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tables/table25.xml" ContentType="application/vnd.openxmlformats-officedocument.spreadsheetml.table+xml"/>
  <Override PartName="/xl/tables/table72.xml" ContentType="application/vnd.openxmlformats-officedocument.spreadsheetml.table+xml"/>
  <Override PartName="/xl/tables/table101.xml" ContentType="application/vnd.openxmlformats-officedocument.spreadsheetml.table+xml"/>
  <Override PartName="/xl/worksheets/sheet13.xml" ContentType="application/vnd.openxmlformats-officedocument.spreadsheetml.worksheet+xml"/>
  <Override PartName="/xl/styles.xml" ContentType="application/vnd.openxmlformats-officedocument.spreadsheetml.styles+xml"/>
  <Override PartName="/xl/charts/chart4.xml" ContentType="application/vnd.openxmlformats-officedocument.drawingml.chart+xml"/>
  <Override PartName="/xl/tables/table14.xml" ContentType="application/vnd.openxmlformats-officedocument.spreadsheetml.table+xml"/>
  <Override PartName="/xl/tables/table61.xml" ContentType="application/vnd.openxmlformats-officedocument.spreadsheetml.table+xml"/>
  <Override PartName="/xl/tables/table50.xml" ContentType="application/vnd.openxmlformats-officedocument.spreadsheetml.table+xml"/>
  <Default Extension="xml" ContentType="application/xml"/>
  <Override PartName="/xl/drawings/drawing2.xml" ContentType="application/vnd.openxmlformats-officedocument.drawing+xml"/>
  <Override PartName="/xl/tables/table139.xml" ContentType="application/vnd.openxmlformats-officedocument.spreadsheetml.table+xml"/>
  <Override PartName="/xl/worksheets/sheet3.xml" ContentType="application/vnd.openxmlformats-officedocument.spreadsheetml.worksheet+xml"/>
  <Override PartName="/xl/tables/table99.xml" ContentType="application/vnd.openxmlformats-officedocument.spreadsheetml.table+xml"/>
  <Override PartName="/xl/tables/table128.xml" ContentType="application/vnd.openxmlformats-officedocument.spreadsheetml.table+xml"/>
  <Override PartName="/xl/charts/chart16.xml" ContentType="application/vnd.openxmlformats-officedocument.drawingml.chart+xml"/>
  <Override PartName="/xl/tables/table88.xml" ContentType="application/vnd.openxmlformats-officedocument.spreadsheetml.table+xml"/>
  <Override PartName="/xl/tables/table117.xml" ContentType="application/vnd.openxmlformats-officedocument.spreadsheetml.table+xml"/>
  <Override PartName="/xl/worksheets/sheet29.xml" ContentType="application/vnd.openxmlformats-officedocument.spreadsheetml.worksheet+xml"/>
  <Override PartName="/xl/tables/table19.xml" ContentType="application/vnd.openxmlformats-officedocument.spreadsheetml.table+xml"/>
  <Override PartName="/xl/tables/table66.xml" ContentType="application/vnd.openxmlformats-officedocument.spreadsheetml.table+xml"/>
  <Override PartName="/xl/tables/table77.xml" ContentType="application/vnd.openxmlformats-officedocument.spreadsheetml.table+xml"/>
  <Override PartName="/xl/tables/table106.xml" ContentType="application/vnd.openxmlformats-officedocument.spreadsheetml.table+xml"/>
  <Override PartName="/xl/tables/table153.xml" ContentType="application/vnd.openxmlformats-officedocument.spreadsheetml.table+xml"/>
  <Override PartName="/xl/worksheets/sheet18.xml" ContentType="application/vnd.openxmlformats-officedocument.spreadsheetml.worksheet+xml"/>
  <Override PartName="/xl/worksheets/sheet54.xml" ContentType="application/vnd.openxmlformats-officedocument.spreadsheetml.worksheet+xml"/>
  <Override PartName="/xl/charts/chart9.xml" ContentType="application/vnd.openxmlformats-officedocument.drawingml.chart+xml"/>
  <Override PartName="/xl/tables/table5.xml" ContentType="application/vnd.openxmlformats-officedocument.spreadsheetml.table+xml"/>
  <Override PartName="/xl/tables/table55.xml" ContentType="application/vnd.openxmlformats-officedocument.spreadsheetml.table+xml"/>
  <Override PartName="/xl/tables/table131.xml" ContentType="application/vnd.openxmlformats-officedocument.spreadsheetml.table+xml"/>
  <Override PartName="/xl/tables/table142.xml" ContentType="application/vnd.openxmlformats-officedocument.spreadsheetml.table+xml"/>
  <Override PartName="/xl/worksheets/sheet43.xml" ContentType="application/vnd.openxmlformats-officedocument.spreadsheetml.worksheet+xml"/>
  <Override PartName="/xl/tables/table44.xml" ContentType="application/vnd.openxmlformats-officedocument.spreadsheetml.table+xml"/>
  <Override PartName="/xl/tables/table91.xml" ContentType="application/vnd.openxmlformats-officedocument.spreadsheetml.table+xml"/>
  <Override PartName="/xl/tables/table120.xml" ContentType="application/vnd.openxmlformats-officedocument.spreadsheetml.table+xml"/>
  <Override PartName="/xl/worksheets/sheet32.xml" ContentType="application/vnd.openxmlformats-officedocument.spreadsheetml.worksheet+xml"/>
  <Override PartName="/xl/tables/table22.xml" ContentType="application/vnd.openxmlformats-officedocument.spreadsheetml.table+xml"/>
  <Override PartName="/xl/tables/table33.xml" ContentType="application/vnd.openxmlformats-officedocument.spreadsheetml.table+xml"/>
  <Override PartName="/xl/tables/table80.xml" ContentType="application/vnd.openxmlformats-officedocument.spreadsheetml.table+xml"/>
  <Override PartName="/xl/worksheets/sheet8.xml" ContentType="application/vnd.openxmlformats-officedocument.spreadsheetml.worksheet+xml"/>
  <Override PartName="/xl/worksheets/sheet21.xml" ContentType="application/vnd.openxmlformats-officedocument.spreadsheetml.worksheet+xml"/>
  <Override PartName="/xl/tables/table11.xml" ContentType="application/vnd.openxmlformats-officedocument.spreadsheetml.table+xml"/>
  <Override PartName="/xl/worksheets/sheet10.xml" ContentType="application/vnd.openxmlformats-officedocument.spreadsheetml.worksheet+xml"/>
  <Override PartName="/xl/charts/chart1.xml" ContentType="application/vnd.openxmlformats-officedocument.drawingml.chart+xml"/>
  <Override PartName="/xl/tables/table158.xml" ContentType="application/vnd.openxmlformats-officedocument.spreadsheetml.table+xml"/>
  <Override PartName="/docProps/app.xml" ContentType="application/vnd.openxmlformats-officedocument.extended-properties+xml"/>
  <Override PartName="/xl/tables/table89.xml" ContentType="application/vnd.openxmlformats-officedocument.spreadsheetml.table+xml"/>
  <Override PartName="/xl/tables/table129.xml" ContentType="application/vnd.openxmlformats-officedocument.spreadsheetml.table+xml"/>
  <Override PartName="/xl/tables/table147.xml" ContentType="application/vnd.openxmlformats-officedocument.spreadsheetml.table+xml"/>
  <Override PartName="/xl/worksheets/sheet59.xml" ContentType="application/vnd.openxmlformats-officedocument.spreadsheetml.worksheet+xml"/>
  <Override PartName="/xl/charts/chart17.xml" ContentType="application/vnd.openxmlformats-officedocument.drawingml.chart+xml"/>
  <Override PartName="/xl/tables/table49.xml" ContentType="application/vnd.openxmlformats-officedocument.spreadsheetml.table+xml"/>
  <Override PartName="/xl/tables/table78.xml" ContentType="application/vnd.openxmlformats-officedocument.spreadsheetml.table+xml"/>
  <Override PartName="/xl/tables/table96.xml" ContentType="application/vnd.openxmlformats-officedocument.spreadsheetml.table+xml"/>
  <Override PartName="/xl/tables/table107.xml" ContentType="application/vnd.openxmlformats-officedocument.spreadsheetml.table+xml"/>
  <Override PartName="/xl/tables/table118.xml" ContentType="application/vnd.openxmlformats-officedocument.spreadsheetml.table+xml"/>
  <Default Extension="vml" ContentType="application/vnd.openxmlformats-officedocument.vmlDrawing"/>
  <Override PartName="/xl/tables/table136.xml" ContentType="application/vnd.openxmlformats-officedocument.spreadsheetml.table+xml"/>
  <Override PartName="/xl/comments1.xml" ContentType="application/vnd.openxmlformats-officedocument.spreadsheetml.comments+xml"/>
  <Override PartName="/xl/tables/table154.xml" ContentType="application/vnd.openxmlformats-officedocument.spreadsheetml.table+xml"/>
  <Override PartName="/xl/calcChain.xml" ContentType="application/vnd.openxmlformats-officedocument.spreadsheetml.calcChain+xml"/>
  <Override PartName="/xl/worksheets/sheet19.xml" ContentType="application/vnd.openxmlformats-officedocument.spreadsheetml.worksheet+xml"/>
  <Override PartName="/xl/worksheets/sheet48.xml" ContentType="application/vnd.openxmlformats-officedocument.spreadsheetml.worksheet+xml"/>
  <Override PartName="/xl/charts/chart13.xml" ContentType="application/vnd.openxmlformats-officedocument.drawingml.chart+xml"/>
  <Override PartName="/xl/charts/chart24.xml" ContentType="application/vnd.openxmlformats-officedocument.drawingml.chart+xml"/>
  <Override PartName="/xl/tables/table38.xml" ContentType="application/vnd.openxmlformats-officedocument.spreadsheetml.table+xml"/>
  <Override PartName="/xl/tables/table67.xml" ContentType="application/vnd.openxmlformats-officedocument.spreadsheetml.table+xml"/>
  <Override PartName="/xl/tables/table85.xml" ContentType="application/vnd.openxmlformats-officedocument.spreadsheetml.table+xml"/>
  <Override PartName="/xl/tables/table114.xml" ContentType="application/vnd.openxmlformats-officedocument.spreadsheetml.table+xml"/>
  <Override PartName="/xl/tables/table125.xml" ContentType="application/vnd.openxmlformats-officedocument.spreadsheetml.table+xml"/>
  <Override PartName="/xl/tables/table143.xml" ContentType="application/vnd.openxmlformats-officedocument.spreadsheetml.table+xml"/>
  <Override PartName="/xl/worksheets/sheet26.xml" ContentType="application/vnd.openxmlformats-officedocument.spreadsheetml.worksheet+xml"/>
  <Override PartName="/xl/worksheets/sheet37.xml" ContentType="application/vnd.openxmlformats-officedocument.spreadsheetml.worksheet+xml"/>
  <Override PartName="/xl/worksheets/sheet55.xml" ContentType="application/vnd.openxmlformats-officedocument.spreadsheetml.worksheet+xml"/>
  <Override PartName="/xl/tables/table6.xml" ContentType="application/vnd.openxmlformats-officedocument.spreadsheetml.table+xml"/>
  <Override PartName="/xl/tables/table27.xml" ContentType="application/vnd.openxmlformats-officedocument.spreadsheetml.table+xml"/>
  <Override PartName="/xl/tables/table45.xml" ContentType="application/vnd.openxmlformats-officedocument.spreadsheetml.table+xml"/>
  <Override PartName="/xl/tables/table56.xml" ContentType="application/vnd.openxmlformats-officedocument.spreadsheetml.table+xml"/>
  <Override PartName="/xl/tables/table74.xml" ContentType="application/vnd.openxmlformats-officedocument.spreadsheetml.table+xml"/>
  <Override PartName="/xl/tables/table92.xml" ContentType="application/vnd.openxmlformats-officedocument.spreadsheetml.table+xml"/>
  <Override PartName="/xl/tables/table103.xml" ContentType="application/vnd.openxmlformats-officedocument.spreadsheetml.table+xml"/>
  <Override PartName="/xl/tables/table132.xml" ContentType="application/vnd.openxmlformats-officedocument.spreadsheetml.table+xml"/>
  <Override PartName="/xl/tables/table150.xml" ContentType="application/vnd.openxmlformats-officedocument.spreadsheetml.table+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charts/chart6.xml" ContentType="application/vnd.openxmlformats-officedocument.drawingml.chart+xml"/>
  <Override PartName="/xl/charts/chart20.xml" ContentType="application/vnd.openxmlformats-officedocument.drawingml.chart+xml"/>
  <Override PartName="/xl/tables/table16.xml" ContentType="application/vnd.openxmlformats-officedocument.spreadsheetml.table+xml"/>
  <Override PartName="/xl/tables/table34.xml" ContentType="application/vnd.openxmlformats-officedocument.spreadsheetml.table+xml"/>
  <Override PartName="/xl/tables/table63.xml" ContentType="application/vnd.openxmlformats-officedocument.spreadsheetml.table+xml"/>
  <Override PartName="/xl/tables/table81.xml" ContentType="application/vnd.openxmlformats-officedocument.spreadsheetml.table+xml"/>
  <Override PartName="/xl/tables/table110.xml" ContentType="application/vnd.openxmlformats-officedocument.spreadsheetml.table+xml"/>
  <Override PartName="/xl/tables/table121.xml" ContentType="application/vnd.openxmlformats-officedocument.spreadsheetml.table+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tables/table2.xml" ContentType="application/vnd.openxmlformats-officedocument.spreadsheetml.table+xml"/>
  <Override PartName="/xl/tables/table23.xml" ContentType="application/vnd.openxmlformats-officedocument.spreadsheetml.table+xml"/>
  <Override PartName="/xl/tables/table41.xml" ContentType="application/vnd.openxmlformats-officedocument.spreadsheetml.table+xml"/>
  <Override PartName="/xl/tables/table52.xml" ContentType="application/vnd.openxmlformats-officedocument.spreadsheetml.table+xml"/>
  <Override PartName="/xl/tables/table70.xml" ContentType="application/vnd.openxmlformats-officedocument.spreadsheetml.table+xml"/>
  <Override PartName="/xl/worksheets/sheet11.xml" ContentType="application/vnd.openxmlformats-officedocument.spreadsheetml.worksheet+xml"/>
  <Override PartName="/xl/worksheets/sheet40.xml" ContentType="application/vnd.openxmlformats-officedocument.spreadsheetml.worksheet+xml"/>
  <Override PartName="/xl/charts/chart2.xml" ContentType="application/vnd.openxmlformats-officedocument.drawingml.chart+xml"/>
  <Override PartName="/xl/tables/table12.xml" ContentType="application/vnd.openxmlformats-officedocument.spreadsheetml.table+xml"/>
  <Override PartName="/xl/tables/table30.xml" ContentType="application/vnd.openxmlformats-officedocument.spreadsheetml.table+xml"/>
  <Default Extension="rels" ContentType="application/vnd.openxmlformats-package.relationships+xml"/>
  <Override PartName="/xl/worksheets/sheet5.xml" ContentType="application/vnd.openxmlformats-officedocument.spreadsheetml.worksheet+xml"/>
  <Override PartName="/xl/tables/table159.xml" ContentType="application/vnd.openxmlformats-officedocument.spreadsheetml.table+xml"/>
  <Override PartName="/xl/charts/chart18.xml" ContentType="application/vnd.openxmlformats-officedocument.drawingml.chart+xml"/>
  <Override PartName="/xl/tables/table119.xml" ContentType="application/vnd.openxmlformats-officedocument.spreadsheetml.table+xml"/>
  <Override PartName="/xl/tables/table137.xml" ContentType="application/vnd.openxmlformats-officedocument.spreadsheetml.table+xml"/>
  <Override PartName="/xl/tables/table148.xml" ContentType="application/vnd.openxmlformats-officedocument.spreadsheetml.table+xml"/>
  <Override PartName="/xl/worksheets/sheet1.xml" ContentType="application/vnd.openxmlformats-officedocument.spreadsheetml.worksheet+xml"/>
  <Override PartName="/xl/worksheets/sheet49.xml" ContentType="application/vnd.openxmlformats-officedocument.spreadsheetml.worksheet+xml"/>
  <Override PartName="/xl/charts/chart25.xml" ContentType="application/vnd.openxmlformats-officedocument.drawingml.chart+xml"/>
  <Override PartName="/xl/tables/table68.xml" ContentType="application/vnd.openxmlformats-officedocument.spreadsheetml.table+xml"/>
  <Override PartName="/xl/tables/table79.xml" ContentType="application/vnd.openxmlformats-officedocument.spreadsheetml.table+xml"/>
  <Override PartName="/xl/tables/table97.xml" ContentType="application/vnd.openxmlformats-officedocument.spreadsheetml.table+xml"/>
  <Override PartName="/xl/tables/table108.xml" ContentType="application/vnd.openxmlformats-officedocument.spreadsheetml.table+xml"/>
  <Override PartName="/xl/tables/table126.xml" ContentType="application/vnd.openxmlformats-officedocument.spreadsheetml.table+xml"/>
  <Override PartName="/xl/tables/table155.xml" ContentType="application/vnd.openxmlformats-officedocument.spreadsheetml.table+xml"/>
  <Override PartName="/xl/worksheets/sheet38.xml" ContentType="application/vnd.openxmlformats-officedocument.spreadsheetml.worksheet+xml"/>
  <Override PartName="/xl/charts/chart14.xml" ContentType="application/vnd.openxmlformats-officedocument.drawingml.chart+xml"/>
  <Override PartName="/xl/tables/table7.xml" ContentType="application/vnd.openxmlformats-officedocument.spreadsheetml.table+xml"/>
  <Override PartName="/xl/tables/table39.xml" ContentType="application/vnd.openxmlformats-officedocument.spreadsheetml.table+xml"/>
  <Override PartName="/xl/tables/table57.xml" ContentType="application/vnd.openxmlformats-officedocument.spreadsheetml.table+xml"/>
  <Override PartName="/xl/tables/table86.xml" ContentType="application/vnd.openxmlformats-officedocument.spreadsheetml.table+xml"/>
  <Override PartName="/xl/tables/table115.xml" ContentType="application/vnd.openxmlformats-officedocument.spreadsheetml.table+xml"/>
  <Override PartName="/xl/tables/table133.xml" ContentType="application/vnd.openxmlformats-officedocument.spreadsheetml.table+xml"/>
  <Override PartName="/xl/tables/table144.xml" ContentType="application/vnd.openxmlformats-officedocument.spreadsheetml.table+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Override PartName="/xl/charts/chart21.xml" ContentType="application/vnd.openxmlformats-officedocument.drawingml.chart+xml"/>
  <Override PartName="/xl/tables/table17.xml" ContentType="application/vnd.openxmlformats-officedocument.spreadsheetml.table+xml"/>
  <Override PartName="/xl/tables/table28.xml" ContentType="application/vnd.openxmlformats-officedocument.spreadsheetml.table+xml"/>
  <Override PartName="/xl/tables/table46.xml" ContentType="application/vnd.openxmlformats-officedocument.spreadsheetml.table+xml"/>
  <Override PartName="/xl/tables/table64.xml" ContentType="application/vnd.openxmlformats-officedocument.spreadsheetml.table+xml"/>
  <Override PartName="/xl/tables/table75.xml" ContentType="application/vnd.openxmlformats-officedocument.spreadsheetml.table+xml"/>
  <Override PartName="/xl/tables/table93.xml" ContentType="application/vnd.openxmlformats-officedocument.spreadsheetml.table+xml"/>
  <Override PartName="/xl/tables/table104.xml" ContentType="application/vnd.openxmlformats-officedocument.spreadsheetml.table+xml"/>
  <Override PartName="/xl/tables/table122.xml" ContentType="application/vnd.openxmlformats-officedocument.spreadsheetml.table+xml"/>
  <Override PartName="/xl/tables/table140.xml" ContentType="application/vnd.openxmlformats-officedocument.spreadsheetml.table+xml"/>
  <Override PartName="/xl/tables/table151.xml" ContentType="application/vnd.openxmlformats-officedocument.spreadsheetml.table+xml"/>
  <Override PartName="/xl/worksheets/sheet16.xml" ContentType="application/vnd.openxmlformats-officedocument.spreadsheetml.worksheet+xml"/>
  <Override PartName="/xl/worksheets/sheet34.xml" ContentType="application/vnd.openxmlformats-officedocument.spreadsheetml.worksheet+xml"/>
  <Override PartName="/xl/worksheets/sheet52.xml" ContentType="application/vnd.openxmlformats-officedocument.spreadsheetml.worksheet+xml"/>
  <Override PartName="/xl/charts/chart7.xml" ContentType="application/vnd.openxmlformats-officedocument.drawingml.chart+xml"/>
  <Override PartName="/xl/charts/chart10.xml" ContentType="application/vnd.openxmlformats-officedocument.drawingml.chart+xml"/>
  <Override PartName="/xl/tables/table3.xml" ContentType="application/vnd.openxmlformats-officedocument.spreadsheetml.table+xml"/>
  <Override PartName="/xl/tables/table24.xml" ContentType="application/vnd.openxmlformats-officedocument.spreadsheetml.table+xml"/>
  <Override PartName="/xl/tables/table35.xml" ContentType="application/vnd.openxmlformats-officedocument.spreadsheetml.table+xml"/>
  <Override PartName="/xl/tables/table53.xml" ContentType="application/vnd.openxmlformats-officedocument.spreadsheetml.table+xml"/>
  <Override PartName="/xl/tables/table71.xml" ContentType="application/vnd.openxmlformats-officedocument.spreadsheetml.table+xml"/>
  <Override PartName="/xl/tables/table82.xml" ContentType="application/vnd.openxmlformats-officedocument.spreadsheetml.table+xml"/>
  <Override PartName="/xl/tables/table111.xml" ContentType="application/vnd.openxmlformats-officedocument.spreadsheetml.table+xml"/>
  <Override PartName="/xl/worksheets/sheet23.xml" ContentType="application/vnd.openxmlformats-officedocument.spreadsheetml.worksheet+xml"/>
  <Override PartName="/xl/worksheets/sheet41.xml" ContentType="application/vnd.openxmlformats-officedocument.spreadsheetml.worksheet+xml"/>
  <Override PartName="/xl/tables/table13.xml" ContentType="application/vnd.openxmlformats-officedocument.spreadsheetml.table+xml"/>
  <Override PartName="/xl/tables/table42.xml" ContentType="application/vnd.openxmlformats-officedocument.spreadsheetml.table+xml"/>
  <Override PartName="/xl/tables/table60.xml" ContentType="application/vnd.openxmlformats-officedocument.spreadsheetml.table+xml"/>
  <Override PartName="/xl/tables/table100.xml" ContentType="application/vnd.openxmlformats-officedocument.spreadsheetml.table+xml"/>
  <Override PartName="/xl/worksheets/sheet6.xml" ContentType="application/vnd.openxmlformats-officedocument.spreadsheetml.worksheet+xml"/>
  <Override PartName="/xl/worksheets/sheet12.xml" ContentType="application/vnd.openxmlformats-officedocument.spreadsheetml.worksheet+xml"/>
  <Override PartName="/xl/worksheets/sheet30.xml" ContentType="application/vnd.openxmlformats-officedocument.spreadsheetml.worksheet+xml"/>
  <Override PartName="/xl/charts/chart3.xml" ContentType="application/vnd.openxmlformats-officedocument.drawingml.chart+xml"/>
  <Override PartName="/xl/tables/table20.xml" ContentType="application/vnd.openxmlformats-officedocument.spreadsheetml.table+xml"/>
  <Override PartName="/xl/tables/table31.xml" ContentType="application/vnd.openxmlformats-officedocument.spreadsheetml.table+xml"/>
  <Override PartName="/xl/tables/table149.xml" ContentType="application/vnd.openxmlformats-officedocument.spreadsheetml.table+xml"/>
  <Override PartName="/xl/worksheets/sheet2.xml" ContentType="application/vnd.openxmlformats-officedocument.spreadsheetml.worksheet+xml"/>
  <Override PartName="/xl/drawings/drawing1.xml" ContentType="application/vnd.openxmlformats-officedocument.drawing+xml"/>
  <Override PartName="/xl/charts/chart19.xml" ContentType="application/vnd.openxmlformats-officedocument.drawingml.chart+xml"/>
  <Override PartName="/xl/tables/table109.xml" ContentType="application/vnd.openxmlformats-officedocument.spreadsheetml.table+xml"/>
  <Override PartName="/xl/tables/table138.xml" ContentType="application/vnd.openxmlformats-officedocument.spreadsheetml.table+xml"/>
  <Override PartName="/xl/tables/table156.xml" ContentType="application/vnd.openxmlformats-officedocument.spreadsheetml.table+xml"/>
  <Override PartName="/xl/charts/chart26.xml" ContentType="application/vnd.openxmlformats-officedocument.drawingml.chart+xml"/>
  <Override PartName="/xl/tables/table69.xml" ContentType="application/vnd.openxmlformats-officedocument.spreadsheetml.table+xml"/>
  <Override PartName="/xl/tables/table87.xml" ContentType="application/vnd.openxmlformats-officedocument.spreadsheetml.table+xml"/>
  <Override PartName="/xl/tables/table98.xml" ContentType="application/vnd.openxmlformats-officedocument.spreadsheetml.table+xml"/>
  <Override PartName="/xl/tables/table116.xml" ContentType="application/vnd.openxmlformats-officedocument.spreadsheetml.table+xml"/>
  <Override PartName="/xl/tables/table127.xml" ContentType="application/vnd.openxmlformats-officedocument.spreadsheetml.table+xml"/>
  <Override PartName="/xl/tables/table145.xml" ContentType="application/vnd.openxmlformats-officedocument.spreadsheetml.table+xml"/>
  <Override PartName="/xl/worksheets/sheet28.xml" ContentType="application/vnd.openxmlformats-officedocument.spreadsheetml.worksheet+xml"/>
  <Override PartName="/xl/worksheets/sheet39.xml" ContentType="application/vnd.openxmlformats-officedocument.spreadsheetml.worksheet+xml"/>
  <Override PartName="/xl/worksheets/sheet57.xml" ContentType="application/vnd.openxmlformats-officedocument.spreadsheetml.worksheet+xml"/>
  <Override PartName="/xl/charts/chart15.xml" ContentType="application/vnd.openxmlformats-officedocument.drawingml.chart+xml"/>
  <Override PartName="/xl/tables/table8.xml" ContentType="application/vnd.openxmlformats-officedocument.spreadsheetml.table+xml"/>
  <Override PartName="/xl/tables/table29.xml" ContentType="application/vnd.openxmlformats-officedocument.spreadsheetml.table+xml"/>
  <Override PartName="/xl/tables/table47.xml" ContentType="application/vnd.openxmlformats-officedocument.spreadsheetml.table+xml"/>
  <Override PartName="/xl/tables/table58.xml" ContentType="application/vnd.openxmlformats-officedocument.spreadsheetml.table+xml"/>
  <Override PartName="/xl/tables/table76.xml" ContentType="application/vnd.openxmlformats-officedocument.spreadsheetml.table+xml"/>
  <Override PartName="/xl/tables/table94.xml" ContentType="application/vnd.openxmlformats-officedocument.spreadsheetml.table+xml"/>
  <Override PartName="/xl/tables/table105.xml" ContentType="application/vnd.openxmlformats-officedocument.spreadsheetml.table+xml"/>
  <Override PartName="/xl/tables/table134.xml" ContentType="application/vnd.openxmlformats-officedocument.spreadsheetml.table+xml"/>
  <Override PartName="/xl/tables/table152.xml" ContentType="application/vnd.openxmlformats-officedocument.spreadsheetml.table+xml"/>
  <Override PartName="/xl/worksheets/sheet17.xml" ContentType="application/vnd.openxmlformats-officedocument.spreadsheetml.worksheet+xml"/>
  <Override PartName="/xl/worksheets/sheet46.xml" ContentType="application/vnd.openxmlformats-officedocument.spreadsheetml.worksheet+xml"/>
  <Override PartName="/xl/charts/chart8.xml" ContentType="application/vnd.openxmlformats-officedocument.drawingml.chart+xml"/>
  <Override PartName="/xl/charts/chart11.xml" ContentType="application/vnd.openxmlformats-officedocument.drawingml.chart+xml"/>
  <Override PartName="/xl/charts/chart22.xml" ContentType="application/vnd.openxmlformats-officedocument.drawingml.chart+xml"/>
  <Override PartName="/xl/tables/table18.xml" ContentType="application/vnd.openxmlformats-officedocument.spreadsheetml.table+xml"/>
  <Override PartName="/xl/tables/table36.xml" ContentType="application/vnd.openxmlformats-officedocument.spreadsheetml.table+xml"/>
  <Override PartName="/xl/tables/table65.xml" ContentType="application/vnd.openxmlformats-officedocument.spreadsheetml.table+xml"/>
  <Override PartName="/xl/tables/table83.xml" ContentType="application/vnd.openxmlformats-officedocument.spreadsheetml.table+xml"/>
  <Override PartName="/xl/tables/table112.xml" ContentType="application/vnd.openxmlformats-officedocument.spreadsheetml.table+xml"/>
  <Override PartName="/xl/tables/table123.xml" ContentType="application/vnd.openxmlformats-officedocument.spreadsheetml.table+xml"/>
  <Override PartName="/xl/tables/table141.xml" ContentType="application/vnd.openxmlformats-officedocument.spreadsheetml.table+xml"/>
  <Override PartName="/xl/worksheets/sheet53.xml" ContentType="application/vnd.openxmlformats-officedocument.spreadsheetml.worksheet+xml"/>
  <Override PartName="/xl/tables/table4.xml" ContentType="application/vnd.openxmlformats-officedocument.spreadsheetml.table+xml"/>
  <Override PartName="/xl/tables/table43.xml" ContentType="application/vnd.openxmlformats-officedocument.spreadsheetml.table+xml"/>
  <Override PartName="/xl/tables/table54.xml" ContentType="application/vnd.openxmlformats-officedocument.spreadsheetml.table+xml"/>
  <Override PartName="/xl/tables/table90.xml" ContentType="application/vnd.openxmlformats-officedocument.spreadsheetml.table+xml"/>
  <Override PartName="/xl/tables/table130.xml" ContentType="application/vnd.openxmlformats-officedocument.spreadsheetml.table+xml"/>
  <Override PartName="/xl/worksheets/sheet42.xml" ContentType="application/vnd.openxmlformats-officedocument.spreadsheetml.worksheet+xml"/>
  <Override PartName="/xl/tables/table32.xml" ContentType="application/vnd.openxmlformats-officedocument.spreadsheetml.table+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tables/table21.xml" ContentType="application/vnd.openxmlformats-officedocument.spreadsheetml.table+xml"/>
  <Override PartName="/xl/tables/table10.xml" ContentType="application/vnd.openxmlformats-officedocument.spreadsheetml.table+xml"/>
  <Override PartName="/xl/tables/table157.xml" ContentType="application/vnd.openxmlformats-officedocument.spreadsheetml.table+xml"/>
  <Override PartName="/xl/externalLinks/externalLink1.xml" ContentType="application/vnd.openxmlformats-officedocument.spreadsheetml.externalLink+xml"/>
  <Override PartName="/xl/tables/table9.xml" ContentType="application/vnd.openxmlformats-officedocument.spreadsheetml.table+xml"/>
  <Override PartName="/xl/tables/table59.xml" ContentType="application/vnd.openxmlformats-officedocument.spreadsheetml.table+xml"/>
  <Override PartName="/xl/tables/table135.xml" ContentType="application/vnd.openxmlformats-officedocument.spreadsheetml.table+xml"/>
  <Override PartName="/xl/tables/table146.xml" ContentType="application/vnd.openxmlformats-officedocument.spreadsheetml.table+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charts/chart23.xml" ContentType="application/vnd.openxmlformats-officedocument.drawingml.chart+xml"/>
  <Override PartName="/xl/tables/table48.xml" ContentType="application/vnd.openxmlformats-officedocument.spreadsheetml.table+xml"/>
  <Override PartName="/xl/tables/table95.xml" ContentType="application/vnd.openxmlformats-officedocument.spreadsheetml.table+xml"/>
  <Override PartName="/xl/tables/table124.xml" ContentType="application/vnd.openxmlformats-officedocument.spreadsheetml.table+xml"/>
  <Override PartName="/xl/worksheets/sheet36.xml" ContentType="application/vnd.openxmlformats-officedocument.spreadsheetml.worksheet+xml"/>
  <Override PartName="/xl/charts/chart12.xml" ContentType="application/vnd.openxmlformats-officedocument.drawingml.chart+xml"/>
  <Override PartName="/xl/tables/table26.xml" ContentType="application/vnd.openxmlformats-officedocument.spreadsheetml.table+xml"/>
  <Override PartName="/xl/tables/table37.xml" ContentType="application/vnd.openxmlformats-officedocument.spreadsheetml.table+xml"/>
  <Override PartName="/xl/tables/table73.xml" ContentType="application/vnd.openxmlformats-officedocument.spreadsheetml.table+xml"/>
  <Override PartName="/xl/tables/table84.xml" ContentType="application/vnd.openxmlformats-officedocument.spreadsheetml.table+xml"/>
  <Override PartName="/xl/tables/table113.xml" ContentType="application/vnd.openxmlformats-officedocument.spreadsheetml.table+xml"/>
  <Override PartName="/xl/tables/table160.xml" ContentType="application/vnd.openxmlformats-officedocument.spreadsheetml.table+xml"/>
  <Override PartName="/xl/worksheets/sheet25.xml" ContentType="application/vnd.openxmlformats-officedocument.spreadsheetml.worksheet+xml"/>
  <Default Extension="bin" ContentType="application/vnd.openxmlformats-officedocument.spreadsheetml.printerSettings"/>
  <Override PartName="/xl/tables/table15.xml" ContentType="application/vnd.openxmlformats-officedocument.spreadsheetml.table+xml"/>
  <Override PartName="/xl/tables/table62.xml" ContentType="application/vnd.openxmlformats-officedocument.spreadsheetml.table+xml"/>
  <Override PartName="/xl/tables/table102.xml" ContentType="application/vnd.openxmlformats-officedocument.spreadsheetml.table+xml"/>
  <Override PartName="/xl/worksheets/sheet14.xml" ContentType="application/vnd.openxmlformats-officedocument.spreadsheetml.worksheet+xml"/>
  <Override PartName="/xl/worksheets/sheet50.xml" ContentType="application/vnd.openxmlformats-officedocument.spreadsheetml.worksheet+xml"/>
  <Override PartName="/xl/tables/table1.xml" ContentType="application/vnd.openxmlformats-officedocument.spreadsheetml.table+xml"/>
  <Override PartName="/xl/charts/chart5.xml" ContentType="application/vnd.openxmlformats-officedocument.drawingml.chart+xml"/>
  <Override PartName="/xl/tables/table51.xml" ContentType="application/vnd.openxmlformats-officedocument.spreadsheetml.table+xml"/>
  <Override PartName="/xl/tables/table40.xml" ContentType="application/vnd.openxmlformats-officedocument.spreadsheetml.table+xml"/>
  <Override PartName="/xl/workbook.xml" ContentType="application/vnd.openxmlformats-officedocument.spreadsheetml.sheet.main+xml"/>
  <Override PartName="/xl/worksheets/sheet4.xml" ContentType="application/vnd.openxmlformats-officedocument.spreadsheetml.worksheet+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75" yWindow="0" windowWidth="20385" windowHeight="3660" tabRatio="859"/>
  </bookViews>
  <sheets>
    <sheet name="Control" sheetId="3" r:id="rId1"/>
    <sheet name="Intermediate output" sheetId="47" r:id="rId2"/>
    <sheet name="Land Use" sheetId="59" r:id="rId3"/>
    <sheet name="GHG" sheetId="66" r:id="rId4"/>
    <sheet name="Energy" sheetId="65" r:id="rId5"/>
    <sheet name="Electricity" sheetId="64" r:id="rId6"/>
    <sheet name="Energy Security" sheetId="63" r:id="rId7"/>
    <sheet name="Flows" sheetId="60" r:id="rId8"/>
    <sheet name="Preferences" sheetId="28" r:id="rId9"/>
    <sheet name="Conversions" sheetId="22" r:id="rId10"/>
    <sheet name="Global Assumptions" sheetId="21" r:id="rId11"/>
    <sheet name="Constants" sheetId="23" r:id="rId12"/>
    <sheet name="Structure of the model" sheetId="27" r:id="rId13"/>
    <sheet name="I.a" sheetId="24" r:id="rId14"/>
    <sheet name="I.b" sheetId="7" r:id="rId15"/>
    <sheet name="II.a" sheetId="6" r:id="rId16"/>
    <sheet name="III.a.1" sheetId="9" r:id="rId17"/>
    <sheet name="III.a.2" sheetId="8" r:id="rId18"/>
    <sheet name="III.b" sheetId="30" r:id="rId19"/>
    <sheet name="III.c" sheetId="10" r:id="rId20"/>
    <sheet name="IV.a" sheetId="32" r:id="rId21"/>
    <sheet name="IV.b" sheetId="52" r:id="rId22"/>
    <sheet name="IV.c" sheetId="33" r:id="rId23"/>
    <sheet name="V.a" sheetId="35" r:id="rId24"/>
    <sheet name="V.b" sheetId="51" r:id="rId25"/>
    <sheet name="VI.a" sheetId="34" r:id="rId26"/>
    <sheet name="VI.b" sheetId="42" r:id="rId27"/>
    <sheet name="VI.c" sheetId="57" r:id="rId28"/>
    <sheet name="VII.a" sheetId="50" r:id="rId29"/>
    <sheet name="VII.b" sheetId="48" r:id="rId30"/>
    <sheet name="VII.c" sheetId="46" r:id="rId31"/>
    <sheet name="VIII.a" sheetId="55" r:id="rId32"/>
    <sheet name="IX.a" sheetId="4" r:id="rId33"/>
    <sheet name="IX.c" sheetId="17" r:id="rId34"/>
    <sheet name="X.a" sheetId="12" r:id="rId35"/>
    <sheet name="X.b" sheetId="18" r:id="rId36"/>
    <sheet name="XI.a" sheetId="13" r:id="rId37"/>
    <sheet name="XII.a" sheetId="14" r:id="rId38"/>
    <sheet name="XII.b" sheetId="15" r:id="rId39"/>
    <sheet name="XII.c" sheetId="16" r:id="rId40"/>
    <sheet name="XIV.a" sheetId="58" r:id="rId41"/>
    <sheet name="XV.a" sheetId="61" r:id="rId42"/>
    <sheet name="XV.b" sheetId="43" r:id="rId43"/>
    <sheet name="XVI.a" sheetId="45" r:id="rId44"/>
    <sheet name="XVI.b" sheetId="44" r:id="rId45"/>
    <sheet name="XVII.a" sheetId="53" r:id="rId46"/>
    <sheet name="XVIII.a" sheetId="54" r:id="rId47"/>
    <sheet name="2013" sheetId="1" r:id="rId48"/>
    <sheet name="2015" sheetId="25" r:id="rId49"/>
    <sheet name="2020" sheetId="36" r:id="rId50"/>
    <sheet name="2025" sheetId="37" r:id="rId51"/>
    <sheet name="2030" sheetId="38" r:id="rId52"/>
    <sheet name="2035" sheetId="39" r:id="rId53"/>
    <sheet name="2040" sheetId="40" r:id="rId54"/>
    <sheet name="2045" sheetId="41" r:id="rId55"/>
    <sheet name="2050" sheetId="26" r:id="rId56"/>
    <sheet name="Irl. Energy Balance 2013 (ktoe)" sheetId="19" r:id="rId57"/>
    <sheet name="Irl. Energy Balance 2013 (TWh)" sheetId="31" r:id="rId58"/>
    <sheet name="Changes" sheetId="62" r:id="rId59"/>
  </sheets>
  <externalReferences>
    <externalReference r:id="rId60"/>
  </externalReferences>
  <definedNames>
    <definedName name="_xlnm._FilterDatabase" localSheetId="13" hidden="1">I.a!$F$342:$O$343</definedName>
    <definedName name="Constants.Density.Diesel">Constants!$C$35</definedName>
    <definedName name="Constants.Density.JetFuel">Constants!$C$37</definedName>
    <definedName name="Constants.GCV.ATF">Constants!$C$18</definedName>
    <definedName name="Constants.GCV.Diesel">Constants!$C$17</definedName>
    <definedName name="Constants.GCV.LandfillGas">Constants!$C$25</definedName>
    <definedName name="Constants.GCV.NaturalGasProduced">Constants!$C$21</definedName>
    <definedName name="Conversion.to.annual.energy">Conversions!$E$59</definedName>
    <definedName name="Conversion.to.average.power">Conversions!$E$58</definedName>
    <definedName name="Conversion.to.energy.per.second">Conversions!$E$60</definedName>
    <definedName name="Conversion.UKgallons.to.litres">Conversions!$E$65</definedName>
    <definedName name="Conversion.USgallons.to.litres">Conversions!$E$66</definedName>
    <definedName name="Conversions.Area.m2">Conversions!$E$48:$E$53</definedName>
    <definedName name="Conversions.Area.Units">Conversions!$B$48:$B$53</definedName>
    <definedName name="Conversions.Energy.Joules">Conversions!$E$5:$E$23</definedName>
    <definedName name="Conversions.Energy.Units">Conversions!$B$5:$B$23</definedName>
    <definedName name="Conversions.Power.Units">Conversions!$B$30:$B$35</definedName>
    <definedName name="Conversions.Power.Watts">Conversions!$E$30:$E$35</definedName>
    <definedName name="EF.Diesel.CH4">Constants!$G$10</definedName>
    <definedName name="EF.Diesel.CO2">Constants!$F$10</definedName>
    <definedName name="EF.Diesel.N2O">Constants!$H$10</definedName>
    <definedName name="EF.IndustrialCoal.CH4">Constants!$G$8</definedName>
    <definedName name="EF.IndustrialCoal.CO2">Constants!$F$8</definedName>
    <definedName name="EF.IndustrialCoal.N2O">Constants!$H$8</definedName>
    <definedName name="EF.NaturalGas.CH4">Constants!$G$11</definedName>
    <definedName name="EF.NaturalGas.CO2">Constants!$F$11</definedName>
    <definedName name="EF.NaturalGas.N2O">Constants!$H$11</definedName>
    <definedName name="EF.Peat.CH4">Constants!$G$9</definedName>
    <definedName name="EF.Peat.CO2">Constants!$F$9</definedName>
    <definedName name="EF.Peat.N2O">Constants!$H$9</definedName>
    <definedName name="Global.IrelandIncidentSolarEnergy">'Global Assumptions'!$D$20</definedName>
    <definedName name="Global.IrelandIncidentSolarEnergy_SouthFacing">'Global Assumptions'!$D$21</definedName>
    <definedName name="GWP.CH4">Constants!$K$9</definedName>
    <definedName name="GWP.N2O">Constants!$K$10</definedName>
    <definedName name="I.a.Scenario">Control!$E$14</definedName>
    <definedName name="I.b.1.Scenario">Control!$E$7</definedName>
    <definedName name="I.b.2.Scenario">Control!$E$8</definedName>
    <definedName name="II.a.Scenario">Control!$E$5</definedName>
    <definedName name="III.a.1.Scenario">Control!$E$10</definedName>
    <definedName name="III.a.2.Scenario">Control!$E$9</definedName>
    <definedName name="III.b.Scenario">Control!$E$17</definedName>
    <definedName name="III.c.TidalRange.Scenario">Control!$E$13</definedName>
    <definedName name="III.c.TidaStream.Scenario">Control!$E$12</definedName>
    <definedName name="III.c.Wave.Scenario">Control!$E$11</definedName>
    <definedName name="input.choices">Control!$E$5:$E$56</definedName>
    <definedName name="input.descriptions">Control!$I$5:$L$56</definedName>
    <definedName name="input.example.pathways">Control!$N$4:$AC$59</definedName>
    <definedName name="input.long_descriptions">Control!$BQ$5:$BT$56</definedName>
    <definedName name="input.names">Control!$D$5:$D$56</definedName>
    <definedName name="input.onepagenotes">Control!$G$5:$G$56</definedName>
    <definedName name="input.types">Control!$F$5:$F$56</definedName>
    <definedName name="IV.a.Scenario">Control!$E$15</definedName>
    <definedName name="IV.b.Scenario">Control!$E$16</definedName>
    <definedName name="IV.c.Scenario">Control!$E$18</definedName>
    <definedName name="IX.a.1.Scenario">Control!$E$36</definedName>
    <definedName name="IX.a.2.Scenario">Control!$E$37</definedName>
    <definedName name="IX.a.3.Scenario">Control!$E$38</definedName>
    <definedName name="IX.a.4.Scenario">Control!$E$39</definedName>
    <definedName name="IX.a.Scenario.Electrification">Control!$E$38</definedName>
    <definedName name="IX.a.Scenario.Fuel">Control!$E$39</definedName>
    <definedName name="IX.a.Scenario.Insulation">Control!$E$37</definedName>
    <definedName name="IX.a.Scenario.ServiceDemand">Control!$E$36</definedName>
    <definedName name="IX.c.1.Scenario">Control!$E$47</definedName>
    <definedName name="IX.c.2.Scenario">Control!$E$48</definedName>
    <definedName name="IX.c.3.Scenario">Control!$E$49</definedName>
    <definedName name="IX.c.Scenario.Demand">Control!$E$47</definedName>
    <definedName name="IX.c.Scenario.Electrification">Control!$E$48</definedName>
    <definedName name="IX.c.Scenario.Fuel">Control!$E$49</definedName>
    <definedName name="output.areas">'Land Use'!$G$43:$P$63</definedName>
    <definedName name="output.capacity.automaticallybuilt">'Energy Security'!$D$144:$M$146</definedName>
    <definedName name="output.diversity">'Energy Security'!$D$35:$M$53</definedName>
    <definedName name="output.electricity.capacity">Electricity!$D$63:$M$78</definedName>
    <definedName name="output.electricity.demand">Electricity!$D$25:$M$30</definedName>
    <definedName name="output.electricity.ghg">Electricity!$D$112:$M$115</definedName>
    <definedName name="output.electricity.supply">Electricity!$D$45:$M$56</definedName>
    <definedName name="output.emissions.percentage.reduction">'Intermediate output'!$BG$155</definedName>
    <definedName name="output.finalenergyde">Energy!$D$18:$M$22</definedName>
    <definedName name="output.finalenergydemand">Energy!$D$17:$M$22</definedName>
    <definedName name="output.flows">Flows!$C$5:$N$94</definedName>
    <definedName name="output.ghg.by.ipcc.sector">GHG!$D$13:$M$25</definedName>
    <definedName name="output.ghg.percentage.reduction">GHG!$E$43</definedName>
    <definedName name="output.heating.mix">'Land Use'!$D$68:$F$82</definedName>
    <definedName name="output.imports.proportion">'Energy Security'!$D$130:$M$137</definedName>
    <definedName name="output.imports.quantity">'Energy Security'!$D$108:$M$115</definedName>
    <definedName name="output.primaryenergysupply">Energy!$D$58:$M$76</definedName>
    <definedName name="output.shannonweinerindex">'Energy Security'!$D$59:$M$78</definedName>
    <definedName name="output.version">Control!$N$1</definedName>
    <definedName name="Peak_Electricity_Generation_Capacity">'Intermediate output'!$AY$132:$BG$132</definedName>
    <definedName name="plantsize.I.a">I.a!$F$97</definedName>
    <definedName name="plantsize.Ia.bio">I.a!$F$101</definedName>
    <definedName name="plantsize.Ib">I.b!$F$87</definedName>
    <definedName name="plantsize.II.a">II.a!$F$74</definedName>
    <definedName name="plantsize.III.a.1">III.a.1!$F$55</definedName>
    <definedName name="plantsize.III.a.2">III.a.2!$F$61</definedName>
    <definedName name="plantsize.III.b">III.b!$F$39</definedName>
    <definedName name="plantsize.III.c.TidalRange">III.c!$F$79</definedName>
    <definedName name="plantsize.III.c.TidalStream">III.c!$F$81</definedName>
    <definedName name="plantsize.III.c.Wave">III.c!$F$77</definedName>
    <definedName name="plantsize.IV.a">IV.a!$E$38</definedName>
    <definedName name="plantsize.IV.b">IV.b!$E$39</definedName>
    <definedName name="plantsize.IV.c">IV.c!$F$36</definedName>
    <definedName name="plantsize.V.a.Dry_bio_and_waste_to_gas">V.a!$F$86</definedName>
    <definedName name="plantsize.V.a.Dry_bio_and_waste_to_liquid">V.a!$F$85</definedName>
    <definedName name="plantsize.V.a.Dry_bio_and_waste_to_solid">V.a!$F$84</definedName>
    <definedName name="plantsize.V.a.Energy_crops_1st_generation_to_gas">V.a!$F$95</definedName>
    <definedName name="plantsize.V.a.Energy_crops_1st_generation_to_liquid">V.a!$F$94</definedName>
    <definedName name="plantsize.V.a.Energy_crops_1st_generation_to_solid">V.a!$F$93</definedName>
    <definedName name="plantsize.V.a.Energy_crops_2nd_generation_to_gas">V.a!$F$92</definedName>
    <definedName name="plantsize.V.a.Energy_crops_2nd_generation_to_liquid">V.a!$F$91</definedName>
    <definedName name="plantsize.V.a.Energy_crops_2nd_generation_to_solid">V.a!$F$90</definedName>
    <definedName name="plantsize.V.a.Gaseous_waste_to_gas">V.a!$F$98</definedName>
    <definedName name="plantsize.V.a.Gaseous_waste_to_liquid">V.a!$F$97</definedName>
    <definedName name="plantsize.V.a.Gaseous_waste_to_solid">V.a!$F$96</definedName>
    <definedName name="plantsize.V.a.Wet_bio_and_waste_to_gas">V.a!$F$89</definedName>
    <definedName name="plantsize.V.a.Wet_bio_and_waste_to_liquid">V.a!$F$88</definedName>
    <definedName name="plantsize.V.a.Wet_bio_and_waste_to_solid">V.a!$F$87</definedName>
    <definedName name="plantsize.VI.b.Capturing_landfill_gas">VI.b!$E$201</definedName>
    <definedName name="plantsize.VI.b.Landfill_site">VI.b!$E$196</definedName>
    <definedName name="plantsize.VI.b.Recovering_landfill_gas">VI.b!$E$202</definedName>
    <definedName name="plantsize.VI.b.Recovering_sewage_sludge">VI.b!$E$207</definedName>
    <definedName name="Preferences.AreaUnits">Preferences!$C$7</definedName>
    <definedName name="Preferences.EnergyUnits">Preferences!$C$3</definedName>
    <definedName name="Preferences.moneyunits">Preferences!$C$9</definedName>
    <definedName name="Preferences.PowerUnits">Preferences!$C$5</definedName>
    <definedName name="Preferences.Unit.Energy">Preferences!$F$3</definedName>
    <definedName name="Preferences.Unit.Power">Preferences!$F$5</definedName>
    <definedName name="TGBP">Conversions!$E$71</definedName>
    <definedName name="this.Year" localSheetId="47">'2013'!$E$2</definedName>
    <definedName name="this.Year" localSheetId="48">'2015'!$E$2</definedName>
    <definedName name="this.Year" localSheetId="49">'2020'!$E$2</definedName>
    <definedName name="this.Year" localSheetId="50">'2025'!$E$2</definedName>
    <definedName name="this.Year" localSheetId="51">'2030'!$E$2</definedName>
    <definedName name="this.Year" localSheetId="52">'2035'!$E$2</definedName>
    <definedName name="this.Year" localSheetId="53">'2040'!$E$2</definedName>
    <definedName name="this.Year" localSheetId="54">'2045'!$E$2</definedName>
    <definedName name="this.Year" localSheetId="55">'2050'!$E$2</definedName>
    <definedName name="Unit.acre">Conversions!$F$50</definedName>
    <definedName name="unit.bcm">Conversions!$F$24</definedName>
    <definedName name="Unit.boe">Conversions!$F$15</definedName>
    <definedName name="Unit.Btu">Conversions!$F$21</definedName>
    <definedName name="Unit.calorie">Conversions!$F$22</definedName>
    <definedName name="Unit.day">Conversions!$F$41</definedName>
    <definedName name="Unit.GJ">Conversions!$F$7</definedName>
    <definedName name="Unit.GW">Conversions!$F$30</definedName>
    <definedName name="Unit.GWh">Conversions!$F$13</definedName>
    <definedName name="Unit.GWyear">Conversions!$F$23</definedName>
    <definedName name="Unit.ha">Conversions!$F$48</definedName>
    <definedName name="Unit.hour">Conversions!$F$42</definedName>
    <definedName name="Unit.J">Conversions!$F$8</definedName>
    <definedName name="Unit.km2">Conversions!$F$51</definedName>
    <definedName name="Unit.ktoe">Conversions!$F$18</definedName>
    <definedName name="Unit.kW">Conversions!$F$32</definedName>
    <definedName name="Unit.kWh">Conversions!$F$10</definedName>
    <definedName name="Unit.kWh.p.d">Conversions!$F$11</definedName>
    <definedName name="Unit.m2">Conversions!$F$52</definedName>
    <definedName name="Unit.Mboe">Conversions!$F$16</definedName>
    <definedName name="Unit.mcm.d">Conversions!$F$34</definedName>
    <definedName name="Unit.Mha">Conversions!$F$49</definedName>
    <definedName name="Unit.minute">Conversions!$F$43</definedName>
    <definedName name="Unit.MJ">Conversions!$F$9</definedName>
    <definedName name="Unit.Mtoe">Conversions!$F$19</definedName>
    <definedName name="Unit.Mtoe.y">Conversions!$F$35</definedName>
    <definedName name="Unit.MW">Conversions!$F$31</definedName>
    <definedName name="Unit.MWh">Conversions!$F$14</definedName>
    <definedName name="Unit.PJ">Conversions!$F$5</definedName>
    <definedName name="Unit.therm">Conversions!$F$20</definedName>
    <definedName name="Unit.TJ">Conversions!$F$6</definedName>
    <definedName name="Unit.toe">Conversions!$F$17</definedName>
    <definedName name="Unit.TWh">Conversions!$F$12</definedName>
    <definedName name="Unit.W">Conversions!$F$33</definedName>
    <definedName name="Unit.Wales">Conversions!$F$53</definedName>
    <definedName name="Unit.year">Conversions!$F$40</definedName>
    <definedName name="V.a.Scenario">Control!$E$25</definedName>
    <definedName name="V.b.Scenario">Control!$E$26</definedName>
    <definedName name="VI.a.2.Scenario">Control!$E$22</definedName>
    <definedName name="VI.a.Scenario">Control!$E$21</definedName>
    <definedName name="VI.b.Scenario">Control!$E$23</definedName>
    <definedName name="VI.c.Scenario">Control!$E$24</definedName>
    <definedName name="VII.a.Scenario">Control!$E$19</definedName>
    <definedName name="VII.c.Scenario">Control!$E$55</definedName>
    <definedName name="W___m2">'Global Assumptions'!$D$21</definedName>
    <definedName name="X.a.1.Scenario">Control!$E$41</definedName>
    <definedName name="X.a.2.Scenario">Control!$E$42</definedName>
    <definedName name="X.a.Scenario.Demand">Control!$E$41</definedName>
    <definedName name="X.a.Scenario.Technology">Control!$E$42</definedName>
    <definedName name="X.b.1.Scenario">Control!$E$51</definedName>
    <definedName name="X.b.2.Scenario">Control!$E$52</definedName>
    <definedName name="X.b.Scenario.Demand">Control!$E$51</definedName>
    <definedName name="X.b.Scenario.Technology">Control!$E$52</definedName>
    <definedName name="XI.a.1">Control!$E$44</definedName>
    <definedName name="XI.a.2.Scenario">Control!$E$45</definedName>
    <definedName name="XI.a.Scenario.Efficiency">Control!$E$45</definedName>
    <definedName name="XI.a.Scenario.Output">Control!$E$44</definedName>
    <definedName name="XII.a.Scenario.Demand">Control!$E$29</definedName>
    <definedName name="XII.a.Scenario.ElecHydrogen">Control!$E$31</definedName>
    <definedName name="XII.a.Scenario.Technology">Control!$E$30</definedName>
    <definedName name="XII.b.Scenario">Control!$E$32</definedName>
    <definedName name="XII.c.Scenario">Control!$E$33</definedName>
    <definedName name="XIV.a.Scenario">Control!$E$54</definedName>
    <definedName name="XV.b.Scenario">Control!$E$56</definedName>
    <definedName name="Year.Emissions" localSheetId="47">'2013'!$BO$109:$DF$109</definedName>
    <definedName name="Year.Emissions" localSheetId="48">'2015'!$BO$109:$DF$109</definedName>
    <definedName name="Year.Emissions" localSheetId="49">'2020'!$BO$109:$DF$109</definedName>
    <definedName name="Year.Emissions" localSheetId="50">'2025'!$BO$109:$DF$109</definedName>
    <definedName name="Year.Emissions" localSheetId="51">'2030'!$BO$109:$DF$109</definedName>
    <definedName name="Year.Emissions" localSheetId="52">'2035'!$BO$109:$DF$109</definedName>
    <definedName name="Year.Emissions" localSheetId="53">'2040'!$BO$109:$DF$109</definedName>
    <definedName name="Year.Emissions" localSheetId="54">'2045'!$BO$109:$DF$109</definedName>
    <definedName name="Year.Emissions" localSheetId="55">'2050'!$BO$109:$DF$109</definedName>
    <definedName name="Year.EmissionsBySector" localSheetId="47">'2013'!$DH$6:$DH$110</definedName>
    <definedName name="Year.EmissionsBySector" localSheetId="48">'2015'!$DH$6:$DH$110</definedName>
    <definedName name="Year.EmissionsBySector" localSheetId="49">'2020'!$DH$6:$DH$110</definedName>
    <definedName name="Year.EmissionsBySector" localSheetId="50">'2025'!$DH$6:$DH$110</definedName>
    <definedName name="Year.EmissionsBySector" localSheetId="51">'2030'!$DH$6:$DH$110</definedName>
    <definedName name="Year.EmissionsBySector" localSheetId="52">'2035'!$DH$6:$DH$110</definedName>
    <definedName name="Year.EmissionsBySector" localSheetId="53">'2040'!$DH$6:$DH$110</definedName>
    <definedName name="Year.EmissionsBySector" localSheetId="54">'2045'!$DH$6:$DH$110</definedName>
    <definedName name="Year.EmissionsBySector" localSheetId="55">'2050'!$DH$6:$DH$110</definedName>
    <definedName name="Year.IPCC" localSheetId="47">'2013'!$BO$5:$DF$5</definedName>
    <definedName name="Year.IPCC" localSheetId="48">'2015'!$BO$5:$DF$5</definedName>
    <definedName name="Year.IPCC" localSheetId="49">'2020'!$BO$5:$DF$5</definedName>
    <definedName name="Year.IPCC" localSheetId="50">'2025'!$BO$5:$DF$5</definedName>
    <definedName name="Year.IPCC" localSheetId="51">'2030'!$BO$5:$DF$5</definedName>
    <definedName name="Year.IPCC" localSheetId="52">'2035'!$BO$5:$DF$5</definedName>
    <definedName name="Year.IPCC" localSheetId="53">'2040'!$BO$5:$DF$5</definedName>
    <definedName name="Year.IPCC" localSheetId="54">'2045'!$BO$5:$DF$5</definedName>
    <definedName name="Year.IPCC" localSheetId="55">'2050'!$BO$5:$DF$5</definedName>
    <definedName name="Year.Matrix" localSheetId="47">'2013'!$G$6:$BL$110</definedName>
    <definedName name="Year.Matrix" localSheetId="48">'2015'!$G$6:$BL$110</definedName>
    <definedName name="Year.Matrix" localSheetId="49">'2020'!$G$6:$BL$110</definedName>
    <definedName name="Year.Matrix" localSheetId="50">'2025'!$G$6:$BL$110</definedName>
    <definedName name="Year.Matrix" localSheetId="51">'2030'!$G$6:$BL$110</definedName>
    <definedName name="Year.Matrix" localSheetId="52">'2035'!$G$6:$BL$110</definedName>
    <definedName name="Year.Matrix" localSheetId="53">'2040'!$G$6:$BL$110</definedName>
    <definedName name="Year.Matrix" localSheetId="54">'2045'!$G$6:$BL$110</definedName>
    <definedName name="Year.Matrix" localSheetId="55">'2050'!$G$6:$BL$110</definedName>
    <definedName name="Year.Modules" localSheetId="47">'2013'!$C$6:$C$110</definedName>
    <definedName name="Year.Modules" localSheetId="48">'2015'!$C$6:$C$110</definedName>
    <definedName name="Year.Modules" localSheetId="49">'2020'!$C$6:$C$110</definedName>
    <definedName name="Year.Modules" localSheetId="50">'2025'!$C$6:$C$110</definedName>
    <definedName name="Year.Modules" localSheetId="51">'2030'!$C$6:$C$110</definedName>
    <definedName name="Year.Modules" localSheetId="52">'2035'!$C$6:$C$110</definedName>
    <definedName name="Year.Modules" localSheetId="53">'2040'!$C$6:$C$110</definedName>
    <definedName name="Year.Modules" localSheetId="54">'2045'!$C$6:$C$110</definedName>
    <definedName name="Year.Modules" localSheetId="55">'2050'!$C$6:$C$110</definedName>
    <definedName name="Year.NetBalance" localSheetId="47">'2013'!$G$109:$BL$109</definedName>
    <definedName name="Year.NetBalance" localSheetId="48">'2015'!$G$109:$BL$109</definedName>
    <definedName name="Year.NetBalance" localSheetId="49">'2020'!$G$109:$BL$109</definedName>
    <definedName name="Year.NetBalance" localSheetId="50">'2025'!$G$109:$BL$109</definedName>
    <definedName name="Year.NetBalance" localSheetId="51">'2030'!$G$109:$BL$109</definedName>
    <definedName name="Year.NetBalance" localSheetId="52">'2035'!$G$109:$BL$109</definedName>
    <definedName name="Year.NetBalance" localSheetId="53">'2040'!$G$109:$BL$109</definedName>
    <definedName name="Year.NetBalance" localSheetId="54">'2045'!$G$109:$BL$109</definedName>
    <definedName name="Year.NetBalance" localSheetId="55">'2050'!$G$109:$BL$109</definedName>
    <definedName name="Year.Vectors" localSheetId="47">'2013'!$G$5:$BL$5</definedName>
    <definedName name="Year.Vectors" localSheetId="48">'2015'!$G$5:$BL$5</definedName>
    <definedName name="Year.Vectors" localSheetId="49">'2020'!$G$5:$BL$5</definedName>
    <definedName name="Year.Vectors" localSheetId="50">'2025'!$G$5:$BL$5</definedName>
    <definedName name="Year.Vectors" localSheetId="51">'2030'!$G$5:$BL$5</definedName>
    <definedName name="Year.Vectors" localSheetId="52">'2035'!$G$5:$BL$5</definedName>
    <definedName name="Year.Vectors" localSheetId="53">'2040'!$G$5:$BL$5</definedName>
    <definedName name="Year.Vectors" localSheetId="54">'2045'!$G$5:$BL$5</definedName>
    <definedName name="Year.Vectors" localSheetId="55">'2050'!$G$5:$BL$5</definedName>
  </definedNames>
  <calcPr calcId="125725" calcMode="manual"/>
</workbook>
</file>

<file path=xl/calcChain.xml><?xml version="1.0" encoding="utf-8"?>
<calcChain xmlns="http://schemas.openxmlformats.org/spreadsheetml/2006/main">
  <c r="G32" i="43"/>
  <c r="H32"/>
  <c r="I32"/>
  <c r="G33"/>
  <c r="H33"/>
  <c r="I33"/>
  <c r="G34"/>
  <c r="H34"/>
  <c r="I34"/>
  <c r="G302" i="4" l="1"/>
  <c r="H302"/>
  <c r="I302"/>
  <c r="J302"/>
  <c r="K302"/>
  <c r="L302"/>
  <c r="M302"/>
  <c r="N302"/>
  <c r="F302"/>
  <c r="G65" i="52" l="1"/>
  <c r="H65"/>
  <c r="I65"/>
  <c r="J65"/>
  <c r="K65"/>
  <c r="L65"/>
  <c r="M65"/>
  <c r="N65"/>
  <c r="F65"/>
  <c r="C30" i="24" l="1"/>
  <c r="E8" i="58" l="1"/>
  <c r="G105" s="1"/>
  <c r="AK27" i="19"/>
  <c r="AK30"/>
  <c r="M25" i="66"/>
  <c r="E36"/>
  <c r="F205" i="47"/>
  <c r="AZ205"/>
  <c r="AZ203"/>
  <c r="F151"/>
  <c r="BC205"/>
  <c r="AY205"/>
  <c r="BB205"/>
  <c r="E7" i="6"/>
  <c r="E8" i="32"/>
  <c r="E8" i="52"/>
  <c r="I20" s="1"/>
  <c r="I61" s="1"/>
  <c r="E7" i="9"/>
  <c r="H19" s="1"/>
  <c r="E7" i="8"/>
  <c r="H19" s="1"/>
  <c r="E8" i="33"/>
  <c r="M20" s="1"/>
  <c r="M65" s="1"/>
  <c r="E8" i="10"/>
  <c r="N30" s="1"/>
  <c r="N159" s="1"/>
  <c r="N162" s="1"/>
  <c r="I39"/>
  <c r="I167" s="1"/>
  <c r="E7"/>
  <c r="E8" i="30"/>
  <c r="E7" i="50"/>
  <c r="L33" s="1"/>
  <c r="L109" s="1"/>
  <c r="L120" s="1"/>
  <c r="L174" s="1"/>
  <c r="E53" i="22"/>
  <c r="E9" i="17"/>
  <c r="E10"/>
  <c r="E10" i="4"/>
  <c r="E11"/>
  <c r="E8" i="13"/>
  <c r="E9"/>
  <c r="E200" a="1"/>
  <c r="E200" s="1"/>
  <c r="G176"/>
  <c r="H176" s="1"/>
  <c r="I176" s="1"/>
  <c r="J176" s="1"/>
  <c r="K176" s="1"/>
  <c r="L176" s="1"/>
  <c r="M176" s="1"/>
  <c r="N176" s="1"/>
  <c r="E8" i="34"/>
  <c r="E313" s="1"/>
  <c r="H313" s="1"/>
  <c r="E9"/>
  <c r="I350" s="1"/>
  <c r="F47" i="22"/>
  <c r="F51"/>
  <c r="F20" i="34" s="1"/>
  <c r="F163" s="1"/>
  <c r="F21"/>
  <c r="F27"/>
  <c r="F170" s="1"/>
  <c r="H21"/>
  <c r="I20"/>
  <c r="I27"/>
  <c r="J25"/>
  <c r="K24"/>
  <c r="L21"/>
  <c r="M20"/>
  <c r="M27"/>
  <c r="N25"/>
  <c r="E7" i="42"/>
  <c r="G127" s="1"/>
  <c r="G327" s="1"/>
  <c r="G419" s="1"/>
  <c r="E8" i="16"/>
  <c r="G364" i="13"/>
  <c r="G106" i="58"/>
  <c r="H364" i="13"/>
  <c r="H104" i="58"/>
  <c r="H106"/>
  <c r="I364" i="13"/>
  <c r="I104" i="58"/>
  <c r="I106"/>
  <c r="E7" i="7"/>
  <c r="I20" s="1"/>
  <c r="J364" i="13"/>
  <c r="J105" i="58"/>
  <c r="J106"/>
  <c r="E8" i="7"/>
  <c r="G30" s="1"/>
  <c r="I162" s="1"/>
  <c r="K364" i="13"/>
  <c r="K104" i="58"/>
  <c r="K105"/>
  <c r="K106"/>
  <c r="L364" i="13"/>
  <c r="L104" i="58"/>
  <c r="L105"/>
  <c r="L106"/>
  <c r="M364" i="13"/>
  <c r="M104" i="58"/>
  <c r="M112" s="1"/>
  <c r="M105"/>
  <c r="M117" s="1"/>
  <c r="M106"/>
  <c r="N364" i="13"/>
  <c r="N104" i="58"/>
  <c r="N112" s="1"/>
  <c r="N105"/>
  <c r="N106"/>
  <c r="F364" i="13"/>
  <c r="F365" s="1"/>
  <c r="F368"/>
  <c r="F104" i="58"/>
  <c r="F105"/>
  <c r="E8" i="43"/>
  <c r="L28" i="42"/>
  <c r="L316" s="1"/>
  <c r="G30" i="10"/>
  <c r="G159" s="1"/>
  <c r="G162" s="1"/>
  <c r="H39"/>
  <c r="H167" s="1"/>
  <c r="K30"/>
  <c r="K159" s="1"/>
  <c r="L30"/>
  <c r="L159" s="1"/>
  <c r="L162" s="1"/>
  <c r="M56" i="65"/>
  <c r="M15"/>
  <c r="M26"/>
  <c r="D6"/>
  <c r="F49" i="22"/>
  <c r="F26" i="34"/>
  <c r="M145" i="42"/>
  <c r="M401" s="1"/>
  <c r="F48" i="22"/>
  <c r="I60" i="57" s="1"/>
  <c r="G60"/>
  <c r="E7"/>
  <c r="L19" s="1"/>
  <c r="L59" s="1"/>
  <c r="H60"/>
  <c r="J60"/>
  <c r="J22" i="34"/>
  <c r="L60" i="57"/>
  <c r="L22" i="34"/>
  <c r="N60" i="57"/>
  <c r="F109" i="42"/>
  <c r="F60" i="57"/>
  <c r="E8" i="14"/>
  <c r="N308" s="1" a="1"/>
  <c r="N308" s="1"/>
  <c r="E9"/>
  <c r="E10"/>
  <c r="E8" i="15"/>
  <c r="L218" s="1"/>
  <c r="E182" i="13" a="1"/>
  <c r="E182" s="1"/>
  <c r="E8" i="12"/>
  <c r="E9"/>
  <c r="N97" s="1"/>
  <c r="H97" s="1"/>
  <c r="H138" s="1"/>
  <c r="H145" s="1"/>
  <c r="E8" i="18"/>
  <c r="I103" s="1"/>
  <c r="E9"/>
  <c r="N97" s="1"/>
  <c r="E7" i="35"/>
  <c r="F258" s="1"/>
  <c r="M105" i="60"/>
  <c r="M99"/>
  <c r="M111"/>
  <c r="M117"/>
  <c r="M129"/>
  <c r="M61" i="64"/>
  <c r="N257" i="10"/>
  <c r="N191" i="13"/>
  <c r="K191"/>
  <c r="I191"/>
  <c r="M43" i="64"/>
  <c r="M35"/>
  <c r="M23"/>
  <c r="M4"/>
  <c r="M143" i="63"/>
  <c r="M118"/>
  <c r="M107"/>
  <c r="M84"/>
  <c r="M11"/>
  <c r="F52" i="22"/>
  <c r="N81" i="24"/>
  <c r="BH282" i="47"/>
  <c r="D116"/>
  <c r="N29" i="43"/>
  <c r="N21"/>
  <c r="N13"/>
  <c r="BH304" i="47"/>
  <c r="F314" i="34" a="1"/>
  <c r="F314"/>
  <c r="Q23" i="14"/>
  <c r="Q19"/>
  <c r="Q20"/>
  <c r="Q21"/>
  <c r="Q18"/>
  <c r="N85" i="16"/>
  <c r="E8" i="46"/>
  <c r="J80" s="1"/>
  <c r="AZ421" i="47"/>
  <c r="AD9" i="60"/>
  <c r="AE9"/>
  <c r="AF9"/>
  <c r="AG9"/>
  <c r="AH9"/>
  <c r="AI9"/>
  <c r="AJ9"/>
  <c r="AK9"/>
  <c r="AL9"/>
  <c r="AD10"/>
  <c r="AE10"/>
  <c r="AF10"/>
  <c r="AG10"/>
  <c r="AH10"/>
  <c r="AI10"/>
  <c r="AJ10"/>
  <c r="AK10"/>
  <c r="AL10"/>
  <c r="AD13"/>
  <c r="AE13"/>
  <c r="AF13"/>
  <c r="AG13"/>
  <c r="AH13"/>
  <c r="AI13"/>
  <c r="AJ13"/>
  <c r="AK13"/>
  <c r="AL13"/>
  <c r="AD14"/>
  <c r="AE14"/>
  <c r="AF14"/>
  <c r="AG14"/>
  <c r="AH14"/>
  <c r="AI14"/>
  <c r="AJ14"/>
  <c r="AK14"/>
  <c r="AL14"/>
  <c r="AD18"/>
  <c r="AE18"/>
  <c r="AF18"/>
  <c r="AG18"/>
  <c r="AH18"/>
  <c r="AI18"/>
  <c r="AJ18"/>
  <c r="AK18"/>
  <c r="AL18"/>
  <c r="AD20"/>
  <c r="AE20"/>
  <c r="AF20"/>
  <c r="AG20"/>
  <c r="AH20"/>
  <c r="AI20"/>
  <c r="AJ20"/>
  <c r="AK20"/>
  <c r="AL20"/>
  <c r="AD21"/>
  <c r="AE21"/>
  <c r="AF21"/>
  <c r="AG21"/>
  <c r="AH21"/>
  <c r="AI21"/>
  <c r="AJ21"/>
  <c r="AK21"/>
  <c r="AL21"/>
  <c r="AD23"/>
  <c r="AE23"/>
  <c r="AF23"/>
  <c r="AG23"/>
  <c r="AH23"/>
  <c r="AI23"/>
  <c r="AJ23"/>
  <c r="AK23"/>
  <c r="AL23"/>
  <c r="AD28"/>
  <c r="AE28"/>
  <c r="AF28"/>
  <c r="AG28"/>
  <c r="AH28"/>
  <c r="AI28"/>
  <c r="AJ28"/>
  <c r="AK28"/>
  <c r="AL28"/>
  <c r="AD31"/>
  <c r="AE31"/>
  <c r="AF31"/>
  <c r="AG31"/>
  <c r="AH31"/>
  <c r="AI31"/>
  <c r="AJ31"/>
  <c r="AK31"/>
  <c r="AL31"/>
  <c r="AD36"/>
  <c r="AE36"/>
  <c r="AF36"/>
  <c r="AG36"/>
  <c r="AH36"/>
  <c r="AI36"/>
  <c r="AJ36"/>
  <c r="AK36"/>
  <c r="AL36"/>
  <c r="AD39"/>
  <c r="AE39"/>
  <c r="AF39"/>
  <c r="AG39"/>
  <c r="AH39"/>
  <c r="AI39"/>
  <c r="AJ39"/>
  <c r="AK39"/>
  <c r="AL39"/>
  <c r="AD41"/>
  <c r="AE41"/>
  <c r="AF41"/>
  <c r="AG41"/>
  <c r="AH41"/>
  <c r="AI41"/>
  <c r="AJ41"/>
  <c r="AK41"/>
  <c r="AL41"/>
  <c r="AD42"/>
  <c r="AE42"/>
  <c r="AF42"/>
  <c r="AG42"/>
  <c r="AH42"/>
  <c r="AI42"/>
  <c r="AJ42"/>
  <c r="AK42"/>
  <c r="AL42"/>
  <c r="AD43"/>
  <c r="AE43"/>
  <c r="AF43"/>
  <c r="AG43"/>
  <c r="AH43"/>
  <c r="AI43"/>
  <c r="AJ43"/>
  <c r="AK43"/>
  <c r="AL43"/>
  <c r="AD45"/>
  <c r="AE45"/>
  <c r="AF45"/>
  <c r="AG45"/>
  <c r="AH45"/>
  <c r="AI45"/>
  <c r="AJ45"/>
  <c r="AK45"/>
  <c r="AL45"/>
  <c r="AD48"/>
  <c r="AE48"/>
  <c r="AF48"/>
  <c r="AG48"/>
  <c r="AH48"/>
  <c r="AI48"/>
  <c r="AJ48"/>
  <c r="AK48"/>
  <c r="AL48"/>
  <c r="AD53"/>
  <c r="AE53"/>
  <c r="AF53"/>
  <c r="AG53"/>
  <c r="AH53"/>
  <c r="AI53"/>
  <c r="AJ53"/>
  <c r="AK53"/>
  <c r="AL53"/>
  <c r="AD54"/>
  <c r="AE54"/>
  <c r="AF54"/>
  <c r="AG54"/>
  <c r="AH54"/>
  <c r="AI54"/>
  <c r="AJ54"/>
  <c r="AK54"/>
  <c r="AL54"/>
  <c r="AD55"/>
  <c r="AE55"/>
  <c r="AF55"/>
  <c r="AG55"/>
  <c r="AH55"/>
  <c r="AI55"/>
  <c r="AJ55"/>
  <c r="AK55"/>
  <c r="AL55"/>
  <c r="AD56"/>
  <c r="AE56"/>
  <c r="AF56"/>
  <c r="AG56"/>
  <c r="AH56"/>
  <c r="AI56"/>
  <c r="AJ56"/>
  <c r="AK56"/>
  <c r="AL56"/>
  <c r="AE6"/>
  <c r="AF6"/>
  <c r="AG6"/>
  <c r="AH6"/>
  <c r="AI6"/>
  <c r="AJ6"/>
  <c r="AK6"/>
  <c r="AL6"/>
  <c r="AD6"/>
  <c r="AA47"/>
  <c r="Z47"/>
  <c r="Y47"/>
  <c r="X47"/>
  <c r="W47"/>
  <c r="V47"/>
  <c r="U47"/>
  <c r="T47"/>
  <c r="S47"/>
  <c r="AA46"/>
  <c r="Z46"/>
  <c r="Y46"/>
  <c r="X46"/>
  <c r="W46"/>
  <c r="V46"/>
  <c r="U46"/>
  <c r="T46"/>
  <c r="S46"/>
  <c r="AA44"/>
  <c r="Z44"/>
  <c r="Y44"/>
  <c r="X44"/>
  <c r="W44"/>
  <c r="V44"/>
  <c r="U44"/>
  <c r="T44"/>
  <c r="S44"/>
  <c r="AA37"/>
  <c r="Z37"/>
  <c r="Y37"/>
  <c r="X37"/>
  <c r="W37"/>
  <c r="V37"/>
  <c r="U37"/>
  <c r="T37"/>
  <c r="S37"/>
  <c r="AA35"/>
  <c r="Z35"/>
  <c r="Y35"/>
  <c r="X35"/>
  <c r="W35"/>
  <c r="V35"/>
  <c r="U35"/>
  <c r="T35"/>
  <c r="S35"/>
  <c r="AA33"/>
  <c r="Z33"/>
  <c r="Y33"/>
  <c r="X33"/>
  <c r="W33"/>
  <c r="V33"/>
  <c r="U33"/>
  <c r="T33"/>
  <c r="S33"/>
  <c r="AA32"/>
  <c r="Z32"/>
  <c r="Y32"/>
  <c r="X32"/>
  <c r="W32"/>
  <c r="V32"/>
  <c r="U32"/>
  <c r="T32"/>
  <c r="S32"/>
  <c r="AA31"/>
  <c r="Z31"/>
  <c r="Y31"/>
  <c r="X31"/>
  <c r="W31"/>
  <c r="V31"/>
  <c r="U31"/>
  <c r="T31"/>
  <c r="S31"/>
  <c r="AA30"/>
  <c r="Z30"/>
  <c r="Y30"/>
  <c r="X30"/>
  <c r="W30"/>
  <c r="V30"/>
  <c r="U30"/>
  <c r="T30"/>
  <c r="S30"/>
  <c r="AA29"/>
  <c r="Z29"/>
  <c r="Y29"/>
  <c r="X29"/>
  <c r="W29"/>
  <c r="V29"/>
  <c r="U29"/>
  <c r="T29"/>
  <c r="S29"/>
  <c r="AA27"/>
  <c r="Z27"/>
  <c r="Y27"/>
  <c r="X27"/>
  <c r="W27"/>
  <c r="V27"/>
  <c r="U27"/>
  <c r="T27"/>
  <c r="S27"/>
  <c r="AA26"/>
  <c r="Z26"/>
  <c r="Y26"/>
  <c r="X26"/>
  <c r="W26"/>
  <c r="V26"/>
  <c r="U26"/>
  <c r="T26"/>
  <c r="S26"/>
  <c r="AA23"/>
  <c r="Z23"/>
  <c r="Y23"/>
  <c r="X23"/>
  <c r="W23"/>
  <c r="V23"/>
  <c r="U23"/>
  <c r="T23"/>
  <c r="S23"/>
  <c r="AA22"/>
  <c r="Z22"/>
  <c r="Y22"/>
  <c r="X22"/>
  <c r="W22"/>
  <c r="V22"/>
  <c r="U22"/>
  <c r="T22"/>
  <c r="S22"/>
  <c r="AA16"/>
  <c r="Z16"/>
  <c r="Y16"/>
  <c r="X16"/>
  <c r="W16"/>
  <c r="V16"/>
  <c r="U16"/>
  <c r="T16"/>
  <c r="S16"/>
  <c r="AA7"/>
  <c r="Z7"/>
  <c r="Y7"/>
  <c r="X7"/>
  <c r="W7"/>
  <c r="V7"/>
  <c r="U7"/>
  <c r="T7"/>
  <c r="S7"/>
  <c r="M4"/>
  <c r="D172" i="61"/>
  <c r="D173"/>
  <c r="D174"/>
  <c r="D175"/>
  <c r="D176"/>
  <c r="D177"/>
  <c r="D178"/>
  <c r="E127"/>
  <c r="N60"/>
  <c r="N54"/>
  <c r="N48"/>
  <c r="N42"/>
  <c r="N14"/>
  <c r="F19"/>
  <c r="D9"/>
  <c r="N6"/>
  <c r="Q20" i="59"/>
  <c r="Q13"/>
  <c r="Q3"/>
  <c r="E11" i="22"/>
  <c r="AT46" i="3"/>
  <c r="AT45"/>
  <c r="AT44"/>
  <c r="AT42"/>
  <c r="AT41"/>
  <c r="AT40"/>
  <c r="AT39"/>
  <c r="AT38"/>
  <c r="AT37"/>
  <c r="AT36"/>
  <c r="C566" i="34"/>
  <c r="C567"/>
  <c r="C568"/>
  <c r="C569"/>
  <c r="C358" i="24"/>
  <c r="D126" i="16"/>
  <c r="D127"/>
  <c r="D351" i="15"/>
  <c r="D374"/>
  <c r="D375"/>
  <c r="D366"/>
  <c r="D367"/>
  <c r="D368"/>
  <c r="D358"/>
  <c r="D359"/>
  <c r="D360"/>
  <c r="D349"/>
  <c r="D348"/>
  <c r="D350"/>
  <c r="D352"/>
  <c r="D744" i="14"/>
  <c r="D762"/>
  <c r="D763"/>
  <c r="D764"/>
  <c r="D765"/>
  <c r="D753"/>
  <c r="D754"/>
  <c r="D755"/>
  <c r="D756"/>
  <c r="D745"/>
  <c r="D746"/>
  <c r="D747"/>
  <c r="D737"/>
  <c r="D733"/>
  <c r="D734"/>
  <c r="D735"/>
  <c r="D736"/>
  <c r="D738"/>
  <c r="D437" i="13"/>
  <c r="D438"/>
  <c r="D439"/>
  <c r="D440"/>
  <c r="D441"/>
  <c r="D442"/>
  <c r="C172" i="18"/>
  <c r="C173"/>
  <c r="C174"/>
  <c r="C175"/>
  <c r="D153"/>
  <c r="D154"/>
  <c r="D155"/>
  <c r="D182" i="12"/>
  <c r="D183"/>
  <c r="D184"/>
  <c r="D1201" i="4"/>
  <c r="D173" i="50"/>
  <c r="D174"/>
  <c r="D536" i="34"/>
  <c r="D537"/>
  <c r="D538"/>
  <c r="D539"/>
  <c r="D540"/>
  <c r="D541"/>
  <c r="D542"/>
  <c r="D543"/>
  <c r="D544"/>
  <c r="D545"/>
  <c r="D546"/>
  <c r="D383" i="35"/>
  <c r="D384"/>
  <c r="D385"/>
  <c r="D386"/>
  <c r="D387"/>
  <c r="D388"/>
  <c r="D389"/>
  <c r="D390"/>
  <c r="D391"/>
  <c r="F38" i="32"/>
  <c r="D390" i="24"/>
  <c r="D391"/>
  <c r="D383"/>
  <c r="D384"/>
  <c r="D385"/>
  <c r="D376"/>
  <c r="D377"/>
  <c r="D378"/>
  <c r="D369"/>
  <c r="D370"/>
  <c r="D371"/>
  <c r="C359"/>
  <c r="C360"/>
  <c r="C361"/>
  <c r="D336"/>
  <c r="D337"/>
  <c r="D338"/>
  <c r="D339"/>
  <c r="D340"/>
  <c r="D341"/>
  <c r="C21"/>
  <c r="C39"/>
  <c r="G19" i="53"/>
  <c r="N6"/>
  <c r="N105" i="45"/>
  <c r="E77"/>
  <c r="N6"/>
  <c r="N204" i="43"/>
  <c r="N41"/>
  <c r="N123" i="16"/>
  <c r="E101"/>
  <c r="N59"/>
  <c r="N54"/>
  <c r="N49"/>
  <c r="N44"/>
  <c r="F39"/>
  <c r="N371" i="15"/>
  <c r="N363"/>
  <c r="N355"/>
  <c r="N345"/>
  <c r="E231"/>
  <c r="E228"/>
  <c r="E227"/>
  <c r="E223"/>
  <c r="E222"/>
  <c r="E218"/>
  <c r="E216"/>
  <c r="E215"/>
  <c r="N131"/>
  <c r="N122"/>
  <c r="N113"/>
  <c r="N104"/>
  <c r="N98"/>
  <c r="N77"/>
  <c r="N69"/>
  <c r="N61"/>
  <c r="N21"/>
  <c r="I18" i="47"/>
  <c r="I13"/>
  <c r="J13"/>
  <c r="J18"/>
  <c r="K13"/>
  <c r="K18"/>
  <c r="L13"/>
  <c r="L18"/>
  <c r="M13"/>
  <c r="M18"/>
  <c r="N13"/>
  <c r="N18"/>
  <c r="O13"/>
  <c r="O18"/>
  <c r="P13"/>
  <c r="P18"/>
  <c r="Q13"/>
  <c r="Q18"/>
  <c r="R13"/>
  <c r="R18"/>
  <c r="S13"/>
  <c r="S18"/>
  <c r="T13"/>
  <c r="T18"/>
  <c r="U13"/>
  <c r="U18"/>
  <c r="V13"/>
  <c r="V18"/>
  <c r="W13"/>
  <c r="W18"/>
  <c r="X13"/>
  <c r="X18"/>
  <c r="Y13"/>
  <c r="Y18"/>
  <c r="Z13"/>
  <c r="Z18"/>
  <c r="AA13"/>
  <c r="AA18"/>
  <c r="AB13"/>
  <c r="AB18"/>
  <c r="AC13"/>
  <c r="AC18"/>
  <c r="AD13"/>
  <c r="AD18"/>
  <c r="H13"/>
  <c r="H18"/>
  <c r="F142"/>
  <c r="F143"/>
  <c r="F144"/>
  <c r="F145"/>
  <c r="F146"/>
  <c r="F147"/>
  <c r="F148"/>
  <c r="E815" i="14"/>
  <c r="E810"/>
  <c r="N759"/>
  <c r="N750"/>
  <c r="N741"/>
  <c r="N730"/>
  <c r="N717"/>
  <c r="N702"/>
  <c r="N687"/>
  <c r="N672"/>
  <c r="N331"/>
  <c r="N323"/>
  <c r="N313"/>
  <c r="N212"/>
  <c r="N197"/>
  <c r="N182"/>
  <c r="N167"/>
  <c r="N162"/>
  <c r="N156"/>
  <c r="N148"/>
  <c r="N138"/>
  <c r="N434" i="13"/>
  <c r="E374"/>
  <c r="E272"/>
  <c r="E271"/>
  <c r="E270"/>
  <c r="E269"/>
  <c r="E268"/>
  <c r="E265"/>
  <c r="E264"/>
  <c r="E263"/>
  <c r="E262"/>
  <c r="E261"/>
  <c r="E258"/>
  <c r="E257"/>
  <c r="E256"/>
  <c r="E255"/>
  <c r="E254"/>
  <c r="E251"/>
  <c r="E250"/>
  <c r="E249"/>
  <c r="E248"/>
  <c r="E247"/>
  <c r="E244"/>
  <c r="E243"/>
  <c r="E242"/>
  <c r="E241"/>
  <c r="E240"/>
  <c r="E237"/>
  <c r="N179"/>
  <c r="N128"/>
  <c r="N121"/>
  <c r="N114"/>
  <c r="N107"/>
  <c r="I62"/>
  <c r="E150" i="18"/>
  <c r="E116"/>
  <c r="E115"/>
  <c r="E110"/>
  <c r="E103"/>
  <c r="N63"/>
  <c r="N58"/>
  <c r="N53"/>
  <c r="N48"/>
  <c r="N22"/>
  <c r="N14"/>
  <c r="N179" i="12"/>
  <c r="E132"/>
  <c r="E131"/>
  <c r="E126"/>
  <c r="E124"/>
  <c r="E117"/>
  <c r="E115"/>
  <c r="N65"/>
  <c r="N60"/>
  <c r="N55"/>
  <c r="N50"/>
  <c r="N23"/>
  <c r="N15"/>
  <c r="E784" i="17"/>
  <c r="E785"/>
  <c r="N730"/>
  <c r="N716"/>
  <c r="N702"/>
  <c r="E658"/>
  <c r="E642"/>
  <c r="E626"/>
  <c r="E620"/>
  <c r="E618"/>
  <c r="E606"/>
  <c r="E590"/>
  <c r="E586"/>
  <c r="E584"/>
  <c r="E572"/>
  <c r="E560"/>
  <c r="E548"/>
  <c r="E536"/>
  <c r="E524"/>
  <c r="E510"/>
  <c r="E457"/>
  <c r="E444"/>
  <c r="E431"/>
  <c r="E414"/>
  <c r="E408"/>
  <c r="E381"/>
  <c r="E376"/>
  <c r="E349"/>
  <c r="N257"/>
  <c r="N237"/>
  <c r="N217"/>
  <c r="N197"/>
  <c r="F86"/>
  <c r="N28"/>
  <c r="N36"/>
  <c r="N44"/>
  <c r="E1283" i="4"/>
  <c r="E1282"/>
  <c r="N1226"/>
  <c r="N1211"/>
  <c r="N1197"/>
  <c r="E1129"/>
  <c r="E1127"/>
  <c r="E1115"/>
  <c r="E1056"/>
  <c r="E1044"/>
  <c r="E1028"/>
  <c r="E1025"/>
  <c r="E1013"/>
  <c r="E999"/>
  <c r="E949"/>
  <c r="E898"/>
  <c r="E887"/>
  <c r="E870"/>
  <c r="E854"/>
  <c r="E791"/>
  <c r="E778"/>
  <c r="E760"/>
  <c r="E839"/>
  <c r="N348"/>
  <c r="N328"/>
  <c r="N308"/>
  <c r="N288"/>
  <c r="X97"/>
  <c r="N55"/>
  <c r="N28"/>
  <c r="N207" i="55"/>
  <c r="E116"/>
  <c r="E446" i="46"/>
  <c r="E449"/>
  <c r="N431"/>
  <c r="F394"/>
  <c r="E390"/>
  <c r="E389"/>
  <c r="E388"/>
  <c r="E387"/>
  <c r="E386"/>
  <c r="N343"/>
  <c r="N333"/>
  <c r="N320"/>
  <c r="N307"/>
  <c r="N294"/>
  <c r="N283"/>
  <c r="N275"/>
  <c r="N261"/>
  <c r="N249"/>
  <c r="N239"/>
  <c r="N217"/>
  <c r="N121"/>
  <c r="N91"/>
  <c r="N82"/>
  <c r="N73"/>
  <c r="N63"/>
  <c r="N44"/>
  <c r="N39"/>
  <c r="N33"/>
  <c r="N22"/>
  <c r="N13"/>
  <c r="N112" i="48"/>
  <c r="E10"/>
  <c r="N6" i="55"/>
  <c r="E183" i="50"/>
  <c r="E184"/>
  <c r="N170"/>
  <c r="N111"/>
  <c r="N17"/>
  <c r="E142"/>
  <c r="N41"/>
  <c r="N26"/>
  <c r="N12"/>
  <c r="E86" i="57"/>
  <c r="N73"/>
  <c r="N12"/>
  <c r="E582" i="34"/>
  <c r="E577"/>
  <c r="N533"/>
  <c r="N295"/>
  <c r="F166"/>
  <c r="F160"/>
  <c r="E128" i="51"/>
  <c r="N104"/>
  <c r="E89"/>
  <c r="N31"/>
  <c r="N22"/>
  <c r="N12"/>
  <c r="N21" i="35"/>
  <c r="N12"/>
  <c r="E114" i="33"/>
  <c r="E113"/>
  <c r="N100"/>
  <c r="N62"/>
  <c r="E114" i="52"/>
  <c r="E113"/>
  <c r="N235" i="10"/>
  <c r="N228"/>
  <c r="N220"/>
  <c r="N211"/>
  <c r="E124" i="30"/>
  <c r="E123"/>
  <c r="E121"/>
  <c r="N48" i="8"/>
  <c r="N42"/>
  <c r="N12" i="6"/>
  <c r="E229" i="7"/>
  <c r="N12" i="24"/>
  <c r="N106" i="50"/>
  <c r="E178" i="58"/>
  <c r="D168"/>
  <c r="D169"/>
  <c r="N165"/>
  <c r="L123"/>
  <c r="E109"/>
  <c r="E49"/>
  <c r="N43"/>
  <c r="F559" i="34"/>
  <c r="G19" i="45"/>
  <c r="F123"/>
  <c r="J19"/>
  <c r="K19"/>
  <c r="N19"/>
  <c r="I19"/>
  <c r="L19"/>
  <c r="H19"/>
  <c r="M19"/>
  <c r="F33" i="57"/>
  <c r="D76"/>
  <c r="D77"/>
  <c r="E62"/>
  <c r="E60"/>
  <c r="E59"/>
  <c r="F350" i="17" a="1"/>
  <c r="F405" a="1"/>
  <c r="N100" i="42"/>
  <c r="M100"/>
  <c r="L100"/>
  <c r="K100"/>
  <c r="J100"/>
  <c r="I100"/>
  <c r="H100"/>
  <c r="G100"/>
  <c r="F100"/>
  <c r="N90"/>
  <c r="M90"/>
  <c r="L90"/>
  <c r="K90"/>
  <c r="J90"/>
  <c r="I90"/>
  <c r="H90"/>
  <c r="G90"/>
  <c r="F90"/>
  <c r="N80"/>
  <c r="M80"/>
  <c r="L80"/>
  <c r="K80"/>
  <c r="J80"/>
  <c r="I80"/>
  <c r="H80"/>
  <c r="G80"/>
  <c r="F80"/>
  <c r="N79"/>
  <c r="M79"/>
  <c r="L79"/>
  <c r="K79"/>
  <c r="J79"/>
  <c r="I79"/>
  <c r="H79"/>
  <c r="G79"/>
  <c r="F79"/>
  <c r="I67"/>
  <c r="J67"/>
  <c r="K67"/>
  <c r="L67"/>
  <c r="M67"/>
  <c r="N67"/>
  <c r="H67"/>
  <c r="H64"/>
  <c r="I64"/>
  <c r="J64"/>
  <c r="K64"/>
  <c r="L64"/>
  <c r="M64"/>
  <c r="N64"/>
  <c r="F65"/>
  <c r="F64"/>
  <c r="G64"/>
  <c r="J70"/>
  <c r="K70"/>
  <c r="L70"/>
  <c r="H69"/>
  <c r="G70"/>
  <c r="F70"/>
  <c r="I70"/>
  <c r="M70"/>
  <c r="N70"/>
  <c r="N99"/>
  <c r="M99"/>
  <c r="L99"/>
  <c r="K99"/>
  <c r="J99"/>
  <c r="I99"/>
  <c r="H99"/>
  <c r="G99"/>
  <c r="F99"/>
  <c r="N89"/>
  <c r="M89"/>
  <c r="L89"/>
  <c r="K89"/>
  <c r="J89"/>
  <c r="I89"/>
  <c r="H89"/>
  <c r="G89"/>
  <c r="F89"/>
  <c r="N69"/>
  <c r="M69"/>
  <c r="J69"/>
  <c r="I69"/>
  <c r="G69"/>
  <c r="F69"/>
  <c r="H70"/>
  <c r="L69"/>
  <c r="K69"/>
  <c r="G156" i="43"/>
  <c r="H156"/>
  <c r="I156"/>
  <c r="J156"/>
  <c r="K156"/>
  <c r="L156"/>
  <c r="L225" s="1"/>
  <c r="M156"/>
  <c r="N156"/>
  <c r="F156"/>
  <c r="F225"/>
  <c r="G157"/>
  <c r="H157"/>
  <c r="I157"/>
  <c r="J157"/>
  <c r="K157"/>
  <c r="L157"/>
  <c r="M157"/>
  <c r="N157"/>
  <c r="F157"/>
  <c r="C230" i="55"/>
  <c r="C231"/>
  <c r="C232"/>
  <c r="C233"/>
  <c r="E222"/>
  <c r="E223"/>
  <c r="E224"/>
  <c r="F241"/>
  <c r="D210"/>
  <c r="D211"/>
  <c r="D212"/>
  <c r="D213"/>
  <c r="F213"/>
  <c r="F211"/>
  <c r="F210"/>
  <c r="E54"/>
  <c r="E53"/>
  <c r="E52"/>
  <c r="E51"/>
  <c r="E50"/>
  <c r="N42"/>
  <c r="N37"/>
  <c r="N32"/>
  <c r="N27"/>
  <c r="F75" i="54"/>
  <c r="F74"/>
  <c r="G73"/>
  <c r="F73"/>
  <c r="N74" i="53"/>
  <c r="D77"/>
  <c r="D78"/>
  <c r="D79"/>
  <c r="N48"/>
  <c r="M48"/>
  <c r="L48"/>
  <c r="K48"/>
  <c r="J48"/>
  <c r="I48"/>
  <c r="H48"/>
  <c r="G48"/>
  <c r="F48"/>
  <c r="E47"/>
  <c r="F20"/>
  <c r="BG395" i="47"/>
  <c r="BG420"/>
  <c r="BG419"/>
  <c r="BG418"/>
  <c r="BG417"/>
  <c r="BG412"/>
  <c r="BF411"/>
  <c r="BF410"/>
  <c r="BG409"/>
  <c r="BF408"/>
  <c r="BG407"/>
  <c r="BG406"/>
  <c r="BG405"/>
  <c r="BG403"/>
  <c r="BF401"/>
  <c r="BG400"/>
  <c r="BF399"/>
  <c r="BF397"/>
  <c r="BF396"/>
  <c r="BF395"/>
  <c r="BF394"/>
  <c r="BF393"/>
  <c r="BG392"/>
  <c r="BF391"/>
  <c r="BF390"/>
  <c r="BG387"/>
  <c r="BF387"/>
  <c r="BF386"/>
  <c r="BG385"/>
  <c r="BG384"/>
  <c r="BG382"/>
  <c r="BF380"/>
  <c r="BG378"/>
  <c r="BF378"/>
  <c r="BG377"/>
  <c r="BF418"/>
  <c r="BH418" s="1"/>
  <c r="BI418" s="1"/>
  <c r="BG374"/>
  <c r="BG373"/>
  <c r="BF371"/>
  <c r="BG370"/>
  <c r="AZ369"/>
  <c r="BF414"/>
  <c r="F182"/>
  <c r="C475" i="13"/>
  <c r="C474"/>
  <c r="C473"/>
  <c r="C472"/>
  <c r="C464"/>
  <c r="C465"/>
  <c r="C466"/>
  <c r="C467"/>
  <c r="F282"/>
  <c r="E451"/>
  <c r="E452"/>
  <c r="E453"/>
  <c r="E454"/>
  <c r="E455"/>
  <c r="E456"/>
  <c r="E457"/>
  <c r="E458"/>
  <c r="F657" i="17"/>
  <c r="N617" a="1"/>
  <c r="M617" a="1"/>
  <c r="L617" a="1"/>
  <c r="K617" a="1"/>
  <c r="J617" a="1"/>
  <c r="J616" a="1"/>
  <c r="K616" a="1"/>
  <c r="L616" a="1"/>
  <c r="M616" a="1"/>
  <c r="N616" a="1"/>
  <c r="N615" a="1"/>
  <c r="M615" a="1"/>
  <c r="L615" a="1"/>
  <c r="K615" a="1"/>
  <c r="J615" a="1"/>
  <c r="J614" a="1"/>
  <c r="K614" a="1"/>
  <c r="L614" a="1"/>
  <c r="M614" a="1"/>
  <c r="N614" a="1"/>
  <c r="N613" a="1"/>
  <c r="M613" a="1"/>
  <c r="L613" a="1"/>
  <c r="K613" a="1"/>
  <c r="J613" a="1"/>
  <c r="J612" a="1"/>
  <c r="K612" a="1"/>
  <c r="L612" a="1"/>
  <c r="M612" a="1"/>
  <c r="N612" a="1"/>
  <c r="N611" a="1"/>
  <c r="M611" a="1"/>
  <c r="L611" a="1"/>
  <c r="K611" a="1"/>
  <c r="J611" a="1"/>
  <c r="I611" a="1"/>
  <c r="I612" a="1"/>
  <c r="I613" a="1"/>
  <c r="I614" a="1"/>
  <c r="I615" a="1"/>
  <c r="I617" a="1"/>
  <c r="I616" a="1"/>
  <c r="H617" a="1"/>
  <c r="H616" a="1"/>
  <c r="H615" a="1"/>
  <c r="H614" a="1"/>
  <c r="H613" a="1"/>
  <c r="H612" a="1"/>
  <c r="H611" a="1"/>
  <c r="G611" a="1"/>
  <c r="G612" a="1"/>
  <c r="G613" a="1"/>
  <c r="G614" a="1"/>
  <c r="G615" a="1"/>
  <c r="G616" a="1"/>
  <c r="G617" a="1"/>
  <c r="F617" a="1"/>
  <c r="F616" a="1"/>
  <c r="F615" a="1"/>
  <c r="F614" a="1"/>
  <c r="F613" a="1"/>
  <c r="F612" a="1"/>
  <c r="F611" a="1"/>
  <c r="N610" a="1"/>
  <c r="M610" a="1"/>
  <c r="L610" a="1"/>
  <c r="K610" a="1"/>
  <c r="J610" a="1"/>
  <c r="I610" a="1"/>
  <c r="H610" a="1"/>
  <c r="G610" a="1"/>
  <c r="F610" a="1"/>
  <c r="N609" a="1"/>
  <c r="M609" a="1"/>
  <c r="L609" a="1"/>
  <c r="K609" a="1"/>
  <c r="J609" a="1"/>
  <c r="I609" a="1"/>
  <c r="H609" a="1"/>
  <c r="G609" a="1"/>
  <c r="F609" a="1"/>
  <c r="N593" a="1"/>
  <c r="M593" a="1"/>
  <c r="L593" a="1"/>
  <c r="K593" a="1"/>
  <c r="J593" a="1"/>
  <c r="I593" a="1"/>
  <c r="H593" a="1"/>
  <c r="G593" a="1"/>
  <c r="F593" a="1"/>
  <c r="N571" a="1"/>
  <c r="M571" a="1"/>
  <c r="L571" a="1"/>
  <c r="K571" a="1"/>
  <c r="J571" a="1"/>
  <c r="I571" a="1"/>
  <c r="H571" a="1"/>
  <c r="G571" a="1"/>
  <c r="F571" a="1"/>
  <c r="N570" a="1"/>
  <c r="M570" a="1"/>
  <c r="L570" a="1"/>
  <c r="K570" a="1"/>
  <c r="J570" a="1"/>
  <c r="I570" a="1"/>
  <c r="H570" a="1"/>
  <c r="G570" a="1"/>
  <c r="F570" a="1"/>
  <c r="N569" a="1"/>
  <c r="M569" a="1"/>
  <c r="L569" a="1"/>
  <c r="K569" a="1"/>
  <c r="J569" a="1"/>
  <c r="I569" a="1"/>
  <c r="H569" a="1"/>
  <c r="G569" a="1"/>
  <c r="F569" a="1"/>
  <c r="N568" a="1"/>
  <c r="M568" a="1"/>
  <c r="L568" a="1"/>
  <c r="K568" a="1"/>
  <c r="J568" a="1"/>
  <c r="I568" a="1"/>
  <c r="H568" a="1"/>
  <c r="G568" a="1"/>
  <c r="F568" a="1"/>
  <c r="N567" a="1"/>
  <c r="M567" a="1"/>
  <c r="L567" a="1"/>
  <c r="K567" a="1"/>
  <c r="J567" a="1"/>
  <c r="I567" a="1"/>
  <c r="H567" a="1"/>
  <c r="G567" a="1"/>
  <c r="F567" a="1"/>
  <c r="N566" a="1"/>
  <c r="M566" a="1"/>
  <c r="L566" a="1"/>
  <c r="K566" a="1"/>
  <c r="J566" a="1"/>
  <c r="I566" a="1"/>
  <c r="H566" a="1"/>
  <c r="G566" a="1"/>
  <c r="F566" a="1"/>
  <c r="N565" a="1"/>
  <c r="M565" a="1"/>
  <c r="L565" a="1"/>
  <c r="K565" a="1"/>
  <c r="J565" a="1"/>
  <c r="I565" a="1"/>
  <c r="H565" a="1"/>
  <c r="G565" a="1"/>
  <c r="F565" a="1"/>
  <c r="N564" a="1"/>
  <c r="M564" a="1"/>
  <c r="L564" a="1"/>
  <c r="K564" a="1"/>
  <c r="J564" a="1"/>
  <c r="I564" a="1"/>
  <c r="H564" a="1"/>
  <c r="G564" a="1"/>
  <c r="F564" a="1"/>
  <c r="N563" a="1"/>
  <c r="M563" a="1"/>
  <c r="L563" a="1"/>
  <c r="K563" a="1"/>
  <c r="J563" a="1"/>
  <c r="I563" a="1"/>
  <c r="H563" a="1"/>
  <c r="G563" a="1"/>
  <c r="F563" a="1"/>
  <c r="N547" a="1"/>
  <c r="M547" a="1"/>
  <c r="L547" a="1"/>
  <c r="K547" a="1"/>
  <c r="J547" a="1"/>
  <c r="I547" a="1"/>
  <c r="H547" a="1"/>
  <c r="G547" a="1"/>
  <c r="F547" a="1"/>
  <c r="N546" a="1"/>
  <c r="M546" a="1"/>
  <c r="L546" a="1"/>
  <c r="K546" a="1"/>
  <c r="J546" a="1"/>
  <c r="I546" a="1"/>
  <c r="H546" a="1"/>
  <c r="G546" a="1"/>
  <c r="F546" a="1"/>
  <c r="N545" a="1"/>
  <c r="M545" a="1"/>
  <c r="L545" a="1"/>
  <c r="K545" a="1"/>
  <c r="J545" a="1"/>
  <c r="I545" a="1"/>
  <c r="H545" a="1"/>
  <c r="G545" a="1"/>
  <c r="F545" a="1"/>
  <c r="N544" a="1"/>
  <c r="M544" a="1"/>
  <c r="L544" a="1"/>
  <c r="K544" a="1"/>
  <c r="J544" a="1"/>
  <c r="I544" a="1"/>
  <c r="H544" a="1"/>
  <c r="G544" a="1"/>
  <c r="F544" a="1"/>
  <c r="N543" a="1"/>
  <c r="M543" a="1"/>
  <c r="L543" a="1"/>
  <c r="K543" a="1"/>
  <c r="J543" a="1"/>
  <c r="I543" a="1"/>
  <c r="H543" a="1"/>
  <c r="G543" a="1"/>
  <c r="F543" a="1"/>
  <c r="N542" a="1"/>
  <c r="M542" a="1"/>
  <c r="L542" a="1"/>
  <c r="K542" a="1"/>
  <c r="J542" a="1"/>
  <c r="I542" a="1"/>
  <c r="H542" a="1"/>
  <c r="G542" a="1"/>
  <c r="F542" a="1"/>
  <c r="N541" a="1"/>
  <c r="M541" a="1"/>
  <c r="L541" a="1"/>
  <c r="K541" a="1"/>
  <c r="J541" a="1"/>
  <c r="I541" a="1"/>
  <c r="H541" a="1"/>
  <c r="G541" a="1"/>
  <c r="F541" a="1"/>
  <c r="N540" a="1"/>
  <c r="M540" a="1"/>
  <c r="L540" a="1"/>
  <c r="K540" a="1"/>
  <c r="J540" a="1"/>
  <c r="I540" a="1"/>
  <c r="H540" a="1"/>
  <c r="G540" a="1"/>
  <c r="F540" a="1"/>
  <c r="N539" a="1"/>
  <c r="M539" a="1"/>
  <c r="L539" a="1"/>
  <c r="K539" a="1"/>
  <c r="J539" a="1"/>
  <c r="I539" a="1"/>
  <c r="H539" a="1"/>
  <c r="G539" a="1"/>
  <c r="F539" a="1"/>
  <c r="N523" a="1"/>
  <c r="M523" a="1"/>
  <c r="L523" a="1"/>
  <c r="K523" a="1"/>
  <c r="J523" a="1"/>
  <c r="I523" a="1"/>
  <c r="H523" a="1"/>
  <c r="G523" a="1"/>
  <c r="F523" a="1"/>
  <c r="N522" a="1"/>
  <c r="M522" a="1"/>
  <c r="L522" a="1"/>
  <c r="K522" a="1"/>
  <c r="J522" a="1"/>
  <c r="I522" a="1"/>
  <c r="H522" a="1"/>
  <c r="G522" a="1"/>
  <c r="F522" a="1"/>
  <c r="N521" a="1"/>
  <c r="M521" a="1"/>
  <c r="L521" a="1"/>
  <c r="K521" a="1"/>
  <c r="J521" a="1"/>
  <c r="I521" a="1"/>
  <c r="H521" a="1"/>
  <c r="G521" a="1"/>
  <c r="F521" a="1"/>
  <c r="N520" a="1"/>
  <c r="M520" a="1"/>
  <c r="L520" a="1"/>
  <c r="K520" a="1"/>
  <c r="J520" a="1"/>
  <c r="I520" a="1"/>
  <c r="H520" a="1"/>
  <c r="G520" a="1"/>
  <c r="F520" a="1"/>
  <c r="N519" a="1"/>
  <c r="M519" a="1"/>
  <c r="L519" a="1"/>
  <c r="K519" a="1"/>
  <c r="J519" a="1"/>
  <c r="I519" a="1"/>
  <c r="H519" a="1"/>
  <c r="G519" a="1"/>
  <c r="F519" a="1"/>
  <c r="N518" a="1"/>
  <c r="M518" a="1"/>
  <c r="L518" a="1"/>
  <c r="K518" a="1"/>
  <c r="J518" a="1"/>
  <c r="I518" a="1"/>
  <c r="H518" a="1"/>
  <c r="G518" a="1"/>
  <c r="F518" a="1"/>
  <c r="N517" a="1"/>
  <c r="M517" a="1"/>
  <c r="L517" a="1"/>
  <c r="K517" a="1"/>
  <c r="J517" a="1"/>
  <c r="I517" a="1"/>
  <c r="H517" a="1"/>
  <c r="G517" a="1"/>
  <c r="F517" a="1"/>
  <c r="N516" a="1"/>
  <c r="M516" a="1"/>
  <c r="L516" a="1"/>
  <c r="K516" a="1"/>
  <c r="J516" a="1"/>
  <c r="I516" a="1"/>
  <c r="H516" a="1"/>
  <c r="G516" a="1"/>
  <c r="F516" a="1"/>
  <c r="N515" a="1"/>
  <c r="M515" a="1"/>
  <c r="L515" a="1"/>
  <c r="K515" a="1"/>
  <c r="J515" a="1"/>
  <c r="I515" a="1"/>
  <c r="H515" a="1"/>
  <c r="G515" a="1"/>
  <c r="F515" a="1"/>
  <c r="F115" i="4"/>
  <c r="G115"/>
  <c r="H115"/>
  <c r="I115"/>
  <c r="J115"/>
  <c r="K115"/>
  <c r="L115"/>
  <c r="M115"/>
  <c r="N115"/>
  <c r="P1118" a="1"/>
  <c r="P1118"/>
  <c r="F192" i="47"/>
  <c r="F141"/>
  <c r="N580" i="4"/>
  <c r="M580"/>
  <c r="L580"/>
  <c r="K580"/>
  <c r="J580"/>
  <c r="I580"/>
  <c r="H580"/>
  <c r="G580"/>
  <c r="F580"/>
  <c r="F194" i="47"/>
  <c r="F153"/>
  <c r="F448" i="34"/>
  <c r="F153"/>
  <c r="AR103" i="26"/>
  <c r="AR103" i="41"/>
  <c r="AR103" i="40"/>
  <c r="AR103" i="39"/>
  <c r="AR103" i="38"/>
  <c r="AR103" i="37"/>
  <c r="AR103" i="36"/>
  <c r="AR103" i="25"/>
  <c r="AR103" i="1"/>
  <c r="E7" i="51"/>
  <c r="N29" s="1"/>
  <c r="N74" s="1"/>
  <c r="E7" i="24"/>
  <c r="N81" i="44"/>
  <c r="D9"/>
  <c r="G92" i="24"/>
  <c r="H92"/>
  <c r="I92"/>
  <c r="J92"/>
  <c r="K92"/>
  <c r="L92"/>
  <c r="M92"/>
  <c r="N92"/>
  <c r="F92"/>
  <c r="BI4" i="26"/>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41"/>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40"/>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39"/>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38"/>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37"/>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36"/>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25"/>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1"/>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D62" i="47"/>
  <c r="D63"/>
  <c r="D64"/>
  <c r="D65"/>
  <c r="D66"/>
  <c r="D67"/>
  <c r="D68"/>
  <c r="D69"/>
  <c r="D70"/>
  <c r="D71"/>
  <c r="D61"/>
  <c r="D60"/>
  <c r="D59"/>
  <c r="D58"/>
  <c r="D53"/>
  <c r="D52"/>
  <c r="D45"/>
  <c r="D44"/>
  <c r="D41"/>
  <c r="D40"/>
  <c r="D38"/>
  <c r="D37"/>
  <c r="D35"/>
  <c r="D34"/>
  <c r="D33"/>
  <c r="D32"/>
  <c r="D24"/>
  <c r="D25"/>
  <c r="D26"/>
  <c r="D27"/>
  <c r="D28"/>
  <c r="D29"/>
  <c r="D30"/>
  <c r="D23"/>
  <c r="D7"/>
  <c r="D8"/>
  <c r="D9"/>
  <c r="D10"/>
  <c r="D11"/>
  <c r="D12"/>
  <c r="D14"/>
  <c r="D15"/>
  <c r="D16"/>
  <c r="D17"/>
  <c r="AY203"/>
  <c r="F292"/>
  <c r="F288"/>
  <c r="F287"/>
  <c r="F286"/>
  <c r="F283"/>
  <c r="DH101" i="26"/>
  <c r="DH100"/>
  <c r="DH97"/>
  <c r="DH95"/>
  <c r="DH94"/>
  <c r="DH80"/>
  <c r="DH78"/>
  <c r="DH77"/>
  <c r="DH74"/>
  <c r="DH73"/>
  <c r="DH70"/>
  <c r="DH69"/>
  <c r="DH64"/>
  <c r="DH56"/>
  <c r="DH52"/>
  <c r="DH47"/>
  <c r="DH44"/>
  <c r="DH36"/>
  <c r="DH33"/>
  <c r="DH23"/>
  <c r="DH20"/>
  <c r="DH16"/>
  <c r="DH101" i="37"/>
  <c r="DH100"/>
  <c r="DH97"/>
  <c r="DH95"/>
  <c r="DH94"/>
  <c r="DH80"/>
  <c r="DH78"/>
  <c r="DH77"/>
  <c r="DH74"/>
  <c r="DH73"/>
  <c r="DH70"/>
  <c r="DH69"/>
  <c r="DH64"/>
  <c r="DH56"/>
  <c r="DH52"/>
  <c r="DH47"/>
  <c r="DH44"/>
  <c r="DH36"/>
  <c r="DH33"/>
  <c r="DH23"/>
  <c r="DH20"/>
  <c r="DH16"/>
  <c r="DH101" i="36"/>
  <c r="DH100"/>
  <c r="DH97"/>
  <c r="DH95"/>
  <c r="DH94"/>
  <c r="DH80"/>
  <c r="DH78"/>
  <c r="DH77"/>
  <c r="DH74"/>
  <c r="DH73"/>
  <c r="DH70"/>
  <c r="DH69"/>
  <c r="DH64"/>
  <c r="DH56"/>
  <c r="DH52"/>
  <c r="DH47"/>
  <c r="DH44"/>
  <c r="DH36"/>
  <c r="DH33"/>
  <c r="DH23"/>
  <c r="DH20"/>
  <c r="DH16"/>
  <c r="DH101" i="25"/>
  <c r="DH100"/>
  <c r="DH97"/>
  <c r="DH95"/>
  <c r="DH94"/>
  <c r="DH80"/>
  <c r="DH78"/>
  <c r="DH77"/>
  <c r="DH74"/>
  <c r="DH73"/>
  <c r="DH70"/>
  <c r="DH69"/>
  <c r="DH64"/>
  <c r="DH56"/>
  <c r="DH52"/>
  <c r="DH47"/>
  <c r="DH44"/>
  <c r="DH36"/>
  <c r="DH33"/>
  <c r="DH23"/>
  <c r="DH20"/>
  <c r="DH16"/>
  <c r="D101" i="52"/>
  <c r="D102"/>
  <c r="D103"/>
  <c r="D104"/>
  <c r="N98"/>
  <c r="N62"/>
  <c r="M62"/>
  <c r="L62"/>
  <c r="K62"/>
  <c r="J62"/>
  <c r="I62"/>
  <c r="H62"/>
  <c r="G62"/>
  <c r="F62"/>
  <c r="E71"/>
  <c r="N70"/>
  <c r="M70"/>
  <c r="L70"/>
  <c r="K70"/>
  <c r="J70"/>
  <c r="I70"/>
  <c r="H70"/>
  <c r="G70"/>
  <c r="F70"/>
  <c r="E68"/>
  <c r="N67"/>
  <c r="M67"/>
  <c r="L67"/>
  <c r="K67"/>
  <c r="J67"/>
  <c r="I67"/>
  <c r="H67"/>
  <c r="G67"/>
  <c r="F67"/>
  <c r="E66"/>
  <c r="F39"/>
  <c r="E85" i="51"/>
  <c r="E84"/>
  <c r="E83"/>
  <c r="E80"/>
  <c r="E79"/>
  <c r="E78"/>
  <c r="E75"/>
  <c r="E74"/>
  <c r="G43"/>
  <c r="K213" i="24"/>
  <c r="L213"/>
  <c r="M213"/>
  <c r="N213"/>
  <c r="AM7" i="19"/>
  <c r="BL108" i="26"/>
  <c r="BL107"/>
  <c r="BL105"/>
  <c r="BL94"/>
  <c r="BL90"/>
  <c r="BL87"/>
  <c r="BL86"/>
  <c r="BL85"/>
  <c r="BL80"/>
  <c r="BL78"/>
  <c r="BL77"/>
  <c r="BL69"/>
  <c r="BL56"/>
  <c r="BL52"/>
  <c r="BL47"/>
  <c r="BL44"/>
  <c r="BL43"/>
  <c r="BL42"/>
  <c r="BL41"/>
  <c r="BL36"/>
  <c r="BL33"/>
  <c r="BL23"/>
  <c r="BL20"/>
  <c r="BL16"/>
  <c r="BL108" i="41"/>
  <c r="BL107"/>
  <c r="BL105"/>
  <c r="BL94"/>
  <c r="BL90"/>
  <c r="BL87"/>
  <c r="BL86"/>
  <c r="BL85"/>
  <c r="BL80"/>
  <c r="BL78"/>
  <c r="BL77"/>
  <c r="BL69"/>
  <c r="BL56"/>
  <c r="BL52"/>
  <c r="BL47"/>
  <c r="BL44"/>
  <c r="BL43"/>
  <c r="BL42"/>
  <c r="BL41"/>
  <c r="BL36"/>
  <c r="BL33"/>
  <c r="BL23"/>
  <c r="BL20"/>
  <c r="BL16"/>
  <c r="BL108" i="40"/>
  <c r="BL107"/>
  <c r="BL105"/>
  <c r="BL94"/>
  <c r="BL90"/>
  <c r="BL87"/>
  <c r="BL86"/>
  <c r="BL85"/>
  <c r="BL80"/>
  <c r="BL78"/>
  <c r="BL77"/>
  <c r="BL69"/>
  <c r="BL56"/>
  <c r="BL52"/>
  <c r="BL47"/>
  <c r="BL44"/>
  <c r="BL43"/>
  <c r="BL42"/>
  <c r="BL41"/>
  <c r="BL36"/>
  <c r="BL33"/>
  <c r="BL23"/>
  <c r="BL20"/>
  <c r="BL16"/>
  <c r="BL108" i="39"/>
  <c r="BL107"/>
  <c r="BL105"/>
  <c r="BL94"/>
  <c r="BL90"/>
  <c r="BL87"/>
  <c r="BL86"/>
  <c r="BL85"/>
  <c r="BL80"/>
  <c r="BL78"/>
  <c r="BL77"/>
  <c r="BL69"/>
  <c r="BL56"/>
  <c r="BL52"/>
  <c r="BL47"/>
  <c r="BL44"/>
  <c r="BL43"/>
  <c r="BL42"/>
  <c r="BL41"/>
  <c r="BL36"/>
  <c r="BL33"/>
  <c r="BL23"/>
  <c r="BL20"/>
  <c r="BL16"/>
  <c r="BL108" i="38"/>
  <c r="BL107"/>
  <c r="BL105"/>
  <c r="BL94"/>
  <c r="BL90"/>
  <c r="BL87"/>
  <c r="BL86"/>
  <c r="BL85"/>
  <c r="BL80"/>
  <c r="BL78"/>
  <c r="BL77"/>
  <c r="BL69"/>
  <c r="BL56"/>
  <c r="BL52"/>
  <c r="BL47"/>
  <c r="BL44"/>
  <c r="BL43"/>
  <c r="BL42"/>
  <c r="BL41"/>
  <c r="BL36"/>
  <c r="BL33"/>
  <c r="BL23"/>
  <c r="BL20"/>
  <c r="BL16"/>
  <c r="BL108" i="37"/>
  <c r="BL107"/>
  <c r="BL105"/>
  <c r="BL94"/>
  <c r="BL90"/>
  <c r="BL87"/>
  <c r="BL86"/>
  <c r="BL85"/>
  <c r="BL80"/>
  <c r="BL78"/>
  <c r="BL77"/>
  <c r="BL69"/>
  <c r="BL56"/>
  <c r="BL52"/>
  <c r="BL47"/>
  <c r="BL44"/>
  <c r="BL43"/>
  <c r="BL42"/>
  <c r="BL41"/>
  <c r="BL36"/>
  <c r="BL33"/>
  <c r="BL23"/>
  <c r="BL20"/>
  <c r="BL16"/>
  <c r="BL108" i="36"/>
  <c r="BL107"/>
  <c r="BL105"/>
  <c r="BL94"/>
  <c r="BL90"/>
  <c r="BL87"/>
  <c r="BL86"/>
  <c r="BL85"/>
  <c r="BL80"/>
  <c r="BL78"/>
  <c r="BL77"/>
  <c r="BL69"/>
  <c r="BL56"/>
  <c r="BL52"/>
  <c r="BL47"/>
  <c r="BL44"/>
  <c r="BL43"/>
  <c r="BL42"/>
  <c r="BL41"/>
  <c r="BL36"/>
  <c r="BL33"/>
  <c r="BL23"/>
  <c r="BL20"/>
  <c r="BL16"/>
  <c r="BL108" i="25"/>
  <c r="BL107"/>
  <c r="BL105"/>
  <c r="BL94"/>
  <c r="BL90"/>
  <c r="BL87"/>
  <c r="BL86"/>
  <c r="BL85"/>
  <c r="BL80"/>
  <c r="BL78"/>
  <c r="BL77"/>
  <c r="BL69"/>
  <c r="BL56"/>
  <c r="BL52"/>
  <c r="BL47"/>
  <c r="BL44"/>
  <c r="BL43"/>
  <c r="BL42"/>
  <c r="BL41"/>
  <c r="BL36"/>
  <c r="BL33"/>
  <c r="BL23"/>
  <c r="BL20"/>
  <c r="BL16"/>
  <c r="BL108" i="1"/>
  <c r="BL107"/>
  <c r="BL105"/>
  <c r="BL94"/>
  <c r="BL90"/>
  <c r="BL87"/>
  <c r="BL86"/>
  <c r="BL85"/>
  <c r="BL80"/>
  <c r="BL78"/>
  <c r="BL77"/>
  <c r="BL69"/>
  <c r="BL56"/>
  <c r="BL52"/>
  <c r="BL47"/>
  <c r="BL44"/>
  <c r="BL43"/>
  <c r="BL42"/>
  <c r="BL41"/>
  <c r="BL36"/>
  <c r="BL33"/>
  <c r="BL23"/>
  <c r="BL20"/>
  <c r="BL16"/>
  <c r="BJ103" i="26"/>
  <c r="BJ74"/>
  <c r="BL74"/>
  <c r="BJ70"/>
  <c r="BL70"/>
  <c r="BJ103" i="41"/>
  <c r="BJ74"/>
  <c r="BL74"/>
  <c r="BJ70"/>
  <c r="BL70"/>
  <c r="BJ103" i="40"/>
  <c r="BJ74"/>
  <c r="BL74"/>
  <c r="BJ70"/>
  <c r="BL70"/>
  <c r="BJ103" i="39"/>
  <c r="BJ74"/>
  <c r="BL74"/>
  <c r="BJ70"/>
  <c r="BL70"/>
  <c r="BJ103" i="38"/>
  <c r="BJ74"/>
  <c r="BL74"/>
  <c r="BJ70"/>
  <c r="BL70"/>
  <c r="BJ103" i="37"/>
  <c r="BJ74"/>
  <c r="BL74"/>
  <c r="BJ70"/>
  <c r="BL70"/>
  <c r="BJ103" i="36"/>
  <c r="BJ74"/>
  <c r="BL74"/>
  <c r="BJ70"/>
  <c r="BL70"/>
  <c r="BJ103" i="25"/>
  <c r="BJ74"/>
  <c r="BL74"/>
  <c r="BJ70"/>
  <c r="BL70"/>
  <c r="BJ103" i="1"/>
  <c r="BJ74"/>
  <c r="BL74"/>
  <c r="BJ70"/>
  <c r="BL70"/>
  <c r="I183" i="50"/>
  <c r="J183"/>
  <c r="K183"/>
  <c r="L183"/>
  <c r="M183"/>
  <c r="N183"/>
  <c r="E121"/>
  <c r="E124"/>
  <c r="E120"/>
  <c r="D115" i="48"/>
  <c r="D116"/>
  <c r="D117"/>
  <c r="E65"/>
  <c r="D9"/>
  <c r="D18"/>
  <c r="E1099" i="4"/>
  <c r="E1080"/>
  <c r="E1068"/>
  <c r="E1094"/>
  <c r="E1092"/>
  <c r="D434" i="46"/>
  <c r="D435"/>
  <c r="D436"/>
  <c r="E412"/>
  <c r="E411"/>
  <c r="E410"/>
  <c r="E407"/>
  <c r="E406"/>
  <c r="E405"/>
  <c r="E398"/>
  <c r="E397"/>
  <c r="N272"/>
  <c r="M272"/>
  <c r="M273"/>
  <c r="L272"/>
  <c r="K272"/>
  <c r="J272"/>
  <c r="I272"/>
  <c r="I273"/>
  <c r="H272"/>
  <c r="G272"/>
  <c r="F272"/>
  <c r="N271"/>
  <c r="M271"/>
  <c r="L271"/>
  <c r="K271"/>
  <c r="J271"/>
  <c r="I271"/>
  <c r="H271"/>
  <c r="F271"/>
  <c r="N165"/>
  <c r="M165"/>
  <c r="L165"/>
  <c r="K165"/>
  <c r="J165"/>
  <c r="I165"/>
  <c r="H165"/>
  <c r="G165"/>
  <c r="N164"/>
  <c r="M164"/>
  <c r="L164"/>
  <c r="K164"/>
  <c r="J164"/>
  <c r="I164"/>
  <c r="H164"/>
  <c r="G164"/>
  <c r="N163"/>
  <c r="M163"/>
  <c r="L163"/>
  <c r="K163"/>
  <c r="J163"/>
  <c r="I163"/>
  <c r="H163"/>
  <c r="G163"/>
  <c r="H115"/>
  <c r="G115"/>
  <c r="H114"/>
  <c r="G114"/>
  <c r="H113"/>
  <c r="G113"/>
  <c r="H273"/>
  <c r="F273"/>
  <c r="J273"/>
  <c r="N273"/>
  <c r="L273"/>
  <c r="K273"/>
  <c r="E765" i="17"/>
  <c r="E766"/>
  <c r="E767"/>
  <c r="E757"/>
  <c r="E758"/>
  <c r="E759"/>
  <c r="E1254" i="4"/>
  <c r="E1255"/>
  <c r="E1256"/>
  <c r="E1246"/>
  <c r="E1247"/>
  <c r="E1248"/>
  <c r="D1214"/>
  <c r="D1215"/>
  <c r="D1216"/>
  <c r="D1217"/>
  <c r="D1218"/>
  <c r="D1219"/>
  <c r="D1220"/>
  <c r="D1221"/>
  <c r="D1222"/>
  <c r="D1223"/>
  <c r="D1200"/>
  <c r="D1202"/>
  <c r="D1203"/>
  <c r="D1204"/>
  <c r="D1205"/>
  <c r="D1206"/>
  <c r="D1207"/>
  <c r="D1208"/>
  <c r="D1229"/>
  <c r="D1230"/>
  <c r="D1231"/>
  <c r="D1232"/>
  <c r="D1233"/>
  <c r="D1234"/>
  <c r="D1235"/>
  <c r="D1236"/>
  <c r="D1237"/>
  <c r="E1262"/>
  <c r="E1263"/>
  <c r="E1264"/>
  <c r="C1270"/>
  <c r="C1271"/>
  <c r="C1272"/>
  <c r="C1273"/>
  <c r="D1281"/>
  <c r="D1282"/>
  <c r="D1283"/>
  <c r="D784" i="17"/>
  <c r="D785"/>
  <c r="C773"/>
  <c r="C774"/>
  <c r="C775"/>
  <c r="C776"/>
  <c r="E749"/>
  <c r="E750"/>
  <c r="E751"/>
  <c r="D4" i="47"/>
  <c r="N755" i="4"/>
  <c r="M755"/>
  <c r="L755"/>
  <c r="K755"/>
  <c r="J755"/>
  <c r="I755"/>
  <c r="H755"/>
  <c r="G755"/>
  <c r="F755"/>
  <c r="F757" s="1"/>
  <c r="G1257"/>
  <c r="H1257"/>
  <c r="I1257"/>
  <c r="J1257"/>
  <c r="K1257"/>
  <c r="L1257"/>
  <c r="M1257"/>
  <c r="N1257"/>
  <c r="F1257"/>
  <c r="F290" i="13"/>
  <c r="D733" i="17"/>
  <c r="D734"/>
  <c r="D735"/>
  <c r="D736"/>
  <c r="D737"/>
  <c r="D738"/>
  <c r="D739"/>
  <c r="D740"/>
  <c r="D719"/>
  <c r="D720"/>
  <c r="D721"/>
  <c r="D722"/>
  <c r="D723"/>
  <c r="D724"/>
  <c r="D725"/>
  <c r="D726"/>
  <c r="D727"/>
  <c r="D705"/>
  <c r="D706"/>
  <c r="D707"/>
  <c r="D708"/>
  <c r="D709"/>
  <c r="D710"/>
  <c r="D711"/>
  <c r="D712"/>
  <c r="N836" i="4"/>
  <c r="N1099" s="1"/>
  <c r="M836"/>
  <c r="L836"/>
  <c r="K836"/>
  <c r="J836"/>
  <c r="I836"/>
  <c r="H836"/>
  <c r="G836"/>
  <c r="F836"/>
  <c r="F830"/>
  <c r="F829"/>
  <c r="F828"/>
  <c r="F827"/>
  <c r="F826"/>
  <c r="H818"/>
  <c r="H821"/>
  <c r="I818"/>
  <c r="I821"/>
  <c r="J818"/>
  <c r="J821"/>
  <c r="K818"/>
  <c r="K821"/>
  <c r="L818"/>
  <c r="L821"/>
  <c r="M818"/>
  <c r="M821"/>
  <c r="N818"/>
  <c r="N821"/>
  <c r="F818"/>
  <c r="F821"/>
  <c r="H813"/>
  <c r="H816"/>
  <c r="I813"/>
  <c r="I816"/>
  <c r="J813"/>
  <c r="J816"/>
  <c r="K813"/>
  <c r="K816"/>
  <c r="L813"/>
  <c r="L816"/>
  <c r="M813"/>
  <c r="M816"/>
  <c r="N813"/>
  <c r="N816"/>
  <c r="F813"/>
  <c r="F816"/>
  <c r="H808"/>
  <c r="H811"/>
  <c r="I808"/>
  <c r="I811"/>
  <c r="J808"/>
  <c r="J811"/>
  <c r="K808"/>
  <c r="K811"/>
  <c r="L808"/>
  <c r="L811"/>
  <c r="M808"/>
  <c r="M811"/>
  <c r="N808"/>
  <c r="N811"/>
  <c r="F808"/>
  <c r="F811"/>
  <c r="H803"/>
  <c r="H806"/>
  <c r="I803"/>
  <c r="I806"/>
  <c r="J803"/>
  <c r="K803"/>
  <c r="K806"/>
  <c r="L803"/>
  <c r="L806"/>
  <c r="M803"/>
  <c r="M806"/>
  <c r="N803"/>
  <c r="N806"/>
  <c r="F803"/>
  <c r="F806"/>
  <c r="H801"/>
  <c r="I801"/>
  <c r="J801"/>
  <c r="K801"/>
  <c r="L801"/>
  <c r="M801"/>
  <c r="N801"/>
  <c r="F801"/>
  <c r="G798"/>
  <c r="G808"/>
  <c r="G811"/>
  <c r="G799"/>
  <c r="G813"/>
  <c r="G816"/>
  <c r="G800"/>
  <c r="G818"/>
  <c r="G821"/>
  <c r="G797"/>
  <c r="J806"/>
  <c r="G31" i="46"/>
  <c r="G271"/>
  <c r="G273"/>
  <c r="L823" i="4"/>
  <c r="N823"/>
  <c r="F831"/>
  <c r="J823"/>
  <c r="H823"/>
  <c r="M823"/>
  <c r="I823"/>
  <c r="F823"/>
  <c r="K823"/>
  <c r="G801"/>
  <c r="G803"/>
  <c r="G806"/>
  <c r="G823"/>
  <c r="G1124" a="1"/>
  <c r="G1121" a="1"/>
  <c r="G1118" a="1"/>
  <c r="G1126" a="1"/>
  <c r="G1122" a="1"/>
  <c r="G1119" a="1"/>
  <c r="G1125" a="1"/>
  <c r="G1120" a="1"/>
  <c r="G1123" a="1"/>
  <c r="L833"/>
  <c r="L835"/>
  <c r="G833"/>
  <c r="G835"/>
  <c r="G837"/>
  <c r="N833"/>
  <c r="N835"/>
  <c r="N837"/>
  <c r="H833"/>
  <c r="H835"/>
  <c r="H837"/>
  <c r="F833"/>
  <c r="F835"/>
  <c r="I833"/>
  <c r="I835"/>
  <c r="I837"/>
  <c r="K833"/>
  <c r="K835"/>
  <c r="K837"/>
  <c r="M833"/>
  <c r="M835"/>
  <c r="J833"/>
  <c r="J835"/>
  <c r="K152" i="45"/>
  <c r="J152"/>
  <c r="I152"/>
  <c r="H152"/>
  <c r="G152"/>
  <c r="F124"/>
  <c r="D108"/>
  <c r="D109"/>
  <c r="D110"/>
  <c r="D111"/>
  <c r="D112"/>
  <c r="D113"/>
  <c r="D114"/>
  <c r="E64"/>
  <c r="E62"/>
  <c r="E61"/>
  <c r="F73"/>
  <c r="D10" i="44"/>
  <c r="D11"/>
  <c r="D9" i="45"/>
  <c r="D10"/>
  <c r="D11"/>
  <c r="D269" i="43"/>
  <c r="D270"/>
  <c r="D271"/>
  <c r="D272"/>
  <c r="C78" i="23"/>
  <c r="D207" i="43"/>
  <c r="D208"/>
  <c r="D209"/>
  <c r="D210"/>
  <c r="D211"/>
  <c r="D212"/>
  <c r="D213"/>
  <c r="D214"/>
  <c r="D215"/>
  <c r="E228"/>
  <c r="E227"/>
  <c r="E226"/>
  <c r="E225"/>
  <c r="E224"/>
  <c r="E144"/>
  <c r="N88"/>
  <c r="N82"/>
  <c r="N76"/>
  <c r="N70"/>
  <c r="H224"/>
  <c r="M224"/>
  <c r="I224"/>
  <c r="F224"/>
  <c r="K224"/>
  <c r="G224"/>
  <c r="N224"/>
  <c r="J224"/>
  <c r="L224"/>
  <c r="D567" i="42"/>
  <c r="E556"/>
  <c r="E557"/>
  <c r="E558"/>
  <c r="D547"/>
  <c r="D546"/>
  <c r="D545"/>
  <c r="D544"/>
  <c r="D543"/>
  <c r="N540"/>
  <c r="E428"/>
  <c r="E409"/>
  <c r="E393"/>
  <c r="E380"/>
  <c r="E379"/>
  <c r="E376"/>
  <c r="E375"/>
  <c r="E374"/>
  <c r="E207"/>
  <c r="F177"/>
  <c r="F161"/>
  <c r="F321" i="34" a="1"/>
  <c r="F322"/>
  <c r="F328"/>
  <c r="F323"/>
  <c r="F329"/>
  <c r="F324"/>
  <c r="F325"/>
  <c r="F327"/>
  <c r="F321"/>
  <c r="F330"/>
  <c r="F326"/>
  <c r="N556" i="42"/>
  <c r="M556"/>
  <c r="L556"/>
  <c r="K556"/>
  <c r="J556"/>
  <c r="I556"/>
  <c r="H556"/>
  <c r="G556"/>
  <c r="F556"/>
  <c r="F443"/>
  <c r="F442"/>
  <c r="G443"/>
  <c r="F441"/>
  <c r="G442"/>
  <c r="H443"/>
  <c r="F423"/>
  <c r="F416"/>
  <c r="F332" a="1"/>
  <c r="M332" s="1"/>
  <c r="P36"/>
  <c r="P35"/>
  <c r="P34"/>
  <c r="P33"/>
  <c r="P27"/>
  <c r="P26"/>
  <c r="P25"/>
  <c r="P24"/>
  <c r="P18"/>
  <c r="P17"/>
  <c r="P16"/>
  <c r="P15"/>
  <c r="I84" i="35"/>
  <c r="I90"/>
  <c r="E318"/>
  <c r="E317"/>
  <c r="E316"/>
  <c r="E313"/>
  <c r="E312"/>
  <c r="E311"/>
  <c r="E308"/>
  <c r="E307"/>
  <c r="E306"/>
  <c r="E301"/>
  <c r="E297"/>
  <c r="E293"/>
  <c r="E290"/>
  <c r="E287"/>
  <c r="E283"/>
  <c r="E279"/>
  <c r="E276"/>
  <c r="E274"/>
  <c r="E270"/>
  <c r="E266"/>
  <c r="E263"/>
  <c r="E260"/>
  <c r="E256"/>
  <c r="E252"/>
  <c r="E249"/>
  <c r="E246"/>
  <c r="E242"/>
  <c r="E238"/>
  <c r="E235"/>
  <c r="F354" i="42" a="1"/>
  <c r="H366" a="1"/>
  <c r="J366" a="1"/>
  <c r="G366" a="1"/>
  <c r="I366" a="1"/>
  <c r="F366" a="1"/>
  <c r="N366" a="1"/>
  <c r="K366" a="1"/>
  <c r="M360" a="1"/>
  <c r="L354" a="1"/>
  <c r="K354" a="1"/>
  <c r="J354" a="1"/>
  <c r="M354" a="1"/>
  <c r="H360" a="1"/>
  <c r="M366" a="1"/>
  <c r="K360" a="1"/>
  <c r="G360" a="1"/>
  <c r="L366" a="1"/>
  <c r="J360" a="1"/>
  <c r="I360" a="1"/>
  <c r="N360" a="1"/>
  <c r="F360" a="1"/>
  <c r="L360" a="1"/>
  <c r="E380" i="35"/>
  <c r="H354" i="42" a="1"/>
  <c r="G354" a="1"/>
  <c r="N354" a="1"/>
  <c r="I354" a="1"/>
  <c r="Q103" i="41"/>
  <c r="DH101"/>
  <c r="DH100"/>
  <c r="DH97"/>
  <c r="DH95"/>
  <c r="DH94"/>
  <c r="BF83"/>
  <c r="BL83"/>
  <c r="DH80"/>
  <c r="DH78"/>
  <c r="DH77"/>
  <c r="DH74"/>
  <c r="DH73"/>
  <c r="DH70"/>
  <c r="DH69"/>
  <c r="DH64"/>
  <c r="DH56"/>
  <c r="DH52"/>
  <c r="DH47"/>
  <c r="DH44"/>
  <c r="BF39"/>
  <c r="BL39"/>
  <c r="DH36"/>
  <c r="DH33"/>
  <c r="DH23"/>
  <c r="DH20"/>
  <c r="DH16"/>
  <c r="Q103" i="40"/>
  <c r="DH101"/>
  <c r="DH100"/>
  <c r="DH97"/>
  <c r="DH95"/>
  <c r="DH94"/>
  <c r="BF83"/>
  <c r="BL83"/>
  <c r="DH80"/>
  <c r="DH78"/>
  <c r="DH77"/>
  <c r="DH74"/>
  <c r="DH73"/>
  <c r="DH70"/>
  <c r="DH69"/>
  <c r="DH64"/>
  <c r="DH56"/>
  <c r="DH52"/>
  <c r="DH47"/>
  <c r="DH44"/>
  <c r="BF39"/>
  <c r="BL39"/>
  <c r="DH36"/>
  <c r="DH33"/>
  <c r="DH23"/>
  <c r="DH20"/>
  <c r="DH16"/>
  <c r="Q103" i="39"/>
  <c r="DH101"/>
  <c r="DH100"/>
  <c r="DH97"/>
  <c r="DH95"/>
  <c r="DH94"/>
  <c r="BF83"/>
  <c r="BL83"/>
  <c r="DH80"/>
  <c r="DH78"/>
  <c r="DH77"/>
  <c r="DH74"/>
  <c r="DH73"/>
  <c r="DH70"/>
  <c r="DH69"/>
  <c r="DH64"/>
  <c r="DH56"/>
  <c r="DH52"/>
  <c r="DH47"/>
  <c r="DH44"/>
  <c r="BF39"/>
  <c r="BL39"/>
  <c r="DH36"/>
  <c r="DH33"/>
  <c r="DH23"/>
  <c r="DH20"/>
  <c r="DH16"/>
  <c r="Q103" i="38"/>
  <c r="DH101"/>
  <c r="DH100"/>
  <c r="DH97"/>
  <c r="DH95"/>
  <c r="DH94"/>
  <c r="BF83"/>
  <c r="BL83"/>
  <c r="DH80"/>
  <c r="DH78"/>
  <c r="DH77"/>
  <c r="DH74"/>
  <c r="DH73"/>
  <c r="DH70"/>
  <c r="DH69"/>
  <c r="DH64"/>
  <c r="DH56"/>
  <c r="DH52"/>
  <c r="DH47"/>
  <c r="DH44"/>
  <c r="BF39"/>
  <c r="BL39"/>
  <c r="DH36"/>
  <c r="DH33"/>
  <c r="DH23"/>
  <c r="DH20"/>
  <c r="DH16"/>
  <c r="DH101" i="1"/>
  <c r="DH100"/>
  <c r="DH97"/>
  <c r="DH95"/>
  <c r="DH94"/>
  <c r="DH80"/>
  <c r="DH78"/>
  <c r="DH77"/>
  <c r="DH74"/>
  <c r="DH73"/>
  <c r="DH70"/>
  <c r="DH69"/>
  <c r="DH64"/>
  <c r="DH56"/>
  <c r="DH52"/>
  <c r="DH47"/>
  <c r="DH44"/>
  <c r="DH36"/>
  <c r="DH33"/>
  <c r="DH23"/>
  <c r="DH20"/>
  <c r="DH16"/>
  <c r="Q103" i="37"/>
  <c r="BF83"/>
  <c r="BL83"/>
  <c r="BF39"/>
  <c r="BL39"/>
  <c r="Q103" i="36"/>
  <c r="BF83"/>
  <c r="BL83"/>
  <c r="BF39"/>
  <c r="BL39"/>
  <c r="N300" i="35"/>
  <c r="M300"/>
  <c r="L300"/>
  <c r="K300"/>
  <c r="J300"/>
  <c r="I300"/>
  <c r="H300"/>
  <c r="G300"/>
  <c r="F300"/>
  <c r="N296"/>
  <c r="M296"/>
  <c r="L296"/>
  <c r="K296"/>
  <c r="J296"/>
  <c r="I296"/>
  <c r="H296"/>
  <c r="G296"/>
  <c r="F296"/>
  <c r="N292"/>
  <c r="M292"/>
  <c r="L292"/>
  <c r="K292"/>
  <c r="J292"/>
  <c r="I292"/>
  <c r="H292"/>
  <c r="G292"/>
  <c r="F292"/>
  <c r="F291"/>
  <c r="F286"/>
  <c r="N282"/>
  <c r="M282"/>
  <c r="L282"/>
  <c r="K282"/>
  <c r="J282"/>
  <c r="I282"/>
  <c r="H282"/>
  <c r="G282"/>
  <c r="F282"/>
  <c r="H278"/>
  <c r="G278"/>
  <c r="F278"/>
  <c r="N273"/>
  <c r="M273"/>
  <c r="L273"/>
  <c r="K273"/>
  <c r="J273"/>
  <c r="I273"/>
  <c r="H273"/>
  <c r="G273"/>
  <c r="F273"/>
  <c r="N269"/>
  <c r="M269"/>
  <c r="L269"/>
  <c r="K269"/>
  <c r="J269"/>
  <c r="I269"/>
  <c r="H269"/>
  <c r="G269"/>
  <c r="F269"/>
  <c r="N265"/>
  <c r="M265"/>
  <c r="L265"/>
  <c r="K265"/>
  <c r="J265"/>
  <c r="I265"/>
  <c r="H265"/>
  <c r="G265"/>
  <c r="F265"/>
  <c r="F264"/>
  <c r="N259"/>
  <c r="M259"/>
  <c r="L259"/>
  <c r="K259"/>
  <c r="J259"/>
  <c r="I259"/>
  <c r="H259"/>
  <c r="G259"/>
  <c r="F259"/>
  <c r="N255"/>
  <c r="M255"/>
  <c r="L255"/>
  <c r="K255"/>
  <c r="J255"/>
  <c r="I255"/>
  <c r="H255"/>
  <c r="G255"/>
  <c r="F255"/>
  <c r="N251"/>
  <c r="M251"/>
  <c r="L251"/>
  <c r="K251"/>
  <c r="J251"/>
  <c r="I251"/>
  <c r="H251"/>
  <c r="G251"/>
  <c r="F251"/>
  <c r="F250"/>
  <c r="N245"/>
  <c r="M245"/>
  <c r="L245"/>
  <c r="K245"/>
  <c r="J245"/>
  <c r="I245"/>
  <c r="H245"/>
  <c r="G245"/>
  <c r="F245"/>
  <c r="N241"/>
  <c r="M241"/>
  <c r="L241"/>
  <c r="K241"/>
  <c r="J241"/>
  <c r="I241"/>
  <c r="H241"/>
  <c r="G241"/>
  <c r="F241"/>
  <c r="F240"/>
  <c r="N237"/>
  <c r="M237"/>
  <c r="L237"/>
  <c r="K237"/>
  <c r="J237"/>
  <c r="I237"/>
  <c r="H237"/>
  <c r="G237"/>
  <c r="F237"/>
  <c r="F152" i="34"/>
  <c r="D423"/>
  <c r="D422"/>
  <c r="D383"/>
  <c r="E430"/>
  <c r="E429"/>
  <c r="E428"/>
  <c r="E423"/>
  <c r="E419"/>
  <c r="E418"/>
  <c r="E413"/>
  <c r="E412"/>
  <c r="E409"/>
  <c r="E408"/>
  <c r="E404"/>
  <c r="E403"/>
  <c r="D396"/>
  <c r="E396"/>
  <c r="E392"/>
  <c r="E390"/>
  <c r="E389"/>
  <c r="E383"/>
  <c r="E380"/>
  <c r="E379"/>
  <c r="N360"/>
  <c r="N212"/>
  <c r="N219"/>
  <c r="N226"/>
  <c r="N233"/>
  <c r="F197"/>
  <c r="F187"/>
  <c r="F172"/>
  <c r="N17"/>
  <c r="F416"/>
  <c r="F355"/>
  <c r="F311" a="1"/>
  <c r="F311"/>
  <c r="F211"/>
  <c r="D65" i="33"/>
  <c r="D114"/>
  <c r="D115"/>
  <c r="D104"/>
  <c r="D103"/>
  <c r="E77"/>
  <c r="E73"/>
  <c r="E70"/>
  <c r="G37"/>
  <c r="G36"/>
  <c r="N13"/>
  <c r="N127"/>
  <c r="M127"/>
  <c r="L127"/>
  <c r="K127"/>
  <c r="J127"/>
  <c r="I127"/>
  <c r="H127"/>
  <c r="G127"/>
  <c r="F127"/>
  <c r="N126"/>
  <c r="M126"/>
  <c r="L126"/>
  <c r="K126"/>
  <c r="J126"/>
  <c r="I126"/>
  <c r="H126"/>
  <c r="G126"/>
  <c r="F126"/>
  <c r="N125"/>
  <c r="M125"/>
  <c r="L125"/>
  <c r="K125"/>
  <c r="J125"/>
  <c r="I125"/>
  <c r="H125"/>
  <c r="G125"/>
  <c r="F125"/>
  <c r="N124"/>
  <c r="M124"/>
  <c r="L124"/>
  <c r="K124"/>
  <c r="J124"/>
  <c r="I124"/>
  <c r="H124"/>
  <c r="G124"/>
  <c r="F124"/>
  <c r="N123"/>
  <c r="M123"/>
  <c r="L123"/>
  <c r="K123"/>
  <c r="J123"/>
  <c r="I123"/>
  <c r="H123"/>
  <c r="G123"/>
  <c r="F123"/>
  <c r="N71"/>
  <c r="M71"/>
  <c r="L71"/>
  <c r="K71"/>
  <c r="J71"/>
  <c r="I71"/>
  <c r="H71"/>
  <c r="G71"/>
  <c r="F71"/>
  <c r="F344" i="34" a="1"/>
  <c r="F345"/>
  <c r="L327"/>
  <c r="L328"/>
  <c r="H328"/>
  <c r="M328"/>
  <c r="I328"/>
  <c r="N328"/>
  <c r="J328"/>
  <c r="K328"/>
  <c r="G328"/>
  <c r="F313"/>
  <c r="F415"/>
  <c r="F312"/>
  <c r="N327"/>
  <c r="H327"/>
  <c r="G327"/>
  <c r="I327"/>
  <c r="K327"/>
  <c r="F344"/>
  <c r="M327"/>
  <c r="J327"/>
  <c r="L326"/>
  <c r="H326"/>
  <c r="M326"/>
  <c r="I326"/>
  <c r="N326"/>
  <c r="J326"/>
  <c r="K326"/>
  <c r="G326"/>
  <c r="L330"/>
  <c r="H330"/>
  <c r="M330"/>
  <c r="I330"/>
  <c r="N330"/>
  <c r="J330"/>
  <c r="K330"/>
  <c r="G330"/>
  <c r="F446"/>
  <c r="N60" i="32"/>
  <c r="N106"/>
  <c r="D120"/>
  <c r="E120"/>
  <c r="E119"/>
  <c r="D110"/>
  <c r="D109"/>
  <c r="E75"/>
  <c r="E74"/>
  <c r="E71"/>
  <c r="E68"/>
  <c r="N13"/>
  <c r="N69"/>
  <c r="M69"/>
  <c r="L69"/>
  <c r="K69"/>
  <c r="J69"/>
  <c r="I69"/>
  <c r="H69"/>
  <c r="G69"/>
  <c r="F69"/>
  <c r="E264" i="10"/>
  <c r="E263"/>
  <c r="E257"/>
  <c r="E256"/>
  <c r="E250"/>
  <c r="E249"/>
  <c r="D264"/>
  <c r="D257"/>
  <c r="D250"/>
  <c r="D240"/>
  <c r="D239"/>
  <c r="D238"/>
  <c r="D232"/>
  <c r="D231"/>
  <c r="D230"/>
  <c r="D224"/>
  <c r="D223"/>
  <c r="D222"/>
  <c r="D216"/>
  <c r="D215"/>
  <c r="D214"/>
  <c r="E190"/>
  <c r="E184"/>
  <c r="E172"/>
  <c r="E167"/>
  <c r="E164"/>
  <c r="E159"/>
  <c r="E156"/>
  <c r="E151"/>
  <c r="G82"/>
  <c r="G81"/>
  <c r="G80"/>
  <c r="G79"/>
  <c r="G78"/>
  <c r="G77"/>
  <c r="N41"/>
  <c r="N32"/>
  <c r="N23"/>
  <c r="N14"/>
  <c r="D112" i="30"/>
  <c r="D111"/>
  <c r="E84"/>
  <c r="E83"/>
  <c r="D2" i="31"/>
  <c r="E2"/>
  <c r="F2"/>
  <c r="G2"/>
  <c r="I2"/>
  <c r="J2"/>
  <c r="K2"/>
  <c r="M2"/>
  <c r="N2"/>
  <c r="L16" i="43"/>
  <c r="O2" i="31"/>
  <c r="M16" i="43"/>
  <c r="P2" i="31"/>
  <c r="N16" i="43"/>
  <c r="Q2" i="31"/>
  <c r="R2"/>
  <c r="S2"/>
  <c r="T2"/>
  <c r="U2"/>
  <c r="V2"/>
  <c r="W2"/>
  <c r="X2"/>
  <c r="Y2"/>
  <c r="Z2"/>
  <c r="AB2"/>
  <c r="AC2"/>
  <c r="AD2"/>
  <c r="AE2"/>
  <c r="AF2"/>
  <c r="AG2"/>
  <c r="AH2"/>
  <c r="AI2"/>
  <c r="AJ2"/>
  <c r="AK2"/>
  <c r="AL2"/>
  <c r="D3"/>
  <c r="E3"/>
  <c r="F3"/>
  <c r="G3"/>
  <c r="I3"/>
  <c r="J3"/>
  <c r="K3"/>
  <c r="M3"/>
  <c r="N3"/>
  <c r="O3"/>
  <c r="P3"/>
  <c r="Q3"/>
  <c r="R3"/>
  <c r="S3"/>
  <c r="T3"/>
  <c r="U3"/>
  <c r="V3"/>
  <c r="W3"/>
  <c r="X3"/>
  <c r="Y3"/>
  <c r="Z3"/>
  <c r="AB3"/>
  <c r="AC3"/>
  <c r="AD3"/>
  <c r="AE3"/>
  <c r="AF3"/>
  <c r="AG3"/>
  <c r="AH3"/>
  <c r="AI3"/>
  <c r="AJ3"/>
  <c r="AK3"/>
  <c r="F110" i="47" s="1"/>
  <c r="AL3" i="31"/>
  <c r="D4"/>
  <c r="E4"/>
  <c r="F4"/>
  <c r="G4"/>
  <c r="I4"/>
  <c r="J4"/>
  <c r="K4"/>
  <c r="M4"/>
  <c r="N4"/>
  <c r="O4"/>
  <c r="P4"/>
  <c r="Q4"/>
  <c r="R4"/>
  <c r="S4"/>
  <c r="T4"/>
  <c r="U4"/>
  <c r="V4"/>
  <c r="W4"/>
  <c r="X4"/>
  <c r="Y4"/>
  <c r="Z4"/>
  <c r="AB4"/>
  <c r="AC4"/>
  <c r="AD4"/>
  <c r="AE4"/>
  <c r="AF4"/>
  <c r="AG4"/>
  <c r="AH4"/>
  <c r="AI4"/>
  <c r="AJ4"/>
  <c r="AK4"/>
  <c r="AL4"/>
  <c r="D5"/>
  <c r="E5"/>
  <c r="F5"/>
  <c r="G5"/>
  <c r="I5"/>
  <c r="J5"/>
  <c r="K5"/>
  <c r="M5"/>
  <c r="N5"/>
  <c r="O5"/>
  <c r="P5"/>
  <c r="Q5"/>
  <c r="R5"/>
  <c r="S5"/>
  <c r="T5"/>
  <c r="U5"/>
  <c r="V5"/>
  <c r="W5"/>
  <c r="X5"/>
  <c r="Y5"/>
  <c r="Z5"/>
  <c r="AB5"/>
  <c r="AC5"/>
  <c r="AD5"/>
  <c r="AE5"/>
  <c r="AF5"/>
  <c r="AG5"/>
  <c r="AH5"/>
  <c r="AI5"/>
  <c r="AJ5"/>
  <c r="AK5"/>
  <c r="AL5"/>
  <c r="D6"/>
  <c r="E6"/>
  <c r="F6"/>
  <c r="G6"/>
  <c r="I6"/>
  <c r="J6"/>
  <c r="K6"/>
  <c r="M6"/>
  <c r="N6"/>
  <c r="O6"/>
  <c r="P6"/>
  <c r="Q6"/>
  <c r="R6"/>
  <c r="S6"/>
  <c r="T6"/>
  <c r="U6"/>
  <c r="V6"/>
  <c r="W6"/>
  <c r="X6"/>
  <c r="Y6"/>
  <c r="Z6"/>
  <c r="AB6"/>
  <c r="AC6"/>
  <c r="AD6"/>
  <c r="AE6"/>
  <c r="AF6"/>
  <c r="AG6"/>
  <c r="AH6"/>
  <c r="AI6"/>
  <c r="AJ6"/>
  <c r="AK6"/>
  <c r="AL6"/>
  <c r="D10"/>
  <c r="E10"/>
  <c r="F10"/>
  <c r="G10"/>
  <c r="I10"/>
  <c r="J10"/>
  <c r="K10"/>
  <c r="M10"/>
  <c r="N10"/>
  <c r="O10"/>
  <c r="P10"/>
  <c r="Q10"/>
  <c r="R10"/>
  <c r="S10"/>
  <c r="T10"/>
  <c r="U10"/>
  <c r="V10"/>
  <c r="W10"/>
  <c r="X10"/>
  <c r="Y10"/>
  <c r="Z10"/>
  <c r="AB10"/>
  <c r="AC10"/>
  <c r="AD10"/>
  <c r="AE10"/>
  <c r="AF10"/>
  <c r="AG10"/>
  <c r="AH10"/>
  <c r="AI10"/>
  <c r="AJ10"/>
  <c r="AK10"/>
  <c r="AL10"/>
  <c r="D11"/>
  <c r="E11"/>
  <c r="F11"/>
  <c r="G11"/>
  <c r="I11"/>
  <c r="J11"/>
  <c r="K11"/>
  <c r="M11"/>
  <c r="N11"/>
  <c r="O11"/>
  <c r="P11"/>
  <c r="Q11"/>
  <c r="R11"/>
  <c r="S11"/>
  <c r="T11"/>
  <c r="U11"/>
  <c r="V11"/>
  <c r="W11"/>
  <c r="X11"/>
  <c r="Y11"/>
  <c r="Z11"/>
  <c r="AB11"/>
  <c r="AC11"/>
  <c r="AD11"/>
  <c r="AE11"/>
  <c r="AF11"/>
  <c r="AG11"/>
  <c r="AH11"/>
  <c r="AI11"/>
  <c r="AJ11"/>
  <c r="AK11"/>
  <c r="AL11"/>
  <c r="D12"/>
  <c r="E12"/>
  <c r="F12"/>
  <c r="G12"/>
  <c r="H12"/>
  <c r="I12"/>
  <c r="J12"/>
  <c r="K12"/>
  <c r="L12"/>
  <c r="M12"/>
  <c r="N12"/>
  <c r="O12"/>
  <c r="P12"/>
  <c r="Q12"/>
  <c r="R12"/>
  <c r="S12"/>
  <c r="T12"/>
  <c r="U12"/>
  <c r="V12"/>
  <c r="W12"/>
  <c r="X12"/>
  <c r="Y12"/>
  <c r="Z12"/>
  <c r="AA12"/>
  <c r="AB12"/>
  <c r="AC12"/>
  <c r="AD12"/>
  <c r="AE12"/>
  <c r="AF12"/>
  <c r="AG12"/>
  <c r="AH12"/>
  <c r="AI12"/>
  <c r="AJ12"/>
  <c r="AK12"/>
  <c r="AL12"/>
  <c r="D13"/>
  <c r="E13"/>
  <c r="F13"/>
  <c r="G13"/>
  <c r="I13"/>
  <c r="J13"/>
  <c r="K13"/>
  <c r="M13"/>
  <c r="N13"/>
  <c r="O13"/>
  <c r="P13"/>
  <c r="Q13"/>
  <c r="R13"/>
  <c r="S13"/>
  <c r="T13"/>
  <c r="U13"/>
  <c r="V13"/>
  <c r="W13"/>
  <c r="X13"/>
  <c r="Y13"/>
  <c r="Z13"/>
  <c r="AB13"/>
  <c r="AC13"/>
  <c r="AD13"/>
  <c r="AE13"/>
  <c r="AF13"/>
  <c r="AG13"/>
  <c r="AH13"/>
  <c r="AI13"/>
  <c r="AJ13"/>
  <c r="AK13"/>
  <c r="AL13"/>
  <c r="D14"/>
  <c r="E14"/>
  <c r="F14"/>
  <c r="G14"/>
  <c r="I14"/>
  <c r="J14"/>
  <c r="K14"/>
  <c r="M14"/>
  <c r="N14"/>
  <c r="O14"/>
  <c r="P14"/>
  <c r="Q14"/>
  <c r="R14"/>
  <c r="S14"/>
  <c r="T14"/>
  <c r="U14"/>
  <c r="V14"/>
  <c r="W14"/>
  <c r="X14"/>
  <c r="Y14"/>
  <c r="Z14"/>
  <c r="AB14"/>
  <c r="AC14"/>
  <c r="AD14"/>
  <c r="AE14"/>
  <c r="AF14"/>
  <c r="AG14"/>
  <c r="AH14"/>
  <c r="AI14"/>
  <c r="AJ14"/>
  <c r="AK14"/>
  <c r="AL14"/>
  <c r="D16"/>
  <c r="E16"/>
  <c r="F16"/>
  <c r="G16"/>
  <c r="I16"/>
  <c r="J16"/>
  <c r="K16"/>
  <c r="M16"/>
  <c r="N16"/>
  <c r="O16"/>
  <c r="P16"/>
  <c r="Q16"/>
  <c r="R16"/>
  <c r="S16"/>
  <c r="T16"/>
  <c r="U16"/>
  <c r="V16"/>
  <c r="W16"/>
  <c r="X16"/>
  <c r="Y16"/>
  <c r="Z16"/>
  <c r="AB16"/>
  <c r="AC16"/>
  <c r="AD16"/>
  <c r="AE16"/>
  <c r="AF16"/>
  <c r="AG16"/>
  <c r="AH16"/>
  <c r="AI16"/>
  <c r="AJ16"/>
  <c r="AK16"/>
  <c r="AL16"/>
  <c r="D17"/>
  <c r="E17"/>
  <c r="F17"/>
  <c r="G17"/>
  <c r="I17"/>
  <c r="J17"/>
  <c r="K17"/>
  <c r="M17"/>
  <c r="N17"/>
  <c r="O17"/>
  <c r="P17"/>
  <c r="Q17"/>
  <c r="R17"/>
  <c r="S17"/>
  <c r="T17"/>
  <c r="U17"/>
  <c r="V17"/>
  <c r="W17"/>
  <c r="X17"/>
  <c r="Y17"/>
  <c r="Z17"/>
  <c r="AB17"/>
  <c r="AC17"/>
  <c r="AD17"/>
  <c r="AE17"/>
  <c r="AF17"/>
  <c r="AG17"/>
  <c r="AH17"/>
  <c r="AI17"/>
  <c r="AJ17"/>
  <c r="AK17"/>
  <c r="AL17"/>
  <c r="D18"/>
  <c r="E18"/>
  <c r="F18"/>
  <c r="G18"/>
  <c r="H18"/>
  <c r="I18"/>
  <c r="J18"/>
  <c r="K18"/>
  <c r="L18"/>
  <c r="M18"/>
  <c r="N18"/>
  <c r="O18"/>
  <c r="P18"/>
  <c r="Q18"/>
  <c r="R18"/>
  <c r="S18"/>
  <c r="T18"/>
  <c r="U18"/>
  <c r="V18"/>
  <c r="W18"/>
  <c r="X18"/>
  <c r="Y18"/>
  <c r="Z18"/>
  <c r="AB18"/>
  <c r="AC18"/>
  <c r="AD18"/>
  <c r="AE18"/>
  <c r="AF18"/>
  <c r="AG18"/>
  <c r="AH18"/>
  <c r="AI18"/>
  <c r="AJ18"/>
  <c r="AK18"/>
  <c r="AL18"/>
  <c r="D19"/>
  <c r="E19"/>
  <c r="F19"/>
  <c r="G19"/>
  <c r="H19"/>
  <c r="I19"/>
  <c r="J19"/>
  <c r="K19"/>
  <c r="L19"/>
  <c r="M19"/>
  <c r="N19"/>
  <c r="O19"/>
  <c r="P19"/>
  <c r="Q19"/>
  <c r="R19"/>
  <c r="S19"/>
  <c r="T19"/>
  <c r="U19"/>
  <c r="V19"/>
  <c r="W19"/>
  <c r="X19"/>
  <c r="Y19"/>
  <c r="Z19"/>
  <c r="AA19"/>
  <c r="AB19"/>
  <c r="AC19"/>
  <c r="AD19"/>
  <c r="AE19"/>
  <c r="AF19"/>
  <c r="AG19"/>
  <c r="AH19"/>
  <c r="AI19"/>
  <c r="AJ19"/>
  <c r="AK19"/>
  <c r="AL19"/>
  <c r="D20"/>
  <c r="E20"/>
  <c r="F20"/>
  <c r="G20"/>
  <c r="I20"/>
  <c r="J20"/>
  <c r="K20"/>
  <c r="M20"/>
  <c r="N20"/>
  <c r="O20"/>
  <c r="P20"/>
  <c r="Q20"/>
  <c r="R20"/>
  <c r="S20"/>
  <c r="T20"/>
  <c r="U20"/>
  <c r="V20"/>
  <c r="W20"/>
  <c r="X20"/>
  <c r="Y20"/>
  <c r="Z20"/>
  <c r="AB20"/>
  <c r="AC20"/>
  <c r="AD20"/>
  <c r="AE20"/>
  <c r="AF20"/>
  <c r="AG20"/>
  <c r="AH20"/>
  <c r="AI20"/>
  <c r="AJ20"/>
  <c r="AK20"/>
  <c r="AL20"/>
  <c r="D21"/>
  <c r="E21"/>
  <c r="F21"/>
  <c r="G21"/>
  <c r="I21"/>
  <c r="J21"/>
  <c r="K21"/>
  <c r="M21"/>
  <c r="N21"/>
  <c r="O21"/>
  <c r="P21"/>
  <c r="Q21"/>
  <c r="R21"/>
  <c r="S21"/>
  <c r="T21"/>
  <c r="U21"/>
  <c r="V21"/>
  <c r="W21"/>
  <c r="X21"/>
  <c r="Y21"/>
  <c r="Z21"/>
  <c r="AB21"/>
  <c r="AC21"/>
  <c r="AD21"/>
  <c r="AE21"/>
  <c r="AF21"/>
  <c r="AG21"/>
  <c r="AH21"/>
  <c r="AI21"/>
  <c r="AJ21"/>
  <c r="AK21"/>
  <c r="AL21"/>
  <c r="D23"/>
  <c r="E23"/>
  <c r="F23"/>
  <c r="G23"/>
  <c r="H23"/>
  <c r="I23"/>
  <c r="J23"/>
  <c r="K23"/>
  <c r="L23"/>
  <c r="M23"/>
  <c r="N23"/>
  <c r="O23"/>
  <c r="P23"/>
  <c r="Q23"/>
  <c r="R23"/>
  <c r="S23"/>
  <c r="T23"/>
  <c r="U23"/>
  <c r="V23"/>
  <c r="W23"/>
  <c r="X23"/>
  <c r="Y23"/>
  <c r="Z23"/>
  <c r="AD23"/>
  <c r="AE23"/>
  <c r="AF23"/>
  <c r="AG23"/>
  <c r="AH23"/>
  <c r="AI23"/>
  <c r="AJ23"/>
  <c r="AL23"/>
  <c r="D24"/>
  <c r="E24"/>
  <c r="F24"/>
  <c r="G24"/>
  <c r="H24"/>
  <c r="I24"/>
  <c r="J24"/>
  <c r="K24"/>
  <c r="L24"/>
  <c r="M24"/>
  <c r="N24"/>
  <c r="O24"/>
  <c r="P24"/>
  <c r="Q24"/>
  <c r="R24"/>
  <c r="S24"/>
  <c r="T24"/>
  <c r="U24"/>
  <c r="V24"/>
  <c r="W24"/>
  <c r="X24"/>
  <c r="Y24"/>
  <c r="Z24"/>
  <c r="AA24"/>
  <c r="AB24"/>
  <c r="AC24"/>
  <c r="AD24"/>
  <c r="AE24"/>
  <c r="AF24"/>
  <c r="AG24"/>
  <c r="AH24"/>
  <c r="AI24"/>
  <c r="AJ24"/>
  <c r="AK24"/>
  <c r="AL24"/>
  <c r="D25"/>
  <c r="F25"/>
  <c r="G25"/>
  <c r="H25"/>
  <c r="I25"/>
  <c r="J25"/>
  <c r="K25"/>
  <c r="M25"/>
  <c r="N25"/>
  <c r="O25"/>
  <c r="P25"/>
  <c r="Q25"/>
  <c r="R25"/>
  <c r="S25"/>
  <c r="T25"/>
  <c r="U25"/>
  <c r="V25"/>
  <c r="W25"/>
  <c r="X25"/>
  <c r="Y25"/>
  <c r="Z25"/>
  <c r="AB25"/>
  <c r="AC25"/>
  <c r="AD25"/>
  <c r="AE25"/>
  <c r="AF25"/>
  <c r="AG25"/>
  <c r="AH25"/>
  <c r="AI25"/>
  <c r="AJ25"/>
  <c r="AK25"/>
  <c r="AL25"/>
  <c r="D26"/>
  <c r="E26"/>
  <c r="F26"/>
  <c r="G26"/>
  <c r="I26"/>
  <c r="J26"/>
  <c r="K26"/>
  <c r="M26"/>
  <c r="N26"/>
  <c r="O26"/>
  <c r="P26"/>
  <c r="Q26"/>
  <c r="R26"/>
  <c r="S26"/>
  <c r="T26"/>
  <c r="U26"/>
  <c r="V26"/>
  <c r="W26"/>
  <c r="X26"/>
  <c r="Y26"/>
  <c r="Z26"/>
  <c r="AB26"/>
  <c r="AC26"/>
  <c r="AD26"/>
  <c r="AE26"/>
  <c r="AF26"/>
  <c r="AG26"/>
  <c r="AH26"/>
  <c r="AI26"/>
  <c r="AJ26"/>
  <c r="AK26"/>
  <c r="AL26"/>
  <c r="V28"/>
  <c r="D29"/>
  <c r="E29"/>
  <c r="F29"/>
  <c r="G29"/>
  <c r="I29"/>
  <c r="J29"/>
  <c r="K29"/>
  <c r="M29"/>
  <c r="N29"/>
  <c r="O29"/>
  <c r="P29"/>
  <c r="Q29"/>
  <c r="R29"/>
  <c r="S29"/>
  <c r="T29"/>
  <c r="U29"/>
  <c r="V29"/>
  <c r="Z29"/>
  <c r="AB29"/>
  <c r="AC29"/>
  <c r="AD29"/>
  <c r="AE29"/>
  <c r="AF29"/>
  <c r="AG29"/>
  <c r="AH29"/>
  <c r="AI29"/>
  <c r="AJ29"/>
  <c r="AK29"/>
  <c r="AL29"/>
  <c r="D31"/>
  <c r="E31"/>
  <c r="F31"/>
  <c r="G31"/>
  <c r="O31"/>
  <c r="P31"/>
  <c r="R31"/>
  <c r="S31"/>
  <c r="T31"/>
  <c r="U31"/>
  <c r="Z31"/>
  <c r="AE31"/>
  <c r="AK31"/>
  <c r="D32"/>
  <c r="E32"/>
  <c r="F32"/>
  <c r="G32"/>
  <c r="I32"/>
  <c r="J32"/>
  <c r="K32"/>
  <c r="M32"/>
  <c r="N32"/>
  <c r="O32"/>
  <c r="P32"/>
  <c r="Q32"/>
  <c r="R32"/>
  <c r="S32"/>
  <c r="T32"/>
  <c r="U32"/>
  <c r="V32"/>
  <c r="W32"/>
  <c r="X32"/>
  <c r="Y32"/>
  <c r="Z32"/>
  <c r="AB32"/>
  <c r="AC32"/>
  <c r="AD32"/>
  <c r="AE32"/>
  <c r="AF32"/>
  <c r="AG32"/>
  <c r="AH32"/>
  <c r="AI32"/>
  <c r="AJ32"/>
  <c r="AK32"/>
  <c r="AL32"/>
  <c r="D33"/>
  <c r="E33"/>
  <c r="F33"/>
  <c r="G33"/>
  <c r="I33"/>
  <c r="J33"/>
  <c r="K33"/>
  <c r="M33"/>
  <c r="N33"/>
  <c r="O33"/>
  <c r="P33"/>
  <c r="Q33"/>
  <c r="R33"/>
  <c r="S33"/>
  <c r="T33"/>
  <c r="U33"/>
  <c r="V33"/>
  <c r="W33"/>
  <c r="X33"/>
  <c r="Y33"/>
  <c r="Z33"/>
  <c r="AB33"/>
  <c r="AC33"/>
  <c r="AD33"/>
  <c r="AE33"/>
  <c r="AF33"/>
  <c r="AG33"/>
  <c r="AH33"/>
  <c r="AI33"/>
  <c r="AJ33"/>
  <c r="AK33"/>
  <c r="AL33"/>
  <c r="D34"/>
  <c r="E34"/>
  <c r="F34"/>
  <c r="G34"/>
  <c r="I34"/>
  <c r="J34"/>
  <c r="K34"/>
  <c r="M34"/>
  <c r="N34"/>
  <c r="O34"/>
  <c r="P34"/>
  <c r="Q34"/>
  <c r="R34"/>
  <c r="S34"/>
  <c r="T34"/>
  <c r="U34"/>
  <c r="V34"/>
  <c r="W34"/>
  <c r="X34"/>
  <c r="Y34"/>
  <c r="Z34"/>
  <c r="AB34"/>
  <c r="AC34"/>
  <c r="AD34"/>
  <c r="AE34"/>
  <c r="AF34"/>
  <c r="AG34"/>
  <c r="AH34"/>
  <c r="AI34"/>
  <c r="AJ34"/>
  <c r="AK34"/>
  <c r="AL34"/>
  <c r="D35"/>
  <c r="E35"/>
  <c r="F35"/>
  <c r="G35"/>
  <c r="I35"/>
  <c r="J35"/>
  <c r="K35"/>
  <c r="M35"/>
  <c r="N35"/>
  <c r="O35"/>
  <c r="P35"/>
  <c r="Q35"/>
  <c r="R35"/>
  <c r="S35"/>
  <c r="T35"/>
  <c r="U35"/>
  <c r="V35"/>
  <c r="W35"/>
  <c r="X35"/>
  <c r="Y35"/>
  <c r="Z35"/>
  <c r="AB35"/>
  <c r="AC35"/>
  <c r="AD35"/>
  <c r="AE35"/>
  <c r="AF35"/>
  <c r="AG35"/>
  <c r="AH35"/>
  <c r="AI35"/>
  <c r="AJ35"/>
  <c r="AK35"/>
  <c r="AL35"/>
  <c r="D36"/>
  <c r="E36"/>
  <c r="F36"/>
  <c r="G36"/>
  <c r="I36"/>
  <c r="J36"/>
  <c r="K36"/>
  <c r="M36"/>
  <c r="N36"/>
  <c r="O36"/>
  <c r="P36"/>
  <c r="Q36"/>
  <c r="R36"/>
  <c r="S36"/>
  <c r="T36"/>
  <c r="U36"/>
  <c r="V36"/>
  <c r="W36"/>
  <c r="X36"/>
  <c r="Y36"/>
  <c r="Z36"/>
  <c r="AB36"/>
  <c r="AC36"/>
  <c r="AD36"/>
  <c r="AE36"/>
  <c r="AF36"/>
  <c r="AG36"/>
  <c r="AH36"/>
  <c r="AI36"/>
  <c r="AJ36"/>
  <c r="AK36"/>
  <c r="AL36"/>
  <c r="D37"/>
  <c r="E37"/>
  <c r="F37"/>
  <c r="G37"/>
  <c r="I37"/>
  <c r="J37"/>
  <c r="K37"/>
  <c r="M37"/>
  <c r="N37"/>
  <c r="O37"/>
  <c r="P37"/>
  <c r="Q37"/>
  <c r="R37"/>
  <c r="S37"/>
  <c r="T37"/>
  <c r="U37"/>
  <c r="V37"/>
  <c r="W37"/>
  <c r="X37"/>
  <c r="Y37"/>
  <c r="Z37"/>
  <c r="AB37"/>
  <c r="AC37"/>
  <c r="AD37"/>
  <c r="AE37"/>
  <c r="AF37"/>
  <c r="AG37"/>
  <c r="AH37"/>
  <c r="AI37"/>
  <c r="AJ37"/>
  <c r="AK37"/>
  <c r="AL37"/>
  <c r="D38"/>
  <c r="E38"/>
  <c r="F38"/>
  <c r="G38"/>
  <c r="I38"/>
  <c r="J38"/>
  <c r="K38"/>
  <c r="M38"/>
  <c r="N38"/>
  <c r="O38"/>
  <c r="P38"/>
  <c r="Q38"/>
  <c r="R38"/>
  <c r="S38"/>
  <c r="T38"/>
  <c r="U38"/>
  <c r="V38"/>
  <c r="W38"/>
  <c r="X38"/>
  <c r="Y38"/>
  <c r="Z38"/>
  <c r="AB38"/>
  <c r="AC38"/>
  <c r="AD38"/>
  <c r="AE38"/>
  <c r="AF38"/>
  <c r="AG38"/>
  <c r="AH38"/>
  <c r="AI38"/>
  <c r="AJ38"/>
  <c r="AK38"/>
  <c r="AL38"/>
  <c r="D39"/>
  <c r="E39"/>
  <c r="F39"/>
  <c r="G39"/>
  <c r="I39"/>
  <c r="J39"/>
  <c r="K39"/>
  <c r="M39"/>
  <c r="N39"/>
  <c r="O39"/>
  <c r="P39"/>
  <c r="Q39"/>
  <c r="R39"/>
  <c r="S39"/>
  <c r="T39"/>
  <c r="U39"/>
  <c r="V39"/>
  <c r="W39"/>
  <c r="X39"/>
  <c r="Y39"/>
  <c r="Z39"/>
  <c r="AB39"/>
  <c r="AC39"/>
  <c r="AD39"/>
  <c r="AE39"/>
  <c r="AF39"/>
  <c r="AG39"/>
  <c r="AH39"/>
  <c r="AI39"/>
  <c r="AJ39"/>
  <c r="AK39"/>
  <c r="AL39"/>
  <c r="D40"/>
  <c r="E40"/>
  <c r="F40"/>
  <c r="G40"/>
  <c r="I40"/>
  <c r="J40"/>
  <c r="K40"/>
  <c r="M40"/>
  <c r="N40"/>
  <c r="O40"/>
  <c r="P40"/>
  <c r="Q40"/>
  <c r="R40"/>
  <c r="S40"/>
  <c r="T40"/>
  <c r="U40"/>
  <c r="V40"/>
  <c r="W40"/>
  <c r="X40"/>
  <c r="Y40"/>
  <c r="Z40"/>
  <c r="AB40"/>
  <c r="AC40"/>
  <c r="AD40"/>
  <c r="AE40"/>
  <c r="AF40"/>
  <c r="AG40"/>
  <c r="AH40"/>
  <c r="AI40"/>
  <c r="AJ40"/>
  <c r="AK40"/>
  <c r="AL40"/>
  <c r="D41"/>
  <c r="E41"/>
  <c r="F41"/>
  <c r="G41"/>
  <c r="I41"/>
  <c r="J41"/>
  <c r="K41"/>
  <c r="M41"/>
  <c r="N41"/>
  <c r="O41"/>
  <c r="P41"/>
  <c r="Q41"/>
  <c r="R41"/>
  <c r="S41"/>
  <c r="T41"/>
  <c r="U41"/>
  <c r="V41"/>
  <c r="W41"/>
  <c r="X41"/>
  <c r="Y41"/>
  <c r="Z41"/>
  <c r="AB41"/>
  <c r="AC41"/>
  <c r="AD41"/>
  <c r="AE41"/>
  <c r="AF41"/>
  <c r="AG41"/>
  <c r="AH41"/>
  <c r="AI41"/>
  <c r="AJ41"/>
  <c r="AK41"/>
  <c r="AL41"/>
  <c r="D42"/>
  <c r="E42"/>
  <c r="F42"/>
  <c r="G42"/>
  <c r="I42"/>
  <c r="J42"/>
  <c r="K42"/>
  <c r="M42"/>
  <c r="N42"/>
  <c r="O42"/>
  <c r="P42"/>
  <c r="Q42"/>
  <c r="R42"/>
  <c r="S42"/>
  <c r="T42"/>
  <c r="U42"/>
  <c r="V42"/>
  <c r="W42"/>
  <c r="X42"/>
  <c r="Y42"/>
  <c r="Z42"/>
  <c r="AB42"/>
  <c r="AC42"/>
  <c r="AD42"/>
  <c r="AE42"/>
  <c r="AF42"/>
  <c r="AG42"/>
  <c r="AH42"/>
  <c r="AI42"/>
  <c r="AJ42"/>
  <c r="AK42"/>
  <c r="AL42"/>
  <c r="D43"/>
  <c r="E43"/>
  <c r="F43"/>
  <c r="G43"/>
  <c r="I43"/>
  <c r="J43"/>
  <c r="K43"/>
  <c r="M43"/>
  <c r="N43"/>
  <c r="O43"/>
  <c r="P43"/>
  <c r="Q43"/>
  <c r="R43"/>
  <c r="S43"/>
  <c r="T43"/>
  <c r="U43"/>
  <c r="V43"/>
  <c r="W43"/>
  <c r="X43"/>
  <c r="Y43"/>
  <c r="Z43"/>
  <c r="AB43"/>
  <c r="AC43"/>
  <c r="AD43"/>
  <c r="AE43"/>
  <c r="AF43"/>
  <c r="AG43"/>
  <c r="AH43"/>
  <c r="AI43"/>
  <c r="AJ43"/>
  <c r="AK43"/>
  <c r="AL43"/>
  <c r="D44"/>
  <c r="E44"/>
  <c r="F44"/>
  <c r="G44"/>
  <c r="I44"/>
  <c r="J44"/>
  <c r="K44"/>
  <c r="M44"/>
  <c r="N44"/>
  <c r="O44"/>
  <c r="P44"/>
  <c r="Q44"/>
  <c r="R44"/>
  <c r="S44"/>
  <c r="T44"/>
  <c r="U44"/>
  <c r="V44"/>
  <c r="W44"/>
  <c r="X44"/>
  <c r="Y44"/>
  <c r="Z44"/>
  <c r="AB44"/>
  <c r="AC44"/>
  <c r="AD44"/>
  <c r="AE44"/>
  <c r="AF44"/>
  <c r="AG44"/>
  <c r="AH44"/>
  <c r="AI44"/>
  <c r="AJ44"/>
  <c r="AK44"/>
  <c r="AL44"/>
  <c r="D46"/>
  <c r="E46"/>
  <c r="F46"/>
  <c r="G46"/>
  <c r="I46"/>
  <c r="J46"/>
  <c r="K46"/>
  <c r="M46"/>
  <c r="N46"/>
  <c r="O46"/>
  <c r="P46"/>
  <c r="Q46"/>
  <c r="R46"/>
  <c r="S46"/>
  <c r="T46"/>
  <c r="U46"/>
  <c r="V46"/>
  <c r="W46"/>
  <c r="X46"/>
  <c r="Y46"/>
  <c r="Z46"/>
  <c r="AB46"/>
  <c r="AC46"/>
  <c r="AD46"/>
  <c r="AE46"/>
  <c r="AF46"/>
  <c r="AG46"/>
  <c r="AH46"/>
  <c r="AI46"/>
  <c r="AJ46"/>
  <c r="AK46"/>
  <c r="AL46"/>
  <c r="D47"/>
  <c r="E47"/>
  <c r="F47"/>
  <c r="G47"/>
  <c r="H47"/>
  <c r="I47"/>
  <c r="J47"/>
  <c r="K47"/>
  <c r="M47"/>
  <c r="N47"/>
  <c r="O47"/>
  <c r="P47"/>
  <c r="Q47"/>
  <c r="R47"/>
  <c r="S47"/>
  <c r="T47"/>
  <c r="U47"/>
  <c r="V47"/>
  <c r="W47"/>
  <c r="X47"/>
  <c r="Y47"/>
  <c r="Z47"/>
  <c r="AB47"/>
  <c r="AC47"/>
  <c r="AD47"/>
  <c r="AE47"/>
  <c r="AF47"/>
  <c r="AG47"/>
  <c r="AH47"/>
  <c r="AI47"/>
  <c r="AJ47"/>
  <c r="AK47"/>
  <c r="AL47"/>
  <c r="D48"/>
  <c r="E48"/>
  <c r="F48"/>
  <c r="G48"/>
  <c r="I48"/>
  <c r="J48"/>
  <c r="K48"/>
  <c r="M48"/>
  <c r="N48"/>
  <c r="O48"/>
  <c r="P48"/>
  <c r="Q48"/>
  <c r="R48"/>
  <c r="S48"/>
  <c r="T48"/>
  <c r="U48"/>
  <c r="V48"/>
  <c r="W48"/>
  <c r="X48"/>
  <c r="Y48"/>
  <c r="Z48"/>
  <c r="AB48"/>
  <c r="AC48"/>
  <c r="AD48"/>
  <c r="AE48"/>
  <c r="AF48"/>
  <c r="AG48"/>
  <c r="AH48"/>
  <c r="AI48"/>
  <c r="AJ48"/>
  <c r="AK48"/>
  <c r="AL48"/>
  <c r="D49"/>
  <c r="E49"/>
  <c r="F49"/>
  <c r="G49"/>
  <c r="I49"/>
  <c r="J49"/>
  <c r="K49"/>
  <c r="M49"/>
  <c r="N49"/>
  <c r="O49"/>
  <c r="P49"/>
  <c r="Q49"/>
  <c r="R49"/>
  <c r="S49"/>
  <c r="T49"/>
  <c r="U49"/>
  <c r="V49"/>
  <c r="W49"/>
  <c r="X49"/>
  <c r="Y49"/>
  <c r="Z49"/>
  <c r="AB49"/>
  <c r="AC49"/>
  <c r="AD49"/>
  <c r="AE49"/>
  <c r="AF49"/>
  <c r="AG49"/>
  <c r="AH49"/>
  <c r="AI49"/>
  <c r="AJ49"/>
  <c r="AK49"/>
  <c r="AL49"/>
  <c r="D50"/>
  <c r="E50"/>
  <c r="F50"/>
  <c r="G50"/>
  <c r="I50"/>
  <c r="J50"/>
  <c r="K50"/>
  <c r="M50"/>
  <c r="N50"/>
  <c r="O50"/>
  <c r="P50"/>
  <c r="Q50"/>
  <c r="R50"/>
  <c r="S50"/>
  <c r="T50"/>
  <c r="U50"/>
  <c r="V50"/>
  <c r="W50"/>
  <c r="X50"/>
  <c r="Y50"/>
  <c r="Z50"/>
  <c r="AB50"/>
  <c r="AC50"/>
  <c r="AD50"/>
  <c r="AE50"/>
  <c r="AF50"/>
  <c r="AG50"/>
  <c r="AH50"/>
  <c r="AI50"/>
  <c r="AJ50"/>
  <c r="AK50"/>
  <c r="AL50"/>
  <c r="D51"/>
  <c r="E51"/>
  <c r="F51"/>
  <c r="G51"/>
  <c r="I51"/>
  <c r="J51"/>
  <c r="K51"/>
  <c r="M51"/>
  <c r="N51"/>
  <c r="O51"/>
  <c r="P51"/>
  <c r="Q51"/>
  <c r="R51"/>
  <c r="S51"/>
  <c r="T51"/>
  <c r="U51"/>
  <c r="V51"/>
  <c r="W51"/>
  <c r="X51"/>
  <c r="Y51"/>
  <c r="Z51"/>
  <c r="AB51"/>
  <c r="AC51"/>
  <c r="AD51"/>
  <c r="AE51"/>
  <c r="AF51"/>
  <c r="AG51"/>
  <c r="AH51"/>
  <c r="AI51"/>
  <c r="AJ51"/>
  <c r="AK51"/>
  <c r="AL51"/>
  <c r="D52"/>
  <c r="E52"/>
  <c r="F52"/>
  <c r="G52"/>
  <c r="I52"/>
  <c r="J52"/>
  <c r="K52"/>
  <c r="M52"/>
  <c r="N52"/>
  <c r="O52"/>
  <c r="P52"/>
  <c r="Q52"/>
  <c r="R52"/>
  <c r="S52"/>
  <c r="T52"/>
  <c r="U52"/>
  <c r="V52"/>
  <c r="W52"/>
  <c r="X52"/>
  <c r="Y52"/>
  <c r="Z52"/>
  <c r="AB52"/>
  <c r="AC52"/>
  <c r="AD52"/>
  <c r="AE52"/>
  <c r="AF52"/>
  <c r="AG52"/>
  <c r="AH52"/>
  <c r="AI52"/>
  <c r="AJ52"/>
  <c r="AK52"/>
  <c r="AL52"/>
  <c r="D53"/>
  <c r="E53"/>
  <c r="F53"/>
  <c r="G53"/>
  <c r="I53"/>
  <c r="J53"/>
  <c r="K53"/>
  <c r="M53"/>
  <c r="N53"/>
  <c r="O53"/>
  <c r="P53"/>
  <c r="Q53"/>
  <c r="R53"/>
  <c r="S53"/>
  <c r="T53"/>
  <c r="U53"/>
  <c r="V53"/>
  <c r="W53"/>
  <c r="X53"/>
  <c r="Y53"/>
  <c r="Z53"/>
  <c r="AB53"/>
  <c r="AC53"/>
  <c r="AD53"/>
  <c r="AE53"/>
  <c r="AF53"/>
  <c r="AG53"/>
  <c r="AH53"/>
  <c r="AI53"/>
  <c r="AJ53"/>
  <c r="AK53"/>
  <c r="AL53"/>
  <c r="D54"/>
  <c r="E54"/>
  <c r="F54"/>
  <c r="G54"/>
  <c r="I54"/>
  <c r="J54"/>
  <c r="K54"/>
  <c r="M54"/>
  <c r="N54"/>
  <c r="O54"/>
  <c r="P54"/>
  <c r="Q54"/>
  <c r="R54"/>
  <c r="S54"/>
  <c r="T54"/>
  <c r="U54"/>
  <c r="V54"/>
  <c r="W54"/>
  <c r="X54"/>
  <c r="Y54"/>
  <c r="Z54"/>
  <c r="AB54"/>
  <c r="AC54"/>
  <c r="AD54"/>
  <c r="AE54"/>
  <c r="AF54"/>
  <c r="AG54"/>
  <c r="AH54"/>
  <c r="AI54"/>
  <c r="AJ54"/>
  <c r="AK54"/>
  <c r="AL54"/>
  <c r="D55"/>
  <c r="E55"/>
  <c r="F55"/>
  <c r="G55"/>
  <c r="I55"/>
  <c r="J55"/>
  <c r="K55"/>
  <c r="M55"/>
  <c r="N55"/>
  <c r="O55"/>
  <c r="P55"/>
  <c r="Q55"/>
  <c r="R55"/>
  <c r="S55"/>
  <c r="T55"/>
  <c r="U55"/>
  <c r="V55"/>
  <c r="W55"/>
  <c r="X55"/>
  <c r="Y55"/>
  <c r="Z55"/>
  <c r="AB55"/>
  <c r="AC55"/>
  <c r="AD55"/>
  <c r="AE55"/>
  <c r="AF55"/>
  <c r="AG55"/>
  <c r="AH55"/>
  <c r="AI55"/>
  <c r="AJ55"/>
  <c r="AK55"/>
  <c r="AL55"/>
  <c r="D56"/>
  <c r="E56"/>
  <c r="F56"/>
  <c r="G56"/>
  <c r="I56"/>
  <c r="J56"/>
  <c r="K56"/>
  <c r="M56"/>
  <c r="N56"/>
  <c r="O56"/>
  <c r="P56"/>
  <c r="Q56"/>
  <c r="R56"/>
  <c r="S56"/>
  <c r="T56"/>
  <c r="U56"/>
  <c r="V56"/>
  <c r="W56"/>
  <c r="X56"/>
  <c r="Y56"/>
  <c r="Z56"/>
  <c r="AB56"/>
  <c r="AC56"/>
  <c r="AD56"/>
  <c r="AE56"/>
  <c r="AF56"/>
  <c r="AG56"/>
  <c r="AH56"/>
  <c r="AI56"/>
  <c r="AJ56"/>
  <c r="AK56"/>
  <c r="AL56"/>
  <c r="O57"/>
  <c r="R57"/>
  <c r="S57"/>
  <c r="T57"/>
  <c r="Z57"/>
  <c r="AK57"/>
  <c r="D58"/>
  <c r="E58"/>
  <c r="F58"/>
  <c r="G58"/>
  <c r="I58"/>
  <c r="J58"/>
  <c r="K58"/>
  <c r="M58"/>
  <c r="N58"/>
  <c r="O58"/>
  <c r="P58"/>
  <c r="Q58"/>
  <c r="U58"/>
  <c r="V58"/>
  <c r="W58"/>
  <c r="X58"/>
  <c r="Y58"/>
  <c r="AB58"/>
  <c r="AC58"/>
  <c r="AD58"/>
  <c r="AE58"/>
  <c r="AF58"/>
  <c r="AG58"/>
  <c r="AH58"/>
  <c r="AI58"/>
  <c r="AJ58"/>
  <c r="AL58"/>
  <c r="D59"/>
  <c r="E59"/>
  <c r="F59"/>
  <c r="G59"/>
  <c r="I59"/>
  <c r="J59"/>
  <c r="K59"/>
  <c r="M59"/>
  <c r="N59"/>
  <c r="O59"/>
  <c r="P59"/>
  <c r="Q59"/>
  <c r="U59"/>
  <c r="V59"/>
  <c r="W59"/>
  <c r="X59"/>
  <c r="Y59"/>
  <c r="AB59"/>
  <c r="AC59"/>
  <c r="AD59"/>
  <c r="AE59"/>
  <c r="AF59"/>
  <c r="AG59"/>
  <c r="AH59"/>
  <c r="AI59"/>
  <c r="AJ59"/>
  <c r="AL59"/>
  <c r="D60"/>
  <c r="E60"/>
  <c r="F60"/>
  <c r="G60"/>
  <c r="I60"/>
  <c r="J60"/>
  <c r="K60"/>
  <c r="M60"/>
  <c r="N60"/>
  <c r="O60"/>
  <c r="P60"/>
  <c r="Q60"/>
  <c r="R60"/>
  <c r="S60"/>
  <c r="T60"/>
  <c r="U60"/>
  <c r="V60"/>
  <c r="W60"/>
  <c r="X60"/>
  <c r="Y60"/>
  <c r="Z60"/>
  <c r="AB60"/>
  <c r="AC60"/>
  <c r="AD60"/>
  <c r="AE60"/>
  <c r="AF60"/>
  <c r="AG60"/>
  <c r="AH60"/>
  <c r="AI60"/>
  <c r="AJ60"/>
  <c r="AK60"/>
  <c r="AL60"/>
  <c r="D61"/>
  <c r="E61"/>
  <c r="F61"/>
  <c r="G61"/>
  <c r="I61"/>
  <c r="J61"/>
  <c r="K61"/>
  <c r="M61"/>
  <c r="N61"/>
  <c r="O61"/>
  <c r="P61"/>
  <c r="Q61"/>
  <c r="R61"/>
  <c r="S61"/>
  <c r="T61"/>
  <c r="U61"/>
  <c r="V61"/>
  <c r="W61"/>
  <c r="X61"/>
  <c r="Y61"/>
  <c r="Z61"/>
  <c r="AB61"/>
  <c r="AC61"/>
  <c r="AD61"/>
  <c r="AE61"/>
  <c r="AF61"/>
  <c r="AG61"/>
  <c r="AH61"/>
  <c r="AI61"/>
  <c r="AJ61"/>
  <c r="AK61"/>
  <c r="AL61"/>
  <c r="C12"/>
  <c r="C18"/>
  <c r="C19"/>
  <c r="C20"/>
  <c r="C21"/>
  <c r="C23"/>
  <c r="C24"/>
  <c r="C47"/>
  <c r="E79" i="30"/>
  <c r="N76"/>
  <c r="M76"/>
  <c r="L76"/>
  <c r="K76"/>
  <c r="J76"/>
  <c r="I76"/>
  <c r="H76"/>
  <c r="G76"/>
  <c r="F76"/>
  <c r="E75"/>
  <c r="D71"/>
  <c r="F124" i="46"/>
  <c r="G41" i="30"/>
  <c r="G40"/>
  <c r="G39"/>
  <c r="N108"/>
  <c r="N68"/>
  <c r="N13"/>
  <c r="E155" i="8"/>
  <c r="E154"/>
  <c r="D144"/>
  <c r="D145"/>
  <c r="N141"/>
  <c r="E122"/>
  <c r="E117"/>
  <c r="E114"/>
  <c r="N107"/>
  <c r="N21"/>
  <c r="N12"/>
  <c r="D124" i="9"/>
  <c r="D125"/>
  <c r="N121"/>
  <c r="E102"/>
  <c r="E97"/>
  <c r="E94"/>
  <c r="N87"/>
  <c r="N42"/>
  <c r="N21"/>
  <c r="N12"/>
  <c r="N161" i="6"/>
  <c r="E137"/>
  <c r="E127"/>
  <c r="E125"/>
  <c r="E122"/>
  <c r="N115"/>
  <c r="N65"/>
  <c r="N30"/>
  <c r="N21"/>
  <c r="N299" i="7"/>
  <c r="E222"/>
  <c r="E217"/>
  <c r="E208"/>
  <c r="E203"/>
  <c r="E193"/>
  <c r="E188"/>
  <c r="C164"/>
  <c r="N164"/>
  <c r="N95"/>
  <c r="N89"/>
  <c r="N44"/>
  <c r="N13"/>
  <c r="N333" i="24"/>
  <c r="E294"/>
  <c r="E293"/>
  <c r="E292"/>
  <c r="E262"/>
  <c r="E249"/>
  <c r="E245"/>
  <c r="E242"/>
  <c r="E235"/>
  <c r="E232"/>
  <c r="N202"/>
  <c r="N127"/>
  <c r="N119"/>
  <c r="N111"/>
  <c r="N103"/>
  <c r="G62" i="8"/>
  <c r="G61"/>
  <c r="E390" i="24"/>
  <c r="E383"/>
  <c r="E376"/>
  <c r="E369"/>
  <c r="E335" i="7"/>
  <c r="E177" i="6"/>
  <c r="E135" i="9"/>
  <c r="E134"/>
  <c r="G56"/>
  <c r="G55"/>
  <c r="G74" i="6"/>
  <c r="D178"/>
  <c r="D177"/>
  <c r="D164"/>
  <c r="D165"/>
  <c r="D166"/>
  <c r="D167"/>
  <c r="D168"/>
  <c r="D336" i="7"/>
  <c r="D335"/>
  <c r="C295"/>
  <c r="C294"/>
  <c r="C293"/>
  <c r="C292"/>
  <c r="D302"/>
  <c r="D303"/>
  <c r="D304"/>
  <c r="D305"/>
  <c r="D306"/>
  <c r="E315"/>
  <c r="E316"/>
  <c r="E317"/>
  <c r="E318"/>
  <c r="C324"/>
  <c r="C325"/>
  <c r="C326"/>
  <c r="C327"/>
  <c r="N107"/>
  <c r="N101"/>
  <c r="G87"/>
  <c r="AA61" i="19"/>
  <c r="AA61" i="31"/>
  <c r="L61" i="19"/>
  <c r="L61" i="31"/>
  <c r="H61" i="19"/>
  <c r="H61" i="31"/>
  <c r="C61" i="19"/>
  <c r="AA60"/>
  <c r="AA60" i="31"/>
  <c r="L60" i="19"/>
  <c r="L60" i="31"/>
  <c r="H60" i="19"/>
  <c r="H60" i="31"/>
  <c r="C60" i="19"/>
  <c r="AK59"/>
  <c r="AK59" i="31"/>
  <c r="AA59" i="19"/>
  <c r="AA59" i="31"/>
  <c r="Z59" i="19"/>
  <c r="Z59" i="31"/>
  <c r="T59" i="19"/>
  <c r="T59" i="31"/>
  <c r="S59" i="19"/>
  <c r="S59" i="31"/>
  <c r="R59" i="19"/>
  <c r="R59" i="31"/>
  <c r="H59" i="19"/>
  <c r="H59" i="31"/>
  <c r="C59" i="19"/>
  <c r="C59" i="31"/>
  <c r="AK58" i="19"/>
  <c r="AK58" i="31"/>
  <c r="AA58" i="19"/>
  <c r="AA58" i="31"/>
  <c r="Z58" i="19"/>
  <c r="Z58" i="31"/>
  <c r="T58" i="19"/>
  <c r="T58" i="31"/>
  <c r="S58" i="19"/>
  <c r="S58" i="31"/>
  <c r="R58" i="19"/>
  <c r="H58"/>
  <c r="H58" i="31"/>
  <c r="C58" i="19"/>
  <c r="AL57"/>
  <c r="AL57" i="31"/>
  <c r="AJ57" i="19"/>
  <c r="AJ57" i="31"/>
  <c r="AI57" i="19"/>
  <c r="AI57" i="31"/>
  <c r="AH57" i="19"/>
  <c r="AH57" i="31"/>
  <c r="AG57" i="19"/>
  <c r="AG57" i="31"/>
  <c r="AF57" i="19"/>
  <c r="AF57" i="31"/>
  <c r="AE57" i="19"/>
  <c r="AE57" i="31"/>
  <c r="AD57" i="19"/>
  <c r="AD57" i="31"/>
  <c r="AC57" i="19"/>
  <c r="AC57" i="31"/>
  <c r="AB57" i="19"/>
  <c r="AB57" i="31"/>
  <c r="Y57" i="19"/>
  <c r="Y57" i="31"/>
  <c r="X57" i="19"/>
  <c r="X57" i="31"/>
  <c r="W57" i="19"/>
  <c r="W57" i="31"/>
  <c r="V57" i="19"/>
  <c r="V57" i="31"/>
  <c r="U57" i="19"/>
  <c r="U57" i="31"/>
  <c r="Q57" i="19"/>
  <c r="Q57" i="31"/>
  <c r="P57" i="19"/>
  <c r="P57" i="31"/>
  <c r="N57" i="19"/>
  <c r="N57" i="31"/>
  <c r="M57" i="19"/>
  <c r="K57"/>
  <c r="K57" i="31"/>
  <c r="J57" i="19"/>
  <c r="J57" i="31"/>
  <c r="I57" i="19"/>
  <c r="I57" i="31"/>
  <c r="G57" i="19"/>
  <c r="G57" i="31"/>
  <c r="F57" i="19"/>
  <c r="F57" i="31"/>
  <c r="E57" i="19"/>
  <c r="E57" i="31"/>
  <c r="D57" i="19"/>
  <c r="D57" i="31"/>
  <c r="AA56" i="19"/>
  <c r="AA56" i="31"/>
  <c r="L56" i="19"/>
  <c r="L56" i="31"/>
  <c r="H56" i="19"/>
  <c r="H56" i="31"/>
  <c r="C56" i="19"/>
  <c r="AA55"/>
  <c r="AA55" i="31"/>
  <c r="L55" i="19"/>
  <c r="L55" i="31"/>
  <c r="H55" i="19"/>
  <c r="H55" i="31"/>
  <c r="C55" i="19"/>
  <c r="AA54"/>
  <c r="AA54" i="31"/>
  <c r="L54" i="19"/>
  <c r="L54" i="31"/>
  <c r="H54" i="19"/>
  <c r="H54" i="31"/>
  <c r="C54" i="19"/>
  <c r="AA53"/>
  <c r="AA53" i="31"/>
  <c r="L53" i="19"/>
  <c r="L53" i="31"/>
  <c r="H53" i="19"/>
  <c r="H53" i="31"/>
  <c r="C53" i="19"/>
  <c r="AA52"/>
  <c r="AA52" i="31"/>
  <c r="L52" i="19"/>
  <c r="L52" i="31"/>
  <c r="H52" i="19"/>
  <c r="H52" i="31"/>
  <c r="C52" i="19"/>
  <c r="C52" i="31"/>
  <c r="AA51" i="19"/>
  <c r="AA51" i="31"/>
  <c r="L51" i="19"/>
  <c r="L51" i="31"/>
  <c r="H51" i="19"/>
  <c r="H51" i="31"/>
  <c r="C51" i="19"/>
  <c r="AA50"/>
  <c r="AA50" i="31"/>
  <c r="L50" i="19"/>
  <c r="L50" i="31"/>
  <c r="H50" i="19"/>
  <c r="H50" i="31"/>
  <c r="C50" i="19"/>
  <c r="C50" i="31"/>
  <c r="AA49" i="19"/>
  <c r="AA49" i="31"/>
  <c r="L49" i="19"/>
  <c r="L49" i="31"/>
  <c r="H49" i="19"/>
  <c r="H49" i="31"/>
  <c r="C49" i="19"/>
  <c r="AA48"/>
  <c r="AA48" i="31"/>
  <c r="L48" i="19"/>
  <c r="L48" i="31"/>
  <c r="H48" i="19"/>
  <c r="H48" i="31"/>
  <c r="C48" i="19"/>
  <c r="C48" i="31"/>
  <c r="AA47" i="19"/>
  <c r="AA47" i="31"/>
  <c r="L47" i="19"/>
  <c r="AA46"/>
  <c r="AA46" i="31"/>
  <c r="L46" i="19"/>
  <c r="L46" i="31"/>
  <c r="H46" i="19"/>
  <c r="H46" i="31"/>
  <c r="C46" i="19"/>
  <c r="AL45"/>
  <c r="AL45" i="31"/>
  <c r="AK45" i="19"/>
  <c r="AK45" i="31"/>
  <c r="AJ45" i="19"/>
  <c r="AJ45" i="31"/>
  <c r="AI45" i="19"/>
  <c r="AI45" i="31"/>
  <c r="AH45" i="19"/>
  <c r="AH45" i="31"/>
  <c r="AG45" i="19"/>
  <c r="AG45" i="31"/>
  <c r="AF45" i="19"/>
  <c r="AF45" i="31"/>
  <c r="AE45" i="19"/>
  <c r="AE45" i="31"/>
  <c r="AD45" i="19"/>
  <c r="AD45" i="31"/>
  <c r="AC45" i="19"/>
  <c r="AC45" i="31"/>
  <c r="AB45" i="19"/>
  <c r="AB45" i="31"/>
  <c r="Z45" i="19"/>
  <c r="Z45" i="31"/>
  <c r="Y45" i="19"/>
  <c r="Y45" i="31"/>
  <c r="X45" i="19"/>
  <c r="X45" i="31"/>
  <c r="W45" i="19"/>
  <c r="W45" i="31"/>
  <c r="V45" i="19"/>
  <c r="V45" i="31"/>
  <c r="U45" i="19"/>
  <c r="U45" i="31"/>
  <c r="T45" i="19"/>
  <c r="T45" i="31"/>
  <c r="S45" i="19"/>
  <c r="S45" i="31"/>
  <c r="R45" i="19"/>
  <c r="R45" i="31"/>
  <c r="Q45" i="19"/>
  <c r="Q45" i="31"/>
  <c r="P45" i="19"/>
  <c r="P45" i="31"/>
  <c r="O45" i="19"/>
  <c r="O45" i="31"/>
  <c r="N45" i="19"/>
  <c r="N45" i="31"/>
  <c r="M45" i="19"/>
  <c r="K45"/>
  <c r="K45" i="31"/>
  <c r="J45" i="19"/>
  <c r="J45" i="31"/>
  <c r="I45" i="19"/>
  <c r="G45"/>
  <c r="G45" i="31"/>
  <c r="F45" i="19"/>
  <c r="F45" i="31"/>
  <c r="E45" i="19"/>
  <c r="E45" i="31"/>
  <c r="D45" i="19"/>
  <c r="D45" i="31"/>
  <c r="AA44" i="19"/>
  <c r="AA44" i="31"/>
  <c r="L44" i="19"/>
  <c r="L44" i="31"/>
  <c r="H44" i="19"/>
  <c r="H44" i="31"/>
  <c r="C44" i="19"/>
  <c r="AA43"/>
  <c r="AA43" i="31"/>
  <c r="L43" i="19"/>
  <c r="L43" i="31"/>
  <c r="H43" i="19"/>
  <c r="H43" i="31"/>
  <c r="C43" i="19"/>
  <c r="AA42"/>
  <c r="AA42" i="31"/>
  <c r="L42" i="19"/>
  <c r="L42" i="31"/>
  <c r="H42" i="19"/>
  <c r="H42" i="31"/>
  <c r="C42" i="19"/>
  <c r="AA41"/>
  <c r="AA41" i="31"/>
  <c r="L41" i="19"/>
  <c r="L41" i="31"/>
  <c r="H41" i="19"/>
  <c r="H41" i="31"/>
  <c r="C41" i="19"/>
  <c r="AA40"/>
  <c r="AA40" i="31"/>
  <c r="L40" i="19"/>
  <c r="L40" i="31"/>
  <c r="H40" i="19"/>
  <c r="H40" i="31"/>
  <c r="C40" i="19"/>
  <c r="AA39"/>
  <c r="AA39" i="31"/>
  <c r="L39" i="19"/>
  <c r="L39" i="31"/>
  <c r="H39" i="19"/>
  <c r="H39" i="31"/>
  <c r="C39" i="19"/>
  <c r="C39" i="31"/>
  <c r="AA38" i="19"/>
  <c r="AA38" i="31"/>
  <c r="L38" i="19"/>
  <c r="L38" i="31"/>
  <c r="H38" i="19"/>
  <c r="H38" i="31"/>
  <c r="C38" i="19"/>
  <c r="C38" i="31"/>
  <c r="AA37" i="19"/>
  <c r="AA37" i="31"/>
  <c r="L37" i="19"/>
  <c r="L37" i="31"/>
  <c r="H37" i="19"/>
  <c r="H37" i="31"/>
  <c r="C37" i="19"/>
  <c r="C37" i="31"/>
  <c r="AA36" i="19"/>
  <c r="AA36" i="31"/>
  <c r="L36" i="19"/>
  <c r="L36" i="31"/>
  <c r="H36" i="19"/>
  <c r="H36" i="31"/>
  <c r="C36" i="19"/>
  <c r="C36" i="31"/>
  <c r="AA35" i="19"/>
  <c r="AA35" i="31"/>
  <c r="L35" i="19"/>
  <c r="L35" i="31"/>
  <c r="H35" i="19"/>
  <c r="H35" i="31"/>
  <c r="C35" i="19"/>
  <c r="C35" i="31"/>
  <c r="AA34" i="19"/>
  <c r="AA34" i="31"/>
  <c r="L34" i="19"/>
  <c r="L34" i="31"/>
  <c r="H34" i="19"/>
  <c r="H34" i="31"/>
  <c r="C34" i="19"/>
  <c r="C34" i="31"/>
  <c r="AA33" i="19"/>
  <c r="AA33" i="31"/>
  <c r="L33" i="19"/>
  <c r="L33" i="31"/>
  <c r="H33" i="19"/>
  <c r="H33" i="31"/>
  <c r="C33" i="19"/>
  <c r="C33" i="31"/>
  <c r="AA32" i="19"/>
  <c r="AA32" i="31"/>
  <c r="L32" i="19"/>
  <c r="L32" i="31"/>
  <c r="H32" i="19"/>
  <c r="H32" i="31"/>
  <c r="C32" i="19"/>
  <c r="C32" i="31"/>
  <c r="AL31" i="19"/>
  <c r="AL31" i="31"/>
  <c r="AJ31" i="19"/>
  <c r="AJ31" i="31"/>
  <c r="AI31" i="19"/>
  <c r="AI31" i="31"/>
  <c r="AH31" i="19"/>
  <c r="AH31" i="31"/>
  <c r="AG31" i="19"/>
  <c r="AG31" i="31"/>
  <c r="AF31" i="19"/>
  <c r="AF31" i="31"/>
  <c r="AD31" i="19"/>
  <c r="AD31" i="31"/>
  <c r="AC31" i="19"/>
  <c r="AC31" i="31"/>
  <c r="AB31" i="19"/>
  <c r="Y31"/>
  <c r="Y31" i="31"/>
  <c r="X31" i="19"/>
  <c r="X31" i="31"/>
  <c r="W31" i="19"/>
  <c r="W31" i="31"/>
  <c r="V31" i="19"/>
  <c r="V31" i="31"/>
  <c r="Q31" i="19"/>
  <c r="Q31" i="31"/>
  <c r="N31" i="19"/>
  <c r="N31" i="31"/>
  <c r="M31" i="19"/>
  <c r="K31"/>
  <c r="K31" i="31"/>
  <c r="J31" i="19"/>
  <c r="J31" i="31"/>
  <c r="I31" i="19"/>
  <c r="W30"/>
  <c r="AA29"/>
  <c r="AA29" i="31"/>
  <c r="H29" i="19"/>
  <c r="H29" i="31"/>
  <c r="C29" i="19"/>
  <c r="AL28"/>
  <c r="AL28" i="31"/>
  <c r="AK28" i="19"/>
  <c r="AK28" i="31"/>
  <c r="AJ28" i="19"/>
  <c r="AJ28" i="31"/>
  <c r="AI28" i="19"/>
  <c r="AI28" i="31"/>
  <c r="AH28" i="19"/>
  <c r="AH28" i="31"/>
  <c r="AG28" i="19"/>
  <c r="AG28" i="31"/>
  <c r="AF28" i="19"/>
  <c r="AF28" i="31"/>
  <c r="AE28" i="19"/>
  <c r="AE28" i="31"/>
  <c r="AD28" i="19"/>
  <c r="AD28" i="31"/>
  <c r="AC28" i="19"/>
  <c r="AC28" i="31"/>
  <c r="AB28" i="19"/>
  <c r="AB28" i="31"/>
  <c r="Z28" i="19"/>
  <c r="U28"/>
  <c r="U28" i="31"/>
  <c r="T28" i="19"/>
  <c r="T28" i="31"/>
  <c r="S28" i="19"/>
  <c r="S28" i="31"/>
  <c r="R28" i="19"/>
  <c r="R28" i="31"/>
  <c r="Q28" i="19"/>
  <c r="Q28" i="31"/>
  <c r="P28" i="19"/>
  <c r="P28" i="31"/>
  <c r="O28" i="19"/>
  <c r="O28" i="31"/>
  <c r="N28" i="19"/>
  <c r="N28" i="31"/>
  <c r="M28" i="19"/>
  <c r="M28" i="31"/>
  <c r="K28" i="19"/>
  <c r="K28" i="31"/>
  <c r="J28" i="19"/>
  <c r="J28" i="31"/>
  <c r="I28" i="19"/>
  <c r="I28" i="31"/>
  <c r="H28" i="19"/>
  <c r="H28" i="31"/>
  <c r="G28" i="19"/>
  <c r="G28" i="31"/>
  <c r="F28" i="19"/>
  <c r="F28" i="31"/>
  <c r="E28" i="19"/>
  <c r="E28" i="31"/>
  <c r="D28" i="19"/>
  <c r="D28" i="31"/>
  <c r="AA26" i="19"/>
  <c r="AA26" i="31"/>
  <c r="L26" i="19"/>
  <c r="L26" i="31"/>
  <c r="H26" i="19"/>
  <c r="C26"/>
  <c r="C26" i="31"/>
  <c r="AA25" i="19"/>
  <c r="AA25" i="31"/>
  <c r="L25" i="19"/>
  <c r="L25" i="31"/>
  <c r="E25" i="19"/>
  <c r="AM24"/>
  <c r="AC23"/>
  <c r="AC23" i="31"/>
  <c r="AB23" i="19"/>
  <c r="AL22"/>
  <c r="AJ22"/>
  <c r="AJ22" i="31"/>
  <c r="AI22" i="19"/>
  <c r="AI22" i="31"/>
  <c r="AH22" i="19"/>
  <c r="AH22" i="31"/>
  <c r="AG22" i="19"/>
  <c r="AG22" i="31"/>
  <c r="AF22" i="19"/>
  <c r="AF22" i="31"/>
  <c r="AE22" i="19"/>
  <c r="AE22" i="31"/>
  <c r="AD22" i="19"/>
  <c r="AD22" i="31"/>
  <c r="AC22" i="19"/>
  <c r="AC22" i="31"/>
  <c r="Z22" i="19"/>
  <c r="Z22" i="31"/>
  <c r="Y22" i="19"/>
  <c r="Y22" i="31"/>
  <c r="X22" i="19"/>
  <c r="X22" i="31"/>
  <c r="W22" i="19"/>
  <c r="W22" i="31"/>
  <c r="V22" i="19"/>
  <c r="V22" i="31"/>
  <c r="U22" i="19"/>
  <c r="U22" i="31"/>
  <c r="T22" i="19"/>
  <c r="T22" i="31"/>
  <c r="S22" i="19"/>
  <c r="S22" i="31"/>
  <c r="R22" i="19"/>
  <c r="R22" i="31"/>
  <c r="Q22" i="19"/>
  <c r="Q22" i="31"/>
  <c r="P22" i="19"/>
  <c r="P22" i="31"/>
  <c r="O22" i="19"/>
  <c r="O22" i="31"/>
  <c r="N22" i="19"/>
  <c r="N22" i="31"/>
  <c r="M22" i="19"/>
  <c r="K22"/>
  <c r="K22" i="31"/>
  <c r="J22" i="19"/>
  <c r="J22" i="31"/>
  <c r="I22" i="19"/>
  <c r="G22"/>
  <c r="G22" i="31"/>
  <c r="F22" i="19"/>
  <c r="F22" i="31"/>
  <c r="E22" i="19"/>
  <c r="E22" i="31"/>
  <c r="D22" i="19"/>
  <c r="D22" i="31"/>
  <c r="AA21" i="19"/>
  <c r="AA21" i="31"/>
  <c r="L21" i="19"/>
  <c r="L21" i="31"/>
  <c r="H21" i="19"/>
  <c r="H21" i="31"/>
  <c r="AA20" i="19"/>
  <c r="AA20" i="31"/>
  <c r="L20" i="19"/>
  <c r="L20" i="31"/>
  <c r="H20" i="19"/>
  <c r="H20" i="31"/>
  <c r="AM19" i="19"/>
  <c r="AA18"/>
  <c r="AA17"/>
  <c r="AA17" i="31"/>
  <c r="L17" i="19"/>
  <c r="L17" i="31"/>
  <c r="H17" i="19"/>
  <c r="H17" i="31"/>
  <c r="C17" i="19"/>
  <c r="AA16"/>
  <c r="AA16" i="31"/>
  <c r="L16" i="19"/>
  <c r="L16" i="31"/>
  <c r="H16" i="19"/>
  <c r="H16" i="31"/>
  <c r="C16" i="19"/>
  <c r="C16" i="31"/>
  <c r="AL15" i="19"/>
  <c r="AL15" i="31"/>
  <c r="AK15" i="19"/>
  <c r="AK15" i="31"/>
  <c r="F96" i="47" s="1"/>
  <c r="F99" s="1"/>
  <c r="AJ15" i="19"/>
  <c r="AJ15" i="31"/>
  <c r="AI15" i="19"/>
  <c r="AI15" i="31"/>
  <c r="AH15" i="19"/>
  <c r="AH15" i="31"/>
  <c r="AG15" i="19"/>
  <c r="AG15" i="31"/>
  <c r="AF15" i="19"/>
  <c r="AF15" i="31"/>
  <c r="AE15" i="19"/>
  <c r="AE15" i="31"/>
  <c r="AD15" i="19"/>
  <c r="AD15" i="31"/>
  <c r="AC15" i="19"/>
  <c r="AC15" i="31"/>
  <c r="AB15" i="19"/>
  <c r="AB15" i="31"/>
  <c r="Z15" i="19"/>
  <c r="Z15" i="31"/>
  <c r="Y15" i="19"/>
  <c r="Y15" i="31"/>
  <c r="X15" i="19"/>
  <c r="X15" i="31"/>
  <c r="W15" i="19"/>
  <c r="W15" i="31"/>
  <c r="V15" i="19"/>
  <c r="V15" i="31"/>
  <c r="U15" i="19"/>
  <c r="U15" i="31"/>
  <c r="T15" i="19"/>
  <c r="T15" i="31"/>
  <c r="S15" i="19"/>
  <c r="S15" i="31"/>
  <c r="R15" i="19"/>
  <c r="R15" i="31"/>
  <c r="Q15" i="19"/>
  <c r="Q15" i="31"/>
  <c r="P15" i="19"/>
  <c r="P15" i="31"/>
  <c r="O15" i="19"/>
  <c r="O15" i="31"/>
  <c r="N15" i="19"/>
  <c r="N15" i="31"/>
  <c r="M15" i="19"/>
  <c r="K15"/>
  <c r="K15" i="31"/>
  <c r="J15" i="19"/>
  <c r="J15" i="31"/>
  <c r="I15" i="19"/>
  <c r="G15"/>
  <c r="G15" i="31"/>
  <c r="F15" i="19"/>
  <c r="F15" i="31"/>
  <c r="E15" i="19"/>
  <c r="E15" i="31"/>
  <c r="D15" i="19"/>
  <c r="D15" i="31"/>
  <c r="C15" i="19"/>
  <c r="C15" i="31"/>
  <c r="AA14" i="19"/>
  <c r="AA14" i="31"/>
  <c r="L14" i="19"/>
  <c r="L14" i="31"/>
  <c r="H14" i="19"/>
  <c r="H14" i="31"/>
  <c r="C14" i="19"/>
  <c r="C14" i="31"/>
  <c r="AA13" i="19"/>
  <c r="AA13" i="31"/>
  <c r="L13" i="19"/>
  <c r="L13" i="31"/>
  <c r="H13" i="19"/>
  <c r="H13" i="31"/>
  <c r="C13" i="19"/>
  <c r="AM12"/>
  <c r="AA11"/>
  <c r="AA11" i="31"/>
  <c r="L11" i="19"/>
  <c r="L11" i="31"/>
  <c r="H11" i="19"/>
  <c r="H11" i="31"/>
  <c r="C11" i="19"/>
  <c r="C11" i="31"/>
  <c r="AA10" i="19"/>
  <c r="AA10" i="31"/>
  <c r="L10" i="19"/>
  <c r="H10"/>
  <c r="C10"/>
  <c r="C10" i="31"/>
  <c r="AL9" i="19"/>
  <c r="AL9" i="31"/>
  <c r="AK9" i="19"/>
  <c r="AK9" i="31"/>
  <c r="AJ9" i="19"/>
  <c r="AJ9" i="31"/>
  <c r="AI9" i="19"/>
  <c r="AI9" i="31"/>
  <c r="AH9" i="19"/>
  <c r="AH9" i="31"/>
  <c r="AG9" i="19"/>
  <c r="AG9" i="31"/>
  <c r="AF9" i="19"/>
  <c r="AF9" i="31"/>
  <c r="AE9" i="19"/>
  <c r="AE9" i="31"/>
  <c r="AD9" i="19"/>
  <c r="AD9" i="31"/>
  <c r="AC9" i="19"/>
  <c r="AC9" i="31"/>
  <c r="AB9" i="19"/>
  <c r="AB9" i="31"/>
  <c r="Z9" i="19"/>
  <c r="Z9" i="31"/>
  <c r="Y9" i="19"/>
  <c r="Y9" i="31"/>
  <c r="X9" i="19"/>
  <c r="X9" i="31"/>
  <c r="W9" i="19"/>
  <c r="W9" i="31"/>
  <c r="V9" i="19"/>
  <c r="V9" i="31"/>
  <c r="U9" i="19"/>
  <c r="U9" i="31"/>
  <c r="T9" i="19"/>
  <c r="T9" i="31"/>
  <c r="S9" i="19"/>
  <c r="S9" i="31"/>
  <c r="R9" i="19"/>
  <c r="R9" i="31"/>
  <c r="Q9" i="19"/>
  <c r="Q9" i="31"/>
  <c r="P9" i="19"/>
  <c r="P9" i="31"/>
  <c r="O9" i="19"/>
  <c r="O9" i="31"/>
  <c r="N9" i="19"/>
  <c r="N9" i="31"/>
  <c r="M9" i="19"/>
  <c r="K9"/>
  <c r="K9" i="31"/>
  <c r="J9" i="19"/>
  <c r="J9" i="31"/>
  <c r="I9" i="19"/>
  <c r="G9"/>
  <c r="G9" i="31"/>
  <c r="F9" i="19"/>
  <c r="F9" i="31"/>
  <c r="E9" i="19"/>
  <c r="E9" i="31"/>
  <c r="D9" i="19"/>
  <c r="D9" i="31"/>
  <c r="C9" i="19"/>
  <c r="AL7"/>
  <c r="AL7" i="31"/>
  <c r="F32" i="47"/>
  <c r="F291" s="1"/>
  <c r="AK7" i="19"/>
  <c r="AK7" i="31"/>
  <c r="AJ7" i="19"/>
  <c r="AJ7" i="31"/>
  <c r="AI7" i="19"/>
  <c r="AI7" i="31"/>
  <c r="AH7" i="19"/>
  <c r="AH7" i="31"/>
  <c r="AG7" i="19"/>
  <c r="AG7" i="31"/>
  <c r="AF7" i="19"/>
  <c r="AF7" i="31"/>
  <c r="AE7" i="19"/>
  <c r="AE7" i="31"/>
  <c r="AD7" i="19"/>
  <c r="AD7" i="31"/>
  <c r="AC7" i="19"/>
  <c r="AC7" i="31"/>
  <c r="AB7" i="19"/>
  <c r="Z7"/>
  <c r="Z7" i="31"/>
  <c r="Y7" i="19"/>
  <c r="Y7" i="31"/>
  <c r="X7" i="19"/>
  <c r="X7" i="31"/>
  <c r="W7" i="19"/>
  <c r="W7" i="31"/>
  <c r="V7" i="19"/>
  <c r="V7" i="31"/>
  <c r="U7" i="19"/>
  <c r="U7" i="31"/>
  <c r="T7" i="19"/>
  <c r="T7" i="31"/>
  <c r="S7" i="19"/>
  <c r="S7" i="31"/>
  <c r="R7" i="19"/>
  <c r="R7" i="31"/>
  <c r="Q7" i="19"/>
  <c r="Q7" i="31"/>
  <c r="P7" i="19"/>
  <c r="P7" i="31"/>
  <c r="O7" i="19"/>
  <c r="O7" i="31"/>
  <c r="N7" i="19"/>
  <c r="N7" i="31"/>
  <c r="M7" i="19"/>
  <c r="K7"/>
  <c r="K7" i="31"/>
  <c r="J7" i="19"/>
  <c r="J7" i="31"/>
  <c r="I7" i="19"/>
  <c r="G7"/>
  <c r="G7" i="31"/>
  <c r="F7" i="19"/>
  <c r="F7" i="31"/>
  <c r="E7" i="19"/>
  <c r="E7" i="31"/>
  <c r="D7" i="19"/>
  <c r="D7" i="31"/>
  <c r="AA6" i="19"/>
  <c r="AA6" i="31"/>
  <c r="L6" i="19"/>
  <c r="L6" i="31"/>
  <c r="H6" i="19"/>
  <c r="H6" i="31"/>
  <c r="C6" i="19"/>
  <c r="AA5"/>
  <c r="AA5" i="31"/>
  <c r="L5" i="19"/>
  <c r="L5" i="31"/>
  <c r="H5" i="19"/>
  <c r="H5" i="31"/>
  <c r="C5" i="19"/>
  <c r="AA4"/>
  <c r="AA4" i="31"/>
  <c r="L4" i="19"/>
  <c r="L4" i="31"/>
  <c r="H4" i="19"/>
  <c r="H4" i="31"/>
  <c r="C4" i="19"/>
  <c r="AA3"/>
  <c r="AA3" i="31"/>
  <c r="L3" i="19"/>
  <c r="L3" i="31"/>
  <c r="H3" i="19"/>
  <c r="H3" i="31"/>
  <c r="C3" i="19"/>
  <c r="AA2"/>
  <c r="AA2" i="31"/>
  <c r="L2" i="19"/>
  <c r="L2" i="31"/>
  <c r="H2" i="19"/>
  <c r="H2" i="31"/>
  <c r="C2" i="19"/>
  <c r="C2" i="31"/>
  <c r="F40" i="47"/>
  <c r="H26" i="31"/>
  <c r="F8" i="19"/>
  <c r="F8" i="31"/>
  <c r="Q30" i="19"/>
  <c r="Q30" i="31"/>
  <c r="AF30" i="19"/>
  <c r="AF30" i="31"/>
  <c r="AM49" i="19"/>
  <c r="AM49" i="31"/>
  <c r="I8" i="19"/>
  <c r="I8" i="31"/>
  <c r="E8" i="19"/>
  <c r="E8" i="31"/>
  <c r="AJ27" i="19"/>
  <c r="AM21"/>
  <c r="AM21" i="31"/>
  <c r="AM14" i="19"/>
  <c r="AM14" i="31"/>
  <c r="P30" i="19"/>
  <c r="P30" i="31"/>
  <c r="AM36" i="19"/>
  <c r="AM36" i="31"/>
  <c r="J8" i="19"/>
  <c r="J8" i="31"/>
  <c r="AA15" i="19"/>
  <c r="AA15" i="31"/>
  <c r="T27" i="19"/>
  <c r="AA28"/>
  <c r="AA28" i="31"/>
  <c r="O30" i="19"/>
  <c r="O30" i="31"/>
  <c r="T30" i="19"/>
  <c r="T30" i="31"/>
  <c r="AL30" i="19"/>
  <c r="AL30" i="31"/>
  <c r="AA57" i="19"/>
  <c r="AA57" i="31"/>
  <c r="M8" i="19"/>
  <c r="M8" i="31"/>
  <c r="Q8" i="19"/>
  <c r="Q8" i="31"/>
  <c r="K30" i="19"/>
  <c r="K30" i="31"/>
  <c r="S30" i="19"/>
  <c r="S30" i="31"/>
  <c r="AK30"/>
  <c r="H22" i="19"/>
  <c r="H22" i="31"/>
  <c r="I22"/>
  <c r="AA23" i="19"/>
  <c r="AB23" i="31"/>
  <c r="S27" i="19"/>
  <c r="T27" i="31"/>
  <c r="AA31" i="19"/>
  <c r="AA31" i="31"/>
  <c r="AB31"/>
  <c r="H45" i="19"/>
  <c r="H45" i="31"/>
  <c r="I45"/>
  <c r="AM48" i="19"/>
  <c r="AM48" i="31"/>
  <c r="C49"/>
  <c r="AM2" i="19"/>
  <c r="AM2" i="31"/>
  <c r="C3"/>
  <c r="AM4" i="19"/>
  <c r="AM4" i="31"/>
  <c r="C5"/>
  <c r="C13"/>
  <c r="H15" i="19"/>
  <c r="I15" i="31"/>
  <c r="L22" i="19"/>
  <c r="L22" i="31"/>
  <c r="M22"/>
  <c r="AM41" i="19"/>
  <c r="AM41" i="31"/>
  <c r="C42"/>
  <c r="AM43" i="19"/>
  <c r="AM43" i="31"/>
  <c r="C44"/>
  <c r="C58"/>
  <c r="AA7" i="19"/>
  <c r="AB7" i="31"/>
  <c r="H9" i="19"/>
  <c r="H9" i="31"/>
  <c r="I9"/>
  <c r="AM11" i="19"/>
  <c r="AM11" i="31"/>
  <c r="AM12"/>
  <c r="AM16" i="19"/>
  <c r="AM16" i="31"/>
  <c r="C17"/>
  <c r="AM17" i="19"/>
  <c r="AM17" i="31"/>
  <c r="AA18"/>
  <c r="C25" i="19"/>
  <c r="E25" i="31"/>
  <c r="L31" i="19"/>
  <c r="M31" i="31"/>
  <c r="C46"/>
  <c r="AM46" i="19"/>
  <c r="AM46" i="31"/>
  <c r="L47"/>
  <c r="AM50" i="19"/>
  <c r="AM50" i="31"/>
  <c r="F8" i="47" s="1"/>
  <c r="C51" i="31"/>
  <c r="L58" i="19"/>
  <c r="L58" i="31"/>
  <c r="R58"/>
  <c r="AM59" i="19"/>
  <c r="AM59" i="31"/>
  <c r="C60"/>
  <c r="AM60" i="19"/>
  <c r="AM60" i="31"/>
  <c r="F14" i="47" s="1"/>
  <c r="C61" i="31"/>
  <c r="V8" i="19"/>
  <c r="V8" i="31"/>
  <c r="AE8" i="19"/>
  <c r="AE8" i="31"/>
  <c r="AI8" i="19"/>
  <c r="AI8" i="31"/>
  <c r="AM33" i="19"/>
  <c r="AM33" i="31"/>
  <c r="P8" i="19"/>
  <c r="Z8"/>
  <c r="Z8" i="31"/>
  <c r="AH8" i="19"/>
  <c r="AH8" i="31"/>
  <c r="D27" i="19"/>
  <c r="D27" i="31"/>
  <c r="AF27" i="19"/>
  <c r="C28"/>
  <c r="C28" i="31"/>
  <c r="AE30" i="19"/>
  <c r="AE30" i="31"/>
  <c r="AM32" i="19"/>
  <c r="AM32" i="31"/>
  <c r="AM35" i="19"/>
  <c r="AM35" i="31"/>
  <c r="AM47" i="19"/>
  <c r="AM47" i="31"/>
  <c r="H57" i="19"/>
  <c r="H57" i="31"/>
  <c r="AM58" i="19"/>
  <c r="AM58" i="31"/>
  <c r="R8" i="19"/>
  <c r="R8" i="31"/>
  <c r="AB8" i="19"/>
  <c r="AB8" i="31"/>
  <c r="AF8" i="19"/>
  <c r="AF8" i="31"/>
  <c r="AJ8" i="19"/>
  <c r="AJ8" i="31"/>
  <c r="AM10" i="19"/>
  <c r="AM10" i="31"/>
  <c r="X27" i="19"/>
  <c r="D30"/>
  <c r="D30" i="31"/>
  <c r="R30" i="19"/>
  <c r="R30" i="31"/>
  <c r="Z30" i="19"/>
  <c r="AI30"/>
  <c r="AM37"/>
  <c r="AM37" i="31"/>
  <c r="AA45" i="19"/>
  <c r="AA45" i="31"/>
  <c r="AM51" i="19"/>
  <c r="AM51" i="31"/>
  <c r="H7" i="19"/>
  <c r="I7" i="31"/>
  <c r="C9"/>
  <c r="L9" i="19"/>
  <c r="L9" i="31"/>
  <c r="M9"/>
  <c r="AM24"/>
  <c r="AI27" i="19"/>
  <c r="AJ27" i="31"/>
  <c r="C29"/>
  <c r="J30" i="19"/>
  <c r="V30"/>
  <c r="W30" i="31"/>
  <c r="AM3" i="19"/>
  <c r="AM3" i="31"/>
  <c r="C4"/>
  <c r="AM5" i="19"/>
  <c r="AM5" i="31"/>
  <c r="C6"/>
  <c r="L7" i="19"/>
  <c r="M7" i="31"/>
  <c r="L10"/>
  <c r="AL22"/>
  <c r="Z28"/>
  <c r="AM39" i="19"/>
  <c r="AM39" i="31"/>
  <c r="C40"/>
  <c r="AM40" i="19"/>
  <c r="AM40" i="31"/>
  <c r="C41"/>
  <c r="AM42" i="19"/>
  <c r="AM42" i="31"/>
  <c r="C43"/>
  <c r="L45" i="19"/>
  <c r="L45" i="31"/>
  <c r="M45"/>
  <c r="M57"/>
  <c r="H10"/>
  <c r="L15" i="19"/>
  <c r="L15" i="31"/>
  <c r="M15"/>
  <c r="AM18" i="19"/>
  <c r="AM18" i="31"/>
  <c r="AM19"/>
  <c r="N30" i="19"/>
  <c r="H31"/>
  <c r="I31" i="31"/>
  <c r="AM52" i="19"/>
  <c r="AM52" i="31"/>
  <c r="F11" i="47" s="1"/>
  <c r="C53" i="31"/>
  <c r="AM53" i="19"/>
  <c r="AM53" i="31"/>
  <c r="C54"/>
  <c r="AM54" i="19"/>
  <c r="AM54" i="31"/>
  <c r="C55"/>
  <c r="AM55" i="19"/>
  <c r="AM55" i="31"/>
  <c r="C56"/>
  <c r="E27" i="19"/>
  <c r="E27" i="31"/>
  <c r="C7" i="19"/>
  <c r="U8"/>
  <c r="U8" i="31"/>
  <c r="AD8" i="19"/>
  <c r="AD8" i="31"/>
  <c r="AL8" i="19"/>
  <c r="AL8" i="31"/>
  <c r="P27" i="19"/>
  <c r="C45"/>
  <c r="D8"/>
  <c r="D8" i="31"/>
  <c r="N8" i="19"/>
  <c r="N8" i="31"/>
  <c r="T8" i="19"/>
  <c r="AC8"/>
  <c r="AC8" i="31"/>
  <c r="AG8" i="19"/>
  <c r="AG8" i="31"/>
  <c r="AK8" i="19"/>
  <c r="AK8" i="31"/>
  <c r="AA9" i="19"/>
  <c r="AA9" i="31"/>
  <c r="AM20" i="19"/>
  <c r="AM20" i="31"/>
  <c r="AB22" i="19"/>
  <c r="AB22" i="31"/>
  <c r="G30" i="19"/>
  <c r="AD30"/>
  <c r="AJ30"/>
  <c r="AJ30" i="31"/>
  <c r="AM34" i="19"/>
  <c r="AM34" i="31"/>
  <c r="AM38" i="19"/>
  <c r="AM38" i="31"/>
  <c r="C57" i="19"/>
  <c r="L59"/>
  <c r="L59" i="31"/>
  <c r="AC30" i="19"/>
  <c r="AD30" i="31"/>
  <c r="O8" i="19"/>
  <c r="O8" i="31"/>
  <c r="P8"/>
  <c r="C25"/>
  <c r="AM25" i="19"/>
  <c r="AM25" i="31"/>
  <c r="C22" i="19"/>
  <c r="C22" i="31"/>
  <c r="AH27" i="19"/>
  <c r="AI27" i="31"/>
  <c r="H7"/>
  <c r="H27" i="19"/>
  <c r="H8"/>
  <c r="Y30"/>
  <c r="Z30" i="31"/>
  <c r="AE27" i="19"/>
  <c r="AF27" i="31"/>
  <c r="R27" i="19"/>
  <c r="S27" i="31"/>
  <c r="O27" i="19"/>
  <c r="P27" i="31"/>
  <c r="AM6" i="19"/>
  <c r="AM6" i="31"/>
  <c r="C7"/>
  <c r="C27" i="19"/>
  <c r="AM7" i="31"/>
  <c r="C8" i="19"/>
  <c r="G225" i="43"/>
  <c r="K225"/>
  <c r="H225"/>
  <c r="N225"/>
  <c r="M225"/>
  <c r="I225"/>
  <c r="AH30" i="19"/>
  <c r="AI30" i="31"/>
  <c r="L31"/>
  <c r="AM45" i="19"/>
  <c r="AM45" i="31"/>
  <c r="F13" i="47" s="1"/>
  <c r="AM56" i="19"/>
  <c r="AM56" i="31"/>
  <c r="C57"/>
  <c r="M30" i="19"/>
  <c r="M30" i="31"/>
  <c r="N30"/>
  <c r="L7"/>
  <c r="F41" i="47" s="1"/>
  <c r="L27" i="19"/>
  <c r="I30"/>
  <c r="I30" i="31"/>
  <c r="J30"/>
  <c r="W27" i="19"/>
  <c r="X27" i="31"/>
  <c r="X29" i="19"/>
  <c r="X29" i="31"/>
  <c r="S8" i="19"/>
  <c r="S8" i="31"/>
  <c r="T8"/>
  <c r="F30" i="19"/>
  <c r="G30" i="31"/>
  <c r="AM44" i="19"/>
  <c r="AM44" i="31"/>
  <c r="C45"/>
  <c r="C31" i="19"/>
  <c r="H31" i="31"/>
  <c r="H30" i="19"/>
  <c r="H30" i="31"/>
  <c r="U30" i="19"/>
  <c r="U30" i="31"/>
  <c r="V30"/>
  <c r="AA7"/>
  <c r="AA8" i="19"/>
  <c r="AA8" i="31"/>
  <c r="H15"/>
  <c r="AM15" i="19"/>
  <c r="AM15" i="31"/>
  <c r="AA23"/>
  <c r="AK23" i="19"/>
  <c r="AA22"/>
  <c r="AA22" i="31"/>
  <c r="L57" i="19"/>
  <c r="L57" i="31"/>
  <c r="AM9" i="19"/>
  <c r="AM9" i="31"/>
  <c r="Q103" i="26"/>
  <c r="AK23" i="31"/>
  <c r="AK22" i="19"/>
  <c r="E30"/>
  <c r="E30" i="31"/>
  <c r="F30"/>
  <c r="C8"/>
  <c r="Q27" i="19"/>
  <c r="Q27" i="31"/>
  <c r="R27"/>
  <c r="X30" i="19"/>
  <c r="X30" i="31"/>
  <c r="Y30"/>
  <c r="V27" i="19"/>
  <c r="W27" i="31"/>
  <c r="W29" i="19"/>
  <c r="K27"/>
  <c r="L27" i="31"/>
  <c r="AG30" i="19"/>
  <c r="AG30" i="31"/>
  <c r="AH30"/>
  <c r="C27"/>
  <c r="N27" i="19"/>
  <c r="O27" i="31"/>
  <c r="AD27" i="19"/>
  <c r="AE27" i="31"/>
  <c r="G27" i="19"/>
  <c r="H27" i="31"/>
  <c r="L30" i="19"/>
  <c r="L30" i="31"/>
  <c r="AM57" i="19"/>
  <c r="AM57" i="31"/>
  <c r="AM23" i="19"/>
  <c r="AM23" i="31"/>
  <c r="AA27" i="19"/>
  <c r="C31" i="31"/>
  <c r="AM31" i="19"/>
  <c r="AM31" i="31"/>
  <c r="C30" i="19"/>
  <c r="G8"/>
  <c r="G8" i="31"/>
  <c r="H8"/>
  <c r="AG27" i="19"/>
  <c r="AH27" i="31"/>
  <c r="AH62" i="19"/>
  <c r="AH62" i="31"/>
  <c r="AB30" i="19"/>
  <c r="AC30" i="31"/>
  <c r="Z27" i="19"/>
  <c r="AA27" i="31"/>
  <c r="AC27" i="19"/>
  <c r="AD27" i="31"/>
  <c r="W29"/>
  <c r="W28" i="19"/>
  <c r="AK22" i="31"/>
  <c r="F109" i="47" s="1"/>
  <c r="AK27" i="31"/>
  <c r="AA30" i="19"/>
  <c r="AA30" i="31"/>
  <c r="AB30"/>
  <c r="F27" i="19"/>
  <c r="G27" i="31"/>
  <c r="M27" i="19"/>
  <c r="N27" i="31"/>
  <c r="N62" i="19"/>
  <c r="N62" i="31"/>
  <c r="J27" i="19"/>
  <c r="K27" i="31"/>
  <c r="U27" i="19"/>
  <c r="U27" i="31"/>
  <c r="V27"/>
  <c r="C30"/>
  <c r="AG27"/>
  <c r="AG62" i="19"/>
  <c r="C62"/>
  <c r="AM22"/>
  <c r="AM22" i="31"/>
  <c r="I27" i="19"/>
  <c r="J27" i="31"/>
  <c r="Y27" i="19"/>
  <c r="Z27" i="31"/>
  <c r="AM61" i="19"/>
  <c r="AM61" i="31"/>
  <c r="C62"/>
  <c r="AM13" i="19"/>
  <c r="AM13" i="31"/>
  <c r="AM26" i="19"/>
  <c r="AM26" i="31"/>
  <c r="M27"/>
  <c r="M62" i="19"/>
  <c r="M62" i="31"/>
  <c r="AB27" i="19"/>
  <c r="AB27" i="31"/>
  <c r="AC27"/>
  <c r="AC62" i="19"/>
  <c r="AM30"/>
  <c r="AM30" i="31"/>
  <c r="AF62" i="19"/>
  <c r="AG62" i="31"/>
  <c r="W28"/>
  <c r="W8" i="19"/>
  <c r="W8" i="31"/>
  <c r="W62" i="19"/>
  <c r="F27" i="31"/>
  <c r="F62" i="19"/>
  <c r="BF83" i="26"/>
  <c r="BL83"/>
  <c r="AE62" i="19"/>
  <c r="AF62" i="31"/>
  <c r="Y27"/>
  <c r="Y29" i="19"/>
  <c r="I27" i="31"/>
  <c r="I62" i="19"/>
  <c r="E62"/>
  <c r="F62" i="31"/>
  <c r="V62" i="19"/>
  <c r="W62" i="31"/>
  <c r="AB62" i="19"/>
  <c r="AC62" i="31"/>
  <c r="H62" i="19"/>
  <c r="I62" i="31"/>
  <c r="Y29"/>
  <c r="Y28" i="19"/>
  <c r="L29"/>
  <c r="D62"/>
  <c r="D62" i="31"/>
  <c r="E62"/>
  <c r="AD62" i="19"/>
  <c r="AD62" i="31"/>
  <c r="AE62"/>
  <c r="AA62" i="19"/>
  <c r="AB62" i="31"/>
  <c r="U62" i="19"/>
  <c r="V62" i="31"/>
  <c r="T62" i="19"/>
  <c r="U62" i="31"/>
  <c r="X28" i="19"/>
  <c r="Y28" i="31"/>
  <c r="Y8" i="19"/>
  <c r="Y62"/>
  <c r="Y62" i="31"/>
  <c r="L29"/>
  <c r="L28" i="19"/>
  <c r="AM29"/>
  <c r="G62"/>
  <c r="G62" i="31"/>
  <c r="H62"/>
  <c r="Z62" i="19"/>
  <c r="Z62" i="31"/>
  <c r="AA62"/>
  <c r="BF39" i="26"/>
  <c r="BL39"/>
  <c r="AM29" i="31"/>
  <c r="AM28" i="19"/>
  <c r="AM28" i="31"/>
  <c r="X8" i="19"/>
  <c r="X8" i="31"/>
  <c r="Y8"/>
  <c r="S62" i="19"/>
  <c r="T62" i="31"/>
  <c r="X28"/>
  <c r="X62" i="19"/>
  <c r="X62" i="31"/>
  <c r="L28"/>
  <c r="L8" i="19"/>
  <c r="L62"/>
  <c r="Q103" i="25"/>
  <c r="R62" i="19"/>
  <c r="S62" i="31"/>
  <c r="K8" i="19"/>
  <c r="K8" i="31"/>
  <c r="L8"/>
  <c r="AM8" i="19"/>
  <c r="AM8" i="31"/>
  <c r="K62" i="19"/>
  <c r="L62" i="31"/>
  <c r="BF83" i="25"/>
  <c r="BL83"/>
  <c r="Q62" i="19"/>
  <c r="R62" i="31"/>
  <c r="J62" i="19"/>
  <c r="J62" i="31"/>
  <c r="K62"/>
  <c r="BF39" i="25"/>
  <c r="BL39"/>
  <c r="P62" i="19"/>
  <c r="Q62" i="31"/>
  <c r="Q103" i="1"/>
  <c r="O62" i="19"/>
  <c r="O62" i="31"/>
  <c r="P62"/>
  <c r="BF83" i="1"/>
  <c r="BL83"/>
  <c r="BF39"/>
  <c r="BL39"/>
  <c r="F339" i="15"/>
  <c r="F334"/>
  <c r="F329"/>
  <c r="N321"/>
  <c r="G20" i="16"/>
  <c r="K20"/>
  <c r="N20"/>
  <c r="I20"/>
  <c r="N312" i="15"/>
  <c r="N303"/>
  <c r="N294"/>
  <c r="N284"/>
  <c r="N275"/>
  <c r="N43"/>
  <c r="M43"/>
  <c r="L43"/>
  <c r="K43"/>
  <c r="J43"/>
  <c r="I43"/>
  <c r="H43"/>
  <c r="F43"/>
  <c r="I247"/>
  <c r="I256" s="1"/>
  <c r="X470" i="14"/>
  <c r="W470"/>
  <c r="V470"/>
  <c r="X469"/>
  <c r="W469"/>
  <c r="V469"/>
  <c r="X468"/>
  <c r="W468"/>
  <c r="V468"/>
  <c r="X467"/>
  <c r="W467"/>
  <c r="V467"/>
  <c r="X466"/>
  <c r="W466"/>
  <c r="V466"/>
  <c r="N454"/>
  <c r="M454"/>
  <c r="L454"/>
  <c r="K454"/>
  <c r="J454"/>
  <c r="I454"/>
  <c r="H454"/>
  <c r="G454"/>
  <c r="F454"/>
  <c r="F308" a="1"/>
  <c r="F309"/>
  <c r="M307"/>
  <c r="L307"/>
  <c r="K307"/>
  <c r="J307"/>
  <c r="I307"/>
  <c r="H307"/>
  <c r="G307"/>
  <c r="F267"/>
  <c r="F463"/>
  <c r="F308"/>
  <c r="G319"/>
  <c r="F311"/>
  <c r="F310"/>
  <c r="F266"/>
  <c r="F265"/>
  <c r="F264"/>
  <c r="F263"/>
  <c r="F459"/>
  <c r="F262"/>
  <c r="F268"/>
  <c r="N89"/>
  <c r="M89"/>
  <c r="L89"/>
  <c r="K89"/>
  <c r="J89"/>
  <c r="I89"/>
  <c r="N73"/>
  <c r="M73"/>
  <c r="L73"/>
  <c r="K73"/>
  <c r="J73"/>
  <c r="I73"/>
  <c r="J37"/>
  <c r="I37"/>
  <c r="H37"/>
  <c r="J32"/>
  <c r="I32"/>
  <c r="H32"/>
  <c r="G32"/>
  <c r="F32"/>
  <c r="H334" i="13"/>
  <c r="G334"/>
  <c r="H333"/>
  <c r="G333"/>
  <c r="H332"/>
  <c r="G332"/>
  <c r="H331"/>
  <c r="G331"/>
  <c r="H327"/>
  <c r="G327"/>
  <c r="H326"/>
  <c r="G326"/>
  <c r="H325"/>
  <c r="G325"/>
  <c r="H324"/>
  <c r="G324"/>
  <c r="H320"/>
  <c r="G320"/>
  <c r="H319"/>
  <c r="G319"/>
  <c r="H318"/>
  <c r="G318"/>
  <c r="H317"/>
  <c r="G317"/>
  <c r="H313"/>
  <c r="G313"/>
  <c r="H312"/>
  <c r="G312"/>
  <c r="H311"/>
  <c r="G311"/>
  <c r="H310"/>
  <c r="G310"/>
  <c r="F306"/>
  <c r="F305"/>
  <c r="F304"/>
  <c r="F303"/>
  <c r="F299"/>
  <c r="F298"/>
  <c r="F297"/>
  <c r="F296"/>
  <c r="F292"/>
  <c r="F291"/>
  <c r="F289"/>
  <c r="F285"/>
  <c r="F284"/>
  <c r="F283"/>
  <c r="K195"/>
  <c r="N125" i="12"/>
  <c r="M125"/>
  <c r="L125"/>
  <c r="K125"/>
  <c r="J125"/>
  <c r="I125"/>
  <c r="H125"/>
  <c r="G125"/>
  <c r="F125"/>
  <c r="N116"/>
  <c r="M116"/>
  <c r="L116"/>
  <c r="K116"/>
  <c r="J116"/>
  <c r="I116"/>
  <c r="H116"/>
  <c r="G116"/>
  <c r="F116"/>
  <c r="F98"/>
  <c r="F97"/>
  <c r="H34"/>
  <c r="G34"/>
  <c r="F138"/>
  <c r="K192" i="13"/>
  <c r="N194"/>
  <c r="N195"/>
  <c r="K193"/>
  <c r="I195"/>
  <c r="I193"/>
  <c r="I194"/>
  <c r="I192"/>
  <c r="L368"/>
  <c r="H368"/>
  <c r="J368"/>
  <c r="K368"/>
  <c r="G368"/>
  <c r="I368"/>
  <c r="N192"/>
  <c r="N193"/>
  <c r="K194"/>
  <c r="F461" i="14"/>
  <c r="F139" i="12"/>
  <c r="F458" i="14"/>
  <c r="F460"/>
  <c r="F462"/>
  <c r="F145" i="12"/>
  <c r="E335" i="17"/>
  <c r="E334" a="1"/>
  <c r="E334"/>
  <c r="E317" a="1"/>
  <c r="E326"/>
  <c r="E8"/>
  <c r="E324"/>
  <c r="E319"/>
  <c r="E323"/>
  <c r="E327"/>
  <c r="E317"/>
  <c r="F317"/>
  <c r="E321"/>
  <c r="E325"/>
  <c r="E320"/>
  <c r="E329"/>
  <c r="E328"/>
  <c r="E318"/>
  <c r="E322"/>
  <c r="F382" a="1"/>
  <c r="F146" i="12"/>
  <c r="F406" i="17" a="1"/>
  <c r="F402" a="1"/>
  <c r="F403" a="1"/>
  <c r="F404" a="1"/>
  <c r="F400" a="1"/>
  <c r="F401" a="1"/>
  <c r="F407" a="1"/>
  <c r="F399" a="1"/>
  <c r="N382" a="1"/>
  <c r="N415" a="1"/>
  <c r="N350" a="1"/>
  <c r="G415" a="1"/>
  <c r="F372" a="1"/>
  <c r="F368" a="1"/>
  <c r="F369" a="1"/>
  <c r="F370" a="1"/>
  <c r="F375" a="1"/>
  <c r="F371" a="1"/>
  <c r="F367" a="1"/>
  <c r="F373" a="1"/>
  <c r="F374" a="1"/>
  <c r="N400" a="1"/>
  <c r="N430" a="1"/>
  <c r="N426" a="1"/>
  <c r="N429" a="1"/>
  <c r="N427" a="1"/>
  <c r="N428" a="1"/>
  <c r="N423" a="1"/>
  <c r="N425" a="1"/>
  <c r="N422" a="1"/>
  <c r="N424" a="1"/>
  <c r="N403" a="1"/>
  <c r="N401" a="1"/>
  <c r="N370" a="1"/>
  <c r="N406" a="1"/>
  <c r="N371" a="1"/>
  <c r="N407" a="1"/>
  <c r="G429" a="1"/>
  <c r="G428" a="1"/>
  <c r="G430" a="1"/>
  <c r="G427" a="1"/>
  <c r="G426" a="1"/>
  <c r="G422" a="1"/>
  <c r="G424" a="1"/>
  <c r="G425" a="1"/>
  <c r="G423" a="1"/>
  <c r="N368" a="1"/>
  <c r="N402" a="1"/>
  <c r="N369" a="1"/>
  <c r="N404" a="1"/>
  <c r="N405" a="1"/>
  <c r="N374" a="1"/>
  <c r="N375" a="1"/>
  <c r="N372" a="1"/>
  <c r="N367" a="1"/>
  <c r="N399" a="1"/>
  <c r="N373" a="1"/>
  <c r="F97" i="18"/>
  <c r="F96"/>
  <c r="H33"/>
  <c r="G33"/>
  <c r="N934" i="4"/>
  <c r="M934"/>
  <c r="L934"/>
  <c r="K934"/>
  <c r="J934"/>
  <c r="I934"/>
  <c r="H934"/>
  <c r="G934"/>
  <c r="F934"/>
  <c r="N931"/>
  <c r="M931"/>
  <c r="L931"/>
  <c r="K931"/>
  <c r="J931"/>
  <c r="I931"/>
  <c r="H931"/>
  <c r="G931"/>
  <c r="F931"/>
  <c r="N930"/>
  <c r="M930"/>
  <c r="L930"/>
  <c r="K930"/>
  <c r="J930"/>
  <c r="I930"/>
  <c r="H930"/>
  <c r="G930"/>
  <c r="F930"/>
  <c r="N929"/>
  <c r="M929"/>
  <c r="L929"/>
  <c r="K929"/>
  <c r="J929"/>
  <c r="I929"/>
  <c r="H929"/>
  <c r="G929"/>
  <c r="F929"/>
  <c r="N928"/>
  <c r="M928"/>
  <c r="L928"/>
  <c r="K928"/>
  <c r="J928"/>
  <c r="I928"/>
  <c r="H928"/>
  <c r="G928"/>
  <c r="F928"/>
  <c r="N927"/>
  <c r="M927"/>
  <c r="L927"/>
  <c r="K927"/>
  <c r="J927"/>
  <c r="I927"/>
  <c r="H927"/>
  <c r="G927"/>
  <c r="F927"/>
  <c r="N926"/>
  <c r="M926"/>
  <c r="L926"/>
  <c r="K926"/>
  <c r="J926"/>
  <c r="I926"/>
  <c r="H926"/>
  <c r="G926"/>
  <c r="F926"/>
  <c r="N922"/>
  <c r="M922"/>
  <c r="L922"/>
  <c r="K922"/>
  <c r="J922"/>
  <c r="I922"/>
  <c r="H922"/>
  <c r="G922"/>
  <c r="F922"/>
  <c r="M850"/>
  <c r="L850"/>
  <c r="K850"/>
  <c r="I850"/>
  <c r="H850"/>
  <c r="G850"/>
  <c r="F720"/>
  <c r="F719"/>
  <c r="N667"/>
  <c r="N1281" s="1"/>
  <c r="M667"/>
  <c r="L667"/>
  <c r="L1281"/>
  <c r="K667"/>
  <c r="J667"/>
  <c r="J1281" s="1"/>
  <c r="I667"/>
  <c r="I1281" s="1"/>
  <c r="H667"/>
  <c r="H1281" s="1"/>
  <c r="G667"/>
  <c r="F667"/>
  <c r="G647"/>
  <c r="G639"/>
  <c r="F638"/>
  <c r="F637"/>
  <c r="F636"/>
  <c r="F635"/>
  <c r="F634"/>
  <c r="F633"/>
  <c r="F632"/>
  <c r="F631"/>
  <c r="F630"/>
  <c r="F629"/>
  <c r="F628"/>
  <c r="F627"/>
  <c r="F626"/>
  <c r="F1102" a="1"/>
  <c r="M581"/>
  <c r="L581"/>
  <c r="K581"/>
  <c r="I581"/>
  <c r="H581"/>
  <c r="G581"/>
  <c r="E252"/>
  <c r="F251"/>
  <c r="E251"/>
  <c r="F250"/>
  <c r="F249"/>
  <c r="N275"/>
  <c r="E249"/>
  <c r="E248"/>
  <c r="F247"/>
  <c r="N281" s="1"/>
  <c r="E247"/>
  <c r="N236"/>
  <c r="M236"/>
  <c r="L236"/>
  <c r="K236"/>
  <c r="J236"/>
  <c r="I236"/>
  <c r="H236"/>
  <c r="G236"/>
  <c r="F236"/>
  <c r="N235"/>
  <c r="M235"/>
  <c r="L235"/>
  <c r="K235"/>
  <c r="J235"/>
  <c r="I235"/>
  <c r="H235"/>
  <c r="G235"/>
  <c r="F235"/>
  <c r="F224"/>
  <c r="T97"/>
  <c r="S97"/>
  <c r="R97"/>
  <c r="Q97"/>
  <c r="P97"/>
  <c r="O97"/>
  <c r="N97"/>
  <c r="M97"/>
  <c r="L97"/>
  <c r="K97"/>
  <c r="J97"/>
  <c r="I97"/>
  <c r="H97"/>
  <c r="G97"/>
  <c r="F97"/>
  <c r="E97"/>
  <c r="X89"/>
  <c r="T89"/>
  <c r="S89"/>
  <c r="R89"/>
  <c r="Q89"/>
  <c r="P89"/>
  <c r="O89"/>
  <c r="N89"/>
  <c r="M89"/>
  <c r="L89"/>
  <c r="K89"/>
  <c r="J89"/>
  <c r="I89"/>
  <c r="H89"/>
  <c r="G89"/>
  <c r="F89"/>
  <c r="E89"/>
  <c r="F62"/>
  <c r="F754"/>
  <c r="G61"/>
  <c r="H61"/>
  <c r="G60"/>
  <c r="H60"/>
  <c r="G59"/>
  <c r="G62"/>
  <c r="G58"/>
  <c r="H58"/>
  <c r="E9"/>
  <c r="N843" s="1"/>
  <c r="E8"/>
  <c r="N278" i="10"/>
  <c r="M278"/>
  <c r="L278"/>
  <c r="K278"/>
  <c r="J278"/>
  <c r="I278"/>
  <c r="H278"/>
  <c r="G278"/>
  <c r="F278"/>
  <c r="N277"/>
  <c r="M277"/>
  <c r="L277"/>
  <c r="K277"/>
  <c r="J277"/>
  <c r="I277"/>
  <c r="H277"/>
  <c r="G277"/>
  <c r="F277"/>
  <c r="N276"/>
  <c r="M276"/>
  <c r="L276"/>
  <c r="K276"/>
  <c r="J276"/>
  <c r="I276"/>
  <c r="H276"/>
  <c r="G276"/>
  <c r="F276"/>
  <c r="N275"/>
  <c r="M275"/>
  <c r="L275"/>
  <c r="K275"/>
  <c r="J275"/>
  <c r="I275"/>
  <c r="H275"/>
  <c r="G275"/>
  <c r="F275"/>
  <c r="N274"/>
  <c r="M274"/>
  <c r="L274"/>
  <c r="K274"/>
  <c r="J274"/>
  <c r="I274"/>
  <c r="H274"/>
  <c r="G274"/>
  <c r="F274"/>
  <c r="N273"/>
  <c r="M273"/>
  <c r="L273"/>
  <c r="K273"/>
  <c r="J273"/>
  <c r="I273"/>
  <c r="H273"/>
  <c r="G273"/>
  <c r="F273"/>
  <c r="F662" i="4"/>
  <c r="F682" s="1"/>
  <c r="K1281"/>
  <c r="F657"/>
  <c r="F677" s="1"/>
  <c r="F661"/>
  <c r="F681" s="1"/>
  <c r="F655"/>
  <c r="F675" s="1"/>
  <c r="G663"/>
  <c r="G665"/>
  <c r="G685" s="1"/>
  <c r="F656"/>
  <c r="F676" s="1"/>
  <c r="G933"/>
  <c r="N933"/>
  <c r="N259"/>
  <c r="M1281"/>
  <c r="J933"/>
  <c r="I933"/>
  <c r="H933"/>
  <c r="H935"/>
  <c r="F933"/>
  <c r="F639"/>
  <c r="K933"/>
  <c r="K935"/>
  <c r="M933"/>
  <c r="L933"/>
  <c r="L935"/>
  <c r="N269"/>
  <c r="H59"/>
  <c r="N261"/>
  <c r="G658"/>
  <c r="H589"/>
  <c r="G589"/>
  <c r="G591"/>
  <c r="M587"/>
  <c r="K586"/>
  <c r="K843"/>
  <c r="M169" i="10"/>
  <c r="L169"/>
  <c r="K169"/>
  <c r="J169"/>
  <c r="I169"/>
  <c r="H169"/>
  <c r="G169"/>
  <c r="F169"/>
  <c r="N161"/>
  <c r="M161"/>
  <c r="L161"/>
  <c r="K161"/>
  <c r="J161"/>
  <c r="I161"/>
  <c r="H161"/>
  <c r="G161"/>
  <c r="F161"/>
  <c r="N160"/>
  <c r="M160"/>
  <c r="L160"/>
  <c r="K160"/>
  <c r="J160"/>
  <c r="I160"/>
  <c r="H160"/>
  <c r="G160"/>
  <c r="F160"/>
  <c r="N153"/>
  <c r="M153"/>
  <c r="L153"/>
  <c r="K153"/>
  <c r="J153"/>
  <c r="I153"/>
  <c r="H153"/>
  <c r="G153"/>
  <c r="F153"/>
  <c r="N152"/>
  <c r="M152"/>
  <c r="L152"/>
  <c r="K152"/>
  <c r="J152"/>
  <c r="I152"/>
  <c r="H152"/>
  <c r="G152"/>
  <c r="F152"/>
  <c r="O146" i="8"/>
  <c r="O147"/>
  <c r="F135"/>
  <c r="F130"/>
  <c r="F166"/>
  <c r="F125"/>
  <c r="N115"/>
  <c r="M115"/>
  <c r="L115"/>
  <c r="K115"/>
  <c r="J115"/>
  <c r="I115"/>
  <c r="H115"/>
  <c r="G115"/>
  <c r="F115"/>
  <c r="O149" i="9"/>
  <c r="O148"/>
  <c r="O147"/>
  <c r="O146"/>
  <c r="O145"/>
  <c r="O144"/>
  <c r="F115"/>
  <c r="F110"/>
  <c r="F146"/>
  <c r="F105"/>
  <c r="N95"/>
  <c r="M95"/>
  <c r="L95"/>
  <c r="K95"/>
  <c r="J95"/>
  <c r="I95"/>
  <c r="H95"/>
  <c r="G95"/>
  <c r="F95"/>
  <c r="N178" i="6"/>
  <c r="M178"/>
  <c r="L178"/>
  <c r="K178"/>
  <c r="J178"/>
  <c r="I178"/>
  <c r="H178"/>
  <c r="G178"/>
  <c r="F178"/>
  <c r="N133"/>
  <c r="M133"/>
  <c r="L133"/>
  <c r="K133"/>
  <c r="J133"/>
  <c r="I133"/>
  <c r="H133"/>
  <c r="G133"/>
  <c r="F133"/>
  <c r="N123"/>
  <c r="M123"/>
  <c r="L123"/>
  <c r="K123"/>
  <c r="J123"/>
  <c r="I123"/>
  <c r="H123"/>
  <c r="G123"/>
  <c r="F123"/>
  <c r="F122"/>
  <c r="F124"/>
  <c r="F118"/>
  <c r="F336" i="7"/>
  <c r="F335"/>
  <c r="F1125" i="4" a="1"/>
  <c r="F1122" a="1"/>
  <c r="F1119" a="1"/>
  <c r="F1118" a="1"/>
  <c r="F1123" a="1"/>
  <c r="F1120" a="1"/>
  <c r="F1126" a="1"/>
  <c r="F1121" a="1"/>
  <c r="F1124" a="1"/>
  <c r="I935"/>
  <c r="J935"/>
  <c r="G935"/>
  <c r="F935"/>
  <c r="I59"/>
  <c r="H62"/>
  <c r="F304" i="7"/>
  <c r="F303"/>
  <c r="J59" i="4"/>
  <c r="I62"/>
  <c r="F284" i="7"/>
  <c r="F283"/>
  <c r="J62" i="4"/>
  <c r="K59"/>
  <c r="F177" i="6"/>
  <c r="L59" i="4"/>
  <c r="K62"/>
  <c r="M59"/>
  <c r="L62"/>
  <c r="F248" i="7"/>
  <c r="F242"/>
  <c r="N59" i="4"/>
  <c r="M62"/>
  <c r="F236" i="7"/>
  <c r="N62" i="4"/>
  <c r="N754"/>
  <c r="M754"/>
  <c r="L754"/>
  <c r="K754"/>
  <c r="J754"/>
  <c r="I754"/>
  <c r="H754"/>
  <c r="G754"/>
  <c r="P59"/>
  <c r="N226" i="7"/>
  <c r="M226"/>
  <c r="L226"/>
  <c r="K226"/>
  <c r="J226"/>
  <c r="I226"/>
  <c r="H226"/>
  <c r="G226"/>
  <c r="F226"/>
  <c r="N219"/>
  <c r="M219"/>
  <c r="L219"/>
  <c r="K219"/>
  <c r="J219"/>
  <c r="I219"/>
  <c r="H219"/>
  <c r="G219"/>
  <c r="F219"/>
  <c r="F217"/>
  <c r="N212"/>
  <c r="M212"/>
  <c r="L212"/>
  <c r="K212"/>
  <c r="J212"/>
  <c r="I212"/>
  <c r="H212"/>
  <c r="G212"/>
  <c r="F212"/>
  <c r="N205"/>
  <c r="M205"/>
  <c r="L205"/>
  <c r="K205"/>
  <c r="J205"/>
  <c r="I205"/>
  <c r="H205"/>
  <c r="G205"/>
  <c r="F205"/>
  <c r="F204"/>
  <c r="F203"/>
  <c r="N197"/>
  <c r="M197"/>
  <c r="L197"/>
  <c r="K197"/>
  <c r="J197"/>
  <c r="I197"/>
  <c r="H197"/>
  <c r="G197"/>
  <c r="F197"/>
  <c r="N190"/>
  <c r="M190"/>
  <c r="L190"/>
  <c r="K190"/>
  <c r="J190"/>
  <c r="I190"/>
  <c r="H190"/>
  <c r="G190"/>
  <c r="F190"/>
  <c r="F188"/>
  <c r="F189"/>
  <c r="F191"/>
  <c r="F229"/>
  <c r="N384" i="24"/>
  <c r="M384"/>
  <c r="L384"/>
  <c r="K384"/>
  <c r="J384"/>
  <c r="I384"/>
  <c r="H384"/>
  <c r="G384"/>
  <c r="F384"/>
  <c r="N370"/>
  <c r="M370"/>
  <c r="L370"/>
  <c r="K370"/>
  <c r="J370"/>
  <c r="I370"/>
  <c r="H370"/>
  <c r="G370"/>
  <c r="F370"/>
  <c r="N267"/>
  <c r="M267"/>
  <c r="L267"/>
  <c r="K267"/>
  <c r="J267"/>
  <c r="I267"/>
  <c r="H267"/>
  <c r="G267"/>
  <c r="F267"/>
  <c r="N257"/>
  <c r="M257"/>
  <c r="L257"/>
  <c r="K257"/>
  <c r="J257"/>
  <c r="I257"/>
  <c r="H257"/>
  <c r="G257"/>
  <c r="F257"/>
  <c r="N238"/>
  <c r="M238"/>
  <c r="L238"/>
  <c r="K238"/>
  <c r="J238"/>
  <c r="I238"/>
  <c r="H238"/>
  <c r="G238"/>
  <c r="F238"/>
  <c r="N233"/>
  <c r="M233"/>
  <c r="L233"/>
  <c r="K233"/>
  <c r="J233"/>
  <c r="I233"/>
  <c r="H233"/>
  <c r="G233"/>
  <c r="F233"/>
  <c r="N232"/>
  <c r="N292"/>
  <c r="N369"/>
  <c r="M232"/>
  <c r="M292"/>
  <c r="L232"/>
  <c r="K232"/>
  <c r="K292"/>
  <c r="K369"/>
  <c r="L234"/>
  <c r="K234"/>
  <c r="L292"/>
  <c r="L369"/>
  <c r="M369"/>
  <c r="M234"/>
  <c r="N234"/>
  <c r="F96"/>
  <c r="H48" i="27"/>
  <c r="I48" s="1"/>
  <c r="H47"/>
  <c r="I47" s="1"/>
  <c r="H46"/>
  <c r="H45"/>
  <c r="H44"/>
  <c r="I44"/>
  <c r="H43"/>
  <c r="H42"/>
  <c r="I42" s="1"/>
  <c r="H41"/>
  <c r="I41" s="1"/>
  <c r="H40"/>
  <c r="H39"/>
  <c r="I39" s="1"/>
  <c r="H38"/>
  <c r="I38"/>
  <c r="H37"/>
  <c r="H36"/>
  <c r="I36" s="1"/>
  <c r="H35"/>
  <c r="H34"/>
  <c r="I34" s="1"/>
  <c r="H32"/>
  <c r="I32"/>
  <c r="H31"/>
  <c r="I31"/>
  <c r="H30"/>
  <c r="H29"/>
  <c r="I29" s="1"/>
  <c r="H28"/>
  <c r="H27"/>
  <c r="I27" s="1"/>
  <c r="H26"/>
  <c r="I26" s="1"/>
  <c r="I25"/>
  <c r="H24"/>
  <c r="H23"/>
  <c r="H22"/>
  <c r="H21"/>
  <c r="I21" s="1"/>
  <c r="H20"/>
  <c r="I20" s="1"/>
  <c r="H19"/>
  <c r="H18"/>
  <c r="I18" s="1"/>
  <c r="H17"/>
  <c r="I17" s="1"/>
  <c r="H16"/>
  <c r="I16" s="1"/>
  <c r="H15"/>
  <c r="H14"/>
  <c r="I14" s="1"/>
  <c r="H13"/>
  <c r="I13" s="1"/>
  <c r="H12"/>
  <c r="H11"/>
  <c r="H10"/>
  <c r="I10" s="1"/>
  <c r="H9"/>
  <c r="I9" s="1"/>
  <c r="H8"/>
  <c r="H7"/>
  <c r="G92" i="23"/>
  <c r="I8" i="27"/>
  <c r="I12"/>
  <c r="I19"/>
  <c r="I23"/>
  <c r="I35"/>
  <c r="I28"/>
  <c r="I45"/>
  <c r="I7"/>
  <c r="I11"/>
  <c r="I15"/>
  <c r="I22"/>
  <c r="I24"/>
  <c r="I30"/>
  <c r="I37"/>
  <c r="I40"/>
  <c r="I43"/>
  <c r="I46"/>
  <c r="G91" i="23"/>
  <c r="C91"/>
  <c r="G90"/>
  <c r="C90"/>
  <c r="G89"/>
  <c r="C89"/>
  <c r="G88"/>
  <c r="C88"/>
  <c r="G87"/>
  <c r="C87"/>
  <c r="C86"/>
  <c r="C85"/>
  <c r="C84"/>
  <c r="C83"/>
  <c r="G82"/>
  <c r="C82"/>
  <c r="G81"/>
  <c r="C81"/>
  <c r="C80"/>
  <c r="C79"/>
  <c r="C77"/>
  <c r="C76"/>
  <c r="C75"/>
  <c r="G74"/>
  <c r="C74"/>
  <c r="G73"/>
  <c r="C73"/>
  <c r="G72"/>
  <c r="C72"/>
  <c r="G71"/>
  <c r="C71"/>
  <c r="G70"/>
  <c r="C70"/>
  <c r="G69"/>
  <c r="C69"/>
  <c r="G68"/>
  <c r="C68"/>
  <c r="G67"/>
  <c r="C67"/>
  <c r="G66"/>
  <c r="C66"/>
  <c r="G65"/>
  <c r="C65"/>
  <c r="G64"/>
  <c r="C64"/>
  <c r="G63"/>
  <c r="C63"/>
  <c r="G62"/>
  <c r="C62"/>
  <c r="G61"/>
  <c r="C61"/>
  <c r="G60"/>
  <c r="C60"/>
  <c r="G59"/>
  <c r="C59"/>
  <c r="G58"/>
  <c r="C58"/>
  <c r="G57"/>
  <c r="C57"/>
  <c r="G56"/>
  <c r="C56"/>
  <c r="G55"/>
  <c r="C55"/>
  <c r="G54"/>
  <c r="C54"/>
  <c r="G53"/>
  <c r="C53"/>
  <c r="G52"/>
  <c r="C52"/>
  <c r="G51"/>
  <c r="C51"/>
  <c r="G50"/>
  <c r="C50"/>
  <c r="G49"/>
  <c r="C49"/>
  <c r="G48"/>
  <c r="C48"/>
  <c r="G47"/>
  <c r="C47"/>
  <c r="G46"/>
  <c r="C46"/>
  <c r="H43"/>
  <c r="C20"/>
  <c r="C13"/>
  <c r="C7"/>
  <c r="H4"/>
  <c r="C15" i="21"/>
  <c r="F60" i="22"/>
  <c r="B60"/>
  <c r="F59"/>
  <c r="B59"/>
  <c r="F58"/>
  <c r="B58"/>
  <c r="E51"/>
  <c r="E48"/>
  <c r="F42"/>
  <c r="F41"/>
  <c r="F40" s="1"/>
  <c r="E59" s="1"/>
  <c r="E34"/>
  <c r="F29"/>
  <c r="F31" s="1"/>
  <c r="F79" i="10"/>
  <c r="F24" i="22"/>
  <c r="E23"/>
  <c r="E20"/>
  <c r="E18"/>
  <c r="E17"/>
  <c r="E15"/>
  <c r="E14"/>
  <c r="E13"/>
  <c r="E12"/>
  <c r="E10"/>
  <c r="E9"/>
  <c r="E7"/>
  <c r="E6"/>
  <c r="H13" i="59"/>
  <c r="M18" i="57"/>
  <c r="N16"/>
  <c r="L18"/>
  <c r="K17"/>
  <c r="J16"/>
  <c r="N17"/>
  <c r="M16"/>
  <c r="K18"/>
  <c r="J17"/>
  <c r="I16"/>
  <c r="N18"/>
  <c r="M17"/>
  <c r="L16"/>
  <c r="J18"/>
  <c r="I17"/>
  <c r="L17"/>
  <c r="K16"/>
  <c r="I18"/>
  <c r="F32" i="34"/>
  <c r="F30"/>
  <c r="F35"/>
  <c r="F29"/>
  <c r="F34"/>
  <c r="F28"/>
  <c r="F33"/>
  <c r="N48"/>
  <c r="N44"/>
  <c r="M48"/>
  <c r="M44"/>
  <c r="L48"/>
  <c r="L44"/>
  <c r="K48"/>
  <c r="K44"/>
  <c r="J48"/>
  <c r="J44"/>
  <c r="I48"/>
  <c r="I44"/>
  <c r="H48"/>
  <c r="H44"/>
  <c r="G48"/>
  <c r="G44"/>
  <c r="N41"/>
  <c r="N37"/>
  <c r="M41"/>
  <c r="M37"/>
  <c r="L41"/>
  <c r="L37"/>
  <c r="K41"/>
  <c r="K37"/>
  <c r="J41"/>
  <c r="J37"/>
  <c r="I41"/>
  <c r="I37"/>
  <c r="H41"/>
  <c r="H37"/>
  <c r="G41"/>
  <c r="G36"/>
  <c r="M33"/>
  <c r="J32"/>
  <c r="L35"/>
  <c r="K34"/>
  <c r="J33"/>
  <c r="H35"/>
  <c r="G33"/>
  <c r="N32"/>
  <c r="K31"/>
  <c r="G31"/>
  <c r="L30"/>
  <c r="H30"/>
  <c r="M29"/>
  <c r="I29"/>
  <c r="N28"/>
  <c r="J28"/>
  <c r="N33"/>
  <c r="M30"/>
  <c r="N29"/>
  <c r="G28"/>
  <c r="M35"/>
  <c r="H32"/>
  <c r="L33"/>
  <c r="I34"/>
  <c r="N34"/>
  <c r="I31"/>
  <c r="G29"/>
  <c r="H28"/>
  <c r="N47"/>
  <c r="M47"/>
  <c r="L47"/>
  <c r="K47"/>
  <c r="J51"/>
  <c r="I51"/>
  <c r="H51"/>
  <c r="G51"/>
  <c r="G43"/>
  <c r="N36"/>
  <c r="M36"/>
  <c r="L36"/>
  <c r="K36"/>
  <c r="J36"/>
  <c r="I36"/>
  <c r="H36"/>
  <c r="G35"/>
  <c r="I32"/>
  <c r="K33"/>
  <c r="H34"/>
  <c r="N31"/>
  <c r="G30"/>
  <c r="H29"/>
  <c r="I28"/>
  <c r="N49"/>
  <c r="N45"/>
  <c r="M49"/>
  <c r="M45"/>
  <c r="L49"/>
  <c r="L45"/>
  <c r="K49"/>
  <c r="K45"/>
  <c r="J49"/>
  <c r="J45"/>
  <c r="I49"/>
  <c r="I45"/>
  <c r="H49"/>
  <c r="H45"/>
  <c r="G49"/>
  <c r="G45"/>
  <c r="N42"/>
  <c r="N38"/>
  <c r="M42"/>
  <c r="M38"/>
  <c r="L42"/>
  <c r="L38"/>
  <c r="K42"/>
  <c r="K38"/>
  <c r="J42"/>
  <c r="J38"/>
  <c r="I42"/>
  <c r="I38"/>
  <c r="H42"/>
  <c r="H38"/>
  <c r="G42"/>
  <c r="G38"/>
  <c r="M34"/>
  <c r="K32"/>
  <c r="G32"/>
  <c r="K35"/>
  <c r="J34"/>
  <c r="I33"/>
  <c r="G34"/>
  <c r="L31"/>
  <c r="H31"/>
  <c r="I30"/>
  <c r="J29"/>
  <c r="K28"/>
  <c r="L32"/>
  <c r="J35"/>
  <c r="H33"/>
  <c r="M31"/>
  <c r="N30"/>
  <c r="J30"/>
  <c r="K29"/>
  <c r="L28"/>
  <c r="M51"/>
  <c r="L51"/>
  <c r="K51"/>
  <c r="J47"/>
  <c r="I47"/>
  <c r="H47"/>
  <c r="G47"/>
  <c r="N40"/>
  <c r="M40"/>
  <c r="L40"/>
  <c r="K40"/>
  <c r="J40"/>
  <c r="I40"/>
  <c r="H40"/>
  <c r="G40"/>
  <c r="M32"/>
  <c r="L34"/>
  <c r="I35"/>
  <c r="N35"/>
  <c r="J31"/>
  <c r="K30"/>
  <c r="L29"/>
  <c r="M28"/>
  <c r="N50"/>
  <c r="N46"/>
  <c r="M50"/>
  <c r="M46"/>
  <c r="L50"/>
  <c r="L46"/>
  <c r="K50"/>
  <c r="K46"/>
  <c r="J50"/>
  <c r="J46"/>
  <c r="I50"/>
  <c r="I46"/>
  <c r="H50"/>
  <c r="H46"/>
  <c r="G50"/>
  <c r="G46"/>
  <c r="N43"/>
  <c r="N39"/>
  <c r="M43"/>
  <c r="M39"/>
  <c r="L43"/>
  <c r="L39"/>
  <c r="K43"/>
  <c r="K39"/>
  <c r="J43"/>
  <c r="J39"/>
  <c r="I43"/>
  <c r="I39"/>
  <c r="H43"/>
  <c r="H39"/>
  <c r="G37"/>
  <c r="G39"/>
  <c r="N51"/>
  <c r="F40"/>
  <c r="F44"/>
  <c r="F45"/>
  <c r="F46"/>
  <c r="F37"/>
  <c r="F36"/>
  <c r="F41"/>
  <c r="F38"/>
  <c r="F43"/>
  <c r="F48"/>
  <c r="F49"/>
  <c r="F50"/>
  <c r="F51"/>
  <c r="F42"/>
  <c r="F81" i="10"/>
  <c r="F30" i="22"/>
  <c r="F34"/>
  <c r="F61" i="8"/>
  <c r="D156" s="1"/>
  <c r="F53" i="22"/>
  <c r="F33"/>
  <c r="F50"/>
  <c r="E5"/>
  <c r="K4"/>
  <c r="F4"/>
  <c r="F22"/>
  <c r="H27" i="24"/>
  <c r="L43"/>
  <c r="G24"/>
  <c r="G42" s="1"/>
  <c r="F44"/>
  <c r="F42"/>
  <c r="F43"/>
  <c r="G86"/>
  <c r="G213" s="1"/>
  <c r="G232" s="1"/>
  <c r="H86"/>
  <c r="H213" s="1"/>
  <c r="H232" s="1"/>
  <c r="F86"/>
  <c r="F213" s="1"/>
  <c r="F232" s="1"/>
  <c r="I86"/>
  <c r="I213" s="1"/>
  <c r="I232" s="1"/>
  <c r="F123" i="47"/>
  <c r="F118"/>
  <c r="F125"/>
  <c r="F119"/>
  <c r="L97" i="46"/>
  <c r="I96"/>
  <c r="M94"/>
  <c r="I95"/>
  <c r="M97"/>
  <c r="I97"/>
  <c r="J95"/>
  <c r="N95"/>
  <c r="N97"/>
  <c r="K94"/>
  <c r="I94"/>
  <c r="M95"/>
  <c r="J94"/>
  <c r="N94"/>
  <c r="L95"/>
  <c r="K1099" i="4"/>
  <c r="H1099"/>
  <c r="G1099"/>
  <c r="I1099"/>
  <c r="M78" i="46"/>
  <c r="L78"/>
  <c r="N78"/>
  <c r="M76"/>
  <c r="F94"/>
  <c r="K79"/>
  <c r="M77"/>
  <c r="K77"/>
  <c r="J96"/>
  <c r="H97"/>
  <c r="H77"/>
  <c r="G95"/>
  <c r="F96"/>
  <c r="J79"/>
  <c r="J77"/>
  <c r="J78"/>
  <c r="K96"/>
  <c r="H96"/>
  <c r="F95"/>
  <c r="H94"/>
  <c r="M79"/>
  <c r="I77"/>
  <c r="I78"/>
  <c r="H78"/>
  <c r="L76"/>
  <c r="G96"/>
  <c r="I79"/>
  <c r="N77"/>
  <c r="L77"/>
  <c r="K76"/>
  <c r="J76"/>
  <c r="H95"/>
  <c r="F16" i="30"/>
  <c r="J16"/>
  <c r="N16"/>
  <c r="M16"/>
  <c r="H16"/>
  <c r="L16"/>
  <c r="K16"/>
  <c r="K28" i="10"/>
  <c r="J19"/>
  <c r="L19"/>
  <c r="M28"/>
  <c r="K19"/>
  <c r="J28"/>
  <c r="E86" i="17"/>
  <c r="M36" i="24"/>
  <c r="F74" i="6"/>
  <c r="L36" i="24"/>
  <c r="F101"/>
  <c r="F87" i="7"/>
  <c r="F233" s="1"/>
  <c r="C236"/>
  <c r="M43" i="24"/>
  <c r="K43"/>
  <c r="I27"/>
  <c r="N43"/>
  <c r="G77" i="46"/>
  <c r="G78"/>
  <c r="G76"/>
  <c r="F79"/>
  <c r="F77"/>
  <c r="I76"/>
  <c r="H76"/>
  <c r="E49" i="22"/>
  <c r="F43" i="51"/>
  <c r="J19" i="32"/>
  <c r="M42" i="24"/>
  <c r="J27" i="9"/>
  <c r="L17" i="7"/>
  <c r="N42" i="24"/>
  <c r="I27" i="6"/>
  <c r="J25" i="9"/>
  <c r="K18" i="7"/>
  <c r="L18" i="9"/>
  <c r="M17" i="7"/>
  <c r="L26" i="9"/>
  <c r="F17"/>
  <c r="I17"/>
  <c r="K16"/>
  <c r="H18" i="32"/>
  <c r="G183" i="10"/>
  <c r="L19" i="7"/>
  <c r="I18" i="9"/>
  <c r="H25"/>
  <c r="K27"/>
  <c r="L17" i="32"/>
  <c r="J17"/>
  <c r="I17"/>
  <c r="K17"/>
  <c r="I19"/>
  <c r="J29" i="10"/>
  <c r="N27"/>
  <c r="J27"/>
  <c r="M19"/>
  <c r="I19"/>
  <c r="K18"/>
  <c r="H19"/>
  <c r="G19"/>
  <c r="M20"/>
  <c r="H17"/>
  <c r="M29"/>
  <c r="I29"/>
  <c r="N20"/>
  <c r="J18"/>
  <c r="H20"/>
  <c r="N28"/>
  <c r="K27"/>
  <c r="L20"/>
  <c r="M18"/>
  <c r="I17"/>
  <c r="H18"/>
  <c r="L29"/>
  <c r="I28"/>
  <c r="L27"/>
  <c r="L17"/>
  <c r="G17"/>
  <c r="I27"/>
  <c r="N18"/>
  <c r="K17"/>
  <c r="G20"/>
  <c r="L42" i="24"/>
  <c r="L18" i="7"/>
  <c r="I26" i="9"/>
  <c r="I27"/>
  <c r="M26"/>
  <c r="H24" i="8"/>
  <c r="F15" i="9"/>
  <c r="L17"/>
  <c r="L25"/>
  <c r="F26" i="24"/>
  <c r="K42"/>
  <c r="M18" i="7"/>
  <c r="K16"/>
  <c r="H24" i="9"/>
  <c r="I16"/>
  <c r="H27"/>
  <c r="M18"/>
  <c r="J26"/>
  <c r="J18"/>
  <c r="H18"/>
  <c r="I25"/>
  <c r="F25" i="24"/>
  <c r="J19" i="7"/>
  <c r="F16" i="9"/>
  <c r="G18"/>
  <c r="H26"/>
  <c r="G27" i="24"/>
  <c r="F27"/>
  <c r="F97"/>
  <c r="F304" s="1"/>
  <c r="J16" i="7"/>
  <c r="M19"/>
  <c r="J17" i="9"/>
  <c r="K18"/>
  <c r="G16"/>
  <c r="K17"/>
  <c r="M25"/>
  <c r="M27"/>
  <c r="M17"/>
  <c r="G17"/>
  <c r="F32" i="22"/>
  <c r="F5"/>
  <c r="F20"/>
  <c r="F15"/>
  <c r="F13"/>
  <c r="F11"/>
  <c r="F9"/>
  <c r="F12"/>
  <c r="F8"/>
  <c r="F17"/>
  <c r="F6"/>
  <c r="F21"/>
  <c r="E21"/>
  <c r="F18"/>
  <c r="F16"/>
  <c r="F7"/>
  <c r="F19"/>
  <c r="F14"/>
  <c r="F10"/>
  <c r="F23"/>
  <c r="F7" i="28"/>
  <c r="F5"/>
  <c r="N183" i="10"/>
  <c r="H18" i="43"/>
  <c r="G16"/>
  <c r="F18"/>
  <c r="H16"/>
  <c r="H17"/>
  <c r="I16"/>
  <c r="N25" i="18"/>
  <c r="M25"/>
  <c r="L25"/>
  <c r="I25"/>
  <c r="H25"/>
  <c r="F28"/>
  <c r="M17"/>
  <c r="K17"/>
  <c r="J17"/>
  <c r="G17"/>
  <c r="F20"/>
  <c r="N26"/>
  <c r="K26"/>
  <c r="J26"/>
  <c r="H26"/>
  <c r="N18"/>
  <c r="J18"/>
  <c r="H18"/>
  <c r="L27"/>
  <c r="J27"/>
  <c r="H27"/>
  <c r="K19"/>
  <c r="H19"/>
  <c r="N28"/>
  <c r="P28" s="1"/>
  <c r="L28"/>
  <c r="J28"/>
  <c r="I28"/>
  <c r="F25"/>
  <c r="P25" s="1"/>
  <c r="N20"/>
  <c r="M20"/>
  <c r="J20"/>
  <c r="I20"/>
  <c r="G20"/>
  <c r="F27"/>
  <c r="K18"/>
  <c r="I18"/>
  <c r="K27"/>
  <c r="I27"/>
  <c r="G27"/>
  <c r="J19"/>
  <c r="I19"/>
  <c r="N26" i="12"/>
  <c r="L26"/>
  <c r="J26"/>
  <c r="I26"/>
  <c r="N19"/>
  <c r="M19"/>
  <c r="L19"/>
  <c r="I19"/>
  <c r="H19"/>
  <c r="N28"/>
  <c r="I28"/>
  <c r="M21"/>
  <c r="K21"/>
  <c r="F18"/>
  <c r="M29"/>
  <c r="K29"/>
  <c r="N18"/>
  <c r="L18"/>
  <c r="H18"/>
  <c r="M27"/>
  <c r="K27"/>
  <c r="J27"/>
  <c r="G27"/>
  <c r="N20"/>
  <c r="M20"/>
  <c r="J20"/>
  <c r="I20"/>
  <c r="G20"/>
  <c r="L28"/>
  <c r="H28"/>
  <c r="N21"/>
  <c r="H21"/>
  <c r="N29"/>
  <c r="L29"/>
  <c r="F26"/>
  <c r="M18"/>
  <c r="I18"/>
  <c r="D337" i="7"/>
  <c r="F239"/>
  <c r="F245"/>
  <c r="D179" i="6"/>
  <c r="K80" i="46"/>
  <c r="G1102" i="4" a="1"/>
  <c r="G1107"/>
  <c r="G1108"/>
  <c r="G1113"/>
  <c r="G1104"/>
  <c r="G1109"/>
  <c r="G1111"/>
  <c r="H88" i="46"/>
  <c r="M85"/>
  <c r="I87"/>
  <c r="L86"/>
  <c r="M87"/>
  <c r="J88"/>
  <c r="I85"/>
  <c r="G87"/>
  <c r="H85"/>
  <c r="J85"/>
  <c r="J86"/>
  <c r="M88"/>
  <c r="G86"/>
  <c r="H86"/>
  <c r="I86"/>
  <c r="N88"/>
  <c r="F86"/>
  <c r="F85"/>
  <c r="H87"/>
  <c r="L85"/>
  <c r="J87"/>
  <c r="K86"/>
  <c r="K87"/>
  <c r="L88"/>
  <c r="N87"/>
  <c r="F87"/>
  <c r="G85"/>
  <c r="K85"/>
  <c r="I88"/>
  <c r="N86"/>
  <c r="L87"/>
  <c r="G88"/>
  <c r="N85"/>
  <c r="M86"/>
  <c r="K88"/>
  <c r="F88"/>
  <c r="K32" i="50"/>
  <c r="J32"/>
  <c r="M32"/>
  <c r="F44" i="47"/>
  <c r="F52"/>
  <c r="F37"/>
  <c r="F29"/>
  <c r="F289" s="1"/>
  <c r="F53"/>
  <c r="F33"/>
  <c r="F24"/>
  <c r="J68" i="13"/>
  <c r="J66"/>
  <c r="G68"/>
  <c r="F65"/>
  <c r="H66"/>
  <c r="F68"/>
  <c r="G65"/>
  <c r="F66"/>
  <c r="H69"/>
  <c r="G67"/>
  <c r="F10" i="47"/>
  <c r="J28" i="51"/>
  <c r="I27"/>
  <c r="M27"/>
  <c r="L36"/>
  <c r="K37"/>
  <c r="H27"/>
  <c r="K36"/>
  <c r="G27"/>
  <c r="N36"/>
  <c r="N37"/>
  <c r="M37"/>
  <c r="J27"/>
  <c r="N27"/>
  <c r="H28"/>
  <c r="J37"/>
  <c r="J36"/>
  <c r="I32" i="50"/>
  <c r="H37" i="51"/>
  <c r="K64" i="61"/>
  <c r="G64"/>
  <c r="L63"/>
  <c r="J58"/>
  <c r="F58"/>
  <c r="G57"/>
  <c r="I52"/>
  <c r="J51"/>
  <c r="F51"/>
  <c r="M45"/>
  <c r="I45"/>
  <c r="I64"/>
  <c r="M57"/>
  <c r="L51"/>
  <c r="J46"/>
  <c r="N64"/>
  <c r="F64"/>
  <c r="G63"/>
  <c r="J57"/>
  <c r="L52"/>
  <c r="M51"/>
  <c r="L64"/>
  <c r="H64"/>
  <c r="M63"/>
  <c r="K58"/>
  <c r="G58"/>
  <c r="L57"/>
  <c r="N52"/>
  <c r="J52"/>
  <c r="F52"/>
  <c r="G51"/>
  <c r="M46"/>
  <c r="I46"/>
  <c r="J45"/>
  <c r="F45"/>
  <c r="F22"/>
  <c r="N63"/>
  <c r="F63"/>
  <c r="H58"/>
  <c r="K52"/>
  <c r="G52"/>
  <c r="H51"/>
  <c r="F46"/>
  <c r="G45"/>
  <c r="F17"/>
  <c r="K63"/>
  <c r="M58"/>
  <c r="N57"/>
  <c r="H52"/>
  <c r="I51"/>
  <c r="K46"/>
  <c r="H45"/>
  <c r="E19" i="22"/>
  <c r="G40" i="61"/>
  <c r="G35" i="51"/>
  <c r="H34"/>
  <c r="F36"/>
  <c r="F35"/>
  <c r="C18" i="23"/>
  <c r="I85" i="35" s="1"/>
  <c r="I91" s="1"/>
  <c r="C15" i="23"/>
  <c r="C14"/>
  <c r="C8"/>
  <c r="C17"/>
  <c r="F215" i="15"/>
  <c r="F166" i="42"/>
  <c r="F25" i="51"/>
  <c r="F26"/>
  <c r="F28"/>
  <c r="F27"/>
  <c r="G8" i="23"/>
  <c r="H8"/>
  <c r="G9"/>
  <c r="E75"/>
  <c r="H9"/>
  <c r="F75"/>
  <c r="G75" s="1"/>
  <c r="G10"/>
  <c r="H10"/>
  <c r="F84" s="1"/>
  <c r="G11"/>
  <c r="H11"/>
  <c r="F10"/>
  <c r="F9"/>
  <c r="D75" s="1"/>
  <c r="F8"/>
  <c r="F11"/>
  <c r="C22"/>
  <c r="C24"/>
  <c r="C23"/>
  <c r="C21"/>
  <c r="F180" i="42" s="1"/>
  <c r="G34" i="17"/>
  <c r="I35" i="51"/>
  <c r="K35"/>
  <c r="J25"/>
  <c r="H26"/>
  <c r="K26"/>
  <c r="I26"/>
  <c r="N26"/>
  <c r="G47" i="17"/>
  <c r="L35" i="51"/>
  <c r="K25"/>
  <c r="H25"/>
  <c r="G48" i="17"/>
  <c r="G39"/>
  <c r="G32"/>
  <c r="L25" i="51"/>
  <c r="G25"/>
  <c r="M26"/>
  <c r="G40" i="17"/>
  <c r="G33"/>
  <c r="N35" i="51"/>
  <c r="I25"/>
  <c r="M138" i="15"/>
  <c r="I138"/>
  <c r="J137"/>
  <c r="F137"/>
  <c r="K136"/>
  <c r="L135"/>
  <c r="H135"/>
  <c r="M134"/>
  <c r="K129"/>
  <c r="G129"/>
  <c r="L128"/>
  <c r="M127"/>
  <c r="I127"/>
  <c r="N126"/>
  <c r="F126"/>
  <c r="K125"/>
  <c r="G125"/>
  <c r="I120"/>
  <c r="N119"/>
  <c r="J119"/>
  <c r="K118"/>
  <c r="G118"/>
  <c r="L117"/>
  <c r="M116"/>
  <c r="I116"/>
  <c r="K111"/>
  <c r="L110"/>
  <c r="H110"/>
  <c r="M109"/>
  <c r="N108"/>
  <c r="J108"/>
  <c r="F108"/>
  <c r="G107"/>
  <c r="M101"/>
  <c r="M102"/>
  <c r="I73"/>
  <c r="M73"/>
  <c r="M74"/>
  <c r="I75"/>
  <c r="M75"/>
  <c r="H72"/>
  <c r="N65"/>
  <c r="M65"/>
  <c r="K65"/>
  <c r="J65"/>
  <c r="I65"/>
  <c r="G65"/>
  <c r="F67"/>
  <c r="N138"/>
  <c r="K137"/>
  <c r="L136"/>
  <c r="M135"/>
  <c r="F134"/>
  <c r="H129"/>
  <c r="I128"/>
  <c r="G126"/>
  <c r="H125"/>
  <c r="J120"/>
  <c r="L118"/>
  <c r="M117"/>
  <c r="N116"/>
  <c r="H111"/>
  <c r="I110"/>
  <c r="J109"/>
  <c r="L107"/>
  <c r="N101"/>
  <c r="N102" s="1"/>
  <c r="L73"/>
  <c r="L74"/>
  <c r="L75"/>
  <c r="L66"/>
  <c r="J66"/>
  <c r="H66"/>
  <c r="F42" i="16"/>
  <c r="M109"/>
  <c r="L109"/>
  <c r="K109"/>
  <c r="I109"/>
  <c r="H109"/>
  <c r="G138" i="15"/>
  <c r="I136"/>
  <c r="J135"/>
  <c r="K134"/>
  <c r="N128"/>
  <c r="F128"/>
  <c r="G127"/>
  <c r="G120"/>
  <c r="H119"/>
  <c r="N117"/>
  <c r="K116"/>
  <c r="M111"/>
  <c r="N110"/>
  <c r="L108"/>
  <c r="M107"/>
  <c r="G101"/>
  <c r="G102" s="1"/>
  <c r="G74"/>
  <c r="G75"/>
  <c r="N72"/>
  <c r="L67"/>
  <c r="J67"/>
  <c r="H67"/>
  <c r="L138"/>
  <c r="H138"/>
  <c r="M137"/>
  <c r="N136"/>
  <c r="J136"/>
  <c r="F136"/>
  <c r="G135"/>
  <c r="L134"/>
  <c r="H134"/>
  <c r="J129"/>
  <c r="F129"/>
  <c r="K128"/>
  <c r="L127"/>
  <c r="H127"/>
  <c r="M126"/>
  <c r="N125"/>
  <c r="J125"/>
  <c r="F125"/>
  <c r="H120"/>
  <c r="M119"/>
  <c r="I119"/>
  <c r="J118"/>
  <c r="F118"/>
  <c r="K117"/>
  <c r="L116"/>
  <c r="H116"/>
  <c r="N111"/>
  <c r="F111"/>
  <c r="K110"/>
  <c r="G110"/>
  <c r="H109"/>
  <c r="M108"/>
  <c r="I108"/>
  <c r="J107"/>
  <c r="F107"/>
  <c r="L101"/>
  <c r="L102" s="1"/>
  <c r="H101"/>
  <c r="H102" s="1"/>
  <c r="J73"/>
  <c r="J74"/>
  <c r="N74"/>
  <c r="J75"/>
  <c r="K72"/>
  <c r="G72"/>
  <c r="N64"/>
  <c r="L64"/>
  <c r="K64"/>
  <c r="J64"/>
  <c r="H64"/>
  <c r="G64"/>
  <c r="F64"/>
  <c r="G137"/>
  <c r="H136"/>
  <c r="I135"/>
  <c r="L129"/>
  <c r="M128"/>
  <c r="N127"/>
  <c r="K126"/>
  <c r="L125"/>
  <c r="N120"/>
  <c r="G119"/>
  <c r="H118"/>
  <c r="I117"/>
  <c r="L111"/>
  <c r="M110"/>
  <c r="N109"/>
  <c r="G108"/>
  <c r="H107"/>
  <c r="J101"/>
  <c r="J102" s="1"/>
  <c r="H73"/>
  <c r="H74"/>
  <c r="H75"/>
  <c r="N66"/>
  <c r="M66"/>
  <c r="K66"/>
  <c r="G67"/>
  <c r="J109" i="16"/>
  <c r="G109"/>
  <c r="L137" i="15"/>
  <c r="M136"/>
  <c r="N135"/>
  <c r="G134"/>
  <c r="I129"/>
  <c r="J128"/>
  <c r="L126"/>
  <c r="H126"/>
  <c r="I125"/>
  <c r="L119"/>
  <c r="M118"/>
  <c r="I118"/>
  <c r="G116"/>
  <c r="I111"/>
  <c r="J110"/>
  <c r="G109"/>
  <c r="H108"/>
  <c r="I107"/>
  <c r="G73"/>
  <c r="K73"/>
  <c r="K75"/>
  <c r="J72"/>
  <c r="M67"/>
  <c r="I67"/>
  <c r="G66"/>
  <c r="L160" i="14"/>
  <c r="L225"/>
  <c r="H225"/>
  <c r="M224"/>
  <c r="N223"/>
  <c r="J223"/>
  <c r="F223"/>
  <c r="G222"/>
  <c r="L221"/>
  <c r="H221"/>
  <c r="I220"/>
  <c r="N219"/>
  <c r="J219"/>
  <c r="K218"/>
  <c r="G218"/>
  <c r="L217"/>
  <c r="M216"/>
  <c r="I216"/>
  <c r="N215"/>
  <c r="F215"/>
  <c r="L210"/>
  <c r="H210"/>
  <c r="I209"/>
  <c r="N208"/>
  <c r="J208"/>
  <c r="K207"/>
  <c r="G207"/>
  <c r="L206"/>
  <c r="M205"/>
  <c r="I205"/>
  <c r="N204"/>
  <c r="F204"/>
  <c r="K203"/>
  <c r="G203"/>
  <c r="H202"/>
  <c r="M201"/>
  <c r="I201"/>
  <c r="J200"/>
  <c r="F200"/>
  <c r="L195"/>
  <c r="M194"/>
  <c r="I194"/>
  <c r="N193"/>
  <c r="F193"/>
  <c r="K192"/>
  <c r="G192"/>
  <c r="H191"/>
  <c r="M190"/>
  <c r="I190"/>
  <c r="J189"/>
  <c r="F189"/>
  <c r="K188"/>
  <c r="L187"/>
  <c r="H187"/>
  <c r="M186"/>
  <c r="N185"/>
  <c r="J185"/>
  <c r="F185"/>
  <c r="H180"/>
  <c r="M179"/>
  <c r="I179"/>
  <c r="J178"/>
  <c r="F178"/>
  <c r="K177"/>
  <c r="L176"/>
  <c r="H176"/>
  <c r="M175"/>
  <c r="N174"/>
  <c r="J174"/>
  <c r="F174"/>
  <c r="G173"/>
  <c r="L172"/>
  <c r="H172"/>
  <c r="I171"/>
  <c r="N170"/>
  <c r="J170"/>
  <c r="M133" i="13"/>
  <c r="I133"/>
  <c r="N132"/>
  <c r="F132"/>
  <c r="K131"/>
  <c r="G131"/>
  <c r="I126"/>
  <c r="N125"/>
  <c r="J125"/>
  <c r="K124"/>
  <c r="G124"/>
  <c r="M119"/>
  <c r="N118"/>
  <c r="J118"/>
  <c r="F118"/>
  <c r="G117"/>
  <c r="M112"/>
  <c r="I112"/>
  <c r="J111"/>
  <c r="F111"/>
  <c r="K110"/>
  <c r="F21" i="12"/>
  <c r="N48" i="17"/>
  <c r="M47"/>
  <c r="J48"/>
  <c r="I47"/>
  <c r="F47"/>
  <c r="N49"/>
  <c r="N42"/>
  <c r="M40"/>
  <c r="J42"/>
  <c r="I40"/>
  <c r="H39"/>
  <c r="M41"/>
  <c r="F42"/>
  <c r="K34"/>
  <c r="L32"/>
  <c r="M31"/>
  <c r="I31"/>
  <c r="M33"/>
  <c r="F32"/>
  <c r="G200"/>
  <c r="G201" s="1"/>
  <c r="K200"/>
  <c r="K201" s="1"/>
  <c r="I202"/>
  <c r="I203" s="1"/>
  <c r="M202"/>
  <c r="M203" s="1"/>
  <c r="I204"/>
  <c r="I205" s="1"/>
  <c r="M204"/>
  <c r="M205" s="1"/>
  <c r="I206"/>
  <c r="I207" s="1"/>
  <c r="M206"/>
  <c r="M207"/>
  <c r="I208"/>
  <c r="I209" s="1"/>
  <c r="M208"/>
  <c r="M209" s="1"/>
  <c r="I212"/>
  <c r="I213" s="1"/>
  <c r="M212"/>
  <c r="M213" s="1"/>
  <c r="I214"/>
  <c r="I215" s="1"/>
  <c r="M214"/>
  <c r="M215"/>
  <c r="I220"/>
  <c r="I221" s="1"/>
  <c r="M220"/>
  <c r="M221"/>
  <c r="J222"/>
  <c r="J223" s="1"/>
  <c r="N222"/>
  <c r="N223" s="1"/>
  <c r="J224"/>
  <c r="J225" s="1"/>
  <c r="N224"/>
  <c r="N225"/>
  <c r="J226"/>
  <c r="J227" s="1"/>
  <c r="N226"/>
  <c r="N227" s="1"/>
  <c r="J228"/>
  <c r="J229" s="1"/>
  <c r="N228"/>
  <c r="N229"/>
  <c r="M160" i="14"/>
  <c r="M225"/>
  <c r="I225"/>
  <c r="N224"/>
  <c r="F224"/>
  <c r="K223"/>
  <c r="G223"/>
  <c r="H222"/>
  <c r="M221"/>
  <c r="I221"/>
  <c r="J220"/>
  <c r="F220"/>
  <c r="K219"/>
  <c r="L218"/>
  <c r="H218"/>
  <c r="M217"/>
  <c r="N216"/>
  <c r="J216"/>
  <c r="F216"/>
  <c r="G215"/>
  <c r="M210"/>
  <c r="I210"/>
  <c r="J209"/>
  <c r="F209"/>
  <c r="K208"/>
  <c r="L207"/>
  <c r="H207"/>
  <c r="M206"/>
  <c r="N205"/>
  <c r="J205"/>
  <c r="F205"/>
  <c r="G204"/>
  <c r="L203"/>
  <c r="H203"/>
  <c r="I202"/>
  <c r="N201"/>
  <c r="J201"/>
  <c r="K200"/>
  <c r="G200"/>
  <c r="M195"/>
  <c r="N194"/>
  <c r="J194"/>
  <c r="F194"/>
  <c r="G193"/>
  <c r="L192"/>
  <c r="H192"/>
  <c r="I191"/>
  <c r="N190"/>
  <c r="J190"/>
  <c r="F190"/>
  <c r="K189"/>
  <c r="G189"/>
  <c r="L188"/>
  <c r="H188"/>
  <c r="M187"/>
  <c r="I187"/>
  <c r="N186"/>
  <c r="J186"/>
  <c r="F186"/>
  <c r="K185"/>
  <c r="G185"/>
  <c r="M180"/>
  <c r="I180"/>
  <c r="N179"/>
  <c r="J179"/>
  <c r="F179"/>
  <c r="K178"/>
  <c r="G178"/>
  <c r="L177"/>
  <c r="H177"/>
  <c r="M176"/>
  <c r="I176"/>
  <c r="N175"/>
  <c r="J175"/>
  <c r="F175"/>
  <c r="K174"/>
  <c r="G174"/>
  <c r="L173"/>
  <c r="H173"/>
  <c r="M172"/>
  <c r="I172"/>
  <c r="N171"/>
  <c r="J171"/>
  <c r="F171"/>
  <c r="K170"/>
  <c r="G170"/>
  <c r="N133" i="13"/>
  <c r="J133"/>
  <c r="F133"/>
  <c r="K132"/>
  <c r="G132"/>
  <c r="L131"/>
  <c r="H131"/>
  <c r="N126"/>
  <c r="J126"/>
  <c r="F126"/>
  <c r="K125"/>
  <c r="G125"/>
  <c r="L124"/>
  <c r="H124"/>
  <c r="N119"/>
  <c r="J119"/>
  <c r="F119"/>
  <c r="K118"/>
  <c r="G118"/>
  <c r="L117"/>
  <c r="H117"/>
  <c r="N112"/>
  <c r="J112"/>
  <c r="F112"/>
  <c r="K111"/>
  <c r="G111"/>
  <c r="L110"/>
  <c r="H110"/>
  <c r="F27" i="12"/>
  <c r="N50" i="17"/>
  <c r="M48"/>
  <c r="L47"/>
  <c r="J50"/>
  <c r="I48"/>
  <c r="H47"/>
  <c r="I49"/>
  <c r="M49"/>
  <c r="F50"/>
  <c r="M42"/>
  <c r="L40"/>
  <c r="K39"/>
  <c r="I42"/>
  <c r="H40"/>
  <c r="H41"/>
  <c r="L41"/>
  <c r="F41"/>
  <c r="L34"/>
  <c r="H34"/>
  <c r="K32"/>
  <c r="N31"/>
  <c r="J31"/>
  <c r="H33"/>
  <c r="L33"/>
  <c r="F33"/>
  <c r="J200"/>
  <c r="J201"/>
  <c r="N200"/>
  <c r="N201"/>
  <c r="H202"/>
  <c r="H203"/>
  <c r="L202"/>
  <c r="L203"/>
  <c r="H204"/>
  <c r="H205"/>
  <c r="L204"/>
  <c r="L205"/>
  <c r="H206"/>
  <c r="H207"/>
  <c r="L206"/>
  <c r="L207"/>
  <c r="H208"/>
  <c r="H209"/>
  <c r="L208"/>
  <c r="L209"/>
  <c r="H212"/>
  <c r="H213"/>
  <c r="L212"/>
  <c r="L213"/>
  <c r="H214"/>
  <c r="H215"/>
  <c r="L214"/>
  <c r="L215"/>
  <c r="H220"/>
  <c r="H221"/>
  <c r="L220"/>
  <c r="L221"/>
  <c r="I222"/>
  <c r="I223"/>
  <c r="M222"/>
  <c r="M223"/>
  <c r="I224"/>
  <c r="I225"/>
  <c r="M224"/>
  <c r="M225"/>
  <c r="I226"/>
  <c r="I227"/>
  <c r="M226"/>
  <c r="M227"/>
  <c r="I228"/>
  <c r="I229"/>
  <c r="M228"/>
  <c r="M229"/>
  <c r="J160" i="14"/>
  <c r="J225"/>
  <c r="K224"/>
  <c r="L223"/>
  <c r="M222"/>
  <c r="N221"/>
  <c r="F221"/>
  <c r="G220"/>
  <c r="H219"/>
  <c r="I218"/>
  <c r="J217"/>
  <c r="K216"/>
  <c r="L215"/>
  <c r="N210"/>
  <c r="F210"/>
  <c r="G209"/>
  <c r="H208"/>
  <c r="I207"/>
  <c r="J206"/>
  <c r="K205"/>
  <c r="L204"/>
  <c r="M203"/>
  <c r="N202"/>
  <c r="F202"/>
  <c r="G201"/>
  <c r="H200"/>
  <c r="J195"/>
  <c r="K194"/>
  <c r="L193"/>
  <c r="M192"/>
  <c r="N191"/>
  <c r="F191"/>
  <c r="G190"/>
  <c r="H189"/>
  <c r="I188"/>
  <c r="J187"/>
  <c r="K186"/>
  <c r="L185"/>
  <c r="N180"/>
  <c r="F180"/>
  <c r="G179"/>
  <c r="H178"/>
  <c r="I177"/>
  <c r="J176"/>
  <c r="K175"/>
  <c r="L174"/>
  <c r="M173"/>
  <c r="N172"/>
  <c r="F172"/>
  <c r="G171"/>
  <c r="H170"/>
  <c r="K133" i="13"/>
  <c r="L132"/>
  <c r="M131"/>
  <c r="G126"/>
  <c r="H125"/>
  <c r="I124"/>
  <c r="K119"/>
  <c r="L118"/>
  <c r="M117"/>
  <c r="G112"/>
  <c r="H111"/>
  <c r="I110"/>
  <c r="F19" i="12"/>
  <c r="N47" i="17"/>
  <c r="K48"/>
  <c r="H48"/>
  <c r="K49"/>
  <c r="N40"/>
  <c r="K42"/>
  <c r="I39"/>
  <c r="J41"/>
  <c r="N34"/>
  <c r="I32"/>
  <c r="L31"/>
  <c r="J33"/>
  <c r="I200"/>
  <c r="I201"/>
  <c r="K202"/>
  <c r="K203"/>
  <c r="K204"/>
  <c r="K205"/>
  <c r="K206"/>
  <c r="K207"/>
  <c r="K208"/>
  <c r="K209"/>
  <c r="K212"/>
  <c r="K213"/>
  <c r="K214"/>
  <c r="K215"/>
  <c r="K220"/>
  <c r="K221"/>
  <c r="L222"/>
  <c r="L223"/>
  <c r="L224"/>
  <c r="L225"/>
  <c r="L226"/>
  <c r="L227"/>
  <c r="L228"/>
  <c r="L229"/>
  <c r="I232"/>
  <c r="I233"/>
  <c r="M232"/>
  <c r="M233"/>
  <c r="J234"/>
  <c r="J235"/>
  <c r="N234"/>
  <c r="N235"/>
  <c r="J244"/>
  <c r="J245"/>
  <c r="N244"/>
  <c r="N245"/>
  <c r="J246"/>
  <c r="J247"/>
  <c r="N246"/>
  <c r="N247"/>
  <c r="J254"/>
  <c r="J255"/>
  <c r="N254"/>
  <c r="N255"/>
  <c r="J260"/>
  <c r="J261"/>
  <c r="N260"/>
  <c r="N261"/>
  <c r="J262"/>
  <c r="J263"/>
  <c r="N262"/>
  <c r="N263"/>
  <c r="J264"/>
  <c r="J265"/>
  <c r="N264"/>
  <c r="N265"/>
  <c r="J266"/>
  <c r="J267"/>
  <c r="N266"/>
  <c r="N267"/>
  <c r="J268"/>
  <c r="J269"/>
  <c r="N268"/>
  <c r="N269"/>
  <c r="J272"/>
  <c r="J273"/>
  <c r="N272"/>
  <c r="N273"/>
  <c r="J274"/>
  <c r="J275"/>
  <c r="N274"/>
  <c r="N275"/>
  <c r="F272"/>
  <c r="F273"/>
  <c r="F264"/>
  <c r="F265"/>
  <c r="F254"/>
  <c r="F255"/>
  <c r="F246"/>
  <c r="F247"/>
  <c r="F228"/>
  <c r="F229"/>
  <c r="F220"/>
  <c r="F221"/>
  <c r="F202"/>
  <c r="F203"/>
  <c r="I351" i="4"/>
  <c r="I352"/>
  <c r="M351"/>
  <c r="M352"/>
  <c r="I353"/>
  <c r="I354"/>
  <c r="M353"/>
  <c r="M354"/>
  <c r="I355"/>
  <c r="I356"/>
  <c r="M355"/>
  <c r="M356"/>
  <c r="I357"/>
  <c r="I358"/>
  <c r="M357"/>
  <c r="M358"/>
  <c r="I359"/>
  <c r="I360"/>
  <c r="M359"/>
  <c r="M360"/>
  <c r="I363"/>
  <c r="I364"/>
  <c r="M363"/>
  <c r="M364"/>
  <c r="I365"/>
  <c r="I366"/>
  <c r="M365"/>
  <c r="M366"/>
  <c r="I335"/>
  <c r="I336"/>
  <c r="M335"/>
  <c r="M336"/>
  <c r="I337"/>
  <c r="I338"/>
  <c r="M337"/>
  <c r="M338"/>
  <c r="I345"/>
  <c r="I346"/>
  <c r="M345"/>
  <c r="M346"/>
  <c r="H311"/>
  <c r="H312"/>
  <c r="L311"/>
  <c r="L312"/>
  <c r="I313"/>
  <c r="I314"/>
  <c r="M313"/>
  <c r="M314"/>
  <c r="I315"/>
  <c r="I316"/>
  <c r="M315"/>
  <c r="M316"/>
  <c r="I317"/>
  <c r="I318"/>
  <c r="M317"/>
  <c r="M318"/>
  <c r="I319"/>
  <c r="I320"/>
  <c r="M319"/>
  <c r="M320"/>
  <c r="I323"/>
  <c r="I324"/>
  <c r="M323"/>
  <c r="M324"/>
  <c r="I325"/>
  <c r="I326"/>
  <c r="M325"/>
  <c r="M326"/>
  <c r="F305"/>
  <c r="F306"/>
  <c r="F353"/>
  <c r="F354"/>
  <c r="F323"/>
  <c r="F324"/>
  <c r="F315"/>
  <c r="F316"/>
  <c r="N305"/>
  <c r="N306"/>
  <c r="J305"/>
  <c r="J306"/>
  <c r="N303"/>
  <c r="N304"/>
  <c r="J303"/>
  <c r="J304"/>
  <c r="F303"/>
  <c r="F304"/>
  <c r="L301"/>
  <c r="H301"/>
  <c r="M299"/>
  <c r="M300"/>
  <c r="I299"/>
  <c r="I300"/>
  <c r="N297"/>
  <c r="N298"/>
  <c r="J297"/>
  <c r="J298"/>
  <c r="F297"/>
  <c r="F298"/>
  <c r="K295"/>
  <c r="K296"/>
  <c r="G295"/>
  <c r="G296"/>
  <c r="L293"/>
  <c r="L294"/>
  <c r="H293"/>
  <c r="H294"/>
  <c r="M291"/>
  <c r="M292"/>
  <c r="I291"/>
  <c r="I292"/>
  <c r="K160" i="14"/>
  <c r="K225"/>
  <c r="L224"/>
  <c r="M223"/>
  <c r="N222"/>
  <c r="F222"/>
  <c r="G221"/>
  <c r="H220"/>
  <c r="I219"/>
  <c r="J218"/>
  <c r="K217"/>
  <c r="L216"/>
  <c r="M215"/>
  <c r="G210"/>
  <c r="H209"/>
  <c r="I208"/>
  <c r="J207"/>
  <c r="K206"/>
  <c r="L205"/>
  <c r="M204"/>
  <c r="N203"/>
  <c r="G202"/>
  <c r="H201"/>
  <c r="I200"/>
  <c r="L194"/>
  <c r="N192"/>
  <c r="F192"/>
  <c r="H190"/>
  <c r="J188"/>
  <c r="L186"/>
  <c r="I178"/>
  <c r="K176"/>
  <c r="M174"/>
  <c r="F173"/>
  <c r="H171"/>
  <c r="L133" i="13"/>
  <c r="N131"/>
  <c r="H126"/>
  <c r="J124"/>
  <c r="M118"/>
  <c r="F117"/>
  <c r="I111"/>
  <c r="H49" i="17"/>
  <c r="L42"/>
  <c r="G41"/>
  <c r="I34"/>
  <c r="F31"/>
  <c r="J202"/>
  <c r="J203" s="1"/>
  <c r="J204"/>
  <c r="J205" s="1"/>
  <c r="K224"/>
  <c r="K225" s="1"/>
  <c r="K228"/>
  <c r="K229" s="1"/>
  <c r="L232"/>
  <c r="L233" s="1"/>
  <c r="I234"/>
  <c r="I235"/>
  <c r="I244"/>
  <c r="I245" s="1"/>
  <c r="I246"/>
  <c r="I247" s="1"/>
  <c r="I254"/>
  <c r="I255" s="1"/>
  <c r="M260"/>
  <c r="M261" s="1"/>
  <c r="M262"/>
  <c r="M263" s="1"/>
  <c r="M264"/>
  <c r="M265" s="1"/>
  <c r="M266"/>
  <c r="M267" s="1"/>
  <c r="I268"/>
  <c r="I269"/>
  <c r="M272"/>
  <c r="M273" s="1"/>
  <c r="M274"/>
  <c r="M275" s="1"/>
  <c r="F266"/>
  <c r="F267" s="1"/>
  <c r="F222"/>
  <c r="F223" s="1"/>
  <c r="F212"/>
  <c r="F213" s="1"/>
  <c r="H351" i="4"/>
  <c r="H352" s="1"/>
  <c r="L351"/>
  <c r="L352" s="1"/>
  <c r="L353"/>
  <c r="L354"/>
  <c r="H355"/>
  <c r="H356" s="1"/>
  <c r="H357"/>
  <c r="H358" s="1"/>
  <c r="H359"/>
  <c r="H360" s="1"/>
  <c r="H363"/>
  <c r="H364" s="1"/>
  <c r="H365"/>
  <c r="H366" s="1"/>
  <c r="L335"/>
  <c r="L336" s="1"/>
  <c r="L337"/>
  <c r="L338" s="1"/>
  <c r="L345"/>
  <c r="L346"/>
  <c r="F337"/>
  <c r="F338" s="1"/>
  <c r="L313"/>
  <c r="L314" s="1"/>
  <c r="H315"/>
  <c r="H316" s="1"/>
  <c r="H317"/>
  <c r="H318" s="1"/>
  <c r="L319"/>
  <c r="L320" s="1"/>
  <c r="L323"/>
  <c r="L324" s="1"/>
  <c r="L325"/>
  <c r="L326" s="1"/>
  <c r="F355"/>
  <c r="F356"/>
  <c r="F335"/>
  <c r="F336" s="1"/>
  <c r="F317"/>
  <c r="F318" s="1"/>
  <c r="G160" i="14"/>
  <c r="G335" s="1"/>
  <c r="G225"/>
  <c r="H224"/>
  <c r="I223"/>
  <c r="J222"/>
  <c r="K221"/>
  <c r="L220"/>
  <c r="M219"/>
  <c r="N218"/>
  <c r="F218"/>
  <c r="G217"/>
  <c r="H216"/>
  <c r="I215"/>
  <c r="K210"/>
  <c r="L209"/>
  <c r="M208"/>
  <c r="N207"/>
  <c r="F207"/>
  <c r="G206"/>
  <c r="H205"/>
  <c r="I204"/>
  <c r="J203"/>
  <c r="K202"/>
  <c r="L201"/>
  <c r="M200"/>
  <c r="G195"/>
  <c r="H194"/>
  <c r="I193"/>
  <c r="J192"/>
  <c r="K191"/>
  <c r="L190"/>
  <c r="M189"/>
  <c r="N188"/>
  <c r="F188"/>
  <c r="G187"/>
  <c r="H186"/>
  <c r="I185"/>
  <c r="K180"/>
  <c r="L179"/>
  <c r="M178"/>
  <c r="N177"/>
  <c r="F177"/>
  <c r="G176"/>
  <c r="H175"/>
  <c r="I174"/>
  <c r="J173"/>
  <c r="K172"/>
  <c r="L171"/>
  <c r="M170"/>
  <c r="H133" i="13"/>
  <c r="I132"/>
  <c r="J131"/>
  <c r="L126"/>
  <c r="M125"/>
  <c r="N124"/>
  <c r="F124"/>
  <c r="H119"/>
  <c r="I118"/>
  <c r="J117"/>
  <c r="L112"/>
  <c r="M111"/>
  <c r="N110"/>
  <c r="F110"/>
  <c r="F29" i="12"/>
  <c r="M50" i="17"/>
  <c r="K47"/>
  <c r="H50"/>
  <c r="L49"/>
  <c r="N39"/>
  <c r="K40"/>
  <c r="H42"/>
  <c r="K41"/>
  <c r="M34"/>
  <c r="J32"/>
  <c r="K31"/>
  <c r="K33"/>
  <c r="L200"/>
  <c r="L201"/>
  <c r="N202"/>
  <c r="N203" s="1"/>
  <c r="N204"/>
  <c r="N205"/>
  <c r="N206"/>
  <c r="N207" s="1"/>
  <c r="N208"/>
  <c r="N209"/>
  <c r="N212"/>
  <c r="N213" s="1"/>
  <c r="N214"/>
  <c r="N215"/>
  <c r="N220"/>
  <c r="N221" s="1"/>
  <c r="G222"/>
  <c r="G223"/>
  <c r="G224"/>
  <c r="G225" s="1"/>
  <c r="G226"/>
  <c r="G227"/>
  <c r="G228"/>
  <c r="G229" s="1"/>
  <c r="J232"/>
  <c r="J233"/>
  <c r="N232"/>
  <c r="N233" s="1"/>
  <c r="G234"/>
  <c r="G235"/>
  <c r="K234"/>
  <c r="K235" s="1"/>
  <c r="G244"/>
  <c r="G245"/>
  <c r="K244"/>
  <c r="K245" s="1"/>
  <c r="G246"/>
  <c r="G247"/>
  <c r="K246"/>
  <c r="K247" s="1"/>
  <c r="G254"/>
  <c r="G255"/>
  <c r="K254"/>
  <c r="K255" s="1"/>
  <c r="G260"/>
  <c r="G261"/>
  <c r="K260"/>
  <c r="K261" s="1"/>
  <c r="G262"/>
  <c r="G263"/>
  <c r="K262"/>
  <c r="K263" s="1"/>
  <c r="G264"/>
  <c r="G265"/>
  <c r="K264"/>
  <c r="K265" s="1"/>
  <c r="G266"/>
  <c r="G267"/>
  <c r="K266"/>
  <c r="K267" s="1"/>
  <c r="G268"/>
  <c r="G269"/>
  <c r="K268"/>
  <c r="K269" s="1"/>
  <c r="G272"/>
  <c r="G273"/>
  <c r="K272"/>
  <c r="K273" s="1"/>
  <c r="G274"/>
  <c r="G275"/>
  <c r="K274"/>
  <c r="K275" s="1"/>
  <c r="F262"/>
  <c r="F263"/>
  <c r="F244"/>
  <c r="F245" s="1"/>
  <c r="F234"/>
  <c r="F235"/>
  <c r="F226"/>
  <c r="F227" s="1"/>
  <c r="F208"/>
  <c r="F209"/>
  <c r="F200"/>
  <c r="F201" s="1"/>
  <c r="J351" i="4"/>
  <c r="J352"/>
  <c r="N351"/>
  <c r="N352" s="1"/>
  <c r="J353"/>
  <c r="J354"/>
  <c r="N353"/>
  <c r="N354" s="1"/>
  <c r="J355"/>
  <c r="J356"/>
  <c r="N355"/>
  <c r="N356" s="1"/>
  <c r="J357"/>
  <c r="J358"/>
  <c r="N357"/>
  <c r="N358" s="1"/>
  <c r="J359"/>
  <c r="J360"/>
  <c r="N359"/>
  <c r="N360" s="1"/>
  <c r="J363"/>
  <c r="J364"/>
  <c r="N363"/>
  <c r="N364" s="1"/>
  <c r="J365"/>
  <c r="J366"/>
  <c r="N365"/>
  <c r="N366" s="1"/>
  <c r="J335"/>
  <c r="J336"/>
  <c r="N335"/>
  <c r="N336" s="1"/>
  <c r="J337"/>
  <c r="J338"/>
  <c r="N337"/>
  <c r="N338" s="1"/>
  <c r="J345"/>
  <c r="J346"/>
  <c r="N345"/>
  <c r="N346" s="1"/>
  <c r="I311"/>
  <c r="I312"/>
  <c r="M311"/>
  <c r="M312" s="1"/>
  <c r="J313"/>
  <c r="J314"/>
  <c r="N313"/>
  <c r="N314" s="1"/>
  <c r="J315"/>
  <c r="J316"/>
  <c r="N315"/>
  <c r="N316" s="1"/>
  <c r="J317"/>
  <c r="J318"/>
  <c r="N317"/>
  <c r="N318" s="1"/>
  <c r="J319"/>
  <c r="J320"/>
  <c r="N319"/>
  <c r="N320" s="1"/>
  <c r="J323"/>
  <c r="J324"/>
  <c r="N323"/>
  <c r="N324" s="1"/>
  <c r="J325"/>
  <c r="J326"/>
  <c r="N325"/>
  <c r="N326" s="1"/>
  <c r="F359"/>
  <c r="F360"/>
  <c r="F351"/>
  <c r="F352" s="1"/>
  <c r="F313"/>
  <c r="F314"/>
  <c r="M305"/>
  <c r="M306" s="1"/>
  <c r="I305"/>
  <c r="I306"/>
  <c r="M303"/>
  <c r="M304" s="1"/>
  <c r="I303"/>
  <c r="I304"/>
  <c r="K301"/>
  <c r="G301"/>
  <c r="L299"/>
  <c r="L300" s="1"/>
  <c r="H299"/>
  <c r="H300"/>
  <c r="M297"/>
  <c r="M298" s="1"/>
  <c r="I297"/>
  <c r="I298"/>
  <c r="N295"/>
  <c r="N296" s="1"/>
  <c r="J295"/>
  <c r="J296"/>
  <c r="F295"/>
  <c r="F296" s="1"/>
  <c r="K293"/>
  <c r="K294"/>
  <c r="G293"/>
  <c r="G294" s="1"/>
  <c r="L291"/>
  <c r="L292"/>
  <c r="H291"/>
  <c r="H292" s="1"/>
  <c r="F203" i="14"/>
  <c r="K195"/>
  <c r="M193"/>
  <c r="G191"/>
  <c r="I189"/>
  <c r="K187"/>
  <c r="M185"/>
  <c r="G180"/>
  <c r="H179"/>
  <c r="J177"/>
  <c r="L175"/>
  <c r="N173"/>
  <c r="G172"/>
  <c r="I170"/>
  <c r="M132" i="13"/>
  <c r="F131"/>
  <c r="I125"/>
  <c r="L119"/>
  <c r="N117"/>
  <c r="H112"/>
  <c r="J110"/>
  <c r="F20" i="12"/>
  <c r="L48" i="17"/>
  <c r="I50"/>
  <c r="F49"/>
  <c r="J39"/>
  <c r="J349" s="1"/>
  <c r="F40"/>
  <c r="N32"/>
  <c r="F34"/>
  <c r="H200"/>
  <c r="H201" s="1"/>
  <c r="J206"/>
  <c r="J207" s="1"/>
  <c r="J208"/>
  <c r="J209" s="1"/>
  <c r="J212"/>
  <c r="J213" s="1"/>
  <c r="J214"/>
  <c r="J215"/>
  <c r="J220"/>
  <c r="J221" s="1"/>
  <c r="K222"/>
  <c r="K223" s="1"/>
  <c r="K226"/>
  <c r="K227" s="1"/>
  <c r="H232"/>
  <c r="H233" s="1"/>
  <c r="M234"/>
  <c r="M235" s="1"/>
  <c r="M244"/>
  <c r="M245" s="1"/>
  <c r="M246"/>
  <c r="M247" s="1"/>
  <c r="M254"/>
  <c r="M255"/>
  <c r="I260"/>
  <c r="I261" s="1"/>
  <c r="I262"/>
  <c r="I263" s="1"/>
  <c r="I264"/>
  <c r="I265" s="1"/>
  <c r="I266"/>
  <c r="I267" s="1"/>
  <c r="M268"/>
  <c r="M269" s="1"/>
  <c r="I272"/>
  <c r="I273" s="1"/>
  <c r="I274"/>
  <c r="I275" s="1"/>
  <c r="F274"/>
  <c r="F275"/>
  <c r="F204"/>
  <c r="F205" s="1"/>
  <c r="H353" i="4"/>
  <c r="H354" s="1"/>
  <c r="L355"/>
  <c r="L356" s="1"/>
  <c r="L357"/>
  <c r="L358" s="1"/>
  <c r="L359"/>
  <c r="L360" s="1"/>
  <c r="L363"/>
  <c r="L364" s="1"/>
  <c r="L365"/>
  <c r="L366" s="1"/>
  <c r="H335"/>
  <c r="H336"/>
  <c r="H337"/>
  <c r="H338" s="1"/>
  <c r="H345"/>
  <c r="H346" s="1"/>
  <c r="G311"/>
  <c r="G312" s="1"/>
  <c r="K311"/>
  <c r="K312" s="1"/>
  <c r="H313"/>
  <c r="H314" s="1"/>
  <c r="L315"/>
  <c r="L316" s="1"/>
  <c r="L317"/>
  <c r="L318" s="1"/>
  <c r="H319"/>
  <c r="H320"/>
  <c r="H323"/>
  <c r="H324" s="1"/>
  <c r="H325"/>
  <c r="H326" s="1"/>
  <c r="F363"/>
  <c r="F364" s="1"/>
  <c r="F345"/>
  <c r="F346" s="1"/>
  <c r="F325"/>
  <c r="F326" s="1"/>
  <c r="F225" i="14"/>
  <c r="J221"/>
  <c r="N217"/>
  <c r="M207"/>
  <c r="H204"/>
  <c r="L200"/>
  <c r="G194"/>
  <c r="K190"/>
  <c r="F187"/>
  <c r="J180"/>
  <c r="N176"/>
  <c r="I173"/>
  <c r="I131" i="13"/>
  <c r="M124"/>
  <c r="I117"/>
  <c r="M110"/>
  <c r="F48" i="17"/>
  <c r="N41"/>
  <c r="N33"/>
  <c r="M200"/>
  <c r="M201"/>
  <c r="G232"/>
  <c r="G233" s="1"/>
  <c r="H234"/>
  <c r="H235"/>
  <c r="H244"/>
  <c r="H245" s="1"/>
  <c r="H246"/>
  <c r="H247"/>
  <c r="H254"/>
  <c r="H255" s="1"/>
  <c r="H260"/>
  <c r="H261"/>
  <c r="H262"/>
  <c r="H263" s="1"/>
  <c r="H264"/>
  <c r="H265"/>
  <c r="H266"/>
  <c r="H267" s="1"/>
  <c r="H268"/>
  <c r="H269"/>
  <c r="H272"/>
  <c r="H273" s="1"/>
  <c r="H274"/>
  <c r="H275"/>
  <c r="F260"/>
  <c r="F261" s="1"/>
  <c r="F214"/>
  <c r="F215"/>
  <c r="G335" i="4"/>
  <c r="G336" s="1"/>
  <c r="G337"/>
  <c r="G338"/>
  <c r="G345"/>
  <c r="G346" s="1"/>
  <c r="N311"/>
  <c r="N312"/>
  <c r="F365"/>
  <c r="F366" s="1"/>
  <c r="L305"/>
  <c r="L306"/>
  <c r="L303"/>
  <c r="L304" s="1"/>
  <c r="J301"/>
  <c r="K299"/>
  <c r="K300" s="1"/>
  <c r="L297"/>
  <c r="L298"/>
  <c r="M295"/>
  <c r="M296" s="1"/>
  <c r="N293"/>
  <c r="N294"/>
  <c r="F293"/>
  <c r="F294" s="1"/>
  <c r="G291"/>
  <c r="G292"/>
  <c r="G317"/>
  <c r="G318" s="1"/>
  <c r="G323"/>
  <c r="G324"/>
  <c r="H303"/>
  <c r="H304" s="1"/>
  <c r="F301"/>
  <c r="H297"/>
  <c r="H298" s="1"/>
  <c r="J293"/>
  <c r="J294"/>
  <c r="K179" i="14"/>
  <c r="M39" i="17"/>
  <c r="G202"/>
  <c r="G203"/>
  <c r="H222"/>
  <c r="H223" s="1"/>
  <c r="L234"/>
  <c r="L235"/>
  <c r="L246"/>
  <c r="L247" s="1"/>
  <c r="L254"/>
  <c r="L255"/>
  <c r="L264"/>
  <c r="L265" s="1"/>
  <c r="L268"/>
  <c r="L269"/>
  <c r="L272"/>
  <c r="L273" s="1"/>
  <c r="F232"/>
  <c r="F233"/>
  <c r="K335" i="4"/>
  <c r="K336" s="1"/>
  <c r="F319"/>
  <c r="F320"/>
  <c r="K303"/>
  <c r="K304" s="1"/>
  <c r="I301"/>
  <c r="K297"/>
  <c r="K298" s="1"/>
  <c r="M293"/>
  <c r="M294"/>
  <c r="F291"/>
  <c r="F292" s="1"/>
  <c r="N225" i="14"/>
  <c r="I222"/>
  <c r="M218"/>
  <c r="H215"/>
  <c r="L208"/>
  <c r="G205"/>
  <c r="K201"/>
  <c r="F195"/>
  <c r="J191"/>
  <c r="N187"/>
  <c r="M177"/>
  <c r="H174"/>
  <c r="L170"/>
  <c r="H132" i="13"/>
  <c r="L125"/>
  <c r="H118"/>
  <c r="L111"/>
  <c r="G49" i="17"/>
  <c r="F39"/>
  <c r="H31"/>
  <c r="G204"/>
  <c r="G205"/>
  <c r="G208"/>
  <c r="G209" s="1"/>
  <c r="G212"/>
  <c r="G213"/>
  <c r="G220"/>
  <c r="G221" s="1"/>
  <c r="H224"/>
  <c r="H225"/>
  <c r="H228"/>
  <c r="H229" s="1"/>
  <c r="F268"/>
  <c r="F269"/>
  <c r="K351" i="4"/>
  <c r="K352" s="1"/>
  <c r="K353"/>
  <c r="K354"/>
  <c r="K355"/>
  <c r="K356" s="1"/>
  <c r="K357"/>
  <c r="K358"/>
  <c r="K359"/>
  <c r="K360" s="1"/>
  <c r="K363"/>
  <c r="K364"/>
  <c r="K365"/>
  <c r="K366" s="1"/>
  <c r="J311"/>
  <c r="J312"/>
  <c r="K313"/>
  <c r="K314" s="1"/>
  <c r="K315"/>
  <c r="K316"/>
  <c r="K317"/>
  <c r="K318" s="1"/>
  <c r="K319"/>
  <c r="K320"/>
  <c r="K323"/>
  <c r="K324" s="1"/>
  <c r="K325"/>
  <c r="K326"/>
  <c r="G305"/>
  <c r="G306" s="1"/>
  <c r="G303"/>
  <c r="G304"/>
  <c r="M301"/>
  <c r="N299"/>
  <c r="N300"/>
  <c r="F299"/>
  <c r="F300" s="1"/>
  <c r="G297"/>
  <c r="G298"/>
  <c r="H295"/>
  <c r="H296" s="1"/>
  <c r="I293"/>
  <c r="I294"/>
  <c r="J291"/>
  <c r="J292" s="1"/>
  <c r="N160" i="14"/>
  <c r="H223"/>
  <c r="L219"/>
  <c r="G216"/>
  <c r="K209"/>
  <c r="F206"/>
  <c r="J202"/>
  <c r="N195"/>
  <c r="I192"/>
  <c r="M188"/>
  <c r="H185"/>
  <c r="L178"/>
  <c r="G175"/>
  <c r="K171"/>
  <c r="G133" i="13"/>
  <c r="K126"/>
  <c r="G119"/>
  <c r="K112"/>
  <c r="J47" i="17"/>
  <c r="J40"/>
  <c r="M32"/>
  <c r="F224"/>
  <c r="F225" s="1"/>
  <c r="G351" i="4"/>
  <c r="G352" s="1"/>
  <c r="G353"/>
  <c r="G354"/>
  <c r="G355"/>
  <c r="G356" s="1"/>
  <c r="G357"/>
  <c r="G358" s="1"/>
  <c r="G359"/>
  <c r="G360" s="1"/>
  <c r="G363"/>
  <c r="G364" s="1"/>
  <c r="G365"/>
  <c r="G366" s="1"/>
  <c r="G313"/>
  <c r="G314" s="1"/>
  <c r="G315"/>
  <c r="G316" s="1"/>
  <c r="G319"/>
  <c r="G320"/>
  <c r="G325"/>
  <c r="G326" s="1"/>
  <c r="F311"/>
  <c r="F312" s="1"/>
  <c r="H305"/>
  <c r="H306" s="1"/>
  <c r="N301"/>
  <c r="G299"/>
  <c r="G300" s="1"/>
  <c r="I295"/>
  <c r="I296" s="1"/>
  <c r="K291"/>
  <c r="K292" s="1"/>
  <c r="G224" i="14"/>
  <c r="K220"/>
  <c r="F217"/>
  <c r="J210"/>
  <c r="N206"/>
  <c r="I203"/>
  <c r="H193"/>
  <c r="L189"/>
  <c r="G186"/>
  <c r="F176"/>
  <c r="J172"/>
  <c r="F28" i="12"/>
  <c r="L50" i="17"/>
  <c r="J34"/>
  <c r="G206"/>
  <c r="G207" s="1"/>
  <c r="G214"/>
  <c r="G215" s="1"/>
  <c r="H226"/>
  <c r="H227" s="1"/>
  <c r="K232"/>
  <c r="K233" s="1"/>
  <c r="L244"/>
  <c r="L245" s="1"/>
  <c r="L260"/>
  <c r="L261" s="1"/>
  <c r="L262"/>
  <c r="L263" s="1"/>
  <c r="L266"/>
  <c r="L267"/>
  <c r="L274"/>
  <c r="L275" s="1"/>
  <c r="F206"/>
  <c r="F207" s="1"/>
  <c r="K337" i="4"/>
  <c r="K338" s="1"/>
  <c r="K345"/>
  <c r="K346" s="1"/>
  <c r="F357"/>
  <c r="F358" s="1"/>
  <c r="K305"/>
  <c r="K306" s="1"/>
  <c r="J299"/>
  <c r="J300" s="1"/>
  <c r="L295"/>
  <c r="L296"/>
  <c r="N291"/>
  <c r="N292" s="1"/>
  <c r="F15" i="50"/>
  <c r="K30"/>
  <c r="L31"/>
  <c r="I30"/>
  <c r="G30"/>
  <c r="G29"/>
  <c r="L30"/>
  <c r="M31"/>
  <c r="I31"/>
  <c r="H30"/>
  <c r="G31"/>
  <c r="H29"/>
  <c r="M30"/>
  <c r="N31"/>
  <c r="J31"/>
  <c r="H31"/>
  <c r="I29"/>
  <c r="N30"/>
  <c r="K31"/>
  <c r="J30"/>
  <c r="J29"/>
  <c r="J33" s="1"/>
  <c r="J109" s="1"/>
  <c r="F44"/>
  <c r="I46" i="58"/>
  <c r="N46"/>
  <c r="J46"/>
  <c r="F46"/>
  <c r="K46"/>
  <c r="G46"/>
  <c r="L46"/>
  <c r="H46"/>
  <c r="M46"/>
  <c r="M109" s="1"/>
  <c r="M168" s="1"/>
  <c r="G40" i="55"/>
  <c r="F40"/>
  <c r="F232" s="1"/>
  <c r="H35"/>
  <c r="L30"/>
  <c r="M45"/>
  <c r="M40"/>
  <c r="M35"/>
  <c r="N45"/>
  <c r="J45"/>
  <c r="N40"/>
  <c r="J40"/>
  <c r="N35"/>
  <c r="J35"/>
  <c r="N30"/>
  <c r="J30"/>
  <c r="K45"/>
  <c r="G45"/>
  <c r="F45" s="1"/>
  <c r="F233"/>
  <c r="K40"/>
  <c r="K35"/>
  <c r="G35"/>
  <c r="F35"/>
  <c r="F231" s="1"/>
  <c r="K30"/>
  <c r="G30"/>
  <c r="F30" s="1"/>
  <c r="F230" s="1"/>
  <c r="L45"/>
  <c r="H45"/>
  <c r="L40"/>
  <c r="H40"/>
  <c r="L35"/>
  <c r="H30"/>
  <c r="I45"/>
  <c r="I40"/>
  <c r="I35"/>
  <c r="M30"/>
  <c r="I30"/>
  <c r="K62" i="16"/>
  <c r="G62"/>
  <c r="M57"/>
  <c r="I57"/>
  <c r="K52"/>
  <c r="G52"/>
  <c r="M47"/>
  <c r="I47"/>
  <c r="L62"/>
  <c r="H62"/>
  <c r="J57"/>
  <c r="L52"/>
  <c r="N47"/>
  <c r="F47"/>
  <c r="I62"/>
  <c r="K57"/>
  <c r="G57"/>
  <c r="M52"/>
  <c r="N62"/>
  <c r="J62"/>
  <c r="F62"/>
  <c r="L57"/>
  <c r="H57"/>
  <c r="N52"/>
  <c r="J52"/>
  <c r="F52"/>
  <c r="L47"/>
  <c r="H47"/>
  <c r="N57"/>
  <c r="F57"/>
  <c r="H52"/>
  <c r="J47"/>
  <c r="M62"/>
  <c r="I52"/>
  <c r="K47"/>
  <c r="G47"/>
  <c r="M66" i="18"/>
  <c r="I66"/>
  <c r="L56"/>
  <c r="H56"/>
  <c r="N51"/>
  <c r="J51"/>
  <c r="F51"/>
  <c r="M68" i="12"/>
  <c r="I68"/>
  <c r="K63"/>
  <c r="G63"/>
  <c r="M58"/>
  <c r="I58"/>
  <c r="K53"/>
  <c r="G53"/>
  <c r="I210" i="17"/>
  <c r="I211" s="1"/>
  <c r="M210"/>
  <c r="M211"/>
  <c r="J230"/>
  <c r="J231" s="1"/>
  <c r="N230"/>
  <c r="N231" s="1"/>
  <c r="N66" i="18"/>
  <c r="J66"/>
  <c r="F66"/>
  <c r="M56"/>
  <c r="I56"/>
  <c r="K51"/>
  <c r="G51"/>
  <c r="N68" i="12"/>
  <c r="J68"/>
  <c r="F68"/>
  <c r="L63"/>
  <c r="H63"/>
  <c r="N58"/>
  <c r="J58"/>
  <c r="F58"/>
  <c r="L53"/>
  <c r="H53"/>
  <c r="H210" i="17"/>
  <c r="H211"/>
  <c r="L210"/>
  <c r="L211"/>
  <c r="I230"/>
  <c r="I231"/>
  <c r="K66" i="18"/>
  <c r="G56"/>
  <c r="L51"/>
  <c r="G68" i="12"/>
  <c r="J63"/>
  <c r="L58"/>
  <c r="I53"/>
  <c r="K210" i="17"/>
  <c r="K211" s="1"/>
  <c r="L230"/>
  <c r="L231" s="1"/>
  <c r="J240"/>
  <c r="J241" s="1"/>
  <c r="N240"/>
  <c r="N241" s="1"/>
  <c r="J242"/>
  <c r="J243" s="1"/>
  <c r="N242"/>
  <c r="N243" s="1"/>
  <c r="J248"/>
  <c r="J249"/>
  <c r="N248"/>
  <c r="N249" s="1"/>
  <c r="J250"/>
  <c r="J251" s="1"/>
  <c r="N250"/>
  <c r="N251" s="1"/>
  <c r="J252"/>
  <c r="J253" s="1"/>
  <c r="N252"/>
  <c r="N253" s="1"/>
  <c r="J270"/>
  <c r="J271" s="1"/>
  <c r="N270"/>
  <c r="N271" s="1"/>
  <c r="F210"/>
  <c r="F211"/>
  <c r="I361" i="4"/>
  <c r="I362" s="1"/>
  <c r="M361"/>
  <c r="M362" s="1"/>
  <c r="I331"/>
  <c r="I332" s="1"/>
  <c r="M331"/>
  <c r="M332" s="1"/>
  <c r="I333"/>
  <c r="I334" s="1"/>
  <c r="M333"/>
  <c r="M334" s="1"/>
  <c r="I339"/>
  <c r="I340" s="1"/>
  <c r="M339"/>
  <c r="M340"/>
  <c r="I341"/>
  <c r="I342" s="1"/>
  <c r="M341"/>
  <c r="M342" s="1"/>
  <c r="I343"/>
  <c r="I344" s="1"/>
  <c r="M343"/>
  <c r="M344" s="1"/>
  <c r="I321"/>
  <c r="I322" s="1"/>
  <c r="M321"/>
  <c r="M322" s="1"/>
  <c r="F361"/>
  <c r="F362" s="1"/>
  <c r="F343"/>
  <c r="F344"/>
  <c r="F333"/>
  <c r="F334" s="1"/>
  <c r="L66" i="18"/>
  <c r="M51"/>
  <c r="M63" i="12"/>
  <c r="G58"/>
  <c r="J53"/>
  <c r="J210" i="17"/>
  <c r="J211"/>
  <c r="I240"/>
  <c r="I241"/>
  <c r="I242"/>
  <c r="I243"/>
  <c r="I248"/>
  <c r="I249"/>
  <c r="I250"/>
  <c r="I251"/>
  <c r="I252"/>
  <c r="I253"/>
  <c r="I270"/>
  <c r="I271"/>
  <c r="F248"/>
  <c r="F249"/>
  <c r="F240"/>
  <c r="F241"/>
  <c r="H361" i="4"/>
  <c r="H362"/>
  <c r="H331"/>
  <c r="H332"/>
  <c r="H333"/>
  <c r="H334"/>
  <c r="L339"/>
  <c r="L340"/>
  <c r="L341"/>
  <c r="L342"/>
  <c r="L343"/>
  <c r="L344"/>
  <c r="L321"/>
  <c r="L322"/>
  <c r="H66" i="18"/>
  <c r="N56"/>
  <c r="F56"/>
  <c r="I51"/>
  <c r="L68" i="12"/>
  <c r="I63"/>
  <c r="K58"/>
  <c r="N53"/>
  <c r="F53"/>
  <c r="N210" i="17"/>
  <c r="N211" s="1"/>
  <c r="G230"/>
  <c r="G231" s="1"/>
  <c r="M230"/>
  <c r="M231" s="1"/>
  <c r="G240"/>
  <c r="G241"/>
  <c r="K240"/>
  <c r="K241" s="1"/>
  <c r="G242"/>
  <c r="G243"/>
  <c r="K242"/>
  <c r="K243" s="1"/>
  <c r="G248"/>
  <c r="G249" s="1"/>
  <c r="K248"/>
  <c r="K249" s="1"/>
  <c r="G250"/>
  <c r="G251" s="1"/>
  <c r="K250"/>
  <c r="K251" s="1"/>
  <c r="G252"/>
  <c r="G253"/>
  <c r="K252"/>
  <c r="K253" s="1"/>
  <c r="G270"/>
  <c r="G271"/>
  <c r="K270"/>
  <c r="K271" s="1"/>
  <c r="F270"/>
  <c r="F271" s="1"/>
  <c r="F252"/>
  <c r="F253" s="1"/>
  <c r="J361" i="4"/>
  <c r="J362" s="1"/>
  <c r="N361"/>
  <c r="N362" s="1"/>
  <c r="J331"/>
  <c r="J332"/>
  <c r="N331"/>
  <c r="N332" s="1"/>
  <c r="J333"/>
  <c r="J334"/>
  <c r="N333"/>
  <c r="N334" s="1"/>
  <c r="J339"/>
  <c r="J340" s="1"/>
  <c r="N339"/>
  <c r="N340" s="1"/>
  <c r="J341"/>
  <c r="J342" s="1"/>
  <c r="N341"/>
  <c r="N342" s="1"/>
  <c r="J343"/>
  <c r="J344"/>
  <c r="N343"/>
  <c r="N344" s="1"/>
  <c r="J321"/>
  <c r="J322"/>
  <c r="N321"/>
  <c r="N322" s="1"/>
  <c r="F341"/>
  <c r="F342" s="1"/>
  <c r="F331"/>
  <c r="F332" s="1"/>
  <c r="F321"/>
  <c r="F322" s="1"/>
  <c r="J56" i="18"/>
  <c r="H68" i="12"/>
  <c r="K230" i="17"/>
  <c r="K231" s="1"/>
  <c r="M240"/>
  <c r="M241" s="1"/>
  <c r="M242"/>
  <c r="M243" s="1"/>
  <c r="M248"/>
  <c r="M249" s="1"/>
  <c r="M250"/>
  <c r="M251"/>
  <c r="M252"/>
  <c r="M253" s="1"/>
  <c r="M270"/>
  <c r="M271" s="1"/>
  <c r="F230"/>
  <c r="F231" s="1"/>
  <c r="L361" i="4"/>
  <c r="L362" s="1"/>
  <c r="L331"/>
  <c r="L332" s="1"/>
  <c r="L333"/>
  <c r="L334" s="1"/>
  <c r="H339"/>
  <c r="H340" s="1"/>
  <c r="H341"/>
  <c r="H342"/>
  <c r="H343"/>
  <c r="H344" s="1"/>
  <c r="H321"/>
  <c r="H322" s="1"/>
  <c r="H58" i="12"/>
  <c r="H240" i="17"/>
  <c r="H241"/>
  <c r="H242"/>
  <c r="H243"/>
  <c r="H248"/>
  <c r="H249"/>
  <c r="H250"/>
  <c r="H251"/>
  <c r="H252"/>
  <c r="H253"/>
  <c r="H270"/>
  <c r="H271"/>
  <c r="G331" i="4"/>
  <c r="G332"/>
  <c r="G333"/>
  <c r="G334"/>
  <c r="G339"/>
  <c r="G340"/>
  <c r="G341"/>
  <c r="G342"/>
  <c r="G343"/>
  <c r="G344"/>
  <c r="N63" i="12"/>
  <c r="G210" i="17"/>
  <c r="G211" s="1"/>
  <c r="H230"/>
  <c r="H231" s="1"/>
  <c r="L242"/>
  <c r="L243" s="1"/>
  <c r="L250"/>
  <c r="L251" s="1"/>
  <c r="K331" i="4"/>
  <c r="K332" s="1"/>
  <c r="K339"/>
  <c r="K340"/>
  <c r="K343"/>
  <c r="K344" s="1"/>
  <c r="H51" i="18"/>
  <c r="K68" i="12"/>
  <c r="F242" i="17"/>
  <c r="F243" s="1"/>
  <c r="K361" i="4"/>
  <c r="K362" s="1"/>
  <c r="K321"/>
  <c r="K322" s="1"/>
  <c r="F339"/>
  <c r="F340"/>
  <c r="G66" i="18"/>
  <c r="F63" i="12"/>
  <c r="M53"/>
  <c r="F250" i="17"/>
  <c r="F251" s="1"/>
  <c r="G361" i="4"/>
  <c r="G362"/>
  <c r="G321"/>
  <c r="G322" s="1"/>
  <c r="K56" i="18"/>
  <c r="L240" i="17"/>
  <c r="L241"/>
  <c r="L248"/>
  <c r="L249" s="1"/>
  <c r="L252"/>
  <c r="L253"/>
  <c r="L270"/>
  <c r="L271" s="1"/>
  <c r="K333" i="4"/>
  <c r="K334" s="1"/>
  <c r="K341"/>
  <c r="K342" s="1"/>
  <c r="N141" i="14"/>
  <c r="H141"/>
  <c r="F141"/>
  <c r="F316" s="1"/>
  <c r="G141"/>
  <c r="G316" s="1"/>
  <c r="L92" i="43"/>
  <c r="H92"/>
  <c r="M91"/>
  <c r="I91"/>
  <c r="L86"/>
  <c r="H86"/>
  <c r="M85"/>
  <c r="I85"/>
  <c r="J79"/>
  <c r="N79"/>
  <c r="I80"/>
  <c r="M80"/>
  <c r="N74"/>
  <c r="J74"/>
  <c r="K73"/>
  <c r="G73"/>
  <c r="F73" s="1"/>
  <c r="M92"/>
  <c r="I92"/>
  <c r="N91"/>
  <c r="J91"/>
  <c r="M86"/>
  <c r="I86"/>
  <c r="N85"/>
  <c r="J85"/>
  <c r="I79"/>
  <c r="M79"/>
  <c r="H80"/>
  <c r="L80"/>
  <c r="K74"/>
  <c r="G74"/>
  <c r="F74"/>
  <c r="L73"/>
  <c r="H73"/>
  <c r="N92"/>
  <c r="J92"/>
  <c r="K91"/>
  <c r="G91"/>
  <c r="F91" s="1"/>
  <c r="N86"/>
  <c r="J86"/>
  <c r="K85"/>
  <c r="G85"/>
  <c r="F85" s="1"/>
  <c r="H79"/>
  <c r="L79"/>
  <c r="G80"/>
  <c r="F80" s="1"/>
  <c r="K80"/>
  <c r="L74"/>
  <c r="H74"/>
  <c r="M73"/>
  <c r="I73"/>
  <c r="K92"/>
  <c r="G92"/>
  <c r="F92" s="1"/>
  <c r="L91"/>
  <c r="H91"/>
  <c r="K86"/>
  <c r="G86"/>
  <c r="F86" s="1"/>
  <c r="L85"/>
  <c r="H85"/>
  <c r="G79"/>
  <c r="F79" s="1"/>
  <c r="K79"/>
  <c r="J80"/>
  <c r="N80"/>
  <c r="M74"/>
  <c r="I74"/>
  <c r="N73"/>
  <c r="J73"/>
  <c r="I86" i="35"/>
  <c r="I92" s="1"/>
  <c r="L222" i="42"/>
  <c r="H222"/>
  <c r="I222"/>
  <c r="N222"/>
  <c r="K222"/>
  <c r="G222"/>
  <c r="F222" s="1"/>
  <c r="M222"/>
  <c r="J222"/>
  <c r="L227"/>
  <c r="H227"/>
  <c r="L217"/>
  <c r="H217"/>
  <c r="L212"/>
  <c r="H212"/>
  <c r="I227"/>
  <c r="I217"/>
  <c r="I212"/>
  <c r="N227"/>
  <c r="N217"/>
  <c r="N212"/>
  <c r="K227"/>
  <c r="G227"/>
  <c r="F227" s="1"/>
  <c r="K217"/>
  <c r="G217"/>
  <c r="F217" s="1"/>
  <c r="K212"/>
  <c r="G212"/>
  <c r="F212" s="1"/>
  <c r="M227"/>
  <c r="M217"/>
  <c r="M212"/>
  <c r="J227"/>
  <c r="J217"/>
  <c r="J212"/>
  <c r="F168"/>
  <c r="F165"/>
  <c r="F178" i="34"/>
  <c r="F403"/>
  <c r="F179"/>
  <c r="F175"/>
  <c r="F180"/>
  <c r="F418"/>
  <c r="F176"/>
  <c r="F379" s="1"/>
  <c r="F177"/>
  <c r="F389" s="1"/>
  <c r="K238"/>
  <c r="G238"/>
  <c r="F238"/>
  <c r="K237"/>
  <c r="G237"/>
  <c r="F237" s="1"/>
  <c r="L236"/>
  <c r="H236"/>
  <c r="L231"/>
  <c r="H231"/>
  <c r="L230"/>
  <c r="H230"/>
  <c r="L229"/>
  <c r="H229"/>
  <c r="L224"/>
  <c r="H224"/>
  <c r="L223"/>
  <c r="H223"/>
  <c r="L222"/>
  <c r="H222"/>
  <c r="L217"/>
  <c r="H217"/>
  <c r="L216"/>
  <c r="H216"/>
  <c r="L215"/>
  <c r="H215"/>
  <c r="F200"/>
  <c r="F428" s="1"/>
  <c r="K217"/>
  <c r="L238"/>
  <c r="H238"/>
  <c r="L237"/>
  <c r="H237"/>
  <c r="M236"/>
  <c r="I236"/>
  <c r="M231"/>
  <c r="I231"/>
  <c r="M230"/>
  <c r="I230"/>
  <c r="M229"/>
  <c r="I229"/>
  <c r="M224"/>
  <c r="I224"/>
  <c r="M223"/>
  <c r="I223"/>
  <c r="M222"/>
  <c r="I222"/>
  <c r="M217"/>
  <c r="I217"/>
  <c r="M216"/>
  <c r="I216"/>
  <c r="M215"/>
  <c r="I215"/>
  <c r="F201"/>
  <c r="M238"/>
  <c r="I238"/>
  <c r="M237"/>
  <c r="I237"/>
  <c r="N236"/>
  <c r="J236"/>
  <c r="N231"/>
  <c r="J231"/>
  <c r="N230"/>
  <c r="J230"/>
  <c r="N229"/>
  <c r="J229"/>
  <c r="N224"/>
  <c r="J224"/>
  <c r="N223"/>
  <c r="J223"/>
  <c r="N222"/>
  <c r="J222"/>
  <c r="N217"/>
  <c r="J217"/>
  <c r="N216"/>
  <c r="J216"/>
  <c r="N215"/>
  <c r="J215"/>
  <c r="F202"/>
  <c r="N238"/>
  <c r="J238"/>
  <c r="N237"/>
  <c r="J237"/>
  <c r="K236"/>
  <c r="G236"/>
  <c r="F236" s="1"/>
  <c r="K231"/>
  <c r="G231"/>
  <c r="F231" s="1"/>
  <c r="K230"/>
  <c r="G230"/>
  <c r="F230"/>
  <c r="K229"/>
  <c r="G229"/>
  <c r="F229" s="1"/>
  <c r="K224"/>
  <c r="G224"/>
  <c r="F224" s="1"/>
  <c r="K223"/>
  <c r="G223"/>
  <c r="F223" s="1"/>
  <c r="K222"/>
  <c r="G222"/>
  <c r="F222"/>
  <c r="G217"/>
  <c r="F217" s="1"/>
  <c r="K216"/>
  <c r="G216"/>
  <c r="F216"/>
  <c r="K215"/>
  <c r="G215"/>
  <c r="F215"/>
  <c r="K154" i="14"/>
  <c r="G154"/>
  <c r="G329"/>
  <c r="L154"/>
  <c r="H154"/>
  <c r="M154"/>
  <c r="I154"/>
  <c r="N154"/>
  <c r="J154"/>
  <c r="F154"/>
  <c r="F329"/>
  <c r="F145"/>
  <c r="F320"/>
  <c r="L159"/>
  <c r="H159"/>
  <c r="J153"/>
  <c r="M152"/>
  <c r="I152"/>
  <c r="M151"/>
  <c r="I151"/>
  <c r="H144"/>
  <c r="M159"/>
  <c r="I159"/>
  <c r="L153"/>
  <c r="N152"/>
  <c r="J152"/>
  <c r="N151"/>
  <c r="J151"/>
  <c r="N159"/>
  <c r="J159"/>
  <c r="N153"/>
  <c r="M153" s="1"/>
  <c r="F153"/>
  <c r="K152"/>
  <c r="G152"/>
  <c r="G327"/>
  <c r="K151"/>
  <c r="G151"/>
  <c r="G326" s="1"/>
  <c r="L144"/>
  <c r="G159"/>
  <c r="G334" s="1"/>
  <c r="K159"/>
  <c r="H153"/>
  <c r="I153" s="1"/>
  <c r="L152"/>
  <c r="H152"/>
  <c r="L151"/>
  <c r="H151"/>
  <c r="N144"/>
  <c r="J144"/>
  <c r="I99" i="7"/>
  <c r="K111"/>
  <c r="M110"/>
  <c r="I110"/>
  <c r="L105"/>
  <c r="N104"/>
  <c r="J104"/>
  <c r="M99"/>
  <c r="N98"/>
  <c r="J98"/>
  <c r="L93"/>
  <c r="N92"/>
  <c r="J92"/>
  <c r="G80" i="15"/>
  <c r="K80"/>
  <c r="G81"/>
  <c r="K81"/>
  <c r="G82"/>
  <c r="K82"/>
  <c r="G83"/>
  <c r="K83"/>
  <c r="F81"/>
  <c r="J83"/>
  <c r="H81"/>
  <c r="H83"/>
  <c r="L111" i="7"/>
  <c r="N110"/>
  <c r="J110"/>
  <c r="M105"/>
  <c r="I105"/>
  <c r="K104"/>
  <c r="N99"/>
  <c r="J99"/>
  <c r="K98"/>
  <c r="M93"/>
  <c r="I93"/>
  <c r="K92"/>
  <c r="J80" i="15"/>
  <c r="N80"/>
  <c r="J81"/>
  <c r="N81"/>
  <c r="J82"/>
  <c r="N82"/>
  <c r="N83"/>
  <c r="F80"/>
  <c r="L80"/>
  <c r="H82"/>
  <c r="F82"/>
  <c r="M111" i="7"/>
  <c r="I111"/>
  <c r="K110"/>
  <c r="N105"/>
  <c r="J105"/>
  <c r="L104"/>
  <c r="K99"/>
  <c r="L98"/>
  <c r="N93"/>
  <c r="J93"/>
  <c r="L92"/>
  <c r="I80" i="15"/>
  <c r="M80"/>
  <c r="I81"/>
  <c r="M81"/>
  <c r="I82"/>
  <c r="M82"/>
  <c r="I83"/>
  <c r="M83"/>
  <c r="F83"/>
  <c r="N111" i="7"/>
  <c r="J111"/>
  <c r="L110"/>
  <c r="K105"/>
  <c r="M104"/>
  <c r="I104"/>
  <c r="L99"/>
  <c r="M98"/>
  <c r="I98"/>
  <c r="K93"/>
  <c r="M92"/>
  <c r="I92"/>
  <c r="H80" i="15"/>
  <c r="L81"/>
  <c r="L82"/>
  <c r="L83"/>
  <c r="N27"/>
  <c r="J27"/>
  <c r="F165" i="14"/>
  <c r="K27" i="15"/>
  <c r="G27"/>
  <c r="L27"/>
  <c r="H27"/>
  <c r="M27"/>
  <c r="I27"/>
  <c r="J165" i="14"/>
  <c r="N165"/>
  <c r="I165"/>
  <c r="M165"/>
  <c r="H165"/>
  <c r="L165"/>
  <c r="G165"/>
  <c r="K165"/>
  <c r="F146"/>
  <c r="L143"/>
  <c r="K143" s="1"/>
  <c r="H143"/>
  <c r="I143" s="1"/>
  <c r="M142"/>
  <c r="I142"/>
  <c r="J141"/>
  <c r="K141"/>
  <c r="J143"/>
  <c r="K142"/>
  <c r="L141"/>
  <c r="L142"/>
  <c r="M141"/>
  <c r="I141"/>
  <c r="N142"/>
  <c r="J142"/>
  <c r="F142"/>
  <c r="N143"/>
  <c r="F143"/>
  <c r="F318" s="1"/>
  <c r="G142"/>
  <c r="G317"/>
  <c r="G143"/>
  <c r="G318" s="1"/>
  <c r="H142"/>
  <c r="K133" i="24"/>
  <c r="G133"/>
  <c r="L132"/>
  <c r="H132"/>
  <c r="M131"/>
  <c r="I131"/>
  <c r="N130"/>
  <c r="J130"/>
  <c r="F130"/>
  <c r="K125"/>
  <c r="G125"/>
  <c r="L124"/>
  <c r="H124"/>
  <c r="M123"/>
  <c r="I123"/>
  <c r="N122"/>
  <c r="J122"/>
  <c r="F122"/>
  <c r="K117"/>
  <c r="G117"/>
  <c r="L116"/>
  <c r="H116"/>
  <c r="M115"/>
  <c r="I115"/>
  <c r="N114"/>
  <c r="J114"/>
  <c r="F114"/>
  <c r="K109"/>
  <c r="G109"/>
  <c r="L108"/>
  <c r="H108"/>
  <c r="M107"/>
  <c r="I107"/>
  <c r="N106"/>
  <c r="J106"/>
  <c r="F106"/>
  <c r="F107"/>
  <c r="G106"/>
  <c r="N132"/>
  <c r="K131"/>
  <c r="L130"/>
  <c r="M125"/>
  <c r="J124"/>
  <c r="K123"/>
  <c r="L122"/>
  <c r="M117"/>
  <c r="N116"/>
  <c r="F116"/>
  <c r="G115"/>
  <c r="H114"/>
  <c r="I109"/>
  <c r="J108"/>
  <c r="K107"/>
  <c r="L106"/>
  <c r="J133"/>
  <c r="K132"/>
  <c r="L131"/>
  <c r="M130"/>
  <c r="N125"/>
  <c r="F125"/>
  <c r="G124"/>
  <c r="H123"/>
  <c r="I122"/>
  <c r="J117"/>
  <c r="K116"/>
  <c r="L115"/>
  <c r="M114"/>
  <c r="N109"/>
  <c r="F109"/>
  <c r="G108"/>
  <c r="H107"/>
  <c r="I106"/>
  <c r="L133"/>
  <c r="H133"/>
  <c r="M132"/>
  <c r="I132"/>
  <c r="N131"/>
  <c r="J131"/>
  <c r="F131"/>
  <c r="K130"/>
  <c r="G130"/>
  <c r="L125"/>
  <c r="H125"/>
  <c r="M124"/>
  <c r="I124"/>
  <c r="N123"/>
  <c r="J123"/>
  <c r="F123"/>
  <c r="K122"/>
  <c r="G122"/>
  <c r="L117"/>
  <c r="H117"/>
  <c r="M116"/>
  <c r="I116"/>
  <c r="N115"/>
  <c r="J115"/>
  <c r="F115"/>
  <c r="K114"/>
  <c r="G114"/>
  <c r="L109"/>
  <c r="H109"/>
  <c r="M108"/>
  <c r="I108"/>
  <c r="N107"/>
  <c r="J107"/>
  <c r="K106"/>
  <c r="M133"/>
  <c r="I133"/>
  <c r="J132"/>
  <c r="F132"/>
  <c r="G131"/>
  <c r="H130"/>
  <c r="I125"/>
  <c r="N124"/>
  <c r="F124"/>
  <c r="G123"/>
  <c r="H122"/>
  <c r="I117"/>
  <c r="J116"/>
  <c r="K115"/>
  <c r="L114"/>
  <c r="M109"/>
  <c r="N108"/>
  <c r="F108"/>
  <c r="G107"/>
  <c r="H106"/>
  <c r="N133"/>
  <c r="F133"/>
  <c r="G132"/>
  <c r="H131"/>
  <c r="I130"/>
  <c r="J125"/>
  <c r="K124"/>
  <c r="L123"/>
  <c r="M122"/>
  <c r="N117"/>
  <c r="F117"/>
  <c r="G116"/>
  <c r="H115"/>
  <c r="I114"/>
  <c r="J109"/>
  <c r="K108"/>
  <c r="L107"/>
  <c r="M106"/>
  <c r="F3" i="28"/>
  <c r="C26" i="23"/>
  <c r="C25"/>
  <c r="E24" i="22"/>
  <c r="E58"/>
  <c r="E60"/>
  <c r="J225" i="43"/>
  <c r="N38" i="51"/>
  <c r="N75" s="1"/>
  <c r="F284" i="47"/>
  <c r="H29" i="51"/>
  <c r="H74" s="1"/>
  <c r="L29"/>
  <c r="L74" s="1"/>
  <c r="K38"/>
  <c r="K75" s="1"/>
  <c r="G88" i="16"/>
  <c r="G89"/>
  <c r="G91"/>
  <c r="K91"/>
  <c r="J89"/>
  <c r="N89"/>
  <c r="N91"/>
  <c r="M88"/>
  <c r="M92" s="1"/>
  <c r="M101" s="1"/>
  <c r="M90"/>
  <c r="I91"/>
  <c r="H89"/>
  <c r="L89"/>
  <c r="F91"/>
  <c r="M29" i="51"/>
  <c r="M74" s="1"/>
  <c r="J29"/>
  <c r="J74" s="1"/>
  <c r="F144" i="9"/>
  <c r="F148"/>
  <c r="F88" i="16"/>
  <c r="F109"/>
  <c r="N109"/>
  <c r="G17" i="61"/>
  <c r="G122" s="1"/>
  <c r="N17"/>
  <c r="L17"/>
  <c r="M17"/>
  <c r="F19" i="53"/>
  <c r="P20" i="18"/>
  <c r="G839" i="4"/>
  <c r="F1025"/>
  <c r="F428" i="34" a="1"/>
  <c r="I94" i="35"/>
  <c r="I98"/>
  <c r="I88"/>
  <c r="F412" i="34"/>
  <c r="F408"/>
  <c r="K235" i="24"/>
  <c r="F168" i="8"/>
  <c r="I144" i="14"/>
  <c r="F164" i="8"/>
  <c r="G153" i="14"/>
  <c r="G328"/>
  <c r="M146"/>
  <c r="H146"/>
  <c r="G146"/>
  <c r="G321"/>
  <c r="G145"/>
  <c r="G320"/>
  <c r="I145"/>
  <c r="H145"/>
  <c r="N145"/>
  <c r="K145"/>
  <c r="L145"/>
  <c r="D79" i="23"/>
  <c r="D84"/>
  <c r="D76"/>
  <c r="J1025" i="4"/>
  <c r="L1025"/>
  <c r="D78" i="23"/>
  <c r="D83"/>
  <c r="H270" i="7" s="1"/>
  <c r="L235" i="24"/>
  <c r="L236" s="1"/>
  <c r="L237" s="1"/>
  <c r="L239" s="1"/>
  <c r="L338" s="1"/>
  <c r="G98" i="61"/>
  <c r="F429" i="34"/>
  <c r="F430"/>
  <c r="M113" i="16"/>
  <c r="I113"/>
  <c r="F113"/>
  <c r="K113"/>
  <c r="G113"/>
  <c r="E85" i="23"/>
  <c r="E77"/>
  <c r="E80"/>
  <c r="F270" i="7"/>
  <c r="E78" i="23"/>
  <c r="E83"/>
  <c r="F76"/>
  <c r="F79"/>
  <c r="E84"/>
  <c r="E76"/>
  <c r="E79"/>
  <c r="G79" s="1"/>
  <c r="F271" i="7"/>
  <c r="F276"/>
  <c r="F316" s="1"/>
  <c r="H1025" i="4"/>
  <c r="H433" i="34" a="1"/>
  <c r="L433" a="1"/>
  <c r="K433" a="1"/>
  <c r="F433" a="1"/>
  <c r="J433" a="1"/>
  <c r="G1025" i="4"/>
  <c r="G433" i="34" a="1"/>
  <c r="I433" a="1"/>
  <c r="M433" a="1"/>
  <c r="N433" a="1"/>
  <c r="L278" i="24"/>
  <c r="F218" i="7"/>
  <c r="F220"/>
  <c r="G270"/>
  <c r="F206"/>
  <c r="H276"/>
  <c r="H304"/>
  <c r="H303"/>
  <c r="G303"/>
  <c r="F337"/>
  <c r="I336"/>
  <c r="H336"/>
  <c r="G336"/>
  <c r="H283"/>
  <c r="G276"/>
  <c r="G316"/>
  <c r="G304"/>
  <c r="N1102" i="4" a="1"/>
  <c r="H1102" a="1"/>
  <c r="I1102" a="1"/>
  <c r="N1125" a="1"/>
  <c r="N1122" a="1"/>
  <c r="N1119" a="1"/>
  <c r="N1118" a="1"/>
  <c r="N1123" a="1"/>
  <c r="N1120" a="1"/>
  <c r="N1126" a="1"/>
  <c r="N1121" a="1"/>
  <c r="N1124" a="1"/>
  <c r="J1102" a="1"/>
  <c r="H1123" a="1"/>
  <c r="H1120" a="1"/>
  <c r="H1125" a="1"/>
  <c r="H1126" a="1"/>
  <c r="H1121" a="1"/>
  <c r="H1124" a="1"/>
  <c r="H1119" a="1"/>
  <c r="H1118" a="1"/>
  <c r="H1122" a="1"/>
  <c r="I1122" a="1"/>
  <c r="I1119" a="1"/>
  <c r="I1124" a="1"/>
  <c r="I1125" a="1"/>
  <c r="I1120" a="1"/>
  <c r="I1126" a="1"/>
  <c r="I1123" a="1"/>
  <c r="I1121" a="1"/>
  <c r="I1118" a="1"/>
  <c r="K1102" a="1"/>
  <c r="J857" a="1"/>
  <c r="H857" a="1"/>
  <c r="I857" a="1"/>
  <c r="G857" a="1"/>
  <c r="K857" a="1"/>
  <c r="N935"/>
  <c r="M935"/>
  <c r="F328" i="17"/>
  <c r="H415" a="1"/>
  <c r="F321"/>
  <c r="F320"/>
  <c r="F327"/>
  <c r="F326"/>
  <c r="F329"/>
  <c r="F323"/>
  <c r="F322"/>
  <c r="F325"/>
  <c r="F318"/>
  <c r="F319"/>
  <c r="F324"/>
  <c r="E336"/>
  <c r="F415" a="1"/>
  <c r="F293" i="13"/>
  <c r="F455"/>
  <c r="F300"/>
  <c r="F456"/>
  <c r="M368"/>
  <c r="F307"/>
  <c r="F457"/>
  <c r="H335"/>
  <c r="H475"/>
  <c r="G335"/>
  <c r="G475"/>
  <c r="H314"/>
  <c r="H472"/>
  <c r="G314"/>
  <c r="G472"/>
  <c r="H321"/>
  <c r="H473"/>
  <c r="G321"/>
  <c r="G473"/>
  <c r="H328"/>
  <c r="H474"/>
  <c r="G328"/>
  <c r="G474"/>
  <c r="F286"/>
  <c r="N339" i="15"/>
  <c r="N341"/>
  <c r="N340"/>
  <c r="M339"/>
  <c r="M341"/>
  <c r="M340"/>
  <c r="L339"/>
  <c r="L340"/>
  <c r="L341"/>
  <c r="K339"/>
  <c r="K340"/>
  <c r="K341"/>
  <c r="H350" i="17" a="1"/>
  <c r="L1102" i="4" a="1"/>
  <c r="J1126" a="1"/>
  <c r="J1121" a="1"/>
  <c r="J1122" a="1"/>
  <c r="J1123" a="1"/>
  <c r="J1124" a="1"/>
  <c r="J1119" a="1"/>
  <c r="J1118" a="1"/>
  <c r="J1125" a="1"/>
  <c r="J1120" a="1"/>
  <c r="F363" i="13"/>
  <c r="F454"/>
  <c r="G350" i="17" a="1"/>
  <c r="G382" a="1"/>
  <c r="L857" i="4" a="1"/>
  <c r="H382" i="17" a="1"/>
  <c r="K1125" i="4" a="1"/>
  <c r="K1120" a="1"/>
  <c r="K1121" a="1"/>
  <c r="K1118" a="1"/>
  <c r="K1122" a="1"/>
  <c r="K1126" a="1"/>
  <c r="K1123" a="1"/>
  <c r="K1124" a="1"/>
  <c r="K1119" a="1"/>
  <c r="M1102" a="1"/>
  <c r="K688" i="14" a="1"/>
  <c r="F430" i="17" a="1"/>
  <c r="F429" a="1"/>
  <c r="F427" a="1"/>
  <c r="F428" a="1"/>
  <c r="F423" a="1"/>
  <c r="F425" a="1"/>
  <c r="F426" a="1"/>
  <c r="F422" a="1"/>
  <c r="F424" a="1"/>
  <c r="I382" a="1"/>
  <c r="I350" a="1"/>
  <c r="H428" a="1"/>
  <c r="H430" a="1"/>
  <c r="H427" a="1"/>
  <c r="H429" a="1"/>
  <c r="H426" a="1"/>
  <c r="H425" a="1"/>
  <c r="H423" a="1"/>
  <c r="H424" a="1"/>
  <c r="H422" a="1"/>
  <c r="H399" a="1"/>
  <c r="I415" a="1"/>
  <c r="I1077" i="4" a="1"/>
  <c r="I1073" a="1"/>
  <c r="I1078" a="1"/>
  <c r="I1076" a="1"/>
  <c r="I1072" a="1"/>
  <c r="I1074" a="1"/>
  <c r="I1079" a="1"/>
  <c r="I1075" a="1"/>
  <c r="I1071" a="1"/>
  <c r="G1079" a="1"/>
  <c r="G1075" a="1"/>
  <c r="G1071" a="1"/>
  <c r="G1072" a="1"/>
  <c r="G1073" a="1"/>
  <c r="G1078" a="1"/>
  <c r="G1074" a="1"/>
  <c r="G1076" a="1"/>
  <c r="G1077" a="1"/>
  <c r="K895" a="1"/>
  <c r="K891" a="1"/>
  <c r="K896" a="1"/>
  <c r="K897" a="1"/>
  <c r="K889" a="1"/>
  <c r="K894" a="1"/>
  <c r="K890" a="1"/>
  <c r="K892" a="1"/>
  <c r="K893" a="1"/>
  <c r="M857" a="1"/>
  <c r="J896" a="1"/>
  <c r="J892" a="1"/>
  <c r="J897" a="1"/>
  <c r="J890" a="1"/>
  <c r="J895" a="1"/>
  <c r="J891" a="1"/>
  <c r="J893" a="1"/>
  <c r="J889" a="1"/>
  <c r="J894" a="1"/>
  <c r="J1076" a="1"/>
  <c r="J1072" a="1"/>
  <c r="J1077" a="1"/>
  <c r="J1079" a="1"/>
  <c r="J1075" a="1"/>
  <c r="J1071" a="1"/>
  <c r="J1073" a="1"/>
  <c r="J1078" a="1"/>
  <c r="J1074" a="1"/>
  <c r="H894" a="1"/>
  <c r="H890" a="1"/>
  <c r="H891" a="1"/>
  <c r="H892" a="1"/>
  <c r="H897" a="1"/>
  <c r="H893" a="1"/>
  <c r="H889" a="1"/>
  <c r="H895" a="1"/>
  <c r="H896" a="1"/>
  <c r="H1072" a="1"/>
  <c r="H1078" a="1"/>
  <c r="K1077" a="1"/>
  <c r="H1074" a="1"/>
  <c r="K1074" a="1"/>
  <c r="K1075" a="1"/>
  <c r="H1076" a="1"/>
  <c r="H1071" a="1"/>
  <c r="K1072" a="1"/>
  <c r="K1071" a="1"/>
  <c r="H1077" a="1"/>
  <c r="K1076" a="1"/>
  <c r="H1073" a="1"/>
  <c r="K1073" a="1"/>
  <c r="K1078" a="1"/>
  <c r="K1079" a="1"/>
  <c r="H1075" a="1"/>
  <c r="H1079" a="1"/>
  <c r="L673" i="14" a="1"/>
  <c r="K673" a="1"/>
  <c r="M688" a="1"/>
  <c r="N688" a="1"/>
  <c r="J688" a="1"/>
  <c r="L688" a="1"/>
  <c r="G673" a="1"/>
  <c r="G688" a="1"/>
  <c r="J673" a="1"/>
  <c r="I688" a="1"/>
  <c r="I673" a="1"/>
  <c r="N673" a="1"/>
  <c r="H688" a="1"/>
  <c r="G703" a="1"/>
  <c r="M673" a="1"/>
  <c r="H673" a="1"/>
  <c r="H401" i="17" a="1"/>
  <c r="H406" a="1"/>
  <c r="L1124" i="4" a="1"/>
  <c r="L1119" a="1"/>
  <c r="L1118" a="1"/>
  <c r="L1120" a="1"/>
  <c r="L1121" a="1"/>
  <c r="L1125" a="1"/>
  <c r="L1122" a="1"/>
  <c r="L1123" a="1"/>
  <c r="L1126" a="1"/>
  <c r="H372" i="17" a="1"/>
  <c r="J415" a="1"/>
  <c r="H400" a="1"/>
  <c r="H403" a="1"/>
  <c r="J350" a="1"/>
  <c r="J382" a="1"/>
  <c r="H405" a="1"/>
  <c r="H402" a="1"/>
  <c r="H404" a="1"/>
  <c r="H375" a="1"/>
  <c r="G375" a="1"/>
  <c r="G371" a="1"/>
  <c r="G367" a="1"/>
  <c r="G368" a="1"/>
  <c r="G369" a="1"/>
  <c r="G374" a="1"/>
  <c r="G370" a="1"/>
  <c r="G372" a="1"/>
  <c r="G373" a="1"/>
  <c r="I427" a="1"/>
  <c r="I429" a="1"/>
  <c r="I426" a="1"/>
  <c r="I428" a="1"/>
  <c r="I430" a="1"/>
  <c r="I424" a="1"/>
  <c r="I425" a="1"/>
  <c r="I422" a="1"/>
  <c r="I423" a="1"/>
  <c r="G405" a="1"/>
  <c r="G401" a="1"/>
  <c r="G402" a="1"/>
  <c r="G407" a="1"/>
  <c r="G403" a="1"/>
  <c r="G399" a="1"/>
  <c r="G404" a="1"/>
  <c r="G400" a="1"/>
  <c r="G406" a="1"/>
  <c r="H407" a="1"/>
  <c r="I897" i="4" a="1"/>
  <c r="I893" a="1"/>
  <c r="I889" a="1"/>
  <c r="I891" a="1"/>
  <c r="I896" a="1"/>
  <c r="I892" a="1"/>
  <c r="I894" a="1"/>
  <c r="I890" a="1"/>
  <c r="I895" a="1"/>
  <c r="N857" a="1"/>
  <c r="G895" a="1"/>
  <c r="G891" a="1"/>
  <c r="G892" a="1"/>
  <c r="G893" a="1"/>
  <c r="G894" a="1"/>
  <c r="G890" a="1"/>
  <c r="G896" a="1"/>
  <c r="G897" a="1"/>
  <c r="G889" a="1"/>
  <c r="L1078" a="1"/>
  <c r="L1074" a="1"/>
  <c r="L1075" a="1"/>
  <c r="L1077" a="1"/>
  <c r="L1073" a="1"/>
  <c r="L1079" a="1"/>
  <c r="L1071" a="1"/>
  <c r="L1076" a="1"/>
  <c r="L1072" a="1"/>
  <c r="F673" i="14" a="1"/>
  <c r="F688" a="1"/>
  <c r="F703" a="1"/>
  <c r="I401" i="17" a="1"/>
  <c r="M1126" i="4" a="1"/>
  <c r="M1123" a="1"/>
  <c r="M1119" a="1"/>
  <c r="M1120" a="1"/>
  <c r="M1124" a="1"/>
  <c r="M1121" a="1"/>
  <c r="M1118" a="1"/>
  <c r="M1122" a="1"/>
  <c r="M1125" a="1"/>
  <c r="M892" a="1"/>
  <c r="M894" a="1"/>
  <c r="M1074" a="1"/>
  <c r="M1078" a="1"/>
  <c r="M897" a="1"/>
  <c r="M889" a="1"/>
  <c r="M1079" a="1"/>
  <c r="M891" a="1"/>
  <c r="M890" a="1"/>
  <c r="M1075" a="1"/>
  <c r="M1076" a="1"/>
  <c r="M1077" a="1"/>
  <c r="M895" a="1"/>
  <c r="M893" a="1"/>
  <c r="M1071" a="1"/>
  <c r="M1072" a="1"/>
  <c r="M1073" a="1"/>
  <c r="M896" a="1"/>
  <c r="H373" i="17" a="1"/>
  <c r="H367" a="1"/>
  <c r="H371" a="1"/>
  <c r="H368" a="1"/>
  <c r="I407" a="1"/>
  <c r="H370" a="1"/>
  <c r="H369" a="1"/>
  <c r="I374" a="1"/>
  <c r="I375" a="1"/>
  <c r="H374" a="1"/>
  <c r="J426" a="1"/>
  <c r="J423" a="1"/>
  <c r="K350" a="1"/>
  <c r="K382" a="1"/>
  <c r="I403" a="1"/>
  <c r="I370" a="1"/>
  <c r="I399" a="1"/>
  <c r="I367" a="1"/>
  <c r="I373" a="1"/>
  <c r="I402" a="1"/>
  <c r="I400" a="1"/>
  <c r="I372" a="1"/>
  <c r="I369" a="1"/>
  <c r="I406" a="1"/>
  <c r="I371" a="1"/>
  <c r="K415" a="1"/>
  <c r="I404" a="1"/>
  <c r="I405" a="1"/>
  <c r="I368" a="1"/>
  <c r="L894" i="4" a="1"/>
  <c r="L890" a="1"/>
  <c r="L895" a="1"/>
  <c r="L896" a="1"/>
  <c r="L897" a="1"/>
  <c r="L893" a="1"/>
  <c r="L889" a="1"/>
  <c r="L891" a="1"/>
  <c r="L892" a="1"/>
  <c r="J367" i="17" a="1"/>
  <c r="J430" a="1"/>
  <c r="J399" a="1"/>
  <c r="J424" a="1"/>
  <c r="J428" a="1"/>
  <c r="J374" a="1"/>
  <c r="J422" a="1"/>
  <c r="J427" a="1"/>
  <c r="J425" a="1"/>
  <c r="J429" a="1"/>
  <c r="L350" a="1"/>
  <c r="L382" a="1"/>
  <c r="K367" a="1"/>
  <c r="J368" a="1"/>
  <c r="J405" a="1"/>
  <c r="J373" a="1"/>
  <c r="J407" a="1"/>
  <c r="L415" a="1"/>
  <c r="J370" a="1"/>
  <c r="J375" a="1"/>
  <c r="J372" a="1"/>
  <c r="J400" a="1"/>
  <c r="J404" a="1"/>
  <c r="J406" a="1"/>
  <c r="J371" a="1"/>
  <c r="J402" a="1"/>
  <c r="J401" a="1"/>
  <c r="J369" a="1"/>
  <c r="J403" a="1"/>
  <c r="N1076" i="4" a="1"/>
  <c r="N1072" a="1"/>
  <c r="N1073" a="1"/>
  <c r="N1079" a="1"/>
  <c r="N1075" a="1"/>
  <c r="N1071" a="1"/>
  <c r="N1077" a="1"/>
  <c r="N1078" a="1"/>
  <c r="N1074" a="1"/>
  <c r="K406" i="17" a="1"/>
  <c r="K401" a="1"/>
  <c r="K405" a="1"/>
  <c r="K372" a="1"/>
  <c r="K429" a="1"/>
  <c r="K426" a="1"/>
  <c r="K427" a="1"/>
  <c r="K430" a="1"/>
  <c r="K428" a="1"/>
  <c r="K423" a="1"/>
  <c r="K425" a="1"/>
  <c r="K422" a="1"/>
  <c r="K424" a="1"/>
  <c r="M415" a="1"/>
  <c r="M350" a="1"/>
  <c r="M382" a="1"/>
  <c r="K402" a="1"/>
  <c r="K368" a="1"/>
  <c r="K369" a="1"/>
  <c r="K375" a="1"/>
  <c r="K403" a="1"/>
  <c r="K404" a="1"/>
  <c r="K374" a="1"/>
  <c r="K371" a="1"/>
  <c r="L428" a="1"/>
  <c r="L426" a="1"/>
  <c r="L429" a="1"/>
  <c r="L430" a="1"/>
  <c r="L427" a="1"/>
  <c r="L425" a="1"/>
  <c r="L422" a="1"/>
  <c r="L424" a="1"/>
  <c r="L423" a="1"/>
  <c r="L371" a="1"/>
  <c r="K407" a="1"/>
  <c r="K373" a="1"/>
  <c r="K399" a="1"/>
  <c r="K400" a="1"/>
  <c r="K370" a="1"/>
  <c r="N896" i="4" a="1"/>
  <c r="N892" a="1"/>
  <c r="N893" a="1"/>
  <c r="N889" a="1"/>
  <c r="N894" a="1"/>
  <c r="N895" a="1"/>
  <c r="N891" a="1"/>
  <c r="N897" a="1"/>
  <c r="N890" a="1"/>
  <c r="M367" i="17" a="1"/>
  <c r="M429" a="1"/>
  <c r="M426" a="1"/>
  <c r="L404" a="1"/>
  <c r="L400" a="1"/>
  <c r="L405" a="1"/>
  <c r="L407" a="1"/>
  <c r="L403" a="1"/>
  <c r="L399" a="1"/>
  <c r="L401" a="1"/>
  <c r="L406" a="1"/>
  <c r="L402" a="1"/>
  <c r="L368" a="1"/>
  <c r="L374" a="1"/>
  <c r="L369" a="1"/>
  <c r="L367" a="1"/>
  <c r="L372" a="1"/>
  <c r="M371" a="1"/>
  <c r="L373" a="1"/>
  <c r="L370" a="1"/>
  <c r="L375" a="1"/>
  <c r="M407" a="1"/>
  <c r="M373" a="1"/>
  <c r="M372" a="1"/>
  <c r="M370" a="1"/>
  <c r="M425" a="1"/>
  <c r="M404" a="1"/>
  <c r="M422" a="1"/>
  <c r="M427" a="1"/>
  <c r="M402" a="1"/>
  <c r="M368" a="1"/>
  <c r="M399" a="1"/>
  <c r="M374" a="1"/>
  <c r="M375" a="1"/>
  <c r="M401" a="1"/>
  <c r="M406" a="1"/>
  <c r="M423" a="1"/>
  <c r="M428" a="1"/>
  <c r="M403" a="1"/>
  <c r="M369" a="1"/>
  <c r="M400" a="1"/>
  <c r="M405" a="1"/>
  <c r="M424" a="1"/>
  <c r="M430" a="1"/>
  <c r="N334" i="15"/>
  <c r="N335"/>
  <c r="N336"/>
  <c r="M334"/>
  <c r="M336"/>
  <c r="M335"/>
  <c r="N329"/>
  <c r="N330"/>
  <c r="N331"/>
  <c r="M329"/>
  <c r="M330"/>
  <c r="M331"/>
  <c r="L329"/>
  <c r="L331"/>
  <c r="L330"/>
  <c r="K329"/>
  <c r="K331"/>
  <c r="K330"/>
  <c r="J329"/>
  <c r="J331"/>
  <c r="J330"/>
  <c r="I329"/>
  <c r="I330"/>
  <c r="I331"/>
  <c r="H330"/>
  <c r="G330"/>
  <c r="F330"/>
  <c r="F331"/>
  <c r="L334"/>
  <c r="H335"/>
  <c r="L335"/>
  <c r="F340"/>
  <c r="J340"/>
  <c r="J339"/>
  <c r="J341"/>
  <c r="I339"/>
  <c r="I341"/>
  <c r="I340"/>
  <c r="H340"/>
  <c r="F341"/>
  <c r="K335"/>
  <c r="I335"/>
  <c r="K334"/>
  <c r="J334"/>
  <c r="L336"/>
  <c r="K336"/>
  <c r="J335"/>
  <c r="J336"/>
  <c r="I334"/>
  <c r="I336"/>
  <c r="F335"/>
  <c r="F336"/>
  <c r="G335"/>
  <c r="G340"/>
  <c r="H339"/>
  <c r="H341"/>
  <c r="H329"/>
  <c r="H331"/>
  <c r="G329"/>
  <c r="G331"/>
  <c r="G339"/>
  <c r="G341"/>
  <c r="G334"/>
  <c r="G336"/>
  <c r="H334"/>
  <c r="H336"/>
  <c r="G284" i="7"/>
  <c r="G283"/>
  <c r="H284"/>
  <c r="N757" i="4"/>
  <c r="N1028" s="1"/>
  <c r="G757"/>
  <c r="K757"/>
  <c r="K1028" s="1"/>
  <c r="F1028"/>
  <c r="F1031" a="1"/>
  <c r="J757"/>
  <c r="I757"/>
  <c r="I1028"/>
  <c r="I1031" a="1"/>
  <c r="M757"/>
  <c r="M1028" s="1"/>
  <c r="M1031" a="1"/>
  <c r="H757"/>
  <c r="L757"/>
  <c r="L1028" s="1"/>
  <c r="F857" a="1"/>
  <c r="I60"/>
  <c r="J60"/>
  <c r="K60"/>
  <c r="L60"/>
  <c r="M60"/>
  <c r="N60"/>
  <c r="P60"/>
  <c r="I61"/>
  <c r="J61"/>
  <c r="K61"/>
  <c r="L61"/>
  <c r="M61"/>
  <c r="N61"/>
  <c r="P61"/>
  <c r="I58"/>
  <c r="J58"/>
  <c r="K58"/>
  <c r="L58"/>
  <c r="M58"/>
  <c r="N58"/>
  <c r="P58"/>
  <c r="H1031" a="1"/>
  <c r="F1033"/>
  <c r="F1034"/>
  <c r="F1031"/>
  <c r="F1041"/>
  <c r="F1043"/>
  <c r="F1032"/>
  <c r="F1040"/>
  <c r="F1037"/>
  <c r="K1031" a="1"/>
  <c r="N1031" a="1"/>
  <c r="J1028"/>
  <c r="J1031" a="1"/>
  <c r="L1031" a="1"/>
  <c r="G1028"/>
  <c r="G1031" a="1"/>
  <c r="K1048" a="1"/>
  <c r="F1050" a="1"/>
  <c r="M1052" a="1"/>
  <c r="H1052" a="1"/>
  <c r="H1048" a="1"/>
  <c r="H1051" a="1"/>
  <c r="H1049" a="1"/>
  <c r="H1054" a="1"/>
  <c r="H1053" a="1"/>
  <c r="H1050" a="1"/>
  <c r="H1055" a="1"/>
  <c r="H1047" a="1"/>
  <c r="I1052" a="1"/>
  <c r="I1047" a="1"/>
  <c r="I1050" a="1"/>
  <c r="I1055" a="1"/>
  <c r="I1049" a="1"/>
  <c r="I1051" a="1"/>
  <c r="I1054" a="1"/>
  <c r="I1048" a="1"/>
  <c r="I1053" a="1"/>
  <c r="G1042"/>
  <c r="G1032"/>
  <c r="G1037"/>
  <c r="F1048" a="1"/>
  <c r="M1048" a="1"/>
  <c r="M1050" a="1"/>
  <c r="M1053" a="1"/>
  <c r="M1049" a="1"/>
  <c r="F1077" a="1"/>
  <c r="F1075" a="1"/>
  <c r="F1078" a="1"/>
  <c r="F1073" a="1"/>
  <c r="F1071" a="1"/>
  <c r="F1076" a="1"/>
  <c r="F1079" a="1"/>
  <c r="F1072" a="1"/>
  <c r="F1074" a="1"/>
  <c r="M1051" a="1"/>
  <c r="M1054" a="1"/>
  <c r="M1055" a="1"/>
  <c r="M1047" a="1"/>
  <c r="N1047" a="1"/>
  <c r="N1052" a="1"/>
  <c r="K1052" a="1"/>
  <c r="F1051" a="1"/>
  <c r="K1051" a="1"/>
  <c r="N1054" a="1"/>
  <c r="K1053" a="1"/>
  <c r="F1053" a="1"/>
  <c r="N1048" a="1"/>
  <c r="N1051" a="1"/>
  <c r="K1047" a="1"/>
  <c r="K1055" a="1"/>
  <c r="F1054" a="1"/>
  <c r="N1049" a="1"/>
  <c r="K1054" a="1"/>
  <c r="K1049" a="1"/>
  <c r="F1047" a="1"/>
  <c r="F1049" a="1"/>
  <c r="N1055" a="1"/>
  <c r="K1050" a="1"/>
  <c r="F1055" a="1"/>
  <c r="F1052" a="1"/>
  <c r="N1053" a="1"/>
  <c r="N1050" a="1"/>
  <c r="L1047" a="1"/>
  <c r="L1049" a="1"/>
  <c r="L1053" a="1"/>
  <c r="L1050" a="1"/>
  <c r="L1054" a="1"/>
  <c r="L1052" a="1"/>
  <c r="L1051" a="1"/>
  <c r="L1048" a="1"/>
  <c r="L1055" a="1"/>
  <c r="F889" a="1"/>
  <c r="F892" a="1"/>
  <c r="F897" a="1"/>
  <c r="F895" a="1"/>
  <c r="F893" a="1"/>
  <c r="F890" a="1"/>
  <c r="F896" a="1"/>
  <c r="F891" a="1"/>
  <c r="F894" a="1"/>
  <c r="J1049" a="1"/>
  <c r="J1052" a="1"/>
  <c r="J1053" a="1"/>
  <c r="J1047" a="1"/>
  <c r="J1051" a="1"/>
  <c r="J1054" a="1"/>
  <c r="J1048" a="1"/>
  <c r="J1050" a="1"/>
  <c r="J1055" a="1"/>
  <c r="G1047" a="1"/>
  <c r="G1050" a="1"/>
  <c r="G1054" a="1"/>
  <c r="G1052" a="1"/>
  <c r="G1055" a="1"/>
  <c r="G1051" a="1"/>
  <c r="G1048" a="1"/>
  <c r="G1049" a="1"/>
  <c r="G1053" a="1"/>
  <c r="AI62" i="19"/>
  <c r="AI62" i="31"/>
  <c r="AL27" i="19"/>
  <c r="AM27"/>
  <c r="AM27" i="31"/>
  <c r="AJ62" i="19"/>
  <c r="AK62"/>
  <c r="AK62" i="31"/>
  <c r="AL27"/>
  <c r="AJ62"/>
  <c r="AL62" i="19"/>
  <c r="AL62" i="31"/>
  <c r="AM62" i="19"/>
  <c r="AM62" i="31"/>
  <c r="F142" i="50"/>
  <c r="D564" i="42"/>
  <c r="D566"/>
  <c r="D565"/>
  <c r="L35" i="43" l="1"/>
  <c r="L46" s="1"/>
  <c r="L151" s="1"/>
  <c r="G35"/>
  <c r="I35"/>
  <c r="H35"/>
  <c r="L38" i="51"/>
  <c r="L75" s="1"/>
  <c r="L587" i="4"/>
  <c r="K588"/>
  <c r="M591"/>
  <c r="I591"/>
  <c r="M589"/>
  <c r="N590"/>
  <c r="N145" i="42"/>
  <c r="N401" s="1"/>
  <c r="J109"/>
  <c r="H30" i="10"/>
  <c r="H159" s="1"/>
  <c r="M118" i="42"/>
  <c r="M326" s="1"/>
  <c r="L55"/>
  <c r="L319" s="1"/>
  <c r="L399" s="1"/>
  <c r="L564" s="1"/>
  <c r="G257" i="10"/>
  <c r="I19" i="57"/>
  <c r="I59" s="1"/>
  <c r="I86" s="1"/>
  <c r="K109" i="42"/>
  <c r="F30" i="10"/>
  <c r="F159" s="1"/>
  <c r="F257" s="1"/>
  <c r="J30"/>
  <c r="J159" s="1"/>
  <c r="N37" i="42"/>
  <c r="N317" s="1"/>
  <c r="N365" s="1"/>
  <c r="G118"/>
  <c r="G326" s="1"/>
  <c r="M46"/>
  <c r="M318" s="1"/>
  <c r="M414" s="1"/>
  <c r="M417" s="1"/>
  <c r="M558" s="1"/>
  <c r="G590" i="4"/>
  <c r="K591"/>
  <c r="L589"/>
  <c r="I587"/>
  <c r="F71"/>
  <c r="J38" i="51"/>
  <c r="J75" s="1"/>
  <c r="G843" i="4"/>
  <c r="G846" s="1"/>
  <c r="M843"/>
  <c r="H71"/>
  <c r="G588"/>
  <c r="K71"/>
  <c r="L71"/>
  <c r="L145" i="42"/>
  <c r="L401" s="1"/>
  <c r="H37"/>
  <c r="H317" s="1"/>
  <c r="H20" i="32"/>
  <c r="H63" s="1"/>
  <c r="H68" s="1"/>
  <c r="H70" s="1"/>
  <c r="H71" s="1"/>
  <c r="M20"/>
  <c r="M63" s="1"/>
  <c r="M68" s="1"/>
  <c r="M70" s="1"/>
  <c r="J20"/>
  <c r="J63" s="1"/>
  <c r="J68" s="1"/>
  <c r="J70" s="1"/>
  <c r="K20"/>
  <c r="K63" s="1"/>
  <c r="K68" s="1"/>
  <c r="G20"/>
  <c r="G63" s="1"/>
  <c r="L84" s="1"/>
  <c r="F20"/>
  <c r="F63" s="1"/>
  <c r="F68" s="1"/>
  <c r="L20"/>
  <c r="L63" s="1"/>
  <c r="L68" s="1"/>
  <c r="I20"/>
  <c r="I63" s="1"/>
  <c r="I120" s="1"/>
  <c r="N115" i="12"/>
  <c r="N117" s="1"/>
  <c r="H124"/>
  <c r="H126" s="1"/>
  <c r="H127" s="1"/>
  <c r="K590" i="4"/>
  <c r="I588"/>
  <c r="M71"/>
  <c r="I589"/>
  <c r="N71"/>
  <c r="G71"/>
  <c r="L588"/>
  <c r="I843"/>
  <c r="J587"/>
  <c r="L590"/>
  <c r="H586"/>
  <c r="J193" i="13"/>
  <c r="M20" i="16"/>
  <c r="F20"/>
  <c r="H20"/>
  <c r="N117" i="58"/>
  <c r="N124" i="12"/>
  <c r="N126" s="1"/>
  <c r="N127" s="1"/>
  <c r="F453" i="14"/>
  <c r="F455" s="1"/>
  <c r="F466" s="1"/>
  <c r="E183" i="13"/>
  <c r="G92" i="16"/>
  <c r="G101" s="1"/>
  <c r="G127" s="1"/>
  <c r="H349" i="17"/>
  <c r="M171" i="16"/>
  <c r="M414" i="17"/>
  <c r="H381"/>
  <c r="H590" s="1"/>
  <c r="N588" i="4"/>
  <c r="L591"/>
  <c r="M588"/>
  <c r="G586"/>
  <c r="M590"/>
  <c r="I586"/>
  <c r="M586"/>
  <c r="I590"/>
  <c r="J71"/>
  <c r="H588"/>
  <c r="L843"/>
  <c r="K587"/>
  <c r="J20" i="16"/>
  <c r="L20"/>
  <c r="E185" i="13"/>
  <c r="G28" i="42"/>
  <c r="G316" s="1"/>
  <c r="I136"/>
  <c r="I400" s="1"/>
  <c r="I404" s="1"/>
  <c r="E312" i="34"/>
  <c r="G312" s="1"/>
  <c r="M313"/>
  <c r="G332" i="42"/>
  <c r="F145"/>
  <c r="F401" s="1"/>
  <c r="K145"/>
  <c r="K401" s="1"/>
  <c r="I109"/>
  <c r="G145"/>
  <c r="G401" s="1"/>
  <c r="F118"/>
  <c r="F326" s="1"/>
  <c r="N118"/>
  <c r="N326" s="1"/>
  <c r="N19"/>
  <c r="N315" s="1"/>
  <c r="M28"/>
  <c r="M316" s="1"/>
  <c r="L37"/>
  <c r="L317" s="1"/>
  <c r="L19"/>
  <c r="L315" s="1"/>
  <c r="L433" s="1"/>
  <c r="K28"/>
  <c r="K316" s="1"/>
  <c r="J37"/>
  <c r="J317" s="1"/>
  <c r="J19"/>
  <c r="J315" s="1"/>
  <c r="I28"/>
  <c r="I316" s="1"/>
  <c r="H118"/>
  <c r="H326" s="1"/>
  <c r="H19"/>
  <c r="H315" s="1"/>
  <c r="F325" a="1"/>
  <c r="F46"/>
  <c r="F318" s="1"/>
  <c r="F414" s="1"/>
  <c r="F417" s="1"/>
  <c r="F558" s="1"/>
  <c r="M127"/>
  <c r="M327" s="1"/>
  <c r="M419" s="1"/>
  <c r="L136"/>
  <c r="L400" s="1"/>
  <c r="L404" s="1"/>
  <c r="L405" s="1"/>
  <c r="I46"/>
  <c r="I318" s="1"/>
  <c r="I414" s="1"/>
  <c r="I417" s="1"/>
  <c r="I558" s="1"/>
  <c r="G55"/>
  <c r="G319" s="1"/>
  <c r="G399" s="1"/>
  <c r="N109"/>
  <c r="M109"/>
  <c r="J145"/>
  <c r="J401" s="1"/>
  <c r="I145"/>
  <c r="I401" s="1"/>
  <c r="H109"/>
  <c r="F339" a="1"/>
  <c r="G339" s="1"/>
  <c r="F28"/>
  <c r="F316" s="1"/>
  <c r="M37"/>
  <c r="M317" s="1"/>
  <c r="M365" s="1"/>
  <c r="L118"/>
  <c r="L326" s="1"/>
  <c r="K37"/>
  <c r="K317" s="1"/>
  <c r="J118"/>
  <c r="J326" s="1"/>
  <c r="I37"/>
  <c r="I317" s="1"/>
  <c r="I19"/>
  <c r="I315" s="1"/>
  <c r="G37"/>
  <c r="G317" s="1"/>
  <c r="G365" s="1"/>
  <c r="G19"/>
  <c r="G315" s="1"/>
  <c r="F127"/>
  <c r="F327" s="1"/>
  <c r="F419" s="1"/>
  <c r="F420" s="1"/>
  <c r="F455" s="1"/>
  <c r="F55"/>
  <c r="F319" s="1"/>
  <c r="F399" s="1"/>
  <c r="N55"/>
  <c r="N319" s="1"/>
  <c r="N399" s="1"/>
  <c r="M55"/>
  <c r="M319" s="1"/>
  <c r="M399" s="1"/>
  <c r="J136"/>
  <c r="J400" s="1"/>
  <c r="J404" s="1"/>
  <c r="H332"/>
  <c r="L332"/>
  <c r="F333" a="1"/>
  <c r="J333" s="1"/>
  <c r="L109"/>
  <c r="H145"/>
  <c r="H401" s="1"/>
  <c r="G109"/>
  <c r="F37"/>
  <c r="F317" s="1"/>
  <c r="F19"/>
  <c r="F315" s="1"/>
  <c r="N28"/>
  <c r="N316" s="1"/>
  <c r="M19"/>
  <c r="M315" s="1"/>
  <c r="K19"/>
  <c r="K315" s="1"/>
  <c r="J28"/>
  <c r="J316" s="1"/>
  <c r="I118"/>
  <c r="I326" s="1"/>
  <c r="H28"/>
  <c r="H316" s="1"/>
  <c r="F324" a="1"/>
  <c r="F136"/>
  <c r="F400" s="1"/>
  <c r="N136"/>
  <c r="N400" s="1"/>
  <c r="H55"/>
  <c r="H319" s="1"/>
  <c r="H399" s="1"/>
  <c r="K313" i="34"/>
  <c r="H97" i="18"/>
  <c r="J97"/>
  <c r="K97"/>
  <c r="M110" i="16"/>
  <c r="I349" i="17"/>
  <c r="M349"/>
  <c r="G414"/>
  <c r="I381"/>
  <c r="I590" s="1"/>
  <c r="J381"/>
  <c r="J590" s="1"/>
  <c r="N381"/>
  <c r="N590" s="1"/>
  <c r="F381"/>
  <c r="F383" s="1"/>
  <c r="J244" i="15"/>
  <c r="J253" s="1"/>
  <c r="L191" i="13"/>
  <c r="N98" i="12"/>
  <c r="J222" i="15"/>
  <c r="M105" i="16"/>
  <c r="M137" s="1"/>
  <c r="N46" i="42"/>
  <c r="N318" s="1"/>
  <c r="N414" s="1"/>
  <c r="N417" s="1"/>
  <c r="N558" s="1"/>
  <c r="L46"/>
  <c r="L318" s="1"/>
  <c r="L414" s="1"/>
  <c r="L417" s="1"/>
  <c r="L558" s="1"/>
  <c r="K46"/>
  <c r="K318" s="1"/>
  <c r="K414" s="1"/>
  <c r="K417" s="1"/>
  <c r="K558" s="1"/>
  <c r="K55"/>
  <c r="K319" s="1"/>
  <c r="K399" s="1"/>
  <c r="J46"/>
  <c r="J318" s="1"/>
  <c r="J414" s="1"/>
  <c r="J417" s="1"/>
  <c r="J558" s="1"/>
  <c r="I127"/>
  <c r="I327" s="1"/>
  <c r="I419" s="1"/>
  <c r="H127"/>
  <c r="H327" s="1"/>
  <c r="H419" s="1"/>
  <c r="G136"/>
  <c r="G400" s="1"/>
  <c r="G404" s="1"/>
  <c r="E22" i="17"/>
  <c r="M335" s="1"/>
  <c r="O335" s="1"/>
  <c r="G335" s="1"/>
  <c r="G168" i="16"/>
  <c r="M169"/>
  <c r="M170"/>
  <c r="F414" i="17"/>
  <c r="I414"/>
  <c r="J414"/>
  <c r="H414"/>
  <c r="F349"/>
  <c r="F353" s="1"/>
  <c r="L381"/>
  <c r="L590" s="1"/>
  <c r="G844" i="4"/>
  <c r="J332" i="42"/>
  <c r="K332"/>
  <c r="M124" i="12"/>
  <c r="M126" s="1"/>
  <c r="M127" s="1"/>
  <c r="M126" i="16"/>
  <c r="I48" i="10"/>
  <c r="I168" s="1"/>
  <c r="I170" s="1"/>
  <c r="I172" s="1"/>
  <c r="N127" i="42"/>
  <c r="N327" s="1"/>
  <c r="N419" s="1"/>
  <c r="N420" s="1"/>
  <c r="M136"/>
  <c r="M400" s="1"/>
  <c r="L127"/>
  <c r="L327" s="1"/>
  <c r="L419" s="1"/>
  <c r="L420" s="1"/>
  <c r="K127"/>
  <c r="K327" s="1"/>
  <c r="K419" s="1"/>
  <c r="K136"/>
  <c r="K400" s="1"/>
  <c r="K404" s="1"/>
  <c r="J127"/>
  <c r="J327" s="1"/>
  <c r="J419" s="1"/>
  <c r="J55"/>
  <c r="J319" s="1"/>
  <c r="J399" s="1"/>
  <c r="I55"/>
  <c r="I319" s="1"/>
  <c r="I399" s="1"/>
  <c r="G46"/>
  <c r="G318" s="1"/>
  <c r="G414" s="1"/>
  <c r="G417" s="1"/>
  <c r="G558" s="1"/>
  <c r="N452" i="34"/>
  <c r="K452"/>
  <c r="G313"/>
  <c r="M127" i="16"/>
  <c r="N414" i="17"/>
  <c r="M381"/>
  <c r="M590" s="1"/>
  <c r="G349"/>
  <c r="G362" s="1"/>
  <c r="K414"/>
  <c r="K381"/>
  <c r="K590" s="1"/>
  <c r="N349"/>
  <c r="K349"/>
  <c r="I112" i="58"/>
  <c r="M113" s="1"/>
  <c r="M48" i="10"/>
  <c r="M168" s="1"/>
  <c r="I264"/>
  <c r="I189"/>
  <c r="I265" s="1"/>
  <c r="F183"/>
  <c r="G186" s="1"/>
  <c r="J39"/>
  <c r="J167" s="1"/>
  <c r="G48"/>
  <c r="G168" s="1"/>
  <c r="M325" i="42"/>
  <c r="L39" i="10"/>
  <c r="L167" s="1"/>
  <c r="N28" i="9"/>
  <c r="N332" i="42"/>
  <c r="I332"/>
  <c r="F332"/>
  <c r="F48" i="10"/>
  <c r="F168" s="1"/>
  <c r="L21"/>
  <c r="L151" s="1"/>
  <c r="L154" s="1"/>
  <c r="L156" s="1"/>
  <c r="L223" s="1"/>
  <c r="M39"/>
  <c r="M167" s="1"/>
  <c r="N162" i="7"/>
  <c r="M35" i="43"/>
  <c r="M46" s="1"/>
  <c r="M151" s="1"/>
  <c r="M212" s="1"/>
  <c r="M27"/>
  <c r="M45" s="1"/>
  <c r="M150" s="1"/>
  <c r="M153" s="1"/>
  <c r="M19"/>
  <c r="M44" s="1"/>
  <c r="M144" s="1"/>
  <c r="G308" i="14"/>
  <c r="H316" s="1"/>
  <c r="K308"/>
  <c r="L334" s="1"/>
  <c r="L308"/>
  <c r="H308"/>
  <c r="I334" s="1"/>
  <c r="K162" i="10"/>
  <c r="K164" s="1"/>
  <c r="K183"/>
  <c r="K258" s="1"/>
  <c r="K257"/>
  <c r="L185"/>
  <c r="M98" i="46"/>
  <c r="M406" s="1"/>
  <c r="G80"/>
  <c r="G246" s="1"/>
  <c r="L257" i="10"/>
  <c r="M21"/>
  <c r="M151" s="1"/>
  <c r="H28" i="9"/>
  <c r="M169" i="58"/>
  <c r="K29" i="51"/>
  <c r="K74" s="1"/>
  <c r="L183" i="10"/>
  <c r="L258" s="1"/>
  <c r="G258"/>
  <c r="J183"/>
  <c r="J258" s="1"/>
  <c r="J195" i="13"/>
  <c r="N262" i="14"/>
  <c r="M262" s="1"/>
  <c r="M458" s="1"/>
  <c r="K244" i="15"/>
  <c r="K253" s="1"/>
  <c r="L261" s="1"/>
  <c r="H218"/>
  <c r="H442" s="1"/>
  <c r="E184" i="13"/>
  <c r="G27" i="43"/>
  <c r="G45" s="1"/>
  <c r="G150" s="1"/>
  <c r="G214" s="1"/>
  <c r="I21" i="10"/>
  <c r="I151" s="1"/>
  <c r="H46" i="43"/>
  <c r="H151" s="1"/>
  <c r="H215" s="1"/>
  <c r="J162" i="7"/>
  <c r="I313" i="34"/>
  <c r="K19" i="9"/>
  <c r="N19"/>
  <c r="F29" i="51"/>
  <c r="F74" s="1"/>
  <c r="H38"/>
  <c r="H75" s="1"/>
  <c r="G29"/>
  <c r="G74" s="1"/>
  <c r="M38"/>
  <c r="M75" s="1"/>
  <c r="M89" i="46"/>
  <c r="M256" s="1"/>
  <c r="J89"/>
  <c r="J256" s="1"/>
  <c r="J410"/>
  <c r="L193" i="13"/>
  <c r="M244" i="15"/>
  <c r="M253" s="1"/>
  <c r="N218"/>
  <c r="N367" s="1"/>
  <c r="I27" i="43"/>
  <c r="I45" s="1"/>
  <c r="I150" s="1"/>
  <c r="I214" s="1"/>
  <c r="K19"/>
  <c r="K44" s="1"/>
  <c r="K144" s="1"/>
  <c r="K147" s="1"/>
  <c r="G19"/>
  <c r="G44" s="1"/>
  <c r="G144" s="1"/>
  <c r="G147" s="1"/>
  <c r="M162" i="7"/>
  <c r="L112" i="58"/>
  <c r="E23" i="4"/>
  <c r="F600" s="1"/>
  <c r="N626" s="1"/>
  <c r="M28" i="9"/>
  <c r="G234" i="24"/>
  <c r="G235" s="1"/>
  <c r="G292"/>
  <c r="G369" s="1"/>
  <c r="F234"/>
  <c r="F235" s="1"/>
  <c r="F292"/>
  <c r="F369" s="1"/>
  <c r="I292"/>
  <c r="I369" s="1"/>
  <c r="I234"/>
  <c r="I235" s="1"/>
  <c r="H234"/>
  <c r="H235" s="1"/>
  <c r="H292"/>
  <c r="H369" s="1"/>
  <c r="L300" i="34"/>
  <c r="E325"/>
  <c r="H325" s="1"/>
  <c r="F452"/>
  <c r="G407"/>
  <c r="N339"/>
  <c r="K301"/>
  <c r="J301"/>
  <c r="M407"/>
  <c r="K407"/>
  <c r="M350"/>
  <c r="E321"/>
  <c r="M321" s="1"/>
  <c r="I301"/>
  <c r="F299"/>
  <c r="F378" s="1"/>
  <c r="F380" s="1"/>
  <c r="F383" s="1"/>
  <c r="F541" s="1"/>
  <c r="G452"/>
  <c r="K37" i="24"/>
  <c r="L28"/>
  <c r="L207" s="1"/>
  <c r="G28" i="8"/>
  <c r="J28"/>
  <c r="N28"/>
  <c r="M19"/>
  <c r="N121" s="1"/>
  <c r="N135" s="1"/>
  <c r="N164" s="1"/>
  <c r="H28"/>
  <c r="F19"/>
  <c r="G121" s="1"/>
  <c r="G130" s="1"/>
  <c r="G166" s="1"/>
  <c r="N19"/>
  <c r="K28"/>
  <c r="I19"/>
  <c r="J121" s="1"/>
  <c r="F28"/>
  <c r="K19"/>
  <c r="L121" s="1"/>
  <c r="L130" s="1"/>
  <c r="L166" s="1"/>
  <c r="L28"/>
  <c r="J19"/>
  <c r="K121" s="1"/>
  <c r="K130" s="1"/>
  <c r="K166" s="1"/>
  <c r="G19"/>
  <c r="H121" s="1"/>
  <c r="H130" s="1"/>
  <c r="H166" s="1"/>
  <c r="M70" i="33"/>
  <c r="M76" s="1"/>
  <c r="M114"/>
  <c r="I20"/>
  <c r="I65" s="1"/>
  <c r="F20"/>
  <c r="F65" s="1"/>
  <c r="F114" s="1"/>
  <c r="K20"/>
  <c r="K65" s="1"/>
  <c r="K114" s="1"/>
  <c r="N20"/>
  <c r="N65" s="1"/>
  <c r="N70" s="1"/>
  <c r="N72" s="1"/>
  <c r="N73" s="1"/>
  <c r="N103" s="1"/>
  <c r="F70"/>
  <c r="J120" i="50"/>
  <c r="J124" s="1"/>
  <c r="J115"/>
  <c r="L115"/>
  <c r="F33"/>
  <c r="F109" s="1"/>
  <c r="K33"/>
  <c r="K109" s="1"/>
  <c r="H33"/>
  <c r="H109" s="1"/>
  <c r="L173"/>
  <c r="M33"/>
  <c r="M109" s="1"/>
  <c r="G33"/>
  <c r="G109" s="1"/>
  <c r="N33"/>
  <c r="N109" s="1"/>
  <c r="N115" s="1"/>
  <c r="N20" i="7"/>
  <c r="J20"/>
  <c r="G28" i="6"/>
  <c r="H137" s="1"/>
  <c r="H139" s="1"/>
  <c r="L37"/>
  <c r="N37"/>
  <c r="G37"/>
  <c r="M28"/>
  <c r="N137" s="1"/>
  <c r="N139" s="1"/>
  <c r="N28"/>
  <c r="J28"/>
  <c r="K137" s="1"/>
  <c r="K139" s="1"/>
  <c r="J37"/>
  <c r="G350" i="34"/>
  <c r="G417"/>
  <c r="H338"/>
  <c r="J338"/>
  <c r="L338"/>
  <c r="M305"/>
  <c r="M456" s="1"/>
  <c r="E324"/>
  <c r="I324" s="1"/>
  <c r="I402"/>
  <c r="H301"/>
  <c r="L301"/>
  <c r="F407"/>
  <c r="F411" s="1"/>
  <c r="F413" s="1"/>
  <c r="F301"/>
  <c r="N338"/>
  <c r="F339"/>
  <c r="G345" s="1"/>
  <c r="J417"/>
  <c r="J339"/>
  <c r="N417"/>
  <c r="I305"/>
  <c r="I456" s="1"/>
  <c r="J452"/>
  <c r="F417"/>
  <c r="H402"/>
  <c r="I407"/>
  <c r="J402"/>
  <c r="K402"/>
  <c r="L402"/>
  <c r="M402"/>
  <c r="N407"/>
  <c r="G301"/>
  <c r="J300"/>
  <c r="N301"/>
  <c r="H417"/>
  <c r="L417"/>
  <c r="K302"/>
  <c r="L407"/>
  <c r="E323"/>
  <c r="G323" s="1"/>
  <c r="M301"/>
  <c r="F402"/>
  <c r="N402"/>
  <c r="E322"/>
  <c r="N350"/>
  <c r="L86" i="57"/>
  <c r="G53" i="4"/>
  <c r="K44"/>
  <c r="G222" i="15"/>
  <c r="H227"/>
  <c r="H231"/>
  <c r="I231"/>
  <c r="J214"/>
  <c r="J216" s="1"/>
  <c r="K227"/>
  <c r="L226"/>
  <c r="L231"/>
  <c r="M221"/>
  <c r="M231"/>
  <c r="N221"/>
  <c r="F226"/>
  <c r="F231"/>
  <c r="G221"/>
  <c r="G218"/>
  <c r="G231"/>
  <c r="H221"/>
  <c r="H214"/>
  <c r="H216" s="1"/>
  <c r="I221"/>
  <c r="I218"/>
  <c r="J227"/>
  <c r="J231"/>
  <c r="K221"/>
  <c r="K214"/>
  <c r="K216" s="1"/>
  <c r="L222"/>
  <c r="M218"/>
  <c r="M349" s="1"/>
  <c r="N226"/>
  <c r="N214"/>
  <c r="N216" s="1"/>
  <c r="F221"/>
  <c r="F214"/>
  <c r="F216" s="1"/>
  <c r="L247"/>
  <c r="L256" s="1"/>
  <c r="M264" s="1"/>
  <c r="H244"/>
  <c r="H253" s="1"/>
  <c r="G245"/>
  <c r="G254" s="1"/>
  <c r="H262" s="1"/>
  <c r="N245"/>
  <c r="N254" s="1"/>
  <c r="I245"/>
  <c r="I254" s="1"/>
  <c r="G247"/>
  <c r="G256" s="1"/>
  <c r="H264" s="1"/>
  <c r="J245"/>
  <c r="J254" s="1"/>
  <c r="M247"/>
  <c r="M256" s="1"/>
  <c r="N264" s="1"/>
  <c r="L245"/>
  <c r="L254" s="1"/>
  <c r="M262" s="1"/>
  <c r="J247"/>
  <c r="J256" s="1"/>
  <c r="K264" s="1"/>
  <c r="G226"/>
  <c r="G214"/>
  <c r="G216" s="1"/>
  <c r="H222"/>
  <c r="I214"/>
  <c r="I216" s="1"/>
  <c r="J221"/>
  <c r="J223" s="1"/>
  <c r="J218"/>
  <c r="K222"/>
  <c r="M214"/>
  <c r="M216" s="1"/>
  <c r="M441" s="1"/>
  <c r="N227"/>
  <c r="N231"/>
  <c r="F222"/>
  <c r="K247"/>
  <c r="K256" s="1"/>
  <c r="N247"/>
  <c r="N256" s="1"/>
  <c r="N246"/>
  <c r="N255" s="1"/>
  <c r="F244"/>
  <c r="F253" s="1"/>
  <c r="G261" s="1"/>
  <c r="M245"/>
  <c r="M254" s="1"/>
  <c r="N262" s="1"/>
  <c r="G244"/>
  <c r="G253" s="1"/>
  <c r="I246"/>
  <c r="I255" s="1"/>
  <c r="I244"/>
  <c r="I253" s="1"/>
  <c r="J261" s="1"/>
  <c r="G246"/>
  <c r="G255" s="1"/>
  <c r="H226"/>
  <c r="K231"/>
  <c r="L221"/>
  <c r="M226"/>
  <c r="K245"/>
  <c r="K254" s="1"/>
  <c r="J246"/>
  <c r="J255" s="1"/>
  <c r="L246"/>
  <c r="L255" s="1"/>
  <c r="M263" s="1"/>
  <c r="H247"/>
  <c r="H256" s="1"/>
  <c r="F247"/>
  <c r="F256" s="1"/>
  <c r="G264" s="1"/>
  <c r="G227"/>
  <c r="I226"/>
  <c r="J226"/>
  <c r="K226"/>
  <c r="F227"/>
  <c r="K218"/>
  <c r="N222"/>
  <c r="F218"/>
  <c r="F246"/>
  <c r="F255" s="1"/>
  <c r="G263" s="1"/>
  <c r="L244"/>
  <c r="L253" s="1"/>
  <c r="M261" s="1"/>
  <c r="H246"/>
  <c r="H255" s="1"/>
  <c r="I263" s="1"/>
  <c r="M246"/>
  <c r="M255" s="1"/>
  <c r="N263" s="1"/>
  <c r="K246"/>
  <c r="K255" s="1"/>
  <c r="L263" s="1"/>
  <c r="L214"/>
  <c r="L216" s="1"/>
  <c r="L349" s="1"/>
  <c r="N244"/>
  <c r="N253" s="1"/>
  <c r="F245"/>
  <c r="F254" s="1"/>
  <c r="G262" s="1"/>
  <c r="H245"/>
  <c r="H254" s="1"/>
  <c r="K107" i="58"/>
  <c r="K178" s="1"/>
  <c r="K109"/>
  <c r="L117"/>
  <c r="K117"/>
  <c r="K119" s="1"/>
  <c r="F19" i="57"/>
  <c r="F59" s="1"/>
  <c r="K261" i="15"/>
  <c r="K268" s="1"/>
  <c r="H264" i="10"/>
  <c r="G361" i="17"/>
  <c r="G352"/>
  <c r="F333" i="42"/>
  <c r="H333"/>
  <c r="G98" i="12"/>
  <c r="G139" s="1"/>
  <c r="L442" i="15"/>
  <c r="K19" i="57"/>
  <c r="K59" s="1"/>
  <c r="G19"/>
  <c r="G59" s="1"/>
  <c r="J19"/>
  <c r="J59" s="1"/>
  <c r="N19"/>
  <c r="N59" s="1"/>
  <c r="H19"/>
  <c r="H59" s="1"/>
  <c r="M19"/>
  <c r="M59" s="1"/>
  <c r="G174" i="13"/>
  <c r="H174" s="1"/>
  <c r="I174" s="1"/>
  <c r="J174" s="1"/>
  <c r="K174" s="1"/>
  <c r="L174" s="1"/>
  <c r="M174" s="1"/>
  <c r="N174" s="1"/>
  <c r="G175"/>
  <c r="G177"/>
  <c r="H177" s="1"/>
  <c r="M334" i="17"/>
  <c r="O334" s="1"/>
  <c r="G334" s="1"/>
  <c r="H334" s="1"/>
  <c r="I334" s="1"/>
  <c r="G351"/>
  <c r="L367" i="15"/>
  <c r="H189" i="10"/>
  <c r="H265" s="1"/>
  <c r="M215" i="43"/>
  <c r="N118" i="12"/>
  <c r="N131" s="1"/>
  <c r="I115"/>
  <c r="I117" s="1"/>
  <c r="J115"/>
  <c r="J117" s="1"/>
  <c r="F124"/>
  <c r="F126" s="1"/>
  <c r="F127" s="1"/>
  <c r="L124"/>
  <c r="L126" s="1"/>
  <c r="L127" s="1"/>
  <c r="I124"/>
  <c r="I126" s="1"/>
  <c r="I127" s="1"/>
  <c r="F115"/>
  <c r="F117" s="1"/>
  <c r="F20" i="30"/>
  <c r="F71" s="1"/>
  <c r="F75" s="1"/>
  <c r="K20"/>
  <c r="K71" s="1"/>
  <c r="K75" s="1"/>
  <c r="M20"/>
  <c r="M71" s="1"/>
  <c r="M75" s="1"/>
  <c r="H20"/>
  <c r="H71" s="1"/>
  <c r="H75" s="1"/>
  <c r="L20"/>
  <c r="L71" s="1"/>
  <c r="L75" s="1"/>
  <c r="N20"/>
  <c r="N71" s="1"/>
  <c r="N75" s="1"/>
  <c r="J20"/>
  <c r="J71" s="1"/>
  <c r="J75" s="1"/>
  <c r="M80" i="46"/>
  <c r="I411"/>
  <c r="K411"/>
  <c r="M191" i="13"/>
  <c r="K211" i="43"/>
  <c r="K146"/>
  <c r="K209" s="1"/>
  <c r="N404" i="42"/>
  <c r="F272" i="35"/>
  <c r="F299"/>
  <c r="F244"/>
  <c r="F295"/>
  <c r="F268"/>
  <c r="F236"/>
  <c r="F285"/>
  <c r="F281"/>
  <c r="F277"/>
  <c r="F254"/>
  <c r="K97" i="12"/>
  <c r="K138" s="1"/>
  <c r="L97"/>
  <c r="L138" s="1"/>
  <c r="M97"/>
  <c r="M138" s="1"/>
  <c r="I97"/>
  <c r="I138" s="1"/>
  <c r="J97"/>
  <c r="J138" s="1"/>
  <c r="N138"/>
  <c r="G97"/>
  <c r="N264" i="14"/>
  <c r="J264" s="1"/>
  <c r="J460" s="1"/>
  <c r="N265"/>
  <c r="J265" s="1"/>
  <c r="J461" s="1"/>
  <c r="N266"/>
  <c r="K266" s="1"/>
  <c r="K462" s="1"/>
  <c r="N267"/>
  <c r="H267" s="1"/>
  <c r="H463" s="1"/>
  <c r="J453"/>
  <c r="J455" s="1"/>
  <c r="K453"/>
  <c r="K455" s="1"/>
  <c r="M453"/>
  <c r="M455" s="1"/>
  <c r="N453"/>
  <c r="N455" s="1"/>
  <c r="G453"/>
  <c r="G455" s="1"/>
  <c r="H453"/>
  <c r="H455" s="1"/>
  <c r="I453"/>
  <c r="I455" s="1"/>
  <c r="L453"/>
  <c r="L455" s="1"/>
  <c r="N263"/>
  <c r="G263" s="1"/>
  <c r="G459" s="1"/>
  <c r="L402" i="42"/>
  <c r="G847" i="4"/>
  <c r="K89" i="46"/>
  <c r="K256" s="1"/>
  <c r="H80"/>
  <c r="L410"/>
  <c r="J98"/>
  <c r="K98"/>
  <c r="J843" i="4"/>
  <c r="H591"/>
  <c r="J589"/>
  <c r="H587"/>
  <c r="I71"/>
  <c r="H590"/>
  <c r="G587"/>
  <c r="H843"/>
  <c r="K589"/>
  <c r="J586"/>
  <c r="J590"/>
  <c r="L586"/>
  <c r="J591"/>
  <c r="J588"/>
  <c r="J191" i="13"/>
  <c r="K145" i="43"/>
  <c r="N309" i="14"/>
  <c r="L309" s="1"/>
  <c r="F325" i="42"/>
  <c r="L192" i="13"/>
  <c r="L195"/>
  <c r="BH378" i="47"/>
  <c r="BI378" s="1"/>
  <c r="BH395"/>
  <c r="BI395" s="1"/>
  <c r="M114" i="58"/>
  <c r="M97" i="18"/>
  <c r="I97"/>
  <c r="G97"/>
  <c r="L97"/>
  <c r="N20" i="52"/>
  <c r="N61" s="1"/>
  <c r="N63" s="1"/>
  <c r="K20"/>
  <c r="K61" s="1"/>
  <c r="K63" s="1"/>
  <c r="L20"/>
  <c r="L61" s="1"/>
  <c r="L63" s="1"/>
  <c r="G20"/>
  <c r="G61" s="1"/>
  <c r="G63" s="1"/>
  <c r="H20"/>
  <c r="H61" s="1"/>
  <c r="H63" s="1"/>
  <c r="M20"/>
  <c r="M61" s="1"/>
  <c r="M63" s="1"/>
  <c r="J20"/>
  <c r="J61" s="1"/>
  <c r="J63" s="1"/>
  <c r="F20"/>
  <c r="F61" s="1"/>
  <c r="F63" s="1"/>
  <c r="I46" i="43"/>
  <c r="I151" s="1"/>
  <c r="F27"/>
  <c r="F45" s="1"/>
  <c r="F150" s="1"/>
  <c r="H27"/>
  <c r="H45" s="1"/>
  <c r="H150" s="1"/>
  <c r="J27"/>
  <c r="J45" s="1"/>
  <c r="J150" s="1"/>
  <c r="J214" s="1"/>
  <c r="L27"/>
  <c r="L45" s="1"/>
  <c r="L150" s="1"/>
  <c r="H19"/>
  <c r="H44" s="1"/>
  <c r="H144" s="1"/>
  <c r="H145" s="1"/>
  <c r="L19"/>
  <c r="L44" s="1"/>
  <c r="L144" s="1"/>
  <c r="K27"/>
  <c r="K45" s="1"/>
  <c r="K150" s="1"/>
  <c r="K214" s="1"/>
  <c r="N27"/>
  <c r="N45" s="1"/>
  <c r="N150" s="1"/>
  <c r="G39" i="10"/>
  <c r="G167" s="1"/>
  <c r="J48"/>
  <c r="J168" s="1"/>
  <c r="J170" s="1"/>
  <c r="J172" s="1"/>
  <c r="K48"/>
  <c r="K168" s="1"/>
  <c r="H48"/>
  <c r="H168" s="1"/>
  <c r="H170" s="1"/>
  <c r="H172" s="1"/>
  <c r="K39"/>
  <c r="K167" s="1"/>
  <c r="L48"/>
  <c r="L168" s="1"/>
  <c r="L170" s="1"/>
  <c r="L172" s="1"/>
  <c r="F39"/>
  <c r="F167" s="1"/>
  <c r="H28" i="6"/>
  <c r="I137" s="1"/>
  <c r="I139" s="1"/>
  <c r="F37"/>
  <c r="I28"/>
  <c r="J137" s="1"/>
  <c r="J139" s="1"/>
  <c r="K37"/>
  <c r="F28"/>
  <c r="G137" s="1"/>
  <c r="G139" s="1"/>
  <c r="H37"/>
  <c r="K28"/>
  <c r="L137" s="1"/>
  <c r="L139" s="1"/>
  <c r="L339" i="34"/>
  <c r="K350"/>
  <c r="H339"/>
  <c r="G20" i="7"/>
  <c r="K20"/>
  <c r="M104" i="16"/>
  <c r="M106"/>
  <c r="M138" s="1"/>
  <c r="G104"/>
  <c r="F350" i="34"/>
  <c r="G355" s="1"/>
  <c r="G338"/>
  <c r="I417"/>
  <c r="I338"/>
  <c r="K417"/>
  <c r="K338"/>
  <c r="M417"/>
  <c r="M338"/>
  <c r="H299"/>
  <c r="I452"/>
  <c r="J303"/>
  <c r="L299"/>
  <c r="M452"/>
  <c r="N303"/>
  <c r="F298"/>
  <c r="G402"/>
  <c r="F338"/>
  <c r="G344" s="1"/>
  <c r="G339"/>
  <c r="H350"/>
  <c r="I339"/>
  <c r="J350"/>
  <c r="K339"/>
  <c r="L350"/>
  <c r="M339"/>
  <c r="H452"/>
  <c r="I298"/>
  <c r="L452"/>
  <c r="M298"/>
  <c r="F305"/>
  <c r="F456" s="1"/>
  <c r="F304"/>
  <c r="H407"/>
  <c r="J407"/>
  <c r="E202" i="13"/>
  <c r="H202" s="1"/>
  <c r="H210" s="1"/>
  <c r="E201"/>
  <c r="K201" s="1"/>
  <c r="E203"/>
  <c r="H21" i="10"/>
  <c r="H151" s="1"/>
  <c r="K21"/>
  <c r="K151" s="1"/>
  <c r="N21"/>
  <c r="N151" s="1"/>
  <c r="G21"/>
  <c r="G151" s="1"/>
  <c r="F21"/>
  <c r="F151" s="1"/>
  <c r="L20" i="33"/>
  <c r="L65" s="1"/>
  <c r="G20"/>
  <c r="G65" s="1"/>
  <c r="H20"/>
  <c r="H65" s="1"/>
  <c r="J20"/>
  <c r="J65" s="1"/>
  <c r="L107" i="58"/>
  <c r="L178" s="1"/>
  <c r="F30" i="7"/>
  <c r="I161" s="1"/>
  <c r="H46" i="42"/>
  <c r="H318" s="1"/>
  <c r="H414" s="1"/>
  <c r="H136"/>
  <c r="H400" s="1"/>
  <c r="N313" i="34"/>
  <c r="L313"/>
  <c r="J313"/>
  <c r="M107" i="58"/>
  <c r="M178" s="1"/>
  <c r="N261" i="15"/>
  <c r="N268" s="1"/>
  <c r="G109" i="58"/>
  <c r="J264" i="15"/>
  <c r="F361" i="17"/>
  <c r="J246" i="46"/>
  <c r="J405"/>
  <c r="L53" i="4"/>
  <c r="H44"/>
  <c r="N53"/>
  <c r="J44"/>
  <c r="I44"/>
  <c r="L44"/>
  <c r="N44"/>
  <c r="M44"/>
  <c r="N721"/>
  <c r="M53"/>
  <c r="F53"/>
  <c r="G44"/>
  <c r="I53"/>
  <c r="J53"/>
  <c r="F44"/>
  <c r="K53"/>
  <c r="H53"/>
  <c r="M37" i="24"/>
  <c r="N37"/>
  <c r="L37"/>
  <c r="F46"/>
  <c r="K46"/>
  <c r="K206" s="1"/>
  <c r="N46"/>
  <c r="N206" s="1"/>
  <c r="F37"/>
  <c r="I37"/>
  <c r="M28"/>
  <c r="M207" s="1"/>
  <c r="M46"/>
  <c r="M206" s="1"/>
  <c r="H37"/>
  <c r="K28"/>
  <c r="K207" s="1"/>
  <c r="G28"/>
  <c r="G207" s="1"/>
  <c r="G46"/>
  <c r="J37"/>
  <c r="N28"/>
  <c r="N207" s="1"/>
  <c r="G37"/>
  <c r="L46"/>
  <c r="L206" s="1"/>
  <c r="N269" i="15"/>
  <c r="H263"/>
  <c r="H270" s="1"/>
  <c r="K263"/>
  <c r="K270" s="1"/>
  <c r="K405" i="46"/>
  <c r="K246"/>
  <c r="G275" i="14" a="1"/>
  <c r="F275" a="1"/>
  <c r="N442" i="15"/>
  <c r="F389" i="17"/>
  <c r="F590"/>
  <c r="F388"/>
  <c r="K263" i="14"/>
  <c r="K459" s="1"/>
  <c r="I105" i="18"/>
  <c r="I116" s="1"/>
  <c r="M194" i="13"/>
  <c r="L194"/>
  <c r="J262" i="14"/>
  <c r="L262"/>
  <c r="H116" i="46"/>
  <c r="G116"/>
  <c r="I410"/>
  <c r="N411"/>
  <c r="I98"/>
  <c r="K410"/>
  <c r="M410"/>
  <c r="H89"/>
  <c r="H256" s="1"/>
  <c r="F89"/>
  <c r="F256" s="1"/>
  <c r="I89"/>
  <c r="I256" s="1"/>
  <c r="F98"/>
  <c r="I80"/>
  <c r="N98"/>
  <c r="H98"/>
  <c r="J411"/>
  <c r="L80"/>
  <c r="H410"/>
  <c r="G89"/>
  <c r="G256" s="1"/>
  <c r="N89"/>
  <c r="N256" s="1"/>
  <c r="L89"/>
  <c r="L256" s="1"/>
  <c r="G110" i="18"/>
  <c r="H103"/>
  <c r="I130" s="1"/>
  <c r="L103"/>
  <c r="F103"/>
  <c r="K110"/>
  <c r="M110"/>
  <c r="N103"/>
  <c r="J110"/>
  <c r="M103"/>
  <c r="G417" i="17"/>
  <c r="N258" i="10"/>
  <c r="G845" i="4"/>
  <c r="M192" i="13"/>
  <c r="BH387" i="47"/>
  <c r="BI387" s="1"/>
  <c r="F470" i="14"/>
  <c r="H327"/>
  <c r="L326"/>
  <c r="J162" i="10"/>
  <c r="J164" s="1"/>
  <c r="J257"/>
  <c r="M308" i="14"/>
  <c r="I308"/>
  <c r="J308"/>
  <c r="I264"/>
  <c r="I460" s="1"/>
  <c r="I468" s="1"/>
  <c r="L212" i="43"/>
  <c r="L215"/>
  <c r="M265" i="14"/>
  <c r="M461" s="1"/>
  <c r="N311"/>
  <c r="N310"/>
  <c r="J35" i="43"/>
  <c r="J46" s="1"/>
  <c r="J151" s="1"/>
  <c r="N35"/>
  <c r="N46" s="1"/>
  <c r="N151" s="1"/>
  <c r="I19"/>
  <c r="I44" s="1"/>
  <c r="I144" s="1"/>
  <c r="K35"/>
  <c r="K46" s="1"/>
  <c r="K151" s="1"/>
  <c r="J19"/>
  <c r="J44" s="1"/>
  <c r="J144" s="1"/>
  <c r="N19"/>
  <c r="N44" s="1"/>
  <c r="N144" s="1"/>
  <c r="N107" i="58"/>
  <c r="N178" s="1"/>
  <c r="L162" i="7"/>
  <c r="K162"/>
  <c r="F20"/>
  <c r="H20"/>
  <c r="M321" i="17"/>
  <c r="N386" s="1"/>
  <c r="M323"/>
  <c r="M329"/>
  <c r="M322"/>
  <c r="M317"/>
  <c r="E311" i="34"/>
  <c r="I200" i="13"/>
  <c r="J200"/>
  <c r="G200"/>
  <c r="K200"/>
  <c r="M200"/>
  <c r="H200"/>
  <c r="L200"/>
  <c r="N200"/>
  <c r="N48" i="10"/>
  <c r="N168" s="1"/>
  <c r="N39"/>
  <c r="N167" s="1"/>
  <c r="I201" i="13"/>
  <c r="F19" i="9"/>
  <c r="G28"/>
  <c r="J19"/>
  <c r="K28"/>
  <c r="F28"/>
  <c r="I19"/>
  <c r="M19"/>
  <c r="L19"/>
  <c r="G19"/>
  <c r="L28"/>
  <c r="F601" i="4"/>
  <c r="N627" s="1"/>
  <c r="F609"/>
  <c r="N635" s="1"/>
  <c r="F604"/>
  <c r="N630" s="1"/>
  <c r="F612"/>
  <c r="N638" s="1"/>
  <c r="F610"/>
  <c r="N636" s="1"/>
  <c r="F611"/>
  <c r="N637" s="1"/>
  <c r="M28" i="8"/>
  <c r="L19"/>
  <c r="M121" s="1"/>
  <c r="I28"/>
  <c r="M37" i="6"/>
  <c r="L28"/>
  <c r="M137" s="1"/>
  <c r="M139" s="1"/>
  <c r="I37"/>
  <c r="N369" i="42" l="1"/>
  <c r="N366"/>
  <c r="N368"/>
  <c r="F603" i="4"/>
  <c r="N629" s="1"/>
  <c r="F608"/>
  <c r="N634" s="1"/>
  <c r="N662" s="1"/>
  <c r="F605"/>
  <c r="N631" s="1"/>
  <c r="N1036" s="1"/>
  <c r="I267" i="14"/>
  <c r="I463" s="1"/>
  <c r="I471" s="1"/>
  <c r="K262"/>
  <c r="F385" i="17"/>
  <c r="F630" s="1"/>
  <c r="F392"/>
  <c r="F507" s="1"/>
  <c r="F352"/>
  <c r="L321" i="34"/>
  <c r="K213" i="43"/>
  <c r="G356" i="17"/>
  <c r="G503" s="1"/>
  <c r="M336"/>
  <c r="O336" s="1"/>
  <c r="G336" s="1"/>
  <c r="H417" s="1"/>
  <c r="N333" i="42"/>
  <c r="G359" i="17"/>
  <c r="F469" i="14"/>
  <c r="F349" i="15"/>
  <c r="G354" i="17"/>
  <c r="G169" i="16"/>
  <c r="G172" s="1"/>
  <c r="J420" i="42"/>
  <c r="J428" s="1"/>
  <c r="G405"/>
  <c r="G105" i="16"/>
  <c r="G137" s="1"/>
  <c r="G433" i="42"/>
  <c r="H162" i="10"/>
  <c r="H183"/>
  <c r="G358" i="17"/>
  <c r="G350"/>
  <c r="F162" i="10"/>
  <c r="F164" s="1"/>
  <c r="F232" s="1"/>
  <c r="G110" i="16"/>
  <c r="F602" i="4"/>
  <c r="N628" s="1"/>
  <c r="M320" i="17"/>
  <c r="N385" s="1"/>
  <c r="L215" i="10"/>
  <c r="F386" i="17"/>
  <c r="F360"/>
  <c r="G106" i="16"/>
  <c r="G138" s="1"/>
  <c r="G355" i="17"/>
  <c r="G360"/>
  <c r="F120" i="32"/>
  <c r="I114" i="58"/>
  <c r="G171" i="16"/>
  <c r="G170"/>
  <c r="G126"/>
  <c r="F433" i="42"/>
  <c r="M420"/>
  <c r="M428" s="1"/>
  <c r="H365"/>
  <c r="H153" i="43"/>
  <c r="H161" s="1"/>
  <c r="H228" s="1"/>
  <c r="F205" i="24"/>
  <c r="F212" s="1"/>
  <c r="F219" s="1"/>
  <c r="G206"/>
  <c r="N101" i="9"/>
  <c r="N115" s="1"/>
  <c r="G205" i="24"/>
  <c r="M101" i="9"/>
  <c r="M105" s="1"/>
  <c r="J101"/>
  <c r="L85" i="32"/>
  <c r="M367" i="42"/>
  <c r="M366"/>
  <c r="M316" i="14"/>
  <c r="M334"/>
  <c r="F404" i="42"/>
  <c r="F405" s="1"/>
  <c r="E201"/>
  <c r="I445" s="1"/>
  <c r="N458" i="14"/>
  <c r="N466" s="1"/>
  <c r="Q466" s="1"/>
  <c r="H262"/>
  <c r="H458" s="1"/>
  <c r="H466" s="1"/>
  <c r="J435" i="42"/>
  <c r="J440" s="1"/>
  <c r="N156" i="12" a="1"/>
  <c r="G325" i="42"/>
  <c r="G359" s="1"/>
  <c r="J325"/>
  <c r="J359" s="1"/>
  <c r="J363" s="1"/>
  <c r="L325"/>
  <c r="L359" s="1"/>
  <c r="J433"/>
  <c r="M213" i="43"/>
  <c r="M211"/>
  <c r="I98" i="12"/>
  <c r="I139" s="1"/>
  <c r="I146" s="1"/>
  <c r="L98"/>
  <c r="L139" s="1"/>
  <c r="L146" s="1"/>
  <c r="H98"/>
  <c r="H139" s="1"/>
  <c r="H146" s="1"/>
  <c r="I151" s="1"/>
  <c r="K333" i="42"/>
  <c r="L333"/>
  <c r="M333"/>
  <c r="M435" s="1"/>
  <c r="M440" s="1"/>
  <c r="I333"/>
  <c r="I435" s="1"/>
  <c r="I440" s="1"/>
  <c r="G333"/>
  <c r="M565"/>
  <c r="I365"/>
  <c r="L268" i="15"/>
  <c r="I433" i="42"/>
  <c r="G269" i="15"/>
  <c r="F365" i="42"/>
  <c r="N402"/>
  <c r="N409" s="1"/>
  <c r="N547" s="1"/>
  <c r="J365"/>
  <c r="M359"/>
  <c r="M361" s="1"/>
  <c r="D77" i="23"/>
  <c r="D85"/>
  <c r="D80"/>
  <c r="G80" s="1"/>
  <c r="F77"/>
  <c r="F85"/>
  <c r="F80"/>
  <c r="F83"/>
  <c r="F78"/>
  <c r="G78" s="1"/>
  <c r="J429" i="34"/>
  <c r="G429"/>
  <c r="H429"/>
  <c r="N429"/>
  <c r="I429"/>
  <c r="L429"/>
  <c r="K429"/>
  <c r="F432"/>
  <c r="K144" i="14"/>
  <c r="M144"/>
  <c r="M319" s="1"/>
  <c r="L122" i="61"/>
  <c r="L98"/>
  <c r="M429" i="34"/>
  <c r="G1041" i="4"/>
  <c r="G1043"/>
  <c r="G1035"/>
  <c r="G1031"/>
  <c r="G1036"/>
  <c r="G1040"/>
  <c r="K236" i="24"/>
  <c r="K237" s="1"/>
  <c r="K239" s="1"/>
  <c r="K338" s="1"/>
  <c r="F122" i="61"/>
  <c r="K17"/>
  <c r="F98"/>
  <c r="J17"/>
  <c r="I17"/>
  <c r="H17"/>
  <c r="F179" i="6"/>
  <c r="F138"/>
  <c r="F139"/>
  <c r="D51" i="55"/>
  <c r="D50"/>
  <c r="F142" s="1"/>
  <c r="I89" i="35"/>
  <c r="G683" i="4"/>
  <c r="G701"/>
  <c r="K839"/>
  <c r="H839"/>
  <c r="F1038"/>
  <c r="F1036"/>
  <c r="F1039"/>
  <c r="F1042"/>
  <c r="F1035"/>
  <c r="F1055" s="1"/>
  <c r="N122" i="61"/>
  <c r="N98"/>
  <c r="J146" i="14"/>
  <c r="N146"/>
  <c r="F321"/>
  <c r="I146"/>
  <c r="L146"/>
  <c r="K146"/>
  <c r="K88" i="16"/>
  <c r="K92" s="1"/>
  <c r="K101" s="1"/>
  <c r="K90"/>
  <c r="J88"/>
  <c r="J92" s="1"/>
  <c r="J101" s="1"/>
  <c r="J126" s="1"/>
  <c r="J90"/>
  <c r="I88"/>
  <c r="I92" s="1"/>
  <c r="I101" s="1"/>
  <c r="I90"/>
  <c r="H88"/>
  <c r="H92" s="1"/>
  <c r="H101" s="1"/>
  <c r="H171" s="1"/>
  <c r="L90"/>
  <c r="H90"/>
  <c r="G90"/>
  <c r="N88"/>
  <c r="N92" s="1"/>
  <c r="N101" s="1"/>
  <c r="N168" s="1"/>
  <c r="J91"/>
  <c r="M89"/>
  <c r="L88"/>
  <c r="L92" s="1"/>
  <c r="L101" s="1"/>
  <c r="L91"/>
  <c r="K89"/>
  <c r="F90"/>
  <c r="N90"/>
  <c r="I89"/>
  <c r="M91"/>
  <c r="H91"/>
  <c r="F89"/>
  <c r="G1039" i="4"/>
  <c r="G1034"/>
  <c r="G83" i="23"/>
  <c r="G76"/>
  <c r="M122" i="61"/>
  <c r="M98"/>
  <c r="K1025" i="4"/>
  <c r="H1028"/>
  <c r="I1025"/>
  <c r="L124" i="50"/>
  <c r="N1025" i="4"/>
  <c r="M1025"/>
  <c r="N839"/>
  <c r="I839"/>
  <c r="F222" i="7"/>
  <c r="F225" s="1"/>
  <c r="F224" s="1"/>
  <c r="F208"/>
  <c r="G678" i="4"/>
  <c r="G696"/>
  <c r="G1038"/>
  <c r="G1033"/>
  <c r="M168" i="16"/>
  <c r="M172" s="1"/>
  <c r="G662" i="4"/>
  <c r="G655"/>
  <c r="G654"/>
  <c r="G660"/>
  <c r="G1281"/>
  <c r="G657"/>
  <c r="G659"/>
  <c r="F837"/>
  <c r="F839" s="1"/>
  <c r="F1099"/>
  <c r="J837"/>
  <c r="J839" s="1"/>
  <c r="J1099"/>
  <c r="F132" i="47"/>
  <c r="F7"/>
  <c r="J113" i="16"/>
  <c r="L113"/>
  <c r="E38" i="32"/>
  <c r="F83" s="1"/>
  <c r="F77" i="10"/>
  <c r="F177" s="1"/>
  <c r="F251" s="1"/>
  <c r="F78"/>
  <c r="N268" i="4"/>
  <c r="N260"/>
  <c r="N589" s="1"/>
  <c r="N235" i="24"/>
  <c r="F114" i="50"/>
  <c r="E35" i="22"/>
  <c r="F35" s="1"/>
  <c r="H40" i="61" s="1"/>
  <c r="G664" i="4"/>
  <c r="N273"/>
  <c r="G666"/>
  <c r="G271" i="7"/>
  <c r="H271"/>
  <c r="H316" s="1"/>
  <c r="M145" i="14"/>
  <c r="J145"/>
  <c r="F193" i="7"/>
  <c r="F196" s="1"/>
  <c r="F195" s="1"/>
  <c r="M235" i="24"/>
  <c r="G37" i="51"/>
  <c r="G36"/>
  <c r="H35"/>
  <c r="F37"/>
  <c r="I34"/>
  <c r="I38" s="1"/>
  <c r="I75" s="1"/>
  <c r="H36"/>
  <c r="F34"/>
  <c r="F38" s="1"/>
  <c r="F75" s="1"/>
  <c r="G34"/>
  <c r="G38" s="1"/>
  <c r="G75" s="1"/>
  <c r="C10" i="23"/>
  <c r="C16"/>
  <c r="C11"/>
  <c r="C9"/>
  <c r="F36" i="57"/>
  <c r="F61" s="1"/>
  <c r="I62" s="1"/>
  <c r="F164" i="42"/>
  <c r="G1114" i="4"/>
  <c r="G1112"/>
  <c r="G1110"/>
  <c r="G1105"/>
  <c r="G1103"/>
  <c r="G1106"/>
  <c r="G1102"/>
  <c r="F658"/>
  <c r="F678" s="1"/>
  <c r="F666"/>
  <c r="F686" s="1"/>
  <c r="F654"/>
  <c r="F674" s="1"/>
  <c r="F660"/>
  <c r="F680" s="1"/>
  <c r="F663"/>
  <c r="F683" s="1"/>
  <c r="F1281"/>
  <c r="F664"/>
  <c r="F684" s="1"/>
  <c r="F665"/>
  <c r="F659"/>
  <c r="F679" s="1"/>
  <c r="G84" i="23"/>
  <c r="H113" i="16"/>
  <c r="N113"/>
  <c r="M143" i="14"/>
  <c r="F125" i="6"/>
  <c r="F130" s="1"/>
  <c r="K153" i="14"/>
  <c r="F103" i="61"/>
  <c r="F123" s="1"/>
  <c r="N265" i="4"/>
  <c r="G656"/>
  <c r="N257"/>
  <c r="N586" s="1"/>
  <c r="N276"/>
  <c r="G661"/>
  <c r="N284"/>
  <c r="L414" i="17"/>
  <c r="J194" i="13"/>
  <c r="M195"/>
  <c r="F46" i="43"/>
  <c r="F151" s="1"/>
  <c r="F152" s="1"/>
  <c r="F16"/>
  <c r="F19" s="1"/>
  <c r="F44" s="1"/>
  <c r="F144" s="1"/>
  <c r="G17"/>
  <c r="F17"/>
  <c r="K25" i="18"/>
  <c r="K103" s="1"/>
  <c r="G25"/>
  <c r="G103" s="1"/>
  <c r="G130" s="1"/>
  <c r="L17"/>
  <c r="L110" s="1"/>
  <c r="L111" s="1"/>
  <c r="H17"/>
  <c r="H110" s="1"/>
  <c r="M26"/>
  <c r="I26"/>
  <c r="L18"/>
  <c r="M27"/>
  <c r="F26"/>
  <c r="P26" s="1"/>
  <c r="F18"/>
  <c r="P18" s="1"/>
  <c r="K28"/>
  <c r="G28"/>
  <c r="L20"/>
  <c r="H20"/>
  <c r="M18"/>
  <c r="N27"/>
  <c r="P27" s="1"/>
  <c r="N19"/>
  <c r="G19"/>
  <c r="K26" i="12"/>
  <c r="K115" s="1"/>
  <c r="K117" s="1"/>
  <c r="K118" s="1"/>
  <c r="K131" s="1"/>
  <c r="G26"/>
  <c r="G115" s="1"/>
  <c r="G117" s="1"/>
  <c r="K19"/>
  <c r="G19"/>
  <c r="G28"/>
  <c r="G21"/>
  <c r="I29"/>
  <c r="J18"/>
  <c r="J124" s="1"/>
  <c r="J126" s="1"/>
  <c r="J127" s="1"/>
  <c r="L27"/>
  <c r="H27"/>
  <c r="L20"/>
  <c r="H20"/>
  <c r="J28"/>
  <c r="J21"/>
  <c r="J29"/>
  <c r="K18"/>
  <c r="K124" s="1"/>
  <c r="K126" s="1"/>
  <c r="K127" s="1"/>
  <c r="N32" i="50"/>
  <c r="F35" i="47"/>
  <c r="F30"/>
  <c r="J67" i="13"/>
  <c r="H67"/>
  <c r="G66"/>
  <c r="G69"/>
  <c r="H65"/>
  <c r="H70" s="1"/>
  <c r="F184" s="1"/>
  <c r="F15" i="47"/>
  <c r="F18" s="1"/>
  <c r="F299" s="1"/>
  <c r="L37" i="51"/>
  <c r="I28"/>
  <c r="L27"/>
  <c r="G28"/>
  <c r="I37"/>
  <c r="I36"/>
  <c r="K27"/>
  <c r="H32" i="50"/>
  <c r="H63" i="61"/>
  <c r="K57"/>
  <c r="N51"/>
  <c r="H46"/>
  <c r="J63"/>
  <c r="G46" i="43"/>
  <c r="G151" s="1"/>
  <c r="G18"/>
  <c r="J25" i="18"/>
  <c r="J103" s="1"/>
  <c r="J130" s="1"/>
  <c r="N17"/>
  <c r="I17"/>
  <c r="I110" s="1"/>
  <c r="L26"/>
  <c r="G26"/>
  <c r="F19"/>
  <c r="M19"/>
  <c r="M28"/>
  <c r="H28"/>
  <c r="K20"/>
  <c r="F17"/>
  <c r="G18"/>
  <c r="L19"/>
  <c r="M26" i="12"/>
  <c r="M115" s="1"/>
  <c r="M117" s="1"/>
  <c r="M118" s="1"/>
  <c r="M131" s="1"/>
  <c r="M183" s="1"/>
  <c r="H26"/>
  <c r="H115" s="1"/>
  <c r="H117" s="1"/>
  <c r="H118" s="1"/>
  <c r="J19"/>
  <c r="K28"/>
  <c r="I21"/>
  <c r="G29"/>
  <c r="N27"/>
  <c r="I27"/>
  <c r="K20"/>
  <c r="M28"/>
  <c r="L21"/>
  <c r="H29"/>
  <c r="G18"/>
  <c r="G124" s="1"/>
  <c r="G126" s="1"/>
  <c r="G127" s="1"/>
  <c r="L32" i="50"/>
  <c r="F25" i="47"/>
  <c r="J65" i="13"/>
  <c r="F69"/>
  <c r="H68"/>
  <c r="I68" s="1"/>
  <c r="F67"/>
  <c r="F70" s="1"/>
  <c r="F182" s="1"/>
  <c r="N28" i="51"/>
  <c r="M28"/>
  <c r="L28"/>
  <c r="K28"/>
  <c r="M36"/>
  <c r="G32" i="50"/>
  <c r="N58" i="61"/>
  <c r="M52"/>
  <c r="L46"/>
  <c r="L58"/>
  <c r="K45"/>
  <c r="I58"/>
  <c r="L45"/>
  <c r="I63"/>
  <c r="H57"/>
  <c r="K51"/>
  <c r="N45"/>
  <c r="M64"/>
  <c r="I57"/>
  <c r="N46"/>
  <c r="J64"/>
  <c r="F57"/>
  <c r="G46"/>
  <c r="G42" i="17"/>
  <c r="J26" i="51"/>
  <c r="G26"/>
  <c r="G31" i="17"/>
  <c r="G381" s="1"/>
  <c r="L26" i="51"/>
  <c r="M35"/>
  <c r="G50" i="17"/>
  <c r="J35" i="51"/>
  <c r="N137" i="15"/>
  <c r="G136"/>
  <c r="I134"/>
  <c r="H128"/>
  <c r="J126"/>
  <c r="M120"/>
  <c r="F119"/>
  <c r="H117"/>
  <c r="G111"/>
  <c r="I109"/>
  <c r="K107"/>
  <c r="I101"/>
  <c r="I102" s="1"/>
  <c r="I74"/>
  <c r="L72"/>
  <c r="L227" s="1"/>
  <c r="L228" s="1"/>
  <c r="L351" s="1"/>
  <c r="L65"/>
  <c r="H65"/>
  <c r="J138"/>
  <c r="N134"/>
  <c r="J127"/>
  <c r="K119"/>
  <c r="F116"/>
  <c r="K108"/>
  <c r="F101"/>
  <c r="I72"/>
  <c r="I227" s="1"/>
  <c r="F66"/>
  <c r="H137"/>
  <c r="M129"/>
  <c r="M125"/>
  <c r="J117"/>
  <c r="F110"/>
  <c r="N67"/>
  <c r="F65"/>
  <c r="I137"/>
  <c r="K135"/>
  <c r="N129"/>
  <c r="G128"/>
  <c r="I126"/>
  <c r="L120"/>
  <c r="N118"/>
  <c r="G117"/>
  <c r="J111"/>
  <c r="L109"/>
  <c r="N107"/>
  <c r="N73"/>
  <c r="N75"/>
  <c r="M64"/>
  <c r="M222" s="1"/>
  <c r="I64"/>
  <c r="I222" s="1"/>
  <c r="I223" s="1"/>
  <c r="F138"/>
  <c r="J134"/>
  <c r="F127"/>
  <c r="F120"/>
  <c r="J116"/>
  <c r="F109"/>
  <c r="M72"/>
  <c r="M227" s="1"/>
  <c r="M228" s="1"/>
  <c r="M351" s="1"/>
  <c r="I66"/>
  <c r="K138"/>
  <c r="F135"/>
  <c r="K127"/>
  <c r="K120"/>
  <c r="F117"/>
  <c r="K109"/>
  <c r="K101"/>
  <c r="K102" s="1"/>
  <c r="K74"/>
  <c r="K67"/>
  <c r="H160" i="14"/>
  <c r="I224"/>
  <c r="K222"/>
  <c r="M220"/>
  <c r="F219"/>
  <c r="H217"/>
  <c r="J215"/>
  <c r="M209"/>
  <c r="F208"/>
  <c r="H206"/>
  <c r="J204"/>
  <c r="L202"/>
  <c r="N200"/>
  <c r="H195"/>
  <c r="J193"/>
  <c r="L191"/>
  <c r="N189"/>
  <c r="G188"/>
  <c r="I186"/>
  <c r="L180"/>
  <c r="N178"/>
  <c r="G177"/>
  <c r="I175"/>
  <c r="K173"/>
  <c r="M171"/>
  <c r="F170"/>
  <c r="J132" i="13"/>
  <c r="M126"/>
  <c r="F125"/>
  <c r="I119"/>
  <c r="K117"/>
  <c r="N111"/>
  <c r="G110"/>
  <c r="K50" i="17"/>
  <c r="J49"/>
  <c r="L39"/>
  <c r="L349" s="1"/>
  <c r="I41"/>
  <c r="H32"/>
  <c r="I33"/>
  <c r="I160" i="14"/>
  <c r="J224"/>
  <c r="L222"/>
  <c r="N220"/>
  <c r="G219"/>
  <c r="I217"/>
  <c r="K215"/>
  <c r="N209"/>
  <c r="G208"/>
  <c r="I206"/>
  <c r="K204"/>
  <c r="M202"/>
  <c r="F201"/>
  <c r="I195"/>
  <c r="K193"/>
  <c r="M191"/>
  <c r="F43" i="47"/>
  <c r="F294" s="1"/>
  <c r="F111"/>
  <c r="F18" i="48"/>
  <c r="F45" i="47"/>
  <c r="F46" s="1"/>
  <c r="F295" s="1"/>
  <c r="M1099" i="4"/>
  <c r="I63" i="52"/>
  <c r="I75" i="32"/>
  <c r="M75"/>
  <c r="F75"/>
  <c r="J75"/>
  <c r="H75"/>
  <c r="L75"/>
  <c r="K75"/>
  <c r="G75"/>
  <c r="N75"/>
  <c r="F82" i="10"/>
  <c r="F80"/>
  <c r="F41" i="30"/>
  <c r="F37" i="33"/>
  <c r="D113" s="1"/>
  <c r="E39" i="52"/>
  <c r="F40" i="30"/>
  <c r="F62" i="8"/>
  <c r="D154" s="1"/>
  <c r="F56" i="9"/>
  <c r="D134" s="1"/>
  <c r="I84" i="24"/>
  <c r="I205" s="1"/>
  <c r="H85"/>
  <c r="L85"/>
  <c r="I85"/>
  <c r="H84"/>
  <c r="H205" s="1"/>
  <c r="G85"/>
  <c r="K85"/>
  <c r="J84"/>
  <c r="J205" s="1"/>
  <c r="G84"/>
  <c r="F85"/>
  <c r="F206" s="1"/>
  <c r="J85"/>
  <c r="N85"/>
  <c r="F84"/>
  <c r="M85"/>
  <c r="H25"/>
  <c r="H43" s="1"/>
  <c r="J24"/>
  <c r="N26"/>
  <c r="J26"/>
  <c r="K18" i="8"/>
  <c r="K17"/>
  <c r="M16"/>
  <c r="M18"/>
  <c r="M17" i="33"/>
  <c r="J17"/>
  <c r="H18"/>
  <c r="N19"/>
  <c r="J19"/>
  <c r="I25" i="24"/>
  <c r="I43" s="1"/>
  <c r="M17" i="8"/>
  <c r="J18"/>
  <c r="J18" i="33"/>
  <c r="L19"/>
  <c r="M26" i="24"/>
  <c r="J17" i="8"/>
  <c r="L18"/>
  <c r="L18" i="33"/>
  <c r="K19"/>
  <c r="I24" i="24"/>
  <c r="G25"/>
  <c r="G43" s="1"/>
  <c r="K26"/>
  <c r="G26"/>
  <c r="N17" i="8"/>
  <c r="N16"/>
  <c r="N18"/>
  <c r="I18"/>
  <c r="K17" i="33"/>
  <c r="I18"/>
  <c r="N18"/>
  <c r="I19"/>
  <c r="H24" i="24"/>
  <c r="L26"/>
  <c r="H26"/>
  <c r="I17" i="8"/>
  <c r="I16"/>
  <c r="L17" i="33"/>
  <c r="M18"/>
  <c r="H19"/>
  <c r="J25" i="24"/>
  <c r="J43" s="1"/>
  <c r="I26"/>
  <c r="L17" i="8"/>
  <c r="K16"/>
  <c r="N17" i="33"/>
  <c r="K18"/>
  <c r="M19"/>
  <c r="I17" i="30"/>
  <c r="M17"/>
  <c r="H18"/>
  <c r="L18"/>
  <c r="G19"/>
  <c r="K19"/>
  <c r="H17"/>
  <c r="L17"/>
  <c r="G18"/>
  <c r="K18"/>
  <c r="F19"/>
  <c r="J19"/>
  <c r="N19"/>
  <c r="G17"/>
  <c r="K17"/>
  <c r="F18"/>
  <c r="J18"/>
  <c r="N18"/>
  <c r="I19"/>
  <c r="M19"/>
  <c r="F24" i="24"/>
  <c r="F28" s="1"/>
  <c r="J27"/>
  <c r="F45"/>
  <c r="J86"/>
  <c r="J213" s="1"/>
  <c r="J232" s="1"/>
  <c r="F124" i="47"/>
  <c r="F120"/>
  <c r="F117" s="1"/>
  <c r="K95" i="46"/>
  <c r="L94"/>
  <c r="J97"/>
  <c r="K97"/>
  <c r="K78"/>
  <c r="G97"/>
  <c r="N96"/>
  <c r="N76"/>
  <c r="N79"/>
  <c r="H79"/>
  <c r="L79"/>
  <c r="L96"/>
  <c r="G94"/>
  <c r="M96"/>
  <c r="F97"/>
  <c r="I16" i="30"/>
  <c r="I20" s="1"/>
  <c r="I71" s="1"/>
  <c r="I75" s="1"/>
  <c r="G16"/>
  <c r="G20" s="1"/>
  <c r="G71" s="1"/>
  <c r="G75" s="1"/>
  <c r="G83" s="1"/>
  <c r="G123" s="1"/>
  <c r="L28" i="10"/>
  <c r="I20"/>
  <c r="K36" i="24"/>
  <c r="N36"/>
  <c r="F98"/>
  <c r="F78" i="46"/>
  <c r="F76"/>
  <c r="F80" s="1"/>
  <c r="F45" i="9"/>
  <c r="F90" s="1"/>
  <c r="G90" s="1"/>
  <c r="N17" i="32"/>
  <c r="K26" i="9"/>
  <c r="M16"/>
  <c r="J16"/>
  <c r="F99" i="24"/>
  <c r="H19" i="32"/>
  <c r="N29" i="10"/>
  <c r="K20"/>
  <c r="J17"/>
  <c r="I18"/>
  <c r="M27"/>
  <c r="K29"/>
  <c r="N19"/>
  <c r="G18"/>
  <c r="L18"/>
  <c r="J20"/>
  <c r="F51" i="8"/>
  <c r="F110" s="1"/>
  <c r="L16" i="7"/>
  <c r="L20" s="1"/>
  <c r="F18" i="9"/>
  <c r="H16"/>
  <c r="M16" i="7"/>
  <c r="M20" s="1"/>
  <c r="L16" i="9"/>
  <c r="K25"/>
  <c r="F100" i="24"/>
  <c r="I24" i="9"/>
  <c r="I28" s="1"/>
  <c r="K19" i="7"/>
  <c r="L27" i="9"/>
  <c r="H17"/>
  <c r="J24"/>
  <c r="J28" s="1"/>
  <c r="F17" i="30"/>
  <c r="J17"/>
  <c r="N17"/>
  <c r="I18"/>
  <c r="M18"/>
  <c r="H19"/>
  <c r="L19"/>
  <c r="F39"/>
  <c r="F55" i="9"/>
  <c r="D136" s="1"/>
  <c r="N283" i="4"/>
  <c r="N267"/>
  <c r="N277"/>
  <c r="N285"/>
  <c r="L837"/>
  <c r="L839" s="1"/>
  <c r="L1099"/>
  <c r="F850"/>
  <c r="F718"/>
  <c r="F721" s="1"/>
  <c r="G721" s="1"/>
  <c r="H721" s="1"/>
  <c r="I721" s="1"/>
  <c r="J721" s="1"/>
  <c r="K721" s="1"/>
  <c r="L721" s="1"/>
  <c r="M721" s="1"/>
  <c r="E250"/>
  <c r="J850"/>
  <c r="J581"/>
  <c r="N850"/>
  <c r="N581"/>
  <c r="F252"/>
  <c r="F248"/>
  <c r="J192" i="13"/>
  <c r="M193"/>
  <c r="F38" i="47"/>
  <c r="F39" s="1"/>
  <c r="F293" s="1"/>
  <c r="M837" i="4"/>
  <c r="M839" s="1"/>
  <c r="I182" i="13"/>
  <c r="L164" i="10"/>
  <c r="H164"/>
  <c r="H216" s="1"/>
  <c r="F109" i="58"/>
  <c r="I101" i="9"/>
  <c r="L184" i="10"/>
  <c r="L256" s="1"/>
  <c r="H257"/>
  <c r="N96" i="18"/>
  <c r="L115" i="12"/>
  <c r="L117" s="1"/>
  <c r="N22" i="34"/>
  <c r="N300" s="1"/>
  <c r="M60" i="57"/>
  <c r="K60"/>
  <c r="G22" i="34"/>
  <c r="G300" s="1"/>
  <c r="N26"/>
  <c r="N304" s="1"/>
  <c r="N582" s="1"/>
  <c r="L26"/>
  <c r="L304" s="1"/>
  <c r="L582" s="1"/>
  <c r="J26"/>
  <c r="J304" s="1"/>
  <c r="J582" s="1"/>
  <c r="G26"/>
  <c r="G304" s="1"/>
  <c r="G582" s="1"/>
  <c r="F340" i="42" a="1"/>
  <c r="M30" i="10"/>
  <c r="M159" s="1"/>
  <c r="I30"/>
  <c r="I159" s="1"/>
  <c r="K118" i="42"/>
  <c r="K326" s="1"/>
  <c r="K365" s="1"/>
  <c r="F106" i="58"/>
  <c r="F107" s="1"/>
  <c r="F178" s="1"/>
  <c r="J104"/>
  <c r="K112" s="1"/>
  <c r="K114" s="1"/>
  <c r="I105"/>
  <c r="H105"/>
  <c r="G104"/>
  <c r="G107" s="1"/>
  <c r="G178" s="1"/>
  <c r="F92" i="16"/>
  <c r="F101" s="1"/>
  <c r="N27" i="34"/>
  <c r="N305" s="1"/>
  <c r="N456" s="1"/>
  <c r="N20"/>
  <c r="N298" s="1"/>
  <c r="M21"/>
  <c r="M299" s="1"/>
  <c r="L24"/>
  <c r="L302" s="1"/>
  <c r="L306" s="1"/>
  <c r="K25"/>
  <c r="K303" s="1"/>
  <c r="J27"/>
  <c r="J305" s="1"/>
  <c r="J456" s="1"/>
  <c r="J20"/>
  <c r="J298" s="1"/>
  <c r="I21"/>
  <c r="I299" s="1"/>
  <c r="I577" s="1"/>
  <c r="H24"/>
  <c r="H302" s="1"/>
  <c r="F25"/>
  <c r="G20"/>
  <c r="G298" s="1"/>
  <c r="J21" i="10"/>
  <c r="J151" s="1"/>
  <c r="I121" i="8"/>
  <c r="I29" i="51"/>
  <c r="I74" s="1"/>
  <c r="G410" i="46"/>
  <c r="M22" i="34"/>
  <c r="M300" s="1"/>
  <c r="K22"/>
  <c r="K300" s="1"/>
  <c r="I22"/>
  <c r="I300" s="1"/>
  <c r="H26"/>
  <c r="H304" s="1"/>
  <c r="H582" s="1"/>
  <c r="F22"/>
  <c r="F300" s="1"/>
  <c r="L430" s="1"/>
  <c r="J184" i="10"/>
  <c r="J256" s="1"/>
  <c r="G164"/>
  <c r="J109" i="58"/>
  <c r="N21" i="34"/>
  <c r="N299" s="1"/>
  <c r="N577" s="1"/>
  <c r="M24"/>
  <c r="M302" s="1"/>
  <c r="L25"/>
  <c r="L303" s="1"/>
  <c r="K27"/>
  <c r="K305" s="1"/>
  <c r="K456" s="1"/>
  <c r="K20"/>
  <c r="K298" s="1"/>
  <c r="J21"/>
  <c r="J299" s="1"/>
  <c r="I24"/>
  <c r="I302" s="1"/>
  <c r="H25"/>
  <c r="H303" s="1"/>
  <c r="G27"/>
  <c r="G305" s="1"/>
  <c r="G456" s="1"/>
  <c r="G24"/>
  <c r="G302" s="1"/>
  <c r="G21"/>
  <c r="G299" s="1"/>
  <c r="N20" i="32"/>
  <c r="N63" s="1"/>
  <c r="F110" i="18"/>
  <c r="H22" i="34"/>
  <c r="H300" s="1"/>
  <c r="M26"/>
  <c r="M304" s="1"/>
  <c r="M582" s="1"/>
  <c r="K26"/>
  <c r="K304" s="1"/>
  <c r="K582" s="1"/>
  <c r="I26"/>
  <c r="I304" s="1"/>
  <c r="I582" s="1"/>
  <c r="N109" i="58"/>
  <c r="L109"/>
  <c r="N24" i="34"/>
  <c r="N302" s="1"/>
  <c r="M25"/>
  <c r="M303" s="1"/>
  <c r="L27"/>
  <c r="L305" s="1"/>
  <c r="L456" s="1"/>
  <c r="L20"/>
  <c r="L298" s="1"/>
  <c r="K21"/>
  <c r="K299" s="1"/>
  <c r="K577" s="1"/>
  <c r="J24"/>
  <c r="J302" s="1"/>
  <c r="I25"/>
  <c r="I303" s="1"/>
  <c r="H27"/>
  <c r="H305" s="1"/>
  <c r="H456" s="1"/>
  <c r="H20"/>
  <c r="H298" s="1"/>
  <c r="H453" s="1"/>
  <c r="G25"/>
  <c r="G303" s="1"/>
  <c r="F24"/>
  <c r="I33" i="50"/>
  <c r="I109" s="1"/>
  <c r="N164" i="10"/>
  <c r="K120" i="32"/>
  <c r="I68"/>
  <c r="I70" s="1"/>
  <c r="H74"/>
  <c r="H76" s="1"/>
  <c r="H120"/>
  <c r="M84"/>
  <c r="M71"/>
  <c r="M109" s="1"/>
  <c r="M74"/>
  <c r="M76" s="1"/>
  <c r="M79" s="1"/>
  <c r="G68"/>
  <c r="G70" s="1"/>
  <c r="N84"/>
  <c r="M120"/>
  <c r="G120"/>
  <c r="J120"/>
  <c r="L120"/>
  <c r="H416" i="17"/>
  <c r="H335"/>
  <c r="I416" s="1"/>
  <c r="G366" i="42"/>
  <c r="G367"/>
  <c r="J309" i="14"/>
  <c r="M271" i="15"/>
  <c r="L339" i="42"/>
  <c r="L386" s="1"/>
  <c r="L387" s="1"/>
  <c r="M326" i="17"/>
  <c r="N602" s="1"/>
  <c r="M328"/>
  <c r="N604" s="1"/>
  <c r="M327"/>
  <c r="N392" s="1"/>
  <c r="M319"/>
  <c r="N352" s="1"/>
  <c r="M317" i="14"/>
  <c r="J266"/>
  <c r="J462" s="1"/>
  <c r="L327"/>
  <c r="F471"/>
  <c r="M368" i="15"/>
  <c r="M269"/>
  <c r="N325" i="42"/>
  <c r="I325"/>
  <c r="I359" s="1"/>
  <c r="I360" s="1"/>
  <c r="M145" i="43"/>
  <c r="F428" i="42"/>
  <c r="J174" i="50"/>
  <c r="J469" i="14"/>
  <c r="F422" i="42"/>
  <c r="F424" s="1"/>
  <c r="H349" i="15"/>
  <c r="F223"/>
  <c r="F237" s="1"/>
  <c r="H223"/>
  <c r="H237" s="1"/>
  <c r="M223"/>
  <c r="M339" i="42"/>
  <c r="L566"/>
  <c r="I566"/>
  <c r="L365"/>
  <c r="L366" s="1"/>
  <c r="N433"/>
  <c r="G435"/>
  <c r="G440" s="1"/>
  <c r="G441" s="1"/>
  <c r="H442" s="1"/>
  <c r="I443" s="1"/>
  <c r="L270" i="15"/>
  <c r="H131" i="12"/>
  <c r="J415" i="17"/>
  <c r="J659" s="1"/>
  <c r="F467" i="14"/>
  <c r="N416" i="17"/>
  <c r="M318"/>
  <c r="N594" s="1"/>
  <c r="M324"/>
  <c r="M325"/>
  <c r="N390" s="1"/>
  <c r="M326" i="14"/>
  <c r="F468"/>
  <c r="L118" i="12"/>
  <c r="L131" s="1"/>
  <c r="M449" i="46"/>
  <c r="M268" i="15"/>
  <c r="M214" i="43"/>
  <c r="K325" i="42"/>
  <c r="K359" s="1"/>
  <c r="H325"/>
  <c r="N367"/>
  <c r="G145" i="43"/>
  <c r="M327" i="14"/>
  <c r="G119" i="12"/>
  <c r="G132" s="1"/>
  <c r="G184" s="1"/>
  <c r="M369" i="42"/>
  <c r="K228" i="15"/>
  <c r="K444" s="1"/>
  <c r="N271"/>
  <c r="N228"/>
  <c r="N444" s="1"/>
  <c r="H271"/>
  <c r="J564" i="42"/>
  <c r="I420"/>
  <c r="G368"/>
  <c r="K402"/>
  <c r="K409" s="1"/>
  <c r="K547" s="1"/>
  <c r="H433"/>
  <c r="N565"/>
  <c r="G402"/>
  <c r="G409" s="1"/>
  <c r="G547" s="1"/>
  <c r="H435"/>
  <c r="H440" s="1"/>
  <c r="I565"/>
  <c r="I339"/>
  <c r="I386" s="1"/>
  <c r="I387" s="1"/>
  <c r="G564"/>
  <c r="K565"/>
  <c r="G420"/>
  <c r="G455" s="1"/>
  <c r="F565"/>
  <c r="M312" i="34"/>
  <c r="N312"/>
  <c r="L312"/>
  <c r="J312"/>
  <c r="I312"/>
  <c r="H312"/>
  <c r="K312"/>
  <c r="K367" i="42"/>
  <c r="L368"/>
  <c r="J369"/>
  <c r="J366"/>
  <c r="G324"/>
  <c r="L324"/>
  <c r="L353" s="1"/>
  <c r="L357" s="1"/>
  <c r="I324"/>
  <c r="M324"/>
  <c r="M353" s="1"/>
  <c r="H324"/>
  <c r="H353" s="1"/>
  <c r="J324"/>
  <c r="J353" s="1"/>
  <c r="J354" s="1"/>
  <c r="N324"/>
  <c r="N353" s="1"/>
  <c r="N354" s="1"/>
  <c r="F324"/>
  <c r="F353" s="1"/>
  <c r="F354" s="1"/>
  <c r="K324"/>
  <c r="K353" s="1"/>
  <c r="N321" i="34"/>
  <c r="I353" i="42"/>
  <c r="I357" s="1"/>
  <c r="N339"/>
  <c r="N386" s="1"/>
  <c r="N387" s="1"/>
  <c r="I405"/>
  <c r="K433"/>
  <c r="M433"/>
  <c r="N405"/>
  <c r="G565"/>
  <c r="G369"/>
  <c r="M368"/>
  <c r="K405"/>
  <c r="L435"/>
  <c r="L440" s="1"/>
  <c r="M434"/>
  <c r="I564"/>
  <c r="F564"/>
  <c r="N564"/>
  <c r="J339"/>
  <c r="F339"/>
  <c r="F386" s="1"/>
  <c r="F387" s="1"/>
  <c r="H359"/>
  <c r="M422"/>
  <c r="M424" s="1"/>
  <c r="F566"/>
  <c r="J405"/>
  <c r="F402"/>
  <c r="F409" s="1"/>
  <c r="F547" s="1"/>
  <c r="H339"/>
  <c r="I402"/>
  <c r="I409" s="1"/>
  <c r="I547" s="1"/>
  <c r="K435"/>
  <c r="K440" s="1"/>
  <c r="K566"/>
  <c r="G566"/>
  <c r="N435"/>
  <c r="N440" s="1"/>
  <c r="L565"/>
  <c r="K339"/>
  <c r="N566"/>
  <c r="I192" i="10"/>
  <c r="L105" i="16"/>
  <c r="L137" s="1"/>
  <c r="L168"/>
  <c r="L169"/>
  <c r="L126"/>
  <c r="L171"/>
  <c r="L110"/>
  <c r="L170"/>
  <c r="L127"/>
  <c r="F415" i="17"/>
  <c r="F416"/>
  <c r="J105" i="16"/>
  <c r="J137" s="1"/>
  <c r="J127"/>
  <c r="G590" i="17"/>
  <c r="G383"/>
  <c r="G388"/>
  <c r="G390"/>
  <c r="G353"/>
  <c r="G357"/>
  <c r="H126" i="16"/>
  <c r="H127"/>
  <c r="F391" i="17"/>
  <c r="F382"/>
  <c r="F387"/>
  <c r="F394"/>
  <c r="F384"/>
  <c r="F390"/>
  <c r="F393"/>
  <c r="F508" s="1"/>
  <c r="G415"/>
  <c r="G659" s="1"/>
  <c r="G416"/>
  <c r="J470" i="14"/>
  <c r="I309"/>
  <c r="J318" s="1"/>
  <c r="G325" i="34"/>
  <c r="G213" i="43"/>
  <c r="J367" i="42"/>
  <c r="H334" i="14"/>
  <c r="M566" i="42"/>
  <c r="M404"/>
  <c r="M405" s="1"/>
  <c r="G428"/>
  <c r="J325" i="34"/>
  <c r="G265" i="14"/>
  <c r="G461" s="1"/>
  <c r="G469" s="1"/>
  <c r="G266"/>
  <c r="G462" s="1"/>
  <c r="G470" s="1"/>
  <c r="L317"/>
  <c r="H309"/>
  <c r="I328" s="1"/>
  <c r="F359" i="17"/>
  <c r="F358"/>
  <c r="F355"/>
  <c r="G422" i="42"/>
  <c r="G424" s="1"/>
  <c r="G557" s="1"/>
  <c r="G386"/>
  <c r="G387" s="1"/>
  <c r="J104" i="16"/>
  <c r="J114" s="1"/>
  <c r="L104"/>
  <c r="L136" s="1"/>
  <c r="H212" i="43"/>
  <c r="H471" i="14"/>
  <c r="J368" i="42"/>
  <c r="M564"/>
  <c r="M402"/>
  <c r="M409" s="1"/>
  <c r="M547" s="1"/>
  <c r="H367" i="15"/>
  <c r="N139" i="12"/>
  <c r="N146" s="1"/>
  <c r="K98"/>
  <c r="M325" i="34"/>
  <c r="N349" i="15"/>
  <c r="N366" s="1"/>
  <c r="F417" i="17"/>
  <c r="M170" i="10"/>
  <c r="M172" s="1"/>
  <c r="J565" i="42"/>
  <c r="J402"/>
  <c r="J409" s="1"/>
  <c r="J547" s="1"/>
  <c r="K420"/>
  <c r="K422" s="1"/>
  <c r="K424" s="1"/>
  <c r="K564"/>
  <c r="G128" i="16"/>
  <c r="K366" i="42"/>
  <c r="M128" i="16"/>
  <c r="N126"/>
  <c r="N171"/>
  <c r="F629" i="17"/>
  <c r="I265" i="14"/>
  <c r="I461" s="1"/>
  <c r="I352" i="15"/>
  <c r="F350" i="17"/>
  <c r="F351"/>
  <c r="F362"/>
  <c r="G201" i="13"/>
  <c r="G209" s="1"/>
  <c r="L316" i="14"/>
  <c r="H326"/>
  <c r="J118" i="12"/>
  <c r="G271" i="15"/>
  <c r="F356" i="17"/>
  <c r="F633" s="1"/>
  <c r="F354"/>
  <c r="F357"/>
  <c r="F634" s="1"/>
  <c r="J106" i="16"/>
  <c r="J138" s="1"/>
  <c r="L106"/>
  <c r="L138" s="1"/>
  <c r="G146" i="43"/>
  <c r="G209" s="1"/>
  <c r="G467" i="14"/>
  <c r="J468"/>
  <c r="G211" i="43"/>
  <c r="N119" i="12"/>
  <c r="N132" s="1"/>
  <c r="N184" s="1"/>
  <c r="J98"/>
  <c r="J139" s="1"/>
  <c r="J151" s="1"/>
  <c r="M98"/>
  <c r="J566" i="42"/>
  <c r="L428"/>
  <c r="L455"/>
  <c r="F356"/>
  <c r="J173" i="50"/>
  <c r="F435" i="42"/>
  <c r="H250" i="10"/>
  <c r="L178"/>
  <c r="L249" s="1"/>
  <c r="L186"/>
  <c r="L250"/>
  <c r="L177"/>
  <c r="L251" s="1"/>
  <c r="M264"/>
  <c r="M189"/>
  <c r="L190"/>
  <c r="L263" s="1"/>
  <c r="L189"/>
  <c r="L265" s="1"/>
  <c r="L264"/>
  <c r="J264"/>
  <c r="J189"/>
  <c r="K185"/>
  <c r="K186" s="1"/>
  <c r="F258"/>
  <c r="K428" i="42"/>
  <c r="H154" i="10"/>
  <c r="H156" s="1"/>
  <c r="H215" s="1"/>
  <c r="L222"/>
  <c r="L225" s="1"/>
  <c r="N359" i="42"/>
  <c r="F230" i="10"/>
  <c r="F233" s="1"/>
  <c r="L422" i="42"/>
  <c r="L424" s="1"/>
  <c r="L557" s="1"/>
  <c r="J152" i="43"/>
  <c r="M152"/>
  <c r="M147"/>
  <c r="M210" s="1"/>
  <c r="M146"/>
  <c r="M209" s="1"/>
  <c r="I154" i="10"/>
  <c r="I156" s="1"/>
  <c r="I250"/>
  <c r="K230"/>
  <c r="K232"/>
  <c r="F607" i="4"/>
  <c r="N633" s="1"/>
  <c r="F616"/>
  <c r="F617"/>
  <c r="F606"/>
  <c r="N632" s="1"/>
  <c r="F615"/>
  <c r="N718" s="1"/>
  <c r="G262" i="14"/>
  <c r="G458" s="1"/>
  <c r="G466" s="1"/>
  <c r="I262"/>
  <c r="I458" s="1"/>
  <c r="I466" s="1"/>
  <c r="K470"/>
  <c r="I326"/>
  <c r="H211" i="43"/>
  <c r="N354" i="17"/>
  <c r="N631" s="1"/>
  <c r="K467" i="14"/>
  <c r="M244" i="46"/>
  <c r="M254" s="1"/>
  <c r="M264" i="14"/>
  <c r="M460" s="1"/>
  <c r="M468" s="1"/>
  <c r="H214" i="43"/>
  <c r="I317" i="14"/>
  <c r="F154" i="10"/>
  <c r="F156" s="1"/>
  <c r="F222" s="1"/>
  <c r="M267" i="14"/>
  <c r="M463" s="1"/>
  <c r="M471" s="1"/>
  <c r="L263"/>
  <c r="L459" s="1"/>
  <c r="L467" s="1"/>
  <c r="J263"/>
  <c r="J459" s="1"/>
  <c r="J467" s="1"/>
  <c r="G405" i="46"/>
  <c r="K323" i="34"/>
  <c r="I321"/>
  <c r="I316" i="14"/>
  <c r="K324" i="34"/>
  <c r="I228" i="15"/>
  <c r="I351" s="1"/>
  <c r="K321" i="34"/>
  <c r="M170" i="58"/>
  <c r="M154" i="10"/>
  <c r="M156" s="1"/>
  <c r="M250"/>
  <c r="J324" i="34"/>
  <c r="M83" i="32"/>
  <c r="I469" i="14"/>
  <c r="H152" i="43"/>
  <c r="H208" s="1"/>
  <c r="F250" i="10"/>
  <c r="H317" i="14"/>
  <c r="N417" i="17"/>
  <c r="H336"/>
  <c r="I336" s="1"/>
  <c r="G321" i="34"/>
  <c r="I327" i="14"/>
  <c r="M324" i="34"/>
  <c r="N130" i="8"/>
  <c r="N166" s="1"/>
  <c r="H321" i="34"/>
  <c r="F371" i="24"/>
  <c r="H236"/>
  <c r="H237"/>
  <c r="H239" s="1"/>
  <c r="H338" s="1"/>
  <c r="I371"/>
  <c r="G236"/>
  <c r="G237" s="1"/>
  <c r="G239" s="1"/>
  <c r="G338" s="1"/>
  <c r="H371"/>
  <c r="I236"/>
  <c r="I237" s="1"/>
  <c r="I239" s="1"/>
  <c r="I338" s="1"/>
  <c r="G371"/>
  <c r="F236"/>
  <c r="F237" s="1"/>
  <c r="F239" s="1"/>
  <c r="F338" s="1"/>
  <c r="I325" i="34"/>
  <c r="K325"/>
  <c r="N325"/>
  <c r="L325"/>
  <c r="G388"/>
  <c r="G390" s="1"/>
  <c r="G396" s="1"/>
  <c r="G542" s="1"/>
  <c r="H345"/>
  <c r="I345" s="1"/>
  <c r="J345" s="1"/>
  <c r="K345" s="1"/>
  <c r="L345" s="1"/>
  <c r="M345" s="1"/>
  <c r="N345" s="1"/>
  <c r="J321"/>
  <c r="K304" i="24"/>
  <c r="L304"/>
  <c r="N125" i="8"/>
  <c r="N168" s="1"/>
  <c r="N304" i="24"/>
  <c r="L125" i="8"/>
  <c r="L168" s="1"/>
  <c r="G125"/>
  <c r="G168" s="1"/>
  <c r="H135"/>
  <c r="H164" s="1"/>
  <c r="K125"/>
  <c r="K168" s="1"/>
  <c r="K135"/>
  <c r="K164" s="1"/>
  <c r="J130"/>
  <c r="J166" s="1"/>
  <c r="J135"/>
  <c r="J164" s="1"/>
  <c r="J125"/>
  <c r="J168" s="1"/>
  <c r="H125"/>
  <c r="H168" s="1"/>
  <c r="G135"/>
  <c r="G164" s="1"/>
  <c r="L135"/>
  <c r="L164" s="1"/>
  <c r="G110"/>
  <c r="H110" s="1"/>
  <c r="K70" i="33"/>
  <c r="K72" s="1"/>
  <c r="K73" s="1"/>
  <c r="N104"/>
  <c r="M72"/>
  <c r="M73" s="1"/>
  <c r="M77"/>
  <c r="M113" s="1"/>
  <c r="N76"/>
  <c r="N115" s="1"/>
  <c r="N77"/>
  <c r="N113" s="1"/>
  <c r="I70"/>
  <c r="I114"/>
  <c r="N114"/>
  <c r="J71" i="32"/>
  <c r="J74"/>
  <c r="J76" s="1"/>
  <c r="L175" i="50"/>
  <c r="M120"/>
  <c r="M115"/>
  <c r="F120"/>
  <c r="F115"/>
  <c r="F70" i="32"/>
  <c r="N120" i="50"/>
  <c r="N124" s="1"/>
  <c r="H120"/>
  <c r="H115"/>
  <c r="F72" i="33"/>
  <c r="F73" s="1"/>
  <c r="F76"/>
  <c r="F115" s="1"/>
  <c r="F77"/>
  <c r="F113" s="1"/>
  <c r="M115"/>
  <c r="G120" i="50"/>
  <c r="G115"/>
  <c r="K120"/>
  <c r="K115"/>
  <c r="I323" i="34"/>
  <c r="I388" s="1"/>
  <c r="I390" s="1"/>
  <c r="I396" s="1"/>
  <c r="M323"/>
  <c r="H323"/>
  <c r="H388" s="1"/>
  <c r="H390" s="1"/>
  <c r="H396" s="1"/>
  <c r="H542" s="1"/>
  <c r="L323"/>
  <c r="L388" s="1"/>
  <c r="L390" s="1"/>
  <c r="L396" s="1"/>
  <c r="L542" s="1"/>
  <c r="G322"/>
  <c r="G378" s="1"/>
  <c r="G380" s="1"/>
  <c r="K322"/>
  <c r="M322"/>
  <c r="L322"/>
  <c r="L378" s="1"/>
  <c r="L380" s="1"/>
  <c r="H322"/>
  <c r="H378" s="1"/>
  <c r="H380" s="1"/>
  <c r="I322"/>
  <c r="J322"/>
  <c r="J378" s="1"/>
  <c r="J380" s="1"/>
  <c r="N322"/>
  <c r="N378" s="1"/>
  <c r="N380" s="1"/>
  <c r="N323"/>
  <c r="N388" s="1"/>
  <c r="N390" s="1"/>
  <c r="N396" s="1"/>
  <c r="N542" s="1"/>
  <c r="L324"/>
  <c r="N324"/>
  <c r="F447"/>
  <c r="F419"/>
  <c r="F423" s="1"/>
  <c r="F544" s="1"/>
  <c r="G118" i="6"/>
  <c r="H118" s="1"/>
  <c r="J323" i="34"/>
  <c r="J388" s="1"/>
  <c r="J390" s="1"/>
  <c r="J396" s="1"/>
  <c r="J542" s="1"/>
  <c r="H324"/>
  <c r="G324"/>
  <c r="H240" i="10"/>
  <c r="H238"/>
  <c r="H404" i="42"/>
  <c r="H405" s="1"/>
  <c r="H402"/>
  <c r="H564"/>
  <c r="H566"/>
  <c r="F179" i="58"/>
  <c r="F388" i="34"/>
  <c r="F390" s="1"/>
  <c r="F453"/>
  <c r="J453"/>
  <c r="M114" i="16"/>
  <c r="M136"/>
  <c r="L214" i="43"/>
  <c r="L153"/>
  <c r="L152"/>
  <c r="L66" i="52"/>
  <c r="L68" s="1"/>
  <c r="L113"/>
  <c r="L64"/>
  <c r="J449" i="46"/>
  <c r="J406"/>
  <c r="J244"/>
  <c r="J254" s="1"/>
  <c r="J146" i="12"/>
  <c r="F86" i="57"/>
  <c r="L179" i="58"/>
  <c r="L360" i="42"/>
  <c r="L361"/>
  <c r="L362"/>
  <c r="L363"/>
  <c r="N154" i="10"/>
  <c r="N156" s="1"/>
  <c r="N250"/>
  <c r="I238"/>
  <c r="I240"/>
  <c r="G264"/>
  <c r="G190"/>
  <c r="G263" s="1"/>
  <c r="G189"/>
  <c r="F66" i="52"/>
  <c r="F68" s="1"/>
  <c r="F113"/>
  <c r="F64"/>
  <c r="G66"/>
  <c r="G68" s="1"/>
  <c r="G113"/>
  <c r="G64"/>
  <c r="M161" i="43"/>
  <c r="M228" s="1"/>
  <c r="M160"/>
  <c r="M227" s="1"/>
  <c r="M159"/>
  <c r="M226" s="1"/>
  <c r="K449" i="46"/>
  <c r="K406"/>
  <c r="K244"/>
  <c r="K254" s="1"/>
  <c r="K86" i="57"/>
  <c r="H368" i="42"/>
  <c r="H366"/>
  <c r="H367"/>
  <c r="H369"/>
  <c r="J362"/>
  <c r="G309" i="14"/>
  <c r="H328" s="1"/>
  <c r="K309"/>
  <c r="L319" s="1"/>
  <c r="M309"/>
  <c r="N319" s="1"/>
  <c r="J267"/>
  <c r="J463" s="1"/>
  <c r="J471" s="1"/>
  <c r="G267"/>
  <c r="G463" s="1"/>
  <c r="G471" s="1"/>
  <c r="L267"/>
  <c r="L463" s="1"/>
  <c r="L471" s="1"/>
  <c r="K267"/>
  <c r="K463" s="1"/>
  <c r="K471" s="1"/>
  <c r="N463"/>
  <c r="N471" s="1"/>
  <c r="G138" i="12"/>
  <c r="G118"/>
  <c r="M145"/>
  <c r="N150" s="1"/>
  <c r="L366" i="15"/>
  <c r="I262"/>
  <c r="I269" s="1"/>
  <c r="H269"/>
  <c r="K375"/>
  <c r="K445"/>
  <c r="K350"/>
  <c r="K374"/>
  <c r="J263"/>
  <c r="J270" s="1"/>
  <c r="I270"/>
  <c r="N374"/>
  <c r="N350"/>
  <c r="N445"/>
  <c r="N375"/>
  <c r="I368"/>
  <c r="I441"/>
  <c r="K262"/>
  <c r="K269" s="1"/>
  <c r="F360"/>
  <c r="F350"/>
  <c r="F375"/>
  <c r="F374"/>
  <c r="F445"/>
  <c r="J349"/>
  <c r="J238"/>
  <c r="J441"/>
  <c r="J236"/>
  <c r="J352"/>
  <c r="J368"/>
  <c r="J237"/>
  <c r="N208" i="13"/>
  <c r="N296" s="1"/>
  <c r="N415" i="17"/>
  <c r="J201" i="13"/>
  <c r="J202"/>
  <c r="J210" s="1"/>
  <c r="J284" s="1"/>
  <c r="M208"/>
  <c r="M296" s="1"/>
  <c r="I208"/>
  <c r="H146" i="43"/>
  <c r="H209" s="1"/>
  <c r="H208" i="13"/>
  <c r="H282" s="1"/>
  <c r="H565" i="42"/>
  <c r="F228" i="15"/>
  <c r="F348" s="1"/>
  <c r="F358" s="1"/>
  <c r="N270"/>
  <c r="G228"/>
  <c r="H228"/>
  <c r="M179" i="58"/>
  <c r="L70" i="33"/>
  <c r="L114"/>
  <c r="K154" i="10"/>
  <c r="K156" s="1"/>
  <c r="K250"/>
  <c r="K202" i="13"/>
  <c r="K210" s="1"/>
  <c r="K326" s="1"/>
  <c r="M202"/>
  <c r="M210" s="1"/>
  <c r="M319" s="1"/>
  <c r="N202"/>
  <c r="N210" s="1"/>
  <c r="I202"/>
  <c r="I210" s="1"/>
  <c r="L202"/>
  <c r="L210" s="1"/>
  <c r="G136" i="16"/>
  <c r="G114"/>
  <c r="G577" i="34"/>
  <c r="J240" i="10"/>
  <c r="J238"/>
  <c r="J241" s="1"/>
  <c r="N214" i="43"/>
  <c r="N153"/>
  <c r="N152"/>
  <c r="F214"/>
  <c r="F153"/>
  <c r="J66" i="52"/>
  <c r="J68" s="1"/>
  <c r="J113"/>
  <c r="J64"/>
  <c r="N86" i="57"/>
  <c r="N428" i="42"/>
  <c r="N455"/>
  <c r="N422"/>
  <c r="N424" s="1"/>
  <c r="G70" i="33"/>
  <c r="G114"/>
  <c r="M201" i="13"/>
  <c r="N201"/>
  <c r="L201"/>
  <c r="H201"/>
  <c r="F363" i="34"/>
  <c r="F582"/>
  <c r="H577"/>
  <c r="K170" i="10"/>
  <c r="K172" s="1"/>
  <c r="K264"/>
  <c r="K190"/>
  <c r="K263" s="1"/>
  <c r="K189"/>
  <c r="H213" i="43"/>
  <c r="H147"/>
  <c r="H77" i="30"/>
  <c r="H79" s="1"/>
  <c r="H121"/>
  <c r="H82"/>
  <c r="H83"/>
  <c r="H123" s="1"/>
  <c r="I118" i="12"/>
  <c r="I131" s="1"/>
  <c r="I119"/>
  <c r="I132" s="1"/>
  <c r="I184" s="1"/>
  <c r="H86" i="57"/>
  <c r="H362" i="42"/>
  <c r="H360"/>
  <c r="H361"/>
  <c r="H363"/>
  <c r="M266" i="14"/>
  <c r="M462" s="1"/>
  <c r="M470" s="1"/>
  <c r="N462"/>
  <c r="N470" s="1"/>
  <c r="Q470" s="1"/>
  <c r="N268"/>
  <c r="I266"/>
  <c r="I462" s="1"/>
  <c r="I470" s="1"/>
  <c r="H266"/>
  <c r="H462" s="1"/>
  <c r="H470" s="1"/>
  <c r="L266"/>
  <c r="L462" s="1"/>
  <c r="L470" s="1"/>
  <c r="N145" i="12"/>
  <c r="L145"/>
  <c r="M150" s="1"/>
  <c r="L77" i="30"/>
  <c r="L79" s="1"/>
  <c r="L121"/>
  <c r="L82"/>
  <c r="L84"/>
  <c r="L124" s="1"/>
  <c r="I83"/>
  <c r="I123" s="1"/>
  <c r="I82"/>
  <c r="H110" i="32"/>
  <c r="H109"/>
  <c r="F119" i="12"/>
  <c r="F132" s="1"/>
  <c r="F184" s="1"/>
  <c r="F118"/>
  <c r="F131" s="1"/>
  <c r="AZ440" i="47"/>
  <c r="K179" i="58"/>
  <c r="F367" i="15"/>
  <c r="F442"/>
  <c r="K359"/>
  <c r="L262"/>
  <c r="L269" s="1"/>
  <c r="H261"/>
  <c r="H268" s="1"/>
  <c r="G268"/>
  <c r="I261"/>
  <c r="I268" s="1"/>
  <c r="N368"/>
  <c r="AZ454" i="47" s="1"/>
  <c r="N441" i="15"/>
  <c r="K368"/>
  <c r="K441"/>
  <c r="I349"/>
  <c r="I442"/>
  <c r="I367"/>
  <c r="G350"/>
  <c r="G374"/>
  <c r="G445"/>
  <c r="G375"/>
  <c r="L350"/>
  <c r="L374"/>
  <c r="L375"/>
  <c r="L445"/>
  <c r="I350"/>
  <c r="I375"/>
  <c r="I374"/>
  <c r="I445"/>
  <c r="G202" i="13"/>
  <c r="G210" s="1"/>
  <c r="G305" s="1"/>
  <c r="K208"/>
  <c r="J334" i="17"/>
  <c r="K334" s="1"/>
  <c r="G170" i="10"/>
  <c r="G172" s="1"/>
  <c r="I233" i="13"/>
  <c r="H415" i="17"/>
  <c r="H659" s="1"/>
  <c r="I415"/>
  <c r="I659" s="1"/>
  <c r="H420" i="42"/>
  <c r="H417"/>
  <c r="H558" s="1"/>
  <c r="J70" i="33"/>
  <c r="J114"/>
  <c r="M453" i="34"/>
  <c r="L577"/>
  <c r="L453"/>
  <c r="F368" i="42"/>
  <c r="F367"/>
  <c r="F170" i="10"/>
  <c r="F172" s="1"/>
  <c r="F190"/>
  <c r="F263" s="1"/>
  <c r="F264"/>
  <c r="F189"/>
  <c r="F265" s="1"/>
  <c r="I212" i="43"/>
  <c r="I215"/>
  <c r="I153"/>
  <c r="I152"/>
  <c r="M66" i="52"/>
  <c r="M68" s="1"/>
  <c r="M64"/>
  <c r="M113"/>
  <c r="K66"/>
  <c r="K68" s="1"/>
  <c r="K113"/>
  <c r="K64"/>
  <c r="M238" i="10"/>
  <c r="M240"/>
  <c r="F359" i="42"/>
  <c r="J455"/>
  <c r="L409"/>
  <c r="L547" s="1"/>
  <c r="K265" i="14"/>
  <c r="K461" s="1"/>
  <c r="K469" s="1"/>
  <c r="L265"/>
  <c r="L461" s="1"/>
  <c r="L469" s="1"/>
  <c r="H265"/>
  <c r="H461" s="1"/>
  <c r="H469" s="1"/>
  <c r="N461"/>
  <c r="N469" s="1"/>
  <c r="Q469" s="1"/>
  <c r="J145" i="12"/>
  <c r="K150" s="1"/>
  <c r="K145"/>
  <c r="L150" s="1"/>
  <c r="J77" i="30"/>
  <c r="J79" s="1"/>
  <c r="J121"/>
  <c r="J82"/>
  <c r="M121"/>
  <c r="M83"/>
  <c r="M123" s="1"/>
  <c r="M77"/>
  <c r="M79" s="1"/>
  <c r="M82"/>
  <c r="F77"/>
  <c r="F79" s="1"/>
  <c r="F121"/>
  <c r="F82"/>
  <c r="F122" s="1"/>
  <c r="F84"/>
  <c r="F124" s="1"/>
  <c r="K70" i="32"/>
  <c r="I177" i="13"/>
  <c r="J177" s="1"/>
  <c r="J86" i="57"/>
  <c r="H366" i="15"/>
  <c r="G151" i="12"/>
  <c r="G146"/>
  <c r="I264" i="15"/>
  <c r="I271" s="1"/>
  <c r="K271"/>
  <c r="L264"/>
  <c r="L271" s="1"/>
  <c r="J442"/>
  <c r="J367"/>
  <c r="J262"/>
  <c r="J269" s="1"/>
  <c r="G442"/>
  <c r="G367"/>
  <c r="J208" i="13"/>
  <c r="J289" s="1"/>
  <c r="L208"/>
  <c r="L289" s="1"/>
  <c r="G208"/>
  <c r="H847" i="4"/>
  <c r="J271" i="15"/>
  <c r="M466" i="14"/>
  <c r="J422" i="42"/>
  <c r="J424" s="1"/>
  <c r="J268" i="15"/>
  <c r="J228"/>
  <c r="J351" s="1"/>
  <c r="G270"/>
  <c r="K223"/>
  <c r="K238" s="1"/>
  <c r="N223"/>
  <c r="N237" s="1"/>
  <c r="I160" i="7"/>
  <c r="L161"/>
  <c r="M161"/>
  <c r="J161"/>
  <c r="L160"/>
  <c r="M160"/>
  <c r="K161"/>
  <c r="K160"/>
  <c r="N160"/>
  <c r="N161"/>
  <c r="J160"/>
  <c r="H70" i="33"/>
  <c r="H114"/>
  <c r="G154" i="10"/>
  <c r="G156" s="1"/>
  <c r="G250"/>
  <c r="G203" i="13"/>
  <c r="G211" s="1"/>
  <c r="J203"/>
  <c r="M203"/>
  <c r="I203"/>
  <c r="K203"/>
  <c r="N203"/>
  <c r="H203"/>
  <c r="H211" s="1"/>
  <c r="L203"/>
  <c r="G453" i="34"/>
  <c r="G448"/>
  <c r="G559" s="1"/>
  <c r="H355"/>
  <c r="J577"/>
  <c r="L213" i="43"/>
  <c r="L211"/>
  <c r="L147"/>
  <c r="L145"/>
  <c r="L146"/>
  <c r="L209" s="1"/>
  <c r="H159"/>
  <c r="H226" s="1"/>
  <c r="H66" i="52"/>
  <c r="H68" s="1"/>
  <c r="H64"/>
  <c r="H113"/>
  <c r="N66"/>
  <c r="N68" s="1"/>
  <c r="N64"/>
  <c r="N113"/>
  <c r="H405" i="46"/>
  <c r="H246"/>
  <c r="N357" i="42"/>
  <c r="I263" i="14"/>
  <c r="I459" s="1"/>
  <c r="I467" s="1"/>
  <c r="M263"/>
  <c r="M459" s="1"/>
  <c r="M467" s="1"/>
  <c r="H263"/>
  <c r="H459" s="1"/>
  <c r="H467" s="1"/>
  <c r="N459"/>
  <c r="N467" s="1"/>
  <c r="K264"/>
  <c r="K460" s="1"/>
  <c r="K468" s="1"/>
  <c r="G264"/>
  <c r="G460" s="1"/>
  <c r="G468" s="1"/>
  <c r="H264"/>
  <c r="H460" s="1"/>
  <c r="H468" s="1"/>
  <c r="N460"/>
  <c r="N468" s="1"/>
  <c r="L264"/>
  <c r="L460" s="1"/>
  <c r="L468" s="1"/>
  <c r="I150" i="12"/>
  <c r="I145"/>
  <c r="J150" s="1"/>
  <c r="M405" i="46"/>
  <c r="M246"/>
  <c r="N77" i="30"/>
  <c r="N79" s="1"/>
  <c r="N121"/>
  <c r="N82"/>
  <c r="N83"/>
  <c r="N123" s="1"/>
  <c r="N84"/>
  <c r="N124" s="1"/>
  <c r="K77"/>
  <c r="K79" s="1"/>
  <c r="K84"/>
  <c r="K124" s="1"/>
  <c r="K121"/>
  <c r="K82"/>
  <c r="H175" i="13"/>
  <c r="M86" i="57"/>
  <c r="G86"/>
  <c r="L70" i="32"/>
  <c r="L83"/>
  <c r="K168" i="58"/>
  <c r="K169"/>
  <c r="L441" i="15"/>
  <c r="L368"/>
  <c r="K349"/>
  <c r="K442"/>
  <c r="K367"/>
  <c r="J443"/>
  <c r="J360"/>
  <c r="G349"/>
  <c r="G368"/>
  <c r="G441"/>
  <c r="F236"/>
  <c r="F441"/>
  <c r="F368"/>
  <c r="M442"/>
  <c r="M367"/>
  <c r="J350"/>
  <c r="J374"/>
  <c r="J445"/>
  <c r="J375"/>
  <c r="H441"/>
  <c r="H368"/>
  <c r="M374"/>
  <c r="M445"/>
  <c r="M375"/>
  <c r="M350"/>
  <c r="H350"/>
  <c r="H375"/>
  <c r="H445"/>
  <c r="H374"/>
  <c r="M469" i="14"/>
  <c r="H344" i="34"/>
  <c r="I344" s="1"/>
  <c r="J344" s="1"/>
  <c r="K344" s="1"/>
  <c r="L344" s="1"/>
  <c r="M344" s="1"/>
  <c r="N344" s="1"/>
  <c r="M270" i="15"/>
  <c r="L223"/>
  <c r="G223"/>
  <c r="G352" s="1"/>
  <c r="M125" i="8"/>
  <c r="M130"/>
  <c r="M135"/>
  <c r="N1039" i="4"/>
  <c r="F317" i="13"/>
  <c r="N358" i="17"/>
  <c r="O325"/>
  <c r="G325" s="1"/>
  <c r="N211" i="43"/>
  <c r="N145"/>
  <c r="N146"/>
  <c r="N209" s="1"/>
  <c r="N213"/>
  <c r="N147"/>
  <c r="L238" i="10"/>
  <c r="L216"/>
  <c r="L240"/>
  <c r="I311" i="14"/>
  <c r="J321" s="1"/>
  <c r="J311"/>
  <c r="M311"/>
  <c r="L311"/>
  <c r="M321" s="1"/>
  <c r="K311"/>
  <c r="L321" s="1"/>
  <c r="G311"/>
  <c r="H321" s="1"/>
  <c r="H311"/>
  <c r="I321" s="1"/>
  <c r="K316"/>
  <c r="K327"/>
  <c r="K326"/>
  <c r="K317"/>
  <c r="K334"/>
  <c r="J230" i="10"/>
  <c r="J232"/>
  <c r="F215"/>
  <c r="F104" i="18"/>
  <c r="F105"/>
  <c r="F116" s="1"/>
  <c r="F130"/>
  <c r="H406" i="46"/>
  <c r="H449"/>
  <c r="H244"/>
  <c r="F637" i="17"/>
  <c r="G276" i="14"/>
  <c r="G292" s="1"/>
  <c r="G277"/>
  <c r="G293" s="1"/>
  <c r="G285"/>
  <c r="G301" s="1"/>
  <c r="H277"/>
  <c r="H293" s="1"/>
  <c r="H280"/>
  <c r="H296" s="1"/>
  <c r="H283"/>
  <c r="H284"/>
  <c r="H300" s="1"/>
  <c r="I278"/>
  <c r="J276"/>
  <c r="J292" s="1"/>
  <c r="J279"/>
  <c r="J281"/>
  <c r="J297" s="1"/>
  <c r="J484" s="1"/>
  <c r="J285"/>
  <c r="J301" s="1"/>
  <c r="J286"/>
  <c r="J302" s="1"/>
  <c r="K282"/>
  <c r="L277"/>
  <c r="L293" s="1"/>
  <c r="L280"/>
  <c r="L296" s="1"/>
  <c r="L283"/>
  <c r="L284"/>
  <c r="L300" s="1"/>
  <c r="M279"/>
  <c r="M282"/>
  <c r="N279"/>
  <c r="G283"/>
  <c r="H282"/>
  <c r="I277"/>
  <c r="I293" s="1"/>
  <c r="I480" s="1"/>
  <c r="I280"/>
  <c r="I296" s="1"/>
  <c r="I283"/>
  <c r="I284"/>
  <c r="I300" s="1"/>
  <c r="J278"/>
  <c r="K276"/>
  <c r="K292" s="1"/>
  <c r="K279"/>
  <c r="K281"/>
  <c r="K297" s="1"/>
  <c r="K285"/>
  <c r="K301" s="1"/>
  <c r="K286"/>
  <c r="K302" s="1"/>
  <c r="L282"/>
  <c r="M278"/>
  <c r="M281"/>
  <c r="M297" s="1"/>
  <c r="M285"/>
  <c r="M301" s="1"/>
  <c r="M286"/>
  <c r="M302" s="1"/>
  <c r="G282"/>
  <c r="G286"/>
  <c r="G302" s="1"/>
  <c r="I285"/>
  <c r="I301" s="1"/>
  <c r="J283"/>
  <c r="L276"/>
  <c r="L292" s="1"/>
  <c r="L286"/>
  <c r="L302" s="1"/>
  <c r="N278"/>
  <c r="N283"/>
  <c r="N284"/>
  <c r="N300" s="1"/>
  <c r="N285"/>
  <c r="N301" s="1"/>
  <c r="G281"/>
  <c r="G297" s="1"/>
  <c r="G284"/>
  <c r="G300" s="1"/>
  <c r="H276"/>
  <c r="H292" s="1"/>
  <c r="H286"/>
  <c r="H302" s="1"/>
  <c r="I276"/>
  <c r="I292" s="1"/>
  <c r="I479" s="1"/>
  <c r="K283"/>
  <c r="L278"/>
  <c r="L285"/>
  <c r="L301" s="1"/>
  <c r="M277"/>
  <c r="M293" s="1"/>
  <c r="M280"/>
  <c r="M296" s="1"/>
  <c r="N277"/>
  <c r="N293" s="1"/>
  <c r="G278"/>
  <c r="I279"/>
  <c r="I281"/>
  <c r="I297" s="1"/>
  <c r="J284"/>
  <c r="J300" s="1"/>
  <c r="M284"/>
  <c r="M300" s="1"/>
  <c r="N276"/>
  <c r="N292" s="1"/>
  <c r="G279"/>
  <c r="I282"/>
  <c r="K284"/>
  <c r="K300" s="1"/>
  <c r="L279"/>
  <c r="N281"/>
  <c r="N297" s="1"/>
  <c r="I286"/>
  <c r="I302" s="1"/>
  <c r="I489" s="1"/>
  <c r="N275"/>
  <c r="N291" s="1"/>
  <c r="N478" s="1"/>
  <c r="N495" s="1"/>
  <c r="N512" s="1"/>
  <c r="L275"/>
  <c r="L291" s="1"/>
  <c r="G280"/>
  <c r="G296" s="1"/>
  <c r="H278"/>
  <c r="H281"/>
  <c r="H297" s="1"/>
  <c r="J280"/>
  <c r="J296" s="1"/>
  <c r="K280"/>
  <c r="K296" s="1"/>
  <c r="M276"/>
  <c r="M292" s="1"/>
  <c r="M283"/>
  <c r="N280"/>
  <c r="N296" s="1"/>
  <c r="H275"/>
  <c r="H291" s="1"/>
  <c r="M275"/>
  <c r="M291" s="1"/>
  <c r="J275"/>
  <c r="J291" s="1"/>
  <c r="H279"/>
  <c r="H285"/>
  <c r="H301" s="1"/>
  <c r="J282"/>
  <c r="L281"/>
  <c r="L297" s="1"/>
  <c r="N282"/>
  <c r="G275"/>
  <c r="G291" s="1"/>
  <c r="K278"/>
  <c r="K275"/>
  <c r="K291" s="1"/>
  <c r="J277"/>
  <c r="J293" s="1"/>
  <c r="N286"/>
  <c r="N302" s="1"/>
  <c r="N489" s="1"/>
  <c r="I275"/>
  <c r="I291" s="1"/>
  <c r="K277"/>
  <c r="K293" s="1"/>
  <c r="E80" i="59"/>
  <c r="O637" i="4"/>
  <c r="H637" s="1"/>
  <c r="N1113"/>
  <c r="N1042"/>
  <c r="N665"/>
  <c r="E78" i="59"/>
  <c r="O635" i="4"/>
  <c r="H635" s="1"/>
  <c r="N663"/>
  <c r="N1111"/>
  <c r="N1040"/>
  <c r="F80" i="59"/>
  <c r="N393" i="17"/>
  <c r="O328"/>
  <c r="G328" s="1"/>
  <c r="N384"/>
  <c r="N182" i="12"/>
  <c r="N183"/>
  <c r="M105" i="18"/>
  <c r="M116" s="1"/>
  <c r="M130"/>
  <c r="J105"/>
  <c r="J116" s="1"/>
  <c r="F406" i="46"/>
  <c r="F244"/>
  <c r="F449"/>
  <c r="E79" i="59"/>
  <c r="N664" i="4"/>
  <c r="O636"/>
  <c r="H636" s="1"/>
  <c r="N1041"/>
  <c r="N1112"/>
  <c r="E73" i="59"/>
  <c r="O630" i="4"/>
  <c r="H630" s="1"/>
  <c r="N658"/>
  <c r="N1106"/>
  <c r="N1035"/>
  <c r="E70" i="59"/>
  <c r="O627" i="4"/>
  <c r="H627" s="1"/>
  <c r="N1103"/>
  <c r="N1032"/>
  <c r="N655"/>
  <c r="G101" i="9"/>
  <c r="H291" i="13"/>
  <c r="H298"/>
  <c r="H305"/>
  <c r="H284"/>
  <c r="N170" i="10"/>
  <c r="N172" s="1"/>
  <c r="N264"/>
  <c r="N190"/>
  <c r="N263" s="1"/>
  <c r="N189"/>
  <c r="J296" i="13"/>
  <c r="F69" i="59"/>
  <c r="N382" i="17"/>
  <c r="N350"/>
  <c r="O317"/>
  <c r="G317" s="1"/>
  <c r="N353"/>
  <c r="F75" i="59"/>
  <c r="N356" i="17"/>
  <c r="N388"/>
  <c r="O323"/>
  <c r="G323" s="1"/>
  <c r="J211" i="43"/>
  <c r="J213"/>
  <c r="J145"/>
  <c r="J146"/>
  <c r="J209" s="1"/>
  <c r="J147"/>
  <c r="N212"/>
  <c r="N215"/>
  <c r="J326" i="14"/>
  <c r="J327"/>
  <c r="J316"/>
  <c r="J317"/>
  <c r="J334"/>
  <c r="M318"/>
  <c r="M328"/>
  <c r="M335"/>
  <c r="M129" i="18"/>
  <c r="M91"/>
  <c r="M111"/>
  <c r="G111"/>
  <c r="H129"/>
  <c r="H91"/>
  <c r="L405" i="46"/>
  <c r="L246"/>
  <c r="N406"/>
  <c r="N244"/>
  <c r="N449"/>
  <c r="K458" i="14"/>
  <c r="K466" s="1"/>
  <c r="I155" i="18"/>
  <c r="F605" i="17"/>
  <c r="F599"/>
  <c r="F600"/>
  <c r="F595"/>
  <c r="F603"/>
  <c r="F601"/>
  <c r="F598"/>
  <c r="F604"/>
  <c r="F602"/>
  <c r="F597"/>
  <c r="F594"/>
  <c r="F593"/>
  <c r="F596"/>
  <c r="M366" i="15"/>
  <c r="G304" i="24"/>
  <c r="G307"/>
  <c r="O721" i="4"/>
  <c r="I335" i="17"/>
  <c r="G168" i="58"/>
  <c r="G169"/>
  <c r="J216" i="10"/>
  <c r="N601" i="17"/>
  <c r="N599"/>
  <c r="N593"/>
  <c r="G424"/>
  <c r="G437" s="1"/>
  <c r="E72" i="59"/>
  <c r="N657" i="4"/>
  <c r="O629"/>
  <c r="H629" s="1"/>
  <c r="N1105"/>
  <c r="N1034"/>
  <c r="E74" i="59"/>
  <c r="O631" i="4"/>
  <c r="H631" s="1"/>
  <c r="N1107"/>
  <c r="N659"/>
  <c r="I291" i="13"/>
  <c r="I298"/>
  <c r="I326"/>
  <c r="I333"/>
  <c r="I312"/>
  <c r="I319"/>
  <c r="N351" i="17"/>
  <c r="I211" i="43"/>
  <c r="I213"/>
  <c r="I147"/>
  <c r="I145"/>
  <c r="I146"/>
  <c r="I209" s="1"/>
  <c r="H845" i="4"/>
  <c r="G852"/>
  <c r="H846"/>
  <c r="H111" i="18"/>
  <c r="I91"/>
  <c r="I129"/>
  <c r="H105"/>
  <c r="H116" s="1"/>
  <c r="L458" i="14"/>
  <c r="L466" s="1"/>
  <c r="E81" i="59"/>
  <c r="N1114" i="4"/>
  <c r="N666"/>
  <c r="O638"/>
  <c r="H638" s="1"/>
  <c r="N1043"/>
  <c r="N282" i="13"/>
  <c r="F79" i="59"/>
  <c r="G169" i="7"/>
  <c r="G167"/>
  <c r="G168"/>
  <c r="K310" i="14"/>
  <c r="M310"/>
  <c r="H310"/>
  <c r="L310"/>
  <c r="J310"/>
  <c r="I310"/>
  <c r="G310"/>
  <c r="N104" i="18"/>
  <c r="N130"/>
  <c r="N105"/>
  <c r="N116" s="1"/>
  <c r="I111"/>
  <c r="J129"/>
  <c r="J91"/>
  <c r="F283" i="14"/>
  <c r="F286"/>
  <c r="F302" s="1"/>
  <c r="F277"/>
  <c r="F293" s="1"/>
  <c r="F285"/>
  <c r="F301" s="1"/>
  <c r="F488" s="1"/>
  <c r="F281"/>
  <c r="F297" s="1"/>
  <c r="F484" s="1"/>
  <c r="F279"/>
  <c r="F282"/>
  <c r="F276"/>
  <c r="F292" s="1"/>
  <c r="F284"/>
  <c r="F300" s="1"/>
  <c r="F487" s="1"/>
  <c r="F280"/>
  <c r="F296" s="1"/>
  <c r="F483" s="1"/>
  <c r="F278"/>
  <c r="F275"/>
  <c r="F291" s="1"/>
  <c r="E71" i="59"/>
  <c r="O628" i="4"/>
  <c r="H628" s="1"/>
  <c r="N656"/>
  <c r="N1104"/>
  <c r="N1033"/>
  <c r="E69" i="59"/>
  <c r="N1102" i="4"/>
  <c r="N1031"/>
  <c r="O626"/>
  <c r="H626" s="1"/>
  <c r="N654"/>
  <c r="N110" i="9"/>
  <c r="I289" i="13"/>
  <c r="I324"/>
  <c r="G311" i="34"/>
  <c r="H311"/>
  <c r="J311"/>
  <c r="L311"/>
  <c r="K311"/>
  <c r="M311"/>
  <c r="I311"/>
  <c r="N311"/>
  <c r="F74" i="59"/>
  <c r="N387" i="17"/>
  <c r="N598"/>
  <c r="O322"/>
  <c r="G322" s="1"/>
  <c r="N355"/>
  <c r="F81" i="59"/>
  <c r="N362" i="17"/>
  <c r="N394"/>
  <c r="O329"/>
  <c r="G329" s="1"/>
  <c r="F73" i="59"/>
  <c r="N597" i="17"/>
  <c r="O321"/>
  <c r="G321" s="1"/>
  <c r="N179" i="58"/>
  <c r="K212" i="43"/>
  <c r="K215"/>
  <c r="K153"/>
  <c r="K152"/>
  <c r="J212"/>
  <c r="J215"/>
  <c r="N316" i="14"/>
  <c r="N327"/>
  <c r="N317"/>
  <c r="N326"/>
  <c r="N334"/>
  <c r="H214" i="10"/>
  <c r="H222"/>
  <c r="F366" i="15"/>
  <c r="J111" i="18"/>
  <c r="K129"/>
  <c r="K91"/>
  <c r="K111"/>
  <c r="L129"/>
  <c r="L91"/>
  <c r="L105"/>
  <c r="L116" s="1"/>
  <c r="I405" i="46"/>
  <c r="I246"/>
  <c r="I406"/>
  <c r="I449"/>
  <c r="I244"/>
  <c r="J458" i="14"/>
  <c r="J466" s="1"/>
  <c r="K415" i="17"/>
  <c r="G429"/>
  <c r="J153" i="43"/>
  <c r="N605" i="17"/>
  <c r="H844" i="4"/>
  <c r="H258" i="10" l="1"/>
  <c r="H186"/>
  <c r="M185"/>
  <c r="G284" i="13"/>
  <c r="N596" i="17"/>
  <c r="N1110" i="4"/>
  <c r="E77" i="59"/>
  <c r="I401" i="34"/>
  <c r="I404" s="1"/>
  <c r="F577"/>
  <c r="J401"/>
  <c r="J404" s="1"/>
  <c r="N170" i="16"/>
  <c r="N169"/>
  <c r="F632" i="17"/>
  <c r="H110" i="16"/>
  <c r="M348" i="15"/>
  <c r="K430" i="34"/>
  <c r="F503" i="17"/>
  <c r="H430"/>
  <c r="H443" s="1"/>
  <c r="O320"/>
  <c r="G320" s="1"/>
  <c r="F72" i="59"/>
  <c r="K479" i="14"/>
  <c r="G105" i="18"/>
  <c r="G116" s="1"/>
  <c r="G155" s="1"/>
  <c r="M110" i="9"/>
  <c r="O634" i="4"/>
  <c r="H634" s="1"/>
  <c r="K351" i="15"/>
  <c r="G121" i="30"/>
  <c r="H348" i="15"/>
  <c r="I453" i="34"/>
  <c r="F401"/>
  <c r="F404" s="1"/>
  <c r="N639" i="4"/>
  <c r="N127" i="16"/>
  <c r="N105"/>
  <c r="N137" s="1"/>
  <c r="H170"/>
  <c r="H105"/>
  <c r="H137" s="1"/>
  <c r="G633" i="17"/>
  <c r="J170" i="16"/>
  <c r="J171"/>
  <c r="I430" i="34"/>
  <c r="H168" i="16"/>
  <c r="J168"/>
  <c r="J169"/>
  <c r="H236" i="15"/>
  <c r="O326" i="17"/>
  <c r="G326" s="1"/>
  <c r="I210" i="43"/>
  <c r="J335" i="14"/>
  <c r="G478"/>
  <c r="G495" s="1"/>
  <c r="G512" s="1"/>
  <c r="M115" i="9"/>
  <c r="N418" i="17"/>
  <c r="I306" i="34"/>
  <c r="L401"/>
  <c r="L404" s="1"/>
  <c r="I378"/>
  <c r="I380" s="1"/>
  <c r="M388"/>
  <c r="M390" s="1"/>
  <c r="M396" s="1"/>
  <c r="M401"/>
  <c r="M404" s="1"/>
  <c r="F445" i="42"/>
  <c r="J131" i="12"/>
  <c r="N110" i="16"/>
  <c r="F638" i="17"/>
  <c r="F399"/>
  <c r="H169" i="16"/>
  <c r="J110"/>
  <c r="M455" i="42"/>
  <c r="J175" i="50"/>
  <c r="J430" i="34"/>
  <c r="F177" i="43"/>
  <c r="H160"/>
  <c r="H227" s="1"/>
  <c r="H210"/>
  <c r="H167" s="1"/>
  <c r="H269" s="1"/>
  <c r="I76" i="57"/>
  <c r="I77"/>
  <c r="I64"/>
  <c r="G361" i="42"/>
  <c r="G360"/>
  <c r="K177" i="13"/>
  <c r="N362" i="42"/>
  <c r="N376" s="1"/>
  <c r="N380" s="1"/>
  <c r="N544" s="1"/>
  <c r="AZ380" i="47" s="1"/>
  <c r="N361" i="42"/>
  <c r="F541" i="17"/>
  <c r="F631"/>
  <c r="J183" i="12"/>
  <c r="N230" i="10"/>
  <c r="N233" s="1"/>
  <c r="N232"/>
  <c r="I443" i="15"/>
  <c r="I360"/>
  <c r="I238"/>
  <c r="I403" s="1"/>
  <c r="F178" i="43"/>
  <c r="G153"/>
  <c r="G160" s="1"/>
  <c r="G227" s="1"/>
  <c r="G215"/>
  <c r="F176"/>
  <c r="K67" i="13"/>
  <c r="I67"/>
  <c r="F211" i="43"/>
  <c r="F147"/>
  <c r="F210" s="1"/>
  <c r="I367" i="42"/>
  <c r="I369"/>
  <c r="I366"/>
  <c r="I374" s="1"/>
  <c r="I368"/>
  <c r="J105" i="9"/>
  <c r="J110"/>
  <c r="G283" i="13"/>
  <c r="F325"/>
  <c r="G297"/>
  <c r="G545" i="17"/>
  <c r="G375"/>
  <c r="G374"/>
  <c r="K355" i="42"/>
  <c r="K354"/>
  <c r="K357"/>
  <c r="H356"/>
  <c r="H376" s="1"/>
  <c r="H380" s="1"/>
  <c r="H544" s="1"/>
  <c r="H354"/>
  <c r="H457"/>
  <c r="H575" s="1"/>
  <c r="F70" i="59"/>
  <c r="O318" i="17"/>
  <c r="G318" s="1"/>
  <c r="N383"/>
  <c r="H157" i="12" a="1"/>
  <c r="H158" a="1"/>
  <c r="H183"/>
  <c r="M386" i="42"/>
  <c r="M387" s="1"/>
  <c r="F129" i="18"/>
  <c r="F111"/>
  <c r="G129"/>
  <c r="I127" i="16"/>
  <c r="I106"/>
  <c r="I138" s="1"/>
  <c r="I104"/>
  <c r="I110"/>
  <c r="I169"/>
  <c r="I105"/>
  <c r="I137" s="1"/>
  <c r="I168"/>
  <c r="I171"/>
  <c r="G272" i="7"/>
  <c r="F272"/>
  <c r="H272"/>
  <c r="L445" i="42"/>
  <c r="K445"/>
  <c r="J324" i="13"/>
  <c r="N317"/>
  <c r="I317"/>
  <c r="I303"/>
  <c r="L157" i="12" a="1"/>
  <c r="L157" s="1"/>
  <c r="L194" s="1"/>
  <c r="L183"/>
  <c r="N389" i="17"/>
  <c r="N357"/>
  <c r="G230" i="10"/>
  <c r="G232"/>
  <c r="F169" i="34"/>
  <c r="F303"/>
  <c r="N453"/>
  <c r="N430"/>
  <c r="H109" i="58"/>
  <c r="H107"/>
  <c r="H178" s="1"/>
  <c r="H117"/>
  <c r="K368" i="42"/>
  <c r="K369"/>
  <c r="I105" i="9"/>
  <c r="I148" s="1"/>
  <c r="I110"/>
  <c r="I146" s="1"/>
  <c r="I115"/>
  <c r="I144" s="1"/>
  <c r="F246" i="46"/>
  <c r="F405"/>
  <c r="I77" i="30"/>
  <c r="I79" s="1"/>
  <c r="I112" s="1"/>
  <c r="I84"/>
  <c r="I124" s="1"/>
  <c r="I121"/>
  <c r="N410" i="46"/>
  <c r="N80"/>
  <c r="H42" i="24"/>
  <c r="H46" s="1"/>
  <c r="H206" s="1"/>
  <c r="H28"/>
  <c r="H207" s="1"/>
  <c r="I42"/>
  <c r="I46" s="1"/>
  <c r="I206" s="1"/>
  <c r="I28"/>
  <c r="I207" s="1"/>
  <c r="J44"/>
  <c r="J45"/>
  <c r="H84" i="30"/>
  <c r="H124" s="1"/>
  <c r="J84"/>
  <c r="J124" s="1"/>
  <c r="M84"/>
  <c r="M124" s="1"/>
  <c r="I190" i="10"/>
  <c r="I263" s="1"/>
  <c r="H190"/>
  <c r="H263" s="1"/>
  <c r="M190"/>
  <c r="M263" s="1"/>
  <c r="J190"/>
  <c r="J263" s="1"/>
  <c r="K278" i="24"/>
  <c r="F436" i="34"/>
  <c r="F433"/>
  <c r="F540"/>
  <c r="F434"/>
  <c r="F435"/>
  <c r="F369" i="42"/>
  <c r="F366"/>
  <c r="F1053" i="4"/>
  <c r="O327" i="17"/>
  <c r="G327" s="1"/>
  <c r="H603" s="1"/>
  <c r="H130" i="18"/>
  <c r="J115" i="9"/>
  <c r="N321" i="14"/>
  <c r="N683" s="1"/>
  <c r="G177" i="10"/>
  <c r="N359" i="15"/>
  <c r="F213" i="43"/>
  <c r="M237" i="15"/>
  <c r="L119" i="12"/>
  <c r="L132" s="1"/>
  <c r="G455" i="34"/>
  <c r="M455"/>
  <c r="M457" s="1"/>
  <c r="M560" s="1"/>
  <c r="F1044" i="4"/>
  <c r="N105" i="9"/>
  <c r="N148" s="1"/>
  <c r="I417" i="17"/>
  <c r="I423" s="1"/>
  <c r="I436" s="1"/>
  <c r="J104" i="18"/>
  <c r="J115" s="1"/>
  <c r="G212" i="43"/>
  <c r="L487" i="14"/>
  <c r="G480"/>
  <c r="G689" s="1"/>
  <c r="G810" s="1"/>
  <c r="K453" i="34"/>
  <c r="I83" i="32"/>
  <c r="I86" s="1"/>
  <c r="H430" i="34"/>
  <c r="F146" i="43"/>
  <c r="F209" s="1"/>
  <c r="K306" i="34"/>
  <c r="M177" i="10"/>
  <c r="M251" s="1"/>
  <c r="K401" i="34"/>
  <c r="K404" s="1"/>
  <c r="I348" i="15"/>
  <c r="H119" i="12"/>
  <c r="H132" s="1"/>
  <c r="N445" i="42"/>
  <c r="M445"/>
  <c r="I170" i="16"/>
  <c r="H112" i="58"/>
  <c r="G212" i="24"/>
  <c r="G219" s="1"/>
  <c r="G377" s="1"/>
  <c r="G303" i="13"/>
  <c r="F310"/>
  <c r="G289"/>
  <c r="K183" i="12"/>
  <c r="K156" a="1"/>
  <c r="K158" a="1"/>
  <c r="F401" i="17"/>
  <c r="F577" s="1"/>
  <c r="F565"/>
  <c r="I422" i="42"/>
  <c r="I424" s="1"/>
  <c r="I557" s="1"/>
  <c r="I455"/>
  <c r="M236" i="15"/>
  <c r="M360"/>
  <c r="M238"/>
  <c r="M395" s="1"/>
  <c r="M443"/>
  <c r="M352"/>
  <c r="N603" i="17"/>
  <c r="N360"/>
  <c r="N68" i="32"/>
  <c r="N120"/>
  <c r="J169" i="58"/>
  <c r="J168"/>
  <c r="P17" i="18"/>
  <c r="N110"/>
  <c r="F235" i="13"/>
  <c r="G184"/>
  <c r="G235" s="1"/>
  <c r="N184"/>
  <c r="N235" s="1"/>
  <c r="K184"/>
  <c r="K235" s="1"/>
  <c r="L184"/>
  <c r="L235" s="1"/>
  <c r="M184"/>
  <c r="M235" s="1"/>
  <c r="I184"/>
  <c r="I235" s="1"/>
  <c r="H184"/>
  <c r="H235" s="1"/>
  <c r="J184"/>
  <c r="J235" s="1"/>
  <c r="F685" i="4"/>
  <c r="F687" s="1"/>
  <c r="G1123"/>
  <c r="G1124"/>
  <c r="G1125"/>
  <c r="G1120"/>
  <c r="G1118"/>
  <c r="G1119"/>
  <c r="G1126"/>
  <c r="G1122"/>
  <c r="G1121"/>
  <c r="G1115"/>
  <c r="L62" i="57"/>
  <c r="N62"/>
  <c r="N64" s="1"/>
  <c r="M62"/>
  <c r="F62"/>
  <c r="K62"/>
  <c r="K64" s="1"/>
  <c r="H62"/>
  <c r="H77" s="1"/>
  <c r="J62"/>
  <c r="J77" s="1"/>
  <c r="G62"/>
  <c r="N236" i="24"/>
  <c r="N237" s="1"/>
  <c r="N239" s="1"/>
  <c r="N338" s="1"/>
  <c r="H177" i="10"/>
  <c r="K177"/>
  <c r="K180" s="1"/>
  <c r="I177"/>
  <c r="I180" s="1"/>
  <c r="F1112" i="4"/>
  <c r="F1110"/>
  <c r="F1113"/>
  <c r="F1111"/>
  <c r="F1102"/>
  <c r="F1105"/>
  <c r="F1114"/>
  <c r="F1109"/>
  <c r="F1104"/>
  <c r="F1103"/>
  <c r="F1108"/>
  <c r="F1107"/>
  <c r="F1106"/>
  <c r="G682"/>
  <c r="G700"/>
  <c r="F1051"/>
  <c r="F1049"/>
  <c r="F1054"/>
  <c r="F1047"/>
  <c r="F1048"/>
  <c r="F1052"/>
  <c r="D52" i="55"/>
  <c r="F143"/>
  <c r="D53"/>
  <c r="H122" i="61"/>
  <c r="H98"/>
  <c r="K122"/>
  <c r="K98"/>
  <c r="K103" s="1"/>
  <c r="K123" s="1"/>
  <c r="K289" i="13"/>
  <c r="K296"/>
  <c r="L298"/>
  <c r="L284"/>
  <c r="O319" i="17"/>
  <c r="G319" s="1"/>
  <c r="F71" i="59"/>
  <c r="N595" i="17"/>
  <c r="K335" i="14"/>
  <c r="K318"/>
  <c r="K126" i="16"/>
  <c r="K110"/>
  <c r="K168"/>
  <c r="K105"/>
  <c r="K137" s="1"/>
  <c r="K127"/>
  <c r="K106"/>
  <c r="K138" s="1"/>
  <c r="K170"/>
  <c r="K169"/>
  <c r="K171"/>
  <c r="K104"/>
  <c r="M103" i="61"/>
  <c r="M123" s="1"/>
  <c r="G103"/>
  <c r="G123" s="1"/>
  <c r="H103"/>
  <c r="H123" s="1"/>
  <c r="N103"/>
  <c r="N123" s="1"/>
  <c r="I103"/>
  <c r="I123" s="1"/>
  <c r="L103"/>
  <c r="L123" s="1"/>
  <c r="M362" i="42"/>
  <c r="M360"/>
  <c r="M359" i="15"/>
  <c r="M444"/>
  <c r="J360" i="42"/>
  <c r="J361"/>
  <c r="I158" i="12"/>
  <c r="I195" s="1"/>
  <c r="I158" a="1"/>
  <c r="I157" a="1"/>
  <c r="I156" a="1"/>
  <c r="H360" i="15"/>
  <c r="H443"/>
  <c r="H238"/>
  <c r="H352"/>
  <c r="H119" i="32"/>
  <c r="H78"/>
  <c r="G430" i="34"/>
  <c r="G306"/>
  <c r="M430"/>
  <c r="M577"/>
  <c r="M306"/>
  <c r="G179" i="58"/>
  <c r="H340" i="42"/>
  <c r="H389" s="1"/>
  <c r="H390" s="1"/>
  <c r="M340"/>
  <c r="M389" s="1"/>
  <c r="M390" s="1"/>
  <c r="N340"/>
  <c r="N389" s="1"/>
  <c r="N390" s="1"/>
  <c r="N438" s="1"/>
  <c r="G340"/>
  <c r="J340"/>
  <c r="J389" s="1"/>
  <c r="J390" s="1"/>
  <c r="K340"/>
  <c r="K389" s="1"/>
  <c r="K390" s="1"/>
  <c r="L340"/>
  <c r="F340"/>
  <c r="F389" s="1"/>
  <c r="F390" s="1"/>
  <c r="F393" s="1"/>
  <c r="F546" s="1"/>
  <c r="I340"/>
  <c r="I389" s="1"/>
  <c r="I390" s="1"/>
  <c r="I438" s="1"/>
  <c r="L232" i="10"/>
  <c r="L230"/>
  <c r="L214"/>
  <c r="L217" s="1"/>
  <c r="N278" i="4"/>
  <c r="N270"/>
  <c r="N262"/>
  <c r="N591" s="1"/>
  <c r="N286"/>
  <c r="F135" i="9"/>
  <c r="F94"/>
  <c r="G84" i="30"/>
  <c r="G124" s="1"/>
  <c r="G77"/>
  <c r="G79" s="1"/>
  <c r="G82"/>
  <c r="G98" i="46"/>
  <c r="H411"/>
  <c r="G411"/>
  <c r="I45" i="24"/>
  <c r="I44"/>
  <c r="L44"/>
  <c r="L45"/>
  <c r="L27"/>
  <c r="L83" i="30"/>
  <c r="L123" s="1"/>
  <c r="J83"/>
  <c r="J123" s="1"/>
  <c r="F83"/>
  <c r="F123" s="1"/>
  <c r="K83"/>
  <c r="K123" s="1"/>
  <c r="I113" i="52"/>
  <c r="I64"/>
  <c r="I66"/>
  <c r="I68" s="1"/>
  <c r="L18" i="48"/>
  <c r="M18"/>
  <c r="F68"/>
  <c r="G18"/>
  <c r="K18"/>
  <c r="N18"/>
  <c r="F66"/>
  <c r="H18"/>
  <c r="J18"/>
  <c r="I18"/>
  <c r="J70" i="13"/>
  <c r="I65"/>
  <c r="I70" s="1"/>
  <c r="F185" s="1"/>
  <c r="F297" i="47"/>
  <c r="F290"/>
  <c r="K130" i="18"/>
  <c r="L130"/>
  <c r="K105"/>
  <c r="K116" s="1"/>
  <c r="K155" s="1"/>
  <c r="M237" i="24"/>
  <c r="M239" s="1"/>
  <c r="M338" s="1"/>
  <c r="M236"/>
  <c r="G684" i="4"/>
  <c r="G702"/>
  <c r="K85" i="32"/>
  <c r="J85"/>
  <c r="J83"/>
  <c r="J86" s="1"/>
  <c r="J87" s="1"/>
  <c r="H83"/>
  <c r="H86" s="1"/>
  <c r="K83"/>
  <c r="K86" s="1"/>
  <c r="G698" i="4"/>
  <c r="G680"/>
  <c r="N454" i="34"/>
  <c r="H455"/>
  <c r="G710" i="4"/>
  <c r="G298" i="13"/>
  <c r="F175" i="43"/>
  <c r="N177" i="10"/>
  <c r="N251" s="1"/>
  <c r="J454" i="34"/>
  <c r="H212" i="24"/>
  <c r="H219" s="1"/>
  <c r="I335" i="14"/>
  <c r="M303" i="13"/>
  <c r="F479" i="14"/>
  <c r="F673" s="1"/>
  <c r="G853" i="4"/>
  <c r="G854" s="1"/>
  <c r="G91" i="18"/>
  <c r="G152" i="43"/>
  <c r="J487" i="14"/>
  <c r="G296" i="13"/>
  <c r="L86" i="32"/>
  <c r="L114" i="16"/>
  <c r="N306" i="34"/>
  <c r="H306"/>
  <c r="F145" i="43"/>
  <c r="G540" i="17"/>
  <c r="K388" i="34"/>
  <c r="K390" s="1"/>
  <c r="K396" s="1"/>
  <c r="K542" s="1"/>
  <c r="M363" i="42"/>
  <c r="J445"/>
  <c r="G445"/>
  <c r="H445"/>
  <c r="I126" i="16"/>
  <c r="J306" i="34"/>
  <c r="K319" i="14"/>
  <c r="J678" s="1"/>
  <c r="F1050" i="4"/>
  <c r="I115" i="50"/>
  <c r="I120"/>
  <c r="L168" i="58"/>
  <c r="L169"/>
  <c r="I125" i="8"/>
  <c r="I168" s="1"/>
  <c r="I135"/>
  <c r="I164" s="1"/>
  <c r="I130"/>
  <c r="I166" s="1"/>
  <c r="I109" i="58"/>
  <c r="I117"/>
  <c r="I107"/>
  <c r="I178" s="1"/>
  <c r="J117"/>
  <c r="I162" i="10"/>
  <c r="I164" s="1"/>
  <c r="I183"/>
  <c r="I184"/>
  <c r="I256" s="1"/>
  <c r="I257"/>
  <c r="J96" i="18"/>
  <c r="G96"/>
  <c r="G104" s="1"/>
  <c r="G115" s="1"/>
  <c r="I96"/>
  <c r="I104" s="1"/>
  <c r="I115" s="1"/>
  <c r="K96"/>
  <c r="K104" s="1"/>
  <c r="L96"/>
  <c r="L104" s="1"/>
  <c r="L115" s="1"/>
  <c r="H96"/>
  <c r="H104" s="1"/>
  <c r="H115" s="1"/>
  <c r="M96"/>
  <c r="M104" s="1"/>
  <c r="M115" s="1"/>
  <c r="F169" i="58"/>
  <c r="F168"/>
  <c r="G45" i="24"/>
  <c r="G44"/>
  <c r="M45"/>
  <c r="M44"/>
  <c r="M27"/>
  <c r="N44"/>
  <c r="N27"/>
  <c r="N45"/>
  <c r="N184" i="10"/>
  <c r="N256" s="1"/>
  <c r="H184"/>
  <c r="H256" s="1"/>
  <c r="F184"/>
  <c r="F256" s="1"/>
  <c r="G184"/>
  <c r="G256" s="1"/>
  <c r="K184"/>
  <c r="K256" s="1"/>
  <c r="F233" i="13"/>
  <c r="G182"/>
  <c r="J182"/>
  <c r="J233" s="1"/>
  <c r="H182"/>
  <c r="H233" s="1"/>
  <c r="K182"/>
  <c r="N182"/>
  <c r="M182"/>
  <c r="M233" s="1"/>
  <c r="L182"/>
  <c r="F285" i="47"/>
  <c r="F31"/>
  <c r="F47" s="1"/>
  <c r="I66" i="13"/>
  <c r="G70"/>
  <c r="F183" s="1"/>
  <c r="F215" i="43"/>
  <c r="F212"/>
  <c r="G676" i="4"/>
  <c r="G694"/>
  <c r="F132" i="6"/>
  <c r="F134" s="1"/>
  <c r="F165"/>
  <c r="F131"/>
  <c r="F168" s="1"/>
  <c r="G697" i="4"/>
  <c r="G679"/>
  <c r="G692"/>
  <c r="G674"/>
  <c r="F302" i="7"/>
  <c r="F211"/>
  <c r="N106" i="16"/>
  <c r="N138" s="1"/>
  <c r="N104"/>
  <c r="N136" s="1"/>
  <c r="N139" s="1"/>
  <c r="H104"/>
  <c r="H136" s="1"/>
  <c r="H106"/>
  <c r="H138" s="1"/>
  <c r="I122" i="61"/>
  <c r="I98"/>
  <c r="H275" i="7"/>
  <c r="F275"/>
  <c r="G85" i="23"/>
  <c r="G275" i="7"/>
  <c r="F480" i="14"/>
  <c r="J483"/>
  <c r="L478"/>
  <c r="L495" s="1"/>
  <c r="L512" s="1"/>
  <c r="F115" i="18"/>
  <c r="F153" s="1"/>
  <c r="K321" i="14"/>
  <c r="J211" i="13"/>
  <c r="H151" i="12"/>
  <c r="G401" i="34"/>
  <c r="G404" s="1"/>
  <c r="M378"/>
  <c r="M380" s="1"/>
  <c r="M383" s="1"/>
  <c r="F546" i="17"/>
  <c r="N172" i="16"/>
  <c r="L455" i="34"/>
  <c r="H454"/>
  <c r="H457" s="1"/>
  <c r="H560" s="1"/>
  <c r="K455"/>
  <c r="N158" i="12" a="1"/>
  <c r="N158" s="1"/>
  <c r="N195" s="1"/>
  <c r="K101" i="9"/>
  <c r="F183" i="12"/>
  <c r="F158" a="1"/>
  <c r="F156" a="1"/>
  <c r="F157" a="1"/>
  <c r="F157" s="1"/>
  <c r="F194" s="1"/>
  <c r="F164" i="34"/>
  <c r="K454" s="1"/>
  <c r="F302"/>
  <c r="N169" i="58"/>
  <c r="N168"/>
  <c r="J250" i="10"/>
  <c r="J177"/>
  <c r="J251" s="1"/>
  <c r="J154"/>
  <c r="J156" s="1"/>
  <c r="F105" i="16"/>
  <c r="F137" s="1"/>
  <c r="F110"/>
  <c r="F171"/>
  <c r="F170"/>
  <c r="F127"/>
  <c r="F168"/>
  <c r="F169"/>
  <c r="F126"/>
  <c r="F104"/>
  <c r="F106"/>
  <c r="F138" s="1"/>
  <c r="J112" i="58"/>
  <c r="J107"/>
  <c r="J178" s="1"/>
  <c r="M184" i="10"/>
  <c r="M256" s="1"/>
  <c r="M162"/>
  <c r="M164" s="1"/>
  <c r="M257"/>
  <c r="M183"/>
  <c r="H230"/>
  <c r="H232"/>
  <c r="N274" i="4"/>
  <c r="N258"/>
  <c r="N587" s="1"/>
  <c r="N266"/>
  <c r="N282"/>
  <c r="F851"/>
  <c r="F852"/>
  <c r="F853" s="1"/>
  <c r="F854" s="1"/>
  <c r="F114" i="8"/>
  <c r="F155"/>
  <c r="N371" i="24"/>
  <c r="K371"/>
  <c r="M371"/>
  <c r="L371"/>
  <c r="L411" i="46"/>
  <c r="M411"/>
  <c r="L98"/>
  <c r="J234" i="24"/>
  <c r="J235" s="1"/>
  <c r="J292"/>
  <c r="J369" s="1"/>
  <c r="H44"/>
  <c r="H45"/>
  <c r="K45"/>
  <c r="K44"/>
  <c r="K27"/>
  <c r="J42"/>
  <c r="J46" s="1"/>
  <c r="J206" s="1"/>
  <c r="J28"/>
  <c r="J207" s="1"/>
  <c r="K307" s="1"/>
  <c r="G384" i="17"/>
  <c r="G629" s="1"/>
  <c r="G389"/>
  <c r="G634" s="1"/>
  <c r="G650" s="1"/>
  <c r="G386"/>
  <c r="G631" s="1"/>
  <c r="G647" s="1"/>
  <c r="G394"/>
  <c r="G639" s="1"/>
  <c r="G391"/>
  <c r="G636" s="1"/>
  <c r="G387"/>
  <c r="G385"/>
  <c r="G393"/>
  <c r="G399" s="1"/>
  <c r="G392"/>
  <c r="G382"/>
  <c r="G627" s="1"/>
  <c r="G681" i="4"/>
  <c r="G699"/>
  <c r="G686"/>
  <c r="G704"/>
  <c r="G677"/>
  <c r="G695"/>
  <c r="G675"/>
  <c r="G693"/>
  <c r="J122" i="61"/>
  <c r="J98"/>
  <c r="J103" s="1"/>
  <c r="J123" s="1"/>
  <c r="G1050" i="4"/>
  <c r="G1052"/>
  <c r="G1051"/>
  <c r="G1049"/>
  <c r="G1055"/>
  <c r="G1048"/>
  <c r="G1047"/>
  <c r="G1054"/>
  <c r="G1044"/>
  <c r="G1053"/>
  <c r="F277" i="7"/>
  <c r="F317" s="1"/>
  <c r="H277"/>
  <c r="G277"/>
  <c r="G317" s="1"/>
  <c r="Q468" i="14"/>
  <c r="K211" i="13"/>
  <c r="J557" i="42"/>
  <c r="J559" s="1"/>
  <c r="G131" i="12"/>
  <c r="G182" s="1"/>
  <c r="H401" i="34"/>
  <c r="H404" s="1"/>
  <c r="N401"/>
  <c r="N404" s="1"/>
  <c r="K378"/>
  <c r="K380" s="1"/>
  <c r="K383" s="1"/>
  <c r="N436" i="42"/>
  <c r="I434"/>
  <c r="F472" i="14"/>
  <c r="M208" i="43"/>
  <c r="N85" i="32"/>
  <c r="M85"/>
  <c r="M86" s="1"/>
  <c r="M87" s="1"/>
  <c r="I455" i="34"/>
  <c r="G454"/>
  <c r="M454"/>
  <c r="L454"/>
  <c r="F91" i="18"/>
  <c r="G77" i="23"/>
  <c r="L101" i="9"/>
  <c r="N157" i="12" a="1"/>
  <c r="N157" s="1"/>
  <c r="N194" s="1"/>
  <c r="H101" i="9"/>
  <c r="H79" i="32"/>
  <c r="G83"/>
  <c r="G86" s="1"/>
  <c r="G87" s="1"/>
  <c r="M110"/>
  <c r="M111" s="1"/>
  <c r="M78"/>
  <c r="M119"/>
  <c r="K363" i="42"/>
  <c r="K362"/>
  <c r="K360"/>
  <c r="K361"/>
  <c r="K375" s="1"/>
  <c r="K457"/>
  <c r="K575" s="1"/>
  <c r="M489" i="14"/>
  <c r="F407" i="17"/>
  <c r="F363"/>
  <c r="I660"/>
  <c r="N351" i="15"/>
  <c r="I487" i="14"/>
  <c r="G372" i="17"/>
  <c r="G544"/>
  <c r="M557" i="42"/>
  <c r="L369"/>
  <c r="H426" i="17"/>
  <c r="H439" s="1"/>
  <c r="F570"/>
  <c r="J472" i="14"/>
  <c r="K328"/>
  <c r="F78" i="59"/>
  <c r="F312" i="13"/>
  <c r="N429" i="17"/>
  <c r="L296" i="13"/>
  <c r="F368" i="17"/>
  <c r="N328" i="14"/>
  <c r="N156" i="12"/>
  <c r="N193" s="1"/>
  <c r="N361" i="17"/>
  <c r="L484" i="14"/>
  <c r="L678" s="1"/>
  <c r="L483"/>
  <c r="L707" s="1"/>
  <c r="J488"/>
  <c r="J505" s="1"/>
  <c r="J522" s="1"/>
  <c r="F182" i="12"/>
  <c r="F77" i="59"/>
  <c r="F76"/>
  <c r="M484" i="14"/>
  <c r="F352" i="15"/>
  <c r="Q467" i="14"/>
  <c r="I354" i="42"/>
  <c r="G362"/>
  <c r="G542" i="17"/>
  <c r="F443" i="15"/>
  <c r="I237"/>
  <c r="I402" s="1"/>
  <c r="I363" i="42"/>
  <c r="J355"/>
  <c r="J375" s="1"/>
  <c r="I472" i="14"/>
  <c r="G488"/>
  <c r="G682" s="1"/>
  <c r="F400" i="17"/>
  <c r="L172" i="16"/>
  <c r="L367" i="42"/>
  <c r="H441"/>
  <c r="I442" s="1"/>
  <c r="J443" s="1"/>
  <c r="N369" i="15"/>
  <c r="F628" i="17"/>
  <c r="F489" i="14"/>
  <c r="F713" s="1"/>
  <c r="N391" i="17"/>
  <c r="N407" s="1"/>
  <c r="O324"/>
  <c r="G324" s="1"/>
  <c r="H324" s="1"/>
  <c r="I356" i="42"/>
  <c r="G363"/>
  <c r="G369" i="17"/>
  <c r="L355" i="42"/>
  <c r="L375" s="1"/>
  <c r="L379" s="1"/>
  <c r="L359" i="15"/>
  <c r="L444"/>
  <c r="F564" i="17"/>
  <c r="H424"/>
  <c r="H437" s="1"/>
  <c r="J333" i="13"/>
  <c r="G177" i="6"/>
  <c r="F478" i="14"/>
  <c r="F495" s="1"/>
  <c r="F512" s="1"/>
  <c r="G529" s="1"/>
  <c r="N359" i="17"/>
  <c r="F333" i="13"/>
  <c r="N423" i="17"/>
  <c r="N436" s="1"/>
  <c r="L324" i="13"/>
  <c r="N600" i="17"/>
  <c r="F369"/>
  <c r="I483" i="14"/>
  <c r="I677" s="1"/>
  <c r="G479"/>
  <c r="G703" s="1"/>
  <c r="F238" i="15"/>
  <c r="N355" i="42"/>
  <c r="I428"/>
  <c r="N236" i="15"/>
  <c r="N385" s="1"/>
  <c r="G539" i="17"/>
  <c r="G541"/>
  <c r="I236" i="15"/>
  <c r="I385" s="1"/>
  <c r="J478" i="14"/>
  <c r="J495" s="1"/>
  <c r="J512" s="1"/>
  <c r="F627" i="17"/>
  <c r="F563"/>
  <c r="G547"/>
  <c r="I128" i="16"/>
  <c r="F557" i="42"/>
  <c r="M567" s="1"/>
  <c r="K356"/>
  <c r="H355"/>
  <c r="H375" s="1"/>
  <c r="F357"/>
  <c r="F434"/>
  <c r="F355"/>
  <c r="K557"/>
  <c r="N363"/>
  <c r="H357"/>
  <c r="K455"/>
  <c r="H434"/>
  <c r="M393"/>
  <c r="M546" s="1"/>
  <c r="K434"/>
  <c r="M355"/>
  <c r="M375" s="1"/>
  <c r="M356"/>
  <c r="M376" s="1"/>
  <c r="M380" s="1"/>
  <c r="M544" s="1"/>
  <c r="M354"/>
  <c r="M374" s="1"/>
  <c r="M457"/>
  <c r="M575" s="1"/>
  <c r="M357"/>
  <c r="J457"/>
  <c r="J575" s="1"/>
  <c r="F436"/>
  <c r="H386"/>
  <c r="H387" s="1"/>
  <c r="N356"/>
  <c r="I355"/>
  <c r="H374"/>
  <c r="N557"/>
  <c r="L354"/>
  <c r="L374" s="1"/>
  <c r="J357"/>
  <c r="J356"/>
  <c r="J376" s="1"/>
  <c r="J380" s="1"/>
  <c r="J544" s="1"/>
  <c r="L434"/>
  <c r="J386"/>
  <c r="J387" s="1"/>
  <c r="G353"/>
  <c r="G434"/>
  <c r="L457"/>
  <c r="L575" s="1"/>
  <c r="L356"/>
  <c r="L376" s="1"/>
  <c r="L380" s="1"/>
  <c r="L544" s="1"/>
  <c r="E202"/>
  <c r="M450" s="1"/>
  <c r="J434"/>
  <c r="N434"/>
  <c r="K386"/>
  <c r="K387" s="1"/>
  <c r="M175" i="7"/>
  <c r="M336" s="1"/>
  <c r="K139" i="12"/>
  <c r="K151" s="1"/>
  <c r="K119"/>
  <c r="K132" s="1"/>
  <c r="K157" s="1" a="1"/>
  <c r="F659" i="17"/>
  <c r="G660" s="1"/>
  <c r="F418"/>
  <c r="F423"/>
  <c r="F436" s="1"/>
  <c r="F429"/>
  <c r="F424"/>
  <c r="F437" s="1"/>
  <c r="F430"/>
  <c r="F443" s="1"/>
  <c r="F425"/>
  <c r="F438" s="1"/>
  <c r="F422"/>
  <c r="F426"/>
  <c r="F439" s="1"/>
  <c r="F428"/>
  <c r="G426"/>
  <c r="G439" s="1"/>
  <c r="F406"/>
  <c r="I318" i="14"/>
  <c r="F311" i="13"/>
  <c r="G304"/>
  <c r="F502" i="17"/>
  <c r="L303" i="13"/>
  <c r="K319"/>
  <c r="G428" i="17"/>
  <c r="F568"/>
  <c r="F374"/>
  <c r="F540"/>
  <c r="F552" s="1"/>
  <c r="J319" i="14"/>
  <c r="I678" s="1"/>
  <c r="N335"/>
  <c r="H489"/>
  <c r="H683" s="1"/>
  <c r="H480"/>
  <c r="H674" s="1"/>
  <c r="L326" i="13"/>
  <c r="F395" i="17"/>
  <c r="F571"/>
  <c r="N472" i="14"/>
  <c r="F566" i="17"/>
  <c r="F403"/>
  <c r="J268" i="14"/>
  <c r="I319"/>
  <c r="J298" i="13"/>
  <c r="F332"/>
  <c r="G290"/>
  <c r="N427" i="17"/>
  <c r="N440" s="1"/>
  <c r="N422"/>
  <c r="N435" s="1"/>
  <c r="L317" i="13"/>
  <c r="L282"/>
  <c r="K312"/>
  <c r="F404" i="17"/>
  <c r="G427"/>
  <c r="G440" s="1"/>
  <c r="F372"/>
  <c r="F370"/>
  <c r="F375"/>
  <c r="F542"/>
  <c r="F545"/>
  <c r="J328" i="14"/>
  <c r="H289" i="13"/>
  <c r="N318" i="14"/>
  <c r="G483"/>
  <c r="G692" s="1"/>
  <c r="G487"/>
  <c r="F178" i="10"/>
  <c r="F249" s="1"/>
  <c r="F324" i="13"/>
  <c r="G282"/>
  <c r="L305"/>
  <c r="J348" i="15"/>
  <c r="J353" s="1"/>
  <c r="I457" i="42"/>
  <c r="I575" s="1"/>
  <c r="G370" i="17"/>
  <c r="G371"/>
  <c r="G363"/>
  <c r="N360" i="42"/>
  <c r="N374" s="1"/>
  <c r="J119" i="12"/>
  <c r="J132" s="1"/>
  <c r="J157" s="1" a="1"/>
  <c r="I361" i="42"/>
  <c r="G404" i="17"/>
  <c r="G453" s="1"/>
  <c r="G738" s="1"/>
  <c r="I484" i="14"/>
  <c r="I501" s="1"/>
  <c r="I518" s="1"/>
  <c r="G367" i="17"/>
  <c r="G373"/>
  <c r="F639"/>
  <c r="G655" s="1"/>
  <c r="F635"/>
  <c r="G423"/>
  <c r="G436" s="1"/>
  <c r="H172" i="16"/>
  <c r="AZ457" i="47"/>
  <c r="BG394" s="1"/>
  <c r="BH394" s="1"/>
  <c r="BI394" s="1"/>
  <c r="G605" i="17"/>
  <c r="G602"/>
  <c r="G594"/>
  <c r="G600"/>
  <c r="G596"/>
  <c r="G597"/>
  <c r="G593"/>
  <c r="G599"/>
  <c r="G598"/>
  <c r="G595"/>
  <c r="G604"/>
  <c r="G603"/>
  <c r="G601"/>
  <c r="J128" i="16"/>
  <c r="M139" i="12"/>
  <c r="M119"/>
  <c r="M132" s="1"/>
  <c r="M157" s="1" a="1"/>
  <c r="N128" i="16"/>
  <c r="H128"/>
  <c r="G628" i="17"/>
  <c r="L128" i="16"/>
  <c r="F569" i="17"/>
  <c r="G430"/>
  <c r="G443" s="1"/>
  <c r="F373"/>
  <c r="F547"/>
  <c r="F543"/>
  <c r="F223" i="10"/>
  <c r="F225" s="1"/>
  <c r="L291" i="13"/>
  <c r="J136" i="16"/>
  <c r="I362" i="42"/>
  <c r="G564" i="17"/>
  <c r="G635"/>
  <c r="F567"/>
  <c r="G418"/>
  <c r="F402"/>
  <c r="F405"/>
  <c r="F318" i="13"/>
  <c r="N426" i="17"/>
  <c r="N439" s="1"/>
  <c r="G422"/>
  <c r="G435" s="1"/>
  <c r="G425"/>
  <c r="G438" s="1"/>
  <c r="F371"/>
  <c r="F367"/>
  <c r="F539"/>
  <c r="F544"/>
  <c r="F556" s="1"/>
  <c r="J480" i="14"/>
  <c r="J674" s="1"/>
  <c r="N479"/>
  <c r="G484"/>
  <c r="G708" s="1"/>
  <c r="I488"/>
  <c r="M488"/>
  <c r="M505" s="1"/>
  <c r="M522" s="1"/>
  <c r="K489"/>
  <c r="K506" s="1"/>
  <c r="K523" s="1"/>
  <c r="J489"/>
  <c r="J479"/>
  <c r="H483"/>
  <c r="H707" s="1"/>
  <c r="F331" i="13"/>
  <c r="L319"/>
  <c r="N457" i="42"/>
  <c r="N575" s="1"/>
  <c r="N174" i="50"/>
  <c r="H660" i="17"/>
  <c r="I376" i="15"/>
  <c r="G645" i="17"/>
  <c r="G546"/>
  <c r="G368"/>
  <c r="G552" s="1"/>
  <c r="G472" i="14"/>
  <c r="J374" i="42"/>
  <c r="G543" i="17"/>
  <c r="F427"/>
  <c r="F440" s="1"/>
  <c r="F636"/>
  <c r="G652" s="1"/>
  <c r="M192" i="10"/>
  <c r="M265"/>
  <c r="J192"/>
  <c r="J265"/>
  <c r="N173" i="50"/>
  <c r="AZ409" i="47" s="1"/>
  <c r="BF382" s="1"/>
  <c r="BH382" s="1"/>
  <c r="BI382" s="1"/>
  <c r="H178" i="10"/>
  <c r="H249" s="1"/>
  <c r="L559" i="42"/>
  <c r="N393"/>
  <c r="N546" s="1"/>
  <c r="K77" i="33"/>
  <c r="K113" s="1"/>
  <c r="F438" i="42"/>
  <c r="H223" i="10"/>
  <c r="H225" s="1"/>
  <c r="G155" i="8"/>
  <c r="M207" i="43"/>
  <c r="M178" i="10"/>
  <c r="M249" s="1"/>
  <c r="M222"/>
  <c r="M223"/>
  <c r="M215"/>
  <c r="J720" i="4"/>
  <c r="K720"/>
  <c r="M728" s="1"/>
  <c r="H720"/>
  <c r="I720"/>
  <c r="N646"/>
  <c r="P646" s="1"/>
  <c r="G720"/>
  <c r="M720"/>
  <c r="L720"/>
  <c r="I359" i="15"/>
  <c r="I444"/>
  <c r="E75" i="59"/>
  <c r="N1108" i="4"/>
  <c r="N660"/>
  <c r="N680" s="1"/>
  <c r="N1037"/>
  <c r="O632"/>
  <c r="H632" s="1"/>
  <c r="I182" i="12"/>
  <c r="J303" i="13"/>
  <c r="H303"/>
  <c r="M268" i="14"/>
  <c r="M331" i="13"/>
  <c r="J305"/>
  <c r="G649" i="17"/>
  <c r="N659"/>
  <c r="N424"/>
  <c r="N437" s="1"/>
  <c r="N425"/>
  <c r="N438" s="1"/>
  <c r="M402" i="15"/>
  <c r="I183" i="12"/>
  <c r="M369" i="15"/>
  <c r="K268" i="14"/>
  <c r="J282" i="13"/>
  <c r="H296"/>
  <c r="L328" i="14"/>
  <c r="K331" i="13"/>
  <c r="K282"/>
  <c r="I478" i="14"/>
  <c r="I495" s="1"/>
  <c r="I512" s="1"/>
  <c r="I637" s="1"/>
  <c r="M478"/>
  <c r="M495" s="1"/>
  <c r="M512" s="1"/>
  <c r="N529" s="1"/>
  <c r="N546" s="1"/>
  <c r="N487"/>
  <c r="N711" s="1"/>
  <c r="H207" i="43"/>
  <c r="H376" i="15"/>
  <c r="J376"/>
  <c r="G236"/>
  <c r="H479" i="14"/>
  <c r="H673" s="1"/>
  <c r="H472"/>
  <c r="K483"/>
  <c r="K692" s="1"/>
  <c r="F158" i="12"/>
  <c r="F195" s="1"/>
  <c r="L333" i="13"/>
  <c r="K310"/>
  <c r="M353" i="15"/>
  <c r="K376"/>
  <c r="F208" i="43"/>
  <c r="K233" i="10"/>
  <c r="I719" i="4"/>
  <c r="K727" s="1"/>
  <c r="K719"/>
  <c r="M719"/>
  <c r="G719"/>
  <c r="H719"/>
  <c r="L719"/>
  <c r="J719"/>
  <c r="N645"/>
  <c r="P645" s="1"/>
  <c r="I251" i="10"/>
  <c r="H718" i="4"/>
  <c r="J718"/>
  <c r="K718"/>
  <c r="L718"/>
  <c r="N644"/>
  <c r="M718"/>
  <c r="I718"/>
  <c r="K726" s="1"/>
  <c r="G718"/>
  <c r="E76" i="59"/>
  <c r="N661" i="4"/>
  <c r="N681" s="1"/>
  <c r="N1109"/>
  <c r="O633"/>
  <c r="H633" s="1"/>
  <c r="N1038"/>
  <c r="I215" i="10"/>
  <c r="I178"/>
  <c r="I249" s="1"/>
  <c r="I223"/>
  <c r="I222"/>
  <c r="J291" i="13"/>
  <c r="N719" i="4"/>
  <c r="K303" i="13"/>
  <c r="I353" i="15"/>
  <c r="F369"/>
  <c r="J312" i="13"/>
  <c r="N430" i="17"/>
  <c r="N443" s="1"/>
  <c r="N428"/>
  <c r="H319" i="14"/>
  <c r="I156" i="12"/>
  <c r="I193" s="1"/>
  <c r="N720" i="4"/>
  <c r="J317" i="13"/>
  <c r="L335" i="14"/>
  <c r="K317" i="13"/>
  <c r="K480" i="14"/>
  <c r="K704" s="1"/>
  <c r="K478"/>
  <c r="K495" s="1"/>
  <c r="K512" s="1"/>
  <c r="L529" s="1"/>
  <c r="L546" s="1"/>
  <c r="H484"/>
  <c r="H708" s="1"/>
  <c r="K487"/>
  <c r="M487"/>
  <c r="M711" s="1"/>
  <c r="L488"/>
  <c r="L712" s="1"/>
  <c r="N488"/>
  <c r="N712" s="1"/>
  <c r="L489"/>
  <c r="G489"/>
  <c r="G698" s="1"/>
  <c r="K488"/>
  <c r="K712" s="1"/>
  <c r="M483"/>
  <c r="M707" s="1"/>
  <c r="L210" i="43"/>
  <c r="N238" i="15"/>
  <c r="L369"/>
  <c r="G278" i="24"/>
  <c r="H278"/>
  <c r="I278"/>
  <c r="F278"/>
  <c r="K212"/>
  <c r="K219" s="1"/>
  <c r="K246" s="1"/>
  <c r="L212"/>
  <c r="L219" s="1"/>
  <c r="L246" s="1"/>
  <c r="L307"/>
  <c r="M307"/>
  <c r="J175" i="7"/>
  <c r="J336" s="1"/>
  <c r="K175"/>
  <c r="K336" s="1"/>
  <c r="N212" i="24"/>
  <c r="N307"/>
  <c r="M212"/>
  <c r="M304"/>
  <c r="G114" i="8"/>
  <c r="G120" s="1"/>
  <c r="K76" i="33"/>
  <c r="K115" s="1"/>
  <c r="N105"/>
  <c r="I72"/>
  <c r="I73" s="1"/>
  <c r="I76"/>
  <c r="I77"/>
  <c r="I113" s="1"/>
  <c r="M103"/>
  <c r="M104"/>
  <c r="N79"/>
  <c r="G174" i="50"/>
  <c r="G124"/>
  <c r="G173"/>
  <c r="F71" i="32"/>
  <c r="F74"/>
  <c r="F76" s="1"/>
  <c r="J110"/>
  <c r="J109"/>
  <c r="J119"/>
  <c r="J78"/>
  <c r="J79"/>
  <c r="F104" i="33"/>
  <c r="F103"/>
  <c r="M124" i="50"/>
  <c r="M173"/>
  <c r="M174"/>
  <c r="K174"/>
  <c r="K173"/>
  <c r="K124"/>
  <c r="H173"/>
  <c r="H124"/>
  <c r="H174"/>
  <c r="F124"/>
  <c r="F173"/>
  <c r="F174"/>
  <c r="G122" i="6"/>
  <c r="G124" s="1"/>
  <c r="G125" s="1"/>
  <c r="G130" s="1"/>
  <c r="N175" i="7"/>
  <c r="N336" s="1"/>
  <c r="L175"/>
  <c r="L336" s="1"/>
  <c r="I383" i="34"/>
  <c r="I541" s="1"/>
  <c r="I392"/>
  <c r="I393" s="1"/>
  <c r="F558"/>
  <c r="F449"/>
  <c r="I542"/>
  <c r="K403" i="15"/>
  <c r="K387"/>
  <c r="K395"/>
  <c r="K411"/>
  <c r="N410"/>
  <c r="N386"/>
  <c r="N394"/>
  <c r="N402"/>
  <c r="H229" i="43"/>
  <c r="L208"/>
  <c r="L207"/>
  <c r="K285" i="13"/>
  <c r="K306"/>
  <c r="K71" i="32"/>
  <c r="K74"/>
  <c r="K76" s="1"/>
  <c r="M241" i="10"/>
  <c r="L87" i="30"/>
  <c r="L122"/>
  <c r="N159" i="43"/>
  <c r="N226" s="1"/>
  <c r="N160"/>
  <c r="N227" s="1"/>
  <c r="N161"/>
  <c r="N228" s="1"/>
  <c r="N284" i="13"/>
  <c r="N305"/>
  <c r="N291"/>
  <c r="N298"/>
  <c r="K251" i="10"/>
  <c r="J409" i="15"/>
  <c r="J401"/>
  <c r="J393"/>
  <c r="J385"/>
  <c r="G145" i="12"/>
  <c r="H150" s="1"/>
  <c r="G150"/>
  <c r="I241" i="10"/>
  <c r="N383" i="34"/>
  <c r="N392"/>
  <c r="N393" s="1"/>
  <c r="K559" i="42"/>
  <c r="L74" i="32"/>
  <c r="L76" s="1"/>
  <c r="L71"/>
  <c r="N112" i="30"/>
  <c r="N111"/>
  <c r="H102" i="52"/>
  <c r="H101"/>
  <c r="H73"/>
  <c r="H71"/>
  <c r="I355" i="34"/>
  <c r="H448"/>
  <c r="H559" s="1"/>
  <c r="G215" i="10"/>
  <c r="G222"/>
  <c r="G214"/>
  <c r="G178"/>
  <c r="G249" s="1"/>
  <c r="G223"/>
  <c r="M112" i="30"/>
  <c r="M111"/>
  <c r="I122"/>
  <c r="I87"/>
  <c r="G77" i="33"/>
  <c r="G113" s="1"/>
  <c r="G76"/>
  <c r="G72"/>
  <c r="G73" s="1"/>
  <c r="N77" i="57"/>
  <c r="AZ377" i="47"/>
  <c r="BF400" s="1"/>
  <c r="BH400" s="1"/>
  <c r="BI400" s="1"/>
  <c r="J101" i="52"/>
  <c r="J73"/>
  <c r="J71"/>
  <c r="J102"/>
  <c r="L72" i="33"/>
  <c r="L73" s="1"/>
  <c r="L77"/>
  <c r="L113" s="1"/>
  <c r="L76"/>
  <c r="H351" i="15"/>
  <c r="H359"/>
  <c r="H444"/>
  <c r="F351"/>
  <c r="F444"/>
  <c r="F359"/>
  <c r="F361" s="1"/>
  <c r="H192" i="10"/>
  <c r="G192"/>
  <c r="G265"/>
  <c r="G559" i="42"/>
  <c r="M376" i="15"/>
  <c r="F393"/>
  <c r="F385"/>
  <c r="F401"/>
  <c r="F409"/>
  <c r="G366"/>
  <c r="G369" s="1"/>
  <c r="G71" i="32"/>
  <c r="G74"/>
  <c r="G76" s="1"/>
  <c r="N87" i="30"/>
  <c r="N122"/>
  <c r="L118" i="16"/>
  <c r="L119"/>
  <c r="L117"/>
  <c r="H72" i="33"/>
  <c r="H73" s="1"/>
  <c r="H77"/>
  <c r="H113" s="1"/>
  <c r="H76"/>
  <c r="J76" i="57"/>
  <c r="J64"/>
  <c r="F111" i="30"/>
  <c r="F112"/>
  <c r="J87"/>
  <c r="J122"/>
  <c r="M73" i="52"/>
  <c r="M101"/>
  <c r="M102"/>
  <c r="M71"/>
  <c r="I161" i="43"/>
  <c r="I228" s="1"/>
  <c r="I160"/>
  <c r="I227" s="1"/>
  <c r="I159"/>
  <c r="I226" s="1"/>
  <c r="I255" i="13"/>
  <c r="I257"/>
  <c r="I258"/>
  <c r="I254"/>
  <c r="I274" s="1"/>
  <c r="I256"/>
  <c r="I366" i="15"/>
  <c r="I369" s="1"/>
  <c r="K238" i="10"/>
  <c r="K240"/>
  <c r="K216"/>
  <c r="G363" i="34"/>
  <c r="F406"/>
  <c r="F409" s="1"/>
  <c r="F422" s="1"/>
  <c r="G383"/>
  <c r="G392"/>
  <c r="G393" s="1"/>
  <c r="G139" i="16"/>
  <c r="M291" i="13"/>
  <c r="M305"/>
  <c r="M298"/>
  <c r="M284"/>
  <c r="K215" i="10"/>
  <c r="K178"/>
  <c r="K249" s="1"/>
  <c r="K222"/>
  <c r="K223"/>
  <c r="K214"/>
  <c r="J410" i="15"/>
  <c r="J402"/>
  <c r="J394"/>
  <c r="J386"/>
  <c r="M229" i="43"/>
  <c r="L159"/>
  <c r="L226" s="1"/>
  <c r="L161"/>
  <c r="L228" s="1"/>
  <c r="L160"/>
  <c r="L227" s="1"/>
  <c r="M139" i="16"/>
  <c r="F396" i="34"/>
  <c r="F392"/>
  <c r="F393" s="1"/>
  <c r="H409" i="42"/>
  <c r="H547" s="1"/>
  <c r="H241" i="10"/>
  <c r="H429" i="17"/>
  <c r="N324" i="13"/>
  <c r="H318" i="14"/>
  <c r="G677" s="1"/>
  <c r="H427" i="17"/>
  <c r="H440" s="1"/>
  <c r="H268" i="14"/>
  <c r="I331" i="13"/>
  <c r="I296"/>
  <c r="M317"/>
  <c r="M289"/>
  <c r="J326"/>
  <c r="N310"/>
  <c r="N303"/>
  <c r="F326"/>
  <c r="G291"/>
  <c r="L268" i="14"/>
  <c r="H335"/>
  <c r="I846" i="4"/>
  <c r="I157" i="12"/>
  <c r="I194" s="1"/>
  <c r="K484" i="14"/>
  <c r="K678" s="1"/>
  <c r="L331" i="13"/>
  <c r="K333"/>
  <c r="N319"/>
  <c r="N312"/>
  <c r="N326"/>
  <c r="I284"/>
  <c r="H423" i="17"/>
  <c r="H436" s="1"/>
  <c r="I268" i="14"/>
  <c r="H425" i="17"/>
  <c r="H438" s="1"/>
  <c r="J310" i="13"/>
  <c r="L318" i="14"/>
  <c r="K324" i="13"/>
  <c r="N480" i="14"/>
  <c r="L479"/>
  <c r="L673" s="1"/>
  <c r="L480"/>
  <c r="L704" s="1"/>
  <c r="N635" i="17"/>
  <c r="N634"/>
  <c r="L312" i="13"/>
  <c r="I441" i="42"/>
  <c r="J442" s="1"/>
  <c r="I211" i="13"/>
  <c r="K313" s="1"/>
  <c r="H369" i="15"/>
  <c r="L376"/>
  <c r="G376"/>
  <c r="H418" i="17"/>
  <c r="N376" i="15"/>
  <c r="L443"/>
  <c r="L348"/>
  <c r="L360"/>
  <c r="L236"/>
  <c r="L352"/>
  <c r="M77" i="57"/>
  <c r="N102" i="52"/>
  <c r="N71"/>
  <c r="N101"/>
  <c r="N73"/>
  <c r="F320" i="13"/>
  <c r="F313"/>
  <c r="F327"/>
  <c r="F334"/>
  <c r="G299"/>
  <c r="G300" s="1"/>
  <c r="G456" s="1"/>
  <c r="G292"/>
  <c r="G285"/>
  <c r="G306"/>
  <c r="H428" i="42"/>
  <c r="H455"/>
  <c r="N409" i="15"/>
  <c r="N401"/>
  <c r="H111" i="32"/>
  <c r="H112" i="30"/>
  <c r="H111"/>
  <c r="F160" i="43"/>
  <c r="F227" s="1"/>
  <c r="F159"/>
  <c r="F226" s="1"/>
  <c r="F161"/>
  <c r="F228" s="1"/>
  <c r="G117" i="16"/>
  <c r="G119"/>
  <c r="G118"/>
  <c r="I110" i="8"/>
  <c r="H155"/>
  <c r="H114"/>
  <c r="G351" i="15"/>
  <c r="G444"/>
  <c r="G359"/>
  <c r="L102" i="52"/>
  <c r="L71"/>
  <c r="L101"/>
  <c r="L73"/>
  <c r="G360" i="15"/>
  <c r="G443"/>
  <c r="G348"/>
  <c r="K366"/>
  <c r="K369" s="1"/>
  <c r="K170" i="58"/>
  <c r="I175" i="13"/>
  <c r="J118" i="16"/>
  <c r="J119"/>
  <c r="J117"/>
  <c r="J299" i="13"/>
  <c r="J306"/>
  <c r="J292"/>
  <c r="J285"/>
  <c r="K360" i="15"/>
  <c r="K443"/>
  <c r="K348"/>
  <c r="M559" i="42"/>
  <c r="M411" i="15"/>
  <c r="J111" i="30"/>
  <c r="J112"/>
  <c r="F238" i="10"/>
  <c r="F240"/>
  <c r="F216"/>
  <c r="J72" i="33"/>
  <c r="J73" s="1"/>
  <c r="J77"/>
  <c r="J113" s="1"/>
  <c r="J76"/>
  <c r="K104"/>
  <c r="K103"/>
  <c r="L112" i="30"/>
  <c r="L111"/>
  <c r="H64" i="57"/>
  <c r="H76"/>
  <c r="G112" i="30"/>
  <c r="G111"/>
  <c r="J366" i="15"/>
  <c r="J369" s="1"/>
  <c r="K77" i="57"/>
  <c r="G73" i="52"/>
  <c r="G101"/>
  <c r="G71"/>
  <c r="G102"/>
  <c r="N215" i="10"/>
  <c r="N178"/>
  <c r="N249" s="1"/>
  <c r="N222"/>
  <c r="N223"/>
  <c r="F386" i="15"/>
  <c r="F402"/>
  <c r="F410"/>
  <c r="F394"/>
  <c r="K87" i="30"/>
  <c r="K122"/>
  <c r="K112"/>
  <c r="K111"/>
  <c r="J383" i="34"/>
  <c r="J392"/>
  <c r="J393" s="1"/>
  <c r="L139" i="16"/>
  <c r="H299" i="13"/>
  <c r="H285"/>
  <c r="H306"/>
  <c r="H292"/>
  <c r="G251" i="10"/>
  <c r="H180"/>
  <c r="N360" i="15"/>
  <c r="N443"/>
  <c r="N348"/>
  <c r="J359"/>
  <c r="J444"/>
  <c r="M122" i="30"/>
  <c r="M87"/>
  <c r="F361" i="42"/>
  <c r="F375" s="1"/>
  <c r="F362"/>
  <c r="F376" s="1"/>
  <c r="F380" s="1"/>
  <c r="F544" s="1"/>
  <c r="F360"/>
  <c r="F457"/>
  <c r="F575" s="1"/>
  <c r="F363"/>
  <c r="K101" i="52"/>
  <c r="K73"/>
  <c r="K71"/>
  <c r="K102"/>
  <c r="M542" i="34"/>
  <c r="L392"/>
  <c r="L393" s="1"/>
  <c r="L383"/>
  <c r="G238" i="10"/>
  <c r="G240"/>
  <c r="G216"/>
  <c r="I71" i="32"/>
  <c r="I74"/>
  <c r="I76" s="1"/>
  <c r="I111" i="30"/>
  <c r="H122"/>
  <c r="K265" i="10"/>
  <c r="K192"/>
  <c r="L192"/>
  <c r="H383" i="34"/>
  <c r="H392"/>
  <c r="H393" s="1"/>
  <c r="K298" i="13"/>
  <c r="K305"/>
  <c r="K291"/>
  <c r="K284"/>
  <c r="M170" i="43"/>
  <c r="M272" s="1"/>
  <c r="M167"/>
  <c r="M269" s="1"/>
  <c r="M169"/>
  <c r="M271" s="1"/>
  <c r="M168"/>
  <c r="M270" s="1"/>
  <c r="J395" i="15"/>
  <c r="J411"/>
  <c r="J403"/>
  <c r="J387"/>
  <c r="F376"/>
  <c r="AZ456" i="47"/>
  <c r="BG401" s="1"/>
  <c r="BH401" s="1"/>
  <c r="BI401" s="1"/>
  <c r="F71" i="52"/>
  <c r="F101"/>
  <c r="F73"/>
  <c r="F102"/>
  <c r="M118" i="16"/>
  <c r="M117"/>
  <c r="M119"/>
  <c r="L238" i="15"/>
  <c r="N639" i="17"/>
  <c r="M310" i="13"/>
  <c r="M282"/>
  <c r="J660" i="17"/>
  <c r="N289" i="13"/>
  <c r="N483" i="14"/>
  <c r="N707" s="1"/>
  <c r="F156" i="12"/>
  <c r="F193" s="1"/>
  <c r="G237" i="15"/>
  <c r="H422" i="42"/>
  <c r="H424" s="1"/>
  <c r="H557" s="1"/>
  <c r="K237" i="15"/>
  <c r="G268" i="14"/>
  <c r="M358" i="15"/>
  <c r="N502" i="17"/>
  <c r="I310" i="13"/>
  <c r="I282"/>
  <c r="M324"/>
  <c r="J319"/>
  <c r="N331"/>
  <c r="F319"/>
  <c r="L472" i="14"/>
  <c r="L310" i="13"/>
  <c r="M312"/>
  <c r="N333"/>
  <c r="M326"/>
  <c r="M333"/>
  <c r="I305"/>
  <c r="H428" i="17"/>
  <c r="K472" i="14"/>
  <c r="J331" i="13"/>
  <c r="I426" i="17"/>
  <c r="I439" s="1"/>
  <c r="N629"/>
  <c r="H478" i="14"/>
  <c r="H495" s="1"/>
  <c r="H512" s="1"/>
  <c r="H637" s="1"/>
  <c r="N484"/>
  <c r="N678" s="1"/>
  <c r="F214" i="10"/>
  <c r="N210" i="43"/>
  <c r="N169" s="1"/>
  <c r="N271" s="1"/>
  <c r="G238" i="15"/>
  <c r="L237"/>
  <c r="K374" i="42"/>
  <c r="K236" i="15"/>
  <c r="K352"/>
  <c r="N352"/>
  <c r="H209" i="13"/>
  <c r="H422" i="17"/>
  <c r="H435" s="1"/>
  <c r="H536" s="1"/>
  <c r="F703" i="14"/>
  <c r="F688"/>
  <c r="F377" i="24"/>
  <c r="F246"/>
  <c r="H506" i="14"/>
  <c r="H523" s="1"/>
  <c r="J712"/>
  <c r="F711"/>
  <c r="F681"/>
  <c r="F696"/>
  <c r="F504"/>
  <c r="F521" s="1"/>
  <c r="G538" s="1"/>
  <c r="I689"/>
  <c r="I810" s="1"/>
  <c r="I674"/>
  <c r="I704"/>
  <c r="I497"/>
  <c r="I514" s="1"/>
  <c r="H497"/>
  <c r="H514" s="1"/>
  <c r="L655"/>
  <c r="L619"/>
  <c r="L637"/>
  <c r="M529"/>
  <c r="I682"/>
  <c r="I712"/>
  <c r="I505"/>
  <c r="I522" s="1"/>
  <c r="I692"/>
  <c r="J703"/>
  <c r="J673"/>
  <c r="J688"/>
  <c r="J496"/>
  <c r="J513" s="1"/>
  <c r="H692"/>
  <c r="J160" i="43"/>
  <c r="J227" s="1"/>
  <c r="J159"/>
  <c r="J226" s="1"/>
  <c r="J161"/>
  <c r="J228" s="1"/>
  <c r="F697" i="14"/>
  <c r="F682"/>
  <c r="F505"/>
  <c r="F522" s="1"/>
  <c r="G539" s="1"/>
  <c r="F712"/>
  <c r="M678"/>
  <c r="K159" i="43"/>
  <c r="K226" s="1"/>
  <c r="K210"/>
  <c r="K161"/>
  <c r="K228" s="1"/>
  <c r="K160"/>
  <c r="K227" s="1"/>
  <c r="H354" i="17"/>
  <c r="H321"/>
  <c r="H386"/>
  <c r="H597"/>
  <c r="H355"/>
  <c r="H598"/>
  <c r="H387"/>
  <c r="H322"/>
  <c r="L415" i="34"/>
  <c r="L446"/>
  <c r="L428"/>
  <c r="L432" s="1"/>
  <c r="L475"/>
  <c r="H656" i="4"/>
  <c r="I628"/>
  <c r="H1033"/>
  <c r="H1104"/>
  <c r="N155" i="18"/>
  <c r="H167" i="7"/>
  <c r="G170"/>
  <c r="G335" s="1"/>
  <c r="G188"/>
  <c r="G236"/>
  <c r="H326" i="17"/>
  <c r="H359"/>
  <c r="H391"/>
  <c r="H602"/>
  <c r="N686" i="4"/>
  <c r="G505" i="14"/>
  <c r="G522" s="1"/>
  <c r="J144" i="9"/>
  <c r="F683" i="14"/>
  <c r="F506"/>
  <c r="F523" s="1"/>
  <c r="G540" s="1"/>
  <c r="J693"/>
  <c r="J708"/>
  <c r="J501"/>
  <c r="J518" s="1"/>
  <c r="L693"/>
  <c r="L501"/>
  <c r="L518" s="1"/>
  <c r="G294"/>
  <c r="G481" s="1"/>
  <c r="G295"/>
  <c r="G482" s="1"/>
  <c r="J295"/>
  <c r="J482" s="1"/>
  <c r="J294"/>
  <c r="J481" s="1"/>
  <c r="M299"/>
  <c r="M486" s="1"/>
  <c r="M298"/>
  <c r="M485" s="1"/>
  <c r="N208" i="43"/>
  <c r="N207"/>
  <c r="I634" i="4"/>
  <c r="H662"/>
  <c r="H1110"/>
  <c r="H1039"/>
  <c r="M480" i="14"/>
  <c r="M479"/>
  <c r="M472"/>
  <c r="K208" i="43"/>
  <c r="K207"/>
  <c r="H394" i="17"/>
  <c r="H605"/>
  <c r="H329"/>
  <c r="H362"/>
  <c r="G415" i="34"/>
  <c r="G446"/>
  <c r="G428"/>
  <c r="G432" s="1"/>
  <c r="G475"/>
  <c r="J320" i="14"/>
  <c r="J329"/>
  <c r="I697" s="1"/>
  <c r="N329"/>
  <c r="N320"/>
  <c r="I638" i="4"/>
  <c r="H666"/>
  <c r="H1114"/>
  <c r="H1043"/>
  <c r="I207" i="43"/>
  <c r="I208"/>
  <c r="F613" i="17"/>
  <c r="F611"/>
  <c r="F609"/>
  <c r="F614"/>
  <c r="F610"/>
  <c r="F616"/>
  <c r="F617"/>
  <c r="F615"/>
  <c r="F606"/>
  <c r="F612"/>
  <c r="J704" i="14"/>
  <c r="N399" i="17"/>
  <c r="N627"/>
  <c r="N568"/>
  <c r="N402"/>
  <c r="N395"/>
  <c r="N566"/>
  <c r="N675" i="4"/>
  <c r="H658"/>
  <c r="I630"/>
  <c r="H1106"/>
  <c r="H1035"/>
  <c r="J707" i="14"/>
  <c r="J677"/>
  <c r="J692"/>
  <c r="J500"/>
  <c r="J517" s="1"/>
  <c r="H319" i="17"/>
  <c r="H352"/>
  <c r="H384"/>
  <c r="H595"/>
  <c r="H393"/>
  <c r="H604"/>
  <c r="H328"/>
  <c r="H361"/>
  <c r="H1113" i="4"/>
  <c r="H665"/>
  <c r="I637"/>
  <c r="H1042"/>
  <c r="N299" i="14"/>
  <c r="N486" s="1"/>
  <c r="N298"/>
  <c r="N485" s="1"/>
  <c r="N295"/>
  <c r="N482" s="1"/>
  <c r="N294"/>
  <c r="N481" s="1"/>
  <c r="K703"/>
  <c r="K496"/>
  <c r="K513" s="1"/>
  <c r="H852" i="4"/>
  <c r="H853" s="1"/>
  <c r="H854" s="1"/>
  <c r="I844"/>
  <c r="I713" i="14"/>
  <c r="I698"/>
  <c r="I683"/>
  <c r="I506"/>
  <c r="I523" s="1"/>
  <c r="L334" i="17"/>
  <c r="M415" s="1"/>
  <c r="L415"/>
  <c r="H688" i="14"/>
  <c r="J270" i="13"/>
  <c r="J271"/>
  <c r="J269"/>
  <c r="J268"/>
  <c r="J272"/>
  <c r="M677" i="14"/>
  <c r="M500"/>
  <c r="M517" s="1"/>
  <c r="N632" i="17"/>
  <c r="M415" i="34"/>
  <c r="M446"/>
  <c r="M428"/>
  <c r="M475"/>
  <c r="H446"/>
  <c r="H415"/>
  <c r="H428"/>
  <c r="H432" s="1"/>
  <c r="H475"/>
  <c r="N144" i="9"/>
  <c r="N1049" i="4"/>
  <c r="G179" i="6"/>
  <c r="F677" i="14"/>
  <c r="F692"/>
  <c r="F707"/>
  <c r="F500"/>
  <c r="F517" s="1"/>
  <c r="G534" s="1"/>
  <c r="L711"/>
  <c r="L696"/>
  <c r="L504"/>
  <c r="L521" s="1"/>
  <c r="H394" i="15"/>
  <c r="H386"/>
  <c r="H410"/>
  <c r="H402"/>
  <c r="H320" i="14"/>
  <c r="H329"/>
  <c r="I320"/>
  <c r="I329"/>
  <c r="M254" i="13"/>
  <c r="M274" s="1"/>
  <c r="M256"/>
  <c r="I168" i="43"/>
  <c r="I270" s="1"/>
  <c r="I167"/>
  <c r="I269" s="1"/>
  <c r="I170"/>
  <c r="I272" s="1"/>
  <c r="I169"/>
  <c r="I271" s="1"/>
  <c r="J146" i="9"/>
  <c r="H1107" i="4"/>
  <c r="I631"/>
  <c r="H659"/>
  <c r="H1036"/>
  <c r="I629"/>
  <c r="H1105"/>
  <c r="H1034"/>
  <c r="H657"/>
  <c r="N609" i="17"/>
  <c r="N614"/>
  <c r="G246" i="24"/>
  <c r="H90" i="9"/>
  <c r="G94"/>
  <c r="G135"/>
  <c r="H655" i="4"/>
  <c r="H1103"/>
  <c r="H1032"/>
  <c r="I627"/>
  <c r="N678"/>
  <c r="J155" i="18"/>
  <c r="N185" i="12"/>
  <c r="I635" i="4"/>
  <c r="H1111"/>
  <c r="H663"/>
  <c r="H1040"/>
  <c r="I529" i="14"/>
  <c r="H619"/>
  <c r="L299"/>
  <c r="L486" s="1"/>
  <c r="L298"/>
  <c r="L485" s="1"/>
  <c r="K298"/>
  <c r="K485" s="1"/>
  <c r="K299"/>
  <c r="K486" s="1"/>
  <c r="G704"/>
  <c r="I272" i="13"/>
  <c r="H325" i="17"/>
  <c r="H358"/>
  <c r="H390"/>
  <c r="H601"/>
  <c r="H357"/>
  <c r="M144" i="9"/>
  <c r="M164" i="8"/>
  <c r="J210" i="43"/>
  <c r="J170" s="1"/>
  <c r="J272" s="1"/>
  <c r="F583" i="17"/>
  <c r="K115" i="18"/>
  <c r="I845" i="4"/>
  <c r="N503" i="17"/>
  <c r="I422"/>
  <c r="J619" i="14"/>
  <c r="H488"/>
  <c r="H487"/>
  <c r="H217" i="10"/>
  <c r="N415" i="34"/>
  <c r="N446"/>
  <c r="N428"/>
  <c r="N475"/>
  <c r="H1102" i="4"/>
  <c r="H654"/>
  <c r="H1031"/>
  <c r="I626"/>
  <c r="I118" i="6"/>
  <c r="H122"/>
  <c r="H177"/>
  <c r="H403" i="15"/>
  <c r="H411"/>
  <c r="H387"/>
  <c r="H395"/>
  <c r="K329" i="14"/>
  <c r="K320"/>
  <c r="J681" s="1"/>
  <c r="L329"/>
  <c r="L320"/>
  <c r="H155" i="18"/>
  <c r="K693" i="14"/>
  <c r="N628" i="17"/>
  <c r="J696" i="14"/>
  <c r="J711"/>
  <c r="J504"/>
  <c r="J521" s="1"/>
  <c r="H388" i="17"/>
  <c r="H356"/>
  <c r="H599"/>
  <c r="H323"/>
  <c r="H385"/>
  <c r="H596"/>
  <c r="H320"/>
  <c r="H353"/>
  <c r="N216" i="10"/>
  <c r="N238"/>
  <c r="N214"/>
  <c r="N240"/>
  <c r="N684" i="4"/>
  <c r="G208" i="43"/>
  <c r="G207"/>
  <c r="N685" i="4"/>
  <c r="K689" i="14"/>
  <c r="K810" s="1"/>
  <c r="N655"/>
  <c r="N619"/>
  <c r="N637"/>
  <c r="N505"/>
  <c r="N522" s="1"/>
  <c r="L677"/>
  <c r="I294"/>
  <c r="I481" s="1"/>
  <c r="I295"/>
  <c r="I482" s="1"/>
  <c r="L241" i="10"/>
  <c r="M148" i="9"/>
  <c r="M168" i="8"/>
  <c r="L155" i="18"/>
  <c r="K415" i="34"/>
  <c r="K446"/>
  <c r="K428"/>
  <c r="K432" s="1"/>
  <c r="K475"/>
  <c r="N674" i="4"/>
  <c r="N676"/>
  <c r="G138" i="6"/>
  <c r="F693" i="14"/>
  <c r="F708"/>
  <c r="F678"/>
  <c r="F501"/>
  <c r="F518" s="1"/>
  <c r="G535" s="1"/>
  <c r="H168" i="7"/>
  <c r="G242"/>
  <c r="G203"/>
  <c r="H360" i="17"/>
  <c r="H327"/>
  <c r="F510"/>
  <c r="F515"/>
  <c r="N679" i="4"/>
  <c r="N677"/>
  <c r="J336" i="17"/>
  <c r="J417"/>
  <c r="N630"/>
  <c r="I636" i="4"/>
  <c r="H1112"/>
  <c r="H664"/>
  <c r="H1041"/>
  <c r="F254" i="46"/>
  <c r="I673" i="14"/>
  <c r="I703"/>
  <c r="I496"/>
  <c r="I513" s="1"/>
  <c r="I688"/>
  <c r="M712"/>
  <c r="G673"/>
  <c r="G496"/>
  <c r="G513" s="1"/>
  <c r="H254" i="46"/>
  <c r="F155" i="18"/>
  <c r="J233" i="10"/>
  <c r="N167" i="43"/>
  <c r="N269" s="1"/>
  <c r="M146" i="9"/>
  <c r="N682" i="4"/>
  <c r="M166" i="8"/>
  <c r="K659" i="17"/>
  <c r="K660" s="1"/>
  <c r="I254" i="46"/>
  <c r="I415" i="34"/>
  <c r="I446"/>
  <c r="I428"/>
  <c r="I475"/>
  <c r="J446"/>
  <c r="J415"/>
  <c r="J475"/>
  <c r="J428"/>
  <c r="J432" s="1"/>
  <c r="N146" i="9"/>
  <c r="F294" i="14"/>
  <c r="F481" s="1"/>
  <c r="F295"/>
  <c r="F482" s="1"/>
  <c r="F299"/>
  <c r="F486" s="1"/>
  <c r="F298"/>
  <c r="F485" s="1"/>
  <c r="H358" i="15"/>
  <c r="M320" i="14"/>
  <c r="L681" s="1"/>
  <c r="M329"/>
  <c r="H169" i="7"/>
  <c r="G217"/>
  <c r="G248"/>
  <c r="G865" i="4"/>
  <c r="G881" s="1"/>
  <c r="G869"/>
  <c r="G885" s="1"/>
  <c r="G500" i="14"/>
  <c r="G517" s="1"/>
  <c r="J148" i="9"/>
  <c r="N698" i="14"/>
  <c r="N713"/>
  <c r="N506"/>
  <c r="N523" s="1"/>
  <c r="M698"/>
  <c r="M713"/>
  <c r="M506"/>
  <c r="M523" s="1"/>
  <c r="G170" i="58"/>
  <c r="J335" i="17"/>
  <c r="J416"/>
  <c r="N254" i="46"/>
  <c r="J207" i="43"/>
  <c r="J208"/>
  <c r="N633" i="17"/>
  <c r="H593"/>
  <c r="H382"/>
  <c r="H350"/>
  <c r="H317"/>
  <c r="N265" i="10"/>
  <c r="N192"/>
  <c r="G115" i="9"/>
  <c r="G105"/>
  <c r="G110"/>
  <c r="M155" i="18"/>
  <c r="AZ439" i="47"/>
  <c r="BG397" s="1"/>
  <c r="BH397" s="1"/>
  <c r="BI397" s="1"/>
  <c r="N683" i="4"/>
  <c r="K294" i="14"/>
  <c r="K481" s="1"/>
  <c r="K295"/>
  <c r="K482" s="1"/>
  <c r="J298"/>
  <c r="J485" s="1"/>
  <c r="J299"/>
  <c r="J486" s="1"/>
  <c r="H294"/>
  <c r="H481" s="1"/>
  <c r="H295"/>
  <c r="H482" s="1"/>
  <c r="I298"/>
  <c r="I485" s="1"/>
  <c r="I299"/>
  <c r="I486" s="1"/>
  <c r="L294"/>
  <c r="L481" s="1"/>
  <c r="L295"/>
  <c r="L482" s="1"/>
  <c r="G298"/>
  <c r="G485" s="1"/>
  <c r="G299"/>
  <c r="G486" s="1"/>
  <c r="M295"/>
  <c r="M482" s="1"/>
  <c r="M294"/>
  <c r="M481" s="1"/>
  <c r="H299"/>
  <c r="H486" s="1"/>
  <c r="H298"/>
  <c r="H485" s="1"/>
  <c r="F454" i="17"/>
  <c r="F739" s="1"/>
  <c r="G286" i="13"/>
  <c r="I847" i="4"/>
  <c r="H168" i="43" l="1"/>
  <c r="H270" s="1"/>
  <c r="H169"/>
  <c r="H271" s="1"/>
  <c r="H170"/>
  <c r="H272" s="1"/>
  <c r="G159"/>
  <c r="G226" s="1"/>
  <c r="L87" i="32"/>
  <c r="K87"/>
  <c r="M122" i="18" a="1"/>
  <c r="M122" s="1"/>
  <c r="M166" s="1"/>
  <c r="M120" a="1"/>
  <c r="M121" a="1"/>
  <c r="AZ398" i="47"/>
  <c r="N278" i="24"/>
  <c r="F859" i="4"/>
  <c r="F875" s="1"/>
  <c r="F864"/>
  <c r="F880" s="1"/>
  <c r="F863"/>
  <c r="F879" s="1"/>
  <c r="F857"/>
  <c r="F860"/>
  <c r="F876" s="1"/>
  <c r="F866"/>
  <c r="F882" s="1"/>
  <c r="F858"/>
  <c r="F874" s="1"/>
  <c r="F865"/>
  <c r="F881" s="1"/>
  <c r="F869"/>
  <c r="F885" s="1"/>
  <c r="F861"/>
  <c r="F877" s="1"/>
  <c r="F868"/>
  <c r="F884" s="1"/>
  <c r="F867"/>
  <c r="F883" s="1"/>
  <c r="F862"/>
  <c r="F878" s="1"/>
  <c r="I122" i="18" a="1"/>
  <c r="I122" s="1"/>
  <c r="I166" s="1"/>
  <c r="I120" a="1"/>
  <c r="I120" s="1"/>
  <c r="I164" s="1"/>
  <c r="I121" a="1"/>
  <c r="I121" s="1"/>
  <c r="I165" s="1"/>
  <c r="I154"/>
  <c r="I153"/>
  <c r="J121" a="1"/>
  <c r="J121" s="1"/>
  <c r="J165" s="1"/>
  <c r="J120" a="1"/>
  <c r="J122" a="1"/>
  <c r="G121" a="1"/>
  <c r="G121" s="1"/>
  <c r="G165" s="1"/>
  <c r="G122" a="1"/>
  <c r="G122" s="1"/>
  <c r="G166" s="1"/>
  <c r="G120" a="1"/>
  <c r="M258" i="10"/>
  <c r="M186"/>
  <c r="J179" i="58"/>
  <c r="F128" i="16"/>
  <c r="J178" i="10"/>
  <c r="J249" s="1"/>
  <c r="J223"/>
  <c r="J214"/>
  <c r="J222"/>
  <c r="J215"/>
  <c r="H280" i="7"/>
  <c r="H318" s="1"/>
  <c r="H315"/>
  <c r="F234" i="13"/>
  <c r="I183"/>
  <c r="N183"/>
  <c r="K183"/>
  <c r="J183"/>
  <c r="H183"/>
  <c r="M183"/>
  <c r="M186" s="1"/>
  <c r="L183"/>
  <c r="G183"/>
  <c r="G234" s="1"/>
  <c r="L233"/>
  <c r="I179" i="58"/>
  <c r="I174" i="50"/>
  <c r="I173"/>
  <c r="I124"/>
  <c r="F236" i="13"/>
  <c r="N185"/>
  <c r="J185"/>
  <c r="J236" s="1"/>
  <c r="I185"/>
  <c r="I236" s="1"/>
  <c r="K185"/>
  <c r="K236" s="1"/>
  <c r="L185"/>
  <c r="M185"/>
  <c r="H185"/>
  <c r="H236" s="1"/>
  <c r="G185"/>
  <c r="G236" s="1"/>
  <c r="L68" i="48"/>
  <c r="L66"/>
  <c r="L77" i="57"/>
  <c r="L76"/>
  <c r="L64"/>
  <c r="M271" i="13"/>
  <c r="M268"/>
  <c r="M269"/>
  <c r="M272"/>
  <c r="M270"/>
  <c r="J170" i="58"/>
  <c r="F442" i="34" a="1"/>
  <c r="F442" s="1"/>
  <c r="F556" s="1"/>
  <c r="F443" a="1"/>
  <c r="F443" s="1"/>
  <c r="F557" s="1"/>
  <c r="F536"/>
  <c r="F441" a="1"/>
  <c r="F441" s="1"/>
  <c r="F555" s="1"/>
  <c r="I304" i="24"/>
  <c r="I307"/>
  <c r="N405" i="46"/>
  <c r="N246"/>
  <c r="H119" i="58"/>
  <c r="L118"/>
  <c r="L119" s="1"/>
  <c r="L244" i="46"/>
  <c r="L254" s="1"/>
  <c r="L449"/>
  <c r="L406"/>
  <c r="F116" i="8"/>
  <c r="F117" s="1"/>
  <c r="F120"/>
  <c r="F136" i="16"/>
  <c r="F114"/>
  <c r="N170" i="58"/>
  <c r="AZ459" i="47"/>
  <c r="BG386" s="1"/>
  <c r="BH386" s="1"/>
  <c r="BI386" s="1"/>
  <c r="F280" i="7"/>
  <c r="F318" s="1"/>
  <c r="F315"/>
  <c r="F167" i="6"/>
  <c r="F166"/>
  <c r="N68" i="48"/>
  <c r="N66"/>
  <c r="K136" i="16"/>
  <c r="K114"/>
  <c r="F1121" i="4"/>
  <c r="F1126"/>
  <c r="F1120"/>
  <c r="F1118"/>
  <c r="F1123"/>
  <c r="F1124"/>
  <c r="F1122"/>
  <c r="F1119"/>
  <c r="F1125"/>
  <c r="F1115"/>
  <c r="N268" i="13"/>
  <c r="N269"/>
  <c r="N271"/>
  <c r="N272"/>
  <c r="N270"/>
  <c r="N111" i="18"/>
  <c r="N115" s="1"/>
  <c r="N129"/>
  <c r="N70" i="32"/>
  <c r="N83"/>
  <c r="N86" s="1"/>
  <c r="N87" s="1"/>
  <c r="M394" i="15"/>
  <c r="M410"/>
  <c r="G508" i="17"/>
  <c r="G638"/>
  <c r="G654" s="1"/>
  <c r="J307" i="24"/>
  <c r="J304"/>
  <c r="J237"/>
  <c r="J239" s="1"/>
  <c r="J338" s="1"/>
  <c r="J236"/>
  <c r="M230" i="10"/>
  <c r="M232"/>
  <c r="F169" i="6"/>
  <c r="F54" i="47"/>
  <c r="F296"/>
  <c r="N233" i="13"/>
  <c r="G233"/>
  <c r="F170" i="58"/>
  <c r="I216" i="10"/>
  <c r="I230"/>
  <c r="I214"/>
  <c r="I217" s="1"/>
  <c r="I232"/>
  <c r="I168" i="58"/>
  <c r="I169"/>
  <c r="M278" i="24"/>
  <c r="F195" i="13"/>
  <c r="F194"/>
  <c r="F191"/>
  <c r="K69"/>
  <c r="F193"/>
  <c r="F192"/>
  <c r="K66"/>
  <c r="K68"/>
  <c r="L233" i="10"/>
  <c r="L389" i="42"/>
  <c r="L390" s="1"/>
  <c r="L436"/>
  <c r="F144" i="55"/>
  <c r="D54"/>
  <c r="F146" s="1"/>
  <c r="M179" i="10"/>
  <c r="H251"/>
  <c r="G1129" i="4"/>
  <c r="G1283" s="1"/>
  <c r="G1127"/>
  <c r="K270" i="13"/>
  <c r="K271"/>
  <c r="K269"/>
  <c r="K268"/>
  <c r="K272"/>
  <c r="M409" i="15"/>
  <c r="M401"/>
  <c r="M385"/>
  <c r="M393"/>
  <c r="M396" s="1"/>
  <c r="I358"/>
  <c r="I361" s="1"/>
  <c r="F537" i="34"/>
  <c r="F462"/>
  <c r="H304" i="24"/>
  <c r="H307"/>
  <c r="H168" i="58"/>
  <c r="H169"/>
  <c r="J455" i="34"/>
  <c r="J457" s="1"/>
  <c r="J560" s="1"/>
  <c r="N455"/>
  <c r="G210" i="43"/>
  <c r="G216" s="1"/>
  <c r="G161"/>
  <c r="G228" s="1"/>
  <c r="L177" i="13"/>
  <c r="K379" i="42"/>
  <c r="M412" i="15"/>
  <c r="N457" i="34"/>
  <c r="N560" s="1"/>
  <c r="G857" i="4"/>
  <c r="G858"/>
  <c r="G874" s="1"/>
  <c r="G866"/>
  <c r="G882" s="1"/>
  <c r="I504" i="14"/>
  <c r="I521" s="1"/>
  <c r="I628" s="1"/>
  <c r="F704"/>
  <c r="F154" i="18"/>
  <c r="L692" i="14"/>
  <c r="K497"/>
  <c r="K514" s="1"/>
  <c r="L531" s="1"/>
  <c r="K501"/>
  <c r="K518" s="1"/>
  <c r="K661" s="1"/>
  <c r="I430" i="17"/>
  <c r="I443" s="1"/>
  <c r="G497" i="14"/>
  <c r="G514" s="1"/>
  <c r="N372" i="17"/>
  <c r="N453" s="1"/>
  <c r="N738" s="1"/>
  <c r="N363"/>
  <c r="I393" i="42"/>
  <c r="I546" s="1"/>
  <c r="G563" i="17"/>
  <c r="G570"/>
  <c r="I387" i="15"/>
  <c r="H438" i="42"/>
  <c r="H436"/>
  <c r="H114" i="16"/>
  <c r="G703" i="4"/>
  <c r="G705" s="1"/>
  <c r="M158" i="12" a="1"/>
  <c r="K457" i="34"/>
  <c r="K560" s="1"/>
  <c r="G233" i="10"/>
  <c r="M436" i="42"/>
  <c r="J158" i="12" a="1"/>
  <c r="N696" i="14"/>
  <c r="M655"/>
  <c r="M683"/>
  <c r="M720" s="1"/>
  <c r="G859" i="4"/>
  <c r="G875" s="1"/>
  <c r="G864"/>
  <c r="G880" s="1"/>
  <c r="G860"/>
  <c r="G876" s="1"/>
  <c r="G867"/>
  <c r="G883" s="1"/>
  <c r="F674" i="14"/>
  <c r="G688"/>
  <c r="G501"/>
  <c r="G518" s="1"/>
  <c r="G643" s="1"/>
  <c r="F518" i="17"/>
  <c r="F722" s="1"/>
  <c r="F521"/>
  <c r="F725" s="1"/>
  <c r="H392"/>
  <c r="L500" i="14"/>
  <c r="L517" s="1"/>
  <c r="L624" s="1"/>
  <c r="K708"/>
  <c r="K529"/>
  <c r="H389" i="17"/>
  <c r="I271" i="13"/>
  <c r="I270"/>
  <c r="G674" i="14"/>
  <c r="N373" i="17"/>
  <c r="N541"/>
  <c r="N546"/>
  <c r="N612"/>
  <c r="N637"/>
  <c r="I681" i="14"/>
  <c r="I923" s="1"/>
  <c r="G713"/>
  <c r="F698"/>
  <c r="F720" s="1"/>
  <c r="G712"/>
  <c r="M501"/>
  <c r="M518" s="1"/>
  <c r="M643" s="1"/>
  <c r="I500"/>
  <c r="I517" s="1"/>
  <c r="J682"/>
  <c r="F496"/>
  <c r="F513" s="1"/>
  <c r="G530" s="1"/>
  <c r="I425" i="17"/>
  <c r="I438" s="1"/>
  <c r="H87" i="30"/>
  <c r="F374" i="42"/>
  <c r="F379" s="1"/>
  <c r="K76" i="57"/>
  <c r="K78" s="1"/>
  <c r="M387" i="15"/>
  <c r="N393"/>
  <c r="J379" i="42"/>
  <c r="J545" s="1"/>
  <c r="I411" i="15"/>
  <c r="F328" i="13"/>
  <c r="F474" s="1"/>
  <c r="N76" i="57"/>
  <c r="G393" i="15"/>
  <c r="M392" i="34"/>
  <c r="M393" s="1"/>
  <c r="M180" i="10"/>
  <c r="I429" i="17"/>
  <c r="N179" i="10"/>
  <c r="N180" s="1"/>
  <c r="F579" i="17"/>
  <c r="G400"/>
  <c r="G449" s="1"/>
  <c r="G734" s="1"/>
  <c r="I395" i="15"/>
  <c r="M386"/>
  <c r="G401" i="17"/>
  <c r="I376" i="42"/>
  <c r="I380" s="1"/>
  <c r="I544" s="1"/>
  <c r="G405" i="17"/>
  <c r="G568"/>
  <c r="G402"/>
  <c r="G451" s="1"/>
  <c r="G736" s="1"/>
  <c r="F640"/>
  <c r="F641" s="1"/>
  <c r="F558"/>
  <c r="G569"/>
  <c r="F408"/>
  <c r="I436" i="42"/>
  <c r="G554" i="17"/>
  <c r="F449"/>
  <c r="F734" s="1"/>
  <c r="F82" i="59"/>
  <c r="F582" i="17"/>
  <c r="G556"/>
  <c r="H317" i="7"/>
  <c r="H233" i="10"/>
  <c r="I454" i="34"/>
  <c r="I457" s="1"/>
  <c r="I560" s="1"/>
  <c r="N114" i="16"/>
  <c r="K172"/>
  <c r="N91" i="18"/>
  <c r="M156" i="12" a="1"/>
  <c r="L156" a="1"/>
  <c r="L156" s="1"/>
  <c r="L193" s="1"/>
  <c r="L196" s="1"/>
  <c r="M438" i="42"/>
  <c r="J156" i="12" a="1"/>
  <c r="J156" s="1"/>
  <c r="J193" s="1"/>
  <c r="G632" i="17"/>
  <c r="G648" s="1"/>
  <c r="G502"/>
  <c r="F121" i="18" a="1"/>
  <c r="F121" s="1"/>
  <c r="F165" s="1"/>
  <c r="F122" a="1"/>
  <c r="F122" s="1"/>
  <c r="F166" s="1"/>
  <c r="F120" a="1"/>
  <c r="F120" s="1"/>
  <c r="F164" s="1"/>
  <c r="F258" i="13"/>
  <c r="F254"/>
  <c r="F274" s="1"/>
  <c r="F256"/>
  <c r="F237"/>
  <c r="J66" i="48"/>
  <c r="J68"/>
  <c r="K68"/>
  <c r="K66"/>
  <c r="K128" i="16"/>
  <c r="L113" i="58"/>
  <c r="L114" s="1"/>
  <c r="H114"/>
  <c r="I114" i="16"/>
  <c r="I136"/>
  <c r="K121" i="18" a="1"/>
  <c r="K121" s="1"/>
  <c r="K165" s="1"/>
  <c r="K122" a="1"/>
  <c r="K120" a="1"/>
  <c r="H115" i="9"/>
  <c r="H144" s="1"/>
  <c r="H105"/>
  <c r="H148" s="1"/>
  <c r="H110"/>
  <c r="H146" s="1"/>
  <c r="G157" i="12" a="1"/>
  <c r="G157" s="1"/>
  <c r="G194" s="1"/>
  <c r="G158" a="1"/>
  <c r="G158" s="1"/>
  <c r="G195" s="1"/>
  <c r="G156" a="1"/>
  <c r="G156" s="1"/>
  <c r="G193" s="1"/>
  <c r="F210" i="7"/>
  <c r="F306" s="1"/>
  <c r="F305"/>
  <c r="K233" i="13"/>
  <c r="N118" i="58"/>
  <c r="N119" s="1"/>
  <c r="J119"/>
  <c r="L170"/>
  <c r="I68" i="48"/>
  <c r="I66"/>
  <c r="M66"/>
  <c r="M68"/>
  <c r="G449" i="46"/>
  <c r="G406"/>
  <c r="G244"/>
  <c r="G254" s="1"/>
  <c r="F96" i="9"/>
  <c r="F97" s="1"/>
  <c r="F100"/>
  <c r="L154" i="18"/>
  <c r="L121" a="1"/>
  <c r="L121" s="1"/>
  <c r="L165" s="1"/>
  <c r="L120" a="1"/>
  <c r="L120" s="1"/>
  <c r="L164" s="1"/>
  <c r="L122" a="1"/>
  <c r="L110" i="9"/>
  <c r="L146" s="1"/>
  <c r="L105"/>
  <c r="L148" s="1"/>
  <c r="L115"/>
  <c r="L144" s="1"/>
  <c r="G507" i="17"/>
  <c r="G637"/>
  <c r="G653" s="1"/>
  <c r="J371" i="24"/>
  <c r="N113" i="58"/>
  <c r="N114" s="1"/>
  <c r="N122" s="1"/>
  <c r="J114"/>
  <c r="F454" i="34"/>
  <c r="F306"/>
  <c r="K105" i="9"/>
  <c r="K148" s="1"/>
  <c r="K115"/>
  <c r="K144" s="1"/>
  <c r="K110"/>
  <c r="K146" s="1"/>
  <c r="G315" i="7"/>
  <c r="G280"/>
  <c r="G318" s="1"/>
  <c r="J254" i="13"/>
  <c r="J274" s="1"/>
  <c r="J256"/>
  <c r="J257"/>
  <c r="J258"/>
  <c r="J255"/>
  <c r="H122" i="18" a="1"/>
  <c r="H122" s="1"/>
  <c r="H166" s="1"/>
  <c r="H120" a="1"/>
  <c r="H120" s="1"/>
  <c r="H164" s="1"/>
  <c r="H121" a="1"/>
  <c r="H121" s="1"/>
  <c r="H165" s="1"/>
  <c r="N185" i="10"/>
  <c r="N186" s="1"/>
  <c r="J186"/>
  <c r="I258"/>
  <c r="I186"/>
  <c r="M118" i="58"/>
  <c r="M119" s="1"/>
  <c r="I119"/>
  <c r="H66" i="48"/>
  <c r="H68"/>
  <c r="G66"/>
  <c r="G68"/>
  <c r="I71" i="52"/>
  <c r="I101"/>
  <c r="I73"/>
  <c r="J74" s="1"/>
  <c r="I102"/>
  <c r="G436" i="42"/>
  <c r="G389"/>
  <c r="G390" s="1"/>
  <c r="L268" i="13"/>
  <c r="L271"/>
  <c r="L269"/>
  <c r="L272"/>
  <c r="L270"/>
  <c r="F270"/>
  <c r="F272"/>
  <c r="F463" i="34"/>
  <c r="F538"/>
  <c r="F464"/>
  <c r="F539"/>
  <c r="H179" i="58"/>
  <c r="I78" i="57"/>
  <c r="H600" i="17"/>
  <c r="N693" i="14"/>
  <c r="M432" i="34"/>
  <c r="M433" s="1"/>
  <c r="M681" i="14"/>
  <c r="I707"/>
  <c r="I418" i="17"/>
  <c r="M403" i="15"/>
  <c r="I428" i="17"/>
  <c r="N507"/>
  <c r="I386" i="15"/>
  <c r="G395" i="17"/>
  <c r="G454"/>
  <c r="G739" s="1"/>
  <c r="G406"/>
  <c r="G1056" i="4"/>
  <c r="F186" i="13"/>
  <c r="I427" i="17"/>
  <c r="I440" s="1"/>
  <c r="G862" i="4"/>
  <c r="G878" s="1"/>
  <c r="G863"/>
  <c r="G879" s="1"/>
  <c r="F522" i="17"/>
  <c r="F726" s="1"/>
  <c r="F517"/>
  <c r="F721" s="1"/>
  <c r="K698" i="14"/>
  <c r="I424" i="17"/>
  <c r="I437" s="1"/>
  <c r="N371"/>
  <c r="N547"/>
  <c r="N559" s="1"/>
  <c r="G697" i="14"/>
  <c r="J683"/>
  <c r="G506"/>
  <c r="G523" s="1"/>
  <c r="H540" s="1"/>
  <c r="H557" s="1"/>
  <c r="M696"/>
  <c r="F207" i="43"/>
  <c r="F216" s="1"/>
  <c r="J320" i="13"/>
  <c r="G307"/>
  <c r="G457" s="1"/>
  <c r="I87" i="32"/>
  <c r="N411" i="15"/>
  <c r="N412" s="1"/>
  <c r="J358"/>
  <c r="J361" s="1"/>
  <c r="J180" i="10"/>
  <c r="G183" i="12"/>
  <c r="I185"/>
  <c r="G548" i="17"/>
  <c r="F376"/>
  <c r="G407"/>
  <c r="J450" i="42"/>
  <c r="F453" i="17"/>
  <c r="F738" s="1"/>
  <c r="G566"/>
  <c r="J436" i="42"/>
  <c r="N610" i="17"/>
  <c r="N542"/>
  <c r="G553"/>
  <c r="G403"/>
  <c r="G452" s="1"/>
  <c r="G737" s="1"/>
  <c r="G687" i="4"/>
  <c r="K65" i="13"/>
  <c r="F1056" i="4"/>
  <c r="H156" i="12"/>
  <c r="H193" s="1"/>
  <c r="I212" i="24"/>
  <c r="I219" s="1"/>
  <c r="G565" i="17"/>
  <c r="F455" i="34"/>
  <c r="L158" i="12" a="1"/>
  <c r="L158" s="1"/>
  <c r="L195" s="1"/>
  <c r="H182"/>
  <c r="H87" i="32"/>
  <c r="F559" i="42"/>
  <c r="F567"/>
  <c r="I410" i="15"/>
  <c r="I394"/>
  <c r="F196" i="12"/>
  <c r="M682" i="14"/>
  <c r="I693"/>
  <c r="H703"/>
  <c r="N567" i="17"/>
  <c r="N563"/>
  <c r="N575" s="1"/>
  <c r="F387" i="15"/>
  <c r="F551" i="17"/>
  <c r="G696" i="14"/>
  <c r="G755" s="1"/>
  <c r="L153" i="18"/>
  <c r="L156" s="1"/>
  <c r="M697" i="14"/>
  <c r="J169" i="43"/>
  <c r="J271" s="1"/>
  <c r="I546" i="14"/>
  <c r="N369" i="17"/>
  <c r="N374"/>
  <c r="N545"/>
  <c r="N544"/>
  <c r="N556" s="1"/>
  <c r="N540"/>
  <c r="I708" i="14"/>
  <c r="N615" i="17"/>
  <c r="N606"/>
  <c r="N616"/>
  <c r="G681" i="14"/>
  <c r="H496"/>
  <c r="H513" s="1"/>
  <c r="H638" s="1"/>
  <c r="N570" i="17"/>
  <c r="N569"/>
  <c r="N404"/>
  <c r="N406"/>
  <c r="N565"/>
  <c r="J689" i="14"/>
  <c r="J810" s="1"/>
  <c r="G546"/>
  <c r="G601" s="1"/>
  <c r="L708"/>
  <c r="H500"/>
  <c r="H517" s="1"/>
  <c r="K505"/>
  <c r="K522" s="1"/>
  <c r="K629" s="1"/>
  <c r="F403" i="15"/>
  <c r="F404" s="1"/>
  <c r="I567" i="42"/>
  <c r="G293" i="13"/>
  <c r="G455" s="1"/>
  <c r="I388" i="15"/>
  <c r="F576" i="17"/>
  <c r="I401" i="15"/>
  <c r="I404" s="1"/>
  <c r="I393"/>
  <c r="I409"/>
  <c r="L122" i="18"/>
  <c r="L166" s="1"/>
  <c r="F185" i="12"/>
  <c r="N405" i="17"/>
  <c r="N403"/>
  <c r="J497" i="14"/>
  <c r="J514" s="1"/>
  <c r="J657" s="1"/>
  <c r="L505"/>
  <c r="L522" s="1"/>
  <c r="I559" i="42"/>
  <c r="N636" i="17"/>
  <c r="L567" i="42"/>
  <c r="F335" i="13"/>
  <c r="F475" s="1"/>
  <c r="G551" i="17"/>
  <c r="F456"/>
  <c r="J529" i="14"/>
  <c r="J546" s="1"/>
  <c r="J563" s="1"/>
  <c r="K546"/>
  <c r="K582" s="1"/>
  <c r="N367" i="17"/>
  <c r="N448" s="1"/>
  <c r="N368"/>
  <c r="N375"/>
  <c r="N456" s="1"/>
  <c r="N613"/>
  <c r="N611"/>
  <c r="N401"/>
  <c r="N564"/>
  <c r="N571"/>
  <c r="N583" s="1"/>
  <c r="N400"/>
  <c r="H689" i="14"/>
  <c r="H810" s="1"/>
  <c r="H693"/>
  <c r="K619"/>
  <c r="F321" i="13"/>
  <c r="F473" s="1"/>
  <c r="J567" i="42"/>
  <c r="G567"/>
  <c r="I196" i="12"/>
  <c r="N1052" i="4"/>
  <c r="E82" i="59"/>
  <c r="G376" i="17"/>
  <c r="G580"/>
  <c r="F451"/>
  <c r="F736" s="1"/>
  <c r="F708" s="1"/>
  <c r="H677" i="14"/>
  <c r="H450" i="42"/>
  <c r="H379"/>
  <c r="H545" s="1"/>
  <c r="H393"/>
  <c r="H546" s="1"/>
  <c r="M379"/>
  <c r="M545" s="1"/>
  <c r="J438"/>
  <c r="J393"/>
  <c r="J546" s="1"/>
  <c r="K438"/>
  <c r="K393"/>
  <c r="K546" s="1"/>
  <c r="G450"/>
  <c r="K450"/>
  <c r="F450"/>
  <c r="I450"/>
  <c r="L450"/>
  <c r="N450"/>
  <c r="G457"/>
  <c r="G575" s="1"/>
  <c r="G354"/>
  <c r="G374" s="1"/>
  <c r="G355"/>
  <c r="G375" s="1"/>
  <c r="G357"/>
  <c r="G356"/>
  <c r="G376" s="1"/>
  <c r="G380" s="1"/>
  <c r="G544" s="1"/>
  <c r="N559"/>
  <c r="N567"/>
  <c r="F217" i="10"/>
  <c r="M158" i="12"/>
  <c r="M195" s="1"/>
  <c r="M157"/>
  <c r="M194" s="1"/>
  <c r="M184"/>
  <c r="M182"/>
  <c r="M156"/>
  <c r="M193" s="1"/>
  <c r="J184"/>
  <c r="J158"/>
  <c r="J195" s="1"/>
  <c r="M146"/>
  <c r="N151" s="1"/>
  <c r="G612" i="17"/>
  <c r="G615"/>
  <c r="G609"/>
  <c r="G606"/>
  <c r="G613"/>
  <c r="G614"/>
  <c r="G616"/>
  <c r="G611"/>
  <c r="G610"/>
  <c r="G617"/>
  <c r="K146" i="12"/>
  <c r="L151" s="1"/>
  <c r="N681" i="14"/>
  <c r="M546"/>
  <c r="M582" s="1"/>
  <c r="L506"/>
  <c r="L523" s="1"/>
  <c r="H698"/>
  <c r="L167" i="43"/>
  <c r="L269" s="1"/>
  <c r="F578" i="17"/>
  <c r="L497" i="14"/>
  <c r="L514" s="1"/>
  <c r="N504"/>
  <c r="N521" s="1"/>
  <c r="N646" s="1"/>
  <c r="M619"/>
  <c r="G707"/>
  <c r="H361" i="15"/>
  <c r="G693" i="14"/>
  <c r="K674"/>
  <c r="K683"/>
  <c r="K933" s="1"/>
  <c r="K681"/>
  <c r="K921" s="1"/>
  <c r="F580" i="17"/>
  <c r="J698" i="14"/>
  <c r="N703"/>
  <c r="N580" i="17"/>
  <c r="G683" i="14"/>
  <c r="G720" s="1"/>
  <c r="M504"/>
  <c r="M521" s="1"/>
  <c r="H704"/>
  <c r="L683"/>
  <c r="H713"/>
  <c r="K711"/>
  <c r="J313" i="13"/>
  <c r="K677" i="14"/>
  <c r="L170" i="43"/>
  <c r="L272" s="1"/>
  <c r="N387" i="15"/>
  <c r="G385"/>
  <c r="G678" i="14"/>
  <c r="N1126" i="4"/>
  <c r="N1044"/>
  <c r="F557" i="17"/>
  <c r="M151" i="12"/>
  <c r="K182"/>
  <c r="K158"/>
  <c r="K195" s="1"/>
  <c r="K156"/>
  <c r="K193" s="1"/>
  <c r="K184"/>
  <c r="K157"/>
  <c r="K194" s="1"/>
  <c r="F431" i="17"/>
  <c r="F435"/>
  <c r="G555"/>
  <c r="K713" i="14"/>
  <c r="N442" i="17"/>
  <c r="N688" i="14"/>
  <c r="G431" i="17"/>
  <c r="F548"/>
  <c r="J334" i="13"/>
  <c r="G651" i="17"/>
  <c r="J182" i="12"/>
  <c r="J157"/>
  <c r="J194" s="1"/>
  <c r="G557" i="17"/>
  <c r="L674" i="14"/>
  <c r="N692"/>
  <c r="F554" i="17"/>
  <c r="K707" i="14"/>
  <c r="J327" i="13"/>
  <c r="F314"/>
  <c r="F472" s="1"/>
  <c r="J139" i="16"/>
  <c r="G640" i="17"/>
  <c r="N175" i="50"/>
  <c r="N1125" i="4"/>
  <c r="N1053"/>
  <c r="M216" i="43"/>
  <c r="N170"/>
  <c r="N272" s="1"/>
  <c r="I728" i="4"/>
  <c r="I736" s="1"/>
  <c r="G736"/>
  <c r="M225" i="10"/>
  <c r="L726" i="4"/>
  <c r="L734" s="1"/>
  <c r="J727"/>
  <c r="J735" s="1"/>
  <c r="H735"/>
  <c r="L646"/>
  <c r="J646"/>
  <c r="I646"/>
  <c r="H646"/>
  <c r="K646"/>
  <c r="M646"/>
  <c r="L728"/>
  <c r="L736" s="1"/>
  <c r="N578" i="17"/>
  <c r="L703" i="14"/>
  <c r="I655"/>
  <c r="N1123" i="4"/>
  <c r="N1048"/>
  <c r="N1047"/>
  <c r="K655" i="14"/>
  <c r="L496"/>
  <c r="L513" s="1"/>
  <c r="L620" s="1"/>
  <c r="I619"/>
  <c r="J847" i="4"/>
  <c r="L689" i="14"/>
  <c r="L810" s="1"/>
  <c r="M637"/>
  <c r="L697"/>
  <c r="L755" s="1"/>
  <c r="N168" i="43"/>
  <c r="N270" s="1"/>
  <c r="N677" i="14"/>
  <c r="N1121" i="4"/>
  <c r="N1124"/>
  <c r="N682" i="14"/>
  <c r="N924" s="1"/>
  <c r="H655"/>
  <c r="N1055" i="4"/>
  <c r="N1051"/>
  <c r="M692" i="14"/>
  <c r="K500"/>
  <c r="K517" s="1"/>
  <c r="K642" s="1"/>
  <c r="L682"/>
  <c r="L754" s="1"/>
  <c r="H678"/>
  <c r="K682"/>
  <c r="K637"/>
  <c r="K320" i="13"/>
  <c r="M726" i="4"/>
  <c r="M734" s="1"/>
  <c r="K734"/>
  <c r="N727"/>
  <c r="N735" s="1"/>
  <c r="K735"/>
  <c r="M727"/>
  <c r="M735" s="1"/>
  <c r="H1038"/>
  <c r="H1109"/>
  <c r="I633"/>
  <c r="H661"/>
  <c r="G734"/>
  <c r="I726"/>
  <c r="N726"/>
  <c r="L727"/>
  <c r="L735" s="1"/>
  <c r="H660"/>
  <c r="H1037"/>
  <c r="H1108"/>
  <c r="H1118" s="1"/>
  <c r="I632"/>
  <c r="J728"/>
  <c r="J736" s="1"/>
  <c r="H736"/>
  <c r="I225" i="10"/>
  <c r="P644" i="4"/>
  <c r="N647"/>
  <c r="J726"/>
  <c r="J734" s="1"/>
  <c r="H734"/>
  <c r="J645"/>
  <c r="K645"/>
  <c r="H645"/>
  <c r="M645"/>
  <c r="L645"/>
  <c r="I645"/>
  <c r="G735"/>
  <c r="I727"/>
  <c r="I735" s="1"/>
  <c r="N728"/>
  <c r="N736" s="1"/>
  <c r="K728"/>
  <c r="K736" s="1"/>
  <c r="H442" i="17"/>
  <c r="H444" s="1"/>
  <c r="N1120" i="4"/>
  <c r="N1115"/>
  <c r="N431" i="17"/>
  <c r="N1054" i="4"/>
  <c r="M736"/>
  <c r="N1118"/>
  <c r="K697" i="14"/>
  <c r="H639" i="4"/>
  <c r="N454" i="17"/>
  <c r="N739" s="1"/>
  <c r="N553"/>
  <c r="N558"/>
  <c r="N1050" i="4"/>
  <c r="J404" i="15"/>
  <c r="K377" i="24"/>
  <c r="L377"/>
  <c r="M219"/>
  <c r="M377" s="1"/>
  <c r="N219"/>
  <c r="N246" s="1"/>
  <c r="G116" i="8"/>
  <c r="G117" s="1"/>
  <c r="G144" s="1"/>
  <c r="K79" i="33"/>
  <c r="K81" s="1"/>
  <c r="N80"/>
  <c r="N81" s="1"/>
  <c r="I115"/>
  <c r="I104"/>
  <c r="I103"/>
  <c r="M105"/>
  <c r="K175" i="50"/>
  <c r="L121"/>
  <c r="K121"/>
  <c r="J111" i="32"/>
  <c r="M121" i="50"/>
  <c r="M175"/>
  <c r="N121"/>
  <c r="G175"/>
  <c r="G121"/>
  <c r="F105" i="33"/>
  <c r="F79" i="32"/>
  <c r="F119"/>
  <c r="F78"/>
  <c r="F175" i="50"/>
  <c r="H121"/>
  <c r="H175"/>
  <c r="F109" i="32"/>
  <c r="F110"/>
  <c r="I121" i="50"/>
  <c r="I545" i="34"/>
  <c r="H559" i="42"/>
  <c r="H567"/>
  <c r="L545"/>
  <c r="G387" i="15"/>
  <c r="G395"/>
  <c r="G411"/>
  <c r="G403"/>
  <c r="L76" i="52"/>
  <c r="L74"/>
  <c r="L114"/>
  <c r="L353" i="15"/>
  <c r="L358"/>
  <c r="L361" s="1"/>
  <c r="K217" i="10"/>
  <c r="G119" i="32"/>
  <c r="G78"/>
  <c r="G79"/>
  <c r="F353" i="15"/>
  <c r="L115" i="33"/>
  <c r="M79"/>
  <c r="L79"/>
  <c r="L110" i="32"/>
  <c r="L109"/>
  <c r="K401" i="15"/>
  <c r="K385"/>
  <c r="K393"/>
  <c r="K409"/>
  <c r="L402"/>
  <c r="L410"/>
  <c r="L386"/>
  <c r="L394"/>
  <c r="L387"/>
  <c r="L411"/>
  <c r="L395"/>
  <c r="L403"/>
  <c r="F170" i="43"/>
  <c r="F272" s="1"/>
  <c r="I113" i="30"/>
  <c r="I110" i="32"/>
  <c r="I109"/>
  <c r="F241" i="10"/>
  <c r="N114" i="52"/>
  <c r="N74"/>
  <c r="N76"/>
  <c r="K545" i="42"/>
  <c r="G394" i="15"/>
  <c r="G402"/>
  <c r="G410"/>
  <c r="G386"/>
  <c r="H541" i="34"/>
  <c r="H545"/>
  <c r="K104" i="52"/>
  <c r="K103"/>
  <c r="G113" i="30"/>
  <c r="J113"/>
  <c r="H116" i="8"/>
  <c r="H117" s="1"/>
  <c r="H120"/>
  <c r="N104" i="52"/>
  <c r="N103"/>
  <c r="I327" i="13"/>
  <c r="I313"/>
  <c r="I320"/>
  <c r="I334"/>
  <c r="I299"/>
  <c r="I285"/>
  <c r="I306"/>
  <c r="I292"/>
  <c r="G406" i="34"/>
  <c r="G409" s="1"/>
  <c r="G364"/>
  <c r="G411" s="1"/>
  <c r="G413" s="1"/>
  <c r="H363"/>
  <c r="M114" i="52"/>
  <c r="M76"/>
  <c r="M74"/>
  <c r="F113" i="30"/>
  <c r="J78" i="57"/>
  <c r="G110" i="32"/>
  <c r="G109"/>
  <c r="J103" i="52"/>
  <c r="J104"/>
  <c r="G115" i="33"/>
  <c r="G79"/>
  <c r="G81" s="1"/>
  <c r="L80"/>
  <c r="M113" i="30"/>
  <c r="L119" i="32"/>
  <c r="L79"/>
  <c r="L78"/>
  <c r="N541" i="34"/>
  <c r="AZ376" i="47"/>
  <c r="N545" i="34"/>
  <c r="N704" i="14"/>
  <c r="J396" i="15"/>
  <c r="L688" i="14"/>
  <c r="N497"/>
  <c r="N514" s="1"/>
  <c r="N657" s="1"/>
  <c r="N500"/>
  <c r="N517" s="1"/>
  <c r="N642" s="1"/>
  <c r="N501"/>
  <c r="N518" s="1"/>
  <c r="G241" i="10"/>
  <c r="F167" i="43"/>
  <c r="F269" s="1"/>
  <c r="J412" i="15"/>
  <c r="G225" i="10"/>
  <c r="K334" i="13"/>
  <c r="H297"/>
  <c r="H300" s="1"/>
  <c r="H456" s="1"/>
  <c r="H304"/>
  <c r="H307" s="1"/>
  <c r="H457" s="1"/>
  <c r="H290"/>
  <c r="H293" s="1"/>
  <c r="H455" s="1"/>
  <c r="H283"/>
  <c r="H286" s="1"/>
  <c r="F546" i="34"/>
  <c r="F543"/>
  <c r="F103" i="52"/>
  <c r="F104"/>
  <c r="L541" i="34"/>
  <c r="L545"/>
  <c r="N353" i="15"/>
  <c r="N358"/>
  <c r="N361" s="1"/>
  <c r="K541" i="34"/>
  <c r="K545"/>
  <c r="G114" i="52"/>
  <c r="G76"/>
  <c r="G74"/>
  <c r="L113" i="30"/>
  <c r="J104" i="33"/>
  <c r="J103"/>
  <c r="I234" i="13"/>
  <c r="J175"/>
  <c r="I209"/>
  <c r="F229" i="43"/>
  <c r="AZ388" i="47"/>
  <c r="K443" i="42"/>
  <c r="J441"/>
  <c r="K442" s="1"/>
  <c r="K241" i="10"/>
  <c r="H79" i="33"/>
  <c r="H81" s="1"/>
  <c r="I79"/>
  <c r="I81" s="1"/>
  <c r="H115"/>
  <c r="M80"/>
  <c r="G103"/>
  <c r="G104"/>
  <c r="N229" i="43"/>
  <c r="K386" i="15"/>
  <c r="K394"/>
  <c r="K402"/>
  <c r="K410"/>
  <c r="K353"/>
  <c r="K358"/>
  <c r="K361" s="1"/>
  <c r="I114" i="8"/>
  <c r="I155"/>
  <c r="J110"/>
  <c r="G541" i="34"/>
  <c r="G545"/>
  <c r="I229" i="43"/>
  <c r="G217" i="10"/>
  <c r="I448" i="34"/>
  <c r="I559" s="1"/>
  <c r="J355"/>
  <c r="H76" i="52"/>
  <c r="H74"/>
  <c r="H114"/>
  <c r="K110" i="32"/>
  <c r="K109"/>
  <c r="F76" i="52"/>
  <c r="F114"/>
  <c r="I119" i="32"/>
  <c r="I79"/>
  <c r="I78"/>
  <c r="K114" i="52"/>
  <c r="K76"/>
  <c r="K74"/>
  <c r="J541" i="34"/>
  <c r="J545"/>
  <c r="K113" i="30"/>
  <c r="AZ412" i="47"/>
  <c r="BF419" s="1"/>
  <c r="BH419" s="1"/>
  <c r="BI419" s="1"/>
  <c r="N225" i="10"/>
  <c r="G103" i="52"/>
  <c r="G104"/>
  <c r="H78" i="57"/>
  <c r="K105" i="33"/>
  <c r="J115"/>
  <c r="J79"/>
  <c r="J81" s="1"/>
  <c r="G358" i="15"/>
  <c r="G361" s="1"/>
  <c r="G353"/>
  <c r="L104" i="52"/>
  <c r="L103"/>
  <c r="H113" i="30"/>
  <c r="L409" i="15"/>
  <c r="L393"/>
  <c r="L401"/>
  <c r="L385"/>
  <c r="F545" i="34"/>
  <c r="F542"/>
  <c r="L229" i="43"/>
  <c r="J388" i="15"/>
  <c r="G156" i="8"/>
  <c r="G131"/>
  <c r="G126"/>
  <c r="G136"/>
  <c r="K225" i="10"/>
  <c r="M103" i="52"/>
  <c r="M104"/>
  <c r="H104" i="33"/>
  <c r="H103"/>
  <c r="L104"/>
  <c r="L103"/>
  <c r="J114" i="52"/>
  <c r="J76"/>
  <c r="N78" i="57"/>
  <c r="H104" i="52"/>
  <c r="H103"/>
  <c r="AZ414" i="47"/>
  <c r="BF392" s="1"/>
  <c r="BH392" s="1"/>
  <c r="BI392" s="1"/>
  <c r="N113" i="30"/>
  <c r="K119" i="32"/>
  <c r="K79"/>
  <c r="K78"/>
  <c r="L216" i="43"/>
  <c r="N708" i="14"/>
  <c r="F169" i="43"/>
  <c r="F271" s="1"/>
  <c r="H431" i="17"/>
  <c r="H353" i="15"/>
  <c r="H508" i="17"/>
  <c r="F168" i="43"/>
  <c r="F270" s="1"/>
  <c r="K327" i="13"/>
  <c r="M691" i="14"/>
  <c r="M706"/>
  <c r="M676"/>
  <c r="M499"/>
  <c r="M516" s="1"/>
  <c r="K601"/>
  <c r="I924"/>
  <c r="I921"/>
  <c r="M690"/>
  <c r="M815" s="1"/>
  <c r="M675"/>
  <c r="M705"/>
  <c r="M498"/>
  <c r="M515" s="1"/>
  <c r="M601"/>
  <c r="L656"/>
  <c r="J694"/>
  <c r="J709"/>
  <c r="J679"/>
  <c r="J502"/>
  <c r="J519" s="1"/>
  <c r="J422" i="17"/>
  <c r="J418"/>
  <c r="J424"/>
  <c r="J437" s="1"/>
  <c r="J429"/>
  <c r="J423"/>
  <c r="J436" s="1"/>
  <c r="J428"/>
  <c r="J425"/>
  <c r="J438" s="1"/>
  <c r="J430"/>
  <c r="J443" s="1"/>
  <c r="J427"/>
  <c r="J440" s="1"/>
  <c r="J426"/>
  <c r="J439" s="1"/>
  <c r="F676" i="14"/>
  <c r="F691"/>
  <c r="F706"/>
  <c r="F499"/>
  <c r="F516" s="1"/>
  <c r="G533" s="1"/>
  <c r="J447" i="34"/>
  <c r="J419"/>
  <c r="J423" s="1"/>
  <c r="G239" i="7"/>
  <c r="G204"/>
  <c r="G206" s="1"/>
  <c r="G208" s="1"/>
  <c r="I320" i="17"/>
  <c r="I353"/>
  <c r="I596"/>
  <c r="I385"/>
  <c r="J118" i="6"/>
  <c r="I122"/>
  <c r="I177"/>
  <c r="H697" i="14"/>
  <c r="H712"/>
  <c r="H682"/>
  <c r="H505"/>
  <c r="H522" s="1"/>
  <c r="I325" i="17"/>
  <c r="I358"/>
  <c r="I390"/>
  <c r="I601"/>
  <c r="K680" i="14"/>
  <c r="K695"/>
  <c r="K503"/>
  <c r="K520" s="1"/>
  <c r="K710"/>
  <c r="G96" i="9"/>
  <c r="G97" s="1"/>
  <c r="G100"/>
  <c r="I1107" i="4"/>
  <c r="J631"/>
  <c r="I659"/>
  <c r="I1036"/>
  <c r="M447" i="34"/>
  <c r="M558" s="1"/>
  <c r="M419"/>
  <c r="M423" s="1"/>
  <c r="M659" i="17"/>
  <c r="G536"/>
  <c r="G448"/>
  <c r="K624" i="14"/>
  <c r="J638" i="4"/>
  <c r="I666"/>
  <c r="I1043"/>
  <c r="I1114"/>
  <c r="M688" i="14"/>
  <c r="M703"/>
  <c r="M673"/>
  <c r="M496"/>
  <c r="M513" s="1"/>
  <c r="H682" i="4"/>
  <c r="H700"/>
  <c r="F933" i="14"/>
  <c r="F931"/>
  <c r="F763"/>
  <c r="F930"/>
  <c r="F932"/>
  <c r="I391" i="17"/>
  <c r="I359"/>
  <c r="I326"/>
  <c r="I602"/>
  <c r="J628" i="4"/>
  <c r="I1104"/>
  <c r="I656"/>
  <c r="I1033"/>
  <c r="G454" i="13"/>
  <c r="G363"/>
  <c r="G365" s="1"/>
  <c r="H680" i="14"/>
  <c r="H695"/>
  <c r="H710"/>
  <c r="H503"/>
  <c r="H520" s="1"/>
  <c r="J680"/>
  <c r="J695"/>
  <c r="J710"/>
  <c r="J503"/>
  <c r="J520" s="1"/>
  <c r="F680"/>
  <c r="F710"/>
  <c r="F503"/>
  <c r="F520" s="1"/>
  <c r="G537" s="1"/>
  <c r="F695"/>
  <c r="N601"/>
  <c r="N582"/>
  <c r="N563"/>
  <c r="AZ411" i="47"/>
  <c r="BF417" s="1"/>
  <c r="BH417" s="1"/>
  <c r="BI417" s="1"/>
  <c r="N241" i="10"/>
  <c r="I323" i="17"/>
  <c r="I388"/>
  <c r="I599"/>
  <c r="I356"/>
  <c r="K538" i="14"/>
  <c r="J664"/>
  <c r="J628"/>
  <c r="J646"/>
  <c r="H696"/>
  <c r="H681"/>
  <c r="H711"/>
  <c r="H504"/>
  <c r="H521" s="1"/>
  <c r="G153" i="18"/>
  <c r="G154"/>
  <c r="G120"/>
  <c r="G164" s="1"/>
  <c r="H679" i="4"/>
  <c r="H697"/>
  <c r="N536" i="17"/>
  <c r="N444"/>
  <c r="M538" i="14"/>
  <c r="L628"/>
  <c r="L664"/>
  <c r="L646"/>
  <c r="K216" i="43"/>
  <c r="G582" i="14"/>
  <c r="G563"/>
  <c r="L625"/>
  <c r="M535"/>
  <c r="L643"/>
  <c r="L661"/>
  <c r="H539"/>
  <c r="G647"/>
  <c r="G556"/>
  <c r="G629"/>
  <c r="G665"/>
  <c r="L540" i="34"/>
  <c r="L433"/>
  <c r="L436"/>
  <c r="L435"/>
  <c r="L434"/>
  <c r="H632" i="17"/>
  <c r="H648" s="1"/>
  <c r="H631"/>
  <c r="H647" s="1"/>
  <c r="J539" i="14"/>
  <c r="J556" s="1"/>
  <c r="I647"/>
  <c r="I665"/>
  <c r="I629"/>
  <c r="H932"/>
  <c r="H763"/>
  <c r="H931"/>
  <c r="H933"/>
  <c r="H930"/>
  <c r="L705"/>
  <c r="L690"/>
  <c r="L815" s="1"/>
  <c r="L675"/>
  <c r="L498"/>
  <c r="L515" s="1"/>
  <c r="H705"/>
  <c r="H690"/>
  <c r="H815" s="1"/>
  <c r="H675"/>
  <c r="H498"/>
  <c r="H515" s="1"/>
  <c r="K706"/>
  <c r="K676"/>
  <c r="K691"/>
  <c r="K499"/>
  <c r="K516" s="1"/>
  <c r="G148" i="9"/>
  <c r="I382" i="17"/>
  <c r="I317"/>
  <c r="I350"/>
  <c r="I593"/>
  <c r="J216" i="43"/>
  <c r="K416" i="17"/>
  <c r="K335"/>
  <c r="M931" i="14"/>
  <c r="M933"/>
  <c r="M930"/>
  <c r="N720"/>
  <c r="N931"/>
  <c r="N932"/>
  <c r="N763"/>
  <c r="N933"/>
  <c r="N930"/>
  <c r="G924"/>
  <c r="G754"/>
  <c r="G922"/>
  <c r="G923"/>
  <c r="G921"/>
  <c r="F690"/>
  <c r="F815" s="1"/>
  <c r="F705"/>
  <c r="F675"/>
  <c r="F498"/>
  <c r="F515" s="1"/>
  <c r="G532" s="1"/>
  <c r="I447" i="34"/>
  <c r="I419"/>
  <c r="I423" s="1"/>
  <c r="I675" i="14"/>
  <c r="I705"/>
  <c r="I690"/>
  <c r="I815" s="1"/>
  <c r="I498"/>
  <c r="I515" s="1"/>
  <c r="K932"/>
  <c r="L535"/>
  <c r="L552" s="1"/>
  <c r="K625"/>
  <c r="J626" i="4"/>
  <c r="I1031"/>
  <c r="I654"/>
  <c r="I1102"/>
  <c r="N447" i="34"/>
  <c r="N419"/>
  <c r="N423" s="1"/>
  <c r="M153" i="18"/>
  <c r="M154"/>
  <c r="M121"/>
  <c r="M165" s="1"/>
  <c r="M120"/>
  <c r="M164" s="1"/>
  <c r="I357" i="17"/>
  <c r="I389"/>
  <c r="I600"/>
  <c r="I324"/>
  <c r="K679" i="14"/>
  <c r="K694"/>
  <c r="K709"/>
  <c r="K502"/>
  <c r="K519" s="1"/>
  <c r="H683" i="4"/>
  <c r="H701"/>
  <c r="H710"/>
  <c r="H711" s="1"/>
  <c r="I90" i="9"/>
  <c r="H94"/>
  <c r="H135"/>
  <c r="I661" i="14"/>
  <c r="I643"/>
  <c r="I625"/>
  <c r="J535"/>
  <c r="J552" s="1"/>
  <c r="I1105" i="4"/>
  <c r="I1034"/>
  <c r="I657"/>
  <c r="J629"/>
  <c r="I666" i="14"/>
  <c r="I630"/>
  <c r="J540"/>
  <c r="I648"/>
  <c r="I852" i="4"/>
  <c r="I853" s="1"/>
  <c r="I854" s="1"/>
  <c r="J844"/>
  <c r="K656" i="14"/>
  <c r="K620"/>
  <c r="K638"/>
  <c r="L530"/>
  <c r="N690"/>
  <c r="N815" s="1"/>
  <c r="N705"/>
  <c r="N675"/>
  <c r="N498"/>
  <c r="N515" s="1"/>
  <c r="H638" i="17"/>
  <c r="I352"/>
  <c r="I319"/>
  <c r="I384"/>
  <c r="I595"/>
  <c r="H678" i="4"/>
  <c r="H696"/>
  <c r="F620" i="17"/>
  <c r="F785" s="1"/>
  <c r="F618"/>
  <c r="M704" i="14"/>
  <c r="M689"/>
  <c r="M810" s="1"/>
  <c r="M497"/>
  <c r="M514" s="1"/>
  <c r="M674"/>
  <c r="I1110" i="4"/>
  <c r="I1039"/>
  <c r="J634"/>
  <c r="I662"/>
  <c r="M679" i="14"/>
  <c r="M709"/>
  <c r="M694"/>
  <c r="M502"/>
  <c r="M519" s="1"/>
  <c r="G666"/>
  <c r="G648"/>
  <c r="G691"/>
  <c r="G706"/>
  <c r="G676"/>
  <c r="G499"/>
  <c r="G516" s="1"/>
  <c r="J625"/>
  <c r="J643"/>
  <c r="J661"/>
  <c r="K535"/>
  <c r="K552" s="1"/>
  <c r="AZ442" i="47"/>
  <c r="H694" i="4"/>
  <c r="H676"/>
  <c r="L447" i="34"/>
  <c r="L419"/>
  <c r="L423" s="1"/>
  <c r="K229" i="43"/>
  <c r="K539" i="14"/>
  <c r="K556" s="1"/>
  <c r="J647"/>
  <c r="J665"/>
  <c r="J629"/>
  <c r="K647"/>
  <c r="K665"/>
  <c r="H666"/>
  <c r="I540"/>
  <c r="I557" s="1"/>
  <c r="H648"/>
  <c r="H630"/>
  <c r="N640" i="17"/>
  <c r="J846" i="4"/>
  <c r="H503" i="17"/>
  <c r="J845" i="4"/>
  <c r="G442" i="17"/>
  <c r="G455" s="1"/>
  <c r="N581"/>
  <c r="H502"/>
  <c r="F755" i="14"/>
  <c r="L676"/>
  <c r="L691"/>
  <c r="L706"/>
  <c r="L499"/>
  <c r="L516" s="1"/>
  <c r="H676"/>
  <c r="H691"/>
  <c r="H706"/>
  <c r="H499"/>
  <c r="H516" s="1"/>
  <c r="G146" i="9"/>
  <c r="I169" i="7"/>
  <c r="H217"/>
  <c r="H248"/>
  <c r="I638" i="14"/>
  <c r="I620"/>
  <c r="I656"/>
  <c r="J530"/>
  <c r="J547" s="1"/>
  <c r="H702" i="4"/>
  <c r="H684"/>
  <c r="I360" i="17"/>
  <c r="I327"/>
  <c r="I392"/>
  <c r="I603"/>
  <c r="K447" i="34"/>
  <c r="K558" s="1"/>
  <c r="K419"/>
  <c r="K423" s="1"/>
  <c r="I706" i="14"/>
  <c r="I676"/>
  <c r="I691"/>
  <c r="I499"/>
  <c r="I516" s="1"/>
  <c r="M660"/>
  <c r="M642"/>
  <c r="M624"/>
  <c r="N534"/>
  <c r="N680"/>
  <c r="N710"/>
  <c r="N695"/>
  <c r="N503"/>
  <c r="N520" s="1"/>
  <c r="H685" i="4"/>
  <c r="H703"/>
  <c r="J630"/>
  <c r="I1106"/>
  <c r="I658"/>
  <c r="I1035"/>
  <c r="G540" i="34"/>
  <c r="G433"/>
  <c r="G434"/>
  <c r="G436"/>
  <c r="G435"/>
  <c r="I394" i="17"/>
  <c r="I329"/>
  <c r="I362"/>
  <c r="I605"/>
  <c r="J706" i="14"/>
  <c r="J676"/>
  <c r="J691"/>
  <c r="J499"/>
  <c r="J516" s="1"/>
  <c r="I167" i="7"/>
  <c r="H188"/>
  <c r="H236"/>
  <c r="H170"/>
  <c r="H335" s="1"/>
  <c r="I321" i="17"/>
  <c r="I386"/>
  <c r="I354"/>
  <c r="I597"/>
  <c r="K169" i="43"/>
  <c r="K271" s="1"/>
  <c r="K168"/>
  <c r="K270" s="1"/>
  <c r="K170"/>
  <c r="K272" s="1"/>
  <c r="K167"/>
  <c r="K269" s="1"/>
  <c r="H621" i="14"/>
  <c r="I531"/>
  <c r="H657"/>
  <c r="H639"/>
  <c r="I657"/>
  <c r="J531"/>
  <c r="I621"/>
  <c r="I548"/>
  <c r="I639"/>
  <c r="L647"/>
  <c r="F711" i="17"/>
  <c r="G694" i="14"/>
  <c r="G709"/>
  <c r="G679"/>
  <c r="G502"/>
  <c r="G519" s="1"/>
  <c r="I694"/>
  <c r="I709"/>
  <c r="I679"/>
  <c r="I502"/>
  <c r="I519" s="1"/>
  <c r="H627" i="17"/>
  <c r="G642" i="14"/>
  <c r="G551"/>
  <c r="H534"/>
  <c r="G624"/>
  <c r="G660"/>
  <c r="G218" i="7"/>
  <c r="G220" s="1"/>
  <c r="G222" s="1"/>
  <c r="G225" s="1"/>
  <c r="G224" s="1"/>
  <c r="G245"/>
  <c r="G229"/>
  <c r="F719" i="17"/>
  <c r="H124" i="6"/>
  <c r="H125" s="1"/>
  <c r="H130" s="1"/>
  <c r="H138"/>
  <c r="H674" i="4"/>
  <c r="H692"/>
  <c r="I435" i="17"/>
  <c r="J153" i="18"/>
  <c r="J154"/>
  <c r="J122"/>
  <c r="J166" s="1"/>
  <c r="J120"/>
  <c r="J164" s="1"/>
  <c r="L680" i="14"/>
  <c r="L695"/>
  <c r="L710"/>
  <c r="L503"/>
  <c r="L520" s="1"/>
  <c r="I1111" i="4"/>
  <c r="J635"/>
  <c r="I663"/>
  <c r="I1040"/>
  <c r="I1103"/>
  <c r="J627"/>
  <c r="I655"/>
  <c r="I1032"/>
  <c r="H447" i="34"/>
  <c r="H449" s="1"/>
  <c r="H419"/>
  <c r="H423" s="1"/>
  <c r="L659" i="17"/>
  <c r="L660" s="1"/>
  <c r="N694" i="14"/>
  <c r="N709"/>
  <c r="AZ422" i="47" s="1"/>
  <c r="N679" i="14"/>
  <c r="N502"/>
  <c r="N519" s="1"/>
  <c r="J637" i="4"/>
  <c r="I665"/>
  <c r="I1113"/>
  <c r="I1042"/>
  <c r="I393" i="17"/>
  <c r="I328"/>
  <c r="I361"/>
  <c r="I604"/>
  <c r="I216" i="43"/>
  <c r="H686" i="4"/>
  <c r="H704"/>
  <c r="J675" i="14"/>
  <c r="J690"/>
  <c r="J815" s="1"/>
  <c r="J705"/>
  <c r="J498"/>
  <c r="J515" s="1"/>
  <c r="M664"/>
  <c r="M628"/>
  <c r="G337" i="7"/>
  <c r="J229" i="43"/>
  <c r="J638" i="14"/>
  <c r="J620"/>
  <c r="J656"/>
  <c r="K530"/>
  <c r="K547" s="1"/>
  <c r="I642"/>
  <c r="I624"/>
  <c r="I660"/>
  <c r="J534"/>
  <c r="J551" s="1"/>
  <c r="M531"/>
  <c r="H694"/>
  <c r="H709"/>
  <c r="H679"/>
  <c r="H502"/>
  <c r="H519" s="1"/>
  <c r="G695"/>
  <c r="G710"/>
  <c r="G680"/>
  <c r="G503"/>
  <c r="G520" s="1"/>
  <c r="N621"/>
  <c r="I695"/>
  <c r="I710"/>
  <c r="I680"/>
  <c r="I503"/>
  <c r="I520" s="1"/>
  <c r="K690"/>
  <c r="K815" s="1"/>
  <c r="K675"/>
  <c r="K705"/>
  <c r="K498"/>
  <c r="K515" s="1"/>
  <c r="G144" i="9"/>
  <c r="M648" i="14"/>
  <c r="M630"/>
  <c r="N540"/>
  <c r="N557" s="1"/>
  <c r="M666"/>
  <c r="N630"/>
  <c r="N666"/>
  <c r="N648"/>
  <c r="F694"/>
  <c r="F709"/>
  <c r="F679"/>
  <c r="F502"/>
  <c r="F519" s="1"/>
  <c r="G536" s="1"/>
  <c r="J540" i="34"/>
  <c r="J436"/>
  <c r="J433"/>
  <c r="J435"/>
  <c r="J434"/>
  <c r="I646" i="14"/>
  <c r="I664"/>
  <c r="G620"/>
  <c r="G656"/>
  <c r="H530"/>
  <c r="G638"/>
  <c r="M629"/>
  <c r="M647"/>
  <c r="N539"/>
  <c r="N556" s="1"/>
  <c r="M665"/>
  <c r="N660"/>
  <c r="I1112" i="4"/>
  <c r="I664"/>
  <c r="I1041"/>
  <c r="J636"/>
  <c r="K417" i="17"/>
  <c r="K336"/>
  <c r="G661" i="14"/>
  <c r="I168" i="7"/>
  <c r="H203"/>
  <c r="H242"/>
  <c r="G131" i="6"/>
  <c r="G168" s="1"/>
  <c r="G165"/>
  <c r="K540" i="34"/>
  <c r="K433"/>
  <c r="K436"/>
  <c r="K435"/>
  <c r="K434"/>
  <c r="N629" i="14"/>
  <c r="N647"/>
  <c r="N665"/>
  <c r="K657"/>
  <c r="K639"/>
  <c r="N217" i="10"/>
  <c r="H630" i="17"/>
  <c r="H633"/>
  <c r="H649" s="1"/>
  <c r="L540" i="14"/>
  <c r="K630"/>
  <c r="K666"/>
  <c r="K648"/>
  <c r="H179" i="6"/>
  <c r="K154" i="18"/>
  <c r="K153"/>
  <c r="K120"/>
  <c r="K164" s="1"/>
  <c r="K122"/>
  <c r="K166" s="1"/>
  <c r="L694" i="14"/>
  <c r="L709"/>
  <c r="L679"/>
  <c r="L502"/>
  <c r="L519" s="1"/>
  <c r="H675" i="4"/>
  <c r="H693"/>
  <c r="N620" i="17"/>
  <c r="N785" s="1"/>
  <c r="H677" i="4"/>
  <c r="H695"/>
  <c r="H540" i="34"/>
  <c r="H436"/>
  <c r="H433"/>
  <c r="H435"/>
  <c r="H434"/>
  <c r="M434"/>
  <c r="J276" i="13"/>
  <c r="J275"/>
  <c r="I720" i="14"/>
  <c r="I932"/>
  <c r="I763"/>
  <c r="I930"/>
  <c r="I931"/>
  <c r="I933"/>
  <c r="H867" i="4"/>
  <c r="H883" s="1"/>
  <c r="H862"/>
  <c r="H878" s="1"/>
  <c r="H863"/>
  <c r="H879" s="1"/>
  <c r="H858"/>
  <c r="H874" s="1"/>
  <c r="H869"/>
  <c r="H885" s="1"/>
  <c r="H865"/>
  <c r="H881" s="1"/>
  <c r="H860"/>
  <c r="H876" s="1"/>
  <c r="H866"/>
  <c r="H882" s="1"/>
  <c r="H861"/>
  <c r="H877" s="1"/>
  <c r="H868"/>
  <c r="H884" s="1"/>
  <c r="H857"/>
  <c r="H864"/>
  <c r="H880" s="1"/>
  <c r="H859"/>
  <c r="H875" s="1"/>
  <c r="J930" i="14"/>
  <c r="J931"/>
  <c r="J932"/>
  <c r="J933"/>
  <c r="J763"/>
  <c r="N676"/>
  <c r="N691"/>
  <c r="N706"/>
  <c r="N499"/>
  <c r="N516" s="1"/>
  <c r="K534"/>
  <c r="K551" s="1"/>
  <c r="J624"/>
  <c r="J660"/>
  <c r="J642"/>
  <c r="J621"/>
  <c r="G447" i="34"/>
  <c r="G558" s="1"/>
  <c r="G419"/>
  <c r="G423" s="1"/>
  <c r="N216" i="43"/>
  <c r="M680" i="14"/>
  <c r="M695"/>
  <c r="M710"/>
  <c r="M503"/>
  <c r="M520" s="1"/>
  <c r="G705"/>
  <c r="G690"/>
  <c r="G815" s="1"/>
  <c r="G675"/>
  <c r="G498"/>
  <c r="G515" s="1"/>
  <c r="G189" i="7"/>
  <c r="G191" s="1"/>
  <c r="G193" s="1"/>
  <c r="G196" s="1"/>
  <c r="G195" s="1"/>
  <c r="G233"/>
  <c r="I322" i="17"/>
  <c r="I355"/>
  <c r="I387"/>
  <c r="I598"/>
  <c r="M661" i="14"/>
  <c r="N535"/>
  <c r="L582"/>
  <c r="L563"/>
  <c r="L601"/>
  <c r="F719"/>
  <c r="F923"/>
  <c r="F924"/>
  <c r="F754"/>
  <c r="F921"/>
  <c r="F922"/>
  <c r="N687" i="4"/>
  <c r="J168" i="43"/>
  <c r="J270" s="1"/>
  <c r="H629" i="17"/>
  <c r="H645" s="1"/>
  <c r="J167" i="43"/>
  <c r="J269" s="1"/>
  <c r="H635" i="17"/>
  <c r="H651" s="1"/>
  <c r="N450"/>
  <c r="N735" s="1"/>
  <c r="H639"/>
  <c r="H655" s="1"/>
  <c r="M755" i="14"/>
  <c r="H636" i="17"/>
  <c r="H652" s="1"/>
  <c r="CC9" i="39"/>
  <c r="CC89" i="40"/>
  <c r="CT81" i="36"/>
  <c r="CN25" i="25"/>
  <c r="BZ26" i="40"/>
  <c r="BY59" i="37"/>
  <c r="BW102" i="36"/>
  <c r="CQ13" i="40"/>
  <c r="CM37" i="26"/>
  <c r="CH79" i="36"/>
  <c r="CH54" i="38"/>
  <c r="CK57" i="41"/>
  <c r="BY9" i="37"/>
  <c r="CK58" i="40"/>
  <c r="CH29" i="39"/>
  <c r="CJ30" i="41"/>
  <c r="BW71" i="25"/>
  <c r="AP53"/>
  <c r="CS67" i="38"/>
  <c r="CW48" i="37"/>
  <c r="CV10" i="39"/>
  <c r="DA62" i="37"/>
  <c r="BB71" i="36"/>
  <c r="CT89" i="37"/>
  <c r="CC30" i="39"/>
  <c r="CK92"/>
  <c r="DC34" i="25"/>
  <c r="AC21"/>
  <c r="CX26" i="39"/>
  <c r="BV48" i="25"/>
  <c r="DC18" i="38"/>
  <c r="K60"/>
  <c r="BZ81" i="41"/>
  <c r="AP91"/>
  <c r="AF98"/>
  <c r="BB89" i="37"/>
  <c r="CP102" i="40"/>
  <c r="BD81" i="1"/>
  <c r="V71" i="38"/>
  <c r="CB67" i="36"/>
  <c r="AF92" i="37"/>
  <c r="T21" i="41"/>
  <c r="DB34" i="39"/>
  <c r="BP59" i="26"/>
  <c r="BI18"/>
  <c r="AD58" i="1"/>
  <c r="AM59" i="25"/>
  <c r="BV89" i="37"/>
  <c r="CG81" i="41"/>
  <c r="CA18" i="36"/>
  <c r="CU29" i="39"/>
  <c r="CO79" i="38"/>
  <c r="CT58" i="41"/>
  <c r="CL50"/>
  <c r="CF49" i="36"/>
  <c r="BU49" i="1"/>
  <c r="BS37" i="25"/>
  <c r="BZ34" i="40"/>
  <c r="CG65"/>
  <c r="CQ75" i="41"/>
  <c r="CD53" i="1"/>
  <c r="CC103" i="25"/>
  <c r="CM92" i="36"/>
  <c r="CN79" i="37"/>
  <c r="CP50" i="41"/>
  <c r="BZ30" i="36"/>
  <c r="CJ45"/>
  <c r="S26" i="37"/>
  <c r="AM53" i="39"/>
  <c r="AW67" i="26"/>
  <c r="AO26" i="41"/>
  <c r="BU66" i="40"/>
  <c r="BZ27" i="36"/>
  <c r="BW48" i="41"/>
  <c r="CD10" i="38"/>
  <c r="CW30" i="25"/>
  <c r="CD65" i="39"/>
  <c r="CG103" i="25"/>
  <c r="CN75" i="26"/>
  <c r="CX96" i="25"/>
  <c r="CD79"/>
  <c r="BY91" i="36"/>
  <c r="CO60" i="40"/>
  <c r="CP25"/>
  <c r="CV89" i="38"/>
  <c r="CX21" i="26"/>
  <c r="CX67" i="37"/>
  <c r="CG61" i="26"/>
  <c r="BH48" i="37"/>
  <c r="AF21"/>
  <c r="CP65" i="40"/>
  <c r="AW102" i="37"/>
  <c r="BS103" i="1"/>
  <c r="AV26" i="36"/>
  <c r="CD27" i="38"/>
  <c r="S37" i="41"/>
  <c r="DD48" i="40"/>
  <c r="CL18" i="25"/>
  <c r="X71" i="36"/>
  <c r="CK59" i="37"/>
  <c r="CL71"/>
  <c r="AV81" i="39"/>
  <c r="CR24" i="26"/>
  <c r="BO65" i="25"/>
  <c r="BT89" i="39"/>
  <c r="CU25"/>
  <c r="CW37" i="40"/>
  <c r="M29"/>
  <c r="AT66" i="39"/>
  <c r="BI29" i="41"/>
  <c r="P59" i="25"/>
  <c r="BB29" i="41"/>
  <c r="P30"/>
  <c r="AX26" i="36"/>
  <c r="AU65" i="25"/>
  <c r="CI98" i="38"/>
  <c r="AA79"/>
  <c r="I17"/>
  <c r="K10" i="1"/>
  <c r="T18"/>
  <c r="CG79" i="41"/>
  <c r="CN67" i="25"/>
  <c r="CC17"/>
  <c r="BY10" i="26"/>
  <c r="CD49" i="39"/>
  <c r="CE67" i="37"/>
  <c r="AS59" i="25"/>
  <c r="BT67"/>
  <c r="BZ67" i="26"/>
  <c r="CL75" i="36"/>
  <c r="CX65" i="40"/>
  <c r="CW57" i="39"/>
  <c r="BX49" i="37"/>
  <c r="J75" i="40"/>
  <c r="BT50" i="37"/>
  <c r="CX60" i="39"/>
  <c r="CD57" i="41"/>
  <c r="DC13" i="39"/>
  <c r="CF48" i="37"/>
  <c r="CX30"/>
  <c r="CX60" i="36"/>
  <c r="BX103" i="37"/>
  <c r="G79" i="25"/>
  <c r="AD61" i="26"/>
  <c r="BA45"/>
  <c r="BS10" i="36"/>
  <c r="CK27" i="25"/>
  <c r="AX12" i="40"/>
  <c r="AP17" i="39"/>
  <c r="BY57" i="25"/>
  <c r="BY54" i="39"/>
  <c r="I71" i="38"/>
  <c r="CD53" i="39"/>
  <c r="CN62" i="41"/>
  <c r="CH45" i="39"/>
  <c r="I79"/>
  <c r="Y92" i="36"/>
  <c r="BR10" i="39"/>
  <c r="BV50" i="1"/>
  <c r="CP18" i="25"/>
  <c r="BV24" i="40"/>
  <c r="DE34" i="26"/>
  <c r="CO61" i="39"/>
  <c r="O18" i="26"/>
  <c r="DB57" i="1"/>
  <c r="AC54" i="37"/>
  <c r="DF71" i="40"/>
  <c r="AM102" i="41"/>
  <c r="AV65" i="26"/>
  <c r="CK12" i="25"/>
  <c r="CC53" i="38"/>
  <c r="CS18" i="36"/>
  <c r="CO18"/>
  <c r="BY58" i="41"/>
  <c r="CE21" i="25"/>
  <c r="CN57" i="36"/>
  <c r="CL53" i="25"/>
  <c r="CB50" i="39"/>
  <c r="BY25" i="40"/>
  <c r="AQ62" i="26"/>
  <c r="CO34"/>
  <c r="CH75"/>
  <c r="CG60" i="40"/>
  <c r="CM10" i="39"/>
  <c r="DF21" i="38"/>
  <c r="BV89"/>
  <c r="AN13" i="37"/>
  <c r="CW17" i="25"/>
  <c r="DA37" i="1"/>
  <c r="AX27" i="41"/>
  <c r="M102" i="40"/>
  <c r="DB102" i="1"/>
  <c r="AE49" i="37"/>
  <c r="CX81" i="39"/>
  <c r="CD102" i="41"/>
  <c r="AY27" i="37"/>
  <c r="BI49"/>
  <c r="M79" i="40"/>
  <c r="BO66" i="36"/>
  <c r="AB61" i="25"/>
  <c r="AT81" i="39"/>
  <c r="AJ60" i="25"/>
  <c r="H60" i="26"/>
  <c r="CJ49" i="1"/>
  <c r="AQ24" i="37"/>
  <c r="P79"/>
  <c r="BV37" i="38"/>
  <c r="CL27" i="41"/>
  <c r="Y92" i="1"/>
  <c r="CQ62" i="40"/>
  <c r="BD17" i="37"/>
  <c r="BC65" i="25"/>
  <c r="Z17"/>
  <c r="AJ37" i="1"/>
  <c r="CV27" i="41"/>
  <c r="AC37" i="25"/>
  <c r="AV37" i="41"/>
  <c r="CK91"/>
  <c r="CP12"/>
  <c r="CM27" i="40"/>
  <c r="BY92"/>
  <c r="AM98" i="26"/>
  <c r="AJ53" i="41"/>
  <c r="BA49" i="36"/>
  <c r="N60" i="37"/>
  <c r="CV81" i="40"/>
  <c r="DD13"/>
  <c r="AM91" i="38"/>
  <c r="AF89" i="36"/>
  <c r="CR37" i="1"/>
  <c r="CR89" i="41"/>
  <c r="AV53" i="40"/>
  <c r="K58" i="25"/>
  <c r="AO75" i="38"/>
  <c r="V27" i="36"/>
  <c r="X53" i="40"/>
  <c r="I60" i="38"/>
  <c r="I49" i="37"/>
  <c r="AY9" i="40"/>
  <c r="AV65"/>
  <c r="DC75" i="25"/>
  <c r="AR53" i="40"/>
  <c r="V49" i="38"/>
  <c r="CP45"/>
  <c r="CV18"/>
  <c r="J54" i="26"/>
  <c r="N92" i="39"/>
  <c r="BU34" i="36"/>
  <c r="BB98" i="26"/>
  <c r="AX9"/>
  <c r="CS37" i="37"/>
  <c r="CA17" i="40"/>
  <c r="AT79" i="37"/>
  <c r="Z96" i="26"/>
  <c r="CM57" i="36"/>
  <c r="CX48" i="40"/>
  <c r="BP66" i="41"/>
  <c r="M73" i="64"/>
  <c r="BA91" i="25"/>
  <c r="CZ62" i="1"/>
  <c r="AD81"/>
  <c r="BZ48"/>
  <c r="Y54" i="41"/>
  <c r="AU49" i="39"/>
  <c r="CZ24" i="26"/>
  <c r="AQ10" i="36"/>
  <c r="CW49" i="39"/>
  <c r="Y66" i="41"/>
  <c r="O60" i="1"/>
  <c r="BI9" i="26"/>
  <c r="CR59" i="38"/>
  <c r="CT27" i="26"/>
  <c r="CZ89"/>
  <c r="U65" i="39"/>
  <c r="M60" i="25"/>
  <c r="G10" i="39"/>
  <c r="BQ13"/>
  <c r="AJ48" i="37"/>
  <c r="BZ34" i="41"/>
  <c r="BY29" i="39"/>
  <c r="CU66" i="38"/>
  <c r="CD89" i="25"/>
  <c r="O59" i="39"/>
  <c r="BZ65" i="37"/>
  <c r="AT30" i="36"/>
  <c r="W67" i="26"/>
  <c r="CP57" i="40"/>
  <c r="DF89" i="36"/>
  <c r="T29" i="38"/>
  <c r="CA60" i="26"/>
  <c r="BA30" i="41"/>
  <c r="CR18" i="26"/>
  <c r="AJ27" i="36"/>
  <c r="BQ98"/>
  <c r="N25" i="26"/>
  <c r="DC49" i="37"/>
  <c r="CW17" i="36"/>
  <c r="AW18" i="26"/>
  <c r="CA12" i="25"/>
  <c r="Z79" i="36"/>
  <c r="CP34" i="26"/>
  <c r="CK29" i="25"/>
  <c r="BB49" i="41"/>
  <c r="DF18" i="25"/>
  <c r="AZ102" i="37"/>
  <c r="N17" i="26"/>
  <c r="CB60" i="40"/>
  <c r="AT91" i="25"/>
  <c r="CS21" i="26"/>
  <c r="CS21" i="36"/>
  <c r="AM96" i="25"/>
  <c r="DD49" i="38"/>
  <c r="BQ96" i="36"/>
  <c r="AS92" i="25"/>
  <c r="X71" i="41"/>
  <c r="Z24" i="37"/>
  <c r="Y18" i="40"/>
  <c r="M30" i="26"/>
  <c r="AJ91" i="25"/>
  <c r="DD13" i="39"/>
  <c r="AP25" i="38"/>
  <c r="AU67" i="37"/>
  <c r="CN45" i="41"/>
  <c r="BH98" i="25"/>
  <c r="L102"/>
  <c r="AE58" i="37"/>
  <c r="BP65" i="1"/>
  <c r="AX45" i="41"/>
  <c r="CJ81" i="38"/>
  <c r="BZ58" i="40"/>
  <c r="CA65" i="41"/>
  <c r="CE65" i="38"/>
  <c r="BZ59" i="25"/>
  <c r="CB24" i="26"/>
  <c r="BW17"/>
  <c r="CK21" i="37"/>
  <c r="CI27" i="40"/>
  <c r="CF49" i="37"/>
  <c r="K17" i="40"/>
  <c r="CS92" i="26"/>
  <c r="CV60" i="37"/>
  <c r="CM89" i="38"/>
  <c r="AJ27" i="41"/>
  <c r="CR21" i="26"/>
  <c r="CS26" i="37"/>
  <c r="BH24" i="38"/>
  <c r="AX37" i="41"/>
  <c r="L58" i="40"/>
  <c r="CG26" i="26"/>
  <c r="BU96" i="1"/>
  <c r="L26" i="26"/>
  <c r="AA48" i="40"/>
  <c r="BX17" i="37"/>
  <c r="AW102" i="26"/>
  <c r="CL67" i="39"/>
  <c r="CP37" i="41"/>
  <c r="DD18" i="25"/>
  <c r="CO71" i="26"/>
  <c r="CS24" i="39"/>
  <c r="CN54" i="36"/>
  <c r="BD49" i="38"/>
  <c r="CH12" i="26"/>
  <c r="P98" i="37"/>
  <c r="CH92" i="40"/>
  <c r="X29" i="1"/>
  <c r="CD96" i="36"/>
  <c r="U26" i="38"/>
  <c r="DD30" i="39"/>
  <c r="AZ54" i="38"/>
  <c r="AZ50"/>
  <c r="AQ10"/>
  <c r="CO26" i="40"/>
  <c r="AF13" i="41"/>
  <c r="U65" i="26"/>
  <c r="DA67"/>
  <c r="CI48" i="39"/>
  <c r="AE13" i="26"/>
  <c r="AE18" i="38"/>
  <c r="AA54" i="37"/>
  <c r="AY61" i="40"/>
  <c r="AP34" i="41"/>
  <c r="AV53" i="36"/>
  <c r="G26" i="41"/>
  <c r="CD50" i="40"/>
  <c r="BW103" i="37"/>
  <c r="CA102"/>
  <c r="BX102" i="39"/>
  <c r="BX79" i="41"/>
  <c r="CY45" i="37"/>
  <c r="CH53" i="40"/>
  <c r="AB27" i="26"/>
  <c r="CU96" i="37"/>
  <c r="CI57"/>
  <c r="AS26" i="41"/>
  <c r="CW91" i="39"/>
  <c r="CE58" i="25"/>
  <c r="AN61" i="1"/>
  <c r="CS75" i="25"/>
  <c r="CG89"/>
  <c r="X53"/>
  <c r="AF60" i="41"/>
  <c r="DE9" i="37"/>
  <c r="X57"/>
  <c r="AV29" i="38"/>
  <c r="CW17"/>
  <c r="CY89" i="36"/>
  <c r="AP67" i="26"/>
  <c r="CK71" i="37"/>
  <c r="V79" i="25"/>
  <c r="AS62" i="36"/>
  <c r="CZ61" i="38"/>
  <c r="BE58" i="37"/>
  <c r="AS12"/>
  <c r="CC48" i="41"/>
  <c r="CD98" i="25"/>
  <c r="AV58" i="26"/>
  <c r="CD103" i="25"/>
  <c r="BY58" i="38"/>
  <c r="CI81" i="25"/>
  <c r="CA102" i="39"/>
  <c r="BW37" i="40"/>
  <c r="CG65" i="25"/>
  <c r="BW61" i="41"/>
  <c r="CI103" i="38"/>
  <c r="CC91"/>
  <c r="BW12" i="41"/>
  <c r="AO59" i="39"/>
  <c r="CT58" i="38"/>
  <c r="P29" i="37"/>
  <c r="BS79" i="40"/>
  <c r="I18" i="37"/>
  <c r="CM59" i="25"/>
  <c r="CJ17" i="38"/>
  <c r="CK24" i="40"/>
  <c r="V61" i="1"/>
  <c r="BT27"/>
  <c r="Y50" i="26"/>
  <c r="CI53" i="36"/>
  <c r="BD26" i="40"/>
  <c r="CL57" i="41"/>
  <c r="CC89" i="25"/>
  <c r="DE10" i="36"/>
  <c r="AC92" i="40"/>
  <c r="CI75" i="1"/>
  <c r="AH66" i="26"/>
  <c r="CI17" i="1"/>
  <c r="L45" i="40"/>
  <c r="AW13" i="1"/>
  <c r="CQ89" i="39"/>
  <c r="CH60" i="25"/>
  <c r="BW79" i="41"/>
  <c r="BW50" i="40"/>
  <c r="AW54" i="25"/>
  <c r="AN89"/>
  <c r="DC89" i="37"/>
  <c r="Z13" i="26"/>
  <c r="BP27" i="38"/>
  <c r="CY29"/>
  <c r="X58"/>
  <c r="AV66" i="25"/>
  <c r="I65" i="41"/>
  <c r="AJ54" i="25"/>
  <c r="CV49" i="39"/>
  <c r="AA89" i="40"/>
  <c r="BR60" i="41"/>
  <c r="BA17" i="40"/>
  <c r="W59" i="39"/>
  <c r="V27" i="25"/>
  <c r="S60" i="40"/>
  <c r="CJ29"/>
  <c r="BS13" i="25"/>
  <c r="CN9" i="41"/>
  <c r="AU27" i="26"/>
  <c r="AW81"/>
  <c r="CE92" i="39"/>
  <c r="BW96" i="37"/>
  <c r="DD24" i="38"/>
  <c r="DD13" i="41"/>
  <c r="O67" i="39"/>
  <c r="BI98" i="40"/>
  <c r="BS17" i="26"/>
  <c r="Y25" i="41"/>
  <c r="BX25"/>
  <c r="BX81" i="1"/>
  <c r="BQ30"/>
  <c r="CN79"/>
  <c r="X9" i="41"/>
  <c r="CP75" i="25"/>
  <c r="CF18" i="1"/>
  <c r="BP71" i="26"/>
  <c r="H96" i="1"/>
  <c r="CZ48" i="36"/>
  <c r="CT10" i="38"/>
  <c r="N81" i="25"/>
  <c r="CZ61" i="36"/>
  <c r="CN53" i="26"/>
  <c r="CR45" i="38"/>
  <c r="O13" i="39"/>
  <c r="CW37" i="25"/>
  <c r="AJ62" i="37"/>
  <c r="CY66" i="36"/>
  <c r="DB49"/>
  <c r="AA25" i="40"/>
  <c r="CC75" i="1"/>
  <c r="AN25" i="39"/>
  <c r="AN67" i="36"/>
  <c r="BW29" i="39"/>
  <c r="DB54" i="26"/>
  <c r="CO65" i="1"/>
  <c r="I8" i="60"/>
  <c r="BX10" i="26"/>
  <c r="K50" i="37"/>
  <c r="BE75" i="41"/>
  <c r="CZ60" i="26"/>
  <c r="AE30" i="40"/>
  <c r="BR61" i="41"/>
  <c r="CF13" i="37"/>
  <c r="AV13" i="26"/>
  <c r="AH26" i="1"/>
  <c r="H21" i="40"/>
  <c r="CD27" i="1"/>
  <c r="AY34" i="39"/>
  <c r="AG9" i="25"/>
  <c r="D32" i="59"/>
  <c r="BA92" i="41"/>
  <c r="W67" i="39"/>
  <c r="CT98" i="1"/>
  <c r="I92" i="25"/>
  <c r="BP75" i="36"/>
  <c r="DA12" i="41"/>
  <c r="CW24" i="36"/>
  <c r="CS50" i="40"/>
  <c r="H67"/>
  <c r="AN13" i="38"/>
  <c r="O58" i="1"/>
  <c r="K75" i="26"/>
  <c r="CX54" i="1"/>
  <c r="J79" i="40"/>
  <c r="N62" i="38"/>
  <c r="AZ21" i="37"/>
  <c r="BR53" i="39"/>
  <c r="CT60" i="38"/>
  <c r="CK9" i="37"/>
  <c r="CF60" i="36"/>
  <c r="CG60" i="41"/>
  <c r="CE9" i="1"/>
  <c r="Z17" i="40"/>
  <c r="CE54" i="41"/>
  <c r="CH10" i="1"/>
  <c r="V66" i="26"/>
  <c r="CT21" i="41"/>
  <c r="CC29" i="38"/>
  <c r="CP24" i="40"/>
  <c r="CY53" i="41"/>
  <c r="CV37" i="38"/>
  <c r="CM62" i="1"/>
  <c r="CO102" i="39"/>
  <c r="CG49" i="26"/>
  <c r="AO10" i="37"/>
  <c r="L66" i="38"/>
  <c r="BR67" i="40"/>
  <c r="AZ67" i="1"/>
  <c r="CA27" i="40"/>
  <c r="BH21" i="41"/>
  <c r="AO61" i="37"/>
  <c r="CO27" i="38"/>
  <c r="CG65"/>
  <c r="CX27" i="1"/>
  <c r="CX53"/>
  <c r="DA91"/>
  <c r="CN92" i="37"/>
  <c r="V45" i="25"/>
  <c r="BU21" i="41"/>
  <c r="AA50" i="40"/>
  <c r="BS10" i="37"/>
  <c r="BD58" i="25"/>
  <c r="G10" i="37"/>
  <c r="N21" i="1"/>
  <c r="CO29" i="36"/>
  <c r="AX27" i="39"/>
  <c r="AD27" i="26"/>
  <c r="CM54" i="36"/>
  <c r="BW30" i="37"/>
  <c r="CW25" i="41"/>
  <c r="AT98" i="37"/>
  <c r="CO54" i="36"/>
  <c r="BT34" i="25"/>
  <c r="CC62" i="1"/>
  <c r="AJ96" i="39"/>
  <c r="BS49" i="1"/>
  <c r="AS18" i="37"/>
  <c r="CM12" i="39"/>
  <c r="BE26" i="25"/>
  <c r="BY29" i="41"/>
  <c r="CK30" i="38"/>
  <c r="CX37" i="25"/>
  <c r="CW13"/>
  <c r="CV75" i="36"/>
  <c r="K67" i="39"/>
  <c r="AU92" i="25"/>
  <c r="O57" i="41"/>
  <c r="BV81" i="26"/>
  <c r="I45" i="37"/>
  <c r="CT24" i="40"/>
  <c r="BE102" i="38"/>
  <c r="AX18" i="41"/>
  <c r="W26" i="37"/>
  <c r="CX45" i="36"/>
  <c r="CX67" i="39"/>
  <c r="CP96" i="36"/>
  <c r="AS66" i="39"/>
  <c r="CR89" i="25"/>
  <c r="CL75" i="40"/>
  <c r="CL81" i="26"/>
  <c r="CO34" i="41"/>
  <c r="BW71" i="36"/>
  <c r="CD27" i="39"/>
  <c r="CD81"/>
  <c r="CK79" i="26"/>
  <c r="DE12" i="41"/>
  <c r="X61" i="25"/>
  <c r="CO50" i="41"/>
  <c r="CM67" i="39"/>
  <c r="Z48" i="37"/>
  <c r="DD60" i="41"/>
  <c r="AI81"/>
  <c r="CW61" i="1"/>
  <c r="CK67" i="39"/>
  <c r="CK96" i="37"/>
  <c r="BY61"/>
  <c r="CA25" i="39"/>
  <c r="CV9" i="25"/>
  <c r="CW18"/>
  <c r="CD9" i="37"/>
  <c r="BT12" i="40"/>
  <c r="CK102" i="39"/>
  <c r="DD13" i="36"/>
  <c r="CG37" i="25"/>
  <c r="AC17" i="39"/>
  <c r="AA98" i="25"/>
  <c r="BT30" i="41"/>
  <c r="CS21"/>
  <c r="H27" i="40"/>
  <c r="AA18" i="39"/>
  <c r="BP65" i="36"/>
  <c r="G53" i="40"/>
  <c r="CO29"/>
  <c r="AD98" i="36"/>
  <c r="BY24" i="26"/>
  <c r="CU98" i="41"/>
  <c r="CP53" i="37"/>
  <c r="CS48" i="38"/>
  <c r="AX81" i="26"/>
  <c r="CG66" i="40"/>
  <c r="CQ102" i="38"/>
  <c r="BW71" i="26"/>
  <c r="CW54"/>
  <c r="BQ98" i="38"/>
  <c r="CP92" i="25"/>
  <c r="DC66" i="37"/>
  <c r="BT61" i="1"/>
  <c r="AG71" i="25"/>
  <c r="CL98" i="36"/>
  <c r="CJ102" i="40"/>
  <c r="AU92" i="41"/>
  <c r="BZ10" i="36"/>
  <c r="AI30" i="25"/>
  <c r="CT98"/>
  <c r="S65" i="1"/>
  <c r="AF29" i="41"/>
  <c r="DE67" i="1"/>
  <c r="AS96" i="39"/>
  <c r="BQ57" i="40"/>
  <c r="DF49" i="39"/>
  <c r="DB54" i="37"/>
  <c r="BP48" i="41"/>
  <c r="BW13" i="40"/>
  <c r="CW29" i="36"/>
  <c r="DC49" i="39"/>
  <c r="AQ92" i="36"/>
  <c r="DE24" i="39"/>
  <c r="BE79" i="26"/>
  <c r="CV65" i="25"/>
  <c r="BB62" i="41"/>
  <c r="BR45" i="1"/>
  <c r="CR60" i="39"/>
  <c r="AH92" i="26"/>
  <c r="O96"/>
  <c r="AI10" i="25"/>
  <c r="CU54" i="1"/>
  <c r="BE48" i="25"/>
  <c r="AM91" i="37"/>
  <c r="AA75" i="36"/>
  <c r="CG65" i="41"/>
  <c r="CS34" i="25"/>
  <c r="CR49" i="41"/>
  <c r="AY91" i="39"/>
  <c r="DC25" i="37"/>
  <c r="CP89"/>
  <c r="CF48" i="40"/>
  <c r="CR98" i="41"/>
  <c r="CZ37" i="37"/>
  <c r="CR45" i="36"/>
  <c r="AT102" i="1"/>
  <c r="AV27" i="37"/>
  <c r="CI54" i="41"/>
  <c r="CC37" i="25"/>
  <c r="BU65" i="36"/>
  <c r="DA25" i="40"/>
  <c r="AX53" i="37"/>
  <c r="CL79" i="36"/>
  <c r="CJ49" i="41"/>
  <c r="DE71" i="26"/>
  <c r="CS57" i="40"/>
  <c r="BO96" i="36"/>
  <c r="AV25" i="40"/>
  <c r="BV12" i="41"/>
  <c r="BE62" i="39"/>
  <c r="AC91" i="26"/>
  <c r="AQ30" i="1"/>
  <c r="CX37" i="40"/>
  <c r="BW71" i="38"/>
  <c r="AQ30" i="37"/>
  <c r="DE98" i="38"/>
  <c r="AC57" i="36"/>
  <c r="O98" i="41"/>
  <c r="DD96" i="1"/>
  <c r="DE91" i="36"/>
  <c r="DF17"/>
  <c r="AC37" i="26"/>
  <c r="AQ79" i="25"/>
  <c r="BS45" i="38"/>
  <c r="K71" i="39"/>
  <c r="BQ75" i="40"/>
  <c r="AO59" i="36"/>
  <c r="K29" i="37"/>
  <c r="G91" i="39"/>
  <c r="DC67" i="41"/>
  <c r="AJ57" i="40"/>
  <c r="S62"/>
  <c r="CO59" i="39"/>
  <c r="AT37" i="40"/>
  <c r="AE102" i="38"/>
  <c r="AF21"/>
  <c r="CI75" i="37"/>
  <c r="CH48" i="41"/>
  <c r="AS67" i="40"/>
  <c r="M30" i="38"/>
  <c r="BH54"/>
  <c r="K17" i="37"/>
  <c r="AS102" i="39"/>
  <c r="CB66" i="37"/>
  <c r="CC89" i="38"/>
  <c r="CC96"/>
  <c r="CT91" i="39"/>
  <c r="CG91"/>
  <c r="BV21" i="40"/>
  <c r="H30" i="39"/>
  <c r="BS17" i="38"/>
  <c r="AQ54" i="36"/>
  <c r="DF26" i="40"/>
  <c r="P10" i="41"/>
  <c r="CP79" i="40"/>
  <c r="H9" i="26"/>
  <c r="K49" i="41"/>
  <c r="AH79" i="25"/>
  <c r="AN61" i="26"/>
  <c r="AY53" i="41"/>
  <c r="AY71" i="1"/>
  <c r="DF13" i="36"/>
  <c r="N57" i="38"/>
  <c r="CU29" i="41"/>
  <c r="BX27" i="37"/>
  <c r="CH12" i="36"/>
  <c r="CL54" i="40"/>
  <c r="BX50" i="25"/>
  <c r="BY65" i="38"/>
  <c r="CY75"/>
  <c r="BZ30" i="37"/>
  <c r="AO24" i="41"/>
  <c r="CD75" i="37"/>
  <c r="Z26"/>
  <c r="CI98" i="36"/>
  <c r="AH34" i="26"/>
  <c r="BW67" i="38"/>
  <c r="CI37" i="26"/>
  <c r="CX91"/>
  <c r="CX59" i="37"/>
  <c r="Z37" i="41"/>
  <c r="T66"/>
  <c r="BA59" i="36"/>
  <c r="CI10" i="38"/>
  <c r="CQ57"/>
  <c r="AM75" i="40"/>
  <c r="AF37" i="25"/>
  <c r="K21" i="38"/>
  <c r="CK49" i="41"/>
  <c r="CR53" i="37"/>
  <c r="BR98" i="39"/>
  <c r="BT81" i="38"/>
  <c r="AC29" i="41"/>
  <c r="T62" i="39"/>
  <c r="BS18" i="1"/>
  <c r="BX27" i="41"/>
  <c r="Y81" i="26"/>
  <c r="AF71" i="36"/>
  <c r="CC58" i="40"/>
  <c r="AQ58" i="26"/>
  <c r="BX13" i="38"/>
  <c r="AU91" i="37"/>
  <c r="BY9" i="38"/>
  <c r="BY67" i="40"/>
  <c r="AF27" i="37"/>
  <c r="CR58" i="39"/>
  <c r="CV66" i="1"/>
  <c r="CC30" i="38"/>
  <c r="BU34"/>
  <c r="CY17" i="1"/>
  <c r="AD13" i="37"/>
  <c r="CM81" i="26"/>
  <c r="CV61" i="36"/>
  <c r="CS57" i="26"/>
  <c r="H60" i="25"/>
  <c r="CE29"/>
  <c r="BD30" i="41"/>
  <c r="J17" i="39"/>
  <c r="AI89" i="40"/>
  <c r="AG98" i="39"/>
  <c r="AH71" i="25"/>
  <c r="BB66" i="41"/>
  <c r="CO26" i="26"/>
  <c r="BT29" i="39"/>
  <c r="W27" i="1"/>
  <c r="BS9" i="40"/>
  <c r="BT30" i="26"/>
  <c r="CO45" i="36"/>
  <c r="CI17" i="26"/>
  <c r="CV66" i="25"/>
  <c r="CY79" i="26"/>
  <c r="AV10" i="36"/>
  <c r="G45" i="26"/>
  <c r="DF89" i="1"/>
  <c r="DA25" i="38"/>
  <c r="AB60" i="40"/>
  <c r="AQ57"/>
  <c r="O50" i="26"/>
  <c r="CD29" i="1"/>
  <c r="BU89" i="37"/>
  <c r="AQ48" i="41"/>
  <c r="BR92"/>
  <c r="J8" i="60"/>
  <c r="BY81" i="38"/>
  <c r="CF49" i="25"/>
  <c r="AE34" i="40"/>
  <c r="M62" i="39"/>
  <c r="AP27" i="38"/>
  <c r="AG67" i="36"/>
  <c r="J92" i="26"/>
  <c r="CR98" i="1"/>
  <c r="AE59"/>
  <c r="AN10" i="40"/>
  <c r="DE26" i="26"/>
  <c r="CX57" i="25"/>
  <c r="AE45" i="38"/>
  <c r="BE75"/>
  <c r="J13" i="36"/>
  <c r="I27" i="39"/>
  <c r="BZ53" i="37"/>
  <c r="CN50"/>
  <c r="Y89" i="26"/>
  <c r="M12" i="40"/>
  <c r="CX67" i="41"/>
  <c r="K29" i="25"/>
  <c r="DE62" i="39"/>
  <c r="AB102" i="37"/>
  <c r="BQ13" i="1"/>
  <c r="CF27" i="39"/>
  <c r="AR91" i="36"/>
  <c r="CN37" i="26"/>
  <c r="BS58" i="40"/>
  <c r="AB59" i="37"/>
  <c r="H96" i="36"/>
  <c r="BU71" i="40"/>
  <c r="BW96" i="25"/>
  <c r="AO58" i="39"/>
  <c r="U61" i="36"/>
  <c r="T25" i="1"/>
  <c r="BA10" i="26"/>
  <c r="AC54" i="1"/>
  <c r="BR65" i="37"/>
  <c r="CU92" i="40"/>
  <c r="AR58" i="25"/>
  <c r="N53" i="39"/>
  <c r="AQ102" i="37"/>
  <c r="CV57" i="25"/>
  <c r="K60" i="40"/>
  <c r="P12" i="1"/>
  <c r="H75" i="40"/>
  <c r="BO27" i="26"/>
  <c r="AU18" i="37"/>
  <c r="AA10" i="39"/>
  <c r="AR49" i="25"/>
  <c r="AH53" i="39"/>
  <c r="BW49"/>
  <c r="BB60" i="25"/>
  <c r="DD102"/>
  <c r="BS26" i="41"/>
  <c r="AF65" i="1"/>
  <c r="CD12" i="37"/>
  <c r="CS24" i="36"/>
  <c r="CE81" i="40"/>
  <c r="BA26" i="1"/>
  <c r="CM45" i="37"/>
  <c r="AJ50" i="26"/>
  <c r="CJ53" i="25"/>
  <c r="Z96" i="37"/>
  <c r="O29" i="36"/>
  <c r="BT37" i="41"/>
  <c r="BH60" i="1"/>
  <c r="BY45"/>
  <c r="AO49" i="25"/>
  <c r="AJ48" i="38"/>
  <c r="BB27" i="40"/>
  <c r="DE81" i="37"/>
  <c r="BA96" i="40"/>
  <c r="G48" i="41"/>
  <c r="DD103" i="39"/>
  <c r="DA60" i="40"/>
  <c r="BV92"/>
  <c r="BB54" i="25"/>
  <c r="L29"/>
  <c r="CF21" i="38"/>
  <c r="CJ62" i="40"/>
  <c r="AQ59" i="26"/>
  <c r="AM50" i="36"/>
  <c r="CQ50" i="37"/>
  <c r="CK54" i="26"/>
  <c r="BT54" i="25"/>
  <c r="BI54" i="36"/>
  <c r="J81" i="38"/>
  <c r="U60"/>
  <c r="BD59" i="1"/>
  <c r="AS48" i="39"/>
  <c r="O65" i="37"/>
  <c r="AV26" i="41"/>
  <c r="Y9" i="40"/>
  <c r="K65" i="36"/>
  <c r="BB12" i="1"/>
  <c r="BV9" i="25"/>
  <c r="X57" i="36"/>
  <c r="AA60" i="39"/>
  <c r="AH50" i="36"/>
  <c r="G67" i="41"/>
  <c r="DB79" i="40"/>
  <c r="CH61" i="39"/>
  <c r="BZ91" i="25"/>
  <c r="CE79"/>
  <c r="CR49" i="36"/>
  <c r="DF29" i="41"/>
  <c r="CX89" i="1"/>
  <c r="L9" i="38"/>
  <c r="AF58" i="39"/>
  <c r="H53"/>
  <c r="V54" i="26"/>
  <c r="AH65" i="39"/>
  <c r="DE49"/>
  <c r="P60" i="37"/>
  <c r="CH34" i="1"/>
  <c r="BT62" i="25"/>
  <c r="E394" i="46"/>
  <c r="BE30" i="40"/>
  <c r="AS48" i="41"/>
  <c r="BY24" i="38"/>
  <c r="CB71" i="36"/>
  <c r="CT58" i="26"/>
  <c r="CM49" i="37"/>
  <c r="BO58"/>
  <c r="BD65" i="25"/>
  <c r="AM91" i="36"/>
  <c r="BO49" i="26"/>
  <c r="J61" i="41"/>
  <c r="CS61" i="38"/>
  <c r="BX29" i="41"/>
  <c r="DC92" i="39"/>
  <c r="AV67" i="25"/>
  <c r="Z24" i="40"/>
  <c r="BA13" i="39"/>
  <c r="AM21" i="26"/>
  <c r="AT79" i="41"/>
  <c r="BT54" i="1"/>
  <c r="AV92" i="39"/>
  <c r="CR12" i="26"/>
  <c r="CY27" i="36"/>
  <c r="V18" i="40"/>
  <c r="AV10" i="38"/>
  <c r="DB89" i="1"/>
  <c r="DB57" i="36"/>
  <c r="CT57" i="41"/>
  <c r="AB62" i="25"/>
  <c r="BY58" i="1"/>
  <c r="AW98" i="41"/>
  <c r="Z34" i="38"/>
  <c r="L102" i="36"/>
  <c r="L17" i="25"/>
  <c r="DD98" i="40"/>
  <c r="DD50" i="1"/>
  <c r="BH60" i="36"/>
  <c r="DA65"/>
  <c r="AD62" i="38"/>
  <c r="CT24" i="39"/>
  <c r="BD75" i="25"/>
  <c r="K79" i="1"/>
  <c r="BW59" i="36"/>
  <c r="BZ67" i="41"/>
  <c r="CE26"/>
  <c r="Y98" i="39"/>
  <c r="BV61" i="38"/>
  <c r="BA45" i="1"/>
  <c r="BR98"/>
  <c r="BY98" i="38"/>
  <c r="CD27" i="41"/>
  <c r="CA34" i="25"/>
  <c r="CQ12" i="41"/>
  <c r="CP17" i="39"/>
  <c r="DB96" i="38"/>
  <c r="DF48" i="41"/>
  <c r="AZ21"/>
  <c r="K18" i="1"/>
  <c r="CA59" i="38"/>
  <c r="V57" i="41"/>
  <c r="AD37" i="38"/>
  <c r="CP53" i="36"/>
  <c r="AX61" i="40"/>
  <c r="CP29" i="41"/>
  <c r="AB17" i="25"/>
  <c r="W62" i="37"/>
  <c r="CE29"/>
  <c r="AX91" i="1"/>
  <c r="BC53" i="39"/>
  <c r="AU21" i="38"/>
  <c r="O60"/>
  <c r="H98" i="39"/>
  <c r="AE34" i="36"/>
  <c r="CE54" i="40"/>
  <c r="CW60" i="26"/>
  <c r="V91" i="37"/>
  <c r="DA89" i="39"/>
  <c r="N48" i="46"/>
  <c r="AJ62" i="26"/>
  <c r="CX30" i="41"/>
  <c r="AX53" i="26"/>
  <c r="CF53" i="41"/>
  <c r="CU49" i="26"/>
  <c r="CM59" i="39"/>
  <c r="DF96" i="1"/>
  <c r="BY17" i="40"/>
  <c r="AF54" i="25"/>
  <c r="CJ54" i="40"/>
  <c r="CY91" i="37"/>
  <c r="DD91" i="36"/>
  <c r="CO45" i="37"/>
  <c r="AF37"/>
  <c r="DD27" i="38"/>
  <c r="AX60" i="36"/>
  <c r="CT48" i="40"/>
  <c r="CS49" i="26"/>
  <c r="DB81" i="25"/>
  <c r="CI13" i="40"/>
  <c r="BD10" i="38"/>
  <c r="AP29" i="39"/>
  <c r="AH92" i="40"/>
  <c r="BI34" i="39"/>
  <c r="I27" i="1"/>
  <c r="AU21" i="26"/>
  <c r="AS75" i="36"/>
  <c r="U57" i="26"/>
  <c r="BB25" i="41"/>
  <c r="AU12" i="39"/>
  <c r="BV18" i="36"/>
  <c r="AM62" i="26"/>
  <c r="CC34"/>
  <c r="CA49"/>
  <c r="BX17"/>
  <c r="CC71" i="38"/>
  <c r="BU24" i="1"/>
  <c r="CG89" i="37"/>
  <c r="AV27" i="36"/>
  <c r="AZ61"/>
  <c r="I91" i="26"/>
  <c r="BT71" i="36"/>
  <c r="BQ60" i="25"/>
  <c r="BR89" i="41"/>
  <c r="BT24" i="38"/>
  <c r="CJ98"/>
  <c r="CX37" i="26"/>
  <c r="AD27" i="36"/>
  <c r="BE57" i="1"/>
  <c r="BO102" i="25"/>
  <c r="BD13" i="41"/>
  <c r="BZ66" i="40"/>
  <c r="CC66" i="39"/>
  <c r="BZ37" i="38"/>
  <c r="AH27" i="26"/>
  <c r="AW61" i="38"/>
  <c r="BE54" i="25"/>
  <c r="BP30" i="38"/>
  <c r="CX89" i="36"/>
  <c r="AS96" i="26"/>
  <c r="AX25"/>
  <c r="CQ37" i="37"/>
  <c r="AW48" i="36"/>
  <c r="DC30" i="40"/>
  <c r="AO49"/>
  <c r="M96" i="26"/>
  <c r="O66" i="36"/>
  <c r="DB79" i="41"/>
  <c r="BH57" i="39"/>
  <c r="BI17"/>
  <c r="CI26" i="40"/>
  <c r="CM21" i="38"/>
  <c r="AJ34"/>
  <c r="J45" i="1"/>
  <c r="CJ54" i="39"/>
  <c r="AU53" i="41"/>
  <c r="AJ53" i="39"/>
  <c r="AS67" i="1"/>
  <c r="CW98" i="36"/>
  <c r="AV79" i="37"/>
  <c r="CN48"/>
  <c r="CG65" i="39"/>
  <c r="BP26" i="36"/>
  <c r="AI49" i="39"/>
  <c r="CZ26" i="41"/>
  <c r="CM75" i="40"/>
  <c r="AP81" i="38"/>
  <c r="J102" i="36"/>
  <c r="BA91" i="39"/>
  <c r="DA103" i="25"/>
  <c r="AP75" i="36"/>
  <c r="AW12" i="37"/>
  <c r="BZ34" i="38"/>
  <c r="CA66"/>
  <c r="BY92" i="26"/>
  <c r="DD53" i="39"/>
  <c r="CZ57" i="26"/>
  <c r="BR92" i="37"/>
  <c r="BR12" i="40"/>
  <c r="CH96" i="38"/>
  <c r="AQ91" i="26"/>
  <c r="CH10" i="37"/>
  <c r="CW12" i="25"/>
  <c r="AT92" i="37"/>
  <c r="BE75"/>
  <c r="CA62" i="41"/>
  <c r="AI10"/>
  <c r="CT49" i="36"/>
  <c r="AN21" i="25"/>
  <c r="BS34" i="41"/>
  <c r="DE21" i="40"/>
  <c r="BD30" i="37"/>
  <c r="DD71" i="1"/>
  <c r="L27" i="26"/>
  <c r="DE54" i="38"/>
  <c r="AN79"/>
  <c r="G57"/>
  <c r="AM89" i="36"/>
  <c r="BV91" i="38"/>
  <c r="AV62"/>
  <c r="BE9" i="25"/>
  <c r="AS79"/>
  <c r="AN12"/>
  <c r="AD54" i="38"/>
  <c r="AH30" i="39"/>
  <c r="BP89" i="37"/>
  <c r="W61" i="39"/>
  <c r="BV71" i="1"/>
  <c r="AH30" i="40"/>
  <c r="BB96" i="38"/>
  <c r="CB29" i="37"/>
  <c r="CC57" i="40"/>
  <c r="CA13" i="41"/>
  <c r="CG30" i="39"/>
  <c r="CN54" i="40"/>
  <c r="CY12" i="41"/>
  <c r="AX30" i="36"/>
  <c r="DD61"/>
  <c r="BH58"/>
  <c r="AG65" i="39"/>
  <c r="BS29" i="38"/>
  <c r="AW91" i="40"/>
  <c r="BD96"/>
  <c r="CE50" i="26"/>
  <c r="U10" i="41"/>
  <c r="W89" i="36"/>
  <c r="BY12" i="25"/>
  <c r="AA60" i="36"/>
  <c r="AZ53" i="1"/>
  <c r="AJ59" i="25"/>
  <c r="BU60" i="41"/>
  <c r="L57" i="39"/>
  <c r="BT98" i="40"/>
  <c r="BR12" i="41"/>
  <c r="BA59" i="37"/>
  <c r="W30" i="41"/>
  <c r="S49" i="26"/>
  <c r="BP61" i="39"/>
  <c r="BB81" i="37"/>
  <c r="CT25" i="39"/>
  <c r="BY79" i="38"/>
  <c r="CH102" i="25"/>
  <c r="BY62" i="36"/>
  <c r="CJ91" i="39"/>
  <c r="CN102" i="37"/>
  <c r="CC49" i="38"/>
  <c r="BT60" i="36"/>
  <c r="BT37" i="26"/>
  <c r="M26" i="39"/>
  <c r="K92"/>
  <c r="CV49" i="38"/>
  <c r="DF96" i="25"/>
  <c r="AU34" i="1"/>
  <c r="CO29" i="41"/>
  <c r="BA61" i="36"/>
  <c r="AR66" i="41"/>
  <c r="BP102" i="1"/>
  <c r="AU29" i="36"/>
  <c r="BB50" i="38"/>
  <c r="AZ53" i="26"/>
  <c r="BZ96" i="41"/>
  <c r="CA65" i="1"/>
  <c r="AV62" i="37"/>
  <c r="BC17" i="38"/>
  <c r="BQ91" i="25"/>
  <c r="CZ59" i="38"/>
  <c r="AP48" i="36"/>
  <c r="AN67" i="1"/>
  <c r="AY81" i="26"/>
  <c r="CY92" i="1"/>
  <c r="AO75" i="39"/>
  <c r="CE79" i="1"/>
  <c r="CZ45" i="40"/>
  <c r="AE57" i="1"/>
  <c r="BP58" i="37"/>
  <c r="J58" i="26"/>
  <c r="AB92" i="1"/>
  <c r="DB57" i="38"/>
  <c r="DF102" i="26"/>
  <c r="X98" i="25"/>
  <c r="AT75" i="1"/>
  <c r="AC34" i="39"/>
  <c r="CY66" i="41"/>
  <c r="CZ13" i="36"/>
  <c r="AT18" i="39"/>
  <c r="CV17" i="36"/>
  <c r="BR37" i="37"/>
  <c r="CR61" i="41"/>
  <c r="AC9" i="25"/>
  <c r="DC67" i="36"/>
  <c r="CU66" i="41"/>
  <c r="BU71" i="1"/>
  <c r="AX29" i="38"/>
  <c r="CH50" i="36"/>
  <c r="CT17"/>
  <c r="CW34" i="1"/>
  <c r="CV71" i="36"/>
  <c r="U34" i="41"/>
  <c r="AP79"/>
  <c r="CB81" i="26"/>
  <c r="CM21" i="40"/>
  <c r="CI62" i="38"/>
  <c r="DD65" i="25"/>
  <c r="P54" i="41"/>
  <c r="AE91" i="40"/>
  <c r="I12" i="1"/>
  <c r="J26" i="25"/>
  <c r="AG45" i="37"/>
  <c r="BB67" i="41"/>
  <c r="AH75" i="26"/>
  <c r="CW45" i="39"/>
  <c r="CU48" i="41"/>
  <c r="BP45" i="1"/>
  <c r="BC37" i="39"/>
  <c r="AM9" i="38"/>
  <c r="I27" i="25"/>
  <c r="BX89" i="1"/>
  <c r="DF57" i="25"/>
  <c r="AT98" i="38"/>
  <c r="Z25" i="1"/>
  <c r="G27" i="25"/>
  <c r="O12" i="1"/>
  <c r="BW91" i="36"/>
  <c r="AF13" i="40"/>
  <c r="BY12" i="36"/>
  <c r="M96" i="37"/>
  <c r="CT27" i="39"/>
  <c r="BQ13" i="41"/>
  <c r="CQ59" i="25"/>
  <c r="CT89"/>
  <c r="BS50" i="37"/>
  <c r="AS66" i="1"/>
  <c r="CU91"/>
  <c r="CS81" i="26"/>
  <c r="BW45" i="37"/>
  <c r="CQ34"/>
  <c r="CI54" i="40"/>
  <c r="BZ54" i="39"/>
  <c r="CS89" i="38"/>
  <c r="BQ96" i="41"/>
  <c r="CV21" i="38"/>
  <c r="DC58" i="25"/>
  <c r="DE98" i="1"/>
  <c r="P98" i="25"/>
  <c r="CJ13" i="41"/>
  <c r="AG17" i="25"/>
  <c r="CG24" i="41"/>
  <c r="BY10" i="40"/>
  <c r="CN58" i="25"/>
  <c r="L79" i="26"/>
  <c r="S57" i="1"/>
  <c r="CR65" i="37"/>
  <c r="BT10" i="39"/>
  <c r="AF53" i="25"/>
  <c r="AV81" i="37"/>
  <c r="CD59" i="36"/>
  <c r="AZ29" i="38"/>
  <c r="CN65"/>
  <c r="AR89" i="36"/>
  <c r="CB66" i="1"/>
  <c r="AD61" i="38"/>
  <c r="U17" i="41"/>
  <c r="DE67" i="38"/>
  <c r="AQ45" i="40"/>
  <c r="BX29" i="37"/>
  <c r="BE61"/>
  <c r="U58" i="26"/>
  <c r="BI13" i="36"/>
  <c r="O12" i="40"/>
  <c r="CN10" i="36"/>
  <c r="V75" i="39"/>
  <c r="CA50" i="40"/>
  <c r="AY53" i="25"/>
  <c r="CP27"/>
  <c r="DF21" i="1"/>
  <c r="S92" i="36"/>
  <c r="AP71" i="39"/>
  <c r="AR9" i="41"/>
  <c r="AS12" i="36"/>
  <c r="H27" i="37"/>
  <c r="AF58" i="40"/>
  <c r="CN10"/>
  <c r="BW37" i="25"/>
  <c r="DF59" i="38"/>
  <c r="CD21" i="26"/>
  <c r="CM48" i="38"/>
  <c r="BW12" i="26"/>
  <c r="Z25"/>
  <c r="CE60" i="40"/>
  <c r="AC81"/>
  <c r="AD27" i="38"/>
  <c r="W62" i="26"/>
  <c r="N75" i="39"/>
  <c r="AB58" i="25"/>
  <c r="AI18" i="41"/>
  <c r="CW96" i="40"/>
  <c r="BZ103"/>
  <c r="CN59" i="25"/>
  <c r="CR96" i="26"/>
  <c r="BH27" i="37"/>
  <c r="BS37" i="36"/>
  <c r="BT75" i="25"/>
  <c r="BH65" i="40"/>
  <c r="CM96" i="36"/>
  <c r="CS59" i="39"/>
  <c r="BR53" i="41"/>
  <c r="L30" i="36"/>
  <c r="AT65" i="1"/>
  <c r="BQ58" i="25"/>
  <c r="BT96"/>
  <c r="CN81" i="40"/>
  <c r="AQ10" i="1"/>
  <c r="BC17" i="39"/>
  <c r="CB67" i="37"/>
  <c r="X13"/>
  <c r="BS58" i="1"/>
  <c r="X65" i="25"/>
  <c r="DA103" i="41"/>
  <c r="BD9" i="37"/>
  <c r="AX12" i="36"/>
  <c r="CI67" i="1"/>
  <c r="K60" i="39"/>
  <c r="AA10" i="37"/>
  <c r="DC66" i="26"/>
  <c r="BT79" i="1"/>
  <c r="BS102" i="41"/>
  <c r="BY50" i="37"/>
  <c r="CJ49" i="38"/>
  <c r="BE92" i="1"/>
  <c r="P96" i="37"/>
  <c r="O96" i="41"/>
  <c r="H71" i="25"/>
  <c r="BV53" i="26"/>
  <c r="BY54" i="38"/>
  <c r="AX75" i="26"/>
  <c r="CA50"/>
  <c r="CX17" i="37"/>
  <c r="AP96" i="1"/>
  <c r="CM98" i="39"/>
  <c r="AI54" i="37"/>
  <c r="N81" i="40"/>
  <c r="BU49" i="36"/>
  <c r="AW25" i="40"/>
  <c r="BT79" i="25"/>
  <c r="BU50" i="40"/>
  <c r="AD98" i="1"/>
  <c r="N62" i="26"/>
  <c r="CJ103" i="38"/>
  <c r="AV26" i="1"/>
  <c r="BC13" i="37"/>
  <c r="AW29"/>
  <c r="AF79" i="38"/>
  <c r="AV49" i="1"/>
  <c r="S59" i="41"/>
  <c r="H91" i="37"/>
  <c r="CK58" i="1"/>
  <c r="BR102" i="39"/>
  <c r="CI71" i="41"/>
  <c r="Y10" i="26"/>
  <c r="CB89" i="38"/>
  <c r="CP9" i="41"/>
  <c r="M12" i="37"/>
  <c r="CQ79" i="26"/>
  <c r="CB21" i="37"/>
  <c r="CG37" i="41"/>
  <c r="CS53" i="36"/>
  <c r="DB58" i="41"/>
  <c r="S92" i="1"/>
  <c r="AU81" i="25"/>
  <c r="O21" i="40"/>
  <c r="DB54" i="41"/>
  <c r="AP24"/>
  <c r="CZ67" i="39"/>
  <c r="G27" i="41"/>
  <c r="BC89" i="37"/>
  <c r="CK91" i="25"/>
  <c r="L102" i="26"/>
  <c r="P58" i="25"/>
  <c r="CV10" i="38"/>
  <c r="DB30"/>
  <c r="BD27" i="26"/>
  <c r="P62" i="39"/>
  <c r="BE25"/>
  <c r="J96" i="36"/>
  <c r="AN26" i="26"/>
  <c r="BX26" i="38"/>
  <c r="CK45" i="37"/>
  <c r="CD54" i="40"/>
  <c r="CI18" i="37"/>
  <c r="CW21"/>
  <c r="BQ13" i="36"/>
  <c r="AR96" i="40"/>
  <c r="BU18" i="1"/>
  <c r="BC102" i="38"/>
  <c r="CL12" i="39"/>
  <c r="CF34" i="38"/>
  <c r="CJ25"/>
  <c r="Z71" i="25"/>
  <c r="AV59" i="40"/>
  <c r="AR75" i="38"/>
  <c r="BV10"/>
  <c r="AC30" i="40"/>
  <c r="DA75" i="26"/>
  <c r="AN60" i="38"/>
  <c r="DA49"/>
  <c r="AP45" i="36"/>
  <c r="BV103" i="25"/>
  <c r="N34" i="26"/>
  <c r="BY65"/>
  <c r="BZ96" i="36"/>
  <c r="CH54" i="26"/>
  <c r="AZ30" i="40"/>
  <c r="AV54" i="41"/>
  <c r="AR71" i="40"/>
  <c r="AX49" i="36"/>
  <c r="N91" i="39"/>
  <c r="AN10" i="41"/>
  <c r="AD48" i="37"/>
  <c r="I71" i="36"/>
  <c r="BI18" i="40"/>
  <c r="BS13"/>
  <c r="M34" i="36"/>
  <c r="CJ96" i="40"/>
  <c r="CB9" i="41"/>
  <c r="I12" i="40"/>
  <c r="CK96" i="26"/>
  <c r="AZ21" i="38"/>
  <c r="AC50" i="26"/>
  <c r="L66" i="37"/>
  <c r="CE24" i="41"/>
  <c r="CR58" i="37"/>
  <c r="J30" i="38"/>
  <c r="AT75" i="40"/>
  <c r="CU49" i="41"/>
  <c r="AV27" i="25"/>
  <c r="J57"/>
  <c r="AA34" i="26"/>
  <c r="AZ67" i="37"/>
  <c r="AO18"/>
  <c r="AJ58"/>
  <c r="CN91" i="40"/>
  <c r="DD81" i="36"/>
  <c r="AQ61" i="40"/>
  <c r="AY49" i="38"/>
  <c r="M18" i="25"/>
  <c r="CQ18" i="1"/>
  <c r="DF13" i="25"/>
  <c r="AX91" i="37"/>
  <c r="AT60" i="26"/>
  <c r="CE71" i="40"/>
  <c r="DE59" i="36"/>
  <c r="AR60" i="25"/>
  <c r="CM53" i="37"/>
  <c r="CP81" i="39"/>
  <c r="CM57" i="1"/>
  <c r="CE79" i="37"/>
  <c r="CE57" i="1"/>
  <c r="H10" i="36"/>
  <c r="CB10" i="41"/>
  <c r="CY49" i="25"/>
  <c r="BB29" i="36"/>
  <c r="AB18" i="41"/>
  <c r="CX79" i="40"/>
  <c r="BI34" i="41"/>
  <c r="DA58" i="36"/>
  <c r="N59" i="25"/>
  <c r="AE48" i="39"/>
  <c r="AI13" i="1"/>
  <c r="AZ34" i="40"/>
  <c r="G66" i="39"/>
  <c r="AH66"/>
  <c r="CS65"/>
  <c r="T98" i="1"/>
  <c r="AT18" i="40"/>
  <c r="CF13" i="1"/>
  <c r="AB89" i="40"/>
  <c r="AC48" i="37"/>
  <c r="AW102" i="36"/>
  <c r="AU21" i="41"/>
  <c r="V17" i="36"/>
  <c r="AF53" i="38"/>
  <c r="CG30"/>
  <c r="AZ67" i="26"/>
  <c r="CE75" i="36"/>
  <c r="CR66" i="25"/>
  <c r="BR10" i="1"/>
  <c r="CI65" i="25"/>
  <c r="AQ17" i="38"/>
  <c r="Z13" i="25"/>
  <c r="AV58" i="1"/>
  <c r="BW54" i="37"/>
  <c r="BW29" i="40"/>
  <c r="BO89" i="38"/>
  <c r="CV62" i="39"/>
  <c r="CO57" i="1"/>
  <c r="AP37" i="25"/>
  <c r="X53" i="41"/>
  <c r="BI71" i="1"/>
  <c r="M29"/>
  <c r="CE21" i="37"/>
  <c r="CZ89" i="36"/>
  <c r="AE62" i="26"/>
  <c r="BH10" i="25"/>
  <c r="BA75" i="26"/>
  <c r="BX45" i="40"/>
  <c r="CM92" i="25"/>
  <c r="Y17" i="41"/>
  <c r="DE21" i="38"/>
  <c r="CP96"/>
  <c r="BU9" i="25"/>
  <c r="BQ91" i="36"/>
  <c r="BV57" i="26"/>
  <c r="BO89"/>
  <c r="DD60" i="36"/>
  <c r="L54" i="41"/>
  <c r="AV48" i="36"/>
  <c r="CJ102" i="1"/>
  <c r="BX62" i="38"/>
  <c r="BZ24" i="36"/>
  <c r="AV61" i="39"/>
  <c r="BQ67" i="37"/>
  <c r="AW92" i="40"/>
  <c r="X13" i="41"/>
  <c r="CM25" i="37"/>
  <c r="CG48" i="39"/>
  <c r="BY45" i="36"/>
  <c r="CZ54" i="39"/>
  <c r="DE79" i="37"/>
  <c r="CP18" i="39"/>
  <c r="CO71" i="40"/>
  <c r="AC53"/>
  <c r="AQ89"/>
  <c r="W91" i="37"/>
  <c r="AD12"/>
  <c r="CF54" i="38"/>
  <c r="G45" i="39"/>
  <c r="BX60" i="1"/>
  <c r="AR48" i="37"/>
  <c r="M30"/>
  <c r="AN10" i="39"/>
  <c r="I79" i="36"/>
  <c r="AF89" i="26"/>
  <c r="AD81" i="36"/>
  <c r="CL103" i="1"/>
  <c r="CS13" i="41"/>
  <c r="CN50" i="1"/>
  <c r="J17" i="36"/>
  <c r="AI91" i="37"/>
  <c r="CF71"/>
  <c r="CE30" i="1"/>
  <c r="CV92" i="38"/>
  <c r="AV25" i="1"/>
  <c r="CV60" i="41"/>
  <c r="AZ71" i="37"/>
  <c r="CB45" i="25"/>
  <c r="AP50" i="36"/>
  <c r="BC57"/>
  <c r="DB59" i="1"/>
  <c r="AB29" i="38"/>
  <c r="BV79" i="37"/>
  <c r="P30" i="1"/>
  <c r="BC75"/>
  <c r="CT102" i="25"/>
  <c r="DF30" i="41"/>
  <c r="AW34" i="1"/>
  <c r="CU57" i="26"/>
  <c r="AB48" i="1"/>
  <c r="O57"/>
  <c r="BX50"/>
  <c r="AQ102" i="26"/>
  <c r="AS21" i="38"/>
  <c r="BA24" i="37"/>
  <c r="BW79" i="40"/>
  <c r="AX25"/>
  <c r="CV75" i="25"/>
  <c r="AV12"/>
  <c r="BY89" i="1"/>
  <c r="CJ26" i="39"/>
  <c r="CB9" i="40"/>
  <c r="BD91" i="37"/>
  <c r="AQ96"/>
  <c r="AC26" i="26"/>
  <c r="P53" i="40"/>
  <c r="BH12" i="38"/>
  <c r="BB66"/>
  <c r="I89" i="1"/>
  <c r="BI62" i="26"/>
  <c r="BW89" i="41"/>
  <c r="CA48"/>
  <c r="CJ92" i="25"/>
  <c r="CP96" i="41"/>
  <c r="BX65" i="26"/>
  <c r="CE89" i="39"/>
  <c r="CO45" i="41"/>
  <c r="BX57" i="38"/>
  <c r="CQ10" i="37"/>
  <c r="BW65" i="26"/>
  <c r="AC9" i="41"/>
  <c r="CS21" i="1"/>
  <c r="CM9" i="40"/>
  <c r="CZ34" i="26"/>
  <c r="BE53" i="39"/>
  <c r="AM79"/>
  <c r="AX98" i="41"/>
  <c r="BD53" i="37"/>
  <c r="CQ50" i="1"/>
  <c r="V60" i="25"/>
  <c r="BA98" i="39"/>
  <c r="BU48" i="40"/>
  <c r="CK91" i="38"/>
  <c r="CO75" i="40"/>
  <c r="CR59" i="26"/>
  <c r="AU98" i="38"/>
  <c r="AS98" i="39"/>
  <c r="CQ9" i="36"/>
  <c r="AP65" i="39"/>
  <c r="BB9"/>
  <c r="G60" i="38"/>
  <c r="AJ12"/>
  <c r="AM54" i="39"/>
  <c r="CB26" i="37"/>
  <c r="AW75" i="36"/>
  <c r="CM30" i="39"/>
  <c r="CJ98" i="41"/>
  <c r="CM58" i="36"/>
  <c r="CG17" i="26"/>
  <c r="AZ26" i="36"/>
  <c r="BU58" i="37"/>
  <c r="AX29" i="41"/>
  <c r="CJ26" i="25"/>
  <c r="BH29" i="38"/>
  <c r="AM50" i="41"/>
  <c r="CY75" i="39"/>
  <c r="BY25" i="38"/>
  <c r="N21" i="36"/>
  <c r="CJ58"/>
  <c r="CC24" i="25"/>
  <c r="BQ67" i="26"/>
  <c r="O54" i="37"/>
  <c r="I49" i="36"/>
  <c r="L17" i="1"/>
  <c r="CW92" i="41"/>
  <c r="BC89" i="1"/>
  <c r="AV79" i="25"/>
  <c r="CZ59" i="36"/>
  <c r="O61" i="40"/>
  <c r="T37" i="39"/>
  <c r="AI62" i="41"/>
  <c r="BA53" i="1"/>
  <c r="BW26" i="26"/>
  <c r="DA53" i="39"/>
  <c r="DA66" i="40"/>
  <c r="BX13" i="1"/>
  <c r="BV61" i="40"/>
  <c r="DA17" i="41"/>
  <c r="AN57" i="40"/>
  <c r="AM58" i="26"/>
  <c r="AC12" i="1"/>
  <c r="AP57" i="39"/>
  <c r="DB65" i="41"/>
  <c r="CT45" i="40"/>
  <c r="CY66" i="1"/>
  <c r="CJ59" i="25"/>
  <c r="CP102" i="1"/>
  <c r="AA91" i="39"/>
  <c r="BH50" i="26"/>
  <c r="CU103"/>
  <c r="DC65" i="40"/>
  <c r="AO21" i="1"/>
  <c r="AC61" i="39"/>
  <c r="CZ58" i="1"/>
  <c r="AT65" i="37"/>
  <c r="AD75" i="39"/>
  <c r="CB54"/>
  <c r="CG59" i="40"/>
  <c r="CZ27" i="1"/>
  <c r="BZ29" i="37"/>
  <c r="CV71" i="26"/>
  <c r="T62" i="37"/>
  <c r="DF67" i="38"/>
  <c r="AO48" i="25"/>
  <c r="BX25" i="37"/>
  <c r="G30" i="40"/>
  <c r="BX79"/>
  <c r="CK103" i="41"/>
  <c r="CG62" i="25"/>
  <c r="CG45" i="36"/>
  <c r="CJ79" i="37"/>
  <c r="CX59" i="36"/>
  <c r="CC60" i="26"/>
  <c r="CN24" i="38"/>
  <c r="CH75" i="36"/>
  <c r="CX81"/>
  <c r="L9" i="37"/>
  <c r="CM12" i="26"/>
  <c r="K96" i="38"/>
  <c r="BB53" i="25"/>
  <c r="AO18" i="38"/>
  <c r="AH91" i="41"/>
  <c r="CM25" i="40"/>
  <c r="O60" i="26"/>
  <c r="DE13" i="37"/>
  <c r="AU57" i="25"/>
  <c r="AD58" i="41"/>
  <c r="N30" i="39"/>
  <c r="CE26" i="40"/>
  <c r="AE53" i="25"/>
  <c r="CL81" i="39"/>
  <c r="I89" i="25"/>
  <c r="CU54"/>
  <c r="DD89" i="26"/>
  <c r="AU54" i="39"/>
  <c r="AH13" i="36"/>
  <c r="CT58" i="37"/>
  <c r="V67" i="1"/>
  <c r="AQ81" i="39"/>
  <c r="BD59" i="25"/>
  <c r="CH79" i="1"/>
  <c r="AQ21" i="38"/>
  <c r="CY57" i="41"/>
  <c r="AG71" i="39"/>
  <c r="AG9"/>
  <c r="AC13" i="37"/>
  <c r="CY21" i="39"/>
  <c r="CE12" i="1"/>
  <c r="V60" i="38"/>
  <c r="BR57" i="41"/>
  <c r="CY71"/>
  <c r="AP60" i="37"/>
  <c r="AN24" i="36"/>
  <c r="Y30" i="25"/>
  <c r="N65" i="1"/>
  <c r="AH45" i="40"/>
  <c r="BV61" i="26"/>
  <c r="BU59" i="36"/>
  <c r="CQ59" i="39"/>
  <c r="CV65" i="37"/>
  <c r="L10" i="36"/>
  <c r="BQ71" i="25"/>
  <c r="BI54" i="40"/>
  <c r="CN65" i="26"/>
  <c r="CU18" i="1"/>
  <c r="CI17" i="36"/>
  <c r="BZ50" i="25"/>
  <c r="CA10" i="36"/>
  <c r="CY54" i="39"/>
  <c r="CA75" i="41"/>
  <c r="CG59" i="37"/>
  <c r="BW24" i="38"/>
  <c r="CW66"/>
  <c r="AJ79" i="39"/>
  <c r="BD98" i="41"/>
  <c r="CQ18" i="39"/>
  <c r="CA26" i="1"/>
  <c r="AN17" i="26"/>
  <c r="AT9" i="41"/>
  <c r="CP57" i="39"/>
  <c r="BH12" i="26"/>
  <c r="BA26" i="40"/>
  <c r="BU12" i="26"/>
  <c r="AG25" i="37"/>
  <c r="BA37" i="39"/>
  <c r="AW18" i="25"/>
  <c r="DF91" i="41"/>
  <c r="CK81" i="36"/>
  <c r="BD89" i="40"/>
  <c r="AP67" i="37"/>
  <c r="DA30" i="40"/>
  <c r="DF81" i="37"/>
  <c r="BP48" i="36"/>
  <c r="AE26" i="38"/>
  <c r="CV30" i="41"/>
  <c r="CR54" i="39"/>
  <c r="W65" i="38"/>
  <c r="J6" i="60"/>
  <c r="BY89" i="40"/>
  <c r="M9" i="25"/>
  <c r="J60" i="1"/>
  <c r="CS12" i="41"/>
  <c r="T26"/>
  <c r="CA30" i="39"/>
  <c r="CG66" i="25"/>
  <c r="AS48" i="40"/>
  <c r="CC79" i="25"/>
  <c r="CZ79" i="37"/>
  <c r="BQ89" i="39"/>
  <c r="CF65" i="37"/>
  <c r="BA59" i="1"/>
  <c r="DD21"/>
  <c r="BV67" i="40"/>
  <c r="BE71" i="26"/>
  <c r="BB61" i="36"/>
  <c r="J21" i="37"/>
  <c r="DA12" i="1"/>
  <c r="I91" i="36"/>
  <c r="BH57" i="26"/>
  <c r="DE89" i="37"/>
  <c r="BR17" i="41"/>
  <c r="DF91" i="36"/>
  <c r="BE26"/>
  <c r="AE67"/>
  <c r="P25" i="1"/>
  <c r="O50" i="37"/>
  <c r="AJ10" i="38"/>
  <c r="AI49" i="36"/>
  <c r="CG49" i="38"/>
  <c r="CH13" i="41"/>
  <c r="BX45" i="25"/>
  <c r="CD60" i="26"/>
  <c r="CL62" i="39"/>
  <c r="CU17" i="25"/>
  <c r="T92" i="1"/>
  <c r="CX66" i="40"/>
  <c r="N57" i="37"/>
  <c r="AU54" i="41"/>
  <c r="AO45" i="37"/>
  <c r="DE27" i="25"/>
  <c r="AF48" i="1"/>
  <c r="AP91" i="26"/>
  <c r="AJ66" i="36"/>
  <c r="I26" i="1"/>
  <c r="AY29"/>
  <c r="G54" i="37"/>
  <c r="AC66"/>
  <c r="CN30" i="25"/>
  <c r="CZ17"/>
  <c r="CX89" i="37"/>
  <c r="BE34" i="26"/>
  <c r="L89" i="38"/>
  <c r="AJ59" i="39"/>
  <c r="AF25" i="40"/>
  <c r="BZ27" i="26"/>
  <c r="BP29" i="38"/>
  <c r="CZ9" i="39"/>
  <c r="AM79" i="25"/>
  <c r="BB18" i="36"/>
  <c r="AO59" i="1"/>
  <c r="Y48" i="25"/>
  <c r="AF57" i="36"/>
  <c r="CZ54" i="1"/>
  <c r="V66" i="38"/>
  <c r="L21" i="39"/>
  <c r="AT49" i="36"/>
  <c r="AI13" i="26"/>
  <c r="DC24" i="1"/>
  <c r="CV26" i="41"/>
  <c r="CE9" i="26"/>
  <c r="CC45" i="41"/>
  <c r="CM29" i="40"/>
  <c r="CW89" i="41"/>
  <c r="CV49" i="37"/>
  <c r="CR67" i="41"/>
  <c r="CA18"/>
  <c r="CE34" i="37"/>
  <c r="AO50" i="26"/>
  <c r="CE66" i="25"/>
  <c r="I60" i="37"/>
  <c r="AY67" i="40"/>
  <c r="DC60" i="26"/>
  <c r="BB34" i="1"/>
  <c r="BB53" i="37"/>
  <c r="AV54" i="40"/>
  <c r="BZ89" i="37"/>
  <c r="CP49" i="25"/>
  <c r="DD50"/>
  <c r="BU59"/>
  <c r="T102"/>
  <c r="T27" i="41"/>
  <c r="BU9"/>
  <c r="DF54"/>
  <c r="BS67" i="26"/>
  <c r="CD53" i="38"/>
  <c r="AQ12" i="36"/>
  <c r="DA59" i="40"/>
  <c r="BU96" i="26"/>
  <c r="BZ75"/>
  <c r="AH98" i="39"/>
  <c r="AX49" i="1"/>
  <c r="CE102" i="37"/>
  <c r="CF12" i="40"/>
  <c r="CB53" i="26"/>
  <c r="CS89" i="37"/>
  <c r="CV59" i="41"/>
  <c r="AS92" i="38"/>
  <c r="CG98" i="26"/>
  <c r="BO13" i="37"/>
  <c r="AE53" i="40"/>
  <c r="AA65" i="37"/>
  <c r="X9" i="39"/>
  <c r="AO30" i="40"/>
  <c r="DD58"/>
  <c r="AY25" i="25"/>
  <c r="CY13" i="41"/>
  <c r="AU81" i="38"/>
  <c r="CY103" i="39"/>
  <c r="BP48" i="25"/>
  <c r="CU53" i="39"/>
  <c r="BW50" i="1"/>
  <c r="CQ34" i="26"/>
  <c r="O58" i="39"/>
  <c r="CN10" i="25"/>
  <c r="AT48"/>
  <c r="BZ13" i="1"/>
  <c r="AX75" i="36"/>
  <c r="S71" i="41"/>
  <c r="X26" i="39"/>
  <c r="DB71" i="1"/>
  <c r="M29" i="38"/>
  <c r="AT98" i="41"/>
  <c r="O53" i="36"/>
  <c r="T30"/>
  <c r="AI81" i="37"/>
  <c r="CP65"/>
  <c r="S91" i="41"/>
  <c r="T54" i="38"/>
  <c r="CC21" i="26"/>
  <c r="BB24" i="25"/>
  <c r="V59" i="1"/>
  <c r="BS27" i="36"/>
  <c r="AT29" i="39"/>
  <c r="AD57" i="26"/>
  <c r="AG27" i="38"/>
  <c r="Z81" i="25"/>
  <c r="AR75" i="1"/>
  <c r="BA129" i="47"/>
  <c r="AD75" i="40"/>
  <c r="I12" i="41"/>
  <c r="AN27"/>
  <c r="AE17" i="39"/>
  <c r="AM10" i="1"/>
  <c r="CJ25" i="37"/>
  <c r="BU71" i="41"/>
  <c r="CR9" i="38"/>
  <c r="BU10" i="1"/>
  <c r="DC71" i="36"/>
  <c r="CA13" i="38"/>
  <c r="CI96" i="1"/>
  <c r="BZ37"/>
  <c r="Y34" i="36"/>
  <c r="AG61" i="26"/>
  <c r="L57" i="41"/>
  <c r="AY34"/>
  <c r="BX89" i="39"/>
  <c r="CI79" i="41"/>
  <c r="CN10"/>
  <c r="BX66" i="39"/>
  <c r="CE62" i="40"/>
  <c r="AM48"/>
  <c r="CB10" i="37"/>
  <c r="CG66" i="38"/>
  <c r="DB25" i="1"/>
  <c r="AF57" i="41"/>
  <c r="CA91" i="40"/>
  <c r="BD92"/>
  <c r="BA66"/>
  <c r="N21" i="38"/>
  <c r="AZ53" i="36"/>
  <c r="BZ50"/>
  <c r="BU25"/>
  <c r="BT75" i="41"/>
  <c r="X98" i="39"/>
  <c r="AE59" i="26"/>
  <c r="BO98" i="25"/>
  <c r="BT79" i="41"/>
  <c r="CF60" i="26"/>
  <c r="CZ37" i="39"/>
  <c r="N92" i="1"/>
  <c r="T49" i="41"/>
  <c r="AX29" i="39"/>
  <c r="AD30" i="40"/>
  <c r="BS34" i="26"/>
  <c r="BR57" i="36"/>
  <c r="V59" i="25"/>
  <c r="AD102" i="39"/>
  <c r="Z13" i="37"/>
  <c r="AI65"/>
  <c r="Z9" i="41"/>
  <c r="K102" i="1"/>
  <c r="Y67" i="26"/>
  <c r="S59" i="40"/>
  <c r="CY53" i="1"/>
  <c r="I18" i="36"/>
  <c r="CZ30" i="1"/>
  <c r="CU29" i="37"/>
  <c r="DF75" i="26"/>
  <c r="W57" i="25"/>
  <c r="DA34"/>
  <c r="AH18" i="36"/>
  <c r="AW96" i="37"/>
  <c r="M58" i="1"/>
  <c r="AP10" i="41"/>
  <c r="AC12" i="37"/>
  <c r="P75" i="41"/>
  <c r="CU30" i="36"/>
  <c r="CC9"/>
  <c r="CW27" i="39"/>
  <c r="BT92" i="40"/>
  <c r="AG21" i="39"/>
  <c r="BC102" i="1"/>
  <c r="DA60" i="39"/>
  <c r="BY81" i="40"/>
  <c r="CF102" i="25"/>
  <c r="CJ12" i="41"/>
  <c r="CX61" i="37"/>
  <c r="CW62" i="38"/>
  <c r="CL34" i="25"/>
  <c r="BU49" i="39"/>
  <c r="Z59" i="26"/>
  <c r="AV65" i="41"/>
  <c r="AC27" i="36"/>
  <c r="AA102"/>
  <c r="CO34"/>
  <c r="CS50" i="41"/>
  <c r="AN98" i="26"/>
  <c r="AO9"/>
  <c r="CZ79" i="39"/>
  <c r="CA67" i="1"/>
  <c r="CJ18" i="41"/>
  <c r="DF50" i="36"/>
  <c r="Z57" i="39"/>
  <c r="BV89" i="26"/>
  <c r="AM25" i="39"/>
  <c r="O25" i="41"/>
  <c r="DA26" i="38"/>
  <c r="AY9" i="36"/>
  <c r="AT59"/>
  <c r="AS34" i="39"/>
  <c r="CC62"/>
  <c r="CM61" i="25"/>
  <c r="AT50" i="39"/>
  <c r="CY81" i="41"/>
  <c r="AX53" i="38"/>
  <c r="CK21" i="41"/>
  <c r="CY89"/>
  <c r="I89" i="40"/>
  <c r="AU75" i="25"/>
  <c r="AV71" i="39"/>
  <c r="CH50" i="1"/>
  <c r="CH48" i="36"/>
  <c r="AH26" i="37"/>
  <c r="BY21" i="1"/>
  <c r="BY57" i="36"/>
  <c r="G34" i="1"/>
  <c r="AN17" i="40"/>
  <c r="CY12" i="1"/>
  <c r="BB29" i="39"/>
  <c r="CC79" i="38"/>
  <c r="V89" i="40"/>
  <c r="BE10" i="1"/>
  <c r="H102" i="36"/>
  <c r="AZ25" i="26"/>
  <c r="CY65" i="39"/>
  <c r="AP75" i="26"/>
  <c r="CT29" i="37"/>
  <c r="W71" i="26"/>
  <c r="CM27" i="37"/>
  <c r="AI61" i="40"/>
  <c r="AW50" i="41"/>
  <c r="CB10" i="26"/>
  <c r="CH71" i="41"/>
  <c r="DA65" i="40"/>
  <c r="BD26" i="36"/>
  <c r="BS81" i="38"/>
  <c r="CL25" i="40"/>
  <c r="BH67"/>
  <c r="P89" i="39"/>
  <c r="AY27" i="26"/>
  <c r="AU10" i="1"/>
  <c r="BH49" i="25"/>
  <c r="G57" i="26"/>
  <c r="G61"/>
  <c r="K48" i="1"/>
  <c r="AG66" i="40"/>
  <c r="AU102" i="38"/>
  <c r="Y21"/>
  <c r="AE92" i="39"/>
  <c r="BX58" i="1"/>
  <c r="BC89" i="38"/>
  <c r="CE71" i="26"/>
  <c r="BX9" i="36"/>
  <c r="AG24"/>
  <c r="CD59" i="41"/>
  <c r="CL58"/>
  <c r="CE24" i="36"/>
  <c r="AJ71" i="26"/>
  <c r="X89" i="38"/>
  <c r="CC91" i="1"/>
  <c r="AZ12" i="40"/>
  <c r="O24" i="36"/>
  <c r="AT54" i="40"/>
  <c r="BR24" i="37"/>
  <c r="BX65" i="38"/>
  <c r="CI18" i="41"/>
  <c r="CQ54" i="36"/>
  <c r="BA17" i="26"/>
  <c r="Y98" i="25"/>
  <c r="AH30"/>
  <c r="BC89" i="39"/>
  <c r="BC53" i="26"/>
  <c r="CD71" i="37"/>
  <c r="CX81"/>
  <c r="U24" i="26"/>
  <c r="CU92" i="1"/>
  <c r="DA17" i="26"/>
  <c r="AC13" i="36"/>
  <c r="AG65" i="41"/>
  <c r="S58" i="37"/>
  <c r="BX18" i="41"/>
  <c r="CB65" i="25"/>
  <c r="BS45" i="40"/>
  <c r="BX98" i="25"/>
  <c r="BA49" i="41"/>
  <c r="Z79" i="25"/>
  <c r="CU102" i="37"/>
  <c r="CS54" i="39"/>
  <c r="CW67" i="26"/>
  <c r="BS96"/>
  <c r="AF66" i="37"/>
  <c r="CK53" i="1"/>
  <c r="DD96" i="38"/>
  <c r="BQ30" i="40"/>
  <c r="CI48" i="37"/>
  <c r="CW54"/>
  <c r="W75"/>
  <c r="CU21" i="1"/>
  <c r="U66" i="40"/>
  <c r="CI17" i="37"/>
  <c r="BW91" i="25"/>
  <c r="CJ57" i="26"/>
  <c r="BT54"/>
  <c r="X45" i="37"/>
  <c r="AM50" i="40"/>
  <c r="CE98" i="26"/>
  <c r="CM98" i="37"/>
  <c r="BQ62" i="38"/>
  <c r="DF59" i="1"/>
  <c r="BU10" i="41"/>
  <c r="P62" i="25"/>
  <c r="DA75" i="1"/>
  <c r="AT45" i="36"/>
  <c r="AH48" i="38"/>
  <c r="P12" i="40"/>
  <c r="Y60" i="38"/>
  <c r="CT103" i="39"/>
  <c r="AD91" i="1"/>
  <c r="BP98" i="38"/>
  <c r="CR21" i="40"/>
  <c r="AG59" i="37"/>
  <c r="CR71" i="1"/>
  <c r="BZ12"/>
  <c r="CZ75"/>
  <c r="CF26" i="36"/>
  <c r="CT13" i="40"/>
  <c r="CH71" i="25"/>
  <c r="AD27" i="39"/>
  <c r="Z48" i="1"/>
  <c r="AM45" i="41"/>
  <c r="CD81" i="25"/>
  <c r="CH9" i="41"/>
  <c r="BW29"/>
  <c r="CM24" i="38"/>
  <c r="CK71" i="41"/>
  <c r="Z48" i="36"/>
  <c r="I34" i="1"/>
  <c r="AC59" i="40"/>
  <c r="CK60" i="1"/>
  <c r="AP57"/>
  <c r="N81" i="38"/>
  <c r="N67" i="41"/>
  <c r="CI26" i="37"/>
  <c r="I65" i="36"/>
  <c r="CC79" i="1"/>
  <c r="AU54" i="38"/>
  <c r="AH12" i="37"/>
  <c r="BP66" i="25"/>
  <c r="U61" i="1"/>
  <c r="CN60" i="36"/>
  <c r="BC34" i="1"/>
  <c r="DF27" i="41"/>
  <c r="BH24" i="37"/>
  <c r="CD21" i="25"/>
  <c r="CD54"/>
  <c r="CX98"/>
  <c r="CN12" i="37"/>
  <c r="BZ29" i="1"/>
  <c r="Y71" i="39"/>
  <c r="CM57" i="41"/>
  <c r="CZ60" i="38"/>
  <c r="X37" i="36"/>
  <c r="CN60" i="41"/>
  <c r="BE54"/>
  <c r="CC92" i="37"/>
  <c r="BU45" i="40"/>
  <c r="X21" i="41"/>
  <c r="AP48"/>
  <c r="CZ81" i="1"/>
  <c r="AR18" i="37"/>
  <c r="BU12"/>
  <c r="S60" i="25"/>
  <c r="CS27" i="37"/>
  <c r="P102" i="38"/>
  <c r="CU29" i="36"/>
  <c r="CA29" i="25"/>
  <c r="CL30" i="37"/>
  <c r="BB45"/>
  <c r="P57" i="36"/>
  <c r="BX30" i="25"/>
  <c r="CZ81" i="26"/>
  <c r="AB59" i="36"/>
  <c r="AZ75" i="25"/>
  <c r="V60" i="40"/>
  <c r="K79"/>
  <c r="BP89" i="1"/>
  <c r="O26" i="38"/>
  <c r="AD30" i="37"/>
  <c r="AF45" i="41"/>
  <c r="BZ54" i="40"/>
  <c r="BZ91" i="26"/>
  <c r="AQ45"/>
  <c r="BD12"/>
  <c r="AD91" i="39"/>
  <c r="CN18" i="41"/>
  <c r="N57" i="40"/>
  <c r="CD102" i="36"/>
  <c r="AB50"/>
  <c r="CM25"/>
  <c r="BS89" i="39"/>
  <c r="AA92" i="40"/>
  <c r="CK26" i="41"/>
  <c r="AM58" i="40"/>
  <c r="AF98"/>
  <c r="AB61" i="39"/>
  <c r="BT13" i="38"/>
  <c r="AM48"/>
  <c r="Y24" i="37"/>
  <c r="BO60" i="39"/>
  <c r="BU49" i="37"/>
  <c r="Y67" i="38"/>
  <c r="BP91" i="41"/>
  <c r="DA37" i="26"/>
  <c r="AB102" i="1"/>
  <c r="AZ58" i="40"/>
  <c r="BZ45" i="38"/>
  <c r="AE66" i="1"/>
  <c r="Y21" i="26"/>
  <c r="CP71" i="38"/>
  <c r="H49" i="41"/>
  <c r="AV26" i="26"/>
  <c r="AD30" i="25"/>
  <c r="AX45"/>
  <c r="CY13" i="1"/>
  <c r="N102" i="41"/>
  <c r="CR27" i="36"/>
  <c r="DC53" i="39"/>
  <c r="BO13" i="41"/>
  <c r="CF24"/>
  <c r="AF34" i="38"/>
  <c r="BI96" i="40"/>
  <c r="CQ17" i="38"/>
  <c r="J45" i="36"/>
  <c r="AF102" i="26"/>
  <c r="AI37" i="40"/>
  <c r="CK79" i="41"/>
  <c r="BA13" i="37"/>
  <c r="P53" i="25"/>
  <c r="H65" i="40"/>
  <c r="BR17" i="39"/>
  <c r="L21" i="41"/>
  <c r="N57" i="39"/>
  <c r="M29"/>
  <c r="O61" i="41"/>
  <c r="AS60" i="38"/>
  <c r="AE98" i="39"/>
  <c r="AG12" i="25"/>
  <c r="CR92" i="36"/>
  <c r="G64" i="64"/>
  <c r="CG102" i="26"/>
  <c r="BY79"/>
  <c r="AO92" i="37"/>
  <c r="DC34"/>
  <c r="CA24" i="40"/>
  <c r="BP30" i="1"/>
  <c r="CF98" i="40"/>
  <c r="AX96" i="39"/>
  <c r="DA96" i="38"/>
  <c r="CF34" i="37"/>
  <c r="DD29" i="1"/>
  <c r="AT25" i="38"/>
  <c r="AA30" i="41"/>
  <c r="BD21" i="37"/>
  <c r="AD54" i="25"/>
  <c r="BB96" i="39"/>
  <c r="CS24" i="37"/>
  <c r="AP62" i="39"/>
  <c r="DC62" i="36"/>
  <c r="L102" i="1"/>
  <c r="J59" i="38"/>
  <c r="H25" i="1"/>
  <c r="BZ66" i="38"/>
  <c r="CT48" i="26"/>
  <c r="CQ17" i="25"/>
  <c r="CM27" i="36"/>
  <c r="AP66" i="26"/>
  <c r="CI30" i="1"/>
  <c r="BV25" i="39"/>
  <c r="O26" i="41"/>
  <c r="AC50" i="40"/>
  <c r="CK65" i="41"/>
  <c r="CZ17" i="26"/>
  <c r="AF98" i="1"/>
  <c r="CY50" i="37"/>
  <c r="G61" i="25"/>
  <c r="CB66" i="36"/>
  <c r="CD59" i="39"/>
  <c r="BR12" i="26"/>
  <c r="G50" i="40"/>
  <c r="K13"/>
  <c r="U89" i="36"/>
  <c r="BR79"/>
  <c r="CG71" i="39"/>
  <c r="CC71" i="40"/>
  <c r="BD17" i="41"/>
  <c r="AT25" i="25"/>
  <c r="AM30" i="1"/>
  <c r="AV98" i="40"/>
  <c r="AS10" i="37"/>
  <c r="BI18" i="38"/>
  <c r="CU102" i="41"/>
  <c r="AU50" i="1"/>
  <c r="Y57" i="26"/>
  <c r="X62" i="36"/>
  <c r="CU91" i="41"/>
  <c r="CW79"/>
  <c r="AR65" i="1"/>
  <c r="BH34" i="40"/>
  <c r="P61" i="39"/>
  <c r="BE27" i="1"/>
  <c r="BT62" i="38"/>
  <c r="AX91" i="39"/>
  <c r="Z59" i="41"/>
  <c r="CI66" i="1"/>
  <c r="BO62"/>
  <c r="W25" i="25"/>
  <c r="BW75" i="38"/>
  <c r="DD27" i="25"/>
  <c r="AG53" i="39"/>
  <c r="CQ71" i="36"/>
  <c r="AS30" i="25"/>
  <c r="AH62" i="36"/>
  <c r="Y9" i="1"/>
  <c r="DD30" i="25"/>
  <c r="BD49" i="40"/>
  <c r="BR79" i="38"/>
  <c r="BC34" i="39"/>
  <c r="DB13" i="38"/>
  <c r="CB17" i="26"/>
  <c r="N24" i="39"/>
  <c r="DA10" i="41"/>
  <c r="CF71" i="1"/>
  <c r="AG45" i="26"/>
  <c r="AH54" i="36"/>
  <c r="CY27" i="38"/>
  <c r="BV98" i="40"/>
  <c r="K50" i="38"/>
  <c r="AZ13" i="25"/>
  <c r="AH98" i="40"/>
  <c r="CY62" i="36"/>
  <c r="CX48" i="25"/>
  <c r="AQ27"/>
  <c r="O37" i="37"/>
  <c r="CR27" i="39"/>
  <c r="BI21" i="37"/>
  <c r="AO21" i="39"/>
  <c r="AD24" i="41"/>
  <c r="AS92" i="26"/>
  <c r="BR58" i="36"/>
  <c r="G18" i="1"/>
  <c r="BI50" i="40"/>
  <c r="AU26" i="26"/>
  <c r="M21" i="39"/>
  <c r="CL102" i="41"/>
  <c r="CQ57" i="25"/>
  <c r="CV103" i="39"/>
  <c r="BY50" i="36"/>
  <c r="CR48" i="25"/>
  <c r="CW45" i="37"/>
  <c r="CH50" i="38"/>
  <c r="CL26" i="37"/>
  <c r="CN53"/>
  <c r="BS18" i="25"/>
  <c r="BE60"/>
  <c r="DC92" i="38"/>
  <c r="BD81"/>
  <c r="M75" i="41"/>
  <c r="DD49" i="39"/>
  <c r="AZ25" i="37"/>
  <c r="AE48" i="38"/>
  <c r="BD54" i="37"/>
  <c r="CC92" i="36"/>
  <c r="Y17"/>
  <c r="AB49" i="41"/>
  <c r="X17" i="38"/>
  <c r="DA27" i="26"/>
  <c r="Y89" i="39"/>
  <c r="CB62" i="25"/>
  <c r="BB25" i="38"/>
  <c r="P61" i="36"/>
  <c r="AU12" i="25"/>
  <c r="DD81"/>
  <c r="P54" i="40"/>
  <c r="BB21" i="25"/>
  <c r="AP75" i="41"/>
  <c r="AF48" i="39"/>
  <c r="BI71" i="26"/>
  <c r="CD21" i="41"/>
  <c r="CA81" i="40"/>
  <c r="DE89" i="39"/>
  <c r="CL21"/>
  <c r="AV58"/>
  <c r="CE29" i="36"/>
  <c r="CL59" i="26"/>
  <c r="CI91"/>
  <c r="CD37" i="40"/>
  <c r="BT48" i="25"/>
  <c r="BB81" i="26"/>
  <c r="X91" i="36"/>
  <c r="DA91" i="40"/>
  <c r="BS58" i="41"/>
  <c r="N62" i="39"/>
  <c r="AU49" i="40"/>
  <c r="CQ61" i="39"/>
  <c r="AH18" i="26"/>
  <c r="S59" i="36"/>
  <c r="AW71" i="1"/>
  <c r="AZ9" i="37"/>
  <c r="M67" i="36"/>
  <c r="BT57" i="25"/>
  <c r="BZ24" i="40"/>
  <c r="BR29" i="39"/>
  <c r="CZ92" i="38"/>
  <c r="BQ58" i="39"/>
  <c r="AB60" i="37"/>
  <c r="BQ26" i="36"/>
  <c r="AE66" i="38"/>
  <c r="CU89" i="41"/>
  <c r="BI34" i="1"/>
  <c r="K58" i="41"/>
  <c r="BT37" i="36"/>
  <c r="BT58" i="39"/>
  <c r="DB26" i="25"/>
  <c r="AC34" i="40"/>
  <c r="BO91" i="1"/>
  <c r="AO45" i="26"/>
  <c r="DA26" i="40"/>
  <c r="M67"/>
  <c r="BO91" i="26"/>
  <c r="DC27" i="25"/>
  <c r="DB30" i="39"/>
  <c r="AE24" i="36"/>
  <c r="AY57" i="1"/>
  <c r="N89" i="25"/>
  <c r="O92" i="1"/>
  <c r="CN24" i="41"/>
  <c r="Z10" i="37"/>
  <c r="AP102" i="1"/>
  <c r="BR60" i="37"/>
  <c r="CG10" i="36"/>
  <c r="AX54" i="1"/>
  <c r="BX61" i="38"/>
  <c r="BE17" i="36"/>
  <c r="BS59" i="39"/>
  <c r="M50" i="37"/>
  <c r="AS21" i="1"/>
  <c r="AC60" i="39"/>
  <c r="O66" i="40"/>
  <c r="BD89" i="25"/>
  <c r="BS59" i="37"/>
  <c r="V34" i="25"/>
  <c r="BX98" i="26"/>
  <c r="CD60" i="25"/>
  <c r="AV24" i="26"/>
  <c r="BX10" i="37"/>
  <c r="BY53" i="36"/>
  <c r="BA57" i="26"/>
  <c r="AF21" i="39"/>
  <c r="BT96" i="40"/>
  <c r="CL50"/>
  <c r="AE34" i="38"/>
  <c r="BA89" i="26"/>
  <c r="BB18" i="25"/>
  <c r="J92" i="38"/>
  <c r="DD25" i="37"/>
  <c r="CS50" i="39"/>
  <c r="Y54" i="26"/>
  <c r="AI79" i="36"/>
  <c r="P59" i="38"/>
  <c r="CY103" i="37"/>
  <c r="BP71" i="40"/>
  <c r="AZ62" i="36"/>
  <c r="CF54" i="40"/>
  <c r="CX98" i="26"/>
  <c r="BC26"/>
  <c r="BS75" i="25"/>
  <c r="S89"/>
  <c r="AV13" i="40"/>
  <c r="I17" i="36"/>
  <c r="J34" i="38"/>
  <c r="CJ9" i="36"/>
  <c r="CV98"/>
  <c r="AQ54" i="41"/>
  <c r="BU30"/>
  <c r="AY45" i="40"/>
  <c r="CD65" i="37"/>
  <c r="AR65" i="40"/>
  <c r="AR67" i="26"/>
  <c r="O102" i="39"/>
  <c r="AG75" i="26"/>
  <c r="AC37" i="40"/>
  <c r="CV71" i="37"/>
  <c r="N89" i="39"/>
  <c r="DE98" i="41"/>
  <c r="J89" i="39"/>
  <c r="BX91" i="38"/>
  <c r="CS60"/>
  <c r="L96" i="41"/>
  <c r="K10"/>
  <c r="CJ24" i="38"/>
  <c r="AO12" i="41"/>
  <c r="L18" i="39"/>
  <c r="CP57" i="1"/>
  <c r="CY57" i="36"/>
  <c r="BQ89" i="26"/>
  <c r="CG103" i="38"/>
  <c r="BY102" i="25"/>
  <c r="CJ62"/>
  <c r="CG9" i="40"/>
  <c r="CL59"/>
  <c r="CR71" i="36"/>
  <c r="CD13"/>
  <c r="K26" i="41"/>
  <c r="AX89" i="1"/>
  <c r="AX81" i="37"/>
  <c r="AM92" i="40"/>
  <c r="CQ18" i="25"/>
  <c r="DE17" i="40"/>
  <c r="I65" i="39"/>
  <c r="AY12" i="36"/>
  <c r="CJ65" i="26"/>
  <c r="BU17" i="41"/>
  <c r="Z50"/>
  <c r="BP10" i="37"/>
  <c r="BA34"/>
  <c r="N102" i="38"/>
  <c r="BA26" i="37"/>
  <c r="DA26" i="36"/>
  <c r="W24" i="39"/>
  <c r="BR26" i="41"/>
  <c r="CB13" i="40"/>
  <c r="AU66" i="37"/>
  <c r="BX10" i="25"/>
  <c r="BH18" i="36"/>
  <c r="CC59" i="26"/>
  <c r="W59" i="41"/>
  <c r="CI10" i="25"/>
  <c r="AA98" i="36"/>
  <c r="BH26" i="41"/>
  <c r="DD12" i="37"/>
  <c r="BQ48" i="40"/>
  <c r="BB102" i="1"/>
  <c r="J66" i="26"/>
  <c r="AX25" i="37"/>
  <c r="AO102" i="41"/>
  <c r="CC18" i="39"/>
  <c r="BZ34"/>
  <c r="CI96" i="37"/>
  <c r="AZ27"/>
  <c r="P45" i="38"/>
  <c r="BP37" i="26"/>
  <c r="CF96" i="41"/>
  <c r="DC103" i="39"/>
  <c r="CT102" i="41"/>
  <c r="CR103" i="39"/>
  <c r="CV30" i="37"/>
  <c r="DF48" i="26"/>
  <c r="AQ29" i="39"/>
  <c r="BE21" i="37"/>
  <c r="BP48" i="1"/>
  <c r="AQ54" i="38"/>
  <c r="CR65"/>
  <c r="P65" i="40"/>
  <c r="H96" i="26"/>
  <c r="BH91" i="39"/>
  <c r="BR59" i="37"/>
  <c r="BY65" i="1"/>
  <c r="CS62" i="38"/>
  <c r="BT10" i="36"/>
  <c r="CA65"/>
  <c r="CA89" i="40"/>
  <c r="Y29" i="25"/>
  <c r="AJ65" i="1"/>
  <c r="AI27" i="36"/>
  <c r="CX27" i="26"/>
  <c r="N50" i="1"/>
  <c r="CD25"/>
  <c r="AV48" i="25"/>
  <c r="AN92"/>
  <c r="AY92" i="40"/>
  <c r="AW62" i="38"/>
  <c r="CF9" i="25"/>
  <c r="AP66" i="38"/>
  <c r="CM98" i="36"/>
  <c r="AT12" i="38"/>
  <c r="P59" i="41"/>
  <c r="CZ49" i="26"/>
  <c r="DD102" i="40"/>
  <c r="CZ91" i="1"/>
  <c r="T50" i="25"/>
  <c r="DF50" i="38"/>
  <c r="DA21" i="39"/>
  <c r="CH67" i="40"/>
  <c r="CV66" i="36"/>
  <c r="AE60" i="37"/>
  <c r="AB89" i="1"/>
  <c r="AY50" i="41"/>
  <c r="AC89" i="26"/>
  <c r="BD75" i="41"/>
  <c r="CD27" i="25"/>
  <c r="DC45" i="39"/>
  <c r="CG53" i="41"/>
  <c r="CV66" i="39"/>
  <c r="CJ12" i="36"/>
  <c r="G29" i="38"/>
  <c r="BE29" i="40"/>
  <c r="AO49" i="1"/>
  <c r="AZ67" i="36"/>
  <c r="X61" i="38"/>
  <c r="BQ67"/>
  <c r="AE62" i="36"/>
  <c r="BA12" i="38"/>
  <c r="Y26" i="1"/>
  <c r="BV18" i="37"/>
  <c r="AR30" i="40"/>
  <c r="CE27" i="38"/>
  <c r="BD13"/>
  <c r="CP58" i="26"/>
  <c r="CM102" i="36"/>
  <c r="CH10" i="41"/>
  <c r="AR45" i="38"/>
  <c r="BU49" i="41"/>
  <c r="CU49" i="37"/>
  <c r="CG30" i="1"/>
  <c r="AY59" i="25"/>
  <c r="DE81" i="40"/>
  <c r="J60" i="38"/>
  <c r="AG67" i="40"/>
  <c r="AE17" i="36"/>
  <c r="CF60" i="39"/>
  <c r="DC24" i="25"/>
  <c r="BZ17" i="41"/>
  <c r="DF25" i="37"/>
  <c r="BI45" i="40"/>
  <c r="AR96" i="37"/>
  <c r="CN102" i="36"/>
  <c r="BO65"/>
  <c r="AH98" i="41"/>
  <c r="AB57" i="26"/>
  <c r="AG60" i="39"/>
  <c r="CB96" i="38"/>
  <c r="BO13"/>
  <c r="AU62" i="1"/>
  <c r="BD57" i="25"/>
  <c r="J54"/>
  <c r="CH18" i="37"/>
  <c r="Y96"/>
  <c r="BW17"/>
  <c r="CV59"/>
  <c r="Z65" i="40"/>
  <c r="BR21" i="26"/>
  <c r="CV54" i="36"/>
  <c r="CJ62"/>
  <c r="CR17" i="25"/>
  <c r="N65" i="26"/>
  <c r="BV62" i="1"/>
  <c r="P21" i="40"/>
  <c r="CJ91" i="36"/>
  <c r="AW10" i="40"/>
  <c r="DB48" i="37"/>
  <c r="P58" i="38"/>
  <c r="BR26" i="39"/>
  <c r="CV65" i="40"/>
  <c r="CX21" i="41"/>
  <c r="AT79" i="39"/>
  <c r="AW54" i="1"/>
  <c r="AG75" i="39"/>
  <c r="AM96" i="38"/>
  <c r="AH18" i="37"/>
  <c r="BV12" i="38"/>
  <c r="BU30" i="25"/>
  <c r="O71" i="36"/>
  <c r="BV13"/>
  <c r="N37" i="38"/>
  <c r="CO49" i="26"/>
  <c r="AF71"/>
  <c r="DF92" i="25"/>
  <c r="BP61" i="36"/>
  <c r="BB53" i="41"/>
  <c r="I59" i="25"/>
  <c r="W29" i="41"/>
  <c r="AY34" i="38"/>
  <c r="BX26" i="40"/>
  <c r="BT37" i="25"/>
  <c r="BX53"/>
  <c r="BW26" i="41"/>
  <c r="BX66" i="38"/>
  <c r="AY71" i="25"/>
  <c r="CD50"/>
  <c r="BT50" i="1"/>
  <c r="CP24" i="39"/>
  <c r="AJ50" i="38"/>
  <c r="CT9" i="41"/>
  <c r="CP45" i="25"/>
  <c r="BO34" i="38"/>
  <c r="DB65" i="37"/>
  <c r="CW67" i="41"/>
  <c r="BH48" i="26"/>
  <c r="CO24" i="39"/>
  <c r="CN57" i="26"/>
  <c r="CJ30" i="38"/>
  <c r="DE91" i="26"/>
  <c r="AW24" i="39"/>
  <c r="CX13" i="40"/>
  <c r="AR79" i="26"/>
  <c r="DA66" i="41"/>
  <c r="AE12" i="38"/>
  <c r="BA26"/>
  <c r="BS62" i="36"/>
  <c r="AC61" i="38"/>
  <c r="CY102" i="36"/>
  <c r="BZ13" i="38"/>
  <c r="AR29" i="40"/>
  <c r="AJ54" i="37"/>
  <c r="AT37" i="36"/>
  <c r="DB79" i="39"/>
  <c r="DA9" i="25"/>
  <c r="J48" i="41"/>
  <c r="AB26" i="39"/>
  <c r="AX27" i="1"/>
  <c r="CL58" i="25"/>
  <c r="DD21" i="37"/>
  <c r="CM102" i="25"/>
  <c r="H37" i="1"/>
  <c r="O49" i="36"/>
  <c r="AW79" i="1"/>
  <c r="T61" i="41"/>
  <c r="P17" i="1"/>
  <c r="BI67"/>
  <c r="CX49" i="37"/>
  <c r="CH30" i="40"/>
  <c r="AU29"/>
  <c r="CH18" i="39"/>
  <c r="DC26" i="41"/>
  <c r="DF92" i="39"/>
  <c r="I49"/>
  <c r="BT50" i="41"/>
  <c r="AU61" i="26"/>
  <c r="CO13"/>
  <c r="DB48" i="38"/>
  <c r="L48" i="40"/>
  <c r="AO98" i="38"/>
  <c r="CG25"/>
  <c r="G65" i="25"/>
  <c r="DA34" i="41"/>
  <c r="BD81"/>
  <c r="AX66" i="37"/>
  <c r="CU54" i="36"/>
  <c r="AE81" i="1"/>
  <c r="DA37" i="36"/>
  <c r="CF59"/>
  <c r="G21" i="1"/>
  <c r="CA59" i="40"/>
  <c r="DD59" i="41"/>
  <c r="DA59" i="38"/>
  <c r="AP10" i="40"/>
  <c r="AD24" i="39"/>
  <c r="X17" i="40"/>
  <c r="CM54" i="26"/>
  <c r="M12" i="1"/>
  <c r="CL58" i="39"/>
  <c r="Z75" i="38"/>
  <c r="CA29" i="1"/>
  <c r="BS18" i="39"/>
  <c r="BA102" i="37"/>
  <c r="BE48"/>
  <c r="CO30" i="40"/>
  <c r="CP54" i="38"/>
  <c r="CV13" i="37"/>
  <c r="CL103" i="36"/>
  <c r="L60" i="26"/>
  <c r="BX25" i="40"/>
  <c r="CS79" i="38"/>
  <c r="AY21"/>
  <c r="J61" i="37"/>
  <c r="CI53" i="41"/>
  <c r="CQ102" i="26"/>
  <c r="AM102" i="38"/>
  <c r="CA60" i="39"/>
  <c r="CO25" i="25"/>
  <c r="CE13" i="38"/>
  <c r="BU79" i="41"/>
  <c r="DD37" i="39"/>
  <c r="AO57" i="40"/>
  <c r="CX29"/>
  <c r="CF54" i="37"/>
  <c r="BI60" i="25"/>
  <c r="BT30"/>
  <c r="O91" i="40"/>
  <c r="AC60" i="41"/>
  <c r="AA81" i="25"/>
  <c r="N89" i="41"/>
  <c r="CC103" i="26"/>
  <c r="Z79" i="40"/>
  <c r="W58" i="36"/>
  <c r="BD13" i="1"/>
  <c r="CD21" i="36"/>
  <c r="AA18"/>
  <c r="BH61" i="41"/>
  <c r="CQ57" i="1"/>
  <c r="CL71" i="40"/>
  <c r="BR102" i="26"/>
  <c r="N37" i="39"/>
  <c r="U62" i="25"/>
  <c r="S13" i="37"/>
  <c r="DB18" i="39"/>
  <c r="CT25" i="25"/>
  <c r="BZ25" i="26"/>
  <c r="BR30" i="41"/>
  <c r="BC27"/>
  <c r="CH24" i="38"/>
  <c r="BV91" i="25"/>
  <c r="O21" i="38"/>
  <c r="CQ71"/>
  <c r="AY102" i="40"/>
  <c r="CU71"/>
  <c r="CY54" i="1"/>
  <c r="W37" i="37"/>
  <c r="CQ81" i="41"/>
  <c r="BR66" i="36"/>
  <c r="AO29" i="25"/>
  <c r="AR49" i="37"/>
  <c r="AV29" i="26"/>
  <c r="AE24" i="41"/>
  <c r="AS58"/>
  <c r="BD67" i="37"/>
  <c r="BS103" i="41"/>
  <c r="X9" i="1"/>
  <c r="AG57"/>
  <c r="CQ103" i="36"/>
  <c r="AQ9" i="25"/>
  <c r="AO81" i="36"/>
  <c r="DB50" i="25"/>
  <c r="DF50" i="1"/>
  <c r="AR89" i="40"/>
  <c r="BR50" i="38"/>
  <c r="AW53" i="26"/>
  <c r="CS48" i="36"/>
  <c r="O92" i="37"/>
  <c r="DF37"/>
  <c r="AY89" i="41"/>
  <c r="AT96" i="26"/>
  <c r="O50" i="36"/>
  <c r="AQ75"/>
  <c r="AR75" i="26"/>
  <c r="J54" i="36"/>
  <c r="BD81" i="25"/>
  <c r="AY118" i="47"/>
  <c r="CE45" i="25"/>
  <c r="CL65" i="40"/>
  <c r="AA21" i="38"/>
  <c r="BS71" i="41"/>
  <c r="BV57" i="40"/>
  <c r="H37"/>
  <c r="N17" i="38"/>
  <c r="CR27" i="40"/>
  <c r="BE67" i="38"/>
  <c r="CS29" i="41"/>
  <c r="CJ89" i="37"/>
  <c r="AW57" i="26"/>
  <c r="N81" i="36"/>
  <c r="N24"/>
  <c r="O54" i="41"/>
  <c r="AT102" i="38"/>
  <c r="K17"/>
  <c r="AD37" i="26"/>
  <c r="M75" i="36"/>
  <c r="M71"/>
  <c r="T49" i="37"/>
  <c r="N27" i="40"/>
  <c r="CI98" i="26"/>
  <c r="BT60" i="25"/>
  <c r="CK49" i="38"/>
  <c r="CY57" i="40"/>
  <c r="BA62" i="37"/>
  <c r="CG89" i="1"/>
  <c r="AC18" i="37"/>
  <c r="AB26"/>
  <c r="H54" i="1"/>
  <c r="J98" i="37"/>
  <c r="BV54" i="41"/>
  <c r="L53" i="40"/>
  <c r="M53" i="38"/>
  <c r="BI45" i="25"/>
  <c r="CL96" i="37"/>
  <c r="CB34" i="39"/>
  <c r="CJ18" i="37"/>
  <c r="AW60" i="25"/>
  <c r="I102" i="1"/>
  <c r="AU67" i="36"/>
  <c r="M65"/>
  <c r="T96" i="25"/>
  <c r="AR37" i="1"/>
  <c r="AP71" i="36"/>
  <c r="G50" i="41"/>
  <c r="CS49" i="36"/>
  <c r="CE54"/>
  <c r="Z50" i="25"/>
  <c r="J59" i="41"/>
  <c r="T29" i="26"/>
  <c r="AX54" i="39"/>
  <c r="CT60" i="25"/>
  <c r="BW30" i="40"/>
  <c r="BI24" i="38"/>
  <c r="BV13" i="37"/>
  <c r="AR9" i="25"/>
  <c r="CJ54" i="38"/>
  <c r="I98" i="36"/>
  <c r="K75" i="37"/>
  <c r="BP26" i="39"/>
  <c r="AY13" i="1"/>
  <c r="CW66" i="26"/>
  <c r="K54" i="41"/>
  <c r="BO96" i="40"/>
  <c r="O37" i="25"/>
  <c r="AA10" i="36"/>
  <c r="AP53"/>
  <c r="AF13" i="39"/>
  <c r="BS9"/>
  <c r="BZ57" i="1"/>
  <c r="AP61" i="39"/>
  <c r="AO37" i="1"/>
  <c r="CX92" i="40"/>
  <c r="BT96" i="39"/>
  <c r="J21" i="38"/>
  <c r="AJ18" i="41"/>
  <c r="CI54" i="39"/>
  <c r="V10" i="37"/>
  <c r="P10" i="38"/>
  <c r="T24" i="40"/>
  <c r="X57" i="26"/>
  <c r="J26" i="40"/>
  <c r="K61" i="1"/>
  <c r="CM34" i="36"/>
  <c r="S48" i="1"/>
  <c r="T53" i="36"/>
  <c r="K59" i="37"/>
  <c r="CG18"/>
  <c r="I24" i="41"/>
  <c r="AX71" i="26"/>
  <c r="DC75" i="39"/>
  <c r="CM59" i="41"/>
  <c r="CV18" i="25"/>
  <c r="BX71"/>
  <c r="AH81" i="40"/>
  <c r="CA62" i="38"/>
  <c r="CG48"/>
  <c r="CS71"/>
  <c r="CB60" i="41"/>
  <c r="Z57" i="38"/>
  <c r="N67" i="39"/>
  <c r="W13" i="41"/>
  <c r="AI61"/>
  <c r="BZ27"/>
  <c r="CE29" i="26"/>
  <c r="CV96" i="38"/>
  <c r="BZ9" i="40"/>
  <c r="BY27" i="26"/>
  <c r="CU67" i="37"/>
  <c r="CI53" i="25"/>
  <c r="BB26" i="41"/>
  <c r="AQ27" i="38"/>
  <c r="AJ59"/>
  <c r="U91" i="26"/>
  <c r="CU67" i="1"/>
  <c r="K92" i="25"/>
  <c r="AD79" i="39"/>
  <c r="W25" i="26"/>
  <c r="DF34" i="38"/>
  <c r="AS24"/>
  <c r="AS17" i="1"/>
  <c r="DA48" i="26"/>
  <c r="J37" i="37"/>
  <c r="BV37" i="41"/>
  <c r="AW75" i="25"/>
  <c r="P75" i="38"/>
  <c r="AY79" i="41"/>
  <c r="BQ60" i="37"/>
  <c r="CG96" i="39"/>
  <c r="BC18" i="41"/>
  <c r="AZ37" i="26"/>
  <c r="U24" i="36"/>
  <c r="AD71" i="39"/>
  <c r="DA66" i="37"/>
  <c r="AB61" i="26"/>
  <c r="CK75"/>
  <c r="CI102" i="39"/>
  <c r="CW37" i="26"/>
  <c r="CW50" i="36"/>
  <c r="DC102" i="39"/>
  <c r="AA75" i="40"/>
  <c r="CA25" i="1"/>
  <c r="DB34" i="36"/>
  <c r="CT10" i="1"/>
  <c r="CH58" i="36"/>
  <c r="J9" i="39"/>
  <c r="CB79" i="1"/>
  <c r="DF89" i="38"/>
  <c r="AX71" i="37"/>
  <c r="I98" i="41"/>
  <c r="H61"/>
  <c r="AF26" i="36"/>
  <c r="AN57"/>
  <c r="O18" i="38"/>
  <c r="CJ59" i="37"/>
  <c r="DD25" i="38"/>
  <c r="AC91" i="36"/>
  <c r="CK30" i="41"/>
  <c r="AT91" i="38"/>
  <c r="K91" i="64"/>
  <c r="AS57" i="39"/>
  <c r="AU10" i="41"/>
  <c r="CS96" i="1"/>
  <c r="CZ24" i="25"/>
  <c r="CF62"/>
  <c r="CH103" i="38"/>
  <c r="BY18" i="39"/>
  <c r="AN9" i="1"/>
  <c r="AA65" i="40"/>
  <c r="CU60" i="26"/>
  <c r="DC57" i="40"/>
  <c r="AY45" i="38"/>
  <c r="X59" i="36"/>
  <c r="CL37" i="26"/>
  <c r="BB17" i="41"/>
  <c r="BH50" i="37"/>
  <c r="CO59" i="38"/>
  <c r="CL66" i="25"/>
  <c r="T37" i="26"/>
  <c r="CT61" i="37"/>
  <c r="X21" i="25"/>
  <c r="BZ12"/>
  <c r="CQ60" i="39"/>
  <c r="U45" i="26"/>
  <c r="AA92" i="41"/>
  <c r="CG29" i="26"/>
  <c r="Y30" i="37"/>
  <c r="AG25" i="1"/>
  <c r="BZ45" i="40"/>
  <c r="CK53" i="26"/>
  <c r="CF102" i="1"/>
  <c r="AG61"/>
  <c r="AQ50" i="39"/>
  <c r="G102"/>
  <c r="BC30" i="40"/>
  <c r="M18" i="37"/>
  <c r="CT37" i="26"/>
  <c r="CC91" i="41"/>
  <c r="AN27" i="40"/>
  <c r="CR62" i="36"/>
  <c r="V92" i="39"/>
  <c r="P29" i="1"/>
  <c r="I67"/>
  <c r="AY49" i="26"/>
  <c r="CW29" i="39"/>
  <c r="CM9" i="36"/>
  <c r="AH45" i="26"/>
  <c r="CY54" i="40"/>
  <c r="AD34"/>
  <c r="P24" i="41"/>
  <c r="DB27" i="25"/>
  <c r="AU48" i="26"/>
  <c r="CP98"/>
  <c r="CL58" i="1"/>
  <c r="CF59" i="39"/>
  <c r="CO13" i="1"/>
  <c r="BT9" i="39"/>
  <c r="AU58" i="36"/>
  <c r="AR66" i="26"/>
  <c r="M61" i="41"/>
  <c r="CN18" i="37"/>
  <c r="X60" i="38"/>
  <c r="BA79" i="26"/>
  <c r="AN12" i="37"/>
  <c r="AQ13" i="40"/>
  <c r="DB50" i="37"/>
  <c r="K91" i="26"/>
  <c r="I9" i="25"/>
  <c r="L96" i="26"/>
  <c r="CE66"/>
  <c r="AO62"/>
  <c r="CG62" i="36"/>
  <c r="AM91" i="40"/>
  <c r="BS65" i="26"/>
  <c r="I26" i="39"/>
  <c r="DF45" i="37"/>
  <c r="CN48" i="25"/>
  <c r="AJ26" i="40"/>
  <c r="CB58" i="38"/>
  <c r="CW96" i="26"/>
  <c r="CH102" i="39"/>
  <c r="BX24"/>
  <c r="DA60" i="25"/>
  <c r="BP71" i="39"/>
  <c r="H62" i="40"/>
  <c r="BI54" i="39"/>
  <c r="CT48" i="36"/>
  <c r="J29" i="37"/>
  <c r="DA26"/>
  <c r="AT71" i="36"/>
  <c r="CO27"/>
  <c r="AH24" i="40"/>
  <c r="CZ60" i="25"/>
  <c r="P65" i="1"/>
  <c r="CD45" i="41"/>
  <c r="CT24" i="37"/>
  <c r="AE102" i="25"/>
  <c r="AU54"/>
  <c r="BY24"/>
  <c r="BC98"/>
  <c r="BQ66" i="40"/>
  <c r="CI9" i="36"/>
  <c r="U10"/>
  <c r="N12" i="26"/>
  <c r="CT102"/>
  <c r="BH25" i="37"/>
  <c r="CZ54" i="41"/>
  <c r="CH25" i="36"/>
  <c r="U71" i="39"/>
  <c r="M75" i="25"/>
  <c r="AI13" i="37"/>
  <c r="CF57" i="39"/>
  <c r="BV60"/>
  <c r="AU30" i="25"/>
  <c r="BA29" i="36"/>
  <c r="CZ79"/>
  <c r="DA53" i="25"/>
  <c r="AE25" i="40"/>
  <c r="AX10" i="38"/>
  <c r="CL81"/>
  <c r="CB58" i="26"/>
  <c r="CC24" i="39"/>
  <c r="AO66" i="37"/>
  <c r="BR71" i="36"/>
  <c r="O10"/>
  <c r="AR92" i="40"/>
  <c r="V60" i="37"/>
  <c r="DE45" i="40"/>
  <c r="Z9" i="36"/>
  <c r="BH89" i="25"/>
  <c r="CG103" i="1"/>
  <c r="BU27" i="25"/>
  <c r="BD25" i="39"/>
  <c r="CO34" i="1"/>
  <c r="G21" i="38"/>
  <c r="BP57" i="39"/>
  <c r="BI61" i="38"/>
  <c r="AO13" i="39"/>
  <c r="AX98" i="37"/>
  <c r="AI60" i="36"/>
  <c r="CP62" i="37"/>
  <c r="BD92" i="1"/>
  <c r="CF79" i="38"/>
  <c r="AM18" i="40"/>
  <c r="AZ96" i="38"/>
  <c r="DE30" i="41"/>
  <c r="AI48" i="37"/>
  <c r="S71"/>
  <c r="AZ24" i="1"/>
  <c r="CA81" i="39"/>
  <c r="CD96" i="37"/>
  <c r="BB66" i="26"/>
  <c r="N79" i="1"/>
  <c r="G89" i="26"/>
  <c r="AR34" i="25"/>
  <c r="AW79" i="41"/>
  <c r="AM13" i="25"/>
  <c r="CN18" i="26"/>
  <c r="S30" i="37"/>
  <c r="N66" i="25"/>
  <c r="BR49" i="36"/>
  <c r="AN26" i="40"/>
  <c r="BV66" i="39"/>
  <c r="AR49" i="41"/>
  <c r="BY91" i="39"/>
  <c r="BO57" i="1"/>
  <c r="BR27" i="40"/>
  <c r="CB57" i="1"/>
  <c r="CG25" i="36"/>
  <c r="BX92" i="25"/>
  <c r="CU30" i="40"/>
  <c r="AM59" i="41"/>
  <c r="AA65" i="25"/>
  <c r="BB13" i="36"/>
  <c r="BQ45" i="1"/>
  <c r="W59" i="25"/>
  <c r="BI29" i="1"/>
  <c r="AF21"/>
  <c r="BT103" i="26"/>
  <c r="W48" i="37"/>
  <c r="AC48" i="40"/>
  <c r="BI58" i="25"/>
  <c r="BB48" i="38"/>
  <c r="BI12" i="1"/>
  <c r="H13" i="37"/>
  <c r="T49" i="40"/>
  <c r="G30" i="41"/>
  <c r="CH29" i="36"/>
  <c r="AQ13" i="26"/>
  <c r="Y25" i="39"/>
  <c r="P66" i="25"/>
  <c r="X67" i="26"/>
  <c r="AE17" i="25"/>
  <c r="O59" i="26"/>
  <c r="AG10" i="25"/>
  <c r="CU61" i="38"/>
  <c r="P9" i="39"/>
  <c r="AX89" i="40"/>
  <c r="AY59" i="26"/>
  <c r="CF54" i="25"/>
  <c r="CF61" i="41"/>
  <c r="CC89" i="36"/>
  <c r="BZ13" i="41"/>
  <c r="CI25" i="38"/>
  <c r="CI26" i="1"/>
  <c r="CK57" i="36"/>
  <c r="CG102" i="39"/>
  <c r="CL49" i="37"/>
  <c r="AB58" i="40"/>
  <c r="BR65"/>
  <c r="CH96" i="36"/>
  <c r="CP66" i="40"/>
  <c r="AQ34" i="37"/>
  <c r="DD103" i="38"/>
  <c r="AR30" i="36"/>
  <c r="CJ27" i="38"/>
  <c r="CQ92" i="1"/>
  <c r="G24" i="39"/>
  <c r="BE18"/>
  <c r="AE48" i="36"/>
  <c r="DD57" i="26"/>
  <c r="BR27" i="37"/>
  <c r="AA12" i="1"/>
  <c r="BZ81" i="40"/>
  <c r="CR79" i="38"/>
  <c r="CA45" i="36"/>
  <c r="CX89" i="41"/>
  <c r="BB34" i="40"/>
  <c r="AM92" i="36"/>
  <c r="BE9"/>
  <c r="U30" i="25"/>
  <c r="BR75" i="36"/>
  <c r="M58" i="40"/>
  <c r="CB89"/>
  <c r="N13" i="41"/>
  <c r="AN71" i="25"/>
  <c r="DE60" i="1"/>
  <c r="BI89" i="36"/>
  <c r="CZ25" i="39"/>
  <c r="AI58" i="41"/>
  <c r="BA96" i="39"/>
  <c r="U17" i="38"/>
  <c r="G102"/>
  <c r="H59" i="41"/>
  <c r="AU48" i="36"/>
  <c r="AC79" i="39"/>
  <c r="BU60" i="36"/>
  <c r="AX21" i="25"/>
  <c r="L53" i="26"/>
  <c r="AJ66" i="37"/>
  <c r="CZ48" i="41"/>
  <c r="CY24" i="25"/>
  <c r="BI71" i="40"/>
  <c r="Z27" i="1"/>
  <c r="CU91" i="36"/>
  <c r="S58" i="39"/>
  <c r="BQ59" i="1"/>
  <c r="AA57" i="40"/>
  <c r="CW29" i="26"/>
  <c r="AV26" i="40"/>
  <c r="BI54" i="25"/>
  <c r="BS17"/>
  <c r="AY65" i="38"/>
  <c r="CM67" i="37"/>
  <c r="CK96" i="39"/>
  <c r="BI67" i="38"/>
  <c r="DB10" i="26"/>
  <c r="X67" i="41"/>
  <c r="CW27" i="37"/>
  <c r="T48"/>
  <c r="AV21" i="41"/>
  <c r="CR98" i="25"/>
  <c r="CW89" i="37"/>
  <c r="BA60" i="26"/>
  <c r="CK75" i="37"/>
  <c r="G13" i="25"/>
  <c r="CH29" i="37"/>
  <c r="BD26" i="25"/>
  <c r="CL59"/>
  <c r="CM54" i="38"/>
  <c r="DA24" i="40"/>
  <c r="DA53" i="37"/>
  <c r="CS67" i="40"/>
  <c r="AC75" i="25"/>
  <c r="Y57" i="1"/>
  <c r="CY71"/>
  <c r="AI49" i="25"/>
  <c r="BH67" i="38"/>
  <c r="AE29" i="41"/>
  <c r="CF49" i="39"/>
  <c r="CR66" i="1"/>
  <c r="AD17" i="40"/>
  <c r="AE49" i="41"/>
  <c r="U30" i="40"/>
  <c r="AV62" i="1"/>
  <c r="CW59" i="39"/>
  <c r="CD92" i="26"/>
  <c r="AO89" i="36"/>
  <c r="AT89" i="26"/>
  <c r="G75"/>
  <c r="CC67" i="1"/>
  <c r="AO45" i="41"/>
  <c r="J18" i="25"/>
  <c r="AD10" i="39"/>
  <c r="CI67" i="40"/>
  <c r="BI45" i="39"/>
  <c r="CE81" i="1"/>
  <c r="BU102" i="40"/>
  <c r="L75" i="64"/>
  <c r="AB57" i="1"/>
  <c r="AX71" i="25"/>
  <c r="DB91" i="1"/>
  <c r="M65" i="26"/>
  <c r="DB29" i="1"/>
  <c r="AZ89" i="26"/>
  <c r="BZ60" i="25"/>
  <c r="CA48"/>
  <c r="CB92"/>
  <c r="BB37" i="1"/>
  <c r="CP102" i="38"/>
  <c r="AY30" i="1"/>
  <c r="AT30" i="26"/>
  <c r="CF18" i="36"/>
  <c r="I57" i="25"/>
  <c r="G34" i="26"/>
  <c r="BU26" i="41"/>
  <c r="CB79" i="38"/>
  <c r="U10" i="37"/>
  <c r="BR53" i="25"/>
  <c r="BH60" i="40"/>
  <c r="BB12" i="25"/>
  <c r="Y12" i="40"/>
  <c r="CC81" i="1"/>
  <c r="AN102"/>
  <c r="S96" i="38"/>
  <c r="DE89" i="41"/>
  <c r="AU29" i="25"/>
  <c r="O9" i="36"/>
  <c r="BA89" i="25"/>
  <c r="BR18" i="39"/>
  <c r="X79"/>
  <c r="CZ21" i="26"/>
  <c r="AU92"/>
  <c r="AB79" i="40"/>
  <c r="I37" i="41"/>
  <c r="CA98"/>
  <c r="BI17" i="37"/>
  <c r="CU25" i="41"/>
  <c r="AT49" i="40"/>
  <c r="AH18" i="41"/>
  <c r="AQ81" i="26"/>
  <c r="J9" i="38"/>
  <c r="BE60" i="36"/>
  <c r="DE50"/>
  <c r="DF62" i="37"/>
  <c r="BY37" i="40"/>
  <c r="AN58" i="37"/>
  <c r="CG81" i="38"/>
  <c r="AM34"/>
  <c r="AB66" i="40"/>
  <c r="G24" i="26"/>
  <c r="AB91"/>
  <c r="DA45" i="37"/>
  <c r="AR81" i="41"/>
  <c r="BV49"/>
  <c r="BH66" i="26"/>
  <c r="CQ12" i="39"/>
  <c r="G49" i="36"/>
  <c r="L61" i="39"/>
  <c r="AA102" i="38"/>
  <c r="AG10" i="37"/>
  <c r="CM71" i="1"/>
  <c r="AF54" i="26"/>
  <c r="G61" i="1"/>
  <c r="AF9" i="37"/>
  <c r="BA29" i="40"/>
  <c r="BX91" i="39"/>
  <c r="CC67" i="38"/>
  <c r="CU103" i="40"/>
  <c r="M17" i="37"/>
  <c r="AC53" i="39"/>
  <c r="H54" i="38"/>
  <c r="CU54"/>
  <c r="CY24" i="40"/>
  <c r="AN50" i="25"/>
  <c r="K34" i="40"/>
  <c r="AS48" i="38"/>
  <c r="AB81" i="36"/>
  <c r="AA12" i="37"/>
  <c r="CV12" i="25"/>
  <c r="AH25" i="37"/>
  <c r="BB79" i="40"/>
  <c r="M71" i="37"/>
  <c r="AD59" i="1"/>
  <c r="V91" i="41"/>
  <c r="CH102" i="40"/>
  <c r="AZ96"/>
  <c r="AZ27"/>
  <c r="Z81" i="41"/>
  <c r="DA9" i="40"/>
  <c r="DB91" i="39"/>
  <c r="CD24" i="40"/>
  <c r="CR58" i="41"/>
  <c r="BT13" i="39"/>
  <c r="CA81" i="38"/>
  <c r="BH98" i="1"/>
  <c r="BV49" i="37"/>
  <c r="DA27" i="38"/>
  <c r="AJ54" i="41"/>
  <c r="G89" i="37"/>
  <c r="CV62" i="36"/>
  <c r="AX59" i="41"/>
  <c r="BS65" i="36"/>
  <c r="AO91" i="37"/>
  <c r="U91" i="39"/>
  <c r="CW26" i="25"/>
  <c r="CP92" i="37"/>
  <c r="CK65" i="36"/>
  <c r="BX34"/>
  <c r="DD12" i="39"/>
  <c r="CB58" i="41"/>
  <c r="CO65" i="25"/>
  <c r="CN13" i="26"/>
  <c r="DC25" i="40"/>
  <c r="CF27" i="25"/>
  <c r="CB65" i="41"/>
  <c r="AM25" i="40"/>
  <c r="CU71" i="26"/>
  <c r="U45" i="38"/>
  <c r="X17" i="39"/>
  <c r="BC91"/>
  <c r="AW57" i="40"/>
  <c r="BV79" i="36"/>
  <c r="CF13" i="26"/>
  <c r="BA50" i="1"/>
  <c r="BT12" i="38"/>
  <c r="G89" i="1"/>
  <c r="AW27" i="40"/>
  <c r="BS57" i="38"/>
  <c r="Y54" i="25"/>
  <c r="BZ45" i="37"/>
  <c r="DC30" i="26"/>
  <c r="T66" i="40"/>
  <c r="BT71" i="1"/>
  <c r="Y75" i="41"/>
  <c r="AV57" i="25"/>
  <c r="AH25" i="41"/>
  <c r="S48"/>
  <c r="BY34" i="36"/>
  <c r="CA75" i="37"/>
  <c r="AN96" i="39"/>
  <c r="AU58" i="40"/>
  <c r="CF75" i="39"/>
  <c r="CW65" i="37"/>
  <c r="CG75" i="40"/>
  <c r="CD45"/>
  <c r="AY10"/>
  <c r="DB53" i="1"/>
  <c r="AW21" i="40"/>
  <c r="AP79" i="39"/>
  <c r="Z37" i="40"/>
  <c r="CE21" i="38"/>
  <c r="CU49" i="40"/>
  <c r="DD30"/>
  <c r="P10" i="37"/>
  <c r="BY17" i="41"/>
  <c r="AM26" i="36"/>
  <c r="BA102" i="1"/>
  <c r="J65" i="38"/>
  <c r="W24" i="1"/>
  <c r="AV49" i="36"/>
  <c r="AV66"/>
  <c r="AB66" i="41"/>
  <c r="BZ66" i="1"/>
  <c r="BE89" i="38"/>
  <c r="CR21" i="39"/>
  <c r="L29" i="1"/>
  <c r="G62" i="40"/>
  <c r="AF30"/>
  <c r="BP62" i="39"/>
  <c r="AY59"/>
  <c r="W26" i="36"/>
  <c r="BO49" i="38"/>
  <c r="I62" i="41"/>
  <c r="CQ45" i="38"/>
  <c r="AB37" i="39"/>
  <c r="Z60" i="36"/>
  <c r="BE81" i="41"/>
  <c r="CX79" i="26"/>
  <c r="CW24"/>
  <c r="I18" i="25"/>
  <c r="AS53" i="41"/>
  <c r="CZ48" i="38"/>
  <c r="CS30" i="41"/>
  <c r="CF10" i="38"/>
  <c r="DB62"/>
  <c r="O67" i="40"/>
  <c r="AE29" i="1"/>
  <c r="AH29" i="25"/>
  <c r="AD62"/>
  <c r="BC96" i="1"/>
  <c r="AG91" i="41"/>
  <c r="CG26"/>
  <c r="CR57" i="1"/>
  <c r="AF17" i="37"/>
  <c r="CC9" i="26"/>
  <c r="CD25" i="38"/>
  <c r="AJ98" i="1"/>
  <c r="BE34" i="40"/>
  <c r="BW60" i="39"/>
  <c r="CB12" i="36"/>
  <c r="CH81" i="25"/>
  <c r="BD9" i="41"/>
  <c r="BZ91"/>
  <c r="AP24" i="26"/>
  <c r="BS96" i="40"/>
  <c r="CS10" i="41"/>
  <c r="Y45" i="38"/>
  <c r="BX79"/>
  <c r="BZ27" i="40"/>
  <c r="CK45" i="41"/>
  <c r="BS59" i="36"/>
  <c r="P21" i="25"/>
  <c r="BE89" i="36"/>
  <c r="CY67" i="37"/>
  <c r="X37" i="40"/>
  <c r="Y12" i="41"/>
  <c r="BP30" i="39"/>
  <c r="CV34" i="37"/>
  <c r="AT57" i="39"/>
  <c r="BE9"/>
  <c r="CX61" i="41"/>
  <c r="AZ9"/>
  <c r="X26"/>
  <c r="CX96" i="40"/>
  <c r="I12" i="39"/>
  <c r="AA66" i="40"/>
  <c r="BW89" i="26"/>
  <c r="K54" i="1"/>
  <c r="BU60" i="25"/>
  <c r="CZ12" i="38"/>
  <c r="AH58" i="37"/>
  <c r="BX61" i="39"/>
  <c r="DE26" i="38"/>
  <c r="BC58" i="25"/>
  <c r="Y50" i="40"/>
  <c r="AW29" i="41"/>
  <c r="CP13" i="25"/>
  <c r="CK48" i="39"/>
  <c r="BT91" i="25"/>
  <c r="BI25" i="39"/>
  <c r="BW30" i="1"/>
  <c r="AT89"/>
  <c r="BV98" i="39"/>
  <c r="CF12" i="25"/>
  <c r="CB59" i="40"/>
  <c r="CJ9"/>
  <c r="BE96"/>
  <c r="CJ30" i="39"/>
  <c r="CZ67" i="40"/>
  <c r="DC26" i="38"/>
  <c r="CM89" i="37"/>
  <c r="AE81" i="38"/>
  <c r="AU21" i="39"/>
  <c r="U34" i="1"/>
  <c r="CO60" i="37"/>
  <c r="CP50" i="39"/>
  <c r="CF102" i="38"/>
  <c r="AT67" i="37"/>
  <c r="DE75" i="1"/>
  <c r="AC30" i="25"/>
  <c r="AR59" i="39"/>
  <c r="CP34" i="37"/>
  <c r="BU21" i="40"/>
  <c r="AU60" i="39"/>
  <c r="AG29" i="41"/>
  <c r="CS91" i="25"/>
  <c r="AV49"/>
  <c r="CP66" i="26"/>
  <c r="X67" i="37"/>
  <c r="M34" i="25"/>
  <c r="AB27" i="38"/>
  <c r="CQ48" i="39"/>
  <c r="DB24" i="37"/>
  <c r="CT30"/>
  <c r="AS30"/>
  <c r="CT92" i="26"/>
  <c r="S91" i="39"/>
  <c r="W29" i="36"/>
  <c r="BC18" i="37"/>
  <c r="CA103" i="38"/>
  <c r="CC27" i="41"/>
  <c r="BI96" i="26"/>
  <c r="CG89" i="39"/>
  <c r="AQ27" i="41"/>
  <c r="CB61" i="37"/>
  <c r="S29" i="25"/>
  <c r="CS34" i="39"/>
  <c r="AJ81" i="36"/>
  <c r="AO12" i="38"/>
  <c r="L30" i="40"/>
  <c r="L61" i="37"/>
  <c r="CW9" i="36"/>
  <c r="BR45" i="40"/>
  <c r="CQ59" i="1"/>
  <c r="BB54" i="38"/>
  <c r="CH81"/>
  <c r="CX29" i="41"/>
  <c r="CO61"/>
  <c r="AZ79" i="36"/>
  <c r="CG45" i="41"/>
  <c r="BA98" i="38"/>
  <c r="BE13"/>
  <c r="CQ67" i="25"/>
  <c r="CO53" i="1"/>
  <c r="CP12" i="40"/>
  <c r="AE79" i="38"/>
  <c r="AO50" i="39"/>
  <c r="Y45"/>
  <c r="AW37" i="25"/>
  <c r="BW26" i="1"/>
  <c r="BR34" i="38"/>
  <c r="AA13"/>
  <c r="AT21" i="39"/>
  <c r="L9" i="1"/>
  <c r="AW25" i="38"/>
  <c r="CT50"/>
  <c r="AP57" i="37"/>
  <c r="BA9" i="41"/>
  <c r="V75" i="36"/>
  <c r="DC91"/>
  <c r="J91" i="41"/>
  <c r="CA25" i="37"/>
  <c r="H57" i="36"/>
  <c r="CY25" i="26"/>
  <c r="CC71" i="1"/>
  <c r="AB57" i="39"/>
  <c r="AA27" i="41"/>
  <c r="CY50" i="36"/>
  <c r="CN91" i="38"/>
  <c r="AJ17" i="41"/>
  <c r="P53" i="1"/>
  <c r="H54" i="39"/>
  <c r="L12" i="36"/>
  <c r="AS26" i="25"/>
  <c r="BB50" i="37"/>
  <c r="BX102" i="41"/>
  <c r="BA37" i="37"/>
  <c r="AE61" i="26"/>
  <c r="BD45" i="1"/>
  <c r="AG66" i="25"/>
  <c r="T37"/>
  <c r="AZ71"/>
  <c r="P61" i="38"/>
  <c r="Z49" i="40"/>
  <c r="DC26" i="26"/>
  <c r="O21"/>
  <c r="CW102"/>
  <c r="CH96"/>
  <c r="J102" i="25"/>
  <c r="BH10" i="41"/>
  <c r="CB57" i="40"/>
  <c r="AP50" i="1"/>
  <c r="CJ59" i="41"/>
  <c r="BC54" i="1"/>
  <c r="CT60" i="40"/>
  <c r="BH24" i="39"/>
  <c r="DE57" i="1"/>
  <c r="DF79"/>
  <c r="S81" i="40"/>
  <c r="AR81" i="26"/>
  <c r="X48" i="40"/>
  <c r="AM75" i="26"/>
  <c r="BZ13" i="37"/>
  <c r="AE45" i="39"/>
  <c r="CY59" i="36"/>
  <c r="AM25" i="41"/>
  <c r="CR12" i="39"/>
  <c r="AF62" i="25"/>
  <c r="CZ102" i="41"/>
  <c r="CA57" i="37"/>
  <c r="AY59"/>
  <c r="AI65" i="39"/>
  <c r="CU96" i="40"/>
  <c r="I65" i="25"/>
  <c r="AF10" i="1"/>
  <c r="H49" i="26"/>
  <c r="DE65" i="1"/>
  <c r="CK66" i="25"/>
  <c r="AQ17" i="37"/>
  <c r="DA25" i="25"/>
  <c r="AJ92" i="1"/>
  <c r="BS98" i="39"/>
  <c r="AM67" i="37"/>
  <c r="AU50" i="39"/>
  <c r="X60" i="40"/>
  <c r="AC25" i="41"/>
  <c r="N29" i="38"/>
  <c r="DB66" i="36"/>
  <c r="CB25" i="40"/>
  <c r="CD58" i="36"/>
  <c r="AD98" i="38"/>
  <c r="CS37" i="26"/>
  <c r="BI12" i="40"/>
  <c r="BC60" i="36"/>
  <c r="DD81" i="41"/>
  <c r="BA66" i="1"/>
  <c r="BE53" i="40"/>
  <c r="BP13" i="36"/>
  <c r="BS59" i="38"/>
  <c r="CO58" i="40"/>
  <c r="BX71" i="26"/>
  <c r="CA66" i="40"/>
  <c r="BW75" i="25"/>
  <c r="BX57" i="39"/>
  <c r="AE91" i="1"/>
  <c r="BX57" i="41"/>
  <c r="CT18" i="25"/>
  <c r="AO96"/>
  <c r="X61" i="39"/>
  <c r="Y37" i="37"/>
  <c r="AY17" i="38"/>
  <c r="H21" i="39"/>
  <c r="CC45" i="40"/>
  <c r="CW25" i="26"/>
  <c r="I62" i="1"/>
  <c r="AF58" i="37"/>
  <c r="AQ17" i="1"/>
  <c r="M92" i="40"/>
  <c r="BO26" i="38"/>
  <c r="BY48" i="1"/>
  <c r="AI45" i="26"/>
  <c r="BA60" i="38"/>
  <c r="S10" i="40"/>
  <c r="CW81" i="25"/>
  <c r="CJ34" i="26"/>
  <c r="BT48" i="1"/>
  <c r="CK37" i="36"/>
  <c r="J98"/>
  <c r="CL48" i="25"/>
  <c r="CQ92" i="39"/>
  <c r="CY57" i="1"/>
  <c r="CH45" i="26"/>
  <c r="AO60" i="37"/>
  <c r="CP54"/>
  <c r="CS61" i="1"/>
  <c r="G45" i="41"/>
  <c r="CP37" i="1"/>
  <c r="CV25" i="40"/>
  <c r="BV26" i="26"/>
  <c r="BR27" i="36"/>
  <c r="DF9" i="39"/>
  <c r="G21" i="37"/>
  <c r="AJ26" i="36"/>
  <c r="CQ24"/>
  <c r="AY57" i="37"/>
  <c r="BW103" i="1"/>
  <c r="CH26" i="41"/>
  <c r="BS102" i="36"/>
  <c r="G60" i="41"/>
  <c r="DA67" i="1"/>
  <c r="AA45" i="40"/>
  <c r="H34" i="25"/>
  <c r="BZ57" i="38"/>
  <c r="BH24" i="41"/>
  <c r="AU79" i="1"/>
  <c r="DA81"/>
  <c r="AJ26" i="37"/>
  <c r="CA54" i="26"/>
  <c r="J10" i="38"/>
  <c r="BB18" i="37"/>
  <c r="AE27" i="40"/>
  <c r="AS65" i="26"/>
  <c r="CS17" i="36"/>
  <c r="BI60" i="1"/>
  <c r="H96" i="38"/>
  <c r="CU25" i="1"/>
  <c r="AG37" i="36"/>
  <c r="G45" i="38"/>
  <c r="BU21" i="26"/>
  <c r="AM57" i="37"/>
  <c r="AY37" i="40"/>
  <c r="BU57" i="36"/>
  <c r="BZ61"/>
  <c r="CN27" i="40"/>
  <c r="CC25" i="41"/>
  <c r="CO18" i="1"/>
  <c r="CT34" i="25"/>
  <c r="CL13" i="39"/>
  <c r="BX53" i="36"/>
  <c r="BZ103"/>
  <c r="AU26"/>
  <c r="CP10" i="38"/>
  <c r="CN48" i="1"/>
  <c r="AI26"/>
  <c r="Y49" i="36"/>
  <c r="AN71"/>
  <c r="DF57" i="26"/>
  <c r="AI12" i="25"/>
  <c r="DE53" i="1"/>
  <c r="V75" i="41"/>
  <c r="CI45" i="40"/>
  <c r="AW45" i="37"/>
  <c r="AU18" i="1"/>
  <c r="DA92" i="26"/>
  <c r="DD67" i="1"/>
  <c r="AN37" i="40"/>
  <c r="CV50" i="39"/>
  <c r="BR17" i="37"/>
  <c r="AG18" i="38"/>
  <c r="AR18" i="41"/>
  <c r="AW79" i="38"/>
  <c r="AI34" i="40"/>
  <c r="AQ60" i="41"/>
  <c r="H29"/>
  <c r="CQ48" i="1"/>
  <c r="J12" i="41"/>
  <c r="Z50" i="38"/>
  <c r="AE66" i="25"/>
  <c r="BC24" i="41"/>
  <c r="CQ26" i="1"/>
  <c r="CE89" i="38"/>
  <c r="DD30" i="36"/>
  <c r="AZ45" i="37"/>
  <c r="BX24" i="1"/>
  <c r="BS103" i="39"/>
  <c r="DA49" i="25"/>
  <c r="BS37" i="1"/>
  <c r="CC67" i="40"/>
  <c r="BT9" i="36"/>
  <c r="CE18" i="38"/>
  <c r="AD102" i="26"/>
  <c r="BB30" i="1"/>
  <c r="CH18" i="38"/>
  <c r="CU103" i="36"/>
  <c r="I102" i="40"/>
  <c r="BB18" i="38"/>
  <c r="AU27" i="40"/>
  <c r="DD65" i="39"/>
  <c r="BR50" i="37"/>
  <c r="DC103" i="1"/>
  <c r="AA71" i="37"/>
  <c r="CV89" i="25"/>
  <c r="BR62" i="26"/>
  <c r="AE98" i="41"/>
  <c r="H37" i="38"/>
  <c r="BI25" i="26"/>
  <c r="CN25" i="41"/>
  <c r="AB81" i="38"/>
  <c r="T53" i="39"/>
  <c r="BH102" i="26"/>
  <c r="AD92" i="39"/>
  <c r="X26" i="38"/>
  <c r="BA10" i="25"/>
  <c r="J18" i="40"/>
  <c r="AJ61" i="26"/>
  <c r="V62" i="36"/>
  <c r="AJ60" i="26"/>
  <c r="AH102"/>
  <c r="DF66" i="41"/>
  <c r="AY10" i="1"/>
  <c r="BO66" i="39"/>
  <c r="DC37" i="41"/>
  <c r="CN102" i="40"/>
  <c r="CF26" i="38"/>
  <c r="CG21" i="26"/>
  <c r="AP57" i="38"/>
  <c r="CG102" i="25"/>
  <c r="CS89"/>
  <c r="CW34"/>
  <c r="BH9" i="40"/>
  <c r="DC18" i="26"/>
  <c r="AM29" i="38"/>
  <c r="BS67" i="36"/>
  <c r="J96" i="40"/>
  <c r="AG66" i="38"/>
  <c r="AB34" i="39"/>
  <c r="BT13" i="37"/>
  <c r="AS57" i="26"/>
  <c r="BU37" i="1"/>
  <c r="CD9" i="25"/>
  <c r="CO81" i="40"/>
  <c r="Z29" i="25"/>
  <c r="CB103" i="26"/>
  <c r="K45" i="37"/>
  <c r="AW91" i="41"/>
  <c r="Z9" i="26"/>
  <c r="DB65" i="40"/>
  <c r="BY96" i="26"/>
  <c r="CD24"/>
  <c r="AX75" i="39"/>
  <c r="BW18" i="38"/>
  <c r="P25"/>
  <c r="P29" i="40"/>
  <c r="CL71" i="25"/>
  <c r="CA12" i="40"/>
  <c r="W62" i="39"/>
  <c r="K49" i="1"/>
  <c r="CI45" i="39"/>
  <c r="AE89" i="40"/>
  <c r="CS18" i="38"/>
  <c r="CX96" i="36"/>
  <c r="BU25" i="38"/>
  <c r="BV91" i="26"/>
  <c r="BY75" i="1"/>
  <c r="AP75" i="37"/>
  <c r="AR67" i="39"/>
  <c r="CT49" i="41"/>
  <c r="BV17" i="1"/>
  <c r="CQ60" i="38"/>
  <c r="H45" i="41"/>
  <c r="CL29" i="37"/>
  <c r="BQ102" i="25"/>
  <c r="CB53" i="40"/>
  <c r="CC21" i="38"/>
  <c r="DA75" i="41"/>
  <c r="G75" i="36"/>
  <c r="CE26" i="1"/>
  <c r="BD30" i="26"/>
  <c r="CW62" i="41"/>
  <c r="BU103" i="40"/>
  <c r="AD18" i="38"/>
  <c r="BR59" i="40"/>
  <c r="DE89" i="26"/>
  <c r="AH81" i="1"/>
  <c r="BB60"/>
  <c r="AG79" i="41"/>
  <c r="BP30" i="26"/>
  <c r="CB18" i="37"/>
  <c r="CC75"/>
  <c r="CH24" i="41"/>
  <c r="BS34" i="38"/>
  <c r="CN57" i="41"/>
  <c r="CT75" i="36"/>
  <c r="AN75" i="40"/>
  <c r="CG102" i="41"/>
  <c r="CI79" i="37"/>
  <c r="CD17" i="39"/>
  <c r="CI10" i="36"/>
  <c r="BC50" i="38"/>
  <c r="DB13" i="41"/>
  <c r="CU13" i="36"/>
  <c r="BI98" i="38"/>
  <c r="DF91"/>
  <c r="BS18" i="40"/>
  <c r="CO61" i="26"/>
  <c r="DD18" i="36"/>
  <c r="BS45" i="1"/>
  <c r="J53" i="40"/>
  <c r="BR103" i="1"/>
  <c r="T66" i="37"/>
  <c r="AP71" i="38"/>
  <c r="AB96" i="37"/>
  <c r="CX71" i="36"/>
  <c r="DE91" i="38"/>
  <c r="AE18" i="39"/>
  <c r="T49" i="36"/>
  <c r="AQ57" i="38"/>
  <c r="H59" i="37"/>
  <c r="AG10" i="40"/>
  <c r="AM81" i="37"/>
  <c r="CI49" i="38"/>
  <c r="BX58" i="25"/>
  <c r="BH57" i="41"/>
  <c r="CN79" i="40"/>
  <c r="CF34" i="39"/>
  <c r="CJ71" i="25"/>
  <c r="BE91" i="40"/>
  <c r="CX75" i="26"/>
  <c r="CF18"/>
  <c r="CO67" i="41"/>
  <c r="V13" i="26"/>
  <c r="I81" i="40"/>
  <c r="BT96" i="36"/>
  <c r="BT91" i="40"/>
  <c r="BP65" i="26"/>
  <c r="CV24" i="39"/>
  <c r="T30" i="40"/>
  <c r="W49" i="1"/>
  <c r="AH62" i="40"/>
  <c r="AV29" i="39"/>
  <c r="DF21" i="25"/>
  <c r="BW98"/>
  <c r="BP59" i="38"/>
  <c r="Z10" i="41"/>
  <c r="CT30" i="26"/>
  <c r="BB30" i="25"/>
  <c r="AJ91" i="41"/>
  <c r="AM45" i="37"/>
  <c r="CH25" i="25"/>
  <c r="CS59" i="41"/>
  <c r="BB37" i="38"/>
  <c r="I17" i="37"/>
  <c r="AI61" i="25"/>
  <c r="V60" i="36"/>
  <c r="CQ54" i="25"/>
  <c r="BI37" i="1"/>
  <c r="AA18"/>
  <c r="BV26"/>
  <c r="CS92" i="37"/>
  <c r="BA17" i="36"/>
  <c r="DC59" i="40"/>
  <c r="BD30" i="36"/>
  <c r="AP27" i="37"/>
  <c r="AM92" i="39"/>
  <c r="O81" i="26"/>
  <c r="AX59" i="38"/>
  <c r="BC18" i="26"/>
  <c r="CQ25" i="36"/>
  <c r="AQ53" i="25"/>
  <c r="BI17" i="40"/>
  <c r="AY96" i="38"/>
  <c r="BR21" i="1"/>
  <c r="BC59" i="39"/>
  <c r="M12"/>
  <c r="BU50" i="25"/>
  <c r="AB89" i="38"/>
  <c r="BB60" i="36"/>
  <c r="CU9" i="1"/>
  <c r="AI58" i="39"/>
  <c r="V17" i="41"/>
  <c r="CK26" i="37"/>
  <c r="AM13" i="1"/>
  <c r="K96" i="25"/>
  <c r="AV17" i="26"/>
  <c r="BY103" i="25"/>
  <c r="CN62" i="36"/>
  <c r="CP71" i="25"/>
  <c r="BY98" i="26"/>
  <c r="T50" i="38"/>
  <c r="BS29" i="39"/>
  <c r="AZ45" i="26"/>
  <c r="CU61" i="40"/>
  <c r="AT59"/>
  <c r="CO45" i="39"/>
  <c r="BB96" i="37"/>
  <c r="V71" i="40"/>
  <c r="AO48" i="36"/>
  <c r="AH65" i="25"/>
  <c r="L75" i="1"/>
  <c r="AF17"/>
  <c r="AM59" i="40"/>
  <c r="BU71" i="25"/>
  <c r="CL67" i="1"/>
  <c r="BS57" i="25"/>
  <c r="BS103"/>
  <c r="BW58" i="41"/>
  <c r="CE71" i="1"/>
  <c r="AU92" i="39"/>
  <c r="AT21" i="38"/>
  <c r="CH75" i="25"/>
  <c r="BQ60" i="40"/>
  <c r="AY71" i="26"/>
  <c r="BU45" i="41"/>
  <c r="CE57" i="36"/>
  <c r="AQ29" i="1"/>
  <c r="AU49"/>
  <c r="CY102" i="26"/>
  <c r="W27" i="39"/>
  <c r="BR30" i="40"/>
  <c r="N89" i="1"/>
  <c r="CE10" i="39"/>
  <c r="CE45" i="36"/>
  <c r="CD12" i="1"/>
  <c r="N10" i="40"/>
  <c r="CJ18" i="39"/>
  <c r="CE48" i="36"/>
  <c r="AG79" i="37"/>
  <c r="CY71" i="38"/>
  <c r="CY61" i="41"/>
  <c r="BT17" i="25"/>
  <c r="BS54" i="40"/>
  <c r="BB102"/>
  <c r="CK58" i="37"/>
  <c r="CT91" i="25"/>
  <c r="DA59" i="1"/>
  <c r="BQ29" i="25"/>
  <c r="AZ24" i="26"/>
  <c r="CY91" i="40"/>
  <c r="AJ10" i="37"/>
  <c r="AS34" i="36"/>
  <c r="AN96"/>
  <c r="BW49" i="38"/>
  <c r="K49" i="25"/>
  <c r="BB67" i="40"/>
  <c r="CI27" i="41"/>
  <c r="CT45" i="26"/>
  <c r="DD92" i="37"/>
  <c r="CA92" i="40"/>
  <c r="AB67" i="25"/>
  <c r="CI18" i="26"/>
  <c r="CQ49" i="25"/>
  <c r="CK62" i="40"/>
  <c r="CH50"/>
  <c r="CI58" i="37"/>
  <c r="CP37" i="25"/>
  <c r="BD12" i="37"/>
  <c r="BI9" i="41"/>
  <c r="AO61" i="39"/>
  <c r="G96" i="40"/>
  <c r="BB27" i="26"/>
  <c r="AW50" i="36"/>
  <c r="CD37" i="37"/>
  <c r="CP37" i="38"/>
  <c r="CJ45" i="26"/>
  <c r="CW65" i="36"/>
  <c r="BQ13" i="37"/>
  <c r="CP89" i="26"/>
  <c r="X89"/>
  <c r="AS54" i="40"/>
  <c r="AU12" i="1"/>
  <c r="S89" i="26"/>
  <c r="AG29" i="36"/>
  <c r="I24" i="1"/>
  <c r="BP58" i="39"/>
  <c r="AN26"/>
  <c r="DE89" i="36"/>
  <c r="AQ62" i="38"/>
  <c r="BC79" i="41"/>
  <c r="BI45" i="36"/>
  <c r="S10" i="41"/>
  <c r="AS30" i="39"/>
  <c r="CY34" i="1"/>
  <c r="DF12" i="38"/>
  <c r="K92" i="37"/>
  <c r="AF61" i="41"/>
  <c r="AE65" i="26"/>
  <c r="DB53"/>
  <c r="CZ17" i="39"/>
  <c r="CA65" i="37"/>
  <c r="CK49" i="40"/>
  <c r="BY91" i="38"/>
  <c r="AR59" i="37"/>
  <c r="DF37" i="41"/>
  <c r="Y48"/>
  <c r="V57" i="40"/>
  <c r="BI12" i="26"/>
  <c r="AI26" i="36"/>
  <c r="AT96" i="37"/>
  <c r="AD62" i="40"/>
  <c r="CA29"/>
  <c r="J67" i="39"/>
  <c r="CM25" i="38"/>
  <c r="AG54" i="39"/>
  <c r="I67" i="26"/>
  <c r="W49" i="39"/>
  <c r="AA59" i="1"/>
  <c r="AX49" i="39"/>
  <c r="AJ58" i="26"/>
  <c r="CK102" i="40"/>
  <c r="U30" i="26"/>
  <c r="AD37" i="41"/>
  <c r="CC10" i="1"/>
  <c r="O102" i="36"/>
  <c r="O67" i="1"/>
  <c r="CM65"/>
  <c r="CB48" i="37"/>
  <c r="CF65" i="36"/>
  <c r="CP26" i="25"/>
  <c r="CP34" i="41"/>
  <c r="H61" i="39"/>
  <c r="AS29" i="41"/>
  <c r="CZ91" i="25"/>
  <c r="CF58" i="39"/>
  <c r="CO24" i="1"/>
  <c r="AC91" i="40"/>
  <c r="J58" i="41"/>
  <c r="BW27"/>
  <c r="BY45"/>
  <c r="AI17" i="40"/>
  <c r="AA30" i="36"/>
  <c r="M79" i="26"/>
  <c r="M66" i="38"/>
  <c r="BE54"/>
  <c r="AS79" i="40"/>
  <c r="AT50" i="37"/>
  <c r="AJ57" i="38"/>
  <c r="CC89" i="1"/>
  <c r="BC34" i="26"/>
  <c r="DC24" i="41"/>
  <c r="BW91" i="1"/>
  <c r="DE62" i="26"/>
  <c r="BV66"/>
  <c r="BB91" i="39"/>
  <c r="CJ67" i="1"/>
  <c r="BZ54" i="25"/>
  <c r="S65" i="41"/>
  <c r="BX62" i="36"/>
  <c r="BV9"/>
  <c r="AH57" i="37"/>
  <c r="CS54" i="40"/>
  <c r="DC102" i="25"/>
  <c r="CC61" i="36"/>
  <c r="CB91" i="38"/>
  <c r="CB50"/>
  <c r="BU34" i="40"/>
  <c r="BV81" i="36"/>
  <c r="AY62"/>
  <c r="CV25" i="41"/>
  <c r="BH27" i="25"/>
  <c r="CM10" i="41"/>
  <c r="DF13" i="26"/>
  <c r="AA59" i="41"/>
  <c r="O92" i="36"/>
  <c r="AI13"/>
  <c r="BV53" i="41"/>
  <c r="N57" i="25"/>
  <c r="G10" i="60"/>
  <c r="P61" i="26"/>
  <c r="AS13" i="36"/>
  <c r="CW57" i="1"/>
  <c r="BI48" i="38"/>
  <c r="AR37" i="26"/>
  <c r="CB92" i="39"/>
  <c r="AY66" i="38"/>
  <c r="AU91" i="26"/>
  <c r="AQ9" i="39"/>
  <c r="O79"/>
  <c r="CZ49" i="38"/>
  <c r="BO48" i="36"/>
  <c r="L26" i="38"/>
  <c r="CY65" i="26"/>
  <c r="AV27"/>
  <c r="AO92"/>
  <c r="DB103" i="40"/>
  <c r="AP59" i="1"/>
  <c r="H12" i="39"/>
  <c r="CR13" i="38"/>
  <c r="AH50" i="39"/>
  <c r="H57" i="41"/>
  <c r="H12" i="1"/>
  <c r="BA30" i="26"/>
  <c r="CW24" i="39"/>
  <c r="N18" i="38"/>
  <c r="AW21" i="37"/>
  <c r="BR26" i="40"/>
  <c r="CS49" i="38"/>
  <c r="BQ65"/>
  <c r="DC62" i="26"/>
  <c r="AQ24" i="40"/>
  <c r="AR48" i="36"/>
  <c r="DD98" i="1"/>
  <c r="BB67" i="38"/>
  <c r="CA49" i="36"/>
  <c r="CR37" i="25"/>
  <c r="AA60" i="26"/>
  <c r="AJ27" i="39"/>
  <c r="BI62"/>
  <c r="AD59" i="41"/>
  <c r="I10" i="25"/>
  <c r="AC10" i="37"/>
  <c r="DC60" i="41"/>
  <c r="BU10" i="36"/>
  <c r="BZ59" i="41"/>
  <c r="CP98" i="1"/>
  <c r="N10" i="39"/>
  <c r="BT59" i="40"/>
  <c r="CO59"/>
  <c r="DF24" i="25"/>
  <c r="CU91" i="38"/>
  <c r="S61" i="39"/>
  <c r="BA10" i="37"/>
  <c r="BE91" i="39"/>
  <c r="CF96" i="36"/>
  <c r="BW81" i="40"/>
  <c r="CD92" i="36"/>
  <c r="CN13" i="38"/>
  <c r="CO62" i="40"/>
  <c r="Y26"/>
  <c r="AV21"/>
  <c r="AE92" i="1"/>
  <c r="AB37" i="25"/>
  <c r="AW45" i="38"/>
  <c r="CQ102" i="36"/>
  <c r="AI59" i="25"/>
  <c r="CU96" i="39"/>
  <c r="AH60" i="40"/>
  <c r="CK25" i="25"/>
  <c r="DF18" i="39"/>
  <c r="M45" i="40"/>
  <c r="CP65" i="41"/>
  <c r="CI61" i="36"/>
  <c r="CV48" i="26"/>
  <c r="CW102" i="37"/>
  <c r="DE45" i="38"/>
  <c r="P30" i="39"/>
  <c r="AP60" i="40"/>
  <c r="BT25" i="41"/>
  <c r="AY9"/>
  <c r="AV89" i="39"/>
  <c r="AA29" i="41"/>
  <c r="I59" i="26"/>
  <c r="BR24"/>
  <c r="AJ34" i="25"/>
  <c r="AX18"/>
  <c r="S98"/>
  <c r="BR103"/>
  <c r="AU75" i="37"/>
  <c r="BC91" i="1"/>
  <c r="AV89"/>
  <c r="CR61" i="40"/>
  <c r="AB66" i="38"/>
  <c r="CU25"/>
  <c r="BR71" i="39"/>
  <c r="DF102" i="41"/>
  <c r="CY10" i="40"/>
  <c r="AJ62" i="25"/>
  <c r="CZ30" i="36"/>
  <c r="Z58" i="39"/>
  <c r="BC26"/>
  <c r="BW102" i="40"/>
  <c r="AS25" i="37"/>
  <c r="CQ24"/>
  <c r="CB50"/>
  <c r="X34"/>
  <c r="O89" i="41"/>
  <c r="BO89" i="39"/>
  <c r="CJ12" i="26"/>
  <c r="CC54" i="41"/>
  <c r="BQ34" i="37"/>
  <c r="CB65" i="40"/>
  <c r="BX48" i="26"/>
  <c r="CL71"/>
  <c r="AA48" i="1"/>
  <c r="AS45"/>
  <c r="CO34" i="37"/>
  <c r="AU27" i="38"/>
  <c r="CQ50" i="40"/>
  <c r="BW17" i="38"/>
  <c r="AT45" i="41"/>
  <c r="BE25" i="25"/>
  <c r="AY92"/>
  <c r="L71" i="41"/>
  <c r="AD65" i="40"/>
  <c r="AA9" i="39"/>
  <c r="AH102"/>
  <c r="BT67"/>
  <c r="AE91" i="37"/>
  <c r="X89" i="36"/>
  <c r="BP26" i="37"/>
  <c r="AQ62" i="39"/>
  <c r="BS10"/>
  <c r="CJ18" i="40"/>
  <c r="AY49" i="25"/>
  <c r="AO89" i="40"/>
  <c r="AM17" i="41"/>
  <c r="H62" i="37"/>
  <c r="I59" i="40"/>
  <c r="AY65" i="37"/>
  <c r="DC98" i="25"/>
  <c r="BD92" i="37"/>
  <c r="O25" i="38"/>
  <c r="AH60" i="36"/>
  <c r="CK54" i="37"/>
  <c r="AG12" i="1"/>
  <c r="AQ67" i="36"/>
  <c r="BU92" i="38"/>
  <c r="BH65" i="41"/>
  <c r="AD79"/>
  <c r="AS66" i="40"/>
  <c r="AB98" i="25"/>
  <c r="AQ79" i="39"/>
  <c r="AD9" i="38"/>
  <c r="AJ67" i="1"/>
  <c r="AV54" i="38"/>
  <c r="BA24" i="36"/>
  <c r="CQ71" i="39"/>
  <c r="CS92" i="41"/>
  <c r="AP10" i="39"/>
  <c r="CZ18" i="26"/>
  <c r="AZ59" i="1"/>
  <c r="CJ17" i="39"/>
  <c r="BY66" i="37"/>
  <c r="CK79" i="38"/>
  <c r="AH71" i="26"/>
  <c r="BU81"/>
  <c r="AU79"/>
  <c r="AM57" i="40"/>
  <c r="BX67" i="36"/>
  <c r="CW75" i="1"/>
  <c r="DC91"/>
  <c r="V58"/>
  <c r="BW12"/>
  <c r="BO48" i="25"/>
  <c r="M18" i="39"/>
  <c r="Y48" i="1"/>
  <c r="Z66" i="41"/>
  <c r="AG34" i="1"/>
  <c r="BV25" i="41"/>
  <c r="S57" i="26"/>
  <c r="BS65" i="1"/>
  <c r="M34"/>
  <c r="N61" i="37"/>
  <c r="CH67" i="26"/>
  <c r="AY12" i="37"/>
  <c r="O81"/>
  <c r="BX48" i="1"/>
  <c r="DA79" i="26"/>
  <c r="AQ37" i="36"/>
  <c r="BW24" i="1"/>
  <c r="BH98" i="37"/>
  <c r="CC21" i="39"/>
  <c r="Z34" i="25"/>
  <c r="BE12" i="38"/>
  <c r="CI12" i="25"/>
  <c r="DD91" i="39"/>
  <c r="L12" i="25"/>
  <c r="BS60" i="36"/>
  <c r="BY9"/>
  <c r="BW10" i="40"/>
  <c r="CF89" i="38"/>
  <c r="CM30" i="36"/>
  <c r="CR17" i="39"/>
  <c r="CM91"/>
  <c r="CU60" i="37"/>
  <c r="BC49" i="39"/>
  <c r="N24" i="26"/>
  <c r="AH13" i="39"/>
  <c r="CS79" i="41"/>
  <c r="BR58" i="40"/>
  <c r="AD17" i="1"/>
  <c r="BH60" i="37"/>
  <c r="CW61" i="38"/>
  <c r="CW103" i="39"/>
  <c r="G50" i="38"/>
  <c r="BO89" i="41"/>
  <c r="BZ24" i="1"/>
  <c r="BU66" i="41"/>
  <c r="CU18" i="38"/>
  <c r="CJ57" i="1"/>
  <c r="DF29" i="39"/>
  <c r="AI29" i="40"/>
  <c r="AQ49" i="25"/>
  <c r="DF10" i="41"/>
  <c r="AT65" i="39"/>
  <c r="BX18" i="36"/>
  <c r="BX67" i="39"/>
  <c r="CA58" i="41"/>
  <c r="BR61" i="37"/>
  <c r="CG27" i="41"/>
  <c r="BW61" i="37"/>
  <c r="G25" i="39"/>
  <c r="AO26" i="38"/>
  <c r="AT81" i="1"/>
  <c r="AC92" i="37"/>
  <c r="CL92" i="26"/>
  <c r="AE26"/>
  <c r="BS92"/>
  <c r="I66" i="39"/>
  <c r="Z48"/>
  <c r="AT34" i="37"/>
  <c r="L91"/>
  <c r="CT49"/>
  <c r="BU81"/>
  <c r="BP49" i="40"/>
  <c r="BC61" i="39"/>
  <c r="AW26" i="25"/>
  <c r="AU18"/>
  <c r="Y30" i="40"/>
  <c r="AY79" i="37"/>
  <c r="CB103"/>
  <c r="CC96" i="40"/>
  <c r="AM12" i="38"/>
  <c r="AY13" i="37"/>
  <c r="S91" i="40"/>
  <c r="CU54" i="37"/>
  <c r="CM53" i="39"/>
  <c r="CR92"/>
  <c r="O98" i="26"/>
  <c r="BV50"/>
  <c r="T62"/>
  <c r="AR59"/>
  <c r="CQ98" i="40"/>
  <c r="DE57" i="26"/>
  <c r="AC48" i="38"/>
  <c r="BY50" i="39"/>
  <c r="BB48" i="26"/>
  <c r="CO13" i="38"/>
  <c r="CL61" i="26"/>
  <c r="CG102" i="38"/>
  <c r="Y59" i="37"/>
  <c r="CO18" i="39"/>
  <c r="BW61"/>
  <c r="P9" i="25"/>
  <c r="DE54" i="1"/>
  <c r="AT17" i="25"/>
  <c r="AB102" i="36"/>
  <c r="AA59"/>
  <c r="AW67" i="25"/>
  <c r="Z24" i="36"/>
  <c r="CV65" i="38"/>
  <c r="CR25" i="41"/>
  <c r="CV75" i="26"/>
  <c r="BZ53" i="39"/>
  <c r="CJ45" i="25"/>
  <c r="CL57" i="37"/>
  <c r="BR48" i="25"/>
  <c r="G18" i="38"/>
  <c r="CJ37" i="36"/>
  <c r="BQ65" i="25"/>
  <c r="BB21" i="41"/>
  <c r="Y67" i="39"/>
  <c r="AH24" i="41"/>
  <c r="P54" i="26"/>
  <c r="BB26" i="25"/>
  <c r="DD62" i="39"/>
  <c r="BE29" i="26"/>
  <c r="BX13" i="39"/>
  <c r="AX60" i="26"/>
  <c r="BW96" i="39"/>
  <c r="CC58" i="37"/>
  <c r="BY37" i="38"/>
  <c r="DB21" i="36"/>
  <c r="CO57" i="26"/>
  <c r="CF48" i="41"/>
  <c r="CN48" i="40"/>
  <c r="AM26"/>
  <c r="CB65" i="36"/>
  <c r="AA25" i="38"/>
  <c r="BH25" i="25"/>
  <c r="CB103" i="1"/>
  <c r="M13"/>
  <c r="G71" i="25"/>
  <c r="CI21" i="39"/>
  <c r="O27"/>
  <c r="BH49" i="38"/>
  <c r="CX79" i="1"/>
  <c r="W60" i="40"/>
  <c r="AN75" i="41"/>
  <c r="DC62" i="40"/>
  <c r="M59" i="39"/>
  <c r="BU75" i="25"/>
  <c r="BS92" i="36"/>
  <c r="O96" i="37"/>
  <c r="BT61"/>
  <c r="V67" i="38"/>
  <c r="CP71" i="39"/>
  <c r="BV66" i="41"/>
  <c r="BI67" i="26"/>
  <c r="CP103" i="40"/>
  <c r="BH27" i="26"/>
  <c r="U66" i="25"/>
  <c r="AP49"/>
  <c r="AF21" i="41"/>
  <c r="BY34" i="39"/>
  <c r="CT96" i="25"/>
  <c r="BE59" i="41"/>
  <c r="V66" i="36"/>
  <c r="CY81" i="1"/>
  <c r="CO57" i="41"/>
  <c r="I9" i="26"/>
  <c r="DB50" i="36"/>
  <c r="CD50" i="37"/>
  <c r="G92" i="25"/>
  <c r="AH92"/>
  <c r="BU13" i="36"/>
  <c r="AR89" i="37"/>
  <c r="AV18" i="36"/>
  <c r="BH59"/>
  <c r="AZ60" i="40"/>
  <c r="CR49" i="39"/>
  <c r="AF37" i="41"/>
  <c r="CM60" i="25"/>
  <c r="AV81" i="41"/>
  <c r="AR17" i="25"/>
  <c r="L30"/>
  <c r="J10" i="1"/>
  <c r="J37" i="38"/>
  <c r="CL27" i="26"/>
  <c r="AQ50" i="38"/>
  <c r="DB60" i="40"/>
  <c r="CD17" i="37"/>
  <c r="BY27" i="25"/>
  <c r="CM50" i="36"/>
  <c r="CL17"/>
  <c r="BY48" i="38"/>
  <c r="CO81"/>
  <c r="CC25" i="1"/>
  <c r="CN60"/>
  <c r="CB24" i="40"/>
  <c r="M71"/>
  <c r="CN26" i="25"/>
  <c r="CX54" i="37"/>
  <c r="BU61" i="40"/>
  <c r="BB13"/>
  <c r="CG103" i="26"/>
  <c r="AR58" i="1"/>
  <c r="AQ48" i="40"/>
  <c r="BT75" i="26"/>
  <c r="BU79" i="37"/>
  <c r="CW59" i="41"/>
  <c r="CO21" i="38"/>
  <c r="CG29" i="39"/>
  <c r="BZ9" i="38"/>
  <c r="Y59" i="39"/>
  <c r="BB98" i="37"/>
  <c r="CZ61" i="25"/>
  <c r="AH24" i="36"/>
  <c r="AH65" i="1"/>
  <c r="Y27" i="37"/>
  <c r="BS91" i="26"/>
  <c r="CP30" i="39"/>
  <c r="BA34" i="25"/>
  <c r="CY66"/>
  <c r="BZ48" i="26"/>
  <c r="DD25" i="36"/>
  <c r="AV24" i="37"/>
  <c r="I30" i="1"/>
  <c r="DA9" i="37"/>
  <c r="J79" i="25"/>
  <c r="BR71" i="37"/>
  <c r="AO49"/>
  <c r="BP62"/>
  <c r="BC29"/>
  <c r="BA48" i="38"/>
  <c r="M27" i="1"/>
  <c r="CK30" i="37"/>
  <c r="CH65" i="41"/>
  <c r="H65"/>
  <c r="BO66" i="25"/>
  <c r="BU98" i="40"/>
  <c r="DA18" i="39"/>
  <c r="AT29" i="41"/>
  <c r="AC81" i="1"/>
  <c r="AW13" i="25"/>
  <c r="BR89"/>
  <c r="CX79"/>
  <c r="Z25" i="40"/>
  <c r="BA37" i="26"/>
  <c r="L91" i="60"/>
  <c r="CN61" i="36"/>
  <c r="CB91" i="41"/>
  <c r="CR50" i="40"/>
  <c r="X91" i="39"/>
  <c r="CG17" i="25"/>
  <c r="AV102" i="40"/>
  <c r="BD71" i="41"/>
  <c r="AJ75" i="39"/>
  <c r="H33" i="59"/>
  <c r="DC60" i="37"/>
  <c r="CU91"/>
  <c r="AJ49"/>
  <c r="CP67" i="36"/>
  <c r="BE91" i="26"/>
  <c r="AT29" i="1"/>
  <c r="BH24" i="40"/>
  <c r="AE92" i="37"/>
  <c r="AG58" i="39"/>
  <c r="AQ49" i="1"/>
  <c r="BT12" i="39"/>
  <c r="AN66" i="1"/>
  <c r="AV81" i="38"/>
  <c r="T54" i="1"/>
  <c r="BU58" i="41"/>
  <c r="BO58" i="1"/>
  <c r="L21" i="36"/>
  <c r="DA25"/>
  <c r="AH54" i="37"/>
  <c r="BR81" i="1"/>
  <c r="Z34" i="37"/>
  <c r="CK102" i="41"/>
  <c r="U29" i="26"/>
  <c r="AR13" i="1"/>
  <c r="CB13" i="26"/>
  <c r="BI50" i="37"/>
  <c r="BV59" i="26"/>
  <c r="AD9" i="41"/>
  <c r="I75" i="1"/>
  <c r="BX58" i="38"/>
  <c r="CS81" i="39"/>
  <c r="BT45"/>
  <c r="CH59" i="40"/>
  <c r="AU89" i="26"/>
  <c r="CP34" i="38"/>
  <c r="AD89"/>
  <c r="P10" i="39"/>
  <c r="AS27" i="1"/>
  <c r="AE71" i="41"/>
  <c r="BP58"/>
  <c r="L60" i="1"/>
  <c r="DA24" i="36"/>
  <c r="Y37" i="25"/>
  <c r="AZ37" i="39"/>
  <c r="BR71" i="25"/>
  <c r="BQ48" i="41"/>
  <c r="BP62"/>
  <c r="AM30"/>
  <c r="AW58" i="38"/>
  <c r="AO59" i="25"/>
  <c r="BA29" i="1"/>
  <c r="BR96" i="37"/>
  <c r="DE59" i="38"/>
  <c r="AG24"/>
  <c r="I73" i="64"/>
  <c r="CR102" i="1"/>
  <c r="DC50" i="41"/>
  <c r="CC24" i="36"/>
  <c r="CU57" i="39"/>
  <c r="AM61" i="26"/>
  <c r="CP45" i="1"/>
  <c r="Y27" i="40"/>
  <c r="L50"/>
  <c r="AO25" i="38"/>
  <c r="BS75" i="40"/>
  <c r="AN65" i="37"/>
  <c r="CZ79" i="38"/>
  <c r="AO65" i="41"/>
  <c r="CO60" i="1"/>
  <c r="AE30"/>
  <c r="DF45" i="26"/>
  <c r="DC29" i="40"/>
  <c r="AP25" i="41"/>
  <c r="G27" i="26"/>
  <c r="H10" i="1"/>
  <c r="G96" i="41"/>
  <c r="AB89"/>
  <c r="AE30" i="39"/>
  <c r="BH26" i="36"/>
  <c r="Z62" i="26"/>
  <c r="CR53" i="38"/>
  <c r="CJ81" i="25"/>
  <c r="AN62" i="36"/>
  <c r="BB37" i="39"/>
  <c r="AH92" i="1"/>
  <c r="K12"/>
  <c r="BT62" i="39"/>
  <c r="CY59" i="1"/>
  <c r="AU62" i="36"/>
  <c r="AP10" i="25"/>
  <c r="CT50" i="37"/>
  <c r="CG89" i="26"/>
  <c r="CB49" i="25"/>
  <c r="AE67" i="37"/>
  <c r="CD62" i="38"/>
  <c r="CR13" i="26"/>
  <c r="J59" i="25"/>
  <c r="DC67" i="26"/>
  <c r="BI66" i="40"/>
  <c r="AY102" i="41"/>
  <c r="S75" i="39"/>
  <c r="O10" i="25"/>
  <c r="BI60" i="40"/>
  <c r="W65" i="25"/>
  <c r="CT79" i="26"/>
  <c r="BC29" i="41"/>
  <c r="CZ102" i="37"/>
  <c r="O98" i="39"/>
  <c r="L12" i="37"/>
  <c r="X24" i="25"/>
  <c r="DE103" i="1"/>
  <c r="CZ25" i="26"/>
  <c r="AF71" i="25"/>
  <c r="DA60" i="26"/>
  <c r="L27" i="25"/>
  <c r="CS10" i="39"/>
  <c r="P67" i="38"/>
  <c r="CQ58" i="25"/>
  <c r="AA30" i="38"/>
  <c r="BI60"/>
  <c r="DD58" i="41"/>
  <c r="X34" i="36"/>
  <c r="DE10" i="26"/>
  <c r="AQ58" i="40"/>
  <c r="DE21" i="41"/>
  <c r="AE81" i="26"/>
  <c r="T98" i="37"/>
  <c r="W89" i="41"/>
  <c r="CJ13" i="26"/>
  <c r="AB62"/>
  <c r="BU60" i="1"/>
  <c r="AZ102" i="25"/>
  <c r="BI49" i="40"/>
  <c r="N91" i="37"/>
  <c r="AP58"/>
  <c r="AU45" i="1"/>
  <c r="Y29" i="37"/>
  <c r="CN49" i="40"/>
  <c r="DC37" i="1"/>
  <c r="G90" i="60"/>
  <c r="G71" i="64"/>
  <c r="M12" i="59"/>
  <c r="AD50" i="40"/>
  <c r="O29" i="39"/>
  <c r="W91" i="26"/>
  <c r="BX53" i="40"/>
  <c r="BX26" i="36"/>
  <c r="CP98" i="37"/>
  <c r="AF81" i="1"/>
  <c r="CO75" i="26"/>
  <c r="CA50" i="25"/>
  <c r="DC26" i="36"/>
  <c r="CD103" i="41"/>
  <c r="CL79" i="25"/>
  <c r="CC37" i="36"/>
  <c r="CI30" i="25"/>
  <c r="CD67" i="26"/>
  <c r="CE98" i="37"/>
  <c r="CC62" i="36"/>
  <c r="CJ9" i="26"/>
  <c r="CX102" i="41"/>
  <c r="CK50" i="25"/>
  <c r="BW71" i="41"/>
  <c r="CA57" i="38"/>
  <c r="CJ48" i="1"/>
  <c r="AO57"/>
  <c r="DF48" i="40"/>
  <c r="CE25" i="26"/>
  <c r="BB98" i="40"/>
  <c r="CK98"/>
  <c r="CN91" i="37"/>
  <c r="BZ34" i="25"/>
  <c r="BY30" i="26"/>
  <c r="CO103"/>
  <c r="CL58" i="36"/>
  <c r="AT60"/>
  <c r="AX61" i="41"/>
  <c r="AN89"/>
  <c r="G79" i="37"/>
  <c r="CH61" i="38"/>
  <c r="AC96" i="26"/>
  <c r="AV59"/>
  <c r="DF24" i="39"/>
  <c r="AG13"/>
  <c r="X71" i="38"/>
  <c r="BO65" i="26"/>
  <c r="AD30"/>
  <c r="N57" i="36"/>
  <c r="AF98" i="37"/>
  <c r="CY26" i="38"/>
  <c r="BQ98" i="39"/>
  <c r="X10" i="40"/>
  <c r="V49" i="41"/>
  <c r="CK53" i="37"/>
  <c r="AA61" i="41"/>
  <c r="BR81" i="25"/>
  <c r="BI57" i="1"/>
  <c r="AR71" i="37"/>
  <c r="DD61" i="41"/>
  <c r="CX26" i="36"/>
  <c r="AO13" i="26"/>
  <c r="DB81" i="37"/>
  <c r="BS67" i="25"/>
  <c r="AT65" i="26"/>
  <c r="BO102" i="41"/>
  <c r="AQ54" i="1"/>
  <c r="P9"/>
  <c r="BI21" i="25"/>
  <c r="BD27" i="39"/>
  <c r="DF71" i="37"/>
  <c r="AN89" i="26"/>
  <c r="CW57"/>
  <c r="BA118" i="47"/>
  <c r="BY60" i="36"/>
  <c r="CI75" i="38"/>
  <c r="CY34" i="37"/>
  <c r="AO17" i="39"/>
  <c r="CD13" i="41"/>
  <c r="AT59" i="39"/>
  <c r="CG48" i="25"/>
  <c r="AC67" i="39"/>
  <c r="BO71" i="26"/>
  <c r="U26" i="25"/>
  <c r="BH60" i="41"/>
  <c r="AD89" i="40"/>
  <c r="CD37" i="36"/>
  <c r="AJ9" i="41"/>
  <c r="CZ75" i="37"/>
  <c r="K34" i="36"/>
  <c r="CI66" i="41"/>
  <c r="AP89" i="36"/>
  <c r="AJ49" i="38"/>
  <c r="BQ29" i="1"/>
  <c r="DF81" i="38"/>
  <c r="AU75" i="40"/>
  <c r="I92" i="37"/>
  <c r="BV67" i="39"/>
  <c r="AT66" i="1"/>
  <c r="AU98"/>
  <c r="AR34"/>
  <c r="AW102" i="40"/>
  <c r="CM12" i="25"/>
  <c r="BZ57"/>
  <c r="BW53" i="41"/>
  <c r="CA71" i="26"/>
  <c r="CC81" i="37"/>
  <c r="CF75" i="25"/>
  <c r="CL61" i="36"/>
  <c r="AH21"/>
  <c r="O57" i="25"/>
  <c r="CS34" i="1"/>
  <c r="J71" i="41"/>
  <c r="CJ67" i="38"/>
  <c r="T27" i="37"/>
  <c r="AI29" i="38"/>
  <c r="AO75" i="36"/>
  <c r="AC81" i="37"/>
  <c r="U59" i="1"/>
  <c r="S58" i="26"/>
  <c r="AI27" i="1"/>
  <c r="CU71"/>
  <c r="CK89" i="26"/>
  <c r="CI81" i="36"/>
  <c r="DD34" i="40"/>
  <c r="CW48" i="36"/>
  <c r="AV98" i="38"/>
  <c r="DB102" i="40"/>
  <c r="BS98" i="38"/>
  <c r="CE61"/>
  <c r="AN96" i="25"/>
  <c r="CB29"/>
  <c r="CE66" i="39"/>
  <c r="CO10" i="26"/>
  <c r="CB53" i="39"/>
  <c r="W66" i="40"/>
  <c r="CI26" i="36"/>
  <c r="AQ50" i="37"/>
  <c r="L93" i="60"/>
  <c r="BE66" i="38"/>
  <c r="L59" i="26"/>
  <c r="AP66" i="40"/>
  <c r="CJ89" i="1"/>
  <c r="AD17" i="26"/>
  <c r="O29" i="25"/>
  <c r="M53" i="39"/>
  <c r="CI92" i="37"/>
  <c r="CU9" i="38"/>
  <c r="M45" i="26"/>
  <c r="CK17" i="38"/>
  <c r="H21"/>
  <c r="CF59" i="1"/>
  <c r="AD21" i="40"/>
  <c r="I96" i="25"/>
  <c r="AF25" i="39"/>
  <c r="AB58" i="36"/>
  <c r="DE50" i="40"/>
  <c r="M53"/>
  <c r="CI89" i="1"/>
  <c r="AB26" i="41"/>
  <c r="BU49" i="26"/>
  <c r="BP13" i="25"/>
  <c r="BC17"/>
  <c r="CD10" i="36"/>
  <c r="DE50" i="41"/>
  <c r="CX13" i="25"/>
  <c r="CL48" i="1"/>
  <c r="BC10"/>
  <c r="K10" i="38"/>
  <c r="K30" i="39"/>
  <c r="DC102" i="36"/>
  <c r="AH27" i="40"/>
  <c r="AC66"/>
  <c r="CL62" i="38"/>
  <c r="CR37" i="26"/>
  <c r="CJ65" i="40"/>
  <c r="CK75" i="38"/>
  <c r="BW37" i="1"/>
  <c r="BD79" i="41"/>
  <c r="AO10" i="39"/>
  <c r="BU91" i="41"/>
  <c r="BD65" i="40"/>
  <c r="AY49" i="39"/>
  <c r="BA79"/>
  <c r="CU91" i="25"/>
  <c r="T66"/>
  <c r="AT92"/>
  <c r="BT96" i="41"/>
  <c r="BO102" i="1"/>
  <c r="AG25" i="36"/>
  <c r="BA89"/>
  <c r="CH98" i="25"/>
  <c r="AX50" i="26"/>
  <c r="AU29" i="37"/>
  <c r="P18" i="38"/>
  <c r="BO98" i="40"/>
  <c r="AF66" i="36"/>
  <c r="BT27" i="37"/>
  <c r="H65" i="1"/>
  <c r="DB49" i="39"/>
  <c r="AR67" i="36"/>
  <c r="DB29" i="26"/>
  <c r="AB54" i="39"/>
  <c r="AA62" i="37"/>
  <c r="BA9" i="25"/>
  <c r="BO30" i="39"/>
  <c r="CF24" i="25"/>
  <c r="CK60" i="36"/>
  <c r="CY13" i="25"/>
  <c r="DD71" i="41"/>
  <c r="BZ71" i="25"/>
  <c r="CC27" i="36"/>
  <c r="CB13" i="38"/>
  <c r="CC60" i="40"/>
  <c r="CJ103"/>
  <c r="CB30" i="39"/>
  <c r="AU53" i="1"/>
  <c r="CC34" i="36"/>
  <c r="CG25" i="25"/>
  <c r="BX13"/>
  <c r="AT61"/>
  <c r="CP54" i="41"/>
  <c r="CD9" i="38"/>
  <c r="CK21" i="39"/>
  <c r="DE81" i="26"/>
  <c r="AY81" i="38"/>
  <c r="AZ58" i="39"/>
  <c r="DE9" i="41"/>
  <c r="AC54" i="26"/>
  <c r="AY50" i="36"/>
  <c r="CF45" i="40"/>
  <c r="AU57"/>
  <c r="DA61" i="37"/>
  <c r="AM49" i="41"/>
  <c r="AY91" i="37"/>
  <c r="BQ30" i="41"/>
  <c r="CE98" i="1"/>
  <c r="AO57" i="38"/>
  <c r="CS10"/>
  <c r="AW9" i="26"/>
  <c r="CA17"/>
  <c r="CV81"/>
  <c r="CD57" i="40"/>
  <c r="CO9" i="36"/>
  <c r="CO12"/>
  <c r="CF59" i="26"/>
  <c r="CH24" i="40"/>
  <c r="CJ37" i="37"/>
  <c r="AH27" i="36"/>
  <c r="AT89" i="40"/>
  <c r="BY54" i="1"/>
  <c r="BS24" i="36"/>
  <c r="BX98"/>
  <c r="CU48" i="39"/>
  <c r="BR96" i="38"/>
  <c r="BX91" i="41"/>
  <c r="CH91" i="38"/>
  <c r="AT79" i="26"/>
  <c r="W26" i="40"/>
  <c r="AX79" i="36"/>
  <c r="BZ12"/>
  <c r="DE18" i="38"/>
  <c r="S62" i="26"/>
  <c r="CS25" i="40"/>
  <c r="AE48" i="41"/>
  <c r="AW37"/>
  <c r="AT58" i="37"/>
  <c r="J91" i="36"/>
  <c r="CN66" i="25"/>
  <c r="U89" i="39"/>
  <c r="L27" i="41"/>
  <c r="AJ61"/>
  <c r="CV9" i="37"/>
  <c r="BO65" i="1"/>
  <c r="Y49" i="38"/>
  <c r="AI34"/>
  <c r="DA75" i="39"/>
  <c r="M26" i="38"/>
  <c r="AE60" i="1"/>
  <c r="AT24"/>
  <c r="AO60" i="38"/>
  <c r="BQ49" i="40"/>
  <c r="DA79" i="1"/>
  <c r="CK50" i="40"/>
  <c r="Y60" i="36"/>
  <c r="BV48" i="37"/>
  <c r="DE96" i="1"/>
  <c r="AQ62" i="37"/>
  <c r="AZ27" i="41"/>
  <c r="P18" i="36"/>
  <c r="CK12" i="37"/>
  <c r="AS81" i="38"/>
  <c r="CI71" i="26"/>
  <c r="CJ91" i="25"/>
  <c r="BZ103"/>
  <c r="AQ57" i="36"/>
  <c r="AB98" i="26"/>
  <c r="BE26" i="37"/>
  <c r="CM27" i="1"/>
  <c r="S89"/>
  <c r="CL54" i="39"/>
  <c r="CH89" i="25"/>
  <c r="AT58" i="1"/>
  <c r="CL62" i="25"/>
  <c r="CN18"/>
  <c r="AW89" i="38"/>
  <c r="CN54" i="37"/>
  <c r="BW57" i="39"/>
  <c r="AR54"/>
  <c r="X24"/>
  <c r="U49" i="41"/>
  <c r="AV61" i="36"/>
  <c r="AH34"/>
  <c r="H79" i="39"/>
  <c r="BZ48" i="41"/>
  <c r="CQ71" i="37"/>
  <c r="CJ50" i="26"/>
  <c r="CR54"/>
  <c r="CO53" i="40"/>
  <c r="CV48" i="41"/>
  <c r="DF45" i="40"/>
  <c r="AI75" i="36"/>
  <c r="BO71"/>
  <c r="K61" i="39"/>
  <c r="CB30" i="1"/>
  <c r="AO9" i="37"/>
  <c r="K21" i="26"/>
  <c r="CV48" i="25"/>
  <c r="BT27" i="40"/>
  <c r="CU48" i="1"/>
  <c r="DB98"/>
  <c r="AG29" i="38"/>
  <c r="DE61"/>
  <c r="AH37" i="26"/>
  <c r="CM65" i="25"/>
  <c r="J67" i="1"/>
  <c r="CE81" i="37"/>
  <c r="AT18" i="41"/>
  <c r="AI49" i="1"/>
  <c r="AJ75" i="26"/>
  <c r="AY57"/>
  <c r="BT89" i="41"/>
  <c r="BQ96" i="37"/>
  <c r="N34" i="36"/>
  <c r="BI26" i="39"/>
  <c r="CR59" i="37"/>
  <c r="CK67" i="40"/>
  <c r="BO34" i="37"/>
  <c r="CM66" i="36"/>
  <c r="AB62" i="40"/>
  <c r="AW9" i="39"/>
  <c r="AJ102" i="37"/>
  <c r="AR79"/>
  <c r="AN57" i="26"/>
  <c r="CQ37" i="25"/>
  <c r="BE92" i="39"/>
  <c r="P61" i="25"/>
  <c r="AE45" i="26"/>
  <c r="BC29" i="40"/>
  <c r="CI48" i="41"/>
  <c r="CP62" i="36"/>
  <c r="CK102" i="25"/>
  <c r="G25" i="36"/>
  <c r="DC65" i="41"/>
  <c r="BU91" i="36"/>
  <c r="CN66" i="26"/>
  <c r="BI96" i="38"/>
  <c r="AM71" i="25"/>
  <c r="BE37" i="41"/>
  <c r="P62" i="40"/>
  <c r="CW29" i="1"/>
  <c r="X17" i="25"/>
  <c r="BC18"/>
  <c r="CM45"/>
  <c r="AH48" i="36"/>
  <c r="DC102" i="41"/>
  <c r="BW10" i="36"/>
  <c r="DA25" i="1"/>
  <c r="DC91" i="40"/>
  <c r="AP89" i="41"/>
  <c r="BI89" i="40"/>
  <c r="BB62" i="25"/>
  <c r="J71" i="38"/>
  <c r="CU98" i="26"/>
  <c r="DE91" i="1"/>
  <c r="CH13" i="26"/>
  <c r="BY60" i="41"/>
  <c r="AQ96" i="40"/>
  <c r="O91" i="1"/>
  <c r="CS57" i="39"/>
  <c r="Z37" i="26"/>
  <c r="AI79" i="38"/>
  <c r="L91"/>
  <c r="G79" i="26"/>
  <c r="CQ102" i="1"/>
  <c r="CT49" i="39"/>
  <c r="AA29" i="37"/>
  <c r="AF79" i="39"/>
  <c r="AA9" i="37"/>
  <c r="AY29" i="36"/>
  <c r="CI45" i="38"/>
  <c r="H48" i="40"/>
  <c r="CW21"/>
  <c r="AI10" i="26"/>
  <c r="CN34" i="25"/>
  <c r="AT13" i="37"/>
  <c r="G30" i="25"/>
  <c r="AU65" i="36"/>
  <c r="AE71" i="38"/>
  <c r="CT29" i="25"/>
  <c r="BP103" i="39"/>
  <c r="DF57" i="37"/>
  <c r="AI102" i="36"/>
  <c r="DE65" i="37"/>
  <c r="CN54" i="38"/>
  <c r="CE58" i="1"/>
  <c r="AX66" i="36"/>
  <c r="AJ57" i="41"/>
  <c r="AR12"/>
  <c r="AG12"/>
  <c r="G62" i="36"/>
  <c r="BE102" i="39"/>
  <c r="BS26" i="36"/>
  <c r="AR98"/>
  <c r="BE60" i="1"/>
  <c r="N91" i="38"/>
  <c r="L102" i="39"/>
  <c r="AZ53" i="37"/>
  <c r="BI27" i="38"/>
  <c r="AX18" i="40"/>
  <c r="CX37" i="37"/>
  <c r="S75" i="25"/>
  <c r="P79" i="41"/>
  <c r="U24"/>
  <c r="N48" i="26"/>
  <c r="AH45" i="41"/>
  <c r="CO13" i="39"/>
  <c r="AQ75"/>
  <c r="CA62"/>
  <c r="M96" i="25"/>
  <c r="BO29" i="40"/>
  <c r="AM12" i="37"/>
  <c r="AD60" i="26"/>
  <c r="BP13" i="38"/>
  <c r="BY102" i="36"/>
  <c r="G49" i="39"/>
  <c r="AN12" i="36"/>
  <c r="BH29" i="25"/>
  <c r="DD50" i="38"/>
  <c r="BE89" i="1"/>
  <c r="U27" i="40"/>
  <c r="AZ12" i="1"/>
  <c r="DC89" i="26"/>
  <c r="I57" i="41"/>
  <c r="AF10" i="39"/>
  <c r="BD71" i="26"/>
  <c r="Z53" i="36"/>
  <c r="DF34" i="1"/>
  <c r="CD89" i="38"/>
  <c r="Y60" i="26"/>
  <c r="Z10" i="39"/>
  <c r="DA29" i="40"/>
  <c r="CI12" i="41"/>
  <c r="E91" i="64"/>
  <c r="AS65" i="40"/>
  <c r="AY25" i="38"/>
  <c r="CW27" i="1"/>
  <c r="BA9" i="39"/>
  <c r="BQ96" i="40"/>
  <c r="BX24" i="38"/>
  <c r="T45" i="41"/>
  <c r="BA27" i="37"/>
  <c r="AB48" i="40"/>
  <c r="CP71"/>
  <c r="AT53" i="25"/>
  <c r="I98"/>
  <c r="CE92" i="37"/>
  <c r="AS45" i="36"/>
  <c r="CM92" i="41"/>
  <c r="CF45"/>
  <c r="AI10" i="36"/>
  <c r="CY26" i="39"/>
  <c r="H34" i="41"/>
  <c r="BQ89"/>
  <c r="AO65" i="25"/>
  <c r="AJ29" i="1"/>
  <c r="V27" i="41"/>
  <c r="CM21"/>
  <c r="AZ91" i="38"/>
  <c r="AU53" i="39"/>
  <c r="CN91" i="25"/>
  <c r="L34" i="26"/>
  <c r="BA92" i="37"/>
  <c r="U71" i="38"/>
  <c r="CC18" i="25"/>
  <c r="DE37" i="39"/>
  <c r="CY61" i="25"/>
  <c r="AT48" i="26"/>
  <c r="BV60"/>
  <c r="BS75" i="37"/>
  <c r="X59" i="40"/>
  <c r="AN89" i="37"/>
  <c r="DE9" i="38"/>
  <c r="CN34" i="37"/>
  <c r="BS25" i="36"/>
  <c r="BU45" i="1"/>
  <c r="AH67" i="40"/>
  <c r="H92" i="26"/>
  <c r="P89"/>
  <c r="BW13" i="41"/>
  <c r="CK98" i="38"/>
  <c r="CB18" i="25"/>
  <c r="CM13" i="1"/>
  <c r="AU91"/>
  <c r="AY50" i="40"/>
  <c r="CP71" i="36"/>
  <c r="BV37" i="39"/>
  <c r="CG91" i="25"/>
  <c r="AY71" i="40"/>
  <c r="BC98" i="26"/>
  <c r="L13"/>
  <c r="AM102" i="40"/>
  <c r="CH27" i="26"/>
  <c r="G66" i="36"/>
  <c r="H91" i="64"/>
  <c r="CB13" i="39"/>
  <c r="BZ13" i="26"/>
  <c r="DF61" i="25"/>
  <c r="CS25" i="1"/>
  <c r="AM18" i="41"/>
  <c r="CP18" i="36"/>
  <c r="CO66" i="25"/>
  <c r="AW62"/>
  <c r="AQ53" i="1"/>
  <c r="AP13" i="39"/>
  <c r="CU57" i="38"/>
  <c r="AU21" i="37"/>
  <c r="AI24"/>
  <c r="CH103" i="1"/>
  <c r="BP59" i="41"/>
  <c r="AT12" i="36"/>
  <c r="AU60" i="38"/>
  <c r="BC50" i="1"/>
  <c r="BE59" i="39"/>
  <c r="CJ66" i="38"/>
  <c r="CT66" i="26"/>
  <c r="DF59" i="39"/>
  <c r="L9" i="25"/>
  <c r="DC9" i="40"/>
  <c r="AU34"/>
  <c r="M10" i="26"/>
  <c r="S67" i="39"/>
  <c r="BW89" i="40"/>
  <c r="S48" i="25"/>
  <c r="CJ18" i="38"/>
  <c r="AB81" i="1"/>
  <c r="AT13" i="25"/>
  <c r="M98" i="36"/>
  <c r="BU24"/>
  <c r="AN98"/>
  <c r="AY18"/>
  <c r="AI67" i="39"/>
  <c r="T49" i="1"/>
  <c r="CX71" i="25"/>
  <c r="CC98" i="36"/>
  <c r="CJ75" i="25"/>
  <c r="CF12" i="37"/>
  <c r="CP17"/>
  <c r="W30" i="26"/>
  <c r="CV98" i="39"/>
  <c r="BW29" i="25"/>
  <c r="CN10" i="39"/>
  <c r="CN29" i="1"/>
  <c r="CF48" i="38"/>
  <c r="CK13" i="40"/>
  <c r="AB92" i="26"/>
  <c r="AI75" i="41"/>
  <c r="DA13" i="26"/>
  <c r="CZ89" i="39"/>
  <c r="DE66" i="1"/>
  <c r="BY62" i="25"/>
  <c r="AM65" i="39"/>
  <c r="H34" i="40"/>
  <c r="AG102" i="25"/>
  <c r="AS92" i="37"/>
  <c r="AO96" i="41"/>
  <c r="CR71"/>
  <c r="BP96" i="1"/>
  <c r="AC45" i="25"/>
  <c r="BE13" i="1"/>
  <c r="BT49" i="36"/>
  <c r="BA96" i="41"/>
  <c r="H27" i="38"/>
  <c r="DF60" i="41"/>
  <c r="AX62" i="25"/>
  <c r="AO89" i="37"/>
  <c r="AJ48" i="25"/>
  <c r="AI91" i="26"/>
  <c r="AU54" i="1"/>
  <c r="N92" i="37"/>
  <c r="AQ13" i="1"/>
  <c r="AB49" i="26"/>
  <c r="O91" i="39"/>
  <c r="AZ89" i="25"/>
  <c r="K18"/>
  <c r="AT50" i="26"/>
  <c r="AF75" i="36"/>
  <c r="CY24" i="1"/>
  <c r="AA57" i="41"/>
  <c r="BB96" i="26"/>
  <c r="J13" i="25"/>
  <c r="AO62" i="39"/>
  <c r="CP10"/>
  <c r="CP67" i="38"/>
  <c r="AH102" i="37"/>
  <c r="BR81"/>
  <c r="BX37" i="38"/>
  <c r="DE24" i="36"/>
  <c r="CN12" i="38"/>
  <c r="CL75"/>
  <c r="Z50" i="39"/>
  <c r="CY9" i="41"/>
  <c r="I67" i="37"/>
  <c r="CA49" i="41"/>
  <c r="BH66" i="25"/>
  <c r="W75" i="1"/>
  <c r="BA60" i="36"/>
  <c r="AG29" i="25"/>
  <c r="CO54" i="40"/>
  <c r="CK12" i="1"/>
  <c r="AW34" i="41"/>
  <c r="BY60" i="38"/>
  <c r="AV50" i="37"/>
  <c r="AN9"/>
  <c r="BH66" i="40"/>
  <c r="DE24" i="37"/>
  <c r="CZ92" i="1"/>
  <c r="P65" i="36"/>
  <c r="BU18" i="38"/>
  <c r="BU10" i="39"/>
  <c r="BA24" i="41"/>
  <c r="AA37"/>
  <c r="CL26" i="40"/>
  <c r="N98" i="36"/>
  <c r="AB50" i="1"/>
  <c r="CX34" i="39"/>
  <c r="CP96" i="40"/>
  <c r="BB60" i="39"/>
  <c r="CO60"/>
  <c r="CY9" i="38"/>
  <c r="CJ12" i="37"/>
  <c r="BT29" i="26"/>
  <c r="CS50"/>
  <c r="AF60" i="37"/>
  <c r="AS49" i="36"/>
  <c r="AW48" i="26"/>
  <c r="AG102" i="40"/>
  <c r="CS61" i="37"/>
  <c r="CQ13"/>
  <c r="CG24" i="36"/>
  <c r="CP66" i="39"/>
  <c r="BC98" i="40"/>
  <c r="O49"/>
  <c r="AW24"/>
  <c r="AM53" i="25"/>
  <c r="CY27" i="1"/>
  <c r="AW58" i="25"/>
  <c r="DF50" i="26"/>
  <c r="AS48" i="1"/>
  <c r="AS57"/>
  <c r="CE66"/>
  <c r="S71" i="40"/>
  <c r="M89"/>
  <c r="DA102"/>
  <c r="AC12" i="25"/>
  <c r="V48" i="40"/>
  <c r="BT65" i="37"/>
  <c r="DA91" i="25"/>
  <c r="AF61" i="26"/>
  <c r="W26" i="39"/>
  <c r="BY50" i="40"/>
  <c r="BS27" i="41"/>
  <c r="BZ71" i="39"/>
  <c r="M37" i="40"/>
  <c r="BY24" i="39"/>
  <c r="H24" i="38"/>
  <c r="AW50"/>
  <c r="BY12" i="1"/>
  <c r="AX60" i="39"/>
  <c r="AX34" i="37"/>
  <c r="AI54" i="38"/>
  <c r="U34"/>
  <c r="AQ48" i="25"/>
  <c r="J18" i="37"/>
  <c r="AE57" i="26"/>
  <c r="DA61"/>
  <c r="DA67" i="36"/>
  <c r="CV21" i="25"/>
  <c r="DD91" i="40"/>
  <c r="DF79" i="39"/>
  <c r="CJ65" i="37"/>
  <c r="V59" i="41"/>
  <c r="J66" i="38"/>
  <c r="AZ91" i="25"/>
  <c r="BO30" i="38"/>
  <c r="DC17" i="37"/>
  <c r="BY96" i="41"/>
  <c r="CV54" i="38"/>
  <c r="Z53" i="37"/>
  <c r="AE12" i="40"/>
  <c r="AB13" i="26"/>
  <c r="H50" i="39"/>
  <c r="CH92" i="26"/>
  <c r="BO103" i="36"/>
  <c r="AV59" i="1"/>
  <c r="AN37" i="25"/>
  <c r="T54" i="41"/>
  <c r="AF62" i="40"/>
  <c r="BV103" i="38"/>
  <c r="J79" i="1"/>
  <c r="CF91" i="39"/>
  <c r="CI29" i="26"/>
  <c r="CI17" i="41"/>
  <c r="DC98" i="37"/>
  <c r="BZ81" i="36"/>
  <c r="CG66" i="37"/>
  <c r="BZ71" i="41"/>
  <c r="AN45" i="26"/>
  <c r="CS18" i="25"/>
  <c r="CE53" i="36"/>
  <c r="CK61" i="39"/>
  <c r="CP92"/>
  <c r="M13" i="38"/>
  <c r="CA37"/>
  <c r="CH66"/>
  <c r="BR58" i="26"/>
  <c r="BD54" i="25"/>
  <c r="CC79" i="39"/>
  <c r="CA49" i="1"/>
  <c r="DF48" i="39"/>
  <c r="P50" i="38"/>
  <c r="AP45"/>
  <c r="AV79" i="1"/>
  <c r="W75" i="40"/>
  <c r="DC53"/>
  <c r="CR91"/>
  <c r="Z13"/>
  <c r="AX75"/>
  <c r="O61" i="39"/>
  <c r="AY79" i="36"/>
  <c r="CZ59" i="37"/>
  <c r="X59"/>
  <c r="AU17" i="26"/>
  <c r="BW49" i="37"/>
  <c r="CP61" i="39"/>
  <c r="CV48" i="37"/>
  <c r="CE50" i="25"/>
  <c r="CD81" i="38"/>
  <c r="AY61" i="36"/>
  <c r="CL29"/>
  <c r="CV79" i="26"/>
  <c r="BE12" i="41"/>
  <c r="N98" i="1"/>
  <c r="BY48" i="26"/>
  <c r="AT17" i="36"/>
  <c r="V29" i="25"/>
  <c r="BW98" i="36"/>
  <c r="CQ89" i="26"/>
  <c r="CS9" i="38"/>
  <c r="CM53" i="1"/>
  <c r="AW67" i="41"/>
  <c r="BE58" i="25"/>
  <c r="DB21" i="37"/>
  <c r="BU29" i="39"/>
  <c r="AU29"/>
  <c r="CP12" i="25"/>
  <c r="U53" i="37"/>
  <c r="W34" i="39"/>
  <c r="BA66" i="41"/>
  <c r="U89" i="1"/>
  <c r="AE65" i="38"/>
  <c r="K45" i="1"/>
  <c r="BP49" i="25"/>
  <c r="CQ60"/>
  <c r="BY13" i="39"/>
  <c r="CI54" i="1"/>
  <c r="AX50" i="40"/>
  <c r="AJ89"/>
  <c r="BD17"/>
  <c r="DA50"/>
  <c r="AS37" i="37"/>
  <c r="AT65" i="38"/>
  <c r="BC24" i="1"/>
  <c r="CU50" i="41"/>
  <c r="BV96" i="25"/>
  <c r="P60" i="39"/>
  <c r="DA91" i="38"/>
  <c r="BU58" i="36"/>
  <c r="CR48" i="39"/>
  <c r="CT10" i="40"/>
  <c r="DA96" i="25"/>
  <c r="J79" i="39"/>
  <c r="BB49" i="38"/>
  <c r="BC79" i="39"/>
  <c r="AS59" i="26"/>
  <c r="BW58" i="25"/>
  <c r="Y21" i="1"/>
  <c r="BW53" i="26"/>
  <c r="AW79" i="37"/>
  <c r="P45" i="39"/>
  <c r="BQ66" i="1"/>
  <c r="DD37" i="41"/>
  <c r="AP79" i="25"/>
  <c r="BA62" i="26"/>
  <c r="AJ29" i="38"/>
  <c r="V48" i="37"/>
  <c r="AQ49" i="40"/>
  <c r="BX49" i="41"/>
  <c r="CQ57" i="39"/>
  <c r="DD62" i="37"/>
  <c r="CJ92" i="36"/>
  <c r="BH50" i="39"/>
  <c r="DF81" i="1"/>
  <c r="BD10" i="26"/>
  <c r="BX75" i="1"/>
  <c r="CW59" i="25"/>
  <c r="H29" i="40"/>
  <c r="CE9"/>
  <c r="BU81"/>
  <c r="AD45" i="25"/>
  <c r="CW34" i="40"/>
  <c r="S58" i="1"/>
  <c r="AZ30" i="26"/>
  <c r="AP67" i="39"/>
  <c r="AA17" i="40"/>
  <c r="CH66" i="37"/>
  <c r="AH89" i="36"/>
  <c r="BA27" i="1"/>
  <c r="CA58" i="25"/>
  <c r="M57" i="41"/>
  <c r="CY48" i="1"/>
  <c r="AV50" i="40"/>
  <c r="AA65" i="38"/>
  <c r="BP66" i="1"/>
  <c r="AG18" i="39"/>
  <c r="BH50" i="40"/>
  <c r="AJ9" i="36"/>
  <c r="CM103"/>
  <c r="AY29" i="25"/>
  <c r="AX21" i="41"/>
  <c r="AH91" i="38"/>
  <c r="BI98" i="26"/>
  <c r="I79" i="41"/>
  <c r="AN57" i="39"/>
  <c r="CD18"/>
  <c r="CU91" i="26"/>
  <c r="DB89" i="41"/>
  <c r="DA58" i="38"/>
  <c r="P10" i="1"/>
  <c r="AO24" i="25"/>
  <c r="L98" i="26"/>
  <c r="BY17" i="1"/>
  <c r="AS58" i="26"/>
  <c r="AO96" i="1"/>
  <c r="K48" i="38"/>
  <c r="CX49"/>
  <c r="AW24" i="1"/>
  <c r="AF45" i="38"/>
  <c r="DE50" i="26"/>
  <c r="X67" i="38"/>
  <c r="BX57" i="40"/>
  <c r="AY92" i="1"/>
  <c r="BE24" i="36"/>
  <c r="AR57" i="38"/>
  <c r="V92" i="37"/>
  <c r="CR53" i="25"/>
  <c r="CP62" i="39"/>
  <c r="DC50" i="38"/>
  <c r="CS91" i="41"/>
  <c r="L13" i="40"/>
  <c r="BU67" i="39"/>
  <c r="BQ62" i="1"/>
  <c r="X45" i="39"/>
  <c r="AU50" i="41"/>
  <c r="AO96" i="38"/>
  <c r="BR71" i="41"/>
  <c r="BB66" i="40"/>
  <c r="J12" i="36"/>
  <c r="X12" i="26"/>
  <c r="CZ17" i="41"/>
  <c r="BY48" i="25"/>
  <c r="O65" i="39"/>
  <c r="Y75" i="26"/>
  <c r="BI26" i="41"/>
  <c r="AG98" i="25"/>
  <c r="AA98" i="37"/>
  <c r="CG57" i="39"/>
  <c r="CR71" i="26"/>
  <c r="O34" i="39"/>
  <c r="S34" i="40"/>
  <c r="AV59" i="38"/>
  <c r="X53" i="39"/>
  <c r="AS60" i="1"/>
  <c r="S91" i="26"/>
  <c r="AJ59" i="41"/>
  <c r="W34" i="38"/>
  <c r="BP102" i="40"/>
  <c r="K50"/>
  <c r="CX103" i="25"/>
  <c r="CP62" i="26"/>
  <c r="DB92" i="36"/>
  <c r="AY26" i="25"/>
  <c r="BQ49"/>
  <c r="CQ81" i="1"/>
  <c r="BW91" i="39"/>
  <c r="CF25" i="26"/>
  <c r="BZ27" i="37"/>
  <c r="CI96" i="41"/>
  <c r="S58"/>
  <c r="CF66"/>
  <c r="CC29" i="26"/>
  <c r="V65" i="40"/>
  <c r="M49" i="39"/>
  <c r="CF103" i="26"/>
  <c r="Y49" i="41"/>
  <c r="DE92" i="1"/>
  <c r="U48" i="38"/>
  <c r="BB24"/>
  <c r="X21" i="26"/>
  <c r="BO71" i="1"/>
  <c r="CK61"/>
  <c r="BO103" i="39"/>
  <c r="AF13" i="37"/>
  <c r="AI75" i="1"/>
  <c r="AY10" i="26"/>
  <c r="CU13" i="39"/>
  <c r="CC67" i="25"/>
  <c r="AS91" i="40"/>
  <c r="CW25" i="25"/>
  <c r="BB92" i="26"/>
  <c r="BZ67" i="38"/>
  <c r="AF89" i="1"/>
  <c r="AD24" i="38"/>
  <c r="BV92" i="1"/>
  <c r="AP9" i="26"/>
  <c r="BW96" i="1"/>
  <c r="CN92" i="39"/>
  <c r="BS98" i="25"/>
  <c r="X13" i="39"/>
  <c r="AZ13"/>
  <c r="AP58" i="36"/>
  <c r="DD29"/>
  <c r="S59" i="25"/>
  <c r="AD62" i="37"/>
  <c r="J60" i="25"/>
  <c r="AA45" i="41"/>
  <c r="DA12" i="39"/>
  <c r="BD127" i="47"/>
  <c r="U48" i="25"/>
  <c r="CT89" i="40"/>
  <c r="CY81" i="26"/>
  <c r="T45" i="39"/>
  <c r="AN48" i="41"/>
  <c r="BA13" i="25"/>
  <c r="S26" i="40"/>
  <c r="AX24" i="36"/>
  <c r="CY61" i="40"/>
  <c r="T92" i="26"/>
  <c r="BU50"/>
  <c r="M54" i="37"/>
  <c r="BD49" i="26"/>
  <c r="V58" i="39"/>
  <c r="CA24"/>
  <c r="T24" i="41"/>
  <c r="CR17" i="37"/>
  <c r="BB27" i="1"/>
  <c r="CK34" i="25"/>
  <c r="CL10" i="40"/>
  <c r="CG54" i="37"/>
  <c r="DE89" i="40"/>
  <c r="CF37" i="37"/>
  <c r="CN13" i="40"/>
  <c r="DE21" i="26"/>
  <c r="G89" i="40"/>
  <c r="M50" i="38"/>
  <c r="DC75" i="41"/>
  <c r="CO91" i="26"/>
  <c r="DB81"/>
  <c r="CW79" i="38"/>
  <c r="W60"/>
  <c r="CT17" i="40"/>
  <c r="AI37" i="36"/>
  <c r="AF79" i="26"/>
  <c r="L50" i="25"/>
  <c r="BA58" i="40"/>
  <c r="BD75" i="37"/>
  <c r="CV60" i="39"/>
  <c r="BZ75" i="1"/>
  <c r="AY62" i="38"/>
  <c r="CE12"/>
  <c r="BQ67" i="40"/>
  <c r="BR89"/>
  <c r="DC30" i="38"/>
  <c r="AS66" i="36"/>
  <c r="BV53" i="40"/>
  <c r="AM24" i="37"/>
  <c r="AE65" i="1"/>
  <c r="H53" i="36"/>
  <c r="I79" i="38"/>
  <c r="CZ62" i="25"/>
  <c r="G48" i="46"/>
  <c r="AT79" i="40"/>
  <c r="AS10" i="26"/>
  <c r="AT67" i="39"/>
  <c r="BA27" i="41"/>
  <c r="CR37"/>
  <c r="BV30" i="39"/>
  <c r="BQ102" i="38"/>
  <c r="BD66" i="25"/>
  <c r="AN26" i="37"/>
  <c r="P49" i="26"/>
  <c r="O48" i="36"/>
  <c r="N17" i="59"/>
  <c r="K91" i="60"/>
  <c r="AD50" i="36"/>
  <c r="H19" i="59"/>
  <c r="K49"/>
  <c r="DF24" i="26"/>
  <c r="AI24" i="36"/>
  <c r="BQ98" i="26"/>
  <c r="CC37" i="41"/>
  <c r="CJ58" i="25"/>
  <c r="BY71" i="36"/>
  <c r="BY79" i="41"/>
  <c r="CK29" i="39"/>
  <c r="AQ96" i="26"/>
  <c r="CO98" i="38"/>
  <c r="DF65" i="1"/>
  <c r="BW53" i="40"/>
  <c r="CG59" i="41"/>
  <c r="AX37" i="39"/>
  <c r="CI34" i="37"/>
  <c r="CR17" i="26"/>
  <c r="AS60" i="37"/>
  <c r="DF54"/>
  <c r="DF21" i="26"/>
  <c r="BZ34" i="36"/>
  <c r="CG24" i="1"/>
  <c r="CE34" i="26"/>
  <c r="CQ62" i="36"/>
  <c r="CD29" i="37"/>
  <c r="BE98"/>
  <c r="BW102" i="26"/>
  <c r="BA59" i="41"/>
  <c r="CD45" i="37"/>
  <c r="CI24"/>
  <c r="CC75" i="25"/>
  <c r="Y54" i="37"/>
  <c r="DF37" i="39"/>
  <c r="U29" i="37"/>
  <c r="CB48" i="26"/>
  <c r="O37" i="41"/>
  <c r="CG29"/>
  <c r="AR10" i="26"/>
  <c r="CA30" i="41"/>
  <c r="AN62" i="37"/>
  <c r="BI65" i="40"/>
  <c r="AD24"/>
  <c r="BA50" i="41"/>
  <c r="BS34" i="40"/>
  <c r="H45" i="37"/>
  <c r="CW37" i="1"/>
  <c r="BQ71" i="38"/>
  <c r="CC26"/>
  <c r="AW37" i="39"/>
  <c r="BE89" i="40"/>
  <c r="BS92" i="1"/>
  <c r="AY25" i="39"/>
  <c r="Y67" i="40"/>
  <c r="CH102" i="36"/>
  <c r="DF60" i="38"/>
  <c r="AC54" i="36"/>
  <c r="CL62" i="37"/>
  <c r="M79" i="39"/>
  <c r="AZ48" i="37"/>
  <c r="DF59" i="41"/>
  <c r="CI9" i="1"/>
  <c r="O89" i="39"/>
  <c r="S79" i="26"/>
  <c r="CG34" i="37"/>
  <c r="AY81" i="40"/>
  <c r="BE89" i="39"/>
  <c r="DD18" i="41"/>
  <c r="AY53" i="38"/>
  <c r="N81" i="41"/>
  <c r="CS26" i="36"/>
  <c r="AY18" i="38"/>
  <c r="BX89" i="40"/>
  <c r="CJ71" i="41"/>
  <c r="BZ103" i="38"/>
  <c r="CL25"/>
  <c r="CD34" i="26"/>
  <c r="BW18" i="36"/>
  <c r="CF21" i="40"/>
  <c r="Y29"/>
  <c r="CN91" i="26"/>
  <c r="CU24" i="1"/>
  <c r="V66" i="40"/>
  <c r="BU37" i="37"/>
  <c r="AN48" i="25"/>
  <c r="CS58" i="26"/>
  <c r="K30" i="25"/>
  <c r="AX29" i="1"/>
  <c r="CN96" i="37"/>
  <c r="BZ79" i="38"/>
  <c r="S61" i="41"/>
  <c r="V92"/>
  <c r="AH29" i="37"/>
  <c r="CL50"/>
  <c r="CL89" i="39"/>
  <c r="AZ21" i="40"/>
  <c r="AJ53" i="36"/>
  <c r="G45" i="25"/>
  <c r="AI10" i="38"/>
  <c r="BC71" i="26"/>
  <c r="L61" i="25"/>
  <c r="DA81" i="38"/>
  <c r="BY57"/>
  <c r="AX34" i="26"/>
  <c r="CA37" i="39"/>
  <c r="BY96" i="25"/>
  <c r="AB61" i="36"/>
  <c r="CT18" i="37"/>
  <c r="BO10" i="40"/>
  <c r="S27"/>
  <c r="CW10" i="1"/>
  <c r="BU13" i="25"/>
  <c r="G30" i="1"/>
  <c r="AF62" i="26"/>
  <c r="CY58" i="40"/>
  <c r="L92" i="26"/>
  <c r="CL98" i="41"/>
  <c r="L61" i="1"/>
  <c r="CZ24" i="36"/>
  <c r="AJ89" i="38"/>
  <c r="DA65" i="41"/>
  <c r="CE71" i="37"/>
  <c r="CA62"/>
  <c r="BY75" i="40"/>
  <c r="I18" i="38"/>
  <c r="AA10" i="41"/>
  <c r="BH10" i="26"/>
  <c r="BV92"/>
  <c r="W37" i="1"/>
  <c r="CZ24"/>
  <c r="CR60" i="25"/>
  <c r="CG96" i="37"/>
  <c r="CX102"/>
  <c r="CU66" i="39"/>
  <c r="I58" i="37"/>
  <c r="CT53" i="39"/>
  <c r="AC34" i="41"/>
  <c r="CP89"/>
  <c r="AH60" i="25"/>
  <c r="AE91" i="36"/>
  <c r="CB60" i="37"/>
  <c r="CA45" i="41"/>
  <c r="AH17" i="36"/>
  <c r="BG127" i="47"/>
  <c r="CC13" i="41"/>
  <c r="AU49" i="26"/>
  <c r="BD49" i="36"/>
  <c r="AF57" i="26"/>
  <c r="AB92" i="36"/>
  <c r="AG92" i="39"/>
  <c r="DE57" i="25"/>
  <c r="AJ48" i="26"/>
  <c r="CS62"/>
  <c r="S96" i="36"/>
  <c r="CO45" i="1"/>
  <c r="AQ18" i="36"/>
  <c r="BC25" i="26"/>
  <c r="CX27" i="37"/>
  <c r="AD79" i="25"/>
  <c r="CG17" i="37"/>
  <c r="AP81"/>
  <c r="DB103" i="1"/>
  <c r="CH91" i="37"/>
  <c r="AT96" i="36"/>
  <c r="BV48" i="26"/>
  <c r="CV29" i="25"/>
  <c r="CT89" i="39"/>
  <c r="K50" i="41"/>
  <c r="BV60" i="25"/>
  <c r="AV29" i="37"/>
  <c r="N75" i="25"/>
  <c r="G13" i="38"/>
  <c r="AI24"/>
  <c r="DE30" i="1"/>
  <c r="DD103" i="25"/>
  <c r="CM18" i="26"/>
  <c r="G25" i="41"/>
  <c r="AI34" i="1"/>
  <c r="AM58" i="25"/>
  <c r="DD98" i="36"/>
  <c r="DE61" i="39"/>
  <c r="AO102" i="26"/>
  <c r="AR65" i="36"/>
  <c r="CV89"/>
  <c r="P91" i="1"/>
  <c r="AI37" i="41"/>
  <c r="V57" i="26"/>
  <c r="AI18" i="1"/>
  <c r="AC102" i="37"/>
  <c r="J62" i="25"/>
  <c r="CX98" i="38"/>
  <c r="G54" i="40"/>
  <c r="AZ30" i="36"/>
  <c r="BI58"/>
  <c r="AN49" i="41"/>
  <c r="J49" i="40"/>
  <c r="DD91" i="25"/>
  <c r="W66" i="36"/>
  <c r="N79" i="40"/>
  <c r="AI21" i="41"/>
  <c r="CE58"/>
  <c r="AP30" i="26"/>
  <c r="AI49" i="41"/>
  <c r="BT25" i="26"/>
  <c r="DF71" i="1"/>
  <c r="BA75" i="25"/>
  <c r="BY49"/>
  <c r="CS50" i="36"/>
  <c r="BP37" i="40"/>
  <c r="CN59"/>
  <c r="N58" i="36"/>
  <c r="AU98"/>
  <c r="DD98" i="39"/>
  <c r="BW54" i="25"/>
  <c r="CU49" i="39"/>
  <c r="DD92" i="26"/>
  <c r="AP92" i="36"/>
  <c r="O27" i="25"/>
  <c r="BQ103" i="36"/>
  <c r="X24" i="1"/>
  <c r="AI92" i="39"/>
  <c r="AA102" i="37"/>
  <c r="AF91" i="38"/>
  <c r="AG61" i="25"/>
  <c r="M24"/>
  <c r="BV25"/>
  <c r="CA29" i="41"/>
  <c r="CZ9"/>
  <c r="BA12"/>
  <c r="DA45" i="38"/>
  <c r="AT37" i="1"/>
  <c r="BR98" i="25"/>
  <c r="BC48" i="37"/>
  <c r="CW98" i="26"/>
  <c r="BQ10" i="38"/>
  <c r="DF89" i="25"/>
  <c r="Z71" i="36"/>
  <c r="K27" i="39"/>
  <c r="X81" i="37"/>
  <c r="CZ103"/>
  <c r="H37" i="39"/>
  <c r="AG30" i="25"/>
  <c r="CI27" i="36"/>
  <c r="CS98" i="26"/>
  <c r="CY10" i="37"/>
  <c r="BA54" i="26"/>
  <c r="CV21" i="40"/>
  <c r="DA9" i="41"/>
  <c r="AP65" i="38"/>
  <c r="CJ53" i="36"/>
  <c r="DB30" i="40"/>
  <c r="CH48" i="26"/>
  <c r="AC18" i="40"/>
  <c r="O13" i="38"/>
  <c r="CJ50" i="1"/>
  <c r="N17" i="40"/>
  <c r="Z37" i="1"/>
  <c r="K29" i="38"/>
  <c r="BU96" i="40"/>
  <c r="AC98" i="38"/>
  <c r="BS103" i="37"/>
  <c r="CE75" i="38"/>
  <c r="W60" i="25"/>
  <c r="CF102" i="40"/>
  <c r="CM79" i="39"/>
  <c r="CX66" i="37"/>
  <c r="DD9" i="26"/>
  <c r="S29" i="36"/>
  <c r="AF9"/>
  <c r="DB60" i="41"/>
  <c r="Z49" i="39"/>
  <c r="BI21" i="26"/>
  <c r="AO53" i="39"/>
  <c r="AW49" i="37"/>
  <c r="CD13"/>
  <c r="Z67" i="26"/>
  <c r="BV65" i="1"/>
  <c r="CT12" i="36"/>
  <c r="AG57" i="37"/>
  <c r="AE26" i="36"/>
  <c r="BR81" i="39"/>
  <c r="L75" i="36"/>
  <c r="AX62" i="1"/>
  <c r="CW92" i="37"/>
  <c r="O81" i="39"/>
  <c r="BH12" i="37"/>
  <c r="T29" i="39"/>
  <c r="BT9" i="26"/>
  <c r="AX17" i="38"/>
  <c r="CI102" i="40"/>
  <c r="AF48" i="41"/>
  <c r="CH30" i="1"/>
  <c r="BI17" i="36"/>
  <c r="AU17" i="38"/>
  <c r="CE66" i="40"/>
  <c r="BV45" i="38"/>
  <c r="DB62" i="25"/>
  <c r="AQ75"/>
  <c r="AC89" i="40"/>
  <c r="CF17" i="38"/>
  <c r="AM102" i="25"/>
  <c r="BZ12" i="40"/>
  <c r="BX81" i="39"/>
  <c r="BI12" i="38"/>
  <c r="CU89" i="39"/>
  <c r="AS59" i="1"/>
  <c r="I89" i="39"/>
  <c r="O10" i="1"/>
  <c r="AV18" i="26"/>
  <c r="BW81" i="25"/>
  <c r="CX29" i="1"/>
  <c r="X89" i="25"/>
  <c r="BS26"/>
  <c r="BX37" i="1"/>
  <c r="CS61" i="39"/>
  <c r="K62" i="25"/>
  <c r="AM58" i="41"/>
  <c r="BC71"/>
  <c r="DB21" i="38"/>
  <c r="O50"/>
  <c r="BS103" i="40"/>
  <c r="BI10" i="36"/>
  <c r="G92" i="40"/>
  <c r="AU102" i="41"/>
  <c r="CU27" i="40"/>
  <c r="BC17" i="36"/>
  <c r="K58" i="1"/>
  <c r="AX79" i="40"/>
  <c r="BT27" i="25"/>
  <c r="Y66" i="38"/>
  <c r="BT18" i="37"/>
  <c r="BC65" i="38"/>
  <c r="CQ103" i="25"/>
  <c r="CC98"/>
  <c r="BT57" i="38"/>
  <c r="AI79" i="26"/>
  <c r="BI24" i="40"/>
  <c r="T18" i="37"/>
  <c r="BV45" i="36"/>
  <c r="CO21" i="26"/>
  <c r="AE81" i="37"/>
  <c r="AC58"/>
  <c r="CA17" i="1"/>
  <c r="BQ57" i="36"/>
  <c r="AS81"/>
  <c r="CZ62" i="40"/>
  <c r="O10" i="38"/>
  <c r="AI98"/>
  <c r="AC9" i="1"/>
  <c r="AM30" i="38"/>
  <c r="AY37"/>
  <c r="AR13" i="25"/>
  <c r="BD34" i="1"/>
  <c r="CB30" i="38"/>
  <c r="BV27" i="26"/>
  <c r="AG60" i="36"/>
  <c r="Z66" i="38"/>
  <c r="CD26" i="26"/>
  <c r="K65" i="37"/>
  <c r="AC96" i="40"/>
  <c r="BO58" i="39"/>
  <c r="DE45" i="26"/>
  <c r="CV17" i="39"/>
  <c r="AV54" i="37"/>
  <c r="CU34" i="38"/>
  <c r="N25" i="37"/>
  <c r="AM21" i="36"/>
  <c r="CM30" i="41"/>
  <c r="AF24" i="26"/>
  <c r="AU61" i="36"/>
  <c r="AU89" i="37"/>
  <c r="BE24" i="40"/>
  <c r="DC29" i="39"/>
  <c r="CY79" i="36"/>
  <c r="CS103" i="40"/>
  <c r="I96" i="36"/>
  <c r="V58"/>
  <c r="BT92"/>
  <c r="AB65" i="37"/>
  <c r="AM71" i="38"/>
  <c r="BT98" i="39"/>
  <c r="M92"/>
  <c r="DD13" i="38"/>
  <c r="AU102" i="37"/>
  <c r="CX98" i="39"/>
  <c r="BY53" i="40"/>
  <c r="AT21" i="1"/>
  <c r="BI98" i="41"/>
  <c r="O29" i="1"/>
  <c r="AB54" i="36"/>
  <c r="CV59" i="26"/>
  <c r="BC25" i="38"/>
  <c r="CS92" i="36"/>
  <c r="AV91" i="38"/>
  <c r="CK71" i="1"/>
  <c r="CX91"/>
  <c r="AP62" i="26"/>
  <c r="U75"/>
  <c r="CM91" i="25"/>
  <c r="X34" i="26"/>
  <c r="DC17"/>
  <c r="AE37" i="37"/>
  <c r="AA26"/>
  <c r="AU98"/>
  <c r="U58" i="41"/>
  <c r="BY30" i="37"/>
  <c r="AT96" i="40"/>
  <c r="CA26" i="25"/>
  <c r="BR34" i="39"/>
  <c r="AM53" i="1"/>
  <c r="AN18" i="25"/>
  <c r="BU60" i="38"/>
  <c r="AJ62" i="1"/>
  <c r="AV96" i="25"/>
  <c r="AG58" i="37"/>
  <c r="S60" i="36"/>
  <c r="BC59"/>
  <c r="CT34" i="38"/>
  <c r="AH34" i="1"/>
  <c r="AP13" i="25"/>
  <c r="CQ30"/>
  <c r="I102" i="36"/>
  <c r="CN58"/>
  <c r="CJ17" i="37"/>
  <c r="BY58" i="26"/>
  <c r="BE67" i="39"/>
  <c r="BX103" i="36"/>
  <c r="P48" i="25"/>
  <c r="CQ98" i="26"/>
  <c r="K67" i="41"/>
  <c r="AP24" i="1"/>
  <c r="I102" i="37"/>
  <c r="CC91" i="25"/>
  <c r="BO103" i="37"/>
  <c r="DC57" i="39"/>
  <c r="DB61" i="1"/>
  <c r="CN18" i="36"/>
  <c r="CQ25" i="39"/>
  <c r="CM66" i="25"/>
  <c r="Y9" i="38"/>
  <c r="P71"/>
  <c r="BS54" i="26"/>
  <c r="CX60" i="38"/>
  <c r="AT54" i="26"/>
  <c r="AT21"/>
  <c r="CL26" i="1"/>
  <c r="AC50" i="39"/>
  <c r="AX12"/>
  <c r="CJ26" i="40"/>
  <c r="CK30" i="26"/>
  <c r="AA9" i="1"/>
  <c r="AG91" i="37"/>
  <c r="AW102" i="38"/>
  <c r="Z54" i="40"/>
  <c r="CX10" i="37"/>
  <c r="CX79" i="38"/>
  <c r="AW58" i="26"/>
  <c r="DD10" i="38"/>
  <c r="CC53" i="41"/>
  <c r="CA98" i="39"/>
  <c r="Y62" i="41"/>
  <c r="CB59" i="25"/>
  <c r="AC25" i="38"/>
  <c r="BX45"/>
  <c r="AP10" i="37"/>
  <c r="L37" i="39"/>
  <c r="V75" i="37"/>
  <c r="CG54" i="1"/>
  <c r="BX53" i="26"/>
  <c r="BA37" i="1"/>
  <c r="DD50" i="26"/>
  <c r="O81" i="1"/>
  <c r="AI12" i="37"/>
  <c r="DB34" i="41"/>
  <c r="AM65" i="36"/>
  <c r="AP10" i="38"/>
  <c r="CV27" i="1"/>
  <c r="K66" i="26"/>
  <c r="AQ45" i="25"/>
  <c r="F8" i="60"/>
  <c r="BD58" i="39"/>
  <c r="CL92" i="1"/>
  <c r="BO10" i="25"/>
  <c r="CR66" i="39"/>
  <c r="CH18" i="41"/>
  <c r="CR34" i="1"/>
  <c r="H21" i="36"/>
  <c r="BR37" i="25"/>
  <c r="AQ49" i="41"/>
  <c r="DB92" i="38"/>
  <c r="CA9" i="26"/>
  <c r="BB12" i="39"/>
  <c r="V48" i="36"/>
  <c r="BT66" i="38"/>
  <c r="AR102" i="26"/>
  <c r="BU92"/>
  <c r="CF57"/>
  <c r="CG27" i="38"/>
  <c r="AX24" i="40"/>
  <c r="K91" i="36"/>
  <c r="E67" i="64"/>
  <c r="DF18" i="1"/>
  <c r="CP10" i="40"/>
  <c r="CN62" i="37"/>
  <c r="CY48" i="26"/>
  <c r="AS37" i="1"/>
  <c r="J17" i="25"/>
  <c r="CP98" i="36"/>
  <c r="AG18" i="1"/>
  <c r="DD79" i="38"/>
  <c r="AE89" i="1"/>
  <c r="BD26" i="37"/>
  <c r="CB98" i="39"/>
  <c r="AH62"/>
  <c r="DC81" i="41"/>
  <c r="CX54" i="36"/>
  <c r="AI12" i="26"/>
  <c r="AH60" i="1"/>
  <c r="N18" i="36"/>
  <c r="CG54" i="40"/>
  <c r="BI30"/>
  <c r="AH65" i="38"/>
  <c r="CU24" i="41"/>
  <c r="AT24" i="36"/>
  <c r="AE54" i="26"/>
  <c r="AQ48" i="39"/>
  <c r="DA96" i="26"/>
  <c r="Z26" i="39"/>
  <c r="AV62" i="41"/>
  <c r="CM102" i="38"/>
  <c r="CN53" i="40"/>
  <c r="DF96"/>
  <c r="AW81" i="38"/>
  <c r="CP48" i="25"/>
  <c r="AP21"/>
  <c r="CE96" i="40"/>
  <c r="AZ98" i="25"/>
  <c r="BA58" i="37"/>
  <c r="AI54" i="26"/>
  <c r="I92" i="1"/>
  <c r="DA62" i="39"/>
  <c r="AV92" i="1"/>
  <c r="CO57" i="36"/>
  <c r="CP29" i="40"/>
  <c r="W48" i="41"/>
  <c r="BE10" i="37"/>
  <c r="N37" i="26"/>
  <c r="BP34" i="39"/>
  <c r="AP57" i="25"/>
  <c r="DB30" i="26"/>
  <c r="DA81" i="25"/>
  <c r="CK13"/>
  <c r="N26" i="41"/>
  <c r="AA58" i="39"/>
  <c r="DA48" i="25"/>
  <c r="BH102" i="38"/>
  <c r="BA318" i="47"/>
  <c r="AM54" i="25"/>
  <c r="AH49" i="37"/>
  <c r="CK29"/>
  <c r="BX62" i="25"/>
  <c r="CH25" i="40"/>
  <c r="BY50" i="38"/>
  <c r="CQ75" i="25"/>
  <c r="CW79" i="39"/>
  <c r="CK45" i="38"/>
  <c r="CO98" i="37"/>
  <c r="CH92" i="41"/>
  <c r="CO45" i="38"/>
  <c r="CD91" i="26"/>
  <c r="BY66" i="38"/>
  <c r="BE67" i="37"/>
  <c r="CH48"/>
  <c r="CU65" i="38"/>
  <c r="CT102" i="40"/>
  <c r="AY29" i="37"/>
  <c r="AQ67" i="26"/>
  <c r="AD81" i="37"/>
  <c r="Z21" i="39"/>
  <c r="AP34"/>
  <c r="D34" i="59"/>
  <c r="BU34" i="25"/>
  <c r="AW27" i="39"/>
  <c r="DE61" i="36"/>
  <c r="CM92" i="40"/>
  <c r="CQ17" i="39"/>
  <c r="AR60" i="36"/>
  <c r="AC45" i="37"/>
  <c r="AB91"/>
  <c r="U37" i="39"/>
  <c r="AI17" i="38"/>
  <c r="H58" i="26"/>
  <c r="L49" i="40"/>
  <c r="S13" i="41"/>
  <c r="CC57" i="25"/>
  <c r="CP13" i="38"/>
  <c r="AW17" i="25"/>
  <c r="DF66" i="40"/>
  <c r="CS29" i="1"/>
  <c r="BB25" i="39"/>
  <c r="BX67" i="26"/>
  <c r="BC24" i="39"/>
  <c r="AJ89"/>
  <c r="CT45"/>
  <c r="BZ24" i="26"/>
  <c r="CN91" i="1"/>
  <c r="BE9" i="38"/>
  <c r="BD102" i="40"/>
  <c r="H27" i="39"/>
  <c r="CF65" i="38"/>
  <c r="CK26"/>
  <c r="AI48" i="1"/>
  <c r="BC49" i="40"/>
  <c r="BS71"/>
  <c r="AZ45" i="1"/>
  <c r="BU27" i="36"/>
  <c r="H79" i="25"/>
  <c r="AB91" i="40"/>
  <c r="CA30"/>
  <c r="CX50" i="41"/>
  <c r="AZ50" i="40"/>
  <c r="S27" i="37"/>
  <c r="I75" i="36"/>
  <c r="CM53" i="26"/>
  <c r="AQ9" i="37"/>
  <c r="DF58" i="39"/>
  <c r="G102" i="37"/>
  <c r="N10" i="38"/>
  <c r="Z13" i="41"/>
  <c r="V29" i="38"/>
  <c r="DB53" i="40"/>
  <c r="S92" i="39"/>
  <c r="CZ49" i="25"/>
  <c r="Y81" i="40"/>
  <c r="DF65" i="41"/>
  <c r="DE81" i="36"/>
  <c r="AZ89" i="38"/>
  <c r="P12" i="41"/>
  <c r="BZ17" i="36"/>
  <c r="CL21" i="37"/>
  <c r="BU12" i="25"/>
  <c r="CZ54" i="37"/>
  <c r="BE59"/>
  <c r="AM60" i="1"/>
  <c r="CL66"/>
  <c r="DD34" i="39"/>
  <c r="AN37" i="1"/>
  <c r="BV13" i="39"/>
  <c r="BV24" i="37"/>
  <c r="BU57" i="41"/>
  <c r="X27"/>
  <c r="J9" i="40"/>
  <c r="CH45" i="1"/>
  <c r="AW34" i="38"/>
  <c r="CE91" i="26"/>
  <c r="BX57" i="1"/>
  <c r="H71" i="36"/>
  <c r="DF49" i="26"/>
  <c r="BP65" i="39"/>
  <c r="BB65" i="1"/>
  <c r="Z59" i="25"/>
  <c r="H58" i="38"/>
  <c r="P30" i="25"/>
  <c r="BW26" i="38"/>
  <c r="CE61" i="36"/>
  <c r="CH98" i="37"/>
  <c r="Y30" i="39"/>
  <c r="CE54" i="25"/>
  <c r="L57"/>
  <c r="BO102" i="26"/>
  <c r="BZ30" i="38"/>
  <c r="AX65" i="39"/>
  <c r="AZ62" i="1"/>
  <c r="DE71" i="39"/>
  <c r="AC59" i="36"/>
  <c r="P65" i="41"/>
  <c r="CE26" i="38"/>
  <c r="CY24" i="39"/>
  <c r="AA45" i="37"/>
  <c r="BI65" i="26"/>
  <c r="AP102" i="36"/>
  <c r="BS37" i="38"/>
  <c r="BV10" i="39"/>
  <c r="BR62" i="25"/>
  <c r="AP89" i="26"/>
  <c r="CU62" i="1"/>
  <c r="CR92" i="26"/>
  <c r="BU103" i="25"/>
  <c r="CP66" i="37"/>
  <c r="CR30" i="1"/>
  <c r="CM26" i="40"/>
  <c r="CJ75" i="1"/>
  <c r="CN21" i="37"/>
  <c r="CA96" i="26"/>
  <c r="CT59" i="36"/>
  <c r="CI54" i="26"/>
  <c r="CG61" i="37"/>
  <c r="AF34"/>
  <c r="AN10"/>
  <c r="AX9" i="25"/>
  <c r="AD29" i="37"/>
  <c r="H98" i="40"/>
  <c r="AP37" i="38"/>
  <c r="X58" i="25"/>
  <c r="CC92" i="38"/>
  <c r="X79" i="37"/>
  <c r="AW30" i="1"/>
  <c r="AD81" i="38"/>
  <c r="CE96" i="26"/>
  <c r="Y65" i="39"/>
  <c r="DD102" i="37"/>
  <c r="BU12" i="36"/>
  <c r="CL54" i="37"/>
  <c r="J89" i="25"/>
  <c r="CV59"/>
  <c r="BQ49" i="38"/>
  <c r="CG24" i="40"/>
  <c r="BA34" i="39"/>
  <c r="AM12" i="26"/>
  <c r="AJ27" i="25"/>
  <c r="DE29" i="37"/>
  <c r="H98" i="26"/>
  <c r="AO10" i="36"/>
  <c r="DB98" i="37"/>
  <c r="BW71" i="1"/>
  <c r="CI62" i="40"/>
  <c r="BV98" i="38"/>
  <c r="AX75" i="25"/>
  <c r="CR50" i="38"/>
  <c r="CB29" i="36"/>
  <c r="DD12" i="1"/>
  <c r="G27" i="37"/>
  <c r="BD29" i="36"/>
  <c r="N62" i="37"/>
  <c r="I62" i="38"/>
  <c r="BC96" i="41"/>
  <c r="AH45" i="36"/>
  <c r="AN45" i="1"/>
  <c r="CO75"/>
  <c r="CF60" i="38"/>
  <c r="CF26" i="37"/>
  <c r="CQ49" i="36"/>
  <c r="CB26" i="38"/>
  <c r="DD59" i="1"/>
  <c r="CU30" i="25"/>
  <c r="BX61"/>
  <c r="CS48" i="37"/>
  <c r="CV102" i="25"/>
  <c r="X92" i="26"/>
  <c r="CU12" i="37"/>
  <c r="CJ17" i="1"/>
  <c r="W10" i="37"/>
  <c r="CD102" i="26"/>
  <c r="AM53" i="37"/>
  <c r="AG12"/>
  <c r="AX61"/>
  <c r="Y27" i="38"/>
  <c r="AX30" i="40"/>
  <c r="AI21" i="37"/>
  <c r="AA81" i="39"/>
  <c r="AY9" i="38"/>
  <c r="CF26" i="41"/>
  <c r="BV67" i="38"/>
  <c r="BA25" i="37"/>
  <c r="BT34" i="41"/>
  <c r="Z30" i="38"/>
  <c r="AB57" i="41"/>
  <c r="AU92" i="40"/>
  <c r="CX29" i="26"/>
  <c r="CY17" i="25"/>
  <c r="BU61" i="41"/>
  <c r="DA24" i="37"/>
  <c r="Z58" i="38"/>
  <c r="DA13" i="37"/>
  <c r="AG91" i="26"/>
  <c r="BV66" i="37"/>
  <c r="CE98" i="40"/>
  <c r="I25" i="26"/>
  <c r="CX57" i="36"/>
  <c r="CT29" i="41"/>
  <c r="DC57" i="37"/>
  <c r="AP45"/>
  <c r="BY29" i="40"/>
  <c r="AG57" i="26"/>
  <c r="U18" i="37"/>
  <c r="BV61" i="39"/>
  <c r="J75" i="37"/>
  <c r="CL50" i="26"/>
  <c r="AE79"/>
  <c r="I60" i="39"/>
  <c r="BC102" i="41"/>
  <c r="AO34" i="36"/>
  <c r="BV103" i="39"/>
  <c r="AS24" i="25"/>
  <c r="BE79" i="38"/>
  <c r="CD66" i="25"/>
  <c r="P18"/>
  <c r="CA18" i="26"/>
  <c r="DE92" i="38"/>
  <c r="CD18" i="40"/>
  <c r="CI17"/>
  <c r="CQ58"/>
  <c r="CL103" i="39"/>
  <c r="AG60" i="26"/>
  <c r="O48" i="41"/>
  <c r="AI10" i="37"/>
  <c r="X48" i="25"/>
  <c r="Z30" i="37"/>
  <c r="M59" i="40"/>
  <c r="BP59" i="36"/>
  <c r="CH57" i="25"/>
  <c r="DE62" i="40"/>
  <c r="N10" i="41"/>
  <c r="W49" i="36"/>
  <c r="AM17" i="1"/>
  <c r="AA54" i="26"/>
  <c r="AF102" i="41"/>
  <c r="L71" i="40"/>
  <c r="CE50" i="41"/>
  <c r="G25" i="1"/>
  <c r="AX17" i="37"/>
  <c r="AZ25" i="36"/>
  <c r="CW89" i="40"/>
  <c r="BT49"/>
  <c r="CA45" i="1"/>
  <c r="Y30"/>
  <c r="Z89" i="41"/>
  <c r="AC10" i="40"/>
  <c r="BA98" i="41"/>
  <c r="CS17"/>
  <c r="AR10" i="38"/>
  <c r="DE75" i="39"/>
  <c r="DD58" i="26"/>
  <c r="AM29" i="36"/>
  <c r="AE53" i="38"/>
  <c r="AC67" i="26"/>
  <c r="CC26"/>
  <c r="O61"/>
  <c r="AZ53" i="25"/>
  <c r="CP103" i="41"/>
  <c r="G30" i="39"/>
  <c r="CE92" i="36"/>
  <c r="AC79" i="1"/>
  <c r="BE24" i="41"/>
  <c r="AM65"/>
  <c r="BS66" i="26"/>
  <c r="CI27" i="39"/>
  <c r="AI67" i="40"/>
  <c r="AT30" i="37"/>
  <c r="AP65" i="26"/>
  <c r="DE67" i="40"/>
  <c r="AU102" i="39"/>
  <c r="AW12" i="41"/>
  <c r="BZ60" i="1"/>
  <c r="CE17" i="37"/>
  <c r="BU12" i="40"/>
  <c r="I61" i="41"/>
  <c r="CM79" i="40"/>
  <c r="P45" i="36"/>
  <c r="BX60" i="40"/>
  <c r="CU89" i="1"/>
  <c r="CB34" i="38"/>
  <c r="K81" i="41"/>
  <c r="CU75"/>
  <c r="AV10" i="25"/>
  <c r="AD67" i="41"/>
  <c r="CR53" i="40"/>
  <c r="CC58" i="1"/>
  <c r="BS27"/>
  <c r="BV102"/>
  <c r="BS91" i="40"/>
  <c r="CU37" i="25"/>
  <c r="AB48" i="37"/>
  <c r="AB54"/>
  <c r="L13"/>
  <c r="T48" i="41"/>
  <c r="DD48" i="36"/>
  <c r="S67" i="25"/>
  <c r="CJ50" i="38"/>
  <c r="BC34" i="37"/>
  <c r="G50" i="1"/>
  <c r="BS66" i="38"/>
  <c r="S26" i="41"/>
  <c r="AJ98"/>
  <c r="CP79" i="36"/>
  <c r="V62" i="26"/>
  <c r="CS57" i="1"/>
  <c r="BI62" i="40"/>
  <c r="CE92" i="1"/>
  <c r="AX9" i="36"/>
  <c r="CF91" i="40"/>
  <c r="CP10" i="1"/>
  <c r="CO10" i="38"/>
  <c r="CR29" i="41"/>
  <c r="AR30" i="37"/>
  <c r="CH10" i="25"/>
  <c r="BW49" i="26"/>
  <c r="CR61" i="37"/>
  <c r="DC98" i="41"/>
  <c r="BD102" i="36"/>
  <c r="AM34" i="41"/>
  <c r="CE89"/>
  <c r="AO98" i="37"/>
  <c r="J30" i="41"/>
  <c r="BC45" i="38"/>
  <c r="CD102" i="37"/>
  <c r="AD13" i="40"/>
  <c r="AH12" i="38"/>
  <c r="CZ12" i="41"/>
  <c r="W89" i="26"/>
  <c r="AY12" i="25"/>
  <c r="CF92" i="1"/>
  <c r="BI48" i="40"/>
  <c r="AV81" i="26"/>
  <c r="X37" i="1"/>
  <c r="CE34" i="39"/>
  <c r="AN98" i="40"/>
  <c r="DA98" i="38"/>
  <c r="I9" i="37"/>
  <c r="AQ62" i="1"/>
  <c r="BI49"/>
  <c r="CU65" i="40"/>
  <c r="M49" i="37"/>
  <c r="AF79" i="40"/>
  <c r="CA30" i="25"/>
  <c r="Z29" i="39"/>
  <c r="AT48" i="40"/>
  <c r="T13" i="36"/>
  <c r="BI54" i="41"/>
  <c r="AB79" i="36"/>
  <c r="DA13" i="39"/>
  <c r="CN12" i="26"/>
  <c r="AQ10" i="25"/>
  <c r="AV65" i="39"/>
  <c r="BU91" i="38"/>
  <c r="CL29" i="1"/>
  <c r="I91" i="39"/>
  <c r="AW30" i="38"/>
  <c r="BW60"/>
  <c r="BE75" i="1"/>
  <c r="AF59"/>
  <c r="Z54" i="36"/>
  <c r="E74" i="64"/>
  <c r="E33" i="60"/>
  <c r="W17" i="26"/>
  <c r="I11" i="59"/>
  <c r="BC128" i="47"/>
  <c r="BS45" i="26"/>
  <c r="AH65"/>
  <c r="CE9" i="37"/>
  <c r="CV98" i="38"/>
  <c r="CD59" i="40"/>
  <c r="T34" i="26"/>
  <c r="CF62" i="40"/>
  <c r="CE27" i="36"/>
  <c r="CC45" i="39"/>
  <c r="M65" i="37"/>
  <c r="CH79" i="40"/>
  <c r="CE37"/>
  <c r="AY37" i="39"/>
  <c r="AJ13" i="38"/>
  <c r="BZ66" i="39"/>
  <c r="CF98" i="26"/>
  <c r="DE17" i="39"/>
  <c r="BU17" i="36"/>
  <c r="CQ61" i="25"/>
  <c r="AA49" i="1"/>
  <c r="CE66" i="36"/>
  <c r="BS10" i="41"/>
  <c r="AC66" i="38"/>
  <c r="M24" i="41"/>
  <c r="AR18" i="38"/>
  <c r="CK92" i="25"/>
  <c r="CT37" i="36"/>
  <c r="AP18" i="38"/>
  <c r="CP60" i="25"/>
  <c r="DA54" i="26"/>
  <c r="AA79" i="40"/>
  <c r="BB50" i="41"/>
  <c r="CK67" i="25"/>
  <c r="BB92" i="39"/>
  <c r="CR9" i="41"/>
  <c r="BX89" i="38"/>
  <c r="M53" i="41"/>
  <c r="BV58" i="37"/>
  <c r="CP45" i="40"/>
  <c r="BE57" i="37"/>
  <c r="AU25" i="40"/>
  <c r="AP75" i="25"/>
  <c r="DB18" i="26"/>
  <c r="AA21" i="1"/>
  <c r="BS34" i="25"/>
  <c r="AD65" i="36"/>
  <c r="CI34" i="38"/>
  <c r="CD30" i="25"/>
  <c r="AT45" i="39"/>
  <c r="N79" i="36"/>
  <c r="CD102" i="38"/>
  <c r="CJ59" i="26"/>
  <c r="AC57" i="1"/>
  <c r="AS9" i="25"/>
  <c r="AA13" i="26"/>
  <c r="AS62" i="38"/>
  <c r="BS89" i="36"/>
  <c r="BE61" i="25"/>
  <c r="G34" i="38"/>
  <c r="CO57" i="39"/>
  <c r="AA91" i="41"/>
  <c r="DB61"/>
  <c r="CJ58" i="40"/>
  <c r="CC37" i="26"/>
  <c r="CR48" i="36"/>
  <c r="N53" i="41"/>
  <c r="CQ102" i="25"/>
  <c r="CL25" i="26"/>
  <c r="AC65" i="36"/>
  <c r="CC96" i="25"/>
  <c r="AZ34" i="26"/>
  <c r="CM89" i="41"/>
  <c r="CI49" i="36"/>
  <c r="DF66" i="25"/>
  <c r="AT81" i="40"/>
  <c r="CM98"/>
  <c r="AM65" i="37"/>
  <c r="AV59"/>
  <c r="CI10" i="40"/>
  <c r="CC18" i="1"/>
  <c r="BD17" i="26"/>
  <c r="BP30" i="41"/>
  <c r="BO30" i="26"/>
  <c r="AR17" i="1"/>
  <c r="AX25"/>
  <c r="BZ18" i="36"/>
  <c r="CU62" i="40"/>
  <c r="BV54" i="1"/>
  <c r="AN25" i="37"/>
  <c r="J67" i="26"/>
  <c r="BS45" i="39"/>
  <c r="K27" i="41"/>
  <c r="CS67" i="39"/>
  <c r="CZ66" i="26"/>
  <c r="BC62" i="38"/>
  <c r="AA13" i="41"/>
  <c r="AN75" i="26"/>
  <c r="DB17" i="25"/>
  <c r="AE21" i="41"/>
  <c r="CB29" i="38"/>
  <c r="CE45" i="41"/>
  <c r="CA60" i="36"/>
  <c r="CE26" i="39"/>
  <c r="BE25" i="1"/>
  <c r="CL103" i="26"/>
  <c r="Y18" i="25"/>
  <c r="BZ13"/>
  <c r="CQ65" i="26"/>
  <c r="DB79" i="38"/>
  <c r="BU25" i="40"/>
  <c r="AE98" i="26"/>
  <c r="N50" i="38"/>
  <c r="S61" i="40"/>
  <c r="CF12" i="38"/>
  <c r="CK24" i="41"/>
  <c r="BZ102" i="1"/>
  <c r="CZ12" i="37"/>
  <c r="AB25" i="39"/>
  <c r="CC58" i="41"/>
  <c r="BX79" i="39"/>
  <c r="CP57" i="36"/>
  <c r="AR13" i="40"/>
  <c r="Z21" i="25"/>
  <c r="DD24" i="39"/>
  <c r="Y57" i="40"/>
  <c r="BI10" i="41"/>
  <c r="P49" i="37"/>
  <c r="CM49" i="25"/>
  <c r="BX102" i="38"/>
  <c r="CW65" i="1"/>
  <c r="CX59" i="26"/>
  <c r="M102" i="41"/>
  <c r="AO29" i="37"/>
  <c r="AV12"/>
  <c r="CP26" i="26"/>
  <c r="K21" i="37"/>
  <c r="DF89"/>
  <c r="AI24" i="40"/>
  <c r="AJ37" i="25"/>
  <c r="Y37" i="1"/>
  <c r="CZ13"/>
  <c r="BQ71" i="26"/>
  <c r="BQ89" i="40"/>
  <c r="BI60" i="39"/>
  <c r="O24"/>
  <c r="DE61" i="26"/>
  <c r="S49" i="37"/>
  <c r="BP103" i="1"/>
  <c r="DC9" i="25"/>
  <c r="CP61" i="1"/>
  <c r="CX54" i="38"/>
  <c r="BU58" i="39"/>
  <c r="U92" i="41"/>
  <c r="DC57" i="26"/>
  <c r="AE75" i="25"/>
  <c r="AP13" i="37"/>
  <c r="M17" i="1"/>
  <c r="BO30" i="36"/>
  <c r="AN98" i="25"/>
  <c r="CF25" i="36"/>
  <c r="BW81" i="38"/>
  <c r="AO45"/>
  <c r="AP92" i="25"/>
  <c r="CU102" i="39"/>
  <c r="AP27" i="36"/>
  <c r="CW71" i="26"/>
  <c r="CA29" i="37"/>
  <c r="AF34" i="25"/>
  <c r="AZ29" i="36"/>
  <c r="CU96" i="38"/>
  <c r="W48" i="26"/>
  <c r="BI62" i="1"/>
  <c r="AW89" i="39"/>
  <c r="G61" i="38"/>
  <c r="CT29" i="26"/>
  <c r="BU102" i="38"/>
  <c r="BV24"/>
  <c r="BS98" i="1"/>
  <c r="AI29" i="39"/>
  <c r="BC67" i="36"/>
  <c r="CJ9" i="1"/>
  <c r="AA66" i="26"/>
  <c r="J89" i="38"/>
  <c r="AM27"/>
  <c r="AF65" i="41"/>
  <c r="G34" i="40"/>
  <c r="BU53" i="25"/>
  <c r="BZ67" i="40"/>
  <c r="DE13" i="39"/>
  <c r="I45" i="41"/>
  <c r="X26" i="26"/>
  <c r="AY75" i="38"/>
  <c r="BC10" i="40"/>
  <c r="AJ26" i="1"/>
  <c r="CT57" i="26"/>
  <c r="BV81" i="40"/>
  <c r="AT26" i="25"/>
  <c r="DA57" i="36"/>
  <c r="AY48" i="37"/>
  <c r="AB60" i="41"/>
  <c r="P26" i="26"/>
  <c r="AR10" i="25"/>
  <c r="CC96" i="37"/>
  <c r="CX17" i="36"/>
  <c r="CL24" i="41"/>
  <c r="CD49" i="37"/>
  <c r="BX81" i="40"/>
  <c r="CW102"/>
  <c r="CA103" i="37"/>
  <c r="CD79" i="36"/>
  <c r="CQ24" i="39"/>
  <c r="L89"/>
  <c r="CU21" i="40"/>
  <c r="CB66"/>
  <c r="BZ58" i="37"/>
  <c r="BR10" i="36"/>
  <c r="AM61" i="41"/>
  <c r="H10" i="38"/>
  <c r="AP48"/>
  <c r="AE79" i="41"/>
  <c r="BX67" i="37"/>
  <c r="X91" i="41"/>
  <c r="AH17" i="1"/>
  <c r="AQ66"/>
  <c r="BU17"/>
  <c r="CB17" i="40"/>
  <c r="BW62" i="26"/>
  <c r="BW71" i="40"/>
  <c r="G91" i="38"/>
  <c r="CO58" i="1"/>
  <c r="BS37" i="41"/>
  <c r="CU37" i="39"/>
  <c r="AM65" i="38"/>
  <c r="AW71" i="37"/>
  <c r="AB49" i="1"/>
  <c r="J13" i="41"/>
  <c r="AS102" i="38"/>
  <c r="BQ59" i="37"/>
  <c r="CB27" i="39"/>
  <c r="CS58" i="1"/>
  <c r="AC75" i="41"/>
  <c r="DF59" i="25"/>
  <c r="AQ24" i="36"/>
  <c r="CJ24" i="26"/>
  <c r="CG45" i="25"/>
  <c r="AV25" i="37"/>
  <c r="BA50" i="40"/>
  <c r="BX18"/>
  <c r="BT66"/>
  <c r="AO58" i="26"/>
  <c r="N92" i="41"/>
  <c r="BQ75" i="37"/>
  <c r="CE50" i="38"/>
  <c r="AO10" i="1"/>
  <c r="W49" i="26"/>
  <c r="AM58" i="1"/>
  <c r="CT45" i="25"/>
  <c r="BV65" i="40"/>
  <c r="AC18" i="26"/>
  <c r="CP26" i="39"/>
  <c r="CN98" i="26"/>
  <c r="CI60" i="25"/>
  <c r="L12" i="26"/>
  <c r="AX53" i="39"/>
  <c r="H79" i="1"/>
  <c r="AY54" i="37"/>
  <c r="BA13" i="36"/>
  <c r="DD89" i="41"/>
  <c r="BA61" i="39"/>
  <c r="AY62" i="41"/>
  <c r="CD26" i="39"/>
  <c r="AF24" i="25"/>
  <c r="CF54" i="41"/>
  <c r="Y98" i="37"/>
  <c r="BD57" i="38"/>
  <c r="AJ58" i="39"/>
  <c r="L17" i="37"/>
  <c r="AZ29" i="41"/>
  <c r="BB98" i="38"/>
  <c r="CQ26" i="26"/>
  <c r="DB89" i="38"/>
  <c r="L89" i="25"/>
  <c r="CF92" i="36"/>
  <c r="AA17"/>
  <c r="CK18" i="37"/>
  <c r="CY27" i="26"/>
  <c r="CR9" i="37"/>
  <c r="BI60" i="36"/>
  <c r="Y75" i="40"/>
  <c r="L26"/>
  <c r="DB26" i="41"/>
  <c r="AH79" i="38"/>
  <c r="CW18" i="39"/>
  <c r="CC103" i="38"/>
  <c r="AN53" i="26"/>
  <c r="AG89" i="41"/>
  <c r="DC9" i="1"/>
  <c r="AE66" i="26"/>
  <c r="AM12" i="25"/>
  <c r="AH29" i="40"/>
  <c r="CI26" i="41"/>
  <c r="I30" i="25"/>
  <c r="BS81" i="40"/>
  <c r="CY26" i="1"/>
  <c r="AI96" i="39"/>
  <c r="AD62" i="36"/>
  <c r="CN66" i="1"/>
  <c r="AN24" i="40"/>
  <c r="CW98" i="1"/>
  <c r="CH57" i="26"/>
  <c r="AI50" i="1"/>
  <c r="CA98"/>
  <c r="AU89"/>
  <c r="AJ96" i="38"/>
  <c r="O98" i="37"/>
  <c r="BW102" i="1"/>
  <c r="BT81"/>
  <c r="DA45"/>
  <c r="CF61" i="37"/>
  <c r="BX34" i="38"/>
  <c r="CA81" i="41"/>
  <c r="AZ29" i="25"/>
  <c r="CE58" i="37"/>
  <c r="AE102" i="39"/>
  <c r="I62" i="26"/>
  <c r="G79" i="38"/>
  <c r="CI49" i="39"/>
  <c r="CD57" i="36"/>
  <c r="AT29" i="26"/>
  <c r="CS13" i="39"/>
  <c r="I18" i="41"/>
  <c r="CS66" i="26"/>
  <c r="BP61" i="25"/>
  <c r="CZ96" i="41"/>
  <c r="CV103"/>
  <c r="BX34" i="26"/>
  <c r="AN81" i="36"/>
  <c r="BX49" i="25"/>
  <c r="AB91" i="36"/>
  <c r="L26" i="39"/>
  <c r="AJ65" i="38"/>
  <c r="AU13" i="41"/>
  <c r="AT10" i="38"/>
  <c r="S71" i="36"/>
  <c r="BB24" i="41"/>
  <c r="CC58" i="25"/>
  <c r="BX54"/>
  <c r="CU67" i="26"/>
  <c r="BR79" i="39"/>
  <c r="N96" i="36"/>
  <c r="AT30" i="38"/>
  <c r="AG45" i="1"/>
  <c r="DB10" i="25"/>
  <c r="AB89" i="36"/>
  <c r="CI21" i="26"/>
  <c r="AP54" i="39"/>
  <c r="AC50" i="41"/>
  <c r="I53" i="39"/>
  <c r="I49" i="1"/>
  <c r="BE75" i="39"/>
  <c r="AR62"/>
  <c r="I24" i="26"/>
  <c r="CQ37" i="39"/>
  <c r="O21" i="36"/>
  <c r="AR9" i="38"/>
  <c r="BC53" i="37"/>
  <c r="BA60" i="41"/>
  <c r="J53" i="37"/>
  <c r="AW58" i="39"/>
  <c r="BX79" i="25"/>
  <c r="AF53" i="1"/>
  <c r="CZ57" i="41"/>
  <c r="X66" i="36"/>
  <c r="Z34" i="39"/>
  <c r="CP27" i="41"/>
  <c r="CG54" i="39"/>
  <c r="AW62" i="41"/>
  <c r="AH57" i="40"/>
  <c r="CU24" i="39"/>
  <c r="Y12" i="25"/>
  <c r="AZ49" i="38"/>
  <c r="G96" i="25"/>
  <c r="L30" i="1"/>
  <c r="BZ98" i="36"/>
  <c r="O57" i="26"/>
  <c r="O61" i="1"/>
  <c r="BW65" i="41"/>
  <c r="AP102" i="38"/>
  <c r="L96" i="39"/>
  <c r="DA9" i="26"/>
  <c r="P27" i="25"/>
  <c r="CA54"/>
  <c r="CD60" i="36"/>
  <c r="AP25" i="40"/>
  <c r="AV58"/>
  <c r="CG67" i="37"/>
  <c r="CX81" i="1"/>
  <c r="CW30" i="40"/>
  <c r="AV27" i="39"/>
  <c r="P48" i="37"/>
  <c r="AN96" i="38"/>
  <c r="CK61"/>
  <c r="O18" i="39"/>
  <c r="BT17" i="26"/>
  <c r="AS12"/>
  <c r="CJ29" i="39"/>
  <c r="BQ75" i="41"/>
  <c r="U57" i="37"/>
  <c r="AV9" i="38"/>
  <c r="BR29" i="40"/>
  <c r="AI29" i="1"/>
  <c r="CZ29" i="26"/>
  <c r="CU96" i="1"/>
  <c r="CA21" i="38"/>
  <c r="AD49"/>
  <c r="CJ50" i="39"/>
  <c r="U34" i="40"/>
  <c r="BZ59" i="38"/>
  <c r="U27" i="26"/>
  <c r="H81" i="41"/>
  <c r="L27" i="36"/>
  <c r="CQ91" i="37"/>
  <c r="L18" i="1"/>
  <c r="H24" i="39"/>
  <c r="BX66" i="41"/>
  <c r="CO60" i="36"/>
  <c r="CM30" i="37"/>
  <c r="CX79" i="36"/>
  <c r="AZ48" i="26"/>
  <c r="M45" i="25"/>
  <c r="BX29" i="36"/>
  <c r="CQ10" i="25"/>
  <c r="CF30"/>
  <c r="AJ21" i="38"/>
  <c r="N98"/>
  <c r="CB24" i="37"/>
  <c r="AF89"/>
  <c r="CA10" i="39"/>
  <c r="H91" i="1"/>
  <c r="M12" i="26"/>
  <c r="CH50" i="25"/>
  <c r="CK79" i="39"/>
  <c r="CE13" i="26"/>
  <c r="CH91" i="1"/>
  <c r="BS91"/>
  <c r="AW12" i="39"/>
  <c r="AA62"/>
  <c r="CL45" i="26"/>
  <c r="T62" i="41"/>
  <c r="AD37" i="25"/>
  <c r="CR65" i="1"/>
  <c r="DE21" i="36"/>
  <c r="AC45" i="38"/>
  <c r="BA10" i="41"/>
  <c r="AF62" i="37"/>
  <c r="AX59" i="39"/>
  <c r="AP12" i="38"/>
  <c r="CR75" i="41"/>
  <c r="N12" i="40"/>
  <c r="Z71" i="39"/>
  <c r="CX103" i="41"/>
  <c r="BU62" i="1"/>
  <c r="CR50" i="39"/>
  <c r="P29" i="36"/>
  <c r="CM10" i="37"/>
  <c r="K9" i="38"/>
  <c r="AX50" i="36"/>
  <c r="J60" i="40"/>
  <c r="DD24" i="26"/>
  <c r="AA67" i="39"/>
  <c r="DD49" i="37"/>
  <c r="X96" i="25"/>
  <c r="BY24" i="36"/>
  <c r="W30" i="37"/>
  <c r="AV53" i="41"/>
  <c r="CK62"/>
  <c r="DB29"/>
  <c r="AX12" i="37"/>
  <c r="CY26" i="26"/>
  <c r="Y13" i="40"/>
  <c r="CY26" i="25"/>
  <c r="AM57"/>
  <c r="G102" i="36"/>
  <c r="L25" i="38"/>
  <c r="DA48" i="1"/>
  <c r="AI79" i="37"/>
  <c r="DA30" i="25"/>
  <c r="CM89"/>
  <c r="H53" i="41"/>
  <c r="CV67" i="38"/>
  <c r="X91" i="1"/>
  <c r="AE89" i="25"/>
  <c r="CY59" i="39"/>
  <c r="CM9" i="26"/>
  <c r="CX91" i="37"/>
  <c r="AN57" i="1"/>
  <c r="AQ92" i="37"/>
  <c r="Y92" i="26"/>
  <c r="U24" i="1"/>
  <c r="AW17" i="38"/>
  <c r="DD30"/>
  <c r="BZ13" i="39"/>
  <c r="AT34" i="41"/>
  <c r="K17" i="26"/>
  <c r="BU89" i="25"/>
  <c r="AT10" i="1"/>
  <c r="BT89"/>
  <c r="AD53" i="26"/>
  <c r="BS27" i="40"/>
  <c r="AP53" i="38"/>
  <c r="J18" i="41"/>
  <c r="BD107" i="47"/>
  <c r="BE48" i="41"/>
  <c r="AC27" i="26"/>
  <c r="O50" i="41"/>
  <c r="CN81"/>
  <c r="G18" i="36"/>
  <c r="P71" i="1"/>
  <c r="AT71" i="39"/>
  <c r="AO24" i="38"/>
  <c r="X57" i="41"/>
  <c r="CB54" i="25"/>
  <c r="AN13" i="1"/>
  <c r="DD50" i="40"/>
  <c r="DF27" i="38"/>
  <c r="AJ91" i="39"/>
  <c r="AY25" i="41"/>
  <c r="AX21" i="1"/>
  <c r="AR60" i="39"/>
  <c r="BR27" i="25"/>
  <c r="AO58" i="41"/>
  <c r="BR59" i="38"/>
  <c r="AV12" i="40"/>
  <c r="CO45" i="26"/>
  <c r="CT10" i="25"/>
  <c r="AR81" i="39"/>
  <c r="CR48" i="1"/>
  <c r="G71" i="37"/>
  <c r="CX61" i="26"/>
  <c r="O24" i="38"/>
  <c r="K59" i="39"/>
  <c r="BT59" i="38"/>
  <c r="AN89" i="39"/>
  <c r="X89" i="41"/>
  <c r="N102" i="37"/>
  <c r="DB96" i="36"/>
  <c r="CL57" i="26"/>
  <c r="AB49" i="36"/>
  <c r="CQ49" i="1"/>
  <c r="AO75" i="40"/>
  <c r="AR12" i="1"/>
  <c r="BZ17" i="40"/>
  <c r="CD26" i="1"/>
  <c r="CF9" i="41"/>
  <c r="BB13" i="39"/>
  <c r="M92" i="41"/>
  <c r="G59" i="38"/>
  <c r="AF30" i="41"/>
  <c r="CU50" i="26"/>
  <c r="CX60" i="41"/>
  <c r="W26"/>
  <c r="Z12" i="1"/>
  <c r="CG62" i="38"/>
  <c r="BR62" i="41"/>
  <c r="AI27"/>
  <c r="AQ79" i="36"/>
  <c r="AO25" i="25"/>
  <c r="BY66" i="41"/>
  <c r="S29"/>
  <c r="AC25" i="25"/>
  <c r="DB71" i="41"/>
  <c r="AP91" i="36"/>
  <c r="BB9" i="37"/>
  <c r="CI75" i="26"/>
  <c r="S25" i="37"/>
  <c r="J19" i="59"/>
  <c r="H49"/>
  <c r="BR54" i="36"/>
  <c r="CS61" i="41"/>
  <c r="BX65" i="39"/>
  <c r="CG45" i="37"/>
  <c r="CD10" i="25"/>
  <c r="AS98" i="37"/>
  <c r="CC102" i="38"/>
  <c r="AV92" i="37"/>
  <c r="CK92" i="40"/>
  <c r="CE59" i="39"/>
  <c r="CP91" i="40"/>
  <c r="CJ54" i="1"/>
  <c r="AJ21" i="39"/>
  <c r="P30" i="26"/>
  <c r="CL30" i="1"/>
  <c r="DD53" i="37"/>
  <c r="BD25" i="38"/>
  <c r="BH24" i="1"/>
  <c r="N53" i="26"/>
  <c r="AP9" i="38"/>
  <c r="CF37" i="40"/>
  <c r="AD30" i="38"/>
  <c r="O21" i="39"/>
  <c r="BC96" i="38"/>
  <c r="AP66" i="1"/>
  <c r="BT58" i="38"/>
  <c r="W26" i="26"/>
  <c r="Z79" i="39"/>
  <c r="CY21" i="38"/>
  <c r="H67" i="41"/>
  <c r="AV45" i="1"/>
  <c r="AA67" i="38"/>
  <c r="AV92" i="40"/>
  <c r="AA49" i="41"/>
  <c r="Y89"/>
  <c r="BY37" i="36"/>
  <c r="CL10" i="26"/>
  <c r="CC60" i="41"/>
  <c r="DE25"/>
  <c r="CO48" i="40"/>
  <c r="CV57" i="38"/>
  <c r="AS59" i="39"/>
  <c r="S27" i="36"/>
  <c r="AG92" i="37"/>
  <c r="BD91" i="26"/>
  <c r="AN61" i="36"/>
  <c r="AA58" i="37"/>
  <c r="K71" i="1"/>
  <c r="BV102" i="26"/>
  <c r="J91" i="40"/>
  <c r="BY13" i="25"/>
  <c r="CY49" i="41"/>
  <c r="AU24" i="39"/>
  <c r="CM45" i="26"/>
  <c r="X65" i="37"/>
  <c r="CA98" i="25"/>
  <c r="BH98" i="40"/>
  <c r="I75" i="26"/>
  <c r="BA9" i="37"/>
  <c r="G30"/>
  <c r="CD102" i="40"/>
  <c r="AQ30"/>
  <c r="AC58" i="41"/>
  <c r="AH17"/>
  <c r="CE58" i="26"/>
  <c r="K92" i="36"/>
  <c r="L71" i="1"/>
  <c r="AG59"/>
  <c r="CZ30" i="37"/>
  <c r="AP79" i="40"/>
  <c r="CR13" i="25"/>
  <c r="CN61" i="37"/>
  <c r="AB10" i="36"/>
  <c r="AT61" i="41"/>
  <c r="BD34" i="36"/>
  <c r="AU18"/>
  <c r="AR54" i="25"/>
  <c r="J50" i="39"/>
  <c r="BS29" i="1"/>
  <c r="CU9" i="26"/>
  <c r="BX18" i="38"/>
  <c r="CO10" i="40"/>
  <c r="DC65" i="39"/>
  <c r="CZ89" i="41"/>
  <c r="J10" i="37"/>
  <c r="CV103"/>
  <c r="CS71" i="41"/>
  <c r="CI65"/>
  <c r="BO98" i="39"/>
  <c r="CV34"/>
  <c r="AG79" i="38"/>
  <c r="CT25" i="26"/>
  <c r="O98" i="36"/>
  <c r="G49" i="37"/>
  <c r="CK71" i="26"/>
  <c r="AU66" i="38"/>
  <c r="BE79" i="40"/>
  <c r="AT75" i="38"/>
  <c r="CM65" i="40"/>
  <c r="DD54" i="41"/>
  <c r="AG57" i="36"/>
  <c r="AD48" i="26"/>
  <c r="BE53" i="41"/>
  <c r="AZ59" i="25"/>
  <c r="BB48" i="40"/>
  <c r="CL48" i="37"/>
  <c r="CI21"/>
  <c r="CO66"/>
  <c r="AW26" i="26"/>
  <c r="DD91" i="37"/>
  <c r="AV91" i="41"/>
  <c r="CC12" i="25"/>
  <c r="CK21"/>
  <c r="Z25" i="39"/>
  <c r="CQ61" i="37"/>
  <c r="CN71" i="1"/>
  <c r="CO50"/>
  <c r="AT92"/>
  <c r="CQ9" i="25"/>
  <c r="AC67" i="1"/>
  <c r="BA27" i="40"/>
  <c r="AI91" i="25"/>
  <c r="U66" i="38"/>
  <c r="Y27" i="25"/>
  <c r="BO71" i="38"/>
  <c r="AM89" i="40"/>
  <c r="AE37" i="1"/>
  <c r="DB79" i="37"/>
  <c r="E68" i="64"/>
  <c r="DA81" i="37"/>
  <c r="CC17" i="36"/>
  <c r="DE10" i="39"/>
  <c r="CH30" i="38"/>
  <c r="AR81" i="1"/>
  <c r="CB71" i="39"/>
  <c r="BC75" i="36"/>
  <c r="N12" i="25"/>
  <c r="CE92"/>
  <c r="BD27" i="41"/>
  <c r="AJ65" i="26"/>
  <c r="CV48" i="1"/>
  <c r="CK25" i="39"/>
  <c r="AS89" i="36"/>
  <c r="AC102" i="26"/>
  <c r="I60" i="36"/>
  <c r="DB66" i="38"/>
  <c r="CT103"/>
  <c r="CT37"/>
  <c r="AZ62" i="39"/>
  <c r="AA30" i="40"/>
  <c r="AS89" i="38"/>
  <c r="AE67" i="25"/>
  <c r="AN21" i="36"/>
  <c r="AJ65" i="40"/>
  <c r="AB10" i="1"/>
  <c r="CG9" i="38"/>
  <c r="W45" i="1"/>
  <c r="W61" i="36"/>
  <c r="AG25" i="41"/>
  <c r="CZ66"/>
  <c r="CI17" i="25"/>
  <c r="AW49" i="1"/>
  <c r="CB24" i="25"/>
  <c r="CN81" i="1"/>
  <c r="BA61" i="38"/>
  <c r="V17" i="1"/>
  <c r="BR60" i="36"/>
  <c r="BP57" i="41"/>
  <c r="DC96" i="40"/>
  <c r="BT103" i="36"/>
  <c r="BB65" i="25"/>
  <c r="CL37" i="40"/>
  <c r="CP24" i="26"/>
  <c r="L92" i="41"/>
  <c r="BI89" i="37"/>
  <c r="J30" i="1"/>
  <c r="AS37" i="26"/>
  <c r="CI79" i="38"/>
  <c r="BS26"/>
  <c r="DA58" i="39"/>
  <c r="BR10" i="25"/>
  <c r="CA67" i="40"/>
  <c r="CL34" i="41"/>
  <c r="CU37" i="36"/>
  <c r="BW58" i="26"/>
  <c r="CG103" i="41"/>
  <c r="CQ75" i="38"/>
  <c r="AY24" i="26"/>
  <c r="CG10" i="40"/>
  <c r="AU29" i="41"/>
  <c r="CU18" i="36"/>
  <c r="CL13" i="26"/>
  <c r="AT75"/>
  <c r="BE53"/>
  <c r="BW102" i="37"/>
  <c r="AB92" i="39"/>
  <c r="CW57" i="37"/>
  <c r="Y27" i="26"/>
  <c r="L49" i="36"/>
  <c r="AN65" i="26"/>
  <c r="BV50" i="36"/>
  <c r="L71" i="37"/>
  <c r="CX57" i="26"/>
  <c r="AA27" i="38"/>
  <c r="BT75" i="36"/>
  <c r="H34" i="38"/>
  <c r="J81" i="36"/>
  <c r="I61" i="1"/>
  <c r="AO67" i="25"/>
  <c r="CU18"/>
  <c r="CK67" i="36"/>
  <c r="P71" i="37"/>
  <c r="CS13" i="38"/>
  <c r="G98"/>
  <c r="AP96" i="39"/>
  <c r="S48"/>
  <c r="BO49" i="37"/>
  <c r="CT54" i="39"/>
  <c r="BR12" i="38"/>
  <c r="CO91" i="37"/>
  <c r="S79" i="36"/>
  <c r="AX59" i="1"/>
  <c r="AS50" i="38"/>
  <c r="AN91" i="36"/>
  <c r="P45" i="25"/>
  <c r="DF92" i="26"/>
  <c r="BR62" i="1"/>
  <c r="BP10" i="25"/>
  <c r="U59"/>
  <c r="CI58" i="41"/>
  <c r="CC26" i="1"/>
  <c r="CK75" i="41"/>
  <c r="DF27" i="37"/>
  <c r="BD58"/>
  <c r="CC34" i="38"/>
  <c r="AF18" i="37"/>
  <c r="AG79" i="40"/>
  <c r="CS103" i="36"/>
  <c r="CZ17" i="38"/>
  <c r="CF103" i="39"/>
  <c r="P45" i="26"/>
  <c r="CF45" i="39"/>
  <c r="U59" i="26"/>
  <c r="AO92" i="41"/>
  <c r="AU30" i="39"/>
  <c r="CV61"/>
  <c r="CZ13" i="41"/>
  <c r="DA27"/>
  <c r="P21" i="38"/>
  <c r="BB21" i="39"/>
  <c r="AU57" i="38"/>
  <c r="AX59" i="40"/>
  <c r="K26" i="37"/>
  <c r="AB26" i="1"/>
  <c r="BQ62" i="40"/>
  <c r="K91" i="25"/>
  <c r="K53" i="40"/>
  <c r="AF62" i="1"/>
  <c r="BI37" i="40"/>
  <c r="Y34" i="25"/>
  <c r="AW24"/>
  <c r="CR81" i="40"/>
  <c r="CX92" i="25"/>
  <c r="K50"/>
  <c r="AB54" i="41"/>
  <c r="CW34" i="38"/>
  <c r="E53" i="60"/>
  <c r="S81" i="1"/>
  <c r="BD12" i="38"/>
  <c r="BE54" i="1"/>
  <c r="CP59"/>
  <c r="DD71" i="25"/>
  <c r="BB50" i="39"/>
  <c r="BI65" i="38"/>
  <c r="CS18" i="37"/>
  <c r="M13" i="26"/>
  <c r="BV71" i="38"/>
  <c r="DA58" i="25"/>
  <c r="CG17" i="39"/>
  <c r="BY29" i="26"/>
  <c r="CN37" i="25"/>
  <c r="CR91" i="36"/>
  <c r="AP48" i="25"/>
  <c r="CK53" i="41"/>
  <c r="AI50" i="39"/>
  <c r="CP91" i="36"/>
  <c r="DB25" i="39"/>
  <c r="CH49" i="1"/>
  <c r="X30" i="37"/>
  <c r="CH91" i="40"/>
  <c r="AI18" i="26"/>
  <c r="DB49" i="38"/>
  <c r="AP96" i="41"/>
  <c r="CA66" i="1"/>
  <c r="AR30"/>
  <c r="BD79" i="37"/>
  <c r="CO37" i="39"/>
  <c r="CI10"/>
  <c r="DC61" i="37"/>
  <c r="BW54" i="26"/>
  <c r="J61" i="39"/>
  <c r="CK103" i="36"/>
  <c r="CK13" i="26"/>
  <c r="H9" i="38"/>
  <c r="BE27"/>
  <c r="AI57" i="25"/>
  <c r="CR12" i="38"/>
  <c r="M98" i="25"/>
  <c r="CS65" i="41"/>
  <c r="AA26"/>
  <c r="CF18" i="37"/>
  <c r="DC48" i="41"/>
  <c r="CN61" i="39"/>
  <c r="Z92" i="37"/>
  <c r="H48" i="39"/>
  <c r="M81" i="26"/>
  <c r="CC53" i="1"/>
  <c r="CP54" i="26"/>
  <c r="AD57" i="25"/>
  <c r="AJ96" i="41"/>
  <c r="AA92" i="37"/>
  <c r="BU81" i="1"/>
  <c r="CW48"/>
  <c r="AE59" i="25"/>
  <c r="AA13" i="39"/>
  <c r="CB79" i="26"/>
  <c r="AR58" i="37"/>
  <c r="AU96" i="36"/>
  <c r="CZ71" i="26"/>
  <c r="L21" i="38"/>
  <c r="AG54" i="25"/>
  <c r="AM62" i="36"/>
  <c r="J48" i="25"/>
  <c r="BD61" i="1"/>
  <c r="AP61" i="38"/>
  <c r="AH102" i="1"/>
  <c r="BZ65" i="40"/>
  <c r="CG71" i="37"/>
  <c r="CU9" i="25"/>
  <c r="CC103" i="36"/>
  <c r="AZ25" i="38"/>
  <c r="DE9" i="39"/>
  <c r="J91" i="64"/>
  <c r="Y29" i="36"/>
  <c r="CQ45" i="37"/>
  <c r="BU75" i="1"/>
  <c r="DD50" i="36"/>
  <c r="CF57" i="41"/>
  <c r="AX50" i="1"/>
  <c r="CO96" i="25"/>
  <c r="CU29"/>
  <c r="CC66" i="41"/>
  <c r="CT81" i="37"/>
  <c r="M65" i="38"/>
  <c r="CO92" i="26"/>
  <c r="CG92"/>
  <c r="T96" i="38"/>
  <c r="DE67" i="37"/>
  <c r="AC49" i="39"/>
  <c r="AP58" i="41"/>
  <c r="N25" i="40"/>
  <c r="CW58" i="41"/>
  <c r="CJ30" i="1"/>
  <c r="AS27" i="38"/>
  <c r="DC37" i="40"/>
  <c r="AC79" i="36"/>
  <c r="AN10" i="26"/>
  <c r="DC37" i="39"/>
  <c r="U66"/>
  <c r="AX89" i="26"/>
  <c r="CA37" i="25"/>
  <c r="BV96" i="1"/>
  <c r="CP37" i="40"/>
  <c r="CL27" i="39"/>
  <c r="BU61" i="36"/>
  <c r="DF12" i="39"/>
  <c r="H53" i="1"/>
  <c r="AZ75" i="41"/>
  <c r="CN30" i="37"/>
  <c r="BU49" i="40"/>
  <c r="CZ45" i="41"/>
  <c r="U48" i="26"/>
  <c r="AN54" i="41"/>
  <c r="I45" i="59"/>
  <c r="E47" i="60"/>
  <c r="AD50" i="26"/>
  <c r="AM54" i="38"/>
  <c r="K11" i="59"/>
  <c r="AC50" i="1"/>
  <c r="AE81" i="39"/>
  <c r="AF12" i="41"/>
  <c r="CA103" i="25"/>
  <c r="BZ29"/>
  <c r="CK27" i="26"/>
  <c r="BX30"/>
  <c r="CC65" i="37"/>
  <c r="BY75" i="41"/>
  <c r="CI10"/>
  <c r="BB71" i="26"/>
  <c r="CL59" i="39"/>
  <c r="AN96" i="40"/>
  <c r="CY18" i="37"/>
  <c r="CM9" i="41"/>
  <c r="CP13" i="36"/>
  <c r="CS48" i="25"/>
  <c r="CP50" i="37"/>
  <c r="CN12" i="25"/>
  <c r="AQ66" i="41"/>
  <c r="AM81" i="38"/>
  <c r="CK98" i="25"/>
  <c r="U37" i="41"/>
  <c r="DD71" i="26"/>
  <c r="CV75" i="39"/>
  <c r="CZ75" i="38"/>
  <c r="DA24" i="26"/>
  <c r="AW50" i="1"/>
  <c r="AB65" i="41"/>
  <c r="CP79" i="37"/>
  <c r="AR21" i="1"/>
  <c r="BY103"/>
  <c r="CG12" i="38"/>
  <c r="CH21" i="36"/>
  <c r="AD91"/>
  <c r="H30" i="38"/>
  <c r="Z25" i="25"/>
  <c r="AC62" i="36"/>
  <c r="AG81" i="37"/>
  <c r="CO71" i="1"/>
  <c r="V29" i="26"/>
  <c r="V66" i="41"/>
  <c r="X71" i="26"/>
  <c r="AR30"/>
  <c r="K62" i="37"/>
  <c r="M27" i="38"/>
  <c r="AO79" i="39"/>
  <c r="BQ10"/>
  <c r="BO91" i="40"/>
  <c r="DB96" i="39"/>
  <c r="BT89" i="25"/>
  <c r="CV30" i="1"/>
  <c r="CS81" i="25"/>
  <c r="AT53" i="41"/>
  <c r="AQ98" i="40"/>
  <c r="BA45" i="39"/>
  <c r="BS24" i="26"/>
  <c r="CV53" i="38"/>
  <c r="CH58" i="37"/>
  <c r="P96" i="38"/>
  <c r="BV58" i="39"/>
  <c r="BR75" i="41"/>
  <c r="AQ61" i="25"/>
  <c r="AO71" i="39"/>
  <c r="BO62" i="37"/>
  <c r="BV92" i="36"/>
  <c r="J53" i="41"/>
  <c r="AT34" i="38"/>
  <c r="BX81" i="41"/>
  <c r="K54" i="25"/>
  <c r="BX10" i="36"/>
  <c r="BZ61" i="39"/>
  <c r="CC21" i="25"/>
  <c r="AY21" i="26"/>
  <c r="CY13"/>
  <c r="AZ24" i="37"/>
  <c r="AO71" i="40"/>
  <c r="AO45" i="39"/>
  <c r="DE30" i="36"/>
  <c r="CH58" i="25"/>
  <c r="BT10" i="41"/>
  <c r="CV54" i="26"/>
  <c r="AN26" i="41"/>
  <c r="CV29" i="26"/>
  <c r="DD66" i="40"/>
  <c r="AY9" i="39"/>
  <c r="CG59" i="36"/>
  <c r="BZ25" i="25"/>
  <c r="V71" i="39"/>
  <c r="CV96" i="1"/>
  <c r="BP65" i="41"/>
  <c r="AP81" i="1"/>
  <c r="AC66"/>
  <c r="J37" i="41"/>
  <c r="AA45" i="39"/>
  <c r="AA54" i="36"/>
  <c r="BA30"/>
  <c r="DE92" i="39"/>
  <c r="BC98" i="37"/>
  <c r="L79" i="25"/>
  <c r="BY45"/>
  <c r="CT65" i="38"/>
  <c r="BZ67" i="39"/>
  <c r="BZ12"/>
  <c r="AC65" i="1"/>
  <c r="BZ67" i="25"/>
  <c r="BB18" i="39"/>
  <c r="O96" i="36"/>
  <c r="AE45" i="41"/>
  <c r="AM49" i="39"/>
  <c r="BS67" i="37"/>
  <c r="AS79"/>
  <c r="BV25" i="26"/>
  <c r="I45" i="25"/>
  <c r="CA62" i="1"/>
  <c r="BP60" i="25"/>
  <c r="AW96" i="41"/>
  <c r="S13" i="36"/>
  <c r="M49" i="25"/>
  <c r="CS53" i="40"/>
  <c r="CE65" i="39"/>
  <c r="S48" i="37"/>
  <c r="AF71" i="1"/>
  <c r="CV102" i="40"/>
  <c r="CA61" i="26"/>
  <c r="AN67" i="38"/>
  <c r="CM98" i="25"/>
  <c r="BA92" i="1"/>
  <c r="BY60" i="39"/>
  <c r="CJ49" i="37"/>
  <c r="DD48"/>
  <c r="AV79" i="39"/>
  <c r="DE49" i="41"/>
  <c r="BD10" i="25"/>
  <c r="AI27" i="26"/>
  <c r="CC92" i="41"/>
  <c r="I91" i="64"/>
  <c r="K12" i="39"/>
  <c r="AV71" i="41"/>
  <c r="U29" i="40"/>
  <c r="AJ98" i="37"/>
  <c r="AW91" i="38"/>
  <c r="DA9" i="1"/>
  <c r="AF24" i="39"/>
  <c r="AH48" i="40"/>
  <c r="AB17" i="37"/>
  <c r="DA18"/>
  <c r="AI29" i="25"/>
  <c r="BP67" i="26"/>
  <c r="V27"/>
  <c r="I58" i="36"/>
  <c r="G53" i="38"/>
  <c r="L34"/>
  <c r="CN75" i="40"/>
  <c r="BR26" i="36"/>
  <c r="AD34" i="26"/>
  <c r="K26"/>
  <c r="CL75" i="39"/>
  <c r="AT67" i="41"/>
  <c r="BZ79" i="39"/>
  <c r="BZ67" i="37"/>
  <c r="CB67" i="1"/>
  <c r="CA79"/>
  <c r="DD45" i="39"/>
  <c r="CW92" i="25"/>
  <c r="J54" i="40"/>
  <c r="CX25" i="41"/>
  <c r="K37" i="37"/>
  <c r="DB17" i="1"/>
  <c r="CL34"/>
  <c r="CN45" i="37"/>
  <c r="AD71" i="36"/>
  <c r="CT57"/>
  <c r="AW60" i="40"/>
  <c r="AA50" i="36"/>
  <c r="CU17" i="40"/>
  <c r="Y62" i="1"/>
  <c r="CZ75" i="25"/>
  <c r="AI91" i="36"/>
  <c r="CU66" i="40"/>
  <c r="I49" i="41"/>
  <c r="S81" i="38"/>
  <c r="AS17" i="41"/>
  <c r="BB13" i="37"/>
  <c r="AR91" i="39"/>
  <c r="DB57" i="25"/>
  <c r="AV60" i="36"/>
  <c r="CR96" i="25"/>
  <c r="CL62" i="40"/>
  <c r="CL61" i="25"/>
  <c r="CO81" i="41"/>
  <c r="AP29" i="38"/>
  <c r="AS66" i="25"/>
  <c r="CU53" i="38"/>
  <c r="Y89" i="25"/>
  <c r="CO18" i="40"/>
  <c r="J62" i="36"/>
  <c r="BE57" i="25"/>
  <c r="AA62" i="38"/>
  <c r="BA12" i="25"/>
  <c r="AY21" i="40"/>
  <c r="AF21" i="25"/>
  <c r="BZ48" i="37"/>
  <c r="CC49" i="25"/>
  <c r="CW53" i="38"/>
  <c r="BS60" i="37"/>
  <c r="CY92" i="40"/>
  <c r="CX27" i="38"/>
  <c r="CN103" i="25"/>
  <c r="G75" i="40"/>
  <c r="CS60"/>
  <c r="CN37" i="38"/>
  <c r="AS59" i="41"/>
  <c r="AI54" i="36"/>
  <c r="AC13" i="1"/>
  <c r="BW13" i="37"/>
  <c r="DB79" i="36"/>
  <c r="AN49" i="40"/>
  <c r="H26" i="37"/>
  <c r="CH24" i="25"/>
  <c r="AV49" i="26"/>
  <c r="DC54" i="41"/>
  <c r="CI12" i="1"/>
  <c r="BU62" i="26"/>
  <c r="BV75" i="38"/>
  <c r="AB75" i="25"/>
  <c r="CD24" i="38"/>
  <c r="M26" i="1"/>
  <c r="DD67" i="41"/>
  <c r="CW12" i="40"/>
  <c r="BS59"/>
  <c r="BI30" i="25"/>
  <c r="AQ61" i="1"/>
  <c r="CN61" i="25"/>
  <c r="BS27" i="39"/>
  <c r="BX9" i="26"/>
  <c r="CD24" i="25"/>
  <c r="CW48"/>
  <c r="CI13" i="39"/>
  <c r="CY59" i="38"/>
  <c r="DD9" i="39"/>
  <c r="CL67" i="25"/>
  <c r="CD24" i="41"/>
  <c r="CM26" i="39"/>
  <c r="S27" i="26"/>
  <c r="AT71" i="41"/>
  <c r="AY98" i="37"/>
  <c r="CE98" i="38"/>
  <c r="U75"/>
  <c r="X48" i="41"/>
  <c r="AC48"/>
  <c r="AG29" i="1"/>
  <c r="CC75" i="40"/>
  <c r="CQ10" i="36"/>
  <c r="F91" i="64"/>
  <c r="CR12" i="40"/>
  <c r="K27" i="1"/>
  <c r="CK91" i="36"/>
  <c r="AI75" i="39"/>
  <c r="BR67" i="36"/>
  <c r="CW96" i="25"/>
  <c r="Z48" i="26"/>
  <c r="P60"/>
  <c r="J48" i="36"/>
  <c r="DD17" i="40"/>
  <c r="L27" i="39"/>
  <c r="AE98" i="1"/>
  <c r="AT13" i="38"/>
  <c r="CS29" i="40"/>
  <c r="AZ9" i="39"/>
  <c r="AF30"/>
  <c r="AW62" i="40"/>
  <c r="BD91" i="41"/>
  <c r="DF29" i="36"/>
  <c r="AS62" i="40"/>
  <c r="BR48"/>
  <c r="AW92" i="38"/>
  <c r="L65" i="36"/>
  <c r="DC75" i="26"/>
  <c r="X50"/>
  <c r="U53"/>
  <c r="DC61" i="36"/>
  <c r="J48" i="38"/>
  <c r="AM62" i="41"/>
  <c r="L13"/>
  <c r="BZ37" i="26"/>
  <c r="BR49" i="37"/>
  <c r="AX71" i="40"/>
  <c r="BX17" i="25"/>
  <c r="BT59"/>
  <c r="AY48" i="38"/>
  <c r="CH13" i="1"/>
  <c r="CY21" i="36"/>
  <c r="CK37" i="39"/>
  <c r="BO10" i="1"/>
  <c r="CD71" i="25"/>
  <c r="BT98"/>
  <c r="N21" i="37"/>
  <c r="CE18" i="26"/>
  <c r="AD59" i="25"/>
  <c r="BY60" i="1"/>
  <c r="CV96" i="39"/>
  <c r="U57" i="40"/>
  <c r="O37"/>
  <c r="CM9" i="39"/>
  <c r="AP91" i="1"/>
  <c r="BT98" i="38"/>
  <c r="DF67" i="36"/>
  <c r="AN91" i="25"/>
  <c r="BQ62" i="37"/>
  <c r="CU54" i="26"/>
  <c r="CN92" i="25"/>
  <c r="AQ34" i="41"/>
  <c r="CR13" i="36"/>
  <c r="DA96" i="39"/>
  <c r="AD12" i="40"/>
  <c r="P13"/>
  <c r="CL18" i="36"/>
  <c r="BR89"/>
  <c r="K37" i="26"/>
  <c r="CC60" i="36"/>
  <c r="AP89" i="37"/>
  <c r="CA27" i="36"/>
  <c r="CY89" i="37"/>
  <c r="CJ21" i="38"/>
  <c r="AS9" i="37"/>
  <c r="BW102" i="39"/>
  <c r="AA27" i="1"/>
  <c r="BT61" i="38"/>
  <c r="DC66" i="41"/>
  <c r="AF91" i="25"/>
  <c r="CF49" i="41"/>
  <c r="BB30" i="40"/>
  <c r="O17"/>
  <c r="BB66" i="25"/>
  <c r="AI17" i="1"/>
  <c r="CJ30" i="26"/>
  <c r="AR57" i="36"/>
  <c r="CX48"/>
  <c r="AV71" i="40"/>
  <c r="AN26" i="38"/>
  <c r="AH21" i="1"/>
  <c r="AC49" i="26"/>
  <c r="CN17" i="41"/>
  <c r="AH67" i="39"/>
  <c r="W62" i="36"/>
  <c r="AN50" i="40"/>
  <c r="AC60" i="37"/>
  <c r="H79"/>
  <c r="BA17" i="41"/>
  <c r="AV96" i="36"/>
  <c r="AU30" i="41"/>
  <c r="AX25" i="38"/>
  <c r="AW18" i="37"/>
  <c r="BC92" i="38"/>
  <c r="CX71" i="40"/>
  <c r="O37" i="36"/>
  <c r="AC30" i="37"/>
  <c r="BR37" i="36"/>
  <c r="CY50" i="26"/>
  <c r="BY12" i="41"/>
  <c r="CV12" i="37"/>
  <c r="L75" i="38"/>
  <c r="K92" i="26"/>
  <c r="AF29" i="37"/>
  <c r="AZ65" i="1"/>
  <c r="AX21" i="39"/>
  <c r="I75" i="38"/>
  <c r="AA48" i="39"/>
  <c r="AX45" i="38"/>
  <c r="AO89" i="39"/>
  <c r="CH34" i="36"/>
  <c r="O48" i="26"/>
  <c r="L29"/>
  <c r="DC12" i="39"/>
  <c r="CP81" i="37"/>
  <c r="CD34" i="25"/>
  <c r="CT102" i="37"/>
  <c r="CM71" i="38"/>
  <c r="CR102" i="36"/>
  <c r="AC34" i="26"/>
  <c r="AR57" i="41"/>
  <c r="CQ26" i="25"/>
  <c r="CK50" i="37"/>
  <c r="CJ89" i="39"/>
  <c r="BD17" i="36"/>
  <c r="U61" i="38"/>
  <c r="AA89"/>
  <c r="CS59" i="1"/>
  <c r="AF65" i="40"/>
  <c r="BR21"/>
  <c r="AD10" i="1"/>
  <c r="CH58" i="41"/>
  <c r="AD48"/>
  <c r="AM25" i="36"/>
  <c r="AG89" i="39"/>
  <c r="BO75" i="25"/>
  <c r="BP103" i="37"/>
  <c r="CC18"/>
  <c r="CU57" i="25"/>
  <c r="CE26" i="37"/>
  <c r="DB60" i="1"/>
  <c r="M75" i="39"/>
  <c r="DB61" i="37"/>
  <c r="CY71" i="36"/>
  <c r="DA67" i="39"/>
  <c r="K98"/>
  <c r="AD26" i="36"/>
  <c r="E64" i="64"/>
  <c r="CJ61" i="41"/>
  <c r="L13" i="36"/>
  <c r="BP60" i="37"/>
  <c r="BS67" i="39"/>
  <c r="Y79" i="25"/>
  <c r="CJ81" i="40"/>
  <c r="CL66" i="41"/>
  <c r="BO27" i="38"/>
  <c r="CU18" i="37"/>
  <c r="CY79" i="25"/>
  <c r="Z61" i="26"/>
  <c r="K57" i="39"/>
  <c r="CF57" i="1"/>
  <c r="AN65" i="36"/>
  <c r="CY48" i="37"/>
  <c r="Y24" i="40"/>
  <c r="BD62" i="1"/>
  <c r="CB96" i="39"/>
  <c r="BE59" i="1"/>
  <c r="AH58" i="40"/>
  <c r="I10" i="26"/>
  <c r="CF61" i="40"/>
  <c r="J49" i="39"/>
  <c r="AI98" i="40"/>
  <c r="N91" i="1"/>
  <c r="BO61" i="39"/>
  <c r="P92" i="41"/>
  <c r="CV25" i="1"/>
  <c r="DE102" i="41"/>
  <c r="DA21"/>
  <c r="BW10"/>
  <c r="BV27" i="38"/>
  <c r="BR24" i="39"/>
  <c r="AB18" i="25"/>
  <c r="L21" i="37"/>
  <c r="CJ48" i="40"/>
  <c r="CF66" i="36"/>
  <c r="O25" i="37"/>
  <c r="AX9" i="41"/>
  <c r="DF9" i="37"/>
  <c r="G79" i="39"/>
  <c r="I44" i="60"/>
  <c r="K76" i="64"/>
  <c r="BX30" i="40"/>
  <c r="BB12" i="26"/>
  <c r="CB92" i="40"/>
  <c r="CC21"/>
  <c r="CF75"/>
  <c r="AJ9" i="39"/>
  <c r="CJ13" i="40"/>
  <c r="AZ66" i="25"/>
  <c r="CF66"/>
  <c r="CA96" i="1"/>
  <c r="CN21" i="36"/>
  <c r="BV54" i="25"/>
  <c r="CI62" i="41"/>
  <c r="CV18"/>
  <c r="Z29" i="38"/>
  <c r="AI24" i="1"/>
  <c r="CT57" i="39"/>
  <c r="BX54" i="26"/>
  <c r="CG58" i="25"/>
  <c r="AO67" i="37"/>
  <c r="CD25" i="39"/>
  <c r="DF30" i="25"/>
  <c r="AH53" i="38"/>
  <c r="AT79" i="36"/>
  <c r="AI81" i="26"/>
  <c r="AI71" i="39"/>
  <c r="AF79" i="37"/>
  <c r="BU45" i="26"/>
  <c r="BS30" i="39"/>
  <c r="CB26"/>
  <c r="CH50"/>
  <c r="AW29" i="1"/>
  <c r="AT54" i="36"/>
  <c r="DA57" i="26"/>
  <c r="Z79" i="37"/>
  <c r="AT9" i="39"/>
  <c r="P92" i="25"/>
  <c r="BT71" i="38"/>
  <c r="AA34" i="41"/>
  <c r="AB17" i="40"/>
  <c r="CF26" i="25"/>
  <c r="M29" i="41"/>
  <c r="X29"/>
  <c r="V48"/>
  <c r="BQ89" i="1"/>
  <c r="BR75"/>
  <c r="AF60" i="38"/>
  <c r="DD75"/>
  <c r="G24" i="41"/>
  <c r="BP65" i="40"/>
  <c r="AR12" i="37"/>
  <c r="J29" i="26"/>
  <c r="BZ49"/>
  <c r="CL98" i="25"/>
  <c r="CT34" i="41"/>
  <c r="AM27" i="26"/>
  <c r="DC98"/>
  <c r="AH27" i="25"/>
  <c r="BQ59" i="26"/>
  <c r="CU57" i="37"/>
  <c r="P81" i="25"/>
  <c r="CS21" i="39"/>
  <c r="K67" i="25"/>
  <c r="AF59" i="37"/>
  <c r="E73" i="64"/>
  <c r="CT58" i="40"/>
  <c r="CQ92" i="26"/>
  <c r="BS12"/>
  <c r="AD65" i="1"/>
  <c r="BH49" i="39"/>
  <c r="CR81" i="38"/>
  <c r="BU53" i="1"/>
  <c r="AV30" i="37"/>
  <c r="CN26" i="41"/>
  <c r="DE25" i="1"/>
  <c r="DB54" i="40"/>
  <c r="AS30" i="1"/>
  <c r="AR29" i="25"/>
  <c r="CE48" i="41"/>
  <c r="AU66" i="26"/>
  <c r="AO71" i="1"/>
  <c r="AO79" i="36"/>
  <c r="AP59" i="26"/>
  <c r="CX34" i="1"/>
  <c r="AR18"/>
  <c r="CB9" i="25"/>
  <c r="CO17" i="1"/>
  <c r="DE58" i="36"/>
  <c r="Y29" i="41"/>
  <c r="DF25" i="36"/>
  <c r="CB48" i="38"/>
  <c r="CK21" i="36"/>
  <c r="CM12" i="38"/>
  <c r="AT24" i="39"/>
  <c r="AY61" i="37"/>
  <c r="AP54" i="41"/>
  <c r="J92" i="39"/>
  <c r="AE62" i="38"/>
  <c r="BB37" i="25"/>
  <c r="AW13" i="40"/>
  <c r="DF103" i="37"/>
  <c r="BB30"/>
  <c r="AW49" i="25"/>
  <c r="K37" i="1"/>
  <c r="DA37" i="38"/>
  <c r="BE59" i="26"/>
  <c r="CU98" i="25"/>
  <c r="DF59" i="36"/>
  <c r="AD81" i="40"/>
  <c r="AH9" i="36"/>
  <c r="Z54" i="41"/>
  <c r="AP13" i="38"/>
  <c r="CM21" i="36"/>
  <c r="BS102" i="38"/>
  <c r="CV75" i="41"/>
  <c r="AH57"/>
  <c r="AD17" i="36"/>
  <c r="BH67" i="26"/>
  <c r="BS75" i="1"/>
  <c r="BW89" i="25"/>
  <c r="AG89"/>
  <c r="L34" i="40"/>
  <c r="X24" i="36"/>
  <c r="DB65"/>
  <c r="AI71" i="38"/>
  <c r="BB48" i="37"/>
  <c r="BO96" i="38"/>
  <c r="O58"/>
  <c r="CG9" i="26"/>
  <c r="DF34" i="36"/>
  <c r="CB34" i="41"/>
  <c r="BT92"/>
  <c r="CV45" i="26"/>
  <c r="AY65" i="39"/>
  <c r="CQ18" i="38"/>
  <c r="S71" i="1"/>
  <c r="AS17" i="26"/>
  <c r="AO49" i="41"/>
  <c r="BW27" i="38"/>
  <c r="CL48"/>
  <c r="BE21" i="25"/>
  <c r="BA61" i="37"/>
  <c r="CM91" i="41"/>
  <c r="BV81" i="25"/>
  <c r="CZ91" i="40"/>
  <c r="CI66" i="26"/>
  <c r="CH25" i="37"/>
  <c r="G75"/>
  <c r="AV9" i="25"/>
  <c r="O67" i="26"/>
  <c r="CC54" i="39"/>
  <c r="CQ89" i="25"/>
  <c r="DE91" i="40"/>
  <c r="J98" i="39"/>
  <c r="DB102"/>
  <c r="BT54" i="36"/>
  <c r="J9"/>
  <c r="BU62" i="41"/>
  <c r="AC62"/>
  <c r="AR45" i="39"/>
  <c r="CQ34" i="1"/>
  <c r="AF12" i="36"/>
  <c r="AV9" i="41"/>
  <c r="N13" i="37"/>
  <c r="K58" i="36"/>
  <c r="CB79" i="40"/>
  <c r="CV79" i="38"/>
  <c r="Z45" i="1"/>
  <c r="CF37" i="38"/>
  <c r="CP61"/>
  <c r="BZ60"/>
  <c r="CW58" i="25"/>
  <c r="AR67"/>
  <c r="DB57" i="40"/>
  <c r="AN37" i="38"/>
  <c r="K81" i="1"/>
  <c r="CW54" i="39"/>
  <c r="U18"/>
  <c r="CC54" i="38"/>
  <c r="BQ103" i="37"/>
  <c r="L62" i="26"/>
  <c r="BD53"/>
  <c r="DE48" i="1"/>
  <c r="BS54"/>
  <c r="J65" i="39"/>
  <c r="BO65" i="38"/>
  <c r="P60"/>
  <c r="AX98" i="39"/>
  <c r="AZ48" i="38"/>
  <c r="BC67" i="41"/>
  <c r="CW103" i="26"/>
  <c r="T89" i="38"/>
  <c r="AM54" i="41"/>
  <c r="V26" i="26"/>
  <c r="CQ48" i="36"/>
  <c r="BZ92" i="41"/>
  <c r="CK102" i="36"/>
  <c r="BX10" i="38"/>
  <c r="CK103" i="40"/>
  <c r="CB81"/>
  <c r="CF57" i="38"/>
  <c r="CM58"/>
  <c r="CN26" i="36"/>
  <c r="BS57" i="26"/>
  <c r="AP30" i="38"/>
  <c r="BU29" i="1"/>
  <c r="BB102" i="38"/>
  <c r="Z10" i="36"/>
  <c r="DE25" i="26"/>
  <c r="CW79" i="1"/>
  <c r="L54" i="39"/>
  <c r="AX34" i="41"/>
  <c r="BU61" i="1"/>
  <c r="AE29" i="26"/>
  <c r="X18" i="39"/>
  <c r="K54" i="37"/>
  <c r="AI75" i="25"/>
  <c r="AI92" i="38"/>
  <c r="BQ103" i="39"/>
  <c r="CG53" i="26"/>
  <c r="AS79" i="38"/>
  <c r="CK102"/>
  <c r="DF49" i="25"/>
  <c r="DE49" i="1"/>
  <c r="AF92" i="40"/>
  <c r="AQ27"/>
  <c r="L81" i="41"/>
  <c r="DA10" i="25"/>
  <c r="DB50" i="38"/>
  <c r="CG62" i="39"/>
  <c r="CI91" i="38"/>
  <c r="CP59" i="40"/>
  <c r="AU18" i="39"/>
  <c r="CL29" i="40"/>
  <c r="BQ61" i="41"/>
  <c r="DE30" i="25"/>
  <c r="BA9" i="1"/>
  <c r="CW102" i="38"/>
  <c r="BE9" i="37"/>
  <c r="AT24" i="38"/>
  <c r="CX98" i="40"/>
  <c r="BZ50"/>
  <c r="DF79" i="37"/>
  <c r="BO49" i="36"/>
  <c r="CJ103" i="39"/>
  <c r="CO96" i="1"/>
  <c r="CV92" i="25"/>
  <c r="AT45"/>
  <c r="CH18" i="1"/>
  <c r="BQ102" i="39"/>
  <c r="J18" i="38"/>
  <c r="BB58" i="40"/>
  <c r="BT30" i="38"/>
  <c r="BW59" i="25"/>
  <c r="AW25" i="37"/>
  <c r="BC24" i="36"/>
  <c r="DC29" i="38"/>
  <c r="AX96" i="41"/>
  <c r="BY26" i="25"/>
  <c r="CV89" i="37"/>
  <c r="AC102" i="36"/>
  <c r="CM96" i="37"/>
  <c r="CI21" i="41"/>
  <c r="BT103" i="38"/>
  <c r="AT54" i="39"/>
  <c r="P67" i="26"/>
  <c r="AI60" i="38"/>
  <c r="AG24" i="40"/>
  <c r="O17" i="39"/>
  <c r="K21" i="25"/>
  <c r="BQ26" i="40"/>
  <c r="BR13" i="41"/>
  <c r="AG58"/>
  <c r="CM49" i="26"/>
  <c r="DC12" i="41"/>
  <c r="AA96" i="26"/>
  <c r="BQ26"/>
  <c r="M26"/>
  <c r="BD81" i="36"/>
  <c r="DC81" i="37"/>
  <c r="L53" i="1"/>
  <c r="AX18" i="39"/>
  <c r="AI98"/>
  <c r="BC49" i="1"/>
  <c r="DD26" i="38"/>
  <c r="AE27" i="37"/>
  <c r="G18" i="25"/>
  <c r="G58" i="1"/>
  <c r="BB24" i="36"/>
  <c r="AH9" i="41"/>
  <c r="L18" i="40"/>
  <c r="CK34" i="41"/>
  <c r="CR53" i="26"/>
  <c r="BU34" i="1"/>
  <c r="BV60"/>
  <c r="DE49" i="37"/>
  <c r="BA24" i="39"/>
  <c r="CD37" i="25"/>
  <c r="CX79" i="39"/>
  <c r="CA48" i="40"/>
  <c r="CH49"/>
  <c r="BQ59" i="41"/>
  <c r="CT60" i="1"/>
  <c r="BZ89" i="36"/>
  <c r="CT12" i="25"/>
  <c r="AN53"/>
  <c r="CG75" i="38"/>
  <c r="CK48" i="1"/>
  <c r="BV21" i="36"/>
  <c r="CS25" i="38"/>
  <c r="K62" i="1"/>
  <c r="CS58" i="41"/>
  <c r="AP59"/>
  <c r="AE62" i="25"/>
  <c r="BQ66" i="39"/>
  <c r="CI21" i="1"/>
  <c r="BO48" i="37"/>
  <c r="H89" i="38"/>
  <c r="CG21" i="41"/>
  <c r="CA61" i="25"/>
  <c r="BX92" i="40"/>
  <c r="DF37" i="26"/>
  <c r="CC34" i="40"/>
  <c r="CH89" i="41"/>
  <c r="DD59" i="39"/>
  <c r="CP58" i="36"/>
  <c r="L81" i="39"/>
  <c r="BB54" i="1"/>
  <c r="BX12" i="37"/>
  <c r="CT37" i="25"/>
  <c r="BQ59"/>
  <c r="BD71" i="39"/>
  <c r="CT37" i="41"/>
  <c r="H60" i="38"/>
  <c r="CG81" i="25"/>
  <c r="BV81" i="37"/>
  <c r="DF12" i="41"/>
  <c r="CU48" i="36"/>
  <c r="CH67" i="39"/>
  <c r="AN25" i="25"/>
  <c r="AQ12" i="41"/>
  <c r="H58" i="40"/>
  <c r="AH54" i="38"/>
  <c r="K50" i="26"/>
  <c r="BC98" i="1"/>
  <c r="DF53"/>
  <c r="CI92"/>
  <c r="AT62" i="40"/>
  <c r="CT45" i="1"/>
  <c r="AH53" i="36"/>
  <c r="AG75" i="1"/>
  <c r="AC75" i="37"/>
  <c r="BX9" i="1"/>
  <c r="AZ29"/>
  <c r="AH91" i="26"/>
  <c r="J27" i="1"/>
  <c r="V27" i="40"/>
  <c r="BS57" i="37"/>
  <c r="DF59"/>
  <c r="P66" i="38"/>
  <c r="CN21" i="41"/>
  <c r="CF59"/>
  <c r="X61" i="40"/>
  <c r="DD34" i="41"/>
  <c r="CS102" i="40"/>
  <c r="BC79" i="1"/>
  <c r="DF58" i="36"/>
  <c r="Z66" i="26"/>
  <c r="AI21" i="38"/>
  <c r="DA96" i="40"/>
  <c r="AP58" i="39"/>
  <c r="AW92" i="41"/>
  <c r="AD61" i="1"/>
  <c r="DB79" i="26"/>
  <c r="CF91" i="41"/>
  <c r="CC65" i="38"/>
  <c r="CR59" i="41"/>
  <c r="CE89" i="37"/>
  <c r="O26" i="25"/>
  <c r="BY92" i="41"/>
  <c r="N59" i="36"/>
  <c r="CO89" i="37"/>
  <c r="CI49" i="26"/>
  <c r="L30" i="37"/>
  <c r="AW71" i="38"/>
  <c r="DC53"/>
  <c r="AH26" i="26"/>
  <c r="L25" i="39"/>
  <c r="CS27" i="36"/>
  <c r="AO9"/>
  <c r="DB60" i="39"/>
  <c r="AM79" i="26"/>
  <c r="CO50" i="39"/>
  <c r="BR96" i="41"/>
  <c r="AY26" i="36"/>
  <c r="DC89" i="25"/>
  <c r="CK60" i="41"/>
  <c r="CK9" i="36"/>
  <c r="AT45" i="1"/>
  <c r="K53" i="39"/>
  <c r="J66"/>
  <c r="AO92" i="36"/>
  <c r="BE54" i="39"/>
  <c r="AP29" i="37"/>
  <c r="AS98" i="41"/>
  <c r="CM48" i="40"/>
  <c r="CV17" i="1"/>
  <c r="BC30" i="26"/>
  <c r="BW75"/>
  <c r="CS54" i="41"/>
  <c r="AO48" i="37"/>
  <c r="M24" i="36"/>
  <c r="DF81" i="40"/>
  <c r="AQ92"/>
  <c r="AB50" i="37"/>
  <c r="CX29" i="36"/>
  <c r="CI62" i="25"/>
  <c r="AT21"/>
  <c r="BO98" i="37"/>
  <c r="M27"/>
  <c r="AZ12" i="41"/>
  <c r="CM58"/>
  <c r="AA92" i="1"/>
  <c r="CD61" i="39"/>
  <c r="K26" i="25"/>
  <c r="U18" i="1"/>
  <c r="CO21"/>
  <c r="CF34" i="26"/>
  <c r="O34" i="38"/>
  <c r="CN45" i="36"/>
  <c r="X13"/>
  <c r="CD30" i="1"/>
  <c r="CH66" i="41"/>
  <c r="AS12" i="1"/>
  <c r="AM37"/>
  <c r="BO27" i="39"/>
  <c r="AM30" i="26"/>
  <c r="CY91"/>
  <c r="DD54" i="39"/>
  <c r="BO102" i="38"/>
  <c r="DF59" i="40"/>
  <c r="BH58" i="41"/>
  <c r="AN79" i="1"/>
  <c r="BA81" i="41"/>
  <c r="CV92" i="1"/>
  <c r="AW45" i="36"/>
  <c r="N96" i="40"/>
  <c r="CD71" i="1"/>
  <c r="U61" i="39"/>
  <c r="AE12" i="37"/>
  <c r="L30" i="26"/>
  <c r="CO9"/>
  <c r="AI37" i="38"/>
  <c r="BD59" i="37"/>
  <c r="I48" i="46"/>
  <c r="AM91" i="26"/>
  <c r="DC103" i="25"/>
  <c r="AI13"/>
  <c r="M66" i="26"/>
  <c r="BA66" i="25"/>
  <c r="CE89"/>
  <c r="CK50" i="41"/>
  <c r="BT24" i="37"/>
  <c r="BU34"/>
  <c r="J50" i="38"/>
  <c r="AC89" i="39"/>
  <c r="Y34" i="26"/>
  <c r="AF9" i="39"/>
  <c r="BB37" i="37"/>
  <c r="BP96" i="26"/>
  <c r="BP98" i="36"/>
  <c r="CL25"/>
  <c r="BZ66" i="37"/>
  <c r="CP18" i="38"/>
  <c r="CE57" i="37"/>
  <c r="BA92" i="36"/>
  <c r="CQ29" i="40"/>
  <c r="CM26" i="36"/>
  <c r="BI17" i="41"/>
  <c r="AT57" i="37"/>
  <c r="Y45" i="40"/>
  <c r="CM92" i="37"/>
  <c r="CT92" i="38"/>
  <c r="AN67" i="37"/>
  <c r="CO102" i="41"/>
  <c r="CX50" i="38"/>
  <c r="AR102" i="39"/>
  <c r="AU13"/>
  <c r="AN26" i="1"/>
  <c r="CW17" i="41"/>
  <c r="AR21" i="36"/>
  <c r="CK30" i="39"/>
  <c r="AS26" i="38"/>
  <c r="BO37" i="1"/>
  <c r="AQ75" i="37"/>
  <c r="AP67" i="1"/>
  <c r="CL65" i="41"/>
  <c r="CL12"/>
  <c r="CA34" i="38"/>
  <c r="BE17" i="26"/>
  <c r="AU13" i="37"/>
  <c r="DD29" i="25"/>
  <c r="CU102" i="26"/>
  <c r="CC13"/>
  <c r="AZ30" i="37"/>
  <c r="AN91" i="26"/>
  <c r="L45" i="37"/>
  <c r="CA29" i="39"/>
  <c r="CO103" i="25"/>
  <c r="CL61" i="41"/>
  <c r="H26" i="1"/>
  <c r="CN67" i="41"/>
  <c r="CT10" i="26"/>
  <c r="CZ81" i="39"/>
  <c r="T13" i="25"/>
  <c r="O50" i="40"/>
  <c r="S71" i="26"/>
  <c r="AQ81" i="38"/>
  <c r="T37" i="37"/>
  <c r="AA75"/>
  <c r="BQ57" i="25"/>
  <c r="CF21" i="41"/>
  <c r="DE58" i="37"/>
  <c r="AZ49" i="25"/>
  <c r="AJ49" i="40"/>
  <c r="CO17" i="36"/>
  <c r="L10" i="40"/>
  <c r="L27" i="1"/>
  <c r="CQ102" i="40"/>
  <c r="AZ118" i="47"/>
  <c r="CG34" i="25"/>
  <c r="BU13" i="40"/>
  <c r="CY17" i="37"/>
  <c r="DB10" i="1"/>
  <c r="DE66" i="26"/>
  <c r="BY29" i="36"/>
  <c r="CM103" i="41"/>
  <c r="CP65" i="38"/>
  <c r="AC65" i="26"/>
  <c r="T102"/>
  <c r="CD49" i="40"/>
  <c r="L59" i="41"/>
  <c r="CT61" i="25"/>
  <c r="CU92"/>
  <c r="AW10" i="37"/>
  <c r="BP98" i="41"/>
  <c r="CU67" i="36"/>
  <c r="Y12"/>
  <c r="CX17" i="26"/>
  <c r="CV67" i="25"/>
  <c r="DD103" i="1"/>
  <c r="AA17" i="38"/>
  <c r="CS49" i="39"/>
  <c r="G17"/>
  <c r="BV29"/>
  <c r="AZ49" i="41"/>
  <c r="CU98" i="39"/>
  <c r="J53" i="26"/>
  <c r="AD9"/>
  <c r="H64" i="64"/>
  <c r="AU48" i="37"/>
  <c r="CV65" i="36"/>
  <c r="CM60" i="1"/>
  <c r="AV96"/>
  <c r="CZ98" i="38"/>
  <c r="M75" i="40"/>
  <c r="BH13" i="39"/>
  <c r="AG37" i="37"/>
  <c r="K102" i="25"/>
  <c r="AD60" i="37"/>
  <c r="CY18" i="40"/>
  <c r="AM66" i="26"/>
  <c r="CW61" i="39"/>
  <c r="AC62" i="37"/>
  <c r="X92" i="1"/>
  <c r="BU98" i="25"/>
  <c r="BI25" i="36"/>
  <c r="G48"/>
  <c r="DF24"/>
  <c r="AQ21" i="40"/>
  <c r="AW26" i="37"/>
  <c r="F33" i="60"/>
  <c r="N26" i="36"/>
  <c r="M8" i="60"/>
  <c r="AM54" i="37"/>
  <c r="K20" i="50"/>
  <c r="AM54" i="26"/>
  <c r="T25" i="41"/>
  <c r="N53" i="1"/>
  <c r="BX12" i="25"/>
  <c r="BX37" i="26"/>
  <c r="BY65" i="41"/>
  <c r="CO48" i="39"/>
  <c r="BZ49" i="41"/>
  <c r="BB17" i="26"/>
  <c r="CD48" i="36"/>
  <c r="BZ59" i="40"/>
  <c r="BW98" i="37"/>
  <c r="CG53"/>
  <c r="CD17" i="40"/>
  <c r="CW66" i="39"/>
  <c r="CC96" i="36"/>
  <c r="CG13" i="41"/>
  <c r="BY27" i="37"/>
  <c r="CI92" i="36"/>
  <c r="BZ54" i="26"/>
  <c r="BW30" i="39"/>
  <c r="CH98" i="36"/>
  <c r="CM102" i="40"/>
  <c r="Y18" i="39"/>
  <c r="AT49" i="26"/>
  <c r="AT92" i="39"/>
  <c r="DD61" i="37"/>
  <c r="CA98" i="36"/>
  <c r="CE48" i="37"/>
  <c r="CT53"/>
  <c r="DD25" i="26"/>
  <c r="CP34" i="1"/>
  <c r="BA13" i="38"/>
  <c r="AJ9" i="40"/>
  <c r="Y59" i="41"/>
  <c r="CB92" i="37"/>
  <c r="AW29" i="39"/>
  <c r="BA10" i="40"/>
  <c r="BH59" i="25"/>
  <c r="CH89" i="37"/>
  <c r="AB92"/>
  <c r="CI59" i="39"/>
  <c r="AB30"/>
  <c r="BQ27" i="1"/>
  <c r="X53" i="36"/>
  <c r="G13" i="1"/>
  <c r="AO24" i="39"/>
  <c r="CM45" i="1"/>
  <c r="AZ89"/>
  <c r="AU66" i="36"/>
  <c r="DD13" i="26"/>
  <c r="BZ102"/>
  <c r="AS60" i="40"/>
  <c r="K75" i="25"/>
  <c r="J89" i="37"/>
  <c r="AT10" i="40"/>
  <c r="AH66" i="1"/>
  <c r="CQ59" i="38"/>
  <c r="BI49" i="41"/>
  <c r="CY103" i="26"/>
  <c r="DE48" i="36"/>
  <c r="BO62" i="25"/>
  <c r="CN67" i="40"/>
  <c r="AQ26" i="39"/>
  <c r="DF98" i="36"/>
  <c r="AT21" i="41"/>
  <c r="CY61" i="39"/>
  <c r="BE118" i="47"/>
  <c r="CX37" i="36"/>
  <c r="AO92" i="25"/>
  <c r="AM92" i="37"/>
  <c r="BZ54" i="36"/>
  <c r="CJ67" i="25"/>
  <c r="CC13" i="39"/>
  <c r="Z29" i="37"/>
  <c r="CL92" i="39"/>
  <c r="DC75" i="38"/>
  <c r="CT62" i="39"/>
  <c r="BA12" i="26"/>
  <c r="DB29" i="37"/>
  <c r="H50"/>
  <c r="CE59" i="1"/>
  <c r="I62" i="40"/>
  <c r="CT27" i="38"/>
  <c r="CD34"/>
  <c r="AX98"/>
  <c r="AR65" i="41"/>
  <c r="BZ75" i="37"/>
  <c r="AC89" i="25"/>
  <c r="AT13" i="39"/>
  <c r="P18" i="26"/>
  <c r="AJ81" i="41"/>
  <c r="N45" i="38"/>
  <c r="DF53" i="41"/>
  <c r="CZ26" i="37"/>
  <c r="AU21" i="36"/>
  <c r="BC96" i="37"/>
  <c r="CO92" i="39"/>
  <c r="BC34" i="36"/>
  <c r="X65" i="1"/>
  <c r="DA45" i="39"/>
  <c r="BZ60" i="26"/>
  <c r="CC49" i="39"/>
  <c r="CV25" i="38"/>
  <c r="BX67" i="41"/>
  <c r="DF58"/>
  <c r="DD10" i="40"/>
  <c r="DD65" i="41"/>
  <c r="AT18" i="1"/>
  <c r="CK54" i="25"/>
  <c r="CZ103"/>
  <c r="CE30" i="26"/>
  <c r="G17" i="37"/>
  <c r="BD53" i="38"/>
  <c r="CC29" i="40"/>
  <c r="AI24" i="25"/>
  <c r="Y49"/>
  <c r="BR9" i="40"/>
  <c r="BO103" i="25"/>
  <c r="CJ21" i="36"/>
  <c r="CC27" i="37"/>
  <c r="CK9" i="25"/>
  <c r="AO92" i="40"/>
  <c r="CA37" i="26"/>
  <c r="AG30" i="41"/>
  <c r="BP49" i="26"/>
  <c r="DA53" i="1"/>
  <c r="CJ66" i="37"/>
  <c r="I17" i="26"/>
  <c r="BW10" i="38"/>
  <c r="BT17" i="36"/>
  <c r="BR12"/>
  <c r="CL60" i="38"/>
  <c r="BV61" i="25"/>
  <c r="BA49" i="39"/>
  <c r="Z49" i="1"/>
  <c r="CN21" i="38"/>
  <c r="AU79" i="40"/>
  <c r="L96" i="36"/>
  <c r="AG13" i="41"/>
  <c r="DC57" i="38"/>
  <c r="AJ25" i="25"/>
  <c r="CQ37" i="1"/>
  <c r="BD18" i="36"/>
  <c r="O34"/>
  <c r="Z71" i="38"/>
  <c r="AC18"/>
  <c r="CY45" i="41"/>
  <c r="AM9" i="1"/>
  <c r="AH62" i="37"/>
  <c r="AJ17" i="25"/>
  <c r="BC60"/>
  <c r="AF81" i="26"/>
  <c r="CN37" i="40"/>
  <c r="CI48" i="25"/>
  <c r="AX62" i="37"/>
  <c r="I30" i="40"/>
  <c r="AJ9" i="25"/>
  <c r="BR53" i="36"/>
  <c r="BU92" i="1"/>
  <c r="CJ66" i="40"/>
  <c r="CK102" i="37"/>
  <c r="AT102" i="36"/>
  <c r="AP10" i="26"/>
  <c r="BA92" i="25"/>
  <c r="J62" i="37"/>
  <c r="CR13"/>
  <c r="CR91" i="1"/>
  <c r="AT24" i="37"/>
  <c r="CW62" i="39"/>
  <c r="P61" i="40"/>
  <c r="K89" i="37"/>
  <c r="BH30" i="39"/>
  <c r="CK91" i="37"/>
  <c r="AQ71" i="41"/>
  <c r="BA29" i="38"/>
  <c r="O65" i="36"/>
  <c r="AE18"/>
  <c r="H24" i="41"/>
  <c r="BU71" i="38"/>
  <c r="AI92" i="36"/>
  <c r="AV18" i="1"/>
  <c r="P91" i="25"/>
  <c r="AJ92" i="40"/>
  <c r="CR27" i="1"/>
  <c r="AT57" i="41"/>
  <c r="AV58" i="36"/>
  <c r="AO92" i="39"/>
  <c r="K13" i="38"/>
  <c r="CL57" i="40"/>
  <c r="AM27"/>
  <c r="CG79" i="39"/>
  <c r="AA92" i="36"/>
  <c r="CF24" i="26"/>
  <c r="AH61"/>
  <c r="BP10" i="40"/>
  <c r="AG24" i="41"/>
  <c r="L75" i="25"/>
  <c r="CQ91" i="1"/>
  <c r="AG62" i="39"/>
  <c r="AX24" i="1"/>
  <c r="BP49" i="38"/>
  <c r="BT66" i="36"/>
  <c r="BX12" i="40"/>
  <c r="CC59" i="39"/>
  <c r="BX81" i="26"/>
  <c r="CA50" i="39"/>
  <c r="CL24" i="36"/>
  <c r="CD24" i="37"/>
  <c r="BX53" i="39"/>
  <c r="K27" i="40"/>
  <c r="CE49" i="26"/>
  <c r="CP58" i="40"/>
  <c r="AJ60" i="36"/>
  <c r="CW57" i="38"/>
  <c r="CU13" i="37"/>
  <c r="CK45" i="25"/>
  <c r="K12" i="41"/>
  <c r="CH103" i="39"/>
  <c r="BO91" i="36"/>
  <c r="CU48" i="26"/>
  <c r="CO92" i="25"/>
  <c r="CX71" i="41"/>
  <c r="I65" i="38"/>
  <c r="AJ30" i="39"/>
  <c r="AU10" i="26"/>
  <c r="AT25"/>
  <c r="BE10" i="36"/>
  <c r="BW60" i="26"/>
  <c r="CG48" i="37"/>
  <c r="AB29" i="1"/>
  <c r="DB91" i="26"/>
  <c r="AB60" i="36"/>
  <c r="CX67" i="40"/>
  <c r="BQ98" i="37"/>
  <c r="DF61" i="36"/>
  <c r="BY71" i="26"/>
  <c r="BZ49" i="40"/>
  <c r="BZ10"/>
  <c r="AV67" i="26"/>
  <c r="CE25" i="36"/>
  <c r="DE103" i="39"/>
  <c r="CY75" i="37"/>
  <c r="BY96" i="38"/>
  <c r="DC26" i="37"/>
  <c r="AP18"/>
  <c r="CG21" i="40"/>
  <c r="BR34" i="37"/>
  <c r="BP34" i="38"/>
  <c r="CT9" i="36"/>
  <c r="AR17" i="39"/>
  <c r="BR102" i="40"/>
  <c r="V30" i="39"/>
  <c r="BR89" i="1"/>
  <c r="CZ9" i="36"/>
  <c r="S98" i="26"/>
  <c r="CZ18" i="37"/>
  <c r="AG57" i="40"/>
  <c r="O81" i="38"/>
  <c r="J29" i="1"/>
  <c r="BB27" i="38"/>
  <c r="CG103" i="40"/>
  <c r="CM59" i="37"/>
  <c r="BS61" i="38"/>
  <c r="AU17" i="40"/>
  <c r="CW54" i="25"/>
  <c r="J10" i="36"/>
  <c r="AE92" i="40"/>
  <c r="AO61" i="1"/>
  <c r="W26" i="38"/>
  <c r="BS60" i="25"/>
  <c r="AZ54" i="39"/>
  <c r="BA25" i="25"/>
  <c r="BD65" i="38"/>
  <c r="DE75"/>
  <c r="AN48" i="40"/>
  <c r="BP26" i="25"/>
  <c r="W58" i="40"/>
  <c r="AO45" i="25"/>
  <c r="AO96" i="40"/>
  <c r="BI98" i="37"/>
  <c r="AU12" i="38"/>
  <c r="V37" i="26"/>
  <c r="CM59" i="36"/>
  <c r="Y50" i="41"/>
  <c r="BD60" i="38"/>
  <c r="Z53" i="40"/>
  <c r="AN50" i="37"/>
  <c r="M102" i="39"/>
  <c r="AH57" i="1"/>
  <c r="CB67" i="40"/>
  <c r="Z12" i="26"/>
  <c r="BV66" i="38"/>
  <c r="BT54" i="39"/>
  <c r="AQ96" i="36"/>
  <c r="AC26" i="40"/>
  <c r="DB50"/>
  <c r="AY67" i="38"/>
  <c r="G58" i="41"/>
  <c r="AT57" i="25"/>
  <c r="BZ79" i="26"/>
  <c r="CQ89" i="41"/>
  <c r="CM58" i="39"/>
  <c r="CB98" i="40"/>
  <c r="CN89" i="39"/>
  <c r="CA34" i="40"/>
  <c r="DF26" i="37"/>
  <c r="AD24" i="26"/>
  <c r="AW59" i="39"/>
  <c r="P49" i="36"/>
  <c r="H21" i="41"/>
  <c r="BA54" i="25"/>
  <c r="AW9" i="37"/>
  <c r="CD18" i="1"/>
  <c r="P25" i="26"/>
  <c r="AQ96" i="38"/>
  <c r="BI34" i="25"/>
  <c r="BD61" i="26"/>
  <c r="AJ98"/>
  <c r="BE65" i="1"/>
  <c r="AT30"/>
  <c r="AA21" i="36"/>
  <c r="BQ60" i="38"/>
  <c r="BT61" i="26"/>
  <c r="CF91" i="1"/>
  <c r="AB96" i="38"/>
  <c r="DF60" i="1"/>
  <c r="AG34" i="26"/>
  <c r="DA37" i="37"/>
  <c r="AB18" i="39"/>
  <c r="AH98" i="38"/>
  <c r="CX67" i="25"/>
  <c r="CE103" i="1"/>
  <c r="CX65" i="39"/>
  <c r="AJ29"/>
  <c r="W30" i="38"/>
  <c r="BR58" i="39"/>
  <c r="AA62" i="26"/>
  <c r="T62" i="25"/>
  <c r="AN49"/>
  <c r="BS21" i="41"/>
  <c r="AF61" i="40"/>
  <c r="AU25" i="37"/>
  <c r="J9" i="41"/>
  <c r="BU26" i="39"/>
  <c r="DB10" i="40"/>
  <c r="AD49" i="39"/>
  <c r="V10" i="41"/>
  <c r="AC92" i="36"/>
  <c r="CY60" i="25"/>
  <c r="DB58" i="40"/>
  <c r="AH45" i="25"/>
  <c r="CN65" i="37"/>
  <c r="CI102" i="41"/>
  <c r="CP89" i="1"/>
  <c r="BA10" i="36"/>
  <c r="CY89" i="39"/>
  <c r="N25" i="41"/>
  <c r="CG25" i="39"/>
  <c r="DC67" i="25"/>
  <c r="CB25" i="38"/>
  <c r="BS49" i="40"/>
  <c r="CC17"/>
  <c r="CY81" i="37"/>
  <c r="CY62" i="38"/>
  <c r="CO75" i="39"/>
  <c r="AG81" i="38"/>
  <c r="AY61" i="39"/>
  <c r="X10" i="1"/>
  <c r="BW48" i="36"/>
  <c r="BA67" i="40"/>
  <c r="CT96" i="26"/>
  <c r="AR13" i="36"/>
  <c r="AN98" i="39"/>
  <c r="BB17" i="36"/>
  <c r="DD13" i="1"/>
  <c r="AX66" i="25"/>
  <c r="AN59" i="39"/>
  <c r="BB45" i="41"/>
  <c r="AI53" i="1"/>
  <c r="BU26" i="25"/>
  <c r="U25" i="37"/>
  <c r="BS89" i="26"/>
  <c r="I53" i="40"/>
  <c r="AG89" i="26"/>
  <c r="CJ21" i="40"/>
  <c r="AS61" i="26"/>
  <c r="CH50" i="41"/>
  <c r="BB79" i="37"/>
  <c r="AC49"/>
  <c r="CX50" i="1"/>
  <c r="BU13" i="38"/>
  <c r="CR12" i="37"/>
  <c r="CT61" i="41"/>
  <c r="DB66" i="1"/>
  <c r="M13" i="25"/>
  <c r="V79" i="26"/>
  <c r="CB89" i="41"/>
  <c r="CE17" i="25"/>
  <c r="M60" i="36"/>
  <c r="CM75"/>
  <c r="AA91" i="25"/>
  <c r="DC30" i="37"/>
  <c r="M54" i="36"/>
  <c r="CT34" i="1"/>
  <c r="S67" i="37"/>
  <c r="I67" i="41"/>
  <c r="AO27" i="1"/>
  <c r="AY45" i="41"/>
  <c r="BY29" i="1"/>
  <c r="CY79" i="37"/>
  <c r="X37"/>
  <c r="BV21" i="1"/>
  <c r="BP60" i="41"/>
  <c r="BB34" i="36"/>
  <c r="CN27" i="26"/>
  <c r="BI26" i="37"/>
  <c r="AW91" i="26"/>
  <c r="K71" i="40"/>
  <c r="AA37" i="1"/>
  <c r="BE13" i="26"/>
  <c r="AQ9" i="1"/>
  <c r="CL89" i="25"/>
  <c r="AG62" i="36"/>
  <c r="BY71" i="25"/>
  <c r="CI12" i="40"/>
  <c r="CM9" i="25"/>
  <c r="P24" i="26"/>
  <c r="AU91" i="36"/>
  <c r="AG71" i="26"/>
  <c r="CV45" i="1"/>
  <c r="CZ10"/>
  <c r="AU79" i="36"/>
  <c r="DA58" i="37"/>
  <c r="AJ57" i="26"/>
  <c r="CW79" i="37"/>
  <c r="AH30" i="36"/>
  <c r="BP30" i="37"/>
  <c r="CV91" i="40"/>
  <c r="AH92" i="39"/>
  <c r="H48" i="41"/>
  <c r="J50" i="26"/>
  <c r="W57" i="1"/>
  <c r="M57" i="38"/>
  <c r="BH13" i="41"/>
  <c r="K62" i="36"/>
  <c r="M58" i="39"/>
  <c r="J62" i="41"/>
  <c r="BV81" i="38"/>
  <c r="W49" i="25"/>
  <c r="T48" i="39"/>
  <c r="CE10" i="1"/>
  <c r="CL24"/>
  <c r="AT89" i="41"/>
  <c r="P34" i="37"/>
  <c r="AW29" i="38"/>
  <c r="CJ75"/>
  <c r="BD79" i="26"/>
  <c r="DC96" i="37"/>
  <c r="AO24" i="40"/>
  <c r="BC53" i="25"/>
  <c r="CT60" i="39"/>
  <c r="CP103" i="38"/>
  <c r="CK10" i="25"/>
  <c r="CQ75" i="37"/>
  <c r="AR102" i="38"/>
  <c r="CG61" i="41"/>
  <c r="CC10"/>
  <c r="BT96" i="26"/>
  <c r="M13" i="37"/>
  <c r="CZ60" i="39"/>
  <c r="AU53" i="40"/>
  <c r="AV71" i="1"/>
  <c r="BH89" i="37"/>
  <c r="CY67" i="1"/>
  <c r="DB61" i="39"/>
  <c r="CM54"/>
  <c r="AU58" i="25"/>
  <c r="AX66" i="1"/>
  <c r="CA103" i="40"/>
  <c r="AD48" i="39"/>
  <c r="AU24" i="41"/>
  <c r="CS59" i="37"/>
  <c r="CO13" i="41"/>
  <c r="AG53" i="26"/>
  <c r="BT71"/>
  <c r="AE10" i="39"/>
  <c r="AO59" i="38"/>
  <c r="AI21" i="1"/>
  <c r="CD59" i="37"/>
  <c r="J29" i="25"/>
  <c r="N79" i="38"/>
  <c r="CC66" i="25"/>
  <c r="AM89" i="38"/>
  <c r="CO37" i="1"/>
  <c r="AW25" i="41"/>
  <c r="L26" i="36"/>
  <c r="AI48" i="38"/>
  <c r="AV37"/>
  <c r="U79" i="36"/>
  <c r="BU37" i="26"/>
  <c r="BI12" i="36"/>
  <c r="CN57" i="1"/>
  <c r="AS75" i="38"/>
  <c r="AY34" i="37"/>
  <c r="CU54" i="39"/>
  <c r="CP91" i="1"/>
  <c r="K7" i="59"/>
  <c r="S25" i="39"/>
  <c r="BG125" i="47"/>
  <c r="I16" i="64"/>
  <c r="AZ125" i="47"/>
  <c r="K25" i="25"/>
  <c r="O66" i="26"/>
  <c r="AZ37" i="40"/>
  <c r="AC9" i="26"/>
  <c r="CB45" i="41"/>
  <c r="CH34" i="40"/>
  <c r="BY18"/>
  <c r="CL79" i="41"/>
  <c r="CN12" i="40"/>
  <c r="CG65" i="36"/>
  <c r="CE98" i="39"/>
  <c r="CS10" i="40"/>
  <c r="CB67" i="25"/>
  <c r="CU67"/>
  <c r="CL30" i="36"/>
  <c r="CS102" i="41"/>
  <c r="CE75" i="25"/>
  <c r="AU53"/>
  <c r="CX61" i="36"/>
  <c r="Z45" i="25"/>
  <c r="CJ10" i="41"/>
  <c r="CP67" i="37"/>
  <c r="CV10"/>
  <c r="CI67" i="26"/>
  <c r="CP79"/>
  <c r="BA21" i="41"/>
  <c r="BR102" i="25"/>
  <c r="AD92" i="41"/>
  <c r="CC12" i="36"/>
  <c r="CF92" i="38"/>
  <c r="Z37" i="39"/>
  <c r="CM48" i="37"/>
  <c r="AN58" i="36"/>
  <c r="BZ54" i="41"/>
  <c r="J66" i="37"/>
  <c r="V37" i="36"/>
  <c r="CI102"/>
  <c r="CM61" i="39"/>
  <c r="BQ26" i="41"/>
  <c r="BS81" i="37"/>
  <c r="CG34" i="36"/>
  <c r="BH34" i="37"/>
  <c r="AB24" i="38"/>
  <c r="CR79" i="1"/>
  <c r="CO103" i="37"/>
  <c r="DE67" i="39"/>
  <c r="S49" i="40"/>
  <c r="BR58" i="41"/>
  <c r="AJ58"/>
  <c r="K81" i="37"/>
  <c r="BE71" i="1"/>
  <c r="CQ92" i="36"/>
  <c r="CW71"/>
  <c r="AZ75" i="38"/>
  <c r="W61" i="40"/>
  <c r="K13" i="39"/>
  <c r="BB27" i="25"/>
  <c r="CW10" i="38"/>
  <c r="BA65" i="37"/>
  <c r="AP26" i="26"/>
  <c r="I10" i="38"/>
  <c r="CQ30" i="36"/>
  <c r="DE13" i="25"/>
  <c r="N96" i="39"/>
  <c r="X26" i="25"/>
  <c r="AH10" i="39"/>
  <c r="AU59" i="1"/>
  <c r="BU60" i="26"/>
  <c r="BT13" i="36"/>
  <c r="CU79"/>
  <c r="BE37" i="37"/>
  <c r="CC61" i="26"/>
  <c r="CC9" i="37"/>
  <c r="CB17" i="38"/>
  <c r="BY66" i="36"/>
  <c r="CI54" i="25"/>
  <c r="X59" i="41"/>
  <c r="CU79" i="40"/>
  <c r="CA21" i="1"/>
  <c r="CK10" i="36"/>
  <c r="AQ30" i="39"/>
  <c r="CY59" i="25"/>
  <c r="CB96" i="40"/>
  <c r="DF67"/>
  <c r="CM24" i="25"/>
  <c r="CL65" i="1"/>
  <c r="J75" i="25"/>
  <c r="CL79" i="1"/>
  <c r="DD9" i="25"/>
  <c r="J48" i="26"/>
  <c r="CM25" i="39"/>
  <c r="AJ67" i="38"/>
  <c r="X81" i="41"/>
  <c r="AE48" i="37"/>
  <c r="CS49" i="41"/>
  <c r="CZ13" i="39"/>
  <c r="AB54" i="38"/>
  <c r="BT50"/>
  <c r="AU18"/>
  <c r="I12" i="26"/>
  <c r="AJ30"/>
  <c r="CR25" i="39"/>
  <c r="BB79" i="26"/>
  <c r="CO75" i="38"/>
  <c r="BW53" i="25"/>
  <c r="CL81" i="40"/>
  <c r="AP50"/>
  <c r="DA21" i="38"/>
  <c r="G66" i="40"/>
  <c r="BV102" i="39"/>
  <c r="AE91" i="25"/>
  <c r="AG37" i="1"/>
  <c r="AC65" i="40"/>
  <c r="AE75" i="36"/>
  <c r="AW57" i="1"/>
  <c r="AD98" i="26"/>
  <c r="AQ21" i="39"/>
  <c r="BR27" i="26"/>
  <c r="CH71"/>
  <c r="BS59" i="41"/>
  <c r="CD26" i="36"/>
  <c r="BY103" i="37"/>
  <c r="X50" i="25"/>
  <c r="AM13" i="37"/>
  <c r="AX26" i="38"/>
  <c r="AQ71"/>
  <c r="AE65" i="39"/>
  <c r="DC13" i="37"/>
  <c r="CG62" i="1"/>
  <c r="CP24" i="25"/>
  <c r="AN89" i="1"/>
  <c r="CG13" i="36"/>
  <c r="BS25" i="1"/>
  <c r="M61" i="39"/>
  <c r="AU65" i="37"/>
  <c r="AZ65" i="40"/>
  <c r="AG30" i="39"/>
  <c r="CY48" i="38"/>
  <c r="P26" i="40"/>
  <c r="DA102" i="25"/>
  <c r="BD61" i="37"/>
  <c r="W60" i="1"/>
  <c r="AN96" i="41"/>
  <c r="CO12" i="26"/>
  <c r="AZ58" i="36"/>
  <c r="AJ61" i="39"/>
  <c r="BA10"/>
  <c r="BH26"/>
  <c r="CX81" i="40"/>
  <c r="AF71" i="37"/>
  <c r="AP27" i="25"/>
  <c r="H61" i="1"/>
  <c r="CP53" i="41"/>
  <c r="CE34" i="25"/>
  <c r="AI92" i="37"/>
  <c r="X96"/>
  <c r="N53" i="36"/>
  <c r="CU59" i="39"/>
  <c r="CS13" i="40"/>
  <c r="H21" i="37"/>
  <c r="BW17" i="39"/>
  <c r="CV57" i="41"/>
  <c r="CL9" i="26"/>
  <c r="BW92" i="1"/>
  <c r="CH67" i="36"/>
  <c r="BT13" i="25"/>
  <c r="J26" i="36"/>
  <c r="CN30" i="38"/>
  <c r="AI26" i="41"/>
  <c r="BV62" i="39"/>
  <c r="BW58" i="37"/>
  <c r="U13" i="39"/>
  <c r="CP75" i="1"/>
  <c r="AQ98" i="41"/>
  <c r="AR34" i="38"/>
  <c r="AH58" i="39"/>
  <c r="CP13" i="26"/>
  <c r="P89" i="38"/>
  <c r="AW75" i="40"/>
  <c r="AU89"/>
  <c r="CR21" i="38"/>
  <c r="CS45" i="36"/>
  <c r="CO91" i="40"/>
  <c r="W89" i="25"/>
  <c r="AX71" i="1"/>
  <c r="DE21" i="39"/>
  <c r="AJ17" i="40"/>
  <c r="DA12" i="38"/>
  <c r="AV34" i="36"/>
  <c r="CK50" i="38"/>
  <c r="CY49" i="40"/>
  <c r="AX9"/>
  <c r="AJ13"/>
  <c r="CV91" i="1"/>
  <c r="AZ18"/>
  <c r="CY58" i="25"/>
  <c r="AO89" i="38"/>
  <c r="AP92" i="41"/>
  <c r="AX21" i="38"/>
  <c r="AS37"/>
  <c r="AE9" i="37"/>
  <c r="X75" i="39"/>
  <c r="AR59" i="36"/>
  <c r="CB98"/>
  <c r="CB25" i="39"/>
  <c r="AT96" i="25"/>
  <c r="AZ50" i="26"/>
  <c r="X12" i="25"/>
  <c r="CN50" i="38"/>
  <c r="BA29" i="26"/>
  <c r="CG10" i="39"/>
  <c r="CD48" i="25"/>
  <c r="CL53" i="26"/>
  <c r="CV57" i="40"/>
  <c r="BD25" i="25"/>
  <c r="CW24" i="37"/>
  <c r="CE21" i="41"/>
  <c r="L9" i="39"/>
  <c r="I79" i="26"/>
  <c r="BB57" i="40"/>
  <c r="CG30" i="26"/>
  <c r="CR81" i="1"/>
  <c r="CI65" i="38"/>
  <c r="BR18" i="41"/>
  <c r="BX29" i="1"/>
  <c r="AX17" i="36"/>
  <c r="BT92" i="39"/>
  <c r="BS29" i="37"/>
  <c r="O48"/>
  <c r="BR21" i="38"/>
  <c r="AU24" i="25"/>
  <c r="BS25" i="38"/>
  <c r="L92" i="37"/>
  <c r="AH66" i="40"/>
  <c r="AQ30" i="36"/>
  <c r="U61" i="25"/>
  <c r="CX79" i="41"/>
  <c r="CH21" i="37"/>
  <c r="CO102" i="40"/>
  <c r="CF10" i="36"/>
  <c r="CK12" i="38"/>
  <c r="CH53" i="26"/>
  <c r="CU27" i="25"/>
  <c r="L27" i="40"/>
  <c r="AX91" i="36"/>
  <c r="AS29" i="39"/>
  <c r="CS98" i="41"/>
  <c r="BB71" i="1"/>
  <c r="Y24" i="38"/>
  <c r="U62" i="40"/>
  <c r="DF10" i="1"/>
  <c r="DF9" i="40"/>
  <c r="BB67" i="37"/>
  <c r="AX102" i="1"/>
  <c r="AS50" i="36"/>
  <c r="BH34" i="1"/>
  <c r="BD61" i="38"/>
  <c r="L58" i="1"/>
  <c r="CX91" i="36"/>
  <c r="AI61" i="1"/>
  <c r="AO29" i="36"/>
  <c r="DA29" i="1"/>
  <c r="X26" i="40"/>
  <c r="AV81" i="1"/>
  <c r="BD34" i="26"/>
  <c r="BU12" i="41"/>
  <c r="BH10" i="1"/>
  <c r="AH48" i="41"/>
  <c r="N10" i="36"/>
  <c r="CT45" i="41"/>
  <c r="AU79" i="39"/>
  <c r="BH18" i="38"/>
  <c r="AI54" i="40"/>
  <c r="AM67" i="1"/>
  <c r="X10" i="26"/>
  <c r="H89" i="40"/>
  <c r="CW10" i="36"/>
  <c r="Y58" i="26"/>
  <c r="BI27" i="41"/>
  <c r="BQ29" i="37"/>
  <c r="AI37" i="1"/>
  <c r="N49" i="26"/>
  <c r="U71" i="1"/>
  <c r="BC67" i="26"/>
  <c r="CL92" i="38"/>
  <c r="I89" i="37"/>
  <c r="CB49" i="39"/>
  <c r="AX53" i="25"/>
  <c r="CH81" i="36"/>
  <c r="BD21" i="40"/>
  <c r="CG79" i="37"/>
  <c r="CT10" i="36"/>
  <c r="CE50" i="1"/>
  <c r="AP96" i="26"/>
  <c r="S10" i="25"/>
  <c r="BI10" i="40"/>
  <c r="BV50" i="25"/>
  <c r="AN24" i="38"/>
  <c r="AN62" i="25"/>
  <c r="BA18" i="40"/>
  <c r="BY71" i="41"/>
  <c r="BY60" i="40"/>
  <c r="CB61" i="25"/>
  <c r="CY60" i="38"/>
  <c r="BS71" i="37"/>
  <c r="CF96" i="40"/>
  <c r="CG59" i="1"/>
  <c r="AP30" i="41"/>
  <c r="CK29" i="40"/>
  <c r="AS75" i="39"/>
  <c r="BT66" i="37"/>
  <c r="AI60" i="39"/>
  <c r="AX61"/>
  <c r="CK57"/>
  <c r="CZ81" i="40"/>
  <c r="BU18" i="25"/>
  <c r="P9" i="37"/>
  <c r="AT89" i="39"/>
  <c r="P30" i="37"/>
  <c r="AW30" i="25"/>
  <c r="AE21" i="26"/>
  <c r="BP13" i="40"/>
  <c r="AE10" i="1"/>
  <c r="BA60" i="25"/>
  <c r="AS29" i="40"/>
  <c r="S65" i="36"/>
  <c r="AA66" i="1"/>
  <c r="DE25" i="38"/>
  <c r="CA48" i="1"/>
  <c r="CZ66" i="38"/>
  <c r="BP37" i="1"/>
  <c r="CK24" i="26"/>
  <c r="DD103"/>
  <c r="AN102" i="36"/>
  <c r="AI37" i="26"/>
  <c r="CZ75" i="41"/>
  <c r="AB62" i="1"/>
  <c r="CP29"/>
  <c r="CQ62"/>
  <c r="CV89"/>
  <c r="CE18"/>
  <c r="BC37" i="41"/>
  <c r="AW62" i="1"/>
  <c r="AJ89" i="41"/>
  <c r="AQ26" i="26"/>
  <c r="AO27" i="40"/>
  <c r="T50" i="41"/>
  <c r="AY61" i="25"/>
  <c r="BT58" i="26"/>
  <c r="BS50"/>
  <c r="CH48" i="1"/>
  <c r="P50"/>
  <c r="AX65" i="38"/>
  <c r="BY9" i="25"/>
  <c r="AU26"/>
  <c r="CB24" i="1"/>
  <c r="AV17"/>
  <c r="S29" i="38"/>
  <c r="BP62" i="25"/>
  <c r="W58" i="41"/>
  <c r="AD34" i="1"/>
  <c r="H45" i="39"/>
  <c r="AJ71" i="41"/>
  <c r="U29" i="38"/>
  <c r="BC96" i="36"/>
  <c r="U53" i="40"/>
  <c r="CN60" i="25"/>
  <c r="AR53"/>
  <c r="AM65" i="1"/>
  <c r="AY61" i="41"/>
  <c r="Y62" i="37"/>
  <c r="BI18" i="41"/>
  <c r="S48" i="26"/>
  <c r="BD92"/>
  <c r="AG13" i="40"/>
  <c r="F64" i="64"/>
  <c r="AF27" i="41"/>
  <c r="CZ13" i="25"/>
  <c r="AG30" i="37"/>
  <c r="G57" i="1"/>
  <c r="CB62" i="36"/>
  <c r="CW60" i="37"/>
  <c r="CF27"/>
  <c r="CI91" i="40"/>
  <c r="BS92" i="39"/>
  <c r="CA75" i="25"/>
  <c r="DF89" i="40"/>
  <c r="J65" i="41"/>
  <c r="BP58" i="40"/>
  <c r="W26" i="25"/>
  <c r="CX65" i="1"/>
  <c r="BO48" i="39"/>
  <c r="AN81" i="40"/>
  <c r="AN9" i="25"/>
  <c r="AN60" i="40"/>
  <c r="AY57" i="41"/>
  <c r="CP66" i="38"/>
  <c r="DD9" i="41"/>
  <c r="CB10" i="39"/>
  <c r="BE18" i="36"/>
  <c r="CP81" i="26"/>
  <c r="AG79" i="1"/>
  <c r="BR45" i="25"/>
  <c r="BE13" i="37"/>
  <c r="O18" i="41"/>
  <c r="AM53" i="36"/>
  <c r="AC102" i="40"/>
  <c r="M45" i="37"/>
  <c r="BW62" i="25"/>
  <c r="BA53" i="38"/>
  <c r="CK30" i="1"/>
  <c r="BH62" i="25"/>
  <c r="M37" i="38"/>
  <c r="CN75"/>
  <c r="CZ29" i="41"/>
  <c r="AT26" i="37"/>
  <c r="AJ91" i="26"/>
  <c r="H102" i="37"/>
  <c r="CQ96" i="40"/>
  <c r="CD30" i="26"/>
  <c r="BY12" i="37"/>
  <c r="BZ59" i="36"/>
  <c r="CI96" i="38"/>
  <c r="AG71" i="36"/>
  <c r="BZ102" i="39"/>
  <c r="X37"/>
  <c r="CM30" i="1"/>
  <c r="DE98" i="25"/>
  <c r="CM62" i="39"/>
  <c r="S71" i="38"/>
  <c r="M27" i="36"/>
  <c r="BE98" i="38"/>
  <c r="AH34"/>
  <c r="AG98" i="26"/>
  <c r="CG34" i="39"/>
  <c r="BV91" i="1"/>
  <c r="CH45" i="37"/>
  <c r="BZ103" i="41"/>
  <c r="BR48" i="1"/>
  <c r="AM49" i="37"/>
  <c r="BA54" i="36"/>
  <c r="CZ89" i="38"/>
  <c r="BX27"/>
  <c r="M30" i="25"/>
  <c r="X24" i="41"/>
  <c r="AO26" i="36"/>
  <c r="CE45" i="38"/>
  <c r="AU96" i="1"/>
  <c r="AB13" i="37"/>
  <c r="CC48" i="1"/>
  <c r="AF18" i="40"/>
  <c r="AH48" i="25"/>
  <c r="CY92" i="38"/>
  <c r="DF66" i="39"/>
  <c r="AV60" i="26"/>
  <c r="CT21" i="38"/>
  <c r="AX27" i="36"/>
  <c r="I27" i="26"/>
  <c r="BT27" i="38"/>
  <c r="CD98" i="36"/>
  <c r="DB17" i="37"/>
  <c r="CM27" i="25"/>
  <c r="DD12" i="40"/>
  <c r="J45" i="37"/>
  <c r="CV45" i="38"/>
  <c r="AP59" i="39"/>
  <c r="L53" i="37"/>
  <c r="AX49" i="26"/>
  <c r="CR62"/>
  <c r="Z53"/>
  <c r="AB79" i="41"/>
  <c r="G61" i="40"/>
  <c r="CB37" i="37"/>
  <c r="AB29" i="25"/>
  <c r="P12" i="38"/>
  <c r="DA71" i="25"/>
  <c r="CN34" i="26"/>
  <c r="DD102" i="36"/>
  <c r="AY98" i="38"/>
  <c r="AZ98" i="39"/>
  <c r="BT79" i="36"/>
  <c r="CY65" i="38"/>
  <c r="I71" i="39"/>
  <c r="BR13" i="37"/>
  <c r="DC12" i="36"/>
  <c r="CT79" i="38"/>
  <c r="J89" i="36"/>
  <c r="AP34"/>
  <c r="N92"/>
  <c r="AJ13" i="26"/>
  <c r="T21"/>
  <c r="AF91" i="41"/>
  <c r="DB89" i="25"/>
  <c r="AG17" i="1"/>
  <c r="AE34" i="25"/>
  <c r="CC57" i="37"/>
  <c r="CC45"/>
  <c r="CD48" i="26"/>
  <c r="CJ37" i="40"/>
  <c r="CZ45" i="25"/>
  <c r="CE60" i="26"/>
  <c r="CL45" i="25"/>
  <c r="CK17" i="36"/>
  <c r="CP79" i="25"/>
  <c r="T45" i="26"/>
  <c r="N89"/>
  <c r="L89" i="41"/>
  <c r="X89" i="40"/>
  <c r="BU75" i="36"/>
  <c r="G26" i="37"/>
  <c r="AR54" i="36"/>
  <c r="CN98" i="40"/>
  <c r="BA62" i="39"/>
  <c r="DE67" i="25"/>
  <c r="BC24" i="38"/>
  <c r="P34" i="40"/>
  <c r="AP61" i="25"/>
  <c r="AB37" i="26"/>
  <c r="BX60" i="37"/>
  <c r="CB67" i="39"/>
  <c r="BY92" i="36"/>
  <c r="CT10" i="39"/>
  <c r="CP25" i="37"/>
  <c r="P67" i="39"/>
  <c r="BS9" i="36"/>
  <c r="CW71" i="40"/>
  <c r="CD89" i="26"/>
  <c r="CX45" i="25"/>
  <c r="BA48"/>
  <c r="AI96"/>
  <c r="BY53" i="39"/>
  <c r="CQ13" i="36"/>
  <c r="CB27" i="40"/>
  <c r="CQ45" i="41"/>
  <c r="BW9" i="39"/>
  <c r="X91" i="26"/>
  <c r="CF37" i="36"/>
  <c r="CJ96" i="37"/>
  <c r="BA9" i="36"/>
  <c r="CA60" i="38"/>
  <c r="BQ62" i="39"/>
  <c r="Y60"/>
  <c r="AZ10" i="41"/>
  <c r="BA96" i="1"/>
  <c r="K92" i="41"/>
  <c r="G96" i="38"/>
  <c r="X60" i="26"/>
  <c r="K75" i="40"/>
  <c r="O102" i="1"/>
  <c r="AR54" i="38"/>
  <c r="BS79" i="26"/>
  <c r="AU45" i="41"/>
  <c r="BQ13" i="26"/>
  <c r="K91" i="40"/>
  <c r="AS17"/>
  <c r="L34" i="25"/>
  <c r="J27" i="39"/>
  <c r="CD58" i="26"/>
  <c r="AW49" i="39"/>
  <c r="BT34" i="36"/>
  <c r="AO18"/>
  <c r="AQ37" i="26"/>
  <c r="AP37" i="1"/>
  <c r="AR61" i="39"/>
  <c r="AZ129" i="47"/>
  <c r="X24" i="40"/>
  <c r="CC9" i="25"/>
  <c r="CL62" i="41"/>
  <c r="CE75" i="39"/>
  <c r="Z96" i="36"/>
  <c r="AY50" i="37"/>
  <c r="CZ98" i="36"/>
  <c r="AZ50" i="37"/>
  <c r="AV50" i="1"/>
  <c r="BB27" i="37"/>
  <c r="AY65" i="41"/>
  <c r="CS34"/>
  <c r="AF21" i="36"/>
  <c r="DC48" i="39"/>
  <c r="CI89" i="37"/>
  <c r="K33" i="60"/>
  <c r="DD66" i="26"/>
  <c r="CS75" i="38"/>
  <c r="DD34"/>
  <c r="CB102" i="37"/>
  <c r="CK98"/>
  <c r="BA30" i="39"/>
  <c r="P9" i="41"/>
  <c r="BH48" i="38"/>
  <c r="AB67" i="26"/>
  <c r="BO57" i="25"/>
  <c r="BP66" i="37"/>
  <c r="AE13" i="40"/>
  <c r="AO65" i="36"/>
  <c r="AN10" i="25"/>
  <c r="BW29" i="38"/>
  <c r="CN58" i="41"/>
  <c r="BP98" i="37"/>
  <c r="Y37" i="41"/>
  <c r="Z17" i="37"/>
  <c r="CE58" i="40"/>
  <c r="U24" i="38"/>
  <c r="CJ53" i="40"/>
  <c r="CX26" i="41"/>
  <c r="CO61" i="1"/>
  <c r="Z26" i="25"/>
  <c r="AA62"/>
  <c r="I49"/>
  <c r="CV66" i="38"/>
  <c r="L102"/>
  <c r="AU65" i="39"/>
  <c r="AH75" i="36"/>
  <c r="AP48" i="39"/>
  <c r="CJ18" i="1"/>
  <c r="L91" i="36"/>
  <c r="CC92" i="1"/>
  <c r="BY62" i="26"/>
  <c r="CZ30" i="40"/>
  <c r="CA60" i="1"/>
  <c r="BP102" i="26"/>
  <c r="AN30" i="40"/>
  <c r="DD57" i="37"/>
  <c r="AT60" i="38"/>
  <c r="CR62" i="1"/>
  <c r="DA25" i="39"/>
  <c r="H62" i="25"/>
  <c r="AW59" i="40"/>
  <c r="CB50" i="36"/>
  <c r="DE24" i="38"/>
  <c r="AW34" i="25"/>
  <c r="BV45" i="39"/>
  <c r="CN102" i="1"/>
  <c r="G27" i="38"/>
  <c r="V60" i="26"/>
  <c r="CB27" i="41"/>
  <c r="O12" i="26"/>
  <c r="AE53" i="39"/>
  <c r="BU54" i="36"/>
  <c r="AF54" i="1"/>
  <c r="CS103" i="39"/>
  <c r="V34" i="1"/>
  <c r="V18" i="26"/>
  <c r="AV30" i="38"/>
  <c r="AZ17" i="41"/>
  <c r="AW67" i="37"/>
  <c r="BS60" i="40"/>
  <c r="AX89" i="37"/>
  <c r="CT10"/>
  <c r="BX103" i="26"/>
  <c r="CS13" i="36"/>
  <c r="M48" i="26"/>
  <c r="BS18"/>
  <c r="CV81" i="25"/>
  <c r="BI65" i="41"/>
  <c r="DE66" i="39"/>
  <c r="AB50"/>
  <c r="CO49" i="41"/>
  <c r="CL58" i="38"/>
  <c r="M91" i="36"/>
  <c r="CD53" i="37"/>
  <c r="BS18" i="41"/>
  <c r="CL67" i="26"/>
  <c r="BS62" i="1"/>
  <c r="AE81" i="40"/>
  <c r="DC30" i="39"/>
  <c r="CD54" i="37"/>
  <c r="CK96" i="40"/>
  <c r="DC65" i="26"/>
  <c r="CG61" i="40"/>
  <c r="P62" i="1"/>
  <c r="DC18" i="36"/>
  <c r="K27" i="38"/>
  <c r="Z17" i="41"/>
  <c r="AD49" i="36"/>
  <c r="I57" i="37"/>
  <c r="BX59" i="41"/>
  <c r="AQ75" i="40"/>
  <c r="CJ27" i="25"/>
  <c r="CM62" i="38"/>
  <c r="BS103"/>
  <c r="CZ48" i="40"/>
  <c r="BZ96" i="38"/>
  <c r="AY65" i="36"/>
  <c r="CS71" i="1"/>
  <c r="AY62" i="40"/>
  <c r="CL103" i="25"/>
  <c r="CH58" i="1"/>
  <c r="DE62" i="37"/>
  <c r="CU79" i="39"/>
  <c r="AF81" i="36"/>
  <c r="L50"/>
  <c r="P65" i="39"/>
  <c r="AE91"/>
  <c r="BW17" i="36"/>
  <c r="AZ92" i="38"/>
  <c r="BI67" i="41"/>
  <c r="BT18" i="36"/>
  <c r="AY27"/>
  <c r="CH34" i="26"/>
  <c r="AN58" i="39"/>
  <c r="AZ62" i="40"/>
  <c r="DA103"/>
  <c r="CH59" i="1"/>
  <c r="BI30" i="39"/>
  <c r="L26" i="1"/>
  <c r="S91" i="37"/>
  <c r="BP58" i="1"/>
  <c r="J62" i="40"/>
  <c r="X61" i="26"/>
  <c r="CW62" i="40"/>
  <c r="CH9" i="37"/>
  <c r="AB81" i="41"/>
  <c r="V45" i="36"/>
  <c r="BQ61" i="25"/>
  <c r="I61" i="37"/>
  <c r="CV54" i="1"/>
  <c r="AM75" i="36"/>
  <c r="CZ79" i="26"/>
  <c r="BZ96" i="40"/>
  <c r="BS96" i="41"/>
  <c r="CE10" i="37"/>
  <c r="Y91" i="39"/>
  <c r="AP26" i="38"/>
  <c r="AC54" i="41"/>
  <c r="BR71" i="1"/>
  <c r="BU18" i="41"/>
  <c r="CH30" i="26"/>
  <c r="AM75" i="25"/>
  <c r="Y61" i="39"/>
  <c r="X58" i="40"/>
  <c r="AB59" i="39"/>
  <c r="CK61" i="41"/>
  <c r="AG92"/>
  <c r="DE54" i="37"/>
  <c r="BV57" i="41"/>
  <c r="CT65" i="1"/>
  <c r="BW65" i="39"/>
  <c r="X9" i="37"/>
  <c r="CL58" i="40"/>
  <c r="BA71" i="37"/>
  <c r="CT21" i="39"/>
  <c r="AR45" i="1"/>
  <c r="Z26" i="26"/>
  <c r="T26"/>
  <c r="CE45" i="40"/>
  <c r="CF45" i="37"/>
  <c r="CS96" i="26"/>
  <c r="AQ60" i="38"/>
  <c r="AO57" i="41"/>
  <c r="Y29" i="26"/>
  <c r="AE48" i="25"/>
  <c r="Y91" i="37"/>
  <c r="AJ29" i="36"/>
  <c r="CQ53" i="39"/>
  <c r="CJ60" i="1"/>
  <c r="BA75" i="37"/>
  <c r="BR89" i="38"/>
  <c r="O59" i="41"/>
  <c r="AN66" i="36"/>
  <c r="CS98" i="37"/>
  <c r="CN17" i="38"/>
  <c r="CD29" i="26"/>
  <c r="CY57" i="25"/>
  <c r="CK81" i="39"/>
  <c r="BC75" i="37"/>
  <c r="CL54" i="36"/>
  <c r="BE37"/>
  <c r="BZ9" i="41"/>
  <c r="H49" i="39"/>
  <c r="AQ48" i="36"/>
  <c r="CX18" i="39"/>
  <c r="AG17" i="36"/>
  <c r="DA34" i="38"/>
  <c r="CB57" i="25"/>
  <c r="J75" i="1"/>
  <c r="CV60" i="38"/>
  <c r="AD65" i="26"/>
  <c r="AD60" i="40"/>
  <c r="S89" i="41"/>
  <c r="BT54" i="40"/>
  <c r="AM71" i="36"/>
  <c r="M21"/>
  <c r="AA37" i="26"/>
  <c r="I62" i="36"/>
  <c r="CO21" i="39"/>
  <c r="AV45" i="37"/>
  <c r="AW48" i="25"/>
  <c r="CK58" i="26"/>
  <c r="AO92" i="1"/>
  <c r="CT30"/>
  <c r="BB37" i="41"/>
  <c r="CH91"/>
  <c r="CZ54" i="25"/>
  <c r="I59" i="39"/>
  <c r="AX26" i="41"/>
  <c r="CO102" i="37"/>
  <c r="DB58"/>
  <c r="AX30"/>
  <c r="CI34" i="40"/>
  <c r="BS81" i="26"/>
  <c r="BY103" i="40"/>
  <c r="AU81" i="26"/>
  <c r="AM62" i="39"/>
  <c r="BC21"/>
  <c r="CI58"/>
  <c r="BE29" i="37"/>
  <c r="CC65" i="41"/>
  <c r="AU81" i="40"/>
  <c r="AZ18" i="39"/>
  <c r="M12" i="36"/>
  <c r="BD98" i="1"/>
  <c r="K8" i="60"/>
  <c r="G73" i="64"/>
  <c r="CC48" i="26"/>
  <c r="CB96" i="37"/>
  <c r="CA50"/>
  <c r="BY60" i="25"/>
  <c r="CE37" i="37"/>
  <c r="CV58" i="41"/>
  <c r="CW103" i="25"/>
  <c r="CS12" i="38"/>
  <c r="BR67" i="26"/>
  <c r="U75" i="25"/>
  <c r="BR98" i="40"/>
  <c r="CW18" i="37"/>
  <c r="BT24" i="1"/>
  <c r="AS75"/>
  <c r="AN50"/>
  <c r="AA81" i="38"/>
  <c r="AI50" i="37"/>
  <c r="BX53" i="38"/>
  <c r="BT12" i="25"/>
  <c r="CB67" i="41"/>
  <c r="BB91" i="25"/>
  <c r="K81" i="39"/>
  <c r="BU59" i="38"/>
  <c r="AH29" i="26"/>
  <c r="P58" i="1"/>
  <c r="BY12" i="40"/>
  <c r="O21" i="37"/>
  <c r="CE102" i="40"/>
  <c r="BT24" i="39"/>
  <c r="CV37" i="41"/>
  <c r="AC81" i="39"/>
  <c r="AH57" i="36"/>
  <c r="BW66" i="38"/>
  <c r="K29" i="40"/>
  <c r="AT10" i="37"/>
  <c r="DE60" i="26"/>
  <c r="CK48" i="25"/>
  <c r="CX98" i="41"/>
  <c r="BA91" i="1"/>
  <c r="CO59" i="37"/>
  <c r="AI96" i="41"/>
  <c r="BR91" i="36"/>
  <c r="DE59" i="1"/>
  <c r="BR96" i="39"/>
  <c r="AU45" i="26"/>
  <c r="BY45" i="39"/>
  <c r="CQ53" i="25"/>
  <c r="AB27" i="37"/>
  <c r="CZ92" i="40"/>
  <c r="DC29" i="26"/>
  <c r="V60" i="39"/>
  <c r="AN18" i="38"/>
  <c r="CU24" i="37"/>
  <c r="CJ61" i="39"/>
  <c r="CL92" i="40"/>
  <c r="AX79" i="25"/>
  <c r="W60" i="36"/>
  <c r="CR21" i="1"/>
  <c r="CA27" i="41"/>
  <c r="CQ61" i="38"/>
  <c r="AF21" i="26"/>
  <c r="DA18" i="38"/>
  <c r="CT81" i="40"/>
  <c r="BG129" i="47"/>
  <c r="CT91" i="26"/>
  <c r="CY30"/>
  <c r="CZ103" i="41"/>
  <c r="BQ96" i="39"/>
  <c r="CC10" i="37"/>
  <c r="CY50" i="41"/>
  <c r="CW81" i="39"/>
  <c r="J45" i="41"/>
  <c r="U26"/>
  <c r="AA59" i="40"/>
  <c r="AO71" i="38"/>
  <c r="BU54" i="37"/>
  <c r="AH79" i="1"/>
  <c r="BQ30" i="39"/>
  <c r="CI71" i="25"/>
  <c r="DF66" i="37"/>
  <c r="DC25" i="41"/>
  <c r="AA53" i="1"/>
  <c r="DF71" i="38"/>
  <c r="AB102" i="26"/>
  <c r="BD59" i="39"/>
  <c r="CQ12" i="40"/>
  <c r="X81"/>
  <c r="AR30" i="39"/>
  <c r="CE45" i="1"/>
  <c r="AF59" i="26"/>
  <c r="BZ53" i="38"/>
  <c r="AX12" i="26"/>
  <c r="BW59"/>
  <c r="BB60"/>
  <c r="CX89"/>
  <c r="CN12" i="36"/>
  <c r="M45" i="41"/>
  <c r="BB54" i="37"/>
  <c r="AO57" i="26"/>
  <c r="AU71"/>
  <c r="CM24" i="40"/>
  <c r="G37" i="36"/>
  <c r="M12" i="41"/>
  <c r="CS34" i="38"/>
  <c r="AN65" i="40"/>
  <c r="BH25" i="36"/>
  <c r="AJ54" i="39"/>
  <c r="S27"/>
  <c r="BZ54" i="1"/>
  <c r="DB9" i="37"/>
  <c r="DF103" i="26"/>
  <c r="X81"/>
  <c r="Y57" i="37"/>
  <c r="AU10" i="38"/>
  <c r="CF103" i="36"/>
  <c r="CV13" i="40"/>
  <c r="AX13" i="1"/>
  <c r="AW48" i="37"/>
  <c r="BU37" i="39"/>
  <c r="CK18" i="25"/>
  <c r="CA91" i="41"/>
  <c r="CE60" i="25"/>
  <c r="CI61"/>
  <c r="AA81" i="36"/>
  <c r="CM103" i="26"/>
  <c r="AS45" i="41"/>
  <c r="AS12" i="38"/>
  <c r="K12" i="25"/>
  <c r="CM66" i="38"/>
  <c r="AZ96" i="25"/>
  <c r="U66" i="26"/>
  <c r="BR25" i="38"/>
  <c r="CZ50" i="39"/>
  <c r="BH91" i="37"/>
  <c r="AC62" i="39"/>
  <c r="AM9" i="26"/>
  <c r="V59" i="37"/>
  <c r="DE49" i="25"/>
  <c r="BB29" i="26"/>
  <c r="CV57" i="1"/>
  <c r="BV54" i="38"/>
  <c r="CH18" i="26"/>
  <c r="AP67" i="40"/>
  <c r="CK17" i="1"/>
  <c r="AU59" i="40"/>
  <c r="AR75" i="25"/>
  <c r="AX13" i="36"/>
  <c r="CV60"/>
  <c r="BT58"/>
  <c r="K64" i="64"/>
  <c r="AM24" i="38"/>
  <c r="AH98" i="1"/>
  <c r="BT12" i="26"/>
  <c r="BB24" i="39"/>
  <c r="BU21" i="38"/>
  <c r="X13" i="26"/>
  <c r="AF91" i="40"/>
  <c r="CY54" i="37"/>
  <c r="V30"/>
  <c r="BI29" i="38"/>
  <c r="H67" i="26"/>
  <c r="Z60" i="25"/>
  <c r="CQ9" i="38"/>
  <c r="BC21" i="25"/>
  <c r="J91" i="1"/>
  <c r="CX91" i="38"/>
  <c r="AV30" i="36"/>
  <c r="S34"/>
  <c r="BX13" i="40"/>
  <c r="CD92"/>
  <c r="K53" i="37"/>
  <c r="X29" i="38"/>
  <c r="P89" i="41"/>
  <c r="DC60" i="36"/>
  <c r="AQ27" i="1"/>
  <c r="AE21" i="25"/>
  <c r="CK81" i="1"/>
  <c r="DC96" i="38"/>
  <c r="AJ66" i="40"/>
  <c r="BV27" i="36"/>
  <c r="Y48" i="39"/>
  <c r="CZ9" i="25"/>
  <c r="AS61" i="36"/>
  <c r="AN37" i="37"/>
  <c r="BQ60" i="36"/>
  <c r="AU75" i="1"/>
  <c r="DA30" i="38"/>
  <c r="K49" i="26"/>
  <c r="DE92" i="25"/>
  <c r="CY102" i="37"/>
  <c r="AN79" i="25"/>
  <c r="P54" i="59"/>
  <c r="P48"/>
  <c r="T65" i="41"/>
  <c r="BE61" i="38"/>
  <c r="AV30" i="26"/>
  <c r="DE18" i="25"/>
  <c r="CL50" i="39"/>
  <c r="CN66" i="40"/>
  <c r="CJ34" i="37"/>
  <c r="CN13" i="25"/>
  <c r="BX37" i="41"/>
  <c r="CK96"/>
  <c r="X34"/>
  <c r="BZ61" i="40"/>
  <c r="BS59" i="26"/>
  <c r="CC59" i="1"/>
  <c r="CY81" i="25"/>
  <c r="CR24" i="37"/>
  <c r="BY25" i="1"/>
  <c r="X12" i="41"/>
  <c r="BH10" i="36"/>
  <c r="AT24" i="25"/>
  <c r="BQ98" i="41"/>
  <c r="X34" i="40"/>
  <c r="BP65" i="38"/>
  <c r="AC30" i="39"/>
  <c r="CY60"/>
  <c r="AR98" i="26"/>
  <c r="AA58" i="25"/>
  <c r="DF53" i="37"/>
  <c r="CX61" i="39"/>
  <c r="G24" i="36"/>
  <c r="CZ26" i="26"/>
  <c r="BU96" i="36"/>
  <c r="V30" i="38"/>
  <c r="H75" i="64"/>
  <c r="DB57" i="41"/>
  <c r="AH34" i="40"/>
  <c r="BB89" i="26"/>
  <c r="CU58" i="36"/>
  <c r="CX18" i="38"/>
  <c r="AB58"/>
  <c r="DD45" i="26"/>
  <c r="DD66" i="41"/>
  <c r="DC34" i="26"/>
  <c r="AS17" i="38"/>
  <c r="CE21" i="39"/>
  <c r="L66" i="25"/>
  <c r="AD48" i="40"/>
  <c r="M30" i="41"/>
  <c r="Y96" i="39"/>
  <c r="AI92" i="40"/>
  <c r="CL61" i="37"/>
  <c r="CF67" i="26"/>
  <c r="CT98" i="41"/>
  <c r="N25" i="1"/>
  <c r="BB89" i="38"/>
  <c r="CE13" i="37"/>
  <c r="BD102"/>
  <c r="AA79" i="36"/>
  <c r="AA53" i="38"/>
  <c r="T61" i="40"/>
  <c r="CB18" i="38"/>
  <c r="BT26" i="25"/>
  <c r="X37" i="26"/>
  <c r="BB21" i="36"/>
  <c r="CC59" i="25"/>
  <c r="BE24"/>
  <c r="BV102" i="37"/>
  <c r="DA62" i="41"/>
  <c r="BC48" i="36"/>
  <c r="BO75" i="37"/>
  <c r="AE30" i="38"/>
  <c r="AC21" i="1"/>
  <c r="P75" i="25"/>
  <c r="CN26" i="1"/>
  <c r="BI71" i="25"/>
  <c r="CJ67" i="41"/>
  <c r="AJ29" i="25"/>
  <c r="AR17" i="36"/>
  <c r="BU24" i="40"/>
  <c r="BU103" i="38"/>
  <c r="BY27" i="41"/>
  <c r="CV12" i="38"/>
  <c r="AE21" i="39"/>
  <c r="AB10" i="26"/>
  <c r="BU75"/>
  <c r="BB17" i="38"/>
  <c r="BV24" i="1"/>
  <c r="O13"/>
  <c r="CX67" i="26"/>
  <c r="L53" i="41"/>
  <c r="J96" i="26"/>
  <c r="AE17" i="1"/>
  <c r="N48" i="41"/>
  <c r="AZ10" i="39"/>
  <c r="AY17" i="1"/>
  <c r="CJ18" i="25"/>
  <c r="L66" i="1"/>
  <c r="CV50" i="25"/>
  <c r="AX102"/>
  <c r="CZ89" i="1"/>
  <c r="AW45" i="41"/>
  <c r="BP27" i="40"/>
  <c r="CY12" i="39"/>
  <c r="CL59" i="36"/>
  <c r="BX96"/>
  <c r="AC54" i="25"/>
  <c r="CD54" i="39"/>
  <c r="BZ58" i="26"/>
  <c r="AT34" i="1"/>
  <c r="AU10" i="39"/>
  <c r="CW21" i="25"/>
  <c r="O37" i="1"/>
  <c r="AJ75"/>
  <c r="CT81" i="38"/>
  <c r="DD9"/>
  <c r="CK61" i="40"/>
  <c r="AA60"/>
  <c r="BZ65" i="38"/>
  <c r="CO67"/>
  <c r="AH81" i="39"/>
  <c r="BR9"/>
  <c r="BO61" i="37"/>
  <c r="O24" i="26"/>
  <c r="H57" i="1"/>
  <c r="AH81" i="41"/>
  <c r="BY37" i="39"/>
  <c r="CO71" i="38"/>
  <c r="CE34" i="40"/>
  <c r="CK26"/>
  <c r="DC58" i="26"/>
  <c r="BZ24" i="37"/>
  <c r="CV71" i="39"/>
  <c r="CQ49" i="26"/>
  <c r="CH9" i="39"/>
  <c r="CY45" i="38"/>
  <c r="DB102" i="25"/>
  <c r="AX91"/>
  <c r="BB71"/>
  <c r="N67" i="38"/>
  <c r="CD25" i="37"/>
  <c r="AZ10" i="38"/>
  <c r="K66" i="36"/>
  <c r="DA89" i="41"/>
  <c r="CQ37" i="40"/>
  <c r="CK21" i="26"/>
  <c r="P92" i="37"/>
  <c r="BX25" i="36"/>
  <c r="AP71" i="25"/>
  <c r="CU75" i="40"/>
  <c r="Z91" i="41"/>
  <c r="DF12" i="36"/>
  <c r="G96" i="39"/>
  <c r="CK79" i="1"/>
  <c r="BS30" i="40"/>
  <c r="AE60" i="36"/>
  <c r="AX48" i="41"/>
  <c r="DF18" i="26"/>
  <c r="CP65" i="25"/>
  <c r="DA13" i="41"/>
  <c r="O81"/>
  <c r="DA71" i="1"/>
  <c r="BW49" i="40"/>
  <c r="J81" i="26"/>
  <c r="H71"/>
  <c r="DE17"/>
  <c r="CI60" i="1"/>
  <c r="BU65" i="38"/>
  <c r="BP26" i="41"/>
  <c r="CD92" i="1"/>
  <c r="CA92" i="37"/>
  <c r="CR37"/>
  <c r="CH37" i="41"/>
  <c r="W65"/>
  <c r="K27" i="37"/>
  <c r="BD13" i="26"/>
  <c r="CY92" i="41"/>
  <c r="DA102" i="26"/>
  <c r="AS54" i="37"/>
  <c r="DD60" i="25"/>
  <c r="BP103" i="40"/>
  <c r="BS49" i="25"/>
  <c r="CE50" i="39"/>
  <c r="CN61" i="1"/>
  <c r="CR66" i="38"/>
  <c r="BX50" i="40"/>
  <c r="AT61" i="26"/>
  <c r="BX62" i="37"/>
  <c r="I66" i="41"/>
  <c r="CX65" i="25"/>
  <c r="AZ45"/>
  <c r="CA71" i="39"/>
  <c r="CB50" i="41"/>
  <c r="DC50" i="40"/>
  <c r="CV91" i="25"/>
  <c r="AS65" i="37"/>
  <c r="CO45" i="40"/>
  <c r="O12" i="41"/>
  <c r="AU54" i="36"/>
  <c r="CC12" i="41"/>
  <c r="CE17" i="1"/>
  <c r="BC102" i="25"/>
  <c r="DB58" i="38"/>
  <c r="CM54" i="25"/>
  <c r="Y12" i="39"/>
  <c r="AJ17" i="37"/>
  <c r="CE61" i="1"/>
  <c r="AQ24" i="39"/>
  <c r="AU10" i="37"/>
  <c r="AV79" i="38"/>
  <c r="X61" i="41"/>
  <c r="BC57" i="40"/>
  <c r="P92"/>
  <c r="CR13"/>
  <c r="AE57" i="37"/>
  <c r="AN17" i="25"/>
  <c r="M89" i="1"/>
  <c r="BC48" i="40"/>
  <c r="CZ57" i="39"/>
  <c r="AZ79" i="25"/>
  <c r="AA24"/>
  <c r="BV29" i="26"/>
  <c r="DA34" i="40"/>
  <c r="CH24" i="39"/>
  <c r="BO91" i="37"/>
  <c r="CP17" i="40"/>
  <c r="CF65" i="41"/>
  <c r="BE18" i="37"/>
  <c r="BV18" i="25"/>
  <c r="Z98" i="36"/>
  <c r="AR25" i="1"/>
  <c r="P49" i="40"/>
  <c r="J92" i="41"/>
  <c r="BT60" i="1"/>
  <c r="AY37"/>
  <c r="AB34" i="25"/>
  <c r="BD27" i="38"/>
  <c r="AP91"/>
  <c r="CS45" i="39"/>
  <c r="AO96" i="37"/>
  <c r="BY18" i="25"/>
  <c r="BZ12" i="26"/>
  <c r="AP12"/>
  <c r="CD49" i="25"/>
  <c r="CS48" i="26"/>
  <c r="BW50" i="41"/>
  <c r="P13" i="37"/>
  <c r="DF30" i="39"/>
  <c r="CK12" i="41"/>
  <c r="BE92"/>
  <c r="U27" i="39"/>
  <c r="AZ26"/>
  <c r="AX50" i="41"/>
  <c r="CW25" i="37"/>
  <c r="BH62" i="26"/>
  <c r="BC59"/>
  <c r="G13" i="41"/>
  <c r="U25" i="39"/>
  <c r="CI65" i="26"/>
  <c r="AO65"/>
  <c r="CT17" i="38"/>
  <c r="V54" i="41"/>
  <c r="BS81" i="1"/>
  <c r="BD24" i="37"/>
  <c r="AI98"/>
  <c r="G21" i="36"/>
  <c r="CX61" i="1"/>
  <c r="BV96" i="38"/>
  <c r="CE54" i="1"/>
  <c r="CX62" i="39"/>
  <c r="AZ59"/>
  <c r="BR30" i="37"/>
  <c r="CX96" i="38"/>
  <c r="L81" i="26"/>
  <c r="DA60" i="1"/>
  <c r="AQ26" i="41"/>
  <c r="BO58" i="38"/>
  <c r="BP34" i="36"/>
  <c r="I58" i="26"/>
  <c r="BW89" i="1"/>
  <c r="CG37" i="36"/>
  <c r="BY29" i="37"/>
  <c r="DF91" i="25"/>
  <c r="CT27" i="40"/>
  <c r="CL13" i="37"/>
  <c r="AV13" i="41"/>
  <c r="P81" i="37"/>
  <c r="CZ65" i="25"/>
  <c r="M58" i="41"/>
  <c r="CG92" i="25"/>
  <c r="AT49" i="41"/>
  <c r="P66" i="1"/>
  <c r="BD75" i="39"/>
  <c r="CS25" i="25"/>
  <c r="AY45" i="39"/>
  <c r="CK26" i="36"/>
  <c r="DD49"/>
  <c r="AW37" i="26"/>
  <c r="BS34" i="1"/>
  <c r="I81" i="25"/>
  <c r="CM54" i="1"/>
  <c r="U66" i="37"/>
  <c r="BD102" i="25"/>
  <c r="CP103" i="39"/>
  <c r="CD61" i="41"/>
  <c r="BZ96" i="25"/>
  <c r="BZ62" i="26"/>
  <c r="CN98" i="39"/>
  <c r="I24" i="37"/>
  <c r="CC29" i="25"/>
  <c r="CT29" i="1"/>
  <c r="CM91" i="37"/>
  <c r="BS13" i="39"/>
  <c r="J58" i="36"/>
  <c r="AF102" i="39"/>
  <c r="CA62" i="25"/>
  <c r="CY66" i="38"/>
  <c r="AJ81"/>
  <c r="Z12" i="39"/>
  <c r="CX25" i="38"/>
  <c r="AR49" i="36"/>
  <c r="CU92"/>
  <c r="AW91" i="39"/>
  <c r="P17" i="37"/>
  <c r="DB26" i="39"/>
  <c r="BP61" i="26"/>
  <c r="DE103"/>
  <c r="AV96" i="41"/>
  <c r="AD29" i="38"/>
  <c r="W57" i="40"/>
  <c r="AH48" i="26"/>
  <c r="M10" i="1"/>
  <c r="CI13"/>
  <c r="AJ66" i="39"/>
  <c r="CY60" i="1"/>
  <c r="AE54" i="38"/>
  <c r="N25" i="36"/>
  <c r="CS10" i="37"/>
  <c r="CR62" i="41"/>
  <c r="H54" i="37"/>
  <c r="AE60" i="40"/>
  <c r="BH9" i="25"/>
  <c r="AH61" i="36"/>
  <c r="CK50" i="26"/>
  <c r="CQ92" i="40"/>
  <c r="BW62" i="39"/>
  <c r="CJ48" i="38"/>
  <c r="DF50" i="37"/>
  <c r="CR27" i="26"/>
  <c r="BC37" i="37"/>
  <c r="CQ89" i="1"/>
  <c r="BS29" i="41"/>
  <c r="AW62" i="36"/>
  <c r="AZ53" i="40"/>
  <c r="BW81" i="1"/>
  <c r="CW58"/>
  <c r="CW50" i="26"/>
  <c r="BV26" i="36"/>
  <c r="P71" i="40"/>
  <c r="AH102" i="36"/>
  <c r="CT26" i="37"/>
  <c r="AO91" i="25"/>
  <c r="AE49" i="38"/>
  <c r="AV48" i="40"/>
  <c r="O81"/>
  <c r="CX91"/>
  <c r="Z34"/>
  <c r="O66" i="1"/>
  <c r="CX25" i="40"/>
  <c r="BU27"/>
  <c r="G59" i="37"/>
  <c r="AQ58" i="41"/>
  <c r="CU53" i="25"/>
  <c r="G98" i="40"/>
  <c r="CG75" i="41"/>
  <c r="CQ103" i="37"/>
  <c r="CX96" i="26"/>
  <c r="BD62" i="38"/>
  <c r="AU59" i="36"/>
  <c r="BX45" i="26"/>
  <c r="H29" i="1"/>
  <c r="AA58" i="40"/>
  <c r="AD26" i="41"/>
  <c r="K79" i="37"/>
  <c r="BI98" i="1"/>
  <c r="L54"/>
  <c r="CO26" i="41"/>
  <c r="AD89" i="39"/>
  <c r="BV30" i="37"/>
  <c r="M10" i="60"/>
  <c r="N26" i="40"/>
  <c r="Z54" i="26"/>
  <c r="X54"/>
  <c r="H12" i="59"/>
  <c r="M12" i="64"/>
  <c r="AO30" i="36"/>
  <c r="DA21" i="1"/>
  <c r="CC18" i="38"/>
  <c r="CA66" i="25"/>
  <c r="BY92" i="37"/>
  <c r="DC103" i="26"/>
  <c r="CG96" i="38"/>
  <c r="CT54" i="41"/>
  <c r="CJ45" i="37"/>
  <c r="CN81" i="26"/>
  <c r="BZ92" i="25"/>
  <c r="AV98" i="26"/>
  <c r="CE91" i="25"/>
  <c r="CT102" i="1"/>
  <c r="BZ96" i="26"/>
  <c r="CJ21"/>
  <c r="CN71" i="39"/>
  <c r="AX10" i="37"/>
  <c r="CM13" i="38"/>
  <c r="CD30" i="37"/>
  <c r="DD65"/>
  <c r="BB49" i="40"/>
  <c r="P48" i="1"/>
  <c r="AZ30" i="39"/>
  <c r="BO96" i="26"/>
  <c r="AU24" i="37"/>
  <c r="CA75" i="40"/>
  <c r="CM37" i="38"/>
  <c r="AF45" i="40"/>
  <c r="M79" i="36"/>
  <c r="BS24" i="25"/>
  <c r="BE53" i="1"/>
  <c r="BR58" i="37"/>
  <c r="H65" i="25"/>
  <c r="CK9" i="38"/>
  <c r="CF89" i="1"/>
  <c r="AR79" i="36"/>
  <c r="AM26" i="37"/>
  <c r="P53" i="38"/>
  <c r="BS61" i="26"/>
  <c r="BC59" i="40"/>
  <c r="CW92" i="39"/>
  <c r="AU50" i="26"/>
  <c r="CA61" i="1"/>
  <c r="G48" i="38"/>
  <c r="L92" i="36"/>
  <c r="BQ102" i="26"/>
  <c r="J57" i="38"/>
  <c r="CZ37" i="25"/>
  <c r="N71" i="37"/>
  <c r="CP45"/>
  <c r="H48" i="26"/>
  <c r="BA58"/>
  <c r="CB81" i="37"/>
  <c r="CL60" i="1"/>
  <c r="J50" i="36"/>
  <c r="T96" i="37"/>
  <c r="CU27" i="38"/>
  <c r="AR89"/>
  <c r="DC91" i="39"/>
  <c r="M21" i="26"/>
  <c r="CV12"/>
  <c r="O53" i="41"/>
  <c r="AF98" i="25"/>
  <c r="P37" i="26"/>
  <c r="DF13" i="1"/>
  <c r="CU25" i="37"/>
  <c r="L66" i="40"/>
  <c r="CU45" i="37"/>
  <c r="BR92" i="39"/>
  <c r="CC54" i="36"/>
  <c r="BY25" i="25"/>
  <c r="X96" i="41"/>
  <c r="DF30" i="37"/>
  <c r="CB45" i="38"/>
  <c r="V13" i="36"/>
  <c r="CX103" i="39"/>
  <c r="CY21" i="41"/>
  <c r="CT57" i="40"/>
  <c r="CK66" i="39"/>
  <c r="O71" i="37"/>
  <c r="CR96"/>
  <c r="CT9" i="25"/>
  <c r="AG67" i="1"/>
  <c r="AN30"/>
  <c r="DF59" i="26"/>
  <c r="AJ79" i="41"/>
  <c r="L58"/>
  <c r="DA59" i="39"/>
  <c r="AN48" i="36"/>
  <c r="G18" i="39"/>
  <c r="P18" i="40"/>
  <c r="CB53" i="36"/>
  <c r="AY92"/>
  <c r="H48"/>
  <c r="Z65" i="39"/>
  <c r="O53" i="25"/>
  <c r="AQ30"/>
  <c r="CZ27" i="36"/>
  <c r="AY26" i="26"/>
  <c r="BY89" i="36"/>
  <c r="CH34" i="41"/>
  <c r="CG37" i="40"/>
  <c r="AW24" i="38"/>
  <c r="CM103" i="25"/>
  <c r="CV45" i="40"/>
  <c r="L54" i="37"/>
  <c r="BI10" i="1"/>
  <c r="Y57" i="25"/>
  <c r="DF9" i="26"/>
  <c r="G48"/>
  <c r="W91" i="40"/>
  <c r="I48" i="25"/>
  <c r="W65" i="36"/>
  <c r="CA59" i="26"/>
  <c r="BX91" i="1"/>
  <c r="Y65"/>
  <c r="CT89"/>
  <c r="CA34" i="37"/>
  <c r="CE45" i="26"/>
  <c r="CX18" i="37"/>
  <c r="CQ17" i="1"/>
  <c r="L59" i="40"/>
  <c r="CU98" i="1"/>
  <c r="K48" i="41"/>
  <c r="AO60" i="40"/>
  <c r="CS26" i="41"/>
  <c r="BC127" i="47"/>
  <c r="CH65" i="38"/>
  <c r="BS25" i="37"/>
  <c r="CV24" i="25"/>
  <c r="CK65" i="37"/>
  <c r="AX59" i="36"/>
  <c r="N9" i="26"/>
  <c r="CO59" i="25"/>
  <c r="AP67" i="41"/>
  <c r="CQ67" i="38"/>
  <c r="T66" i="26"/>
  <c r="AE61" i="25"/>
  <c r="U60" i="1"/>
  <c r="CZ92" i="25"/>
  <c r="H48" i="38"/>
  <c r="CQ60" i="41"/>
  <c r="N60" i="25"/>
  <c r="AN59" i="26"/>
  <c r="BB98" i="39"/>
  <c r="DB91" i="36"/>
  <c r="U67" i="25"/>
  <c r="AC13" i="41"/>
  <c r="DA17" i="40"/>
  <c r="AC59" i="26"/>
  <c r="AY91" i="25"/>
  <c r="CR98" i="38"/>
  <c r="H34" i="36"/>
  <c r="AJ9" i="38"/>
  <c r="CC58" i="36"/>
  <c r="CP26" i="40"/>
  <c r="AI59" i="36"/>
  <c r="V37" i="25"/>
  <c r="BY67"/>
  <c r="CL71" i="41"/>
  <c r="CQ66" i="36"/>
  <c r="AQ29" i="37"/>
  <c r="CR67" i="39"/>
  <c r="DE48" i="25"/>
  <c r="CU37" i="38"/>
  <c r="AM59" i="1"/>
  <c r="AI91" i="38"/>
  <c r="DD67"/>
  <c r="AR67" i="41"/>
  <c r="CW61"/>
  <c r="AM81"/>
  <c r="BA25" i="39"/>
  <c r="DB102" i="41"/>
  <c r="CP53" i="25"/>
  <c r="I24"/>
  <c r="L50" i="39"/>
  <c r="AJ79" i="26"/>
  <c r="Y26" i="36"/>
  <c r="AS61" i="41"/>
  <c r="AX54" i="25"/>
  <c r="DA18" i="41"/>
  <c r="V13" i="39"/>
  <c r="AM92" i="41"/>
  <c r="J75" i="39"/>
  <c r="AX61" i="38"/>
  <c r="CB21" i="1"/>
  <c r="I66" i="26"/>
  <c r="CB24" i="38"/>
  <c r="CR67" i="1"/>
  <c r="CQ102" i="37"/>
  <c r="CX54" i="26"/>
  <c r="AX96" i="25"/>
  <c r="AC37" i="36"/>
  <c r="O79"/>
  <c r="AI102" i="26"/>
  <c r="T17" i="37"/>
  <c r="AE45" i="36"/>
  <c r="CK13" i="1"/>
  <c r="K26" i="39"/>
  <c r="I24" i="36"/>
  <c r="AI37" i="39"/>
  <c r="CG62" i="40"/>
  <c r="CF48" i="39"/>
  <c r="AW25" i="36"/>
  <c r="BY91" i="41"/>
  <c r="BX75" i="25"/>
  <c r="CD103" i="36"/>
  <c r="CN34" i="1"/>
  <c r="CB59" i="41"/>
  <c r="BX27" i="36"/>
  <c r="CE103" i="40"/>
  <c r="DB71" i="26"/>
  <c r="CT71" i="25"/>
  <c r="CN71" i="37"/>
  <c r="CG26" i="25"/>
  <c r="AP27" i="41"/>
  <c r="CU50" i="39"/>
  <c r="P67" i="36"/>
  <c r="CL67"/>
  <c r="BX53" i="1"/>
  <c r="DD102"/>
  <c r="CU98" i="36"/>
  <c r="DE81" i="38"/>
  <c r="M34" i="40"/>
  <c r="CX75"/>
  <c r="AZ54" i="36"/>
  <c r="BI30"/>
  <c r="BD75" i="40"/>
  <c r="DD37"/>
  <c r="DD89"/>
  <c r="CA92" i="36"/>
  <c r="I27"/>
  <c r="AC53" i="41"/>
  <c r="AM61" i="36"/>
  <c r="BA25" i="26"/>
  <c r="CG13"/>
  <c r="AV27" i="38"/>
  <c r="CM102" i="39"/>
  <c r="CD75" i="38"/>
  <c r="CQ62" i="25"/>
  <c r="CA26" i="39"/>
  <c r="AW37" i="37"/>
  <c r="CO102" i="26"/>
  <c r="BA75" i="39"/>
  <c r="AZ81" i="38"/>
  <c r="AB17" i="39"/>
  <c r="CC37"/>
  <c r="AI62"/>
  <c r="CQ62" i="41"/>
  <c r="BB21" i="37"/>
  <c r="X18" i="40"/>
  <c r="BA75" i="36"/>
  <c r="O27" i="37"/>
  <c r="AJ17" i="38"/>
  <c r="T34" i="1"/>
  <c r="AC62" i="40"/>
  <c r="CU48" i="37"/>
  <c r="CV50" i="40"/>
  <c r="U17" i="36"/>
  <c r="CV18" i="37"/>
  <c r="BV49" i="40"/>
  <c r="CZ61" i="41"/>
  <c r="BD66" i="37"/>
  <c r="AI71" i="40"/>
  <c r="H75" i="26"/>
  <c r="Y48" i="40"/>
  <c r="Y92" i="37"/>
  <c r="AY81" i="36"/>
  <c r="AI67" i="41"/>
  <c r="BE91" i="1"/>
  <c r="AA49" i="25"/>
  <c r="K92" i="40"/>
  <c r="AS62" i="26"/>
  <c r="DC34" i="40"/>
  <c r="BO59" i="36"/>
  <c r="BZ60"/>
  <c r="AA24" i="40"/>
  <c r="BP29" i="39"/>
  <c r="BS67" i="1"/>
  <c r="BT67"/>
  <c r="AQ102" i="25"/>
  <c r="AY96" i="1"/>
  <c r="AG27" i="40"/>
  <c r="H21" i="26"/>
  <c r="CR27" i="41"/>
  <c r="CA103" i="26"/>
  <c r="DE45" i="41"/>
  <c r="BI34" i="37"/>
  <c r="CG96" i="26"/>
  <c r="AC59" i="38"/>
  <c r="BT45" i="41"/>
  <c r="P12" i="39"/>
  <c r="BI25" i="37"/>
  <c r="M81" i="36"/>
  <c r="DF25" i="1"/>
  <c r="AT54" i="38"/>
  <c r="AA60"/>
  <c r="AO53" i="37"/>
  <c r="CT26" i="41"/>
  <c r="CG48" i="36"/>
  <c r="BU10" i="26"/>
  <c r="CJ92" i="38"/>
  <c r="CL79" i="37"/>
  <c r="CH45" i="38"/>
  <c r="CM67" i="26"/>
  <c r="CK34"/>
  <c r="BU67" i="37"/>
  <c r="CF17" i="39"/>
  <c r="DD92"/>
  <c r="CM50" i="1"/>
  <c r="AO10" i="25"/>
  <c r="CB53" i="41"/>
  <c r="AW49" i="40"/>
  <c r="CF89" i="26"/>
  <c r="BV79" i="1"/>
  <c r="BD60"/>
  <c r="BI98" i="39"/>
  <c r="H61" i="37"/>
  <c r="DA54" i="36"/>
  <c r="AW25" i="25"/>
  <c r="DB27" i="1"/>
  <c r="X75" i="38"/>
  <c r="DF98" i="39"/>
  <c r="H37" i="26"/>
  <c r="CT12" i="38"/>
  <c r="AR79" i="25"/>
  <c r="H45" i="36"/>
  <c r="AE17" i="26"/>
  <c r="CW89" i="36"/>
  <c r="K18" i="40"/>
  <c r="CS58" i="38"/>
  <c r="AJ49" i="25"/>
  <c r="BE67" i="36"/>
  <c r="AD30" i="41"/>
  <c r="BT49" i="39"/>
  <c r="BZ61" i="26"/>
  <c r="AD9" i="37"/>
  <c r="DE92" i="40"/>
  <c r="AA98"/>
  <c r="DE71" i="36"/>
  <c r="CL49" i="1"/>
  <c r="BQ71" i="39"/>
  <c r="CI81" i="38"/>
  <c r="X89" i="39"/>
  <c r="DD45" i="40"/>
  <c r="T24" i="38"/>
  <c r="AW81" i="1"/>
  <c r="CX58" i="37"/>
  <c r="AO53" i="41"/>
  <c r="AP49"/>
  <c r="CO60" i="26"/>
  <c r="CL12" i="40"/>
  <c r="CF81" i="26"/>
  <c r="CN67" i="36"/>
  <c r="BU29" i="37"/>
  <c r="CZ30" i="38"/>
  <c r="BX62" i="41"/>
  <c r="CS13" i="25"/>
  <c r="BP67" i="41"/>
  <c r="CD103" i="37"/>
  <c r="AU21" i="1"/>
  <c r="AW10" i="39"/>
  <c r="AQ37" i="38"/>
  <c r="AE57"/>
  <c r="CW27" i="41"/>
  <c r="T54" i="26"/>
  <c r="BO96" i="37"/>
  <c r="AW57" i="41"/>
  <c r="BU25" i="26"/>
  <c r="V27" i="37"/>
  <c r="AM29" i="41"/>
  <c r="AR45" i="40"/>
  <c r="AW53" i="38"/>
  <c r="BR29" i="1"/>
  <c r="BB130" i="47"/>
  <c r="BD102" i="39"/>
  <c r="CJ13" i="25"/>
  <c r="BD29" i="39"/>
  <c r="BY45" i="38"/>
  <c r="CC67" i="26"/>
  <c r="AW12" i="25"/>
  <c r="BV92" i="39"/>
  <c r="AN89" i="38"/>
  <c r="BC67" i="25"/>
  <c r="AM71" i="26"/>
  <c r="CL10" i="38"/>
  <c r="CT92" i="39"/>
  <c r="J65" i="37"/>
  <c r="M27" i="39"/>
  <c r="M13" i="40"/>
  <c r="BZ10" i="1"/>
  <c r="AA102" i="41"/>
  <c r="AW79" i="25"/>
  <c r="G45" i="1"/>
  <c r="CF91" i="38"/>
  <c r="CN50" i="41"/>
  <c r="CA79" i="37"/>
  <c r="CO29" i="39"/>
  <c r="AV66" i="37"/>
  <c r="CF30" i="40"/>
  <c r="CM96" i="38"/>
  <c r="CB96" i="41"/>
  <c r="K21" i="36"/>
  <c r="BO59" i="25"/>
  <c r="CD71" i="26"/>
  <c r="CS75" i="1"/>
  <c r="AS53"/>
  <c r="P92" i="36"/>
  <c r="P75" i="39"/>
  <c r="BZ49" i="1"/>
  <c r="X81" i="38"/>
  <c r="CL54" i="1"/>
  <c r="AU12" i="41"/>
  <c r="M79" i="37"/>
  <c r="AN66" i="41"/>
  <c r="CU75" i="39"/>
  <c r="BB71" i="38"/>
  <c r="K44" i="60"/>
  <c r="CR103" i="36"/>
  <c r="AV54"/>
  <c r="BW30"/>
  <c r="DE57" i="40"/>
  <c r="CQ96" i="37"/>
  <c r="AZ12" i="26"/>
  <c r="CI81" i="1"/>
  <c r="AX18" i="36"/>
  <c r="CG37" i="37"/>
  <c r="CQ67" i="39"/>
  <c r="CS103" i="38"/>
  <c r="AG102" i="37"/>
  <c r="J96"/>
  <c r="CD24" i="1"/>
  <c r="AU89" i="39"/>
  <c r="AQ102" i="1"/>
  <c r="BU29" i="26"/>
  <c r="AY66" i="25"/>
  <c r="AF102" i="36"/>
  <c r="CV102" i="37"/>
  <c r="G13" i="26"/>
  <c r="X48" i="36"/>
  <c r="BI25" i="38"/>
  <c r="AQ53" i="41"/>
  <c r="N10" i="26"/>
  <c r="AB58" i="39"/>
  <c r="BT25"/>
  <c r="BC13" i="38"/>
  <c r="DF13" i="40"/>
  <c r="BC61" i="26"/>
  <c r="BA57" i="25"/>
  <c r="BR92" i="40"/>
  <c r="AF45" i="26"/>
  <c r="AU17" i="37"/>
  <c r="BU48" i="36"/>
  <c r="CX71" i="39"/>
  <c r="DD75" i="40"/>
  <c r="J65" i="36"/>
  <c r="BA57" i="38"/>
  <c r="AH12" i="26"/>
  <c r="AS34" i="37"/>
  <c r="CR25" i="36"/>
  <c r="CT9" i="40"/>
  <c r="CJ9" i="25"/>
  <c r="CQ81" i="38"/>
  <c r="AB18"/>
  <c r="CZ37" i="40"/>
  <c r="CV24" i="41"/>
  <c r="DB13" i="25"/>
  <c r="BO102" i="39"/>
  <c r="CY102"/>
  <c r="AV98" i="1"/>
  <c r="AS24"/>
  <c r="J58"/>
  <c r="AW102"/>
  <c r="Z50" i="26"/>
  <c r="BU65" i="1"/>
  <c r="BB65" i="40"/>
  <c r="AG18" i="26"/>
  <c r="AB81" i="39"/>
  <c r="AG53" i="36"/>
  <c r="CM62" i="25"/>
  <c r="E55" i="60"/>
  <c r="BX24" i="40"/>
  <c r="X71" i="1"/>
  <c r="AF34" i="36"/>
  <c r="I67" i="25"/>
  <c r="BQ61" i="36"/>
  <c r="BD25" i="40"/>
  <c r="AZ89" i="39"/>
  <c r="BD12" i="25"/>
  <c r="BI58" i="41"/>
  <c r="CX17" i="38"/>
  <c r="DB59"/>
  <c r="BW34" i="1"/>
  <c r="N21" i="39"/>
  <c r="AP25" i="1"/>
  <c r="AJ91" i="40"/>
  <c r="CH9"/>
  <c r="AS27" i="41"/>
  <c r="AB57" i="36"/>
  <c r="AO26" i="40"/>
  <c r="CZ81" i="41"/>
  <c r="I30" i="36"/>
  <c r="AN49" i="26"/>
  <c r="BV59" i="40"/>
  <c r="AY18" i="1"/>
  <c r="AY60" i="40"/>
  <c r="I46" i="60"/>
  <c r="K47"/>
  <c r="G23"/>
  <c r="BE125" i="47"/>
  <c r="N26" i="26"/>
  <c r="DF29" i="25"/>
  <c r="O60" i="36"/>
  <c r="CP18" i="40"/>
  <c r="CH91" i="25"/>
  <c r="BX61" i="26"/>
  <c r="BX49"/>
  <c r="CB98" i="25"/>
  <c r="CS58"/>
  <c r="CD92"/>
  <c r="CA49" i="38"/>
  <c r="BZ27"/>
  <c r="BW96" i="26"/>
  <c r="M96" i="38"/>
  <c r="J96" i="1"/>
  <c r="BY96" i="36"/>
  <c r="CR89" i="26"/>
  <c r="CM92" i="1"/>
  <c r="CH13" i="25"/>
  <c r="CA59" i="41"/>
  <c r="CI59" i="40"/>
  <c r="CD60" i="37"/>
  <c r="CS50" i="25"/>
  <c r="DF103" i="1"/>
  <c r="AR17" i="40"/>
  <c r="AN50" i="38"/>
  <c r="AG53" i="1"/>
  <c r="CB29" i="39"/>
  <c r="CR89" i="37"/>
  <c r="AW61" i="26"/>
  <c r="CT96" i="41"/>
  <c r="DA24" i="1"/>
  <c r="AI75" i="40"/>
  <c r="AO91" i="26"/>
  <c r="AU13" i="36"/>
  <c r="BW53"/>
  <c r="CP98" i="41"/>
  <c r="AV58" i="38"/>
  <c r="BU27" i="39"/>
  <c r="BE29" i="25"/>
  <c r="DF45" i="36"/>
  <c r="AF27" i="25"/>
  <c r="AI26" i="40"/>
  <c r="DF48" i="38"/>
  <c r="CM26" i="26"/>
  <c r="L29" i="37"/>
  <c r="CJ54"/>
  <c r="T50" i="26"/>
  <c r="AM81" i="40"/>
  <c r="U10"/>
  <c r="AA67" i="26"/>
  <c r="CT17" i="41"/>
  <c r="G13" i="39"/>
  <c r="BZ25" i="1"/>
  <c r="BD37" i="25"/>
  <c r="AC45" i="1"/>
  <c r="X21" i="38"/>
  <c r="BZ30" i="41"/>
  <c r="BH48" i="1"/>
  <c r="DB81"/>
  <c r="DA75" i="25"/>
  <c r="AR60" i="41"/>
  <c r="BD92" i="36"/>
  <c r="AF18" i="25"/>
  <c r="AT62" i="1"/>
  <c r="O58" i="25"/>
  <c r="CC79" i="26"/>
  <c r="BO103"/>
  <c r="BP89"/>
  <c r="AD61" i="25"/>
  <c r="BB53" i="39"/>
  <c r="CE12" i="40"/>
  <c r="CJ96" i="26"/>
  <c r="CK61" i="37"/>
  <c r="CG12"/>
  <c r="CJ59" i="39"/>
  <c r="AO12" i="36"/>
  <c r="AY29" i="40"/>
  <c r="CU45" i="41"/>
  <c r="DC71" i="39"/>
  <c r="BZ17"/>
  <c r="BE58" i="40"/>
  <c r="AG62" i="37"/>
  <c r="CU62" i="26"/>
  <c r="BT59" i="39"/>
  <c r="AN29" i="26"/>
  <c r="DD24" i="25"/>
  <c r="AG25" i="38"/>
  <c r="BO66" i="41"/>
  <c r="CZ58" i="38"/>
  <c r="AJ96" i="37"/>
  <c r="DF79" i="38"/>
  <c r="BA34"/>
  <c r="DE58" i="40"/>
  <c r="W71" i="36"/>
  <c r="CH18" i="25"/>
  <c r="AF57" i="38"/>
  <c r="V29" i="40"/>
  <c r="CY60" i="37"/>
  <c r="AZ91" i="39"/>
  <c r="BH37" i="41"/>
  <c r="BX17" i="38"/>
  <c r="CE59" i="26"/>
  <c r="CF98" i="41"/>
  <c r="CJ9" i="37"/>
  <c r="AM67" i="36"/>
  <c r="AE27" i="26"/>
  <c r="CN71" i="40"/>
  <c r="BV60"/>
  <c r="DC60" i="25"/>
  <c r="AC67" i="36"/>
  <c r="BT34" i="38"/>
  <c r="AU45" i="39"/>
  <c r="AF30" i="38"/>
  <c r="AC10" i="39"/>
  <c r="DB98" i="40"/>
  <c r="AU98" i="26"/>
  <c r="CZ98" i="40"/>
  <c r="BB102" i="41"/>
  <c r="CF71"/>
  <c r="CH49" i="26"/>
  <c r="BW30" i="41"/>
  <c r="BP62" i="36"/>
  <c r="AA81" i="40"/>
  <c r="AB50" i="41"/>
  <c r="BC10" i="26"/>
  <c r="BH102" i="37"/>
  <c r="BC34" i="25"/>
  <c r="BV25" i="38"/>
  <c r="CP62" i="25"/>
  <c r="CB9" i="37"/>
  <c r="CK67" i="41"/>
  <c r="DE62" i="25"/>
  <c r="N13" i="1"/>
  <c r="CE53" i="41"/>
  <c r="CU29" i="38"/>
  <c r="Z27" i="41"/>
  <c r="DA102" i="39"/>
  <c r="AS34" i="26"/>
  <c r="AY50" i="38"/>
  <c r="AB89" i="26"/>
  <c r="AE9" i="38"/>
  <c r="BV26" i="40"/>
  <c r="BT21" i="1"/>
  <c r="CX62" i="37"/>
  <c r="CP18" i="26"/>
  <c r="CJ49" i="36"/>
  <c r="AM9"/>
  <c r="BB58" i="39"/>
  <c r="DD10" i="36"/>
  <c r="AA57"/>
  <c r="CQ58" i="1"/>
  <c r="AR53" i="38"/>
  <c r="AB45" i="25"/>
  <c r="CR89" i="1"/>
  <c r="T61" i="36"/>
  <c r="G53" i="64" s="1"/>
  <c r="AS30" i="38"/>
  <c r="BX65" i="1"/>
  <c r="CL102"/>
  <c r="CV49" i="36"/>
  <c r="CY10" i="26"/>
  <c r="CM61" i="38"/>
  <c r="CD75" i="1"/>
  <c r="CM30" i="25"/>
  <c r="CW103" i="41"/>
  <c r="CJ27" i="1"/>
  <c r="DE71" i="38"/>
  <c r="X30" i="1"/>
  <c r="BR66" i="26"/>
  <c r="CT34" i="36"/>
  <c r="CQ24" i="40"/>
  <c r="BH98" i="36"/>
  <c r="BU27" i="38"/>
  <c r="AG102" i="36"/>
  <c r="AO53" i="40"/>
  <c r="BD53" i="36"/>
  <c r="CH98" i="1"/>
  <c r="AY92" i="39"/>
  <c r="CO17" i="25"/>
  <c r="P66" i="39"/>
  <c r="AF81" i="38"/>
  <c r="AO26" i="25"/>
  <c r="BB71" i="37"/>
  <c r="AH50"/>
  <c r="L45" i="25"/>
  <c r="CV65" i="1"/>
  <c r="AE98" i="38"/>
  <c r="AB98"/>
  <c r="DD58" i="36"/>
  <c r="F51" i="46"/>
  <c r="AU75" i="41"/>
  <c r="AG12" i="40"/>
  <c r="CR54" i="25"/>
  <c r="M53" i="1"/>
  <c r="AZ13" i="40"/>
  <c r="DC62" i="1"/>
  <c r="DF65" i="25"/>
  <c r="BO62" i="39"/>
  <c r="BH27" i="40"/>
  <c r="BB50"/>
  <c r="H98" i="1"/>
  <c r="AA58" i="41"/>
  <c r="AA24" i="36"/>
  <c r="CF48" i="25"/>
  <c r="CD103" i="38"/>
  <c r="CP24"/>
  <c r="AS57" i="25"/>
  <c r="BZ62" i="37"/>
  <c r="CK98" i="41"/>
  <c r="CP27" i="37"/>
  <c r="BW98" i="40"/>
  <c r="CD102" i="25"/>
  <c r="CF79" i="41"/>
  <c r="CT57" i="38"/>
  <c r="BD60" i="25"/>
  <c r="BB37" i="36"/>
  <c r="CN24" i="26"/>
  <c r="AC12" i="39"/>
  <c r="AH67" i="38"/>
  <c r="AU25" i="36"/>
  <c r="CH21" i="39"/>
  <c r="AX49" i="25"/>
  <c r="CF62" i="1"/>
  <c r="U66"/>
  <c r="AN98"/>
  <c r="CW13"/>
  <c r="CD26" i="37"/>
  <c r="DB54" i="38"/>
  <c r="BC91" i="37"/>
  <c r="CV18" i="1"/>
  <c r="CQ45" i="26"/>
  <c r="AE29" i="25"/>
  <c r="BD21" i="1"/>
  <c r="DE58" i="25"/>
  <c r="T27" i="39"/>
  <c r="BR10" i="41"/>
  <c r="BW25" i="38"/>
  <c r="CG12" i="36"/>
  <c r="CV89" i="41"/>
  <c r="CG26" i="36"/>
  <c r="CS37" i="41"/>
  <c r="CD18"/>
  <c r="CL37" i="39"/>
  <c r="S61" i="36"/>
  <c r="DD12" i="38"/>
  <c r="AD13" i="39"/>
  <c r="BW13"/>
  <c r="J61" i="1"/>
  <c r="H49" i="25"/>
  <c r="W89" i="40"/>
  <c r="K57" i="38"/>
  <c r="BH67" i="37"/>
  <c r="AI102" i="25"/>
  <c r="BR25" i="26"/>
  <c r="BY34" i="41"/>
  <c r="CM102" i="37"/>
  <c r="CZ26" i="25"/>
  <c r="BC65" i="41"/>
  <c r="DB37" i="25"/>
  <c r="BC60" i="26"/>
  <c r="BO34" i="25"/>
  <c r="AE26" i="37"/>
  <c r="CZ27" i="25"/>
  <c r="AF102" i="37"/>
  <c r="G54" i="25"/>
  <c r="S75" i="1"/>
  <c r="W62" i="25"/>
  <c r="AC58" i="40"/>
  <c r="BE45"/>
  <c r="BS102" i="26"/>
  <c r="AO9" i="40"/>
  <c r="Z24" i="26"/>
  <c r="CV27" i="25"/>
  <c r="BQ96" i="38"/>
  <c r="Z9" i="1"/>
  <c r="U37" i="40"/>
  <c r="CX13" i="41"/>
  <c r="AX27" i="25"/>
  <c r="AX12" i="38"/>
  <c r="BV17" i="25"/>
  <c r="DB65" i="26"/>
  <c r="BR62" i="36"/>
  <c r="G65" i="38"/>
  <c r="CC45" i="25"/>
  <c r="BH54" i="39"/>
  <c r="S89"/>
  <c r="BT75" i="40"/>
  <c r="BR91"/>
  <c r="CJ27" i="41"/>
  <c r="M29" i="25"/>
  <c r="CG58" i="40"/>
  <c r="CQ54" i="37"/>
  <c r="CD62"/>
  <c r="I13" i="40"/>
  <c r="J26" i="1"/>
  <c r="CM98" i="26"/>
  <c r="CK59" i="39"/>
  <c r="CJ67"/>
  <c r="AY17"/>
  <c r="AE12" i="1"/>
  <c r="CE75" i="37"/>
  <c r="CW59" i="40"/>
  <c r="X67"/>
  <c r="CG9" i="37"/>
  <c r="CB54" i="38"/>
  <c r="AT54" i="25"/>
  <c r="X27" i="40"/>
  <c r="CA10" i="37"/>
  <c r="N30" i="36"/>
  <c r="AH25" i="40"/>
  <c r="DF9" i="41"/>
  <c r="CT18" i="40"/>
  <c r="CO71" i="37"/>
  <c r="CP25" i="38"/>
  <c r="CS98" i="36"/>
  <c r="AH53" i="37"/>
  <c r="AI48" i="25"/>
  <c r="BO102" i="40"/>
  <c r="X60" i="41"/>
  <c r="N89" i="40"/>
  <c r="AG54" i="37"/>
  <c r="AF17" i="40"/>
  <c r="K10" i="60"/>
  <c r="DC96" i="39"/>
  <c r="AS24" i="26"/>
  <c r="BH29" i="36"/>
  <c r="BB54"/>
  <c r="H98" i="25"/>
  <c r="DF96" i="38"/>
  <c r="BQ49" i="36"/>
  <c r="AU60" i="41"/>
  <c r="P26" i="25"/>
  <c r="CD58" i="38"/>
  <c r="M21" i="1"/>
  <c r="Y89" i="37"/>
  <c r="AQ50" i="25"/>
  <c r="AJ18"/>
  <c r="CE65" i="37"/>
  <c r="AW89" i="36"/>
  <c r="BH25" i="39"/>
  <c r="DC57" i="41"/>
  <c r="BB79" i="1"/>
  <c r="AP54" i="25"/>
  <c r="BP67" i="37"/>
  <c r="CE34" i="38"/>
  <c r="I9" i="39"/>
  <c r="Z62" i="38"/>
  <c r="AM96" i="26"/>
  <c r="CF12" i="39"/>
  <c r="CJ71" i="36"/>
  <c r="AO24" i="37"/>
  <c r="BT45" i="26"/>
  <c r="DA26" i="1"/>
  <c r="CQ102" i="41"/>
  <c r="K13" i="37"/>
  <c r="BP91"/>
  <c r="CU98" i="38"/>
  <c r="DE13" i="36"/>
  <c r="V91" i="1"/>
  <c r="BD89" i="38"/>
  <c r="AN79" i="40"/>
  <c r="AJ49" i="1"/>
  <c r="AC54" i="38"/>
  <c r="AJ18" i="26"/>
  <c r="V65" i="38"/>
  <c r="Z30" i="25"/>
  <c r="BA96"/>
  <c r="BE27" i="40"/>
  <c r="AN54" i="25"/>
  <c r="M67" i="26"/>
  <c r="AH65" i="37"/>
  <c r="CN17" i="26"/>
  <c r="L54" i="38"/>
  <c r="CP61" i="40"/>
  <c r="M89" i="38"/>
  <c r="DC102" i="37"/>
  <c r="CC91" i="26"/>
  <c r="DF98" i="37"/>
  <c r="BT65" i="36"/>
  <c r="AG79" i="25"/>
  <c r="DD57"/>
  <c r="CR50" i="37"/>
  <c r="P81" i="39"/>
  <c r="CC29" i="41"/>
  <c r="BV53" i="1"/>
  <c r="Z62" i="25"/>
  <c r="BS45" i="41"/>
  <c r="BS9"/>
  <c r="BD45" i="26"/>
  <c r="BW54" i="1"/>
  <c r="AN27" i="37"/>
  <c r="O27" i="36"/>
  <c r="CQ26" i="39"/>
  <c r="CC102" i="1"/>
  <c r="Z71" i="41"/>
  <c r="BI57" i="36"/>
  <c r="CU45" i="38"/>
  <c r="AP21" i="36"/>
  <c r="CX60" i="26"/>
  <c r="AO25" i="36"/>
  <c r="BP103" i="26"/>
  <c r="AM9" i="41"/>
  <c r="BB102" i="36"/>
  <c r="Y62" i="39"/>
  <c r="L58"/>
  <c r="AI26"/>
  <c r="CQ9"/>
  <c r="W13" i="25"/>
  <c r="AI12" i="36"/>
  <c r="AG102" i="1"/>
  <c r="CE27"/>
  <c r="J67" i="37"/>
  <c r="O91" i="36"/>
  <c r="DB62" i="26"/>
  <c r="AS30" i="40"/>
  <c r="O9" i="26"/>
  <c r="BD9" i="38"/>
  <c r="AC37" i="37"/>
  <c r="M91" i="40"/>
  <c r="CP29" i="37"/>
  <c r="CE24" i="1"/>
  <c r="CF92" i="25"/>
  <c r="CO12" i="39"/>
  <c r="CQ29" i="41"/>
  <c r="X30" i="39"/>
  <c r="CO54" i="26"/>
  <c r="AQ12" i="40"/>
  <c r="CX59" i="38"/>
  <c r="G18" i="40"/>
  <c r="CF59"/>
  <c r="AM92" i="25"/>
  <c r="CE79" i="39"/>
  <c r="P48" i="40"/>
  <c r="AC26" i="38"/>
  <c r="BI29" i="25"/>
  <c r="AT81" i="38"/>
  <c r="AE45" i="40"/>
  <c r="CX26" i="26"/>
  <c r="AQ62" i="36"/>
  <c r="AI75" i="37"/>
  <c r="CY102" i="41"/>
  <c r="CA75" i="38"/>
  <c r="DB27" i="40"/>
  <c r="CU81" i="41"/>
  <c r="BA58" i="25"/>
  <c r="BA26" i="41"/>
  <c r="BB71" i="40"/>
  <c r="AE71" i="1"/>
  <c r="AH10"/>
  <c r="AO62" i="25"/>
  <c r="AF67" i="36"/>
  <c r="AJ50" i="1"/>
  <c r="CA53" i="38"/>
  <c r="CH91" i="39"/>
  <c r="CN34"/>
  <c r="CS13" i="1"/>
  <c r="DF91"/>
  <c r="AD25" i="26"/>
  <c r="O91" i="37"/>
  <c r="CV24" i="36"/>
  <c r="AC67" i="41"/>
  <c r="AW26" i="36"/>
  <c r="CO96"/>
  <c r="AG71" i="40"/>
  <c r="AI59" i="1"/>
  <c r="U60" i="36"/>
  <c r="T26" i="39"/>
  <c r="CO58" i="38"/>
  <c r="CL50" i="36"/>
  <c r="BS54" i="25"/>
  <c r="CV60"/>
  <c r="L62" i="40"/>
  <c r="AP26" i="41"/>
  <c r="AQ62" i="25"/>
  <c r="CN34" i="41"/>
  <c r="BQ34" i="38"/>
  <c r="W57" i="41"/>
  <c r="BY30" i="39"/>
  <c r="S92" i="37"/>
  <c r="AS92" i="1"/>
  <c r="H54" i="25"/>
  <c r="CC26"/>
  <c r="CB59" i="38"/>
  <c r="CN59" i="36"/>
  <c r="DB12"/>
  <c r="BX24"/>
  <c r="AQ48" i="37"/>
  <c r="BP29" i="25"/>
  <c r="CQ29" i="37"/>
  <c r="BT30" i="36"/>
  <c r="I26" i="26"/>
  <c r="CV18" i="40"/>
  <c r="M18" i="41"/>
  <c r="AI102" i="37"/>
  <c r="AN9" i="26"/>
  <c r="AC61" i="41"/>
  <c r="DA98"/>
  <c r="AZ13" i="26"/>
  <c r="DD57" i="40"/>
  <c r="DF18" i="36"/>
  <c r="AX13" i="37"/>
  <c r="DD9" i="36"/>
  <c r="S89"/>
  <c r="BE79" i="39"/>
  <c r="U60" i="40"/>
  <c r="AG24" i="1"/>
  <c r="X27" i="39"/>
  <c r="CY89" i="38"/>
  <c r="AI89" i="37"/>
  <c r="AC17" i="25"/>
  <c r="CE75" i="1"/>
  <c r="BZ49" i="38"/>
  <c r="AQ91" i="39"/>
  <c r="AY10" i="38"/>
  <c r="AO50" i="37"/>
  <c r="W25" i="39"/>
  <c r="AD58" i="37"/>
  <c r="AA48" i="41"/>
  <c r="AI61" i="26"/>
  <c r="BZ29" i="41"/>
  <c r="CN27" i="36"/>
  <c r="CF53" i="40"/>
  <c r="CF13"/>
  <c r="CP59" i="26"/>
  <c r="BU61" i="39"/>
  <c r="CC54" i="40"/>
  <c r="BS25" i="39"/>
  <c r="BX9" i="41"/>
  <c r="O45" i="37"/>
  <c r="S96" i="25"/>
  <c r="CD60" i="38"/>
  <c r="AN29" i="36"/>
  <c r="Z92" i="38"/>
  <c r="BA13" i="41"/>
  <c r="BQ67"/>
  <c r="CS60" i="26"/>
  <c r="H89" i="1"/>
  <c r="BB17" i="25"/>
  <c r="CT59" i="40"/>
  <c r="DB81" i="39"/>
  <c r="CD18" i="38"/>
  <c r="AO12" i="37"/>
  <c r="CD9" i="40"/>
  <c r="DB53" i="39"/>
  <c r="CI91" i="41"/>
  <c r="V59" i="26"/>
  <c r="Y58" i="40"/>
  <c r="AA21" i="25"/>
  <c r="AD37" i="40"/>
  <c r="CK96" i="25"/>
  <c r="AG54" i="40"/>
  <c r="AD49" i="37"/>
  <c r="AO34" i="1"/>
  <c r="CY58" i="41"/>
  <c r="BC129" i="47"/>
  <c r="AA18" i="41"/>
  <c r="CL92" i="36"/>
  <c r="CQ57" i="37"/>
  <c r="K53" i="41"/>
  <c r="AQ98" i="38"/>
  <c r="L96"/>
  <c r="M29" i="36"/>
  <c r="BU98" i="41"/>
  <c r="CC61"/>
  <c r="O65" i="26"/>
  <c r="AE9" i="39"/>
  <c r="AJ89" i="36"/>
  <c r="DD26" i="41"/>
  <c r="BW45" i="26"/>
  <c r="BS54" i="41"/>
  <c r="CH66" i="36"/>
  <c r="BH27"/>
  <c r="L67" i="39"/>
  <c r="AQ10"/>
  <c r="AA25" i="26"/>
  <c r="AZ65" i="38"/>
  <c r="BV12" i="39"/>
  <c r="BI58" i="26"/>
  <c r="AF60" i="25"/>
  <c r="P49" i="39"/>
  <c r="AU26" i="1"/>
  <c r="AM26" i="41"/>
  <c r="BU96" i="39"/>
  <c r="N24" i="25"/>
  <c r="DB54" i="36"/>
  <c r="H74" i="64"/>
  <c r="BI57" i="26"/>
  <c r="CP57" i="41"/>
  <c r="AV92" i="26"/>
  <c r="CB30" i="37"/>
  <c r="BP59" i="40"/>
  <c r="K98" i="36"/>
  <c r="BS75" i="26"/>
  <c r="CZ91" i="39"/>
  <c r="AZ59" i="40"/>
  <c r="W13" i="36"/>
  <c r="BX17" i="40"/>
  <c r="AV12" i="41"/>
  <c r="CW54" i="1"/>
  <c r="H9" i="36"/>
  <c r="CN26" i="26"/>
  <c r="AU61" i="25"/>
  <c r="CW34" i="26"/>
  <c r="O18" i="40"/>
  <c r="DA103" i="37"/>
  <c r="BH25" i="1"/>
  <c r="AH61" i="41"/>
  <c r="K98" i="40"/>
  <c r="AQ18" i="41"/>
  <c r="AY102" i="39"/>
  <c r="Y21" i="40"/>
  <c r="AH54" i="26"/>
  <c r="AW37" i="36"/>
  <c r="CV62" i="1"/>
  <c r="CD66"/>
  <c r="BX96" i="41"/>
  <c r="BY71" i="37"/>
  <c r="BH10" i="39"/>
  <c r="DF53" i="26"/>
  <c r="L91" i="25"/>
  <c r="BU66" i="36"/>
  <c r="BU62" i="39"/>
  <c r="AM60"/>
  <c r="AW49" i="38"/>
  <c r="CQ54"/>
  <c r="BR45" i="39"/>
  <c r="DF92" i="36"/>
  <c r="AE24" i="37"/>
  <c r="CD65" i="38"/>
  <c r="CY13" i="39"/>
  <c r="CX29" i="37"/>
  <c r="BU21" i="25"/>
  <c r="BH67" i="41"/>
  <c r="CO9" i="38"/>
  <c r="AM102" i="26"/>
  <c r="H81" i="37"/>
  <c r="Y98" i="1"/>
  <c r="O54" i="36"/>
  <c r="I75" i="40"/>
  <c r="DE66"/>
  <c r="AB96" i="26"/>
  <c r="CO62" i="1"/>
  <c r="AM57" i="38"/>
  <c r="AP29" i="1"/>
  <c r="U45" i="25"/>
  <c r="AO91" i="39"/>
  <c r="AE13" i="1"/>
  <c r="BZ92" i="37"/>
  <c r="CB57" i="26"/>
  <c r="AN21" i="38"/>
  <c r="CR91" i="37"/>
  <c r="DF71" i="36"/>
  <c r="AO62" i="1"/>
  <c r="V45" i="26"/>
  <c r="L66" i="39"/>
  <c r="V91" i="25"/>
  <c r="BO60" i="40"/>
  <c r="M21"/>
  <c r="CO24"/>
  <c r="DA9" i="36"/>
  <c r="P53" i="37"/>
  <c r="BT34" i="40"/>
  <c r="BI12" i="39"/>
  <c r="K29" i="41"/>
  <c r="N13" i="26"/>
  <c r="AG45" i="25"/>
  <c r="CG9" i="41"/>
  <c r="AQ65"/>
  <c r="CI98" i="1"/>
  <c r="AD26" i="37"/>
  <c r="X79" i="25"/>
  <c r="J66" i="1"/>
  <c r="F6" i="60"/>
  <c r="G47"/>
  <c r="G33"/>
  <c r="O10" i="59"/>
  <c r="F74" i="60"/>
  <c r="AW98" i="26"/>
  <c r="AA37" i="36"/>
  <c r="I10" i="1"/>
  <c r="AZ53" i="41"/>
  <c r="AG30" i="26"/>
  <c r="W17" i="1"/>
  <c r="H20" i="50"/>
  <c r="H33" i="60"/>
  <c r="H6"/>
  <c r="CV57" i="26"/>
  <c r="CP60" i="37"/>
  <c r="CC50" i="40"/>
  <c r="CJ91" i="41"/>
  <c r="CX12" i="38"/>
  <c r="V67" i="40"/>
  <c r="CT59" i="37"/>
  <c r="DE29" i="40"/>
  <c r="P34" i="25"/>
  <c r="CW37" i="37"/>
  <c r="AA54" i="1"/>
  <c r="DA29" i="26"/>
  <c r="CN102" i="38"/>
  <c r="I79" i="37"/>
  <c r="CL53" i="41"/>
  <c r="AR65" i="25"/>
  <c r="BE37"/>
  <c r="CT53" i="38"/>
  <c r="CR98" i="26"/>
  <c r="AO75" i="41"/>
  <c r="BT9" i="37"/>
  <c r="DF13"/>
  <c r="AN12" i="1"/>
  <c r="AP34" i="37"/>
  <c r="BA96" i="26"/>
  <c r="CZ61" i="37"/>
  <c r="CF60" i="1"/>
  <c r="BC62" i="36"/>
  <c r="AF12" i="37"/>
  <c r="CD29" i="36"/>
  <c r="DD71" i="40"/>
  <c r="CL18"/>
  <c r="AC53" i="38"/>
  <c r="AX21" i="36"/>
  <c r="BT49" i="1"/>
  <c r="AH65" i="40"/>
  <c r="CZ102" i="36"/>
  <c r="Z25"/>
  <c r="AW91" i="25"/>
  <c r="BW58" i="39"/>
  <c r="CO10" i="25"/>
  <c r="Z67" i="36"/>
  <c r="AD58"/>
  <c r="AY45" i="1"/>
  <c r="CJ49" i="40"/>
  <c r="AI10" i="39"/>
  <c r="CN96"/>
  <c r="CI21" i="40"/>
  <c r="CH13" i="36"/>
  <c r="BV12" i="1"/>
  <c r="BX79" i="26"/>
  <c r="BX49" i="39"/>
  <c r="BD53" i="41"/>
  <c r="BS48" i="36"/>
  <c r="BO37" i="26"/>
  <c r="AS57" i="36"/>
  <c r="AW9"/>
  <c r="G50" i="37"/>
  <c r="BA58" i="41"/>
  <c r="I45" i="1"/>
  <c r="BW48" i="37"/>
  <c r="BQ61" i="1"/>
  <c r="CX96" i="41"/>
  <c r="P9" i="38"/>
  <c r="BX102" i="37"/>
  <c r="K26" i="1"/>
  <c r="AF89" i="40"/>
  <c r="AY26"/>
  <c r="BS24" i="37"/>
  <c r="CV96" i="41"/>
  <c r="AZ17" i="37"/>
  <c r="CL66"/>
  <c r="AB67" i="36"/>
  <c r="J96" i="25"/>
  <c r="AP59" i="36"/>
  <c r="DE45" i="25"/>
  <c r="DE26" i="41"/>
  <c r="CM45"/>
  <c r="CV98"/>
  <c r="CN66" i="39"/>
  <c r="CV25" i="36"/>
  <c r="CI24" i="41"/>
  <c r="AY79" i="39"/>
  <c r="J45"/>
  <c r="BY60" i="26"/>
  <c r="CV98" i="37"/>
  <c r="CS13" i="26"/>
  <c r="T37" i="1"/>
  <c r="DF10" i="38"/>
  <c r="AJ27" i="37"/>
  <c r="BD91" i="40"/>
  <c r="U60" i="39"/>
  <c r="AZ48" i="40"/>
  <c r="CN75" i="37"/>
  <c r="CG21" i="39"/>
  <c r="AA89"/>
  <c r="CY75" i="41"/>
  <c r="CA37" i="40"/>
  <c r="AI18" i="25"/>
  <c r="AG27" i="36"/>
  <c r="DB60" i="26"/>
  <c r="AR61" i="40"/>
  <c r="CG13"/>
  <c r="Y10" i="1"/>
  <c r="AH59" i="25"/>
  <c r="AJ57"/>
  <c r="CY81" i="39"/>
  <c r="AH75" i="25"/>
  <c r="N48" i="1"/>
  <c r="BD49" i="41"/>
  <c r="CA65" i="38"/>
  <c r="CY37" i="26"/>
  <c r="CS92" i="40"/>
  <c r="BT79" i="38"/>
  <c r="CU27" i="36"/>
  <c r="AA102" i="1"/>
  <c r="CR27" i="37"/>
  <c r="AQ37" i="40"/>
  <c r="CI65" i="37"/>
  <c r="CZ9" i="38"/>
  <c r="BT50" i="36"/>
  <c r="CL57"/>
  <c r="DB49" i="1"/>
  <c r="W29" i="25"/>
  <c r="AD45" i="37"/>
  <c r="BD13" i="25"/>
  <c r="H12" i="37"/>
  <c r="Z96" i="38"/>
  <c r="BI57"/>
  <c r="AG26" i="39"/>
  <c r="Y45" i="25"/>
  <c r="CU65" i="36"/>
  <c r="CG25" i="1"/>
  <c r="BW10" i="39"/>
  <c r="DE96" i="26"/>
  <c r="DC13"/>
  <c r="G10" i="41"/>
  <c r="BY9" i="26"/>
  <c r="H59" i="36"/>
  <c r="BR17" i="38"/>
  <c r="AV92" i="36"/>
  <c r="CP81"/>
  <c r="AW21" i="41"/>
  <c r="AB34" i="1"/>
  <c r="AU53" i="36"/>
  <c r="BB62" i="26"/>
  <c r="BU13" i="41"/>
  <c r="BS48" i="25"/>
  <c r="AY10" i="37"/>
  <c r="CT18" i="41"/>
  <c r="O48" i="38"/>
  <c r="AM71" i="41"/>
  <c r="DE34" i="38"/>
  <c r="CZ92" i="39"/>
  <c r="AD91" i="26"/>
  <c r="DE58" i="1"/>
  <c r="AM49" i="40"/>
  <c r="CB21" i="36"/>
  <c r="CS79" i="25"/>
  <c r="AS60" i="26"/>
  <c r="CG37" i="39"/>
  <c r="AA54" i="41"/>
  <c r="AD57" i="36"/>
  <c r="CS71" i="26"/>
  <c r="CF67" i="1"/>
  <c r="DD62" i="25"/>
  <c r="CS102" i="36"/>
  <c r="CQ54" i="1"/>
  <c r="H62" i="38"/>
  <c r="AS18" i="25"/>
  <c r="BT91" i="36"/>
  <c r="BA61" i="26"/>
  <c r="CM25" i="41"/>
  <c r="CI9" i="37"/>
  <c r="AV61" i="1"/>
  <c r="BP27" i="25"/>
  <c r="N29" i="39"/>
  <c r="CK34" i="40"/>
  <c r="AI27" i="38"/>
  <c r="CP58" i="1"/>
  <c r="BX65" i="25"/>
  <c r="CA27"/>
  <c r="CR10"/>
  <c r="AT10" i="26"/>
  <c r="AW91" i="37"/>
  <c r="AU58"/>
  <c r="X96" i="36"/>
  <c r="CB37" i="38"/>
  <c r="AH62" i="25"/>
  <c r="AF65" i="37"/>
  <c r="DB48" i="41"/>
  <c r="CE49" i="25"/>
  <c r="CY58" i="38"/>
  <c r="BO37"/>
  <c r="DB21" i="39"/>
  <c r="BB9" i="40"/>
  <c r="CM65" i="38"/>
  <c r="G13" i="37"/>
  <c r="CK58" i="41"/>
  <c r="CJ98" i="40"/>
  <c r="CO9" i="39"/>
  <c r="AO50" i="38"/>
  <c r="Z18" i="41"/>
  <c r="O66" i="25"/>
  <c r="BY24" i="41"/>
  <c r="CD10" i="39"/>
  <c r="CO27"/>
  <c r="DE65" i="26"/>
  <c r="BZ37" i="36"/>
  <c r="BO75" i="26"/>
  <c r="BB45" i="1"/>
  <c r="BE79" i="25"/>
  <c r="BV103" i="37"/>
  <c r="N26" i="25"/>
  <c r="CX89" i="40"/>
  <c r="CX66" i="39"/>
  <c r="CM103" i="38"/>
  <c r="CH17" i="25"/>
  <c r="I61" i="40"/>
  <c r="N98" i="26"/>
  <c r="AU67" i="39"/>
  <c r="CH12" i="37"/>
  <c r="CD13" i="38"/>
  <c r="Y13"/>
  <c r="G26" i="40"/>
  <c r="AF75" i="37"/>
  <c r="AC25"/>
  <c r="BS45"/>
  <c r="AG81" i="36"/>
  <c r="S102"/>
  <c r="AE79" i="1"/>
  <c r="CG18" i="40"/>
  <c r="AY54" i="25"/>
  <c r="BC65" i="40"/>
  <c r="AA27" i="36"/>
  <c r="AO59" i="40"/>
  <c r="CN30" i="26"/>
  <c r="BI89" i="1"/>
  <c r="CK66" i="26"/>
  <c r="CG34"/>
  <c r="AA62" i="40"/>
  <c r="AP49" i="26"/>
  <c r="CX96" i="1"/>
  <c r="CE18" i="37"/>
  <c r="O65" i="1"/>
  <c r="AT27" i="37"/>
  <c r="AT45" i="38"/>
  <c r="DA67" i="37"/>
  <c r="AU37" i="25"/>
  <c r="AH92" i="38"/>
  <c r="BD60" i="40"/>
  <c r="AN66" i="26"/>
  <c r="K65" i="39"/>
  <c r="V29" i="1"/>
  <c r="P62" i="38"/>
  <c r="BZ65" i="25"/>
  <c r="BV50" i="41"/>
  <c r="AP57" i="36"/>
  <c r="BC60" i="41"/>
  <c r="Y17" i="1"/>
  <c r="O89"/>
  <c r="AF60"/>
  <c r="CS91" i="40"/>
  <c r="AQ21" i="25"/>
  <c r="CK45" i="40"/>
  <c r="AZ59" i="37"/>
  <c r="BA24" i="40"/>
  <c r="H17" i="26"/>
  <c r="M34"/>
  <c r="CK30" i="25"/>
  <c r="CP26" i="38"/>
  <c r="CE96" i="25"/>
  <c r="CH66" i="26"/>
  <c r="CY53" i="38"/>
  <c r="AR29" i="36"/>
  <c r="AT60" i="39"/>
  <c r="CT75"/>
  <c r="BT29" i="1"/>
  <c r="X53" i="26"/>
  <c r="DE34" i="41"/>
  <c r="N58" i="25"/>
  <c r="AW96" i="40"/>
  <c r="O65" i="25"/>
  <c r="CZ91" i="41"/>
  <c r="BR58" i="25"/>
  <c r="BH29" i="37"/>
  <c r="X13" i="25"/>
  <c r="BA25" i="38"/>
  <c r="BQ57" i="41"/>
  <c r="AC58" i="25"/>
  <c r="AE18" i="37"/>
  <c r="AW79" i="36"/>
  <c r="BA12" i="1"/>
  <c r="CO10" i="36"/>
  <c r="CX103" i="38"/>
  <c r="CL27" i="1"/>
  <c r="CC96"/>
  <c r="AD65" i="37"/>
  <c r="CF62" i="41"/>
  <c r="N37"/>
  <c r="BW57" i="26"/>
  <c r="DC60" i="1"/>
  <c r="H92" i="36"/>
  <c r="BC61" i="1"/>
  <c r="CP9"/>
  <c r="M9" i="39"/>
  <c r="BB79" i="25"/>
  <c r="CY58" i="39"/>
  <c r="DF57" i="1"/>
  <c r="J34" i="25"/>
  <c r="AF92"/>
  <c r="X12" i="1"/>
  <c r="AH89" i="41"/>
  <c r="M58" i="37"/>
  <c r="CS79"/>
  <c r="CJ61"/>
  <c r="AW53" i="41"/>
  <c r="BV53" i="25"/>
  <c r="CO30" i="37"/>
  <c r="CW62"/>
  <c r="CW91" i="40"/>
  <c r="BS17" i="37"/>
  <c r="CX96"/>
  <c r="DA71"/>
  <c r="CP81" i="38"/>
  <c r="AB96" i="1"/>
  <c r="U65" i="25"/>
  <c r="P27" i="39"/>
  <c r="AD59" i="40"/>
  <c r="P53" i="39"/>
  <c r="BY54" i="40"/>
  <c r="CI13" i="26"/>
  <c r="CF57" i="36"/>
  <c r="BR59" i="1"/>
  <c r="AN12" i="39"/>
  <c r="AD45" i="26"/>
  <c r="W91" i="39"/>
  <c r="CB45"/>
  <c r="BB57" i="25"/>
  <c r="BA79" i="36"/>
  <c r="BQ58" i="40"/>
  <c r="DE50" i="37"/>
  <c r="CZ50" i="26"/>
  <c r="AW12" i="40"/>
  <c r="BO75"/>
  <c r="CW45" i="25"/>
  <c r="AV49" i="41"/>
  <c r="CI57" i="26"/>
  <c r="Z62" i="41"/>
  <c r="BO65" i="37"/>
  <c r="M89" i="36"/>
  <c r="AY57" i="39"/>
  <c r="AI71" i="41"/>
  <c r="CA24" i="38"/>
  <c r="AN9" i="40"/>
  <c r="CH98" i="41"/>
  <c r="CY34"/>
  <c r="I17"/>
  <c r="CJ102" i="37"/>
  <c r="CP92" i="41"/>
  <c r="CL102" i="36"/>
  <c r="AY30" i="25"/>
  <c r="AO29" i="41"/>
  <c r="CG21" i="1"/>
  <c r="BP98" i="40"/>
  <c r="AX92"/>
  <c r="BD53" i="25"/>
  <c r="M60" i="1"/>
  <c r="Y91" i="25"/>
  <c r="J27"/>
  <c r="CV37" i="39"/>
  <c r="CE98" i="36"/>
  <c r="V49" i="1"/>
  <c r="BP13"/>
  <c r="CX49" i="26"/>
  <c r="AI65" i="1"/>
  <c r="BI66" i="25"/>
  <c r="BS30" i="37"/>
  <c r="DA102" i="36"/>
  <c r="V13" i="37"/>
  <c r="BR21"/>
  <c r="U53" i="39"/>
  <c r="AQ13" i="41"/>
  <c r="AN17" i="36"/>
  <c r="CZ12" i="1"/>
  <c r="AV60"/>
  <c r="AY58" i="38"/>
  <c r="CD58" i="37"/>
  <c r="CI17" i="38"/>
  <c r="CE65" i="41"/>
  <c r="CH26" i="25"/>
  <c r="CV27" i="37"/>
  <c r="CS24" i="26"/>
  <c r="CG54" i="36"/>
  <c r="AF26" i="41"/>
  <c r="AE79" i="40"/>
  <c r="AU49" i="36"/>
  <c r="CT17" i="1"/>
  <c r="CR9" i="26"/>
  <c r="Y61"/>
  <c r="CM65" i="37"/>
  <c r="DA65" i="26"/>
  <c r="AY91" i="41"/>
  <c r="AY30" i="38"/>
  <c r="AJ26" i="41"/>
  <c r="AR98" i="1"/>
  <c r="CN65" i="41"/>
  <c r="CP92" i="36"/>
  <c r="CX26" i="40"/>
  <c r="AU48" i="39"/>
  <c r="AD12"/>
  <c r="CW102" i="36"/>
  <c r="BD75" i="38"/>
  <c r="CA71" i="41"/>
  <c r="DE96" i="40"/>
  <c r="BW81" i="39"/>
  <c r="BU30" i="37"/>
  <c r="AV29" i="36"/>
  <c r="DB12" i="39"/>
  <c r="CO24" i="41"/>
  <c r="CK71" i="36"/>
  <c r="BX102" i="40"/>
  <c r="CM75" i="38"/>
  <c r="AW79" i="39"/>
  <c r="BW66" i="36"/>
  <c r="AJ60" i="39"/>
  <c r="AD67" i="36"/>
  <c r="H92" i="25"/>
  <c r="BH60"/>
  <c r="AU12" i="40"/>
  <c r="AU25" i="26"/>
  <c r="L25" i="1"/>
  <c r="P59" i="37"/>
  <c r="AZ45" i="39"/>
  <c r="U62"/>
  <c r="BI26" i="26"/>
  <c r="DB9" i="36"/>
  <c r="AF9" i="26"/>
  <c r="AI12" i="38"/>
  <c r="CL49" i="25"/>
  <c r="AH62" i="26"/>
  <c r="CV30" i="38"/>
  <c r="BT26" i="41"/>
  <c r="AB89" i="37"/>
  <c r="CM27" i="26"/>
  <c r="X65" i="39"/>
  <c r="AN81" i="37"/>
  <c r="U67"/>
  <c r="CG54" i="26"/>
  <c r="BP71" i="37"/>
  <c r="O34"/>
  <c r="T29" i="41"/>
  <c r="BI65" i="39"/>
  <c r="T17" i="1"/>
  <c r="K89" i="36"/>
  <c r="L59" i="38"/>
  <c r="K37" i="40"/>
  <c r="AZ75" i="36"/>
  <c r="AC48" i="39"/>
  <c r="AC57" i="41"/>
  <c r="BV61" i="1"/>
  <c r="CE92" i="40"/>
  <c r="AH49" i="39"/>
  <c r="AM54" i="36"/>
  <c r="M25" i="38"/>
  <c r="CV18" i="39"/>
  <c r="CG17" i="38"/>
  <c r="CE103" i="26"/>
  <c r="BZ79" i="40"/>
  <c r="BB61" i="26"/>
  <c r="CC30" i="40"/>
  <c r="CD61" i="38"/>
  <c r="CW34" i="39"/>
  <c r="CP13"/>
  <c r="CU79" i="41"/>
  <c r="CQ96"/>
  <c r="CX62" i="40"/>
  <c r="J91" i="38"/>
  <c r="CS54" i="26"/>
  <c r="CK57" i="38"/>
  <c r="CO62"/>
  <c r="M59" i="26"/>
  <c r="CO98" i="41"/>
  <c r="AT48" i="38"/>
  <c r="CZ10" i="41"/>
  <c r="AR96" i="39"/>
  <c r="BT71"/>
  <c r="X96" i="40"/>
  <c r="BS25"/>
  <c r="AC98" i="25"/>
  <c r="CF89" i="39"/>
  <c r="DB96" i="37"/>
  <c r="AI58" i="38"/>
  <c r="CQ27" i="1"/>
  <c r="BO66" i="26"/>
  <c r="D33" i="59"/>
  <c r="CI21" i="25"/>
  <c r="I29" i="26"/>
  <c r="CQ66" i="41"/>
  <c r="W13" i="40"/>
  <c r="CD18" i="26"/>
  <c r="AQ50"/>
  <c r="AY12" i="40"/>
  <c r="BY34" i="25"/>
  <c r="AY26" i="1"/>
  <c r="AJ92" i="37"/>
  <c r="CE12" i="26"/>
  <c r="AV9" i="36"/>
  <c r="CT37" i="1"/>
  <c r="AS29" i="37"/>
  <c r="AU37" i="39"/>
  <c r="AF26" i="38"/>
  <c r="AM58" i="37"/>
  <c r="N48" i="38"/>
  <c r="AA54"/>
  <c r="CJ96" i="36"/>
  <c r="CM29" i="41"/>
  <c r="T21" i="36"/>
  <c r="AV34" i="25"/>
  <c r="S60" i="39"/>
  <c r="DB71" i="38"/>
  <c r="BP62" i="40"/>
  <c r="CP62" i="1"/>
  <c r="DD89" i="39"/>
  <c r="CS12" i="25"/>
  <c r="DC59" i="41"/>
  <c r="AF12" i="26"/>
  <c r="BE27" i="41"/>
  <c r="AW81"/>
  <c r="CQ96" i="39"/>
  <c r="CY57" i="37"/>
  <c r="CV91" i="26"/>
  <c r="AN67" i="41"/>
  <c r="K45" i="26"/>
  <c r="BT25" i="25"/>
  <c r="DA57" i="41"/>
  <c r="AR25" i="25"/>
  <c r="CA50" i="41"/>
  <c r="CO62" i="25"/>
  <c r="AM96" i="37"/>
  <c r="BE91" i="41"/>
  <c r="CA12" i="39"/>
  <c r="AG66" i="41"/>
  <c r="AZ79" i="1"/>
  <c r="U54" i="39"/>
  <c r="Y89" i="40"/>
  <c r="CK57" i="1"/>
  <c r="AC75" i="36"/>
  <c r="U92" i="39"/>
  <c r="BT49" i="25"/>
  <c r="BU13" i="39"/>
  <c r="AC9"/>
  <c r="BQ98" i="25"/>
  <c r="BQ49" i="39"/>
  <c r="AG18" i="25"/>
  <c r="AM34" i="40"/>
  <c r="AQ65" i="36"/>
  <c r="CT25" i="41"/>
  <c r="CX54" i="39"/>
  <c r="H59" i="40"/>
  <c r="CV92" i="36"/>
  <c r="AP18"/>
  <c r="M18" i="38"/>
  <c r="DA21" i="37"/>
  <c r="BC57" i="26"/>
  <c r="CZ58" i="40"/>
  <c r="CN24" i="36"/>
  <c r="CA10" i="38"/>
  <c r="CK62" i="37"/>
  <c r="AP25"/>
  <c r="CR91" i="41"/>
  <c r="X12" i="38"/>
  <c r="CL37"/>
  <c r="CO65" i="36"/>
  <c r="BW50" i="38"/>
  <c r="AS59" i="36"/>
  <c r="AB60" i="38"/>
  <c r="AZ24" i="39"/>
  <c r="Z9" i="25"/>
  <c r="BE30" i="26"/>
  <c r="G98" i="37"/>
  <c r="U49"/>
  <c r="BY91" i="26"/>
  <c r="BS58" i="39"/>
  <c r="BZ49" i="36"/>
  <c r="CM103" i="1"/>
  <c r="AZ26" i="38"/>
  <c r="AP45" i="26"/>
  <c r="BO29"/>
  <c r="AT67" i="1"/>
  <c r="CR60" i="37"/>
  <c r="Y61" i="25"/>
  <c r="DD50" i="41"/>
  <c r="DD58" i="1"/>
  <c r="CR29" i="38"/>
  <c r="M26" i="40"/>
  <c r="F75" i="64"/>
  <c r="CP58" i="25"/>
  <c r="CM62" i="26"/>
  <c r="AQ12" i="39"/>
  <c r="AJ10" i="41"/>
  <c r="CV61" i="25"/>
  <c r="H50" i="40"/>
  <c r="DC81"/>
  <c r="J61" i="25"/>
  <c r="H37" i="41"/>
  <c r="BQ48" i="36"/>
  <c r="AP81" i="39"/>
  <c r="CS91" i="26"/>
  <c r="CA17" i="38"/>
  <c r="AF79" i="41"/>
  <c r="BE81" i="1"/>
  <c r="AJ30"/>
  <c r="U45" i="40"/>
  <c r="CA81" i="25"/>
  <c r="AW12" i="26"/>
  <c r="CW49" i="1"/>
  <c r="CS18" i="41"/>
  <c r="CN89" i="26"/>
  <c r="CJ81" i="1"/>
  <c r="BH17" i="36"/>
  <c r="M54" i="25"/>
  <c r="BV48" i="40"/>
  <c r="CY53"/>
  <c r="CY45" i="26"/>
  <c r="BR12" i="25"/>
  <c r="CZ65" i="1"/>
  <c r="AU24"/>
  <c r="BA26" i="36"/>
  <c r="DD53" i="1"/>
  <c r="AO34" i="37"/>
  <c r="BI10" i="25"/>
  <c r="AY37" i="36"/>
  <c r="BI37" i="38"/>
  <c r="AU29"/>
  <c r="CW21" i="26"/>
  <c r="CV58" i="1"/>
  <c r="Z21" i="40"/>
  <c r="CD9" i="1"/>
  <c r="AM65" i="25"/>
  <c r="CM71" i="37"/>
  <c r="CM48" i="26"/>
  <c r="AM89" i="41"/>
  <c r="BW17"/>
  <c r="CD89" i="39"/>
  <c r="CN58"/>
  <c r="DD30" i="37"/>
  <c r="AP62" i="25"/>
  <c r="CU27" i="37"/>
  <c r="DC18" i="40"/>
  <c r="CI53" i="39"/>
  <c r="CJ102" i="38"/>
  <c r="BA59" i="40"/>
  <c r="DE60" i="39"/>
  <c r="N60" i="36"/>
  <c r="AI67" i="26"/>
  <c r="X54" i="39"/>
  <c r="CY103" i="1"/>
  <c r="CY103" i="36"/>
  <c r="BQ30" i="38"/>
  <c r="BY91" i="1"/>
  <c r="Z27" i="36"/>
  <c r="S49" i="1"/>
  <c r="BG118" i="47"/>
  <c r="CC13" i="36"/>
  <c r="CA17" i="37"/>
  <c r="CF81" i="25"/>
  <c r="AJ91" i="36"/>
  <c r="L9" i="40"/>
  <c r="BI96" i="41"/>
  <c r="CE48" i="38"/>
  <c r="H49" i="40"/>
  <c r="BP79" i="1"/>
  <c r="BR50"/>
  <c r="DD59" i="36"/>
  <c r="CH17" i="39"/>
  <c r="CA57"/>
  <c r="CO59" i="41"/>
  <c r="Y66" i="36"/>
  <c r="BT59"/>
  <c r="CI62" i="1"/>
  <c r="S102" i="39"/>
  <c r="AO58" i="25"/>
  <c r="AR49" i="38"/>
  <c r="AM75" i="1"/>
  <c r="AC27" i="41"/>
  <c r="O13" i="26"/>
  <c r="DD79" i="25"/>
  <c r="CB13" i="41"/>
  <c r="AQ25" i="38"/>
  <c r="AM98" i="39"/>
  <c r="BU53" i="40"/>
  <c r="CH67" i="1"/>
  <c r="O75" i="40"/>
  <c r="CR53" i="39"/>
  <c r="BS48" i="38"/>
  <c r="CL59" i="41"/>
  <c r="AQ57" i="26"/>
  <c r="AZ26" i="40"/>
  <c r="CW96" i="41"/>
  <c r="AV67" i="1"/>
  <c r="G37" i="40"/>
  <c r="CJ24" i="41"/>
  <c r="BY27" i="1"/>
  <c r="BH65" i="37"/>
  <c r="CW21" i="41"/>
  <c r="BQ89" i="38"/>
  <c r="AY89" i="37"/>
  <c r="BC25" i="39"/>
  <c r="BD29" i="40"/>
  <c r="AH12" i="1"/>
  <c r="CL75" i="37"/>
  <c r="DC45" i="26"/>
  <c r="CT18" i="1"/>
  <c r="CN24"/>
  <c r="AF17" i="38"/>
  <c r="AR54" i="1"/>
  <c r="N96" i="41"/>
  <c r="M25" i="36"/>
  <c r="BQ54" i="41"/>
  <c r="L74" i="64"/>
  <c r="K54" i="38"/>
  <c r="CG21" i="25"/>
  <c r="BZ9" i="36"/>
  <c r="AV96" i="26"/>
  <c r="CA75"/>
  <c r="BX61" i="37"/>
  <c r="J65" i="1"/>
  <c r="BW92" i="40"/>
  <c r="AW61"/>
  <c r="AZ49" i="26"/>
  <c r="BY66" i="1"/>
  <c r="BE60" i="39"/>
  <c r="AE18" i="1"/>
  <c r="CJ49" i="26"/>
  <c r="CJ98" i="39"/>
  <c r="U25" i="26"/>
  <c r="CL21" i="38"/>
  <c r="CG34" i="40"/>
  <c r="M67" i="39"/>
  <c r="BV65" i="26"/>
  <c r="BC91" i="41"/>
  <c r="M49"/>
  <c r="K18" i="38"/>
  <c r="CC98" i="1"/>
  <c r="AN65" i="38"/>
  <c r="BW81" i="41"/>
  <c r="L98" i="1"/>
  <c r="AB66" i="25"/>
  <c r="AB34" i="40"/>
  <c r="O34" i="25"/>
  <c r="S75" i="26"/>
  <c r="BV45" i="1"/>
  <c r="CZ92" i="41"/>
  <c r="AB13" i="1"/>
  <c r="AU48"/>
  <c r="CA92" i="38"/>
  <c r="CL62" i="26"/>
  <c r="BB57" i="37"/>
  <c r="V13" i="25"/>
  <c r="CN57"/>
  <c r="DD13" i="37"/>
  <c r="W13"/>
  <c r="CA26"/>
  <c r="CI96" i="25"/>
  <c r="BR37" i="39"/>
  <c r="CN60"/>
  <c r="AC53" i="1"/>
  <c r="AP96" i="36"/>
  <c r="CZ50" i="25"/>
  <c r="G91" i="37"/>
  <c r="CD79" i="41"/>
  <c r="X29" i="25"/>
  <c r="CV102" i="38"/>
  <c r="H57" i="25"/>
  <c r="AW98" i="37"/>
  <c r="AQ60"/>
  <c r="X30" i="36"/>
  <c r="CO26" i="37"/>
  <c r="BR26" i="25"/>
  <c r="BY67" i="41"/>
  <c r="AQ66" i="25"/>
  <c r="DC57" i="36"/>
  <c r="X66" i="38"/>
  <c r="BT59" i="1"/>
  <c r="CJ54" i="25"/>
  <c r="CP50"/>
  <c r="CS62" i="41"/>
  <c r="BB61" i="37"/>
  <c r="CF103" i="1"/>
  <c r="K17"/>
  <c r="AJ81" i="39"/>
  <c r="BO61" i="41"/>
  <c r="CW71"/>
  <c r="BC37" i="25"/>
  <c r="AB92" i="40"/>
  <c r="AF37" i="39"/>
  <c r="DF9" i="25"/>
  <c r="BC50" i="37"/>
  <c r="BX103" i="1"/>
  <c r="CZ89" i="25"/>
  <c r="CO17" i="40"/>
  <c r="AI91"/>
  <c r="BA59" i="38"/>
  <c r="AH102" i="41"/>
  <c r="AM98" i="40"/>
  <c r="O10" i="39"/>
  <c r="I49" i="40"/>
  <c r="Y71" i="25"/>
  <c r="CV13" i="41"/>
  <c r="BE66" i="39"/>
  <c r="BP60" i="38"/>
  <c r="I96" i="40"/>
  <c r="DC103"/>
  <c r="CZ12" i="36"/>
  <c r="AT65" i="40"/>
  <c r="BO10" i="38"/>
  <c r="BP103" i="25"/>
  <c r="K65" i="26"/>
  <c r="CZ21" i="39"/>
  <c r="H50" i="41"/>
  <c r="L29" i="39"/>
  <c r="BX37" i="25"/>
  <c r="CD60" i="41"/>
  <c r="BZ96" i="37"/>
  <c r="CW48" i="26"/>
  <c r="CR75" i="1"/>
  <c r="I75" i="25"/>
  <c r="AM18" i="1"/>
  <c r="CJ79" i="25"/>
  <c r="AJ65" i="41"/>
  <c r="CR18" i="39"/>
  <c r="BH24" i="26"/>
  <c r="DE34" i="39"/>
  <c r="CW10" i="37"/>
  <c r="BT12" i="41"/>
  <c r="BV30" i="38"/>
  <c r="AH37" i="40"/>
  <c r="BY59" i="25"/>
  <c r="CE102" i="36"/>
  <c r="CH53" i="38"/>
  <c r="CS17" i="39"/>
  <c r="BV91" i="41"/>
  <c r="CT79" i="37"/>
  <c r="BV48" i="39"/>
  <c r="AG59" i="41"/>
  <c r="T53" i="1"/>
  <c r="AW45"/>
  <c r="BA34" i="36"/>
  <c r="AP45" i="41"/>
  <c r="BE45" i="1"/>
  <c r="BU102" i="26"/>
  <c r="U58" i="37"/>
  <c r="AA66" i="41"/>
  <c r="CQ75" i="36"/>
  <c r="AA59" i="25"/>
  <c r="AD34"/>
  <c r="T92" i="37"/>
  <c r="CT98" i="40"/>
  <c r="BA98" i="37"/>
  <c r="BD12" i="1"/>
  <c r="AN58" i="38"/>
  <c r="N21" i="26"/>
  <c r="AH24" i="37"/>
  <c r="Z91" i="39"/>
  <c r="L37" i="38"/>
  <c r="CX25" i="26"/>
  <c r="CC98" i="40"/>
  <c r="BO26" i="26"/>
  <c r="BU9" i="39"/>
  <c r="CD92" i="38"/>
  <c r="CO25" i="1"/>
  <c r="CW29" i="25"/>
  <c r="AO27" i="38"/>
  <c r="H102" i="39"/>
  <c r="CW103" i="38"/>
  <c r="CQ98" i="39"/>
  <c r="CB57"/>
  <c r="AG98" i="37"/>
  <c r="AZ66" i="39"/>
  <c r="AF81"/>
  <c r="DE30" i="38"/>
  <c r="BA81" i="26"/>
  <c r="BB34" i="37"/>
  <c r="BX25" i="39"/>
  <c r="BO29" i="41"/>
  <c r="BU48" i="26"/>
  <c r="BB71" i="39"/>
  <c r="BX26" i="1"/>
  <c r="CH27" i="38"/>
  <c r="DC67" i="37"/>
  <c r="BU75" i="40"/>
  <c r="CX12" i="37"/>
  <c r="CY49" i="36"/>
  <c r="AQ26" i="1"/>
  <c r="AH48"/>
  <c r="X66"/>
  <c r="AC50" i="37"/>
  <c r="CX49" i="36"/>
  <c r="I98" i="26"/>
  <c r="BI26" i="25"/>
  <c r="AW71"/>
  <c r="BH26" i="26"/>
  <c r="K59"/>
  <c r="BU91" i="37"/>
  <c r="M50" i="25"/>
  <c r="DE98" i="26"/>
  <c r="U29" i="25"/>
  <c r="AB98" i="41"/>
  <c r="O17" i="1"/>
  <c r="CV91" i="38"/>
  <c r="BZ48" i="39"/>
  <c r="CD29" i="38"/>
  <c r="CC50" i="37"/>
  <c r="CG48" i="1"/>
  <c r="AS21" i="26"/>
  <c r="BY25"/>
  <c r="AH18" i="1"/>
  <c r="BT67" i="26"/>
  <c r="CT30" i="36"/>
  <c r="AS25" i="26"/>
  <c r="DF18" i="40"/>
  <c r="AF75" i="1"/>
  <c r="AR59" i="41"/>
  <c r="CL75"/>
  <c r="BQ65" i="40"/>
  <c r="AN12"/>
  <c r="BC21" i="26"/>
  <c r="DF30" i="40"/>
  <c r="CW61" i="37"/>
  <c r="BT18" i="39"/>
  <c r="CE58" i="38"/>
  <c r="AD21" i="39"/>
  <c r="Z58" i="25"/>
  <c r="BZ21" i="1"/>
  <c r="W48" i="38"/>
  <c r="K48" i="39"/>
  <c r="CL98" i="26"/>
  <c r="BT60" i="39"/>
  <c r="J34" i="41"/>
  <c r="DC26" i="1"/>
  <c r="CO79"/>
  <c r="AW58" i="40"/>
  <c r="AQ45" i="38"/>
  <c r="CR61" i="36"/>
  <c r="BV66" i="1"/>
  <c r="U92" i="36"/>
  <c r="BY48" i="37"/>
  <c r="BY54" i="41"/>
  <c r="CU17"/>
  <c r="CQ26" i="38"/>
  <c r="AQ54" i="37"/>
  <c r="CW67" i="1"/>
  <c r="DE92" i="26"/>
  <c r="CC13" i="37"/>
  <c r="CH59"/>
  <c r="CW67" i="38"/>
  <c r="BO59" i="37"/>
  <c r="AH67" i="36"/>
  <c r="CQ50" i="38"/>
  <c r="AQ57" i="37"/>
  <c r="CQ24" i="38"/>
  <c r="CQ25" i="26"/>
  <c r="AO37"/>
  <c r="Z60"/>
  <c r="AV34" i="38"/>
  <c r="K71" i="41"/>
  <c r="L102"/>
  <c r="K37"/>
  <c r="BS103" i="36"/>
  <c r="AX59" i="25"/>
  <c r="V48"/>
  <c r="J17" i="26"/>
  <c r="BV58" i="38"/>
  <c r="T18" i="26"/>
  <c r="J26"/>
  <c r="CD34" i="36"/>
  <c r="M75" i="1"/>
  <c r="AD12" i="26"/>
  <c r="AG58"/>
  <c r="DD61" i="40"/>
  <c r="AB79" i="25"/>
  <c r="AM96" i="36"/>
  <c r="S96" i="37"/>
  <c r="CA26" i="40"/>
  <c r="AD12" i="25"/>
  <c r="CW67" i="37"/>
  <c r="AN45" i="36"/>
  <c r="BZ53" i="40"/>
  <c r="CL57" i="38"/>
  <c r="CH59" i="41"/>
  <c r="CB26" i="26"/>
  <c r="BA34" i="41"/>
  <c r="CP10"/>
  <c r="G62" i="38"/>
  <c r="DE58" i="26"/>
  <c r="P48"/>
  <c r="AN45" i="41"/>
  <c r="AH18" i="40"/>
  <c r="H92"/>
  <c r="DB26" i="26"/>
  <c r="BC71" i="38"/>
  <c r="CQ49" i="40"/>
  <c r="AH25" i="1"/>
  <c r="DC17"/>
  <c r="CE58" i="36"/>
  <c r="CY50" i="40"/>
  <c r="Y81" i="38"/>
  <c r="AO17" i="41"/>
  <c r="CV27" i="38"/>
  <c r="CO54" i="39"/>
  <c r="AG60" i="25"/>
  <c r="AQ29" i="38"/>
  <c r="CQ79" i="39"/>
  <c r="AM57" i="36"/>
  <c r="T27" i="25"/>
  <c r="AR27" i="26"/>
  <c r="AO102" i="37"/>
  <c r="AI58" i="1"/>
  <c r="CM96"/>
  <c r="BC49" i="38"/>
  <c r="AO27" i="25"/>
  <c r="AV62" i="36"/>
  <c r="AT98" i="25"/>
  <c r="AN58" i="26"/>
  <c r="BU48" i="41"/>
  <c r="BP91" i="40"/>
  <c r="AG91" i="39"/>
  <c r="CI48" i="40"/>
  <c r="CG54" i="41"/>
  <c r="BP75" i="40"/>
  <c r="N29" i="25"/>
  <c r="N34" i="38"/>
  <c r="AM27" i="39"/>
  <c r="AY96"/>
  <c r="CU79" i="1"/>
  <c r="BP57" i="25"/>
  <c r="T30" i="1"/>
  <c r="BB60" i="40"/>
  <c r="P24" i="39"/>
  <c r="CW13" i="38"/>
  <c r="AD24" i="25"/>
  <c r="AZ92" i="41"/>
  <c r="Y12" i="26"/>
  <c r="BQ58" i="41"/>
  <c r="BU98" i="36"/>
  <c r="AJ91" i="38"/>
  <c r="CI59" i="25"/>
  <c r="AZ48"/>
  <c r="K21" i="41"/>
  <c r="AJ62" i="40"/>
  <c r="CF49" i="38"/>
  <c r="BY9" i="1"/>
  <c r="CM54" i="37"/>
  <c r="AT29" i="38"/>
  <c r="AP96" i="40"/>
  <c r="Z57" i="37"/>
  <c r="BR49" i="1"/>
  <c r="CS67" i="26"/>
  <c r="BQ13" i="40"/>
  <c r="CQ103" i="38"/>
  <c r="AC27" i="25"/>
  <c r="CF27" i="38"/>
  <c r="AA27" i="37"/>
  <c r="BR25"/>
  <c r="AQ18" i="1"/>
  <c r="AY30" i="36"/>
  <c r="O54" i="59"/>
  <c r="AO54" i="37"/>
  <c r="H16" i="64"/>
  <c r="V81" i="37"/>
  <c r="BT66" i="39"/>
  <c r="AG37" i="26"/>
  <c r="BB89" i="1"/>
  <c r="Z54" i="39"/>
  <c r="V81" i="36"/>
  <c r="BO54" i="41"/>
  <c r="J33" i="60"/>
  <c r="CK60" i="26"/>
  <c r="CC45" i="1"/>
  <c r="BU17" i="37"/>
  <c r="S79"/>
  <c r="CE61" i="25"/>
  <c r="AV53" i="39"/>
  <c r="X17" i="37"/>
  <c r="BO89" i="1"/>
  <c r="H65" i="37"/>
  <c r="AD53" i="41"/>
  <c r="Y89" i="38"/>
  <c r="P27" i="37"/>
  <c r="BW12" i="36"/>
  <c r="BT26" i="1"/>
  <c r="CZ66" i="36"/>
  <c r="CL9" i="39"/>
  <c r="AR54" i="41"/>
  <c r="BV37" i="25"/>
  <c r="AP96" i="38"/>
  <c r="AS45" i="25"/>
  <c r="AM18"/>
  <c r="AS10" i="36"/>
  <c r="CY71" i="25"/>
  <c r="BV26" i="37"/>
  <c r="V54" i="38"/>
  <c r="BW98" i="1"/>
  <c r="BD24" i="39"/>
  <c r="BA96" i="37"/>
  <c r="J98" i="25"/>
  <c r="BA24" i="1"/>
  <c r="BS62" i="39"/>
  <c r="BB62" i="40"/>
  <c r="AG10" i="38"/>
  <c r="AG26" i="36"/>
  <c r="CE98" i="25"/>
  <c r="AU102" i="1"/>
  <c r="AE59" i="36"/>
  <c r="CY12"/>
  <c r="AY30" i="26"/>
  <c r="CD81"/>
  <c r="BU17" i="38"/>
  <c r="DD57"/>
  <c r="DE103" i="25"/>
  <c r="CF29" i="38"/>
  <c r="CH79"/>
  <c r="DD62" i="41"/>
  <c r="AZ21" i="25"/>
  <c r="CW91" i="26"/>
  <c r="BA53" i="25"/>
  <c r="AJ92" i="38"/>
  <c r="CG66" i="36"/>
  <c r="AJ92" i="25"/>
  <c r="BR24" i="36"/>
  <c r="CE89"/>
  <c r="O50" i="39"/>
  <c r="CT59" i="25"/>
  <c r="DC98" i="36"/>
  <c r="CP49" i="41"/>
  <c r="K9" i="40"/>
  <c r="CN79" i="26"/>
  <c r="BO61" i="36"/>
  <c r="BP102"/>
  <c r="N12" i="1"/>
  <c r="P92" i="39"/>
  <c r="AM79" i="38"/>
  <c r="Y62" i="25"/>
  <c r="BE98" i="1"/>
  <c r="BB96" i="40"/>
  <c r="CC50" i="39"/>
  <c r="CY12" i="38"/>
  <c r="CP91"/>
  <c r="CQ91"/>
  <c r="AN79" i="41"/>
  <c r="V67" i="26"/>
  <c r="AM27" i="41"/>
  <c r="AN65" i="1"/>
  <c r="BZ18" i="37"/>
  <c r="DC50"/>
  <c r="CO61"/>
  <c r="BV53"/>
  <c r="G91" i="64"/>
  <c r="BE92" i="36"/>
  <c r="DC10"/>
  <c r="AQ10" i="40"/>
  <c r="CI45" i="36"/>
  <c r="X50" i="41"/>
  <c r="CD27" i="36"/>
  <c r="BX13"/>
  <c r="BD9"/>
  <c r="T18" i="41"/>
  <c r="AC49" i="36"/>
  <c r="DF25" i="26"/>
  <c r="BE81" i="40"/>
  <c r="AJ96"/>
  <c r="CH24" i="26"/>
  <c r="Z96" i="1"/>
  <c r="BE71" i="25"/>
  <c r="W66" i="26"/>
  <c r="AJ102" i="36"/>
  <c r="CV27" i="40"/>
  <c r="X81" i="39"/>
  <c r="H65" i="38"/>
  <c r="BV75" i="26"/>
  <c r="AE17" i="37"/>
  <c r="AC37" i="1"/>
  <c r="CO50" i="26"/>
  <c r="CM67" i="40"/>
  <c r="L54" i="59"/>
  <c r="I54"/>
  <c r="CF59" i="37"/>
  <c r="CN103" i="38"/>
  <c r="CT13" i="37"/>
  <c r="CV54" i="39"/>
  <c r="DE57"/>
  <c r="DD21" i="40"/>
  <c r="CM27" i="39"/>
  <c r="AA60" i="41"/>
  <c r="CW66" i="37"/>
  <c r="O45" i="36"/>
  <c r="AD26" i="38"/>
  <c r="BD17" i="25"/>
  <c r="BR60" i="39"/>
  <c r="AY91" i="1"/>
  <c r="N27"/>
  <c r="T25" i="25"/>
  <c r="I81" i="38"/>
  <c r="AW12" i="1"/>
  <c r="BX71" i="38"/>
  <c r="BW45" i="39"/>
  <c r="H102" i="40"/>
  <c r="X62" i="38"/>
  <c r="BS49"/>
  <c r="BW60" i="40"/>
  <c r="BW37" i="37"/>
  <c r="AI49" i="40"/>
  <c r="BE54" i="37"/>
  <c r="P18" i="1"/>
  <c r="BB49" i="26"/>
  <c r="AQ27" i="37"/>
  <c r="BY98" i="40"/>
  <c r="AC17" i="38"/>
  <c r="BE21" i="40"/>
  <c r="BT81" i="39"/>
  <c r="AD57" i="37"/>
  <c r="AI26"/>
  <c r="BO58" i="26"/>
  <c r="CD62" i="39"/>
  <c r="AH91" i="25"/>
  <c r="DE26" i="1"/>
  <c r="AJ12" i="39"/>
  <c r="BV34" i="41"/>
  <c r="AR37" i="36"/>
  <c r="DE9" i="25"/>
  <c r="CN18" i="40"/>
  <c r="BP58" i="38"/>
  <c r="CR48"/>
  <c r="G26" i="36"/>
  <c r="CN29" i="39"/>
  <c r="CW66" i="36"/>
  <c r="CN98" i="38"/>
  <c r="BE27" i="36"/>
  <c r="CO9" i="37"/>
  <c r="AE29" i="36"/>
  <c r="DA71" i="41"/>
  <c r="BS98" i="40"/>
  <c r="CA98"/>
  <c r="DE65" i="41"/>
  <c r="CV61" i="40"/>
  <c r="BU92" i="36"/>
  <c r="W62" i="40"/>
  <c r="AT12" i="39"/>
  <c r="AS45" i="40"/>
  <c r="AN62" i="1"/>
  <c r="BE29"/>
  <c r="CK24" i="39"/>
  <c r="CX49" i="41"/>
  <c r="AT18" i="37"/>
  <c r="BZ89" i="1"/>
  <c r="AC91" i="37"/>
  <c r="DF34" i="40"/>
  <c r="CD12" i="38"/>
  <c r="BY81" i="41"/>
  <c r="CX13" i="39"/>
  <c r="H96" i="41"/>
  <c r="AU27" i="1"/>
  <c r="AC60" i="40"/>
  <c r="BI67" i="37"/>
  <c r="CS10" i="1"/>
  <c r="AR50" i="41"/>
  <c r="DB9" i="1"/>
  <c r="CT49" i="25"/>
  <c r="T18" i="40"/>
  <c r="DB102" i="36"/>
  <c r="CT58" i="1"/>
  <c r="AD81" i="25"/>
  <c r="AW71" i="36"/>
  <c r="CP27" i="39"/>
  <c r="DD60"/>
  <c r="CL91" i="37"/>
  <c r="O12" i="38"/>
  <c r="I89" i="36"/>
  <c r="CM12" i="41"/>
  <c r="CG60" i="37"/>
  <c r="BT61" i="40"/>
  <c r="BS57"/>
  <c r="CD98" i="41"/>
  <c r="BY103"/>
  <c r="L60" i="36"/>
  <c r="CZ18" i="39"/>
  <c r="DE9" i="40"/>
  <c r="AH21" i="39"/>
  <c r="CX24"/>
  <c r="X29" i="26"/>
  <c r="AW17" i="39"/>
  <c r="DA61" i="41"/>
  <c r="BP103" i="36"/>
  <c r="CT89" i="38"/>
  <c r="AQ62" i="40"/>
  <c r="CO12" i="41"/>
  <c r="AN67" i="26"/>
  <c r="G54" i="38"/>
  <c r="BU58" i="1"/>
  <c r="CS30" i="38"/>
  <c r="AY62" i="26"/>
  <c r="CX34" i="36"/>
  <c r="BH17" i="25"/>
  <c r="AG18" i="40"/>
  <c r="AR71" i="41"/>
  <c r="BV12" i="37"/>
  <c r="AV45" i="36"/>
  <c r="DE102" i="26"/>
  <c r="BP91"/>
  <c r="AM67" i="38"/>
  <c r="V92" i="25"/>
  <c r="E8" i="60"/>
  <c r="F18" i="46"/>
  <c r="CP98" i="40"/>
  <c r="CI60" i="26"/>
  <c r="BW34" i="36"/>
  <c r="CA89" i="26"/>
  <c r="BW103" i="40"/>
  <c r="CR17" i="38"/>
  <c r="CG98"/>
  <c r="CX62" i="41"/>
  <c r="CO98" i="36"/>
  <c r="BC13" i="41"/>
  <c r="CG13" i="1"/>
  <c r="P92"/>
  <c r="CJ49" i="25"/>
  <c r="CY65" i="36"/>
  <c r="AF29" i="38"/>
  <c r="BR13"/>
  <c r="CK81" i="25"/>
  <c r="BB30" i="38"/>
  <c r="AO71" i="41"/>
  <c r="P66" i="40"/>
  <c r="AC49" i="41"/>
  <c r="AM49" i="1"/>
  <c r="BI29" i="37"/>
  <c r="W57"/>
  <c r="CM71" i="39"/>
  <c r="AR37" i="41"/>
  <c r="O21" i="1"/>
  <c r="CZ62" i="26"/>
  <c r="AR91" i="1"/>
  <c r="BB91" i="41"/>
  <c r="BU92" i="25"/>
  <c r="V89" i="37"/>
  <c r="DC24" i="26"/>
  <c r="BE60" i="38"/>
  <c r="BY57" i="37"/>
  <c r="CP75" i="39"/>
  <c r="CV61" i="38"/>
  <c r="DD54" i="37"/>
  <c r="BB9" i="1"/>
  <c r="AP102" i="40"/>
  <c r="CR79" i="39"/>
  <c r="BC102" i="26"/>
  <c r="CU18"/>
  <c r="AY66" i="36"/>
  <c r="BW61" i="1"/>
  <c r="BC75" i="25"/>
  <c r="BH62" i="38"/>
  <c r="S81" i="25"/>
  <c r="BR26" i="26"/>
  <c r="AW30"/>
  <c r="CE103" i="39"/>
  <c r="CI62" i="26"/>
  <c r="W13" i="1"/>
  <c r="L57" i="26"/>
  <c r="AT50" i="1"/>
  <c r="DB89" i="37"/>
  <c r="BB21" i="1"/>
  <c r="BV59" i="37"/>
  <c r="CF53" i="25"/>
  <c r="DE49" i="26"/>
  <c r="AO58" i="40"/>
  <c r="DE91" i="25"/>
  <c r="CI53" i="26"/>
  <c r="CS57" i="37"/>
  <c r="H57"/>
  <c r="BI9" i="39"/>
  <c r="BQ37" i="26"/>
  <c r="AJ17"/>
  <c r="AE71" i="39"/>
  <c r="BV75" i="40"/>
  <c r="AF58" i="41"/>
  <c r="N9" i="25"/>
  <c r="DC10" i="26"/>
  <c r="AF24" i="38"/>
  <c r="AP89" i="39"/>
  <c r="CQ26" i="41"/>
  <c r="AT53" i="39"/>
  <c r="CF29" i="1"/>
  <c r="CB13" i="25"/>
  <c r="DC27" i="38"/>
  <c r="Y48" i="36"/>
  <c r="BH27" i="39"/>
  <c r="AI54"/>
  <c r="W13"/>
  <c r="BP67" i="40"/>
  <c r="CB27" i="26"/>
  <c r="AD59" i="36"/>
  <c r="AT58" i="39"/>
  <c r="CA9" i="1"/>
  <c r="X50" i="39"/>
  <c r="BH89" i="38"/>
  <c r="BP96" i="40"/>
  <c r="M17" i="25"/>
  <c r="CH45"/>
  <c r="AQ34" i="1"/>
  <c r="AU49" i="41"/>
  <c r="CO81" i="37"/>
  <c r="M98" i="1"/>
  <c r="AH75" i="39"/>
  <c r="Z9" i="38"/>
  <c r="CA25"/>
  <c r="BT25" i="37"/>
  <c r="BZ81"/>
  <c r="CV17" i="38"/>
  <c r="CM92" i="39"/>
  <c r="CT67"/>
  <c r="CO96" i="37"/>
  <c r="AH54" i="39"/>
  <c r="AY45" i="26"/>
  <c r="CQ21" i="41"/>
  <c r="CL65" i="37"/>
  <c r="BR62" i="40"/>
  <c r="CJ71" i="38"/>
  <c r="CK25"/>
  <c r="BT91"/>
  <c r="BY57" i="1"/>
  <c r="BY25" i="36"/>
  <c r="BW50"/>
  <c r="CI91"/>
  <c r="CP67" i="25"/>
  <c r="AB25" i="38"/>
  <c r="CR45" i="1"/>
  <c r="BC48" i="38"/>
  <c r="BB27" i="39"/>
  <c r="I48"/>
  <c r="N96" i="38"/>
  <c r="V49" i="39"/>
  <c r="AS29" i="26"/>
  <c r="AT91" i="1"/>
  <c r="CN89"/>
  <c r="CR57" i="26"/>
  <c r="J21" i="41"/>
  <c r="M26" i="36"/>
  <c r="DA10"/>
  <c r="AH21" i="40"/>
  <c r="CN92" i="26"/>
  <c r="BH18" i="40"/>
  <c r="AM34" i="26"/>
  <c r="AJ58" i="25"/>
  <c r="P34" i="36"/>
  <c r="BE21" i="41"/>
  <c r="AG10" i="1"/>
  <c r="DA62" i="26"/>
  <c r="CA75" i="39"/>
  <c r="X10" i="36"/>
  <c r="N75" i="40"/>
  <c r="AU50" i="38"/>
  <c r="G57" i="41"/>
  <c r="CC65" i="36"/>
  <c r="CB27" i="37"/>
  <c r="CV67" i="1"/>
  <c r="CH45" i="36"/>
  <c r="BP71" i="25"/>
  <c r="CB59" i="26"/>
  <c r="H54" i="36"/>
  <c r="CH98" i="40"/>
  <c r="CQ81" i="39"/>
  <c r="AP58" i="38"/>
  <c r="J59" i="26"/>
  <c r="K18" i="41"/>
  <c r="CQ65" i="36"/>
  <c r="CF61" i="38"/>
  <c r="BS66" i="40"/>
  <c r="AH27" i="1"/>
  <c r="AW54" i="38"/>
  <c r="BR58"/>
  <c r="BH98" i="39"/>
  <c r="U71" i="36"/>
  <c r="K45"/>
  <c r="DB91" i="38"/>
  <c r="AQ96" i="1"/>
  <c r="AG98"/>
  <c r="CU96" i="36"/>
  <c r="CX17" i="39"/>
  <c r="AV50" i="38"/>
  <c r="AB25" i="40"/>
  <c r="CY62" i="1"/>
  <c r="CE61" i="37"/>
  <c r="CB24" i="39"/>
  <c r="DF17" i="37"/>
  <c r="P96" i="41"/>
  <c r="DD75" i="36"/>
  <c r="AR10" i="1"/>
  <c r="BD30"/>
  <c r="P60" i="40"/>
  <c r="CF53" i="38"/>
  <c r="O30" i="39"/>
  <c r="BQ29" i="41"/>
  <c r="CZ96" i="36"/>
  <c r="Z30" i="1"/>
  <c r="CL9"/>
  <c r="W10" i="39"/>
  <c r="M49" i="26"/>
  <c r="AX26" i="40"/>
  <c r="AS30" i="36"/>
  <c r="AC21" i="39"/>
  <c r="DA24"/>
  <c r="CR66" i="37"/>
  <c r="BZ13" i="36"/>
  <c r="AE13"/>
  <c r="AM58" i="39"/>
  <c r="AS54" i="26"/>
  <c r="AC102" i="38"/>
  <c r="P50" i="26"/>
  <c r="G25" i="37"/>
  <c r="BI37" i="41"/>
  <c r="BC30" i="36"/>
  <c r="BT48" i="40"/>
  <c r="AG65" i="26"/>
  <c r="CQ24" i="25"/>
  <c r="CR65" i="40"/>
  <c r="Y21" i="25"/>
  <c r="S67" i="38"/>
  <c r="AY49" i="41"/>
  <c r="AD60" i="25"/>
  <c r="AE24" i="1"/>
  <c r="AN59" i="40"/>
  <c r="AO27" i="26"/>
  <c r="CX27" i="40"/>
  <c r="DC49" i="26"/>
  <c r="AP48"/>
  <c r="CP60" i="40"/>
  <c r="AY67" i="26"/>
  <c r="U92" i="38"/>
  <c r="BC59" i="25"/>
  <c r="AR18" i="40"/>
  <c r="BP34" i="1"/>
  <c r="BO30" i="37"/>
  <c r="BZ89" i="41"/>
  <c r="CA30" i="38"/>
  <c r="DD10" i="41"/>
  <c r="BC71" i="1"/>
  <c r="AT49" i="39"/>
  <c r="CV45" i="25"/>
  <c r="AX66" i="40"/>
  <c r="AW61" i="36"/>
  <c r="AE57"/>
  <c r="AB75" i="39"/>
  <c r="BT65" i="1"/>
  <c r="AP91" i="40"/>
  <c r="AT17"/>
  <c r="CQ58" i="41"/>
  <c r="AA29" i="26"/>
  <c r="CX49" i="1"/>
  <c r="DA17" i="38"/>
  <c r="DA60"/>
  <c r="V34" i="39"/>
  <c r="CC50" i="41"/>
  <c r="BZ66" i="26"/>
  <c r="CF66" i="38"/>
  <c r="AY96" i="26"/>
  <c r="CH37"/>
  <c r="CK27" i="37"/>
  <c r="BZ49" i="39"/>
  <c r="CY9" i="25"/>
  <c r="AH102"/>
  <c r="CK49"/>
  <c r="CA9"/>
  <c r="AA49" i="26"/>
  <c r="BV30" i="40"/>
  <c r="BS61" i="39"/>
  <c r="BD21" i="26"/>
  <c r="AR81" i="37"/>
  <c r="Z89" i="39"/>
  <c r="AC96" i="37"/>
  <c r="CB102" i="41"/>
  <c r="BR59"/>
  <c r="CL91" i="25"/>
  <c r="AX9" i="37"/>
  <c r="AN75" i="39"/>
  <c r="BY89" i="38"/>
  <c r="BA62" i="36"/>
  <c r="CX45" i="39"/>
  <c r="CE12"/>
  <c r="BS71" i="1"/>
  <c r="CL65" i="38"/>
  <c r="AT17" i="39"/>
  <c r="BZ61" i="37"/>
  <c r="AN91" i="40"/>
  <c r="X57" i="38"/>
  <c r="CG59"/>
  <c r="Z89" i="37"/>
  <c r="CX9" i="39"/>
  <c r="AB75" i="26"/>
  <c r="CT26" i="1"/>
  <c r="AE27"/>
  <c r="AH9" i="25"/>
  <c r="CF57" i="40"/>
  <c r="BU30" i="1"/>
  <c r="K49" i="37"/>
  <c r="CZ29" i="38"/>
  <c r="I53" i="1"/>
  <c r="H10" i="37"/>
  <c r="BT26" i="38"/>
  <c r="AR24" i="25"/>
  <c r="AP59" i="37"/>
  <c r="Y21" i="36"/>
  <c r="AF62"/>
  <c r="CD45" i="38"/>
  <c r="BW54" i="36"/>
  <c r="CJ53" i="39"/>
  <c r="BY26" i="37"/>
  <c r="CC27" i="38"/>
  <c r="AW53" i="1"/>
  <c r="BA49" i="38"/>
  <c r="BR10" i="40"/>
  <c r="BY10" i="38"/>
  <c r="CO24" i="26"/>
  <c r="AX50" i="25"/>
  <c r="CY103"/>
  <c r="AX61" i="1"/>
  <c r="H62"/>
  <c r="V57" i="38"/>
  <c r="CI13" i="36"/>
  <c r="AP62" i="1"/>
  <c r="P102" i="39"/>
  <c r="M34" i="37"/>
  <c r="H26" i="41"/>
  <c r="CK25"/>
  <c r="BT17" i="38"/>
  <c r="CZ9" i="40"/>
  <c r="AZ21" i="39"/>
  <c r="AX29" i="26"/>
  <c r="AV61" i="40"/>
  <c r="AN29" i="25"/>
  <c r="DC10" i="41"/>
  <c r="AS81" i="40"/>
  <c r="AD29" i="36"/>
  <c r="CX34" i="41"/>
  <c r="X25" i="40"/>
  <c r="CC96" i="39"/>
  <c r="CR50" i="1"/>
  <c r="BU60" i="39"/>
  <c r="P59" i="26"/>
  <c r="BE71" i="38"/>
  <c r="Z79" i="41"/>
  <c r="O81" i="25"/>
  <c r="CD27" i="37"/>
  <c r="CN9" i="1"/>
  <c r="CX50" i="40"/>
  <c r="H102" i="1"/>
  <c r="S62" i="38"/>
  <c r="BB27" i="41"/>
  <c r="CP21" i="38"/>
  <c r="O67" i="25"/>
  <c r="CL50" i="1"/>
  <c r="CQ103"/>
  <c r="AP54" i="36"/>
  <c r="BB53" i="38"/>
  <c r="DA60" i="37"/>
  <c r="CD53" i="40"/>
  <c r="BT13" i="1"/>
  <c r="CK10" i="41"/>
  <c r="AH45" i="37"/>
  <c r="AD67" i="1"/>
  <c r="CT81" i="26"/>
  <c r="AT59"/>
  <c r="CN25"/>
  <c r="BZ18" i="1"/>
  <c r="CW9" i="41"/>
  <c r="J21" i="40"/>
  <c r="P59" i="39"/>
  <c r="CB60" i="36"/>
  <c r="BC58" i="40"/>
  <c r="CS79" i="39"/>
  <c r="AQ102" i="36"/>
  <c r="BQ48" i="25"/>
  <c r="BC102" i="36"/>
  <c r="CD62" i="1"/>
  <c r="CN17"/>
  <c r="DF102"/>
  <c r="Y79"/>
  <c r="Z61" i="37"/>
  <c r="AT62" i="39"/>
  <c r="O53" i="40"/>
  <c r="K25" i="26"/>
  <c r="J90" i="60"/>
  <c r="CC25" i="38"/>
  <c r="CG57" i="26"/>
  <c r="DE62" i="38"/>
  <c r="CC21" i="37"/>
  <c r="Y24" i="39"/>
  <c r="AZ81" i="41"/>
  <c r="CM61" i="37"/>
  <c r="CN58" i="26"/>
  <c r="AZ65" i="36"/>
  <c r="AF65" i="39"/>
  <c r="AQ34"/>
  <c r="DB75" i="40"/>
  <c r="AM17" i="39"/>
  <c r="CL48" i="26"/>
  <c r="AB26" i="40"/>
  <c r="AC13" i="39"/>
  <c r="CT53" i="36"/>
  <c r="CN13" i="41"/>
  <c r="CO71" i="36"/>
  <c r="AA89" i="37"/>
  <c r="AM21" i="1"/>
  <c r="AE67" i="40"/>
  <c r="J57" i="26"/>
  <c r="P50" i="25"/>
  <c r="X12" i="39"/>
  <c r="U29" i="1"/>
  <c r="H67" i="38"/>
  <c r="BY96" i="40"/>
  <c r="K57" i="36"/>
  <c r="CC27" i="25"/>
  <c r="CM50" i="41"/>
  <c r="BY102" i="1"/>
  <c r="AP30" i="39"/>
  <c r="CR65" i="25"/>
  <c r="S13" i="38"/>
  <c r="V18" i="25"/>
  <c r="BT45" i="36"/>
  <c r="BU50" i="41"/>
  <c r="AT27" i="40"/>
  <c r="CN48" i="36"/>
  <c r="CA53" i="26"/>
  <c r="CV75" i="37"/>
  <c r="BB17" i="1"/>
  <c r="CK89" i="37"/>
  <c r="DD48" i="25"/>
  <c r="U91" i="38"/>
  <c r="CT50" i="41"/>
  <c r="CL50" i="38"/>
  <c r="BT89" i="26"/>
  <c r="Y65" i="25"/>
  <c r="AU50" i="37"/>
  <c r="CJ21" i="1"/>
  <c r="BI37" i="39"/>
  <c r="L91"/>
  <c r="CI102" i="1"/>
  <c r="CI58"/>
  <c r="G24" i="38"/>
  <c r="CO91" i="1"/>
  <c r="BH9" i="38"/>
  <c r="CF37" i="41"/>
  <c r="BA91" i="36"/>
  <c r="AJ54" i="26"/>
  <c r="BO102" i="37"/>
  <c r="AE26" i="1"/>
  <c r="AM26" i="38"/>
  <c r="DF26" i="25"/>
  <c r="CM21" i="37"/>
  <c r="BD79" i="40"/>
  <c r="CP61" i="36"/>
  <c r="DC18" i="1"/>
  <c r="BE21" i="36"/>
  <c r="CH102" i="1"/>
  <c r="AS71" i="41"/>
  <c r="BC81" i="36"/>
  <c r="AY92" i="41"/>
  <c r="L98" i="25"/>
  <c r="DB59" i="37"/>
  <c r="CR24" i="38"/>
  <c r="BA65" i="26"/>
  <c r="AG18" i="36"/>
  <c r="CE62" i="41"/>
  <c r="BR30" i="1"/>
  <c r="AX25" i="36"/>
  <c r="CI37"/>
  <c r="CB37" i="39"/>
  <c r="CA60" i="25"/>
  <c r="M48" i="39"/>
  <c r="AO60" i="41"/>
  <c r="AF24"/>
  <c r="CY62" i="25"/>
  <c r="CY89"/>
  <c r="CJ65" i="1"/>
  <c r="BS21" i="36"/>
  <c r="BY60" i="37"/>
  <c r="DB21" i="41"/>
  <c r="J26"/>
  <c r="AY21" i="25"/>
  <c r="CB75" i="41"/>
  <c r="AE49" i="40"/>
  <c r="W71"/>
  <c r="CL18" i="1"/>
  <c r="AZ66" i="36"/>
  <c r="AV12"/>
  <c r="CV12" i="41"/>
  <c r="O91"/>
  <c r="K92" i="38"/>
  <c r="J27"/>
  <c r="BQ37" i="37"/>
  <c r="BE81" i="39"/>
  <c r="AZ75" i="26"/>
  <c r="Z13" i="1"/>
  <c r="DA79" i="40"/>
  <c r="CY79" i="38"/>
  <c r="DA96" i="1"/>
  <c r="AR67" i="37"/>
  <c r="G50" i="39"/>
  <c r="V91"/>
  <c r="AA24" i="1"/>
  <c r="BE57" i="39"/>
  <c r="AS25" i="25"/>
  <c r="CC25" i="39"/>
  <c r="CG102" i="40"/>
  <c r="CB25" i="41"/>
  <c r="CD96"/>
  <c r="AZ17" i="26"/>
  <c r="CT29" i="40"/>
  <c r="BW57" i="36"/>
  <c r="CJ50" i="41"/>
  <c r="CJ57" i="37"/>
  <c r="BS9" i="26"/>
  <c r="O49" i="37"/>
  <c r="AX48" i="25"/>
  <c r="CK81" i="40"/>
  <c r="BE62" i="41"/>
  <c r="Z9" i="37"/>
  <c r="BE57" i="36"/>
  <c r="CB10" i="40"/>
  <c r="BZ79" i="41"/>
  <c r="AD81" i="39"/>
  <c r="AO59" i="37"/>
  <c r="CM81" i="1"/>
  <c r="AB59" i="38"/>
  <c r="AB102" i="25"/>
  <c r="BE17" i="1"/>
  <c r="BZ53" i="41"/>
  <c r="CJ17" i="36"/>
  <c r="S49" i="25"/>
  <c r="M53" i="36"/>
  <c r="CC61" i="37"/>
  <c r="S98" i="38"/>
  <c r="CT48" i="37"/>
  <c r="DB98" i="41"/>
  <c r="AW98" i="40"/>
  <c r="Y10" i="36"/>
  <c r="CG79" i="25"/>
  <c r="BX37" i="37"/>
  <c r="AX30" i="38"/>
  <c r="CE71"/>
  <c r="CW92"/>
  <c r="CR102" i="25"/>
  <c r="CQ58" i="39"/>
  <c r="CU12" i="41"/>
  <c r="CO66" i="39"/>
  <c r="N98" i="37"/>
  <c r="CX92" i="26"/>
  <c r="BC79" i="37"/>
  <c r="V89" i="26"/>
  <c r="AG75" i="37"/>
  <c r="AE89" i="36"/>
  <c r="CF13"/>
  <c r="CX27" i="41"/>
  <c r="AP58" i="40"/>
  <c r="CV29" i="39"/>
  <c r="U53" i="36"/>
  <c r="AT10"/>
  <c r="AU26" i="37"/>
  <c r="AE12" i="36"/>
  <c r="BR61" i="38"/>
  <c r="CQ45" i="36"/>
  <c r="CM48" i="39"/>
  <c r="CO62" i="36"/>
  <c r="AM45" i="25"/>
  <c r="CY10" i="39"/>
  <c r="CO53" i="41"/>
  <c r="BB62" i="36"/>
  <c r="DA61" i="1"/>
  <c r="CV13" i="38"/>
  <c r="AX91" i="40"/>
  <c r="CT92" i="41"/>
  <c r="AY49" i="37"/>
  <c r="CU66" i="26"/>
  <c r="L54"/>
  <c r="AU26" i="39"/>
  <c r="AT58" i="41"/>
  <c r="CX9" i="1"/>
  <c r="BU75" i="41"/>
  <c r="M21" i="38"/>
  <c r="CZ45" i="36"/>
  <c r="AA26" i="26"/>
  <c r="DC103" i="38"/>
  <c r="DF18"/>
  <c r="K98"/>
  <c r="H26"/>
  <c r="AR58" i="40"/>
  <c r="K37" i="39"/>
  <c r="CB13" i="1"/>
  <c r="CL103" i="37"/>
  <c r="DE45" i="36"/>
  <c r="AF24" i="37"/>
  <c r="G102" i="40"/>
  <c r="CV58" i="25"/>
  <c r="AB59" i="41"/>
  <c r="AY67" i="36"/>
  <c r="CD50" i="41"/>
  <c r="P75" i="40"/>
  <c r="O49" i="26"/>
  <c r="J21" i="39"/>
  <c r="BB129" i="47"/>
  <c r="CK67" i="37"/>
  <c r="CY25" i="41"/>
  <c r="CL25" i="25"/>
  <c r="AZ57" i="26"/>
  <c r="CF48" i="36"/>
  <c r="CR91" i="26"/>
  <c r="BZ29" i="36"/>
  <c r="AT49" i="38"/>
  <c r="DF92"/>
  <c r="X91" i="40"/>
  <c r="AO9" i="1"/>
  <c r="CE37" i="25"/>
  <c r="N54" i="1"/>
  <c r="Y59" i="40"/>
  <c r="CT65" i="39"/>
  <c r="AI57"/>
  <c r="N66" i="37"/>
  <c r="CC59" i="41"/>
  <c r="CJ13" i="1"/>
  <c r="CP59" i="38"/>
  <c r="CX67" i="36"/>
  <c r="BB9" i="26"/>
  <c r="CN79" i="38"/>
  <c r="DC18" i="39"/>
  <c r="CT54" i="38"/>
  <c r="AZ79" i="26"/>
  <c r="CS59" i="36"/>
  <c r="AC10" i="38"/>
  <c r="AZ53"/>
  <c r="AV45" i="26"/>
  <c r="AN59" i="38"/>
  <c r="BA12" i="36"/>
  <c r="AS62" i="41"/>
  <c r="CG49"/>
  <c r="AQ60" i="36"/>
  <c r="BH59" i="38"/>
  <c r="AG12"/>
  <c r="DF62" i="40"/>
  <c r="Z10" i="1"/>
  <c r="AC89"/>
  <c r="J57" i="36"/>
  <c r="BQ30" i="25"/>
  <c r="AV91" i="1"/>
  <c r="AR62" i="37"/>
  <c r="Y54" i="36"/>
  <c r="V62" i="40"/>
  <c r="Z89" i="1"/>
  <c r="H53" i="25"/>
  <c r="AF66" i="41"/>
  <c r="L71" i="38"/>
  <c r="BS61" i="1"/>
  <c r="CO81" i="36"/>
  <c r="CR92" i="37"/>
  <c r="BY54"/>
  <c r="CQ96" i="36"/>
  <c r="CB79" i="37"/>
  <c r="CS25" i="36"/>
  <c r="CI75" i="39"/>
  <c r="AM49" i="38"/>
  <c r="P54" i="36"/>
  <c r="AZ12" i="25"/>
  <c r="CC12" i="39"/>
  <c r="BV29" i="40"/>
  <c r="AA57" i="37"/>
  <c r="CZ98" i="25"/>
  <c r="BY10" i="39"/>
  <c r="O96" i="1"/>
  <c r="AN81" i="39"/>
  <c r="BV9" i="38"/>
  <c r="AV61" i="41"/>
  <c r="J27" i="26"/>
  <c r="BD45" i="40"/>
  <c r="BT62" i="37"/>
  <c r="BI60" i="26"/>
  <c r="H50"/>
  <c r="AS89" i="41"/>
  <c r="BD18" i="26"/>
  <c r="CG66" i="1"/>
  <c r="AE79" i="36"/>
  <c r="S98"/>
  <c r="AH10" i="38"/>
  <c r="CX71" i="37"/>
  <c r="AS24" i="39"/>
  <c r="BV92" i="37"/>
  <c r="BT66" i="41"/>
  <c r="N66" i="26"/>
  <c r="BR10" i="37"/>
  <c r="AE9" i="36"/>
  <c r="DE12" i="1"/>
  <c r="CS96" i="39"/>
  <c r="AQ37" i="1"/>
  <c r="Y17" i="26"/>
  <c r="P54" i="1"/>
  <c r="DF60" i="39"/>
  <c r="T17" i="41"/>
  <c r="AJ12" i="26"/>
  <c r="CG103" i="36"/>
  <c r="BC18" i="1"/>
  <c r="CT62" i="38"/>
  <c r="AT25" i="41"/>
  <c r="BZ26"/>
  <c r="BW102" i="38"/>
  <c r="CL60" i="40"/>
  <c r="CR17" i="36"/>
  <c r="CG98" i="40"/>
  <c r="AI58" i="37"/>
  <c r="CV57"/>
  <c r="P66" i="26"/>
  <c r="AZ21" i="1"/>
  <c r="CV53" i="41"/>
  <c r="CV54"/>
  <c r="O102" i="38"/>
  <c r="DC26" i="39"/>
  <c r="CE62" i="26"/>
  <c r="AC79"/>
  <c r="CL91" i="39"/>
  <c r="H10" i="25"/>
  <c r="AI25" i="26"/>
  <c r="L45" i="1"/>
  <c r="M17" i="38"/>
  <c r="W24" i="37"/>
  <c r="AV34" i="40"/>
  <c r="BP67" i="39"/>
  <c r="CU25" i="36"/>
  <c r="BD53" i="1"/>
  <c r="BQ91" i="40"/>
  <c r="AQ60"/>
  <c r="H91" i="26"/>
  <c r="H60" i="40"/>
  <c r="N96" i="26"/>
  <c r="BA57" i="1"/>
  <c r="AV29" i="40"/>
  <c r="CF65" i="26"/>
  <c r="CP66" i="36"/>
  <c r="AV98" i="41"/>
  <c r="CU27" i="39"/>
  <c r="CJ30" i="25"/>
  <c r="G57" i="37"/>
  <c r="AQ67" i="1"/>
  <c r="CX57"/>
  <c r="BI9" i="40"/>
  <c r="CN54" i="39"/>
  <c r="BZ30" i="1"/>
  <c r="BY34"/>
  <c r="BS34" i="36"/>
  <c r="AD29" i="25"/>
  <c r="BV60" i="38"/>
  <c r="Z89" i="40"/>
  <c r="AT92" i="41"/>
  <c r="AC34" i="1"/>
  <c r="CF102" i="41"/>
  <c r="BX102" i="26"/>
  <c r="AY96" i="41"/>
  <c r="CO58" i="25"/>
  <c r="AQ21" i="1"/>
  <c r="CU48" i="40"/>
  <c r="V81" i="25"/>
  <c r="H10" i="60"/>
  <c r="N49" i="59"/>
  <c r="N12"/>
  <c r="CX75" i="38"/>
  <c r="BE81" i="25"/>
  <c r="T29" i="40"/>
  <c r="CO103" i="39"/>
  <c r="CT66"/>
  <c r="G72" i="64"/>
  <c r="N52" i="59"/>
  <c r="BF125" i="47"/>
  <c r="BO54" i="36"/>
  <c r="BZ10" i="37"/>
  <c r="BW60" i="41"/>
  <c r="CD57" i="39"/>
  <c r="CB89" i="36"/>
  <c r="AQ30" i="26"/>
  <c r="AG26" i="1"/>
  <c r="CK37" i="38"/>
  <c r="AO9" i="41"/>
  <c r="AZ10" i="26"/>
  <c r="AS67" i="38"/>
  <c r="CM96" i="40"/>
  <c r="AI89" i="39"/>
  <c r="CA60" i="41"/>
  <c r="BB96"/>
  <c r="CW75" i="36"/>
  <c r="AU29" i="1"/>
  <c r="AC10" i="36"/>
  <c r="CB66" i="41"/>
  <c r="X25"/>
  <c r="H91" i="40"/>
  <c r="CI24"/>
  <c r="CJ27" i="37"/>
  <c r="CU9" i="39"/>
  <c r="CD60" i="1"/>
  <c r="O89" i="40"/>
  <c r="CJ57" i="41"/>
  <c r="I34" i="39"/>
  <c r="P91"/>
  <c r="J34" i="37"/>
  <c r="N81" i="26"/>
  <c r="P9"/>
  <c r="AY13" i="25"/>
  <c r="CH103" i="26"/>
  <c r="BR81"/>
  <c r="AR48"/>
  <c r="U49" i="39"/>
  <c r="CC81" i="26"/>
  <c r="AI50" i="41"/>
  <c r="BV34" i="26"/>
  <c r="BR96" i="25"/>
  <c r="AP60" i="26"/>
  <c r="AR29"/>
  <c r="M10" i="36"/>
  <c r="AW81" i="37"/>
  <c r="BU91" i="26"/>
  <c r="AT102" i="39"/>
  <c r="Z81" i="37"/>
  <c r="BR98"/>
  <c r="AA10" i="1"/>
  <c r="BS48" i="41"/>
  <c r="CK25" i="40"/>
  <c r="CB102" i="39"/>
  <c r="BZ71" i="37"/>
  <c r="O91" i="26"/>
  <c r="BX24"/>
  <c r="BC37"/>
  <c r="CI92"/>
  <c r="AP53" i="37"/>
  <c r="CJ10" i="40"/>
  <c r="BB34" i="26"/>
  <c r="CN81" i="37"/>
  <c r="BW29" i="1"/>
  <c r="BP96" i="36"/>
  <c r="BZ79" i="1"/>
  <c r="AB24" i="37"/>
  <c r="CT65"/>
  <c r="AR96" i="38"/>
  <c r="AF81" i="25"/>
  <c r="CT61" i="39"/>
  <c r="BZ89" i="25"/>
  <c r="BD61" i="40"/>
  <c r="AT92" i="26"/>
  <c r="U17" i="39"/>
  <c r="AG34"/>
  <c r="H91" i="38"/>
  <c r="DF17"/>
  <c r="DC102" i="26"/>
  <c r="S75" i="40"/>
  <c r="DE71"/>
  <c r="CY58" i="37"/>
  <c r="AZ9" i="25"/>
  <c r="BS25" i="41"/>
  <c r="BH26" i="40"/>
  <c r="AO67" i="1"/>
  <c r="P34" i="39"/>
  <c r="AC34" i="36"/>
  <c r="CV102" i="26"/>
  <c r="DF12" i="1"/>
  <c r="V62" i="38"/>
  <c r="CS34" i="26"/>
  <c r="AZ67" i="25"/>
  <c r="DC59"/>
  <c r="BT53" i="37"/>
  <c r="AT37" i="38"/>
  <c r="CX27" i="36"/>
  <c r="G48" i="25"/>
  <c r="BQ26" i="39"/>
  <c r="Z50" i="37"/>
  <c r="Y57" i="41"/>
  <c r="CO71" i="25"/>
  <c r="K45" i="41"/>
  <c r="BB89"/>
  <c r="BV81"/>
  <c r="CL21" i="36"/>
  <c r="AU67" i="1"/>
  <c r="AN67" i="40"/>
  <c r="K66" i="1"/>
  <c r="O45" i="40"/>
  <c r="BV12" i="25"/>
  <c r="O13"/>
  <c r="BV21" i="37"/>
  <c r="AB25" i="25"/>
  <c r="AY75" i="40"/>
  <c r="T61" i="26"/>
  <c r="AR92" i="41"/>
  <c r="CQ50" i="36"/>
  <c r="AN50"/>
  <c r="J54" i="37"/>
  <c r="G29"/>
  <c r="AM62" i="38"/>
  <c r="BX12" i="26"/>
  <c r="P61" i="1"/>
  <c r="T96" i="40"/>
  <c r="AV29" i="1"/>
  <c r="AV91" i="37"/>
  <c r="AX9" i="38"/>
  <c r="AC25" i="36"/>
  <c r="CN37"/>
  <c r="AB65" i="26"/>
  <c r="AH59" i="38"/>
  <c r="BZ17" i="1"/>
  <c r="CH53" i="37"/>
  <c r="BD96" i="41"/>
  <c r="CC27" i="1"/>
  <c r="BX54" i="36"/>
  <c r="BS96" i="25"/>
  <c r="AD24" i="1"/>
  <c r="DC12" i="37"/>
  <c r="BS12" i="41"/>
  <c r="CK30" i="36"/>
  <c r="V26" i="38"/>
  <c r="CB34" i="40"/>
  <c r="CW66" i="1"/>
  <c r="CH9"/>
  <c r="CW30" i="39"/>
  <c r="AO61" i="40"/>
  <c r="AQ66"/>
  <c r="X66" i="25"/>
  <c r="AJ62" i="41"/>
  <c r="I9" i="1"/>
  <c r="CM17"/>
  <c r="CL30" i="39"/>
  <c r="H30" i="25"/>
  <c r="BX92" i="36"/>
  <c r="CD98" i="1"/>
  <c r="L62" i="36"/>
  <c r="DC50" i="1"/>
  <c r="G17"/>
  <c r="CN29" i="37"/>
  <c r="AP75" i="1"/>
  <c r="AH29" i="36"/>
  <c r="BX26" i="37"/>
  <c r="J91" i="26"/>
  <c r="J10"/>
  <c r="CW53"/>
  <c r="T45" i="25"/>
  <c r="CX26" i="1"/>
  <c r="CI45"/>
  <c r="CK57" i="25"/>
  <c r="BV71" i="39"/>
  <c r="AU71" i="38"/>
  <c r="BZ102" i="36"/>
  <c r="H57" i="38"/>
  <c r="CR58" i="25"/>
  <c r="CJ98" i="1"/>
  <c r="AX75" i="38"/>
  <c r="AI45" i="40"/>
  <c r="DC27" i="37"/>
  <c r="AT10" i="25"/>
  <c r="BX58" i="39"/>
  <c r="L10" i="1"/>
  <c r="AG17" i="26"/>
  <c r="AA98" i="39"/>
  <c r="CS53" i="41"/>
  <c r="BE27" i="37"/>
  <c r="AQ66" i="36"/>
  <c r="CE13" i="40"/>
  <c r="DD98" i="37"/>
  <c r="BZ17" i="38"/>
  <c r="CJ29" i="36"/>
  <c r="BQ62"/>
  <c r="CS66"/>
  <c r="AN12" i="26"/>
  <c r="BW98" i="39"/>
  <c r="AI45" i="37"/>
  <c r="BH58" i="40"/>
  <c r="BI71" i="38"/>
  <c r="AC12"/>
  <c r="O79" i="41"/>
  <c r="CS103" i="25"/>
  <c r="CR37" i="40"/>
  <c r="DF75" i="1"/>
  <c r="AY48" i="40"/>
  <c r="DC30" i="41"/>
  <c r="U58" i="36"/>
  <c r="CX10"/>
  <c r="CX103" i="1"/>
  <c r="CY81" i="38"/>
  <c r="K62" i="40"/>
  <c r="CX18" i="36"/>
  <c r="M34" i="41"/>
  <c r="CN21" i="1"/>
  <c r="CG30" i="37"/>
  <c r="AP45" i="39"/>
  <c r="BV25" i="37"/>
  <c r="CG71" i="26"/>
  <c r="CX66" i="38"/>
  <c r="BB66" i="36"/>
  <c r="AY75" i="1"/>
  <c r="BA89"/>
  <c r="DA66" i="38"/>
  <c r="G37" i="37"/>
  <c r="DB48" i="40"/>
  <c r="CQ17" i="26"/>
  <c r="AH58"/>
  <c r="AU29"/>
  <c r="DA102" i="37"/>
  <c r="AA67" i="40"/>
  <c r="BC58" i="38"/>
  <c r="M91" i="37"/>
  <c r="AG13"/>
  <c r="BV92" i="38"/>
  <c r="V17" i="39"/>
  <c r="CZ92" i="26"/>
  <c r="AH67"/>
  <c r="BB75" i="39"/>
  <c r="CU26" i="41"/>
  <c r="M25"/>
  <c r="CF17" i="36"/>
  <c r="CL10" i="37"/>
  <c r="CF25" i="40"/>
  <c r="CC53" i="25"/>
  <c r="CH60" i="40"/>
  <c r="M71" i="26"/>
  <c r="CB37" i="25"/>
  <c r="CK13" i="37"/>
  <c r="BX92" i="26"/>
  <c r="CY60" i="41"/>
  <c r="I34" i="37"/>
  <c r="AY59" i="41"/>
  <c r="BX57" i="36"/>
  <c r="L10" i="41"/>
  <c r="DE37"/>
  <c r="BP37" i="38"/>
  <c r="AZ92" i="37"/>
  <c r="BY10" i="36"/>
  <c r="CJ53" i="26"/>
  <c r="L25"/>
  <c r="CD67" i="36"/>
  <c r="CN62" i="38"/>
  <c r="W25" i="36"/>
  <c r="BH25" i="26"/>
  <c r="AM26" i="1"/>
  <c r="CU59" i="38"/>
  <c r="CQ54" i="26"/>
  <c r="K79" i="41"/>
  <c r="AU25" i="1"/>
  <c r="CO49" i="37"/>
  <c r="AD53" i="36"/>
  <c r="CP92" i="26"/>
  <c r="AT89" i="37"/>
  <c r="CU66" i="25"/>
  <c r="N37" i="40"/>
  <c r="L66" i="41"/>
  <c r="G98" i="1"/>
  <c r="P89" i="36"/>
  <c r="AA57" i="39"/>
  <c r="G21"/>
  <c r="O66" i="37"/>
  <c r="AT60" i="40"/>
  <c r="N49" i="36"/>
  <c r="AB24" i="41"/>
  <c r="I48"/>
  <c r="AO17" i="25"/>
  <c r="DE103" i="41"/>
  <c r="AS98" i="26"/>
  <c r="BE26"/>
  <c r="AA10" i="38"/>
  <c r="CK65"/>
  <c r="CD10" i="40"/>
  <c r="BW92" i="26"/>
  <c r="CR45" i="41"/>
  <c r="CH62" i="37"/>
  <c r="CF79" i="25"/>
  <c r="CF10"/>
  <c r="AI96" i="1"/>
  <c r="BZ62" i="38"/>
  <c r="H26" i="40"/>
  <c r="CZ9" i="26"/>
  <c r="S13" i="25"/>
  <c r="CD37" i="41"/>
  <c r="CV49" i="26"/>
  <c r="Y59" i="38"/>
  <c r="DA29" i="41"/>
  <c r="CT12" i="40"/>
  <c r="AZ79" i="41"/>
  <c r="AA79" i="1"/>
  <c r="J53" i="38"/>
  <c r="AR13" i="26"/>
  <c r="CH13" i="38"/>
  <c r="CY48" i="41"/>
  <c r="CG75" i="36"/>
  <c r="CY62" i="41"/>
  <c r="BQ58" i="38"/>
  <c r="V62" i="1"/>
  <c r="T26" i="36"/>
  <c r="CZ27" i="26"/>
  <c r="O49" i="1"/>
  <c r="AJ59" i="26"/>
  <c r="CO62" i="39"/>
  <c r="AQ45" i="1"/>
  <c r="BR61"/>
  <c r="AE54" i="37"/>
  <c r="CH81" i="40"/>
  <c r="BQ49" i="1"/>
  <c r="T92" i="38"/>
  <c r="BC65" i="26"/>
  <c r="AJ81" i="40"/>
  <c r="BY13" i="36"/>
  <c r="CA54" i="40"/>
  <c r="N27" i="39"/>
  <c r="CI26" i="25"/>
  <c r="AZ79" i="39"/>
  <c r="BH62" i="37"/>
  <c r="BZ57" i="39"/>
  <c r="V37" i="40"/>
  <c r="CQ91" i="26"/>
  <c r="H27" i="1"/>
  <c r="AS71" i="26"/>
  <c r="W59" i="1"/>
  <c r="AI17" i="39"/>
  <c r="BR50" i="40"/>
  <c r="CC21" i="1"/>
  <c r="AC89" i="36"/>
  <c r="V75" i="25"/>
  <c r="CW45" i="38"/>
  <c r="CD61" i="37"/>
  <c r="CZ29" i="39"/>
  <c r="AD54" i="40"/>
  <c r="CK61" i="26"/>
  <c r="CY54" i="25"/>
  <c r="G26"/>
  <c r="BA92" i="40"/>
  <c r="AR50" i="1"/>
  <c r="K71" i="26"/>
  <c r="AW54" i="40"/>
  <c r="AO57" i="36"/>
  <c r="CC79"/>
  <c r="BY30" i="38"/>
  <c r="BA49" i="40"/>
  <c r="CR103" i="41"/>
  <c r="AG37" i="38"/>
  <c r="CD12" i="26"/>
  <c r="CV81" i="36"/>
  <c r="CH30" i="25"/>
  <c r="O29" i="38"/>
  <c r="BZ98" i="37"/>
  <c r="DB12" i="38"/>
  <c r="Y25" i="36"/>
  <c r="AE54" i="1"/>
  <c r="H98" i="41"/>
  <c r="L91" i="64"/>
  <c r="AP50" i="41"/>
  <c r="AO57" i="25"/>
  <c r="I89" i="26"/>
  <c r="CN60"/>
  <c r="CF103" i="38"/>
  <c r="CW102" i="25"/>
  <c r="BE30" i="41"/>
  <c r="AO50" i="36"/>
  <c r="T26" i="1"/>
  <c r="BD54" i="36"/>
  <c r="AV50"/>
  <c r="CU92" i="39"/>
  <c r="AD71" i="37"/>
  <c r="BZ91" i="36"/>
  <c r="W60" i="26"/>
  <c r="BH60" i="38"/>
  <c r="BC48" i="1"/>
  <c r="CP34" i="25"/>
  <c r="AW45" i="26"/>
  <c r="CR58" i="1"/>
  <c r="U91" i="40"/>
  <c r="K37" i="38"/>
  <c r="AC96" i="1"/>
  <c r="AB45" i="38"/>
  <c r="CZ29" i="37"/>
  <c r="AA98" i="41"/>
  <c r="BI25" i="25"/>
  <c r="K61" i="37"/>
  <c r="CA102" i="40"/>
  <c r="AJ21" i="36"/>
  <c r="S60" i="41"/>
  <c r="AS29" i="1"/>
  <c r="Z9" i="40"/>
  <c r="BE75" i="25"/>
  <c r="BZ25" i="40"/>
  <c r="AI34" i="25"/>
  <c r="BC57" i="1"/>
  <c r="CX91" i="25"/>
  <c r="CG12"/>
  <c r="CU9" i="40"/>
  <c r="BV62"/>
  <c r="L34" i="36"/>
  <c r="DD58" i="38"/>
  <c r="L65" i="25"/>
  <c r="BC59" i="41"/>
  <c r="BA21" i="1"/>
  <c r="CB25" i="26"/>
  <c r="G27" i="36"/>
  <c r="CO18" i="37"/>
  <c r="H29" i="26"/>
  <c r="AE37" i="25"/>
  <c r="CH103"/>
  <c r="DE75" i="37"/>
  <c r="BU48" i="38"/>
  <c r="K49" i="39"/>
  <c r="AO71" i="37"/>
  <c r="BA45"/>
  <c r="CD92" i="39"/>
  <c r="BW48" i="25"/>
  <c r="AU10" i="40"/>
  <c r="AG50" i="1"/>
  <c r="CU26" i="25"/>
  <c r="K16" i="64"/>
  <c r="CF37" i="25"/>
  <c r="CB12" i="26"/>
  <c r="DD34"/>
  <c r="CJ71"/>
  <c r="CI48" i="38"/>
  <c r="CO25" i="37"/>
  <c r="AO60" i="39"/>
  <c r="CM49" i="36"/>
  <c r="CY75" i="26"/>
  <c r="CQ91" i="40"/>
  <c r="AE102" i="1"/>
  <c r="CU65" i="39"/>
  <c r="CM81" i="40"/>
  <c r="AG98" i="38"/>
  <c r="BR27" i="39"/>
  <c r="CK24" i="1"/>
  <c r="O17" i="36"/>
  <c r="CE58" i="39"/>
  <c r="N18" i="26"/>
  <c r="CZ71" i="39"/>
  <c r="AG45" i="40"/>
  <c r="BA92" i="39"/>
  <c r="J66" i="36"/>
  <c r="AV9" i="37"/>
  <c r="BV25" i="40"/>
  <c r="AY75" i="39"/>
  <c r="BQ89" i="25"/>
  <c r="CQ27" i="38"/>
  <c r="CU71" i="25"/>
  <c r="O13" i="37"/>
  <c r="AO98" i="39"/>
  <c r="O65" i="38"/>
  <c r="BD24" i="40"/>
  <c r="V58" i="26"/>
  <c r="CE25" i="41"/>
  <c r="CP60" i="26"/>
  <c r="CN53" i="1"/>
  <c r="BV45" i="25"/>
  <c r="DF53" i="36"/>
  <c r="DE58" i="38"/>
  <c r="AC67" i="37"/>
  <c r="AV102"/>
  <c r="CU59" i="36"/>
  <c r="DB62"/>
  <c r="S57" i="38"/>
  <c r="AI18" i="36"/>
  <c r="X79" i="40"/>
  <c r="DE17" i="37"/>
  <c r="AH29" i="1"/>
  <c r="CC17" i="41"/>
  <c r="CG17" i="36"/>
  <c r="AV96" i="37"/>
  <c r="AP21" i="26"/>
  <c r="BV89" i="40"/>
  <c r="CV10"/>
  <c r="BR13" i="25"/>
  <c r="AR26" i="1"/>
  <c r="AW58" i="37"/>
  <c r="AZ17" i="1"/>
  <c r="BY62" i="39"/>
  <c r="CD57" i="38"/>
  <c r="BC67" i="40"/>
  <c r="Z60" i="1"/>
  <c r="BX26" i="39"/>
  <c r="CL103" i="41"/>
  <c r="CG53" i="40"/>
  <c r="AW58" i="36"/>
  <c r="BS91" i="25"/>
  <c r="W58" i="1"/>
  <c r="I58"/>
  <c r="BR24" i="40"/>
  <c r="BV18" i="39"/>
  <c r="W57"/>
  <c r="H58" i="41"/>
  <c r="BV103" i="40"/>
  <c r="H75" i="39"/>
  <c r="CT98" i="37"/>
  <c r="AW54" i="39"/>
  <c r="K89" i="25"/>
  <c r="CL71" i="36"/>
  <c r="CY17" i="40"/>
  <c r="AY96" i="25"/>
  <c r="O48" i="1"/>
  <c r="AH13" i="40"/>
  <c r="BI24" i="26"/>
  <c r="BQ29" i="38"/>
  <c r="CZ49" i="40"/>
  <c r="Y98" i="26"/>
  <c r="DB45"/>
  <c r="S71" i="25"/>
  <c r="BS50"/>
  <c r="BX30" i="1"/>
  <c r="BO60" i="26"/>
  <c r="CB62" i="38"/>
  <c r="AS26" i="39"/>
  <c r="BI50"/>
  <c r="AD92" i="1"/>
  <c r="K50" i="36"/>
  <c r="I53" i="25"/>
  <c r="AY27" i="41"/>
  <c r="BE17"/>
  <c r="CA13" i="25"/>
  <c r="AS67" i="36"/>
  <c r="CQ29" i="25"/>
  <c r="BY30" i="40"/>
  <c r="CB61" i="36"/>
  <c r="AF24"/>
  <c r="CF13" i="25"/>
  <c r="BV34" i="39"/>
  <c r="CL24"/>
  <c r="AU54" i="26"/>
  <c r="BT45" i="1"/>
  <c r="BZ12" i="41"/>
  <c r="BV37" i="40"/>
  <c r="AW30" i="37"/>
  <c r="BI57" i="39"/>
  <c r="AA26" i="38"/>
  <c r="CF92" i="37"/>
  <c r="AC79"/>
  <c r="CI79" i="25"/>
  <c r="CS48" i="41"/>
  <c r="CO81" i="1"/>
  <c r="CL13" i="40"/>
  <c r="BI30" i="26"/>
  <c r="AW102" i="39"/>
  <c r="CH49"/>
  <c r="AX60" i="37"/>
  <c r="BS13" i="38"/>
  <c r="DC25" i="25"/>
  <c r="BV13" i="1"/>
  <c r="U29" i="41"/>
  <c r="CM62" i="37"/>
  <c r="CZ98" i="1"/>
  <c r="U59" i="39"/>
  <c r="N65"/>
  <c r="CY103" i="40"/>
  <c r="CM67" i="1"/>
  <c r="DE27" i="36"/>
  <c r="O30"/>
  <c r="BY12" i="38"/>
  <c r="AN62" i="26"/>
  <c r="CU37" i="1"/>
  <c r="AA10" i="40"/>
  <c r="CQ71"/>
  <c r="CA10"/>
  <c r="H30" i="26"/>
  <c r="AT62" i="41"/>
  <c r="AS37"/>
  <c r="AP102" i="39"/>
  <c r="BZ98" i="38"/>
  <c r="K79"/>
  <c r="CW37" i="39"/>
  <c r="CV57" i="36"/>
  <c r="CV62" i="37"/>
  <c r="AZ10" i="40"/>
  <c r="AW37" i="1"/>
  <c r="AU91" i="40"/>
  <c r="AM37" i="37"/>
  <c r="AA12" i="40"/>
  <c r="N89" i="36"/>
  <c r="CJ61" i="26"/>
  <c r="CO13" i="36"/>
  <c r="CR103" i="25"/>
  <c r="CR10" i="39"/>
  <c r="U48" i="37"/>
  <c r="BT103" i="41"/>
  <c r="AT50" i="38"/>
  <c r="CJ37" i="26"/>
  <c r="DA54" i="38"/>
  <c r="BE71" i="39"/>
  <c r="CS45" i="37"/>
  <c r="BT25" i="38"/>
  <c r="AA50" i="26"/>
  <c r="BR45" i="41"/>
  <c r="BS98"/>
  <c r="V65" i="36"/>
  <c r="DE102" i="38"/>
  <c r="L29" i="40"/>
  <c r="CD13"/>
  <c r="CQ92" i="41"/>
  <c r="CJ54" i="26"/>
  <c r="AV58" i="37"/>
  <c r="AS102" i="36"/>
  <c r="Z65" i="37"/>
  <c r="Z92" i="41"/>
  <c r="S29" i="1"/>
  <c r="AZ12" i="38"/>
  <c r="T37"/>
  <c r="DE34" i="40"/>
  <c r="AI61" i="37"/>
  <c r="L98" i="40"/>
  <c r="AH9" i="37"/>
  <c r="H89" i="25"/>
  <c r="BE62" i="40"/>
  <c r="BQ75" i="39"/>
  <c r="O71" i="1"/>
  <c r="AS65" i="39"/>
  <c r="BW62" i="38"/>
  <c r="CC25" i="40"/>
  <c r="BB26" i="26"/>
  <c r="J53" i="25"/>
  <c r="K45" i="40"/>
  <c r="CQ92" i="37"/>
  <c r="I75" i="39"/>
  <c r="V75" i="38"/>
  <c r="Z48" i="25"/>
  <c r="CQ62" i="37"/>
  <c r="AH75" i="1"/>
  <c r="CF65"/>
  <c r="CD48"/>
  <c r="BZ25" i="38"/>
  <c r="BB102" i="26"/>
  <c r="AB17" i="1"/>
  <c r="CN92" i="41"/>
  <c r="CS89"/>
  <c r="M54" i="1"/>
  <c r="I57" i="26"/>
  <c r="N92" i="25"/>
  <c r="CP89" i="40"/>
  <c r="BR59" i="39"/>
  <c r="AX45" i="40"/>
  <c r="AQ59" i="41"/>
  <c r="AI102" i="38"/>
  <c r="AE102" i="41"/>
  <c r="BA66" i="26"/>
  <c r="P10" i="36"/>
  <c r="K89" i="26"/>
  <c r="AD49" i="40"/>
  <c r="AY53"/>
  <c r="AS96"/>
  <c r="CF34" i="41"/>
  <c r="CK75" i="36"/>
  <c r="AM62" i="37"/>
  <c r="CF25" i="38"/>
  <c r="Y12"/>
  <c r="DE24" i="25"/>
  <c r="DA30" i="36"/>
  <c r="AT57" i="38"/>
  <c r="AO17" i="37"/>
  <c r="BD96" i="36"/>
  <c r="AZ92"/>
  <c r="P81" i="38"/>
  <c r="AA50" i="25"/>
  <c r="DD49" i="40"/>
  <c r="CO58" i="36"/>
  <c r="AV21" i="37"/>
  <c r="U49" i="25"/>
  <c r="DA91" i="37"/>
  <c r="BB58"/>
  <c r="BT25" i="1"/>
  <c r="DF54" i="25"/>
  <c r="AR79" i="1"/>
  <c r="X91" i="37"/>
  <c r="BP54" i="41"/>
  <c r="CV26" i="40"/>
  <c r="L11" i="59"/>
  <c r="AT18" i="25"/>
  <c r="CR54" i="41"/>
  <c r="CD67" i="40"/>
  <c r="CL30" i="26"/>
  <c r="CS81" i="41"/>
  <c r="BW37" i="36"/>
  <c r="AC29" i="25"/>
  <c r="CI66" i="39"/>
  <c r="BA12"/>
  <c r="CR62" i="38"/>
  <c r="DE81" i="39"/>
  <c r="BH21"/>
  <c r="CD62" i="40"/>
  <c r="CI79" i="26"/>
  <c r="AG21" i="36"/>
  <c r="CM24" i="41"/>
  <c r="CL71" i="1"/>
  <c r="X98" i="36"/>
  <c r="AD18" i="41"/>
  <c r="BW59" i="1"/>
  <c r="BE79" i="37"/>
  <c r="BU89" i="39"/>
  <c r="BU75" i="38"/>
  <c r="CA10" i="41"/>
  <c r="N29" i="36"/>
  <c r="CH75" i="40"/>
  <c r="P58" i="41"/>
  <c r="BH89" i="40"/>
  <c r="DE60"/>
  <c r="U48"/>
  <c r="AC57" i="37"/>
  <c r="CZ75" i="26"/>
  <c r="DC24" i="37"/>
  <c r="U60" i="41"/>
  <c r="CA24" i="37"/>
  <c r="CH53" i="36"/>
  <c r="AU27" i="41"/>
  <c r="AR34" i="39"/>
  <c r="DB25" i="41"/>
  <c r="DC24" i="38"/>
  <c r="DC102"/>
  <c r="AW27" i="41"/>
  <c r="AB34"/>
  <c r="CQ24" i="1"/>
  <c r="AF25" i="38"/>
  <c r="CM27"/>
  <c r="CP26" i="41"/>
  <c r="AJ48" i="40"/>
  <c r="CS12" i="39"/>
  <c r="CL30" i="25"/>
  <c r="CG59"/>
  <c r="CN103" i="26"/>
  <c r="CK89" i="38"/>
  <c r="BI89" i="41"/>
  <c r="CG75" i="39"/>
  <c r="CW58" i="36"/>
  <c r="CJ26" i="26"/>
  <c r="W62" i="1"/>
  <c r="P66" i="37"/>
  <c r="AX79" i="26"/>
  <c r="K79" i="36"/>
  <c r="U17" i="37"/>
  <c r="AN9" i="41"/>
  <c r="CI75"/>
  <c r="BW45" i="1"/>
  <c r="CH9" i="25"/>
  <c r="AD17" i="38"/>
  <c r="AJ79" i="25"/>
  <c r="CP30" i="38"/>
  <c r="CK48" i="37"/>
  <c r="CB65" i="1"/>
  <c r="K62" i="26"/>
  <c r="AY58" i="36"/>
  <c r="AW53" i="25"/>
  <c r="AN61" i="39"/>
  <c r="BE24" i="38"/>
  <c r="CS89" i="1"/>
  <c r="DE27" i="38"/>
  <c r="CX65"/>
  <c r="CH25"/>
  <c r="CL92" i="25"/>
  <c r="AS12" i="39"/>
  <c r="AI21" i="26"/>
  <c r="DE26" i="39"/>
  <c r="CS9" i="41"/>
  <c r="CL49" i="26"/>
  <c r="DF75" i="25"/>
  <c r="Y96" i="38"/>
  <c r="U53" i="41"/>
  <c r="AE49" i="26"/>
  <c r="AB13" i="25"/>
  <c r="BQ71" i="37"/>
  <c r="CD59" i="1"/>
  <c r="CC98" i="26"/>
  <c r="CP57"/>
  <c r="BP66" i="38"/>
  <c r="K75" i="36"/>
  <c r="AV60" i="37"/>
  <c r="DC96" i="36"/>
  <c r="BA21" i="40"/>
  <c r="AB75" i="41"/>
  <c r="BY71" i="38"/>
  <c r="CW37" i="36"/>
  <c r="CS96" i="40"/>
  <c r="CL10" i="25"/>
  <c r="CV21" i="37"/>
  <c r="CW9" i="26"/>
  <c r="Y62" i="36"/>
  <c r="DA89"/>
  <c r="CR58"/>
  <c r="CM34" i="25"/>
  <c r="DA21" i="36"/>
  <c r="Y45"/>
  <c r="AJ59"/>
  <c r="AA96" i="40"/>
  <c r="AC50" i="36"/>
  <c r="BH10" i="38"/>
  <c r="CL18" i="37"/>
  <c r="Z98" i="26"/>
  <c r="BT58" i="40"/>
  <c r="AO34" i="25"/>
  <c r="BC29" i="1"/>
  <c r="AQ79" i="40"/>
  <c r="BT10" i="26"/>
  <c r="BS91" i="41"/>
  <c r="N67" i="37"/>
  <c r="BU18" i="39"/>
  <c r="CT91" i="38"/>
  <c r="AE29"/>
  <c r="CW58" i="26"/>
  <c r="K58" i="40"/>
  <c r="BC67" i="1"/>
  <c r="L10" i="25"/>
  <c r="CN79" i="36"/>
  <c r="CI54" i="38"/>
  <c r="V65" i="26"/>
  <c r="G60" i="37"/>
  <c r="BH54" i="40"/>
  <c r="AX66" i="38"/>
  <c r="Y10" i="37"/>
  <c r="L50" i="41"/>
  <c r="AH92"/>
  <c r="CO34" i="40"/>
  <c r="AX81" i="41"/>
  <c r="DF50" i="40"/>
  <c r="S65" i="38"/>
  <c r="AR34" i="26"/>
  <c r="G13" i="36"/>
  <c r="CX92" i="38"/>
  <c r="CA17" i="39"/>
  <c r="DC50" i="25"/>
  <c r="AI17"/>
  <c r="CF30" i="37"/>
  <c r="CX71" i="26"/>
  <c r="AR91" i="40"/>
  <c r="AF62" i="38"/>
  <c r="M49"/>
  <c r="P89" i="40"/>
  <c r="DE9" i="26"/>
  <c r="BS21"/>
  <c r="BI96" i="39"/>
  <c r="AV61" i="38"/>
  <c r="AY10" i="41"/>
  <c r="CR96" i="36"/>
  <c r="AD26" i="26"/>
  <c r="L81" i="25"/>
  <c r="X79" i="26"/>
  <c r="CL79"/>
  <c r="CO91" i="38"/>
  <c r="P79" i="39"/>
  <c r="O25" i="36"/>
  <c r="CL13" i="41"/>
  <c r="BR103" i="26"/>
  <c r="CD67" i="25"/>
  <c r="L62" i="37"/>
  <c r="W58" i="39"/>
  <c r="AX37" i="36"/>
  <c r="AM10" i="41"/>
  <c r="DE48" i="37"/>
  <c r="CP57" i="38"/>
  <c r="AB79" i="26"/>
  <c r="DB54" i="25"/>
  <c r="AB91" i="1"/>
  <c r="DA30" i="41"/>
  <c r="AS27" i="40"/>
  <c r="M79" i="38"/>
  <c r="BC67"/>
  <c r="CC12"/>
  <c r="N79" i="41"/>
  <c r="AI61" i="36"/>
  <c r="BW49" i="25"/>
  <c r="CE17" i="26"/>
  <c r="CW81" i="37"/>
  <c r="S67" i="40"/>
  <c r="H59" i="39"/>
  <c r="AG67" i="26"/>
  <c r="CA25" i="36"/>
  <c r="G98" i="25"/>
  <c r="BC45" i="1"/>
  <c r="G67" i="36"/>
  <c r="AE102" i="40"/>
  <c r="BO65"/>
  <c r="DC26"/>
  <c r="DF58" i="1"/>
  <c r="L10" i="39"/>
  <c r="W29" i="37"/>
  <c r="I62" i="25"/>
  <c r="AY50"/>
  <c r="BX48" i="36"/>
  <c r="BY102" i="37"/>
  <c r="BW26" i="36"/>
  <c r="BY53" i="38"/>
  <c r="AZ18" i="26"/>
  <c r="DD66" i="1"/>
  <c r="CB30" i="36"/>
  <c r="CH25" i="26"/>
  <c r="CC71" i="36"/>
  <c r="AX25" i="39"/>
  <c r="CU75" i="36"/>
  <c r="AA59" i="38"/>
  <c r="CL53" i="40"/>
  <c r="CE30" i="25"/>
  <c r="Z49" i="36"/>
  <c r="CZ48" i="37"/>
  <c r="U61" i="26"/>
  <c r="AW29"/>
  <c r="BT91" i="37"/>
  <c r="CC60" i="1"/>
  <c r="CE27" i="40"/>
  <c r="CT37" i="39"/>
  <c r="AA75" i="1"/>
  <c r="U30" i="37"/>
  <c r="BV53" i="39"/>
  <c r="CI29"/>
  <c r="DC71" i="1"/>
  <c r="AJ26" i="38"/>
  <c r="X66" i="39"/>
  <c r="G57" i="25"/>
  <c r="AT34" i="26"/>
  <c r="W27"/>
  <c r="DD45" i="36"/>
  <c r="K89" i="1"/>
  <c r="CT67" i="36"/>
  <c r="BE66" i="25"/>
  <c r="S96" i="41"/>
  <c r="AJ62" i="39"/>
  <c r="CL57" i="1"/>
  <c r="AG18" i="41"/>
  <c r="CJ59" i="36"/>
  <c r="CB71" i="26"/>
  <c r="CX9" i="37"/>
  <c r="AP18" i="1"/>
  <c r="P79"/>
  <c r="AT60"/>
  <c r="AE102" i="26"/>
  <c r="BQ96"/>
  <c r="S62" i="25"/>
  <c r="CE59" i="38"/>
  <c r="BW9" i="25"/>
  <c r="CD18" i="37"/>
  <c r="CR10" i="40"/>
  <c r="CM21" i="39"/>
  <c r="J50" i="40"/>
  <c r="BT49" i="41"/>
  <c r="M96" i="39"/>
  <c r="BD98" i="25"/>
  <c r="CS61"/>
  <c r="CC24" i="26"/>
  <c r="AY71" i="38"/>
  <c r="S26" i="1"/>
  <c r="N9" i="39"/>
  <c r="P50" i="37"/>
  <c r="DD18" i="26"/>
  <c r="CX60" i="1"/>
  <c r="AA9" i="25"/>
  <c r="AF29" i="36"/>
  <c r="AX48" i="37"/>
  <c r="Y17" i="39"/>
  <c r="Z61" i="25"/>
  <c r="X60" i="1"/>
  <c r="AQ24" i="38"/>
  <c r="BO27" i="36"/>
  <c r="AG79"/>
  <c r="CN9" i="38"/>
  <c r="CA34" i="41"/>
  <c r="BV89" i="1"/>
  <c r="AP17" i="41"/>
  <c r="K27" i="26"/>
  <c r="M102"/>
  <c r="G75" i="25"/>
  <c r="BW9" i="41"/>
  <c r="AV89" i="37"/>
  <c r="AM60" i="36"/>
  <c r="BA62" i="41"/>
  <c r="AW54" i="37"/>
  <c r="AA45" i="26"/>
  <c r="Y71" i="41"/>
  <c r="AX37" i="26"/>
  <c r="BW54" i="38"/>
  <c r="AY48" i="25"/>
  <c r="W30" i="36"/>
  <c r="V57"/>
  <c r="DC54"/>
  <c r="CW66" i="40"/>
  <c r="AS21" i="25"/>
  <c r="L60" i="40"/>
  <c r="CP9" i="26"/>
  <c r="CT26" i="40"/>
  <c r="K59" i="25"/>
  <c r="AQ13" i="38"/>
  <c r="CA24" i="25"/>
  <c r="AG91" i="1"/>
  <c r="CY50" i="39"/>
  <c r="DF21" i="37"/>
  <c r="CN81" i="25"/>
  <c r="BD62" i="40"/>
  <c r="DA66" i="39"/>
  <c r="U71" i="41"/>
  <c r="AM67" i="26"/>
  <c r="AD54" i="41"/>
  <c r="CX59" i="1"/>
  <c r="K17" i="39"/>
  <c r="BT58" i="1"/>
  <c r="AJ75" i="41"/>
  <c r="BQ96" i="1"/>
  <c r="AM21" i="39"/>
  <c r="O62"/>
  <c r="AE25" i="36"/>
  <c r="CF18" i="40"/>
  <c r="CJ10" i="36"/>
  <c r="BU61" i="25"/>
  <c r="BE91" i="36"/>
  <c r="AC81" i="25"/>
  <c r="AN79" i="36"/>
  <c r="CL9" i="41"/>
  <c r="BC54" i="36"/>
  <c r="AW30"/>
  <c r="CU96" i="26"/>
  <c r="AR24" i="37"/>
  <c r="AG75" i="40"/>
  <c r="BO98" i="41"/>
  <c r="BH12" i="40"/>
  <c r="BT9" i="41"/>
  <c r="CY29" i="36"/>
  <c r="AT66" i="40"/>
  <c r="S98" i="39"/>
  <c r="I74" i="64"/>
  <c r="L6" i="60"/>
  <c r="G91"/>
  <c r="DC75" i="37"/>
  <c r="L67" i="36"/>
  <c r="AX89" i="41"/>
  <c r="AQ75" i="38"/>
  <c r="M91" i="60"/>
  <c r="F20" i="50"/>
  <c r="L49" i="59"/>
  <c r="CA45" i="26"/>
  <c r="BX96" i="25"/>
  <c r="DB27" i="37"/>
  <c r="CP61"/>
  <c r="J62" i="1"/>
  <c r="AF18" i="36"/>
  <c r="X62" i="37"/>
  <c r="CO21" i="36"/>
  <c r="BE25" i="41"/>
  <c r="CW9" i="1"/>
  <c r="M54" i="39"/>
  <c r="O79" i="26"/>
  <c r="BP62"/>
  <c r="CU102" i="36"/>
  <c r="BO67" i="25"/>
  <c r="CF54" i="36"/>
  <c r="DB98" i="26"/>
  <c r="I12" i="38"/>
  <c r="P62" i="26"/>
  <c r="CF103" i="41"/>
  <c r="T61" i="38"/>
  <c r="AC81"/>
  <c r="CO53"/>
  <c r="V29" i="37"/>
  <c r="CR24" i="36"/>
  <c r="CB50" i="1"/>
  <c r="CY17" i="39"/>
  <c r="AZ91" i="41"/>
  <c r="BA45" i="38"/>
  <c r="AJ34" i="1"/>
  <c r="DD60" i="37"/>
  <c r="AS59" i="38"/>
  <c r="CZ21"/>
  <c r="BD10" i="41"/>
  <c r="W25" i="37"/>
  <c r="AY66" i="1"/>
  <c r="CP30" i="37"/>
  <c r="Z65" i="36"/>
  <c r="CX12" i="39"/>
  <c r="BW71"/>
  <c r="AD66" i="25"/>
  <c r="DE81" i="41"/>
  <c r="M92" i="37"/>
  <c r="AB10" i="41"/>
  <c r="CD29" i="39"/>
  <c r="AB45"/>
  <c r="AS66" i="37"/>
  <c r="AY102" i="1"/>
  <c r="BX12"/>
  <c r="BV24" i="36"/>
  <c r="AR61" i="1"/>
  <c r="J37" i="36"/>
  <c r="AX48" i="39"/>
  <c r="CF75" i="1"/>
  <c r="DA98" i="25"/>
  <c r="CW58" i="39"/>
  <c r="CH71" i="37"/>
  <c r="CS103" i="1"/>
  <c r="BA45" i="41"/>
  <c r="O102" i="40"/>
  <c r="U29" i="36"/>
  <c r="AS54" i="41"/>
  <c r="AZ57" i="40"/>
  <c r="AJ53" i="26"/>
  <c r="X67" i="25"/>
  <c r="BR29" i="36"/>
  <c r="K9" i="25"/>
  <c r="CM50" i="40"/>
  <c r="AA26" i="36"/>
  <c r="AV96" i="40"/>
  <c r="X57" i="25"/>
  <c r="T10" i="36"/>
  <c r="G59" i="26"/>
  <c r="G92" i="37"/>
  <c r="BR49" i="25"/>
  <c r="N30" i="38"/>
  <c r="BR45" i="26"/>
  <c r="G60" i="39"/>
  <c r="BH48" i="40"/>
  <c r="CY49" i="37"/>
  <c r="AY54" i="41"/>
  <c r="BA53" i="39"/>
  <c r="DA59" i="25"/>
  <c r="H8" i="60"/>
  <c r="Y59" i="1"/>
  <c r="CV102"/>
  <c r="U59" i="38"/>
  <c r="AJ13" i="36"/>
  <c r="BE102" i="40"/>
  <c r="L67" i="1"/>
  <c r="BH9" i="37"/>
  <c r="BO71" i="25"/>
  <c r="H71" i="37"/>
  <c r="CM45" i="40"/>
  <c r="S30" i="38"/>
  <c r="CH92" i="37"/>
  <c r="CH65" i="1"/>
  <c r="G65" i="26"/>
  <c r="DD18" i="38"/>
  <c r="V18" i="1"/>
  <c r="BU57" i="40"/>
  <c r="CR17" i="1"/>
  <c r="AX81" i="25"/>
  <c r="CN58" i="37"/>
  <c r="AF61" i="1"/>
  <c r="N54" i="37"/>
  <c r="CF21" i="39"/>
  <c r="L17" i="59"/>
  <c r="I76" i="64"/>
  <c r="CV26" i="38"/>
  <c r="CJ89" i="40"/>
  <c r="CE91" i="41"/>
  <c r="CR18" i="38"/>
  <c r="CI81" i="41"/>
  <c r="CT53" i="1"/>
  <c r="AR9" i="37"/>
  <c r="DF48" i="36"/>
  <c r="DB91" i="40"/>
  <c r="AF89" i="39"/>
  <c r="G92" i="36"/>
  <c r="AD62" i="26"/>
  <c r="BH26" i="1"/>
  <c r="I67" i="39"/>
  <c r="BX91" i="37"/>
  <c r="U65"/>
  <c r="W30" i="1"/>
  <c r="DF98" i="41"/>
  <c r="CQ50" i="39"/>
  <c r="AH58" i="25"/>
  <c r="DA98" i="26"/>
  <c r="DC89" i="40"/>
  <c r="I59" i="37"/>
  <c r="AG13" i="26"/>
  <c r="CD26" i="25"/>
  <c r="AS25" i="40"/>
  <c r="BW60" i="36"/>
  <c r="BD81" i="37"/>
  <c r="AN18" i="41"/>
  <c r="CB66" i="38"/>
  <c r="BH48" i="36"/>
  <c r="CD26" i="41"/>
  <c r="CS79" i="1"/>
  <c r="CM17" i="41"/>
  <c r="CU49" i="25"/>
  <c r="AU79" i="41"/>
  <c r="CQ18" i="37"/>
  <c r="CU89" i="36"/>
  <c r="CI103" i="25"/>
  <c r="CU66" i="37"/>
  <c r="DD24" i="36"/>
  <c r="AG102" i="26"/>
  <c r="BS89" i="41"/>
  <c r="BR48" i="38"/>
  <c r="Z45" i="39"/>
  <c r="AM37" i="26"/>
  <c r="AY57" i="25"/>
  <c r="G71" i="38"/>
  <c r="I45" i="40"/>
  <c r="Z53" i="41"/>
  <c r="G98" i="36"/>
  <c r="CR58" i="40"/>
  <c r="BU49" i="38"/>
  <c r="CD45" i="1"/>
  <c r="CZ24" i="39"/>
  <c r="G66" i="41"/>
  <c r="K30"/>
  <c r="CD9" i="39"/>
  <c r="BT92" i="25"/>
  <c r="BW79" i="37"/>
  <c r="AH13" i="25"/>
  <c r="BO62" i="26"/>
  <c r="CW96" i="1"/>
  <c r="BP89" i="25"/>
  <c r="BH29" i="40"/>
  <c r="AA9"/>
  <c r="BT26" i="36"/>
  <c r="BH29" i="39"/>
  <c r="AX17" i="25"/>
  <c r="AT25" i="39"/>
  <c r="BP59" i="25"/>
  <c r="DC59" i="37"/>
  <c r="AB25" i="41"/>
  <c r="CH26" i="39"/>
  <c r="CE65" i="25"/>
  <c r="CC10" i="26"/>
  <c r="CO10" i="37"/>
  <c r="CD91" i="40"/>
  <c r="CY29"/>
  <c r="BP30" i="25"/>
  <c r="AD58"/>
  <c r="BQ13"/>
  <c r="W48" i="39"/>
  <c r="BR96" i="26"/>
  <c r="BA37" i="25"/>
  <c r="T49" i="26"/>
  <c r="CR61" i="39"/>
  <c r="CS12" i="40"/>
  <c r="I34" i="25"/>
  <c r="BS29" i="26"/>
  <c r="AX60" i="1"/>
  <c r="CP60" i="38"/>
  <c r="AH66" i="41"/>
  <c r="AR37" i="40"/>
  <c r="DD53" i="26"/>
  <c r="J71" i="40"/>
  <c r="CB53" i="37"/>
  <c r="BW27" i="1"/>
  <c r="AW53" i="36"/>
  <c r="CQ27" i="26"/>
  <c r="AG71" i="41"/>
  <c r="DA10" i="39"/>
  <c r="AD29" i="26"/>
  <c r="AD25" i="40"/>
  <c r="CU61" i="36"/>
  <c r="S91"/>
  <c r="AF102" i="25"/>
  <c r="CO96" i="39"/>
  <c r="S34"/>
  <c r="AA30" i="1"/>
  <c r="AQ92" i="38"/>
  <c r="BC27" i="39"/>
  <c r="M58" i="26"/>
  <c r="AV13" i="36"/>
  <c r="DC48" i="38"/>
  <c r="L25" i="41"/>
  <c r="CG10" i="1"/>
  <c r="AG21" i="37"/>
  <c r="AE26" i="25"/>
  <c r="I25" i="41"/>
  <c r="CB34" i="26"/>
  <c r="V59" i="36"/>
  <c r="N50" i="26"/>
  <c r="BI62" i="38"/>
  <c r="V61" i="25"/>
  <c r="I60" i="26"/>
  <c r="G19" i="64"/>
  <c r="H53" i="59"/>
  <c r="CH45" i="40"/>
  <c r="CP30" i="25"/>
  <c r="CK59" i="38"/>
  <c r="CS29" i="37"/>
  <c r="CC92" i="39"/>
  <c r="J98" i="38"/>
  <c r="CI57" i="36"/>
  <c r="CR79" i="26"/>
  <c r="CV29" i="41"/>
  <c r="CH91" i="26"/>
  <c r="AD25" i="37"/>
  <c r="AM79" i="40"/>
  <c r="DF26" i="1"/>
  <c r="CH25"/>
  <c r="AG21" i="26"/>
  <c r="BS26"/>
  <c r="AY98"/>
  <c r="N61" i="39"/>
  <c r="Z58" i="40"/>
  <c r="DB60" i="36"/>
  <c r="DB45" i="25"/>
  <c r="DF54" i="1"/>
  <c r="S61"/>
  <c r="CW71" i="39"/>
  <c r="BV10" i="36"/>
  <c r="AW25" i="39"/>
  <c r="BS49" i="36"/>
  <c r="CZ81" i="37"/>
  <c r="L58" i="36"/>
  <c r="I89" i="38"/>
  <c r="W71" i="39"/>
  <c r="BW9" i="1"/>
  <c r="BQ61" i="38"/>
  <c r="CB103" i="41"/>
  <c r="BW60" i="25"/>
  <c r="BD79" i="39"/>
  <c r="AF18" i="1"/>
  <c r="CM59" i="26"/>
  <c r="AO50" i="25"/>
  <c r="Y45" i="41"/>
  <c r="CI25" i="39"/>
  <c r="K21" i="1"/>
  <c r="AF18" i="41"/>
  <c r="BI26" i="1"/>
  <c r="DA50" i="25"/>
  <c r="I34" i="41"/>
  <c r="AO26" i="1"/>
  <c r="AQ25" i="40"/>
  <c r="BZ60" i="41"/>
  <c r="CH9" i="26"/>
  <c r="AE71" i="40"/>
  <c r="CI29" i="25"/>
  <c r="BT75" i="37"/>
  <c r="CJ17" i="41"/>
  <c r="BO67" i="26"/>
  <c r="CK34" i="36"/>
  <c r="DC103" i="41"/>
  <c r="AO18" i="26"/>
  <c r="CR66"/>
  <c r="CH12" i="41"/>
  <c r="AE17"/>
  <c r="BP62" i="38"/>
  <c r="CD66" i="39"/>
  <c r="BB91" i="26"/>
  <c r="AZ62" i="41"/>
  <c r="AR57" i="25"/>
  <c r="AJ98" i="40"/>
  <c r="CU13" i="38"/>
  <c r="AH58"/>
  <c r="BH49" i="41"/>
  <c r="AO65" i="37"/>
  <c r="AO48" i="40"/>
  <c r="DC67" i="38"/>
  <c r="CX92" i="37"/>
  <c r="CZ53" i="41"/>
  <c r="I13" i="36"/>
  <c r="I9" i="40"/>
  <c r="DB75" i="1"/>
  <c r="BZ17" i="37"/>
  <c r="CA13"/>
  <c r="DB37" i="26"/>
  <c r="M50"/>
  <c r="AM60" i="38"/>
  <c r="I17" i="25"/>
  <c r="Y48" i="38"/>
  <c r="BY25" i="39"/>
  <c r="DA24" i="25"/>
  <c r="L79" i="41"/>
  <c r="AA34" i="36"/>
  <c r="BH18" i="26"/>
  <c r="DB25"/>
  <c r="S67"/>
  <c r="BZ98" i="25"/>
  <c r="CA58" i="40"/>
  <c r="BA54" i="37"/>
  <c r="CF9" i="1"/>
  <c r="W37" i="25"/>
  <c r="BC26"/>
  <c r="DC27" i="36"/>
  <c r="CD34" i="41"/>
  <c r="CE81" i="39"/>
  <c r="BI49"/>
  <c r="CI25" i="26"/>
  <c r="CG54" i="25"/>
  <c r="CC102" i="37"/>
  <c r="CJ98" i="26"/>
  <c r="CU34" i="1"/>
  <c r="T37" i="40"/>
  <c r="CL49" i="38"/>
  <c r="CE13" i="39"/>
  <c r="CI30" i="41"/>
  <c r="CO29" i="38"/>
  <c r="CQ91" i="25"/>
  <c r="AS10" i="40"/>
  <c r="BH59" i="39"/>
  <c r="AW75" i="1"/>
  <c r="CD89" i="36"/>
  <c r="CU60"/>
  <c r="BT62" i="1"/>
  <c r="CB62"/>
  <c r="AO25" i="39"/>
  <c r="CC9" i="40"/>
  <c r="Y57" i="39"/>
  <c r="CL12" i="37"/>
  <c r="AH29" i="38"/>
  <c r="AV59" i="39"/>
  <c r="AH30" i="37"/>
  <c r="BR45"/>
  <c r="BP49" i="36"/>
  <c r="BB92" i="37"/>
  <c r="AY12" i="1"/>
  <c r="CM66" i="39"/>
  <c r="T30" i="41"/>
  <c r="BD10" i="40"/>
  <c r="M17" i="26"/>
  <c r="AF67" i="39"/>
  <c r="AS102" i="41"/>
  <c r="CV62" i="25"/>
  <c r="DC91" i="41"/>
  <c r="AD58" i="39"/>
  <c r="AY13" i="38"/>
  <c r="BQ30" i="26"/>
  <c r="BH49"/>
  <c r="CQ75" i="40"/>
  <c r="CU13" i="41"/>
  <c r="CE71" i="36"/>
  <c r="AA71" i="40"/>
  <c r="AY66"/>
  <c r="CH91" i="36"/>
  <c r="AV10" i="41"/>
  <c r="DC81" i="25"/>
  <c r="CQ49" i="39"/>
  <c r="DA27" i="36"/>
  <c r="AM13" i="41"/>
  <c r="CT50" i="36"/>
  <c r="AC29" i="1"/>
  <c r="CV103"/>
  <c r="M98" i="40"/>
  <c r="BY61" i="1"/>
  <c r="AJ59" i="40"/>
  <c r="CB49" i="1"/>
  <c r="DA53" i="41"/>
  <c r="AO58" i="1"/>
  <c r="AM17" i="38"/>
  <c r="AO29" i="40"/>
  <c r="T26" i="38"/>
  <c r="CM12" i="36"/>
  <c r="BS58" i="26"/>
  <c r="G74" i="64"/>
  <c r="DC13" i="36"/>
  <c r="AX102"/>
  <c r="AD57" i="40"/>
  <c r="CH17" i="1"/>
  <c r="CE59" i="37"/>
  <c r="BC25" i="41"/>
  <c r="L98" i="39"/>
  <c r="AC102" i="41"/>
  <c r="BW27" i="26"/>
  <c r="CQ67" i="36"/>
  <c r="CD65" i="1"/>
  <c r="CO65" i="41"/>
  <c r="BO57" i="26"/>
  <c r="P48" i="38"/>
  <c r="AT59" i="25"/>
  <c r="BH59" i="37"/>
  <c r="DC25" i="36"/>
  <c r="AT13" i="1"/>
  <c r="DA102" i="41"/>
  <c r="CW65" i="38"/>
  <c r="AF48" i="26"/>
  <c r="AZ61" i="41"/>
  <c r="AQ66" i="38"/>
  <c r="DA58" i="40"/>
  <c r="AN102" i="41"/>
  <c r="BR54" i="25"/>
  <c r="AZ57" i="1"/>
  <c r="CI9" i="25"/>
  <c r="BY58" i="40"/>
  <c r="V37" i="37"/>
  <c r="CX57" i="40"/>
  <c r="CF26" i="39"/>
  <c r="BB9" i="41"/>
  <c r="X18" i="37"/>
  <c r="BP103" i="38"/>
  <c r="BR98"/>
  <c r="AD98" i="41"/>
  <c r="G49" i="1"/>
  <c r="AO37" i="36"/>
  <c r="W66" i="37"/>
  <c r="CI13"/>
  <c r="AE98" i="40"/>
  <c r="BZ53" i="36"/>
  <c r="AR54" i="26"/>
  <c r="CZ10" i="25"/>
  <c r="CY27" i="41"/>
  <c r="CQ59"/>
  <c r="AP30" i="1"/>
  <c r="AA25" i="41"/>
  <c r="O12" i="25"/>
  <c r="AO10" i="41"/>
  <c r="BZ81" i="25"/>
  <c r="AY71" i="41"/>
  <c r="CT57" i="1"/>
  <c r="AO10" i="26"/>
  <c r="CE91" i="37"/>
  <c r="Z67" i="39"/>
  <c r="AJ89" i="1"/>
  <c r="O57" i="37"/>
  <c r="CD59" i="38"/>
  <c r="AG10" i="26"/>
  <c r="AB75" i="37"/>
  <c r="BT21" i="25"/>
  <c r="AO37" i="39"/>
  <c r="AZ58" i="25"/>
  <c r="P45" i="40"/>
  <c r="G18" i="41"/>
  <c r="CS60" i="36"/>
  <c r="BU26" i="26"/>
  <c r="DE59" i="41"/>
  <c r="AR91" i="37"/>
  <c r="CY58" i="1"/>
  <c r="CM102" i="26"/>
  <c r="AO34"/>
  <c r="M30" i="40"/>
  <c r="CI103" i="1"/>
  <c r="L17" i="41"/>
  <c r="AG79" i="39"/>
  <c r="CZ29" i="40"/>
  <c r="BZ102"/>
  <c r="CO89" i="25"/>
  <c r="CX54"/>
  <c r="CG26" i="38"/>
  <c r="CP49" i="37"/>
  <c r="AP102" i="26"/>
  <c r="BS81" i="39"/>
  <c r="I60" i="1"/>
  <c r="I25" i="40"/>
  <c r="DE9" i="36"/>
  <c r="CJ48"/>
  <c r="CS65" i="37"/>
  <c r="CI12" i="26"/>
  <c r="BC96" i="39"/>
  <c r="G34" i="37"/>
  <c r="Y9" i="41"/>
  <c r="BP66" i="40"/>
  <c r="CE59" i="25"/>
  <c r="DE98" i="39"/>
  <c r="M71" i="25"/>
  <c r="O30" i="38"/>
  <c r="AT26" i="36"/>
  <c r="CJ13" i="38"/>
  <c r="BT45" i="37"/>
  <c r="BY26" i="36"/>
  <c r="CG53" i="38"/>
  <c r="BE75" i="36"/>
  <c r="BD92" i="38"/>
  <c r="P91"/>
  <c r="CX102" i="25"/>
  <c r="AH21" i="38"/>
  <c r="BZ34" i="37"/>
  <c r="Y58" i="38"/>
  <c r="AV59" i="41"/>
  <c r="M57" i="40"/>
  <c r="CU30" i="41"/>
  <c r="CO89" i="26"/>
  <c r="CP17" i="41"/>
  <c r="BT13" i="26"/>
  <c r="CG103" i="39"/>
  <c r="K91"/>
  <c r="P58" i="37"/>
  <c r="BY75"/>
  <c r="BU91" i="40"/>
  <c r="DB24" i="39"/>
  <c r="AN25" i="40"/>
  <c r="CI18" i="25"/>
  <c r="DB18" i="38"/>
  <c r="Z10"/>
  <c r="AW67" i="1"/>
  <c r="CK71" i="25"/>
  <c r="CU67" i="40"/>
  <c r="AQ59" i="39"/>
  <c r="CL21" i="40"/>
  <c r="CS48" i="1"/>
  <c r="AE45" i="25"/>
  <c r="CW60"/>
  <c r="BI12" i="37"/>
  <c r="BZ37" i="39"/>
  <c r="CZ53" i="1"/>
  <c r="P59" i="36"/>
  <c r="AJ53" i="38"/>
  <c r="AA91" i="37"/>
  <c r="BE21" i="38"/>
  <c r="L65"/>
  <c r="AS62" i="39"/>
  <c r="AD12" i="38"/>
  <c r="AT61" i="40"/>
  <c r="CL89" i="38"/>
  <c r="AM53" i="41"/>
  <c r="CS62" i="25"/>
  <c r="AB49" i="39"/>
  <c r="AO79" i="40"/>
  <c r="D36" i="59"/>
  <c r="BX53" i="37"/>
  <c r="CT75" i="38"/>
  <c r="BS50" i="40"/>
  <c r="CH61"/>
  <c r="CU59" i="41"/>
  <c r="AN18" i="39"/>
  <c r="AE45" i="37"/>
  <c r="Y21" i="41"/>
  <c r="AW17" i="36"/>
  <c r="CY18" i="39"/>
  <c r="AE53" i="1"/>
  <c r="AR9" i="26"/>
  <c r="DF17" i="1"/>
  <c r="CE79" i="41"/>
  <c r="AQ17" i="40"/>
  <c r="BS24" i="38"/>
  <c r="K57" i="40"/>
  <c r="BE71" i="41"/>
  <c r="AM48" i="26"/>
  <c r="S13" i="40"/>
  <c r="AO29" i="26"/>
  <c r="K58" i="38"/>
  <c r="AU54" i="37"/>
  <c r="AM50" i="38"/>
  <c r="CD62" i="41"/>
  <c r="AH89" i="26"/>
  <c r="K10" i="39"/>
  <c r="H71" i="38"/>
  <c r="CZ61" i="40"/>
  <c r="DF81" i="39"/>
  <c r="Z60" i="37"/>
  <c r="DF75" i="38"/>
  <c r="AS81" i="37"/>
  <c r="L61" i="26"/>
  <c r="U91" i="41"/>
  <c r="AQ53" i="37"/>
  <c r="AY34" i="25"/>
  <c r="S81" i="41"/>
  <c r="P96" i="26"/>
  <c r="W65" i="1"/>
  <c r="AT50" i="40"/>
  <c r="X34" i="25"/>
  <c r="CZ26" i="40"/>
  <c r="AC71" i="25"/>
  <c r="AC61"/>
  <c r="AO37" i="38"/>
  <c r="AE75" i="41"/>
  <c r="BC27" i="26"/>
  <c r="BC98" i="39"/>
  <c r="AP62" i="37"/>
  <c r="DD54" i="25"/>
  <c r="AI25"/>
  <c r="O12" i="59"/>
  <c r="P53"/>
  <c r="J74" i="64"/>
  <c r="BY102" i="40"/>
  <c r="CU65" i="1"/>
  <c r="AO25" i="41"/>
  <c r="DE18" i="1"/>
  <c r="BR79" i="25"/>
  <c r="CE10" i="26"/>
  <c r="O60" i="40"/>
  <c r="CR29" i="25"/>
  <c r="AJ67"/>
  <c r="DE61" i="37"/>
  <c r="DE79" i="40"/>
  <c r="CT58" i="39"/>
  <c r="BH50" i="38"/>
  <c r="AJ27" i="26"/>
  <c r="AW18" i="40"/>
  <c r="X58" i="39"/>
  <c r="BX50" i="36"/>
  <c r="CY79" i="39"/>
  <c r="CB58"/>
  <c r="CG26" i="1"/>
  <c r="DC45" i="40"/>
  <c r="CW27" i="36"/>
  <c r="AR26" i="26"/>
  <c r="CW103" i="40"/>
  <c r="CI48" i="1"/>
  <c r="AM59" i="37"/>
  <c r="AS65" i="25"/>
  <c r="DD61" i="38"/>
  <c r="X58" i="36"/>
  <c r="CM29" i="37"/>
  <c r="CE34" i="1"/>
  <c r="V29" i="41"/>
  <c r="AE53" i="26"/>
  <c r="CM24" i="1"/>
  <c r="BW30" i="38"/>
  <c r="AB92" i="41"/>
  <c r="AU91" i="38"/>
  <c r="AF45" i="39"/>
  <c r="BA58" i="1"/>
  <c r="CO65" i="40"/>
  <c r="CG79" i="36"/>
  <c r="CE27" i="39"/>
  <c r="BX49" i="40"/>
  <c r="AD59" i="39"/>
  <c r="AP79" i="36"/>
  <c r="K48" i="40"/>
  <c r="BW66" i="41"/>
  <c r="CS66" i="37"/>
  <c r="CV24" i="1"/>
  <c r="BW24" i="40"/>
  <c r="CL65" i="25"/>
  <c r="BO59" i="41"/>
  <c r="AO25" i="37"/>
  <c r="AX71" i="41"/>
  <c r="AG57" i="39"/>
  <c r="U61" i="41"/>
  <c r="AM21" i="40"/>
  <c r="AD92" i="26"/>
  <c r="BH29"/>
  <c r="BS12" i="38"/>
  <c r="AJ9" i="37"/>
  <c r="CX75" i="1"/>
  <c r="P98" i="26"/>
  <c r="CL75"/>
  <c r="CU66" i="1"/>
  <c r="AH34" i="37"/>
  <c r="AB75" i="36"/>
  <c r="J34" i="1"/>
  <c r="T34" i="25"/>
  <c r="I65" i="40"/>
  <c r="AP9" i="41"/>
  <c r="T27" i="38"/>
  <c r="DA57" i="39"/>
  <c r="AA9" i="38"/>
  <c r="BT57" i="40"/>
  <c r="AQ12" i="1"/>
  <c r="CQ53" i="36"/>
  <c r="G29" i="39"/>
  <c r="Z37" i="37"/>
  <c r="DB48" i="26"/>
  <c r="AU61" i="39"/>
  <c r="AR75" i="37"/>
  <c r="BY50" i="41"/>
  <c r="DC62" i="37"/>
  <c r="CG60" i="38"/>
  <c r="CX65" i="26"/>
  <c r="CK65" i="1"/>
  <c r="CD58" i="40"/>
  <c r="AR60" i="1"/>
  <c r="AH58" i="41"/>
  <c r="AM24" i="1"/>
  <c r="CW92" i="40"/>
  <c r="L61"/>
  <c r="Y91" i="41"/>
  <c r="BE34" i="1"/>
  <c r="BB75" i="36"/>
  <c r="BT50" i="26"/>
  <c r="BE98" i="40"/>
  <c r="I12" i="37"/>
  <c r="BA89" i="38"/>
  <c r="DD27" i="36"/>
  <c r="CN75" i="39"/>
  <c r="AB58" i="41"/>
  <c r="CL92"/>
  <c r="G67" i="39"/>
  <c r="Y12" i="37"/>
  <c r="CS89" i="26"/>
  <c r="H57" i="39"/>
  <c r="P48"/>
  <c r="CH66" i="40"/>
  <c r="M24"/>
  <c r="I66" i="38"/>
  <c r="H26" i="25"/>
  <c r="DD75" i="37"/>
  <c r="DF60" i="40"/>
  <c r="AP34" i="38"/>
  <c r="S29" i="37"/>
  <c r="X75" i="25"/>
  <c r="DE58" i="41"/>
  <c r="DA57" i="1"/>
  <c r="BW92" i="41"/>
  <c r="AZ21" i="26"/>
  <c r="CD13"/>
  <c r="CU50" i="37"/>
  <c r="BZ25" i="41"/>
  <c r="CI96" i="26"/>
  <c r="CD30" i="36"/>
  <c r="CL102" i="39"/>
  <c r="DE96" i="38"/>
  <c r="O102" i="25"/>
  <c r="Y18" i="26"/>
  <c r="Y96" i="40"/>
  <c r="CM58" i="25"/>
  <c r="CR37" i="36"/>
  <c r="AD13"/>
  <c r="AW81"/>
  <c r="AS61" i="37"/>
  <c r="BZ59" i="1"/>
  <c r="K50"/>
  <c r="L62" i="39"/>
  <c r="BO66" i="40"/>
  <c r="AJ102" i="39"/>
  <c r="BC27" i="40"/>
  <c r="DB98" i="39"/>
  <c r="CC91" i="36"/>
  <c r="AF61" i="25"/>
  <c r="AD71" i="40"/>
  <c r="CB12" i="41"/>
  <c r="AD12"/>
  <c r="CI13"/>
  <c r="CJ37"/>
  <c r="G89"/>
  <c r="CG71" i="38"/>
  <c r="AT9" i="25"/>
  <c r="BW65"/>
  <c r="CC13" i="40"/>
  <c r="CP13" i="37"/>
  <c r="AS75" i="26"/>
  <c r="AU71" i="40"/>
  <c r="AI58" i="25"/>
  <c r="CK17" i="26"/>
  <c r="DD53" i="38"/>
  <c r="M59" i="1"/>
  <c r="K102" i="39"/>
  <c r="DF62" i="38"/>
  <c r="DE59" i="40"/>
  <c r="AA57" i="1"/>
  <c r="V34" i="40"/>
  <c r="BH58" i="1"/>
  <c r="BW61" i="40"/>
  <c r="DC89" i="41"/>
  <c r="M62"/>
  <c r="CH62" i="39"/>
  <c r="CL91" i="36"/>
  <c r="BR21" i="39"/>
  <c r="AO91" i="38"/>
  <c r="M75" i="64"/>
  <c r="CK18" i="41"/>
  <c r="CD30" i="40"/>
  <c r="CX12" i="41"/>
  <c r="AT62" i="26"/>
  <c r="BR13"/>
  <c r="U17"/>
  <c r="Y91" i="38"/>
  <c r="AW62" i="26"/>
  <c r="AT98" i="1"/>
  <c r="AD18" i="37"/>
  <c r="AS91"/>
  <c r="U92" i="1"/>
  <c r="BI60" i="37"/>
  <c r="CC79" i="41"/>
  <c r="G66" i="26"/>
  <c r="BI9" i="25"/>
  <c r="BE61" i="40"/>
  <c r="O18" i="36"/>
  <c r="DB37" i="41"/>
  <c r="AJ27" i="1"/>
  <c r="AJ18" i="40"/>
  <c r="AX27" i="26"/>
  <c r="CB54" i="41"/>
  <c r="BV27" i="39"/>
  <c r="AP75" i="38"/>
  <c r="AP92"/>
  <c r="CK29" i="36"/>
  <c r="CZ34" i="37"/>
  <c r="BQ48" i="39"/>
  <c r="AG12" i="26"/>
  <c r="AB10" i="39"/>
  <c r="CP27" i="38"/>
  <c r="AM17" i="26"/>
  <c r="L71" i="39"/>
  <c r="V79" i="36"/>
  <c r="AR75" i="39"/>
  <c r="CS13" i="37"/>
  <c r="BA66" i="39"/>
  <c r="Z92" i="36"/>
  <c r="M102" i="37"/>
  <c r="AS75" i="41"/>
  <c r="AS49" i="1"/>
  <c r="M60" i="39"/>
  <c r="CJ60" i="37"/>
  <c r="CJ96" i="25"/>
  <c r="BY53" i="26"/>
  <c r="CV29" i="36"/>
  <c r="AP60" i="25"/>
  <c r="CJ81" i="41"/>
  <c r="CJ10" i="38"/>
  <c r="AN71" i="1"/>
  <c r="BW81" i="36"/>
  <c r="AP96" i="25"/>
  <c r="AS59" i="37"/>
  <c r="AS54" i="1"/>
  <c r="CX24" i="26"/>
  <c r="O9" i="38"/>
  <c r="AG81" i="41"/>
  <c r="CX25" i="36"/>
  <c r="CC102" i="39"/>
  <c r="CL30" i="38"/>
  <c r="BY103" i="36"/>
  <c r="CV27" i="26"/>
  <c r="CY48" i="25"/>
  <c r="CH102" i="41"/>
  <c r="AJ57" i="36"/>
  <c r="BA37" i="40"/>
  <c r="AH89" i="38"/>
  <c r="AC59" i="25"/>
  <c r="AM92" i="38"/>
  <c r="Y25" i="26"/>
  <c r="BS66" i="1"/>
  <c r="DB26" i="38"/>
  <c r="S67" i="41"/>
  <c r="CQ65" i="40"/>
  <c r="CE89" i="1"/>
  <c r="BQ59" i="39"/>
  <c r="BU92"/>
  <c r="AH89" i="25"/>
  <c r="CM25"/>
  <c r="DA66" i="1"/>
  <c r="BI49" i="36"/>
  <c r="BE12"/>
  <c r="AO71"/>
  <c r="CW92"/>
  <c r="CP61" i="25"/>
  <c r="CG10" i="38"/>
  <c r="AX24" i="39"/>
  <c r="AW92" i="36"/>
  <c r="CM10" i="25"/>
  <c r="AJ58" i="36"/>
  <c r="BW96" i="40"/>
  <c r="CM24" i="36"/>
  <c r="CQ25" i="25"/>
  <c r="AZ45" i="36"/>
  <c r="AO24" i="26"/>
  <c r="CY92" i="25"/>
  <c r="AE9" i="26"/>
  <c r="BT29" i="40"/>
  <c r="CB89" i="26"/>
  <c r="CR12" i="36"/>
  <c r="BV59" i="25"/>
  <c r="CY102" i="40"/>
  <c r="I81" i="26"/>
  <c r="BD89" i="37"/>
  <c r="AC81" i="41"/>
  <c r="BO103" i="38"/>
  <c r="AN37" i="26"/>
  <c r="T61" i="25"/>
  <c r="BR48" i="41"/>
  <c r="AS12" i="25"/>
  <c r="AB61" i="1"/>
  <c r="L54" i="36"/>
  <c r="AV91" i="25"/>
  <c r="CX29" i="39"/>
  <c r="S91" i="25"/>
  <c r="CR92" i="40"/>
  <c r="AH17" i="39"/>
  <c r="P71"/>
  <c r="AH91" i="1"/>
  <c r="CA62" i="26"/>
  <c r="CC89" i="41"/>
  <c r="S57" i="36"/>
  <c r="AA45" i="25"/>
  <c r="CW9" i="38"/>
  <c r="CU30" i="26"/>
  <c r="BV27" i="40"/>
  <c r="CT103" i="1"/>
  <c r="Z27" i="38"/>
  <c r="DA48" i="37"/>
  <c r="DF49" i="1"/>
  <c r="BR54" i="37"/>
  <c r="CW27" i="40"/>
  <c r="BW67" i="41"/>
  <c r="Z59" i="38"/>
  <c r="CS10" i="25"/>
  <c r="P53" i="26"/>
  <c r="CW50" i="40"/>
  <c r="DF102" i="37"/>
  <c r="CW21" i="36"/>
  <c r="AV92" i="38"/>
  <c r="BW9" i="36"/>
  <c r="AY75" i="25"/>
  <c r="CX62" i="1"/>
  <c r="DC45" i="37"/>
  <c r="X17" i="26"/>
  <c r="AB62" i="36"/>
  <c r="BY24" i="37"/>
  <c r="CJ66" i="26"/>
  <c r="BI59" i="39"/>
  <c r="CS17" i="25"/>
  <c r="H9" i="41"/>
  <c r="CG10" i="26"/>
  <c r="CK71" i="40"/>
  <c r="CB49"/>
  <c r="AG62"/>
  <c r="AI48"/>
  <c r="H81" i="1"/>
  <c r="Z66" i="36"/>
  <c r="BY67"/>
  <c r="BE81" i="38"/>
  <c r="BQ27" i="37"/>
  <c r="M17" i="41"/>
  <c r="G59" i="1"/>
  <c r="AR12" i="39"/>
  <c r="CU25" i="25"/>
  <c r="AU25"/>
  <c r="DF25" i="41"/>
  <c r="BR57" i="25"/>
  <c r="CU103"/>
  <c r="AM50"/>
  <c r="CG75" i="1"/>
  <c r="CU34" i="40"/>
  <c r="AT71"/>
  <c r="U62" i="41"/>
  <c r="CA65" i="39"/>
  <c r="CP67" i="40"/>
  <c r="CJ92" i="39"/>
  <c r="CN71" i="26"/>
  <c r="AS18" i="40"/>
  <c r="BU103" i="26"/>
  <c r="G102" i="25"/>
  <c r="BO37" i="37"/>
  <c r="AI67" i="25"/>
  <c r="AB29" i="39"/>
  <c r="BI13" i="25"/>
  <c r="CQ48" i="41"/>
  <c r="BH54"/>
  <c r="AQ59" i="38"/>
  <c r="M54"/>
  <c r="CO25" i="36"/>
  <c r="M62" i="37"/>
  <c r="AJ21" i="41"/>
  <c r="CE91" i="1"/>
  <c r="AR9" i="39"/>
  <c r="AW27" i="36"/>
  <c r="AW65"/>
  <c r="M18" i="59"/>
  <c r="K25" i="37"/>
  <c r="V81" i="1"/>
  <c r="M25" i="25"/>
  <c r="CW53" i="39"/>
  <c r="BV59" i="41"/>
  <c r="BI61" i="36"/>
  <c r="CU21" i="39"/>
  <c r="BP96"/>
  <c r="J54" i="59"/>
  <c r="CV26" i="26"/>
  <c r="BD316" i="47"/>
  <c r="I18" i="59"/>
  <c r="CM89" i="36"/>
  <c r="CN71" i="25"/>
  <c r="BX30" i="36"/>
  <c r="CR21" i="37"/>
  <c r="CF10" i="40"/>
  <c r="CC96" i="26"/>
  <c r="CN96" i="40"/>
  <c r="CU21" i="38"/>
  <c r="CK10"/>
  <c r="J48" i="40"/>
  <c r="BO29" i="37"/>
  <c r="AN34" i="40"/>
  <c r="AD75" i="25"/>
  <c r="L50" i="26"/>
  <c r="AV66" i="40"/>
  <c r="DF60" i="26"/>
  <c r="AM57" i="39"/>
  <c r="CK103" i="38"/>
  <c r="CO24" i="37"/>
  <c r="DE29" i="26"/>
  <c r="AU92" i="36"/>
  <c r="AN89"/>
  <c r="AY25"/>
  <c r="AM10" i="38"/>
  <c r="DE48" i="40"/>
  <c r="CH61" i="37"/>
  <c r="V59" i="40"/>
  <c r="V37" i="38"/>
  <c r="AD37" i="1"/>
  <c r="CG66" i="41"/>
  <c r="CL34" i="39"/>
  <c r="CC26" i="37"/>
  <c r="CN62" i="25"/>
  <c r="O79"/>
  <c r="P24" i="38"/>
  <c r="M34"/>
  <c r="G25" i="40"/>
  <c r="S26" i="36"/>
  <c r="AP26" i="39"/>
  <c r="CB79" i="25"/>
  <c r="AE61" i="1"/>
  <c r="K91" i="37"/>
  <c r="AO37" i="41"/>
  <c r="CZ48" i="25"/>
  <c r="AU89" i="38"/>
  <c r="AO29"/>
  <c r="BW34"/>
  <c r="CI66" i="25"/>
  <c r="AV66" i="38"/>
  <c r="AO89" i="41"/>
  <c r="CD65" i="40"/>
  <c r="CM89"/>
  <c r="CF79" i="26"/>
  <c r="Y58" i="41"/>
  <c r="CL17" i="39"/>
  <c r="L59" i="1"/>
  <c r="AZ10" i="37"/>
  <c r="AG67" i="39"/>
  <c r="CE54"/>
  <c r="CO18" i="26"/>
  <c r="CW102" i="1"/>
  <c r="BR91" i="25"/>
  <c r="AH9" i="1"/>
  <c r="AB96" i="36"/>
  <c r="AD17" i="41"/>
  <c r="AH24" i="39"/>
  <c r="BE91" i="37"/>
  <c r="CM17" i="25"/>
  <c r="CB21" i="39"/>
  <c r="AQ71" i="40"/>
  <c r="AR91" i="25"/>
  <c r="AM57" i="1"/>
  <c r="O71" i="38"/>
  <c r="BD79" i="36"/>
  <c r="BY59" i="41"/>
  <c r="CR45" i="39"/>
  <c r="U92" i="37"/>
  <c r="AZ45" i="41"/>
  <c r="CK54" i="39"/>
  <c r="V89" i="38"/>
  <c r="CF29" i="40"/>
  <c r="AF10" i="41"/>
  <c r="BA18" i="36"/>
  <c r="AT48"/>
  <c r="AX48" i="40"/>
  <c r="T48" i="26"/>
  <c r="AJ29" i="41"/>
  <c r="AI27" i="37"/>
  <c r="BB81" i="1"/>
  <c r="CN25" i="37"/>
  <c r="BX65" i="41"/>
  <c r="AX13" i="26"/>
  <c r="BY34" i="37"/>
  <c r="DB21" i="1"/>
  <c r="AH59" i="41"/>
  <c r="AI57" i="38"/>
  <c r="CV58" i="26"/>
  <c r="V61" i="39"/>
  <c r="CB58" i="36"/>
  <c r="BD66" i="26"/>
  <c r="BC45" i="40"/>
  <c r="AQ24" i="1"/>
  <c r="BB30" i="41"/>
  <c r="AB49" i="38"/>
  <c r="K30" i="40"/>
  <c r="BA24" i="26"/>
  <c r="BC48"/>
  <c r="AW53" i="39"/>
  <c r="DC61"/>
  <c r="DF45" i="1"/>
  <c r="BW53" i="37"/>
  <c r="CJ62"/>
  <c r="U57" i="41"/>
  <c r="BT48" i="38"/>
  <c r="DE53" i="37"/>
  <c r="BW13" i="36"/>
  <c r="BH9" i="39"/>
  <c r="AH21" i="26"/>
  <c r="BC62" i="40"/>
  <c r="AH17" i="37"/>
  <c r="N102" i="1"/>
  <c r="AR89" i="26"/>
  <c r="DA92" i="39"/>
  <c r="AI81" i="40"/>
  <c r="AO27" i="39"/>
  <c r="CZ67" i="25"/>
  <c r="CU54" i="41"/>
  <c r="DC48" i="1"/>
  <c r="AS79" i="36"/>
  <c r="BE102"/>
  <c r="CL25" i="1"/>
  <c r="AV29" i="41"/>
  <c r="AZ13" i="37"/>
  <c r="U65" i="41"/>
  <c r="AF54" i="38"/>
  <c r="BR49" i="40"/>
  <c r="J65" i="26"/>
  <c r="BV30"/>
  <c r="CK34" i="38"/>
  <c r="Y58" i="25"/>
  <c r="CT45" i="37"/>
  <c r="CN65" i="40"/>
  <c r="CP58" i="37"/>
  <c r="BD49"/>
  <c r="X60" i="25"/>
  <c r="U60" i="26"/>
  <c r="CN61" i="41"/>
  <c r="AY96" i="37"/>
  <c r="AI92" i="1"/>
  <c r="CW24" i="25"/>
  <c r="BU66"/>
  <c r="CX75"/>
  <c r="CJ29" i="38"/>
  <c r="BP57" i="36"/>
  <c r="CP17"/>
  <c r="CY29" i="25"/>
  <c r="BV17" i="38"/>
  <c r="BH62" i="41"/>
  <c r="CC13" i="25"/>
  <c r="K53" i="1"/>
  <c r="Y50"/>
  <c r="W10" i="26"/>
  <c r="CK48" i="40"/>
  <c r="CW59" i="36"/>
  <c r="DC49" i="1"/>
  <c r="CV37" i="36"/>
  <c r="AD91" i="40"/>
  <c r="DA48" i="39"/>
  <c r="CU57" i="36"/>
  <c r="BS53" i="1"/>
  <c r="CM17" i="26"/>
  <c r="I12" i="25"/>
  <c r="CV54" i="37"/>
  <c r="BR27" i="1"/>
  <c r="CQ49" i="41"/>
  <c r="CP60" i="36"/>
  <c r="AY49" i="1"/>
  <c r="AT50" i="41"/>
  <c r="BD57" i="40"/>
  <c r="AU45" i="37"/>
  <c r="CX48" i="38"/>
  <c r="CR75" i="25"/>
  <c r="AU98" i="41"/>
  <c r="CU81" i="1"/>
  <c r="CA60" i="37"/>
  <c r="CC61" i="1"/>
  <c r="J17" i="41"/>
  <c r="BO58" i="36"/>
  <c r="BP48" i="40"/>
  <c r="CS25" i="26"/>
  <c r="K19" i="59"/>
  <c r="BB81" i="40"/>
  <c r="U89" i="25"/>
  <c r="BV57" i="38"/>
  <c r="S71" i="39"/>
  <c r="U53" i="25"/>
  <c r="AN66" i="37"/>
  <c r="O17"/>
  <c r="CF67"/>
  <c r="CS60" i="41"/>
  <c r="W27" i="38"/>
  <c r="CZ27"/>
  <c r="H59" i="26"/>
  <c r="CX24" i="37"/>
  <c r="DE34"/>
  <c r="DF34" i="39"/>
  <c r="CG103" i="37"/>
  <c r="AD98" i="40"/>
  <c r="BA98" i="25"/>
  <c r="AB29" i="40"/>
  <c r="I26" i="25"/>
  <c r="Z30" i="39"/>
  <c r="CW75" i="37"/>
  <c r="AI71" i="25"/>
  <c r="AV65"/>
  <c r="AJ66"/>
  <c r="L57" i="1"/>
  <c r="CG60" i="36"/>
  <c r="DF45" i="25"/>
  <c r="AR50" i="26"/>
  <c r="N92" i="38"/>
  <c r="I48"/>
  <c r="DE25" i="25"/>
  <c r="CY91" i="39"/>
  <c r="Y61" i="38"/>
  <c r="CC10" i="25"/>
  <c r="BE53" i="37"/>
  <c r="AR45" i="25"/>
  <c r="AU60" i="40"/>
  <c r="CV59" i="39"/>
  <c r="AM9"/>
  <c r="CL30" i="40"/>
  <c r="BY66" i="25"/>
  <c r="CU92" i="38"/>
  <c r="BC81" i="25"/>
  <c r="CK26" i="39"/>
  <c r="CP60"/>
  <c r="W67" i="37"/>
  <c r="AF54" i="41"/>
  <c r="BC81" i="26"/>
  <c r="BT60" i="40"/>
  <c r="AI58"/>
  <c r="DD21" i="39"/>
  <c r="AT79" i="38"/>
  <c r="CK54" i="40"/>
  <c r="AA49" i="39"/>
  <c r="DB45"/>
  <c r="AM48"/>
  <c r="AS81"/>
  <c r="O12" i="37"/>
  <c r="DD21" i="26"/>
  <c r="AB49" i="25"/>
  <c r="L48" i="46"/>
  <c r="AA12" i="41"/>
  <c r="CH71" i="40"/>
  <c r="G57"/>
  <c r="CG58" i="1"/>
  <c r="CF53" i="39"/>
  <c r="BI17" i="26"/>
  <c r="AQ98" i="39"/>
  <c r="AM37" i="38"/>
  <c r="CK96" i="36"/>
  <c r="AZ27" i="26"/>
  <c r="DC92" i="36"/>
  <c r="CU57" i="40"/>
  <c r="AP53" i="1"/>
  <c r="BS96" i="36"/>
  <c r="AG62" i="38"/>
  <c r="BI18" i="1"/>
  <c r="AQ81" i="37"/>
  <c r="BU53" i="36"/>
  <c r="AR50" i="25"/>
  <c r="L45" i="41"/>
  <c r="AD67" i="40"/>
  <c r="BS27" i="37"/>
  <c r="AY62" i="39"/>
  <c r="CN25" i="1"/>
  <c r="BB89" i="40"/>
  <c r="AD71" i="1"/>
  <c r="CJ62" i="39"/>
  <c r="AO81" i="38"/>
  <c r="BD89" i="36"/>
  <c r="AI61" i="39"/>
  <c r="DA37" i="40"/>
  <c r="CA92" i="41"/>
  <c r="AY79" i="40"/>
  <c r="CB48" i="41"/>
  <c r="CL27" i="25"/>
  <c r="CQ12" i="36"/>
  <c r="Y66" i="39"/>
  <c r="AJ26" i="25"/>
  <c r="CP58" i="41"/>
  <c r="CH37" i="40"/>
  <c r="CP12" i="39"/>
  <c r="BE96" i="41"/>
  <c r="Y24" i="1"/>
  <c r="DB29" i="39"/>
  <c r="CZ49"/>
  <c r="DA57" i="40"/>
  <c r="DE49"/>
  <c r="CY79"/>
  <c r="CP66" i="25"/>
  <c r="CD24" i="39"/>
  <c r="BD58" i="40"/>
  <c r="BS29" i="25"/>
  <c r="AX91" i="26"/>
  <c r="Y34" i="1"/>
  <c r="BA17"/>
  <c r="BC71" i="39"/>
  <c r="AW60" i="37"/>
  <c r="AQ75" i="41"/>
  <c r="BC57" i="38"/>
  <c r="BH102" i="41"/>
  <c r="U54" i="37"/>
  <c r="J7" i="59"/>
  <c r="CN9" i="39"/>
  <c r="CF29" i="25"/>
  <c r="CR71"/>
  <c r="CF30" i="41"/>
  <c r="CE81" i="36"/>
  <c r="DE71" i="25"/>
  <c r="AW92" i="26"/>
  <c r="AT58" i="38"/>
  <c r="CT79" i="39"/>
  <c r="BC62" i="26"/>
  <c r="AO79" i="25"/>
  <c r="BO75" i="41"/>
  <c r="CF24" i="39"/>
  <c r="BD66" i="38"/>
  <c r="BU21" i="1"/>
  <c r="AO48"/>
  <c r="AX81" i="38"/>
  <c r="CU103" i="41"/>
  <c r="CY30" i="25"/>
  <c r="X96" i="26"/>
  <c r="AT18"/>
  <c r="X75" i="40"/>
  <c r="CW75"/>
  <c r="CH89" i="39"/>
  <c r="DB34" i="38"/>
  <c r="AW89" i="26"/>
  <c r="AM60" i="41"/>
  <c r="AN81" i="38"/>
  <c r="CE30"/>
  <c r="CJ26" i="37"/>
  <c r="CQ26" i="36"/>
  <c r="U49"/>
  <c r="CW60" i="41"/>
  <c r="AA25" i="37"/>
  <c r="BC18" i="40"/>
  <c r="CT61" i="38"/>
  <c r="CT49"/>
  <c r="V54" i="1"/>
  <c r="DD59" i="25"/>
  <c r="M26" i="41"/>
  <c r="P26" i="39"/>
  <c r="CN17" i="40"/>
  <c r="BB13" i="1"/>
  <c r="AG102" i="39"/>
  <c r="AO65"/>
  <c r="CU66" i="36"/>
  <c r="DC29" i="1"/>
  <c r="DB102" i="38"/>
  <c r="I65" i="37"/>
  <c r="AO30"/>
  <c r="BZ98" i="39"/>
  <c r="CH27" i="25"/>
  <c r="V13" i="1"/>
  <c r="J54"/>
  <c r="AM45" i="36"/>
  <c r="BD62" i="41"/>
  <c r="BS53" i="37"/>
  <c r="G62" i="1"/>
  <c r="G81" i="39"/>
  <c r="CU60"/>
  <c r="AO75" i="25"/>
  <c r="AI57" i="26"/>
  <c r="AT58" i="36"/>
  <c r="AD59" i="37"/>
  <c r="CO27" i="41"/>
  <c r="CO91" i="25"/>
  <c r="CO61" i="40"/>
  <c r="AN50" i="39"/>
  <c r="CS26" i="26"/>
  <c r="AV37" i="40"/>
  <c r="CU61" i="37"/>
  <c r="AS92" i="41"/>
  <c r="BB29" i="1"/>
  <c r="CX60" i="25"/>
  <c r="CG71" i="40"/>
  <c r="CC62" i="38"/>
  <c r="AM24" i="26"/>
  <c r="CJ13" i="37"/>
  <c r="K98"/>
  <c r="BB96" i="1"/>
  <c r="BT62" i="26"/>
  <c r="AS58" i="39"/>
  <c r="V45"/>
  <c r="DA89" i="1"/>
  <c r="G24" i="25"/>
  <c r="BI21" i="38"/>
  <c r="W89" i="37"/>
  <c r="BZ18" i="25"/>
  <c r="K34" i="38"/>
  <c r="BY9" i="41"/>
  <c r="N96" i="37"/>
  <c r="AE25" i="39"/>
  <c r="I98" i="40"/>
  <c r="CE103" i="41"/>
  <c r="H61" i="26"/>
  <c r="AG61" i="38"/>
  <c r="AI65" i="36"/>
  <c r="T92" i="39"/>
  <c r="CI10" i="37"/>
  <c r="BW75" i="36"/>
  <c r="AX29"/>
  <c r="CA102" i="38"/>
  <c r="X98" i="40"/>
  <c r="BP27" i="36"/>
  <c r="DA45" i="40"/>
  <c r="CA9" i="37"/>
  <c r="BY62" i="1"/>
  <c r="AN61" i="37"/>
  <c r="H26" i="39"/>
  <c r="AJ57"/>
  <c r="AG54" i="1"/>
  <c r="AT75" i="41"/>
  <c r="DF96"/>
  <c r="AM30" i="36"/>
  <c r="J96" i="41"/>
  <c r="O96" i="39"/>
  <c r="BZ50" i="1"/>
  <c r="AG75" i="41"/>
  <c r="CV34" i="36"/>
  <c r="AV57" i="37"/>
  <c r="BR53"/>
  <c r="U29" i="39"/>
  <c r="AB29" i="36"/>
  <c r="AO12" i="1"/>
  <c r="N54" i="59"/>
  <c r="BB98" i="1"/>
  <c r="K72" i="64"/>
  <c r="P18" i="59"/>
  <c r="CF58" i="26"/>
  <c r="CB37"/>
  <c r="CH30" i="36"/>
  <c r="CB48" i="40"/>
  <c r="CK98" i="26"/>
  <c r="DE91" i="37"/>
  <c r="CD54" i="38"/>
  <c r="M57" i="1"/>
  <c r="AY54" i="26"/>
  <c r="CP21" i="41"/>
  <c r="CP53" i="40"/>
  <c r="V17" i="25"/>
  <c r="BX48" i="39"/>
  <c r="BZ26" i="1"/>
  <c r="CM18" i="25"/>
  <c r="AW58" i="41"/>
  <c r="BI59"/>
  <c r="CJ67" i="26"/>
  <c r="CG61" i="25"/>
  <c r="BH45" i="1"/>
  <c r="DD25"/>
  <c r="H13" i="26"/>
  <c r="V48" i="39"/>
  <c r="AO61" i="26"/>
  <c r="AF25"/>
  <c r="BY67"/>
  <c r="V45" i="40"/>
  <c r="CD49" i="1"/>
  <c r="AJ18" i="37"/>
  <c r="CF79" i="36"/>
  <c r="U10" i="39"/>
  <c r="BB13" i="38"/>
  <c r="DD18" i="40"/>
  <c r="X62" i="26"/>
  <c r="CV17" i="25"/>
  <c r="AB10"/>
  <c r="CV12" i="1"/>
  <c r="AC62"/>
  <c r="DB66" i="37"/>
  <c r="CB10" i="1"/>
  <c r="BD91" i="39"/>
  <c r="AZ81" i="1"/>
  <c r="I57"/>
  <c r="CJ53" i="41"/>
  <c r="AD65" i="39"/>
  <c r="AC29" i="26"/>
  <c r="CW45" i="41"/>
  <c r="AX98" i="1"/>
  <c r="AG102" i="41"/>
  <c r="CQ57" i="26"/>
  <c r="BZ18" i="40"/>
  <c r="CK79" i="37"/>
  <c r="CB18" i="41"/>
  <c r="BS48" i="40"/>
  <c r="H102" i="41"/>
  <c r="V75" i="1"/>
  <c r="O54" i="39"/>
  <c r="CZ50" i="41"/>
  <c r="BC10" i="38"/>
  <c r="CG75" i="26"/>
  <c r="CW58" i="40"/>
  <c r="AR71" i="36"/>
  <c r="BU67"/>
  <c r="BC79" i="40"/>
  <c r="BA21" i="39"/>
  <c r="AO18" i="40"/>
  <c r="BP60" i="1"/>
  <c r="DD60" i="38"/>
  <c r="DF102" i="36"/>
  <c r="BQ29" i="39"/>
  <c r="CQ48" i="25"/>
  <c r="S89" i="38"/>
  <c r="BQ66"/>
  <c r="AZ71" i="36"/>
  <c r="BX71" i="40"/>
  <c r="BW34" i="39"/>
  <c r="CM24"/>
  <c r="CI91"/>
  <c r="AP26" i="1"/>
  <c r="BW65"/>
  <c r="CZ71" i="41"/>
  <c r="AG9" i="36"/>
  <c r="AE58" i="41"/>
  <c r="AH60" i="37"/>
  <c r="J75" i="36"/>
  <c r="AC57" i="40"/>
  <c r="CZ34" i="25"/>
  <c r="AZ61"/>
  <c r="AV58" i="41"/>
  <c r="BA67" i="38"/>
  <c r="DD49" i="26"/>
  <c r="P66" i="41"/>
  <c r="CA61"/>
  <c r="AW9" i="40"/>
  <c r="AD89" i="25"/>
  <c r="H67" i="39"/>
  <c r="AX34" i="38"/>
  <c r="AS25" i="1"/>
  <c r="S61" i="26"/>
  <c r="Y75" i="25"/>
  <c r="CH34" i="37"/>
  <c r="N61" i="41"/>
  <c r="AI60" i="25"/>
  <c r="AM66" i="38"/>
  <c r="CE12" i="41"/>
  <c r="Z81" i="38"/>
  <c r="BV9" i="41"/>
  <c r="BT57" i="37"/>
  <c r="CG27"/>
  <c r="CR103" i="38"/>
  <c r="W66" i="39"/>
  <c r="CE37" i="26"/>
  <c r="AN92" i="40"/>
  <c r="CN67" i="39"/>
  <c r="AZ34"/>
  <c r="AP89" i="38"/>
  <c r="CJ89" i="25"/>
  <c r="S92" i="40"/>
  <c r="X98" i="41"/>
  <c r="AG57" i="38"/>
  <c r="CX60" i="37"/>
  <c r="AI59" i="26"/>
  <c r="AG102" i="38"/>
  <c r="AI12" i="39"/>
  <c r="BV75" i="1"/>
  <c r="BV58" i="41"/>
  <c r="CP91"/>
  <c r="CX81"/>
  <c r="BY59" i="1"/>
  <c r="CA37" i="37"/>
  <c r="CS24" i="38"/>
  <c r="CF53" i="37"/>
  <c r="AI13" i="39"/>
  <c r="CF13" i="38"/>
  <c r="BT98" i="41"/>
  <c r="CB18" i="1"/>
  <c r="CW53" i="36"/>
  <c r="U30" i="39"/>
  <c r="CK62"/>
  <c r="AB13"/>
  <c r="CU30"/>
  <c r="CT13" i="38"/>
  <c r="AQ37" i="25"/>
  <c r="CE102" i="1"/>
  <c r="AG60" i="37"/>
  <c r="N102" i="40"/>
  <c r="H13" i="1"/>
  <c r="AA92" i="25"/>
  <c r="X26" i="1"/>
  <c r="CT92" i="25"/>
  <c r="DA48" i="41"/>
  <c r="AF102" i="40"/>
  <c r="AF25" i="36"/>
  <c r="CB17" i="41"/>
  <c r="CW45" i="36"/>
  <c r="DB12" i="26"/>
  <c r="AJ21" i="25"/>
  <c r="AH71" i="41"/>
  <c r="BC26" i="36"/>
  <c r="DB24" i="26"/>
  <c r="U18" i="36"/>
  <c r="BU62" i="38"/>
  <c r="CX26"/>
  <c r="AB50" i="26"/>
  <c r="CD54"/>
  <c r="CK29" i="41"/>
  <c r="BP13" i="39"/>
  <c r="DA30" i="26"/>
  <c r="CQ98" i="41"/>
  <c r="BA92" i="38"/>
  <c r="AM21" i="25"/>
  <c r="V13" i="40"/>
  <c r="BR79"/>
  <c r="H11" i="59"/>
  <c r="AZ316" i="47"/>
  <c r="AB98" i="1"/>
  <c r="DD9"/>
  <c r="M25" i="39"/>
  <c r="CX102" i="26"/>
  <c r="AN75" i="1"/>
  <c r="DC81" i="39"/>
  <c r="P50" i="36"/>
  <c r="BH98" i="41"/>
  <c r="L79" i="36"/>
  <c r="BW103"/>
  <c r="CJ103" i="1"/>
  <c r="CJ65" i="39"/>
  <c r="CG58"/>
  <c r="M91" i="38"/>
  <c r="CZ27" i="40"/>
  <c r="CU58"/>
  <c r="P91" i="37"/>
  <c r="AD29" i="1"/>
  <c r="CX13"/>
  <c r="X61"/>
  <c r="M79"/>
  <c r="X25" i="26"/>
  <c r="CS98" i="25"/>
  <c r="BZ50" i="41"/>
  <c r="CU60" i="40"/>
  <c r="CS24"/>
  <c r="U10" i="1"/>
  <c r="BB79" i="38"/>
  <c r="BI50" i="26"/>
  <c r="AF59" i="40"/>
  <c r="BR26" i="38"/>
  <c r="CF10" i="26"/>
  <c r="AC91" i="25"/>
  <c r="AI13" i="40"/>
  <c r="P96" i="1"/>
  <c r="AW24" i="37"/>
  <c r="CB27" i="36"/>
  <c r="CW13"/>
  <c r="CD34" i="37"/>
  <c r="DB103" i="36"/>
  <c r="AQ49" i="39"/>
  <c r="BB61" i="1"/>
  <c r="BY92" i="38"/>
  <c r="AM21" i="41"/>
  <c r="AP29" i="25"/>
  <c r="CP98"/>
  <c r="K67" i="40"/>
  <c r="DA75" i="36"/>
  <c r="CP48"/>
  <c r="H37" i="25"/>
  <c r="BR60"/>
  <c r="G71" i="39"/>
  <c r="CD65" i="25"/>
  <c r="CS24" i="1"/>
  <c r="AH79" i="26"/>
  <c r="AU37" i="38"/>
  <c r="DB50" i="1"/>
  <c r="CG50" i="25"/>
  <c r="CA62" i="36"/>
  <c r="BX18" i="25"/>
  <c r="X53" i="38"/>
  <c r="W71" i="1"/>
  <c r="CZ75" i="36"/>
  <c r="BS13"/>
  <c r="AQ49" i="37"/>
  <c r="Y81" i="39"/>
  <c r="CP37" i="36"/>
  <c r="CM67" i="25"/>
  <c r="W29" i="40"/>
  <c r="BA49" i="1"/>
  <c r="CN81" i="36"/>
  <c r="N45" i="1"/>
  <c r="CT26" i="36"/>
  <c r="CT27" i="41"/>
  <c r="AV102"/>
  <c r="CP102" i="25"/>
  <c r="F91" i="60"/>
  <c r="BA57" i="40"/>
  <c r="Z26" i="38"/>
  <c r="CW12" i="1"/>
  <c r="AA53" i="36"/>
  <c r="AY50" i="39"/>
  <c r="BA92" i="26"/>
  <c r="DD89" i="37"/>
  <c r="BC53" i="1"/>
  <c r="CS62" i="39"/>
  <c r="CG53" i="36"/>
  <c r="AM45" i="40"/>
  <c r="AQ48" i="1"/>
  <c r="BV81" i="39"/>
  <c r="AI62" i="1"/>
  <c r="BV9" i="26"/>
  <c r="AE26" i="39"/>
  <c r="CI57" i="25"/>
  <c r="CQ21" i="37"/>
  <c r="DB30" i="36"/>
  <c r="CK9" i="40"/>
  <c r="CG91"/>
  <c r="AQ58" i="39"/>
  <c r="BC45" i="41"/>
  <c r="AN71" i="39"/>
  <c r="CA66" i="41"/>
  <c r="CO54" i="1"/>
  <c r="AI30" i="38"/>
  <c r="BT62" i="41"/>
  <c r="BW26" i="25"/>
  <c r="AI34" i="37"/>
  <c r="DA45" i="41"/>
  <c r="CV25" i="25"/>
  <c r="BX48" i="37"/>
  <c r="CX59" i="40"/>
  <c r="W91" i="36"/>
  <c r="CZ50"/>
  <c r="AO81" i="39"/>
  <c r="CA17" i="41"/>
  <c r="G67" i="37"/>
  <c r="DC48" i="25"/>
  <c r="CK62" i="26"/>
  <c r="N18" i="41"/>
  <c r="AP61" i="1"/>
  <c r="BD126" i="47"/>
  <c r="CA10" i="25"/>
  <c r="CE12" i="36"/>
  <c r="BX37" i="39"/>
  <c r="CN29" i="25"/>
  <c r="CB89" i="37"/>
  <c r="CJ30"/>
  <c r="CF61" i="25"/>
  <c r="BE17"/>
  <c r="CN24"/>
  <c r="AO75" i="26"/>
  <c r="BT59" i="37"/>
  <c r="CV10" i="25"/>
  <c r="CC24" i="41"/>
  <c r="BV67" i="1"/>
  <c r="P37" i="39"/>
  <c r="AP92" i="1"/>
  <c r="AD75" i="37"/>
  <c r="CW81" i="36"/>
  <c r="CH48" i="38"/>
  <c r="AW57" i="39"/>
  <c r="CK10" i="37"/>
  <c r="CC79"/>
  <c r="BA25" i="1"/>
  <c r="CX34" i="26"/>
  <c r="L58"/>
  <c r="CC92" i="25"/>
  <c r="BE102" i="1"/>
  <c r="Z27" i="40"/>
  <c r="W26" i="1"/>
  <c r="CD75" i="40"/>
  <c r="CZ92" i="36"/>
  <c r="AQ45"/>
  <c r="CH57" i="38"/>
  <c r="BT75" i="1"/>
  <c r="DD49"/>
  <c r="G65" i="39"/>
  <c r="AD53"/>
  <c r="AF102" i="38"/>
  <c r="BC49" i="41"/>
  <c r="CA67" i="36"/>
  <c r="CI61" i="38"/>
  <c r="CR102" i="39"/>
  <c r="CS66" i="38"/>
  <c r="P45" i="41"/>
  <c r="AR27" i="38"/>
  <c r="DB30" i="37"/>
  <c r="T26"/>
  <c r="DB66" i="25"/>
  <c r="AE48" i="40"/>
  <c r="BZ18" i="26"/>
  <c r="BZ50" i="39"/>
  <c r="CH60" i="26"/>
  <c r="X65" i="40"/>
  <c r="DD66" i="39"/>
  <c r="Z25" i="37"/>
  <c r="N61" i="25"/>
  <c r="AM17" i="36"/>
  <c r="BI71"/>
  <c r="W24" i="41"/>
  <c r="CO25" i="40"/>
  <c r="CD91" i="37"/>
  <c r="BP89" i="36"/>
  <c r="V62" i="39"/>
  <c r="CT96" i="1"/>
  <c r="AG34" i="37"/>
  <c r="CV25" i="26"/>
  <c r="BO34"/>
  <c r="AZ67" i="41"/>
  <c r="K61" i="25"/>
  <c r="DF21" i="36"/>
  <c r="AG92" i="38"/>
  <c r="BV62" i="41"/>
  <c r="CR9" i="25"/>
  <c r="BB12" i="40"/>
  <c r="AN54" i="39"/>
  <c r="BW98" i="26"/>
  <c r="BD54" i="38"/>
  <c r="AP48" i="40"/>
  <c r="BS75" i="36"/>
  <c r="G17" i="26"/>
  <c r="G54" i="39"/>
  <c r="AX10" i="25"/>
  <c r="P81" i="41"/>
  <c r="AM34" i="39"/>
  <c r="CZ89" i="40"/>
  <c r="I30" i="38"/>
  <c r="AV24" i="36"/>
  <c r="BA21" i="25"/>
  <c r="CI65" i="40"/>
  <c r="BX54" i="38"/>
  <c r="CD91" i="1"/>
  <c r="Y50" i="37"/>
  <c r="N48" i="36"/>
  <c r="DD61" i="26"/>
  <c r="L102" i="40"/>
  <c r="DA48"/>
  <c r="CZ59" i="26"/>
  <c r="AE62" i="40"/>
  <c r="DF10" i="36"/>
  <c r="AQ45" i="39"/>
  <c r="CY45" i="1"/>
  <c r="O98"/>
  <c r="L57" i="36"/>
  <c r="U62" i="37"/>
  <c r="AH60" i="26"/>
  <c r="CE65"/>
  <c r="AZ34" i="36"/>
  <c r="BQ34" i="25"/>
  <c r="AJ61" i="40"/>
  <c r="AC60" i="1"/>
  <c r="AU65" i="38"/>
  <c r="AQ10" i="26"/>
  <c r="AO10" i="40"/>
  <c r="H29" i="38"/>
  <c r="BS75"/>
  <c r="CM17" i="39"/>
  <c r="AD59" i="38"/>
  <c r="CB89" i="25"/>
  <c r="N50" i="40"/>
  <c r="AN13" i="36"/>
  <c r="AA18" i="38"/>
  <c r="CW98" i="37"/>
  <c r="O29" i="40"/>
  <c r="AG54" i="38"/>
  <c r="CD45" i="26"/>
  <c r="BY62" i="37"/>
  <c r="BY10" i="41"/>
  <c r="BZ54" i="38"/>
  <c r="CE27" i="26"/>
  <c r="CY29" i="1"/>
  <c r="AW24" i="26"/>
  <c r="Z26" i="41"/>
  <c r="AI17"/>
  <c r="CC98" i="39"/>
  <c r="CL49" i="40"/>
  <c r="CM66"/>
  <c r="CU102" i="38"/>
  <c r="AC61" i="37"/>
  <c r="CZ53" i="38"/>
  <c r="X26" i="37"/>
  <c r="CO92" i="41"/>
  <c r="S49"/>
  <c r="DF50"/>
  <c r="BB57"/>
  <c r="CP65" i="39"/>
  <c r="AI50" i="40"/>
  <c r="S62" i="36"/>
  <c r="L66" i="26"/>
  <c r="AT9" i="38"/>
  <c r="CA67"/>
  <c r="CI96" i="39"/>
  <c r="CM34" i="26"/>
  <c r="CP9" i="25"/>
  <c r="H45"/>
  <c r="CE103"/>
  <c r="BB57" i="36"/>
  <c r="CA24" i="1"/>
  <c r="S30"/>
  <c r="BI10" i="38"/>
  <c r="BB49" i="36"/>
  <c r="BB58" i="25"/>
  <c r="X25" i="1"/>
  <c r="CG92"/>
  <c r="CX49" i="39"/>
  <c r="DB45" i="38"/>
  <c r="BW34" i="40"/>
  <c r="DB92" i="25"/>
  <c r="CU62"/>
  <c r="U75" i="41"/>
  <c r="CK60" i="40"/>
  <c r="U27" i="41"/>
  <c r="DC54" i="38"/>
  <c r="K25" i="41"/>
  <c r="BT24"/>
  <c r="AU92" i="38"/>
  <c r="CK79" i="25"/>
  <c r="BU26" i="36"/>
  <c r="BT48" i="39"/>
  <c r="BC96" i="25"/>
  <c r="CW59" i="26"/>
  <c r="BQ75"/>
  <c r="Y9"/>
  <c r="AM79" i="41"/>
  <c r="AH79" i="40"/>
  <c r="DE37"/>
  <c r="G29" i="1"/>
  <c r="AA49" i="40"/>
  <c r="N18" i="25"/>
  <c r="V25" i="37"/>
  <c r="BY79" i="36"/>
  <c r="CH54" i="41"/>
  <c r="CS21" i="38"/>
  <c r="AH10" i="40"/>
  <c r="AP29" i="41"/>
  <c r="AP66" i="37"/>
  <c r="CW10" i="39"/>
  <c r="AU9" i="26"/>
  <c r="BY54"/>
  <c r="CB24" i="36"/>
  <c r="CS48" i="39"/>
  <c r="BH102" i="1"/>
  <c r="AE67"/>
  <c r="CF102" i="37"/>
  <c r="AA67"/>
  <c r="AD89" i="41"/>
  <c r="BH34" i="36"/>
  <c r="DD25" i="25"/>
  <c r="DB92" i="40"/>
  <c r="CR79" i="36"/>
  <c r="CJ10" i="26"/>
  <c r="N17" i="1"/>
  <c r="P29" i="26"/>
  <c r="CP75" i="41"/>
  <c r="BO66" i="37"/>
  <c r="CU17" i="26"/>
  <c r="DD17" i="37"/>
  <c r="DD54" i="1"/>
  <c r="BD61" i="25"/>
  <c r="DB17" i="40"/>
  <c r="CT60" i="36"/>
  <c r="AQ53" i="38"/>
  <c r="M59" i="25"/>
  <c r="L89" i="36"/>
  <c r="W10" i="1"/>
  <c r="AS45" i="37"/>
  <c r="H12" i="26"/>
  <c r="AB37" i="37"/>
  <c r="O29" i="41"/>
  <c r="BT66" i="1"/>
  <c r="BV21" i="39"/>
  <c r="BZ79" i="37"/>
  <c r="CV34" i="40"/>
  <c r="N75" i="41"/>
  <c r="U89"/>
  <c r="K96" i="36"/>
  <c r="Y34" i="38"/>
  <c r="L53"/>
  <c r="BO96" i="25"/>
  <c r="BU92" i="40"/>
  <c r="CN13" i="1"/>
  <c r="L62"/>
  <c r="AF62" i="39"/>
  <c r="AM10" i="25"/>
  <c r="I13" i="41"/>
  <c r="G10" i="40"/>
  <c r="T21" i="1"/>
  <c r="AS17" i="37"/>
  <c r="G89" i="39"/>
  <c r="AH58" i="36"/>
  <c r="CB25" i="37"/>
  <c r="BX13"/>
  <c r="CB98" i="26"/>
  <c r="AN24" i="41"/>
  <c r="BA65" i="38"/>
  <c r="AG37" i="25"/>
  <c r="BR13" i="39"/>
  <c r="AU53" i="37"/>
  <c r="AT102" i="25"/>
  <c r="AU57" i="1"/>
  <c r="BU53" i="37"/>
  <c r="AA29" i="40"/>
  <c r="CN102" i="25"/>
  <c r="BQ98" i="1"/>
  <c r="CN50" i="25"/>
  <c r="V61" i="40"/>
  <c r="AS26" i="36"/>
  <c r="BY25" i="37"/>
  <c r="CJ60" i="25"/>
  <c r="AM91" i="41"/>
  <c r="DD102" i="26"/>
  <c r="AN29" i="41"/>
  <c r="BI13" i="26"/>
  <c r="BI13" i="1"/>
  <c r="CF12" i="26"/>
  <c r="AY54" i="1"/>
  <c r="AF57" i="25"/>
  <c r="CV60" i="40"/>
  <c r="I37" i="25"/>
  <c r="CA21" i="39"/>
  <c r="CS12" i="36"/>
  <c r="BY92" i="39"/>
  <c r="AY54" i="38"/>
  <c r="BP27" i="41"/>
  <c r="BY75" i="38"/>
  <c r="DA89" i="25"/>
  <c r="BD37" i="1"/>
  <c r="AC98" i="41"/>
  <c r="AF79" i="36"/>
  <c r="CU29" i="1"/>
  <c r="AO92" i="38"/>
  <c r="AB24" i="26"/>
  <c r="J79" i="41"/>
  <c r="AQ27" i="39"/>
  <c r="J71" i="36"/>
  <c r="AQ17" i="41"/>
  <c r="CD58" i="39"/>
  <c r="DF96" i="26"/>
  <c r="CV81" i="1"/>
  <c r="BU21" i="39"/>
  <c r="CD53" i="36"/>
  <c r="CU30" i="37"/>
  <c r="CI25" i="1"/>
  <c r="CP18"/>
  <c r="CG34" i="38"/>
  <c r="J60" i="41"/>
  <c r="AV17" i="38"/>
  <c r="CH24" i="1"/>
  <c r="CG91" i="38"/>
  <c r="O30" i="37"/>
  <c r="BY27" i="40"/>
  <c r="CT96" i="37"/>
  <c r="AN91" i="38"/>
  <c r="AI30" i="37"/>
  <c r="BQ48" i="26"/>
  <c r="P45" i="1"/>
  <c r="AN53" i="36"/>
  <c r="CB54"/>
  <c r="W61" i="41"/>
  <c r="N49" i="39"/>
  <c r="AJ12" i="1"/>
  <c r="V48" i="38"/>
  <c r="AZ89" i="41"/>
  <c r="AJ102"/>
  <c r="CH59" i="26"/>
  <c r="AG27" i="37"/>
  <c r="BA61" i="1"/>
  <c r="BR61" i="26"/>
  <c r="CX9" i="36"/>
  <c r="AB60" i="25"/>
  <c r="AC65" i="38"/>
  <c r="DD10" i="37"/>
  <c r="BI89" i="25"/>
  <c r="X65" i="36"/>
  <c r="Z53" i="25"/>
  <c r="AI79" i="1"/>
  <c r="L30" i="39"/>
  <c r="M98" i="38"/>
  <c r="V57" i="39"/>
  <c r="BW98" i="41"/>
  <c r="DF37" i="1"/>
  <c r="BS18" i="38"/>
  <c r="CW21"/>
  <c r="L18"/>
  <c r="BQ57"/>
  <c r="AS81" i="26"/>
  <c r="DE37" i="38"/>
  <c r="I102" i="39"/>
  <c r="CG81" i="37"/>
  <c r="AT79" i="25"/>
  <c r="DE81"/>
  <c r="AQ17" i="26"/>
  <c r="AC66" i="39"/>
  <c r="BU53" i="26"/>
  <c r="Y79" i="38"/>
  <c r="AE10" i="25"/>
  <c r="CN59" i="1"/>
  <c r="CU81" i="39"/>
  <c r="M9" i="41"/>
  <c r="AP57"/>
  <c r="CK53" i="38"/>
  <c r="AM9" i="40"/>
  <c r="AT71" i="25"/>
  <c r="J71" i="1"/>
  <c r="CE27" i="37"/>
  <c r="CT92"/>
  <c r="AU96" i="41"/>
  <c r="AU30" i="40"/>
  <c r="BD27" i="37"/>
  <c r="AD53" i="1"/>
  <c r="CD66" i="37"/>
  <c r="AM71" i="1"/>
  <c r="H91" i="25"/>
  <c r="I53" i="41"/>
  <c r="AG75" i="36"/>
  <c r="CS75" i="41"/>
  <c r="AI62" i="40"/>
  <c r="N26" i="38"/>
  <c r="BD125" i="47"/>
  <c r="AW60" i="39"/>
  <c r="CZ65" i="38"/>
  <c r="AZ126" i="47"/>
  <c r="J49" i="59"/>
  <c r="H19" i="46"/>
  <c r="BC66" i="40"/>
  <c r="N98" i="25"/>
  <c r="H71" i="41"/>
  <c r="CM13" i="37"/>
  <c r="S10" i="1"/>
  <c r="Z81"/>
  <c r="AB45"/>
  <c r="CT9" i="38"/>
  <c r="BZ91" i="37"/>
  <c r="CO58" i="26"/>
  <c r="Z92" i="1"/>
  <c r="DE102" i="37"/>
  <c r="BS102" i="25"/>
  <c r="CZ71" i="38"/>
  <c r="CF30" i="36"/>
  <c r="CT96"/>
  <c r="X12"/>
  <c r="J61" i="40"/>
  <c r="H50" i="38"/>
  <c r="DC71" i="40"/>
  <c r="DF49" i="38"/>
  <c r="BI54" i="1"/>
  <c r="AE10" i="38"/>
  <c r="BE96" i="25"/>
  <c r="AQ9" i="40"/>
  <c r="BD27"/>
  <c r="CI27" i="38"/>
  <c r="CM12" i="37"/>
  <c r="CY67" i="40"/>
  <c r="AT67" i="36"/>
  <c r="BS67" i="40"/>
  <c r="CF25" i="39"/>
  <c r="BC54" i="26"/>
  <c r="AI49" i="38"/>
  <c r="BC27" i="1"/>
  <c r="AP12" i="25"/>
  <c r="AZ54"/>
  <c r="AF9" i="40"/>
  <c r="J54" i="41"/>
  <c r="AD34"/>
  <c r="AU37" i="1"/>
  <c r="BT91" i="39"/>
  <c r="N37" i="25"/>
  <c r="BX60" i="38"/>
  <c r="AN71"/>
  <c r="DC25" i="1"/>
  <c r="S102"/>
  <c r="BH50" i="36"/>
  <c r="CN66" i="41"/>
  <c r="AC98" i="26"/>
  <c r="AJ62" i="36"/>
  <c r="AU21" i="25"/>
  <c r="CV49"/>
  <c r="BT12" i="1"/>
  <c r="CP102" i="36"/>
  <c r="N71" i="1"/>
  <c r="BI67" i="39"/>
  <c r="AG24"/>
  <c r="AC58" i="1"/>
  <c r="AO81" i="37"/>
  <c r="P13" i="36"/>
  <c r="AD12"/>
  <c r="AO48" i="41"/>
  <c r="BR75" i="25"/>
  <c r="BB62" i="1"/>
  <c r="AG26" i="25"/>
  <c r="CY61" i="26"/>
  <c r="AW9" i="25"/>
  <c r="W89" i="39"/>
  <c r="BB91" i="38"/>
  <c r="Z48" i="41"/>
  <c r="CA65" i="26"/>
  <c r="AO62" i="38"/>
  <c r="DF53" i="40"/>
  <c r="BU27" i="26"/>
  <c r="BV29" i="41"/>
  <c r="AU75" i="38"/>
  <c r="AY18" i="39"/>
  <c r="AB50" i="25"/>
  <c r="BZ71" i="36"/>
  <c r="AZ71" i="41"/>
  <c r="DC53" i="36"/>
  <c r="CZ67" i="37"/>
  <c r="CN66" i="38"/>
  <c r="P45" i="59"/>
  <c r="L90" i="60"/>
  <c r="BX12" i="39"/>
  <c r="BW18" i="41"/>
  <c r="CO60" i="38"/>
  <c r="BW92"/>
  <c r="S29" i="26"/>
  <c r="BB48" i="39"/>
  <c r="BX27" i="25"/>
  <c r="CD21" i="38"/>
  <c r="AT26" i="41"/>
  <c r="AD30" i="1"/>
  <c r="N50" i="25"/>
  <c r="DE91" i="41"/>
  <c r="AN75" i="36"/>
  <c r="BV24" i="26"/>
  <c r="BH17"/>
  <c r="AC92" i="41"/>
  <c r="U26" i="39"/>
  <c r="AS49" i="26"/>
  <c r="CL54" i="25"/>
  <c r="CU81" i="40"/>
  <c r="O75" i="38"/>
  <c r="CV9" i="36"/>
  <c r="J26" i="38"/>
  <c r="AR37" i="39"/>
  <c r="AI91" i="41"/>
  <c r="AV60"/>
  <c r="CE75" i="26"/>
  <c r="BQ34" i="36"/>
  <c r="BX79" i="37"/>
  <c r="CA34" i="36"/>
  <c r="AE37" i="38"/>
  <c r="CE57" i="41"/>
  <c r="BB26" i="36"/>
  <c r="AS25"/>
  <c r="AA92" i="38"/>
  <c r="AH75"/>
  <c r="X45" i="26"/>
  <c r="CD49" i="38"/>
  <c r="BD89" i="39"/>
  <c r="AU9" i="41"/>
  <c r="AD58" i="40"/>
  <c r="AC53" i="37"/>
  <c r="AG89" i="1"/>
  <c r="DA54" i="25"/>
  <c r="BW91" i="40"/>
  <c r="BC59" i="37"/>
  <c r="AV92" i="41"/>
  <c r="AI62" i="26"/>
  <c r="CU61" i="39"/>
  <c r="CB62" i="40"/>
  <c r="CM89" i="39"/>
  <c r="AQ12" i="26"/>
  <c r="CK60" i="38"/>
  <c r="AR62" i="26"/>
  <c r="CW37" i="41"/>
  <c r="Z29" i="1"/>
  <c r="CO53" i="39"/>
  <c r="AS37" i="25"/>
  <c r="AG58" i="40"/>
  <c r="Y96" i="41"/>
  <c r="CO29" i="1"/>
  <c r="AZ34" i="38"/>
  <c r="CA79" i="26"/>
  <c r="CN29"/>
  <c r="AM62" i="25"/>
  <c r="O21"/>
  <c r="T67" i="26"/>
  <c r="CX9"/>
  <c r="CJ79" i="39"/>
  <c r="CV60" i="1"/>
  <c r="AA92" i="39"/>
  <c r="M27" i="26"/>
  <c r="CH75" i="38"/>
  <c r="CC89" i="39"/>
  <c r="CT102"/>
  <c r="I18" i="1"/>
  <c r="BY71" i="39"/>
  <c r="BR25" i="40"/>
  <c r="P96" i="36"/>
  <c r="DC98" i="1"/>
  <c r="CR30" i="37"/>
  <c r="AB34"/>
  <c r="CP91"/>
  <c r="BX59" i="38"/>
  <c r="AE54" i="25"/>
  <c r="CZ10" i="26"/>
  <c r="BD75"/>
  <c r="CB79" i="36"/>
  <c r="DE102" i="40"/>
  <c r="AD98" i="39"/>
  <c r="DC102" i="40"/>
  <c r="AB96" i="41"/>
  <c r="BA81" i="38"/>
  <c r="N54" i="26"/>
  <c r="BQ27" i="38"/>
  <c r="CP25" i="26"/>
  <c r="BX98" i="38"/>
  <c r="DB58" i="25"/>
  <c r="DA66"/>
  <c r="DA50" i="1"/>
  <c r="AI96" i="36"/>
  <c r="O37" i="26"/>
  <c r="I13" i="39"/>
  <c r="CW65" i="40"/>
  <c r="AR92" i="39"/>
  <c r="CZ10" i="36"/>
  <c r="BB34" i="38"/>
  <c r="U18" i="25"/>
  <c r="AY59" i="36"/>
  <c r="CW17" i="37"/>
  <c r="CD13" i="39"/>
  <c r="DA13" i="36"/>
  <c r="DB37" i="39"/>
  <c r="CJ92" i="41"/>
  <c r="AP54" i="38"/>
  <c r="AE30" i="36"/>
  <c r="AV53" i="1"/>
  <c r="AQ45" i="37"/>
  <c r="CK96" i="1"/>
  <c r="AW81" i="39"/>
  <c r="AW50" i="40"/>
  <c r="V37" i="1"/>
  <c r="AS91" i="39"/>
  <c r="CW12" i="38"/>
  <c r="CB91" i="36"/>
  <c r="W54" i="41"/>
  <c r="H48" i="59"/>
  <c r="CA24" i="26"/>
  <c r="CU102" i="25"/>
  <c r="BX66" i="37"/>
  <c r="CG25" i="40"/>
  <c r="CN50"/>
  <c r="CI103" i="41"/>
  <c r="CQ66" i="25"/>
  <c r="CK71" i="38"/>
  <c r="CR45" i="37"/>
  <c r="CI79" i="36"/>
  <c r="AC25" i="39"/>
  <c r="CS17" i="1"/>
  <c r="BZ27" i="25"/>
  <c r="CF96" i="1"/>
  <c r="N91" i="25"/>
  <c r="CQ53" i="40"/>
  <c r="CG81"/>
  <c r="CE96" i="38"/>
  <c r="CW12" i="26"/>
  <c r="CY25" i="38"/>
  <c r="BH59" i="26"/>
  <c r="DB96"/>
  <c r="AV98" i="37"/>
  <c r="CZ96" i="26"/>
  <c r="CD66" i="36"/>
  <c r="X53" i="1"/>
  <c r="J29" i="38"/>
  <c r="CX53"/>
  <c r="AM59" i="26"/>
  <c r="CW29" i="38"/>
  <c r="AX10" i="1"/>
  <c r="CT9" i="39"/>
  <c r="AU67" i="25"/>
  <c r="DA24" i="41"/>
  <c r="CE17" i="39"/>
  <c r="CK60" i="37"/>
  <c r="CC53" i="36"/>
  <c r="H75" i="1"/>
  <c r="BD102" i="38"/>
  <c r="CG62" i="26"/>
  <c r="CG71" i="25"/>
  <c r="BV59" i="39"/>
  <c r="CT53" i="41"/>
  <c r="CQ45" i="39"/>
  <c r="P57"/>
  <c r="N65" i="37"/>
  <c r="N60" i="40"/>
  <c r="X25" i="38"/>
  <c r="BH91"/>
  <c r="BY61" i="26"/>
  <c r="BS62"/>
  <c r="CJ65" i="41"/>
  <c r="BI9" i="1"/>
  <c r="CW75" i="25"/>
  <c r="BB61" i="38"/>
  <c r="BR79" i="41"/>
  <c r="BV12" i="40"/>
  <c r="AA13"/>
  <c r="BZ25" i="37"/>
  <c r="CV98" i="25"/>
  <c r="BD45" i="41"/>
  <c r="BC27" i="25"/>
  <c r="BB65" i="39"/>
  <c r="CI103"/>
  <c r="DD57" i="1"/>
  <c r="U62" i="36"/>
  <c r="AE37" i="41"/>
  <c r="BH29"/>
  <c r="X26" i="36"/>
  <c r="AY37" i="41"/>
  <c r="AX25" i="25"/>
  <c r="AA53" i="39"/>
  <c r="K49" i="40"/>
  <c r="CV24"/>
  <c r="BX12" i="41"/>
  <c r="BQ91" i="37"/>
  <c r="G91" i="41"/>
  <c r="AZ59" i="36"/>
  <c r="CB81" i="25"/>
  <c r="X98" i="26"/>
  <c r="AQ30" i="38"/>
  <c r="BU24" i="41"/>
  <c r="BP10" i="38"/>
  <c r="AQ102" i="40"/>
  <c r="W60" i="41"/>
  <c r="L96" i="1"/>
  <c r="U59" i="41"/>
  <c r="L12" i="1"/>
  <c r="CL37" i="41"/>
  <c r="L48" i="38"/>
  <c r="AE89" i="26"/>
  <c r="AJ61" i="25"/>
  <c r="BB10" i="38"/>
  <c r="BS79" i="1"/>
  <c r="AH59" i="37"/>
  <c r="AS25" i="41"/>
  <c r="AC24" i="26"/>
  <c r="CI49" i="1"/>
  <c r="AT27"/>
  <c r="BQ27" i="39"/>
  <c r="BY75" i="25"/>
  <c r="BX49" i="1"/>
  <c r="CE50" i="37"/>
  <c r="CI9" i="41"/>
  <c r="AU26"/>
  <c r="BP103"/>
  <c r="AB57" i="40"/>
  <c r="AJ34" i="37"/>
  <c r="CF81" i="40"/>
  <c r="K48" i="25"/>
  <c r="BP58" i="26"/>
  <c r="AM27" i="1"/>
  <c r="AA96" i="41"/>
  <c r="AA9"/>
  <c r="AI34" i="36"/>
  <c r="G81" i="38"/>
  <c r="BY98" i="37"/>
  <c r="CH57" i="36"/>
  <c r="DD53"/>
  <c r="CJ13"/>
  <c r="AD60" i="39"/>
  <c r="BY89" i="26"/>
  <c r="CW91" i="25"/>
  <c r="CU57" i="41"/>
  <c r="AR25" i="39"/>
  <c r="CZ50" i="1"/>
  <c r="AD29" i="39"/>
  <c r="CT62" i="36"/>
  <c r="AN91" i="41"/>
  <c r="CO10" i="1"/>
  <c r="BS21" i="40"/>
  <c r="AR49" i="39"/>
  <c r="S92" i="26"/>
  <c r="DB45" i="41"/>
  <c r="CS37" i="38"/>
  <c r="BO91" i="41"/>
  <c r="AF37" i="38"/>
  <c r="DB17" i="36"/>
  <c r="AX45"/>
  <c r="CE67" i="25"/>
  <c r="AZ49" i="36"/>
  <c r="J60" i="37"/>
  <c r="CN65" i="36"/>
  <c r="AT25" i="40"/>
  <c r="I45" i="26"/>
  <c r="AP61" i="36"/>
  <c r="X17" i="1"/>
  <c r="AO25" i="40"/>
  <c r="BW13" i="26"/>
  <c r="CL34" i="37"/>
  <c r="CG91" i="26"/>
  <c r="CD96" i="25"/>
  <c r="CR66" i="41"/>
  <c r="H10" i="40"/>
  <c r="BW75" i="39"/>
  <c r="DE54" i="36"/>
  <c r="BS96" i="37"/>
  <c r="AZ57" i="39"/>
  <c r="L48" i="37"/>
  <c r="CV48" i="36"/>
  <c r="DD96" i="39"/>
  <c r="DF49" i="41"/>
  <c r="CM75"/>
  <c r="BS91" i="36"/>
  <c r="CZ57" i="25"/>
  <c r="V89"/>
  <c r="M89" i="37"/>
  <c r="CX48" i="41"/>
  <c r="H91" i="39"/>
  <c r="Y49" i="37"/>
  <c r="AA59" i="26"/>
  <c r="BT57" i="36"/>
  <c r="DB13" i="40"/>
  <c r="BU57" i="38"/>
  <c r="AF57" i="37"/>
  <c r="BQ66" i="25"/>
  <c r="CP21" i="1"/>
  <c r="BB107" i="47"/>
  <c r="CJ79" i="40"/>
  <c r="BI25" i="41"/>
  <c r="DB59" i="40"/>
  <c r="AW17" i="26"/>
  <c r="AE48"/>
  <c r="CI62" i="37"/>
  <c r="BE59" i="25"/>
  <c r="CF71" i="40"/>
  <c r="DA27" i="25"/>
  <c r="BP67" i="38"/>
  <c r="CB66" i="25"/>
  <c r="BD102" i="1"/>
  <c r="L10" i="60"/>
  <c r="DB24" i="36"/>
  <c r="CH66" i="25"/>
  <c r="CH96" i="39"/>
  <c r="CJ45" i="41"/>
  <c r="AE24" i="39"/>
  <c r="BV12" i="36"/>
  <c r="BT54" i="38"/>
  <c r="CR50" i="36"/>
  <c r="CA53" i="40"/>
  <c r="DE102" i="25"/>
  <c r="DF91" i="39"/>
  <c r="CX81" i="38"/>
  <c r="CW91"/>
  <c r="AR62" i="1"/>
  <c r="BS60" i="38"/>
  <c r="BD71" i="25"/>
  <c r="CJ17" i="26"/>
  <c r="N57" i="41"/>
  <c r="CC30" i="37"/>
  <c r="CB71" i="25"/>
  <c r="AU67" i="26"/>
  <c r="BQ75" i="38"/>
  <c r="CL91" i="26"/>
  <c r="M30" i="36"/>
  <c r="CR54" i="40"/>
  <c r="Y9" i="36"/>
  <c r="BP48" i="37"/>
  <c r="AM34" i="25"/>
  <c r="J9" i="1"/>
  <c r="AZ96" i="37"/>
  <c r="O34" i="41"/>
  <c r="BB118" i="47"/>
  <c r="BV66" i="40"/>
  <c r="P75" i="37"/>
  <c r="AJ66" i="41"/>
  <c r="BX30" i="39"/>
  <c r="BD98"/>
  <c r="BS98" i="37"/>
  <c r="AX13" i="38"/>
  <c r="CM13" i="40"/>
  <c r="CF9"/>
  <c r="CQ30" i="26"/>
  <c r="AS18" i="38"/>
  <c r="CE92" i="26"/>
  <c r="CI71" i="36"/>
  <c r="I37" i="40"/>
  <c r="CP79" i="1"/>
  <c r="AN79" i="26"/>
  <c r="CR60" i="1"/>
  <c r="AO102" i="38"/>
  <c r="AQ65" i="37"/>
  <c r="BO67"/>
  <c r="BD58" i="41"/>
  <c r="AH71" i="37"/>
  <c r="BE30"/>
  <c r="O98" i="25"/>
  <c r="AH37" i="41"/>
  <c r="CA96" i="38"/>
  <c r="CD59" i="25"/>
  <c r="CA54" i="37"/>
  <c r="BZ61" i="41"/>
  <c r="CA65" i="25"/>
  <c r="BH49" i="1"/>
  <c r="CB37" i="40"/>
  <c r="CR26" i="1"/>
  <c r="BX50" i="41"/>
  <c r="AF81" i="40"/>
  <c r="DD29" i="39"/>
  <c r="DE10" i="40"/>
  <c r="CP59" i="41"/>
  <c r="AY34" i="40"/>
  <c r="AA66" i="37"/>
  <c r="CB75" i="1"/>
  <c r="BI66" i="38"/>
  <c r="BX65" i="36"/>
  <c r="CS34" i="37"/>
  <c r="CU24" i="38"/>
  <c r="CQ50" i="41"/>
  <c r="CL66" i="38"/>
  <c r="BA91" i="40"/>
  <c r="AT29" i="36"/>
  <c r="CW13" i="41"/>
  <c r="CU30" i="38"/>
  <c r="W25"/>
  <c r="AA25" i="36"/>
  <c r="AP29" i="26"/>
  <c r="CV79" i="36"/>
  <c r="AQ98" i="1"/>
  <c r="K18" i="39"/>
  <c r="AY45" i="36"/>
  <c r="CT75" i="37"/>
  <c r="Y24" i="25"/>
  <c r="BH58"/>
  <c r="K29" i="36"/>
  <c r="AP92" i="40"/>
  <c r="DE57" i="37"/>
  <c r="CT66" i="25"/>
  <c r="Y27" i="36"/>
  <c r="CV53" i="1"/>
  <c r="DE26" i="37"/>
  <c r="L102"/>
  <c r="CR9" i="36"/>
  <c r="CF25" i="1"/>
  <c r="DB50" i="26"/>
  <c r="BX62" i="40"/>
  <c r="AC53" i="26"/>
  <c r="CX50"/>
  <c r="BY26" i="39"/>
  <c r="CT81"/>
  <c r="CR10" i="26"/>
  <c r="CW12" i="37"/>
  <c r="AE10" i="26"/>
  <c r="DD79" i="40"/>
  <c r="CE24" i="37"/>
  <c r="V61" i="41"/>
  <c r="BE92" i="37"/>
  <c r="CL91" i="40"/>
  <c r="CL48" i="36"/>
  <c r="BZ24" i="25"/>
  <c r="AB54" i="40"/>
  <c r="CU62" i="41"/>
  <c r="BR50" i="25"/>
  <c r="AJ10"/>
  <c r="AB65" i="36"/>
  <c r="BU79" i="25"/>
  <c r="W66" i="1"/>
  <c r="BC24" i="40"/>
  <c r="DA67" i="38"/>
  <c r="AD10" i="41"/>
  <c r="AY96" i="40"/>
  <c r="W71" i="25"/>
  <c r="CV75" i="38"/>
  <c r="CN12" i="39"/>
  <c r="CG30" i="40"/>
  <c r="AU50"/>
  <c r="W61" i="26"/>
  <c r="AC49" i="25"/>
  <c r="AD102" i="40"/>
  <c r="BI29"/>
  <c r="CC60" i="25"/>
  <c r="AD98" i="37"/>
  <c r="CK65" i="26"/>
  <c r="AI67" i="1"/>
  <c r="AT91" i="26"/>
  <c r="AZ9" i="40"/>
  <c r="AB13" i="41"/>
  <c r="CI18" i="40"/>
  <c r="CN48" i="38"/>
  <c r="AR58"/>
  <c r="N102" i="39"/>
  <c r="AI98" i="41"/>
  <c r="AB81" i="37"/>
  <c r="DA91" i="36"/>
  <c r="AH67" i="41"/>
  <c r="BX10" i="39"/>
  <c r="AQ50" i="1"/>
  <c r="DE59" i="25"/>
  <c r="AV10" i="39"/>
  <c r="H98" i="38"/>
  <c r="AT10" i="39"/>
  <c r="T96" i="36"/>
  <c r="W34" i="40"/>
  <c r="J12" i="37"/>
  <c r="O25" i="40"/>
  <c r="G89" i="25"/>
  <c r="AG10" i="39"/>
  <c r="DA49" i="41"/>
  <c r="H61" i="36"/>
  <c r="AC75" i="26"/>
  <c r="AA45" i="1"/>
  <c r="H34" i="39"/>
  <c r="CT34" i="40"/>
  <c r="BO13" i="36"/>
  <c r="AT98" i="39"/>
  <c r="CB45" i="40"/>
  <c r="BR54" i="41"/>
  <c r="BV75" i="25"/>
  <c r="BT37" i="39"/>
  <c r="BT57" i="1"/>
  <c r="O59" i="38"/>
  <c r="CK13" i="39"/>
  <c r="I92" i="38"/>
  <c r="U71" i="26"/>
  <c r="O26" i="39"/>
  <c r="I9" i="59"/>
  <c r="F76" i="64"/>
  <c r="BZ26" i="37"/>
  <c r="CI62" i="39"/>
  <c r="CE66" i="38"/>
  <c r="CA12"/>
  <c r="AY53" i="26"/>
  <c r="CB92" i="1"/>
  <c r="CL45" i="37"/>
  <c r="DF65" i="36"/>
  <c r="DC61" i="25"/>
  <c r="CP13" i="40"/>
  <c r="AD54" i="36"/>
  <c r="CV58" i="37"/>
  <c r="BP102"/>
  <c r="AD48" i="1"/>
  <c r="BU59" i="37"/>
  <c r="AA91" i="26"/>
  <c r="G79" i="36"/>
  <c r="CA21" i="26"/>
  <c r="CV21" i="36"/>
  <c r="AV89" i="25"/>
  <c r="AG25" i="39"/>
  <c r="CT67" i="26"/>
  <c r="G61" i="39"/>
  <c r="T25" i="40"/>
  <c r="J9" i="37"/>
  <c r="CV37"/>
  <c r="AQ18" i="39"/>
  <c r="DC53" i="26"/>
  <c r="CH79" i="37"/>
  <c r="G98" i="39"/>
  <c r="BS50" i="38"/>
  <c r="CA30" i="37"/>
  <c r="BQ34" i="39"/>
  <c r="BO27" i="25"/>
  <c r="BZ91" i="1"/>
  <c r="CC75" i="39"/>
  <c r="DD21" i="25"/>
  <c r="G45" i="36"/>
  <c r="BU48" i="1"/>
  <c r="Y13" i="26"/>
  <c r="H89" i="37"/>
  <c r="BR67" i="25"/>
  <c r="CM79" i="36"/>
  <c r="DF34" i="26"/>
  <c r="AW24" i="41"/>
  <c r="M45" i="36"/>
  <c r="Y60" i="25"/>
  <c r="CP96" i="39"/>
  <c r="O37"/>
  <c r="CP79" i="38"/>
  <c r="CR37" i="39"/>
  <c r="AN13" i="26"/>
  <c r="BA48" i="36"/>
  <c r="M21" i="25"/>
  <c r="CG24" i="26"/>
  <c r="V71" i="36"/>
  <c r="CZ102" i="1"/>
  <c r="AP67" i="38"/>
  <c r="AS50" i="26"/>
  <c r="M9" i="40"/>
  <c r="CA13" i="1"/>
  <c r="AQ65" i="40"/>
  <c r="DC54"/>
  <c r="I25" i="38"/>
  <c r="BB50" i="36"/>
  <c r="N59" i="1"/>
  <c r="AC48" i="36"/>
  <c r="BT50" i="25"/>
  <c r="CO37" i="40"/>
  <c r="P12" i="26"/>
  <c r="DA34"/>
  <c r="L62" i="25"/>
  <c r="BD54" i="40"/>
  <c r="BA62" i="38"/>
  <c r="BZ29"/>
  <c r="M62" i="40"/>
  <c r="P29" i="41"/>
  <c r="CO67" i="40"/>
  <c r="CL24"/>
  <c r="CN30"/>
  <c r="AO65" i="1"/>
  <c r="AV34" i="37"/>
  <c r="AG92" i="25"/>
  <c r="U48" i="41"/>
  <c r="X61" i="36"/>
  <c r="AX65" i="25"/>
  <c r="CY29" i="39"/>
  <c r="CN29" i="41"/>
  <c r="CI34" i="39"/>
  <c r="CA57" i="40"/>
  <c r="BU21" i="36"/>
  <c r="BU9" i="1"/>
  <c r="BV62" i="26"/>
  <c r="G53" i="37"/>
  <c r="AZ30" i="41"/>
  <c r="AC17" i="36"/>
  <c r="S81" i="39"/>
  <c r="CN30" i="36"/>
  <c r="CV29" i="37"/>
  <c r="CO79" i="36"/>
  <c r="M13"/>
  <c r="AD54" i="1"/>
  <c r="BD59" i="26"/>
  <c r="BH29" i="1"/>
  <c r="G10" i="36"/>
  <c r="BP98" i="25"/>
  <c r="BD37" i="39"/>
  <c r="AN29"/>
  <c r="E76" i="64"/>
  <c r="CS60" i="25"/>
  <c r="CZ81"/>
  <c r="K45" i="38"/>
  <c r="AP26" i="25"/>
  <c r="O24"/>
  <c r="BI27" i="37"/>
  <c r="DF30" i="26"/>
  <c r="H53" i="37"/>
  <c r="K53" i="64"/>
  <c r="CO9" i="25"/>
  <c r="BI37" i="37"/>
  <c r="AE53" i="41"/>
  <c r="BE59" i="36"/>
  <c r="K30" i="37"/>
  <c r="BI50" i="41"/>
  <c r="CS58" i="36"/>
  <c r="CX61" i="40"/>
  <c r="CF53" i="36"/>
  <c r="CJ89"/>
  <c r="CA89" i="25"/>
  <c r="AW17" i="40"/>
  <c r="X9" i="36"/>
  <c r="AN48" i="38"/>
  <c r="DC18" i="41"/>
  <c r="CU61" i="25"/>
  <c r="DB30" i="1"/>
  <c r="BC45" i="25"/>
  <c r="DA96" i="36"/>
  <c r="DE12"/>
  <c r="CL91" i="41"/>
  <c r="AC57" i="39"/>
  <c r="BE89" i="25"/>
  <c r="DC59" i="38"/>
  <c r="BS53" i="25"/>
  <c r="DB98" i="36"/>
  <c r="BP37" i="25"/>
  <c r="X58" i="26"/>
  <c r="Y54" i="39"/>
  <c r="CH79"/>
  <c r="AY81" i="25"/>
  <c r="AD26" i="1"/>
  <c r="AP30" i="37"/>
  <c r="CO21" i="41"/>
  <c r="CM98"/>
  <c r="CS30" i="39"/>
  <c r="O54" i="26"/>
  <c r="W25" i="40"/>
  <c r="AC75" i="38"/>
  <c r="DF24"/>
  <c r="BY89" i="25"/>
  <c r="CA13" i="40"/>
  <c r="AN57" i="37"/>
  <c r="DF49" i="40"/>
  <c r="AW59" i="38"/>
  <c r="BZ10" i="26"/>
  <c r="BX50" i="39"/>
  <c r="CL37" i="25"/>
  <c r="CQ79" i="38"/>
  <c r="AC49" i="1"/>
  <c r="AM24" i="39"/>
  <c r="O26" i="37"/>
  <c r="AX71" i="36"/>
  <c r="AY57"/>
  <c r="BW18" i="37"/>
  <c r="CR10" i="38"/>
  <c r="CQ62"/>
  <c r="AZ9"/>
  <c r="N61"/>
  <c r="S34" i="26"/>
  <c r="BP26"/>
  <c r="AW34" i="40"/>
  <c r="BO98" i="36"/>
  <c r="I91" i="37"/>
  <c r="CP57" i="25"/>
  <c r="BI62" i="41"/>
  <c r="J57" i="39"/>
  <c r="BE98" i="26"/>
  <c r="BX58" i="37"/>
  <c r="AO89" i="26"/>
  <c r="AV25"/>
  <c r="BW9" i="37"/>
  <c r="BV53" i="36"/>
  <c r="AT98"/>
  <c r="CR26" i="25"/>
  <c r="BD79" i="1"/>
  <c r="BO57" i="38"/>
  <c r="DD102" i="39"/>
  <c r="BV17" i="36"/>
  <c r="O49" i="25"/>
  <c r="P50" i="40"/>
  <c r="O49" i="39"/>
  <c r="AO29" i="1"/>
  <c r="AT12" i="25"/>
  <c r="CI37" i="41"/>
  <c r="CU71" i="37"/>
  <c r="AU59" i="39"/>
  <c r="AZ67" i="40"/>
  <c r="BU45" i="37"/>
  <c r="AQ57" i="41"/>
  <c r="AD57" i="1"/>
  <c r="L89" i="26"/>
  <c r="BT65" i="39"/>
  <c r="CU45" i="36"/>
  <c r="AO37" i="37"/>
  <c r="CE53"/>
  <c r="T96" i="39"/>
  <c r="CM49" i="40"/>
  <c r="CC18" i="36"/>
  <c r="AW30" i="41"/>
  <c r="AD92" i="40"/>
  <c r="CQ91" i="41"/>
  <c r="AP53" i="39"/>
  <c r="BU12" i="38"/>
  <c r="BI58" i="40"/>
  <c r="BB128" i="47"/>
  <c r="CC24" i="40"/>
  <c r="CS67" i="25"/>
  <c r="M66" i="37"/>
  <c r="AX30" i="25"/>
  <c r="CV30"/>
  <c r="CU30" i="1"/>
  <c r="BX66"/>
  <c r="CX17" i="40"/>
  <c r="CU10" i="1"/>
  <c r="AI67" i="37"/>
  <c r="T13" i="40"/>
  <c r="BS21" i="39"/>
  <c r="CL9" i="40"/>
  <c r="Z12" i="36"/>
  <c r="H37" i="37"/>
  <c r="AH13" i="38"/>
  <c r="CA9" i="40"/>
  <c r="CI65" i="36"/>
  <c r="BE30"/>
  <c r="CP49" i="38"/>
  <c r="AE12" i="25"/>
  <c r="CJ21"/>
  <c r="CT34" i="37"/>
  <c r="CU50" i="1"/>
  <c r="AF29" i="39"/>
  <c r="AS62" i="1"/>
  <c r="AM102" i="37"/>
  <c r="M37" i="39"/>
  <c r="BP75" i="38"/>
  <c r="BR75" i="40"/>
  <c r="CS50" i="37"/>
  <c r="AM17"/>
  <c r="BE61" i="41"/>
  <c r="AR65" i="37"/>
  <c r="CL96" i="26"/>
  <c r="CW89" i="38"/>
  <c r="CS79" i="36"/>
  <c r="BA60" i="37"/>
  <c r="BE29" i="39"/>
  <c r="BS10" i="40"/>
  <c r="CG60" i="1"/>
  <c r="U75" i="40"/>
  <c r="CF58" i="25"/>
  <c r="CF79" i="1"/>
  <c r="AW75" i="41"/>
  <c r="BR67" i="37"/>
  <c r="AC48" i="25"/>
  <c r="BU26" i="37"/>
  <c r="BZ59" i="39"/>
  <c r="BZ66" i="25"/>
  <c r="DC67" i="39"/>
  <c r="CG96" i="36"/>
  <c r="AA13" i="1"/>
  <c r="CU34" i="26"/>
  <c r="AB102" i="40"/>
  <c r="CY60" i="36"/>
  <c r="BC89" i="40"/>
  <c r="BI26"/>
  <c r="CN102" i="26"/>
  <c r="AC26" i="25"/>
  <c r="J98" i="40"/>
  <c r="BA26" i="25"/>
  <c r="BO27" i="40"/>
  <c r="AV9" i="1"/>
  <c r="BH65" i="38"/>
  <c r="AZ17" i="36"/>
  <c r="BQ27" i="26"/>
  <c r="CL61" i="1"/>
  <c r="X18" i="36"/>
  <c r="AJ65"/>
  <c r="AR66" i="39"/>
  <c r="DB9" i="38"/>
  <c r="AD10" i="40"/>
  <c r="CN48" i="41"/>
  <c r="AH60" i="38"/>
  <c r="H25" i="37"/>
  <c r="AQ12" i="38"/>
  <c r="CB13" i="37"/>
  <c r="CU89" i="25"/>
  <c r="CD103" i="39"/>
  <c r="Z71" i="1"/>
  <c r="AO67" i="36"/>
  <c r="CT65" i="40"/>
  <c r="AP58" i="26"/>
  <c r="BE37" i="1"/>
  <c r="K13" i="36"/>
  <c r="AF79" i="1"/>
  <c r="L13" i="38"/>
  <c r="BI62" i="36"/>
  <c r="O18" i="25"/>
  <c r="U49" i="38"/>
  <c r="BU34" i="41"/>
  <c r="O30" i="26"/>
  <c r="BZ58" i="25"/>
  <c r="BQ57" i="37"/>
  <c r="Y71" i="40"/>
  <c r="CF98" i="39"/>
  <c r="CI67" i="41"/>
  <c r="AP81" i="40"/>
  <c r="CV92" i="26"/>
  <c r="DB81" i="38"/>
  <c r="BA71" i="25"/>
  <c r="AI24" i="41"/>
  <c r="BR9" i="36"/>
  <c r="BU91" i="25"/>
  <c r="DA49" i="37"/>
  <c r="AF61" i="39"/>
  <c r="AD34"/>
  <c r="S61" i="37"/>
  <c r="DC67" i="1"/>
  <c r="CF9" i="39"/>
  <c r="CO89" i="40"/>
  <c r="CP24" i="37"/>
  <c r="CK58" i="38"/>
  <c r="CH57" i="41"/>
  <c r="CB25" i="1"/>
  <c r="CE13" i="36"/>
  <c r="BD58" i="38"/>
  <c r="BX54" i="37"/>
  <c r="BV29" i="38"/>
  <c r="AM92" i="1"/>
  <c r="AX96" i="38"/>
  <c r="F73" i="64"/>
  <c r="BB25" i="37"/>
  <c r="AA61" i="26"/>
  <c r="AO34" i="38"/>
  <c r="BC67" i="39"/>
  <c r="AB26" i="25"/>
  <c r="CA54" i="36"/>
  <c r="AU37" i="40"/>
  <c r="CN81" i="38"/>
  <c r="CQ60" i="26"/>
  <c r="S26" i="39"/>
  <c r="N75" i="26"/>
  <c r="AX96" i="37"/>
  <c r="AO61" i="41"/>
  <c r="DD89" i="25"/>
  <c r="CT71" i="39"/>
  <c r="CA91"/>
  <c r="CQ48" i="37"/>
  <c r="U53" i="38"/>
  <c r="DF89" i="39"/>
  <c r="AP29" i="36"/>
  <c r="AI53" i="37"/>
  <c r="P50" i="41"/>
  <c r="CY27" i="25"/>
  <c r="CM29" i="38"/>
  <c r="CS49" i="1"/>
  <c r="X18" i="41"/>
  <c r="AA21" i="26"/>
  <c r="J30" i="37"/>
  <c r="Z24" i="1"/>
  <c r="BE34" i="36"/>
  <c r="I49" i="59"/>
  <c r="E74" i="60"/>
  <c r="AZ128" i="47"/>
  <c r="U54" i="41"/>
  <c r="AO79" i="1"/>
  <c r="BQ102"/>
  <c r="DD24" i="37"/>
  <c r="BA48" i="39"/>
  <c r="AI29" i="26"/>
  <c r="M54" i="59"/>
  <c r="I90" i="60"/>
  <c r="CN49" i="25"/>
  <c r="AH49" i="41"/>
  <c r="I10" i="60"/>
  <c r="BY98" i="25"/>
  <c r="CT30" i="39"/>
  <c r="AD21" i="26"/>
  <c r="DF65" i="38"/>
  <c r="CS60" i="1"/>
  <c r="AZ98" i="37"/>
  <c r="CY29" i="41"/>
  <c r="AJ37" i="36"/>
  <c r="CM98" i="38"/>
  <c r="L37" i="41"/>
  <c r="AD67" i="39"/>
  <c r="AX98" i="36"/>
  <c r="K34" i="1"/>
  <c r="BW57" i="40"/>
  <c r="DD26" i="39"/>
  <c r="AU62"/>
  <c r="AX9" i="1"/>
  <c r="BY81" i="26"/>
  <c r="CR48" i="40"/>
  <c r="AH62" i="1"/>
  <c r="Z18" i="36"/>
  <c r="BZ29" i="39"/>
  <c r="AB54" i="1"/>
  <c r="BO37" i="41"/>
  <c r="CH67" i="38"/>
  <c r="BX18" i="39"/>
  <c r="CR60" i="26"/>
  <c r="CZ62" i="38"/>
  <c r="CR79" i="25"/>
  <c r="CS17" i="26"/>
  <c r="BI67" i="25"/>
  <c r="Y61" i="36"/>
  <c r="BB60" i="37"/>
  <c r="CY34" i="26"/>
  <c r="BV27" i="25"/>
  <c r="AT75"/>
  <c r="Z57" i="26"/>
  <c r="AB57" i="25"/>
  <c r="DB75"/>
  <c r="CN98" i="37"/>
  <c r="O26" i="1"/>
  <c r="CK25"/>
  <c r="AJ67" i="26"/>
  <c r="T10" i="1"/>
  <c r="W75" i="26"/>
  <c r="CZ60" i="36"/>
  <c r="T98" i="39"/>
  <c r="BT67" i="40"/>
  <c r="T54" i="39"/>
  <c r="AM50" i="26"/>
  <c r="CX102" i="39"/>
  <c r="CP29" i="36"/>
  <c r="Z45"/>
  <c r="CK10" i="39"/>
  <c r="AU12" i="37"/>
  <c r="BO13" i="39"/>
  <c r="BR71" i="26"/>
  <c r="BR103" i="37"/>
  <c r="BU96"/>
  <c r="CM96" i="25"/>
  <c r="BV67" i="37"/>
  <c r="BR25" i="1"/>
  <c r="AA71" i="25"/>
  <c r="BO103" i="41"/>
  <c r="BI66"/>
  <c r="Z79" i="38"/>
  <c r="AX53" i="36"/>
  <c r="AF91"/>
  <c r="M50"/>
  <c r="AD25" i="41"/>
  <c r="BV18" i="26"/>
  <c r="S57" i="41"/>
  <c r="DF9" i="36"/>
  <c r="H13" i="39"/>
  <c r="BX45"/>
  <c r="CI65"/>
  <c r="BY102" i="26"/>
  <c r="AH10" i="25"/>
  <c r="J54" i="39"/>
  <c r="BR49" i="41"/>
  <c r="AM102" i="39"/>
  <c r="AJ91" i="37"/>
  <c r="U27" i="1"/>
  <c r="Y91" i="40"/>
  <c r="BS49" i="41"/>
  <c r="I67" i="40"/>
  <c r="AS13" i="26"/>
  <c r="BP98"/>
  <c r="DF9" i="38"/>
  <c r="X10" i="41"/>
  <c r="DB67" i="1"/>
  <c r="AH48" i="37"/>
  <c r="AC10" i="25"/>
  <c r="T54"/>
  <c r="BH21"/>
  <c r="AV79" i="41"/>
  <c r="AH45" i="38"/>
  <c r="BD30"/>
  <c r="CG29" i="25"/>
  <c r="BZ96" i="1"/>
  <c r="BR54" i="39"/>
  <c r="CY92"/>
  <c r="BR75"/>
  <c r="BD59" i="36"/>
  <c r="CA12" i="41"/>
  <c r="Y17" i="40"/>
  <c r="CT92" i="1"/>
  <c r="AE67" i="39"/>
  <c r="CM81" i="37"/>
  <c r="AW60" i="41"/>
  <c r="BB67" i="36"/>
  <c r="AN66" i="38"/>
  <c r="AW98" i="39"/>
  <c r="CR67" i="25"/>
  <c r="CV92" i="40"/>
  <c r="CL81" i="25"/>
  <c r="BV18" i="41"/>
  <c r="CB34" i="37"/>
  <c r="CD62" i="36"/>
  <c r="AU45" i="40"/>
  <c r="AU17" i="1"/>
  <c r="J61" i="26"/>
  <c r="BC54" i="37"/>
  <c r="J49" i="38"/>
  <c r="M67" i="37"/>
  <c r="W71"/>
  <c r="P50" i="59"/>
  <c r="L12" i="64"/>
  <c r="CV26" i="36"/>
  <c r="AZ71" i="26"/>
  <c r="BX29" i="40"/>
  <c r="DD102" i="41"/>
  <c r="CP54" i="25"/>
  <c r="CV27" i="39"/>
  <c r="W25" i="1"/>
  <c r="CR26" i="41"/>
  <c r="AR45"/>
  <c r="AT9" i="26"/>
  <c r="Y49" i="40"/>
  <c r="K34" i="41"/>
  <c r="DD37" i="25"/>
  <c r="J79" i="26"/>
  <c r="T53" i="25"/>
  <c r="BB67" i="39"/>
  <c r="AX89"/>
  <c r="AH9"/>
  <c r="BW91" i="26"/>
  <c r="BI34" i="36"/>
  <c r="AS26" i="40"/>
  <c r="CZ54"/>
  <c r="AX79" i="38"/>
  <c r="CK67" i="26"/>
  <c r="CE67" i="40"/>
  <c r="CV91" i="36"/>
  <c r="CQ67" i="1"/>
  <c r="BV96" i="26"/>
  <c r="CZ34" i="40"/>
  <c r="BZ102" i="25"/>
  <c r="T29" i="1"/>
  <c r="CI37" i="38"/>
  <c r="BR30" i="25"/>
  <c r="BX75" i="38"/>
  <c r="BB89" i="39"/>
  <c r="AU89" i="36"/>
  <c r="DE96" i="37"/>
  <c r="BU18" i="26"/>
  <c r="AV9"/>
  <c r="BC66" i="25"/>
  <c r="I45" i="39"/>
  <c r="O27" i="41"/>
  <c r="CM50" i="37"/>
  <c r="AJ53"/>
  <c r="BT24" i="40"/>
  <c r="DE53"/>
  <c r="BC58" i="37"/>
  <c r="BB26" i="40"/>
  <c r="M45" i="38"/>
  <c r="CD98" i="39"/>
  <c r="AV53" i="26"/>
  <c r="AU18" i="41"/>
  <c r="N12" i="38"/>
  <c r="BI18" i="25"/>
  <c r="DE9" i="1"/>
  <c r="BD60" i="39"/>
  <c r="CM37" i="40"/>
  <c r="CO50" i="38"/>
  <c r="CK18" i="36"/>
  <c r="AY18" i="40"/>
  <c r="BX50" i="38"/>
  <c r="P49" i="25"/>
  <c r="CC91" i="37"/>
  <c r="BB49" i="25"/>
  <c r="CA48" i="26"/>
  <c r="P65"/>
  <c r="AO98"/>
  <c r="BA61" i="41"/>
  <c r="AN18" i="36"/>
  <c r="BI96" i="1"/>
  <c r="CD25" i="41"/>
  <c r="CI92"/>
  <c r="CY25" i="37"/>
  <c r="CW71" i="25"/>
  <c r="AZ66" i="26"/>
  <c r="V10" i="1"/>
  <c r="CU13" i="25"/>
  <c r="BO91"/>
  <c r="N81" i="39"/>
  <c r="DE18"/>
  <c r="AJ61" i="36"/>
  <c r="CY60" i="40"/>
  <c r="AG65" i="1"/>
  <c r="X9" i="25"/>
  <c r="DD96" i="26"/>
  <c r="AU34" i="36"/>
  <c r="CE60" i="38"/>
  <c r="BT71" i="37"/>
  <c r="AU66" i="1"/>
  <c r="BX37" i="40"/>
  <c r="BB9" i="38"/>
  <c r="AM48" i="25"/>
  <c r="Z25" i="41"/>
  <c r="BE65" i="37"/>
  <c r="W59" i="36"/>
  <c r="N61" i="40"/>
  <c r="AT29"/>
  <c r="CK50" i="39"/>
  <c r="AV67" i="36"/>
  <c r="AH26" i="38"/>
  <c r="O26" i="26"/>
  <c r="BH102" i="40"/>
  <c r="CC26" i="36"/>
  <c r="AC79" i="41"/>
  <c r="AX12"/>
  <c r="CQ24"/>
  <c r="DB49" i="26"/>
  <c r="AZ50" i="1"/>
  <c r="J75" i="38"/>
  <c r="AJ13" i="41"/>
  <c r="U92" i="40"/>
  <c r="K26" i="36"/>
  <c r="CI75" i="25"/>
  <c r="DA57"/>
  <c r="N67" i="40"/>
  <c r="CQ13" i="39"/>
  <c r="DE29" i="41"/>
  <c r="CO26" i="1"/>
  <c r="CW98" i="38"/>
  <c r="L71" i="25"/>
  <c r="DF62" i="1"/>
  <c r="I10" i="36"/>
  <c r="CQ29" i="1"/>
  <c r="BE37" i="38"/>
  <c r="L37" i="25"/>
  <c r="CW50" i="38"/>
  <c r="J10" i="60"/>
  <c r="M49" i="59"/>
  <c r="CF24" i="36"/>
  <c r="CE92" i="41"/>
  <c r="CA34" i="39"/>
  <c r="CD50" i="26"/>
  <c r="CE10" i="25"/>
  <c r="AD81" i="41"/>
  <c r="BX61" i="36"/>
  <c r="AW96"/>
  <c r="CC98" i="41"/>
  <c r="CH75" i="1"/>
  <c r="AX24" i="41"/>
  <c r="CK9" i="1"/>
  <c r="CF81" i="37"/>
  <c r="CR24" i="1"/>
  <c r="BT67" i="41"/>
  <c r="BC61" i="36"/>
  <c r="AU27"/>
  <c r="CX13"/>
  <c r="AG24" i="26"/>
  <c r="CL29" i="25"/>
  <c r="CJ57" i="38"/>
  <c r="AO81" i="41"/>
  <c r="AU37" i="36"/>
  <c r="CG71"/>
  <c r="CP10"/>
  <c r="BD25" i="37"/>
  <c r="DD45" i="41"/>
  <c r="CW60" i="39"/>
  <c r="AU30" i="1"/>
  <c r="I29" i="38"/>
  <c r="DB17"/>
  <c r="AY26" i="37"/>
  <c r="BH30" i="36"/>
  <c r="AW67" i="39"/>
  <c r="CC48" i="37"/>
  <c r="CX13" i="26"/>
  <c r="CQ103" i="39"/>
  <c r="CT13" i="26"/>
  <c r="BS53" i="38"/>
  <c r="CD29" i="41"/>
  <c r="AU75" i="39"/>
  <c r="AU67" i="40"/>
  <c r="CZ67" i="1"/>
  <c r="T96" i="26"/>
  <c r="AX34" i="39"/>
  <c r="BS66" i="36"/>
  <c r="O62" i="38"/>
  <c r="CQ17" i="37"/>
  <c r="G24" i="40"/>
  <c r="BW24" i="25"/>
  <c r="CA81" i="37"/>
  <c r="CB79" i="39"/>
  <c r="AR61" i="25"/>
  <c r="BE12"/>
  <c r="V30" i="41"/>
  <c r="AS61" i="25"/>
  <c r="AS21" i="36"/>
  <c r="M60" i="41"/>
  <c r="CC30" i="25"/>
  <c r="BA67" i="39"/>
  <c r="AU9" i="40"/>
  <c r="DA13" i="38"/>
  <c r="BT24" i="25"/>
  <c r="CG48" i="26"/>
  <c r="K61" i="38"/>
  <c r="BE102" i="37"/>
  <c r="AE102"/>
  <c r="V10" i="39"/>
  <c r="CF27" i="1"/>
  <c r="AD49" i="26"/>
  <c r="I34" i="40"/>
  <c r="DB18" i="37"/>
  <c r="AZ98" i="41"/>
  <c r="BU25" i="25"/>
  <c r="CE91" i="39"/>
  <c r="CV92" i="41"/>
  <c r="AX17" i="39"/>
  <c r="AE13" i="38"/>
  <c r="CS103" i="26"/>
  <c r="BA98" i="40"/>
  <c r="T13" i="1"/>
  <c r="U17"/>
  <c r="AI18" i="39"/>
  <c r="K79" i="26"/>
  <c r="AQ13" i="37"/>
  <c r="AI34" i="26"/>
  <c r="CP91" i="25"/>
  <c r="CV62" i="26"/>
  <c r="H24" i="1"/>
  <c r="AN60" i="41"/>
  <c r="CI57" i="40"/>
  <c r="AI60"/>
  <c r="BT45" i="38"/>
  <c r="AV45" i="39"/>
  <c r="AJ98" i="38"/>
  <c r="N37" i="37"/>
  <c r="X21" i="36"/>
  <c r="CP27" i="26"/>
  <c r="AH67" i="37"/>
  <c r="CV59" i="40"/>
  <c r="CM53"/>
  <c r="CF61" i="26"/>
  <c r="CL24" i="38"/>
  <c r="CI25" i="41"/>
  <c r="CT60" i="37"/>
  <c r="AY24" i="25"/>
  <c r="CY24" i="36"/>
  <c r="BR34" i="40"/>
  <c r="H27" i="41"/>
  <c r="N79" i="25"/>
  <c r="V49" i="40"/>
  <c r="BH62"/>
  <c r="BX92" i="1"/>
  <c r="G18" i="26"/>
  <c r="O58" i="36"/>
  <c r="AB81" i="26"/>
  <c r="T89" i="40"/>
  <c r="CO59" i="26"/>
  <c r="CE102" i="38"/>
  <c r="BY79" i="39"/>
  <c r="CF26" i="1"/>
  <c r="CA26" i="36"/>
  <c r="BS21" i="25"/>
  <c r="AG30" i="36"/>
  <c r="BU54" i="41"/>
  <c r="AA24" i="37"/>
  <c r="CV103" i="40"/>
  <c r="AP60" i="1"/>
  <c r="AA17" i="41"/>
  <c r="BO10"/>
  <c r="BR17" i="26"/>
  <c r="CY9" i="40"/>
  <c r="AW34" i="37"/>
  <c r="CS53" i="38"/>
  <c r="CY71" i="37"/>
  <c r="AG26" i="38"/>
  <c r="AM60" i="37"/>
  <c r="AO18" i="25"/>
  <c r="AU96" i="39"/>
  <c r="AV24" i="40"/>
  <c r="G67"/>
  <c r="BP59" i="39"/>
  <c r="BG107" i="47"/>
  <c r="AG13" i="25"/>
  <c r="CC50" i="36"/>
  <c r="AH81" i="25"/>
  <c r="BE79" i="36"/>
  <c r="AY34" i="1"/>
  <c r="CE96" i="37"/>
  <c r="Z98" i="39"/>
  <c r="CM53" i="38"/>
  <c r="CH81" i="1"/>
  <c r="AQ9" i="38"/>
  <c r="CK98" i="1"/>
  <c r="BH21" i="36"/>
  <c r="BD25"/>
  <c r="DA75" i="40"/>
  <c r="AN81" i="1"/>
  <c r="AW71" i="26"/>
  <c r="CW25" i="40"/>
  <c r="BI18" i="36"/>
  <c r="AS71" i="38"/>
  <c r="BD37" i="41"/>
  <c r="BC81" i="39"/>
  <c r="P25" i="40"/>
  <c r="AR21" i="25"/>
  <c r="BB29" i="38"/>
  <c r="AJ75" i="40"/>
  <c r="BR54"/>
  <c r="AQ79" i="37"/>
  <c r="CR10" i="1"/>
  <c r="AZ25" i="41"/>
  <c r="BQ103" i="1"/>
  <c r="AI17" i="37"/>
  <c r="CM25" i="26"/>
  <c r="BO61" i="1"/>
  <c r="AE25" i="37"/>
  <c r="BR30" i="36"/>
  <c r="AZ96" i="26"/>
  <c r="K71" i="37"/>
  <c r="AD24" i="36"/>
  <c r="CZ53" i="40"/>
  <c r="DE13" i="1"/>
  <c r="AA34"/>
  <c r="BR96" i="36"/>
  <c r="AR61" i="41"/>
  <c r="J13" i="37"/>
  <c r="AF92" i="1"/>
  <c r="CZ12" i="26"/>
  <c r="X79" i="1"/>
  <c r="AF57" i="40"/>
  <c r="BS62" i="38"/>
  <c r="DD27" i="1"/>
  <c r="BP37" i="39"/>
  <c r="CD98" i="40"/>
  <c r="CZ61" i="1"/>
  <c r="CV96" i="26"/>
  <c r="DF37" i="36"/>
  <c r="AV21" i="38"/>
  <c r="CJ21" i="41"/>
  <c r="CQ53" i="37"/>
  <c r="CM59" i="40"/>
  <c r="CV92" i="39"/>
  <c r="V67" i="36"/>
  <c r="BZ25" i="39"/>
  <c r="DB103" i="37"/>
  <c r="S89" i="40"/>
  <c r="U30" i="38"/>
  <c r="CI53" i="1"/>
  <c r="DB9" i="26"/>
  <c r="CH53" i="41"/>
  <c r="CH37" i="25"/>
  <c r="CM54" i="40"/>
  <c r="Z53" i="39"/>
  <c r="CD13" i="1"/>
  <c r="AW48" i="39"/>
  <c r="AT53" i="26"/>
  <c r="DA61" i="40"/>
  <c r="CE59"/>
  <c r="AF26" i="37"/>
  <c r="CU75" i="25"/>
  <c r="BR34" i="1"/>
  <c r="DE21" i="37"/>
  <c r="DB57" i="26"/>
  <c r="N67"/>
  <c r="V18" i="38"/>
  <c r="BW65" i="36"/>
  <c r="AR58" i="26"/>
  <c r="CV18"/>
  <c r="CX25" i="25"/>
  <c r="BU89" i="36"/>
  <c r="AN50" i="26"/>
  <c r="CD79" i="40"/>
  <c r="CF103"/>
  <c r="CP12" i="37"/>
  <c r="CV53"/>
  <c r="Y81" i="36"/>
  <c r="BB102" i="37"/>
  <c r="CQ12"/>
  <c r="CQ58" i="36"/>
  <c r="S65" i="40"/>
  <c r="CQ54" i="41"/>
  <c r="AM81" i="25"/>
  <c r="AZ50" i="41"/>
  <c r="BV34" i="1"/>
  <c r="M79" i="25"/>
  <c r="AU65" i="40"/>
  <c r="AN25" i="38"/>
  <c r="V57" i="37"/>
  <c r="CD81" i="41"/>
  <c r="BY34" i="26"/>
  <c r="BY75" i="36"/>
  <c r="CR29" i="1"/>
  <c r="AI75" i="26"/>
  <c r="BE67" i="41"/>
  <c r="CF67" i="39"/>
  <c r="CW79" i="26"/>
  <c r="BV17"/>
  <c r="BR34" i="36"/>
  <c r="CO67"/>
  <c r="BQ91" i="41"/>
  <c r="U13" i="25"/>
  <c r="CS71" i="39"/>
  <c r="AV17" i="36"/>
  <c r="AY122" i="47"/>
  <c r="CB21" i="41"/>
  <c r="CU91" i="40"/>
  <c r="BU10" i="38"/>
  <c r="BY13" i="40"/>
  <c r="CG30" i="25"/>
  <c r="CD75" i="36"/>
  <c r="AW12"/>
  <c r="CW17" i="39"/>
  <c r="DD66" i="25"/>
  <c r="BC58" i="26"/>
  <c r="CP48" i="40"/>
  <c r="S27" i="38"/>
  <c r="CD96" i="39"/>
  <c r="O17" i="25"/>
  <c r="J57" i="1"/>
  <c r="BY24" i="40"/>
  <c r="AW13" i="36"/>
  <c r="J45" i="40"/>
  <c r="BC53"/>
  <c r="CZ60"/>
  <c r="AI89" i="41"/>
  <c r="CI45" i="26"/>
  <c r="V75"/>
  <c r="AO30" i="38"/>
  <c r="AD92" i="37"/>
  <c r="AC92" i="39"/>
  <c r="AW92" i="25"/>
  <c r="DB67" i="41"/>
  <c r="CA25"/>
  <c r="BC24" i="25"/>
  <c r="AC26" i="39"/>
  <c r="DF102"/>
  <c r="AQ91" i="37"/>
  <c r="Z92" i="40"/>
  <c r="CI103" i="36"/>
  <c r="CK27" i="38"/>
  <c r="CC29" i="1"/>
  <c r="BQ91" i="39"/>
  <c r="CT21" i="26"/>
  <c r="S98" i="37"/>
  <c r="H62" i="39"/>
  <c r="AS45"/>
  <c r="CW66" i="41"/>
  <c r="DC17" i="39"/>
  <c r="AV91" i="40"/>
  <c r="CY62"/>
  <c r="U79" i="25"/>
  <c r="CE29" i="1"/>
  <c r="AN30" i="41"/>
  <c r="CB21" i="26"/>
  <c r="AN48" i="37"/>
  <c r="AG10" i="36"/>
  <c r="AV10" i="37"/>
  <c r="AX71" i="39"/>
  <c r="DB75" i="37"/>
  <c r="CD13" i="25"/>
  <c r="AZ49" i="37"/>
  <c r="BX59"/>
  <c r="AF10" i="26"/>
  <c r="CP75" i="38"/>
  <c r="BS71" i="39"/>
  <c r="CM26" i="41"/>
  <c r="M17" i="36"/>
  <c r="AS96" i="1"/>
  <c r="CZ103" i="36"/>
  <c r="BV67" i="25"/>
  <c r="BX18" i="1"/>
  <c r="BB10" i="41"/>
  <c r="BT71"/>
  <c r="AA54" i="39"/>
  <c r="AB29" i="26"/>
  <c r="J13"/>
  <c r="CC10" i="39"/>
  <c r="AZ57" i="37"/>
  <c r="DE17" i="38"/>
  <c r="BH34"/>
  <c r="CI58" i="26"/>
  <c r="BE21"/>
  <c r="BU89" i="41"/>
  <c r="CS30" i="40"/>
  <c r="BA89" i="41"/>
  <c r="W67" i="1"/>
  <c r="CI96" i="36"/>
  <c r="O12" i="39"/>
  <c r="BH57" i="40"/>
  <c r="AR10" i="36"/>
  <c r="AA71"/>
  <c r="AT45" i="37"/>
  <c r="CB60" i="39"/>
  <c r="AQ10" i="41"/>
  <c r="AZ24" i="36"/>
  <c r="BP65" i="25"/>
  <c r="AH25" i="36"/>
  <c r="DF98" i="38"/>
  <c r="I37" i="26"/>
  <c r="CT27" i="1"/>
  <c r="BP49"/>
  <c r="CB81" i="41"/>
  <c r="CN17" i="36"/>
  <c r="U34" i="39"/>
  <c r="AN75" i="25"/>
  <c r="CL57"/>
  <c r="H96" i="39"/>
  <c r="L79"/>
  <c r="T48" i="40"/>
  <c r="AR24" i="26"/>
  <c r="K61" i="41"/>
  <c r="DD71" i="38"/>
  <c r="DF96" i="37"/>
  <c r="BH37" i="39"/>
  <c r="I6" i="60"/>
  <c r="AQ54" i="26"/>
  <c r="BX60" i="39"/>
  <c r="CF25" i="25"/>
  <c r="CP59"/>
  <c r="CH60" i="41"/>
  <c r="CR102" i="37"/>
  <c r="CT66" i="36"/>
  <c r="CO24" i="38"/>
  <c r="X60" i="36"/>
  <c r="AP25" i="26"/>
  <c r="AR102" i="40"/>
  <c r="AP79" i="37"/>
  <c r="P37" i="38"/>
  <c r="BR30" i="39"/>
  <c r="BE60" i="37"/>
  <c r="AR27" i="41"/>
  <c r="L54" i="25"/>
  <c r="AV12" i="26"/>
  <c r="BY61" i="36"/>
  <c r="CY66" i="26"/>
  <c r="BS12" i="36"/>
  <c r="BC17" i="37"/>
  <c r="BZ103" i="39"/>
  <c r="AP37"/>
  <c r="CW27" i="25"/>
  <c r="Y34" i="41"/>
  <c r="BD26" i="38"/>
  <c r="CZ30" i="25"/>
  <c r="AE81"/>
  <c r="AS81" i="41"/>
  <c r="V45" i="1"/>
  <c r="BS30" i="38"/>
  <c r="BD10" i="37"/>
  <c r="CG62" i="41"/>
  <c r="AA61" i="25"/>
  <c r="AT66" i="41"/>
  <c r="BV34" i="38"/>
  <c r="I59"/>
  <c r="O45" i="26"/>
  <c r="BA62" i="1"/>
  <c r="BS26" i="39"/>
  <c r="CQ27"/>
  <c r="Z45" i="38"/>
  <c r="BY17" i="26"/>
  <c r="AO48" i="38"/>
  <c r="AS61" i="39"/>
  <c r="Z24" i="41"/>
  <c r="CY45" i="25"/>
  <c r="AA53"/>
  <c r="CS81" i="37"/>
  <c r="BY49"/>
  <c r="CQ92" i="25"/>
  <c r="CI18" i="36"/>
  <c r="AJ25" i="26"/>
  <c r="AX79" i="41"/>
  <c r="AW34" i="36"/>
  <c r="BC61" i="40"/>
  <c r="H54" i="26"/>
  <c r="CM10" i="40"/>
  <c r="AD21" i="1"/>
  <c r="S98" i="41"/>
  <c r="AX60" i="40"/>
  <c r="H60" i="39"/>
  <c r="S10"/>
  <c r="CQ79" i="37"/>
  <c r="BP60" i="36"/>
  <c r="AM13" i="38"/>
  <c r="BO75" i="39"/>
  <c r="G53"/>
  <c r="BX48" i="25"/>
  <c r="BR79" i="1"/>
  <c r="CK53" i="39"/>
  <c r="CR13"/>
  <c r="DD17" i="25"/>
  <c r="AT49" i="1"/>
  <c r="CZ34"/>
  <c r="CE79" i="26"/>
  <c r="BD98" i="40"/>
  <c r="BC91" i="38"/>
  <c r="AP49" i="36"/>
  <c r="BD49" i="1"/>
  <c r="Z60" i="38"/>
  <c r="AM10" i="37"/>
  <c r="P27" i="40"/>
  <c r="CI66" i="38"/>
  <c r="W10" i="41"/>
  <c r="CJ96" i="38"/>
  <c r="CL89" i="36"/>
  <c r="CM13" i="39"/>
  <c r="BZ103" i="1"/>
  <c r="AN81" i="25"/>
  <c r="O71" i="39"/>
  <c r="AO17" i="38"/>
  <c r="AU10" i="25"/>
  <c r="AB17" i="26"/>
  <c r="AB17" i="38"/>
  <c r="BI24" i="39"/>
  <c r="CL26" i="41"/>
  <c r="AF45" i="1"/>
  <c r="T30" i="25"/>
  <c r="U18" i="41"/>
  <c r="L45" i="26"/>
  <c r="Z34"/>
  <c r="AA37" i="39"/>
  <c r="CF17" i="37"/>
  <c r="DA45" i="25"/>
  <c r="CR25" i="37"/>
  <c r="DA59"/>
  <c r="CE53" i="26"/>
  <c r="AX48" i="36"/>
  <c r="DE27" i="40"/>
  <c r="BO58" i="41"/>
  <c r="AS48" i="37"/>
  <c r="Y29" i="39"/>
  <c r="DF12" i="26"/>
  <c r="AJ17" i="39"/>
  <c r="CN54" i="1"/>
  <c r="AO98" i="41"/>
  <c r="CF17" i="26"/>
  <c r="P96" i="40"/>
  <c r="CY18" i="41"/>
  <c r="N66" i="40"/>
  <c r="CB61" i="1"/>
  <c r="BW50" i="25"/>
  <c r="CD71" i="39"/>
  <c r="CC91" i="40"/>
  <c r="CG98" i="39"/>
  <c r="BZ81"/>
  <c r="CG18" i="38"/>
  <c r="CC57" i="36"/>
  <c r="BW62" i="40"/>
  <c r="CN75" i="25"/>
  <c r="CA66" i="36"/>
  <c r="CV37" i="25"/>
  <c r="AR67" i="38"/>
  <c r="CR25" i="25"/>
  <c r="CF89" i="40"/>
  <c r="T61" i="1"/>
  <c r="CZ57" i="40"/>
  <c r="CF60" i="25"/>
  <c r="AX91" i="38"/>
  <c r="AJ66"/>
  <c r="AF67" i="25"/>
  <c r="BS66" i="39"/>
  <c r="AZ61" i="37"/>
  <c r="Y57" i="38"/>
  <c r="AI26"/>
  <c r="CA53" i="25"/>
  <c r="Z50" i="40"/>
  <c r="Z29" i="36"/>
  <c r="BU25" i="1"/>
  <c r="L48"/>
  <c r="V34" i="38"/>
  <c r="AM79" i="36"/>
  <c r="CV79" i="25"/>
  <c r="AO21" i="36"/>
  <c r="DC45" i="25"/>
  <c r="CA9" i="38"/>
  <c r="BW61" i="25"/>
  <c r="CJ34"/>
  <c r="AT62" i="36"/>
  <c r="AY21" i="37"/>
  <c r="BD10" i="36"/>
  <c r="CN53" i="25"/>
  <c r="BV58" i="26"/>
  <c r="AC17" i="40"/>
  <c r="BT37" i="1"/>
  <c r="DA18"/>
  <c r="BD102" i="26"/>
  <c r="BT21" i="36"/>
  <c r="AE12" i="26"/>
  <c r="AI79" i="40"/>
  <c r="BW29" i="37"/>
  <c r="CG67" i="41"/>
  <c r="J49"/>
  <c r="CM54"/>
  <c r="CX24" i="1"/>
  <c r="V66" i="37"/>
  <c r="AS98" i="40"/>
  <c r="T61" i="39"/>
  <c r="P27" i="26"/>
  <c r="CO49" i="39"/>
  <c r="CW59" i="37"/>
  <c r="AZ89" i="36"/>
  <c r="AI67" i="38"/>
  <c r="AY67" i="41"/>
  <c r="CO62" i="37"/>
  <c r="AE61" i="40"/>
  <c r="DF58" i="37"/>
  <c r="CK10" i="26"/>
  <c r="CK59" i="36"/>
  <c r="AJ81" i="1"/>
  <c r="L75" i="37"/>
  <c r="CU71" i="41"/>
  <c r="BR24" i="38"/>
  <c r="AM49" i="25"/>
  <c r="T10" i="26"/>
  <c r="AE91" i="38"/>
  <c r="CA58" i="39"/>
  <c r="AS58" i="38"/>
  <c r="N59" i="39"/>
  <c r="AY61" i="38"/>
  <c r="CH75" i="39"/>
  <c r="CH59"/>
  <c r="Y27"/>
  <c r="U25" i="41"/>
  <c r="CV9" i="26"/>
  <c r="M29"/>
  <c r="I30" i="39"/>
  <c r="AT67" i="26"/>
  <c r="AB89" i="39"/>
  <c r="CR71" i="40"/>
  <c r="AU62"/>
  <c r="CW18" i="36"/>
  <c r="BE60" i="26"/>
  <c r="CZ59" i="39"/>
  <c r="BS53" i="41"/>
  <c r="CC102"/>
  <c r="BH26" i="25"/>
  <c r="DB25" i="36"/>
  <c r="AB26"/>
  <c r="BB10" i="37"/>
  <c r="AJ50" i="40"/>
  <c r="CL81" i="37"/>
  <c r="CG58"/>
  <c r="CK12" i="40"/>
  <c r="AP65" i="37"/>
  <c r="CT24" i="1"/>
  <c r="CC102" i="40"/>
  <c r="BA57" i="37"/>
  <c r="AV59" i="25"/>
  <c r="CA71" i="1"/>
  <c r="Z61" i="38"/>
  <c r="CT67" i="25"/>
  <c r="X75" i="37"/>
  <c r="BO61" i="40"/>
  <c r="L26" i="37"/>
  <c r="AN10" i="1"/>
  <c r="T102" i="39"/>
  <c r="DA81" i="26"/>
  <c r="DC13" i="38"/>
  <c r="BY18" i="41"/>
  <c r="CE49" i="38"/>
  <c r="AQ24" i="26"/>
  <c r="S62" i="39"/>
  <c r="H30" i="37"/>
  <c r="CD17" i="38"/>
  <c r="W71"/>
  <c r="DA71" i="40"/>
  <c r="CZ13"/>
  <c r="AD60" i="38"/>
  <c r="AS98" i="25"/>
  <c r="AR49" i="40"/>
  <c r="BE48"/>
  <c r="AS12"/>
  <c r="BV58"/>
  <c r="AF10" i="36"/>
  <c r="BB30" i="39"/>
  <c r="CT98" i="38"/>
  <c r="BY98" i="36"/>
  <c r="BZ71" i="1"/>
  <c r="CY54" i="26"/>
  <c r="M71" i="38"/>
  <c r="AP49" i="40"/>
  <c r="CA61"/>
  <c r="BU59" i="26"/>
  <c r="I18"/>
  <c r="CG48" i="41"/>
  <c r="M12" i="25"/>
  <c r="CE25" i="39"/>
  <c r="BT92" i="37"/>
  <c r="DA54" i="1"/>
  <c r="AT25"/>
  <c r="CX92" i="41"/>
  <c r="DC57" i="25"/>
  <c r="BZ65" i="1"/>
  <c r="X25" i="39"/>
  <c r="CI30" i="26"/>
  <c r="AC21" i="41"/>
  <c r="CA103" i="1"/>
  <c r="J50"/>
  <c r="Y65" i="26"/>
  <c r="DD58" i="37"/>
  <c r="CL17" i="1"/>
  <c r="BH25" i="41"/>
  <c r="CM9" i="1"/>
  <c r="BH67" i="36"/>
  <c r="CP89" i="38"/>
  <c r="BS102" i="37"/>
  <c r="CX57" i="38"/>
  <c r="AV45"/>
  <c r="X17" i="36"/>
  <c r="CA89" i="1"/>
  <c r="AG60" i="40"/>
  <c r="CF92"/>
  <c r="CR89" i="38"/>
  <c r="CL37" i="37"/>
  <c r="Z48" i="40"/>
  <c r="CH71" i="38"/>
  <c r="J34" i="26"/>
  <c r="CW65" i="41"/>
  <c r="Y89" i="1"/>
  <c r="Z17" i="38"/>
  <c r="CA49" i="25"/>
  <c r="CN18" i="38"/>
  <c r="DF25" i="25"/>
  <c r="CO92" i="38"/>
  <c r="CY60" i="26"/>
  <c r="Z66" i="39"/>
  <c r="AG21" i="38"/>
  <c r="DB21" i="25"/>
  <c r="I92" i="36"/>
  <c r="BV57"/>
  <c r="L92" i="38"/>
  <c r="BQ60" i="1"/>
  <c r="DE59" i="26"/>
  <c r="CX53" i="36"/>
  <c r="AA26" i="25"/>
  <c r="AW98" i="1"/>
  <c r="W24" i="25"/>
  <c r="CG81" i="39"/>
  <c r="AS17" i="25"/>
  <c r="BC21" i="41"/>
  <c r="BD61" i="39"/>
  <c r="CP81" i="41"/>
  <c r="AR58"/>
  <c r="DB21" i="26"/>
  <c r="DC49" i="41"/>
  <c r="AY66"/>
  <c r="AZ65"/>
  <c r="CD57" i="26"/>
  <c r="K49" i="36"/>
  <c r="Y25" i="1"/>
  <c r="CM75" i="39"/>
  <c r="BD34" i="38"/>
  <c r="CG49" i="39"/>
  <c r="M67" i="41"/>
  <c r="BP75" i="1"/>
  <c r="CJ96" i="41"/>
  <c r="K26" i="38"/>
  <c r="CC12" i="37"/>
  <c r="N59" i="40"/>
  <c r="I9" i="38"/>
  <c r="AP92" i="26"/>
  <c r="BE30" i="38"/>
  <c r="BE60" i="40"/>
  <c r="AH17" i="26"/>
  <c r="CW66" i="25"/>
  <c r="AN61" i="40"/>
  <c r="H60" i="36"/>
  <c r="CJ34" i="41"/>
  <c r="BU13" i="37"/>
  <c r="AX48" i="26"/>
  <c r="DF29" i="37"/>
  <c r="AJ60" i="40"/>
  <c r="U75" i="36"/>
  <c r="AC9"/>
  <c r="CN62" i="40"/>
  <c r="AI81" i="36"/>
  <c r="N24" i="37"/>
  <c r="AA75" i="26"/>
  <c r="H58" i="39"/>
  <c r="BE102" i="26"/>
  <c r="CT48" i="1"/>
  <c r="AQ25" i="39"/>
  <c r="BT29" i="38"/>
  <c r="AZ30"/>
  <c r="DC54" i="25"/>
  <c r="BW102" i="41"/>
  <c r="CZ24" i="38"/>
  <c r="AZ58"/>
  <c r="DC71" i="37"/>
  <c r="CG53" i="25"/>
  <c r="CC103" i="1"/>
  <c r="P9" i="36"/>
  <c r="X45" i="41"/>
  <c r="BO37" i="25"/>
  <c r="M50" i="59"/>
  <c r="J72" i="64"/>
  <c r="M47" i="59"/>
  <c r="AD50" i="25"/>
  <c r="BR54" i="1"/>
  <c r="BR65" i="25"/>
  <c r="CS71"/>
  <c r="CB65" i="26"/>
  <c r="Y61" i="1"/>
  <c r="CW26" i="40"/>
  <c r="BZ18" i="39"/>
  <c r="BW30" i="25"/>
  <c r="CG12" i="39"/>
  <c r="AO45" i="40"/>
  <c r="CE66" i="41"/>
  <c r="AZ49" i="1"/>
  <c r="BC62"/>
  <c r="CD26" i="38"/>
  <c r="X57" i="39"/>
  <c r="DC48" i="40"/>
  <c r="AH71" i="36"/>
  <c r="BI45" i="26"/>
  <c r="DF30" i="36"/>
  <c r="CV81" i="39"/>
  <c r="BW58" i="40"/>
  <c r="J66" i="41"/>
  <c r="BE21" i="1"/>
  <c r="P57" i="26"/>
  <c r="AY89"/>
  <c r="L29" i="38"/>
  <c r="AA81" i="1"/>
  <c r="DE79" i="26"/>
  <c r="AW26" i="1"/>
  <c r="DC54" i="37"/>
  <c r="AC27"/>
  <c r="P65"/>
  <c r="BS50" i="1"/>
  <c r="AJ79" i="36"/>
  <c r="CT71" i="26"/>
  <c r="AC57"/>
  <c r="AU24" i="38"/>
  <c r="DB24" i="25"/>
  <c r="CE60" i="41"/>
  <c r="BB96" i="36"/>
  <c r="AN81" i="41"/>
  <c r="CZ66" i="37"/>
  <c r="AX92" i="38"/>
  <c r="AH26" i="41"/>
  <c r="U66" i="36"/>
  <c r="J26" i="39"/>
  <c r="AB34" i="38"/>
  <c r="N21" i="40"/>
  <c r="AT37" i="39"/>
  <c r="BQ34" i="41"/>
  <c r="CS26" i="1"/>
  <c r="CN96" i="26"/>
  <c r="CO26" i="38"/>
  <c r="K89" i="40"/>
  <c r="U37" i="26"/>
  <c r="DA12" i="40"/>
  <c r="CC34" i="37"/>
  <c r="W79" i="25"/>
  <c r="Y37" i="39"/>
  <c r="AP50" i="38"/>
  <c r="CM10" i="36"/>
  <c r="DA9" i="39"/>
  <c r="BS65" i="38"/>
  <c r="X65" i="26"/>
  <c r="CJ62" i="41"/>
  <c r="BX62" i="1"/>
  <c r="CI61" i="37"/>
  <c r="Z10" i="26"/>
  <c r="CH37" i="36"/>
  <c r="L79" i="40"/>
  <c r="CG50" i="1"/>
  <c r="AU59" i="38"/>
  <c r="N61" i="36"/>
  <c r="CD79" i="1"/>
  <c r="DD34" i="37"/>
  <c r="CI29" i="38"/>
  <c r="N89" i="37"/>
  <c r="Y75" i="39"/>
  <c r="CD17" i="25"/>
  <c r="AV21" i="36"/>
  <c r="CE18" i="41"/>
  <c r="AJ65" i="39"/>
  <c r="CT67" i="38"/>
  <c r="AJ12" i="36"/>
  <c r="AJ54" i="40"/>
  <c r="AR21" i="39"/>
  <c r="P71" i="36"/>
  <c r="U18" i="40"/>
  <c r="BA61" i="25"/>
  <c r="W59" i="37"/>
  <c r="CA37" i="1"/>
  <c r="CW75" i="41"/>
  <c r="CA45" i="39"/>
  <c r="CI67" i="36"/>
  <c r="BO29" i="1"/>
  <c r="BV9" i="39"/>
  <c r="AS13" i="41"/>
  <c r="BW58" i="1"/>
  <c r="DE30" i="40"/>
  <c r="J13" i="38"/>
  <c r="CK34" i="37"/>
  <c r="BO10" i="36"/>
  <c r="DB71" i="40"/>
  <c r="BA18" i="26"/>
  <c r="CZ96" i="39"/>
  <c r="AR24" i="38"/>
  <c r="BV57" i="37"/>
  <c r="AC75" i="40"/>
  <c r="CY91" i="36"/>
  <c r="CP62" i="41"/>
  <c r="AP50" i="25"/>
  <c r="I18" i="40"/>
  <c r="N27" i="38"/>
  <c r="AC21" i="26"/>
  <c r="CT34" i="39"/>
  <c r="BH13" i="26"/>
  <c r="BQ49" i="37"/>
  <c r="W58" i="26"/>
  <c r="CJ29" i="41"/>
  <c r="BO13" i="1"/>
  <c r="AU58" i="26"/>
  <c r="BI96" i="25"/>
  <c r="BW61" i="36"/>
  <c r="AU75"/>
  <c r="AD60" i="41"/>
  <c r="CQ98" i="38"/>
  <c r="CR13" i="1"/>
  <c r="CL24" i="25"/>
  <c r="AY13" i="41"/>
  <c r="AZ107" i="47"/>
  <c r="BH98" i="26"/>
  <c r="CK9" i="39"/>
  <c r="CE24" i="40"/>
  <c r="CU17" i="1"/>
  <c r="BA18" i="38"/>
  <c r="AH89" i="1"/>
  <c r="BW75" i="37"/>
  <c r="BQ61"/>
  <c r="DE79" i="41"/>
  <c r="DF17"/>
  <c r="AE66" i="39"/>
  <c r="AS54" i="36"/>
  <c r="CV61" i="41"/>
  <c r="BP102" i="25"/>
  <c r="BO26" i="1"/>
  <c r="CK92" i="41"/>
  <c r="AE25" i="25"/>
  <c r="AV24"/>
  <c r="O89" i="38"/>
  <c r="P67" i="40"/>
  <c r="W49" i="41"/>
  <c r="BZ92" i="1"/>
  <c r="BP48" i="26"/>
  <c r="BZ12" i="37"/>
  <c r="DD37" i="38"/>
  <c r="K18" i="37"/>
  <c r="BB81" i="25"/>
  <c r="AE67" i="26"/>
  <c r="CP59" i="39"/>
  <c r="BH65" i="26"/>
  <c r="CE26"/>
  <c r="BB102" i="25"/>
  <c r="CU75" i="37"/>
  <c r="X79" i="36"/>
  <c r="CS67"/>
  <c r="CM53"/>
  <c r="CB92" i="26"/>
  <c r="CG24" i="38"/>
  <c r="AE58" i="26"/>
  <c r="CY18" i="25"/>
  <c r="AW71" i="39"/>
  <c r="J37" i="25"/>
  <c r="CU53" i="36"/>
  <c r="BZ48" i="25"/>
  <c r="Y37" i="36"/>
  <c r="AW98"/>
  <c r="CZ60" i="41"/>
  <c r="AA26" i="40"/>
  <c r="BX10" i="41"/>
  <c r="BV9" i="37"/>
  <c r="BB10" i="26"/>
  <c r="CT102" i="36"/>
  <c r="DB30" i="25"/>
  <c r="DD37" i="37"/>
  <c r="T53" i="40"/>
  <c r="X27" i="38"/>
  <c r="AQ61" i="37"/>
  <c r="G58" i="26"/>
  <c r="DE29" i="25"/>
  <c r="BX26" i="41"/>
  <c r="S27"/>
  <c r="BI48" i="37"/>
  <c r="CJ96" i="1"/>
  <c r="BE57" i="38"/>
  <c r="CM75" i="26"/>
  <c r="CC45"/>
  <c r="BX75" i="40"/>
  <c r="N54" i="25"/>
  <c r="BU18" i="40"/>
  <c r="DA30" i="39"/>
  <c r="CC66" i="26"/>
  <c r="CG30" i="36"/>
  <c r="CK62" i="1"/>
  <c r="AN79" i="37"/>
  <c r="CK26" i="26"/>
  <c r="N13" i="36"/>
  <c r="AF67" i="26"/>
  <c r="T25" i="38"/>
  <c r="CJ34" i="36"/>
  <c r="BT62" i="40"/>
  <c r="K89" i="39"/>
  <c r="BY67" i="1"/>
  <c r="DD59" i="40"/>
  <c r="BA62" i="25"/>
  <c r="BP66" i="26"/>
  <c r="O25" i="25"/>
  <c r="H29" i="39"/>
  <c r="S48" i="38"/>
  <c r="AM66" i="25"/>
  <c r="CE67" i="26"/>
  <c r="AI98" i="1"/>
  <c r="AQ54" i="40"/>
  <c r="Z49" i="41"/>
  <c r="Y27" i="1"/>
  <c r="CH21" i="25"/>
  <c r="CU103" i="1"/>
  <c r="AP62" i="38"/>
  <c r="BF316" i="47"/>
  <c r="AA61" i="38"/>
  <c r="AG53" i="41"/>
  <c r="BI48" i="36"/>
  <c r="AS89" i="40"/>
  <c r="K48" i="37"/>
  <c r="AY130" i="47"/>
  <c r="CP21" i="39"/>
  <c r="J57" i="40"/>
  <c r="CU12" i="25"/>
  <c r="DC54" i="1"/>
  <c r="BV34" i="25"/>
  <c r="L61" i="38"/>
  <c r="DA81" i="39"/>
  <c r="CJ57" i="25"/>
  <c r="CK91" i="1"/>
  <c r="BH18" i="39"/>
  <c r="CS29" i="36"/>
  <c r="CC50" i="1"/>
  <c r="BI29" i="26"/>
  <c r="J62" i="39"/>
  <c r="BV48" i="41"/>
  <c r="BB81" i="39"/>
  <c r="BS96" i="1"/>
  <c r="BP67" i="25"/>
  <c r="DA34" i="1"/>
  <c r="AX29" i="25"/>
  <c r="BY62" i="38"/>
  <c r="AX96" i="26"/>
  <c r="BE18"/>
  <c r="DC30" i="36"/>
  <c r="N30" i="40"/>
  <c r="AI91" i="1"/>
  <c r="V60"/>
  <c r="AB17" i="41"/>
  <c r="BE58" i="36"/>
  <c r="CV9" i="1"/>
  <c r="CV24" i="37"/>
  <c r="AQ18"/>
  <c r="BO71"/>
  <c r="BD71" i="40"/>
  <c r="DA79" i="37"/>
  <c r="CX34" i="25"/>
  <c r="AB91" i="39"/>
  <c r="CT29" i="36"/>
  <c r="BT75" i="38"/>
  <c r="DD12" i="36"/>
  <c r="M89" i="41"/>
  <c r="BR29" i="38"/>
  <c r="N20" i="50"/>
  <c r="P11" i="59"/>
  <c r="BQ60" i="39"/>
  <c r="AR27" i="36"/>
  <c r="CV49" i="1"/>
  <c r="DD79" i="41"/>
  <c r="AB26" i="26"/>
  <c r="BU34"/>
  <c r="CP30" i="40"/>
  <c r="AX75" i="37"/>
  <c r="BR60" i="38"/>
  <c r="CR57" i="41"/>
  <c r="CR67" i="38"/>
  <c r="CZ75" i="40"/>
  <c r="AB62" i="37"/>
  <c r="AX92" i="25"/>
  <c r="J50" i="59"/>
  <c r="AZ65" i="26"/>
  <c r="BH66" i="36"/>
  <c r="G34" i="41"/>
  <c r="AE75" i="26"/>
  <c r="CC61" i="25"/>
  <c r="X59"/>
  <c r="AZ48" i="1"/>
  <c r="BP89" i="38"/>
  <c r="CS27" i="39"/>
  <c r="AY25" i="1"/>
  <c r="AS27" i="39"/>
  <c r="CW59" i="1"/>
  <c r="AQ71" i="36"/>
  <c r="AJ37" i="41"/>
  <c r="BQ102" i="40"/>
  <c r="CO67" i="37"/>
  <c r="CN53" i="38"/>
  <c r="AA75" i="25"/>
  <c r="DD29" i="41"/>
  <c r="AN65" i="39"/>
  <c r="P53" i="36"/>
  <c r="AF81" i="37"/>
  <c r="CP49" i="39"/>
  <c r="BX45" i="1"/>
  <c r="CS53" i="26"/>
  <c r="CG71" i="41"/>
  <c r="CB92" i="38"/>
  <c r="L17" i="26"/>
  <c r="BO49" i="39"/>
  <c r="BV26" i="38"/>
  <c r="AM13" i="40"/>
  <c r="BH61" i="36"/>
  <c r="N57" i="59"/>
  <c r="AJ71" i="39"/>
  <c r="AG9" i="38"/>
  <c r="AU62" i="25"/>
  <c r="K13"/>
  <c r="DD29" i="26"/>
  <c r="CE102" i="41"/>
  <c r="AA67" i="36"/>
  <c r="Z91" i="26"/>
  <c r="CU89" i="40"/>
  <c r="H24" i="25"/>
  <c r="BX58" i="26"/>
  <c r="AZ54" i="37"/>
  <c r="CR18" i="36"/>
  <c r="AR17" i="41"/>
  <c r="AV71" i="25"/>
  <c r="X91" i="38"/>
  <c r="BA59" i="39"/>
  <c r="BP96" i="25"/>
  <c r="G30" i="26"/>
  <c r="BV67" i="41"/>
  <c r="BD37" i="38"/>
  <c r="X57" i="40"/>
  <c r="AC13" i="26"/>
  <c r="DD61" i="39"/>
  <c r="BA49" i="26"/>
  <c r="Y48"/>
  <c r="P67" i="37"/>
  <c r="AG26"/>
  <c r="DE96" i="36"/>
  <c r="Z21" i="1"/>
  <c r="AI62" i="36"/>
  <c r="BY37" i="41"/>
  <c r="BW59" i="38"/>
  <c r="BY37" i="25"/>
  <c r="CU17" i="36"/>
  <c r="AU67" i="38"/>
  <c r="J48" i="37"/>
  <c r="DF48" i="25"/>
  <c r="AC60" i="36"/>
  <c r="AW30" i="39"/>
  <c r="CE10" i="36"/>
  <c r="BC10"/>
  <c r="BU66" i="38"/>
  <c r="AY24" i="1"/>
  <c r="X66" i="41"/>
  <c r="DC12" i="26"/>
  <c r="AN17" i="1"/>
  <c r="BY13" i="26"/>
  <c r="BI89" i="39"/>
  <c r="BD18" i="37"/>
  <c r="BB34" i="39"/>
  <c r="DB58" i="26"/>
  <c r="W66" i="25"/>
  <c r="AF66" i="38"/>
  <c r="BQ102" i="36"/>
  <c r="AI45" i="41"/>
  <c r="CL26" i="39"/>
  <c r="AM81"/>
  <c r="CM66" i="41"/>
  <c r="AA59" i="39"/>
  <c r="AQ29" i="26"/>
  <c r="DF9" i="1"/>
  <c r="I25" i="25"/>
  <c r="G79" i="40"/>
  <c r="BD62" i="37"/>
  <c r="DF13" i="41"/>
  <c r="CM50" i="25"/>
  <c r="DA92" i="38"/>
  <c r="CD10" i="41"/>
  <c r="O75" i="26"/>
  <c r="AX45" i="39"/>
  <c r="BV26"/>
  <c r="AX24" i="37"/>
  <c r="AZ66" i="40"/>
  <c r="AG98" i="41"/>
  <c r="AY53" i="36"/>
  <c r="CI71" i="40"/>
  <c r="DE96" i="25"/>
  <c r="AS17" i="39"/>
  <c r="AH57" i="25"/>
  <c r="DA29" i="38"/>
  <c r="AD57" i="39"/>
  <c r="DA67" i="25"/>
  <c r="CS54" i="36"/>
  <c r="CT79" i="1"/>
  <c r="AW13" i="38"/>
  <c r="G62" i="39"/>
  <c r="AN75" i="37"/>
  <c r="CK37" i="41"/>
  <c r="CV13" i="25"/>
  <c r="T10" i="40"/>
  <c r="CW61" i="26"/>
  <c r="DE103" i="40"/>
  <c r="CE30" i="37"/>
  <c r="BY49" i="40"/>
  <c r="O75" i="41"/>
  <c r="AT24" i="40"/>
  <c r="DC34" i="39"/>
  <c r="CO27" i="26"/>
  <c r="CR98" i="39"/>
  <c r="AI81" i="1"/>
  <c r="CS54"/>
  <c r="CZ18"/>
  <c r="CB66" i="39"/>
  <c r="T27" i="36"/>
  <c r="DA13" i="25"/>
  <c r="CH102" i="37"/>
  <c r="CL102" i="25"/>
  <c r="CR48" i="26"/>
  <c r="N60" i="41"/>
  <c r="M81" i="1"/>
  <c r="BB92"/>
  <c r="CP53" i="39"/>
  <c r="CL26" i="26"/>
  <c r="J34" i="40"/>
  <c r="AM45" i="26"/>
  <c r="N60"/>
  <c r="CS92" i="1"/>
  <c r="BW67" i="26"/>
  <c r="CY62"/>
  <c r="BQ103" i="25"/>
  <c r="CI66" i="37"/>
  <c r="O34" i="40"/>
  <c r="S30"/>
  <c r="CY92" i="26"/>
  <c r="S17" i="41"/>
  <c r="DE29" i="36"/>
  <c r="BE91" i="25"/>
  <c r="CA25" i="26"/>
  <c r="AM61" i="39"/>
  <c r="CJ92" i="37"/>
  <c r="J91" i="39"/>
  <c r="AQ18" i="40"/>
  <c r="BB57" i="1"/>
  <c r="CP102" i="26"/>
  <c r="AX61"/>
  <c r="G91"/>
  <c r="CV98"/>
  <c r="H79" i="38"/>
  <c r="BY92" i="25"/>
  <c r="CS98" i="39"/>
  <c r="AY98" i="40"/>
  <c r="AU37" i="37"/>
  <c r="DB79" i="1"/>
  <c r="AU30" i="38"/>
  <c r="DB62" i="37"/>
  <c r="AO30" i="26"/>
  <c r="AV49" i="38"/>
  <c r="BO89" i="36"/>
  <c r="CE9" i="25"/>
  <c r="AD61" i="41"/>
  <c r="CS75" i="39"/>
  <c r="DF58" i="40"/>
  <c r="AG67" i="37"/>
  <c r="AV30" i="1"/>
  <c r="BV91" i="39"/>
  <c r="BI17" i="38"/>
  <c r="AG13" i="36"/>
  <c r="AZ66" i="37"/>
  <c r="DE18"/>
  <c r="AS49" i="39"/>
  <c r="CH49" i="38"/>
  <c r="BX34" i="40"/>
  <c r="AO21" i="41"/>
  <c r="CL18" i="39"/>
  <c r="CY18" i="38"/>
  <c r="AS9"/>
  <c r="CG17" i="1"/>
  <c r="DD79"/>
  <c r="CL45" i="39"/>
  <c r="CK53" i="36"/>
  <c r="CC49" i="26"/>
  <c r="AG17" i="40"/>
  <c r="CH62" i="1"/>
  <c r="BQ57" i="26"/>
  <c r="CU103" i="38"/>
  <c r="Y13" i="1"/>
  <c r="DF10" i="40"/>
  <c r="BD60" i="41"/>
  <c r="AY13" i="36"/>
  <c r="CX66"/>
  <c r="BD37" i="26"/>
  <c r="AH54" i="41"/>
  <c r="DF79" i="36"/>
  <c r="DE24" i="26"/>
  <c r="BQ29" i="40"/>
  <c r="AO45" i="1"/>
  <c r="DB92"/>
  <c r="M17" i="39"/>
  <c r="BR92" i="25"/>
  <c r="CB98" i="38"/>
  <c r="AD45" i="41"/>
  <c r="N67" i="36"/>
  <c r="Z62" i="1"/>
  <c r="I48"/>
  <c r="DE92" i="36"/>
  <c r="Z91"/>
  <c r="CU26" i="40"/>
  <c r="BC125" i="47"/>
  <c r="BS66" i="37"/>
  <c r="AF13" i="1"/>
  <c r="CY49" i="38"/>
  <c r="W49" i="40"/>
  <c r="BZ24" i="38"/>
  <c r="CD61" i="1"/>
  <c r="CX37" i="41"/>
  <c r="CH30" i="39"/>
  <c r="BO62" i="36"/>
  <c r="CY75" i="1"/>
  <c r="Y59" i="36"/>
  <c r="H24"/>
  <c r="AJ13" i="1"/>
  <c r="BH17" i="41"/>
  <c r="BF129" i="47"/>
  <c r="CG57" i="36"/>
  <c r="BI71" i="37"/>
  <c r="CX30" i="38"/>
  <c r="CZ57" i="36"/>
  <c r="BV10" i="1"/>
  <c r="BS62" i="40"/>
  <c r="P96" i="39"/>
  <c r="DD58"/>
  <c r="E7" i="64"/>
  <c r="BT65" i="26"/>
  <c r="AT30" i="41"/>
  <c r="DC50" i="26"/>
  <c r="DA92" i="41"/>
  <c r="AJ92" i="39"/>
  <c r="H71"/>
  <c r="K21" i="40"/>
  <c r="CX10" i="41"/>
  <c r="BX50" i="26"/>
  <c r="CU65" i="41"/>
  <c r="AT96"/>
  <c r="I79" i="1"/>
  <c r="AP30" i="25"/>
  <c r="U57" i="39"/>
  <c r="DC81" i="38"/>
  <c r="CY75" i="40"/>
  <c r="CD91" i="25"/>
  <c r="AP79" i="26"/>
  <c r="AE25" i="41"/>
  <c r="BW37"/>
  <c r="CE50" i="36"/>
  <c r="DF10" i="25"/>
  <c r="CI34"/>
  <c r="CH102" i="26"/>
  <c r="T10" i="25"/>
  <c r="DD67" i="26"/>
  <c r="CW61" i="25"/>
  <c r="AF58" i="1"/>
  <c r="L34" i="37"/>
  <c r="BT65" i="40"/>
  <c r="CT9" i="37"/>
  <c r="AS96" i="25"/>
  <c r="BY61" i="39"/>
  <c r="CW30" i="1"/>
  <c r="Z29" i="40"/>
  <c r="BZ71" i="38"/>
  <c r="S102" i="37"/>
  <c r="L91" i="26"/>
  <c r="AT89" i="25"/>
  <c r="BD96" i="38"/>
  <c r="BW92" i="37"/>
  <c r="CB96" i="1"/>
  <c r="DC103" i="37"/>
  <c r="Y37" i="38"/>
  <c r="CK29" i="26"/>
  <c r="CU17" i="39"/>
  <c r="H62" i="41"/>
  <c r="DA24" i="38"/>
  <c r="DD21" i="41"/>
  <c r="AZ92" i="25"/>
  <c r="P45" i="37"/>
  <c r="CE18" i="25"/>
  <c r="CF24" i="38"/>
  <c r="AT81" i="25"/>
  <c r="BT67" i="37"/>
  <c r="AF29" i="26"/>
  <c r="AN17" i="39"/>
  <c r="BT48" i="37"/>
  <c r="DC71" i="26"/>
  <c r="CZ62" i="36"/>
  <c r="CN12" i="41"/>
  <c r="AQ50" i="36"/>
  <c r="AR81" i="38"/>
  <c r="DC13" i="41"/>
  <c r="P25" i="37"/>
  <c r="AV81" i="36"/>
  <c r="K60" i="41"/>
  <c r="CA102" i="25"/>
  <c r="AC17" i="26"/>
  <c r="CL96" i="39"/>
  <c r="CH29" i="26"/>
  <c r="CM48" i="41"/>
  <c r="H21" i="1"/>
  <c r="AZ57" i="38"/>
  <c r="AV37" i="39"/>
  <c r="CO27" i="1"/>
  <c r="DA92"/>
  <c r="DE57" i="38"/>
  <c r="CF34" i="1"/>
  <c r="AQ60" i="25"/>
  <c r="AS96" i="41"/>
  <c r="AD26" i="25"/>
  <c r="BI65" i="36"/>
  <c r="BX59" i="1"/>
  <c r="AA60"/>
  <c r="AY24" i="39"/>
  <c r="CU60" i="25"/>
  <c r="BC66" i="37"/>
  <c r="CX91" i="39"/>
  <c r="AQ58" i="25"/>
  <c r="Z34" i="1"/>
  <c r="AH91" i="39"/>
  <c r="CE75" i="40"/>
  <c r="BH13" i="25"/>
  <c r="CF96" i="38"/>
  <c r="DD9" i="37"/>
  <c r="AJ17" i="36"/>
  <c r="CQ75" i="26"/>
  <c r="AO21" i="38"/>
  <c r="AF92" i="39"/>
  <c r="M21" i="41"/>
  <c r="CO49" i="40"/>
  <c r="CP79" i="41"/>
  <c r="CO66" i="40"/>
  <c r="CK92" i="37"/>
  <c r="DF66" i="38"/>
  <c r="CX24" i="25"/>
  <c r="DE54" i="40"/>
  <c r="DD50" i="39"/>
  <c r="CH60" i="37"/>
  <c r="AA79"/>
  <c r="AF48" i="25"/>
  <c r="DA10" i="38"/>
  <c r="BB57" i="39"/>
  <c r="BV102" i="41"/>
  <c r="CJ58" i="26"/>
  <c r="Y24"/>
  <c r="AV102" i="36"/>
  <c r="BD75" i="1"/>
  <c r="AA71" i="38"/>
  <c r="AO58" i="36"/>
  <c r="CX57" i="37"/>
  <c r="V75" i="40"/>
  <c r="CN65" i="1"/>
  <c r="BY67" i="39"/>
  <c r="CU103"/>
  <c r="BH30" i="37"/>
  <c r="AJ79"/>
  <c r="CG57" i="40"/>
  <c r="BO30" i="41"/>
  <c r="Z62" i="36"/>
  <c r="X18" i="26"/>
  <c r="BU98" i="39"/>
  <c r="K71" i="25"/>
  <c r="CJ50" i="36"/>
  <c r="BW18" i="26"/>
  <c r="CV98" i="1"/>
  <c r="CP92" i="38"/>
  <c r="CF25" i="41"/>
  <c r="AC65" i="25"/>
  <c r="BS17" i="41"/>
  <c r="AE79" i="39"/>
  <c r="AJ49" i="41"/>
  <c r="BY59" i="39"/>
  <c r="CM103" i="37"/>
  <c r="BH57" i="36"/>
  <c r="AY34"/>
  <c r="X50" i="40"/>
  <c r="AY50" i="26"/>
  <c r="AF89" i="25"/>
  <c r="H54" i="40"/>
  <c r="AC30" i="41"/>
  <c r="BI71"/>
  <c r="AF58" i="26"/>
  <c r="BV26" i="41"/>
  <c r="CZ57" i="37"/>
  <c r="V92" i="36"/>
  <c r="AP91" i="25"/>
  <c r="AM27" i="36"/>
  <c r="CO103" i="41"/>
  <c r="AD75" i="36"/>
  <c r="I34" i="26"/>
  <c r="AS54" i="39"/>
  <c r="AR66" i="1"/>
  <c r="AV24" i="41"/>
  <c r="AS102" i="40"/>
  <c r="CA27" i="38"/>
  <c r="BS12" i="25"/>
  <c r="O17" i="41"/>
  <c r="CZ10" i="40"/>
  <c r="BA48" i="26"/>
  <c r="BW58" i="36"/>
  <c r="BY17" i="25"/>
  <c r="DC59" i="26"/>
  <c r="CO49" i="25"/>
  <c r="P102" i="40"/>
  <c r="W65" i="26"/>
  <c r="Y24" i="41"/>
  <c r="CD59" i="26"/>
  <c r="CO67"/>
  <c r="CU75" i="38"/>
  <c r="BD57" i="26"/>
  <c r="CP58" i="39"/>
  <c r="O92" i="38"/>
  <c r="AQ62" i="41"/>
  <c r="Y91" i="1"/>
  <c r="Z49" i="38"/>
  <c r="BS59" i="1"/>
  <c r="AF10" i="37"/>
  <c r="P67" i="1"/>
  <c r="BO71" i="40"/>
  <c r="CJ21" i="37"/>
  <c r="BW103" i="26"/>
  <c r="BR29" i="37"/>
  <c r="CF71" i="38"/>
  <c r="CG53" i="1"/>
  <c r="BA96" i="38"/>
  <c r="G65" i="1"/>
  <c r="AU91" i="41"/>
  <c r="CM24" i="37"/>
  <c r="CZ66" i="1"/>
  <c r="BI26" i="38"/>
  <c r="E75" i="64"/>
  <c r="CR54" i="1"/>
  <c r="AD79" i="40"/>
  <c r="CF92" i="26"/>
  <c r="CZ54" i="36"/>
  <c r="AS53"/>
  <c r="BV89" i="25"/>
  <c r="CI96" i="40"/>
  <c r="S45" i="1"/>
  <c r="AX26" i="39"/>
  <c r="CJ71" i="1"/>
  <c r="AR102" i="41"/>
  <c r="AZ29" i="39"/>
  <c r="AW71" i="41"/>
  <c r="BI61" i="25"/>
  <c r="CI12" i="36"/>
  <c r="DC54" i="39"/>
  <c r="O57"/>
  <c r="BX66" i="36"/>
  <c r="I96" i="37"/>
  <c r="AT26" i="1"/>
  <c r="L57" i="38"/>
  <c r="CU62"/>
  <c r="CI92" i="25"/>
  <c r="CM10" i="26"/>
  <c r="I92" i="41"/>
  <c r="S98" i="1"/>
  <c r="BA53" i="37"/>
  <c r="AS92" i="40"/>
  <c r="AJ57" i="1"/>
  <c r="CK53" i="40"/>
  <c r="K102" i="36"/>
  <c r="BW62" i="41"/>
  <c r="DC26" i="25"/>
  <c r="AX102" i="41"/>
  <c r="CE49" i="1"/>
  <c r="H25" i="41"/>
  <c r="DF48" i="37"/>
  <c r="AS62" i="25"/>
  <c r="AM26" i="39"/>
  <c r="CN45" i="25"/>
  <c r="AG45" i="39"/>
  <c r="AY54" i="40"/>
  <c r="BE67" i="26"/>
  <c r="BI21" i="41"/>
  <c r="H10" i="59"/>
  <c r="H50"/>
  <c r="N50"/>
  <c r="BT18" i="38"/>
  <c r="DD92"/>
  <c r="BP67" i="1"/>
  <c r="AY89" i="39"/>
  <c r="BC50" i="25"/>
  <c r="BQ61" i="26"/>
  <c r="CI102" i="38"/>
  <c r="S58" i="25"/>
  <c r="DA29" i="37"/>
  <c r="BV79" i="26"/>
  <c r="BE98" i="41"/>
  <c r="BE96" i="26"/>
  <c r="AQ81" i="25"/>
  <c r="E72" i="64"/>
  <c r="O48" i="59"/>
  <c r="CI26" i="38"/>
  <c r="BW24" i="36"/>
  <c r="CG18"/>
  <c r="L92" i="39"/>
  <c r="CJ59" i="38"/>
  <c r="BX21" i="1"/>
  <c r="AS60" i="39"/>
  <c r="CN24" i="40"/>
  <c r="CG58" i="26"/>
  <c r="BS27"/>
  <c r="Z81" i="40"/>
  <c r="CF91" i="37"/>
  <c r="DA79" i="36"/>
  <c r="K21" i="39"/>
  <c r="BS102" i="1"/>
  <c r="CE21" i="26"/>
  <c r="AZ58"/>
  <c r="CL34" i="40"/>
  <c r="N25" i="38"/>
  <c r="CR67" i="37"/>
  <c r="DC27" i="39"/>
  <c r="AV98" i="25"/>
  <c r="CG49" i="36"/>
  <c r="AA81" i="37"/>
  <c r="CH53" i="39"/>
  <c r="BE57" i="26"/>
  <c r="CL65"/>
  <c r="CJ61" i="1"/>
  <c r="Z75" i="41"/>
  <c r="DA79" i="25"/>
  <c r="AY98"/>
  <c r="BR62" i="37"/>
  <c r="AX18" i="26"/>
  <c r="CN57" i="40"/>
  <c r="CL50" i="25"/>
  <c r="CE10" i="40"/>
  <c r="AO98" i="1"/>
  <c r="AJ25" i="38"/>
  <c r="CI67" i="25"/>
  <c r="BW27"/>
  <c r="AS102" i="1"/>
  <c r="AS60" i="41"/>
  <c r="CP9" i="36"/>
  <c r="BC91" i="40"/>
  <c r="CD12"/>
  <c r="CJ103" i="25"/>
  <c r="CD49" i="36"/>
  <c r="Y49" i="26"/>
  <c r="BD54" i="1"/>
  <c r="G96" i="26"/>
  <c r="CE54" i="38"/>
  <c r="BU103" i="37"/>
  <c r="BA67"/>
  <c r="CD21" i="1"/>
  <c r="CU21" i="25"/>
  <c r="BI48" i="26"/>
  <c r="AM29" i="25"/>
  <c r="CQ37" i="26"/>
  <c r="DE18" i="40"/>
  <c r="DB34" i="26"/>
  <c r="CZ58" i="39"/>
  <c r="CQ96" i="25"/>
  <c r="AO24" i="1"/>
  <c r="DD75" i="39"/>
  <c r="CN92" i="40"/>
  <c r="CN25" i="38"/>
  <c r="CK27" i="1"/>
  <c r="BS27" i="25"/>
  <c r="AQ66" i="37"/>
  <c r="AA24" i="41"/>
  <c r="AF13" i="25"/>
  <c r="AG37" i="39"/>
  <c r="CW25" i="38"/>
  <c r="DF58" i="26"/>
  <c r="U67" i="36"/>
  <c r="V61"/>
  <c r="CG57" i="1"/>
  <c r="AM13" i="26"/>
  <c r="BR54" i="38"/>
  <c r="AD9" i="36"/>
  <c r="CR27" i="38"/>
  <c r="BH66" i="37"/>
  <c r="DE103" i="36"/>
  <c r="K102" i="41"/>
  <c r="V92" i="40"/>
  <c r="AX53" i="41"/>
  <c r="BU75" i="39"/>
  <c r="CS9" i="40"/>
  <c r="AE34" i="37"/>
  <c r="CI71" i="39"/>
  <c r="AR71" i="26"/>
  <c r="AS96" i="38"/>
  <c r="AZ21" i="36"/>
  <c r="AX10" i="26"/>
  <c r="BB9" i="36"/>
  <c r="Z58" i="26"/>
  <c r="CM89" i="1"/>
  <c r="AJ25" i="36"/>
  <c r="K9" i="37"/>
  <c r="CU60" i="1"/>
  <c r="DE61" i="40"/>
  <c r="CO66" i="26"/>
  <c r="CH66" i="1"/>
  <c r="BD18" i="39"/>
  <c r="BD10"/>
  <c r="BU30" i="40"/>
  <c r="N98"/>
  <c r="BR65" i="39"/>
  <c r="BC10" i="25"/>
  <c r="N30"/>
  <c r="CL29" i="41"/>
  <c r="BE92" i="25"/>
  <c r="BO27" i="37"/>
  <c r="CN102" i="41"/>
  <c r="DD62" i="1"/>
  <c r="BH89" i="26"/>
  <c r="G30" i="36"/>
  <c r="BO29" i="25"/>
  <c r="DE66" i="36"/>
  <c r="U26" i="26"/>
  <c r="Y50" i="36"/>
  <c r="CC34" i="25"/>
  <c r="CD34" i="1"/>
  <c r="CH61" i="26"/>
  <c r="DA54" i="39"/>
  <c r="BT37" i="37"/>
  <c r="CD53" i="41"/>
  <c r="DD62" i="36"/>
  <c r="L81" i="37"/>
  <c r="BU79" i="38"/>
  <c r="AY89" i="1"/>
  <c r="AO27" i="37"/>
  <c r="CQ58"/>
  <c r="BR13" i="40"/>
  <c r="CM79" i="38"/>
  <c r="CF9" i="37"/>
  <c r="AF65" i="26"/>
  <c r="Z17" i="36"/>
  <c r="AC66"/>
  <c r="CU9" i="41"/>
  <c r="CW65" i="26"/>
  <c r="BY18"/>
  <c r="DC65" i="36"/>
  <c r="CR89"/>
  <c r="BC92" i="26"/>
  <c r="CO59" i="1"/>
  <c r="L17" i="38"/>
  <c r="T17" i="40"/>
  <c r="L81" i="1"/>
  <c r="CW25" i="36"/>
  <c r="CL45" i="38"/>
  <c r="CP75" i="36"/>
  <c r="AQ75" i="1"/>
  <c r="AW75" i="38"/>
  <c r="J89" i="41"/>
  <c r="CL91" i="1"/>
  <c r="DF66" i="26"/>
  <c r="BY92" i="1"/>
  <c r="L52" i="59"/>
  <c r="Y26" i="41"/>
  <c r="AA65"/>
  <c r="CK18" i="39"/>
  <c r="AM30" i="40"/>
  <c r="BD45" i="39"/>
  <c r="CD50" i="38"/>
  <c r="CP45" i="39"/>
  <c r="AF61" i="38"/>
  <c r="CJ24" i="1"/>
  <c r="DE13" i="41"/>
  <c r="AG27"/>
  <c r="CL54"/>
  <c r="BH58" i="26"/>
  <c r="CK29" i="38"/>
  <c r="AG9" i="40"/>
  <c r="CN89" i="38"/>
  <c r="CG27" i="26"/>
  <c r="G49" i="40"/>
  <c r="AS65" i="36"/>
  <c r="BB25"/>
  <c r="AB92" i="38"/>
  <c r="CR12" i="41"/>
  <c r="CJ96" i="39"/>
  <c r="CM65"/>
  <c r="H58" i="25"/>
  <c r="BA89" i="39"/>
  <c r="AP45" i="1"/>
  <c r="AQ71"/>
  <c r="BC91" i="25"/>
  <c r="N50" i="37"/>
  <c r="AF30" i="25"/>
  <c r="BX75" i="41"/>
  <c r="BB29" i="25"/>
  <c r="BA25" i="41"/>
  <c r="DB102" i="26"/>
  <c r="CR91" i="25"/>
  <c r="BE9" i="26"/>
  <c r="CS30" i="25"/>
  <c r="AX66" i="39"/>
  <c r="CA59" i="37"/>
  <c r="BQ48"/>
  <c r="I96" i="26"/>
  <c r="AD48" i="25"/>
  <c r="AD71"/>
  <c r="BP71" i="36"/>
  <c r="CE10" i="38"/>
  <c r="X21" i="37"/>
  <c r="S30" i="25"/>
  <c r="CE27"/>
  <c r="AO67" i="26"/>
  <c r="BE62"/>
  <c r="BT81" i="41"/>
  <c r="L67" i="25"/>
  <c r="CP29" i="39"/>
  <c r="H74" i="60"/>
  <c r="BI61" i="41"/>
  <c r="CR102" i="38"/>
  <c r="CC30" i="26"/>
  <c r="BV21" i="38"/>
  <c r="CH79" i="26"/>
  <c r="AZ75" i="37"/>
  <c r="O79"/>
  <c r="DF61" i="1"/>
  <c r="BI61"/>
  <c r="P98" i="40"/>
  <c r="DC53" i="41"/>
  <c r="CI12" i="39"/>
  <c r="CN61" i="38"/>
  <c r="CC54" i="37"/>
  <c r="AU60" i="25"/>
  <c r="AG61" i="39"/>
  <c r="AZ92" i="26"/>
  <c r="Y59" i="25"/>
  <c r="BO34" i="41"/>
  <c r="CW24"/>
  <c r="AV13" i="37"/>
  <c r="BP10" i="41"/>
  <c r="K96"/>
  <c r="CJ50" i="25"/>
  <c r="AV17" i="37"/>
  <c r="BU37" i="25"/>
  <c r="DD37" i="26"/>
  <c r="DB91" i="25"/>
  <c r="P102" i="36"/>
  <c r="S62" i="1"/>
  <c r="AQ59"/>
  <c r="CN45" i="26"/>
  <c r="BC96" i="40"/>
  <c r="M71" i="41"/>
  <c r="CC71" i="26"/>
  <c r="J53" i="39"/>
  <c r="AA29" i="36"/>
  <c r="CA102"/>
  <c r="AG61" i="40"/>
  <c r="CB27" i="1"/>
  <c r="S79" i="25"/>
  <c r="DD27" i="41"/>
  <c r="BC21" i="37"/>
  <c r="CQ91" i="36"/>
  <c r="CQ61" i="41"/>
  <c r="AN45" i="37"/>
  <c r="AG71"/>
  <c r="X54" i="36"/>
  <c r="BX48" i="40"/>
  <c r="CC71" i="25"/>
  <c r="CD21" i="39"/>
  <c r="CL62" i="36"/>
  <c r="BX81" i="38"/>
  <c r="P102" i="1"/>
  <c r="CE89" i="40"/>
  <c r="V30" i="26"/>
  <c r="CS18" i="1"/>
  <c r="CO13" i="25"/>
  <c r="BX27" i="26"/>
  <c r="AY45" i="37"/>
  <c r="AY71" i="36"/>
  <c r="CC10" i="38"/>
  <c r="AI53"/>
  <c r="S34"/>
  <c r="CM61" i="40"/>
  <c r="CM79" i="37"/>
  <c r="CX13"/>
  <c r="CD12" i="39"/>
  <c r="CC67" i="36"/>
  <c r="AN96" i="1"/>
  <c r="AO79" i="38"/>
  <c r="AU37" i="26"/>
  <c r="DB75" i="41"/>
  <c r="CC67" i="39"/>
  <c r="BW81" i="37"/>
  <c r="CG57" i="41"/>
  <c r="CU53" i="37"/>
  <c r="CE29" i="39"/>
  <c r="AI71" i="1"/>
  <c r="AZ61"/>
  <c r="CT45" i="38"/>
  <c r="Y71" i="26"/>
  <c r="BQ60" i="41"/>
  <c r="AU34" i="38"/>
  <c r="K66"/>
  <c r="AO79" i="26"/>
  <c r="CH57" i="39"/>
  <c r="AZ65"/>
  <c r="CL17" i="40"/>
  <c r="CX102"/>
  <c r="AV25" i="39"/>
  <c r="AM18" i="26"/>
  <c r="CI103" i="37"/>
  <c r="CC62" i="40"/>
  <c r="BW62" i="1"/>
  <c r="BH12" i="36"/>
  <c r="CF34" i="40"/>
  <c r="CD17" i="1"/>
  <c r="AZ102" i="38"/>
  <c r="T54" i="40"/>
  <c r="AQ27" i="36"/>
  <c r="CA21"/>
  <c r="CX25" i="1"/>
  <c r="BD67" i="40"/>
  <c r="BS89" i="37"/>
  <c r="AQ61" i="36"/>
  <c r="AF53" i="40"/>
  <c r="DA67" i="41"/>
  <c r="BY10" i="37"/>
  <c r="AS92" i="36"/>
  <c r="BS79"/>
  <c r="BA60" i="40"/>
  <c r="AP25" i="36"/>
  <c r="DA53" i="38"/>
  <c r="BA79" i="37"/>
  <c r="N67" i="1"/>
  <c r="AD62"/>
  <c r="BZ62" i="39"/>
  <c r="X13" i="1"/>
  <c r="T53" i="37"/>
  <c r="BB26" i="1"/>
  <c r="AB59" i="25"/>
  <c r="AG59" i="39"/>
  <c r="T48" i="38"/>
  <c r="BV103" i="1"/>
  <c r="AQ25"/>
  <c r="BC10" i="41"/>
  <c r="CH65" i="40"/>
  <c r="BB60" i="38"/>
  <c r="CI57" i="41"/>
  <c r="BA98" i="1"/>
  <c r="AF65" i="36"/>
  <c r="AU71" i="1"/>
  <c r="BY17" i="37"/>
  <c r="J92"/>
  <c r="AG13" i="38"/>
  <c r="AM24" i="41"/>
  <c r="AW102"/>
  <c r="CI9" i="38"/>
  <c r="G49" i="41"/>
  <c r="BU50" i="37"/>
  <c r="CR48" i="41"/>
  <c r="CB91" i="1"/>
  <c r="CD81" i="37"/>
  <c r="BB66" i="39"/>
  <c r="N9" i="59"/>
  <c r="CZ65" i="40"/>
  <c r="CS103" i="37"/>
  <c r="CW34" i="36"/>
  <c r="AQ81" i="1"/>
  <c r="CQ45"/>
  <c r="CX50" i="25"/>
  <c r="Z92" i="39"/>
  <c r="DA61"/>
  <c r="Z34" i="36"/>
  <c r="O24" i="1"/>
  <c r="O57" i="38"/>
  <c r="U57" i="25"/>
  <c r="AE54" i="39"/>
  <c r="CE54" i="26"/>
  <c r="AO29" i="39"/>
  <c r="BC26" i="38"/>
  <c r="CR10" i="37"/>
  <c r="Z12" i="41"/>
  <c r="CJ61" i="38"/>
  <c r="BT17" i="40"/>
  <c r="BD24" i="41"/>
  <c r="CM91" i="1"/>
  <c r="P49"/>
  <c r="BD12" i="40"/>
  <c r="AA17" i="25"/>
  <c r="BW65" i="40"/>
  <c r="M18"/>
  <c r="BH60" i="39"/>
  <c r="BE30" i="25"/>
  <c r="AO24" i="36"/>
  <c r="CI9" i="39"/>
  <c r="AR50" i="38"/>
  <c r="CF62" i="26"/>
  <c r="BD53" i="40"/>
  <c r="BT89" i="36"/>
  <c r="X59" i="26"/>
  <c r="CH59" i="25"/>
  <c r="AC12" i="26"/>
  <c r="AJ65" i="37"/>
  <c r="BV37" i="36"/>
  <c r="CB58" i="40"/>
  <c r="CI57" i="38"/>
  <c r="AE65" i="37"/>
  <c r="BC58" i="39"/>
  <c r="AD81" i="26"/>
  <c r="AR34" i="36"/>
  <c r="BQ27" i="41"/>
  <c r="BZ75" i="25"/>
  <c r="CC17" i="1"/>
  <c r="AB75" i="40"/>
  <c r="P29" i="25"/>
  <c r="CA58" i="26"/>
  <c r="CK98" i="36"/>
  <c r="CP102" i="41"/>
  <c r="BO49" i="40"/>
  <c r="CX67" i="38"/>
  <c r="AB59" i="26"/>
  <c r="X24" i="38"/>
  <c r="M61" i="36"/>
  <c r="CD48" i="37"/>
  <c r="CI37" i="1"/>
  <c r="CP50" i="26"/>
  <c r="AC27" i="39"/>
  <c r="N27" i="36"/>
  <c r="AS10" i="41"/>
  <c r="H79" i="40"/>
  <c r="AM30" i="37"/>
  <c r="BX62" i="26"/>
  <c r="AS66" i="38"/>
  <c r="AT60" i="37"/>
  <c r="CV24" i="26"/>
  <c r="O24" i="41"/>
  <c r="AQ65" i="38"/>
  <c r="BW96" i="36"/>
  <c r="H12"/>
  <c r="CQ13" i="38"/>
  <c r="CM34" i="40"/>
  <c r="AS89" i="26"/>
  <c r="DA92" i="40"/>
  <c r="BC102" i="39"/>
  <c r="AU92" i="37"/>
  <c r="N13" i="25"/>
  <c r="CN18" i="39"/>
  <c r="CZ102" i="25"/>
  <c r="BD129" i="47"/>
  <c r="AD21" i="37"/>
  <c r="CQ26" i="40"/>
  <c r="H75" i="37"/>
  <c r="CQ10" i="38"/>
  <c r="CS79" i="40"/>
  <c r="AW10" i="1"/>
  <c r="T27" i="26"/>
  <c r="BQ66"/>
  <c r="DB37" i="1"/>
  <c r="AE62"/>
  <c r="AS92" i="39"/>
  <c r="CB34" i="1"/>
  <c r="AD17" i="25"/>
  <c r="AR79" i="39"/>
  <c r="CN67" i="26"/>
  <c r="CZ59" i="40"/>
  <c r="CW81" i="1"/>
  <c r="CP10" i="37"/>
  <c r="K66" i="25"/>
  <c r="DE96" i="41"/>
  <c r="AJ29" i="26"/>
  <c r="CD34" i="40"/>
  <c r="P17" i="38"/>
  <c r="AB57" i="37"/>
  <c r="BE24" i="26"/>
  <c r="CL61" i="39"/>
  <c r="CU89" i="37"/>
  <c r="BI66" i="36"/>
  <c r="X58" i="1"/>
  <c r="J29" i="41"/>
  <c r="DC37" i="26"/>
  <c r="AH66" i="38"/>
  <c r="CJ26" i="36"/>
  <c r="CO30" i="1"/>
  <c r="DD89" i="38"/>
  <c r="M91" i="39"/>
  <c r="N9" i="41"/>
  <c r="BW75" i="1"/>
  <c r="CY102" i="38"/>
  <c r="BE96" i="37"/>
  <c r="I37" i="38"/>
  <c r="AJ21" i="1"/>
  <c r="F71" i="64"/>
  <c r="AI92" i="41"/>
  <c r="CI59" i="38"/>
  <c r="CY12" i="26"/>
  <c r="M66" i="39"/>
  <c r="BW92" i="25"/>
  <c r="I58"/>
  <c r="BZ34" i="1"/>
  <c r="O9" i="25"/>
  <c r="AM27"/>
  <c r="S91" i="1"/>
  <c r="CJ75" i="41"/>
  <c r="P24" i="37"/>
  <c r="BI18" i="39"/>
  <c r="BB12" i="41"/>
  <c r="CQ81" i="37"/>
  <c r="BR29" i="26"/>
  <c r="BE66" i="41"/>
  <c r="AF18" i="38"/>
  <c r="AV102" i="26"/>
  <c r="BU67" i="1"/>
  <c r="CY65" i="25"/>
  <c r="V91" i="26"/>
  <c r="H75" i="25"/>
  <c r="AN34" i="38"/>
  <c r="BV89" i="36"/>
  <c r="CC54" i="25"/>
  <c r="AU45" i="38"/>
  <c r="Z45" i="40"/>
  <c r="AE53" i="36"/>
  <c r="AX81"/>
  <c r="BX29" i="25"/>
  <c r="U89" i="26"/>
  <c r="BW98" i="38"/>
  <c r="CY27" i="40"/>
  <c r="DE25" i="37"/>
  <c r="BV24" i="25"/>
  <c r="O48"/>
  <c r="AG27" i="39"/>
  <c r="AH17" i="38"/>
  <c r="AR53" i="1"/>
  <c r="BZ103" i="37"/>
  <c r="H57" i="26"/>
  <c r="AI96" i="38"/>
  <c r="BA12" i="37"/>
  <c r="AU17" i="25"/>
  <c r="Z18" i="1"/>
  <c r="CF96" i="26"/>
  <c r="CT75"/>
  <c r="K12"/>
  <c r="W61" i="25"/>
  <c r="BV96" i="41"/>
  <c r="CJ71" i="39"/>
  <c r="BZ59" i="26"/>
  <c r="CK75" i="39"/>
  <c r="DB75" i="38"/>
  <c r="CH81" i="26"/>
  <c r="AN21" i="39"/>
  <c r="AX29" i="37"/>
  <c r="BS71" i="26"/>
  <c r="CF9" i="38"/>
  <c r="CI48" i="26"/>
  <c r="AW25" i="1"/>
  <c r="BT92"/>
  <c r="BD26" i="41"/>
  <c r="AH59" i="36"/>
  <c r="AI96" i="37"/>
  <c r="BC49" i="36"/>
  <c r="K12"/>
  <c r="K25" i="40"/>
  <c r="CL81" i="41"/>
  <c r="BI21" i="1"/>
  <c r="Y21" i="37"/>
  <c r="P34" i="41"/>
  <c r="S79"/>
  <c r="CM29" i="25"/>
  <c r="CU61" i="26"/>
  <c r="AZ96" i="1"/>
  <c r="AZ71" i="39"/>
  <c r="BA18"/>
  <c r="W91" i="1"/>
  <c r="S27" i="25"/>
  <c r="DE79" i="1"/>
  <c r="H9" i="25"/>
  <c r="AT34" i="36"/>
  <c r="AQ61" i="41"/>
  <c r="CQ13" i="26"/>
  <c r="DA75" i="38"/>
  <c r="DD71" i="36"/>
  <c r="S13" i="1"/>
  <c r="S29" i="39"/>
  <c r="CW50" i="37"/>
  <c r="J34" i="36"/>
  <c r="CV29" i="38"/>
  <c r="BZ96" i="39"/>
  <c r="AA18" i="26"/>
  <c r="Y21" i="39"/>
  <c r="CS27" i="26"/>
  <c r="BC29"/>
  <c r="BA91" i="37"/>
  <c r="CU45" i="25"/>
  <c r="CX45" i="41"/>
  <c r="CL27" i="36"/>
  <c r="AJ79" i="1"/>
  <c r="DD48" i="38"/>
  <c r="BQ102" i="37"/>
  <c r="CF13" i="39"/>
  <c r="CD17" i="36"/>
  <c r="CA50" i="1"/>
  <c r="AD65" i="41"/>
  <c r="BT61" i="39"/>
  <c r="AZ37" i="37"/>
  <c r="I62"/>
  <c r="G59" i="36"/>
  <c r="CA37" i="41"/>
  <c r="BC57"/>
  <c r="AT91" i="40"/>
  <c r="V79" i="37"/>
  <c r="BX96" i="1"/>
  <c r="M64" i="64"/>
  <c r="CB65" i="39"/>
  <c r="BU102"/>
  <c r="AB25" i="1"/>
  <c r="AR45" i="36"/>
  <c r="AN29" i="38"/>
  <c r="J81" i="25"/>
  <c r="X92"/>
  <c r="G34"/>
  <c r="T30" i="39"/>
  <c r="CP53" i="38"/>
  <c r="AO37" i="25"/>
  <c r="CT79" i="40"/>
  <c r="BY96" i="1"/>
  <c r="BA57" i="41"/>
  <c r="G10" i="26"/>
  <c r="AW10"/>
  <c r="AW48" i="38"/>
  <c r="AR91"/>
  <c r="BQ10" i="36"/>
  <c r="O60" i="39"/>
  <c r="CT50" i="25"/>
  <c r="BO34" i="1"/>
  <c r="AB24" i="40"/>
  <c r="CH59" i="36"/>
  <c r="G50" i="25"/>
  <c r="K50" i="39"/>
  <c r="AM48" i="37"/>
  <c r="AH75" i="40"/>
  <c r="DA62" i="36"/>
  <c r="AH66" i="25"/>
  <c r="BZ45" i="36"/>
  <c r="BV103"/>
  <c r="CX34" i="40"/>
  <c r="AG59" i="26"/>
  <c r="AH81" i="37"/>
  <c r="CJ54" i="36"/>
  <c r="CN65" i="25"/>
  <c r="DD45" i="38"/>
  <c r="CG67" i="25"/>
  <c r="CS102" i="39"/>
  <c r="DA45" i="26"/>
  <c r="AH12" i="25"/>
  <c r="AU17" i="41"/>
  <c r="N75" i="37"/>
  <c r="CX75" i="41"/>
  <c r="BW10" i="26"/>
  <c r="BC65" i="36"/>
  <c r="BY53" i="37"/>
  <c r="AH50" i="41"/>
  <c r="K27" i="36"/>
  <c r="S102" i="26"/>
  <c r="AD21" i="41"/>
  <c r="CF30" i="38"/>
  <c r="BH21" i="26"/>
  <c r="F48" i="46"/>
  <c r="L23" i="60"/>
  <c r="M62" i="36"/>
  <c r="CA54" i="1"/>
  <c r="H90" i="60"/>
  <c r="AH49" i="1"/>
  <c r="AX17" i="41"/>
  <c r="CJ29" i="1"/>
  <c r="N71" i="36"/>
  <c r="AV57" i="41"/>
  <c r="CY10" i="1"/>
  <c r="G66" i="38"/>
  <c r="CD98"/>
  <c r="BW25" i="1"/>
  <c r="BO67" i="39"/>
  <c r="X48" i="37"/>
  <c r="AM37" i="25"/>
  <c r="BQ29" i="36"/>
  <c r="CS37"/>
  <c r="J98" i="26"/>
  <c r="BY49" i="36"/>
  <c r="CT98"/>
  <c r="BY79" i="1"/>
  <c r="G75"/>
  <c r="CA89" i="38"/>
  <c r="AE58" i="40"/>
  <c r="AP61" i="41"/>
  <c r="BB65" i="38"/>
  <c r="CA102" i="41"/>
  <c r="BR18" i="36"/>
  <c r="BR50" i="39"/>
  <c r="CR59"/>
  <c r="AE45" i="1"/>
  <c r="N62" i="36"/>
  <c r="AI79" i="25"/>
  <c r="BE61" i="36"/>
  <c r="BH21" i="40"/>
  <c r="AM89" i="1"/>
  <c r="BV89" i="39"/>
  <c r="BC92" i="40"/>
  <c r="CL12" i="26"/>
  <c r="CR9" i="39"/>
  <c r="AM13"/>
  <c r="BX17" i="1"/>
  <c r="CD10"/>
  <c r="CB50" i="26"/>
  <c r="CR30" i="41"/>
  <c r="H29" i="25"/>
  <c r="BY67" i="38"/>
  <c r="AN37" i="36"/>
  <c r="BV65"/>
  <c r="AO91"/>
  <c r="BA18" i="25"/>
  <c r="BX57"/>
  <c r="CE17" i="41"/>
  <c r="AY9" i="37"/>
  <c r="DB66" i="40"/>
  <c r="AA30" i="37"/>
  <c r="AQ91" i="38"/>
  <c r="O7" i="59"/>
  <c r="BX71" i="37"/>
  <c r="BZ89" i="40"/>
  <c r="CC102" i="25"/>
  <c r="CK71" i="39"/>
  <c r="BY102" i="38"/>
  <c r="BO26" i="25"/>
  <c r="I62" i="39"/>
  <c r="J59" i="40"/>
  <c r="BV65" i="41"/>
  <c r="AT61" i="1"/>
  <c r="AR30" i="38"/>
  <c r="X10" i="39"/>
  <c r="X89" i="1"/>
  <c r="BC25" i="36"/>
  <c r="AO66"/>
  <c r="BR75" i="38"/>
  <c r="AO18" i="1"/>
  <c r="AR96"/>
  <c r="CT50" i="26"/>
  <c r="BO37" i="39"/>
  <c r="H102" i="26"/>
  <c r="I53" i="36"/>
  <c r="O10" i="37"/>
  <c r="AO50" i="1"/>
  <c r="H25" i="38"/>
  <c r="CT25" i="37"/>
  <c r="AZ58" i="1"/>
  <c r="BS71" i="25"/>
  <c r="CB54" i="40"/>
  <c r="CS91" i="36"/>
  <c r="AW96" i="39"/>
  <c r="J92" i="36"/>
  <c r="AC17" i="37"/>
  <c r="CI61" i="39"/>
  <c r="CX27"/>
  <c r="AH66" i="37"/>
  <c r="K17" i="25"/>
  <c r="CL27" i="38"/>
  <c r="G53" i="1"/>
  <c r="H12" i="40"/>
  <c r="BA21" i="38"/>
  <c r="S79" i="39"/>
  <c r="AP17" i="36"/>
  <c r="CQ29" i="38"/>
  <c r="BU9"/>
  <c r="CV21" i="1"/>
  <c r="BH34" i="39"/>
  <c r="BO67" i="38"/>
  <c r="CB102"/>
  <c r="BR67" i="39"/>
  <c r="BD58" i="26"/>
  <c r="AF79" i="25"/>
  <c r="L58" i="37"/>
  <c r="I25"/>
  <c r="CW60" i="1"/>
  <c r="AP12" i="40"/>
  <c r="CX21" i="1"/>
  <c r="G92"/>
  <c r="H30" i="41"/>
  <c r="AP49" i="37"/>
  <c r="BV75" i="39"/>
  <c r="AS75" i="40"/>
  <c r="AS79" i="41"/>
  <c r="AD50" i="38"/>
  <c r="BZ81" i="26"/>
  <c r="CK89" i="41"/>
  <c r="Z34"/>
  <c r="CN103" i="39"/>
  <c r="CQ89" i="37"/>
  <c r="P37" i="36"/>
  <c r="CX91" i="41"/>
  <c r="BV57" i="39"/>
  <c r="CJ10" i="1"/>
  <c r="G27" i="40"/>
  <c r="AZ48" i="36"/>
  <c r="AN29" i="37"/>
  <c r="CD79" i="38"/>
  <c r="AG53" i="40"/>
  <c r="P27" i="36"/>
  <c r="M59" i="38"/>
  <c r="BC21"/>
  <c r="CR57" i="39"/>
  <c r="CE79" i="38"/>
  <c r="CV59" i="36"/>
  <c r="CO102" i="1"/>
  <c r="CT49" i="40"/>
  <c r="DE37" i="36"/>
  <c r="DF24" i="37"/>
  <c r="CL10" i="39"/>
  <c r="CX12" i="40"/>
  <c r="DD75" i="26"/>
  <c r="BC75" i="40"/>
  <c r="AS10" i="39"/>
  <c r="DD75" i="41"/>
  <c r="AP24" i="36"/>
  <c r="BX34" i="25"/>
  <c r="CZ102" i="38"/>
  <c r="AE34" i="39"/>
  <c r="N34"/>
  <c r="AD27" i="41"/>
  <c r="CU34" i="37"/>
  <c r="CA21" i="40"/>
  <c r="BS81" i="36"/>
  <c r="CJ34" i="39"/>
  <c r="CG25" i="41"/>
  <c r="CQ17" i="36"/>
  <c r="BA37"/>
  <c r="CY53" i="37"/>
  <c r="DB67" i="40"/>
  <c r="BW27"/>
  <c r="CK79"/>
  <c r="CQ34" i="36"/>
  <c r="CQ29"/>
  <c r="CF12" i="1"/>
  <c r="CL49" i="36"/>
  <c r="CL66" i="39"/>
  <c r="CP62" i="38"/>
  <c r="M10" i="37"/>
  <c r="CC81" i="40"/>
  <c r="AS29" i="38"/>
  <c r="I26" i="41"/>
  <c r="AB98" i="37"/>
  <c r="CF89"/>
  <c r="DC75" i="36"/>
  <c r="CK30" i="40"/>
  <c r="X59" i="38"/>
  <c r="M48" i="36"/>
  <c r="DE58" i="39"/>
  <c r="AC45" i="36"/>
  <c r="BU92" i="37"/>
  <c r="W24" i="26"/>
  <c r="CU29"/>
  <c r="M49" i="40"/>
  <c r="AM45" i="38"/>
  <c r="CO48" i="25"/>
  <c r="CM21" i="1"/>
  <c r="BV60" i="41"/>
  <c r="DE102" i="1"/>
  <c r="CC25" i="26"/>
  <c r="BX89" i="25"/>
  <c r="CI66" i="36"/>
  <c r="AO13"/>
  <c r="CJ25" i="26"/>
  <c r="CM60" i="37"/>
  <c r="DB103" i="41"/>
  <c r="DB24" i="40"/>
  <c r="AN62"/>
  <c r="BB25" i="1"/>
  <c r="AG57" i="41"/>
  <c r="BU89" i="1"/>
  <c r="BV75" i="41"/>
  <c r="CE50" i="40"/>
  <c r="AZ18" i="37"/>
  <c r="CA10" i="1"/>
  <c r="DF26" i="41"/>
  <c r="O17" i="26"/>
  <c r="BE75" i="40"/>
  <c r="CJ79" i="1"/>
  <c r="AF67" i="37"/>
  <c r="N45" i="41"/>
  <c r="AQ71" i="25"/>
  <c r="DA59" i="41"/>
  <c r="CA58" i="38"/>
  <c r="CW62" i="1"/>
  <c r="CI18" i="39"/>
  <c r="G66" i="25"/>
  <c r="T18" i="38"/>
  <c r="AV29" i="25"/>
  <c r="BH61"/>
  <c r="BT59" i="26"/>
  <c r="O62" i="36"/>
  <c r="K65" i="1"/>
  <c r="BA53" i="41"/>
  <c r="AB58" i="1"/>
  <c r="BH65"/>
  <c r="AI24" i="39"/>
  <c r="CU61" i="1"/>
  <c r="H13" i="36"/>
  <c r="CY89" i="26"/>
  <c r="BZ91" i="39"/>
  <c r="O62" i="26"/>
  <c r="K58" i="37"/>
  <c r="BV21" i="26"/>
  <c r="O65" i="40"/>
  <c r="AV60" i="39"/>
  <c r="BR57" i="37"/>
  <c r="CY25" i="25"/>
  <c r="AR12"/>
  <c r="CB24" i="41"/>
  <c r="AC98" i="37"/>
  <c r="AF18" i="39"/>
  <c r="CA25" i="25"/>
  <c r="O30"/>
  <c r="CS75" i="37"/>
  <c r="DF17" i="26"/>
  <c r="AA102" i="39"/>
  <c r="BZ62" i="25"/>
  <c r="BE48" i="36"/>
  <c r="AT81" i="41"/>
  <c r="CN27"/>
  <c r="CG61" i="39"/>
  <c r="X75" i="1"/>
  <c r="BQ49" i="41"/>
  <c r="BO57" i="37"/>
  <c r="BC37" i="38"/>
  <c r="AO71" i="25"/>
  <c r="CL25" i="41"/>
  <c r="CL12" i="25"/>
  <c r="CN18" i="1"/>
  <c r="BR57" i="39"/>
  <c r="AJ17" i="1"/>
  <c r="CC54" i="26"/>
  <c r="CZ13" i="38"/>
  <c r="CJ30" i="40"/>
  <c r="DE89" i="1"/>
  <c r="CO96" i="26"/>
  <c r="AJ81" i="25"/>
  <c r="CX75" i="37"/>
  <c r="CN27" i="25"/>
  <c r="V67" i="39"/>
  <c r="BB91" i="37"/>
  <c r="AY89" i="40"/>
  <c r="AX102" i="38"/>
  <c r="DC81" i="1"/>
  <c r="AT45" i="26"/>
  <c r="CV71" i="25"/>
  <c r="G91"/>
  <c r="CR67" i="40"/>
  <c r="BR92" i="38"/>
  <c r="AD13" i="1"/>
  <c r="BD17" i="39"/>
  <c r="AO62" i="41"/>
  <c r="BY54" i="25"/>
  <c r="BO48" i="40"/>
  <c r="CX21" i="38"/>
  <c r="BE79" i="41"/>
  <c r="CQ54" i="40"/>
  <c r="CA17" i="25"/>
  <c r="AU34" i="37"/>
  <c r="DA61" i="36"/>
  <c r="CC53" i="26"/>
  <c r="CC59" i="38"/>
  <c r="BC61" i="41"/>
  <c r="AR50" i="40"/>
  <c r="Z98" i="37"/>
  <c r="CT89" i="41"/>
  <c r="DB13" i="39"/>
  <c r="O9" i="41"/>
  <c r="DC61" i="26"/>
  <c r="AE9" i="25"/>
  <c r="BY17" i="39"/>
  <c r="BG311" i="47"/>
  <c r="BX67" i="25"/>
  <c r="BW45"/>
  <c r="CP67" i="26"/>
  <c r="CT103" i="37"/>
  <c r="CG13" i="38"/>
  <c r="X62" i="25"/>
  <c r="CA71" i="37"/>
  <c r="Y26" i="25"/>
  <c r="J30"/>
  <c r="CF34"/>
  <c r="O29" i="37"/>
  <c r="BH61"/>
  <c r="BI9" i="36"/>
  <c r="CU67" i="39"/>
  <c r="AW89" i="41"/>
  <c r="AT48"/>
  <c r="AD54" i="39"/>
  <c r="V49" i="37"/>
  <c r="M98" i="26"/>
  <c r="BH48" i="39"/>
  <c r="CC103"/>
  <c r="DE102" i="36"/>
  <c r="AE75" i="40"/>
  <c r="CE9" i="36"/>
  <c r="AO91" i="40"/>
  <c r="CL45" i="36"/>
  <c r="BA50" i="25"/>
  <c r="I59" i="41"/>
  <c r="AF53" i="39"/>
  <c r="AX30" i="1"/>
  <c r="CP30" i="26"/>
  <c r="CT48" i="38"/>
  <c r="CJ102" i="25"/>
  <c r="AQ98"/>
  <c r="AE79"/>
  <c r="U26" i="40"/>
  <c r="CR59" i="1"/>
  <c r="Z45" i="26"/>
  <c r="I34" i="38"/>
  <c r="CS9" i="36"/>
  <c r="I12"/>
  <c r="G71" i="41"/>
  <c r="BZ58" i="1"/>
  <c r="AT27" i="38"/>
  <c r="CC65" i="39"/>
  <c r="Z17" i="1"/>
  <c r="CA96" i="39"/>
  <c r="CL17" i="41"/>
  <c r="BR13" i="36"/>
  <c r="BH27" i="1"/>
  <c r="AC66" i="41"/>
  <c r="AC57" i="25"/>
  <c r="AV102" i="1"/>
  <c r="BD9"/>
  <c r="AA29" i="25"/>
  <c r="DB75" i="26"/>
  <c r="L59" i="25"/>
  <c r="AA12" i="39"/>
  <c r="W91" i="41"/>
  <c r="AS13" i="37"/>
  <c r="AM50" i="39"/>
  <c r="CP102"/>
  <c r="L92" i="25"/>
  <c r="AT54" i="41"/>
  <c r="U27" i="25"/>
  <c r="AH12" i="36"/>
  <c r="CN25" i="40"/>
  <c r="AF17" i="26"/>
  <c r="AZ61" i="39"/>
  <c r="AS57" i="38"/>
  <c r="BB48" i="1"/>
  <c r="CI10"/>
  <c r="BB98" i="41"/>
  <c r="DB57" i="39"/>
  <c r="CE59" i="36"/>
  <c r="AV89" i="38"/>
  <c r="CT91" i="41"/>
  <c r="AY127" i="47"/>
  <c r="CR103" i="40"/>
  <c r="AI27" i="39"/>
  <c r="AG18" i="37"/>
  <c r="DF71" i="41"/>
  <c r="AI12"/>
  <c r="CR21" i="36"/>
  <c r="AN12" i="38"/>
  <c r="CX45" i="40"/>
  <c r="CJ103" i="26"/>
  <c r="DC58" i="1"/>
  <c r="CE96"/>
  <c r="CM96" i="39"/>
  <c r="CQ29"/>
  <c r="P89" i="1"/>
  <c r="CA18" i="37"/>
  <c r="AY48" i="41"/>
  <c r="AV10" i="1"/>
  <c r="CS37"/>
  <c r="CO79" i="25"/>
  <c r="BT89" i="38"/>
  <c r="CA103" i="39"/>
  <c r="BS10" i="26"/>
  <c r="AP66" i="36"/>
  <c r="CY71" i="26"/>
  <c r="CS53" i="37"/>
  <c r="CO21"/>
  <c r="DA96" i="41"/>
  <c r="AI65" i="26"/>
  <c r="BB92" i="40"/>
  <c r="T27"/>
  <c r="BZ60"/>
  <c r="AY9" i="1"/>
  <c r="BA71"/>
  <c r="CT67" i="37"/>
  <c r="CL13" i="38"/>
  <c r="M65" i="1"/>
  <c r="AH12" i="40"/>
  <c r="L65" i="1"/>
  <c r="CL49" i="39"/>
  <c r="CY59" i="26"/>
  <c r="BI61" i="40"/>
  <c r="DF57" i="41"/>
  <c r="AP12" i="36"/>
  <c r="CB67" i="26"/>
  <c r="CA49" i="40"/>
  <c r="BV49" i="39"/>
  <c r="CA89" i="36"/>
  <c r="I29"/>
  <c r="AW61" i="37"/>
  <c r="AW59" i="25"/>
  <c r="BO98" i="1"/>
  <c r="AE66" i="36"/>
  <c r="BR57" i="40"/>
  <c r="DD18" i="1"/>
  <c r="Z98" i="38"/>
  <c r="CJ57" i="39"/>
  <c r="BP91" i="36"/>
  <c r="X71" i="37"/>
  <c r="BD65"/>
  <c r="CY59"/>
  <c r="CH60" i="36"/>
  <c r="AG25" i="40"/>
  <c r="BC54" i="38"/>
  <c r="DF102" i="40"/>
  <c r="AF53" i="26"/>
  <c r="CW12" i="36"/>
  <c r="BU81" i="25"/>
  <c r="AX65" i="40"/>
  <c r="K53" i="36"/>
  <c r="CX18" i="41"/>
  <c r="AY48" i="36"/>
  <c r="CM13" i="26"/>
  <c r="AO30" i="1"/>
  <c r="AP81" i="36"/>
  <c r="AT62" i="25"/>
  <c r="AE66" i="37"/>
  <c r="M10" i="39"/>
  <c r="AZ18" i="41"/>
  <c r="L27" i="38"/>
  <c r="AG17" i="39"/>
  <c r="CI60" i="40"/>
  <c r="CC12" i="26"/>
  <c r="BA17" i="25"/>
  <c r="AA96" i="38"/>
  <c r="AS49" i="40"/>
  <c r="BT50"/>
  <c r="CS98" i="1"/>
  <c r="CO48" i="38"/>
  <c r="AF29" i="40"/>
  <c r="AJ21"/>
  <c r="AV27"/>
  <c r="U25" i="38"/>
  <c r="AW10" i="36"/>
  <c r="AS49" i="41"/>
  <c r="BP75" i="26"/>
  <c r="AS61" i="38"/>
  <c r="BS29" i="36"/>
  <c r="CQ66" i="37"/>
  <c r="CW89" i="39"/>
  <c r="AD21" i="25"/>
  <c r="W60" i="39"/>
  <c r="AC34" i="25"/>
  <c r="CU48"/>
  <c r="AT50"/>
  <c r="AM34" i="37"/>
  <c r="BC58" i="41"/>
  <c r="AD92" i="38"/>
  <c r="BS98" i="36"/>
  <c r="X45" i="25"/>
  <c r="P19" i="59"/>
  <c r="W17" i="25"/>
  <c r="T65" i="36"/>
  <c r="BA102" i="25"/>
  <c r="AS21" i="39"/>
  <c r="H18" i="59"/>
  <c r="F74" i="64"/>
  <c r="Z37" i="25"/>
  <c r="BZ48" i="40"/>
  <c r="CO59" i="36"/>
  <c r="CF75"/>
  <c r="M9" i="1"/>
  <c r="CC21" i="36"/>
  <c r="I67" i="38"/>
  <c r="AO89" i="1"/>
  <c r="V29" i="36"/>
  <c r="X81"/>
  <c r="CR65"/>
  <c r="BA60" i="1"/>
  <c r="BZ67" i="36"/>
  <c r="CK102" i="1"/>
  <c r="AM60" i="40"/>
  <c r="DD30" i="26"/>
  <c r="AZ92" i="40"/>
  <c r="CE21" i="36"/>
  <c r="DC17" i="38"/>
  <c r="H67" i="36"/>
  <c r="AT91"/>
  <c r="CL96" i="1"/>
  <c r="AI50" i="26"/>
  <c r="CY37" i="37"/>
  <c r="N58" i="41"/>
  <c r="W29" i="39"/>
  <c r="BY102" i="41"/>
  <c r="CR30" i="38"/>
  <c r="CK65" i="40"/>
  <c r="CX54"/>
  <c r="DA18" i="36"/>
  <c r="AJ37" i="26"/>
  <c r="CN9" i="25"/>
  <c r="CO48" i="36"/>
  <c r="CF62" i="37"/>
  <c r="AR66"/>
  <c r="CU48" i="38"/>
  <c r="N53" i="40"/>
  <c r="DD81"/>
  <c r="AP21"/>
  <c r="AT65" i="41"/>
  <c r="CS17" i="38"/>
  <c r="G34" i="36"/>
  <c r="N58" i="40"/>
  <c r="CB27" i="38"/>
  <c r="BQ58" i="37"/>
  <c r="CE71" i="39"/>
  <c r="BC26" i="1"/>
  <c r="CT57" i="37"/>
  <c r="BC61" i="25"/>
  <c r="AX10" i="40"/>
  <c r="AA25" i="39"/>
  <c r="K102" i="38"/>
  <c r="CY58" i="36"/>
  <c r="H76" i="64"/>
  <c r="CB9" i="36"/>
  <c r="BD91"/>
  <c r="W67" i="25"/>
  <c r="W34" i="1"/>
  <c r="AI17" i="36"/>
  <c r="CI79" i="39"/>
  <c r="BW12" i="38"/>
  <c r="DD26" i="26"/>
  <c r="AO50" i="40"/>
  <c r="BC30" i="41"/>
  <c r="CF10" i="39"/>
  <c r="CL24" i="26"/>
  <c r="CL71" i="39"/>
  <c r="T92" i="40"/>
  <c r="BZ103" i="26"/>
  <c r="H98" i="36"/>
  <c r="BQ49" i="26"/>
  <c r="AJ27" i="40"/>
  <c r="BQ59" i="36"/>
  <c r="AO13" i="37"/>
  <c r="BA26" i="39"/>
  <c r="L67" i="41"/>
  <c r="AM67" i="39"/>
  <c r="M67" i="25"/>
  <c r="CF10" i="41"/>
  <c r="BD27" i="1"/>
  <c r="V58" i="37"/>
  <c r="Z58" i="1"/>
  <c r="DB12" i="37"/>
  <c r="F72" i="64"/>
  <c r="BA130" i="47"/>
  <c r="J25" i="1"/>
  <c r="DF96" i="36"/>
  <c r="BY89" i="37"/>
  <c r="CM50" i="39"/>
  <c r="DD59" i="26"/>
  <c r="Z27" i="39"/>
  <c r="CZ79" i="1"/>
  <c r="CY30" i="39"/>
  <c r="CO37" i="41"/>
  <c r="AT91"/>
  <c r="CH27" i="36"/>
  <c r="AY10" i="39"/>
  <c r="O12" i="36"/>
  <c r="CS81" i="40"/>
  <c r="N49" i="41"/>
  <c r="AA37" i="40"/>
  <c r="AE60" i="26"/>
  <c r="AQ102" i="39"/>
  <c r="CY48" i="40"/>
  <c r="BC30" i="25"/>
  <c r="I24" i="38"/>
  <c r="AI25" i="36"/>
  <c r="AM66" i="41"/>
  <c r="CQ37" i="38"/>
  <c r="BY91" i="25"/>
  <c r="BX66"/>
  <c r="BA54" i="40"/>
  <c r="J91" i="25"/>
  <c r="DB48" i="36"/>
  <c r="CD98" i="37"/>
  <c r="AV60" i="40"/>
  <c r="CC9" i="38"/>
  <c r="Y60" i="41"/>
  <c r="CT62" i="26"/>
  <c r="AO98" i="25"/>
  <c r="DF89" i="26"/>
  <c r="M75" i="37"/>
  <c r="I75" i="41"/>
  <c r="CU13" i="26"/>
  <c r="CK61" i="25"/>
  <c r="BV71" i="40"/>
  <c r="CM91" i="26"/>
  <c r="P91"/>
  <c r="O102" i="41"/>
  <c r="AQ50" i="40"/>
  <c r="CF92" i="41"/>
  <c r="H61" i="38"/>
  <c r="V71" i="1"/>
  <c r="T53" i="26"/>
  <c r="CD17"/>
  <c r="AY89" i="25"/>
  <c r="CF21"/>
  <c r="DC71" i="41"/>
  <c r="CU25" i="26"/>
  <c r="CS54" i="38"/>
  <c r="AS65" i="1"/>
  <c r="AQ81" i="40"/>
  <c r="CK49" i="37"/>
  <c r="BY49" i="41"/>
  <c r="CK62" i="36"/>
  <c r="CA13" i="39"/>
  <c r="BY50" i="1"/>
  <c r="CI98" i="25"/>
  <c r="DB37" i="36"/>
  <c r="P30"/>
  <c r="AZ12"/>
  <c r="AB67" i="40"/>
  <c r="G27" i="1"/>
  <c r="BA17" i="37"/>
  <c r="P58" i="26"/>
  <c r="V27" i="1"/>
  <c r="CV96" i="36"/>
  <c r="O45" i="38"/>
  <c r="CL54"/>
  <c r="CM66" i="26"/>
  <c r="BY67" i="37"/>
  <c r="CG53" i="39"/>
  <c r="AI53" i="25"/>
  <c r="CQ81" i="40"/>
  <c r="AY21" i="1"/>
  <c r="BI12" i="41"/>
  <c r="CX24" i="36"/>
  <c r="CG27" i="1"/>
  <c r="V62" i="25"/>
  <c r="CO48" i="1"/>
  <c r="AG61" i="41"/>
  <c r="W48" i="1"/>
  <c r="AE98" i="25"/>
  <c r="CT54" i="26"/>
  <c r="DD25" i="41"/>
  <c r="AI29"/>
  <c r="CS45"/>
  <c r="CZ59" i="25"/>
  <c r="AA66"/>
  <c r="AU79"/>
  <c r="AO53" i="38"/>
  <c r="O10" i="40"/>
  <c r="BY13" i="41"/>
  <c r="BS60" i="1"/>
  <c r="BT26" i="39"/>
  <c r="U34" i="25"/>
  <c r="AA37" i="38"/>
  <c r="DE75" i="25"/>
  <c r="AN10" i="38"/>
  <c r="AN66" i="25"/>
  <c r="CH10" i="38"/>
  <c r="AD98" i="25"/>
  <c r="J37" i="40"/>
  <c r="CC34" i="39"/>
  <c r="CT34" i="26"/>
  <c r="AF65" i="25"/>
  <c r="CN25" i="36"/>
  <c r="AM12"/>
  <c r="AV79"/>
  <c r="BY57" i="39"/>
  <c r="Z66" i="37"/>
  <c r="AH71" i="40"/>
  <c r="BI96" i="36"/>
  <c r="CZ27" i="37"/>
  <c r="BC54" i="41"/>
  <c r="M50"/>
  <c r="AN60" i="1"/>
  <c r="AZ10" i="25"/>
  <c r="Y58" i="36"/>
  <c r="CX60" i="40"/>
  <c r="AY17" i="25"/>
  <c r="S25" i="38"/>
  <c r="AO54" i="26"/>
  <c r="CL29" i="38"/>
  <c r="CB49" i="36"/>
  <c r="CB17" i="25"/>
  <c r="CE17" i="36"/>
  <c r="CA102" i="26"/>
  <c r="CF60" i="41"/>
  <c r="CW27" i="38"/>
  <c r="BS10" i="1"/>
  <c r="X53" i="37"/>
  <c r="CW61" i="40"/>
  <c r="DF30" i="38"/>
  <c r="O61" i="37"/>
  <c r="CE24" i="38"/>
  <c r="DD91"/>
  <c r="AY58" i="25"/>
  <c r="N60" i="1"/>
  <c r="CR91" i="38"/>
  <c r="BV29" i="36"/>
  <c r="AX92" i="41"/>
  <c r="BV24"/>
  <c r="BH10" i="37"/>
  <c r="AD67"/>
  <c r="CY66" i="40"/>
  <c r="AU60" i="36"/>
  <c r="Z91" i="38"/>
  <c r="AY9" i="25"/>
  <c r="AP59" i="40"/>
  <c r="AE58" i="38"/>
  <c r="U61" i="37"/>
  <c r="Z45"/>
  <c r="DB71" i="39"/>
  <c r="CH29" i="41"/>
  <c r="BV13" i="38"/>
  <c r="G17" i="41"/>
  <c r="CF91" i="26"/>
  <c r="BY71" i="40"/>
  <c r="DD12" i="41"/>
  <c r="X92" i="39"/>
  <c r="AX13" i="41"/>
  <c r="P18" i="37"/>
  <c r="CF53" i="1"/>
  <c r="BT67" i="38"/>
  <c r="BR27" i="41"/>
  <c r="M54"/>
  <c r="CT17" i="37"/>
  <c r="AW53"/>
  <c r="AQ29" i="41"/>
  <c r="BP91" i="38"/>
  <c r="AT13" i="26"/>
  <c r="CA26" i="41"/>
  <c r="BX66" i="40"/>
  <c r="AX37" i="25"/>
  <c r="AM71" i="37"/>
  <c r="AU102" i="36"/>
  <c r="DB67" i="39"/>
  <c r="AF54" i="36"/>
  <c r="AN102" i="38"/>
  <c r="CW81" i="41"/>
  <c r="BW96" i="38"/>
  <c r="I9" i="41"/>
  <c r="Z50" i="1"/>
  <c r="DB45" i="37"/>
  <c r="CD18" i="25"/>
  <c r="CI61" i="26"/>
  <c r="CK48"/>
  <c r="AP81"/>
  <c r="CX89" i="25"/>
  <c r="W34"/>
  <c r="S26" i="26"/>
  <c r="W59"/>
  <c r="AR71" i="39"/>
  <c r="AU79" i="38"/>
  <c r="CJ65" i="25"/>
  <c r="BZ9" i="37"/>
  <c r="AP27" i="39"/>
  <c r="DC10" i="38"/>
  <c r="CJ71" i="37"/>
  <c r="BA18" i="41"/>
  <c r="CA81" i="26"/>
  <c r="CB96"/>
  <c r="Z58" i="41"/>
  <c r="AQ91" i="40"/>
  <c r="G62" i="25"/>
  <c r="J71" i="39"/>
  <c r="U30" i="36"/>
  <c r="DB53" i="38"/>
  <c r="DF54" i="39"/>
  <c r="U60" i="37"/>
  <c r="M92" i="38"/>
  <c r="AH67" i="1"/>
  <c r="AR29" i="37"/>
  <c r="G53" i="36"/>
  <c r="BV91" i="40"/>
  <c r="CE30"/>
  <c r="K9" i="39"/>
  <c r="CY75" i="25"/>
  <c r="CO60"/>
  <c r="U57" i="38"/>
  <c r="BV65"/>
  <c r="AD91" i="25"/>
  <c r="CI58" i="36"/>
  <c r="I96" i="39"/>
  <c r="CT21" i="40"/>
  <c r="CB96" i="36"/>
  <c r="CO30"/>
  <c r="CN103"/>
  <c r="CR92" i="25"/>
  <c r="BR59"/>
  <c r="BZ58" i="36"/>
  <c r="BY37" i="1"/>
  <c r="AT81" i="37"/>
  <c r="CF66" i="40"/>
  <c r="K67" i="37"/>
  <c r="DE29" i="38"/>
  <c r="J29" i="40"/>
  <c r="CZ62" i="37"/>
  <c r="CX25"/>
  <c r="CB29" i="26"/>
  <c r="CI27"/>
  <c r="DF57" i="36"/>
  <c r="U65" i="1"/>
  <c r="Y66" i="40"/>
  <c r="Y67" i="1"/>
  <c r="CI67" i="38"/>
  <c r="CE48" i="26"/>
  <c r="AJ26"/>
  <c r="CV13" i="1"/>
  <c r="CB45"/>
  <c r="DA50" i="38"/>
  <c r="AI67" i="36"/>
  <c r="N17" i="25"/>
  <c r="CQ30" i="41"/>
  <c r="S30" i="26"/>
  <c r="AX13" i="40"/>
  <c r="BH54" i="37"/>
  <c r="AE98" i="36"/>
  <c r="AD27" i="1"/>
  <c r="AR50" i="39"/>
  <c r="K54" i="40"/>
  <c r="DF103"/>
  <c r="DF53" i="39"/>
  <c r="AR25" i="26"/>
  <c r="G26" i="38"/>
  <c r="AS27" i="36"/>
  <c r="BT12" i="37"/>
  <c r="BD57" i="41"/>
  <c r="DB57" i="37"/>
  <c r="AY17" i="41"/>
  <c r="CA96" i="37"/>
  <c r="DA50" i="26"/>
  <c r="CP96" i="37"/>
  <c r="DE21" i="25"/>
  <c r="CM27" i="41"/>
  <c r="CL102" i="26"/>
  <c r="BS57" i="39"/>
  <c r="BE45" i="26"/>
  <c r="AF12" i="38"/>
  <c r="AN21" i="37"/>
  <c r="AR92" i="26"/>
  <c r="CT37" i="40"/>
  <c r="K75" i="39"/>
  <c r="CC37" i="38"/>
  <c r="N25" i="25"/>
  <c r="BR103" i="40"/>
  <c r="CF79"/>
  <c r="DF102" i="25"/>
  <c r="O17" i="38"/>
  <c r="BB75" i="1"/>
  <c r="BD65" i="36"/>
  <c r="DE62"/>
  <c r="AN61" i="25"/>
  <c r="BC34" i="41"/>
  <c r="CX34" i="38"/>
  <c r="AO37" i="40"/>
  <c r="K67" i="1"/>
  <c r="AU62" i="38"/>
  <c r="BV26" i="25"/>
  <c r="CC81" i="36"/>
  <c r="CR103" i="26"/>
  <c r="DE49" i="38"/>
  <c r="U48" i="1"/>
  <c r="BE10" i="41"/>
  <c r="CW12"/>
  <c r="H12" i="25"/>
  <c r="CI29" i="40"/>
  <c r="BX10"/>
  <c r="AO54" i="36"/>
  <c r="CT24" i="38"/>
  <c r="L75" i="39"/>
  <c r="BV17" i="40"/>
  <c r="AF25" i="25"/>
  <c r="AT57" i="1"/>
  <c r="T34" i="40"/>
  <c r="Y37"/>
  <c r="CP24" i="1"/>
  <c r="AU27" i="37"/>
  <c r="AT79" i="1"/>
  <c r="CR92" i="38"/>
  <c r="AZ26" i="25"/>
  <c r="BV91" i="37"/>
  <c r="AS57" i="41"/>
  <c r="AB75" i="38"/>
  <c r="O62" i="37"/>
  <c r="AH71" i="39"/>
  <c r="CX58" i="38"/>
  <c r="BT34" i="26"/>
  <c r="O48" i="40"/>
  <c r="CM18" i="37"/>
  <c r="BR17" i="25"/>
  <c r="CE67" i="36"/>
  <c r="X25" i="37"/>
  <c r="BR18" i="38"/>
  <c r="AB91"/>
  <c r="O89" i="26"/>
  <c r="V58" i="25"/>
  <c r="CM81" i="38"/>
  <c r="I91" i="40"/>
  <c r="DE67" i="36"/>
  <c r="V26" i="41"/>
  <c r="CO37" i="37"/>
  <c r="CK96" i="38"/>
  <c r="AJ50" i="36"/>
  <c r="AZ25" i="39"/>
  <c r="AW10" i="41"/>
  <c r="BU48" i="37"/>
  <c r="K53" i="25"/>
  <c r="DE25" i="36"/>
  <c r="H81" i="39"/>
  <c r="CM9" i="38"/>
  <c r="CH48" i="40"/>
  <c r="Z30" i="41"/>
  <c r="AD13" i="25"/>
  <c r="M57" i="39"/>
  <c r="AB10" i="40"/>
  <c r="CK9" i="26"/>
  <c r="Z89" i="36"/>
  <c r="AR62" i="25"/>
  <c r="K57"/>
  <c r="BE18" i="1"/>
  <c r="AS61"/>
  <c r="AT27" i="39"/>
  <c r="CP60" i="1"/>
  <c r="X29" i="39"/>
  <c r="AB13" i="36"/>
  <c r="AG54"/>
  <c r="CX66" i="41"/>
  <c r="CZ103" i="38"/>
  <c r="AU34" i="39"/>
  <c r="CI81" i="40"/>
  <c r="CD103"/>
  <c r="AX59" i="26"/>
  <c r="CG79" i="40"/>
  <c r="BW67" i="25"/>
  <c r="AF17" i="36"/>
  <c r="CG67" i="38"/>
  <c r="Y61" i="41"/>
  <c r="CX59"/>
  <c r="BD24" i="38"/>
  <c r="CS18" i="39"/>
  <c r="AH27"/>
  <c r="CS96" i="37"/>
  <c r="DE53" i="39"/>
  <c r="AG59" i="40"/>
  <c r="AW21" i="25"/>
  <c r="U67" i="38"/>
  <c r="BZ45" i="26"/>
  <c r="CT103" i="40"/>
  <c r="Y58" i="37"/>
  <c r="BD12" i="36"/>
  <c r="AS61" i="40"/>
  <c r="CX65" i="37"/>
  <c r="I71" i="40"/>
  <c r="BW66" i="37"/>
  <c r="Y54" i="40"/>
  <c r="AO102" i="39"/>
  <c r="DC49" i="36"/>
  <c r="G10" i="1"/>
  <c r="BT58" i="41"/>
  <c r="AR61" i="26"/>
  <c r="CL67" i="40"/>
  <c r="CQ81" i="25"/>
  <c r="BO66" i="38"/>
  <c r="CQ98" i="37"/>
  <c r="AA29" i="38"/>
  <c r="BH18" i="1"/>
  <c r="AG53" i="37"/>
  <c r="T62" i="38"/>
  <c r="BC107" i="47" s="1"/>
  <c r="BW37" i="26"/>
  <c r="AO48" i="39"/>
  <c r="AH62" i="38"/>
  <c r="CM12" i="1"/>
  <c r="CO62" i="26"/>
  <c r="AR53" i="36"/>
  <c r="BP34" i="41"/>
  <c r="BI17" i="25"/>
  <c r="AI50" i="36"/>
  <c r="DA25" i="26"/>
  <c r="Z21" i="37"/>
  <c r="CH18" i="36"/>
  <c r="CP17" i="26"/>
  <c r="CE21" i="40"/>
  <c r="BU79"/>
  <c r="CZ102" i="39"/>
  <c r="AH34" i="25"/>
  <c r="BE12" i="1"/>
  <c r="DA12" i="26"/>
  <c r="J73" i="64"/>
  <c r="CM66" i="37"/>
  <c r="U49" i="1"/>
  <c r="CN103" i="40"/>
  <c r="DB92" i="41"/>
  <c r="CX12" i="1"/>
  <c r="CP54"/>
  <c r="BI71" i="39"/>
  <c r="CZ18" i="41"/>
  <c r="BE65" i="40"/>
  <c r="BO49" i="1"/>
  <c r="DF34" i="41"/>
  <c r="I67" i="36"/>
  <c r="AS18" i="1"/>
  <c r="AC81" i="36"/>
  <c r="DB26" i="1"/>
  <c r="AX98" i="26"/>
  <c r="CO79"/>
  <c r="DC60" i="39"/>
  <c r="V17" i="38"/>
  <c r="DF79" i="26"/>
  <c r="CA54" i="39"/>
  <c r="AE48" i="1"/>
  <c r="CK58" i="36"/>
  <c r="AT37" i="25"/>
  <c r="W66" i="41"/>
  <c r="AW59" i="36"/>
  <c r="BX61" i="1"/>
  <c r="AC59" i="41"/>
  <c r="BA18" i="1"/>
  <c r="BC49" i="37"/>
  <c r="AX45" i="26"/>
  <c r="AP91" i="37"/>
  <c r="AR92" i="36"/>
  <c r="AJ57" i="37"/>
  <c r="O60" i="41"/>
  <c r="AJ18" i="39"/>
  <c r="N81" i="37"/>
  <c r="DD12" i="26"/>
  <c r="CA13"/>
  <c r="AC29" i="36"/>
  <c r="CC98" i="37"/>
  <c r="BP102" i="38"/>
  <c r="AV66" i="39"/>
  <c r="CY67" i="25"/>
  <c r="DD66" i="36"/>
  <c r="AQ13" i="25"/>
  <c r="BW91" i="37"/>
  <c r="AU96" i="38"/>
  <c r="AP92" i="37"/>
  <c r="AR71" i="1"/>
  <c r="AW67" i="36"/>
  <c r="M61" i="38"/>
  <c r="U71" i="40"/>
  <c r="BS54" i="36"/>
  <c r="CE92" i="38"/>
  <c r="CB21"/>
  <c r="BA49" i="37"/>
  <c r="CR18"/>
  <c r="I81" i="36"/>
  <c r="AM75" i="39"/>
  <c r="AH54" i="1"/>
  <c r="AH98" i="26"/>
  <c r="BA58" i="38"/>
  <c r="P67" i="41"/>
  <c r="S10" i="26"/>
  <c r="BW54" i="39"/>
  <c r="BP91" i="25"/>
  <c r="AP37" i="41"/>
  <c r="V25" i="38"/>
  <c r="M19" i="46"/>
  <c r="CE65" i="36"/>
  <c r="CR34" i="40"/>
  <c r="AA67" i="25"/>
  <c r="BZ61"/>
  <c r="AV18" i="38"/>
  <c r="BB53" i="36"/>
  <c r="CT62" i="41"/>
  <c r="AV57" i="26"/>
  <c r="AT30" i="39"/>
  <c r="AJ92" i="26"/>
  <c r="BC21" i="40"/>
  <c r="BR9" i="41"/>
  <c r="CR57" i="36"/>
  <c r="I10" i="37"/>
  <c r="L89" i="1"/>
  <c r="Y67" i="37"/>
  <c r="DB30" i="41"/>
  <c r="BX103" i="38"/>
  <c r="CW9" i="25"/>
  <c r="X18" i="38"/>
  <c r="AO96" i="39"/>
  <c r="CZ81" i="36"/>
  <c r="BS53" i="26"/>
  <c r="AB29" i="37"/>
  <c r="CS27" i="41"/>
  <c r="AG79" i="26"/>
  <c r="AX96" i="40"/>
  <c r="BE25" i="38"/>
  <c r="BV61" i="41"/>
  <c r="AB10" i="38"/>
  <c r="N48" i="40"/>
  <c r="BE59" i="38"/>
  <c r="CH48" i="39"/>
  <c r="CJ45" i="38"/>
  <c r="W79" i="1"/>
  <c r="BX25"/>
  <c r="CQ89" i="38"/>
  <c r="CW81" i="40"/>
  <c r="AP102" i="37"/>
  <c r="AJ96" i="26"/>
  <c r="AX37" i="1"/>
  <c r="BA21" i="37"/>
  <c r="BX9" i="38"/>
  <c r="Y66" i="26"/>
  <c r="AD45" i="36"/>
  <c r="X9" i="38"/>
  <c r="AU12" i="26"/>
  <c r="CZ24" i="41"/>
  <c r="CL96" i="36"/>
  <c r="O10" i="26"/>
  <c r="CF45" i="38"/>
  <c r="CZ62" i="41"/>
  <c r="CM26" i="38"/>
  <c r="BH34" i="41"/>
  <c r="CO67" i="39"/>
  <c r="CK75" i="40"/>
  <c r="P12" i="25"/>
  <c r="AO21" i="26"/>
  <c r="CT24" i="25"/>
  <c r="H53" i="26"/>
  <c r="AE59" i="39"/>
  <c r="Y54" i="38"/>
  <c r="AD89" i="1"/>
  <c r="CT12" i="26"/>
  <c r="BS53" i="36"/>
  <c r="CD10" i="26"/>
  <c r="BV91" i="36"/>
  <c r="BC61" i="38"/>
  <c r="DE66" i="41"/>
  <c r="CO58" i="37"/>
  <c r="BV18" i="1"/>
  <c r="AV34" i="41"/>
  <c r="BE45" i="37"/>
  <c r="CR30" i="25"/>
  <c r="AM25" i="1"/>
  <c r="AY21" i="39"/>
  <c r="CN10" i="1"/>
  <c r="AQ92"/>
  <c r="BU26"/>
  <c r="Z18" i="38"/>
  <c r="AC71" i="40"/>
  <c r="CB81" i="1"/>
  <c r="BT10" i="40"/>
  <c r="DD67" i="25"/>
  <c r="CK81" i="37"/>
  <c r="CN29" i="36"/>
  <c r="CA54" i="38"/>
  <c r="BX58" i="41"/>
  <c r="CB71" i="37"/>
  <c r="I27" i="38"/>
  <c r="AR66"/>
  <c r="AJ25" i="39"/>
  <c r="AG30" i="38"/>
  <c r="AQ67" i="41"/>
  <c r="K102" i="26"/>
  <c r="CZ25" i="36"/>
  <c r="BR13" i="1"/>
  <c r="CQ65" i="37"/>
  <c r="CM92" i="38"/>
  <c r="CN57" i="37"/>
  <c r="Z66" i="40"/>
  <c r="BU79" i="1"/>
  <c r="AH60" i="39"/>
  <c r="AS66" i="41"/>
  <c r="N71" i="40"/>
  <c r="H25"/>
  <c r="AU50" i="36"/>
  <c r="BV103" i="41"/>
  <c r="AR12" i="36"/>
  <c r="CM13" i="25"/>
  <c r="J49" i="1"/>
  <c r="CU45" i="26"/>
  <c r="Y96"/>
  <c r="DB9" i="39"/>
  <c r="AH61" i="40"/>
  <c r="AO54" i="41"/>
  <c r="AN34" i="36"/>
  <c r="DC92" i="1"/>
  <c r="CT58" i="25"/>
  <c r="DB27" i="41"/>
  <c r="M50" i="39"/>
  <c r="AX65" i="37"/>
  <c r="AM21" i="38"/>
  <c r="BA34" i="26"/>
  <c r="CA9" i="41"/>
  <c r="BZ75" i="36"/>
  <c r="CP57" i="37"/>
  <c r="CM12" i="40"/>
  <c r="AZ91"/>
  <c r="CF102" i="26"/>
  <c r="CZ96" i="25"/>
  <c r="CI89" i="39"/>
  <c r="CP9" i="37"/>
  <c r="L54" i="40"/>
  <c r="BQ13" i="38"/>
  <c r="CM53" i="25"/>
  <c r="BT30" i="1"/>
  <c r="DE66" i="25"/>
  <c r="G62" i="37"/>
  <c r="BX91" i="25"/>
  <c r="AX102" i="40"/>
  <c r="BA50" i="37"/>
  <c r="BH67" i="25"/>
  <c r="CU10" i="26"/>
  <c r="AZ9" i="36"/>
  <c r="BE18" i="38"/>
  <c r="CQ34" i="39"/>
  <c r="CB54" i="26"/>
  <c r="Y98" i="41"/>
  <c r="BI21" i="36"/>
  <c r="CF103" i="25"/>
  <c r="AM89"/>
  <c r="DA37" i="41"/>
  <c r="AO53" i="26"/>
  <c r="CI75" i="40"/>
  <c r="DF10" i="37"/>
  <c r="J67" i="38"/>
  <c r="BB13" i="26"/>
  <c r="BY13" i="37"/>
  <c r="CH57" i="40"/>
  <c r="CC49"/>
  <c r="CP30" i="36"/>
  <c r="CD67" i="38"/>
  <c r="CM34" i="37"/>
  <c r="DA27" i="39"/>
  <c r="BB34" i="41"/>
  <c r="BH59" i="40"/>
  <c r="AE30" i="37"/>
  <c r="L13" i="25"/>
  <c r="AC13" i="40"/>
  <c r="AA61" i="36"/>
  <c r="BQ75" i="1"/>
  <c r="CS26" i="39"/>
  <c r="CI24" i="25"/>
  <c r="AY24" i="38"/>
  <c r="AN60" i="39"/>
  <c r="BH30" i="38"/>
  <c r="BC48" i="41"/>
  <c r="BI29" i="36"/>
  <c r="AY65" i="40"/>
  <c r="BU67" i="41"/>
  <c r="CD66" i="38"/>
  <c r="BO13" i="40"/>
  <c r="N12" i="37"/>
  <c r="BU50" i="39"/>
  <c r="BD49" i="25"/>
  <c r="BX57" i="37"/>
  <c r="CO98" i="40"/>
  <c r="CN71" i="36"/>
  <c r="AH27" i="38"/>
  <c r="O30" i="1"/>
  <c r="CQ96" i="26"/>
  <c r="AY79" i="25"/>
  <c r="AE13" i="41"/>
  <c r="CC27" i="40"/>
  <c r="DB92" i="39"/>
  <c r="X79" i="41"/>
  <c r="CV54" i="40"/>
  <c r="AW48" i="41"/>
  <c r="CY54"/>
  <c r="DD81" i="39"/>
  <c r="AB61" i="40"/>
  <c r="CU34" i="36"/>
  <c r="CQ27" i="37"/>
  <c r="M37" i="26"/>
  <c r="CO25"/>
  <c r="AF75" i="40"/>
  <c r="AW21" i="1"/>
  <c r="AF34" i="26"/>
  <c r="Z17" i="39"/>
  <c r="BD98" i="36"/>
  <c r="DE75" i="41"/>
  <c r="BU12" i="39"/>
  <c r="CA67" i="25"/>
  <c r="AF54" i="40"/>
  <c r="DF67" i="1"/>
  <c r="AW60" i="26"/>
  <c r="AT96" i="38"/>
  <c r="AH13" i="1"/>
  <c r="L30" i="38"/>
  <c r="DB12" i="40"/>
  <c r="AN9" i="38"/>
  <c r="AV37" i="1"/>
  <c r="CI89" i="38"/>
  <c r="CK60" i="25"/>
  <c r="CH24" i="36"/>
  <c r="CU81" i="37"/>
  <c r="BW13" i="25"/>
  <c r="CU37" i="37"/>
  <c r="CV92"/>
  <c r="DB34" i="1"/>
  <c r="J27" i="40"/>
  <c r="CO25" i="41"/>
  <c r="Z60" i="40"/>
  <c r="AU59" i="37"/>
  <c r="I81" i="39"/>
  <c r="DA18" i="40"/>
  <c r="AV65" i="38"/>
  <c r="AI58" i="36"/>
  <c r="N25" i="39"/>
  <c r="CK91" i="40"/>
  <c r="CA91" i="38"/>
  <c r="BY57" i="26"/>
  <c r="AN48" i="39"/>
  <c r="BE96" i="1"/>
  <c r="Y37" i="26"/>
  <c r="Z27" i="25"/>
  <c r="AR12" i="40"/>
  <c r="CS102" i="1"/>
  <c r="CS81" i="36"/>
  <c r="Y27" i="41"/>
  <c r="AT71" i="1"/>
  <c r="CX96" i="39"/>
  <c r="AO21" i="37"/>
  <c r="BD102" i="41"/>
  <c r="AD13" i="26"/>
  <c r="CP50" i="38"/>
  <c r="DE98" i="37"/>
  <c r="AV34" i="1"/>
  <c r="DB66" i="39"/>
  <c r="DD81" i="26"/>
  <c r="BD12" i="41"/>
  <c r="T21" i="40"/>
  <c r="AE65"/>
  <c r="M10" i="38"/>
  <c r="V79"/>
  <c r="AT59"/>
  <c r="S92"/>
  <c r="BU10" i="40"/>
  <c r="BW57" i="1"/>
  <c r="CN98" i="41"/>
  <c r="CZ26" i="36"/>
  <c r="BW91" i="41"/>
  <c r="BZ65" i="36"/>
  <c r="AQ98" i="26"/>
  <c r="Y29" i="38"/>
  <c r="AA27" i="39"/>
  <c r="Y75" i="38"/>
  <c r="CT12" i="39"/>
  <c r="AD58" i="38"/>
  <c r="BT18" i="40"/>
  <c r="DB24" i="1"/>
  <c r="CA18" i="25"/>
  <c r="BB61" i="40"/>
  <c r="AA9" i="26"/>
  <c r="DA71" i="39"/>
  <c r="BX18" i="26"/>
  <c r="DB59" i="25"/>
  <c r="BR66" i="40"/>
  <c r="CZ17"/>
  <c r="CQ61" i="1"/>
  <c r="CV10" i="26"/>
  <c r="CW75"/>
  <c r="AP18" i="41"/>
  <c r="AC96" i="36"/>
  <c r="BO60" i="37"/>
  <c r="V91" i="36"/>
  <c r="CR62" i="37"/>
  <c r="CE96" i="39"/>
  <c r="BB54" i="40"/>
  <c r="CH29" i="38"/>
  <c r="BR61" i="25"/>
  <c r="AY50" i="1"/>
  <c r="CM9" i="37"/>
  <c r="DB60" i="25"/>
  <c r="AM89" i="26"/>
  <c r="T53" i="41"/>
  <c r="AY75" i="37"/>
  <c r="DE48" i="38"/>
  <c r="AB48" i="26"/>
  <c r="G29" i="36"/>
  <c r="AG26" i="40"/>
  <c r="AG66" i="36"/>
  <c r="AT65" i="25"/>
  <c r="AV48" i="26"/>
  <c r="BO103" i="1"/>
  <c r="BO26" i="40"/>
  <c r="AV89" i="36"/>
  <c r="M58" i="38"/>
  <c r="DB50" i="41"/>
  <c r="CS65" i="1"/>
  <c r="CP21" i="26"/>
  <c r="BS79" i="38"/>
  <c r="M24" i="1"/>
  <c r="AH26" i="25"/>
  <c r="J81" i="39"/>
  <c r="AB67" i="41"/>
  <c r="J58" i="37"/>
  <c r="BH17"/>
  <c r="AR62" i="36"/>
  <c r="CB45" i="26"/>
  <c r="H62" i="36"/>
  <c r="AS50" i="1"/>
  <c r="CT79" i="36"/>
  <c r="CY25" i="40"/>
  <c r="CX49" i="25"/>
  <c r="BT79" i="37"/>
  <c r="AE27" i="38"/>
  <c r="AD60" i="1"/>
  <c r="AW29" i="36"/>
  <c r="BV75"/>
  <c r="AM59" i="38"/>
  <c r="AJ30"/>
  <c r="BC62" i="41"/>
  <c r="BP66" i="36"/>
  <c r="AU9" i="25"/>
  <c r="CZ45" i="26"/>
  <c r="AZ61" i="38"/>
  <c r="AQ102"/>
  <c r="CL29" i="26"/>
  <c r="BE98" i="25"/>
  <c r="M48" i="38"/>
  <c r="DD26" i="1"/>
  <c r="CO102" i="25"/>
  <c r="CX53" i="39"/>
  <c r="K34" i="37"/>
  <c r="AX37" i="40"/>
  <c r="BD92" i="41"/>
  <c r="CN67" i="37"/>
  <c r="DA37" i="25"/>
  <c r="CG9"/>
  <c r="K61" i="40"/>
  <c r="AD89" i="36"/>
  <c r="CX57" i="39"/>
  <c r="AP18"/>
  <c r="AS50" i="40"/>
  <c r="CR59"/>
  <c r="DA103" i="36"/>
  <c r="CD45" i="25"/>
  <c r="AW30" i="40"/>
  <c r="AS53"/>
  <c r="CD54" i="1"/>
  <c r="P71" i="41"/>
  <c r="BT48"/>
  <c r="AT21" i="36"/>
  <c r="CQ103" i="41"/>
  <c r="L81" i="38"/>
  <c r="M25" i="26"/>
  <c r="I71" i="64"/>
  <c r="BA127" i="47"/>
  <c r="BF128"/>
  <c r="CQ71" i="25"/>
  <c r="J13" i="1"/>
  <c r="BQ30" i="36"/>
  <c r="CM18" i="39"/>
  <c r="AD10" i="26"/>
  <c r="P49" i="59"/>
  <c r="J17" i="64"/>
  <c r="J25" i="36"/>
  <c r="E71" i="64"/>
  <c r="AW96" i="26"/>
  <c r="BY79" i="37"/>
  <c r="BZ98" i="40"/>
  <c r="CG92" i="37"/>
  <c r="CA21" i="41"/>
  <c r="BR60" i="40"/>
  <c r="CG67" i="36"/>
  <c r="H12" i="41"/>
  <c r="CQ50" i="26"/>
  <c r="H50" i="1"/>
  <c r="BT26" i="40"/>
  <c r="BH21" i="38"/>
  <c r="BZ27" i="39"/>
  <c r="AD102" i="36"/>
  <c r="J92" i="40"/>
  <c r="AM45" i="39"/>
  <c r="BD10" i="1"/>
  <c r="CB102" i="25"/>
  <c r="Y10" i="40"/>
  <c r="X62" i="1"/>
  <c r="U58" i="39"/>
  <c r="CG61" i="1"/>
  <c r="AC58" i="38"/>
  <c r="AS25" i="39"/>
  <c r="CZ21" i="40"/>
  <c r="CB26"/>
  <c r="DD24" i="41"/>
  <c r="AA29" i="39"/>
  <c r="BA66" i="37"/>
  <c r="DF10" i="26"/>
  <c r="CQ61" i="40"/>
  <c r="BU50" i="36"/>
  <c r="AY27" i="38"/>
  <c r="CQ17" i="40"/>
  <c r="DF24" i="1"/>
  <c r="DC9" i="41"/>
  <c r="DC92" i="26"/>
  <c r="CR81" i="36"/>
  <c r="AZ71" i="1"/>
  <c r="AQ10" i="37"/>
  <c r="CF58" i="40"/>
  <c r="CK12" i="26"/>
  <c r="AH61" i="39"/>
  <c r="AX96" i="1"/>
  <c r="AP21" i="37"/>
  <c r="Y67" i="25"/>
  <c r="BX98" i="1"/>
  <c r="CV17" i="26"/>
  <c r="DA92" i="36"/>
  <c r="DE57"/>
  <c r="CB10"/>
  <c r="CB30" i="25"/>
  <c r="CJ60" i="39"/>
  <c r="AJ18" i="38"/>
  <c r="DC13" i="1"/>
  <c r="G37" i="26"/>
  <c r="CY18" i="1"/>
  <c r="CO89" i="41"/>
  <c r="AF26" i="1"/>
  <c r="BX54" i="41"/>
  <c r="W75" i="36"/>
  <c r="CV67" i="39"/>
  <c r="H79" i="36"/>
  <c r="CB89" i="39"/>
  <c r="CX48"/>
  <c r="BC13" i="36"/>
  <c r="K92" i="1"/>
  <c r="L18" i="36"/>
  <c r="AO30" i="25"/>
  <c r="DB71" i="36"/>
  <c r="O89" i="37"/>
  <c r="S58" i="38"/>
  <c r="DF25"/>
  <c r="AD26" i="40"/>
  <c r="AQ27" i="26"/>
  <c r="CW50" i="41"/>
  <c r="BE34" i="39"/>
  <c r="BB92" i="38"/>
  <c r="CA57" i="1"/>
  <c r="AM61" i="25"/>
  <c r="AE24" i="40"/>
  <c r="G91"/>
  <c r="AF71"/>
  <c r="AC79" i="38"/>
  <c r="K81" i="40"/>
  <c r="AR66"/>
  <c r="O59"/>
  <c r="BC13"/>
  <c r="BW79" i="26"/>
  <c r="CM10" i="38"/>
  <c r="CP53" i="26"/>
  <c r="H48" i="25"/>
  <c r="AY13" i="40"/>
  <c r="BP75" i="39"/>
  <c r="BU54" i="25"/>
  <c r="AT98" i="40"/>
  <c r="CD89" i="1"/>
  <c r="CL67" i="38"/>
  <c r="AS34"/>
  <c r="CW60" i="36"/>
  <c r="CU71"/>
  <c r="CY24" i="37"/>
  <c r="CE81" i="25"/>
  <c r="AT59" i="37"/>
  <c r="BP71" i="38"/>
  <c r="CG24" i="25"/>
  <c r="CD103" i="26"/>
  <c r="DE57" i="41"/>
  <c r="BV61" i="37"/>
  <c r="BR75" i="26"/>
  <c r="CD57" i="1"/>
  <c r="CO65" i="38"/>
  <c r="L25" i="36"/>
  <c r="BU29" i="25"/>
  <c r="AX27" i="38"/>
  <c r="CV34"/>
  <c r="AA12"/>
  <c r="AS58" i="1"/>
  <c r="BU65" i="39"/>
  <c r="AM91" i="1"/>
  <c r="AC71" i="39"/>
  <c r="I96" i="1"/>
  <c r="AC61"/>
  <c r="AE27" i="36"/>
  <c r="DC45" i="38"/>
  <c r="CY57" i="26"/>
  <c r="BU59" i="39"/>
  <c r="S25" i="41"/>
  <c r="I91" i="60"/>
  <c r="P9" i="59"/>
  <c r="CJ24" i="36"/>
  <c r="CI45" i="37"/>
  <c r="AA60" i="25"/>
  <c r="AI21" i="36"/>
  <c r="CN58" i="38"/>
  <c r="BV17" i="39"/>
  <c r="CR49" i="38"/>
  <c r="AX26" i="25"/>
  <c r="CR45" i="40"/>
  <c r="AQ49" i="36"/>
  <c r="DF49" i="37"/>
  <c r="AY71"/>
  <c r="AD102" i="1"/>
  <c r="CT71" i="37"/>
  <c r="AU89" i="41"/>
  <c r="AR59" i="1"/>
  <c r="AN58" i="40"/>
  <c r="CP21" i="37"/>
  <c r="AT98" i="26"/>
  <c r="AM71" i="40"/>
  <c r="DC89" i="38"/>
  <c r="N10" i="1"/>
  <c r="CY61"/>
  <c r="BZ62" i="40"/>
  <c r="CL65" i="39"/>
  <c r="BA17"/>
  <c r="L91" i="1"/>
  <c r="AM98"/>
  <c r="AY18" i="41"/>
  <c r="N18" i="37"/>
  <c r="BD29" i="41"/>
  <c r="O21"/>
  <c r="AU65" i="1"/>
  <c r="AB98" i="36"/>
  <c r="AM18" i="38"/>
  <c r="BC37" i="40"/>
  <c r="BA17" i="38"/>
  <c r="AJ50" i="39"/>
  <c r="AN92" i="37"/>
  <c r="CQ9" i="40"/>
  <c r="DF30" i="1"/>
  <c r="CH12" i="40"/>
  <c r="AX81" i="39"/>
  <c r="AZ37" i="1"/>
  <c r="CB98" i="41"/>
  <c r="DB25" i="37"/>
  <c r="BH59" i="1"/>
  <c r="BU13" i="26"/>
  <c r="CR65" i="39"/>
  <c r="CE81" i="38"/>
  <c r="G21" i="40"/>
  <c r="AD60" i="36"/>
  <c r="DD54" i="40"/>
  <c r="DE17" i="25"/>
  <c r="AU21" i="40"/>
  <c r="AH27" i="37"/>
  <c r="CJ24"/>
  <c r="CX10" i="38"/>
  <c r="BA13" i="40"/>
  <c r="BU102" i="1"/>
  <c r="X45" i="36"/>
  <c r="CF27" i="26"/>
  <c r="AJ21"/>
  <c r="BW49" i="1"/>
  <c r="AA30" i="39"/>
  <c r="BA54" i="38"/>
  <c r="CP18" i="37"/>
  <c r="L45" i="39"/>
  <c r="P57" i="25"/>
  <c r="CQ25" i="41"/>
  <c r="AT13" i="40"/>
  <c r="CV21" i="26"/>
  <c r="CG79"/>
  <c r="CY58"/>
  <c r="AF9" i="1"/>
  <c r="CN27" i="37"/>
  <c r="BE57" i="40"/>
  <c r="BS57" i="36"/>
  <c r="AM60" i="26"/>
  <c r="BP89" i="39"/>
  <c r="CJ79" i="41"/>
  <c r="AZ91" i="37"/>
  <c r="P81" i="36"/>
  <c r="CW29" i="37"/>
  <c r="CR60" i="38"/>
  <c r="AS102" i="37"/>
  <c r="BX62" i="39"/>
  <c r="CX98" i="37"/>
  <c r="AJ81" i="26"/>
  <c r="AP60" i="39"/>
  <c r="AI71" i="36"/>
  <c r="AS48"/>
  <c r="AM25" i="38"/>
  <c r="AH79" i="39"/>
  <c r="BS18" i="37"/>
  <c r="DA103" i="1"/>
  <c r="DC29" i="37"/>
  <c r="BT37" i="38"/>
  <c r="U37" i="37"/>
  <c r="M61" i="25"/>
  <c r="O54" i="40"/>
  <c r="AY37" i="26"/>
  <c r="CM102" i="41"/>
  <c r="AA30" i="26"/>
  <c r="AJ21" i="37"/>
  <c r="AT24" i="26"/>
  <c r="W30" i="25"/>
  <c r="DF25" i="40"/>
  <c r="AV25" i="36"/>
  <c r="DD26" i="40"/>
  <c r="AJ9" i="1"/>
  <c r="AN66" i="40"/>
  <c r="BZ26" i="38"/>
  <c r="AZ34" i="41"/>
  <c r="AQ53" i="26"/>
  <c r="AS24" i="41"/>
  <c r="AE89" i="39"/>
  <c r="CS53" i="25"/>
  <c r="CG48" i="40"/>
  <c r="S65" i="39"/>
  <c r="BA79" i="25"/>
  <c r="BI54" i="26"/>
  <c r="AZ98" i="38"/>
  <c r="BS61" i="40"/>
  <c r="S91" i="38"/>
  <c r="U54" i="36"/>
  <c r="K50" i="59"/>
  <c r="CC98" i="38"/>
  <c r="BS17" i="40"/>
  <c r="CF37" i="26"/>
  <c r="K29" i="39"/>
  <c r="CP61" i="41"/>
  <c r="M13" i="39"/>
  <c r="O66" i="41"/>
  <c r="AS96" i="37"/>
  <c r="CP65" i="36"/>
  <c r="CQ25" i="37"/>
  <c r="CG98" i="1"/>
  <c r="AD18" i="40"/>
  <c r="DF81" i="41"/>
  <c r="CD37" i="39"/>
  <c r="CN26" i="37"/>
  <c r="AP18" i="25"/>
  <c r="Y13" i="37"/>
  <c r="Z24" i="39"/>
  <c r="AV98" i="36"/>
  <c r="K67" i="38"/>
  <c r="AA37" i="37"/>
  <c r="CR89" i="40"/>
  <c r="AA98" i="26"/>
  <c r="CN10"/>
  <c r="AJ9"/>
  <c r="CO71" i="39"/>
  <c r="W48" i="25"/>
  <c r="CQ25" i="1"/>
  <c r="BQ91" i="26"/>
  <c r="AP12" i="39"/>
  <c r="CL81" i="1"/>
  <c r="CH21"/>
  <c r="CV67" i="26"/>
  <c r="AQ13" i="39"/>
  <c r="BY27" i="38"/>
  <c r="CR9" i="40"/>
  <c r="CI49" i="37"/>
  <c r="CH17" i="38"/>
  <c r="BS26" i="37"/>
  <c r="Z12" i="25"/>
  <c r="DF27" i="26"/>
  <c r="BD9" i="40"/>
  <c r="AF26"/>
  <c r="V67" i="25"/>
  <c r="BU9" i="37"/>
  <c r="DE98" i="36"/>
  <c r="G65"/>
  <c r="CR96" i="1"/>
  <c r="AN54" i="37"/>
  <c r="BW34" i="26"/>
  <c r="CL45" i="1"/>
  <c r="CC57"/>
  <c r="AS71" i="40"/>
  <c r="T48" i="25"/>
  <c r="CY91" i="38"/>
  <c r="K60" i="1"/>
  <c r="BD37" i="37"/>
  <c r="G49" i="25"/>
  <c r="AV91" i="26"/>
  <c r="BS79" i="37"/>
  <c r="Z98" i="41"/>
  <c r="CP96" i="1"/>
  <c r="AD13" i="38"/>
  <c r="BA81" i="36"/>
  <c r="DF45" i="38"/>
  <c r="CV21" i="41"/>
  <c r="BT30" i="40"/>
  <c r="BA45"/>
  <c r="DC102" i="1"/>
  <c r="CS59" i="25"/>
  <c r="AN34" i="37"/>
  <c r="AV67"/>
  <c r="CV96" i="40"/>
  <c r="AW21" i="36"/>
  <c r="DC75" i="40"/>
  <c r="AR91" i="26"/>
  <c r="BA65" i="41"/>
  <c r="AT53" i="36"/>
  <c r="CC50" i="38"/>
  <c r="CR91" i="39"/>
  <c r="CI92"/>
  <c r="AH54" i="40"/>
  <c r="U89"/>
  <c r="BZ45" i="39"/>
  <c r="G65" i="41"/>
  <c r="BB91" i="36"/>
  <c r="BE12" i="26"/>
  <c r="AN18" i="40"/>
  <c r="AE9"/>
  <c r="K10" i="36"/>
  <c r="DB27" i="39"/>
  <c r="BS91"/>
  <c r="BC81" i="41"/>
  <c r="CE30" i="36"/>
  <c r="N9"/>
  <c r="AD57" i="38"/>
  <c r="DA65" i="37"/>
  <c r="AA89" i="41"/>
  <c r="P71" i="26"/>
  <c r="AS53"/>
  <c r="BW89" i="37"/>
  <c r="AH30" i="38"/>
  <c r="CA91" i="36"/>
  <c r="CK66"/>
  <c r="BY53" i="41"/>
  <c r="BS71" i="38"/>
  <c r="CJ48" i="26"/>
  <c r="DF57" i="40"/>
  <c r="BZ29" i="26"/>
  <c r="P25" i="36"/>
  <c r="CA71" i="25"/>
  <c r="CB18" i="39"/>
  <c r="S58" i="36"/>
  <c r="AC18" i="25"/>
  <c r="AA34"/>
  <c r="BR91" i="41"/>
  <c r="CD92" i="37"/>
  <c r="CR17" i="41"/>
  <c r="CK10" i="40"/>
  <c r="S13" i="39"/>
  <c r="N27" i="25"/>
  <c r="DC24" i="39"/>
  <c r="X50" i="1"/>
  <c r="BR92" i="36"/>
  <c r="O71" i="41"/>
  <c r="BC37" i="36"/>
  <c r="CZ12" i="39"/>
  <c r="AA50" i="41"/>
  <c r="AJ48"/>
  <c r="AR102" i="37"/>
  <c r="L21" i="1"/>
  <c r="DB12" i="25"/>
  <c r="X96" i="1"/>
  <c r="CZ67" i="36"/>
  <c r="W67" i="38"/>
  <c r="AY71" i="39"/>
  <c r="AD24" i="37"/>
  <c r="BE62" i="25"/>
  <c r="BV34" i="36"/>
  <c r="AV66" i="1"/>
  <c r="H45"/>
  <c r="AX91" i="41"/>
  <c r="P79" i="40"/>
  <c r="X61" i="37"/>
  <c r="AR89" i="1"/>
  <c r="CY27" i="37"/>
  <c r="AS50" i="25"/>
  <c r="BH102" i="39"/>
  <c r="BW25" i="41"/>
  <c r="BB65" i="37"/>
  <c r="CE30" i="41"/>
  <c r="AY53" i="37"/>
  <c r="O9"/>
  <c r="DE60"/>
  <c r="BO62" i="41"/>
  <c r="CY79" i="1"/>
  <c r="BS48" i="37"/>
  <c r="AU25" i="38"/>
  <c r="CJ53"/>
  <c r="CB75" i="25"/>
  <c r="AF66"/>
  <c r="AH30" i="1"/>
  <c r="G21" i="26"/>
  <c r="AA96" i="39"/>
  <c r="CA79" i="41"/>
  <c r="DC66" i="39"/>
  <c r="CL10" i="1"/>
  <c r="CZ34" i="41"/>
  <c r="BR24" i="25"/>
  <c r="AB45" i="36"/>
  <c r="BZ58" i="39"/>
  <c r="AM50" i="1"/>
  <c r="CX30" i="39"/>
  <c r="H27" i="36"/>
  <c r="DE37" i="1"/>
  <c r="Z45" i="41"/>
  <c r="H60"/>
  <c r="CD67"/>
  <c r="CG79" i="38"/>
  <c r="CI67" i="37"/>
  <c r="BH34" i="26"/>
  <c r="AX26" i="1"/>
  <c r="BU58" i="25"/>
  <c r="V61" i="38"/>
  <c r="AR54" i="37"/>
  <c r="AS13" i="1"/>
  <c r="AB37" i="36"/>
  <c r="CB81" i="39"/>
  <c r="CG92" i="36"/>
  <c r="BS53" i="40"/>
  <c r="CM45" i="36"/>
  <c r="CX75"/>
  <c r="V71" i="37"/>
  <c r="AR29" i="41"/>
  <c r="CO29" i="25"/>
  <c r="CS12" i="37"/>
  <c r="BR21" i="25"/>
  <c r="CV53" i="26"/>
  <c r="K67"/>
  <c r="BS61" i="41"/>
  <c r="CE30" i="39"/>
  <c r="BC18" i="36"/>
  <c r="AN48" i="1"/>
  <c r="CK59"/>
  <c r="DD81" i="37"/>
  <c r="J29" i="36"/>
  <c r="BP27" i="1"/>
  <c r="CZ27" i="39"/>
  <c r="AI79" i="41"/>
  <c r="DE79" i="36"/>
  <c r="X58" i="37"/>
  <c r="AM67" i="25"/>
  <c r="N50" i="41"/>
  <c r="BA81" i="40"/>
  <c r="AZ54" i="41"/>
  <c r="DB24" i="38"/>
  <c r="AG60"/>
  <c r="AS48" i="25"/>
  <c r="AP50" i="39"/>
  <c r="CV66" i="41"/>
  <c r="BT21" i="26"/>
  <c r="AS65" i="41"/>
  <c r="CR49" i="1"/>
  <c r="AH67" i="25"/>
  <c r="AC29" i="37"/>
  <c r="AW60" i="36"/>
  <c r="AH25" i="39"/>
  <c r="CY34" i="40"/>
  <c r="AA96" i="25"/>
  <c r="CD62"/>
  <c r="CC60" i="39"/>
  <c r="BR57" i="1"/>
  <c r="AI98" i="25"/>
  <c r="AC17" i="1"/>
  <c r="CQ59" i="40"/>
  <c r="H49" i="38"/>
  <c r="J27" i="36"/>
  <c r="L53" i="39"/>
  <c r="BQ62" i="41"/>
  <c r="BP34" i="37"/>
  <c r="BX45"/>
  <c r="AJ67" i="39"/>
  <c r="X30" i="40"/>
  <c r="AU65" i="26"/>
  <c r="AR60" i="38"/>
  <c r="O96" i="25"/>
  <c r="BP58"/>
  <c r="BC29" i="36"/>
  <c r="CY59" i="40"/>
  <c r="BY65" i="39"/>
  <c r="CA61" i="38"/>
  <c r="CC27" i="26"/>
  <c r="CW67" i="36"/>
  <c r="CR96" i="41"/>
  <c r="CV48" i="39"/>
  <c r="AQ81" i="41"/>
  <c r="BW54" i="40"/>
  <c r="AH91" i="37"/>
  <c r="AD53"/>
  <c r="AN62" i="39"/>
  <c r="CY17" i="26"/>
  <c r="BZ67" i="1"/>
  <c r="AZ65" i="37"/>
  <c r="AO27" i="41"/>
  <c r="P60" i="25"/>
  <c r="BX29" i="38"/>
  <c r="X50" i="36"/>
  <c r="BS60" i="41"/>
  <c r="CY75" i="36"/>
  <c r="M54" i="40"/>
  <c r="CW58" i="38"/>
  <c r="CX30" i="40"/>
  <c r="CE12" i="25"/>
  <c r="DF17" i="40"/>
  <c r="K98" i="25"/>
  <c r="AX54" i="40"/>
  <c r="CJ81" i="26"/>
  <c r="BW67" i="40"/>
  <c r="BE48" i="1"/>
  <c r="AJ59"/>
  <c r="AR37" i="37"/>
  <c r="DE48" i="26"/>
  <c r="DE26" i="36"/>
  <c r="BE17" i="38"/>
  <c r="P96" i="25"/>
  <c r="CJ91" i="40"/>
  <c r="I29" i="1"/>
  <c r="DA13"/>
  <c r="CC17" i="39"/>
  <c r="DF92" i="40"/>
  <c r="BY45" i="37"/>
  <c r="W75" i="25"/>
  <c r="X29" i="37"/>
  <c r="K98" i="41"/>
  <c r="J61" i="36"/>
  <c r="AS27" i="25"/>
  <c r="BO30" i="1"/>
  <c r="AI50" i="38"/>
  <c r="CH89" i="36"/>
  <c r="CP54" i="40"/>
  <c r="CU58" i="41"/>
  <c r="DF53" i="25"/>
  <c r="BB75"/>
  <c r="AN24" i="1"/>
  <c r="AO57" i="39"/>
  <c r="I13" i="25"/>
  <c r="AP71" i="26"/>
  <c r="CS24" i="41"/>
  <c r="CG58" i="38"/>
  <c r="BS54" i="39"/>
  <c r="BB79" i="41"/>
  <c r="H53" i="40"/>
  <c r="AH21" i="37"/>
  <c r="AI17" i="26"/>
  <c r="AU24" i="36"/>
  <c r="U67" i="1"/>
  <c r="I58" i="38"/>
  <c r="AJ96" i="25"/>
  <c r="U37"/>
  <c r="M50" i="1"/>
  <c r="AB48" i="39"/>
  <c r="AI60" i="26"/>
  <c r="J81" i="1"/>
  <c r="AV62" i="26"/>
  <c r="CL18"/>
  <c r="DC66" i="25"/>
  <c r="AN71" i="26"/>
  <c r="AX45" i="1"/>
  <c r="CQ103" i="26"/>
  <c r="AN25" i="36"/>
  <c r="AD29" i="41"/>
  <c r="DC34" i="38"/>
  <c r="BI59" i="40"/>
  <c r="AH65" i="36"/>
  <c r="N29" i="1"/>
  <c r="BZ26" i="26"/>
  <c r="CV49" i="41"/>
  <c r="CE57" i="40"/>
  <c r="AU49" i="25"/>
  <c r="BQ67" i="39"/>
  <c r="CT30" i="40"/>
  <c r="CQ66" i="26"/>
  <c r="BD59" i="40"/>
  <c r="H49" i="37"/>
  <c r="AE59"/>
  <c r="AJ71" i="25"/>
  <c r="DA25" i="37"/>
  <c r="CH27" i="39"/>
  <c r="BW53" i="38"/>
  <c r="CY26" i="37"/>
  <c r="BS92" i="40"/>
  <c r="CC9" i="1"/>
  <c r="AA10" i="25"/>
  <c r="CV50" i="36"/>
  <c r="N21" i="25"/>
  <c r="I91"/>
  <c r="CS62" i="37"/>
  <c r="BD26" i="26"/>
  <c r="AG62" i="41"/>
  <c r="DE53"/>
  <c r="CU24" i="40"/>
  <c r="AT37" i="37"/>
  <c r="K91" i="38"/>
  <c r="AW21" i="26"/>
  <c r="AR37" i="38"/>
  <c r="AH45" i="1"/>
  <c r="DE45" i="37"/>
  <c r="AP30" i="36"/>
  <c r="O96" i="38"/>
  <c r="W67" i="36"/>
  <c r="CS45" i="38"/>
  <c r="BD34" i="25"/>
  <c r="CK48" i="41"/>
  <c r="I48" i="37"/>
  <c r="CI30" i="40"/>
  <c r="L16" i="64"/>
  <c r="H34" i="59"/>
  <c r="CH49" i="37"/>
  <c r="CD53" i="25"/>
  <c r="Z62" i="37"/>
  <c r="CA98" i="38"/>
  <c r="BA45" i="36"/>
  <c r="AF98" i="39"/>
  <c r="CU49" i="38"/>
  <c r="BQ37"/>
  <c r="CC71" i="37"/>
  <c r="AF10" i="38"/>
  <c r="DD53" i="41"/>
  <c r="DA103" i="39"/>
  <c r="BB92" i="25"/>
  <c r="DC67" i="40"/>
  <c r="AN25" i="41"/>
  <c r="BD25"/>
  <c r="AZ127" i="47"/>
  <c r="CO48" i="26"/>
  <c r="DC27" i="40"/>
  <c r="CT17" i="26"/>
  <c r="CR50"/>
  <c r="DE26" i="40"/>
  <c r="K66" i="39"/>
  <c r="CL10" i="41"/>
  <c r="AX89" i="25"/>
  <c r="BX49" i="36"/>
  <c r="AW24"/>
  <c r="CF30" i="1"/>
  <c r="X27"/>
  <c r="M62" i="26"/>
  <c r="AH53"/>
  <c r="BE25" i="36"/>
  <c r="BY37" i="37"/>
  <c r="BX103" i="40"/>
  <c r="AF12" i="25"/>
  <c r="AZ53" i="39"/>
  <c r="CI34" i="36"/>
  <c r="DA54" i="40"/>
  <c r="J45" i="26"/>
  <c r="BH65" i="25"/>
  <c r="CI71" i="1"/>
  <c r="J81" i="37"/>
  <c r="CT103" i="41"/>
  <c r="AY66" i="37"/>
  <c r="AG67" i="41"/>
  <c r="BX54" i="40"/>
  <c r="DD65" i="26"/>
  <c r="BC49"/>
  <c r="BB48" i="36"/>
  <c r="AY65" i="25"/>
  <c r="AT18" i="38"/>
  <c r="CJ25" i="25"/>
  <c r="BP34"/>
  <c r="DB81" i="41"/>
  <c r="AF98" i="26"/>
  <c r="CQ10" i="1"/>
  <c r="BV10" i="40"/>
  <c r="AB79" i="39"/>
  <c r="I10" i="41"/>
  <c r="M81" i="37"/>
  <c r="Y34" i="40"/>
  <c r="BQ10" i="41"/>
  <c r="CL53" i="38"/>
  <c r="O92" i="40"/>
  <c r="AF48" i="36"/>
  <c r="BA65" i="25"/>
  <c r="CY89" i="1"/>
  <c r="AR48" i="25"/>
  <c r="L10" i="26"/>
  <c r="CJ67" i="40"/>
  <c r="DE60" i="38"/>
  <c r="AP9" i="1"/>
  <c r="BZ62"/>
  <c r="DE12" i="39"/>
  <c r="H21" i="25"/>
  <c r="DE48" i="41"/>
  <c r="CV50" i="26"/>
  <c r="CY13" i="40"/>
  <c r="N34" i="41"/>
  <c r="BV98" i="26"/>
  <c r="CV34"/>
  <c r="AI60" i="1"/>
  <c r="BP57" i="26"/>
  <c r="CF81" i="39"/>
  <c r="N65" i="38"/>
  <c r="CW26" i="41"/>
  <c r="CP103" i="37"/>
  <c r="BW50" i="26"/>
  <c r="BZ98"/>
  <c r="AR53" i="41"/>
  <c r="BY29" i="38"/>
  <c r="AD71" i="41"/>
  <c r="CO57" i="40"/>
  <c r="AC34" i="37"/>
  <c r="AS26" i="26"/>
  <c r="P57" i="38"/>
  <c r="BE25" i="37"/>
  <c r="AS57" i="40"/>
  <c r="BT92" i="38"/>
  <c r="AZ71"/>
  <c r="CR21" i="41"/>
  <c r="DF27" i="25"/>
  <c r="AH17" i="40"/>
  <c r="BA50" i="36"/>
  <c r="L57" i="37"/>
  <c r="AV34" i="26"/>
  <c r="CG26" i="37"/>
  <c r="AV45" i="25"/>
  <c r="BC13" i="1"/>
  <c r="AH24"/>
  <c r="CB29" i="40"/>
  <c r="AP17" i="26"/>
  <c r="BD24" i="1"/>
  <c r="CU53"/>
  <c r="P26"/>
  <c r="CU25" i="40"/>
  <c r="AN10" i="36"/>
  <c r="AF10" i="40"/>
  <c r="N58" i="39"/>
  <c r="AA75" i="38"/>
  <c r="AI102" i="40"/>
  <c r="L49" i="26"/>
  <c r="BH62" i="1"/>
  <c r="BX98" i="37"/>
  <c r="CR18" i="40"/>
  <c r="CF65" i="25"/>
  <c r="CN75" i="41"/>
  <c r="CM61" i="36"/>
  <c r="CD89" i="41"/>
  <c r="CD49" i="26"/>
  <c r="CQ37" i="41"/>
  <c r="BY62" i="40"/>
  <c r="BD91" i="25"/>
  <c r="P98" i="36"/>
  <c r="AF75" i="26"/>
  <c r="BW59" i="40"/>
  <c r="CB98" i="37"/>
  <c r="U13"/>
  <c r="O79" i="38"/>
  <c r="AV66" i="41"/>
  <c r="AV66" i="26"/>
  <c r="CQ92" i="38"/>
  <c r="S48" i="40"/>
  <c r="H67" i="25"/>
  <c r="BC57" i="39"/>
  <c r="X58" i="41"/>
  <c r="BI65" i="25"/>
  <c r="M61" i="37"/>
  <c r="DD17" i="39"/>
  <c r="AC58" i="36"/>
  <c r="AI30" i="26"/>
  <c r="BV29" i="37"/>
  <c r="BI48" i="39"/>
  <c r="Z96"/>
  <c r="CE103" i="36"/>
  <c r="H26"/>
  <c r="AG45"/>
  <c r="CB26"/>
  <c r="CB103" i="38"/>
  <c r="DC61"/>
  <c r="Z30" i="40"/>
  <c r="CF29" i="39"/>
  <c r="CF71" i="26"/>
  <c r="CI9" i="40"/>
  <c r="DE53" i="38"/>
  <c r="AP27" i="40"/>
  <c r="CY9" i="26"/>
  <c r="CX17" i="25"/>
  <c r="AM49" i="26"/>
  <c r="BR30"/>
  <c r="AS71" i="1"/>
  <c r="AA79" i="26"/>
  <c r="AV71"/>
  <c r="CQ21" i="40"/>
  <c r="CN67" i="38"/>
  <c r="CE67" i="41"/>
  <c r="AE49" i="39"/>
  <c r="AN91" i="37"/>
  <c r="AY67" i="39"/>
  <c r="T50" i="1"/>
  <c r="Z75" i="40"/>
  <c r="CJ75" i="26"/>
  <c r="AY81" i="1"/>
  <c r="AF48" i="37"/>
  <c r="AD61" i="40"/>
  <c r="CL65" i="36"/>
  <c r="CL45" i="41"/>
  <c r="CC10" i="36"/>
  <c r="AT48" i="1"/>
  <c r="BC48" i="25"/>
  <c r="AD91" i="38"/>
  <c r="V10" i="36"/>
  <c r="BB45" i="39"/>
  <c r="G102" i="26"/>
  <c r="AG21" i="25"/>
  <c r="BA91" i="41"/>
  <c r="J98" i="1"/>
  <c r="M92" i="25"/>
  <c r="AB58" i="26"/>
  <c r="CY103" i="41"/>
  <c r="AT21" i="37"/>
  <c r="J71"/>
  <c r="CH54" i="40"/>
  <c r="CA61" i="39"/>
  <c r="AS75" i="37"/>
  <c r="CA53" i="39"/>
  <c r="AB89" i="25"/>
  <c r="BI66" i="26"/>
  <c r="CU18" i="39"/>
  <c r="AS37" i="40"/>
  <c r="CF18" i="39"/>
  <c r="BE58" i="1"/>
  <c r="AM67" i="40"/>
  <c r="W37"/>
  <c r="AJ29" i="37"/>
  <c r="BC45"/>
  <c r="AX92" i="39"/>
  <c r="AT53" i="38"/>
  <c r="DF27" i="39"/>
  <c r="AE92" i="41"/>
  <c r="BI27" i="40"/>
  <c r="CZ45" i="1"/>
  <c r="AO102" i="36"/>
  <c r="CP71" i="41"/>
  <c r="AS53" i="25"/>
  <c r="BX58" i="36"/>
  <c r="BS61"/>
  <c r="AX18" i="37"/>
  <c r="AU57" i="39"/>
  <c r="CA92" i="1"/>
  <c r="CN45" i="40"/>
  <c r="AY27" i="39"/>
  <c r="CF13" i="41"/>
  <c r="AO102" i="25"/>
  <c r="CP65" i="1"/>
  <c r="BP75" i="41"/>
  <c r="CX50" i="37"/>
  <c r="BA27" i="36"/>
  <c r="BB18" i="41"/>
  <c r="BE65" i="39"/>
  <c r="CD91" i="38"/>
  <c r="CJ27" i="36"/>
  <c r="CW9" i="40"/>
  <c r="CU81" i="38"/>
  <c r="CE98" i="41"/>
  <c r="CV12" i="36"/>
  <c r="CM79" i="25"/>
  <c r="AT59" i="1"/>
  <c r="CL25" i="39"/>
  <c r="AR71" i="25"/>
  <c r="BY61" i="41"/>
  <c r="S30" i="39"/>
  <c r="I65" i="1"/>
  <c r="AF75" i="39"/>
  <c r="CA89"/>
  <c r="BQ30" i="37"/>
  <c r="CR103" i="1"/>
  <c r="BR25" i="41"/>
  <c r="DF66" i="1"/>
  <c r="DD34" i="36"/>
  <c r="AG37" i="41"/>
  <c r="BB75" i="40"/>
  <c r="BH61" i="38"/>
  <c r="AQ91" i="1"/>
  <c r="AH37"/>
  <c r="BB48" i="41"/>
  <c r="AY102" i="38"/>
  <c r="AT9" i="37"/>
  <c r="AE58" i="39"/>
  <c r="CK66" i="37"/>
  <c r="AZ26" i="1"/>
  <c r="CC58" i="38"/>
  <c r="CT71" i="36"/>
  <c r="CO58" i="41"/>
  <c r="BZ91" i="38"/>
  <c r="CC65" i="1"/>
  <c r="CW48" i="39"/>
  <c r="CM59" i="1"/>
  <c r="AP37" i="36"/>
  <c r="CY34"/>
  <c r="AV18" i="40"/>
  <c r="DD65"/>
  <c r="CG18" i="1"/>
  <c r="CI27"/>
  <c r="AC58" i="39"/>
  <c r="AD61"/>
  <c r="BB37" i="26"/>
  <c r="CS57" i="41"/>
  <c r="DF71" i="25"/>
  <c r="G48" i="1"/>
  <c r="AN62" i="38"/>
  <c r="CV9" i="40"/>
  <c r="AW49" i="41"/>
  <c r="X17"/>
  <c r="X25" i="25"/>
  <c r="BY59" i="36"/>
  <c r="AF75" i="25"/>
  <c r="CH12" i="38"/>
  <c r="CE48" i="25"/>
  <c r="V54"/>
  <c r="AS98" i="1"/>
  <c r="CB62" i="26"/>
  <c r="CE62" i="1"/>
  <c r="CD37" i="38"/>
  <c r="DC27" i="1"/>
  <c r="DC50" i="36"/>
  <c r="N49" i="1"/>
  <c r="AR21" i="38"/>
  <c r="BI27" i="1"/>
  <c r="BB18" i="40"/>
  <c r="DA65" i="38"/>
  <c r="G92" i="41"/>
  <c r="DB26" i="37"/>
  <c r="M29"/>
  <c r="DB60" i="38"/>
  <c r="DE65" i="40"/>
  <c r="T27" i="1"/>
  <c r="CH81" i="37"/>
  <c r="CT13" i="39"/>
  <c r="CW102" i="41"/>
  <c r="CI67" i="39"/>
  <c r="CK24" i="36"/>
  <c r="CO17" i="26"/>
  <c r="CU98" i="40"/>
  <c r="AZ34" i="37"/>
  <c r="BH18" i="25"/>
  <c r="AW75" i="37"/>
  <c r="J96" i="38"/>
  <c r="DD62" i="40"/>
  <c r="AI59" i="39"/>
  <c r="CN60" i="38"/>
  <c r="H53"/>
  <c r="H13" i="41"/>
  <c r="CD98" i="26"/>
  <c r="DF61" i="38"/>
  <c r="CF81" i="41"/>
  <c r="CM71"/>
  <c r="K75" i="38"/>
  <c r="AA26" i="39"/>
  <c r="BX26" i="26"/>
  <c r="CE89"/>
  <c r="AF25" i="37"/>
  <c r="AV61" i="25"/>
  <c r="AH21"/>
  <c r="BA81" i="37"/>
  <c r="P34" i="26"/>
  <c r="M67" i="1"/>
  <c r="W71" i="41"/>
  <c r="AQ29" i="36"/>
  <c r="BY13" i="38"/>
  <c r="CQ98" i="36"/>
  <c r="H29" i="37"/>
  <c r="CL58" i="26"/>
  <c r="AW75"/>
  <c r="CH37" i="1"/>
  <c r="BS17" i="39"/>
  <c r="BT24" i="26"/>
  <c r="BQ29"/>
  <c r="DE81" i="1"/>
  <c r="BS58" i="25"/>
  <c r="AZ27" i="1"/>
  <c r="CT18" i="39"/>
  <c r="J58" i="40"/>
  <c r="BU18" i="37"/>
  <c r="O91" i="38"/>
  <c r="AE34" i="41"/>
  <c r="AF17"/>
  <c r="U10" i="25"/>
  <c r="BO60" i="38"/>
  <c r="CK67" i="1"/>
  <c r="CE81" i="26"/>
  <c r="AU62"/>
  <c r="AB81" i="25"/>
  <c r="AU54" i="40"/>
  <c r="T10" i="38"/>
  <c r="CZ18" i="40"/>
  <c r="AS91" i="41"/>
  <c r="BC130" i="47"/>
  <c r="AH49" i="40"/>
  <c r="BF315" i="47"/>
  <c r="L9" i="59"/>
  <c r="BC75" i="26"/>
  <c r="BQ103" i="41"/>
  <c r="CU67" i="38"/>
  <c r="DB61" i="26"/>
  <c r="DE13" i="38"/>
  <c r="H60" i="59"/>
  <c r="CE53" i="40"/>
  <c r="CE75" i="41"/>
  <c r="L67" i="37"/>
  <c r="AM18" i="36"/>
  <c r="CR53" i="1"/>
  <c r="AN67" i="39"/>
  <c r="CX37"/>
  <c r="DB96" i="40"/>
  <c r="CW34" i="41"/>
  <c r="CC30"/>
  <c r="AY91" i="36"/>
  <c r="BC89" i="26"/>
  <c r="CB103" i="39"/>
  <c r="T66" i="38"/>
  <c r="CT25" i="40"/>
  <c r="S65" i="26"/>
  <c r="CM30" i="38"/>
  <c r="AV37" i="25"/>
  <c r="CA49" i="39"/>
  <c r="N67" i="25"/>
  <c r="AF34" i="41"/>
  <c r="CQ10" i="26"/>
  <c r="Y49" i="39"/>
  <c r="BU27" i="37"/>
  <c r="AT65" i="36"/>
  <c r="N54" i="41"/>
  <c r="AF59" i="25"/>
  <c r="AW57" i="38"/>
  <c r="CL9" i="25"/>
  <c r="DB62" i="41"/>
  <c r="AW81" i="40"/>
  <c r="L72" i="64"/>
  <c r="CG57" i="25"/>
  <c r="CO21"/>
  <c r="BV92" i="41"/>
  <c r="T17" i="26"/>
  <c r="AP27" i="1"/>
  <c r="BA50" i="38"/>
  <c r="AV92" i="25"/>
  <c r="AZ50"/>
  <c r="BO57" i="39"/>
  <c r="CS57" i="36"/>
  <c r="BE48" i="39"/>
  <c r="BR45" i="38"/>
  <c r="CP45" i="41"/>
  <c r="AI34"/>
  <c r="CB26" i="1"/>
  <c r="AH79" i="37"/>
  <c r="AA13"/>
  <c r="CQ48" i="26"/>
  <c r="BR18" i="1"/>
  <c r="BV34" i="37"/>
  <c r="AN57" i="25"/>
  <c r="AT61" i="37"/>
  <c r="CF75" i="38"/>
  <c r="AN102" i="37"/>
  <c r="DD102" i="38"/>
  <c r="G66" i="37"/>
  <c r="DF54" i="40"/>
  <c r="BC98" i="36"/>
  <c r="BH91" i="40"/>
  <c r="AS91" i="25"/>
  <c r="CG89" i="40"/>
  <c r="X54" i="37"/>
  <c r="CC103" i="40"/>
  <c r="AU96"/>
  <c r="DD92"/>
  <c r="AX71" i="38"/>
  <c r="BA102" i="36"/>
  <c r="T50" i="39"/>
  <c r="BD81" i="26"/>
  <c r="O45" i="1"/>
  <c r="CE34" i="36"/>
  <c r="AP65" i="25"/>
  <c r="CN29" i="38"/>
  <c r="AF57" i="1"/>
  <c r="CR75" i="40"/>
  <c r="AJ54" i="36"/>
  <c r="CI34" i="26"/>
  <c r="BX48" i="41"/>
  <c r="AE17" i="40"/>
  <c r="AG9" i="26"/>
  <c r="BH49" i="37"/>
  <c r="CE25" i="38"/>
  <c r="DB103" i="25"/>
  <c r="AC102"/>
  <c r="CH65" i="37"/>
  <c r="AM34" i="36"/>
  <c r="BC79"/>
  <c r="CT57" i="25"/>
  <c r="Y60" i="1"/>
  <c r="CK102" i="26"/>
  <c r="CL10" i="36"/>
  <c r="CX103" i="26"/>
  <c r="CY65" i="40"/>
  <c r="AF34" i="1"/>
  <c r="U75" i="37"/>
  <c r="CQ12" i="25"/>
  <c r="CD27" i="26"/>
  <c r="BI65" i="37"/>
  <c r="M66" i="1"/>
  <c r="BX75" i="36"/>
  <c r="BH60" i="26"/>
  <c r="CB48" i="1"/>
  <c r="CM49" i="39"/>
  <c r="CK75" i="25"/>
  <c r="DE37" i="26"/>
  <c r="BI50" i="36"/>
  <c r="AX54" i="26"/>
  <c r="BE45" i="38"/>
  <c r="J18" i="39"/>
  <c r="CU12"/>
  <c r="AF60" i="36"/>
  <c r="K81" i="38"/>
  <c r="BO26" i="41"/>
  <c r="DF75" i="36"/>
  <c r="CH49"/>
  <c r="DA91" i="39"/>
  <c r="DE45"/>
  <c r="CD102"/>
  <c r="BA81" i="25"/>
  <c r="CR92" i="41"/>
  <c r="AZ25" i="25"/>
  <c r="CJ34" i="38"/>
  <c r="N102" i="25"/>
  <c r="AU66" i="40"/>
  <c r="BY30" i="1"/>
  <c r="AO25"/>
  <c r="K89" i="41"/>
  <c r="L60" i="25"/>
  <c r="CH75" i="41"/>
  <c r="BH30" i="25"/>
  <c r="X98" i="1"/>
  <c r="AS62" i="37"/>
  <c r="X34" i="39"/>
  <c r="CZ10" i="37"/>
  <c r="CN79" i="41"/>
  <c r="DE12" i="25"/>
  <c r="BW34" i="41"/>
  <c r="CO98" i="39"/>
  <c r="BY48" i="36"/>
  <c r="CR103" i="37"/>
  <c r="AR50"/>
  <c r="AY61" i="26"/>
  <c r="BW25" i="40"/>
  <c r="CS61" i="36"/>
  <c r="I81" i="37"/>
  <c r="CX75" i="39"/>
  <c r="K53" i="38"/>
  <c r="BW21" i="1"/>
  <c r="BI12" i="25"/>
  <c r="S61"/>
  <c r="CJ25" i="39"/>
  <c r="L81" i="40"/>
  <c r="CK18"/>
  <c r="BV10" i="25"/>
  <c r="AX54" i="37"/>
  <c r="BV49" i="26"/>
  <c r="BZ59" i="37"/>
  <c r="AC30" i="38"/>
  <c r="N45" i="39"/>
  <c r="CP48"/>
  <c r="BY48" i="40"/>
  <c r="BC65" i="39"/>
  <c r="M18" i="1"/>
  <c r="AR81" i="25"/>
  <c r="AC62" i="38"/>
  <c r="CB91" i="26"/>
  <c r="BS50" i="39"/>
  <c r="AS24" i="40"/>
  <c r="AO12" i="26"/>
  <c r="AQ24" i="25"/>
  <c r="AM24" i="36"/>
  <c r="CD58" i="1"/>
  <c r="CD92" i="41"/>
  <c r="AO66" i="39"/>
  <c r="T21"/>
  <c r="BQ65" i="37"/>
  <c r="BE54" i="36"/>
  <c r="AI29"/>
  <c r="AO18" i="41"/>
  <c r="AM65" i="26"/>
  <c r="DD29" i="37"/>
  <c r="CP49" i="36"/>
  <c r="K48"/>
  <c r="O89"/>
  <c r="H102" i="38"/>
  <c r="AS58" i="37"/>
  <c r="BZ53" i="1"/>
  <c r="DA89" i="37"/>
  <c r="CS34" i="36"/>
  <c r="AX50" i="37"/>
  <c r="BV54" i="39"/>
  <c r="AX9"/>
  <c r="CQ59" i="36"/>
  <c r="CT75" i="1"/>
  <c r="CP98" i="38"/>
  <c r="CU54" i="40"/>
  <c r="BZ49" i="25"/>
  <c r="AQ54" i="39"/>
  <c r="CY18" i="26"/>
  <c r="AH13" i="37"/>
  <c r="CP25" i="41"/>
  <c r="AV10" i="26"/>
  <c r="BU62" i="40"/>
  <c r="BD25" i="1"/>
  <c r="DD48" i="39"/>
  <c r="O54" i="25"/>
  <c r="CI65" i="1"/>
  <c r="BD67" i="25"/>
  <c r="J102" i="39"/>
  <c r="AX81" i="40"/>
  <c r="BE129" i="47"/>
  <c r="AS96" i="36"/>
  <c r="BI27"/>
  <c r="Y66" i="1"/>
  <c r="DF66" i="36"/>
  <c r="Z79" i="1"/>
  <c r="CW103" i="37"/>
  <c r="CF59" i="25"/>
  <c r="CV65" i="39"/>
  <c r="CL54" i="26"/>
  <c r="DF65" i="39"/>
  <c r="CX102" i="1"/>
  <c r="H13" i="38"/>
  <c r="CE61" i="40"/>
  <c r="AS13" i="39"/>
  <c r="BY71" i="1"/>
  <c r="AO30" i="41"/>
  <c r="L29"/>
  <c r="BD45" i="25"/>
  <c r="AM59" i="39"/>
  <c r="BU67" i="38"/>
  <c r="AP9" i="36"/>
  <c r="K18"/>
  <c r="BT81" i="40"/>
  <c r="AY89" i="38"/>
  <c r="AS60" i="25"/>
  <c r="G54" i="36"/>
  <c r="AI102" i="39"/>
  <c r="BC79" i="25"/>
  <c r="T18" i="36"/>
  <c r="DE79" i="39"/>
  <c r="BW25" i="36"/>
  <c r="BQ71" i="40"/>
  <c r="AV65" i="1"/>
  <c r="BY34" i="40"/>
  <c r="BD98" i="26"/>
  <c r="CM61" i="1"/>
  <c r="BW65" i="37"/>
  <c r="BQ65" i="36"/>
  <c r="AF66" i="40"/>
  <c r="DB81"/>
  <c r="CV48" i="38"/>
  <c r="Z61" i="36"/>
  <c r="M53" i="37"/>
  <c r="AS25" i="38"/>
  <c r="AZ57" i="41"/>
  <c r="AH12"/>
  <c r="BC17"/>
  <c r="X71" i="39"/>
  <c r="BV79" i="38"/>
  <c r="AB37" i="41"/>
  <c r="AS65" i="38"/>
  <c r="BV37" i="1"/>
  <c r="BI37" i="36"/>
  <c r="BC50" i="41"/>
  <c r="AP61" i="37"/>
  <c r="Y58" i="1"/>
  <c r="Z67" i="41"/>
  <c r="M11" i="59"/>
  <c r="AZ25" i="40"/>
  <c r="DE89" i="25"/>
  <c r="AS79" i="39"/>
  <c r="DB96" i="1"/>
  <c r="CS71" i="40"/>
  <c r="AZ12" i="39"/>
  <c r="K61" i="26"/>
  <c r="BB45" i="40"/>
  <c r="AV67" i="41"/>
  <c r="AO58" i="38"/>
  <c r="CS50" i="1"/>
  <c r="T45"/>
  <c r="CU91" i="39"/>
  <c r="AN21" i="41"/>
  <c r="V81" i="39"/>
  <c r="U54" i="26"/>
  <c r="CH27" i="41"/>
  <c r="AT50" i="36"/>
  <c r="AT45" i="40"/>
  <c r="M48" i="46"/>
  <c r="CR26" i="37"/>
  <c r="DA59" i="26"/>
  <c r="AD27" i="25"/>
  <c r="AR79" i="41"/>
  <c r="DA66" i="36"/>
  <c r="AD30" i="39"/>
  <c r="DA89" i="40"/>
  <c r="O53" i="39"/>
  <c r="CL27" i="40"/>
  <c r="AN58" i="25"/>
  <c r="G26" i="39"/>
  <c r="AN59" i="36"/>
  <c r="AD25"/>
  <c r="BU81" i="39"/>
  <c r="I65" i="26"/>
  <c r="Z98" i="40"/>
  <c r="Y13" i="39"/>
  <c r="CW29" i="41"/>
  <c r="BV62" i="25"/>
  <c r="AN25" i="26"/>
  <c r="U17" i="40"/>
  <c r="L17" i="64"/>
  <c r="DF75" i="40"/>
  <c r="AO26" i="26"/>
  <c r="M62" i="25"/>
  <c r="AN65"/>
  <c r="AD18" i="26"/>
  <c r="DE54" i="39"/>
  <c r="BS12" i="40"/>
  <c r="CP79" i="39"/>
  <c r="CZ25" i="25"/>
  <c r="N59" i="38"/>
  <c r="AY62" i="1"/>
  <c r="U17" i="25"/>
  <c r="CC65" i="26"/>
  <c r="AW57" i="25"/>
  <c r="CS29"/>
  <c r="DC9" i="39"/>
  <c r="AB49" i="40"/>
  <c r="CK57" i="26"/>
  <c r="BZ48" i="38"/>
  <c r="AM61"/>
  <c r="CH21" i="40"/>
  <c r="Y58" i="39"/>
  <c r="CK59" i="41"/>
  <c r="BO75" i="38"/>
  <c r="DD17" i="36"/>
  <c r="AJ71" i="37"/>
  <c r="CS89" i="40"/>
  <c r="BV37" i="37"/>
  <c r="AR21" i="40"/>
  <c r="DD10" i="25"/>
  <c r="T13" i="26"/>
  <c r="W27" i="37"/>
  <c r="G17" i="36"/>
  <c r="AP21" i="41"/>
  <c r="CC50" i="25"/>
  <c r="H75" i="38"/>
  <c r="DD60" i="26"/>
  <c r="DB67"/>
  <c r="CG13" i="25"/>
  <c r="CY30" i="36"/>
  <c r="AN25" i="1"/>
  <c r="BY96" i="39"/>
  <c r="L71" i="36"/>
  <c r="AQ34" i="40"/>
  <c r="CX61" i="25"/>
  <c r="AD71" i="26"/>
  <c r="BC61" i="37"/>
  <c r="CV98" i="40"/>
  <c r="BD34" i="41"/>
  <c r="CE48" i="40"/>
  <c r="BZ57"/>
  <c r="AY57"/>
  <c r="AN92" i="1"/>
  <c r="BC79" i="38"/>
  <c r="CR26" i="39"/>
  <c r="AN53"/>
  <c r="BB92" i="36"/>
  <c r="AG59"/>
  <c r="AO53" i="1"/>
  <c r="G21" i="41"/>
  <c r="CF92" i="39"/>
  <c r="CC62" i="41"/>
  <c r="AB27" i="1"/>
  <c r="AZ58" i="41"/>
  <c r="CS21" i="25"/>
  <c r="BC60" i="1"/>
  <c r="BQ62" i="26"/>
  <c r="CE26" i="36"/>
  <c r="CX58" i="1"/>
  <c r="CX26" i="37"/>
  <c r="AO53" i="25"/>
  <c r="AV18" i="37"/>
  <c r="AV53" i="25"/>
  <c r="AS53" i="38"/>
  <c r="N30" i="1"/>
  <c r="AQ57" i="25"/>
  <c r="CW49" i="38"/>
  <c r="J27" i="37"/>
  <c r="AC67" i="25"/>
  <c r="BP91" i="39"/>
  <c r="Y98" i="38"/>
  <c r="S75"/>
  <c r="BW79"/>
  <c r="BR25" i="36"/>
  <c r="DB58" i="1"/>
  <c r="CP18" i="41"/>
  <c r="L96" i="25"/>
  <c r="CA37" i="36"/>
  <c r="BC53"/>
  <c r="J45" i="25"/>
  <c r="CE9" i="39"/>
  <c r="BQ89" i="36"/>
  <c r="AS98" i="38"/>
  <c r="DF17" i="25"/>
  <c r="AX102" i="39"/>
  <c r="AY48" i="26"/>
  <c r="AP65" i="41"/>
  <c r="BT91" i="1"/>
  <c r="CR17" i="40"/>
  <c r="AB61" i="37"/>
  <c r="CF71" i="25"/>
  <c r="AM79" i="37"/>
  <c r="CZ79" i="25"/>
  <c r="CK45" i="1"/>
  <c r="BY98" i="39"/>
  <c r="W37" i="41"/>
  <c r="CF21" i="26"/>
  <c r="BX92" i="37"/>
  <c r="CH29" i="1"/>
  <c r="O54"/>
  <c r="BD21" i="41"/>
  <c r="CH57" i="1"/>
  <c r="CN26" i="39"/>
  <c r="CP62" i="40"/>
  <c r="Z65" i="26"/>
  <c r="O98" i="40"/>
  <c r="DB66" i="41"/>
  <c r="AA21" i="39"/>
  <c r="BC10"/>
  <c r="DE50" i="25"/>
  <c r="BV30" i="36"/>
  <c r="AF91" i="39"/>
  <c r="AX18" i="1"/>
  <c r="S34" i="41"/>
  <c r="CT75" i="40"/>
  <c r="G79" i="41"/>
  <c r="CK92" i="26"/>
  <c r="BE58" i="41"/>
  <c r="AT26" i="26"/>
  <c r="O71" i="25"/>
  <c r="T92"/>
  <c r="BB92" i="41"/>
  <c r="CP81" i="1"/>
  <c r="AA60" i="37"/>
  <c r="CB71" i="1"/>
  <c r="AT18" i="36"/>
  <c r="CE25" i="40"/>
  <c r="AH24" i="25"/>
  <c r="K34" i="26"/>
  <c r="DF102" i="38"/>
  <c r="Z59" i="36"/>
  <c r="BZ17" i="26"/>
  <c r="CW48" i="41"/>
  <c r="AD57"/>
  <c r="BD66" i="39"/>
  <c r="Z25" i="38"/>
  <c r="CD10" i="37"/>
  <c r="CJ26" i="41"/>
  <c r="CH50" i="37"/>
  <c r="BS12" i="1"/>
  <c r="AV81" i="25"/>
  <c r="AZ66" i="38"/>
  <c r="W24" i="36"/>
  <c r="BH48" i="25"/>
  <c r="AN57" i="38"/>
  <c r="CN48" i="39"/>
  <c r="CQ45" i="40"/>
  <c r="CK13" i="41"/>
  <c r="CB17" i="1"/>
  <c r="BI89" i="26"/>
  <c r="AX98" i="25"/>
  <c r="V34" i="26"/>
  <c r="L37"/>
  <c r="AA21" i="41"/>
  <c r="L91" i="40"/>
  <c r="CL61" i="38"/>
  <c r="P61" i="41"/>
  <c r="I75" i="37"/>
  <c r="BY81" i="39"/>
  <c r="Y92" i="25"/>
  <c r="CD71" i="40"/>
  <c r="CK12" i="39"/>
  <c r="BW9" i="26"/>
  <c r="DE96" i="39"/>
  <c r="DC17" i="25"/>
  <c r="BS26" i="40"/>
  <c r="CG45" i="26"/>
  <c r="CG37"/>
  <c r="BS65" i="25"/>
  <c r="M81"/>
  <c r="AH66" i="36"/>
  <c r="DB81"/>
  <c r="BC21"/>
  <c r="AG17" i="41"/>
  <c r="CZ53" i="36"/>
  <c r="BQ66" i="41"/>
  <c r="AI25" i="1"/>
  <c r="BU17" i="26"/>
  <c r="DA17" i="1"/>
  <c r="DA21" i="26"/>
  <c r="BI13" i="39"/>
  <c r="Z67" i="38"/>
  <c r="H57" i="40"/>
  <c r="BP49" i="37"/>
  <c r="AN53"/>
  <c r="BD67" i="1"/>
  <c r="AJ10" i="39"/>
  <c r="AJ102" i="26"/>
  <c r="AA81"/>
  <c r="AI10" i="1"/>
  <c r="AX92" i="36"/>
  <c r="Y81" i="1"/>
  <c r="BU29" i="40"/>
  <c r="CZ18" i="25"/>
  <c r="AM54" i="40"/>
  <c r="K25" i="38"/>
  <c r="CQ89" i="40"/>
  <c r="CK103" i="26"/>
  <c r="BD30" i="39"/>
  <c r="AY79" i="1"/>
  <c r="CJ75" i="39"/>
  <c r="CX24" i="40"/>
  <c r="CU92" i="26"/>
  <c r="AF26" i="39"/>
  <c r="V48" i="26"/>
  <c r="CS12" i="1"/>
  <c r="X91" i="25"/>
  <c r="CB49" i="38"/>
  <c r="CE57" i="25"/>
  <c r="CV71" i="1"/>
  <c r="CK27" i="39"/>
  <c r="CP12" i="38"/>
  <c r="BS58" i="36"/>
  <c r="AN49" i="39"/>
  <c r="CR30" i="26"/>
  <c r="X67" i="1"/>
  <c r="O34" i="26"/>
  <c r="J53" i="1"/>
  <c r="BA66" i="38"/>
  <c r="BE59" i="40"/>
  <c r="BW37" i="39"/>
  <c r="AU12" i="36"/>
  <c r="X92" i="37"/>
  <c r="L57" i="40"/>
  <c r="BB53" i="26"/>
  <c r="O92" i="39"/>
  <c r="J49" i="36"/>
  <c r="AG92"/>
  <c r="BW50" i="39"/>
  <c r="BC17" i="26"/>
  <c r="DA26"/>
  <c r="AU48" i="41"/>
  <c r="AN34" i="1"/>
  <c r="CU59" i="37"/>
  <c r="CV30" i="40"/>
  <c r="AR75" i="41"/>
  <c r="AU30" i="26"/>
  <c r="CB30"/>
  <c r="BC60" i="37"/>
  <c r="BE17"/>
  <c r="CQ27" i="41"/>
  <c r="U45" i="36"/>
  <c r="CA57" i="25"/>
  <c r="Z79" i="26"/>
  <c r="CV37" i="1"/>
  <c r="BY27" i="39"/>
  <c r="CF89" i="25"/>
  <c r="AV12" i="39"/>
  <c r="H96" i="25"/>
  <c r="O59" i="37"/>
  <c r="K54" i="36"/>
  <c r="CW30" i="38"/>
  <c r="BA45" i="25"/>
  <c r="Y18" i="36"/>
  <c r="AM58" i="38"/>
  <c r="AJ10" i="1"/>
  <c r="BX71"/>
  <c r="AZ62" i="25"/>
  <c r="AI89" i="36"/>
  <c r="K71" i="64"/>
  <c r="BA27" i="26"/>
  <c r="BZ50" i="37"/>
  <c r="DB45" i="36"/>
  <c r="O54" i="38"/>
  <c r="BO103" i="40"/>
  <c r="AH53" i="25"/>
  <c r="BE62" i="1"/>
  <c r="AB60" i="26"/>
  <c r="CS29" i="38"/>
  <c r="L53" i="36"/>
  <c r="AC24" i="38"/>
  <c r="DD34" i="1"/>
  <c r="BS9" i="38"/>
  <c r="AW18" i="41"/>
  <c r="CN89" i="25"/>
  <c r="DA12" i="36"/>
  <c r="P37" i="41"/>
  <c r="CH27" i="1"/>
  <c r="CU9" i="37"/>
  <c r="P21" i="26"/>
  <c r="AQ96" i="39"/>
  <c r="X79" i="38"/>
  <c r="CV102" i="41"/>
  <c r="CP103" i="25"/>
  <c r="AP67" i="36"/>
  <c r="BZ30" i="26"/>
  <c r="BQ26" i="25"/>
  <c r="AJ58" i="40"/>
  <c r="AC24" i="1"/>
  <c r="CB48" i="36"/>
  <c r="J75" i="41"/>
  <c r="N57" i="1"/>
  <c r="CR60" i="41"/>
  <c r="AD21" i="36"/>
  <c r="CM34" i="39"/>
  <c r="DF25"/>
  <c r="BI34" i="38"/>
  <c r="CJ29" i="25"/>
  <c r="T92" i="41"/>
  <c r="DC81" i="36"/>
  <c r="G37" i="38"/>
  <c r="AN92" i="41"/>
  <c r="CZ96" i="37"/>
  <c r="CS48" i="40"/>
  <c r="BX59" i="39"/>
  <c r="AM48" i="36"/>
  <c r="AW45" i="40"/>
  <c r="BH26" i="37"/>
  <c r="AN53" i="38"/>
  <c r="CM81" i="39"/>
  <c r="BU98" i="1"/>
  <c r="CV27" i="36"/>
  <c r="CC57" i="38"/>
  <c r="AA66"/>
  <c r="AA48"/>
  <c r="BP61" i="40"/>
  <c r="S59" i="39"/>
  <c r="CB34" i="25"/>
  <c r="DC25" i="26"/>
  <c r="AP17" i="40"/>
  <c r="BU21" i="37"/>
  <c r="AO66" i="40"/>
  <c r="DC18" i="37"/>
  <c r="N50" i="39"/>
  <c r="DA79"/>
  <c r="BB102"/>
  <c r="CK58" i="25"/>
  <c r="AC81" i="26"/>
  <c r="BE21" i="39"/>
  <c r="L18" i="26"/>
  <c r="AY10" i="25"/>
  <c r="AU66"/>
  <c r="AV102"/>
  <c r="X27"/>
  <c r="BA54" i="1"/>
  <c r="H59" i="25"/>
  <c r="BQ37" i="40"/>
  <c r="CB60" i="38"/>
  <c r="AG34"/>
  <c r="U71" i="25"/>
  <c r="CQ65" i="1"/>
  <c r="K34" i="39"/>
  <c r="CU10" i="41"/>
  <c r="Y96" i="36"/>
  <c r="AF27" i="38"/>
  <c r="CN89" i="41"/>
  <c r="DA9" i="38"/>
  <c r="AX27" i="40"/>
  <c r="AQ60" i="26"/>
  <c r="AT13" i="36"/>
  <c r="BO34" i="39"/>
  <c r="BC17" i="1"/>
  <c r="P91" i="41"/>
  <c r="CT75" i="25"/>
  <c r="CO34"/>
  <c r="AT67" i="38"/>
  <c r="DF10" i="39"/>
  <c r="BT103" i="25"/>
  <c r="BW17" i="40"/>
  <c r="AU62" i="41"/>
  <c r="L65" i="26"/>
  <c r="CZ21" i="36"/>
  <c r="CR25" i="26"/>
  <c r="CH81" i="39"/>
  <c r="AT81" i="36"/>
  <c r="DC62" i="41"/>
  <c r="BH89" i="1"/>
  <c r="AM30" i="25"/>
  <c r="CY66" i="37"/>
  <c r="U45"/>
  <c r="CK34" i="39"/>
  <c r="CJ89" i="41"/>
  <c r="T92" i="36"/>
  <c r="DC58"/>
  <c r="BO34"/>
  <c r="CT89" i="26"/>
  <c r="AI89" i="38"/>
  <c r="CU21" i="36"/>
  <c r="DA89" i="26"/>
  <c r="BX25" i="25"/>
  <c r="BA67"/>
  <c r="P30" i="38"/>
  <c r="CZ61" i="39"/>
  <c r="BR60" i="26"/>
  <c r="P17" i="25"/>
  <c r="G21"/>
  <c r="CU89" i="38"/>
  <c r="DC9" i="37"/>
  <c r="BB10" i="1"/>
  <c r="CX21" i="40"/>
  <c r="CH37" i="37"/>
  <c r="CY13" i="36"/>
  <c r="CR98" i="37"/>
  <c r="BH12" i="39"/>
  <c r="CY13" i="37"/>
  <c r="AU30" i="36"/>
  <c r="AA34" i="39"/>
  <c r="AY57" i="38"/>
  <c r="BW102" i="25"/>
  <c r="AM98" i="41"/>
  <c r="CW98" i="39"/>
  <c r="BU30" i="36"/>
  <c r="AA61" i="1"/>
  <c r="CS37" i="25"/>
  <c r="BV45" i="37"/>
  <c r="BD24" i="26"/>
  <c r="BC60" i="40"/>
  <c r="CF58" i="41"/>
  <c r="AS9" i="26"/>
  <c r="AT81"/>
  <c r="BR34"/>
  <c r="BB66" i="37"/>
  <c r="AW96" i="25"/>
  <c r="Z13" i="38"/>
  <c r="CW65" i="39"/>
  <c r="BY10" i="25"/>
  <c r="X67" i="36"/>
  <c r="AS10" i="25"/>
  <c r="AY81" i="37"/>
  <c r="CN66" i="36"/>
  <c r="P29" i="39"/>
  <c r="CH65" i="36"/>
  <c r="AR18" i="26"/>
  <c r="AS67" i="37"/>
  <c r="AI34" i="39"/>
  <c r="AD21" i="38"/>
  <c r="P57" i="41"/>
  <c r="BZ58" i="38"/>
  <c r="G62" i="41"/>
  <c r="CA48" i="39"/>
  <c r="AZ45" i="38"/>
  <c r="CK49" i="39"/>
  <c r="AU17"/>
  <c r="BO48" i="41"/>
  <c r="H59" i="1"/>
  <c r="AE54" i="41"/>
  <c r="K30" i="38"/>
  <c r="CW65" i="25"/>
  <c r="CA61" i="36"/>
  <c r="AM61" i="1"/>
  <c r="N75" i="36"/>
  <c r="CM18" i="38"/>
  <c r="DD92" i="1"/>
  <c r="CU58" i="38"/>
  <c r="BI10" i="26"/>
  <c r="AD79"/>
  <c r="CJ79"/>
  <c r="AM37" i="39"/>
  <c r="AE34" i="26"/>
  <c r="AH98" i="25"/>
  <c r="AU79" i="37"/>
  <c r="BB25" i="40"/>
  <c r="BE67" i="1"/>
  <c r="BH21" i="37"/>
  <c r="CL89" i="41"/>
  <c r="AR61" i="36"/>
  <c r="N65" i="40"/>
  <c r="CP103" i="1"/>
  <c r="AV96" i="38"/>
  <c r="AA75" i="41"/>
  <c r="CZ57" i="1"/>
  <c r="AC24" i="37"/>
  <c r="BT53" i="40"/>
  <c r="CA26" i="26"/>
  <c r="BA13" i="1"/>
  <c r="BY103" i="38"/>
  <c r="M25" i="40"/>
  <c r="O50" i="59"/>
  <c r="M90" i="60"/>
  <c r="AZ106" i="47"/>
  <c r="CP53" i="1"/>
  <c r="W66" i="38"/>
  <c r="AI37" i="25"/>
  <c r="K89" i="38"/>
  <c r="AB24" i="25"/>
  <c r="AJ10" i="40"/>
  <c r="AN102" i="26"/>
  <c r="AB48" i="38"/>
  <c r="BU58" i="40"/>
  <c r="CY10" i="36"/>
  <c r="AR25" i="40"/>
  <c r="AN92" i="36"/>
  <c r="AC45" i="41"/>
  <c r="BE110" i="47"/>
  <c r="I47" i="59"/>
  <c r="CS66" i="41"/>
  <c r="AH10" i="26"/>
  <c r="AS60" i="36"/>
  <c r="U45" i="1"/>
  <c r="AX65" i="36"/>
  <c r="BU9"/>
  <c r="AZ66" i="1"/>
  <c r="AZ50" i="39"/>
  <c r="CS58" i="37"/>
  <c r="BP49" i="39"/>
  <c r="CU10" i="25"/>
  <c r="CD96" i="40"/>
  <c r="CF17" i="25"/>
  <c r="CA12" i="37"/>
  <c r="CP71" i="26"/>
  <c r="AH13" i="41"/>
  <c r="BO91" i="38"/>
  <c r="CG18" i="39"/>
  <c r="BS48"/>
  <c r="AE49" i="36"/>
  <c r="AD75" i="1"/>
  <c r="AN66" i="39"/>
  <c r="K91" i="1"/>
  <c r="CZ29" i="25"/>
  <c r="BW34" i="37"/>
  <c r="BD62" i="26"/>
  <c r="CI59"/>
  <c r="L65" i="40"/>
  <c r="AY13" i="26"/>
  <c r="DB10" i="36"/>
  <c r="CT91" i="40"/>
  <c r="J37" i="26"/>
  <c r="BY81" i="37"/>
  <c r="CG10" i="41"/>
  <c r="BR10" i="38"/>
  <c r="AW27" i="37"/>
  <c r="CO96" i="41"/>
  <c r="AP25" i="25"/>
  <c r="CR58" i="38"/>
  <c r="CT53" i="25"/>
  <c r="AY25" i="37"/>
  <c r="CA67" i="41"/>
  <c r="CH92" i="1"/>
  <c r="AP71"/>
  <c r="CH59" i="38"/>
  <c r="K13" i="41"/>
  <c r="CA34" i="26"/>
  <c r="BE62" i="37"/>
  <c r="AA96"/>
  <c r="CK50" i="36"/>
  <c r="CI102" i="37"/>
  <c r="BP60" i="39"/>
  <c r="DD30" i="41"/>
  <c r="CH37" i="39"/>
  <c r="AH102" i="38"/>
  <c r="CK34" i="1"/>
  <c r="CM34" i="38"/>
  <c r="BQ59"/>
  <c r="G81" i="36"/>
  <c r="U24" i="37"/>
  <c r="AQ79" i="26"/>
  <c r="V10"/>
  <c r="CT12" i="1"/>
  <c r="L12" i="59"/>
  <c r="BY91" i="40"/>
  <c r="CA103" i="36"/>
  <c r="CN21" i="26"/>
  <c r="H89"/>
  <c r="AC26" i="41"/>
  <c r="AX54"/>
  <c r="CX17" i="1"/>
  <c r="DA92" i="25"/>
  <c r="CA79"/>
  <c r="K62" i="41"/>
  <c r="CX25" i="39"/>
  <c r="BR98" i="26"/>
  <c r="CL21" i="41"/>
  <c r="K65"/>
  <c r="J57"/>
  <c r="AH9" i="38"/>
  <c r="AU81" i="1"/>
  <c r="CQ62" i="26"/>
  <c r="BR92" i="1"/>
  <c r="BO48" i="38"/>
  <c r="CL53" i="36"/>
  <c r="BB17" i="39"/>
  <c r="X30" i="38"/>
  <c r="K13" i="26"/>
  <c r="AD79" i="37"/>
  <c r="CJ18" i="36"/>
  <c r="BR17"/>
  <c r="AZ10"/>
  <c r="BV71"/>
  <c r="CM81" i="41"/>
  <c r="Z75" i="39"/>
  <c r="AN53" i="40"/>
  <c r="AA91" i="1"/>
  <c r="AP26" i="40"/>
  <c r="AP29"/>
  <c r="AA45" i="36"/>
  <c r="AR24"/>
  <c r="CC71" i="41"/>
  <c r="AO12" i="25"/>
  <c r="BO65" i="39"/>
  <c r="AF67" i="40"/>
  <c r="Z24" i="25"/>
  <c r="M10" i="40"/>
  <c r="BI45" i="1"/>
  <c r="CI30" i="38"/>
  <c r="AT71" i="37"/>
  <c r="BH30" i="1"/>
  <c r="CK37" i="26"/>
  <c r="J79" i="38"/>
  <c r="AQ60" i="1"/>
  <c r="V66"/>
  <c r="AS13" i="25"/>
  <c r="BS10"/>
  <c r="CO60" i="41"/>
  <c r="AZ27" i="25"/>
  <c r="AB34" i="36"/>
  <c r="N91" i="41"/>
  <c r="DF60" i="36"/>
  <c r="L49" i="37"/>
  <c r="AD54"/>
  <c r="CN27" i="1"/>
  <c r="CG45"/>
  <c r="CC81" i="39"/>
  <c r="CY62" i="37"/>
  <c r="P79" i="36"/>
  <c r="AY29" i="38"/>
  <c r="CB71" i="40"/>
  <c r="CM79" i="1"/>
  <c r="CM60" i="39"/>
  <c r="Z10" i="40"/>
  <c r="DD17" i="38"/>
  <c r="BA37"/>
  <c r="DC49" i="25"/>
  <c r="X75" i="41"/>
  <c r="AU61" i="38"/>
  <c r="CF30" i="26"/>
  <c r="Y48" i="37"/>
  <c r="DA62" i="38"/>
  <c r="V13"/>
  <c r="K75" i="1"/>
  <c r="BQ66" i="36"/>
  <c r="CH30" i="37"/>
  <c r="T17" i="39"/>
  <c r="AB102"/>
  <c r="CG37" i="38"/>
  <c r="CU24" i="26"/>
  <c r="AF29" i="25"/>
  <c r="CU57" i="1"/>
  <c r="DE92" i="41"/>
  <c r="AV71" i="36"/>
  <c r="AG21" i="40"/>
  <c r="BI18" i="37"/>
  <c r="DF71" i="26"/>
  <c r="O37" i="38"/>
  <c r="CG21"/>
  <c r="CZ65" i="26"/>
  <c r="AD10" i="38"/>
  <c r="DE13" i="40"/>
  <c r="CD54" i="41"/>
  <c r="AU58" i="38"/>
  <c r="AI59"/>
  <c r="BE71" i="40"/>
  <c r="DA29" i="39"/>
  <c r="AX65" i="26"/>
  <c r="BA50"/>
  <c r="CN50"/>
  <c r="AE75" i="1"/>
  <c r="CV61"/>
  <c r="CQ10" i="41"/>
  <c r="CU37" i="26"/>
  <c r="CG102" i="36"/>
  <c r="DD58" i="25"/>
  <c r="CS79" i="26"/>
  <c r="G60" i="1"/>
  <c r="AD65" i="25"/>
  <c r="N54" i="40"/>
  <c r="AY25"/>
  <c r="BD92" i="25"/>
  <c r="AD65" i="38"/>
  <c r="CB103" i="36"/>
  <c r="CM34" i="41"/>
  <c r="X48" i="38"/>
  <c r="K102" i="37"/>
  <c r="AA65" i="36"/>
  <c r="BQ10" i="25"/>
  <c r="CI26" i="26"/>
  <c r="AX30"/>
  <c r="CW67" i="39"/>
  <c r="I98" i="38"/>
  <c r="CZ50"/>
  <c r="CH92" i="36"/>
  <c r="CP27" i="1"/>
  <c r="BC66"/>
  <c r="CO65" i="39"/>
  <c r="CJ10"/>
  <c r="T24" i="1"/>
  <c r="L37"/>
  <c r="CW17" i="26"/>
  <c r="CA103" i="41"/>
  <c r="BW67" i="36"/>
  <c r="CJ24" i="25"/>
  <c r="AZ17" i="38"/>
  <c r="AC18" i="39"/>
  <c r="W27" i="41"/>
  <c r="J102" i="26"/>
  <c r="CX102" i="36"/>
  <c r="CH65" i="26"/>
  <c r="H79"/>
  <c r="DE10" i="37"/>
  <c r="CJ102" i="36"/>
  <c r="DA60"/>
  <c r="BU27" i="1"/>
  <c r="U10" i="26"/>
  <c r="T48" i="1"/>
  <c r="BX59" i="36"/>
  <c r="AD9" i="25"/>
  <c r="AT61" i="36"/>
  <c r="AO18" i="39"/>
  <c r="CR67" i="26"/>
  <c r="DA54" i="41"/>
  <c r="AO21" i="40"/>
  <c r="U37" i="38"/>
  <c r="AH25" i="25"/>
  <c r="AI61" i="38"/>
  <c r="CX48" i="26"/>
  <c r="M48" i="41"/>
  <c r="AP59" i="38"/>
  <c r="AI53" i="39"/>
  <c r="AY59" i="38"/>
  <c r="CO34" i="39"/>
  <c r="BT53"/>
  <c r="AP89" i="1"/>
  <c r="BY81" i="25"/>
  <c r="AW26" i="40"/>
  <c r="AI54" i="41"/>
  <c r="DA25"/>
  <c r="AD30" i="36"/>
  <c r="AV26" i="25"/>
  <c r="BZ37" i="40"/>
  <c r="M50"/>
  <c r="BI67"/>
  <c r="L17" i="39"/>
  <c r="I59" i="1"/>
  <c r="L34" i="39"/>
  <c r="DC66" i="36"/>
  <c r="CV62" i="38"/>
  <c r="BB12"/>
  <c r="BH24" i="36"/>
  <c r="CG65" i="26"/>
  <c r="BC29" i="38"/>
  <c r="CL98" i="1"/>
  <c r="CM75" i="37"/>
  <c r="AO61" i="38"/>
  <c r="BH66" i="41"/>
  <c r="CG98" i="37"/>
  <c r="DC81" i="26"/>
  <c r="BR57"/>
  <c r="Y30"/>
  <c r="BA34" i="1"/>
  <c r="CG10" i="25"/>
  <c r="DC61" i="1"/>
  <c r="AU24" i="26"/>
  <c r="Z89"/>
  <c r="CV9" i="41"/>
  <c r="V62" i="37"/>
  <c r="AO49" i="26"/>
  <c r="CO49" i="36"/>
  <c r="M19" i="59"/>
  <c r="K45"/>
  <c r="K55" i="64"/>
  <c r="AR60" i="40"/>
  <c r="BC30" i="37"/>
  <c r="AE10" i="36"/>
  <c r="AW13" i="26"/>
  <c r="V37" i="41"/>
  <c r="M53" i="26"/>
  <c r="AT12" i="37"/>
  <c r="CD12" i="36"/>
  <c r="T45"/>
  <c r="W10" i="38"/>
  <c r="DC34" i="41"/>
  <c r="BP75" i="25"/>
  <c r="DB89" i="39"/>
  <c r="DE18" i="26"/>
  <c r="CI92" i="40"/>
  <c r="AS67" i="26"/>
  <c r="W65" i="39"/>
  <c r="CM58" i="1"/>
  <c r="AH37" i="25"/>
  <c r="J92"/>
  <c r="DB34"/>
  <c r="CW60" i="40"/>
  <c r="AF37" i="36"/>
  <c r="N37"/>
  <c r="L45" i="38"/>
  <c r="AT17" i="41"/>
  <c r="CB12" i="25"/>
  <c r="BS17" i="36"/>
  <c r="DA57" i="37"/>
  <c r="CJ60" i="38"/>
  <c r="P21" i="41"/>
  <c r="AR91"/>
  <c r="CH103" i="36"/>
  <c r="N66" i="1"/>
  <c r="AR12" i="26"/>
  <c r="AH10" i="36"/>
  <c r="CH89" i="1"/>
  <c r="CT81" i="41"/>
  <c r="AO96" i="26"/>
  <c r="CO92" i="1"/>
  <c r="AG81" i="26"/>
  <c r="I30" i="41"/>
  <c r="CE18" i="40"/>
  <c r="CQ18" i="41"/>
  <c r="BO67" i="40"/>
  <c r="N34"/>
  <c r="AS21" i="37"/>
  <c r="CC81" i="41"/>
  <c r="CZ53" i="37"/>
  <c r="V79" i="1"/>
  <c r="G59" i="40"/>
  <c r="AX50" i="38"/>
  <c r="Z48"/>
  <c r="DE34" i="36"/>
  <c r="K12" i="37"/>
  <c r="AM29" i="40"/>
  <c r="AN21" i="26"/>
  <c r="AT17"/>
  <c r="L49" i="41"/>
  <c r="DF75" i="39"/>
  <c r="CF102"/>
  <c r="CG37" i="1"/>
  <c r="J9" i="26"/>
  <c r="DF54" i="38"/>
  <c r="CC45"/>
  <c r="AD62" i="41"/>
  <c r="DB48" i="25"/>
  <c r="CS49" i="37"/>
  <c r="CI57" i="1"/>
  <c r="BD54" i="41"/>
  <c r="CH62" i="26"/>
  <c r="BR24" i="41"/>
  <c r="DB59" i="36"/>
  <c r="CO30" i="25"/>
  <c r="BH59" i="41"/>
  <c r="AE53" i="37"/>
  <c r="BI49" i="26"/>
  <c r="P24" i="25"/>
  <c r="BT53" i="1"/>
  <c r="DB21" i="40"/>
  <c r="BH13" i="38"/>
  <c r="AR48" i="39"/>
  <c r="AC53" i="25"/>
  <c r="CQ65"/>
  <c r="AW27"/>
  <c r="AO65" i="40"/>
  <c r="N65" i="41"/>
  <c r="DA58" i="1"/>
  <c r="AB25" i="26"/>
  <c r="H9" i="39"/>
  <c r="Z96" i="40"/>
  <c r="DD75" i="1"/>
  <c r="AW79" i="40"/>
  <c r="AB37" i="38"/>
  <c r="AI49" i="37"/>
  <c r="Y92" i="39"/>
  <c r="BB61" i="41"/>
  <c r="BR102"/>
  <c r="CR79" i="40"/>
  <c r="DD60" i="1"/>
  <c r="AQ59" i="36"/>
  <c r="AP60"/>
  <c r="BD67" i="38"/>
  <c r="DD54"/>
  <c r="CP102" i="37"/>
  <c r="CY37" i="38"/>
  <c r="CQ67" i="41"/>
  <c r="AR57" i="39"/>
  <c r="CJ12" i="1"/>
  <c r="AI10" i="40"/>
  <c r="CD58" i="41"/>
  <c r="CH103" i="37"/>
  <c r="M54" i="26"/>
  <c r="CN30" i="1"/>
  <c r="BH12"/>
  <c r="AU96" i="26"/>
  <c r="BP98" i="39"/>
  <c r="AN71" i="40"/>
  <c r="CD29"/>
  <c r="CW61" i="36"/>
  <c r="W60" i="37"/>
  <c r="CX24" i="38"/>
  <c r="CQ49"/>
  <c r="CS27" i="1"/>
  <c r="BD26" i="39"/>
  <c r="CH61" i="36"/>
  <c r="AD62" i="39"/>
  <c r="AA98" i="1"/>
  <c r="AG26" i="41"/>
  <c r="CW27" i="26"/>
  <c r="DF61" i="39"/>
  <c r="H81" i="26"/>
  <c r="O62" i="1"/>
  <c r="G98" i="26"/>
  <c r="H48" i="46"/>
  <c r="CQ18" i="40"/>
  <c r="AV30" i="41"/>
  <c r="BZ53" i="26"/>
  <c r="AN92"/>
  <c r="CD71" i="41"/>
  <c r="BE29"/>
  <c r="AG92" i="1"/>
  <c r="AY59"/>
  <c r="BV71" i="37"/>
  <c r="CT91" i="1"/>
  <c r="AP48" i="37"/>
  <c r="CH89" i="38"/>
  <c r="CC53" i="40"/>
  <c r="AH71" i="1"/>
  <c r="AC34" i="38"/>
  <c r="AZ25" i="1"/>
  <c r="CI37" i="37"/>
  <c r="AS58" i="36"/>
  <c r="CD67" i="37"/>
  <c r="DE75" i="36"/>
  <c r="N71" i="39"/>
  <c r="DE12" i="38"/>
  <c r="AQ34"/>
  <c r="AO12" i="40"/>
  <c r="M92" i="36"/>
  <c r="AJ12" i="41"/>
  <c r="DB26" i="40"/>
  <c r="DF62" i="26"/>
  <c r="H89" i="41"/>
  <c r="M59"/>
  <c r="BB50" i="25"/>
  <c r="DD98" i="26"/>
  <c r="Z17"/>
  <c r="BS81" i="25"/>
  <c r="BE66" i="1"/>
  <c r="H25" i="26"/>
  <c r="AJ61" i="1"/>
  <c r="CI30" i="36"/>
  <c r="DA98" i="37"/>
  <c r="CK66" i="40"/>
  <c r="J60" i="39"/>
  <c r="BU57" i="26"/>
  <c r="DA103"/>
  <c r="AT9" i="36"/>
  <c r="BD65" i="1"/>
  <c r="S49" i="36"/>
  <c r="CQ12" i="38"/>
  <c r="CE29"/>
  <c r="AR67" i="1"/>
  <c r="AP81" i="41"/>
  <c r="BD30" i="40"/>
  <c r="K102"/>
  <c r="BD29" i="26"/>
  <c r="AO60" i="25"/>
  <c r="CI54" i="37"/>
  <c r="AY48" i="39"/>
  <c r="AB65" i="40"/>
  <c r="AQ67" i="39"/>
  <c r="CD71" i="38"/>
  <c r="AS67" i="39"/>
  <c r="DB89" i="40"/>
  <c r="CL30" i="41"/>
  <c r="BR34" i="25"/>
  <c r="N20" i="46"/>
  <c r="CP45" i="26"/>
  <c r="AS49" i="38"/>
  <c r="AT24" i="41"/>
  <c r="CN30" i="39"/>
  <c r="CD18" i="36"/>
  <c r="CO21" i="40"/>
  <c r="AE67" i="38"/>
  <c r="L75" i="26"/>
  <c r="BS37" i="39"/>
  <c r="AD79" i="1"/>
  <c r="CM21" i="25"/>
  <c r="BZ65" i="41"/>
  <c r="CE61" i="26"/>
  <c r="AO79" i="37"/>
  <c r="AZ91" i="1"/>
  <c r="CO17" i="39"/>
  <c r="BV13" i="26"/>
  <c r="BR91" i="38"/>
  <c r="DF98" i="26"/>
  <c r="L13" i="1"/>
  <c r="AH37" i="39"/>
  <c r="CZ26"/>
  <c r="DB59"/>
  <c r="AN65" i="41"/>
  <c r="AF66" i="1"/>
  <c r="CM60" i="36"/>
  <c r="BW103" i="39"/>
  <c r="BX92"/>
  <c r="AX29" i="40"/>
  <c r="CE91" i="36"/>
  <c r="AT21" i="40"/>
  <c r="CY91" i="1"/>
  <c r="BR98" i="36"/>
  <c r="CC58" i="39"/>
  <c r="CY9" i="1"/>
  <c r="BO30" i="25"/>
  <c r="CA58" i="36"/>
  <c r="CJ60" i="26"/>
  <c r="N48" i="37"/>
  <c r="AP24"/>
  <c r="BZ89" i="26"/>
  <c r="M98" i="37"/>
  <c r="CU58" i="25"/>
  <c r="BT61" i="41"/>
  <c r="AE59" i="38"/>
  <c r="DB98"/>
  <c r="W37"/>
  <c r="AF27" i="40"/>
  <c r="Z71" i="37"/>
  <c r="T98" i="36"/>
  <c r="Y98"/>
  <c r="DA92" i="37"/>
  <c r="AE29"/>
  <c r="AZ10" i="1"/>
  <c r="AU9" i="36"/>
  <c r="CY12" i="37"/>
  <c r="BZ30" i="40"/>
  <c r="CR54" i="37"/>
  <c r="BU102" i="36"/>
  <c r="CN60" i="40"/>
  <c r="AR54"/>
  <c r="BH37" i="25"/>
  <c r="BI13" i="41"/>
  <c r="BZ30" i="25"/>
  <c r="X81"/>
  <c r="AR18"/>
  <c r="AD79" i="38"/>
  <c r="CH65" i="39"/>
  <c r="CM58" i="37"/>
  <c r="CN89"/>
  <c r="AI75" i="38"/>
  <c r="H9" i="37"/>
  <c r="AQ65" i="25"/>
  <c r="DC89" i="39"/>
  <c r="AT71" i="26"/>
  <c r="P75"/>
  <c r="AZ62" i="37"/>
  <c r="CS10" i="36"/>
  <c r="CI18" i="38"/>
  <c r="AI53" i="40"/>
  <c r="G81" i="1"/>
  <c r="BP89" i="41"/>
  <c r="BD18" i="38"/>
  <c r="AQ91" i="41"/>
  <c r="BA61" i="40"/>
  <c r="CW53"/>
  <c r="CA59" i="1"/>
  <c r="AE18" i="26"/>
  <c r="BH13" i="40"/>
  <c r="DC10" i="25"/>
  <c r="BF126" i="47"/>
  <c r="CB61" i="40"/>
  <c r="AV49"/>
  <c r="AY27" i="1"/>
  <c r="AC37" i="39"/>
  <c r="M62" i="38"/>
  <c r="G102" i="41"/>
  <c r="AD75" i="26"/>
  <c r="CJ48" i="25"/>
  <c r="BA58" i="36"/>
  <c r="AE21" i="37"/>
  <c r="BR9" i="26"/>
  <c r="BD81" i="39"/>
  <c r="CT67" i="41"/>
  <c r="BD9" i="39"/>
  <c r="DA81" i="40"/>
  <c r="AX79" i="39"/>
  <c r="J59" i="36"/>
  <c r="AQ71" i="39"/>
  <c r="BQ37"/>
  <c r="CQ98" i="1"/>
  <c r="L79"/>
  <c r="CX98" i="36"/>
  <c r="P21"/>
  <c r="AR24" i="1"/>
  <c r="BA59" i="25"/>
  <c r="BX27" i="39"/>
  <c r="BP57" i="37"/>
  <c r="CN54" i="41"/>
  <c r="AD66" i="40"/>
  <c r="BI9" i="37"/>
  <c r="I27" i="41"/>
  <c r="BC315" i="47"/>
  <c r="AT57" i="26"/>
  <c r="BT27" i="41"/>
  <c r="CZ98"/>
  <c r="CU12" i="1"/>
  <c r="CN71" i="38"/>
  <c r="AG26" i="26"/>
  <c r="N48" i="39"/>
  <c r="BD79" i="25"/>
  <c r="X71"/>
  <c r="I59" i="36"/>
  <c r="AJ59" i="37"/>
  <c r="BR75"/>
  <c r="CD71" i="36"/>
  <c r="M61" i="1"/>
  <c r="AX96" i="36"/>
  <c r="CW30" i="26"/>
  <c r="DB17" i="39"/>
  <c r="AU18" i="40"/>
  <c r="M61" i="26"/>
  <c r="CT62" i="25"/>
  <c r="AC30" i="1"/>
  <c r="S57" i="40"/>
  <c r="J102" i="38"/>
  <c r="BV62" i="36"/>
  <c r="CB79" i="41"/>
  <c r="CK48" i="36"/>
  <c r="AH9" i="26"/>
  <c r="CM18" i="41"/>
  <c r="BI62" i="25"/>
  <c r="CC29" i="37"/>
  <c r="V18" i="41"/>
  <c r="CQ9" i="37"/>
  <c r="AQ67" i="40"/>
  <c r="T24" i="36"/>
  <c r="X13" i="38"/>
  <c r="CA66" i="39"/>
  <c r="AH58" i="1"/>
  <c r="CD50" i="36"/>
  <c r="DC62" i="38"/>
  <c r="BB58" i="36"/>
  <c r="K98" i="1"/>
  <c r="AD53" i="40"/>
  <c r="CE17" i="38"/>
  <c r="AA96" i="1"/>
  <c r="CM59" i="38"/>
  <c r="AJ27"/>
  <c r="CV67" i="41"/>
  <c r="BA25" i="36"/>
  <c r="CI49" i="40"/>
  <c r="CP103" i="26"/>
  <c r="CA102" i="1"/>
  <c r="AE91" i="26"/>
  <c r="AM66" i="37"/>
  <c r="BV62"/>
  <c r="I24" i="40"/>
  <c r="DD50" i="37"/>
  <c r="CF66" i="1"/>
  <c r="BT21" i="40"/>
  <c r="AU67" i="41"/>
  <c r="CD65" i="36"/>
  <c r="BE17" i="39"/>
  <c r="DC59" i="1"/>
  <c r="BA30" i="25"/>
  <c r="O58" i="41"/>
  <c r="BO98" i="26"/>
  <c r="AQ96" i="41"/>
  <c r="CN10" i="38"/>
  <c r="P91" i="36"/>
  <c r="AF59" i="41"/>
  <c r="BD54" i="39"/>
  <c r="CZ45" i="38"/>
  <c r="BW29" i="26"/>
  <c r="BS65" i="39"/>
  <c r="AI48" i="41"/>
  <c r="AY58" i="26"/>
  <c r="CF34" i="36"/>
  <c r="CO17" i="37"/>
  <c r="AV13" i="25"/>
  <c r="CV17" i="41"/>
  <c r="AC48" i="1"/>
  <c r="CF98" i="37"/>
  <c r="CJ50"/>
  <c r="CS96" i="36"/>
  <c r="BV71" i="41"/>
  <c r="H24" i="37"/>
  <c r="BS53" i="39"/>
  <c r="DE62" i="41"/>
  <c r="AM25" i="25"/>
  <c r="BI48" i="1"/>
  <c r="AO67" i="40"/>
  <c r="AI18" i="37"/>
  <c r="DA49" i="1"/>
  <c r="BR18" i="26"/>
  <c r="AQ89" i="38"/>
  <c r="BX9" i="40"/>
  <c r="Y17" i="37"/>
  <c r="AY62"/>
  <c r="CN24" i="39"/>
  <c r="AS34" i="40"/>
  <c r="AX30" i="41"/>
  <c r="BT75" i="39"/>
  <c r="DD26" i="37"/>
  <c r="BT25" i="40"/>
  <c r="BO67" i="41"/>
  <c r="CL60" i="36"/>
  <c r="AR58"/>
  <c r="CL12" i="38"/>
  <c r="CH61" i="25"/>
  <c r="X65" i="41"/>
  <c r="Z58" i="36"/>
  <c r="AC17" i="41"/>
  <c r="DD92" i="25"/>
  <c r="AQ60" i="39"/>
  <c r="X45" i="40"/>
  <c r="CD81" i="36"/>
  <c r="AJ71" i="40"/>
  <c r="L18" i="37"/>
  <c r="L49" i="39"/>
  <c r="AR26" i="25"/>
  <c r="CW92" i="26"/>
  <c r="V58" i="41"/>
  <c r="AH53"/>
  <c r="BB54"/>
  <c r="AG30" i="1"/>
  <c r="CO27" i="40"/>
  <c r="CG12"/>
  <c r="DE25" i="39"/>
  <c r="AM66" i="40"/>
  <c r="I48"/>
  <c r="AF27" i="26"/>
  <c r="H49" i="36"/>
  <c r="CJ89" i="26"/>
  <c r="CT96" i="39"/>
  <c r="BA10" i="38"/>
  <c r="BH9" i="26"/>
  <c r="DC17" i="40"/>
  <c r="DD48" i="41"/>
  <c r="CJ92" i="26"/>
  <c r="CN96" i="38"/>
  <c r="CJ98" i="25"/>
  <c r="AG65" i="38"/>
  <c r="CT62" i="40"/>
  <c r="AZ89"/>
  <c r="CA49" i="37"/>
  <c r="BQ37" i="25"/>
  <c r="Z18" i="40"/>
  <c r="Z49" i="25"/>
  <c r="K67" i="36"/>
  <c r="X21" i="1"/>
  <c r="CD66" i="41"/>
  <c r="CS75" i="36"/>
  <c r="AY58" i="39"/>
  <c r="DB18" i="36"/>
  <c r="CM57" i="25"/>
  <c r="BV92"/>
  <c r="X75" i="26"/>
  <c r="CS18" i="40"/>
  <c r="BQ65" i="39"/>
  <c r="BX102" i="25"/>
  <c r="BE13" i="39"/>
  <c r="DC27" i="26"/>
  <c r="CS9" i="1"/>
  <c r="I57" i="39"/>
  <c r="BS45" i="36"/>
  <c r="AB30" i="40"/>
  <c r="CI59" i="1"/>
  <c r="AA17" i="37"/>
  <c r="CZ37" i="26"/>
  <c r="CO24" i="36"/>
  <c r="CP89" i="25"/>
  <c r="BW25"/>
  <c r="CP9" i="39"/>
  <c r="CG98" i="41"/>
  <c r="BU91" i="1"/>
  <c r="AV96" i="39"/>
  <c r="X59" i="1"/>
  <c r="CA79" i="40"/>
  <c r="AC21" i="38"/>
  <c r="BS57" i="41"/>
  <c r="CB102" i="26"/>
  <c r="AB67" i="39"/>
  <c r="AW25" i="26"/>
  <c r="AS9" i="39"/>
  <c r="AU57" i="41"/>
  <c r="G48" i="37"/>
  <c r="CL102" i="40"/>
  <c r="CE57" i="39"/>
  <c r="BD128" i="47"/>
  <c r="AU75" i="26"/>
  <c r="AY62" i="25"/>
  <c r="K12" i="59"/>
  <c r="CN10" i="37"/>
  <c r="BE81"/>
  <c r="N91" i="36"/>
  <c r="BT34" i="37"/>
  <c r="AR96" i="25"/>
  <c r="AF102" i="1"/>
  <c r="H13" i="25"/>
  <c r="BW57" i="41"/>
  <c r="BP13"/>
  <c r="CX92" i="39"/>
  <c r="AT26" i="40"/>
  <c r="BS50" i="36"/>
  <c r="DD24" i="40"/>
  <c r="U65"/>
  <c r="CG96" i="41"/>
  <c r="CN66" i="37"/>
  <c r="CK18" i="1"/>
  <c r="AD66" i="36"/>
  <c r="AE66" i="40"/>
  <c r="AB79" i="38"/>
  <c r="BW9"/>
  <c r="CM67" i="36"/>
  <c r="AO26" i="37"/>
  <c r="DA17" i="36"/>
  <c r="CF9" i="26"/>
  <c r="AP49" i="38"/>
  <c r="V54" i="36"/>
  <c r="X98" i="38"/>
  <c r="AP71" i="37"/>
  <c r="V29" i="39"/>
  <c r="CA57" i="26"/>
  <c r="CU53" i="41"/>
  <c r="Y10"/>
  <c r="H98" i="37"/>
  <c r="K45" i="25"/>
  <c r="BC48" i="39"/>
  <c r="BY27" i="36"/>
  <c r="AW50" i="39"/>
  <c r="BO37" i="36"/>
  <c r="L79" i="38"/>
  <c r="Z30" i="36"/>
  <c r="CK92" i="38"/>
  <c r="J9" i="59"/>
  <c r="BW60" i="37"/>
  <c r="CB26" i="25"/>
  <c r="CG61" i="38"/>
  <c r="BW48" i="1"/>
  <c r="AV61" i="37"/>
  <c r="AW48" i="1"/>
  <c r="AJ10" i="36"/>
  <c r="X37" i="38"/>
  <c r="Y34" i="39"/>
  <c r="BX26" i="25"/>
  <c r="G60" i="36"/>
  <c r="Z96" i="41"/>
  <c r="O25" i="1"/>
  <c r="AP61" i="26"/>
  <c r="CL96" i="41"/>
  <c r="CS45" i="1"/>
  <c r="BD62" i="39"/>
  <c r="AI62" i="25"/>
  <c r="BR91" i="26"/>
  <c r="BA30" i="38"/>
  <c r="CE60" i="1"/>
  <c r="V92"/>
  <c r="W58" i="38"/>
  <c r="DD53" i="40"/>
  <c r="CB34" i="36"/>
  <c r="CU75" i="26"/>
  <c r="AS18" i="41"/>
  <c r="BO59" i="26"/>
  <c r="BY26" i="40"/>
  <c r="Z71" i="26"/>
  <c r="CI37" i="39"/>
  <c r="DF37" i="40"/>
  <c r="BT48" i="36"/>
  <c r="AF37" i="1"/>
  <c r="DB9" i="40"/>
  <c r="N54" i="36"/>
  <c r="BY17"/>
  <c r="AS58" i="25"/>
  <c r="AH30" i="26"/>
  <c r="BV79" i="40"/>
  <c r="AT89" i="38"/>
  <c r="DD26" i="25"/>
  <c r="W75" i="41"/>
  <c r="AZ27" i="39"/>
  <c r="CO91"/>
  <c r="L67" i="26"/>
  <c r="DB59" i="41"/>
  <c r="U79" i="1"/>
  <c r="AZ91" i="26"/>
  <c r="BE65" i="25"/>
  <c r="AB62" i="41"/>
  <c r="CX12" i="26"/>
  <c r="AW48" i="40"/>
  <c r="AG54" i="26"/>
  <c r="CZ91" i="37"/>
  <c r="J54" i="38"/>
  <c r="CC17" i="37"/>
  <c r="CS45" i="26"/>
  <c r="AD26" i="39"/>
  <c r="S27" i="1"/>
  <c r="BV62" i="38"/>
  <c r="CL37" i="1"/>
  <c r="L76" i="64"/>
  <c r="AH49" i="38"/>
  <c r="BZ89"/>
  <c r="CJ12" i="39"/>
  <c r="BX89" i="26"/>
  <c r="CO102" i="38"/>
  <c r="BA57" i="36"/>
  <c r="CF79" i="39"/>
  <c r="AX37" i="37"/>
  <c r="AW60" i="1"/>
  <c r="AZ18" i="40"/>
  <c r="CZ65" i="37"/>
  <c r="AR27"/>
  <c r="CQ21" i="38"/>
  <c r="AG66" i="37"/>
  <c r="AH57" i="38"/>
  <c r="CS49" i="40"/>
  <c r="CN12" i="1"/>
  <c r="BX53" i="41"/>
  <c r="CD61" i="36"/>
  <c r="CH24" i="37"/>
  <c r="S75"/>
  <c r="CQ71" i="26"/>
  <c r="CI24" i="36"/>
  <c r="L98"/>
  <c r="BE37" i="40"/>
  <c r="CJ10" i="37"/>
  <c r="CB62" i="39"/>
  <c r="CS81" i="38"/>
  <c r="AA98"/>
  <c r="CH96" i="40"/>
  <c r="M37" i="36"/>
  <c r="N45" i="40"/>
  <c r="AT92" i="36"/>
  <c r="CX62"/>
  <c r="BD18" i="1"/>
  <c r="P79" i="38"/>
  <c r="BU62" i="25"/>
  <c r="AB50" i="38"/>
  <c r="AU98" i="39"/>
  <c r="N58" i="37"/>
  <c r="DD91" i="41"/>
  <c r="AT48" i="39"/>
  <c r="BU29" i="38"/>
  <c r="I66" i="37"/>
  <c r="AQ67"/>
  <c r="BC60" i="39"/>
  <c r="AM89"/>
  <c r="CK89" i="1"/>
  <c r="N21" i="41"/>
  <c r="CP29" i="26"/>
  <c r="BY49" i="38"/>
  <c r="CF30" i="39"/>
  <c r="AW13"/>
  <c r="AM24" i="40"/>
  <c r="AR53" i="37"/>
  <c r="BB18" i="1"/>
  <c r="AU98" i="40"/>
  <c r="BS49" i="39"/>
  <c r="BX27" i="1"/>
  <c r="BZ92" i="26"/>
  <c r="CJ12" i="25"/>
  <c r="AX62" i="38"/>
  <c r="BU57" i="25"/>
  <c r="DB103" i="38"/>
  <c r="AD27" i="37"/>
  <c r="BX57" i="26"/>
  <c r="CY89" i="40"/>
  <c r="H58" i="37"/>
  <c r="M9" i="38"/>
  <c r="CG98" i="25"/>
  <c r="BA91" i="38"/>
  <c r="DD61" i="1"/>
  <c r="BU30" i="26"/>
  <c r="AW67" i="38"/>
  <c r="BU9" i="26"/>
  <c r="CN57" i="38"/>
  <c r="CO57" i="25"/>
  <c r="CS54" i="37"/>
  <c r="CQ79" i="40"/>
  <c r="AW18" i="38"/>
  <c r="CM26" i="1"/>
  <c r="AG9" i="37"/>
  <c r="X81" i="1"/>
  <c r="AH34" i="41"/>
  <c r="CX67" i="1"/>
  <c r="I30" i="26"/>
  <c r="BV98" i="37"/>
  <c r="O75" i="39"/>
  <c r="M9" i="37"/>
  <c r="CL25"/>
  <c r="AR26" i="41"/>
  <c r="AM102" i="36"/>
  <c r="BI54" i="38"/>
  <c r="DB62" i="1"/>
  <c r="CN37" i="39"/>
  <c r="DD96" i="36"/>
  <c r="BY12" i="39"/>
  <c r="AG25" i="26"/>
  <c r="AQ25" i="41"/>
  <c r="CP9" i="38"/>
  <c r="CH60"/>
  <c r="CG12" i="26"/>
  <c r="CH67" i="37"/>
  <c r="O30" i="41"/>
  <c r="S10" i="37"/>
  <c r="BA54" i="39"/>
  <c r="AN24" i="37"/>
  <c r="CQ50" i="25"/>
  <c r="V45" i="37"/>
  <c r="AO57"/>
  <c r="AQ79" i="38"/>
  <c r="AA53" i="37"/>
  <c r="BX34" i="1"/>
  <c r="AB59" i="40"/>
  <c r="AV49" i="39"/>
  <c r="CH57" i="37"/>
  <c r="CF75" i="26"/>
  <c r="CF27" i="36"/>
  <c r="CM57" i="37"/>
  <c r="CI98" i="40"/>
  <c r="J30" i="26"/>
  <c r="BH27" i="38"/>
  <c r="J18" i="26"/>
  <c r="AG81" i="1"/>
  <c r="N91" i="40"/>
  <c r="CS102" i="37"/>
  <c r="AZ24" i="38"/>
  <c r="AG62" i="26"/>
  <c r="DC49" i="38"/>
  <c r="CG89"/>
  <c r="Z65"/>
  <c r="AF58"/>
  <c r="AZ102" i="41"/>
  <c r="CQ21" i="25"/>
  <c r="CO13" i="37"/>
  <c r="CZ75" i="39"/>
  <c r="CP37" i="37"/>
  <c r="CE21" i="1"/>
  <c r="CW79" i="40"/>
  <c r="DD75" i="25"/>
  <c r="AS29" i="36"/>
  <c r="DE48" i="39"/>
  <c r="AZ18" i="38"/>
  <c r="G24" i="1"/>
  <c r="BW103" i="41"/>
  <c r="DE24" i="40"/>
  <c r="BU17" i="25"/>
  <c r="AC12" i="40"/>
  <c r="BE29" i="38"/>
  <c r="CP26" i="37"/>
  <c r="CT18" i="36"/>
  <c r="AA102" i="26"/>
  <c r="AR79" i="38"/>
  <c r="AF75"/>
  <c r="CJ67" i="37"/>
  <c r="CH61" i="41"/>
  <c r="AW54"/>
  <c r="I66" i="1"/>
  <c r="K29"/>
  <c r="AX12"/>
  <c r="AG65" i="25"/>
  <c r="AE25" i="1"/>
  <c r="CM37" i="37"/>
  <c r="CT103" i="26"/>
  <c r="BT48"/>
  <c r="BT17" i="39"/>
  <c r="U25" i="36"/>
  <c r="CI24" i="38"/>
  <c r="AF61" i="37"/>
  <c r="BT102" i="1"/>
  <c r="BH91" i="26"/>
  <c r="AF30" i="36"/>
  <c r="CS45" i="25"/>
  <c r="CK12" i="36"/>
  <c r="AY24" i="41"/>
  <c r="CZ25" i="1"/>
  <c r="CK49"/>
  <c r="K10" i="37"/>
  <c r="DB10" i="39"/>
  <c r="BY50" i="25"/>
  <c r="N60" i="38"/>
  <c r="BO59"/>
  <c r="AE58" i="1"/>
  <c r="N12" i="39"/>
  <c r="AQ26" i="25"/>
  <c r="AA96" i="36"/>
  <c r="CU27" i="1"/>
  <c r="BB96" i="25"/>
  <c r="S37"/>
  <c r="BX17" i="36"/>
  <c r="CB92" i="41"/>
  <c r="AM10" i="26"/>
  <c r="J17" i="38"/>
  <c r="CB12" i="1"/>
  <c r="AZ18" i="36"/>
  <c r="S102" i="41"/>
  <c r="X62" i="39"/>
  <c r="CQ61" i="26"/>
  <c r="AZ81" i="37"/>
  <c r="BS96" i="38"/>
  <c r="AA27" i="26"/>
  <c r="U89" i="38"/>
  <c r="CQ89" i="36"/>
  <c r="AQ34"/>
  <c r="AA18" i="25"/>
  <c r="CX58" i="41"/>
  <c r="DD89" i="1"/>
  <c r="CL34" i="26"/>
  <c r="AI92" i="25"/>
  <c r="AU18" i="26"/>
  <c r="CH62" i="38"/>
  <c r="AE37" i="40"/>
  <c r="AI60" i="37"/>
  <c r="CA96" i="41"/>
  <c r="CO103" i="38"/>
  <c r="AB25" i="37"/>
  <c r="CF45" i="1"/>
  <c r="CZ21"/>
  <c r="DC91" i="38"/>
  <c r="Z37" i="36"/>
  <c r="CX45" i="1"/>
  <c r="K62" i="38"/>
  <c r="AD17" i="37"/>
  <c r="BQ27" i="36"/>
  <c r="K53" i="26"/>
  <c r="CF24" i="37"/>
  <c r="BU54" i="39"/>
  <c r="AD66" i="37"/>
  <c r="BT53" i="36"/>
  <c r="BZ10" i="38"/>
  <c r="BA29" i="25"/>
  <c r="CL75" i="1"/>
  <c r="CN96"/>
  <c r="CS102" i="38"/>
  <c r="BY26" i="1"/>
  <c r="I71" i="25"/>
  <c r="AN34" i="39"/>
  <c r="CS91" i="37"/>
  <c r="DD71"/>
  <c r="CO9" i="40"/>
  <c r="O62" i="25"/>
  <c r="CO53" i="37"/>
  <c r="Y71"/>
  <c r="Y65" i="38"/>
  <c r="BH13" i="36"/>
  <c r="AM53" i="38"/>
  <c r="BI98" i="36"/>
  <c r="T13" i="38"/>
  <c r="AG34" i="41"/>
  <c r="CX58" i="36"/>
  <c r="AJ79" i="38"/>
  <c r="CS9" i="37"/>
  <c r="CR96" i="38"/>
  <c r="CH75" i="37"/>
  <c r="AV13" i="39"/>
  <c r="AG75" i="38"/>
  <c r="AF67" i="1"/>
  <c r="O59"/>
  <c r="L34" i="41"/>
  <c r="AQ25" i="25"/>
  <c r="AV67" i="40"/>
  <c r="K66" i="41"/>
  <c r="AN24" i="39"/>
  <c r="BT96" i="1"/>
  <c r="BQ67" i="36"/>
  <c r="L66"/>
  <c r="U75" i="39"/>
  <c r="AB102" i="41"/>
  <c r="CI61" i="1"/>
  <c r="CO79" i="40"/>
  <c r="CN45" i="1"/>
  <c r="AP24" i="39"/>
  <c r="BA79" i="41"/>
  <c r="U91" i="1"/>
  <c r="J61" i="38"/>
  <c r="CE102" i="25"/>
  <c r="AN30" i="36"/>
  <c r="AU62" i="37"/>
  <c r="BA48" i="1"/>
  <c r="AI45" i="39"/>
  <c r="AI18" i="38"/>
  <c r="P17" i="26"/>
  <c r="AV37" i="37"/>
  <c r="DA91" i="26"/>
  <c r="X57" i="1"/>
  <c r="BD65" i="26"/>
  <c r="N24" i="1"/>
  <c r="AJ48" i="39"/>
  <c r="CQ75"/>
  <c r="BU34"/>
  <c r="AN17" i="37"/>
  <c r="AE92" i="36"/>
  <c r="P81" i="26"/>
  <c r="P17" i="41"/>
  <c r="G59" i="39"/>
  <c r="CT21" i="25"/>
  <c r="U59" i="37"/>
  <c r="AY66" i="26"/>
  <c r="AT34" i="39"/>
  <c r="DB29" i="36"/>
  <c r="AO66" i="26"/>
  <c r="BS92" i="37"/>
  <c r="CI60"/>
  <c r="AN30" i="38"/>
  <c r="O45" i="39"/>
  <c r="AA29" i="1"/>
  <c r="CC67" i="37"/>
  <c r="N59" i="41"/>
  <c r="BU91" i="39"/>
  <c r="BX103"/>
  <c r="CD26" i="40"/>
  <c r="N62" i="1"/>
  <c r="BX98" i="40"/>
  <c r="BP34"/>
  <c r="CH62" i="36"/>
  <c r="BA48" i="40"/>
  <c r="DF91" i="37"/>
  <c r="K10" i="25"/>
  <c r="AB79" i="1"/>
  <c r="CW9" i="37"/>
  <c r="AY129" i="47"/>
  <c r="AM61" i="40"/>
  <c r="CS53" i="1"/>
  <c r="BV103" i="26"/>
  <c r="DE65" i="25"/>
  <c r="O24" i="37"/>
  <c r="CR59" i="36"/>
  <c r="Y34" i="37"/>
  <c r="Z65" i="25"/>
  <c r="AQ59" i="40"/>
  <c r="O18" i="1"/>
  <c r="AH79" i="36"/>
  <c r="BV30" i="1"/>
  <c r="DF54" i="36"/>
  <c r="AA57" i="26"/>
  <c r="BS30" i="25"/>
  <c r="W24" i="40"/>
  <c r="W10" i="36"/>
  <c r="AC98" i="1"/>
  <c r="CD66" i="40"/>
  <c r="X60" i="39"/>
  <c r="AW96" i="1"/>
  <c r="CR75" i="38"/>
  <c r="S92" i="41"/>
  <c r="DB102" i="37"/>
  <c r="O58"/>
  <c r="S60"/>
  <c r="AB96" i="25"/>
  <c r="AJ30" i="41"/>
  <c r="BX91" i="36"/>
  <c r="CT59" i="39"/>
  <c r="AA89" i="25"/>
  <c r="Z61" i="1"/>
  <c r="AU60"/>
  <c r="V54" i="37"/>
  <c r="CB27" i="25"/>
  <c r="CM71"/>
  <c r="CN50" i="39"/>
  <c r="CU96" i="25"/>
  <c r="AI21" i="39"/>
  <c r="AE62" i="37"/>
  <c r="V54" i="40"/>
  <c r="CP13" i="41"/>
  <c r="P65" i="38"/>
  <c r="CV30" i="39"/>
  <c r="CY29" i="37"/>
  <c r="CE24" i="26"/>
  <c r="CV29" i="1"/>
  <c r="Z53"/>
  <c r="CY10" i="25"/>
  <c r="T102" i="38"/>
  <c r="BU37" i="36"/>
  <c r="CB61" i="26"/>
  <c r="BC37" i="1"/>
  <c r="BB26" i="38"/>
  <c r="K9" i="1"/>
  <c r="CC57" i="39"/>
  <c r="L50" i="59"/>
  <c r="BE315" i="47"/>
  <c r="AZ60" i="1"/>
  <c r="DD24"/>
  <c r="AN27"/>
  <c r="AZ130" i="47"/>
  <c r="J16" i="64"/>
  <c r="BZ57" i="41"/>
  <c r="CO103" i="40"/>
  <c r="AP75"/>
  <c r="Y54" i="1"/>
  <c r="BT37" i="40"/>
  <c r="CK103" i="1"/>
  <c r="CZ37" i="41"/>
  <c r="T17" i="25"/>
  <c r="CT59" i="38"/>
  <c r="AF34" i="39"/>
  <c r="AJ75" i="38"/>
  <c r="BC102" i="37"/>
  <c r="CG54" i="38"/>
  <c r="CA18"/>
  <c r="BC50" i="36"/>
  <c r="AY306" i="47"/>
  <c r="DF29" i="38"/>
  <c r="BQ48" i="1"/>
  <c r="X59" i="39"/>
  <c r="AN53" i="41"/>
  <c r="CD96" i="1"/>
  <c r="DE61"/>
  <c r="CQ27" i="25"/>
  <c r="CK17"/>
  <c r="AP65" i="1"/>
  <c r="CI79" i="40"/>
  <c r="BS37" i="37"/>
  <c r="AE81" i="36"/>
  <c r="BE65" i="26"/>
  <c r="CV102" i="39"/>
  <c r="AZ61" i="26"/>
  <c r="DC13" i="25"/>
  <c r="AM13" i="36"/>
  <c r="AC59" i="1"/>
  <c r="CS65" i="25"/>
  <c r="AG89" i="37"/>
  <c r="S92" i="25"/>
  <c r="CF71" i="39"/>
  <c r="CC89" i="26"/>
  <c r="O98" i="38"/>
  <c r="DD17" i="41"/>
  <c r="AW34" i="39"/>
  <c r="U91" i="25"/>
  <c r="DC34" i="1"/>
  <c r="AM26" i="25"/>
  <c r="CE102" i="39"/>
  <c r="BS79" i="41"/>
  <c r="BV65" i="39"/>
  <c r="CU58" i="1"/>
  <c r="AC91" i="38"/>
  <c r="BE27" i="25"/>
  <c r="BQ91" i="1"/>
  <c r="CM98"/>
  <c r="AP62" i="41"/>
  <c r="CW91" i="37"/>
  <c r="BC13" i="39"/>
  <c r="AG29"/>
  <c r="BZ75" i="41"/>
  <c r="I49" i="38"/>
  <c r="AN91" i="39"/>
  <c r="CA91" i="26"/>
  <c r="H25" i="39"/>
  <c r="P24" i="36"/>
  <c r="O34" i="1"/>
  <c r="J93" i="60"/>
  <c r="BW48" i="40"/>
  <c r="CA71"/>
  <c r="CK17" i="37"/>
  <c r="BP89" i="40"/>
  <c r="BU89" i="38"/>
  <c r="N65" i="36"/>
  <c r="CV48" i="40"/>
  <c r="AG71" i="1"/>
  <c r="CE62" i="38"/>
  <c r="CF103" i="37"/>
  <c r="AY98" i="1"/>
  <c r="CB37"/>
  <c r="AF9" i="41"/>
  <c r="AI59"/>
  <c r="V89"/>
  <c r="AM62" i="40"/>
  <c r="CD102" i="1"/>
  <c r="DF37" i="25"/>
  <c r="CA29" i="26"/>
  <c r="BE30" i="39"/>
  <c r="BS89" i="38"/>
  <c r="X27" i="26"/>
  <c r="V62" i="41"/>
  <c r="S67" i="36"/>
  <c r="CB60" i="26"/>
  <c r="CG18" i="25"/>
  <c r="Y81" i="41"/>
  <c r="AD66"/>
  <c r="CX65"/>
  <c r="AD34" i="36"/>
  <c r="X24" i="37"/>
  <c r="BH24" i="25"/>
  <c r="BC98" i="38"/>
  <c r="BO45" i="1"/>
  <c r="AM10" i="40"/>
  <c r="AH89"/>
  <c r="CA60"/>
  <c r="AC71" i="38"/>
  <c r="BD67" i="41"/>
  <c r="P49"/>
  <c r="BS30" i="1"/>
  <c r="DA30"/>
  <c r="CK58" i="39"/>
  <c r="DD71"/>
  <c r="DC54" i="26"/>
  <c r="BT45" i="25"/>
  <c r="CU60" i="38"/>
  <c r="BH18" i="37"/>
  <c r="CR34" i="36"/>
  <c r="CZ96" i="1"/>
  <c r="CU24" i="36"/>
  <c r="CB62" i="41"/>
  <c r="AA61" i="37"/>
  <c r="DB29" i="25"/>
  <c r="AI37" i="37"/>
  <c r="CJ75" i="36"/>
  <c r="BX9" i="39"/>
  <c r="P102" i="37"/>
  <c r="AV50" i="39"/>
  <c r="AN81" i="26"/>
  <c r="AE58" i="36"/>
  <c r="AJ26" i="39"/>
  <c r="X54" i="41"/>
  <c r="CH58" i="38"/>
  <c r="BX92" i="41"/>
  <c r="AQ66" i="26"/>
  <c r="CH49" i="41"/>
  <c r="CA92" i="39"/>
  <c r="CI81" i="26"/>
  <c r="BY89" i="41"/>
  <c r="CP103" i="36"/>
  <c r="CH103" i="41"/>
  <c r="AI45" i="38"/>
  <c r="AZ24" i="40"/>
  <c r="BA24" i="38"/>
  <c r="CX59" i="39"/>
  <c r="H58" i="1"/>
  <c r="AV21" i="25"/>
  <c r="L18" i="41"/>
  <c r="O71" i="40"/>
  <c r="BZ30" i="39"/>
  <c r="AY79" i="26"/>
  <c r="CG59" i="39"/>
  <c r="CQ66" i="40"/>
  <c r="O75" i="25"/>
  <c r="CZ91" i="38"/>
  <c r="AN21" i="40"/>
  <c r="T10" i="41"/>
  <c r="DC12" i="40"/>
  <c r="BH25"/>
  <c r="AE26" i="41"/>
  <c r="BB45" i="36"/>
  <c r="BX81" i="37"/>
  <c r="CR24" i="41"/>
  <c r="AN34"/>
  <c r="BS102" i="40"/>
  <c r="AV54" i="25"/>
  <c r="BD26" i="1"/>
  <c r="BW30" i="26"/>
  <c r="DE67" i="41"/>
  <c r="CB53" i="1"/>
  <c r="Y50" i="38"/>
  <c r="BT71" i="25"/>
  <c r="CA24" i="36"/>
  <c r="AU9" i="38"/>
  <c r="AB13"/>
  <c r="AA57"/>
  <c r="DD27" i="40"/>
  <c r="BE25" i="26"/>
  <c r="AV53" i="38"/>
  <c r="AI30" i="41"/>
  <c r="T29" i="37"/>
  <c r="CM103" i="40"/>
  <c r="CB58" i="25"/>
  <c r="BY17" i="38"/>
  <c r="CH26" i="37"/>
  <c r="AM18" i="39"/>
  <c r="BE34" i="41"/>
  <c r="U24" i="25"/>
  <c r="N71" i="38"/>
  <c r="CD50" i="1"/>
  <c r="J49" i="26"/>
  <c r="CA79" i="36"/>
  <c r="BX45"/>
  <c r="AE49" i="1"/>
  <c r="AI53" i="26"/>
  <c r="AP92" i="39"/>
  <c r="BE89" i="41"/>
  <c r="CH27" i="37"/>
  <c r="CV25" i="39"/>
  <c r="AJ34"/>
  <c r="CI89" i="40"/>
  <c r="CY49" i="1"/>
  <c r="AJ67" i="40"/>
  <c r="J65"/>
  <c r="CF102" i="36"/>
  <c r="CW57" i="41"/>
  <c r="M37" i="37"/>
  <c r="BW18" i="40"/>
  <c r="AQ92" i="39"/>
  <c r="CJ21"/>
  <c r="BR18" i="37"/>
  <c r="J48" i="1"/>
  <c r="BC58"/>
  <c r="BQ58" i="26"/>
  <c r="BO27" i="41"/>
  <c r="AV54" i="39"/>
  <c r="K59" i="41"/>
  <c r="BS30"/>
  <c r="CW48" i="40"/>
  <c r="BT10" i="1"/>
  <c r="CD37"/>
  <c r="AR92" i="38"/>
  <c r="CK103" i="37"/>
  <c r="AJ91" i="1"/>
  <c r="AF91" i="37"/>
  <c r="BR49" i="26"/>
  <c r="BU45" i="25"/>
  <c r="BX24" i="41"/>
  <c r="Z12" i="40"/>
  <c r="S81" i="26"/>
  <c r="BH89" i="39"/>
  <c r="BX27" i="40"/>
  <c r="AQ21" i="36"/>
  <c r="S60" i="1"/>
  <c r="AD71" i="38"/>
  <c r="CS59" i="26"/>
  <c r="AW102" i="25"/>
  <c r="BT57" i="26"/>
  <c r="M81" i="41"/>
  <c r="AU50" i="25"/>
  <c r="DE71" i="37"/>
  <c r="BI58" i="38"/>
  <c r="BD98"/>
  <c r="BS17" i="1"/>
  <c r="CW54" i="41"/>
  <c r="H75" i="36"/>
  <c r="AP65" i="40"/>
  <c r="CR34" i="41"/>
  <c r="CP37" i="39"/>
  <c r="AJ98" i="36"/>
  <c r="BO89" i="40"/>
  <c r="BR53" i="1"/>
  <c r="Y13" i="25"/>
  <c r="AG9" i="41"/>
  <c r="BX30" i="37"/>
  <c r="BT79" i="40"/>
  <c r="M18" i="26"/>
  <c r="CJ102" i="39"/>
  <c r="CF60" i="40"/>
  <c r="AF27" i="1"/>
  <c r="H60" i="37"/>
  <c r="N102" i="26"/>
  <c r="AA48"/>
  <c r="AE27" i="25"/>
  <c r="N29" i="37"/>
  <c r="CR50" i="41"/>
  <c r="CN103" i="1"/>
  <c r="G53" i="26"/>
  <c r="M27" i="41"/>
  <c r="AW58" i="1"/>
  <c r="BA10"/>
  <c r="G49" i="38"/>
  <c r="CP67" i="39"/>
  <c r="S13" i="26"/>
  <c r="BC27" i="36"/>
  <c r="DE10" i="1"/>
  <c r="CN9" i="37"/>
  <c r="AY89" i="36"/>
  <c r="AO75" i="1"/>
  <c r="DF17" i="39"/>
  <c r="BP71" i="41"/>
  <c r="J98"/>
  <c r="BX58" i="40"/>
  <c r="CZ66" i="39"/>
  <c r="CW49" i="25"/>
  <c r="G17" i="40"/>
  <c r="BW12" i="39"/>
  <c r="G54" i="41"/>
  <c r="DE54" i="25"/>
  <c r="Y79" i="40"/>
  <c r="AA62" i="36"/>
  <c r="CR34" i="39"/>
  <c r="AR62" i="40"/>
  <c r="AR98"/>
  <c r="CG25" i="37"/>
  <c r="CY37" i="36"/>
  <c r="BO13" i="26"/>
  <c r="CS102" i="25"/>
  <c r="O91"/>
  <c r="AA12"/>
  <c r="O60" i="37"/>
  <c r="BZ9" i="1"/>
  <c r="BI59"/>
  <c r="T102" i="41"/>
  <c r="BU57" i="1"/>
  <c r="DA58" i="26"/>
  <c r="AQ21"/>
  <c r="AD91" i="41"/>
  <c r="AR49" i="26"/>
  <c r="CW18" i="1"/>
  <c r="DB58" i="39"/>
  <c r="Z12" i="37"/>
  <c r="Y75" i="1"/>
  <c r="BB53"/>
  <c r="AT61" i="39"/>
  <c r="AI96" i="40"/>
  <c r="BE61" i="26"/>
  <c r="AG62" i="25"/>
  <c r="AF53" i="41"/>
  <c r="AS37" i="39"/>
  <c r="H54" i="59"/>
  <c r="AQ61" i="26"/>
  <c r="BY103" i="39"/>
  <c r="AR79" i="40"/>
  <c r="CM29" i="36"/>
  <c r="DD103"/>
  <c r="AV62" i="39"/>
  <c r="AX89" i="36"/>
  <c r="BC81" i="1"/>
  <c r="DD18" i="39"/>
  <c r="X48" i="26"/>
  <c r="BE60" i="41"/>
  <c r="BR66" i="37"/>
  <c r="AT25" i="36"/>
  <c r="DF37" i="38"/>
  <c r="S34" i="25"/>
  <c r="U13" i="1"/>
  <c r="CN89" i="40"/>
  <c r="BS58" i="38"/>
  <c r="I26" i="37"/>
  <c r="CM50" i="38"/>
  <c r="BE24" i="1"/>
  <c r="AZ98" i="36"/>
  <c r="CQ12" i="26"/>
  <c r="CW91" i="1"/>
  <c r="BY49" i="39"/>
  <c r="CK29" i="1"/>
  <c r="AT67" i="40"/>
  <c r="DA13"/>
  <c r="G45" i="37"/>
  <c r="K48" i="26"/>
  <c r="CO17" i="38"/>
  <c r="AG25" i="25"/>
  <c r="AG91" i="40"/>
  <c r="AM37" i="36"/>
  <c r="Z96" i="25"/>
  <c r="AA48" i="37"/>
  <c r="V67"/>
  <c r="AE71"/>
  <c r="U37" i="36"/>
  <c r="AG62" i="1"/>
  <c r="BY81" i="36"/>
  <c r="DD27" i="37"/>
  <c r="AO75"/>
  <c r="CM30" i="40"/>
  <c r="CI48" i="36"/>
  <c r="BR67" i="1"/>
  <c r="H45" i="40"/>
  <c r="AQ91" i="36"/>
  <c r="CB75" i="26"/>
  <c r="DF103" i="25"/>
  <c r="M81" i="40"/>
  <c r="DE13" i="26"/>
  <c r="Y25" i="25"/>
  <c r="DC49" i="40"/>
  <c r="AN67" i="25"/>
  <c r="BW67" i="1"/>
  <c r="CJ58" i="39"/>
  <c r="G54" i="1"/>
  <c r="CM53" i="41"/>
  <c r="AR48"/>
  <c r="M91" i="1"/>
  <c r="CE9" i="38"/>
  <c r="DC45" i="1"/>
  <c r="CK21" i="38"/>
  <c r="V48" i="1"/>
  <c r="BO75" i="36"/>
  <c r="CJ45" i="39"/>
  <c r="L79" i="37"/>
  <c r="CE18" i="39"/>
  <c r="BU45"/>
  <c r="BR79" i="26"/>
  <c r="DF12" i="25"/>
  <c r="BC54" i="40"/>
  <c r="Z92" i="26"/>
  <c r="AU13" i="38"/>
  <c r="CT21" i="1"/>
  <c r="AC60" i="26"/>
  <c r="Y18" i="1"/>
  <c r="BY37" i="26"/>
  <c r="CW13" i="40"/>
  <c r="G65"/>
  <c r="M13" i="41"/>
  <c r="CH9" i="38"/>
  <c r="X48" i="1"/>
  <c r="J50" i="25"/>
  <c r="BC71" i="37"/>
  <c r="CX18" i="25"/>
  <c r="AY58" i="40"/>
  <c r="M60"/>
  <c r="BR59" i="26"/>
  <c r="AC48"/>
  <c r="AH24" i="38"/>
  <c r="AF92" i="36"/>
  <c r="AV17" i="41"/>
  <c r="BS24" i="40"/>
  <c r="BP29"/>
  <c r="AR17" i="38"/>
  <c r="BC91" i="36"/>
  <c r="CS24" i="25"/>
  <c r="CZ30" i="41"/>
  <c r="CR10" i="36"/>
  <c r="CU61" i="41"/>
  <c r="DB12" i="1"/>
  <c r="DB103" i="26"/>
  <c r="CT48" i="41"/>
  <c r="AG81" i="40"/>
  <c r="CQ53" i="26"/>
  <c r="DC48" i="36"/>
  <c r="AQ96" i="25"/>
  <c r="CV49" i="40"/>
  <c r="BU54" i="26"/>
  <c r="AA27" i="40"/>
  <c r="AX66" i="26"/>
  <c r="CM65" i="36"/>
  <c r="CK54"/>
  <c r="BD9" i="25"/>
  <c r="CS59" i="38"/>
  <c r="CN96" i="36"/>
  <c r="AC60" i="25"/>
  <c r="BR65" i="1"/>
  <c r="AN49"/>
  <c r="BY61" i="40"/>
  <c r="CX10" i="39"/>
  <c r="BB60" i="41"/>
  <c r="AE62"/>
  <c r="BP60" i="26"/>
  <c r="BH57" i="25"/>
  <c r="CJ26" i="1"/>
  <c r="BD66" i="41"/>
  <c r="N29"/>
  <c r="AM66" i="36"/>
  <c r="CR48" i="37"/>
  <c r="DC89" i="1"/>
  <c r="DE37" i="25"/>
  <c r="Y18" i="38"/>
  <c r="BI57" i="41"/>
  <c r="CA50" i="38"/>
  <c r="CI17" i="39"/>
  <c r="DF49" i="36"/>
  <c r="G60" i="25"/>
  <c r="J17" i="40"/>
  <c r="BC13" i="26"/>
  <c r="X27" i="36"/>
  <c r="AN27" i="39"/>
  <c r="AJ25" i="37"/>
  <c r="BX9"/>
  <c r="J102" i="41"/>
  <c r="CX26" i="25"/>
  <c r="AR25" i="41"/>
  <c r="CR75" i="26"/>
  <c r="BZ34"/>
  <c r="BE48" i="38"/>
  <c r="G75"/>
  <c r="BD60" i="26"/>
  <c r="AC98" i="36"/>
  <c r="CJ81" i="39"/>
  <c r="N91" i="26"/>
  <c r="AJ25" i="41"/>
  <c r="AF18" i="26"/>
  <c r="DC92" i="40"/>
  <c r="CI30" i="37"/>
  <c r="DA26" i="39"/>
  <c r="CV66" i="37"/>
  <c r="O24" i="40"/>
  <c r="T66" i="36"/>
  <c r="CS26" i="38"/>
  <c r="BZ45" i="1"/>
  <c r="DC59" i="39"/>
  <c r="DF75" i="41"/>
  <c r="BU18" i="36"/>
  <c r="AV30" i="25"/>
  <c r="CI34" i="1"/>
  <c r="Y61" i="40"/>
  <c r="U91" i="36"/>
  <c r="AF89" i="38"/>
  <c r="BR53" i="26"/>
  <c r="CY50" i="1"/>
  <c r="L59" i="39"/>
  <c r="AR34" i="40"/>
  <c r="BH17" i="1"/>
  <c r="CT81"/>
  <c r="AI102"/>
  <c r="BO10" i="39"/>
  <c r="CY67" i="38"/>
  <c r="K96" i="39"/>
  <c r="AO12"/>
  <c r="CT81" i="25"/>
  <c r="BA9" i="40"/>
  <c r="X54" i="38"/>
  <c r="V26" i="40"/>
  <c r="BF106" i="47"/>
  <c r="CF61" i="39"/>
  <c r="AU91" i="25"/>
  <c r="CB50"/>
  <c r="AN50" i="41"/>
  <c r="BX81" i="25"/>
  <c r="CC25" i="37"/>
  <c r="BD65" i="39"/>
  <c r="BV21" i="41"/>
  <c r="M81" i="38"/>
  <c r="AI57" i="36"/>
  <c r="AG91" i="25"/>
  <c r="BP29" i="37"/>
  <c r="DD79"/>
  <c r="CS25"/>
  <c r="P61"/>
  <c r="CF29" i="26"/>
  <c r="BS59" i="25"/>
  <c r="U65" i="36"/>
  <c r="CJ81" i="37"/>
  <c r="CN58" i="40"/>
  <c r="AS30" i="41"/>
  <c r="BW45"/>
  <c r="AW53" i="40"/>
  <c r="CH96" i="1"/>
  <c r="CN96" i="25"/>
  <c r="BR102" i="38"/>
  <c r="AA71" i="39"/>
  <c r="DF89" i="41"/>
  <c r="CU27"/>
  <c r="CM60"/>
  <c r="BR21"/>
  <c r="BA9" i="26"/>
  <c r="AJ98" i="39"/>
  <c r="V89" i="1"/>
  <c r="CY30" i="38"/>
  <c r="CW18"/>
  <c r="CV50" i="37"/>
  <c r="T96" i="41"/>
  <c r="AD49" i="1"/>
  <c r="AP89" i="40"/>
  <c r="BZ102" i="41"/>
  <c r="H25" i="36"/>
  <c r="BD67" i="26"/>
  <c r="AB65" i="38"/>
  <c r="CM67"/>
  <c r="AG81" i="39"/>
  <c r="BE81" i="26"/>
  <c r="CR81" i="41"/>
  <c r="M49" i="1"/>
  <c r="CW10" i="25"/>
  <c r="CA66" i="37"/>
  <c r="AH102" i="40"/>
  <c r="AV12" i="1"/>
  <c r="BR81" i="36"/>
  <c r="CC61" i="40"/>
  <c r="CW98" i="41"/>
  <c r="BT103" i="40"/>
  <c r="T29" i="36"/>
  <c r="AY17" i="40"/>
  <c r="BI30" i="37"/>
  <c r="AI92" i="26"/>
  <c r="CZ45" i="37"/>
  <c r="U27" i="38"/>
  <c r="X12" i="37"/>
  <c r="Z50" i="36"/>
  <c r="CV37" i="26"/>
  <c r="CI12" i="37"/>
  <c r="BW57" i="25"/>
  <c r="CP34" i="40"/>
  <c r="V71" i="25"/>
  <c r="CM30" i="26"/>
  <c r="BE54" i="40"/>
  <c r="M24" i="39"/>
  <c r="M18" i="36"/>
  <c r="M37" i="25"/>
  <c r="BC29" i="39"/>
  <c r="AZ58" i="37"/>
  <c r="AO53" i="36"/>
  <c r="BD66"/>
  <c r="AQ102" i="41"/>
  <c r="DD98" i="38"/>
  <c r="H18" i="46"/>
  <c r="BC66" i="36"/>
  <c r="M60" i="26"/>
  <c r="AR96" i="41"/>
  <c r="Z75" i="25"/>
  <c r="BV48" i="36"/>
  <c r="CF48" i="1"/>
  <c r="CA59" i="36"/>
  <c r="DD65"/>
  <c r="CK37" i="37"/>
  <c r="AI24" i="26"/>
  <c r="BP10" i="39"/>
  <c r="CH25" i="41"/>
  <c r="CY79"/>
  <c r="AY92" i="37"/>
  <c r="CQ45" i="25"/>
  <c r="CT9" i="1"/>
  <c r="CX17" i="41"/>
  <c r="BX13"/>
  <c r="BV17"/>
  <c r="BI57" i="25"/>
  <c r="K57" i="41"/>
  <c r="BO57" i="40"/>
  <c r="CW81" i="38"/>
  <c r="CW49" i="37"/>
  <c r="DC53"/>
  <c r="AN37" i="41"/>
  <c r="BC89" i="25"/>
  <c r="T66" i="39"/>
  <c r="T45" i="37"/>
  <c r="BY53" i="25"/>
  <c r="CB60" i="1"/>
  <c r="CT66" i="41"/>
  <c r="CE49" i="36"/>
  <c r="AC71" i="41"/>
  <c r="AQ92"/>
  <c r="BE102" i="25"/>
  <c r="CR45" i="26"/>
  <c r="CY30" i="1"/>
  <c r="CF17" i="41"/>
  <c r="AF34" i="40"/>
  <c r="Z61" i="41"/>
  <c r="O75" i="1"/>
  <c r="CE48" i="39"/>
  <c r="X66" i="40"/>
  <c r="BI48" i="41"/>
  <c r="CV91"/>
  <c r="AC62" i="25"/>
  <c r="CG21" i="36"/>
  <c r="AZ24" i="25"/>
  <c r="CC66" i="36"/>
  <c r="AM81" i="1"/>
  <c r="K57" i="37"/>
  <c r="AR92" i="1"/>
  <c r="AW59" i="37"/>
  <c r="CU53" i="26"/>
  <c r="T98" i="41"/>
  <c r="I18" i="39"/>
  <c r="AQ58" i="36"/>
  <c r="CT26" i="25"/>
  <c r="BB65" i="41"/>
  <c r="AT30" i="40"/>
  <c r="AD10" i="37"/>
  <c r="CZ96" i="38"/>
  <c r="BE126" i="47"/>
  <c r="CU12" i="40"/>
  <c r="AJ18" i="36"/>
  <c r="AE24" i="25"/>
  <c r="AD45" i="40"/>
  <c r="AB30" i="37"/>
  <c r="AI62"/>
  <c r="CB91" i="39"/>
  <c r="CR75" i="36"/>
  <c r="AT67" i="25"/>
  <c r="CR98" i="36"/>
  <c r="AV62" i="25"/>
  <c r="H81" i="40"/>
  <c r="AF61" i="36"/>
  <c r="BD92" i="39"/>
  <c r="CN96" i="41"/>
  <c r="BS65" i="37"/>
  <c r="CN59" i="38"/>
  <c r="M37" i="41"/>
  <c r="CV13" i="36"/>
  <c r="AM29" i="37"/>
  <c r="T102" i="1"/>
  <c r="AJ58"/>
  <c r="CV91" i="39"/>
  <c r="AA24" i="38"/>
  <c r="DC17" i="36"/>
  <c r="CY30" i="40"/>
  <c r="K49" i="38"/>
  <c r="BD27" i="36"/>
  <c r="CD62" i="26"/>
  <c r="AY75" i="41"/>
  <c r="AO81" i="1"/>
  <c r="K27" i="25"/>
  <c r="CN50" i="36"/>
  <c r="AC27" i="38"/>
  <c r="CI53" i="40"/>
  <c r="AW60" i="38"/>
  <c r="CE79" i="36"/>
  <c r="AS91" i="1"/>
  <c r="CT65" i="36"/>
  <c r="AF67" i="38"/>
  <c r="CH92" i="25"/>
  <c r="BC92"/>
  <c r="AP54" i="37"/>
  <c r="CP91" i="39"/>
  <c r="AW13" i="41"/>
  <c r="BY98" i="1"/>
  <c r="BV24" i="39"/>
  <c r="CJ66" i="1"/>
  <c r="CO75" i="37"/>
  <c r="BB89" i="25"/>
  <c r="CY102" i="1"/>
  <c r="CN59" i="39"/>
  <c r="CY9" i="36"/>
  <c r="CE37" i="1"/>
  <c r="CB49" i="41"/>
  <c r="BU30" i="39"/>
  <c r="I91" i="38"/>
  <c r="BO60" i="36"/>
  <c r="K59"/>
  <c r="W37" i="26"/>
  <c r="AE102" i="36"/>
  <c r="AD61"/>
  <c r="AE29" i="40"/>
  <c r="AY9" i="26"/>
  <c r="I60" i="40"/>
  <c r="J79" i="36"/>
  <c r="AQ92" i="25"/>
  <c r="AP53" i="40"/>
  <c r="AP66" i="39"/>
  <c r="CJ60" i="40"/>
  <c r="AX17" i="26"/>
  <c r="DF29" i="40"/>
  <c r="CC37"/>
  <c r="AV65" i="36"/>
  <c r="AO10" i="38"/>
  <c r="BY29" i="25"/>
  <c r="P58" i="39"/>
  <c r="BS102"/>
  <c r="CE102" i="26"/>
  <c r="CL81" i="36"/>
  <c r="BH89" i="41"/>
  <c r="CS25" i="39"/>
  <c r="BR25" i="25"/>
  <c r="DC71" i="38"/>
  <c r="BS21"/>
  <c r="DC53" i="25"/>
  <c r="AE89" i="41"/>
  <c r="CI75" i="36"/>
  <c r="DD89"/>
  <c r="AJ67" i="37"/>
  <c r="AE61"/>
  <c r="AI25" i="38"/>
  <c r="V27"/>
  <c r="BQ57" i="1"/>
  <c r="H29" i="36"/>
  <c r="AX79" i="1"/>
  <c r="K98" i="26"/>
  <c r="CE26" i="25"/>
  <c r="CV59" i="38"/>
  <c r="CW71"/>
  <c r="CC37" i="37"/>
  <c r="CN103" i="41"/>
  <c r="X45" i="38"/>
  <c r="BU50"/>
  <c r="CZ13" i="26"/>
  <c r="N75" i="1"/>
  <c r="DA75" i="37"/>
  <c r="CM18" i="1"/>
  <c r="CQ57" i="41"/>
  <c r="BI50" i="1"/>
  <c r="CY21" i="25"/>
  <c r="BF118" i="47"/>
  <c r="AU71" i="25"/>
  <c r="CO30" i="26"/>
  <c r="BV57" i="1"/>
  <c r="O9" i="59"/>
  <c r="CP34" i="36"/>
  <c r="T21" i="25"/>
  <c r="AG89" i="38"/>
  <c r="CC49" i="36"/>
  <c r="BU96" i="41"/>
  <c r="AY75" i="36"/>
  <c r="CK53" i="25"/>
  <c r="CP17" i="1"/>
  <c r="BB9" i="25"/>
  <c r="CT27" i="36"/>
  <c r="N9" i="40"/>
  <c r="AE25" i="26"/>
  <c r="CB13" i="36"/>
  <c r="BT71" i="40"/>
  <c r="BO10" i="26"/>
  <c r="BI10" i="39"/>
  <c r="CC9" i="41"/>
  <c r="CZ18" i="38"/>
  <c r="CX66" i="1"/>
  <c r="CZ58" i="41"/>
  <c r="CE81"/>
  <c r="X62"/>
  <c r="CU81" i="36"/>
  <c r="BD91" i="38"/>
  <c r="DB37" i="37"/>
  <c r="AC61" i="26"/>
  <c r="I58" i="41"/>
  <c r="CI62" i="36"/>
  <c r="CK103" i="39"/>
  <c r="CW102"/>
  <c r="CW53" i="1"/>
  <c r="AB45" i="41"/>
  <c r="BZ37"/>
  <c r="CF79" i="37"/>
  <c r="AQ37" i="41"/>
  <c r="AO102" i="1"/>
  <c r="AU60" i="37"/>
  <c r="T10" i="39"/>
  <c r="BS12" i="37"/>
  <c r="CM65" i="41"/>
  <c r="BU62" i="36"/>
  <c r="H81" i="38"/>
  <c r="DA98" i="36"/>
  <c r="CQ91" i="39"/>
  <c r="CB75"/>
  <c r="I91" i="41"/>
  <c r="AU49" i="37"/>
  <c r="DA26" i="25"/>
  <c r="BA102" i="40"/>
  <c r="AX21"/>
  <c r="CA26" i="38"/>
  <c r="DE27" i="41"/>
  <c r="BS57" i="1"/>
  <c r="DA48" i="38"/>
  <c r="CY17"/>
  <c r="V58" i="40"/>
  <c r="AE21" i="1"/>
  <c r="DC58" i="41"/>
  <c r="BU29"/>
  <c r="W13" i="38"/>
  <c r="AY65" i="1"/>
  <c r="G29" i="41"/>
  <c r="I26" i="36"/>
  <c r="CZ12" i="25"/>
  <c r="I29" i="37"/>
  <c r="CY9"/>
  <c r="AM34" i="1"/>
  <c r="W34" i="36"/>
  <c r="AI18" i="40"/>
  <c r="CK65" i="25"/>
  <c r="CQ30" i="39"/>
  <c r="DB65" i="38"/>
  <c r="CQ9" i="26"/>
  <c r="CF62" i="38"/>
  <c r="AT27" i="26"/>
  <c r="M10" i="25"/>
  <c r="BH61" i="39"/>
  <c r="BU25" i="37"/>
  <c r="AM12" i="40"/>
  <c r="AY91" i="26"/>
  <c r="AV21" i="1"/>
  <c r="DA53" i="36"/>
  <c r="I57" i="40"/>
  <c r="T18" i="39"/>
  <c r="W27" i="40"/>
  <c r="AV57" i="36"/>
  <c r="CJ53" i="1"/>
  <c r="CM57" i="40"/>
  <c r="AS91" i="38"/>
  <c r="BY30" i="41"/>
  <c r="AH81" i="26"/>
  <c r="BW18" i="1"/>
  <c r="BU54" i="40"/>
  <c r="L48" i="36"/>
  <c r="BE71"/>
  <c r="BI59" i="25"/>
  <c r="DD49"/>
  <c r="CF17" i="40"/>
  <c r="AP102" i="41"/>
  <c r="AZ81" i="25"/>
  <c r="AT26" i="39"/>
  <c r="CX45" i="37"/>
  <c r="BU24"/>
  <c r="BX25" i="26"/>
  <c r="AP9" i="25"/>
  <c r="AX98" i="40"/>
  <c r="AA24" i="26"/>
  <c r="G91" i="36"/>
  <c r="BV29" i="25"/>
  <c r="CL26"/>
  <c r="AB30" i="36"/>
  <c r="AZ50"/>
  <c r="DD96" i="37"/>
  <c r="T102"/>
  <c r="AT75"/>
  <c r="CK37" i="25"/>
  <c r="BS34" i="37"/>
  <c r="X60"/>
  <c r="CO71" i="41"/>
  <c r="BR81"/>
  <c r="G96" i="37"/>
  <c r="CN37" i="41"/>
  <c r="AY67" i="1"/>
  <c r="L21" i="40"/>
  <c r="AQ53" i="36"/>
  <c r="CM34" i="1"/>
  <c r="AW59"/>
  <c r="M67" i="38"/>
  <c r="Y9" i="37"/>
  <c r="M98" i="41"/>
  <c r="O48" i="39"/>
  <c r="BX79" i="1"/>
  <c r="CU27" i="26"/>
  <c r="Z59" i="39"/>
  <c r="N17" i="41"/>
  <c r="M72" i="64"/>
  <c r="M25" i="37"/>
  <c r="BT79" i="39"/>
  <c r="Y65" i="41"/>
  <c r="BU71" i="39"/>
  <c r="CJ67" i="36"/>
  <c r="P81" i="40"/>
  <c r="BO30"/>
  <c r="K25" i="39"/>
  <c r="CF49" i="40"/>
  <c r="AW45" i="25"/>
  <c r="Z27" i="26"/>
  <c r="AY17"/>
  <c r="BT61" i="25"/>
  <c r="CD25" i="40"/>
  <c r="CW49" i="36"/>
  <c r="T102"/>
  <c r="K54" i="39"/>
  <c r="AZ26" i="37"/>
  <c r="AZ62" i="38"/>
  <c r="CN62" i="1"/>
  <c r="AJ89" i="26"/>
  <c r="CV50" i="38"/>
  <c r="BU61"/>
  <c r="AA58" i="1"/>
  <c r="AN54" i="36"/>
  <c r="CJ48" i="39"/>
  <c r="CR45" i="25"/>
  <c r="M91" i="64"/>
  <c r="CY54" i="38"/>
  <c r="Y65" i="37"/>
  <c r="DB54" i="1"/>
  <c r="BV12" i="26"/>
  <c r="BS24" i="41"/>
  <c r="CU50" i="40"/>
  <c r="BI66" i="1"/>
  <c r="CL34" i="38"/>
  <c r="CV53" i="40"/>
  <c r="BB54" i="26"/>
  <c r="AB45" i="37"/>
  <c r="AN54" i="38"/>
  <c r="CA58" i="37"/>
  <c r="CE60"/>
  <c r="AX24" i="26"/>
  <c r="CE24" i="25"/>
  <c r="AY30" i="40"/>
  <c r="BY26" i="38"/>
  <c r="AP18" i="40"/>
  <c r="J53" i="36"/>
  <c r="AB30" i="38"/>
  <c r="BE9" i="40"/>
  <c r="CT50" i="1"/>
  <c r="L67" i="40"/>
  <c r="AA92" i="26"/>
  <c r="CJ58" i="37"/>
  <c r="BS21"/>
  <c r="T13"/>
  <c r="I75" i="64"/>
  <c r="AO13" i="40"/>
  <c r="DB92" i="26"/>
  <c r="CZ49" i="41"/>
  <c r="CR62" i="39"/>
  <c r="AM18" i="37"/>
  <c r="AG59" i="38"/>
  <c r="CI103" i="40"/>
  <c r="CN103" i="37"/>
  <c r="CN92" i="38"/>
  <c r="AS27" i="26"/>
  <c r="AX10" i="36"/>
  <c r="AV89" i="26"/>
  <c r="BE9" i="41"/>
  <c r="BD59" i="38"/>
  <c r="AS81" i="1"/>
  <c r="CT96" i="38"/>
  <c r="P75" i="36"/>
  <c r="BZ98" i="1"/>
  <c r="DF45" i="39"/>
  <c r="CD30" i="41"/>
  <c r="J58" i="38"/>
  <c r="CZ48" i="26"/>
  <c r="I79" i="40"/>
  <c r="AQ91" i="25"/>
  <c r="U67" i="40"/>
  <c r="DF26" i="38"/>
  <c r="BO60" i="41"/>
  <c r="CN89" i="36"/>
  <c r="DD34" i="25"/>
  <c r="H54" i="41"/>
  <c r="H72" i="64"/>
  <c r="AX53" i="1"/>
  <c r="DF79" i="41"/>
  <c r="CE13"/>
  <c r="BZ98"/>
  <c r="CI89" i="26"/>
  <c r="CG29" i="40"/>
  <c r="M61"/>
  <c r="DF29" i="1"/>
  <c r="AR34" i="37"/>
  <c r="AZ102" i="39"/>
  <c r="CC30" i="36"/>
  <c r="AH61" i="1"/>
  <c r="AN13" i="39"/>
  <c r="BD62" i="25"/>
  <c r="CX66"/>
  <c r="AA50" i="37"/>
  <c r="AP57" i="26"/>
  <c r="DF67" i="25"/>
  <c r="CU62" i="37"/>
  <c r="G25" i="38"/>
  <c r="AJ71" i="1"/>
  <c r="DE12" i="40"/>
  <c r="BX54" i="1"/>
  <c r="CL21"/>
  <c r="CJ98" i="36"/>
  <c r="Z91" i="1"/>
  <c r="BZ50" i="38"/>
  <c r="CW34" i="37"/>
  <c r="K60" i="25"/>
  <c r="BI21" i="40"/>
  <c r="BA102" i="26"/>
  <c r="CD96" i="38"/>
  <c r="AP13" i="36"/>
  <c r="BU9" i="40"/>
  <c r="Z29" i="41"/>
  <c r="CU45" i="39"/>
  <c r="AF24" i="1"/>
  <c r="AI96" i="26"/>
  <c r="AJ96" i="36"/>
  <c r="AI12" i="1"/>
  <c r="CD75" i="25"/>
  <c r="AB98" i="39"/>
  <c r="CO89"/>
  <c r="CC91"/>
  <c r="BE10" i="26"/>
  <c r="BQ71" i="36"/>
  <c r="BT13" i="40"/>
  <c r="BQ10" i="1"/>
  <c r="BH13" i="37"/>
  <c r="Z91" i="25"/>
  <c r="H26" i="26"/>
  <c r="CW10" i="41"/>
  <c r="AR26" i="37"/>
  <c r="AY65" i="26"/>
  <c r="AT102" i="40"/>
  <c r="BU65" i="37"/>
  <c r="BV67" i="36"/>
  <c r="CI29" i="41"/>
  <c r="BS54" i="37"/>
  <c r="BX29" i="39"/>
  <c r="CD79"/>
  <c r="CC67" i="41"/>
  <c r="DD25" i="40"/>
  <c r="AH34" i="39"/>
  <c r="AJ54" i="1"/>
  <c r="CC25" i="25"/>
  <c r="AB98" i="40"/>
  <c r="BP10" i="36"/>
  <c r="AV25" i="38"/>
  <c r="CB98" i="1"/>
  <c r="BS24" i="39"/>
  <c r="CZ54" i="38"/>
  <c r="CR98" i="40"/>
  <c r="BH9" i="36"/>
  <c r="BU98" i="38"/>
  <c r="DB67"/>
  <c r="V91" i="40"/>
  <c r="BB61" i="25"/>
  <c r="AR75" i="40"/>
  <c r="BU26"/>
  <c r="W79" i="36"/>
  <c r="J11" i="59"/>
  <c r="L19"/>
  <c r="BP79" i="36"/>
  <c r="CY61"/>
  <c r="CA18" i="1"/>
  <c r="CL26" i="38"/>
  <c r="BQ26"/>
  <c r="CT29" i="39"/>
  <c r="CS65" i="26"/>
  <c r="AY59" i="40"/>
  <c r="CU10"/>
  <c r="CP25" i="1"/>
  <c r="P25" i="41"/>
  <c r="W54" i="36"/>
  <c r="I17" i="64"/>
  <c r="BQ54" i="1"/>
  <c r="J48" i="46"/>
  <c r="BC118" i="47"/>
  <c r="K18" i="46"/>
  <c r="I54" i="39"/>
  <c r="AY60" i="26"/>
  <c r="BO17" i="37"/>
  <c r="J24" i="60"/>
  <c r="H45" i="59"/>
  <c r="H51" i="46"/>
  <c r="M49" i="60"/>
  <c r="N26" i="1"/>
  <c r="L7" i="59"/>
  <c r="M57"/>
  <c r="E10" i="60"/>
  <c r="BO25" i="26"/>
  <c r="BA250" i="47"/>
  <c r="O37" i="59"/>
  <c r="BO54" i="40"/>
  <c r="I52" i="59"/>
  <c r="BB127" i="47"/>
  <c r="BE316"/>
  <c r="J25" i="39"/>
  <c r="BQ54"/>
  <c r="AI66" i="40"/>
  <c r="AE50" i="37"/>
  <c r="K16" i="60"/>
  <c r="CV26" i="37"/>
  <c r="T65" i="38"/>
  <c r="J47" i="60"/>
  <c r="G44"/>
  <c r="V25" i="39"/>
  <c r="AW66" i="26"/>
  <c r="AY123" i="47"/>
  <c r="H17" i="37"/>
  <c r="J25" i="26"/>
  <c r="H37" i="59"/>
  <c r="J25" i="25"/>
  <c r="S54" i="40"/>
  <c r="BE311" i="47"/>
  <c r="BY21" i="25"/>
  <c r="F20" i="46"/>
  <c r="AZ250" i="47"/>
  <c r="I55" i="64"/>
  <c r="K17" i="59"/>
  <c r="AZ124" i="47"/>
  <c r="CU26" i="38"/>
  <c r="AD50" i="41"/>
  <c r="K18" i="59"/>
  <c r="BD48" i="39"/>
  <c r="G95" i="64"/>
  <c r="H52" i="59"/>
  <c r="BP25" i="26"/>
  <c r="E12" i="64"/>
  <c r="J19"/>
  <c r="S25" i="1"/>
  <c r="M16" i="60"/>
  <c r="G86" i="64"/>
  <c r="CU26" i="36"/>
  <c r="BD311" i="47"/>
  <c r="BB125"/>
  <c r="CW26" i="37"/>
  <c r="H13" i="60"/>
  <c r="BD48" i="37"/>
  <c r="I10" i="59"/>
  <c r="S54" i="39"/>
  <c r="BF127" i="47"/>
  <c r="G16" i="60"/>
  <c r="O52" i="59"/>
  <c r="BQ79" i="25"/>
  <c r="J44" i="60"/>
  <c r="AW66" i="38"/>
  <c r="O8" i="59"/>
  <c r="BA106" i="47"/>
  <c r="G76" i="60"/>
  <c r="BQ79" i="1"/>
  <c r="AI66" i="36"/>
  <c r="O28" i="59"/>
  <c r="T59" i="26"/>
  <c r="M63" i="59"/>
  <c r="V25" i="1"/>
  <c r="H47" i="60"/>
  <c r="I28" i="59"/>
  <c r="AQ89" i="25"/>
  <c r="BP25" i="38"/>
  <c r="S37"/>
  <c r="O17" i="59"/>
  <c r="V26" i="37"/>
  <c r="BC316" i="47"/>
  <c r="AD50" i="39"/>
  <c r="G12" i="64"/>
  <c r="T89" i="1"/>
  <c r="AZ121" i="47"/>
  <c r="J52" i="59"/>
  <c r="H19" i="64"/>
  <c r="BP54" i="39"/>
  <c r="H91" i="60"/>
  <c r="L63" i="59"/>
  <c r="M76" i="60"/>
  <c r="AG49" i="41"/>
  <c r="BD48" i="38"/>
  <c r="BA122" i="47"/>
  <c r="E24" i="60"/>
  <c r="AW65" i="41"/>
  <c r="I66" i="46"/>
  <c r="CN49" i="26"/>
  <c r="V25" i="40"/>
  <c r="N45" i="59"/>
  <c r="CI50" i="36"/>
  <c r="K9" i="59"/>
  <c r="T60" i="40"/>
  <c r="DC37" i="36"/>
  <c r="I13" i="60"/>
  <c r="G89" i="64"/>
  <c r="BP17" i="37"/>
  <c r="X49" i="26"/>
  <c r="I18" i="46"/>
  <c r="I54" i="26"/>
  <c r="M37" i="59"/>
  <c r="BC311" i="47"/>
  <c r="W18" i="36"/>
  <c r="Z54" i="1"/>
  <c r="J17" i="59"/>
  <c r="W18" i="40"/>
  <c r="S25" i="36"/>
  <c r="AZ318" i="47"/>
  <c r="AI66" i="38"/>
  <c r="AZ123" i="47"/>
  <c r="J95" i="64"/>
  <c r="L53"/>
  <c r="J53"/>
  <c r="CI60" i="38"/>
  <c r="T25" i="39"/>
  <c r="CT13" i="41"/>
  <c r="AS13" i="38"/>
  <c r="AQ17" i="39"/>
  <c r="CP92" i="1"/>
  <c r="DF98" i="25"/>
  <c r="N34"/>
  <c r="CJ53" i="37"/>
  <c r="DF98" i="1"/>
  <c r="BR71" i="38"/>
  <c r="CF29" i="37"/>
  <c r="BA53" i="40"/>
  <c r="AB49" i="37"/>
  <c r="AM75" i="38"/>
  <c r="DA60" i="41"/>
  <c r="CC92" i="26"/>
  <c r="AH37" i="37"/>
  <c r="AQ25"/>
  <c r="CK66" i="38"/>
  <c r="AU81" i="39"/>
  <c r="AC26" i="37"/>
  <c r="CY24" i="26"/>
  <c r="CW49" i="40"/>
  <c r="DA37" i="39"/>
  <c r="AT102" i="41"/>
  <c r="DA98" i="39"/>
  <c r="AQ65"/>
  <c r="AZ17"/>
  <c r="BR61" i="40"/>
  <c r="CU53"/>
  <c r="AP12" i="37"/>
  <c r="AR24" i="41"/>
  <c r="BT92" i="26"/>
  <c r="CD25" i="36"/>
  <c r="AE37"/>
  <c r="AZ13" i="38"/>
  <c r="AA49"/>
  <c r="DD57" i="41"/>
  <c r="CX62" i="26"/>
  <c r="BZ65"/>
  <c r="BH65" i="39"/>
  <c r="CT91" i="37"/>
  <c r="AB30" i="26"/>
  <c r="AB67" i="1"/>
  <c r="CK89" i="40"/>
  <c r="CJ37" i="38"/>
  <c r="CJ60" i="41"/>
  <c r="BW89" i="36"/>
  <c r="BI67"/>
  <c r="Z81" i="39"/>
  <c r="BT9" i="1"/>
  <c r="CU81" i="26"/>
  <c r="BZ61" i="38"/>
  <c r="M96" i="40"/>
  <c r="CC26" i="41"/>
  <c r="CA89"/>
  <c r="L30"/>
  <c r="P13" i="26"/>
  <c r="N17" i="37"/>
  <c r="CS66" i="1"/>
  <c r="I26" i="38"/>
  <c r="V66" i="39"/>
  <c r="AV26" i="37"/>
  <c r="M65" i="39"/>
  <c r="AN21" i="1"/>
  <c r="DF12" i="40"/>
  <c r="CV13" i="39"/>
  <c r="CF81" i="1"/>
  <c r="BV71" i="26"/>
  <c r="L12" i="41"/>
  <c r="CI98"/>
  <c r="BB81" i="36"/>
  <c r="AR9"/>
  <c r="H30"/>
  <c r="DE27" i="37"/>
  <c r="CM13" i="36"/>
  <c r="CX12" i="25"/>
  <c r="CB12" i="37"/>
  <c r="CQ21" i="26"/>
  <c r="BT53" i="25"/>
  <c r="AM98"/>
  <c r="BC102" i="40"/>
  <c r="CN91" i="39"/>
  <c r="BS13" i="1"/>
  <c r="H24" i="26"/>
  <c r="BR67" i="41"/>
  <c r="CZ60" i="1"/>
  <c r="Y59" i="26"/>
  <c r="AN79" i="39"/>
  <c r="V18" i="36"/>
  <c r="BB61" i="39"/>
  <c r="O79" i="40"/>
  <c r="CP9"/>
  <c r="AB18"/>
  <c r="CC13" i="38"/>
  <c r="AV12"/>
  <c r="AQ26" i="36"/>
  <c r="CR25" i="1"/>
  <c r="AY102" i="37"/>
  <c r="CG96" i="1"/>
  <c r="CQ81" i="26"/>
  <c r="CC48" i="39"/>
  <c r="AM37" i="40"/>
  <c r="G34" i="39"/>
  <c r="BB58" i="38"/>
  <c r="N62" i="25"/>
  <c r="BB75" i="41"/>
  <c r="AU53" i="38"/>
  <c r="AT34" i="40"/>
  <c r="DB10" i="41"/>
  <c r="CC25" i="36"/>
  <c r="Z13"/>
  <c r="CO53" i="25"/>
  <c r="CV58" i="38"/>
  <c r="AM48" i="1"/>
  <c r="AQ58"/>
  <c r="Y75" i="37"/>
  <c r="AR59" i="38"/>
  <c r="CW96" i="39"/>
  <c r="CG58" i="36"/>
  <c r="CV103" i="26"/>
  <c r="W49" i="38"/>
  <c r="G89"/>
  <c r="CN13" i="39"/>
  <c r="CM37" i="36"/>
  <c r="AV34" i="39"/>
  <c r="L67" i="38"/>
  <c r="AN59" i="1"/>
  <c r="CQ9"/>
  <c r="AQ30" i="41"/>
  <c r="AS49" i="25"/>
  <c r="CB53" i="38"/>
  <c r="BP75" i="37"/>
  <c r="CK49" i="36"/>
  <c r="BI10" i="37"/>
  <c r="AR45"/>
  <c r="AZ27" i="38"/>
  <c r="BX17" i="39"/>
  <c r="CK81" i="41"/>
  <c r="DF21" i="39"/>
  <c r="BB75" i="38"/>
  <c r="BV45" i="26"/>
  <c r="BZ66" i="41"/>
  <c r="S96" i="40"/>
  <c r="AY81" i="39"/>
  <c r="CV34" i="41"/>
  <c r="BP37" i="37"/>
  <c r="AD13" i="41"/>
  <c r="AZ18" i="25"/>
  <c r="AP81"/>
  <c r="AE75" i="38"/>
  <c r="BW24" i="26"/>
  <c r="BH54" i="1"/>
  <c r="CC49" i="37"/>
  <c r="BY54" i="36"/>
  <c r="DC10" i="39"/>
  <c r="BC54" i="25"/>
  <c r="P30" i="40"/>
  <c r="AQ26"/>
  <c r="M27"/>
  <c r="CR29" i="37"/>
  <c r="AB27" i="40"/>
  <c r="DC10"/>
  <c r="BW54" i="41"/>
  <c r="BA71" i="39"/>
  <c r="CS17" i="37"/>
  <c r="CQ65" i="38"/>
  <c r="CZ71" i="1"/>
  <c r="BX24" i="37"/>
  <c r="AT61" i="38"/>
  <c r="DD45" i="1"/>
  <c r="BS37" i="40"/>
  <c r="S75" i="41"/>
  <c r="X45" i="1"/>
  <c r="BT49" i="38"/>
  <c r="BY18" i="36"/>
  <c r="AW67" i="40"/>
  <c r="AI53" i="36"/>
  <c r="H10" i="39"/>
  <c r="AF24" i="40"/>
  <c r="CU79" i="38"/>
  <c r="CP25" i="25"/>
  <c r="DE75" i="26"/>
  <c r="CP45" i="36"/>
  <c r="AR59" i="40"/>
  <c r="CF24"/>
  <c r="DF34" i="37"/>
  <c r="AB91" i="41"/>
  <c r="Y92" i="40"/>
  <c r="N96" i="1"/>
  <c r="T29" i="25"/>
  <c r="M53" i="59"/>
  <c r="V25" i="25"/>
  <c r="H50" i="36"/>
  <c r="BX102"/>
  <c r="BB21" i="26"/>
  <c r="AC60" i="38"/>
  <c r="CH54" i="1"/>
  <c r="AG60"/>
  <c r="CO30" i="39"/>
  <c r="I24"/>
  <c r="CA57" i="41"/>
  <c r="CO50" i="25"/>
  <c r="DB65" i="1"/>
  <c r="CR54" i="38"/>
  <c r="CD61" i="26"/>
  <c r="CT59" i="41"/>
  <c r="L91"/>
  <c r="CN98" i="36"/>
  <c r="BE27" i="39"/>
  <c r="DF67" i="26"/>
  <c r="CM26" i="25"/>
  <c r="CB30" i="40"/>
  <c r="AQ48" i="26"/>
  <c r="AA27" i="25"/>
  <c r="CJ29" i="26"/>
  <c r="AD25" i="1"/>
  <c r="U13" i="38"/>
  <c r="CW18" i="40"/>
  <c r="BU98" i="37"/>
  <c r="AC66" i="26"/>
  <c r="I66" i="40"/>
  <c r="CM75" i="25"/>
  <c r="AE30"/>
  <c r="BR50" i="36"/>
  <c r="CZ71" i="40"/>
  <c r="CI21" i="38"/>
  <c r="O25" i="26"/>
  <c r="CD91" i="36"/>
  <c r="CD75" i="41"/>
  <c r="CR34" i="26"/>
  <c r="AN37" i="39"/>
  <c r="DC66" i="1"/>
  <c r="CV9" i="39"/>
  <c r="AG34" i="36"/>
  <c r="V30"/>
  <c r="CK27"/>
  <c r="BW65" i="38"/>
  <c r="BS89" i="25"/>
  <c r="P53" i="41"/>
  <c r="DC62" i="39"/>
  <c r="CM37" i="25"/>
  <c r="BQ37" i="41"/>
  <c r="Y91" i="36"/>
  <c r="X12" i="40"/>
  <c r="P37" i="25"/>
  <c r="AE30" i="41"/>
  <c r="H89" i="36"/>
  <c r="AF29" i="1"/>
  <c r="CP81" i="40"/>
  <c r="K17" i="41"/>
  <c r="AP10" i="36"/>
  <c r="DB18" i="1"/>
  <c r="CG92" i="38"/>
  <c r="Y12" i="1"/>
  <c r="CT45" i="36"/>
  <c r="Z59" i="40"/>
  <c r="BU62" i="37"/>
  <c r="BQ103" i="40"/>
  <c r="BW12" i="25"/>
  <c r="CK92" i="36"/>
  <c r="P48"/>
  <c r="CB53" i="25"/>
  <c r="CS103" i="41"/>
  <c r="AV9" i="39"/>
  <c r="AT96"/>
  <c r="CJ61" i="36"/>
  <c r="BZ92" i="40"/>
  <c r="AE13" i="39"/>
  <c r="CC61" i="38"/>
  <c r="BO98"/>
  <c r="CS92" i="25"/>
  <c r="CZ25" i="38"/>
  <c r="BP34" i="26"/>
  <c r="CK60" i="39"/>
  <c r="BT103"/>
  <c r="BU53"/>
  <c r="AM29"/>
  <c r="T48" i="36"/>
  <c r="BC67" i="37"/>
  <c r="DD29" i="38"/>
  <c r="BO26" i="36"/>
  <c r="L71" i="26"/>
  <c r="U58" i="1"/>
  <c r="CA71" i="38"/>
  <c r="BT9" i="25"/>
  <c r="P59" i="40"/>
  <c r="G61" i="37"/>
  <c r="AW27" i="26"/>
  <c r="CV57" i="39"/>
  <c r="CS50" i="38"/>
  <c r="BH98"/>
  <c r="CG102" i="1"/>
  <c r="AE59" i="40"/>
  <c r="AE17" i="38"/>
  <c r="CY21" i="1"/>
  <c r="AE18" i="41"/>
  <c r="DC48" i="37"/>
  <c r="AO13" i="1"/>
  <c r="CJ26" i="38"/>
  <c r="AN53" i="1"/>
  <c r="BU61" i="37"/>
  <c r="BQ34" i="26"/>
  <c r="CG24" i="39"/>
  <c r="AA61" i="40"/>
  <c r="BR102" i="36"/>
  <c r="CN34" i="38"/>
  <c r="AD102" i="41"/>
  <c r="CZ71" i="37"/>
  <c r="CY25" i="1"/>
  <c r="CQ34" i="25"/>
  <c r="BE25" i="40"/>
  <c r="CW60" i="38"/>
  <c r="AC79" i="40"/>
  <c r="CD48"/>
  <c r="CF98" i="1"/>
  <c r="CW18" i="41"/>
  <c r="AO54" i="38"/>
  <c r="BU49" i="25"/>
  <c r="BI37" i="26"/>
  <c r="BS26" i="1"/>
  <c r="CO89"/>
  <c r="AM37" i="41"/>
  <c r="BU89" i="40"/>
  <c r="CB103"/>
  <c r="CZ24"/>
  <c r="I48" i="36"/>
  <c r="AN60" i="26"/>
  <c r="CK13" i="36"/>
  <c r="AD102" i="37"/>
  <c r="BE10" i="38"/>
  <c r="AU98" i="25"/>
  <c r="AR9" i="40"/>
  <c r="CX18"/>
  <c r="BH58" i="38"/>
  <c r="DB53" i="41"/>
  <c r="O60" i="25"/>
  <c r="T34" i="36"/>
  <c r="CZ54" i="26"/>
  <c r="J25" i="41"/>
  <c r="DD13" i="25"/>
  <c r="L12" i="39"/>
  <c r="BC57" i="25"/>
  <c r="BC34" i="40"/>
  <c r="BA21" i="26"/>
  <c r="W34" i="37"/>
  <c r="DC96" i="1"/>
  <c r="BS79" i="25"/>
  <c r="AX12"/>
  <c r="BH58" i="37"/>
  <c r="BH50" i="1"/>
  <c r="DB27" i="38"/>
  <c r="DF12" i="37"/>
  <c r="CI91" i="1"/>
  <c r="CF96" i="39"/>
  <c r="BA49" i="25"/>
  <c r="Z71" i="40"/>
  <c r="AA71" i="41"/>
  <c r="CE53" i="25"/>
  <c r="CT26" i="26"/>
  <c r="O27"/>
  <c r="CP30" i="41"/>
  <c r="DD37" i="36"/>
  <c r="AP66" i="41"/>
  <c r="CF89" i="36"/>
  <c r="BU37" i="38"/>
  <c r="DF75" i="37"/>
  <c r="AA18" i="40"/>
  <c r="CS9" i="39"/>
  <c r="BD45" i="38"/>
  <c r="J30" i="39"/>
  <c r="AX92" i="37"/>
  <c r="CY45" i="36"/>
  <c r="BX65" i="40"/>
  <c r="CC59" i="37"/>
  <c r="CD25" i="26"/>
  <c r="CO89" i="38"/>
  <c r="BC66" i="26"/>
  <c r="AH98" i="37"/>
  <c r="P29" i="38"/>
  <c r="CM61" i="26"/>
  <c r="N45"/>
  <c r="Z49"/>
  <c r="DE79" i="38"/>
  <c r="CH10" i="39"/>
  <c r="CZ98" i="37"/>
  <c r="BR54" i="26"/>
  <c r="CM65"/>
  <c r="N18" i="1"/>
  <c r="BS49" i="37"/>
  <c r="M71" i="1"/>
  <c r="CY81" i="36"/>
  <c r="CB91" i="25"/>
  <c r="G58" i="37"/>
  <c r="AD10" i="25"/>
  <c r="AF25" i="1"/>
  <c r="G26"/>
  <c r="AV45" i="40"/>
  <c r="BY65"/>
  <c r="BD81"/>
  <c r="K79" i="25"/>
  <c r="AO98" i="40"/>
  <c r="AQ25" i="36"/>
  <c r="CG9"/>
  <c r="BZ18" i="38"/>
  <c r="Z29" i="26"/>
  <c r="T49" i="38"/>
  <c r="AU96" i="25"/>
  <c r="CO37" i="26"/>
  <c r="DA62" i="40"/>
  <c r="BE24" i="39"/>
  <c r="N96" i="25"/>
  <c r="CD81" i="1"/>
  <c r="BC58" i="36"/>
  <c r="X66" i="26"/>
  <c r="BA75" i="1"/>
  <c r="CZ92" i="37"/>
  <c r="DD45"/>
  <c r="AQ29" i="40"/>
  <c r="G49" i="26"/>
  <c r="BA75" i="41"/>
  <c r="N13" i="39"/>
  <c r="CK45" i="26"/>
  <c r="BT45" i="40"/>
  <c r="AM10" i="36"/>
  <c r="AY58" i="1"/>
  <c r="BV49" i="38"/>
  <c r="L59" i="37"/>
  <c r="BE18" i="40"/>
  <c r="BU65" i="25"/>
  <c r="BZ37"/>
  <c r="P89"/>
  <c r="P10" i="40"/>
  <c r="BO89" i="25"/>
  <c r="CP17" i="38"/>
  <c r="Y25"/>
  <c r="CX48" i="1"/>
  <c r="U57"/>
  <c r="BB67" i="26"/>
  <c r="BC49" i="25"/>
  <c r="V18" i="37"/>
  <c r="AS71"/>
  <c r="BT29" i="25"/>
  <c r="CU45" i="40"/>
  <c r="AA12" i="36"/>
  <c r="BO61" i="26"/>
  <c r="CB12" i="39"/>
  <c r="P102" i="25"/>
  <c r="CO81"/>
  <c r="AP24" i="38"/>
  <c r="H92" i="41"/>
  <c r="BE26"/>
  <c r="CM17" i="37"/>
  <c r="CD54" i="36"/>
  <c r="CL66" i="26"/>
  <c r="CV66"/>
  <c r="AO59"/>
  <c r="AA26" i="1"/>
  <c r="AE60" i="25"/>
  <c r="I81" i="41"/>
  <c r="CB66" i="26"/>
  <c r="AU59"/>
  <c r="AY54" i="39"/>
  <c r="AQ48" i="38"/>
  <c r="BS92" i="25"/>
  <c r="AA17" i="26"/>
  <c r="AX92" i="1"/>
  <c r="CQ13" i="41"/>
  <c r="K59" i="38"/>
  <c r="AS34" i="1"/>
  <c r="AU45" i="25"/>
  <c r="W49" i="37"/>
  <c r="AC91" i="39"/>
  <c r="AV89" i="41"/>
  <c r="AH25" i="26"/>
  <c r="AF13" i="38"/>
  <c r="BB81"/>
  <c r="CQ60" i="40"/>
  <c r="BE10" i="25"/>
  <c r="CT26" i="38"/>
  <c r="F93" i="60"/>
  <c r="CG65" i="1"/>
  <c r="CK49" i="26"/>
  <c r="CQ18" i="36"/>
  <c r="CF12" i="41"/>
  <c r="CB58" i="37"/>
  <c r="I13" i="38"/>
  <c r="AO25" i="26"/>
  <c r="CJ102"/>
  <c r="AH75" i="37"/>
  <c r="BW10" i="1"/>
  <c r="CU79" i="25"/>
  <c r="CU103" i="37"/>
  <c r="AT91"/>
  <c r="AQ79" i="41"/>
  <c r="CA45" i="38"/>
  <c r="CN81" i="39"/>
  <c r="P58" i="36"/>
  <c r="M34" i="39"/>
  <c r="AA102" i="40"/>
  <c r="AB45" i="26"/>
  <c r="AA45" i="38"/>
  <c r="AS102" i="26"/>
  <c r="CH89" i="40"/>
  <c r="DA71" i="38"/>
  <c r="O29" i="26"/>
  <c r="CY48" i="36"/>
  <c r="T24" i="39"/>
  <c r="V92" i="38"/>
  <c r="AO62" i="36"/>
  <c r="DC92" i="25"/>
  <c r="Z57" i="1"/>
  <c r="BY45" i="40"/>
  <c r="AJ75" i="25"/>
  <c r="DD30" i="1"/>
  <c r="Z75" i="26"/>
  <c r="AX65" i="1"/>
  <c r="CT89" i="36"/>
  <c r="BR102" i="37"/>
  <c r="O67" i="41"/>
  <c r="BY48"/>
  <c r="N18" i="40"/>
  <c r="BB89" i="36"/>
  <c r="AR96" i="26"/>
  <c r="CX30" i="36"/>
  <c r="BT29" i="37"/>
  <c r="CO92" i="40"/>
  <c r="CP21"/>
  <c r="DE66" i="37"/>
  <c r="AU60" i="26"/>
  <c r="BE13" i="40"/>
  <c r="CX58" i="25"/>
  <c r="AN91" i="1"/>
  <c r="T66"/>
  <c r="W27" i="36"/>
  <c r="AN27" i="38"/>
  <c r="BQ89" i="37"/>
  <c r="AZ17" i="25"/>
  <c r="AF58"/>
  <c r="AM59" i="36"/>
  <c r="AN59" i="37"/>
  <c r="CF91" i="36"/>
  <c r="J30"/>
  <c r="BB98"/>
  <c r="CA48"/>
  <c r="AC27" i="40"/>
  <c r="CT71" i="38"/>
  <c r="AQ45" i="41"/>
  <c r="DE75" i="40"/>
  <c r="CX62" i="38"/>
  <c r="AP17" i="25"/>
  <c r="CI81" i="37"/>
  <c r="BE66" i="40"/>
  <c r="BE12" i="37"/>
  <c r="CP66" i="1"/>
  <c r="CI57" i="39"/>
  <c r="I34" i="36"/>
  <c r="BC50" i="39"/>
  <c r="T62" i="40"/>
  <c r="DB89" i="26"/>
  <c r="AD67"/>
  <c r="DB62" i="40"/>
  <c r="AZ37" i="38"/>
  <c r="AV57" i="40"/>
  <c r="AB60" i="39"/>
  <c r="N27" i="26"/>
  <c r="BX61" i="41"/>
  <c r="I61" i="26"/>
  <c r="BY24" i="1"/>
  <c r="BC17" i="40"/>
  <c r="DE10" i="38"/>
  <c r="CH61" i="1"/>
  <c r="DD27" i="39"/>
  <c r="CS92"/>
  <c r="AY60" i="38"/>
  <c r="N53" i="59"/>
  <c r="AC13" i="38"/>
  <c r="H76" i="60"/>
  <c r="CN26" i="40"/>
  <c r="CJ48" i="37"/>
  <c r="BE66" i="36"/>
  <c r="AS71" i="39"/>
  <c r="CQ30" i="37"/>
  <c r="CO92"/>
  <c r="BE89" i="26"/>
  <c r="AD53" i="38"/>
  <c r="CY53" i="26"/>
  <c r="L25" i="37"/>
  <c r="J37" i="39"/>
  <c r="DF103" i="41"/>
  <c r="CF45" i="25"/>
  <c r="AF9"/>
  <c r="BZ92" i="38"/>
  <c r="AA34" i="40"/>
  <c r="CZ12"/>
  <c r="O50" i="25"/>
  <c r="CB48"/>
  <c r="S81" i="36"/>
  <c r="CU37" i="41"/>
  <c r="AS89" i="25"/>
  <c r="J12" i="26"/>
  <c r="AX54" i="36"/>
  <c r="CH71" i="1"/>
  <c r="AT54"/>
  <c r="BS49" i="26"/>
  <c r="J91" i="37"/>
  <c r="CV45" i="39"/>
  <c r="BV102" i="25"/>
  <c r="CY67" i="41"/>
  <c r="H91"/>
  <c r="CB9" i="26"/>
  <c r="Z9" i="39"/>
  <c r="BS9" i="25"/>
  <c r="U49" i="40"/>
  <c r="CV65" i="26"/>
  <c r="BD96" i="1"/>
  <c r="AO66" i="41"/>
  <c r="BC81" i="37"/>
  <c r="BC65" i="1"/>
  <c r="AP9" i="40"/>
  <c r="G75" i="39"/>
  <c r="CX58" i="26"/>
  <c r="BD54"/>
  <c r="CY37" i="41"/>
  <c r="BT96" i="38"/>
  <c r="CQ79" i="41"/>
  <c r="H62" i="26"/>
  <c r="AE67" i="41"/>
  <c r="M65" i="40"/>
  <c r="BD98" i="37"/>
  <c r="CQ30" i="1"/>
  <c r="BB12" i="37"/>
  <c r="CG92" i="41"/>
  <c r="BQ71"/>
  <c r="DB58" i="36"/>
  <c r="BD37" i="40"/>
  <c r="CP25" i="39"/>
  <c r="AR92" i="37"/>
  <c r="BT91" i="41"/>
  <c r="CZ27"/>
  <c r="CN21" i="39"/>
  <c r="AA21" i="40"/>
  <c r="AH49" i="26"/>
  <c r="G102" i="1"/>
  <c r="W10" i="25"/>
  <c r="M57"/>
  <c r="H30" i="40"/>
  <c r="AV53" i="37"/>
  <c r="CF21" i="36"/>
  <c r="AY58" i="37"/>
  <c r="AM29" i="1"/>
  <c r="CF58" i="37"/>
  <c r="DB17" i="41"/>
  <c r="CY26"/>
  <c r="AD67" i="38"/>
  <c r="CF75" i="37"/>
  <c r="BS50" i="41"/>
  <c r="W58" i="25"/>
  <c r="CM49" i="41"/>
  <c r="BD57" i="39"/>
  <c r="AI71" i="37"/>
  <c r="CI24" i="1"/>
  <c r="CZ91" i="36"/>
  <c r="AO34" i="41"/>
  <c r="AR71" i="38"/>
  <c r="AO49" i="36"/>
  <c r="AO61" i="25"/>
  <c r="CU24"/>
  <c r="AP96" i="37"/>
  <c r="AC26" i="1"/>
  <c r="BD18" i="40"/>
  <c r="AC96" i="39"/>
  <c r="CE49" i="37"/>
  <c r="CZ48" i="1"/>
  <c r="U26"/>
  <c r="M48" i="40"/>
  <c r="AC18" i="36"/>
  <c r="BT26" i="37"/>
  <c r="DB18" i="40"/>
  <c r="DC13"/>
  <c r="CD27"/>
  <c r="N24" i="38"/>
  <c r="BO57" i="36"/>
  <c r="N102"/>
  <c r="AM57" i="41"/>
  <c r="BS45" i="25"/>
  <c r="CQ34" i="40"/>
  <c r="X92"/>
  <c r="V81"/>
  <c r="DF62" i="41"/>
  <c r="BB10" i="36"/>
  <c r="DB79" i="25"/>
  <c r="AZ102" i="40"/>
  <c r="DA54" i="37"/>
  <c r="H10" i="41"/>
  <c r="CG57" i="38"/>
  <c r="AO66"/>
  <c r="AI30" i="40"/>
  <c r="CV10" i="1"/>
  <c r="CG59" i="26"/>
  <c r="AJ60" i="38"/>
  <c r="AC96" i="41"/>
  <c r="AB59" i="1"/>
  <c r="S62" i="41"/>
  <c r="AQ61" i="39"/>
  <c r="AD61" i="37"/>
  <c r="CX103"/>
  <c r="AC24" i="25"/>
  <c r="BR59" i="36"/>
  <c r="AD75" i="38"/>
  <c r="CC59" i="36"/>
  <c r="CQ60" i="1"/>
  <c r="AI30"/>
  <c r="CV79" i="39"/>
  <c r="CH92" i="38"/>
  <c r="BC91" i="26"/>
  <c r="AT49" i="37"/>
  <c r="AE57" i="41"/>
  <c r="CZ29" i="1"/>
  <c r="CX10" i="26"/>
  <c r="T17" i="36"/>
  <c r="CC81" i="38"/>
  <c r="AV65" i="37"/>
  <c r="DA34" i="36"/>
  <c r="AN30" i="25"/>
  <c r="CH96"/>
  <c r="AZ79" i="38"/>
  <c r="AZ81" i="39"/>
  <c r="AA37" i="25"/>
  <c r="AC45" i="26"/>
  <c r="V71" i="41"/>
  <c r="AB96" i="40"/>
  <c r="AZ49"/>
  <c r="CI60" i="41"/>
  <c r="BT58" i="25"/>
  <c r="AO89"/>
  <c r="CZ45" i="39"/>
  <c r="AR66" i="36"/>
  <c r="BF130" i="47"/>
  <c r="M48" i="25"/>
  <c r="AN75" i="38"/>
  <c r="CB58" i="1"/>
  <c r="BC30"/>
  <c r="BW60"/>
  <c r="BS18" i="36"/>
  <c r="AQ67" i="25"/>
  <c r="CW71" i="37"/>
  <c r="AN61" i="41"/>
  <c r="CM60" i="40"/>
  <c r="BY66" i="26"/>
  <c r="AA59" i="37"/>
  <c r="CZ30" i="39"/>
  <c r="N62" i="41"/>
  <c r="BZ24"/>
  <c r="CU12" i="36"/>
  <c r="CG13" i="37"/>
  <c r="BE26" i="38"/>
  <c r="AX62" i="41"/>
  <c r="CY21" i="40"/>
  <c r="CP21" i="36"/>
  <c r="AH50" i="1"/>
  <c r="AS81" i="25"/>
  <c r="BV102" i="40"/>
  <c r="AC75" i="1"/>
  <c r="AH53"/>
  <c r="K65" i="40"/>
  <c r="DA57" i="38"/>
  <c r="U24" i="39"/>
  <c r="AX49" i="37"/>
  <c r="L49" i="25"/>
  <c r="BR92" i="26"/>
  <c r="AB102" i="38"/>
  <c r="BI57" i="37"/>
  <c r="CB61" i="38"/>
  <c r="CK37" i="1"/>
  <c r="CC49"/>
  <c r="BA66" i="36"/>
  <c r="CS60" i="39"/>
  <c r="DC9" i="38"/>
  <c r="CB59" i="37"/>
  <c r="CF29" i="41"/>
  <c r="DA102" i="1"/>
  <c r="BB27" i="36"/>
  <c r="BE58" i="39"/>
  <c r="AW61" i="1"/>
  <c r="Z57" i="25"/>
  <c r="AU17" i="36"/>
  <c r="DE65" i="39"/>
  <c r="CO96" i="38"/>
  <c r="CJ34" i="40"/>
  <c r="CY27" i="39"/>
  <c r="DD12" i="25"/>
  <c r="BD89" i="1"/>
  <c r="P58" i="40"/>
  <c r="CV45" i="36"/>
  <c r="AE21" i="40"/>
  <c r="CX30" i="25"/>
  <c r="CU62" i="36"/>
  <c r="AH57" i="26"/>
  <c r="AQ98" i="36"/>
  <c r="DF67" i="39"/>
  <c r="I71" i="37"/>
  <c r="AM45" i="1"/>
  <c r="CP98" i="39"/>
  <c r="W62" i="41"/>
  <c r="DB49" i="40"/>
  <c r="DB27" i="26"/>
  <c r="AS49" i="37"/>
  <c r="CM45" i="38"/>
  <c r="CL57" i="39"/>
  <c r="AJ50" i="37"/>
  <c r="L18" i="25"/>
  <c r="AY102" i="26"/>
  <c r="AU61" i="40"/>
  <c r="CQ13" i="1"/>
  <c r="BU103" i="36"/>
  <c r="CI60"/>
  <c r="V65" i="25"/>
  <c r="O57" i="40"/>
  <c r="S67" i="1"/>
  <c r="AN49" i="37"/>
  <c r="AV48" i="1"/>
  <c r="CO9"/>
  <c r="N10" i="37"/>
  <c r="AX17" i="1"/>
  <c r="CI9" i="26"/>
  <c r="CQ29"/>
  <c r="AI62" i="38"/>
  <c r="CV21" i="39"/>
  <c r="CM10" i="1"/>
  <c r="CM71" i="36"/>
  <c r="AP48" i="1"/>
  <c r="BT96" i="37"/>
  <c r="BV59" i="38"/>
  <c r="DD10" i="39"/>
  <c r="BH12" i="41"/>
  <c r="CY45" i="39"/>
  <c r="BV50" i="38"/>
  <c r="AM48" i="41"/>
  <c r="Y71" i="38"/>
  <c r="CA67" i="37"/>
  <c r="BH9" i="41"/>
  <c r="BE89" i="37"/>
  <c r="AE21" i="36"/>
  <c r="BW9" i="40"/>
  <c r="CO12" i="38"/>
  <c r="P13" i="25"/>
  <c r="G45" i="40"/>
  <c r="CW50" i="1"/>
  <c r="H89" i="39"/>
  <c r="AY98"/>
  <c r="I12" i="59"/>
  <c r="AJ98" i="25"/>
  <c r="CO54" i="37"/>
  <c r="AM66" i="39"/>
  <c r="AZ98" i="40"/>
  <c r="BY18" i="37"/>
  <c r="AP91" i="39"/>
  <c r="Y26" i="37"/>
  <c r="BR66" i="39"/>
  <c r="BU89" i="26"/>
  <c r="BG128" i="47"/>
  <c r="CO54" i="41"/>
  <c r="CU10" i="36"/>
  <c r="CZ17" i="1"/>
  <c r="BC96" i="26"/>
  <c r="BO26" i="39"/>
  <c r="AW62"/>
  <c r="AR60" i="26"/>
  <c r="X54" i="40"/>
  <c r="AC96" i="25"/>
  <c r="CZ103" i="40"/>
  <c r="P27" i="41"/>
  <c r="BZ79" i="25"/>
  <c r="BC54" i="39"/>
  <c r="AN13" i="25"/>
  <c r="CH10" i="26"/>
  <c r="AY30" i="41"/>
  <c r="CR58" i="26"/>
  <c r="CX13" i="38"/>
  <c r="AN49"/>
  <c r="V49" i="26"/>
  <c r="BU12" i="1"/>
  <c r="AM81" i="26"/>
  <c r="CV17" i="37"/>
  <c r="AR26" i="36"/>
  <c r="CW71" i="1"/>
  <c r="CB71" i="38"/>
  <c r="AO34" i="40"/>
  <c r="U13" i="36"/>
  <c r="AX62" i="26"/>
  <c r="CZ62" i="39"/>
  <c r="G6" i="60"/>
  <c r="DD96" i="41"/>
  <c r="BE79" i="1"/>
  <c r="CG17" i="40"/>
  <c r="BI45" i="38"/>
  <c r="AU58" i="1"/>
  <c r="AB24" i="39"/>
  <c r="DC29" i="36"/>
  <c r="P62" i="41"/>
  <c r="BD29" i="37"/>
  <c r="AW50" i="26"/>
  <c r="CC65" i="25"/>
  <c r="CW53"/>
  <c r="CF66" i="39"/>
  <c r="J60" i="36"/>
  <c r="CK21" i="1"/>
  <c r="CP54" i="36"/>
  <c r="CT25"/>
  <c r="K65" i="38"/>
  <c r="AH29" i="41"/>
  <c r="H12" i="38"/>
  <c r="AF54" i="37"/>
  <c r="DA50" i="39"/>
  <c r="BQ34" i="1"/>
  <c r="AW18"/>
  <c r="J59" i="39"/>
  <c r="DE45" i="1"/>
  <c r="AG66" i="26"/>
  <c r="AU48" i="38"/>
  <c r="CR30" i="40"/>
  <c r="AI48" i="26"/>
  <c r="Z91" i="40"/>
  <c r="L18" i="46"/>
  <c r="BV50" i="37"/>
  <c r="I10" i="40"/>
  <c r="BR50" i="26"/>
  <c r="CH26" i="36"/>
  <c r="BB24" i="26"/>
  <c r="AT62" i="37"/>
  <c r="AR13" i="41"/>
  <c r="BO10" i="37"/>
  <c r="AB96" i="39"/>
  <c r="Z89" i="38"/>
  <c r="Y17"/>
  <c r="CA27" i="1"/>
  <c r="CV71" i="38"/>
  <c r="AB65" i="39"/>
  <c r="AR62" i="41"/>
  <c r="CU62" i="39"/>
  <c r="W75"/>
  <c r="AI48"/>
  <c r="BX89" i="37"/>
  <c r="CW49" i="41"/>
  <c r="CG26" i="40"/>
  <c r="AA71" i="26"/>
  <c r="BT98"/>
  <c r="AU71" i="41"/>
  <c r="CR29" i="36"/>
  <c r="CC24" i="38"/>
  <c r="AP26" i="36"/>
  <c r="CV54" i="25"/>
  <c r="BS66" i="41"/>
  <c r="BA67" i="36"/>
  <c r="CJ58" i="38"/>
  <c r="BX65" i="37"/>
  <c r="CL61" i="40"/>
  <c r="DE92" i="37"/>
  <c r="CE66"/>
  <c r="I91" i="1"/>
  <c r="AS29" i="25"/>
  <c r="AY79" i="38"/>
  <c r="T24" i="37"/>
  <c r="CJ79" i="36"/>
  <c r="CR26"/>
  <c r="CX89" i="38"/>
  <c r="AP59" i="25"/>
  <c r="CO18" i="41"/>
  <c r="AX13" i="39"/>
  <c r="BU53" i="38"/>
  <c r="AJ10" i="26"/>
  <c r="CF57" i="25"/>
  <c r="CA18" i="40"/>
  <c r="CX50" i="36"/>
  <c r="CJ71" i="40"/>
  <c r="BO34"/>
  <c r="AN59" i="41"/>
  <c r="CC75" i="36"/>
  <c r="AZ66" i="41"/>
  <c r="CG12" i="1"/>
  <c r="AC10"/>
  <c r="I19" i="59"/>
  <c r="BE18" i="25"/>
  <c r="BU45" i="36"/>
  <c r="J65" i="25"/>
  <c r="CH12" i="1"/>
  <c r="CH21" i="26"/>
  <c r="BV54" i="40"/>
  <c r="AW37" i="38"/>
  <c r="BT21"/>
  <c r="CO37"/>
  <c r="N30" i="37"/>
  <c r="I92" i="26"/>
  <c r="J10" i="40"/>
  <c r="BR12" i="39"/>
  <c r="G29" i="40"/>
  <c r="CU92" i="37"/>
  <c r="AH9" i="40"/>
  <c r="CI54" i="36"/>
  <c r="BB10" i="25"/>
  <c r="AM98" i="38"/>
  <c r="BV59" i="1"/>
  <c r="BA34" i="40"/>
  <c r="BR37" i="26"/>
  <c r="CU65" i="37"/>
  <c r="CC102" i="26"/>
  <c r="CW98" i="40"/>
  <c r="CN53" i="36"/>
  <c r="AI26" i="25"/>
  <c r="Y45" i="1"/>
  <c r="AJ61" i="38"/>
  <c r="AR61"/>
  <c r="CL89" i="26"/>
  <c r="AD49" i="41"/>
  <c r="CO79" i="37"/>
  <c r="BD45"/>
  <c r="BZ24" i="39"/>
  <c r="AG34" i="25"/>
  <c r="CC62"/>
  <c r="CT71" i="1"/>
  <c r="CE49" i="40"/>
  <c r="CE96" i="41"/>
  <c r="DC96" i="25"/>
  <c r="DA62" i="1"/>
  <c r="BZ26" i="39"/>
  <c r="CK75" i="1"/>
  <c r="AW92"/>
  <c r="O67" i="37"/>
  <c r="AD53" i="25"/>
  <c r="BA13" i="26"/>
  <c r="BT53" i="41"/>
  <c r="CJ103" i="36"/>
  <c r="CX29" i="25"/>
  <c r="M102" i="38"/>
  <c r="BD49" i="39"/>
  <c r="BW18" i="25"/>
  <c r="W30" i="39"/>
  <c r="DD65" i="38"/>
  <c r="DC89" i="36"/>
  <c r="AY26" i="41"/>
  <c r="BR91" i="37"/>
  <c r="CJ25" i="41"/>
  <c r="AR21" i="37"/>
  <c r="Y9" i="25"/>
  <c r="BS24" i="1"/>
  <c r="CH12" i="25"/>
  <c r="L34" i="1"/>
  <c r="BV60" i="37"/>
  <c r="P12" i="59"/>
  <c r="BA91" i="26"/>
  <c r="AA48" i="36"/>
  <c r="BA30" i="1"/>
  <c r="O49" i="41"/>
  <c r="CB37"/>
  <c r="AX48" i="1"/>
  <c r="CE103" i="37"/>
  <c r="CE13" i="25"/>
  <c r="AR26" i="40"/>
  <c r="AP66" i="25"/>
  <c r="BY57" i="41"/>
  <c r="AX62" i="36"/>
  <c r="CG49" i="1"/>
  <c r="N11" i="59"/>
  <c r="BQ57" i="39"/>
  <c r="AX60" i="41"/>
  <c r="H60" i="1"/>
  <c r="J66" i="25"/>
  <c r="AM57" i="26"/>
  <c r="AD79" i="36"/>
  <c r="AV30" i="40"/>
  <c r="G76" i="64"/>
  <c r="K65" i="25"/>
  <c r="BR60" i="1"/>
  <c r="DC96" i="41"/>
  <c r="CH58" i="39"/>
  <c r="CI45" i="25"/>
  <c r="AC61" i="40"/>
  <c r="CE29"/>
  <c r="BR89" i="37"/>
  <c r="X24" i="26"/>
  <c r="Y81" i="37"/>
  <c r="CD79" i="26"/>
  <c r="BQ75" i="25"/>
  <c r="CS10" i="26"/>
  <c r="BD118" i="47"/>
  <c r="AA17" i="1"/>
  <c r="CE34" i="41"/>
  <c r="O62" i="40"/>
  <c r="CZ61" i="26"/>
  <c r="BV66" i="36"/>
  <c r="BE12" i="40"/>
  <c r="AI65" i="25"/>
  <c r="CX92" i="36"/>
  <c r="BZ91" i="40"/>
  <c r="AH50" i="38"/>
  <c r="CW62" i="36"/>
  <c r="AY29" i="26"/>
  <c r="DE21" i="1"/>
  <c r="BE37" i="39"/>
  <c r="DE50" i="38"/>
  <c r="AW89" i="25"/>
  <c r="BB24" i="40"/>
  <c r="BX81" i="36"/>
  <c r="N9" i="38"/>
  <c r="AP54" i="1"/>
  <c r="N58"/>
  <c r="BW26" i="40"/>
  <c r="AG34"/>
  <c r="O67" i="38"/>
  <c r="BI27" i="39"/>
  <c r="CP34"/>
  <c r="BB54"/>
  <c r="J96"/>
  <c r="AZ61" i="40"/>
  <c r="G79" i="1"/>
  <c r="CE71" i="41"/>
  <c r="BI58" i="39"/>
  <c r="Z24" i="38"/>
  <c r="AJ50" i="25"/>
  <c r="AJ102" i="38"/>
  <c r="CZ67"/>
  <c r="DD48" i="26"/>
  <c r="CE62" i="39"/>
  <c r="BR65" i="41"/>
  <c r="Z75" i="36"/>
  <c r="DE103" i="37"/>
  <c r="CZ59" i="41"/>
  <c r="AP27" i="26"/>
  <c r="BU103" i="1"/>
  <c r="BD89" i="41"/>
  <c r="BX71" i="39"/>
  <c r="K9" i="41"/>
  <c r="K17" i="36"/>
  <c r="G92" i="38"/>
  <c r="M49" i="36"/>
  <c r="BE92" i="40"/>
  <c r="N18" i="59"/>
  <c r="CL98" i="40"/>
  <c r="BT27" i="39"/>
  <c r="CX54" i="41"/>
  <c r="K54" i="26"/>
  <c r="AN54" i="40"/>
  <c r="X49" i="41"/>
  <c r="M76" i="64"/>
  <c r="S37" i="40"/>
  <c r="BP17" i="1"/>
  <c r="BG315" i="47"/>
  <c r="E89" i="64"/>
  <c r="AW65" i="38"/>
  <c r="AI66" i="1"/>
  <c r="J25" i="38"/>
  <c r="T60" i="26"/>
  <c r="F67" i="64"/>
  <c r="I88"/>
  <c r="BP54" i="38"/>
  <c r="F19" i="64"/>
  <c r="N10" i="59"/>
  <c r="T59" i="36"/>
  <c r="I57" i="59"/>
  <c r="G54" i="64"/>
  <c r="BG318" i="47"/>
  <c r="T59" i="41"/>
  <c r="W18"/>
  <c r="DC37" i="37"/>
  <c r="AQ89" i="36"/>
  <c r="W18" i="25"/>
  <c r="L22" i="60"/>
  <c r="J46" i="59"/>
  <c r="BQ25" i="39"/>
  <c r="L8" i="59"/>
  <c r="T59" i="1"/>
  <c r="AY104" i="47" s="1"/>
  <c r="F10" i="60"/>
  <c r="I22"/>
  <c r="M16" i="64"/>
  <c r="W54" i="40"/>
  <c r="K52" i="59"/>
  <c r="CW26" i="36"/>
  <c r="BP25" i="1"/>
  <c r="M10" i="59"/>
  <c r="K10"/>
  <c r="E16" i="60"/>
  <c r="X49" i="38"/>
  <c r="L53" i="59"/>
  <c r="AZ60" i="25"/>
  <c r="S17" i="39"/>
  <c r="I12" i="64"/>
  <c r="K63" i="59"/>
  <c r="K20" i="46"/>
  <c r="W54" i="1"/>
  <c r="BA315" i="47"/>
  <c r="BA108"/>
  <c r="BB59" i="38"/>
  <c r="M20" i="46"/>
  <c r="AY250" i="47"/>
  <c r="H18" i="1"/>
  <c r="AY316" i="47"/>
  <c r="G13" i="60"/>
  <c r="T59" i="38"/>
  <c r="T89" i="41"/>
  <c r="BP54" i="26"/>
  <c r="AI66" i="39"/>
  <c r="F49" i="60"/>
  <c r="G51" i="46"/>
  <c r="L24" i="60"/>
  <c r="V26" i="1"/>
  <c r="L54" i="64"/>
  <c r="V10" i="25"/>
  <c r="AT92" i="38"/>
  <c r="CT61" i="40"/>
  <c r="CO45" i="25"/>
  <c r="DB48" i="39"/>
  <c r="U37" i="1"/>
  <c r="V71" i="26"/>
  <c r="BT89" i="37"/>
  <c r="N89" i="38"/>
  <c r="CJ103" i="41"/>
  <c r="CY91"/>
  <c r="CH17" i="40"/>
  <c r="J62" i="26"/>
  <c r="AH81" i="36"/>
  <c r="BP102" i="39"/>
  <c r="CO48" i="37"/>
  <c r="CJ9" i="38"/>
  <c r="DA17" i="37"/>
  <c r="U30" i="41"/>
  <c r="CO58" i="39"/>
  <c r="CM25" i="1"/>
  <c r="AR18" i="39"/>
  <c r="D37" i="59"/>
  <c r="U54" i="25"/>
  <c r="CW79" i="36"/>
  <c r="Y10" i="38"/>
  <c r="BI34" i="40"/>
  <c r="CS59"/>
  <c r="CG60" i="26"/>
  <c r="CB65" i="37"/>
  <c r="N27" i="41"/>
  <c r="N75" i="38"/>
  <c r="BE45" i="39"/>
  <c r="DD18" i="37"/>
  <c r="BY79" i="25"/>
  <c r="CR9" i="1"/>
  <c r="W27" i="25"/>
  <c r="AG66" i="1"/>
  <c r="AZ75" i="40"/>
  <c r="CB18"/>
  <c r="BW66" i="26"/>
  <c r="M48" i="37"/>
  <c r="CU50" i="38"/>
  <c r="AS50" i="39"/>
  <c r="BX59" i="26"/>
  <c r="L48" i="39"/>
  <c r="W29" i="1"/>
  <c r="P7" i="59"/>
  <c r="AS12" i="41"/>
  <c r="AO50"/>
  <c r="AN61" i="38"/>
  <c r="AZ75" i="39"/>
  <c r="BC26" i="41"/>
  <c r="BR62" i="38"/>
  <c r="BD13" i="39"/>
  <c r="DC50"/>
  <c r="Y75" i="36"/>
  <c r="AR61" i="37"/>
  <c r="AE71" i="26"/>
  <c r="CW54" i="36"/>
  <c r="CI49" i="41"/>
  <c r="CT9" i="26"/>
  <c r="DE17" i="1"/>
  <c r="AG30" i="40"/>
  <c r="DF27" i="1"/>
  <c r="BE96" i="38"/>
  <c r="BX54" i="39"/>
  <c r="AM98" i="37"/>
  <c r="AM67" i="41"/>
  <c r="CU50" i="25"/>
  <c r="AV13" i="1"/>
  <c r="AQ17" i="36"/>
  <c r="CC27" i="39"/>
  <c r="AW96" i="38"/>
  <c r="O57" i="36"/>
  <c r="BV13" i="40"/>
  <c r="BB25" i="26"/>
  <c r="AU34"/>
  <c r="O53" i="38"/>
  <c r="J71" i="64"/>
  <c r="AG66" i="39"/>
  <c r="CG27"/>
  <c r="BS62" i="41"/>
  <c r="AE60" i="39"/>
  <c r="CG18" i="26"/>
  <c r="K81"/>
  <c r="DB37" i="38"/>
  <c r="AJ30" i="40"/>
  <c r="L75"/>
  <c r="AC92" i="38"/>
  <c r="BQ34" i="40"/>
  <c r="CM24" i="26"/>
  <c r="CU34" i="39"/>
  <c r="L65"/>
  <c r="BB10"/>
  <c r="CF10" i="37"/>
  <c r="AU66" i="41"/>
  <c r="BA71" i="38"/>
  <c r="CL34" i="36"/>
  <c r="AX34" i="1"/>
  <c r="AN45" i="38"/>
  <c r="AN26" i="36"/>
  <c r="V10" i="38"/>
  <c r="AX26" i="26"/>
  <c r="AM89" i="37"/>
  <c r="CR66" i="36"/>
  <c r="CJ24" i="39"/>
  <c r="BI21"/>
  <c r="DE54" i="41"/>
  <c r="U58" i="38"/>
  <c r="AA48" i="25"/>
  <c r="CX65" i="36"/>
  <c r="U67" i="39"/>
  <c r="I9" i="36"/>
  <c r="DB66" i="26"/>
  <c r="BR91" i="1"/>
  <c r="AR26" i="39"/>
  <c r="N18"/>
  <c r="AY102" i="36"/>
  <c r="AD66" i="39"/>
  <c r="CW21"/>
  <c r="AB67" i="37"/>
  <c r="AP62" i="40"/>
  <c r="AM96" i="41"/>
  <c r="W17" i="37"/>
  <c r="CQ58" i="26"/>
  <c r="Z26" i="40"/>
  <c r="AQ67" i="38"/>
  <c r="S96" i="26"/>
  <c r="CI49" i="25"/>
  <c r="L92" i="1"/>
  <c r="S65" i="37"/>
  <c r="AV25" i="41"/>
  <c r="BQ61" i="39"/>
  <c r="BD21"/>
  <c r="CT103" i="36"/>
  <c r="CY18"/>
  <c r="DD37" i="1"/>
  <c r="AW49" i="26"/>
  <c r="BU79"/>
  <c r="CR71" i="37"/>
  <c r="AF13" i="36"/>
  <c r="CK92" i="1"/>
  <c r="G37" i="39"/>
  <c r="CK61" i="36"/>
  <c r="CI25" i="40"/>
  <c r="AU37" i="41"/>
  <c r="DE49" i="36"/>
  <c r="Z62" i="39"/>
  <c r="DB45" i="40"/>
  <c r="CN75" i="1"/>
  <c r="CL21" i="25"/>
  <c r="CN34" i="36"/>
  <c r="U27" i="37"/>
  <c r="BW71"/>
  <c r="CS66" i="25"/>
  <c r="BR9" i="38"/>
  <c r="V54" i="39"/>
  <c r="CC18" i="26"/>
  <c r="CC103" i="41"/>
  <c r="BH21" i="1"/>
  <c r="CV17" i="40"/>
  <c r="I98" i="39"/>
  <c r="P37" i="40"/>
  <c r="M65" i="25"/>
  <c r="BZ10"/>
  <c r="AN18" i="1"/>
  <c r="BP61" i="38"/>
  <c r="CF67" i="36"/>
  <c r="CZ9" i="1"/>
  <c r="CO13" i="40"/>
  <c r="BQ27" i="25"/>
  <c r="CJ61"/>
  <c r="J71"/>
  <c r="L65" i="41"/>
  <c r="AI102"/>
  <c r="I29" i="39"/>
  <c r="CT71" i="40"/>
  <c r="BI27" i="25"/>
  <c r="CL53" i="1"/>
  <c r="S30" i="41"/>
  <c r="AB66" i="37"/>
  <c r="BD67" i="39"/>
  <c r="BT21"/>
  <c r="CY57" i="38"/>
  <c r="CG45" i="40"/>
  <c r="DF65" i="26"/>
  <c r="BY18" i="1"/>
  <c r="P17" i="36"/>
  <c r="N71" i="41"/>
  <c r="AH62"/>
  <c r="BS66" i="25"/>
  <c r="CA27" i="39"/>
  <c r="BP91" i="1"/>
  <c r="CS53" i="39"/>
  <c r="U45" i="41"/>
  <c r="O79" i="1"/>
  <c r="S48" i="36"/>
  <c r="AM81"/>
  <c r="BY49" i="1"/>
  <c r="AN27" i="25"/>
  <c r="DE60" i="41"/>
  <c r="BO62" i="38"/>
  <c r="AP13" i="40"/>
  <c r="AX79" i="37"/>
  <c r="BU24" i="26"/>
  <c r="W59" i="40"/>
  <c r="BE65" i="38"/>
  <c r="BS61" i="37"/>
  <c r="CJ27" i="40"/>
  <c r="CV50" i="41"/>
  <c r="CA71" i="36"/>
  <c r="K60"/>
  <c r="K96" i="37"/>
  <c r="AV54" i="26"/>
  <c r="G10" i="38"/>
  <c r="BA26" i="26"/>
  <c r="DC12" i="1"/>
  <c r="CG29" i="37"/>
  <c r="BE26" i="40"/>
  <c r="AY17" i="37"/>
  <c r="BP96" i="38"/>
  <c r="Z91" i="37"/>
  <c r="P21"/>
  <c r="L65"/>
  <c r="J64" i="64"/>
  <c r="CV24" i="38"/>
  <c r="CC48"/>
  <c r="CL71"/>
  <c r="CJ91" i="37"/>
  <c r="CG49" i="25"/>
  <c r="BO62" i="40"/>
  <c r="AZ13" i="1"/>
  <c r="CS91" i="39"/>
  <c r="BY89"/>
  <c r="BZ26" i="25"/>
  <c r="CR81"/>
  <c r="BE34"/>
  <c r="BH30" i="26"/>
  <c r="N66" i="39"/>
  <c r="AU89" i="25"/>
  <c r="AE92"/>
  <c r="AA25" i="1"/>
  <c r="CY71" i="39"/>
  <c r="AA89" i="1"/>
  <c r="I102" i="38"/>
  <c r="AC67"/>
  <c r="Y79" i="41"/>
  <c r="AF21" i="40"/>
  <c r="CH12" i="39"/>
  <c r="BP29" i="1"/>
  <c r="CP50" i="36"/>
  <c r="DF13" i="39"/>
  <c r="AQ29" i="25"/>
  <c r="BU54" i="38"/>
  <c r="CO75" i="41"/>
  <c r="BY10" i="1"/>
  <c r="AZ30" i="25"/>
  <c r="T98"/>
  <c r="CQ75" i="1"/>
  <c r="AY24" i="40"/>
  <c r="CU59"/>
  <c r="AW29" i="25"/>
  <c r="CB21"/>
  <c r="AW59" i="41"/>
  <c r="CI45"/>
  <c r="AQ75" i="26"/>
  <c r="J89" i="40"/>
  <c r="DE12" i="37"/>
  <c r="S59" i="26"/>
  <c r="J12" i="59"/>
  <c r="BX71" i="36"/>
  <c r="AB18" i="1"/>
  <c r="DC75"/>
  <c r="O65" i="41"/>
  <c r="AW26"/>
  <c r="BT66" i="26"/>
  <c r="DF58" i="25"/>
  <c r="BX25" i="38"/>
  <c r="G29" i="26"/>
  <c r="AB48" i="25"/>
  <c r="CN92" i="1"/>
  <c r="AJ49" i="39"/>
  <c r="BB30" i="26"/>
  <c r="V27" i="39"/>
  <c r="CF65" i="40"/>
  <c r="AO102"/>
  <c r="Y62" i="26"/>
  <c r="I61" i="25"/>
  <c r="W89" i="1"/>
  <c r="AF48" i="38"/>
  <c r="CD103" i="1"/>
  <c r="AI30" i="39"/>
  <c r="BV96" i="40"/>
  <c r="AX26" i="37"/>
  <c r="BB24"/>
  <c r="AV62" i="40"/>
  <c r="CR57" i="37"/>
  <c r="W61" i="1"/>
  <c r="N98" i="39"/>
  <c r="BB75" i="26"/>
  <c r="BA29" i="39"/>
  <c r="U25" i="1"/>
  <c r="CB9" i="39"/>
  <c r="AX30"/>
  <c r="BR29" i="25"/>
  <c r="CK66" i="1"/>
  <c r="AS18" i="39"/>
  <c r="BP61" i="37"/>
  <c r="AH92" i="36"/>
  <c r="BS67" i="38"/>
  <c r="DF62" i="25"/>
  <c r="CY10" i="38"/>
  <c r="CK24"/>
  <c r="I96"/>
  <c r="CD50" i="39"/>
  <c r="AP37" i="37"/>
  <c r="AT9" i="40"/>
  <c r="AR66" i="25"/>
  <c r="BB50" i="26"/>
  <c r="AN58" i="41"/>
  <c r="CW37" i="38"/>
  <c r="AT57" i="40"/>
  <c r="DD57" i="36"/>
  <c r="BH30" i="41"/>
  <c r="AP45" i="40"/>
  <c r="BX60" i="36"/>
  <c r="CW24" i="40"/>
  <c r="AW89"/>
  <c r="Y92" i="41"/>
  <c r="P37" i="1"/>
  <c r="H45" i="26"/>
  <c r="Y91"/>
  <c r="CK24" i="25"/>
  <c r="Z49" i="37"/>
  <c r="N60" i="39"/>
  <c r="BE13" i="36"/>
  <c r="DE98" i="40"/>
  <c r="DB12" i="41"/>
  <c r="BR9" i="25"/>
  <c r="AA102"/>
  <c r="CI24" i="26"/>
  <c r="CA98" i="37"/>
  <c r="Z67" i="25"/>
  <c r="BV58" i="1"/>
  <c r="CI61" i="41"/>
  <c r="BB21" i="40"/>
  <c r="DE26" i="25"/>
  <c r="BX96" i="37"/>
  <c r="AT13" i="41"/>
  <c r="AD102" i="38"/>
  <c r="BR18" i="40"/>
  <c r="AD89" i="26"/>
  <c r="S102" i="25"/>
  <c r="U34" i="36"/>
  <c r="Z81" i="26"/>
  <c r="AV37"/>
  <c r="T61" i="37"/>
  <c r="AI89" i="26"/>
  <c r="AJ13" i="39"/>
  <c r="AH29"/>
  <c r="CA67"/>
  <c r="L60"/>
  <c r="BA79" i="38"/>
  <c r="CZ13" i="37"/>
  <c r="CL92"/>
  <c r="CX21" i="36"/>
  <c r="BQ98" i="40"/>
  <c r="AT30" i="25"/>
  <c r="BZ79" i="36"/>
  <c r="CN91" i="41"/>
  <c r="DA49" i="40"/>
  <c r="AZ75" i="1"/>
  <c r="AO17"/>
  <c r="BH26" i="38"/>
  <c r="W48" i="36"/>
  <c r="V10" i="40"/>
  <c r="CJ25" i="36"/>
  <c r="CV96" i="37"/>
  <c r="CR49"/>
  <c r="CY25" i="39"/>
  <c r="DB13" i="26"/>
  <c r="DC71" i="25"/>
  <c r="AG75"/>
  <c r="CS61" i="40"/>
  <c r="AR21" i="26"/>
  <c r="AC53" i="36"/>
  <c r="CR30" i="39"/>
  <c r="AE30" i="26"/>
  <c r="U13" i="40"/>
  <c r="AJ25"/>
  <c r="AF12"/>
  <c r="CH26" i="1"/>
  <c r="AC65" i="41"/>
  <c r="CY30" i="37"/>
  <c r="BR53" i="40"/>
  <c r="AM96"/>
  <c r="M25" i="1"/>
  <c r="CM13" i="41"/>
  <c r="BW27" i="36"/>
  <c r="CB91" i="40"/>
  <c r="CO18" i="38"/>
  <c r="CE49" i="39"/>
  <c r="CK57" i="37"/>
  <c r="BC66" i="39"/>
  <c r="AH50" i="40"/>
  <c r="AM26" i="26"/>
  <c r="BW17" i="1"/>
  <c r="BR12" i="37"/>
  <c r="CI37" i="25"/>
  <c r="CC48" i="36"/>
  <c r="BT62"/>
  <c r="BH48" i="41"/>
  <c r="AY48" i="1"/>
  <c r="BE61" i="39"/>
  <c r="AO17" i="26"/>
  <c r="CO26" i="25"/>
  <c r="CV26"/>
  <c r="DD91" i="26"/>
  <c r="CX10" i="25"/>
  <c r="CA92" i="26"/>
  <c r="AR25" i="37"/>
  <c r="BV10" i="26"/>
  <c r="AH59" i="1"/>
  <c r="BV67" i="26"/>
  <c r="L49" i="38"/>
  <c r="AP37" i="40"/>
  <c r="BS27" i="38"/>
  <c r="CO98" i="26"/>
  <c r="CB49" i="37"/>
  <c r="CQ79" i="25"/>
  <c r="AZ34"/>
  <c r="AU53" i="26"/>
  <c r="AZ54" i="40"/>
  <c r="DD9"/>
  <c r="N24"/>
  <c r="BD27" i="25"/>
  <c r="BZ62" i="36"/>
  <c r="CO96" i="40"/>
  <c r="AF27" i="39"/>
  <c r="BA79" i="40"/>
  <c r="P48" i="41"/>
  <c r="CT21" i="37"/>
  <c r="BX75" i="39"/>
  <c r="BS29" i="40"/>
  <c r="DA61" i="38"/>
  <c r="AB58" i="37"/>
  <c r="M65" i="41"/>
  <c r="BO13" i="25"/>
  <c r="CA21"/>
  <c r="AF12" i="39"/>
  <c r="P9" i="40"/>
  <c r="Y81" i="25"/>
  <c r="T30" i="37"/>
  <c r="CJ54" i="41"/>
  <c r="CF12" i="36"/>
  <c r="CU59" i="26"/>
  <c r="BB24" i="1"/>
  <c r="CM26" i="37"/>
  <c r="AT71" i="38"/>
  <c r="DA50" i="41"/>
  <c r="K66" i="40"/>
  <c r="AV58" i="25"/>
  <c r="BT12" i="36"/>
  <c r="CI27" i="25"/>
  <c r="AE61" i="38"/>
  <c r="CH98"/>
  <c r="AP89" i="25"/>
  <c r="AE71"/>
  <c r="BT17" i="37"/>
  <c r="BP30" i="36"/>
  <c r="DC30" i="1"/>
  <c r="BS48" i="26"/>
  <c r="CD49" i="41"/>
  <c r="BU24" i="25"/>
  <c r="I66"/>
  <c r="DD21" i="38"/>
  <c r="CE67" i="39"/>
  <c r="CM60" i="26"/>
  <c r="BA65" i="36"/>
  <c r="CX79" i="37"/>
  <c r="CR37" i="38"/>
  <c r="BI61" i="26"/>
  <c r="Y26" i="39"/>
  <c r="BT89" i="40"/>
  <c r="BC50" i="26"/>
  <c r="AP18"/>
  <c r="AX61" i="25"/>
  <c r="AZ24" i="41"/>
  <c r="BI9" i="38"/>
  <c r="W65" i="40"/>
  <c r="DA81" i="41"/>
  <c r="N28" i="59"/>
  <c r="BD71" i="37"/>
  <c r="AD45" i="38"/>
  <c r="AX67" i="26"/>
  <c r="CW96" i="37"/>
  <c r="AZ9" i="1"/>
  <c r="AX10" i="39"/>
  <c r="BB17" i="40"/>
  <c r="CZ58" i="36"/>
  <c r="AJ12" i="37"/>
  <c r="AQ9" i="41"/>
  <c r="CP61" i="26"/>
  <c r="I57" i="36"/>
  <c r="CB67" i="38"/>
  <c r="E50" i="60"/>
  <c r="DA49" i="26"/>
  <c r="CK89" i="25"/>
  <c r="AT12" i="41"/>
  <c r="CT54" i="37"/>
  <c r="BS9"/>
  <c r="BP48" i="38"/>
  <c r="W48" i="40"/>
  <c r="CA75" i="36"/>
  <c r="CO79" i="39"/>
  <c r="AB18" i="37"/>
  <c r="CR24" i="25"/>
  <c r="BC81" i="40"/>
  <c r="AW9" i="41"/>
  <c r="N71" i="25"/>
  <c r="CV30" i="36"/>
  <c r="CL53" i="39"/>
  <c r="AE18" i="40"/>
  <c r="BR61" i="36"/>
  <c r="BV89" i="41"/>
  <c r="BT29"/>
  <c r="F17" i="64"/>
  <c r="CB25" i="25"/>
  <c r="AY18" i="37"/>
  <c r="BI37" i="25"/>
  <c r="BU66" i="26"/>
  <c r="CB9" i="38"/>
  <c r="AH59" i="26"/>
  <c r="U18" i="38"/>
  <c r="BB34" i="25"/>
  <c r="L9" i="26"/>
  <c r="CX34" i="37"/>
  <c r="DA27" i="1"/>
  <c r="M66" i="41"/>
  <c r="CU71" i="39"/>
  <c r="J79" i="37"/>
  <c r="DC58"/>
  <c r="AJ92" i="41"/>
  <c r="Z60" i="39"/>
  <c r="CZ24" i="37"/>
  <c r="CU13" i="1"/>
  <c r="CD60" i="39"/>
  <c r="AY12"/>
  <c r="CZ26" i="1"/>
  <c r="CY65" i="37"/>
  <c r="CW25" i="1"/>
  <c r="AF91" i="26"/>
  <c r="CR61"/>
  <c r="G96" i="36"/>
  <c r="DB54" i="39"/>
  <c r="BB66" i="1"/>
  <c r="AG67" i="38"/>
  <c r="J60" i="26"/>
  <c r="F90" i="60"/>
  <c r="CU10" i="39"/>
  <c r="CX58"/>
  <c r="BT49" i="26"/>
  <c r="Y18" i="37"/>
  <c r="CC29" i="36"/>
  <c r="DA98" i="40"/>
  <c r="L58" i="38"/>
  <c r="BT60" i="41"/>
  <c r="BQ27" i="40"/>
  <c r="DE71" i="1"/>
  <c r="CV103" i="25"/>
  <c r="DF62" i="39"/>
  <c r="CD58" i="25"/>
  <c r="BS30" i="36"/>
  <c r="O59" i="25"/>
  <c r="AH81" i="38"/>
  <c r="BU29" i="36"/>
  <c r="AF45"/>
  <c r="AP53" i="41"/>
  <c r="CY37" i="1"/>
  <c r="DB62" i="39"/>
  <c r="CT30" i="38"/>
  <c r="V30" i="40"/>
  <c r="CK54" i="1"/>
  <c r="CF9" i="36"/>
  <c r="CO34" i="38"/>
  <c r="CX102"/>
  <c r="BV21" i="25"/>
  <c r="BP57" i="40"/>
  <c r="AQ61" i="38"/>
  <c r="T62" i="1"/>
  <c r="AY107" i="47" s="1"/>
  <c r="AM75" i="41"/>
  <c r="AF12" i="1"/>
  <c r="M91" i="26"/>
  <c r="BA50" i="39"/>
  <c r="Y79" i="37"/>
  <c r="V67" i="41"/>
  <c r="BY75" i="26"/>
  <c r="Y30" i="38"/>
  <c r="BH50" i="41"/>
  <c r="Z37" i="38"/>
  <c r="W62"/>
  <c r="CJ98" i="37"/>
  <c r="DE29" i="39"/>
  <c r="BT61" i="36"/>
  <c r="CI59"/>
  <c r="BP61" i="1"/>
  <c r="K81" i="25"/>
  <c r="BS9" i="1"/>
  <c r="CR79" i="37"/>
  <c r="CQ17" i="41"/>
  <c r="AD18" i="1"/>
  <c r="DA45" i="36"/>
  <c r="CQ37"/>
  <c r="DC53" i="1"/>
  <c r="O92" i="25"/>
  <c r="G81"/>
  <c r="BS58" i="37"/>
  <c r="DD96" i="25"/>
  <c r="AH89" i="39"/>
  <c r="BE67" i="40"/>
  <c r="BR79" i="37"/>
  <c r="BW79" i="36"/>
  <c r="L81"/>
  <c r="AT17" i="37"/>
  <c r="N49" i="38"/>
  <c r="W57"/>
  <c r="L89" i="40"/>
  <c r="CE53" i="39"/>
  <c r="CS67" i="37"/>
  <c r="DD59" i="38"/>
  <c r="CX50" i="39"/>
  <c r="AC62" i="26"/>
  <c r="AT49" i="25"/>
  <c r="L49" i="1"/>
  <c r="CY26" i="40"/>
  <c r="AE25" i="38"/>
  <c r="DE60" i="36"/>
  <c r="N65" i="25"/>
  <c r="BP13" i="37"/>
  <c r="DC12" i="25"/>
  <c r="CC10" i="40"/>
  <c r="P79" i="25"/>
  <c r="AI26" i="26"/>
  <c r="AR25" i="38"/>
  <c r="BE45" i="36"/>
  <c r="BA21"/>
  <c r="AN17" i="41"/>
  <c r="BV29" i="1"/>
  <c r="Y98" i="40"/>
  <c r="DF96" i="39"/>
  <c r="CB60" i="25"/>
  <c r="CT61" i="26"/>
  <c r="AQ66" i="39"/>
  <c r="N47" i="59"/>
  <c r="BX12" i="38"/>
  <c r="CV61" i="37"/>
  <c r="CP65" i="26"/>
  <c r="AV61"/>
  <c r="CT66" i="38"/>
  <c r="CG9" i="39"/>
  <c r="CY61" i="38"/>
  <c r="AD66" i="26"/>
  <c r="BH25" i="38"/>
  <c r="Z98" i="1"/>
  <c r="AZ57" i="36"/>
  <c r="AQ37" i="37"/>
  <c r="BE67" i="25"/>
  <c r="CB30" i="41"/>
  <c r="CB12" i="38"/>
  <c r="CO92" i="36"/>
  <c r="CD48" i="38"/>
  <c r="AS91" i="26"/>
  <c r="BY75" i="39"/>
  <c r="BE91" i="38"/>
  <c r="BH12" i="25"/>
  <c r="AQ18" i="38"/>
  <c r="U62" i="1"/>
  <c r="CX18"/>
  <c r="AC10" i="41"/>
  <c r="AG61" i="36"/>
  <c r="BD34" i="40"/>
  <c r="I29"/>
  <c r="BE66" i="37"/>
  <c r="BU66"/>
  <c r="CM81" i="25"/>
  <c r="BX34" i="41"/>
  <c r="CC53" i="37"/>
  <c r="BE61" i="1"/>
  <c r="S75" i="36"/>
  <c r="L21" i="26"/>
  <c r="K96"/>
  <c r="CO103" i="1"/>
  <c r="BH61"/>
  <c r="AT27" i="36"/>
  <c r="P34" i="1"/>
  <c r="AC24" i="41"/>
  <c r="BX103" i="25"/>
  <c r="AD91" i="37"/>
  <c r="AF26" i="26"/>
  <c r="DF27" i="40"/>
  <c r="CY53" i="36"/>
  <c r="CC60" i="37"/>
  <c r="CL12" i="36"/>
  <c r="G92" i="26"/>
  <c r="AV89" i="40"/>
  <c r="BE130" i="47"/>
  <c r="CQ102" i="39"/>
  <c r="BW49" i="41"/>
  <c r="Y71" i="36"/>
  <c r="CH10" i="40"/>
  <c r="CT98" i="39"/>
  <c r="BV9" i="40"/>
  <c r="DD45" i="25"/>
  <c r="AH48" i="39"/>
  <c r="AJ50" i="41"/>
  <c r="CL29" i="39"/>
  <c r="AJ37" i="40"/>
  <c r="CO12"/>
  <c r="CE65"/>
  <c r="AW91" i="36"/>
  <c r="AR21" i="41"/>
  <c r="BA71" i="36"/>
  <c r="DF57" i="39"/>
  <c r="F50" i="46"/>
  <c r="AZ65" i="25"/>
  <c r="BW26" i="39"/>
  <c r="BX30" i="41"/>
  <c r="AA18" i="37"/>
  <c r="BX92" i="38"/>
  <c r="AT62"/>
  <c r="I37" i="36"/>
  <c r="BB58" i="41"/>
  <c r="AF26" i="25"/>
  <c r="AQ12" i="37"/>
  <c r="CK17" i="41"/>
  <c r="CZ34" i="38"/>
  <c r="AZ67"/>
  <c r="AT27" i="25"/>
  <c r="CT53" i="40"/>
  <c r="AH26" i="36"/>
  <c r="CG13" i="39"/>
  <c r="CP92" i="40"/>
  <c r="AN24" i="25"/>
  <c r="BI58" i="37"/>
  <c r="CQ21" i="36"/>
  <c r="I37" i="37"/>
  <c r="BA71" i="41"/>
  <c r="AE91"/>
  <c r="CU29" i="40"/>
  <c r="AP49" i="1"/>
  <c r="DB26" i="36"/>
  <c r="S29" i="40"/>
  <c r="CR24"/>
  <c r="K58" i="39"/>
  <c r="BG126" i="47"/>
  <c r="CE62" i="25"/>
  <c r="CI29" i="36"/>
  <c r="BW48" i="26"/>
  <c r="CW103" i="36"/>
  <c r="CP67" i="41"/>
  <c r="Y57" i="36"/>
  <c r="BE30" i="1"/>
  <c r="BO96"/>
  <c r="AG27"/>
  <c r="CZ18" i="36"/>
  <c r="AF53" i="37"/>
  <c r="BH89" i="36"/>
  <c r="CL96" i="25"/>
  <c r="AP61" i="40"/>
  <c r="AF25" i="41"/>
  <c r="M89" i="39"/>
  <c r="AR26" i="38"/>
  <c r="T34" i="37"/>
  <c r="CZ58" i="25"/>
  <c r="AX59" i="37"/>
  <c r="AZ30" i="1"/>
  <c r="BR81" i="40"/>
  <c r="AW17" i="1"/>
  <c r="CN45" i="39"/>
  <c r="U18" i="26"/>
  <c r="AY21" i="36"/>
  <c r="AV79" i="26"/>
  <c r="CW45" i="1"/>
  <c r="BC59"/>
  <c r="CM58" i="40"/>
  <c r="BY62" i="41"/>
  <c r="J49" i="25"/>
  <c r="AB37" i="1"/>
  <c r="AT53" i="37"/>
  <c r="BA27" i="38"/>
  <c r="CB29" i="1"/>
  <c r="BU53" i="41"/>
  <c r="AP24" i="40"/>
  <c r="AW26" i="38"/>
  <c r="AI81"/>
  <c r="AX25" i="41"/>
  <c r="DB96" i="25"/>
  <c r="CF89" i="41"/>
  <c r="CB37" i="36"/>
  <c r="BP29" i="26"/>
  <c r="AW57" i="36"/>
  <c r="AB48" i="41"/>
  <c r="I98" i="37"/>
  <c r="CC62"/>
  <c r="CK103" i="25"/>
  <c r="AC57" i="38"/>
  <c r="BU58"/>
  <c r="CB59" i="1"/>
  <c r="Z21" i="41"/>
  <c r="Y10" i="39"/>
  <c r="AG58" i="38"/>
  <c r="P26" i="41"/>
  <c r="BZ9" i="39"/>
  <c r="AS48" i="26"/>
  <c r="AV17" i="25"/>
  <c r="BQ61" i="40"/>
  <c r="AE75" i="37"/>
  <c r="AC71" i="36"/>
  <c r="L47" i="59"/>
  <c r="CX29" i="38"/>
  <c r="CO37" i="25"/>
  <c r="CJ62" i="1"/>
  <c r="DD103" i="40"/>
  <c r="AW12" i="38"/>
  <c r="K9" i="26"/>
  <c r="DA34" i="37"/>
  <c r="J81" i="41"/>
  <c r="CD17"/>
  <c r="AW54" i="36"/>
  <c r="CP59"/>
  <c r="G98" i="41"/>
  <c r="CD81" i="40"/>
  <c r="G81" i="41"/>
  <c r="H34" i="26"/>
  <c r="AV91" i="36"/>
  <c r="BW18" i="39"/>
  <c r="AF37" i="40"/>
  <c r="J18" i="1"/>
  <c r="J18" i="36"/>
  <c r="CV67" i="40"/>
  <c r="BA25"/>
  <c r="CP67" i="1"/>
  <c r="CT102" i="38"/>
  <c r="G96" i="1"/>
  <c r="CG45" i="38"/>
  <c r="O58" i="40"/>
  <c r="CL98" i="37"/>
  <c r="AS50"/>
  <c r="BW29" i="36"/>
  <c r="AJ61" i="37"/>
  <c r="BQ10" i="40"/>
  <c r="O61" i="38"/>
  <c r="CO50" i="36"/>
  <c r="CJ92" i="1"/>
  <c r="CU75"/>
  <c r="CX24" i="41"/>
  <c r="CS37" i="39"/>
  <c r="CA96" i="36"/>
  <c r="G60" i="40"/>
  <c r="X21" i="39"/>
  <c r="L96" i="37"/>
  <c r="BV54" i="26"/>
  <c r="AU25" i="39"/>
  <c r="AR92" i="25"/>
  <c r="BT57" i="41"/>
  <c r="BS92"/>
  <c r="CF62" i="39"/>
  <c r="CY49" i="26"/>
  <c r="AY81" i="41"/>
  <c r="DC91" i="25"/>
  <c r="BA53" i="36"/>
  <c r="CD91" i="41"/>
  <c r="AC102" i="1"/>
  <c r="T10" i="37"/>
  <c r="AU96"/>
  <c r="CN61" i="26"/>
  <c r="K61" i="36"/>
  <c r="DA81"/>
  <c r="CK24" i="37"/>
  <c r="AM12" i="41"/>
  <c r="CS12" i="26"/>
  <c r="BO59" i="1"/>
  <c r="BW25" i="39"/>
  <c r="DC24" i="36"/>
  <c r="AZ34" i="1"/>
  <c r="DA12" i="37"/>
  <c r="AD45" i="1"/>
  <c r="M57" i="36"/>
  <c r="AV24" i="38"/>
  <c r="BI57" i="40"/>
  <c r="CE53" i="1"/>
  <c r="M17" i="40"/>
  <c r="AO49" i="38"/>
  <c r="CE37" i="36"/>
  <c r="AM25" i="26"/>
  <c r="DC58" i="38"/>
  <c r="CE59" i="41"/>
  <c r="CS62" i="40"/>
  <c r="Y62" i="38"/>
  <c r="L27" i="37"/>
  <c r="CT27" i="25"/>
  <c r="O53" i="1"/>
  <c r="DD62" i="38"/>
  <c r="BH54" i="26"/>
  <c r="BU60" i="37"/>
  <c r="AZ48" i="41"/>
  <c r="CY37" i="40"/>
  <c r="K90" i="60"/>
  <c r="CM96" i="26"/>
  <c r="AV18" i="25"/>
  <c r="DF92" i="1"/>
  <c r="CI79"/>
  <c r="AQ58" i="38"/>
  <c r="AI13" i="41"/>
  <c r="AC50" i="25"/>
  <c r="BW25" i="26"/>
  <c r="O96" i="40"/>
  <c r="CK59" i="25"/>
  <c r="CP81"/>
  <c r="BY59" i="38"/>
  <c r="AA91" i="36"/>
  <c r="T45" i="40"/>
  <c r="J58" i="25"/>
  <c r="BY59" i="26"/>
  <c r="AP62" i="36"/>
  <c r="AO49" i="39"/>
  <c r="DB61" i="38"/>
  <c r="U92" i="25"/>
  <c r="AA91" i="38"/>
  <c r="CN53" i="39"/>
  <c r="BE54" i="26"/>
  <c r="CT17" i="39"/>
  <c r="CU21" i="26"/>
  <c r="BR30" i="38"/>
  <c r="AF27" i="36"/>
  <c r="BY45" i="26"/>
  <c r="CH60" i="39"/>
  <c r="CV89" i="26"/>
  <c r="CE61" i="39"/>
  <c r="CN9" i="40"/>
  <c r="AH61" i="38"/>
  <c r="CR18" i="25"/>
  <c r="CI81" i="39"/>
  <c r="CO37" i="36"/>
  <c r="AI65" i="41"/>
  <c r="AJ67"/>
  <c r="BP58" i="36"/>
  <c r="BW62"/>
  <c r="CF27" i="40"/>
  <c r="CE60" i="36"/>
  <c r="AD48"/>
  <c r="M79" i="41"/>
  <c r="AX62" i="39"/>
  <c r="BE106" i="47"/>
  <c r="N49" i="37"/>
  <c r="AT102" i="26"/>
  <c r="BU59" i="40"/>
  <c r="BA48" i="37"/>
  <c r="BE66" i="26"/>
  <c r="V79" i="39"/>
  <c r="DA48" i="36"/>
  <c r="BV79" i="25"/>
  <c r="DE65" i="38"/>
  <c r="AB54" i="26"/>
  <c r="V45" i="41"/>
  <c r="CV18" i="36"/>
  <c r="CQ25" i="38"/>
  <c r="AW34" i="26"/>
  <c r="CO67" i="25"/>
  <c r="DC96" i="26"/>
  <c r="BZ60" i="37"/>
  <c r="DC65" i="25"/>
  <c r="AI59" i="37"/>
  <c r="H10" i="26"/>
  <c r="AR62" i="38"/>
  <c r="CX45"/>
  <c r="X50" i="37"/>
  <c r="CV81"/>
  <c r="CI34" i="41"/>
  <c r="CH65" i="25"/>
  <c r="AE9" i="1"/>
  <c r="DB96" i="41"/>
  <c r="P60"/>
  <c r="CW50" i="39"/>
  <c r="DE59" i="37"/>
  <c r="N34" i="1"/>
  <c r="AE27" i="39"/>
  <c r="AC96" i="38"/>
  <c r="O75" i="36"/>
  <c r="BD57"/>
  <c r="CB61" i="39"/>
  <c r="AY13"/>
  <c r="L21" i="25"/>
  <c r="CW98"/>
  <c r="CK18" i="38"/>
  <c r="AW61" i="39"/>
  <c r="BZ60"/>
  <c r="AO79" i="41"/>
  <c r="CJ91" i="38"/>
  <c r="BP62" i="1"/>
  <c r="AH54" i="25"/>
  <c r="CM67" i="41"/>
  <c r="CV10"/>
  <c r="AW75" i="39"/>
  <c r="CL48" i="40"/>
  <c r="CG29" i="38"/>
  <c r="CB89" i="1"/>
  <c r="BD75" i="36"/>
  <c r="AJ65" i="25"/>
  <c r="AE18"/>
  <c r="CZ103" i="39"/>
  <c r="AC9" i="37"/>
  <c r="BU17" i="40"/>
  <c r="AE60" i="41"/>
  <c r="AC30" i="26"/>
  <c r="BS54" i="38"/>
  <c r="DD21" i="36"/>
  <c r="AD17" i="39"/>
  <c r="BB79"/>
  <c r="BB45" i="26"/>
  <c r="AN96" i="37"/>
  <c r="AG12" i="36"/>
  <c r="BD45"/>
  <c r="AC12"/>
  <c r="CN37" i="37"/>
  <c r="AM96" i="39"/>
  <c r="AZ91" i="36"/>
  <c r="AY17"/>
  <c r="BR12" i="1"/>
  <c r="CB59" i="39"/>
  <c r="AU48" i="40"/>
  <c r="BI66" i="39"/>
  <c r="AX53" i="40"/>
  <c r="CD45" i="36"/>
  <c r="BU59" i="1"/>
  <c r="CY92" i="36"/>
  <c r="CB59"/>
  <c r="AE27" i="41"/>
  <c r="CQ98" i="25"/>
  <c r="BP26" i="40"/>
  <c r="N58" i="26"/>
  <c r="H59" i="59"/>
  <c r="AR98" i="25"/>
  <c r="DD67" i="40"/>
  <c r="AE61" i="41"/>
  <c r="AN34" i="25"/>
  <c r="CN29" i="40"/>
  <c r="H34" i="1"/>
  <c r="CZ79" i="41"/>
  <c r="AU26" i="40"/>
  <c r="I13" i="26"/>
  <c r="Z21" i="38"/>
  <c r="N29" i="40"/>
  <c r="N24" i="41"/>
  <c r="DB53" i="37"/>
  <c r="G37" i="41"/>
  <c r="AA81"/>
  <c r="CK48" i="38"/>
  <c r="CV61" i="26"/>
  <c r="AY37" i="25"/>
  <c r="CV71" i="41"/>
  <c r="CC60" i="38"/>
  <c r="DD92" i="36"/>
  <c r="CW96"/>
  <c r="CJ61" i="40"/>
  <c r="BO102" i="36"/>
  <c r="AW79" i="26"/>
  <c r="I13" i="37"/>
  <c r="CR18" i="1"/>
  <c r="Y60" i="40"/>
  <c r="AF98" i="38"/>
  <c r="CU21" i="37"/>
  <c r="DC58" i="39"/>
  <c r="BZ50" i="26"/>
  <c r="CL89" i="1"/>
  <c r="AR65" i="38"/>
  <c r="BR71" i="40"/>
  <c r="AA49" i="36"/>
  <c r="G48" i="39"/>
  <c r="Z65" i="1"/>
  <c r="DC60" i="40"/>
  <c r="Z12" i="38"/>
  <c r="BX60" i="25"/>
  <c r="BA59" i="26"/>
  <c r="AH57" i="39"/>
  <c r="N54" i="38"/>
  <c r="CW13" i="26"/>
  <c r="CZ9" i="37"/>
  <c r="AP54" i="40"/>
  <c r="AH50" i="26"/>
  <c r="S59" i="1"/>
  <c r="I10" i="39"/>
  <c r="BZ53" i="25"/>
  <c r="CJ79" i="38"/>
  <c r="W29" i="26"/>
  <c r="DA89" i="38"/>
  <c r="AT96" i="1"/>
  <c r="O102" i="37"/>
  <c r="BI45" i="41"/>
  <c r="AR29" i="39"/>
  <c r="CU45" i="1"/>
  <c r="AV57" i="39"/>
  <c r="BO58" i="40"/>
  <c r="BP49" i="41"/>
  <c r="CF96" i="37"/>
  <c r="BU67" i="26"/>
  <c r="BP10" i="1"/>
  <c r="BU71" i="37"/>
  <c r="AV81" i="40"/>
  <c r="DF26" i="26"/>
  <c r="AC89" i="41"/>
  <c r="CI26" i="39"/>
  <c r="Y9"/>
  <c r="CL27" i="37"/>
  <c r="BU60" i="40"/>
  <c r="V60" i="41"/>
  <c r="CE25" i="25"/>
  <c r="CQ49" i="37"/>
  <c r="BD17" i="38"/>
  <c r="DD25" i="39"/>
  <c r="AV67"/>
  <c r="CI59" i="37"/>
  <c r="DE54" i="26"/>
  <c r="AE54" i="40"/>
  <c r="CM91" i="38"/>
  <c r="CZ53" i="26"/>
  <c r="BI59" i="36"/>
  <c r="DA27" i="37"/>
  <c r="H45" i="38"/>
  <c r="CQ54" i="39"/>
  <c r="U34" i="37"/>
  <c r="J9" i="25"/>
  <c r="AC98" i="40"/>
  <c r="BV98" i="25"/>
  <c r="V65" i="1"/>
  <c r="I98"/>
  <c r="CT75" i="41"/>
  <c r="AE13" i="25"/>
  <c r="CZ30" i="26"/>
  <c r="BC59" i="38"/>
  <c r="DA91" i="41"/>
  <c r="T24" i="25"/>
  <c r="H81"/>
  <c r="CT65"/>
  <c r="CO48" i="41"/>
  <c r="DE53" i="25"/>
  <c r="AY91" i="40"/>
  <c r="CR50" i="25"/>
  <c r="X50" i="38"/>
  <c r="DF24" i="40"/>
  <c r="BH17"/>
  <c r="CZ102" i="26"/>
  <c r="AC25"/>
  <c r="K25" i="1"/>
  <c r="DC57"/>
  <c r="AN54" i="26"/>
  <c r="CR13" i="41"/>
  <c r="BA125" i="47"/>
  <c r="BT9" i="38"/>
  <c r="BD24" i="36"/>
  <c r="DE50" i="1"/>
  <c r="BI59" i="38"/>
  <c r="AW21" i="39"/>
  <c r="AR58"/>
  <c r="CE17" i="40"/>
  <c r="G59" i="41"/>
  <c r="BD21" i="38"/>
  <c r="T45"/>
  <c r="BX75" i="26"/>
  <c r="CZ49" i="36"/>
  <c r="K71" i="38"/>
  <c r="CQ59" i="26"/>
  <c r="CF45" i="36"/>
  <c r="AY27" i="25"/>
  <c r="CD25"/>
  <c r="AS24" i="37"/>
  <c r="AR18" i="36"/>
  <c r="AO81" i="26"/>
  <c r="AI71"/>
  <c r="AF92" i="38"/>
  <c r="CH54" i="25"/>
  <c r="CI12" i="38"/>
  <c r="BR103" i="36"/>
  <c r="CR12" i="25"/>
  <c r="AO81"/>
  <c r="CK26"/>
  <c r="AJ60" i="37"/>
  <c r="BO91" i="39"/>
  <c r="DF21" i="40"/>
  <c r="G24" i="37"/>
  <c r="AA65" i="26"/>
  <c r="CA92" i="25"/>
  <c r="CM61" i="41"/>
  <c r="DE30" i="39"/>
  <c r="O49" i="38"/>
  <c r="P21" i="1"/>
  <c r="M30"/>
  <c r="BI59" i="26"/>
  <c r="AT25" i="37"/>
  <c r="CI91" i="25"/>
  <c r="Z54" i="38"/>
  <c r="AQ34" i="26"/>
  <c r="BY12"/>
  <c r="CV10" i="36"/>
  <c r="CX53" i="37"/>
  <c r="BC10"/>
  <c r="BU81" i="38"/>
  <c r="CS67" i="41"/>
  <c r="CV13" i="26"/>
  <c r="AR12" i="38"/>
  <c r="CC75" i="26"/>
  <c r="AV49" i="37"/>
  <c r="BP37" i="36"/>
  <c r="CO98" i="25"/>
  <c r="P26" i="38"/>
  <c r="H27" i="26"/>
  <c r="DB27" i="36"/>
  <c r="P10" i="26"/>
  <c r="AN29" i="40"/>
  <c r="CG29" i="1"/>
  <c r="CQ27" i="36"/>
  <c r="AR102"/>
  <c r="G30" i="38"/>
  <c r="AY27" i="40"/>
  <c r="O53" i="37"/>
  <c r="K57" i="1"/>
  <c r="AV21" i="26"/>
  <c r="H96" i="37"/>
  <c r="BX24" i="25"/>
  <c r="DD81" i="1"/>
  <c r="J57" i="37"/>
  <c r="CS96" i="38"/>
  <c r="CA58" i="1"/>
  <c r="V89" i="39"/>
  <c r="U59" i="36"/>
  <c r="AA54" i="25"/>
  <c r="CA45"/>
  <c r="AU81" i="41"/>
  <c r="CU50" i="36"/>
  <c r="BP59" i="37"/>
  <c r="AG58" i="25"/>
  <c r="CV12" i="40"/>
  <c r="BT27" i="26"/>
  <c r="N49" i="25"/>
  <c r="BA75" i="38"/>
  <c r="BR89" i="26"/>
  <c r="CV30"/>
  <c r="CF54" i="1"/>
  <c r="U60" i="25"/>
  <c r="CR75" i="37"/>
  <c r="N27"/>
  <c r="BE13" i="25"/>
  <c r="CJ66" i="41"/>
  <c r="AI91" i="39"/>
  <c r="CQ25" i="40"/>
  <c r="M81" i="39"/>
  <c r="I58"/>
  <c r="AW50" i="25"/>
  <c r="AG45" i="38"/>
  <c r="S79" i="1"/>
  <c r="CZ37"/>
  <c r="AD34" i="37"/>
  <c r="M102" i="25"/>
  <c r="CN37" i="1"/>
  <c r="T60" i="36"/>
  <c r="CI103" i="26"/>
  <c r="CG67" i="39"/>
  <c r="BX96"/>
  <c r="CB50" i="40"/>
  <c r="CN59" i="37"/>
  <c r="AU9"/>
  <c r="CS91" i="38"/>
  <c r="AS37" i="36"/>
  <c r="AQ81"/>
  <c r="T34" i="39"/>
  <c r="AM96" i="1"/>
  <c r="AP71" i="41"/>
  <c r="AY54" i="36"/>
  <c r="DB71" i="37"/>
  <c r="CP48" i="1"/>
  <c r="BV49" i="36"/>
  <c r="AN48" i="26"/>
  <c r="CD57" i="25"/>
  <c r="CG102" i="37"/>
  <c r="CW53"/>
  <c r="CC54" i="1"/>
  <c r="AU57" i="36"/>
  <c r="DF65" i="40"/>
  <c r="N66" i="36"/>
  <c r="BX67" i="38"/>
  <c r="AC54" i="40"/>
  <c r="BP71" i="1"/>
  <c r="AM10" i="39"/>
  <c r="AP34" i="1"/>
  <c r="CO54" i="25"/>
  <c r="J62" i="38"/>
  <c r="CE54" i="37"/>
  <c r="CD53" i="26"/>
  <c r="AP75" i="39"/>
  <c r="DB18" i="41"/>
  <c r="CW49" i="26"/>
  <c r="J89" i="1"/>
  <c r="DB25" i="25"/>
  <c r="AP21" i="39"/>
  <c r="CO29" i="37"/>
  <c r="BO71" i="39"/>
  <c r="CW103" i="1"/>
  <c r="BC30" i="39"/>
  <c r="N79"/>
  <c r="AW10" i="38"/>
  <c r="AI27" i="40"/>
  <c r="BY9"/>
  <c r="BD17" i="1"/>
  <c r="CG24" i="37"/>
  <c r="AO96" i="36"/>
  <c r="AY18" i="26"/>
  <c r="BZ57" i="37"/>
  <c r="Z18" i="25"/>
  <c r="CM21" i="26"/>
  <c r="AQ65"/>
  <c r="AH17" i="25"/>
  <c r="AJ49" i="26"/>
  <c r="BP96" i="37"/>
  <c r="AY92" i="26"/>
  <c r="CE96" i="36"/>
  <c r="AD89" i="37"/>
  <c r="S59" i="38"/>
  <c r="CS27" i="25"/>
  <c r="AN59"/>
  <c r="BW61" i="26"/>
  <c r="DC61" i="41"/>
  <c r="DA61" i="25"/>
  <c r="CV67" i="36"/>
  <c r="CR81" i="37"/>
  <c r="CZ102" i="40"/>
  <c r="CW45"/>
  <c r="CT58" i="36"/>
  <c r="DE34" i="25"/>
  <c r="V61" i="26"/>
  <c r="BW89" i="38"/>
  <c r="CD60" i="40"/>
  <c r="CS9" i="26"/>
  <c r="AV45" i="41"/>
  <c r="BZ57" i="36"/>
  <c r="AB10" i="37"/>
  <c r="AZ96" i="41"/>
  <c r="CU10" i="37"/>
  <c r="AU27" i="25"/>
  <c r="J13" i="40"/>
  <c r="AT17" i="38"/>
  <c r="AP13" i="26"/>
  <c r="CR59" i="25"/>
  <c r="CC26" i="39"/>
  <c r="DD29" i="40"/>
  <c r="CX103" i="36"/>
  <c r="AG29" i="26"/>
  <c r="CV66" i="40"/>
  <c r="J29" i="39"/>
  <c r="AA79"/>
  <c r="BH61" i="26"/>
  <c r="J34" i="39"/>
  <c r="AG91" i="36"/>
  <c r="BE10" i="39"/>
  <c r="BX91" i="26"/>
  <c r="CR79" i="41"/>
  <c r="AV26" i="39"/>
  <c r="N58" i="38"/>
  <c r="BU66" i="1"/>
  <c r="X34" i="38"/>
  <c r="Y29" i="1"/>
  <c r="CA30"/>
  <c r="DD59" i="37"/>
  <c r="CR61" i="25"/>
  <c r="AU24" i="40"/>
  <c r="CR53" i="41"/>
  <c r="BR48" i="26"/>
  <c r="G58" i="39"/>
  <c r="BC92" i="37"/>
  <c r="BA30"/>
  <c r="CP37" i="26"/>
  <c r="AY53" i="1"/>
  <c r="S57" i="25"/>
  <c r="AW21" i="38"/>
  <c r="T50" i="36"/>
  <c r="P57" i="40"/>
  <c r="AD27"/>
  <c r="N30" i="26"/>
  <c r="BH91" i="1"/>
  <c r="X30" i="25"/>
  <c r="BZ10" i="41"/>
  <c r="CL66" i="40"/>
  <c r="CY24" i="41"/>
  <c r="AO9" i="38"/>
  <c r="BS13" i="41"/>
  <c r="AN9" i="36"/>
  <c r="BB37" i="40"/>
  <c r="BE102" i="41"/>
  <c r="DA79" i="38"/>
  <c r="AU57" i="37"/>
  <c r="AN9" i="39"/>
  <c r="L60" i="38"/>
  <c r="CO12" i="37"/>
  <c r="I37" i="39"/>
  <c r="G50" i="36"/>
  <c r="H65"/>
  <c r="BE18" i="41"/>
  <c r="CY67" i="26"/>
  <c r="X92" i="41"/>
  <c r="K9" i="36"/>
  <c r="L50" i="1"/>
  <c r="P12" i="36"/>
  <c r="BC26" i="37"/>
  <c r="BZ102" i="38"/>
  <c r="CJ30" i="36"/>
  <c r="AT26" i="38"/>
  <c r="DF79" i="40"/>
  <c r="CB26" i="41"/>
  <c r="CY24" i="38"/>
  <c r="BX18" i="37"/>
  <c r="BA79" i="1"/>
  <c r="CG67" i="26"/>
  <c r="AC92" i="25"/>
  <c r="N53"/>
  <c r="BS60" i="26"/>
  <c r="AR57" i="40"/>
  <c r="AZ26" i="41"/>
  <c r="CF98" i="25"/>
  <c r="CI10" i="26"/>
  <c r="BU79" i="39"/>
  <c r="AO58" i="37"/>
  <c r="L62" i="38"/>
  <c r="CQ21" i="1"/>
  <c r="CP10" i="26"/>
  <c r="BB21" i="38"/>
  <c r="CA25" i="40"/>
  <c r="CP29" i="25"/>
  <c r="BB53" i="40"/>
  <c r="S61" i="38"/>
  <c r="AY12" i="26"/>
  <c r="AR13" i="38"/>
  <c r="T54" i="37"/>
  <c r="BI17" i="1"/>
  <c r="N92" i="26"/>
  <c r="AR98" i="38"/>
  <c r="AH18" i="25"/>
  <c r="AU81" i="37"/>
  <c r="CJ25" i="1"/>
  <c r="BS89" i="40"/>
  <c r="CO26" i="39"/>
  <c r="BV50"/>
  <c r="G65" i="37"/>
  <c r="Y67" i="41"/>
  <c r="BQ26" i="1"/>
  <c r="U54" i="38"/>
  <c r="CJ48" i="41"/>
  <c r="Y13" i="36"/>
  <c r="M91" i="25"/>
  <c r="AQ79" i="1"/>
  <c r="H71" i="40"/>
  <c r="Z21" i="36"/>
  <c r="H58"/>
  <c r="BC79" i="26"/>
  <c r="CK25" i="36"/>
  <c r="CS92" i="38"/>
  <c r="BY79" i="40"/>
  <c r="AX34" i="25"/>
  <c r="AR48" i="1"/>
  <c r="BC66" i="41"/>
  <c r="J66" i="40"/>
  <c r="AR98" i="37"/>
  <c r="BU10" i="25"/>
  <c r="BO89" i="37"/>
  <c r="BR27" i="38"/>
  <c r="AU71" i="37"/>
  <c r="CY50" i="25"/>
  <c r="M66" i="36"/>
  <c r="CV96" i="25"/>
  <c r="BT9" i="40"/>
  <c r="BX98" i="41"/>
  <c r="X21" i="40"/>
  <c r="CB81" i="38"/>
  <c r="AB27" i="41"/>
  <c r="O9" i="40"/>
  <c r="DD65" i="1"/>
  <c r="BS96" i="39"/>
  <c r="BR91"/>
  <c r="K37" i="36"/>
  <c r="BT53" i="38"/>
  <c r="CV58" i="39"/>
  <c r="K81" i="36"/>
  <c r="CV45" i="41"/>
  <c r="J12" i="1"/>
  <c r="CX10" i="40"/>
  <c r="AU25" i="41"/>
  <c r="AZ26" i="26"/>
  <c r="AC66" i="25"/>
  <c r="CK59" i="26"/>
  <c r="CN75" i="36"/>
  <c r="BW26" i="37"/>
  <c r="U49" i="26"/>
  <c r="AF30" i="37"/>
  <c r="BO57" i="41"/>
  <c r="CR25" i="38"/>
  <c r="N49" i="40"/>
  <c r="AN24" i="26"/>
  <c r="AE37"/>
  <c r="AU102" i="25"/>
  <c r="BW103"/>
  <c r="AM62" i="1"/>
  <c r="DD67" i="37"/>
  <c r="CY49" i="39"/>
  <c r="Y66" i="37"/>
  <c r="CF60"/>
  <c r="AS91" i="36"/>
  <c r="BR29" i="41"/>
  <c r="BW27" i="37"/>
  <c r="CB10" i="38"/>
  <c r="CB17" i="36"/>
  <c r="CI25"/>
  <c r="CL102" i="38"/>
  <c r="X29" i="36"/>
  <c r="BW79" i="39"/>
  <c r="CJ9" i="41"/>
  <c r="AN98"/>
  <c r="BP37"/>
  <c r="AC65" i="37"/>
  <c r="BE96" i="39"/>
  <c r="AT66" i="25"/>
  <c r="DA29" i="36"/>
  <c r="AR27" i="25"/>
  <c r="CR53" i="36"/>
  <c r="AQ34" i="25"/>
  <c r="BW48" i="38"/>
  <c r="CQ61" i="36"/>
  <c r="CG92" i="39"/>
  <c r="CH21" i="38"/>
  <c r="CR71"/>
  <c r="AY29" i="41"/>
  <c r="AS34"/>
  <c r="BR81" i="38"/>
  <c r="L50" i="37"/>
  <c r="AA54" i="40"/>
  <c r="CN98" i="1"/>
  <c r="AH53" i="40"/>
  <c r="CF71" i="36"/>
  <c r="N53" i="37"/>
  <c r="CM102" i="1"/>
  <c r="CI92" i="38"/>
  <c r="CU65" i="26"/>
  <c r="CL17" i="37"/>
  <c r="AJ102" i="25"/>
  <c r="AC58" i="26"/>
  <c r="AA34" i="37"/>
  <c r="AR17"/>
  <c r="I27"/>
  <c r="BT30"/>
  <c r="BR65" i="26"/>
  <c r="L58" i="25"/>
  <c r="BD37" i="36"/>
  <c r="AG58"/>
  <c r="CL62" i="1"/>
  <c r="CS98" i="40"/>
  <c r="BQ96" i="25"/>
  <c r="AF30" i="26"/>
  <c r="AG29" i="37"/>
  <c r="BY91"/>
  <c r="CB10" i="25"/>
  <c r="CO53" i="36"/>
  <c r="AS21" i="40"/>
  <c r="CR12" i="1"/>
  <c r="BO96" i="41"/>
  <c r="CG27" i="25"/>
  <c r="S96" i="39"/>
  <c r="CB65" i="38"/>
  <c r="BX91" i="40"/>
  <c r="DD79" i="39"/>
  <c r="BU30" i="38"/>
  <c r="O26" i="40"/>
  <c r="CD66" i="26"/>
  <c r="AE57" i="25"/>
  <c r="CA81" i="1"/>
  <c r="M45"/>
  <c r="CN30" i="41"/>
  <c r="AX49" i="40"/>
  <c r="CJ59"/>
  <c r="AN27" i="36"/>
  <c r="CU34" i="25"/>
  <c r="BV18" i="38"/>
  <c r="AN102" i="25"/>
  <c r="CP49" i="40"/>
  <c r="BX50" i="37"/>
  <c r="AY30" i="39"/>
  <c r="AS71" i="25"/>
  <c r="AC91" i="1"/>
  <c r="CF45" i="26"/>
  <c r="BC45" i="36"/>
  <c r="AG59" i="25"/>
  <c r="W29" i="38"/>
  <c r="AE10" i="41"/>
  <c r="BD62" i="36"/>
  <c r="L13" i="39"/>
  <c r="BB48" i="25"/>
  <c r="AC71" i="1"/>
  <c r="CA30" i="36"/>
  <c r="CG91"/>
  <c r="DF26"/>
  <c r="AC102" i="39"/>
  <c r="J71" i="26"/>
  <c r="BI50" i="25"/>
  <c r="AZ81" i="36"/>
  <c r="BQ71" i="1"/>
  <c r="AC92" i="26"/>
  <c r="CT61" i="36"/>
  <c r="BB17" i="37"/>
  <c r="AY12" i="38"/>
  <c r="U62"/>
  <c r="T96" i="1"/>
  <c r="AQ58" i="37"/>
  <c r="AW92" i="39"/>
  <c r="AM17" i="25"/>
  <c r="CK67" i="38"/>
  <c r="CG81" i="26"/>
  <c r="AS18"/>
  <c r="DE34" i="1"/>
  <c r="AC54" i="39"/>
  <c r="AO65" i="38"/>
  <c r="G75" i="64"/>
  <c r="Y49" i="1"/>
  <c r="BY49" i="26"/>
  <c r="T26" i="25"/>
  <c r="AX34" i="36"/>
  <c r="BT54" i="37"/>
  <c r="BW24"/>
  <c r="DA79" i="41"/>
  <c r="CW30" i="37"/>
  <c r="BC66" i="38"/>
  <c r="CS29" i="26"/>
  <c r="AY102" i="25"/>
  <c r="CX27"/>
  <c r="CV34" i="1"/>
  <c r="AH50" i="25"/>
  <c r="G54" i="26"/>
  <c r="AZ60" i="36"/>
  <c r="AY126" i="47"/>
  <c r="N62" i="40"/>
  <c r="AN13"/>
  <c r="CQ9" i="41"/>
  <c r="K25" i="36"/>
  <c r="J20" i="50"/>
  <c r="AY25" i="26"/>
  <c r="CV79" i="37"/>
  <c r="CQ21" i="39"/>
  <c r="I79" i="25"/>
  <c r="CS60" i="37"/>
  <c r="BE57" i="41"/>
  <c r="CX37" i="1"/>
  <c r="AR102"/>
  <c r="CA18" i="39"/>
  <c r="O67" i="36"/>
  <c r="BS30" i="26"/>
  <c r="AV50" i="41"/>
  <c r="CJ89" i="38"/>
  <c r="CJ66" i="39"/>
  <c r="BX29" i="26"/>
  <c r="BZ65" i="39"/>
  <c r="AP49"/>
  <c r="BU37" i="40"/>
  <c r="AR89" i="25"/>
  <c r="AX102" i="26"/>
  <c r="BS13" i="37"/>
  <c r="P75" i="1"/>
  <c r="CZ59"/>
  <c r="BC92"/>
  <c r="Z65" i="41"/>
  <c r="CG34"/>
  <c r="CS89" i="39"/>
  <c r="AP37" i="26"/>
  <c r="P102"/>
  <c r="AT48" i="37"/>
  <c r="AF9" i="38"/>
  <c r="T98" i="26"/>
  <c r="CQ59" i="37"/>
  <c r="BB13" i="41"/>
  <c r="CG81" i="1"/>
  <c r="BD66" i="40"/>
  <c r="CD24" i="36"/>
  <c r="CK57" i="40"/>
  <c r="AC91" i="41"/>
  <c r="AC89" i="37"/>
  <c r="CS91" i="1"/>
  <c r="CW75" i="38"/>
  <c r="BZ45" i="41"/>
  <c r="M89" i="26"/>
  <c r="CY65" i="1"/>
  <c r="AJ37" i="37"/>
  <c r="CR34"/>
  <c r="BB62" i="39"/>
  <c r="V57" i="25"/>
  <c r="BU92" i="41"/>
  <c r="AN57"/>
  <c r="CR65"/>
  <c r="CG89"/>
  <c r="CG75" i="25"/>
  <c r="AV10" i="40"/>
  <c r="DE17" i="36"/>
  <c r="AP71" i="40"/>
  <c r="BX60" i="41"/>
  <c r="I48" i="26"/>
  <c r="AF71" i="41"/>
  <c r="CZ10" i="38"/>
  <c r="AT12" i="1"/>
  <c r="BE127" i="47"/>
  <c r="M74" i="64"/>
  <c r="BY59" i="40"/>
  <c r="CC53" i="39"/>
  <c r="BY98" i="41"/>
  <c r="CE37" i="38"/>
  <c r="CU81" i="25"/>
  <c r="P54"/>
  <c r="CW48" i="38"/>
  <c r="AO91" i="1"/>
  <c r="BO59" i="39"/>
  <c r="J26" i="37"/>
  <c r="CW24" i="1"/>
  <c r="BU26" i="38"/>
  <c r="BX71" i="41"/>
  <c r="L62"/>
  <c r="BP27" i="26"/>
  <c r="N57"/>
  <c r="DE71" i="41"/>
  <c r="AG89" i="40"/>
  <c r="G67" i="1"/>
  <c r="CM17" i="40"/>
  <c r="CP17" i="25"/>
  <c r="AF45"/>
  <c r="DC29"/>
  <c r="X13" i="40"/>
  <c r="CH62" i="41"/>
  <c r="BW67" i="39"/>
  <c r="I71" i="26"/>
  <c r="CS66" i="39"/>
  <c r="BI61"/>
  <c r="CK21" i="40"/>
  <c r="BH9" i="1"/>
  <c r="J10" i="41"/>
  <c r="S34" i="1"/>
  <c r="AN58"/>
  <c r="P102" i="41"/>
  <c r="CP13" i="1"/>
  <c r="AC25"/>
  <c r="CP59" i="37"/>
  <c r="AW71" i="40"/>
  <c r="AU34" i="41"/>
  <c r="CO65" i="37"/>
  <c r="CO91" i="41"/>
  <c r="BR103" i="38"/>
  <c r="W34" i="41"/>
  <c r="M96" i="36"/>
  <c r="J21" i="1"/>
  <c r="DF53" i="38"/>
  <c r="J50" i="41"/>
  <c r="T54" i="36"/>
  <c r="J67" i="41"/>
  <c r="AC10" i="26"/>
  <c r="AJ25" i="1"/>
  <c r="AA91" i="40"/>
  <c r="AU58" i="41"/>
  <c r="O27" i="1"/>
  <c r="BI30" i="41"/>
  <c r="N81" i="1"/>
  <c r="J59" i="37"/>
  <c r="U10" i="38"/>
  <c r="AU49"/>
  <c r="CK17" i="39"/>
  <c r="BB75" i="37"/>
  <c r="DA71" i="36"/>
  <c r="O19" i="59"/>
  <c r="CB54" i="37"/>
  <c r="BW81" i="26"/>
  <c r="CQ66" i="1"/>
  <c r="CX71"/>
  <c r="Z30" i="26"/>
  <c r="BU102" i="41"/>
  <c r="BD61" i="36"/>
  <c r="CN26" i="38"/>
  <c r="AU61" i="41"/>
  <c r="DB49"/>
  <c r="AI58" i="26"/>
  <c r="AG98" i="36"/>
  <c r="BB62" i="37"/>
  <c r="AH13" i="26"/>
  <c r="AE10" i="40"/>
  <c r="H65" i="39"/>
  <c r="AR98"/>
  <c r="CL60"/>
  <c r="CD9" i="41"/>
  <c r="CS54" i="25"/>
  <c r="BO37" i="40"/>
  <c r="P62" i="36"/>
  <c r="BT50" i="39"/>
  <c r="P13" i="1"/>
  <c r="BW45" i="40"/>
  <c r="BV49" i="1"/>
  <c r="CH66" i="39"/>
  <c r="CV79" i="1"/>
  <c r="DF29" i="26"/>
  <c r="CC29" i="39"/>
  <c r="BH57" i="37"/>
  <c r="CJ50" i="40"/>
  <c r="AS59"/>
  <c r="BD13" i="37"/>
  <c r="CZ25" i="40"/>
  <c r="BT66" i="25"/>
  <c r="AO26" i="39"/>
  <c r="CZ65" i="36"/>
  <c r="BU37" i="41"/>
  <c r="CB103" i="25"/>
  <c r="BV17" i="37"/>
  <c r="CX18" i="26"/>
  <c r="DA18" i="25"/>
  <c r="CG98" i="36"/>
  <c r="BC45" i="26"/>
  <c r="CL66" i="36"/>
  <c r="BA71" i="26"/>
  <c r="DD98" i="41"/>
  <c r="AG71" i="38"/>
  <c r="BD79"/>
  <c r="CH26"/>
  <c r="CS34" i="40"/>
  <c r="CP75" i="37"/>
  <c r="DE30" i="26"/>
  <c r="CG81" i="36"/>
  <c r="BP59" i="1"/>
  <c r="AU9" i="39"/>
  <c r="AG81" i="25"/>
  <c r="CC103" i="37"/>
  <c r="AZ54" i="26"/>
  <c r="CY59" i="41"/>
  <c r="AG10"/>
  <c r="BD61"/>
  <c r="AX10"/>
  <c r="N13" i="38"/>
  <c r="BH17"/>
  <c r="CO89" i="36"/>
  <c r="CO49" i="38"/>
  <c r="BX60" i="26"/>
  <c r="CS27" i="38"/>
  <c r="CZ57"/>
  <c r="AP26" i="37"/>
  <c r="X18" i="1"/>
  <c r="BT17" i="41"/>
  <c r="CJ81" i="36"/>
  <c r="BZ29" i="40"/>
  <c r="CX53" i="26"/>
  <c r="AM24" i="25"/>
  <c r="CA67" i="26"/>
  <c r="M98" i="39"/>
  <c r="BD71" i="38"/>
  <c r="CJ17" i="40"/>
  <c r="AA79" i="41"/>
  <c r="AY96" i="36"/>
  <c r="DE37" i="37"/>
  <c r="AF58" i="36"/>
  <c r="BT13" i="41"/>
  <c r="AB62" i="39"/>
  <c r="U58" i="25"/>
  <c r="CQ60" i="36"/>
  <c r="BZ66"/>
  <c r="CG17" i="41"/>
  <c r="CA62" i="40"/>
  <c r="BE62" i="38"/>
  <c r="CI102" i="26"/>
  <c r="DF103" i="39"/>
  <c r="BP30" i="40"/>
  <c r="BC71" i="36"/>
  <c r="CE27" i="41"/>
  <c r="CM18" i="40"/>
  <c r="X96" i="39"/>
  <c r="AY37" i="37"/>
  <c r="CS67" i="1"/>
  <c r="CA53"/>
  <c r="BP48" i="39"/>
  <c r="CH34" i="38"/>
  <c r="CE91"/>
  <c r="CK62"/>
  <c r="CY50"/>
  <c r="O9" i="39"/>
  <c r="AJ18" i="1"/>
  <c r="S89" i="37"/>
  <c r="AR53" i="26"/>
  <c r="CW45"/>
  <c r="BY65" i="36"/>
  <c r="CT48" i="25"/>
  <c r="BS60" i="39"/>
  <c r="AH91" i="36"/>
  <c r="AA79" i="25"/>
  <c r="CZ34" i="36"/>
  <c r="AG9" i="1"/>
  <c r="DC65" i="37"/>
  <c r="BX17" i="41"/>
  <c r="AY24" i="36"/>
  <c r="CF29"/>
  <c r="CO81" i="39"/>
  <c r="BY103" i="26"/>
  <c r="CT25" i="38"/>
  <c r="DC62" i="25"/>
  <c r="L12" i="38"/>
  <c r="BA57" i="39"/>
  <c r="X30" i="26"/>
  <c r="AG91" i="38"/>
  <c r="CC17"/>
  <c r="CT37" i="37"/>
  <c r="CU12" i="38"/>
  <c r="CY29" i="26"/>
  <c r="BT18" i="41"/>
  <c r="CT12"/>
  <c r="CN79" i="39"/>
  <c r="AQ26" i="37"/>
  <c r="P24" i="1"/>
  <c r="CR89" i="39"/>
  <c r="CZ49" i="1"/>
  <c r="AX60" i="25"/>
  <c r="J92" i="1"/>
  <c r="BO26" i="37"/>
  <c r="BZ37"/>
  <c r="S62"/>
  <c r="CI98"/>
  <c r="BZ57" i="26"/>
  <c r="CC45" i="36"/>
  <c r="CP48" i="38"/>
  <c r="CE37" i="39"/>
  <c r="X62" i="40"/>
  <c r="AE89" i="37"/>
  <c r="DF62" i="36"/>
  <c r="Y25" i="37"/>
  <c r="AQ57" i="39"/>
  <c r="BB67" i="25"/>
  <c r="T24" i="26"/>
  <c r="CM18" i="36"/>
  <c r="CP49" i="1"/>
  <c r="CL60" i="37"/>
  <c r="BZ27" i="1"/>
  <c r="BU103" i="39"/>
  <c r="BB57" i="26"/>
  <c r="AB81" i="40"/>
  <c r="AX66" i="41"/>
  <c r="CP48"/>
  <c r="BC71" i="25"/>
  <c r="AJ75" i="36"/>
  <c r="AF60" i="40"/>
  <c r="CP27" i="36"/>
  <c r="DE10" i="25"/>
  <c r="CI27" i="37"/>
  <c r="CU67" i="41"/>
  <c r="CP48" i="37"/>
  <c r="BB98" i="25"/>
  <c r="M26"/>
  <c r="AZ49" i="39"/>
  <c r="BY57" i="40"/>
  <c r="AC49" i="38"/>
  <c r="CQ79" i="36"/>
  <c r="X67" i="39"/>
  <c r="CZ17" i="36"/>
  <c r="DE24" i="1"/>
  <c r="AU102" i="26"/>
  <c r="AO54" i="39"/>
  <c r="CD96" i="26"/>
  <c r="BY26" i="41"/>
  <c r="T18" i="25"/>
  <c r="CF37" i="39"/>
  <c r="CI66" i="40"/>
  <c r="CS30" i="36"/>
  <c r="K30" i="26"/>
  <c r="BC62" i="37"/>
  <c r="CM57" i="39"/>
  <c r="BP61" i="41"/>
  <c r="AA12" i="26"/>
  <c r="J37" i="1"/>
  <c r="CG92" i="40"/>
  <c r="BT53" i="26"/>
  <c r="DA65" i="25"/>
  <c r="AS10" i="1"/>
  <c r="X10" i="37"/>
  <c r="BE24"/>
  <c r="G29" i="25"/>
  <c r="Y50" i="39"/>
  <c r="CL91" i="38"/>
  <c r="CX62" i="25"/>
  <c r="O10" i="41"/>
  <c r="BI24" i="1"/>
  <c r="CM62" i="36"/>
  <c r="BE53" i="25"/>
  <c r="CC65" i="40"/>
  <c r="AA65" i="39"/>
  <c r="CN65"/>
  <c r="AD18" i="36"/>
  <c r="CL89" i="37"/>
  <c r="AR89" i="41"/>
  <c r="DD17" i="1"/>
  <c r="AJ29" i="40"/>
  <c r="N50" i="36"/>
  <c r="CQ65" i="41"/>
  <c r="J21" i="25"/>
  <c r="BH66" i="38"/>
  <c r="DB13" i="36"/>
  <c r="BV18" i="40"/>
  <c r="CP49" i="26"/>
  <c r="AJ54" i="38"/>
  <c r="CD65" i="26"/>
  <c r="DD67" i="36"/>
  <c r="G81" i="40"/>
  <c r="CT26" i="39"/>
  <c r="CR61" i="38"/>
  <c r="AJ62"/>
  <c r="BS65" i="40"/>
  <c r="AR13" i="37"/>
  <c r="BX66" i="26"/>
  <c r="AT57" i="36"/>
  <c r="U67" i="26"/>
  <c r="CS65" i="36"/>
  <c r="AO48" i="26"/>
  <c r="BV45" i="40"/>
  <c r="CG27" i="36"/>
  <c r="CH49" i="25"/>
  <c r="CI29" i="37"/>
  <c r="W57" i="26"/>
  <c r="AC50" i="38"/>
  <c r="CA21" i="37"/>
  <c r="CI13" i="38"/>
  <c r="CA27" i="37"/>
  <c r="CJ62" i="38"/>
  <c r="K26" i="40"/>
  <c r="CT65" i="26"/>
  <c r="DF60" i="25"/>
  <c r="AM91"/>
  <c r="CH58" i="40"/>
  <c r="DB92" i="37"/>
  <c r="AR60"/>
  <c r="CL13" i="1"/>
  <c r="CT24" i="41"/>
  <c r="CF49" i="26"/>
  <c r="AF30" i="1"/>
  <c r="BU59" i="41"/>
  <c r="AJ12" i="25"/>
  <c r="BZ75" i="39"/>
  <c r="AP30" i="40"/>
  <c r="BX49" i="38"/>
  <c r="CP21" i="25"/>
  <c r="AZ79" i="37"/>
  <c r="AB13" i="40"/>
  <c r="BH102" i="25"/>
  <c r="BE29" i="36"/>
  <c r="Y45" i="37"/>
  <c r="AN13" i="41"/>
  <c r="J45" i="38"/>
  <c r="CS75" i="26"/>
  <c r="BW57" i="37"/>
  <c r="BR9" i="1"/>
  <c r="CJ45"/>
  <c r="CY91" i="25"/>
  <c r="H92" i="38"/>
  <c r="DD10" i="1"/>
  <c r="N59" i="37"/>
  <c r="O89" i="25"/>
  <c r="BA102" i="41"/>
  <c r="CR18"/>
  <c r="BW12" i="40"/>
  <c r="BX96" i="38"/>
  <c r="K96" i="1"/>
  <c r="K57" i="26"/>
  <c r="AZ96" i="39"/>
  <c r="BT17" i="1"/>
  <c r="BE34" i="38"/>
  <c r="BO65" i="41"/>
  <c r="CO102" i="36"/>
  <c r="DD61" i="25"/>
  <c r="AD92"/>
  <c r="CB96"/>
  <c r="CH89" i="26"/>
  <c r="CF21" i="37"/>
  <c r="Z58"/>
  <c r="CC71" i="39"/>
  <c r="AO17" i="40"/>
  <c r="AG17" i="38"/>
  <c r="AW62" i="37"/>
  <c r="CO61" i="38"/>
  <c r="I53"/>
  <c r="BC25" i="25"/>
  <c r="G75" i="41"/>
  <c r="BA75" i="40"/>
  <c r="W67"/>
  <c r="BH58" i="39"/>
  <c r="BR45" i="36"/>
  <c r="CZ37" i="38"/>
  <c r="Y71" i="1"/>
  <c r="CW17"/>
  <c r="BA89" i="40"/>
  <c r="AO60" i="36"/>
  <c r="CQ66" i="38"/>
  <c r="AA50"/>
  <c r="AQ18" i="25"/>
  <c r="CA89" i="37"/>
  <c r="CF26" i="40"/>
  <c r="CC48"/>
  <c r="CW18" i="26"/>
  <c r="AB92" i="25"/>
  <c r="AB45" i="40"/>
  <c r="N30" i="41"/>
  <c r="AC98" i="39"/>
  <c r="P65" i="25"/>
  <c r="AB61" i="41"/>
  <c r="P92" i="38"/>
  <c r="AO62" i="37"/>
  <c r="CU59" i="1"/>
  <c r="AJ49" i="36"/>
  <c r="CO67" i="1"/>
  <c r="CT54" i="25"/>
  <c r="DC18"/>
  <c r="AB30"/>
  <c r="AB61" i="38"/>
  <c r="BR37" i="40"/>
  <c r="BO29" i="36"/>
  <c r="AC59" i="39"/>
  <c r="AO98" i="36"/>
  <c r="DD53" i="25"/>
  <c r="G13" i="40"/>
  <c r="CM81" i="36"/>
  <c r="AZ13" i="41"/>
  <c r="H30" i="1"/>
  <c r="AI45"/>
  <c r="CT10" i="41"/>
  <c r="AY75" i="26"/>
  <c r="CT62" i="1"/>
  <c r="CM96" i="41"/>
  <c r="BD9" i="26"/>
  <c r="AO17" i="36"/>
  <c r="I17" i="1"/>
  <c r="AU71" i="39"/>
  <c r="CQ27" i="40"/>
  <c r="AR96" i="36"/>
  <c r="CL48" i="39"/>
  <c r="P59" i="1"/>
  <c r="CH67" i="41"/>
  <c r="AW61" i="25"/>
  <c r="CY9" i="39"/>
  <c r="AP13" i="1"/>
  <c r="AA58" i="36"/>
  <c r="AV48" i="37"/>
  <c r="AQ24" i="41"/>
  <c r="AX45" i="37"/>
  <c r="AT66"/>
  <c r="CS98" i="38"/>
  <c r="BD30" i="25"/>
  <c r="O59" i="36"/>
  <c r="BD315" i="47"/>
  <c r="AY125"/>
  <c r="CA24" i="41"/>
  <c r="BP13" i="26"/>
  <c r="I53" i="59"/>
  <c r="AS9" i="41"/>
  <c r="CN92" i="36"/>
  <c r="CO25" i="38"/>
  <c r="AI60" i="41"/>
  <c r="BE71" i="37"/>
  <c r="BO96" i="39"/>
  <c r="CH10" i="36"/>
  <c r="BQ91" i="38"/>
  <c r="CX81" i="25"/>
  <c r="BR58" i="1"/>
  <c r="AH26" i="39"/>
  <c r="CF62" i="36"/>
  <c r="Y24"/>
  <c r="H92" i="1"/>
  <c r="CA12" i="26"/>
  <c r="Y26" i="38"/>
  <c r="BX103" i="41"/>
  <c r="X10" i="38"/>
  <c r="BC24" i="37"/>
  <c r="AG98" i="40"/>
  <c r="CZ21" i="25"/>
  <c r="L17" i="40"/>
  <c r="CN45" i="38"/>
  <c r="CK27" i="40"/>
  <c r="W37" i="36"/>
  <c r="Y79" i="26"/>
  <c r="CF10" i="1"/>
  <c r="AH65" i="41"/>
  <c r="T17" i="38"/>
  <c r="W75"/>
  <c r="G59" i="25"/>
  <c r="CG79" i="1"/>
  <c r="BR48" i="36"/>
  <c r="U45" i="39"/>
  <c r="BD13" i="40"/>
  <c r="CJ58" i="41"/>
  <c r="BY66" i="39"/>
  <c r="M48" i="1"/>
  <c r="AO13" i="41"/>
  <c r="AT66" i="26"/>
  <c r="AZ98" i="1"/>
  <c r="DC65"/>
  <c r="AC9" i="38"/>
  <c r="BI59" i="37"/>
  <c r="BD59" i="41"/>
  <c r="AI25" i="39"/>
  <c r="DB91" i="41"/>
  <c r="BT60" i="38"/>
  <c r="CX49" i="40"/>
  <c r="CT50"/>
  <c r="AU57" i="26"/>
  <c r="AE92"/>
  <c r="AI25" i="41"/>
  <c r="AI81" i="25"/>
  <c r="K13" i="1"/>
  <c r="AS79"/>
  <c r="AS9"/>
  <c r="DE103" i="38"/>
  <c r="BE9" i="1"/>
  <c r="T34" i="38"/>
  <c r="DC61" i="40"/>
  <c r="BT10" i="25"/>
  <c r="AE65"/>
  <c r="CX12" i="36"/>
  <c r="U62" i="26"/>
  <c r="AA53" i="41"/>
  <c r="P98" i="39"/>
  <c r="BO71" i="41"/>
  <c r="AJ30" i="37"/>
  <c r="BY58"/>
  <c r="AV27" i="41"/>
  <c r="CY17" i="36"/>
  <c r="DC9" i="26"/>
  <c r="CR67" i="36"/>
  <c r="AB66" i="39"/>
  <c r="CL59" i="38"/>
  <c r="AU66" i="39"/>
  <c r="CZ53"/>
  <c r="Y30" i="41"/>
  <c r="AR30"/>
  <c r="I102"/>
  <c r="CJ57" i="36"/>
  <c r="AY30" i="37"/>
  <c r="L92" i="40"/>
  <c r="CX9" i="25"/>
  <c r="O58" i="26"/>
  <c r="BA81" i="1"/>
  <c r="AD10" i="36"/>
  <c r="AZ29" i="37"/>
  <c r="AX34" i="40"/>
  <c r="BE53" i="38"/>
  <c r="CK17" i="40"/>
  <c r="DB61" i="25"/>
  <c r="AF92" i="26"/>
  <c r="CZ66" i="25"/>
  <c r="DC103" i="36"/>
  <c r="AR17" i="26"/>
  <c r="BY61" i="25"/>
  <c r="AG13" i="1"/>
  <c r="CL67" i="41"/>
  <c r="CC57"/>
  <c r="CF53" i="26"/>
  <c r="BD96"/>
  <c r="CO10" i="41"/>
  <c r="CZ21"/>
  <c r="CZ48" i="39"/>
  <c r="AG58" i="1"/>
  <c r="I61" i="38"/>
  <c r="BI61" i="37"/>
  <c r="CL45" i="40"/>
  <c r="BO75" i="1"/>
  <c r="AE62" i="39"/>
  <c r="AB37" i="40"/>
  <c r="G71" i="36"/>
  <c r="AX37" i="38"/>
  <c r="AH59" i="40"/>
  <c r="BZ9" i="26"/>
  <c r="I27" i="40"/>
  <c r="CM37" i="1"/>
  <c r="V61" i="37"/>
  <c r="Z13" i="39"/>
  <c r="CW62" i="26"/>
  <c r="BU25" i="41"/>
  <c r="CZ71" i="36"/>
  <c r="CF37" i="1"/>
  <c r="AA89" i="36"/>
  <c r="O9" i="1"/>
  <c r="AH89" i="37"/>
  <c r="CP12" i="36"/>
  <c r="CV53" i="39"/>
  <c r="CY53" i="25"/>
  <c r="CF98" i="36"/>
  <c r="V30" i="25"/>
  <c r="CZ67" i="26"/>
  <c r="BR49" i="39"/>
  <c r="BF311" i="47"/>
  <c r="BS10" i="38"/>
  <c r="AZ54" i="1"/>
  <c r="BP102" i="41"/>
  <c r="CR29" i="40"/>
  <c r="AC12" i="41"/>
  <c r="Z27" i="37"/>
  <c r="H67" i="1"/>
  <c r="W54" i="37"/>
  <c r="S10" i="36"/>
  <c r="AT75"/>
  <c r="L60" i="41"/>
  <c r="AY49" i="36"/>
  <c r="CE48" i="1"/>
  <c r="DD103" i="41"/>
  <c r="CY65"/>
  <c r="AO67" i="38"/>
  <c r="AF98" i="36"/>
  <c r="BV27" i="1"/>
  <c r="BE26"/>
  <c r="DD66" i="38"/>
  <c r="AH61" i="25"/>
  <c r="AJ60" i="41"/>
  <c r="AF17" i="39"/>
  <c r="M6" i="60"/>
  <c r="CG62" i="37"/>
  <c r="BS92" i="38"/>
  <c r="CR26" i="40"/>
  <c r="DA71" i="26"/>
  <c r="CX9" i="40"/>
  <c r="Y10" i="25"/>
  <c r="CT49" i="26"/>
  <c r="BS91" i="37"/>
  <c r="CC24"/>
  <c r="BB65" i="36"/>
  <c r="AA57" i="25"/>
  <c r="X75" i="36"/>
  <c r="DB9" i="41"/>
  <c r="J67" i="36"/>
  <c r="AN98" i="37"/>
  <c r="S37" i="39"/>
  <c r="CD21" i="40"/>
  <c r="BC25" i="1"/>
  <c r="CW89" i="26"/>
  <c r="G67"/>
  <c r="BQ48" i="38"/>
  <c r="BQ65" i="26"/>
  <c r="DB9" i="25"/>
  <c r="CO103" i="36"/>
  <c r="BD66" i="1"/>
  <c r="BX75" i="37"/>
  <c r="V34"/>
  <c r="I61" i="39"/>
  <c r="CA45" i="40"/>
  <c r="CM103" i="39"/>
  <c r="CT13" i="25"/>
  <c r="P21" i="39"/>
  <c r="I26" i="40"/>
  <c r="AG12" i="39"/>
  <c r="CJ45" i="40"/>
  <c r="K37" i="25"/>
  <c r="V65" i="37"/>
  <c r="CP30" i="1"/>
  <c r="O25" i="39"/>
  <c r="AY45" i="25"/>
  <c r="BX9"/>
  <c r="P27" i="38"/>
  <c r="DC98"/>
  <c r="AB30" i="1"/>
  <c r="BB13" i="25"/>
  <c r="AT29" i="37"/>
  <c r="BW96" i="41"/>
  <c r="CB102" i="40"/>
  <c r="AZ59" i="41"/>
  <c r="AJ102" i="1"/>
  <c r="CG34"/>
  <c r="AV18" i="41"/>
  <c r="AM27" i="37"/>
  <c r="T49" i="25"/>
  <c r="X65" i="38"/>
  <c r="CT49" i="1"/>
  <c r="AQ65"/>
  <c r="BV58" i="36"/>
  <c r="BC24" i="26"/>
  <c r="CW53" i="41"/>
  <c r="CE71" i="25"/>
  <c r="AR57" i="1"/>
  <c r="AV54"/>
  <c r="BO60"/>
  <c r="AU65" i="41"/>
  <c r="CW10" i="40"/>
  <c r="CZ29" i="36"/>
  <c r="BA67" i="26"/>
  <c r="BT65" i="38"/>
  <c r="BT29" i="36"/>
  <c r="CO65" i="26"/>
  <c r="AZ37" i="41"/>
  <c r="CH30"/>
  <c r="AZ37" i="36"/>
  <c r="CH58" i="26"/>
  <c r="CM57" i="38"/>
  <c r="M89" i="25"/>
  <c r="CZ103" i="1"/>
  <c r="CM37" i="39"/>
  <c r="AB48" i="36"/>
  <c r="AW89" i="1"/>
  <c r="DF91" i="40"/>
  <c r="BD60" i="37"/>
  <c r="AA58" i="38"/>
  <c r="BB57"/>
  <c r="AS45"/>
  <c r="AO61" i="36"/>
  <c r="AN62" i="41"/>
  <c r="BT21" i="37"/>
  <c r="AS54" i="38"/>
  <c r="Z61" i="40"/>
  <c r="G37" i="25"/>
  <c r="AB65"/>
  <c r="BD71" i="1"/>
  <c r="CJ37"/>
  <c r="DF71" i="39"/>
  <c r="CH45" i="41"/>
  <c r="W61" i="38"/>
  <c r="AW98" i="25"/>
  <c r="G22" i="60"/>
  <c r="DA17" i="39"/>
  <c r="AM53" i="40"/>
  <c r="BS65" i="41"/>
  <c r="CA12" i="1"/>
  <c r="CE45" i="39"/>
  <c r="BU96" i="25"/>
  <c r="CM79" i="26"/>
  <c r="CE49" i="41"/>
  <c r="CX10" i="1"/>
  <c r="AA25" i="25"/>
  <c r="AZ81" i="40"/>
  <c r="G27" i="39"/>
  <c r="AZ67"/>
  <c r="AM98" i="36"/>
  <c r="AX75" i="41"/>
  <c r="CW26" i="38"/>
  <c r="CH29" i="40"/>
  <c r="BU65" i="41"/>
  <c r="BU71" i="26"/>
  <c r="BW25" i="37"/>
  <c r="DF54" i="26"/>
  <c r="CT50" i="39"/>
  <c r="BC25" i="40"/>
  <c r="BV96" i="37"/>
  <c r="N12" i="41"/>
  <c r="CY102" i="25"/>
  <c r="I30" i="37"/>
  <c r="CB71" i="41"/>
  <c r="CE9"/>
  <c r="G25" i="25"/>
  <c r="X96" i="38"/>
  <c r="BD130" i="47"/>
  <c r="CQ60" i="37"/>
  <c r="CY37" i="25"/>
  <c r="BB45"/>
  <c r="BU48" i="39"/>
  <c r="AQ9" i="26"/>
  <c r="BC62" i="39"/>
  <c r="Y67" i="36"/>
  <c r="CL103" i="38"/>
  <c r="M60" i="37"/>
  <c r="CG66" i="26"/>
  <c r="BC27" i="38"/>
  <c r="CX98" i="1"/>
  <c r="CS49" i="25"/>
  <c r="X9" i="26"/>
  <c r="CF75" i="41"/>
  <c r="BW45" i="36"/>
  <c r="BB26" i="39"/>
  <c r="AZ27" i="36"/>
  <c r="CF65" i="39"/>
  <c r="BW53" i="1"/>
  <c r="AY121" i="47"/>
  <c r="CL49" i="41"/>
  <c r="AY58"/>
  <c r="U26" i="36"/>
  <c r="CA29"/>
  <c r="CP12" i="26"/>
  <c r="BV13" i="25"/>
  <c r="DD26" i="36"/>
  <c r="CF57" i="37"/>
  <c r="BQ67" i="1"/>
  <c r="J12" i="38"/>
  <c r="DD10" i="26"/>
  <c r="BQ102" i="41"/>
  <c r="BV102" i="38"/>
  <c r="BA48" i="41"/>
  <c r="BV13"/>
  <c r="Y79" i="39"/>
  <c r="AS89" i="37"/>
  <c r="CE57" i="26"/>
  <c r="AY66" i="39"/>
  <c r="AR10" i="41"/>
  <c r="AN26" i="25"/>
  <c r="M26" i="37"/>
  <c r="CR102" i="40"/>
  <c r="CI60" i="39"/>
  <c r="AM12" i="1"/>
  <c r="S17" i="26"/>
  <c r="DF50" i="25"/>
  <c r="CU49" i="1"/>
  <c r="CO66"/>
  <c r="CW12" i="39"/>
  <c r="CP29" i="38"/>
  <c r="BS37" i="26"/>
  <c r="T21" i="38"/>
  <c r="S26" i="25"/>
  <c r="BC34" i="38"/>
  <c r="CJ27" i="39"/>
  <c r="AA62" i="41"/>
  <c r="BX37" i="36"/>
  <c r="CL17" i="38"/>
  <c r="CI18" i="1"/>
  <c r="AV37" i="36"/>
  <c r="P13" i="39"/>
  <c r="BV10" i="41"/>
  <c r="BT81" i="37"/>
  <c r="CB75"/>
  <c r="S79" i="38"/>
  <c r="L29" i="36"/>
  <c r="AJ71"/>
  <c r="BY34" i="38"/>
  <c r="AY34" i="26"/>
  <c r="CL79" i="39"/>
  <c r="AM91"/>
  <c r="BT30"/>
  <c r="P26" i="36"/>
  <c r="CB18"/>
  <c r="BD96" i="37"/>
  <c r="CO12" i="25"/>
  <c r="BE45" i="41"/>
  <c r="DB53" i="25"/>
  <c r="DB61" i="36"/>
  <c r="CJ24" i="40"/>
  <c r="BC18" i="39"/>
  <c r="AH26" i="40"/>
  <c r="CY26" i="36"/>
  <c r="AZ59" i="38"/>
  <c r="DB13" i="1"/>
  <c r="P98" i="38"/>
  <c r="BQ10" i="37"/>
  <c r="CM50" i="26"/>
  <c r="BO48"/>
  <c r="BQ65" i="1"/>
  <c r="AV50" i="26"/>
  <c r="BV79" i="39"/>
  <c r="AS24" i="36"/>
  <c r="CD75" i="39"/>
  <c r="J49" i="37"/>
  <c r="CL53"/>
  <c r="BS34" i="39"/>
  <c r="CZ26" i="38"/>
  <c r="BX67" i="1"/>
  <c r="BC75" i="41"/>
  <c r="DF61" i="37"/>
  <c r="BB126" i="47"/>
  <c r="CH48" i="25"/>
  <c r="CN91" i="36"/>
  <c r="CG67" i="40"/>
  <c r="BW79" i="1"/>
  <c r="CI102" i="25"/>
  <c r="AB29" i="41"/>
  <c r="X37"/>
  <c r="BE48" i="26"/>
  <c r="CV65" i="41"/>
  <c r="DB75" i="36"/>
  <c r="AH30" i="41"/>
  <c r="P71" i="25"/>
  <c r="CH26" i="40"/>
  <c r="AE60" i="38"/>
  <c r="CF61" i="1"/>
  <c r="CE18" i="36"/>
  <c r="K10" i="26"/>
  <c r="CH17" i="36"/>
  <c r="X29" i="40"/>
  <c r="N98" i="41"/>
  <c r="AC92" i="1"/>
  <c r="K29" i="26"/>
  <c r="CP75"/>
  <c r="BA67" i="41"/>
  <c r="BZ58"/>
  <c r="G67" i="38"/>
  <c r="DC34" i="36"/>
  <c r="AG21" i="41"/>
  <c r="AA50" i="39"/>
  <c r="BV75" i="37"/>
  <c r="CN17" i="39"/>
  <c r="BR21" i="36"/>
  <c r="G58" i="25"/>
  <c r="DB29" i="38"/>
  <c r="BR34" i="41"/>
  <c r="CW57" i="25"/>
  <c r="BO67" i="1"/>
  <c r="BO29" i="38"/>
  <c r="AR30" i="25"/>
  <c r="AM71" i="39"/>
  <c r="CA50" i="36"/>
  <c r="BA37" i="41"/>
  <c r="P60" i="1"/>
  <c r="AH21" i="41"/>
  <c r="CW17" i="40"/>
  <c r="BY53" i="1"/>
  <c r="BU24" i="38"/>
  <c r="CR81" i="26"/>
  <c r="CJ58" i="1"/>
  <c r="CS30" i="37"/>
  <c r="P49" i="38"/>
  <c r="CV53" i="36"/>
  <c r="CZ25" i="37"/>
  <c r="AA13" i="36"/>
  <c r="BS67" i="41"/>
  <c r="AF59" i="39"/>
  <c r="CU12" i="26"/>
  <c r="AB66" i="1"/>
  <c r="BQ60" i="26"/>
  <c r="BR9" i="37"/>
  <c r="BH91" i="25"/>
  <c r="H102"/>
  <c r="BR37" i="38"/>
  <c r="AV21" i="39"/>
  <c r="DC45" i="36"/>
  <c r="CB49" i="26"/>
  <c r="CL48" i="41"/>
  <c r="BR66" i="38"/>
  <c r="CB17" i="37"/>
  <c r="CY66" i="39"/>
  <c r="K96" i="40"/>
  <c r="CH103"/>
  <c r="W91" i="38"/>
  <c r="T102" i="40"/>
  <c r="BR103" i="41"/>
  <c r="AF67"/>
  <c r="BV48" i="38"/>
  <c r="AS9" i="36"/>
  <c r="CK37" i="40"/>
  <c r="BI13" i="37"/>
  <c r="CF91" i="25"/>
  <c r="BV60" i="36"/>
  <c r="AG89"/>
  <c r="BW37" i="38"/>
  <c r="BA18" i="37"/>
  <c r="BY66" i="40"/>
  <c r="AX21" i="37"/>
  <c r="CR34" i="38"/>
  <c r="AB75" i="1"/>
  <c r="CB81" i="36"/>
  <c r="Y92" i="38"/>
  <c r="BD67" i="36"/>
  <c r="CH26" i="26"/>
  <c r="J102" i="37"/>
  <c r="BV45" i="41"/>
  <c r="AW54" i="26"/>
  <c r="S79" i="40"/>
  <c r="K12" i="38"/>
  <c r="CR62" i="25"/>
  <c r="AG29" i="40"/>
  <c r="J75" i="26"/>
  <c r="AU102" i="40"/>
  <c r="AS27" i="37"/>
  <c r="BT34" i="1"/>
  <c r="CE60" i="39"/>
  <c r="I25"/>
  <c r="CV89"/>
  <c r="CE65" i="1"/>
  <c r="G17" i="38"/>
  <c r="Z18" i="37"/>
  <c r="AO9" i="25"/>
  <c r="CA48" i="38"/>
  <c r="CH71" i="36"/>
  <c r="CN24" i="37"/>
  <c r="BC89" i="36"/>
  <c r="CY12" i="40"/>
  <c r="BZ45" i="25"/>
  <c r="BB91" i="1"/>
  <c r="BQ58"/>
  <c r="DD81" i="38"/>
  <c r="CT66" i="37"/>
  <c r="V34" i="41"/>
  <c r="G71" i="40"/>
  <c r="BX12" i="36"/>
  <c r="AA34" i="38"/>
  <c r="AB79" i="37"/>
  <c r="DC29" i="41"/>
  <c r="BV25" i="1"/>
  <c r="AA50"/>
  <c r="AP50" i="37"/>
  <c r="CQ24" i="26"/>
  <c r="CG91" i="1"/>
  <c r="CY54" i="36"/>
  <c r="AV79" i="40"/>
  <c r="K34" i="25"/>
  <c r="AC79"/>
  <c r="CW96" i="38"/>
  <c r="BV61" i="36"/>
  <c r="AM61" i="37"/>
  <c r="V13" i="41"/>
  <c r="BD29" i="1"/>
  <c r="CX58" i="40"/>
  <c r="AH60" i="41"/>
  <c r="AR10" i="40"/>
  <c r="BI24" i="25"/>
  <c r="G48" i="40"/>
  <c r="AY29" i="39"/>
  <c r="CT67" i="40"/>
  <c r="CR92" i="1"/>
  <c r="I92" i="40"/>
  <c r="CF18" i="25"/>
  <c r="BB29" i="37"/>
  <c r="BU67" i="40"/>
  <c r="DB17" i="26"/>
  <c r="CM71"/>
  <c r="AZ92" i="39"/>
  <c r="W91" i="25"/>
  <c r="CH17" i="37"/>
  <c r="P27" i="1"/>
  <c r="CP48" i="26"/>
  <c r="CO50" i="40"/>
  <c r="BE62" i="36"/>
  <c r="BE34" i="37"/>
  <c r="AJ13" i="25"/>
  <c r="AS17" i="36"/>
  <c r="BH54"/>
  <c r="DC10" i="37"/>
  <c r="CS57" i="38"/>
  <c r="L26" i="41"/>
  <c r="E90" i="60"/>
  <c r="O47" i="59"/>
  <c r="AS26" i="37"/>
  <c r="L61" i="36"/>
  <c r="CM62" i="40"/>
  <c r="BT98" i="37"/>
  <c r="AB27" i="25"/>
  <c r="CT98" i="26"/>
  <c r="AJ66" i="1"/>
  <c r="AF53" i="36"/>
  <c r="BX48" i="38"/>
  <c r="BB25" i="25"/>
  <c r="G8" i="60"/>
  <c r="BE107" i="47"/>
  <c r="BQ17" i="26"/>
  <c r="AZ60"/>
  <c r="M44" i="60"/>
  <c r="K48" i="59"/>
  <c r="F69" i="64"/>
  <c r="AO54" i="1"/>
  <c r="BQ25" i="38"/>
  <c r="I54" i="36"/>
  <c r="K19" i="64"/>
  <c r="S54" i="26"/>
  <c r="CW26" i="39"/>
  <c r="N48" i="59"/>
  <c r="M24" i="60"/>
  <c r="J25" i="37"/>
  <c r="CN49" i="36"/>
  <c r="T89" i="39"/>
  <c r="F68" i="64"/>
  <c r="BG130" i="47"/>
  <c r="S25" i="25"/>
  <c r="M18" i="46"/>
  <c r="K57" i="59"/>
  <c r="I54" i="25"/>
  <c r="T75" i="1"/>
  <c r="J25" i="40"/>
  <c r="G52" i="64"/>
  <c r="K95"/>
  <c r="G46" i="60"/>
  <c r="H73" i="64"/>
  <c r="I93" i="60"/>
  <c r="AY101" i="47"/>
  <c r="E76" i="60"/>
  <c r="M28" i="59"/>
  <c r="BO54" i="1"/>
  <c r="J56" i="60"/>
  <c r="M17" i="64"/>
  <c r="F95"/>
  <c r="I54"/>
  <c r="L37" i="59"/>
  <c r="BO54" i="37"/>
  <c r="BF104" i="47"/>
  <c r="G56" i="60"/>
  <c r="N7" i="59"/>
  <c r="BO54" i="38"/>
  <c r="BD318" i="47"/>
  <c r="P57" i="59"/>
  <c r="CV26" i="1"/>
  <c r="J8" i="59"/>
  <c r="BB59" i="25"/>
  <c r="H17" i="59"/>
  <c r="BI75" i="1"/>
  <c r="E69" i="64"/>
  <c r="H95"/>
  <c r="BO54" i="39"/>
  <c r="G16" i="64"/>
  <c r="BQ54" i="40"/>
  <c r="O49" i="59"/>
  <c r="S17" i="40"/>
  <c r="T67" i="1"/>
  <c r="AZ122" i="47"/>
  <c r="BQ17" i="37"/>
  <c r="L86" i="64"/>
  <c r="M52"/>
  <c r="M33" i="60"/>
  <c r="AD50" i="37"/>
  <c r="E91" i="60"/>
  <c r="F70" i="64"/>
  <c r="I50" i="1"/>
  <c r="AW66" i="25"/>
  <c r="F63" i="60"/>
  <c r="X49" i="36"/>
  <c r="BC108" i="47"/>
  <c r="AY311"/>
  <c r="I49" i="60"/>
  <c r="E49"/>
  <c r="BB59" i="37"/>
  <c r="P17" i="59"/>
  <c r="G49" i="60"/>
  <c r="BB106" i="47"/>
  <c r="T67" i="39"/>
  <c r="E16" i="64"/>
  <c r="AI66" i="25"/>
  <c r="V25" i="41"/>
  <c r="N37" i="59"/>
  <c r="T89" i="25"/>
  <c r="S25" i="26"/>
  <c r="E51" i="64"/>
  <c r="AX67" i="41"/>
  <c r="BO54" i="26"/>
  <c r="I19" i="64"/>
  <c r="V81" i="41"/>
  <c r="S54" i="38"/>
  <c r="L45" i="59"/>
  <c r="I64" i="64"/>
  <c r="CN49" i="37"/>
  <c r="K56" i="60"/>
  <c r="G66" i="46"/>
  <c r="N26" i="37"/>
  <c r="AZ315" i="47"/>
  <c r="BD48" i="26"/>
  <c r="M93" i="60"/>
  <c r="CF50" i="1"/>
  <c r="BD48" i="36"/>
  <c r="G18" i="46"/>
  <c r="W18" i="39"/>
  <c r="E19" i="64"/>
  <c r="J28" i="59"/>
  <c r="BH37" i="40"/>
  <c r="P28" i="59"/>
  <c r="CW26" i="26"/>
  <c r="BO25" i="1"/>
  <c r="CN49" i="38"/>
  <c r="CN49" i="41"/>
  <c r="BC126" i="47"/>
  <c r="BG316"/>
  <c r="BH37" i="1"/>
  <c r="X49"/>
  <c r="K49" i="60"/>
  <c r="E48" i="64"/>
  <c r="BP54" i="37"/>
  <c r="H7" i="59"/>
  <c r="AY124" i="47"/>
  <c r="BA105"/>
  <c r="AB12" i="25"/>
  <c r="AG48" i="36"/>
  <c r="J10" i="59"/>
  <c r="M56" i="60"/>
  <c r="K28" i="59"/>
  <c r="BC110" i="47"/>
  <c r="AG49" i="26"/>
  <c r="I72" i="64"/>
  <c r="CO62" i="41"/>
  <c r="CP24"/>
  <c r="CD61" i="25"/>
  <c r="BB79" i="36"/>
  <c r="Z67" i="40"/>
  <c r="CC21" i="41"/>
  <c r="CI53" i="38"/>
  <c r="BS21" i="1"/>
  <c r="CQ62" i="39"/>
  <c r="AT53" i="40"/>
  <c r="CB45" i="37"/>
  <c r="AM60" i="25"/>
  <c r="I49" i="26"/>
  <c r="Y17" i="25"/>
  <c r="M75" i="38"/>
  <c r="CL13" i="36"/>
  <c r="M9" i="26"/>
  <c r="Y25" i="40"/>
  <c r="AP67" i="25"/>
  <c r="BP98" i="1"/>
  <c r="AZ9" i="26"/>
  <c r="CP27" i="40"/>
  <c r="DA50" i="36"/>
  <c r="AM25" i="37"/>
  <c r="L26" i="25"/>
  <c r="AC9" i="40"/>
  <c r="AX102" i="37"/>
  <c r="CL79" i="38"/>
  <c r="CF18"/>
  <c r="CV75" i="1"/>
  <c r="BT10" i="38"/>
  <c r="CQ71" i="41"/>
  <c r="DF81" i="25"/>
  <c r="CL21" i="26"/>
  <c r="P12" i="37"/>
  <c r="CT71" i="41"/>
  <c r="DC65" i="38"/>
  <c r="G58" i="40"/>
  <c r="CC13" i="1"/>
  <c r="BO27"/>
  <c r="DB91" i="37"/>
  <c r="BW45" i="38"/>
  <c r="CD30"/>
  <c r="Z57" i="41"/>
  <c r="BI58" i="1"/>
  <c r="CC34" i="41"/>
  <c r="AD92" i="36"/>
  <c r="AM30" i="39"/>
  <c r="BZ102" i="37"/>
  <c r="P10" i="25"/>
  <c r="CH62" i="40"/>
  <c r="CW89" i="25"/>
  <c r="CN48" i="26"/>
  <c r="CA79" i="39"/>
  <c r="L98" i="38"/>
  <c r="AW50" i="37"/>
  <c r="AV17" i="40"/>
  <c r="AM21" i="37"/>
  <c r="W89" i="38"/>
  <c r="BU67" i="25"/>
  <c r="AT29"/>
  <c r="CB75" i="36"/>
  <c r="O13"/>
  <c r="BW58" i="38"/>
  <c r="H75" i="41"/>
  <c r="CV67" i="37"/>
  <c r="BU65" i="26"/>
  <c r="BI29" i="39"/>
  <c r="BC98" i="41"/>
  <c r="I50" i="59"/>
  <c r="CD29" i="25"/>
  <c r="I92" i="39"/>
  <c r="CY17" i="41"/>
  <c r="DF92" i="37"/>
  <c r="AS66" i="26"/>
  <c r="AO66" i="25"/>
  <c r="AQ18" i="26"/>
  <c r="BV27" i="41"/>
  <c r="AS67"/>
  <c r="CH18" i="40"/>
  <c r="Z10" i="25"/>
  <c r="K58" i="26"/>
  <c r="M96" i="41"/>
  <c r="AD25" i="25"/>
  <c r="AU61" i="1"/>
  <c r="K74" i="64"/>
  <c r="DE61" i="41"/>
  <c r="AG54"/>
  <c r="AR59" i="25"/>
  <c r="Y13" i="41"/>
  <c r="U67"/>
  <c r="O45"/>
  <c r="L25" i="40"/>
  <c r="CA59" i="25"/>
  <c r="BT60" i="26"/>
  <c r="AR27" i="39"/>
  <c r="DE53" i="36"/>
  <c r="AI25" i="40"/>
  <c r="BR53" i="38"/>
  <c r="S96" i="1"/>
  <c r="CL9" i="37"/>
  <c r="BW66" i="25"/>
  <c r="Z57" i="36"/>
  <c r="DE89" i="38"/>
  <c r="P54" i="37"/>
  <c r="CT30" i="41"/>
  <c r="CB48" i="39"/>
  <c r="BT25" i="36"/>
  <c r="AI25" i="37"/>
  <c r="AU13" i="26"/>
  <c r="BW91" i="38"/>
  <c r="AD66" i="1"/>
  <c r="CY71" i="40"/>
  <c r="BP96" i="41"/>
  <c r="AF60" i="39"/>
  <c r="P89" i="37"/>
  <c r="AC24" i="36"/>
  <c r="DC98" i="40"/>
  <c r="CS57" i="25"/>
  <c r="AN34" i="26"/>
  <c r="CQ34" i="38"/>
  <c r="AI57" i="40"/>
  <c r="I29" i="41"/>
  <c r="DB60" i="37"/>
  <c r="N13" i="40"/>
  <c r="S60" i="38"/>
  <c r="BC65" i="37"/>
  <c r="H61" i="40"/>
  <c r="U26" i="37"/>
  <c r="BE65" i="41"/>
  <c r="AJ34" i="36"/>
  <c r="CA13"/>
  <c r="I20" i="50"/>
  <c r="CQ30" i="38"/>
  <c r="BV34" i="40"/>
  <c r="CS25" i="41"/>
  <c r="DE12" i="26"/>
  <c r="AO9" i="39"/>
  <c r="BW10" i="25"/>
  <c r="CJ12" i="38"/>
  <c r="CS30" i="26"/>
  <c r="AT58" i="40"/>
  <c r="CK50" i="1"/>
  <c r="CG96" i="25"/>
  <c r="DF58" i="38"/>
  <c r="AJ53" i="40"/>
  <c r="AS79" i="26"/>
  <c r="AZ102" i="36"/>
  <c r="CL17" i="26"/>
  <c r="CS96" i="41"/>
  <c r="CR57" i="25"/>
  <c r="CR62" i="40"/>
  <c r="CK91" i="39"/>
  <c r="AC65"/>
  <c r="AD25"/>
  <c r="J17" i="37"/>
  <c r="CE62"/>
  <c r="AC29" i="38"/>
  <c r="X9" i="40"/>
  <c r="DF24" i="41"/>
  <c r="N54" i="39"/>
  <c r="CV58" i="36"/>
  <c r="BW34" i="25"/>
  <c r="I53" i="37"/>
  <c r="CT54" i="1"/>
  <c r="CO18" i="25"/>
  <c r="S49" i="39"/>
  <c r="BH61" i="40"/>
  <c r="AQ57" i="1"/>
  <c r="AY92" i="38"/>
  <c r="G53" i="25"/>
  <c r="X34" i="1"/>
  <c r="CG67"/>
  <c r="J67" i="25"/>
  <c r="BI98"/>
  <c r="CI30" i="39"/>
  <c r="CN57"/>
  <c r="AM12"/>
  <c r="AN49" i="36"/>
  <c r="J45" i="59"/>
  <c r="CM29" i="1"/>
  <c r="BT81" i="36"/>
  <c r="AW26" i="39"/>
  <c r="CE24"/>
  <c r="BY26" i="26"/>
  <c r="BC75" i="39"/>
  <c r="BU45" i="38"/>
  <c r="BW66" i="1"/>
  <c r="CA48" i="37"/>
  <c r="AV71" i="38"/>
  <c r="BI65" i="1"/>
  <c r="CT21" i="36"/>
  <c r="CB57" i="41"/>
  <c r="CX53"/>
  <c r="AR29" i="38"/>
  <c r="W30" i="40"/>
  <c r="BI50" i="38"/>
  <c r="Y60" i="37"/>
  <c r="M27" i="25"/>
  <c r="BE58" i="26"/>
  <c r="AV57" i="1"/>
  <c r="AU13"/>
  <c r="CS71" i="36"/>
  <c r="CJ37" i="25"/>
  <c r="AY18"/>
  <c r="DB34" i="40"/>
  <c r="CH96" i="41"/>
  <c r="DD60" i="40"/>
  <c r="AZ45"/>
  <c r="CN34"/>
  <c r="AN102"/>
  <c r="M96" i="1"/>
  <c r="CX30"/>
  <c r="CU21" i="41"/>
  <c r="BD12" i="39"/>
  <c r="L98" i="37"/>
  <c r="AG61"/>
  <c r="CU102" i="40"/>
  <c r="CZ96"/>
  <c r="CD34" i="39"/>
  <c r="CX103" i="40"/>
  <c r="CA61" i="37"/>
  <c r="BP66" i="39"/>
  <c r="CJ103" i="37"/>
  <c r="AR27" i="1"/>
  <c r="DA58" i="41"/>
  <c r="BQ37" i="36"/>
  <c r="BW59" i="39"/>
  <c r="AG37" i="40"/>
  <c r="T13" i="41"/>
  <c r="BT60" i="37"/>
  <c r="DA53" i="40"/>
  <c r="M102" i="1"/>
  <c r="H9" i="59"/>
  <c r="CP60" i="41"/>
  <c r="CO53" i="26"/>
  <c r="CF67" i="40"/>
  <c r="CM48" i="1"/>
  <c r="DE27" i="26"/>
  <c r="BD60" i="36"/>
  <c r="K60" i="37"/>
  <c r="BC25"/>
  <c r="CJ60" i="36"/>
  <c r="Y62" i="40"/>
  <c r="I60" i="25"/>
  <c r="BX96" i="40"/>
  <c r="AA67" i="41"/>
  <c r="T98" i="38"/>
  <c r="CS45" i="40"/>
  <c r="CW29"/>
  <c r="CY34" i="25"/>
  <c r="AW27" i="38"/>
  <c r="DA66" i="26"/>
  <c r="AD34" i="38"/>
  <c r="AQ54" i="25"/>
  <c r="CZ89" i="37"/>
  <c r="H25" i="25"/>
  <c r="CF67"/>
  <c r="CR29" i="26"/>
  <c r="CK45" i="39"/>
  <c r="AN71" i="37"/>
  <c r="DD54" i="26"/>
  <c r="AP102" i="25"/>
  <c r="Z98"/>
  <c r="CG91" i="41"/>
  <c r="CZ53" i="25"/>
  <c r="CO12" i="1"/>
  <c r="CO24" i="25"/>
  <c r="AI57" i="37"/>
  <c r="CK81" i="26"/>
  <c r="CU96" i="41"/>
  <c r="V59" i="38"/>
  <c r="CT30" i="25"/>
  <c r="G92" i="39"/>
  <c r="AF71" i="38"/>
  <c r="AF17" i="25"/>
  <c r="H37" i="36"/>
  <c r="DD79" i="26"/>
  <c r="BO59" i="40"/>
  <c r="V59" i="39"/>
  <c r="CA54" i="41"/>
  <c r="CD61" i="40"/>
  <c r="CH50" i="26"/>
  <c r="AV25" i="25"/>
  <c r="M24" i="38"/>
  <c r="CZ98" i="26"/>
  <c r="CZ49" i="37"/>
  <c r="U71"/>
  <c r="CI25" i="25"/>
  <c r="CB57" i="38"/>
  <c r="BC26" i="40"/>
  <c r="CP25" i="36"/>
  <c r="P17" i="40"/>
  <c r="BT98" i="36"/>
  <c r="CT96" i="40"/>
  <c r="O61" i="25"/>
  <c r="CC66" i="1"/>
  <c r="I71"/>
  <c r="CT17" i="25"/>
  <c r="AG67"/>
  <c r="AR48" i="40"/>
  <c r="H92" i="37"/>
  <c r="AQ9" i="36"/>
  <c r="CH29" i="25"/>
  <c r="AH61" i="37"/>
  <c r="BR98" i="41"/>
  <c r="DE79" i="25"/>
  <c r="CH13" i="39"/>
  <c r="O92" i="41"/>
  <c r="CD48" i="39"/>
  <c r="AP57" i="40"/>
  <c r="AE49" i="25"/>
  <c r="DE17" i="41"/>
  <c r="CR75" i="39"/>
  <c r="BX67" i="40"/>
  <c r="K10"/>
  <c r="AO45" i="36"/>
  <c r="AZ29" i="26"/>
  <c r="CA91" i="25"/>
  <c r="DE102" i="39"/>
  <c r="CQ48" i="40"/>
  <c r="CD89"/>
  <c r="BS71" i="36"/>
  <c r="CO27" i="25"/>
  <c r="BH66" i="39"/>
  <c r="AC45"/>
  <c r="AQ12" i="25"/>
  <c r="CV37" i="40"/>
  <c r="CL60" i="25"/>
  <c r="BS62"/>
  <c r="AQ17"/>
  <c r="S81" i="37"/>
  <c r="CS29" i="39"/>
  <c r="DA67" i="40"/>
  <c r="BQ10" i="26"/>
  <c r="CJ92" i="40"/>
  <c r="AJ34" i="41"/>
  <c r="CT29" i="38"/>
  <c r="DC27" i="41"/>
  <c r="X71" i="40"/>
  <c r="BH13" i="1"/>
  <c r="AR24" i="39"/>
  <c r="U24" i="40"/>
  <c r="CK13" i="38"/>
  <c r="CJ65" i="36"/>
  <c r="AD9" i="39"/>
  <c r="AB54" i="25"/>
  <c r="M24" i="37"/>
  <c r="CP96" i="26"/>
  <c r="DF98" i="40"/>
  <c r="AM17"/>
  <c r="CW79" i="25"/>
  <c r="AJ67" i="36"/>
  <c r="CN9"/>
  <c r="CE12" i="37"/>
  <c r="AN30" i="26"/>
  <c r="CH67" i="25"/>
  <c r="H50"/>
  <c r="AC30" i="36"/>
  <c r="AC26"/>
  <c r="AC29" i="40"/>
  <c r="DB71" i="25"/>
  <c r="AY98" i="36"/>
  <c r="V37" i="39"/>
  <c r="BA12" i="40"/>
  <c r="CS27"/>
  <c r="AC37" i="41"/>
  <c r="AN96" i="26"/>
  <c r="BU71" i="36"/>
  <c r="CE61" i="41"/>
  <c r="AP45" i="25"/>
  <c r="CX66" i="26"/>
  <c r="AM66" i="1"/>
  <c r="AA21" i="37"/>
  <c r="CM79" i="41"/>
  <c r="CS61" i="26"/>
  <c r="BB67" i="1"/>
  <c r="CV89" i="40"/>
  <c r="AI29" i="37"/>
  <c r="AV13" i="38"/>
  <c r="I17" i="39"/>
  <c r="CI58" i="25"/>
  <c r="DD54" i="36"/>
  <c r="AT58" i="25"/>
  <c r="T50" i="40"/>
  <c r="BC29" i="25"/>
  <c r="CY67" i="36"/>
  <c r="AI12" i="40"/>
  <c r="AJ102"/>
  <c r="O26" i="36"/>
  <c r="J81" i="40"/>
  <c r="AJ34" i="26"/>
  <c r="DD79" i="36"/>
  <c r="V65" i="41"/>
  <c r="CW50" i="25"/>
  <c r="AA89" i="26"/>
  <c r="BV57" i="25"/>
  <c r="CN98"/>
  <c r="CO66" i="38"/>
  <c r="N34" i="37"/>
  <c r="CT66" i="40"/>
  <c r="AY12" i="41"/>
  <c r="DC92"/>
  <c r="DA17" i="25"/>
  <c r="O75" i="37"/>
  <c r="Y89" i="36"/>
  <c r="CS26" i="40"/>
  <c r="AI54" i="25"/>
  <c r="AY128" i="47"/>
  <c r="CC48" i="25"/>
  <c r="M20" i="50"/>
  <c r="CL96" i="40"/>
  <c r="CE62" i="36"/>
  <c r="AU81"/>
  <c r="AE12" i="39"/>
  <c r="U27" i="36"/>
  <c r="I25"/>
  <c r="CU79" i="26"/>
  <c r="CF17" i="1"/>
  <c r="AO21" i="25"/>
  <c r="CV75" i="40"/>
  <c r="CH34" i="25"/>
  <c r="BB49" i="37"/>
  <c r="CW54" i="40"/>
  <c r="BY65" i="37"/>
  <c r="Y96" i="1"/>
  <c r="CI71" i="37"/>
  <c r="CC66" i="38"/>
  <c r="DB53" i="36"/>
  <c r="J12" i="40"/>
  <c r="BO61" i="25"/>
  <c r="AD66" i="38"/>
  <c r="M53" i="64"/>
  <c r="AN27" i="26"/>
  <c r="DF34" i="25"/>
  <c r="K54" i="59"/>
  <c r="AI21" i="40"/>
  <c r="AZ13" i="36"/>
  <c r="N48" i="25"/>
  <c r="BA98" i="36"/>
  <c r="O102" i="26"/>
  <c r="AD37" i="39"/>
  <c r="CN27"/>
  <c r="M9" i="59"/>
  <c r="DE10" i="41"/>
  <c r="AD102" i="25"/>
  <c r="CQ53" i="38"/>
  <c r="CY53" i="39"/>
  <c r="BC27" i="37"/>
  <c r="G71" i="26"/>
  <c r="DF103" i="38"/>
  <c r="CV12" i="39"/>
  <c r="AI30" i="36"/>
  <c r="DE50" i="39"/>
  <c r="CR49" i="26"/>
  <c r="CA12" i="36"/>
  <c r="AH37"/>
  <c r="CE103" i="38"/>
  <c r="L53" i="25"/>
  <c r="G17"/>
  <c r="BR57" i="38"/>
  <c r="CN27"/>
  <c r="CO57"/>
  <c r="AJ71"/>
  <c r="AH75" i="41"/>
  <c r="BQ59" i="40"/>
  <c r="U58"/>
  <c r="CJ57"/>
  <c r="Y45" i="26"/>
  <c r="BS91" i="38"/>
  <c r="AD12" i="1"/>
  <c r="CV91" i="37"/>
  <c r="W61"/>
  <c r="P34" i="38"/>
  <c r="U54" i="40"/>
  <c r="CG30" i="41"/>
  <c r="AJ53" i="1"/>
  <c r="AZ96" i="36"/>
  <c r="CT48" i="39"/>
  <c r="CO27" i="37"/>
  <c r="L9" i="36"/>
  <c r="AJ81" i="37"/>
  <c r="BS48" i="1"/>
  <c r="CK89" i="36"/>
  <c r="CT27" i="37"/>
  <c r="O50" i="1"/>
  <c r="BR26" i="37"/>
  <c r="CF67" i="38"/>
  <c r="BR66" i="25"/>
  <c r="BD29" i="38"/>
  <c r="CH53" i="25"/>
  <c r="Y30" i="36"/>
  <c r="AZ17" i="40"/>
  <c r="CS96" i="25"/>
  <c r="I66" i="36"/>
  <c r="AI79" i="39"/>
  <c r="BQ103" i="38"/>
  <c r="AU30" i="37"/>
  <c r="AD58" i="26"/>
  <c r="K73" i="64"/>
  <c r="BW57" i="38"/>
  <c r="CG57" i="37"/>
  <c r="BX13" i="26"/>
  <c r="BD29" i="25"/>
  <c r="CN59" i="41"/>
  <c r="DF61"/>
  <c r="AB62" i="38"/>
  <c r="AC18" i="1"/>
  <c r="L45" i="36"/>
  <c r="P91" i="40"/>
  <c r="AP54" i="26"/>
  <c r="AZ102" i="1"/>
  <c r="CJ102" i="41"/>
  <c r="BR62" i="39"/>
  <c r="V89" i="36"/>
  <c r="CC24" i="1"/>
  <c r="AO62" i="40"/>
  <c r="DA27"/>
  <c r="CC59"/>
  <c r="BI30" i="38"/>
  <c r="AE89"/>
  <c r="J102" i="1"/>
  <c r="O13" i="40"/>
  <c r="CP26" i="36"/>
  <c r="K48" i="46"/>
  <c r="CR96" i="40"/>
  <c r="DF50" i="39"/>
  <c r="P98" i="41"/>
  <c r="S34" i="37"/>
  <c r="BA65" i="40"/>
  <c r="AS34" i="25"/>
  <c r="CA65" i="40"/>
  <c r="DB75" i="39"/>
  <c r="DF57" i="38"/>
  <c r="DB10"/>
  <c r="BB45"/>
  <c r="BA65" i="39"/>
  <c r="AW27" i="1"/>
  <c r="BV65" i="25"/>
  <c r="DB67"/>
  <c r="AU45" i="36"/>
  <c r="AW17" i="41"/>
  <c r="BQ65"/>
  <c r="CE57" i="38"/>
  <c r="CZ37" i="36"/>
  <c r="CK18" i="26"/>
  <c r="AC24" i="40"/>
  <c r="BR96"/>
  <c r="BP26" i="1"/>
  <c r="CV71" i="40"/>
  <c r="AE65" i="41"/>
  <c r="CS62" i="1"/>
  <c r="AZ71" i="40"/>
  <c r="BO60" i="25"/>
  <c r="BT103" i="1"/>
  <c r="AH18" i="39"/>
  <c r="CG25" i="26"/>
  <c r="CM49" i="1"/>
  <c r="BB26" i="37"/>
  <c r="AI65" i="40"/>
  <c r="AO27" i="36"/>
  <c r="CI58" i="38"/>
  <c r="P18" i="41"/>
  <c r="BH10" i="40"/>
  <c r="AQ71" i="37"/>
  <c r="CO29" i="26"/>
  <c r="T25" i="37"/>
  <c r="CJ75"/>
  <c r="AA66" i="39"/>
  <c r="CL59" i="1"/>
  <c r="CM66"/>
  <c r="CK89" i="39"/>
  <c r="CU34" i="41"/>
  <c r="CT92" i="36"/>
  <c r="AJ66" i="26"/>
  <c r="BW13" i="1"/>
  <c r="H59" i="38"/>
  <c r="Y65" i="36"/>
  <c r="N45" i="25"/>
  <c r="AX49" i="41"/>
  <c r="CB61"/>
  <c r="CY12" i="25"/>
  <c r="BY30"/>
  <c r="CG60" i="39"/>
  <c r="CM45"/>
  <c r="AD48" i="38"/>
  <c r="AM102" i="1"/>
  <c r="BI66" i="37"/>
  <c r="DF60"/>
  <c r="Z81" i="36"/>
  <c r="AJ60" i="1"/>
  <c r="AP60" i="38"/>
  <c r="CK25" i="37"/>
  <c r="DA30"/>
  <c r="DA62" i="25"/>
  <c r="X92" i="36"/>
  <c r="CR27" i="25"/>
  <c r="AR13" i="39"/>
  <c r="BE75" i="26"/>
  <c r="AV30" i="39"/>
  <c r="AS53" i="37"/>
  <c r="BI62"/>
  <c r="L48" i="41"/>
  <c r="AR50" i="36"/>
  <c r="N53" i="38"/>
  <c r="AD9" i="40"/>
  <c r="AQ59" i="37"/>
  <c r="I37" i="1"/>
  <c r="BW75" i="40"/>
  <c r="AI48" i="36"/>
  <c r="CC96" i="41"/>
  <c r="T26" i="40"/>
  <c r="BH57" i="1"/>
  <c r="AV17" i="39"/>
  <c r="DD98" i="25"/>
  <c r="AE65" i="36"/>
  <c r="CQ66" i="39"/>
  <c r="CL59" i="37"/>
  <c r="BW103" i="38"/>
  <c r="AH79" i="41"/>
  <c r="BP29"/>
  <c r="CP89" i="36"/>
  <c r="DB65" i="39"/>
  <c r="BV98" i="41"/>
  <c r="CG12"/>
  <c r="CT12" i="37"/>
  <c r="CL60" i="26"/>
  <c r="BD71" i="36"/>
  <c r="CM37" i="41"/>
  <c r="CE79" i="40"/>
  <c r="AU27" i="39"/>
  <c r="CC37" i="1"/>
  <c r="AQ49" i="26"/>
  <c r="BE92" i="38"/>
  <c r="BU24" i="39"/>
  <c r="AF81" i="41"/>
  <c r="CN13" i="36"/>
  <c r="CA9"/>
  <c r="I81" i="1"/>
  <c r="AF62" i="41"/>
  <c r="V79"/>
  <c r="I29" i="25"/>
  <c r="BD18"/>
  <c r="K6" i="60"/>
  <c r="L71" i="64"/>
  <c r="AC13" i="25"/>
  <c r="BA65" i="1"/>
  <c r="CR60" i="36"/>
  <c r="BB50" i="1"/>
  <c r="BB12" i="36"/>
  <c r="AH12" i="39"/>
  <c r="AP79" i="38"/>
  <c r="AQ98" i="37"/>
  <c r="O62" i="41"/>
  <c r="DD57" i="39"/>
  <c r="G67" i="25"/>
  <c r="CB18" i="26"/>
  <c r="CP26" i="1"/>
  <c r="BR102"/>
  <c r="CK65" i="39"/>
  <c r="CK81" i="38"/>
  <c r="BD13" i="36"/>
  <c r="AU61" i="37"/>
  <c r="AJ34" i="40"/>
  <c r="K30" i="36"/>
  <c r="AR65" i="26"/>
  <c r="CU98" i="37"/>
  <c r="AM49" i="36"/>
  <c r="CF66" i="26"/>
  <c r="CN79" i="25"/>
  <c r="BD96" i="39"/>
  <c r="CT79" i="41"/>
  <c r="AH92" i="37"/>
  <c r="AI89" i="25"/>
  <c r="AF57" i="39"/>
  <c r="BH62" i="36"/>
  <c r="CK62" i="25"/>
  <c r="BI60" i="41"/>
  <c r="CW13" i="37"/>
  <c r="BW12"/>
  <c r="K62" i="39"/>
  <c r="AR27" i="40"/>
  <c r="AE75" i="39"/>
  <c r="BC53" i="41"/>
  <c r="M10"/>
  <c r="CZ50" i="37"/>
  <c r="CL67"/>
  <c r="DB29" i="40"/>
  <c r="AP17" i="38"/>
  <c r="AG24" i="25"/>
  <c r="AY21" i="41"/>
  <c r="Z59" i="37"/>
  <c r="AW92"/>
  <c r="CS89" i="36"/>
  <c r="AS30" i="26"/>
  <c r="AZ29" i="40"/>
  <c r="AJ79"/>
  <c r="CY34" i="39"/>
  <c r="BR67" i="38"/>
  <c r="CO98" i="1"/>
  <c r="AT91" i="39"/>
  <c r="K66" i="37"/>
  <c r="AN18" i="26"/>
  <c r="AA13" i="25"/>
  <c r="AY26" i="38"/>
  <c r="AW98"/>
  <c r="P54"/>
  <c r="CY21" i="26"/>
  <c r="AW29" i="40"/>
  <c r="L48" i="26"/>
  <c r="CU13" i="40"/>
  <c r="DF18" i="37"/>
  <c r="AV48" i="41"/>
  <c r="CK27"/>
  <c r="CT18" i="26"/>
  <c r="CV79" i="40"/>
  <c r="BH30"/>
  <c r="Z26" i="36"/>
  <c r="CG58" i="41"/>
  <c r="AJ30" i="25"/>
  <c r="T98" i="40"/>
  <c r="CA96"/>
  <c r="W25" i="41"/>
  <c r="BR65" i="38"/>
  <c r="BX34" i="39"/>
  <c r="CF54" i="26"/>
  <c r="BT81" i="25"/>
  <c r="CG26" i="39"/>
  <c r="AR81" i="40"/>
  <c r="AO34" i="39"/>
  <c r="AW18" i="36"/>
  <c r="AW49"/>
  <c r="M66" i="40"/>
  <c r="BV98" i="1"/>
  <c r="CG75" i="37"/>
  <c r="I57" i="38"/>
  <c r="H71" i="1"/>
  <c r="CB57" i="37"/>
  <c r="DA98" i="1"/>
  <c r="AM29" i="26"/>
  <c r="CE37" i="41"/>
  <c r="AF92"/>
  <c r="AR10" i="39"/>
  <c r="CS62" i="36"/>
  <c r="CU58" i="26"/>
  <c r="J48" i="39"/>
  <c r="CY34" i="38"/>
  <c r="CU65" i="25"/>
  <c r="CQ13"/>
  <c r="CF21" i="1"/>
  <c r="P98"/>
  <c r="P57" i="37"/>
  <c r="BH27" i="41"/>
  <c r="AS67" i="25"/>
  <c r="DA103" i="38"/>
  <c r="BH66" i="1"/>
  <c r="DF61" i="26"/>
  <c r="BS89" i="1"/>
  <c r="G10" i="25"/>
  <c r="AF59" i="36"/>
  <c r="BZ75" i="38"/>
  <c r="CG66" i="39"/>
  <c r="AG53" i="25"/>
  <c r="P26" i="37"/>
  <c r="N59" i="26"/>
  <c r="AJ30" i="36"/>
  <c r="Z21" i="26"/>
  <c r="CV45" i="37"/>
  <c r="DB25" i="38"/>
  <c r="AA58" i="26"/>
  <c r="AW13" i="37"/>
  <c r="CH98" i="39"/>
  <c r="BU81" i="41"/>
  <c r="BZ48" i="36"/>
  <c r="CE67" i="1"/>
  <c r="U34" i="26"/>
  <c r="CJ25" i="40"/>
  <c r="BO49" i="41"/>
  <c r="CE53" i="38"/>
  <c r="CA91" i="1"/>
  <c r="AY10" i="36"/>
  <c r="AO30" i="39"/>
  <c r="AC25" i="40"/>
  <c r="CC102" i="36"/>
  <c r="CG89"/>
  <c r="J89" i="26"/>
  <c r="U89" i="37"/>
  <c r="CQ103" i="40"/>
  <c r="AS45" i="26"/>
  <c r="DA50" i="37"/>
  <c r="BA96" i="36"/>
  <c r="CE29" i="41"/>
  <c r="CD67" i="39"/>
  <c r="AN30" i="37"/>
  <c r="CH13"/>
  <c r="CO54" i="38"/>
  <c r="BR37" i="41"/>
  <c r="CL37" i="36"/>
  <c r="AR34" i="41"/>
  <c r="DA96" i="37"/>
  <c r="CM29" i="39"/>
  <c r="J17" i="1"/>
  <c r="AC29" i="39"/>
  <c r="X98" i="37"/>
  <c r="CI89" i="41"/>
  <c r="CW75" i="39"/>
  <c r="CG18" i="41"/>
  <c r="AP50" i="26"/>
  <c r="DA21" i="40"/>
  <c r="AB18" i="26"/>
  <c r="BB65"/>
  <c r="CK98" i="39"/>
  <c r="AA24"/>
  <c r="BZ62" i="41"/>
  <c r="AN45" i="40"/>
  <c r="CV81" i="38"/>
  <c r="AT60" i="25"/>
  <c r="G61" i="36"/>
  <c r="BC81" i="38"/>
  <c r="AI81" i="39"/>
  <c r="CN54" i="26"/>
  <c r="AV24" i="39"/>
  <c r="DD49" i="41"/>
  <c r="BI45" i="37"/>
  <c r="AM9" i="25"/>
  <c r="CS65" i="40"/>
  <c r="DC60" i="38"/>
  <c r="BC89" i="41"/>
  <c r="CG49" i="37"/>
  <c r="BA9" i="38"/>
  <c r="CW57" i="36"/>
  <c r="AY106" i="47"/>
  <c r="J102" i="40"/>
  <c r="DB18" i="25"/>
  <c r="J13" i="39"/>
  <c r="CJ65" i="38"/>
  <c r="BV81" i="1"/>
  <c r="J12" i="39"/>
  <c r="CH54"/>
  <c r="CL26" i="36"/>
  <c r="AT17" i="1"/>
  <c r="BE96" i="36"/>
  <c r="BW50" i="37"/>
  <c r="I58" i="40"/>
  <c r="AB17" i="36"/>
  <c r="I53" i="64"/>
  <c r="AI21" i="25"/>
  <c r="CE13" i="1"/>
  <c r="T37" i="41"/>
  <c r="H47" i="59"/>
  <c r="U13" i="26"/>
  <c r="H92" i="39"/>
  <c r="BW27"/>
  <c r="M59" i="36"/>
  <c r="CJ66"/>
  <c r="AB67" i="38"/>
  <c r="AQ71" i="26"/>
  <c r="DC98" i="39"/>
  <c r="CM62" i="41"/>
  <c r="AN92" i="39"/>
  <c r="CU58"/>
  <c r="AR53"/>
  <c r="AX24" i="25"/>
  <c r="H9" i="1"/>
  <c r="DE66" i="38"/>
  <c r="CP71" i="1"/>
  <c r="AI45" i="36"/>
  <c r="AG92" i="40"/>
  <c r="BR50" i="41"/>
  <c r="DB65" i="25"/>
  <c r="AT53" i="1"/>
  <c r="DF13" i="38"/>
  <c r="BU66" i="39"/>
  <c r="CC89" i="37"/>
  <c r="DA65" i="1"/>
  <c r="AF66" i="26"/>
  <c r="AS75" i="25"/>
  <c r="BO48" i="1"/>
  <c r="AV48" i="38"/>
  <c r="CI21" i="36"/>
  <c r="N61" i="26"/>
  <c r="CG65" i="37"/>
  <c r="CF98" i="38"/>
  <c r="DA102"/>
  <c r="AX75" i="1"/>
  <c r="AD45" i="39"/>
  <c r="AT59" i="41"/>
  <c r="AH49" i="25"/>
  <c r="BR26" i="1"/>
  <c r="BR89" i="39"/>
  <c r="AP65" i="36"/>
  <c r="AF91" i="1"/>
  <c r="H13" i="40"/>
  <c r="AA62" i="1"/>
  <c r="DA10" i="40"/>
  <c r="AZ98" i="26"/>
  <c r="AR102" i="25"/>
  <c r="P13" i="38"/>
  <c r="AJ12" i="40"/>
  <c r="AE29" i="39"/>
  <c r="CH96" i="37"/>
  <c r="BV25" i="36"/>
  <c r="CR102" i="26"/>
  <c r="CL103" i="40"/>
  <c r="DB24" i="41"/>
  <c r="AT10"/>
  <c r="Y50" i="25"/>
  <c r="AB24" i="1"/>
  <c r="BB49" i="39"/>
  <c r="BB81" i="41"/>
  <c r="O45" i="25"/>
  <c r="AE21" i="38"/>
  <c r="AB24" i="36"/>
  <c r="DA12" i="25"/>
  <c r="CN9" i="26"/>
  <c r="CT103" i="25"/>
  <c r="CU102" i="1"/>
  <c r="W34" i="26"/>
  <c r="BT57" i="39"/>
  <c r="L60" i="37"/>
  <c r="CE25"/>
  <c r="N79"/>
  <c r="DC48" i="26"/>
  <c r="CB45" i="36"/>
  <c r="BU54" i="1"/>
  <c r="CB75" i="38"/>
  <c r="V91"/>
  <c r="CT25" i="1"/>
  <c r="AY60" i="36"/>
  <c r="AS18"/>
  <c r="CX57" i="41"/>
  <c r="Z57" i="40"/>
  <c r="AS9"/>
  <c r="P25" i="25"/>
  <c r="AS57" i="37"/>
  <c r="CI50" i="41"/>
  <c r="I24" i="60"/>
  <c r="L49"/>
  <c r="BB59" i="36"/>
  <c r="BA233" i="47"/>
  <c r="J91" i="60"/>
  <c r="F16" i="64"/>
  <c r="AX67" i="1"/>
  <c r="BO25" i="38"/>
  <c r="K37" i="59"/>
  <c r="K24" i="60"/>
  <c r="X49" i="40"/>
  <c r="BQ54" i="38"/>
  <c r="M52" i="59"/>
  <c r="S17" i="36"/>
  <c r="I60" i="59"/>
  <c r="BO17" i="1"/>
  <c r="BD48" i="41"/>
  <c r="H28" i="59"/>
  <c r="CV26" i="39"/>
  <c r="J76" i="60"/>
  <c r="S54" i="1"/>
  <c r="O11" i="59"/>
  <c r="L18"/>
  <c r="E44" i="60"/>
  <c r="H63" i="59"/>
  <c r="S37" i="26"/>
  <c r="K12" i="64"/>
  <c r="AW66" i="40"/>
  <c r="I17" i="59"/>
  <c r="M19" i="64"/>
  <c r="CU26" i="26"/>
  <c r="I16" i="60"/>
  <c r="BH37" i="38"/>
  <c r="L48" i="59"/>
  <c r="T60" i="39"/>
  <c r="N26"/>
  <c r="J49" i="60"/>
  <c r="S54" i="37"/>
  <c r="H49" i="60"/>
  <c r="V81" i="26"/>
  <c r="I56" i="60"/>
  <c r="AX67" i="39"/>
  <c r="S54" i="41"/>
  <c r="G68" i="64"/>
  <c r="S17" i="37"/>
  <c r="K66" i="46"/>
  <c r="T59" i="37"/>
  <c r="AW66" i="36"/>
  <c r="AY60" i="39"/>
  <c r="J19" i="46"/>
  <c r="BP54" i="1"/>
  <c r="J12" i="64"/>
  <c r="O46" i="59"/>
  <c r="BP54" i="40"/>
  <c r="P37" i="59"/>
  <c r="AZ60" i="37"/>
  <c r="BB311" i="47"/>
  <c r="H17" i="25"/>
  <c r="L44" i="60"/>
  <c r="J53" i="59"/>
  <c r="J57"/>
  <c r="W54" i="26"/>
  <c r="F76" i="60"/>
  <c r="H17" i="1"/>
  <c r="AI66" i="41"/>
  <c r="BA53" i="26"/>
  <c r="AB66"/>
  <c r="BC75" i="38"/>
  <c r="AV102" i="39"/>
  <c r="AI59" i="40"/>
  <c r="CR29" i="39"/>
  <c r="BY18" i="38"/>
  <c r="AG27" i="25"/>
  <c r="BB58" i="1"/>
  <c r="CO66" i="36"/>
  <c r="P18" i="39"/>
  <c r="AY67" i="25"/>
  <c r="CH79" i="41"/>
  <c r="AQ92" i="26"/>
  <c r="Y66" i="25"/>
  <c r="CD45" i="39"/>
  <c r="O71" i="26"/>
  <c r="DB59"/>
  <c r="BA29" i="41"/>
  <c r="CK66"/>
  <c r="N92" i="40"/>
  <c r="BT59" i="41"/>
  <c r="I45" i="36"/>
  <c r="AA49" i="37"/>
  <c r="BX89" i="36"/>
  <c r="V45" i="38"/>
  <c r="I60" i="41"/>
  <c r="AI98" i="36"/>
  <c r="M60" i="38"/>
  <c r="AB26"/>
  <c r="CE25" i="1"/>
  <c r="AH27" i="41"/>
  <c r="BW92" i="36"/>
  <c r="AG17" i="37"/>
  <c r="AP21" i="38"/>
  <c r="AE9" i="41"/>
  <c r="AO59"/>
  <c r="AY61" i="1"/>
  <c r="U30"/>
  <c r="CF58" i="36"/>
  <c r="AP9" i="39"/>
  <c r="BO49" i="25"/>
  <c r="CW91" i="36"/>
  <c r="AT34" i="25"/>
  <c r="O81" i="36"/>
  <c r="BD18" i="41"/>
  <c r="L37" i="37"/>
  <c r="N61" i="1"/>
  <c r="O30" i="40"/>
  <c r="CT24" i="26"/>
  <c r="AJ37" i="38"/>
  <c r="AA53" i="26"/>
  <c r="BU58"/>
  <c r="CJ29" i="37"/>
  <c r="CF67" i="41"/>
  <c r="BY9" i="39"/>
  <c r="AY53"/>
  <c r="CI29" i="1"/>
  <c r="BP10" i="26"/>
  <c r="CH53" i="1"/>
  <c r="P66" i="36"/>
  <c r="AJ58" i="38"/>
  <c r="BB49" i="1"/>
  <c r="CE67" i="38"/>
  <c r="CZ67" i="41"/>
  <c r="S102" i="40"/>
  <c r="W57" i="36"/>
  <c r="CZ10" i="39"/>
  <c r="CR25" i="40"/>
  <c r="CI89" i="25"/>
  <c r="I25" i="1"/>
  <c r="CX21" i="25"/>
  <c r="CV81" i="41"/>
  <c r="AX50" i="39"/>
  <c r="BI54" i="37"/>
  <c r="AQ13" i="36"/>
  <c r="AD18" i="39"/>
  <c r="N17"/>
  <c r="AS26" i="1"/>
  <c r="CP58" i="38"/>
  <c r="DE65" i="36"/>
  <c r="CJ49" i="39"/>
  <c r="AS58" i="40"/>
  <c r="AV50" i="25"/>
  <c r="BH62" i="39"/>
  <c r="CC66" i="37"/>
  <c r="BR18" i="25"/>
  <c r="CH79"/>
  <c r="BV10" i="37"/>
  <c r="M102" i="36"/>
  <c r="CF58" i="1"/>
  <c r="BZ71" i="26"/>
  <c r="AE61" i="39"/>
  <c r="BU10" i="37"/>
  <c r="M91" i="41"/>
  <c r="T30" i="38"/>
  <c r="AR67" i="40"/>
  <c r="M92" i="1"/>
  <c r="BE65" i="36"/>
  <c r="BV50" i="40"/>
  <c r="AI45" i="25"/>
  <c r="AE57" i="40"/>
  <c r="CM17" i="38"/>
  <c r="BC57" i="37"/>
  <c r="CW81" i="26"/>
  <c r="CF49" i="1"/>
  <c r="DB49" i="25"/>
  <c r="BB58" i="26"/>
  <c r="AE24"/>
  <c r="CC81" i="25"/>
  <c r="X10"/>
  <c r="AT37" i="41"/>
  <c r="BW59"/>
  <c r="CH54" i="37"/>
  <c r="M92" i="26"/>
  <c r="AI54" i="1"/>
  <c r="N19" i="59"/>
  <c r="BR65" i="36"/>
  <c r="AF48" i="40"/>
  <c r="H65" i="26"/>
  <c r="N71"/>
  <c r="CU17" i="37"/>
  <c r="AP24" i="25"/>
  <c r="N9" i="1"/>
  <c r="S54" i="36"/>
  <c r="BY65" i="25"/>
  <c r="BV96" i="36"/>
  <c r="BV54" i="37"/>
  <c r="N66" i="38"/>
  <c r="BU75" i="37"/>
  <c r="CJ75" i="40"/>
  <c r="AB18" i="36"/>
  <c r="CS102" i="26"/>
  <c r="AC45" i="40"/>
  <c r="CW30" i="36"/>
  <c r="AT89"/>
  <c r="AD75" i="41"/>
  <c r="AX54" i="38"/>
  <c r="L98" i="41"/>
  <c r="DB98" i="25"/>
  <c r="J75" i="64"/>
  <c r="AM65" i="40"/>
  <c r="AZ89" i="37"/>
  <c r="CN54" i="25"/>
  <c r="AP34" i="40"/>
  <c r="AS98" i="36"/>
  <c r="AO60" i="1"/>
  <c r="BP26" i="38"/>
  <c r="CK54" i="41"/>
  <c r="BT34" i="39"/>
  <c r="CS66" i="40"/>
  <c r="M12" i="38"/>
  <c r="CW10" i="26"/>
  <c r="CV29" i="40"/>
  <c r="AM75" i="37"/>
  <c r="CW13" i="39"/>
  <c r="CB92" i="36"/>
  <c r="BT91" i="26"/>
  <c r="M53" i="25"/>
  <c r="CL24" i="37"/>
  <c r="N17" i="36"/>
  <c r="CW89" i="1"/>
  <c r="CQ34" i="41"/>
  <c r="BD58" i="1"/>
  <c r="BV49" i="25"/>
  <c r="H81" i="36"/>
  <c r="BC21" i="1"/>
  <c r="BS79" i="39"/>
  <c r="BD57" i="37"/>
  <c r="BY25" i="41"/>
  <c r="CM75" i="1"/>
  <c r="AE81" i="41"/>
  <c r="BY81" i="1"/>
  <c r="BS61" i="25"/>
  <c r="CW57" i="40"/>
  <c r="P17" i="39"/>
  <c r="BE81" i="36"/>
  <c r="CD9"/>
  <c r="AS53" i="39"/>
  <c r="BU48" i="25"/>
  <c r="CC12" i="40"/>
  <c r="BW89" i="39"/>
  <c r="AW9" i="38"/>
  <c r="BS12" i="39"/>
  <c r="BU65" i="40"/>
  <c r="L12"/>
  <c r="CP89" i="39"/>
  <c r="CQ53" i="41"/>
  <c r="G61"/>
  <c r="AH24" i="26"/>
  <c r="AO67" i="39"/>
  <c r="W13" i="26"/>
  <c r="AP12" i="1"/>
  <c r="AN60" i="36"/>
  <c r="BA24" i="25"/>
  <c r="CJ10"/>
  <c r="DA10" i="26"/>
  <c r="CB17" i="39"/>
  <c r="AZ92" i="1"/>
  <c r="DC58" i="40"/>
  <c r="CT67" i="1"/>
  <c r="CA81" i="36"/>
  <c r="CN25" i="39"/>
  <c r="BU102" i="37"/>
  <c r="CA53" i="41"/>
  <c r="CO61" i="25"/>
  <c r="CH25" i="39"/>
  <c r="BA27"/>
  <c r="CW62" i="25"/>
  <c r="BI24" i="41"/>
  <c r="AH91" i="40"/>
  <c r="BZ81" i="1"/>
  <c r="BT26" i="26"/>
  <c r="AN60" i="37"/>
  <c r="K75" i="41"/>
  <c r="AI98" i="26"/>
  <c r="AP12" i="41"/>
  <c r="BX59" i="40"/>
  <c r="AY24" i="37"/>
  <c r="BU57"/>
  <c r="AS50" i="41"/>
  <c r="CZ81" i="38"/>
  <c r="AV98" i="39"/>
  <c r="CR30" i="36"/>
  <c r="BU17" i="39"/>
  <c r="CV102" i="36"/>
  <c r="CM17"/>
  <c r="H61" i="25"/>
  <c r="L48"/>
  <c r="BZ61" i="1"/>
  <c r="CN61" i="40"/>
  <c r="J21" i="36"/>
  <c r="CL60" i="41"/>
  <c r="CO75" i="36"/>
  <c r="P79" i="26"/>
  <c r="G81" i="37"/>
  <c r="BQ26"/>
  <c r="CH60" i="1"/>
  <c r="CV58" i="40"/>
  <c r="CT13" i="1"/>
  <c r="AQ21" i="37"/>
  <c r="CZ103" i="26"/>
  <c r="AF71" i="39"/>
  <c r="AP34" i="26"/>
  <c r="AO67" i="41"/>
  <c r="U48" i="39"/>
  <c r="DA65"/>
  <c r="CN53" i="41"/>
  <c r="P67" i="25"/>
  <c r="O45" i="59"/>
  <c r="J47"/>
  <c r="BS81" i="41"/>
  <c r="CT92" i="40"/>
  <c r="CZ79"/>
  <c r="BW67" i="37"/>
  <c r="AO13" i="38"/>
  <c r="CI61" i="40"/>
  <c r="AQ25" i="26"/>
  <c r="AA66" i="36"/>
  <c r="AG57" i="25"/>
  <c r="AX89" i="38"/>
  <c r="AT37" i="26"/>
  <c r="CT54" i="36"/>
  <c r="AV60" i="25"/>
  <c r="AX81" i="1"/>
  <c r="BV9"/>
  <c r="J21" i="26"/>
  <c r="P92"/>
  <c r="CS21" i="40"/>
  <c r="V58" i="38"/>
  <c r="CJ59" i="1"/>
  <c r="AH10" i="41"/>
  <c r="CC75" i="38"/>
  <c r="AU58" i="39"/>
  <c r="DD27" i="26"/>
  <c r="CQ71" i="1"/>
  <c r="BV30" i="41"/>
  <c r="AE57" i="39"/>
  <c r="BT67" i="36"/>
  <c r="T25"/>
  <c r="BA62" i="40"/>
  <c r="CX9" i="38"/>
  <c r="DB48" i="1"/>
  <c r="AC71" i="37"/>
  <c r="CJ27" i="26"/>
  <c r="BU79" i="36"/>
  <c r="AX92" i="26"/>
  <c r="AI13" i="38"/>
  <c r="AD49" i="25"/>
  <c r="AR49" i="1"/>
  <c r="CG45" i="39"/>
  <c r="BA30" i="40"/>
  <c r="BH57" i="38"/>
  <c r="CV103"/>
  <c r="BU13" i="1"/>
  <c r="BV58" i="25"/>
  <c r="CP75" i="40"/>
  <c r="BP57" i="38"/>
  <c r="BR66" i="1"/>
  <c r="CY81" i="40"/>
  <c r="DC17" i="41"/>
  <c r="BC92" i="36"/>
  <c r="BB30"/>
  <c r="AN54" i="1"/>
  <c r="CX61" i="38"/>
  <c r="CX21" i="39"/>
  <c r="CX81" i="26"/>
  <c r="CS65" i="38"/>
  <c r="CI71"/>
  <c r="AJ48" i="1"/>
  <c r="BT21" i="41"/>
  <c r="BC92" i="39"/>
  <c r="CH17" i="41"/>
  <c r="BY30" i="36"/>
  <c r="O13" i="41"/>
  <c r="O27" i="40"/>
  <c r="U75" i="1"/>
  <c r="AE37" i="39"/>
  <c r="CR96"/>
  <c r="CJ12" i="40"/>
  <c r="BE53" i="36"/>
  <c r="DC30" i="25"/>
  <c r="AM92" i="26"/>
  <c r="V17" i="40"/>
  <c r="CA91" i="37"/>
  <c r="X30" i="41"/>
  <c r="DF67"/>
  <c r="J10" i="39"/>
  <c r="CT79" i="25"/>
  <c r="CQ57" i="36"/>
  <c r="CO30" i="38"/>
  <c r="AU71" i="36"/>
  <c r="BY58" i="39"/>
  <c r="K12" i="40"/>
  <c r="BT24" i="36"/>
  <c r="V18" i="39"/>
  <c r="W10" i="40"/>
  <c r="DD48" i="1"/>
  <c r="AW57" i="37"/>
  <c r="V49" i="36"/>
  <c r="CW67" i="25"/>
  <c r="CM48"/>
  <c r="AG45" i="41"/>
  <c r="M58" i="25"/>
  <c r="AC24" i="39"/>
  <c r="AE59" i="41"/>
  <c r="DD17" i="26"/>
  <c r="BQ67" i="25"/>
  <c r="BT79" i="26"/>
  <c r="CT66" i="1"/>
  <c r="AN45" i="25"/>
  <c r="AJ75" i="37"/>
  <c r="BX34"/>
  <c r="AS89" i="39"/>
  <c r="CV53" i="25"/>
  <c r="AS102"/>
  <c r="AA71" i="1"/>
  <c r="BI30"/>
  <c r="CC58" i="26"/>
  <c r="BH67" i="1"/>
  <c r="CF48" i="26"/>
  <c r="AR98" i="41"/>
  <c r="AV59" i="36"/>
  <c r="BV71" i="25"/>
  <c r="W67" i="41"/>
  <c r="CB21" i="40"/>
  <c r="DF45" i="41"/>
  <c r="N45" i="36"/>
  <c r="DF92" i="41"/>
  <c r="M9" i="36"/>
  <c r="BS62" i="37"/>
  <c r="CO25" i="39"/>
  <c r="CY13" i="38"/>
  <c r="AB30" i="41"/>
  <c r="AR9" i="1"/>
  <c r="AU48" i="25"/>
  <c r="AB91"/>
  <c r="CB75" i="40"/>
  <c r="CP54" i="39"/>
  <c r="AV91"/>
  <c r="CB57" i="36"/>
  <c r="CV50" i="1"/>
  <c r="CO57" i="37"/>
  <c r="AG65" i="40"/>
  <c r="CL98" i="39"/>
  <c r="G50" i="26"/>
  <c r="AX18" i="38"/>
  <c r="L37" i="40"/>
  <c r="AQ53" i="39"/>
  <c r="AI89" i="1"/>
  <c r="AH25" i="38"/>
  <c r="CO49" i="1"/>
  <c r="DF103" i="36"/>
  <c r="AJ37" i="39"/>
  <c r="DB49" i="37"/>
  <c r="CR61" i="1"/>
  <c r="AW91"/>
  <c r="CC66" i="40"/>
  <c r="CR34" i="25"/>
  <c r="CT65" i="41"/>
  <c r="CY61" i="37"/>
  <c r="BD25" i="26"/>
  <c r="AY49" i="40"/>
  <c r="CZ58" i="26"/>
  <c r="AU13" i="40"/>
  <c r="CD30" i="39"/>
  <c r="AE24" i="38"/>
  <c r="BI49" i="25"/>
  <c r="CO81" i="26"/>
  <c r="S10" i="38"/>
  <c r="AW59" i="26"/>
  <c r="CV60"/>
  <c r="CM60" i="38"/>
  <c r="CA45" i="37"/>
  <c r="AG65" i="36"/>
  <c r="AR57" i="26"/>
  <c r="AC71"/>
  <c r="BH49" i="36"/>
  <c r="CO17" i="41"/>
  <c r="CL102" i="37"/>
  <c r="DC10" i="1"/>
  <c r="BQ103" i="26"/>
  <c r="BI27"/>
  <c r="AR29" i="1"/>
  <c r="BC45" i="39"/>
  <c r="BC71" i="40"/>
  <c r="AI57" i="1"/>
  <c r="K59"/>
  <c r="BO61" i="38"/>
  <c r="DC45" i="41"/>
  <c r="CF66" i="37"/>
  <c r="DE62" i="1"/>
  <c r="CS58" i="39"/>
  <c r="DA10" i="1"/>
  <c r="DF61" i="40"/>
  <c r="CD75" i="26"/>
  <c r="DD92" i="41"/>
  <c r="BC62" i="25"/>
  <c r="CO10" i="39"/>
  <c r="CR57" i="40"/>
  <c r="BA128" i="47"/>
  <c r="U59" i="40"/>
  <c r="CU59" i="25"/>
  <c r="M66"/>
  <c r="CU71" i="38"/>
  <c r="CR57"/>
  <c r="CL89" i="40"/>
  <c r="U57" i="36"/>
  <c r="DF65" i="37"/>
  <c r="CS30" i="1"/>
  <c r="CR21" i="25"/>
  <c r="BC53" i="38"/>
  <c r="G26" i="26"/>
  <c r="BZ13" i="40"/>
  <c r="CA53" i="37"/>
  <c r="BX45" i="41"/>
  <c r="BS13" i="26"/>
  <c r="CD65" i="41"/>
  <c r="BY50" i="26"/>
  <c r="CN71" i="41"/>
  <c r="CV62"/>
  <c r="L9"/>
  <c r="AQ50"/>
  <c r="AP9" i="37"/>
  <c r="AP21" i="1"/>
  <c r="CN60" i="37"/>
  <c r="CL9" i="36"/>
  <c r="CX48" i="37"/>
  <c r="AZ37" i="25"/>
  <c r="BR24" i="1"/>
  <c r="CA75"/>
  <c r="CX9" i="41"/>
  <c r="AH18" i="38"/>
  <c r="AS89" i="1"/>
  <c r="BQ66" i="37"/>
  <c r="U13" i="41"/>
  <c r="BO66" i="1"/>
  <c r="BR103" i="39"/>
  <c r="M21" i="37"/>
  <c r="CT59" i="1"/>
  <c r="BU102" i="25"/>
  <c r="AB66" i="36"/>
  <c r="Y79"/>
  <c r="BD21" i="25"/>
  <c r="V65" i="39"/>
  <c r="BT103" i="37"/>
  <c r="AH10"/>
  <c r="BU103" i="41"/>
  <c r="BR49" i="38"/>
  <c r="H79" i="41"/>
  <c r="BD65"/>
  <c r="BD34" i="37"/>
  <c r="Z54"/>
  <c r="DB45" i="1"/>
  <c r="S25" i="40"/>
  <c r="BX59" i="25"/>
  <c r="BR96" i="1"/>
  <c r="CX92"/>
  <c r="AI50" i="25"/>
  <c r="CA30" i="26"/>
  <c r="CN13" i="37"/>
  <c r="BY61" i="38"/>
  <c r="BX79" i="36"/>
  <c r="V66" i="25"/>
  <c r="Z67" i="37"/>
  <c r="BE27" i="26"/>
  <c r="CZ21" i="37"/>
  <c r="G57" i="36"/>
  <c r="AE98" i="37"/>
  <c r="W24" i="38"/>
  <c r="K59" i="40"/>
  <c r="DE25"/>
  <c r="CU9" i="36"/>
  <c r="AX49" i="38"/>
  <c r="CC18" i="40"/>
  <c r="CU60" i="41"/>
  <c r="CH71" i="39"/>
  <c r="CR26" i="38"/>
  <c r="CV34" i="25"/>
  <c r="BE98" i="36"/>
  <c r="CA66" i="26"/>
  <c r="BZ71" i="40"/>
  <c r="CS21" i="37"/>
  <c r="AU10" i="36"/>
  <c r="BA58" i="39"/>
  <c r="CZ17" i="37"/>
  <c r="AP17" i="1"/>
  <c r="BZ17" i="25"/>
  <c r="CD89" i="37"/>
  <c r="CV79" i="41"/>
  <c r="CF27"/>
  <c r="Z66" i="25"/>
  <c r="DB34" i="37"/>
  <c r="CB91"/>
  <c r="CJ9" i="39"/>
  <c r="AT12" i="26"/>
  <c r="CS26" i="25"/>
  <c r="BP27" i="39"/>
  <c r="AF66"/>
  <c r="CD79" i="37"/>
  <c r="CF59" i="38"/>
  <c r="CC57" i="26"/>
  <c r="CM48" i="36"/>
  <c r="BU27" i="41"/>
  <c r="AW17" i="37"/>
  <c r="CF26" i="26"/>
  <c r="X18" i="25"/>
  <c r="CD67" i="1"/>
  <c r="BU57" i="39"/>
  <c r="L75" i="41"/>
  <c r="G81" i="26"/>
  <c r="CN21" i="25"/>
  <c r="CU10" i="38"/>
  <c r="BV54" i="36"/>
  <c r="N12"/>
  <c r="U25" i="25"/>
  <c r="CY103" i="38"/>
  <c r="AB34" i="26"/>
  <c r="CX59" i="25"/>
  <c r="CK54" i="38"/>
  <c r="I89" i="41"/>
  <c r="CP71" i="37"/>
  <c r="CH17" i="26"/>
  <c r="DC12" i="38"/>
  <c r="Z61" i="39"/>
  <c r="DD96" i="40"/>
  <c r="AE92" i="38"/>
  <c r="BW59" i="37"/>
  <c r="BI26" i="36"/>
  <c r="BV27" i="37"/>
  <c r="AR45" i="26"/>
  <c r="CD37"/>
  <c r="BE17" i="40"/>
  <c r="CV25" i="37"/>
  <c r="CR49" i="25"/>
  <c r="CW24" i="38"/>
  <c r="DC91" i="37"/>
  <c r="M75" i="26"/>
  <c r="CQ26" i="37"/>
  <c r="AR48" i="38"/>
  <c r="AZ48" i="39"/>
  <c r="CC62" i="26"/>
  <c r="AA53" i="40"/>
  <c r="CP66" i="41"/>
  <c r="AZ62" i="26"/>
  <c r="CL17" i="25"/>
  <c r="BP79"/>
  <c r="CQ67" i="40"/>
  <c r="CG29" i="36"/>
  <c r="I102" i="25"/>
  <c r="DA49" i="36"/>
  <c r="CQ10" i="39"/>
  <c r="CB102" i="36"/>
  <c r="AE13" i="37"/>
  <c r="CY48" i="39"/>
  <c r="AZ79" i="40"/>
  <c r="BZ18" i="41"/>
  <c r="CU79" i="37"/>
  <c r="BX89" i="41"/>
  <c r="CE10"/>
  <c r="G66" i="1"/>
  <c r="CK10"/>
  <c r="CR54" i="36"/>
  <c r="I102" i="26"/>
  <c r="DC24" i="40"/>
  <c r="V34" i="36"/>
  <c r="AW18" i="39"/>
  <c r="AW9" i="1"/>
  <c r="CI59" i="41"/>
  <c r="CM91" i="40"/>
  <c r="CX53" i="25"/>
  <c r="CN17"/>
  <c r="BU96" i="38"/>
  <c r="AG24" i="37"/>
  <c r="CM89" i="26"/>
  <c r="K79" i="39"/>
  <c r="AA67" i="1"/>
  <c r="CH9" i="36"/>
  <c r="DD67" i="39"/>
  <c r="BU61" i="26"/>
  <c r="AM9" i="37"/>
  <c r="CS18" i="26"/>
  <c r="S65" i="25"/>
  <c r="AH71" i="38"/>
  <c r="CQ79" i="1"/>
  <c r="CJ91" i="26"/>
  <c r="BH34" i="25"/>
  <c r="BV102" i="36"/>
  <c r="AE66" i="41"/>
  <c r="AT9" i="1"/>
  <c r="DD103" i="37"/>
  <c r="DB67"/>
  <c r="CK9" i="41"/>
  <c r="CJ37" i="39"/>
  <c r="CW91" i="41"/>
  <c r="AN71"/>
  <c r="AX27" i="37"/>
  <c r="AI57" i="41"/>
  <c r="BV30" i="25"/>
  <c r="AZ59" i="26"/>
  <c r="L10" i="37"/>
  <c r="AA10" i="26"/>
  <c r="L61" i="41"/>
  <c r="BY13" i="1"/>
  <c r="AY67" i="37"/>
  <c r="BW17" i="25"/>
  <c r="G58" i="38"/>
  <c r="BT65" i="25"/>
  <c r="O66" i="39"/>
  <c r="CN62" i="26"/>
  <c r="DE18" i="41"/>
  <c r="AW37" i="40"/>
  <c r="I7" i="59"/>
  <c r="CP50" i="40"/>
  <c r="BW10" i="37"/>
  <c r="BZ54"/>
  <c r="S60" i="26"/>
  <c r="CS75" i="40"/>
  <c r="CH13"/>
  <c r="CJ91" i="1"/>
  <c r="BZ12" i="38"/>
  <c r="CS58" i="40"/>
  <c r="CQ48" i="38"/>
  <c r="AD9" i="1"/>
  <c r="CY37" i="39"/>
  <c r="CS81" i="1"/>
  <c r="AN92" i="38"/>
  <c r="AJ13" i="37"/>
  <c r="H24" i="40"/>
  <c r="AD54" i="26"/>
  <c r="AN30" i="39"/>
  <c r="DC9" i="36"/>
  <c r="CS17" i="40"/>
  <c r="CR60"/>
  <c r="CB102" i="1"/>
  <c r="BI34" i="26"/>
  <c r="CR24" i="39"/>
  <c r="AD67" i="25"/>
  <c r="BW13" i="38"/>
  <c r="K45" i="39"/>
  <c r="CQ67" i="37"/>
  <c r="AI27" i="25"/>
  <c r="AX62" i="40"/>
  <c r="CJ17" i="25"/>
  <c r="BR48" i="39"/>
  <c r="BA102" i="38"/>
  <c r="AS13" i="40"/>
  <c r="CW59" i="38"/>
  <c r="U91" i="37"/>
  <c r="DC25" i="38"/>
  <c r="P37" i="37"/>
  <c r="CH34" i="39"/>
  <c r="CV103" i="36"/>
  <c r="DB103" i="39"/>
  <c r="G57"/>
  <c r="K60" i="26"/>
  <c r="AO81" i="40"/>
  <c r="CJ66" i="25"/>
  <c r="AA17" i="39"/>
  <c r="M58" i="36"/>
  <c r="DF81"/>
  <c r="AP53" i="26"/>
  <c r="L8" i="60"/>
  <c r="DC37" i="25"/>
  <c r="CI98" i="39"/>
  <c r="AJ89" i="25"/>
  <c r="DA34" i="39"/>
  <c r="CT61" i="1"/>
  <c r="I71" i="41"/>
  <c r="BH65" i="36"/>
  <c r="BR61" i="39"/>
  <c r="DE29" i="1"/>
  <c r="S30" i="36"/>
  <c r="DE27" i="39"/>
  <c r="CP91" i="26"/>
  <c r="CK26" i="1"/>
  <c r="CR65" i="26"/>
  <c r="BR48" i="37"/>
  <c r="G60" i="26"/>
  <c r="X66" i="37"/>
  <c r="CI91"/>
  <c r="AY91" i="38"/>
  <c r="AS21" i="41"/>
  <c r="BW48" i="39"/>
  <c r="CL12" i="1"/>
  <c r="Z53" i="38"/>
  <c r="AV60"/>
  <c r="AG21" i="1"/>
  <c r="CP96" i="25"/>
  <c r="K91" i="41"/>
  <c r="AY26" i="39"/>
  <c r="CZ91" i="26"/>
  <c r="V26" i="25"/>
  <c r="O92" i="26"/>
  <c r="T37" i="36"/>
  <c r="BX10" i="1"/>
  <c r="CP50"/>
  <c r="W18" i="37"/>
  <c r="CM91" i="36"/>
  <c r="P47" i="59"/>
  <c r="CZ25" i="41"/>
  <c r="AM58" i="36"/>
  <c r="CH92" i="39"/>
  <c r="BE128" i="47"/>
  <c r="CR26" i="26"/>
  <c r="CQ53" i="1"/>
  <c r="DB89" i="36"/>
  <c r="J76" i="64"/>
  <c r="BA102" i="39"/>
  <c r="AN12" i="41"/>
  <c r="L17" i="36"/>
  <c r="BE45" i="25"/>
  <c r="DF21" i="41"/>
  <c r="AF59" i="38"/>
  <c r="BI25" i="40"/>
  <c r="AP17" i="37"/>
  <c r="AA75" i="39"/>
  <c r="AH37" i="38"/>
  <c r="CG9" i="1"/>
  <c r="AN102" i="39"/>
  <c r="BZ89"/>
  <c r="CW21" i="1"/>
  <c r="CN62" i="39"/>
  <c r="BI24" i="37"/>
  <c r="CW54" i="38"/>
  <c r="Z60" i="41"/>
  <c r="BT98" i="1"/>
  <c r="DE27"/>
  <c r="CD91" i="39"/>
  <c r="BD58" i="36"/>
  <c r="CR66" i="40"/>
  <c r="AE61" i="36"/>
  <c r="X54" i="25"/>
  <c r="DC91" i="26"/>
  <c r="X37" i="25"/>
  <c r="CI58" i="40"/>
  <c r="BY58" i="25"/>
  <c r="BU98" i="26"/>
  <c r="CH102" i="38"/>
  <c r="AI49" i="26"/>
  <c r="BR66" i="41"/>
  <c r="I61" i="36"/>
  <c r="BP57" i="1"/>
  <c r="CN67"/>
  <c r="BH18" i="41"/>
  <c r="AM50" i="37"/>
  <c r="CC79" i="40"/>
  <c r="J59" i="1"/>
  <c r="CO50" i="37"/>
  <c r="DC66" i="38"/>
  <c r="H96" i="40"/>
  <c r="CL96" i="38"/>
  <c r="AP10" i="1"/>
  <c r="BV98" i="36"/>
  <c r="AB57" i="38"/>
  <c r="CL98"/>
  <c r="AN89" i="40"/>
  <c r="CI53" i="37"/>
  <c r="BI96"/>
  <c r="DF27" i="36"/>
  <c r="P50" i="39"/>
  <c r="AQ53" i="40"/>
  <c r="M71" i="64"/>
  <c r="BW62" i="37"/>
  <c r="BQ54" i="36"/>
  <c r="BV48" i="1"/>
  <c r="DE30" i="37"/>
  <c r="AR25" i="36"/>
  <c r="BP60" i="40"/>
  <c r="BT18" i="1"/>
  <c r="CZ58" i="37"/>
  <c r="T50"/>
  <c r="DA49" i="39"/>
  <c r="AD25" i="38"/>
  <c r="U65"/>
  <c r="AW81" i="25"/>
  <c r="CS37" i="40"/>
  <c r="CY21" i="37"/>
  <c r="M30" i="39"/>
  <c r="BI25" i="1"/>
  <c r="CH37" i="38"/>
  <c r="W37" i="39"/>
  <c r="DD62" i="26"/>
  <c r="CX89" i="39"/>
  <c r="Z75" i="1"/>
  <c r="BH102" i="36"/>
  <c r="AV26" i="38"/>
  <c r="CR81" i="39"/>
  <c r="AV48"/>
  <c r="DA21" i="25"/>
  <c r="AO54" i="40"/>
  <c r="AC18" i="41"/>
  <c r="CF54" i="39"/>
  <c r="CL79" i="40"/>
  <c r="BW66" i="39"/>
  <c r="BB91" i="40"/>
  <c r="CB54" i="1"/>
  <c r="BI48" i="25"/>
  <c r="AV102" i="38"/>
  <c r="AI53" i="41"/>
  <c r="BD96" i="25"/>
  <c r="J67" i="40"/>
  <c r="CU17" i="38"/>
  <c r="CZ66" i="40"/>
  <c r="AU59" i="41"/>
  <c r="CA59" i="39"/>
  <c r="CM71" i="40"/>
  <c r="BZ92" i="36"/>
  <c r="AZ60" i="41"/>
  <c r="S17" i="1"/>
  <c r="CG50" i="36"/>
  <c r="BO17" i="26"/>
  <c r="AZ60" i="39"/>
  <c r="AG48" i="37"/>
  <c r="I76" i="60"/>
  <c r="K89" i="64"/>
  <c r="AG48" i="38"/>
  <c r="BQ25" i="36"/>
  <c r="BC106" i="47"/>
  <c r="W54" i="39"/>
  <c r="K47" i="59"/>
  <c r="J48"/>
  <c r="J18"/>
  <c r="T60" i="1"/>
  <c r="E52" i="64" s="1"/>
  <c r="BB318" i="47"/>
  <c r="V25" i="36"/>
  <c r="AY60" i="25"/>
  <c r="X54" i="1"/>
  <c r="H71" i="64"/>
  <c r="L10" i="59"/>
  <c r="L73" i="64"/>
  <c r="F56" i="60"/>
  <c r="O63" i="59"/>
  <c r="AQ89" i="26"/>
  <c r="BC12" i="1"/>
  <c r="F47" i="60"/>
  <c r="AW66" i="1"/>
  <c r="T59" i="40"/>
  <c r="BG106" i="47"/>
  <c r="I54" i="40"/>
  <c r="E95" i="64"/>
  <c r="F46" i="60"/>
  <c r="BB59" i="1"/>
  <c r="O18" i="37"/>
  <c r="BQ62" i="25"/>
  <c r="BV66"/>
  <c r="N66" i="41"/>
  <c r="T62" i="36"/>
  <c r="BA81" i="39"/>
  <c r="BY58" i="36"/>
  <c r="U92" i="26"/>
  <c r="BD24" i="25"/>
  <c r="AQ26" i="38"/>
  <c r="AQ21" i="41"/>
  <c r="L10" i="38"/>
  <c r="CT62" i="37"/>
  <c r="DA10"/>
  <c r="CB12" i="40"/>
  <c r="P57" i="1"/>
  <c r="CU18" i="41"/>
  <c r="DF67" i="37"/>
  <c r="BW24" i="41"/>
  <c r="AR10" i="37"/>
  <c r="S102" i="38"/>
  <c r="Z75" i="37"/>
  <c r="CR102" i="41"/>
  <c r="N37" i="1"/>
  <c r="AG92" i="26"/>
  <c r="DE53"/>
  <c r="BC60" i="38"/>
  <c r="CJ34" i="1"/>
  <c r="BZ9" i="25"/>
  <c r="BV37" i="26"/>
  <c r="CZ65" i="41"/>
  <c r="BT27" i="36"/>
  <c r="BZ25"/>
  <c r="BT81" i="26"/>
  <c r="L50" i="38"/>
  <c r="H27" i="25"/>
  <c r="AX17" i="40"/>
  <c r="AN29" i="1"/>
  <c r="CS9" i="25"/>
  <c r="L59" i="36"/>
  <c r="M62" i="1"/>
  <c r="AF13" i="26"/>
  <c r="CY10" i="41"/>
  <c r="CC61" i="39"/>
  <c r="AE26" i="40"/>
  <c r="Y65"/>
  <c r="CJ13" i="39"/>
  <c r="G71" i="1"/>
  <c r="BX102"/>
  <c r="BX96" i="26"/>
  <c r="AC61" i="36"/>
  <c r="DF91" i="26"/>
  <c r="CU89"/>
  <c r="DC66" i="40"/>
  <c r="CY67" i="39"/>
  <c r="BE10" i="40"/>
  <c r="AC37" i="38"/>
  <c r="BT10" i="37"/>
  <c r="J58" i="39"/>
  <c r="DA59" i="36"/>
  <c r="CH62" i="25"/>
  <c r="BI13" i="38"/>
  <c r="BW92" i="39"/>
  <c r="DC25"/>
  <c r="CA27" i="26"/>
  <c r="AV18" i="39"/>
  <c r="CP24" i="36"/>
  <c r="CF24" i="1"/>
  <c r="DB61" i="40"/>
  <c r="AZ57" i="25"/>
  <c r="DB67" i="36"/>
  <c r="N29" i="26"/>
  <c r="AF54" i="39"/>
  <c r="CU58" i="37"/>
  <c r="CW58"/>
  <c r="BA71" i="40"/>
  <c r="H91" i="36"/>
  <c r="T34" i="41"/>
  <c r="BT58" i="37"/>
  <c r="J27" i="41"/>
  <c r="AF89"/>
  <c r="AC89" i="38"/>
  <c r="CZ98" i="39"/>
  <c r="AT60" i="41"/>
  <c r="CT13" i="36"/>
  <c r="CL18" i="41"/>
  <c r="BZ75" i="40"/>
  <c r="CG27"/>
  <c r="CI13" i="25"/>
  <c r="M57" i="26"/>
  <c r="AA65" i="1"/>
  <c r="BB315" i="47"/>
  <c r="S37" i="1"/>
  <c r="G70" i="64"/>
  <c r="M45" i="59"/>
  <c r="AO54" i="25"/>
  <c r="P52" i="59"/>
  <c r="BB59" i="41"/>
  <c r="BB59" i="26"/>
  <c r="BP54" i="25"/>
  <c r="BQ54" i="37"/>
  <c r="E6" i="60"/>
  <c r="BA124" i="47"/>
  <c r="T67" i="41"/>
  <c r="P63" i="59"/>
  <c r="I34"/>
  <c r="I92" i="64"/>
  <c r="L46" i="59"/>
  <c r="E93" i="60"/>
  <c r="CF81" i="36"/>
  <c r="M37" i="1"/>
  <c r="CO30" i="41"/>
  <c r="BA89" i="37"/>
  <c r="CB9" i="1"/>
  <c r="AV27"/>
  <c r="S26" i="38"/>
  <c r="CA79"/>
  <c r="Y18" i="41"/>
  <c r="BV65" i="37"/>
  <c r="DB25" i="40"/>
  <c r="AC49"/>
  <c r="I53" i="26"/>
  <c r="M57" i="37"/>
  <c r="CC49" i="41"/>
  <c r="AE50" i="1"/>
  <c r="AN60" i="25"/>
  <c r="CW25" i="39"/>
  <c r="L25" i="25"/>
  <c r="BB71" i="41"/>
  <c r="Z92" i="25"/>
  <c r="AN45" i="39"/>
  <c r="AP13" i="41"/>
  <c r="S57" i="37"/>
  <c r="AT66" i="36"/>
  <c r="CH21" i="41"/>
  <c r="AR65" i="39"/>
  <c r="CC50" i="26"/>
  <c r="BH67" i="39"/>
  <c r="H49" i="1"/>
  <c r="BX30" i="38"/>
  <c r="Z67" i="1"/>
  <c r="AT12" i="40"/>
  <c r="AG27" i="26"/>
  <c r="V57" i="1"/>
  <c r="BD34" i="39"/>
  <c r="AF60" i="26"/>
  <c r="AE79" i="37"/>
  <c r="BD89" i="26"/>
  <c r="AU13" i="25"/>
  <c r="CI89" i="36"/>
  <c r="DC92" i="37"/>
  <c r="H48" i="1"/>
  <c r="AP58" i="25"/>
  <c r="AJ53"/>
  <c r="CC12" i="1"/>
  <c r="CQ10" i="40"/>
  <c r="CW92" i="1"/>
  <c r="CN17" i="37"/>
  <c r="AN17" i="38"/>
  <c r="BE58"/>
  <c r="AG60" i="41"/>
  <c r="AF45" i="37"/>
  <c r="AO66" i="1"/>
  <c r="AO91" i="41"/>
  <c r="AB50" i="40"/>
  <c r="AS10" i="38"/>
  <c r="CZ60" i="37"/>
  <c r="BD21" i="36"/>
  <c r="CW9" i="39"/>
  <c r="CK91" i="26"/>
  <c r="CV59" i="1"/>
  <c r="DB37" i="40"/>
  <c r="Y96" i="25"/>
  <c r="S49" i="38"/>
  <c r="BA60" i="39"/>
  <c r="BP65" i="37"/>
  <c r="BO29" i="39"/>
  <c r="BW53"/>
  <c r="CX45" i="26"/>
  <c r="AP60" i="41"/>
  <c r="DF48" i="1"/>
  <c r="G89" i="36"/>
  <c r="Y26" i="26"/>
  <c r="BS25"/>
  <c r="BR25" i="39"/>
  <c r="CL75" i="25"/>
  <c r="BT18"/>
  <c r="CC75" i="41"/>
  <c r="CX21" i="37"/>
  <c r="BO67" i="36"/>
  <c r="AR24" i="40"/>
  <c r="AB27" i="39"/>
  <c r="BP67" i="36"/>
  <c r="AX65" i="41"/>
  <c r="CP10" i="25"/>
  <c r="AQ59"/>
  <c r="CH27" i="40"/>
  <c r="AV9"/>
  <c r="CJ18" i="26"/>
  <c r="CO79" i="41"/>
  <c r="K18" i="26"/>
  <c r="BY96" i="37"/>
  <c r="CC30" i="1"/>
  <c r="CI25" i="37"/>
  <c r="L64" i="64"/>
  <c r="N63" i="59"/>
  <c r="K93" i="60"/>
  <c r="I48" i="59"/>
  <c r="K46" i="60"/>
  <c r="S17" i="38"/>
  <c r="K53" i="59"/>
  <c r="J37"/>
  <c r="AY315" i="47"/>
  <c r="AG49" i="1"/>
  <c r="G24" i="60"/>
  <c r="AI66" i="26"/>
  <c r="M46" i="60"/>
  <c r="I54" i="41"/>
  <c r="AY318" i="47"/>
  <c r="I23" i="60"/>
  <c r="BP17" i="40"/>
  <c r="L19" i="64"/>
  <c r="BP17" i="26"/>
  <c r="O18" i="59"/>
  <c r="AV67" i="38"/>
  <c r="J10" i="25"/>
  <c r="CN102" i="39"/>
  <c r="CA29" i="38"/>
  <c r="L89" i="37"/>
  <c r="AR81" i="36"/>
  <c r="CO66" i="41"/>
  <c r="AY98"/>
  <c r="CY25" i="36"/>
  <c r="CZ71" i="25"/>
  <c r="AM53" i="26"/>
  <c r="DE67"/>
  <c r="AU9" i="1"/>
  <c r="CR71" i="39"/>
  <c r="CC17" i="26"/>
  <c r="BU25" i="39"/>
  <c r="DE59"/>
  <c r="AF65" i="38"/>
  <c r="BE92" i="26"/>
  <c r="Z26" i="1"/>
  <c r="BO58" i="25"/>
  <c r="AW10"/>
  <c r="BH54"/>
  <c r="T49" i="39"/>
  <c r="BW49" i="36"/>
  <c r="BW66" i="40"/>
  <c r="AP34" i="25"/>
  <c r="BW24" i="39"/>
  <c r="CA34" i="1"/>
  <c r="CH81" i="41"/>
  <c r="BQ37" i="1"/>
  <c r="CD12" i="25"/>
  <c r="CQ12" i="1"/>
  <c r="BC30" i="38"/>
  <c r="BD53" i="39"/>
  <c r="BT54" i="41"/>
  <c r="AB27" i="36"/>
  <c r="BW75" i="41"/>
  <c r="AC21" i="37"/>
  <c r="DB13"/>
  <c r="AV71"/>
  <c r="CB29" i="41"/>
  <c r="AD37" i="36"/>
  <c r="AP79" i="1"/>
  <c r="BC18" i="38"/>
  <c r="V30" i="1"/>
  <c r="BI49" i="38"/>
  <c r="Z18" i="39"/>
  <c r="CO9" i="41"/>
  <c r="CZ65" i="39"/>
  <c r="W58" i="37"/>
  <c r="AE10"/>
  <c r="BP27"/>
  <c r="AD37"/>
  <c r="AF75" i="41"/>
  <c r="BA98" i="26"/>
  <c r="BT49" i="37"/>
  <c r="BZ26" i="36"/>
  <c r="CF81" i="38"/>
  <c r="AO71" i="26"/>
  <c r="BR37" i="1"/>
  <c r="V17" i="26"/>
  <c r="CO75" i="25"/>
  <c r="CC92" i="40"/>
  <c r="N10" i="25"/>
  <c r="AJ96" i="1"/>
  <c r="BH49" i="40"/>
  <c r="S59" i="37"/>
  <c r="J12" i="25"/>
  <c r="BA67" i="1"/>
  <c r="DD66" i="37"/>
  <c r="BE12" i="39"/>
  <c r="P60" i="36"/>
  <c r="CM49" i="38"/>
  <c r="CP12" i="1"/>
  <c r="P25" i="39"/>
  <c r="P13" i="41"/>
  <c r="BC92"/>
  <c r="CQ96" i="1"/>
  <c r="AA30" i="25"/>
  <c r="G58" i="36"/>
  <c r="CY30" i="41"/>
  <c r="S98" i="40"/>
  <c r="AU34" i="25"/>
  <c r="AI65" i="38"/>
  <c r="AW89" i="37"/>
  <c r="BC13" i="25"/>
  <c r="AJ89" i="37"/>
  <c r="BX61" i="40"/>
  <c r="AT58" i="26"/>
  <c r="AX60" i="38"/>
  <c r="O27"/>
  <c r="P62" i="37"/>
  <c r="CT18" i="38"/>
  <c r="CC26" i="40"/>
  <c r="G91" i="1"/>
  <c r="AB25" i="36"/>
  <c r="CF25" i="37"/>
  <c r="Z89" i="25"/>
  <c r="DB10" i="37"/>
  <c r="CC18" i="41"/>
  <c r="V26" i="36"/>
  <c r="V92" i="26"/>
  <c r="K71" i="36"/>
  <c r="AT92" i="40"/>
  <c r="CS71" i="37"/>
  <c r="K75" i="64"/>
  <c r="CM58" i="26"/>
  <c r="G37" i="1"/>
  <c r="CK25" i="26"/>
  <c r="CR10" i="41"/>
  <c r="BB18" i="26"/>
  <c r="BB10" i="40"/>
  <c r="CQ58" i="38"/>
  <c r="CG61" i="36"/>
  <c r="CB62" i="37"/>
  <c r="X89"/>
  <c r="CD9" i="26"/>
  <c r="DA26" i="41"/>
  <c r="DE60" i="25"/>
  <c r="AF37" i="26"/>
  <c r="P81" i="1"/>
  <c r="DE61" i="25"/>
  <c r="AW61" i="41"/>
  <c r="CQ57" i="40"/>
  <c r="BB29"/>
  <c r="CE91"/>
  <c r="CQ81" i="36"/>
  <c r="CF96" i="25"/>
  <c r="CU18" i="40"/>
  <c r="P10" i="59"/>
  <c r="M45" i="39"/>
  <c r="BZ10"/>
  <c r="BD91" i="1"/>
  <c r="BQ75" i="36"/>
  <c r="BS25" i="25"/>
  <c r="BS75" i="39"/>
  <c r="AW45"/>
  <c r="CY92" i="37"/>
  <c r="BH91" i="41"/>
  <c r="DE24"/>
  <c r="CU92"/>
  <c r="DB50" i="39"/>
  <c r="AP58" i="1"/>
  <c r="P54" i="39"/>
  <c r="CG60" i="25"/>
  <c r="AC21" i="36"/>
  <c r="Z66" i="1"/>
  <c r="DD91"/>
  <c r="AA9" i="36"/>
  <c r="CX71" i="38"/>
  <c r="CN58" i="1"/>
  <c r="AG53" i="38"/>
  <c r="AU92" i="1"/>
  <c r="BV59" i="36"/>
  <c r="AO13" i="25"/>
  <c r="CW67" i="40"/>
  <c r="AC59" i="37"/>
  <c r="I17" i="40"/>
  <c r="AQ49" i="38"/>
  <c r="AT27" i="41"/>
  <c r="CK45" i="36"/>
  <c r="V79" i="40"/>
  <c r="DF79" i="25"/>
  <c r="CG49" i="40"/>
  <c r="BI89" i="38"/>
  <c r="AD59" i="26"/>
  <c r="T21" i="37"/>
  <c r="Z59" i="1"/>
  <c r="BB62" i="38"/>
  <c r="H67" i="37"/>
  <c r="CL18" i="38"/>
  <c r="CT24" i="36"/>
  <c r="AT66" i="38"/>
  <c r="AZ102" i="26"/>
  <c r="J30" i="40"/>
  <c r="H34" i="37"/>
  <c r="DF81" i="26"/>
  <c r="CV62" i="40"/>
  <c r="CL9" i="38"/>
  <c r="AU59" i="25"/>
  <c r="AD18"/>
  <c r="CT60" i="41"/>
  <c r="N9" i="37"/>
  <c r="M59"/>
  <c r="AB65" i="1"/>
  <c r="BV53" i="38"/>
  <c r="F53" i="64"/>
  <c r="AV57" i="38"/>
  <c r="BE37" i="26"/>
  <c r="CN49" i="39"/>
  <c r="N18" i="46"/>
  <c r="O57" i="59"/>
  <c r="AM54" i="1"/>
  <c r="E56" i="60"/>
  <c r="J46"/>
  <c r="E70" i="64"/>
  <c r="T89" i="36"/>
  <c r="BE318" i="47"/>
  <c r="L56" i="60"/>
  <c r="T89" i="26"/>
  <c r="BC318" i="47"/>
  <c r="S54" i="25"/>
  <c r="V25" i="26"/>
  <c r="M17" i="59"/>
  <c r="O53"/>
  <c r="BH37" i="26"/>
  <c r="BP25" i="36"/>
  <c r="G50" i="46"/>
  <c r="M47" i="60"/>
  <c r="Z54" i="25"/>
  <c r="W18" i="38"/>
  <c r="AW66" i="41"/>
  <c r="T59" i="25"/>
  <c r="J63" i="59"/>
  <c r="W18" i="1"/>
  <c r="BF318" i="47"/>
  <c r="I54" i="37"/>
  <c r="L16" i="60"/>
  <c r="CN49" i="1"/>
  <c r="T59" i="39"/>
  <c r="E46" i="60"/>
  <c r="V26" i="39"/>
  <c r="F44" i="60"/>
  <c r="BB59" i="39"/>
  <c r="M24" i="26"/>
  <c r="CU49" i="36"/>
  <c r="T25" i="26"/>
  <c r="BY102" i="39"/>
  <c r="CX53" i="40"/>
  <c r="BT65" i="41"/>
  <c r="CO26" i="36"/>
  <c r="BX98" i="39"/>
  <c r="Y61" i="37"/>
  <c r="L96" i="40"/>
  <c r="CI24" i="39"/>
  <c r="AN18" i="37"/>
  <c r="CA9" i="39"/>
  <c r="CQ67" i="26"/>
  <c r="AU26" i="38"/>
  <c r="CZ50" i="40"/>
  <c r="M71" i="39"/>
  <c r="AU91"/>
  <c r="CX37" i="38"/>
  <c r="BU81" i="36"/>
  <c r="AQ37" i="39"/>
  <c r="AB60" i="1"/>
  <c r="AH98" i="36"/>
  <c r="CO91"/>
  <c r="CE45" i="37"/>
  <c r="AT75" i="39"/>
  <c r="AF10" i="25"/>
  <c r="CT54" i="40"/>
  <c r="CG21" i="37"/>
  <c r="U53" i="1"/>
  <c r="CQ18" i="26"/>
  <c r="BC50" i="40"/>
  <c r="AX24" i="38"/>
  <c r="O53" i="26"/>
  <c r="BA27" i="25"/>
  <c r="AV24" i="1"/>
  <c r="DA53" i="26"/>
  <c r="DA29" i="25"/>
  <c r="CA53" i="36"/>
  <c r="S57" i="39"/>
  <c r="CA17" i="36"/>
  <c r="CA10" i="26"/>
  <c r="AG65" i="37"/>
  <c r="CV9" i="38"/>
  <c r="P24" i="40"/>
  <c r="AM79" i="1"/>
  <c r="BE26" i="39"/>
  <c r="BV79" i="41"/>
  <c r="BI13" i="40"/>
  <c r="CM92" i="26"/>
  <c r="CF18" i="41"/>
  <c r="CL58" i="37"/>
  <c r="V17"/>
  <c r="CB25" i="36"/>
  <c r="BA29" i="37"/>
  <c r="AD29" i="40"/>
  <c r="U66" i="41"/>
  <c r="CT60" i="26"/>
  <c r="AR37" i="25"/>
  <c r="AE58"/>
  <c r="N79" i="26"/>
  <c r="AZ12" i="37"/>
  <c r="BS103" i="26"/>
  <c r="CW30" i="41"/>
  <c r="DE91" i="39"/>
  <c r="Z18" i="26"/>
  <c r="BZ49" i="37"/>
  <c r="CL13" i="25"/>
  <c r="CI37" i="40"/>
  <c r="I13" i="1"/>
  <c r="AC67" i="40"/>
  <c r="CG71" i="1"/>
  <c r="AX48" i="38"/>
  <c r="G62" i="26"/>
  <c r="BH91" i="36"/>
  <c r="T30" i="26"/>
  <c r="AO60"/>
  <c r="BH17" i="39"/>
  <c r="CJ62" i="26"/>
  <c r="L37" i="36"/>
  <c r="CX30" i="26"/>
  <c r="CH54" i="36"/>
  <c r="CY57" i="39"/>
  <c r="S58" i="40"/>
  <c r="Z62"/>
  <c r="W65" i="37"/>
  <c r="AJ92" i="36"/>
  <c r="CD48" i="41"/>
  <c r="CA57" i="36"/>
  <c r="T53" i="38"/>
  <c r="X27" i="37"/>
  <c r="J50"/>
  <c r="U48" i="36"/>
  <c r="BH50" i="25"/>
  <c r="CY45" i="40"/>
  <c r="CO61" i="36"/>
  <c r="G53" i="41"/>
  <c r="BA126" i="47"/>
  <c r="BI24" i="36"/>
  <c r="AY60" i="1"/>
  <c r="T79"/>
  <c r="E47" i="64" s="1"/>
  <c r="E59" i="60"/>
  <c r="CW26" i="1"/>
  <c r="W18" i="26"/>
  <c r="K76" i="60"/>
  <c r="BQ17" i="1"/>
  <c r="AQ89"/>
  <c r="L47" i="60"/>
  <c r="T60" i="25"/>
  <c r="M48" i="59"/>
  <c r="BA311" i="47"/>
  <c r="AQ89" i="39"/>
  <c r="AH49" i="36"/>
  <c r="L76" i="60"/>
  <c r="BO25" i="37"/>
  <c r="W54" i="38"/>
  <c r="CH98" i="26"/>
  <c r="CD57" i="37"/>
  <c r="AJ48" i="36"/>
  <c r="CG96" i="40"/>
  <c r="AX61" i="36"/>
  <c r="CT59" i="26"/>
  <c r="CF58" i="38"/>
  <c r="CN21" i="40"/>
  <c r="CT91" i="36"/>
  <c r="BY48" i="39"/>
  <c r="AE12" i="41"/>
  <c r="BT18" i="26"/>
  <c r="CQ96" i="38"/>
  <c r="K30" i="1"/>
  <c r="DF26" i="39"/>
  <c r="CZ34"/>
  <c r="I96" i="41"/>
  <c r="X48" i="39"/>
  <c r="BU50" i="1"/>
  <c r="DC59" i="36"/>
  <c r="CK59" i="40"/>
  <c r="AT54" i="37"/>
  <c r="M74" i="60"/>
  <c r="BZ92" i="39"/>
  <c r="CA96" i="25"/>
  <c r="DE18" i="36"/>
  <c r="CM57" i="26"/>
  <c r="AR89" i="39"/>
  <c r="BW79" i="25"/>
  <c r="O61" i="36"/>
  <c r="CD12" i="41"/>
  <c r="BD57" i="1"/>
  <c r="BS98" i="26"/>
  <c r="DF18" i="41"/>
  <c r="G18" i="37"/>
  <c r="CG91"/>
  <c r="CQ65" i="39"/>
  <c r="BZ81" i="38"/>
  <c r="BW61"/>
  <c r="AC21" i="40"/>
  <c r="W59" i="38"/>
  <c r="CF61" i="36"/>
  <c r="BR17" i="1"/>
  <c r="U25" i="40"/>
  <c r="AN98" i="38"/>
  <c r="CC34" i="1"/>
  <c r="AE71" i="36"/>
  <c r="V49" i="25"/>
  <c r="CQ30" i="40"/>
  <c r="AP25" i="39"/>
  <c r="AR57" i="37"/>
  <c r="CR49" i="40"/>
  <c r="H48" i="37"/>
  <c r="U61" i="40"/>
  <c r="BR17"/>
  <c r="G25" i="26"/>
  <c r="AZ81"/>
  <c r="AX13" i="25"/>
  <c r="CY62" i="39"/>
  <c r="CA98" i="26"/>
  <c r="AS71" i="36"/>
  <c r="AX21" i="26"/>
  <c r="CT53"/>
  <c r="BR10"/>
  <c r="X25" i="36"/>
  <c r="H9" i="40"/>
  <c r="AE54" i="36"/>
  <c r="DA18" i="26"/>
  <c r="BQ58" i="36"/>
  <c r="BV96" i="39"/>
  <c r="BP29" i="36"/>
  <c r="T13" i="39"/>
  <c r="X92" i="38"/>
  <c r="BE98" i="39"/>
  <c r="AC75"/>
  <c r="AH45"/>
  <c r="AT102" i="37"/>
  <c r="AS54" i="25"/>
  <c r="CK79" i="36"/>
  <c r="AR75"/>
  <c r="BE13" i="41"/>
  <c r="CM29" i="26"/>
  <c r="CG10" i="37"/>
  <c r="CN59" i="26"/>
  <c r="O66" i="38"/>
  <c r="N45" i="37"/>
  <c r="AH59" i="39"/>
  <c r="AE34" i="1"/>
  <c r="AC27"/>
  <c r="I45" i="38"/>
  <c r="CD21" i="37"/>
  <c r="BA54" i="41"/>
  <c r="CU37" i="40"/>
  <c r="BS75" i="41"/>
  <c r="AA61" i="39"/>
  <c r="U54" i="1"/>
  <c r="BQ54" i="26"/>
  <c r="L33" i="60"/>
  <c r="F24"/>
  <c r="H57" i="59"/>
  <c r="I54" i="38"/>
  <c r="K17" i="64"/>
  <c r="BF107" i="47"/>
  <c r="DC37" i="38"/>
  <c r="AW66" i="39"/>
  <c r="BF108" i="47"/>
  <c r="BP54" i="36"/>
  <c r="E17" i="64"/>
  <c r="H12"/>
  <c r="AQ89" i="41"/>
  <c r="BB59" i="40"/>
  <c r="M7" i="59"/>
  <c r="H53" i="64"/>
  <c r="AX67" i="25"/>
  <c r="F59" i="60"/>
  <c r="S66" i="25"/>
  <c r="CF50"/>
  <c r="BO79" i="1"/>
  <c r="E22" i="60"/>
  <c r="BD308" i="47"/>
  <c r="E89" i="60"/>
  <c r="K88" i="64"/>
  <c r="BA308" i="47"/>
  <c r="J22" i="60"/>
  <c r="X49" i="25"/>
  <c r="F88" i="60"/>
  <c r="G9" i="64"/>
  <c r="K73" i="60"/>
  <c r="BQ18" i="38"/>
  <c r="AF49" i="36"/>
  <c r="AF49" i="41"/>
  <c r="H66" i="38"/>
  <c r="I51" i="46"/>
  <c r="CU26" i="37"/>
  <c r="M89" i="64"/>
  <c r="J34" i="59"/>
  <c r="E83" i="60"/>
  <c r="S18" i="39"/>
  <c r="BO25"/>
  <c r="I33" i="59"/>
  <c r="V12" i="25"/>
  <c r="I8" i="59"/>
  <c r="BQ17" i="40"/>
  <c r="AD50" i="1"/>
  <c r="T12" i="25"/>
  <c r="W17" i="39"/>
  <c r="K22" i="60"/>
  <c r="S66" i="38"/>
  <c r="AE50" i="40"/>
  <c r="CF50" i="39"/>
  <c r="K88" i="60"/>
  <c r="G90" i="64"/>
  <c r="F67" i="46"/>
  <c r="BC104" i="47"/>
  <c r="N8" i="59"/>
  <c r="N37" i="46"/>
  <c r="J90" i="64"/>
  <c r="E8"/>
  <c r="I63" i="59"/>
  <c r="I47" i="60"/>
  <c r="F75"/>
  <c r="BP25" i="40"/>
  <c r="L73" i="60"/>
  <c r="H66" i="41"/>
  <c r="I75" i="60"/>
  <c r="V50" i="1"/>
  <c r="BQ18" i="39"/>
  <c r="X49" i="37"/>
  <c r="K75" i="60"/>
  <c r="BE50" i="1"/>
  <c r="T89" i="37"/>
  <c r="S37"/>
  <c r="G92" i="64"/>
  <c r="BB124" i="47"/>
  <c r="BQ18" i="40"/>
  <c r="F16" i="60"/>
  <c r="BO18" i="39"/>
  <c r="AX67" i="37"/>
  <c r="AW65" i="25"/>
  <c r="BD50" i="1"/>
  <c r="E35" i="60"/>
  <c r="S17" i="25"/>
  <c r="F31" i="4"/>
  <c r="L95" i="64"/>
  <c r="BO18" i="36"/>
  <c r="BP18" i="1"/>
  <c r="E23" i="60"/>
  <c r="AY110" i="47"/>
  <c r="G67" i="46"/>
  <c r="BQ25" i="40"/>
  <c r="I20" i="46"/>
  <c r="AW66" i="37"/>
  <c r="CI50" i="26"/>
  <c r="H75" i="60"/>
  <c r="G67" i="64"/>
  <c r="S66" i="39"/>
  <c r="BO18" i="37"/>
  <c r="H12" i="60"/>
  <c r="H68" i="64"/>
  <c r="I90"/>
  <c r="J12" i="60"/>
  <c r="M88" i="64"/>
  <c r="BP17" i="38"/>
  <c r="BQ17" i="25"/>
  <c r="BP18" i="40"/>
  <c r="DC79" i="25"/>
  <c r="M90" i="64"/>
  <c r="H18" i="39"/>
  <c r="K31" i="4"/>
  <c r="BP17" i="41"/>
  <c r="G20" i="46"/>
  <c r="K92" i="64"/>
  <c r="BP17" i="25"/>
  <c r="BD50" i="26"/>
  <c r="BO17" i="36"/>
  <c r="BO50" i="1"/>
  <c r="E9" i="64"/>
  <c r="BQ18" i="37"/>
  <c r="BP18"/>
  <c r="F9" i="64"/>
  <c r="BO25" i="25"/>
  <c r="M55" i="64"/>
  <c r="T75" i="25"/>
  <c r="BQ79" i="36"/>
  <c r="W54" i="25"/>
  <c r="H13" i="64"/>
  <c r="AZ60" i="38"/>
  <c r="E63" i="60"/>
  <c r="J20" i="46"/>
  <c r="AY105" i="47"/>
  <c r="J74" i="60"/>
  <c r="S18" i="25"/>
  <c r="BQ25" i="1"/>
  <c r="BH75"/>
  <c r="BO18" i="38"/>
  <c r="M13" i="60"/>
  <c r="AY60" i="37"/>
  <c r="BF110" i="47"/>
  <c r="I50" i="25"/>
  <c r="T65"/>
  <c r="H17" i="41"/>
  <c r="K12" i="60"/>
  <c r="M59"/>
  <c r="H93"/>
  <c r="AY307" i="47"/>
  <c r="S66" i="40"/>
  <c r="E81" i="60"/>
  <c r="S18" i="38"/>
  <c r="BW21" i="25"/>
  <c r="E12" i="60"/>
  <c r="E92" i="64"/>
  <c r="BO25" i="41"/>
  <c r="BG105" i="47"/>
  <c r="CF50" i="41"/>
  <c r="V81" i="38"/>
  <c r="BD104" i="47"/>
  <c r="BF308"/>
  <c r="S66" i="1"/>
  <c r="H67" i="46"/>
  <c r="CI50" i="37"/>
  <c r="DC79" i="1"/>
  <c r="M95" i="64"/>
  <c r="M63" i="60"/>
  <c r="BP25" i="41"/>
  <c r="T65" i="40"/>
  <c r="F55" i="64"/>
  <c r="BQ17" i="39"/>
  <c r="L19" i="46"/>
  <c r="T67" i="37"/>
  <c r="H20" i="46"/>
  <c r="H17" i="64"/>
  <c r="E88"/>
  <c r="AE50" i="26"/>
  <c r="BY21" i="36"/>
  <c r="E88" i="60"/>
  <c r="BD105" i="47"/>
  <c r="BP18" i="38"/>
  <c r="BQ25" i="25"/>
  <c r="H56" i="60"/>
  <c r="K87"/>
  <c r="L13" i="64"/>
  <c r="F88"/>
  <c r="T58" i="25"/>
  <c r="H16" i="60"/>
  <c r="BZ21" i="25"/>
  <c r="BH37" i="36"/>
  <c r="I19" i="46"/>
  <c r="L20"/>
  <c r="I12" i="60"/>
  <c r="T67" i="25"/>
  <c r="AY100" i="47"/>
  <c r="J31" i="4"/>
  <c r="BP18" i="41"/>
  <c r="AE50" i="39"/>
  <c r="I46" i="59"/>
  <c r="F90" i="64"/>
  <c r="M8" i="59"/>
  <c r="H23" i="60"/>
  <c r="S37" i="36"/>
  <c r="AF50" i="1"/>
  <c r="J60" i="59"/>
  <c r="G20" i="50"/>
  <c r="BD50" i="38"/>
  <c r="M31" i="4"/>
  <c r="G36" i="46"/>
  <c r="H89" i="60"/>
  <c r="T67" i="38"/>
  <c r="K46" i="59"/>
  <c r="AG49" i="36"/>
  <c r="AE50"/>
  <c r="T65" i="37"/>
  <c r="H18" i="25"/>
  <c r="BO18"/>
  <c r="AW65" i="1"/>
  <c r="AZ308" i="47"/>
  <c r="AY312"/>
  <c r="S18" i="37"/>
  <c r="AE50" i="38"/>
  <c r="BO25" i="40"/>
  <c r="M67" i="46"/>
  <c r="F22" i="60"/>
  <c r="G89"/>
  <c r="W50" i="1"/>
  <c r="L31" i="4"/>
  <c r="W17" i="38"/>
  <c r="BO79" i="25"/>
  <c r="H18" i="41"/>
  <c r="H24" i="60"/>
  <c r="L66" i="46"/>
  <c r="BD50" i="36"/>
  <c r="BG104" i="47"/>
  <c r="AG48" i="40"/>
  <c r="F23" i="60"/>
  <c r="G17" i="64"/>
  <c r="G31" i="4"/>
  <c r="BE104" i="47"/>
  <c r="F12" i="60"/>
  <c r="BD312" i="47"/>
  <c r="BO17" i="39"/>
  <c r="L74" i="60"/>
  <c r="BE308" i="47"/>
  <c r="BQ25" i="26"/>
  <c r="BI79" i="1"/>
  <c r="K51" i="64"/>
  <c r="F12"/>
  <c r="BF312" i="47"/>
  <c r="H50" i="46"/>
  <c r="BQ18" i="1"/>
  <c r="BO17" i="25"/>
  <c r="F73" i="60"/>
  <c r="AX67" i="38"/>
  <c r="BA104" i="47"/>
  <c r="BB122"/>
  <c r="E13" i="64"/>
  <c r="H55"/>
  <c r="N46" i="59"/>
  <c r="BO18" i="41"/>
  <c r="L92" i="64"/>
  <c r="L89"/>
  <c r="K13" i="60"/>
  <c r="AF49" i="40"/>
  <c r="K67" i="46"/>
  <c r="I50" i="39"/>
  <c r="CI50"/>
  <c r="L28" i="59"/>
  <c r="H31" i="4"/>
  <c r="S50" i="1"/>
  <c r="F87" i="60"/>
  <c r="J66" i="46"/>
  <c r="AB12" i="1"/>
  <c r="L51" i="64"/>
  <c r="BD110" i="47"/>
  <c r="BO17" i="38"/>
  <c r="BP17" i="39"/>
  <c r="H66" i="26"/>
  <c r="BA316" i="47"/>
  <c r="G93" i="60"/>
  <c r="AX67" i="40"/>
  <c r="J92" i="64"/>
  <c r="M12" i="60"/>
  <c r="G73"/>
  <c r="AW65" i="39"/>
  <c r="BP25"/>
  <c r="BP18" i="25"/>
  <c r="E71" i="60"/>
  <c r="H66" i="40"/>
  <c r="BP25" i="25"/>
  <c r="I50" i="36"/>
  <c r="H90" i="64"/>
  <c r="T12" i="1"/>
  <c r="E40" i="64" s="1"/>
  <c r="F13"/>
  <c r="N31" i="4"/>
  <c r="L67" i="46"/>
  <c r="AZ233" i="47"/>
  <c r="BD50" i="39"/>
  <c r="I89" i="60"/>
  <c r="M73"/>
  <c r="E14"/>
  <c r="BQ50" i="1"/>
  <c r="M89" i="60"/>
  <c r="W17" i="41"/>
  <c r="CG50" i="37"/>
  <c r="M51" i="64"/>
  <c r="J75" i="60"/>
  <c r="H17" i="36"/>
  <c r="F52" i="64"/>
  <c r="L55"/>
  <c r="T60" i="38"/>
  <c r="U50" i="1"/>
  <c r="I67" i="46"/>
  <c r="BO79" i="36"/>
  <c r="BA110" i="47"/>
  <c r="S18" i="41"/>
  <c r="L90" i="64"/>
  <c r="BD106" i="47"/>
  <c r="BQ25" i="37"/>
  <c r="I9" i="64"/>
  <c r="I74" i="60"/>
  <c r="BD50" i="40"/>
  <c r="I37" i="59"/>
  <c r="H18" i="38"/>
  <c r="H66" i="46"/>
  <c r="H51" i="64"/>
  <c r="AG49" i="37"/>
  <c r="I89" i="64"/>
  <c r="BO17" i="41"/>
  <c r="BD48" i="40"/>
  <c r="T65" i="39"/>
  <c r="H66" i="1"/>
  <c r="BB104" i="47"/>
  <c r="BI75" i="25"/>
  <c r="BP18" i="39"/>
  <c r="J73" i="60"/>
  <c r="J18" i="46"/>
  <c r="BC312" i="47"/>
  <c r="H66" i="36"/>
  <c r="J89" i="64"/>
  <c r="S18" i="40"/>
  <c r="H17" i="38"/>
  <c r="T65" i="1"/>
  <c r="AI66" i="37"/>
  <c r="BA123" i="47"/>
  <c r="J67" i="46"/>
  <c r="AW65" i="40"/>
  <c r="I73" i="60"/>
  <c r="I86" i="64"/>
  <c r="J52"/>
  <c r="H66" i="39"/>
  <c r="DC79" i="36"/>
  <c r="BH79" i="1"/>
  <c r="M46" i="59"/>
  <c r="BB316" i="47"/>
  <c r="E82" i="60"/>
  <c r="L46"/>
  <c r="AG49" i="39"/>
  <c r="BG308" i="47"/>
  <c r="T67" i="40"/>
  <c r="BA121" i="47"/>
  <c r="G12" i="60"/>
  <c r="BQ18" i="41"/>
  <c r="G51" i="64"/>
  <c r="CU26" i="1"/>
  <c r="T60" i="37"/>
  <c r="J51" i="64"/>
  <c r="F37" i="46"/>
  <c r="F40" i="64"/>
  <c r="H70"/>
  <c r="H18" i="40"/>
  <c r="S66" i="26"/>
  <c r="H17" i="39"/>
  <c r="E87" i="60"/>
  <c r="F19" i="46"/>
  <c r="H44" i="60"/>
  <c r="L75"/>
  <c r="W12" i="25"/>
  <c r="J55" i="64"/>
  <c r="AG48" i="26"/>
  <c r="I54" i="1"/>
  <c r="I13" i="64"/>
  <c r="BQ54" i="25"/>
  <c r="BP18" i="36"/>
  <c r="F92" i="64"/>
  <c r="I52"/>
  <c r="G55"/>
  <c r="H52"/>
  <c r="I51"/>
  <c r="I33" i="60"/>
  <c r="AV75" i="1"/>
  <c r="AZ110" i="47"/>
  <c r="L87" i="60"/>
  <c r="J13" i="64"/>
  <c r="AZ105" i="47"/>
  <c r="BQ18" i="25"/>
  <c r="G19" i="46"/>
  <c r="CU26" i="39"/>
  <c r="AZ312" i="47"/>
  <c r="AQ89" i="37"/>
  <c r="J9" i="64"/>
  <c r="AB12" i="26"/>
  <c r="AF49" i="38"/>
  <c r="CI50"/>
  <c r="BO18" i="1"/>
  <c r="L9" i="64"/>
  <c r="H18" i="37"/>
  <c r="BQ25" i="41"/>
  <c r="H8" i="59"/>
  <c r="M66" i="46"/>
  <c r="BP25" i="37"/>
  <c r="J23" i="60"/>
  <c r="G17" i="46"/>
  <c r="K19"/>
  <c r="S18" i="1"/>
  <c r="AY98" i="47"/>
  <c r="BO54" i="25"/>
  <c r="G69" i="64"/>
  <c r="AE50" i="25"/>
  <c r="BQ17" i="41"/>
  <c r="BC12" i="25"/>
  <c r="AX67" i="36"/>
  <c r="AG48" i="39"/>
  <c r="E84" i="60"/>
  <c r="S66" i="36"/>
  <c r="G88" i="64"/>
  <c r="BE312" i="47"/>
  <c r="BQ17" i="38"/>
  <c r="H22" i="60"/>
  <c r="BD50" i="37"/>
  <c r="BH37"/>
  <c r="S66" i="41"/>
  <c r="BD50" i="25"/>
  <c r="BP50" i="1"/>
  <c r="E90" i="64"/>
  <c r="AG49" i="38"/>
  <c r="K8" i="59"/>
  <c r="AZ104" i="47"/>
  <c r="AY308"/>
  <c r="BO17" i="40"/>
  <c r="V12" i="1"/>
  <c r="K13" i="64"/>
  <c r="N67" i="46"/>
  <c r="K9" i="64"/>
  <c r="E75" i="60"/>
  <c r="AZ311" i="47"/>
  <c r="BC12" i="26"/>
  <c r="K90" i="64"/>
  <c r="I50" i="38"/>
  <c r="BQ18" i="36"/>
  <c r="L20" i="50"/>
  <c r="BB312" i="47"/>
  <c r="BZ21" i="36"/>
  <c r="H46" i="60"/>
  <c r="J13"/>
  <c r="M92" i="64"/>
  <c r="E73" i="60"/>
  <c r="BX21" i="25"/>
  <c r="U12" i="26"/>
  <c r="L57" i="59"/>
  <c r="F51" i="64"/>
  <c r="K23" i="60"/>
  <c r="T67" i="36"/>
  <c r="BC308" i="47"/>
  <c r="I59" i="59"/>
  <c r="BX21" i="36"/>
  <c r="H46" i="59"/>
  <c r="K52" i="64"/>
  <c r="E61" i="60"/>
  <c r="AW65" i="37"/>
  <c r="H66" i="25"/>
  <c r="AF49" i="39"/>
  <c r="M9" i="64"/>
  <c r="BO18" i="40"/>
  <c r="I50"/>
  <c r="H89" i="64"/>
  <c r="J88"/>
  <c r="AQ93" i="41" l="1"/>
  <c r="DC38" i="38"/>
  <c r="AE50" i="60"/>
  <c r="BS76" i="41"/>
  <c r="CU38" i="40"/>
  <c r="CD22" i="37"/>
  <c r="I46" i="38"/>
  <c r="AE35" i="1"/>
  <c r="N46" i="37"/>
  <c r="CM31" i="26"/>
  <c r="AR76" i="36"/>
  <c r="CK82"/>
  <c r="AH46" i="39"/>
  <c r="AC76"/>
  <c r="BP31" i="36"/>
  <c r="DH31" s="1"/>
  <c r="BV99" i="39"/>
  <c r="H11" i="40"/>
  <c r="CT55" i="26"/>
  <c r="AX22"/>
  <c r="AS72" i="36"/>
  <c r="Q25" i="26"/>
  <c r="BR19" i="40"/>
  <c r="H51" i="37"/>
  <c r="AR63"/>
  <c r="AE72" i="36"/>
  <c r="CC35" i="1"/>
  <c r="BR19"/>
  <c r="AC22" i="40"/>
  <c r="CQ68" i="39"/>
  <c r="BD63" i="1"/>
  <c r="CD14" i="41"/>
  <c r="BW82" i="25"/>
  <c r="AR93" i="39"/>
  <c r="CM63" i="26"/>
  <c r="CA99" i="25"/>
  <c r="I99" i="41"/>
  <c r="CZ35" i="39"/>
  <c r="DF28"/>
  <c r="CQ99" i="38"/>
  <c r="AE14" i="41"/>
  <c r="BY51" i="39"/>
  <c r="BY84" s="1"/>
  <c r="CN22" i="40"/>
  <c r="CG99"/>
  <c r="AJ51" i="36"/>
  <c r="CD63" i="37"/>
  <c r="AQ93" i="39"/>
  <c r="Z55" i="60"/>
  <c r="AQ93" i="1"/>
  <c r="CW28"/>
  <c r="CW32" s="1"/>
  <c r="Q53" i="41"/>
  <c r="G55"/>
  <c r="Q55" s="1"/>
  <c r="CY46" i="40"/>
  <c r="BJ50" i="25"/>
  <c r="T55" i="38"/>
  <c r="CA63" i="36"/>
  <c r="CD51" i="41"/>
  <c r="W68" i="37"/>
  <c r="CY63" i="39"/>
  <c r="L38" i="36"/>
  <c r="BH19" i="39"/>
  <c r="BJ17"/>
  <c r="Q62" i="26"/>
  <c r="AX51" i="38"/>
  <c r="CG72" i="1"/>
  <c r="CI38" i="40"/>
  <c r="AZ14" i="37"/>
  <c r="N82" i="26"/>
  <c r="AR38" i="25"/>
  <c r="AD31" i="40"/>
  <c r="BA31" i="37"/>
  <c r="V19"/>
  <c r="BV82" i="41"/>
  <c r="BE28" i="39"/>
  <c r="AM82" i="1"/>
  <c r="BF79"/>
  <c r="CV11" i="38"/>
  <c r="AG68" i="37"/>
  <c r="CA19" i="36"/>
  <c r="S63" i="39"/>
  <c r="CA55" i="36"/>
  <c r="DA31" i="25"/>
  <c r="DA55" i="26"/>
  <c r="AV32" i="1"/>
  <c r="O55" i="26"/>
  <c r="O84" s="1"/>
  <c r="U55" i="1"/>
  <c r="CG22" i="37"/>
  <c r="AT76" i="39"/>
  <c r="CE46" i="37"/>
  <c r="AQ38" i="39"/>
  <c r="CX38" i="38"/>
  <c r="M72" i="39"/>
  <c r="AU28" i="38"/>
  <c r="CA11" i="39"/>
  <c r="L99" i="40"/>
  <c r="CO28" i="36"/>
  <c r="BT68" i="41"/>
  <c r="CX55" i="40"/>
  <c r="BY104" i="39"/>
  <c r="T18" i="60"/>
  <c r="V28" i="39"/>
  <c r="S53" i="60"/>
  <c r="AA55"/>
  <c r="G223" i="46"/>
  <c r="BH38" i="26"/>
  <c r="BJ37"/>
  <c r="Z50" i="60"/>
  <c r="AV50" s="1"/>
  <c r="X53"/>
  <c r="S50"/>
  <c r="BF54" i="1"/>
  <c r="N289" i="46"/>
  <c r="N300" s="1"/>
  <c r="BE38" i="26"/>
  <c r="AV63" i="38"/>
  <c r="BV55"/>
  <c r="AB68" i="1"/>
  <c r="N11" i="37"/>
  <c r="CL11" i="38"/>
  <c r="H35" i="37"/>
  <c r="Q35" s="1"/>
  <c r="AZ104" i="26"/>
  <c r="T22" i="37"/>
  <c r="DF82" i="25"/>
  <c r="V82" i="40"/>
  <c r="CK46" i="36"/>
  <c r="I19" i="40"/>
  <c r="AG55" i="38"/>
  <c r="CX72"/>
  <c r="AA11" i="36"/>
  <c r="AA15" s="1"/>
  <c r="AA40" s="1"/>
  <c r="AC22"/>
  <c r="AW46" i="39"/>
  <c r="BS76"/>
  <c r="BQ76" i="36"/>
  <c r="M46" i="39"/>
  <c r="CF99" i="25"/>
  <c r="BB31" i="40"/>
  <c r="CQ63"/>
  <c r="AF38" i="26"/>
  <c r="DA28" i="41"/>
  <c r="CD11" i="26"/>
  <c r="X93" i="37"/>
  <c r="G38" i="1"/>
  <c r="Q37"/>
  <c r="BL37" s="1"/>
  <c r="CS72" i="37"/>
  <c r="K72" i="36"/>
  <c r="V28"/>
  <c r="Z93" i="25"/>
  <c r="Q91" i="1"/>
  <c r="CC28" i="40"/>
  <c r="AJ93" i="37"/>
  <c r="AW93"/>
  <c r="AW106" s="1"/>
  <c r="AI68" i="38"/>
  <c r="AU35" i="25"/>
  <c r="Q58" i="36"/>
  <c r="CQ99" i="1"/>
  <c r="CP14"/>
  <c r="BE14" i="39"/>
  <c r="J14" i="25"/>
  <c r="AK59" i="37"/>
  <c r="BL59" s="1"/>
  <c r="BJ49" i="40"/>
  <c r="AJ99" i="1"/>
  <c r="CO76" i="25"/>
  <c r="V19" i="26"/>
  <c r="BR38" i="1"/>
  <c r="AO72" i="26"/>
  <c r="BZ28" i="36"/>
  <c r="AF76" i="41"/>
  <c r="AD38" i="37"/>
  <c r="CZ68" i="39"/>
  <c r="CO11" i="41"/>
  <c r="AP82" i="1"/>
  <c r="AD38" i="36"/>
  <c r="CB31" i="41"/>
  <c r="AV72" i="37"/>
  <c r="AC22"/>
  <c r="BW76" i="41"/>
  <c r="BD55" i="39"/>
  <c r="CQ14" i="1"/>
  <c r="CD14" i="25"/>
  <c r="CD15" s="1"/>
  <c r="BQ38" i="1"/>
  <c r="CA35"/>
  <c r="AP35" i="25"/>
  <c r="BJ54"/>
  <c r="DH58"/>
  <c r="Z28" i="1"/>
  <c r="AF68" i="38"/>
  <c r="CC19" i="26"/>
  <c r="CR72" i="39"/>
  <c r="AU11" i="1"/>
  <c r="AM55" i="26"/>
  <c r="BF53"/>
  <c r="CZ72" i="25"/>
  <c r="L93" i="37"/>
  <c r="CA31" i="38"/>
  <c r="CN104" i="39"/>
  <c r="W49" i="60"/>
  <c r="AA53"/>
  <c r="AF50"/>
  <c r="Y53"/>
  <c r="AJ22"/>
  <c r="BY99" i="37"/>
  <c r="CO82" i="41"/>
  <c r="AV11" i="40"/>
  <c r="AX68" i="41"/>
  <c r="DH67" i="36"/>
  <c r="CX22" i="37"/>
  <c r="CC76" i="41"/>
  <c r="CL76" i="25"/>
  <c r="Y28" i="26"/>
  <c r="G93" i="36"/>
  <c r="G106" s="1"/>
  <c r="Q89"/>
  <c r="DF51" i="1"/>
  <c r="CX46" i="26"/>
  <c r="BW55" i="39"/>
  <c r="DH29"/>
  <c r="BO31"/>
  <c r="BP68" i="37"/>
  <c r="Y99" i="25"/>
  <c r="DB38" i="40"/>
  <c r="CW11" i="39"/>
  <c r="BD22" i="36"/>
  <c r="AF46" i="37"/>
  <c r="AN19" i="38"/>
  <c r="BF19" s="1"/>
  <c r="CN19" i="37"/>
  <c r="CC14" i="1"/>
  <c r="AJ55" i="25"/>
  <c r="H51" i="1"/>
  <c r="Q51" s="1"/>
  <c r="CI93" i="36"/>
  <c r="BD93" i="26"/>
  <c r="AE82" i="37"/>
  <c r="BD35" i="39"/>
  <c r="V63" i="1"/>
  <c r="AT14" i="40"/>
  <c r="BJ67" i="39"/>
  <c r="BL67" s="1"/>
  <c r="AR68"/>
  <c r="CH22" i="41"/>
  <c r="S63" i="37"/>
  <c r="AN46" i="39"/>
  <c r="BF46" s="1"/>
  <c r="BB72" i="41"/>
  <c r="M63" i="37"/>
  <c r="I55" i="26"/>
  <c r="BV68" i="37"/>
  <c r="CA82" i="38"/>
  <c r="AK26"/>
  <c r="S28"/>
  <c r="CB11" i="1"/>
  <c r="BA93" i="37"/>
  <c r="M38" i="1"/>
  <c r="AD22" i="60"/>
  <c r="S14"/>
  <c r="S38" i="1"/>
  <c r="AK37"/>
  <c r="AA68"/>
  <c r="M63" i="26"/>
  <c r="M84" s="1"/>
  <c r="BZ76" i="40"/>
  <c r="AC93" i="38"/>
  <c r="AF93" i="41"/>
  <c r="T35"/>
  <c r="AK35" s="1"/>
  <c r="BA72" i="40"/>
  <c r="N31" i="26"/>
  <c r="AZ63" i="25"/>
  <c r="AC38" i="38"/>
  <c r="CU93" i="26"/>
  <c r="CU106" s="1"/>
  <c r="BX99"/>
  <c r="BX104" i="1"/>
  <c r="Q71"/>
  <c r="G72"/>
  <c r="Y68" i="40"/>
  <c r="AE28"/>
  <c r="CS11" i="25"/>
  <c r="AN31" i="1"/>
  <c r="AX19" i="40"/>
  <c r="CZ68" i="41"/>
  <c r="BV38" i="26"/>
  <c r="BZ11" i="25"/>
  <c r="BZ15" s="1"/>
  <c r="CJ35" i="1"/>
  <c r="DE55" i="26"/>
  <c r="N38" i="1"/>
  <c r="CR104" i="41"/>
  <c r="Z76" i="37"/>
  <c r="S104" i="38"/>
  <c r="P63" i="1"/>
  <c r="CB14" i="40"/>
  <c r="CB15" s="1"/>
  <c r="AQ22" i="41"/>
  <c r="AQ28" i="38"/>
  <c r="T53" i="60"/>
  <c r="T55"/>
  <c r="BC14" i="1"/>
  <c r="AQ93" i="26"/>
  <c r="T50" i="60"/>
  <c r="DH17" i="26"/>
  <c r="AK17" i="1"/>
  <c r="CM72" i="40"/>
  <c r="CU19" i="38"/>
  <c r="BD99" i="25"/>
  <c r="AI55" i="41"/>
  <c r="AI84" s="1"/>
  <c r="AV104" i="38"/>
  <c r="BI51" i="25"/>
  <c r="CL82" i="40"/>
  <c r="DA22" i="25"/>
  <c r="AV51" i="39"/>
  <c r="AV28" i="38"/>
  <c r="BH104" i="36"/>
  <c r="Z76" i="1"/>
  <c r="CX93" i="39"/>
  <c r="W38"/>
  <c r="CH38" i="38"/>
  <c r="CY22" i="37"/>
  <c r="CS38" i="40"/>
  <c r="U68" i="38"/>
  <c r="BV51" i="1"/>
  <c r="BV84" s="1"/>
  <c r="AQ55" i="40"/>
  <c r="BI99" i="37"/>
  <c r="CI55"/>
  <c r="AN93" i="40"/>
  <c r="AB63" i="38"/>
  <c r="CL99"/>
  <c r="H99" i="40"/>
  <c r="CC82"/>
  <c r="BJ18" i="41"/>
  <c r="BP63" i="1"/>
  <c r="CH104" i="38"/>
  <c r="X38" i="25"/>
  <c r="X40" s="1"/>
  <c r="BI32" i="37"/>
  <c r="CW22" i="1"/>
  <c r="BZ93" i="39"/>
  <c r="AN104"/>
  <c r="CG11" i="1"/>
  <c r="CG15" s="1"/>
  <c r="AH38" i="38"/>
  <c r="AA76" i="39"/>
  <c r="AP19" i="37"/>
  <c r="DF22" i="41"/>
  <c r="BE46" i="25"/>
  <c r="L19" i="36"/>
  <c r="AN14" i="41"/>
  <c r="BA104" i="39"/>
  <c r="BA106" s="1"/>
  <c r="DB93" i="36"/>
  <c r="CQ55" i="1"/>
  <c r="CR28" i="26"/>
  <c r="CR32" s="1"/>
  <c r="CR40" s="1"/>
  <c r="T38" i="36"/>
  <c r="V28" i="25"/>
  <c r="AY28" i="39"/>
  <c r="CP99" i="25"/>
  <c r="AG22" i="1"/>
  <c r="Z55" i="38"/>
  <c r="CL14" i="1"/>
  <c r="BW51" i="39"/>
  <c r="BW84" s="1"/>
  <c r="AS22" i="41"/>
  <c r="Q60" i="26"/>
  <c r="BR51" i="37"/>
  <c r="CR68" i="26"/>
  <c r="CK28" i="1"/>
  <c r="CK32" s="1"/>
  <c r="CK40" s="1"/>
  <c r="AK30" i="36"/>
  <c r="DE31" i="1"/>
  <c r="BH68" i="36"/>
  <c r="BJ65"/>
  <c r="BL65" s="1"/>
  <c r="I72" i="41"/>
  <c r="DA35" i="39"/>
  <c r="AJ93" i="25"/>
  <c r="AJ106" s="1"/>
  <c r="DC38"/>
  <c r="Z42" i="60"/>
  <c r="AP55" i="26"/>
  <c r="AA19" i="39"/>
  <c r="G63"/>
  <c r="Q63" s="1"/>
  <c r="Q57"/>
  <c r="CH35"/>
  <c r="P38" i="37"/>
  <c r="BA104" i="38"/>
  <c r="BR51" i="39"/>
  <c r="CJ19" i="25"/>
  <c r="K46" i="39"/>
  <c r="BI35" i="26"/>
  <c r="CB104" i="1"/>
  <c r="CS19" i="40"/>
  <c r="DC11" i="36"/>
  <c r="DC15" s="1"/>
  <c r="CY38" i="39"/>
  <c r="AD11" i="1"/>
  <c r="CQ51" i="38"/>
  <c r="BZ14"/>
  <c r="CS76" i="40"/>
  <c r="AK60" i="26"/>
  <c r="AW38" i="40"/>
  <c r="BT68" i="25"/>
  <c r="Q58" i="38"/>
  <c r="BW19" i="25"/>
  <c r="AI63" i="41"/>
  <c r="AN72"/>
  <c r="BF72" s="1"/>
  <c r="CJ38" i="39"/>
  <c r="CK11" i="41"/>
  <c r="AT11" i="1"/>
  <c r="BV104" i="36"/>
  <c r="BJ34" i="25"/>
  <c r="BH35"/>
  <c r="CQ82" i="1"/>
  <c r="AH72" i="38"/>
  <c r="AM11" i="37"/>
  <c r="CH11" i="36"/>
  <c r="K82" i="39"/>
  <c r="CM93" i="26"/>
  <c r="CM106" s="1"/>
  <c r="BU99" i="38"/>
  <c r="CN19" i="25"/>
  <c r="CX55"/>
  <c r="AW11" i="1"/>
  <c r="V35" i="36"/>
  <c r="I104" i="26"/>
  <c r="BX93" i="41"/>
  <c r="CU82" i="37"/>
  <c r="AZ82" i="40"/>
  <c r="CY51" i="39"/>
  <c r="CB104" i="36"/>
  <c r="I104" i="25"/>
  <c r="CG31" i="36"/>
  <c r="CL19" i="25"/>
  <c r="AA55" i="40"/>
  <c r="AZ51" i="39"/>
  <c r="AZ84" s="1"/>
  <c r="AR51" i="38"/>
  <c r="CQ28" i="37"/>
  <c r="M76" i="26"/>
  <c r="BE19" i="40"/>
  <c r="CD38" i="26"/>
  <c r="AR46"/>
  <c r="BI28" i="36"/>
  <c r="BI32" s="1"/>
  <c r="DD99" i="40"/>
  <c r="DC14" i="38"/>
  <c r="CH19" i="26"/>
  <c r="CP72" i="37"/>
  <c r="I93" i="41"/>
  <c r="I106" s="1"/>
  <c r="AB35" i="26"/>
  <c r="N14" i="36"/>
  <c r="CN22" i="25"/>
  <c r="Q81" i="26"/>
  <c r="L76" i="41"/>
  <c r="BU63" i="39"/>
  <c r="CF28" i="26"/>
  <c r="AW19" i="37"/>
  <c r="CM51" i="36"/>
  <c r="CC63" i="26"/>
  <c r="CD82" i="37"/>
  <c r="CS28" i="25"/>
  <c r="CS32" s="1"/>
  <c r="AT14" i="26"/>
  <c r="CJ11" i="39"/>
  <c r="DB35" i="37"/>
  <c r="CV82" i="41"/>
  <c r="CD93" i="37"/>
  <c r="BZ19" i="25"/>
  <c r="AP19" i="1"/>
  <c r="CZ19" i="37"/>
  <c r="CS22"/>
  <c r="BZ72" i="40"/>
  <c r="CV35" i="25"/>
  <c r="CR28" i="38"/>
  <c r="CH72" i="39"/>
  <c r="CU11" i="36"/>
  <c r="Q57"/>
  <c r="G63"/>
  <c r="CZ22" i="37"/>
  <c r="BX82" i="36"/>
  <c r="BR99" i="1"/>
  <c r="AK25" i="40"/>
  <c r="DB46" i="1"/>
  <c r="BD35" i="37"/>
  <c r="BD68" i="41"/>
  <c r="H82"/>
  <c r="V68" i="39"/>
  <c r="BD22" i="25"/>
  <c r="Y82" i="36"/>
  <c r="BU104" i="25"/>
  <c r="M22" i="37"/>
  <c r="DH66" i="1"/>
  <c r="AS93"/>
  <c r="CX11" i="41"/>
  <c r="CA76" i="1"/>
  <c r="AZ38" i="25"/>
  <c r="CX51" i="37"/>
  <c r="CL11" i="36"/>
  <c r="AP22" i="1"/>
  <c r="AP11" i="37"/>
  <c r="L11" i="41"/>
  <c r="CN72"/>
  <c r="CD68"/>
  <c r="BX46"/>
  <c r="CA55" i="37"/>
  <c r="CA84" s="1"/>
  <c r="G28" i="26"/>
  <c r="Q28" s="1"/>
  <c r="Q26"/>
  <c r="BC55" i="38"/>
  <c r="CR22" i="25"/>
  <c r="DF68" i="37"/>
  <c r="U63" i="36"/>
  <c r="CL93" i="40"/>
  <c r="CR63" i="38"/>
  <c r="CU72"/>
  <c r="CR63" i="40"/>
  <c r="CD76" i="26"/>
  <c r="DC46" i="41"/>
  <c r="DH61" i="38"/>
  <c r="AI63" i="1"/>
  <c r="BC72" i="40"/>
  <c r="BC46" i="39"/>
  <c r="AR31" i="1"/>
  <c r="CL104" i="37"/>
  <c r="CO19" i="41"/>
  <c r="BJ49" i="36"/>
  <c r="AC72" i="26"/>
  <c r="AR63"/>
  <c r="AG68" i="36"/>
  <c r="CA46" i="37"/>
  <c r="AK10" i="38"/>
  <c r="CT68" i="41"/>
  <c r="CR35" i="25"/>
  <c r="AJ38" i="39"/>
  <c r="AI93" i="1"/>
  <c r="AI106" s="1"/>
  <c r="AQ55" i="39"/>
  <c r="L38" i="40"/>
  <c r="AG68"/>
  <c r="CO63" i="37"/>
  <c r="CB63" i="36"/>
  <c r="CB76" i="40"/>
  <c r="AU51" i="25"/>
  <c r="AR11" i="1"/>
  <c r="M11" i="36"/>
  <c r="N46"/>
  <c r="DF46" i="41"/>
  <c r="CB22" i="40"/>
  <c r="BV72" i="25"/>
  <c r="BJ67" i="1"/>
  <c r="AA72"/>
  <c r="CV55" i="25"/>
  <c r="AS93" i="39"/>
  <c r="BX35" i="37"/>
  <c r="AJ76"/>
  <c r="AN46" i="25"/>
  <c r="BT82" i="26"/>
  <c r="DD19"/>
  <c r="AG46" i="41"/>
  <c r="CM51" i="25"/>
  <c r="AW63" i="37"/>
  <c r="DD51" i="1"/>
  <c r="K14" i="40"/>
  <c r="AU72" i="36"/>
  <c r="CQ63"/>
  <c r="CT82" i="25"/>
  <c r="V19" i="40"/>
  <c r="BF92" i="26"/>
  <c r="BE55" i="36"/>
  <c r="CJ14" i="40"/>
  <c r="CR99" i="39"/>
  <c r="CR106" s="1"/>
  <c r="AE38"/>
  <c r="U76" i="1"/>
  <c r="CH19" i="41"/>
  <c r="BT22"/>
  <c r="AJ51" i="1"/>
  <c r="CI72" i="38"/>
  <c r="CS68"/>
  <c r="CX22" i="39"/>
  <c r="DC19" i="41"/>
  <c r="BP63" i="38"/>
  <c r="CP76" i="40"/>
  <c r="BH63" i="38"/>
  <c r="BJ63" s="1"/>
  <c r="BJ57"/>
  <c r="CG46" i="39"/>
  <c r="BU82" i="36"/>
  <c r="AC72" i="37"/>
  <c r="DB51" i="1"/>
  <c r="CX11" i="38"/>
  <c r="AE63" i="39"/>
  <c r="CQ72" i="1"/>
  <c r="CC76" i="38"/>
  <c r="CS22" i="40"/>
  <c r="J22" i="26"/>
  <c r="BV11" i="1"/>
  <c r="AT38" i="26"/>
  <c r="AX93" i="38"/>
  <c r="AG63" i="25"/>
  <c r="CZ82" i="40"/>
  <c r="CN55" i="41"/>
  <c r="DA68" i="39"/>
  <c r="AP35" i="26"/>
  <c r="AF72" i="39"/>
  <c r="AQ22" i="37"/>
  <c r="BQ28"/>
  <c r="Q81"/>
  <c r="P82" i="26"/>
  <c r="CO76" i="36"/>
  <c r="J22"/>
  <c r="L51" i="25"/>
  <c r="CM19" i="36"/>
  <c r="CV104"/>
  <c r="BU19" i="39"/>
  <c r="BU63" i="37"/>
  <c r="AY32"/>
  <c r="AP14" i="41"/>
  <c r="AP15" s="1"/>
  <c r="K76"/>
  <c r="BT28" i="26"/>
  <c r="CA55" i="41"/>
  <c r="CA84" s="1"/>
  <c r="BU104" i="37"/>
  <c r="CB19" i="39"/>
  <c r="AP14" i="1"/>
  <c r="AP15" s="1"/>
  <c r="Q61" i="41"/>
  <c r="CQ55"/>
  <c r="CP93" i="39"/>
  <c r="L14" i="40"/>
  <c r="L15" s="1"/>
  <c r="BU68"/>
  <c r="BS14" i="39"/>
  <c r="AW11" i="38"/>
  <c r="BW93" i="39"/>
  <c r="BW106" s="1"/>
  <c r="CC14" i="40"/>
  <c r="BU51" i="25"/>
  <c r="AS55" i="39"/>
  <c r="CD11" i="36"/>
  <c r="CD15" s="1"/>
  <c r="P19" i="39"/>
  <c r="CW63" i="40"/>
  <c r="CM76" i="1"/>
  <c r="BD63" i="37"/>
  <c r="BS82" i="39"/>
  <c r="BC22" i="1"/>
  <c r="CQ35" i="41"/>
  <c r="CW93" i="1"/>
  <c r="CW106" s="1"/>
  <c r="N19" i="36"/>
  <c r="M55" i="25"/>
  <c r="AM76" i="37"/>
  <c r="CV31" i="40"/>
  <c r="CV32" s="1"/>
  <c r="M14" i="38"/>
  <c r="BT35" i="39"/>
  <c r="BP28" i="38"/>
  <c r="AP35" i="40"/>
  <c r="BF35" s="1"/>
  <c r="AZ93" i="37"/>
  <c r="AM68" i="40"/>
  <c r="AD76" i="41"/>
  <c r="AT93" i="36"/>
  <c r="AC46" i="40"/>
  <c r="CS104" i="26"/>
  <c r="CJ76" i="40"/>
  <c r="BU76" i="37"/>
  <c r="BV99" i="36"/>
  <c r="BV106" s="1"/>
  <c r="BY68" i="25"/>
  <c r="AK54" i="36"/>
  <c r="N11" i="1"/>
  <c r="AP32" i="25"/>
  <c r="CU19" i="37"/>
  <c r="N72" i="26"/>
  <c r="BR68" i="36"/>
  <c r="DH68" s="1"/>
  <c r="AT38" i="41"/>
  <c r="BC63" i="37"/>
  <c r="CM19" i="38"/>
  <c r="CM40" s="1"/>
  <c r="AE63" i="40"/>
  <c r="AI46" i="25"/>
  <c r="BE68" i="36"/>
  <c r="BZ72" i="26"/>
  <c r="M104" i="36"/>
  <c r="CH82" i="25"/>
  <c r="BJ62" i="39"/>
  <c r="DE68" i="36"/>
  <c r="AS28" i="1"/>
  <c r="N19" i="39"/>
  <c r="CX22" i="25"/>
  <c r="CI93"/>
  <c r="CI106" s="1"/>
  <c r="W63" i="36"/>
  <c r="S104" i="40"/>
  <c r="CH55" i="1"/>
  <c r="CI31"/>
  <c r="CI32" s="1"/>
  <c r="AY55" i="39"/>
  <c r="BY11"/>
  <c r="CJ31" i="37"/>
  <c r="AA55" i="26"/>
  <c r="AJ38" i="38"/>
  <c r="L38" i="37"/>
  <c r="AT35" i="25"/>
  <c r="DH49"/>
  <c r="AP11" i="39"/>
  <c r="AE11" i="41"/>
  <c r="AE15" s="1"/>
  <c r="AP22" i="38"/>
  <c r="AG19" i="37"/>
  <c r="AB28" i="38"/>
  <c r="V46"/>
  <c r="BX93" i="36"/>
  <c r="I46"/>
  <c r="BA31" i="41"/>
  <c r="O72" i="26"/>
  <c r="CD46" i="39"/>
  <c r="CH82" i="41"/>
  <c r="CR31" i="39"/>
  <c r="AV104"/>
  <c r="BC76" i="38"/>
  <c r="BA55" i="26"/>
  <c r="H19" i="1"/>
  <c r="Z18" i="60"/>
  <c r="J290" i="46"/>
  <c r="J301" s="1"/>
  <c r="AK17" i="37"/>
  <c r="AK54" i="41"/>
  <c r="W50" i="60"/>
  <c r="V28"/>
  <c r="AK54" i="37"/>
  <c r="X28" i="60"/>
  <c r="N28" i="39"/>
  <c r="BH38" i="38"/>
  <c r="BJ38" s="1"/>
  <c r="BJ37"/>
  <c r="CU28" i="26"/>
  <c r="AK37"/>
  <c r="S38"/>
  <c r="S18" i="60"/>
  <c r="AK54" i="1"/>
  <c r="CV28" i="39"/>
  <c r="DH17" i="1"/>
  <c r="AJ50" i="60"/>
  <c r="DH25" i="38"/>
  <c r="AI30" i="60"/>
  <c r="Z28"/>
  <c r="AH50"/>
  <c r="AS50" s="1"/>
  <c r="AS63" i="37"/>
  <c r="AS11" i="40"/>
  <c r="Z63"/>
  <c r="CX63" i="41"/>
  <c r="CX84" s="1"/>
  <c r="CB76" i="38"/>
  <c r="CB46" i="36"/>
  <c r="DC51" i="26"/>
  <c r="N82" i="37"/>
  <c r="Q82" s="1"/>
  <c r="BT63" i="39"/>
  <c r="W35" i="26"/>
  <c r="CU104" i="1"/>
  <c r="CN11" i="26"/>
  <c r="DA14" i="25"/>
  <c r="AE22" i="38"/>
  <c r="O46" i="25"/>
  <c r="CR104" i="26"/>
  <c r="CH99" i="37"/>
  <c r="CH106" s="1"/>
  <c r="AE31" i="39"/>
  <c r="AJ14" i="40"/>
  <c r="AR104" i="25"/>
  <c r="AP68" i="36"/>
  <c r="BR93" i="39"/>
  <c r="BR28" i="1"/>
  <c r="AD46" i="39"/>
  <c r="AX76" i="1"/>
  <c r="DA104" i="38"/>
  <c r="CG68" i="37"/>
  <c r="CI22" i="36"/>
  <c r="AV51" i="38"/>
  <c r="DH48" i="1"/>
  <c r="AS76" i="25"/>
  <c r="DA68" i="1"/>
  <c r="CC93" i="37"/>
  <c r="AT55" i="1"/>
  <c r="DB68" i="25"/>
  <c r="AI46" i="36"/>
  <c r="CP72" i="1"/>
  <c r="H11"/>
  <c r="AR55" i="39"/>
  <c r="AQ72" i="26"/>
  <c r="T38" i="41"/>
  <c r="AI22" i="25"/>
  <c r="AB19" i="36"/>
  <c r="BE99"/>
  <c r="AT19" i="1"/>
  <c r="CL28" i="36"/>
  <c r="J14" i="39"/>
  <c r="CJ68" i="38"/>
  <c r="J104" i="40"/>
  <c r="CW63" i="36"/>
  <c r="BA11" i="38"/>
  <c r="BC93" i="41"/>
  <c r="BC106" s="1"/>
  <c r="CS68" i="40"/>
  <c r="AM11" i="25"/>
  <c r="BI46" i="37"/>
  <c r="AV32" i="39"/>
  <c r="Q61" i="36"/>
  <c r="AN46" i="40"/>
  <c r="BB68" i="26"/>
  <c r="DA22" i="40"/>
  <c r="CW76" i="39"/>
  <c r="CI93" i="41"/>
  <c r="AC31" i="39"/>
  <c r="J19" i="1"/>
  <c r="Q19" s="1"/>
  <c r="CM31" i="39"/>
  <c r="DA99" i="37"/>
  <c r="AR35" i="41"/>
  <c r="CL38" i="36"/>
  <c r="BR38" i="41"/>
  <c r="CE31"/>
  <c r="BA99" i="36"/>
  <c r="AS46" i="26"/>
  <c r="U93" i="37"/>
  <c r="J93" i="26"/>
  <c r="CG93" i="36"/>
  <c r="CC104"/>
  <c r="CE55" i="38"/>
  <c r="CE84" s="1"/>
  <c r="DH49" i="41"/>
  <c r="U35" i="26"/>
  <c r="BZ51" i="36"/>
  <c r="CV46" i="37"/>
  <c r="Z22" i="26"/>
  <c r="P28" i="37"/>
  <c r="AG55" i="25"/>
  <c r="BZ76" i="38"/>
  <c r="Q10" i="25"/>
  <c r="BS93" i="1"/>
  <c r="BJ66"/>
  <c r="BJ27" i="41"/>
  <c r="BL27" s="1"/>
  <c r="P63" i="37"/>
  <c r="CF22" i="1"/>
  <c r="CU68" i="25"/>
  <c r="CY35" i="38"/>
  <c r="J51" i="39"/>
  <c r="CE38" i="41"/>
  <c r="AM31" i="26"/>
  <c r="BF31" s="1"/>
  <c r="BF29"/>
  <c r="CB63" i="37"/>
  <c r="H72" i="1"/>
  <c r="I63" i="38"/>
  <c r="Q63" s="1"/>
  <c r="CG76" i="37"/>
  <c r="AO35" i="39"/>
  <c r="CG28"/>
  <c r="BX35"/>
  <c r="BR68" i="38"/>
  <c r="CA99" i="40"/>
  <c r="Z28" i="36"/>
  <c r="BJ30" i="40"/>
  <c r="CV82"/>
  <c r="AV51" i="41"/>
  <c r="L51" i="26"/>
  <c r="AW31" i="40"/>
  <c r="AW32" s="1"/>
  <c r="CY22" i="26"/>
  <c r="AY28" i="38"/>
  <c r="CY35" i="39"/>
  <c r="AJ82" i="40"/>
  <c r="AZ31"/>
  <c r="CS93" i="36"/>
  <c r="AY22" i="41"/>
  <c r="AP19" i="38"/>
  <c r="DB31" i="40"/>
  <c r="BC55" i="41"/>
  <c r="AE76" i="39"/>
  <c r="BW14" i="37"/>
  <c r="BW15" s="1"/>
  <c r="BJ62" i="36"/>
  <c r="AF63" i="39"/>
  <c r="AI93" i="25"/>
  <c r="CT82" i="41"/>
  <c r="BD99" i="39"/>
  <c r="CN82" i="25"/>
  <c r="AR68" i="26"/>
  <c r="AJ35" i="40"/>
  <c r="CK68" i="39"/>
  <c r="BR104" i="1"/>
  <c r="CP28"/>
  <c r="Q67" i="25"/>
  <c r="DD63" i="39"/>
  <c r="AP82" i="38"/>
  <c r="AH14" i="39"/>
  <c r="BB14" i="36"/>
  <c r="BA68" i="1"/>
  <c r="Y14" i="60"/>
  <c r="I31" i="25"/>
  <c r="V82" i="41"/>
  <c r="CA11" i="36"/>
  <c r="CA15" s="1"/>
  <c r="CC38" i="1"/>
  <c r="CE82" i="40"/>
  <c r="CM38" i="41"/>
  <c r="BD72" i="36"/>
  <c r="CT14" i="37"/>
  <c r="CG14" i="41"/>
  <c r="DB68" i="39"/>
  <c r="CP93" i="36"/>
  <c r="CP106" s="1"/>
  <c r="BP31" i="41"/>
  <c r="AH82"/>
  <c r="AE68" i="36"/>
  <c r="AV19" i="39"/>
  <c r="BH63" i="1"/>
  <c r="BJ57"/>
  <c r="T28" i="40"/>
  <c r="T32" s="1"/>
  <c r="CC99" i="41"/>
  <c r="AI51" i="36"/>
  <c r="BW76" i="40"/>
  <c r="I38" i="1"/>
  <c r="AD11" i="40"/>
  <c r="N55" i="38"/>
  <c r="L51" i="41"/>
  <c r="AS55" i="37"/>
  <c r="BE76" i="26"/>
  <c r="AM104" i="1"/>
  <c r="BF102"/>
  <c r="AD51" i="38"/>
  <c r="AD84" s="1"/>
  <c r="CM46" i="39"/>
  <c r="CY14" i="25"/>
  <c r="N46"/>
  <c r="Y68" i="36"/>
  <c r="CU35" i="41"/>
  <c r="CK93" i="39"/>
  <c r="CJ76" i="37"/>
  <c r="CO31" i="26"/>
  <c r="AQ72" i="37"/>
  <c r="BJ10" i="40"/>
  <c r="AI68"/>
  <c r="BB28" i="37"/>
  <c r="BB32" s="1"/>
  <c r="DH60" i="25"/>
  <c r="AZ72" i="40"/>
  <c r="AE68" i="41"/>
  <c r="CV72" i="40"/>
  <c r="BP28" i="1"/>
  <c r="BR99" i="40"/>
  <c r="CZ38" i="36"/>
  <c r="CE63" i="38"/>
  <c r="BQ68" i="41"/>
  <c r="AW19"/>
  <c r="AU46" i="36"/>
  <c r="BV68" i="25"/>
  <c r="BA68" i="39"/>
  <c r="BB46" i="38"/>
  <c r="DF63"/>
  <c r="DB76" i="39"/>
  <c r="CA68" i="40"/>
  <c r="AS35" i="25"/>
  <c r="BA68" i="40"/>
  <c r="S35" i="37"/>
  <c r="AK35" s="1"/>
  <c r="AK34"/>
  <c r="CR99" i="40"/>
  <c r="K221" i="46"/>
  <c r="CP28" i="36"/>
  <c r="CP32" s="1"/>
  <c r="J104" i="1"/>
  <c r="AE93" i="38"/>
  <c r="V93" i="36"/>
  <c r="CJ104" i="41"/>
  <c r="CJ106" s="1"/>
  <c r="AZ104" i="1"/>
  <c r="AZ106" s="1"/>
  <c r="L46" i="36"/>
  <c r="BD31" i="25"/>
  <c r="CG63" i="37"/>
  <c r="BW63" i="38"/>
  <c r="AI82" i="39"/>
  <c r="CS99" i="25"/>
  <c r="AZ19" i="40"/>
  <c r="CH55" i="25"/>
  <c r="BD31" i="38"/>
  <c r="BR28" i="37"/>
  <c r="CK93" i="36"/>
  <c r="CK106" s="1"/>
  <c r="BS51" i="1"/>
  <c r="BS84" s="1"/>
  <c r="L11" i="36"/>
  <c r="CT51" i="39"/>
  <c r="AZ99" i="36"/>
  <c r="AZ106" s="1"/>
  <c r="AJ55" i="1"/>
  <c r="P35" i="38"/>
  <c r="AD14" i="1"/>
  <c r="AD15" s="1"/>
  <c r="Y46" i="26"/>
  <c r="CJ63" i="40"/>
  <c r="AH76" i="41"/>
  <c r="AJ72" i="38"/>
  <c r="CO63"/>
  <c r="BR63"/>
  <c r="G19" i="25"/>
  <c r="Q17"/>
  <c r="L55"/>
  <c r="L84" s="1"/>
  <c r="AH38" i="36"/>
  <c r="CA14"/>
  <c r="CV14" i="39"/>
  <c r="G72" i="26"/>
  <c r="Q72" s="1"/>
  <c r="Q71"/>
  <c r="CY55" i="39"/>
  <c r="CQ55" i="38"/>
  <c r="AD104" i="25"/>
  <c r="AD38" i="39"/>
  <c r="O104" i="26"/>
  <c r="N51" i="25"/>
  <c r="AI22" i="40"/>
  <c r="DF35" i="25"/>
  <c r="DH61"/>
  <c r="J14" i="40"/>
  <c r="DB55" i="36"/>
  <c r="DB84" s="1"/>
  <c r="CI72" i="37"/>
  <c r="Y99" i="1"/>
  <c r="BY68" i="37"/>
  <c r="CH35" i="25"/>
  <c r="CV76" i="40"/>
  <c r="AO22" i="25"/>
  <c r="CF19" i="1"/>
  <c r="CU82" i="26"/>
  <c r="AE14" i="39"/>
  <c r="CL99" i="40"/>
  <c r="M116" i="50"/>
  <c r="CC51" i="25"/>
  <c r="CS28" i="40"/>
  <c r="Y93" i="36"/>
  <c r="O76" i="37"/>
  <c r="DA19" i="25"/>
  <c r="AY14" i="41"/>
  <c r="N35" i="37"/>
  <c r="BV63" i="25"/>
  <c r="AA93" i="26"/>
  <c r="V68" i="41"/>
  <c r="DD82" i="36"/>
  <c r="AJ35" i="26"/>
  <c r="O28" i="36"/>
  <c r="O32" s="1"/>
  <c r="AJ104" i="40"/>
  <c r="AI14"/>
  <c r="BC31" i="25"/>
  <c r="I19" i="39"/>
  <c r="AI31" i="37"/>
  <c r="CV93" i="40"/>
  <c r="CM82" i="41"/>
  <c r="AA22" i="37"/>
  <c r="BF66" i="1"/>
  <c r="AP46" i="25"/>
  <c r="BU72" i="36"/>
  <c r="AN99" i="26"/>
  <c r="AC38" i="41"/>
  <c r="BA14" i="40"/>
  <c r="V38" i="39"/>
  <c r="DB72" i="25"/>
  <c r="AC31" i="40"/>
  <c r="AC32" s="1"/>
  <c r="AC40" s="1"/>
  <c r="AC28" i="36"/>
  <c r="AC32" s="1"/>
  <c r="CE14" i="37"/>
  <c r="CN11" i="36"/>
  <c r="CW82" i="25"/>
  <c r="AM19" i="40"/>
  <c r="BF17"/>
  <c r="CP99" i="26"/>
  <c r="CP106" s="1"/>
  <c r="AD11" i="39"/>
  <c r="CJ68" i="36"/>
  <c r="U32" i="40"/>
  <c r="BJ13" i="1"/>
  <c r="X72" i="40"/>
  <c r="CT31" i="38"/>
  <c r="CT32" s="1"/>
  <c r="AJ35" i="41"/>
  <c r="CS31" i="39"/>
  <c r="AQ19" i="25"/>
  <c r="CV38" i="40"/>
  <c r="AQ14" i="25"/>
  <c r="AC46" i="39"/>
  <c r="BJ66"/>
  <c r="BS72" i="36"/>
  <c r="CD93" i="40"/>
  <c r="CD106" s="1"/>
  <c r="CQ51"/>
  <c r="DE104" i="39"/>
  <c r="AZ31" i="26"/>
  <c r="AZ32" s="1"/>
  <c r="AO46" i="36"/>
  <c r="CR76" i="39"/>
  <c r="DE19" i="41"/>
  <c r="AP63" i="40"/>
  <c r="CD51" i="39"/>
  <c r="CD84" s="1"/>
  <c r="DE82" i="25"/>
  <c r="CH31"/>
  <c r="AQ11" i="36"/>
  <c r="AQ15" s="1"/>
  <c r="AQ40" s="1"/>
  <c r="AR51" i="40"/>
  <c r="CT19" i="25"/>
  <c r="I72" i="1"/>
  <c r="CT99" i="40"/>
  <c r="P19"/>
  <c r="BC28"/>
  <c r="CB63" i="38"/>
  <c r="U72" i="37"/>
  <c r="DH59" i="40"/>
  <c r="DD82" i="26"/>
  <c r="H38" i="36"/>
  <c r="AF19" i="25"/>
  <c r="AF72" i="38"/>
  <c r="Q92" i="39"/>
  <c r="CU99" i="41"/>
  <c r="AI63" i="37"/>
  <c r="CO14" i="1"/>
  <c r="CZ55" i="25"/>
  <c r="AP104"/>
  <c r="AN72" i="37"/>
  <c r="CK46" i="39"/>
  <c r="CR31" i="26"/>
  <c r="CZ93" i="37"/>
  <c r="AD35" i="38"/>
  <c r="CY35" i="25"/>
  <c r="CW31" i="40"/>
  <c r="CS46"/>
  <c r="BX99"/>
  <c r="CM51" i="1"/>
  <c r="CO55" i="26"/>
  <c r="M104" i="1"/>
  <c r="DA55" i="40"/>
  <c r="DA84" s="1"/>
  <c r="AG38"/>
  <c r="BQ38" i="36"/>
  <c r="CD35" i="39"/>
  <c r="CZ99" i="40"/>
  <c r="CU104"/>
  <c r="BD14" i="39"/>
  <c r="CU22" i="41"/>
  <c r="M99" i="1"/>
  <c r="AN104" i="40"/>
  <c r="CN35"/>
  <c r="AZ46"/>
  <c r="CH99" i="41"/>
  <c r="DB35" i="40"/>
  <c r="CJ38" i="25"/>
  <c r="CS72" i="36"/>
  <c r="AV63" i="1"/>
  <c r="AR31" i="38"/>
  <c r="BF31" s="1"/>
  <c r="CX55" i="41"/>
  <c r="CB63"/>
  <c r="CT22" i="36"/>
  <c r="BI68" i="1"/>
  <c r="AV72" i="38"/>
  <c r="CA51" i="37"/>
  <c r="BU46" i="38"/>
  <c r="BC76" i="39"/>
  <c r="BY28" i="26"/>
  <c r="AW28" i="39"/>
  <c r="CM31" i="1"/>
  <c r="CM32" s="1"/>
  <c r="CM40" s="1"/>
  <c r="AM14" i="39"/>
  <c r="CN63"/>
  <c r="X35" i="1"/>
  <c r="G55" i="25"/>
  <c r="G84" s="1"/>
  <c r="Q53"/>
  <c r="AQ63" i="1"/>
  <c r="BJ61" i="40"/>
  <c r="I55" i="37"/>
  <c r="Q55" s="1"/>
  <c r="BW35" i="25"/>
  <c r="X11" i="40"/>
  <c r="AC31" i="38"/>
  <c r="J19" i="37"/>
  <c r="AC68" i="39"/>
  <c r="CR63" i="25"/>
  <c r="CS99" i="41"/>
  <c r="CL19" i="26"/>
  <c r="AZ104" i="36"/>
  <c r="AS82" i="26"/>
  <c r="AJ55" i="40"/>
  <c r="CG99" i="25"/>
  <c r="CJ14" i="38"/>
  <c r="AO11" i="39"/>
  <c r="DE14" i="26"/>
  <c r="BV35" i="40"/>
  <c r="I116" i="50"/>
  <c r="AJ35" i="36"/>
  <c r="BE68" i="41"/>
  <c r="U28" i="37"/>
  <c r="AK28" s="1"/>
  <c r="BC68"/>
  <c r="I31" i="41"/>
  <c r="AI63" i="40"/>
  <c r="CQ35" i="38"/>
  <c r="AN35" i="26"/>
  <c r="BF35" s="1"/>
  <c r="CS63" i="25"/>
  <c r="P93" i="37"/>
  <c r="BP99" i="41"/>
  <c r="CY72" i="40"/>
  <c r="CB51" i="39"/>
  <c r="DE93" i="38"/>
  <c r="Z63" i="36"/>
  <c r="CL11" i="37"/>
  <c r="S99" i="1"/>
  <c r="BR55" i="38"/>
  <c r="DE55" i="36"/>
  <c r="DE84" s="1"/>
  <c r="O46" i="41"/>
  <c r="M99"/>
  <c r="CY19"/>
  <c r="CY40" s="1"/>
  <c r="CD31" i="25"/>
  <c r="BI31" i="39"/>
  <c r="BU68" i="26"/>
  <c r="H76" i="41"/>
  <c r="CB76" i="36"/>
  <c r="AT31" i="25"/>
  <c r="BF21" i="37"/>
  <c r="AM22"/>
  <c r="BF22" s="1"/>
  <c r="AV19" i="40"/>
  <c r="CA82" i="39"/>
  <c r="CN51" i="26"/>
  <c r="CW93" i="25"/>
  <c r="CW106" s="1"/>
  <c r="BZ104" i="37"/>
  <c r="BF30" i="39"/>
  <c r="CC35" i="41"/>
  <c r="Z63"/>
  <c r="BW46" i="38"/>
  <c r="DH27" i="1"/>
  <c r="Q58" i="40"/>
  <c r="DC68" i="38"/>
  <c r="CT72" i="41"/>
  <c r="P14" i="37"/>
  <c r="CL22" i="26"/>
  <c r="CQ72" i="41"/>
  <c r="CV76" i="1"/>
  <c r="CL82" i="38"/>
  <c r="AX104" i="37"/>
  <c r="AC11" i="40"/>
  <c r="AC15" s="1"/>
  <c r="L28" i="25"/>
  <c r="BF25" i="37"/>
  <c r="AZ11" i="26"/>
  <c r="M11"/>
  <c r="M76" i="38"/>
  <c r="Y19" i="25"/>
  <c r="BF60"/>
  <c r="CB46" i="37"/>
  <c r="AT55" i="40"/>
  <c r="BS22" i="1"/>
  <c r="CI55" i="38"/>
  <c r="CC22" i="41"/>
  <c r="BB82" i="36"/>
  <c r="AA50" i="60"/>
  <c r="AB14" i="25"/>
  <c r="Y28" i="60"/>
  <c r="BJ37" i="1"/>
  <c r="BH38"/>
  <c r="CW28" i="26"/>
  <c r="BH38" i="40"/>
  <c r="BJ38" s="1"/>
  <c r="BJ37"/>
  <c r="G289" i="46"/>
  <c r="G300" s="1"/>
  <c r="AL22" i="60"/>
  <c r="N28" i="37"/>
  <c r="N32" s="1"/>
  <c r="Y50" i="60"/>
  <c r="AU50" s="1"/>
  <c r="AK54" i="38"/>
  <c r="DH54" i="26"/>
  <c r="AK25"/>
  <c r="BL25" s="1"/>
  <c r="U28" i="60"/>
  <c r="S28"/>
  <c r="W28"/>
  <c r="AD30"/>
  <c r="DH54" i="39"/>
  <c r="BI76" i="1"/>
  <c r="CV28"/>
  <c r="CV32" s="1"/>
  <c r="DH54" i="38"/>
  <c r="U50" i="60"/>
  <c r="DH54" i="37"/>
  <c r="X50" i="60"/>
  <c r="DH54" i="1"/>
  <c r="AH22" i="60"/>
  <c r="U53"/>
  <c r="T76" i="1"/>
  <c r="M289" i="46"/>
  <c r="M300" s="1"/>
  <c r="AK25" i="25"/>
  <c r="AL50" i="60"/>
  <c r="CW28" i="39"/>
  <c r="AK54" i="26"/>
  <c r="AA18" i="60"/>
  <c r="U42"/>
  <c r="BX51" i="38"/>
  <c r="BX84" s="1"/>
  <c r="AF55" i="36"/>
  <c r="AS28" i="37"/>
  <c r="AD37" i="60"/>
  <c r="L28" i="41"/>
  <c r="CS63" i="38"/>
  <c r="BJ54" i="36"/>
  <c r="AS19"/>
  <c r="BE35" i="37"/>
  <c r="CP51" i="26"/>
  <c r="CH19" i="37"/>
  <c r="CM72" i="26"/>
  <c r="DB19"/>
  <c r="BB31" i="37"/>
  <c r="AY31" i="39"/>
  <c r="G51" i="40"/>
  <c r="Q48"/>
  <c r="BD31" i="1"/>
  <c r="BF61" i="37"/>
  <c r="CW99" i="38"/>
  <c r="AC82" i="25"/>
  <c r="K35"/>
  <c r="AV82" i="40"/>
  <c r="DC31" i="41"/>
  <c r="AB82" i="37"/>
  <c r="AA35" i="38"/>
  <c r="BX14" i="36"/>
  <c r="Q71" i="40"/>
  <c r="G72"/>
  <c r="V35" i="41"/>
  <c r="BZ46" i="25"/>
  <c r="CY14" i="40"/>
  <c r="BC93" i="36"/>
  <c r="BC106" s="1"/>
  <c r="CH72"/>
  <c r="CA51" i="38"/>
  <c r="AO11" i="25"/>
  <c r="G19" i="38"/>
  <c r="CE68" i="1"/>
  <c r="CV93" i="39"/>
  <c r="BT35" i="1"/>
  <c r="J76" i="26"/>
  <c r="AG31" i="40"/>
  <c r="AG32" s="1"/>
  <c r="K14" i="38"/>
  <c r="S82" i="40"/>
  <c r="BV46" i="41"/>
  <c r="J104" i="37"/>
  <c r="CH28" i="26"/>
  <c r="AB76" i="1"/>
  <c r="CR35" i="38"/>
  <c r="AX22" i="37"/>
  <c r="BW38" i="38"/>
  <c r="AG93" i="36"/>
  <c r="CK38" i="40"/>
  <c r="AS11" i="36"/>
  <c r="BV51" i="38"/>
  <c r="K99" i="40"/>
  <c r="CB19" i="37"/>
  <c r="CL51" i="41"/>
  <c r="CL84" s="1"/>
  <c r="DC46" i="36"/>
  <c r="AV22" i="39"/>
  <c r="BR38" i="38"/>
  <c r="H104" i="25"/>
  <c r="Q104" s="1"/>
  <c r="BR11" i="37"/>
  <c r="CU14" i="26"/>
  <c r="CV55" i="36"/>
  <c r="BY55" i="1"/>
  <c r="CW19" i="40"/>
  <c r="AH22" i="41"/>
  <c r="BA38"/>
  <c r="BF71" i="39"/>
  <c r="AM72"/>
  <c r="DH29" i="38"/>
  <c r="BO31"/>
  <c r="DH67" i="1"/>
  <c r="CW63" i="25"/>
  <c r="BR35" i="41"/>
  <c r="DB31" i="38"/>
  <c r="Q58" i="25"/>
  <c r="BR22" i="36"/>
  <c r="CN19" i="39"/>
  <c r="BV76" i="37"/>
  <c r="AG22" i="41"/>
  <c r="DC35" i="36"/>
  <c r="Q67" i="38"/>
  <c r="CP76" i="26"/>
  <c r="K31"/>
  <c r="X31" i="40"/>
  <c r="CH19" i="36"/>
  <c r="CH28" i="40"/>
  <c r="P72" i="25"/>
  <c r="DB76" i="36"/>
  <c r="CV68" i="41"/>
  <c r="CV84" s="1"/>
  <c r="X38"/>
  <c r="AB31"/>
  <c r="CI104" i="25"/>
  <c r="BW82" i="1"/>
  <c r="CH51" i="25"/>
  <c r="BC76" i="41"/>
  <c r="CZ28" i="38"/>
  <c r="BS35" i="39"/>
  <c r="CL55" i="37"/>
  <c r="CD76" i="39"/>
  <c r="BV82"/>
  <c r="BQ68" i="1"/>
  <c r="DH48" i="26"/>
  <c r="CY28" i="36"/>
  <c r="AH28" i="40"/>
  <c r="DB55" i="25"/>
  <c r="BE46" i="41"/>
  <c r="CO14" i="25"/>
  <c r="BD99" i="37"/>
  <c r="BD106" s="1"/>
  <c r="P28" i="36"/>
  <c r="BF91" i="39"/>
  <c r="CL82"/>
  <c r="AY35" i="26"/>
  <c r="BY35" i="38"/>
  <c r="AJ72" i="36"/>
  <c r="L31"/>
  <c r="S82" i="38"/>
  <c r="CB76" i="37"/>
  <c r="AV38" i="36"/>
  <c r="CL19" i="38"/>
  <c r="BX38" i="36"/>
  <c r="BC35" i="38"/>
  <c r="S28" i="25"/>
  <c r="AK26"/>
  <c r="T22" i="38"/>
  <c r="BS38" i="26"/>
  <c r="CP31" i="38"/>
  <c r="CW14" i="39"/>
  <c r="AK17" i="26"/>
  <c r="AM14" i="1"/>
  <c r="AM15" s="1"/>
  <c r="BF12"/>
  <c r="CR104" i="40"/>
  <c r="M28" i="37"/>
  <c r="Q28" s="1"/>
  <c r="AN28" i="25"/>
  <c r="CE63" i="26"/>
  <c r="AS93" i="37"/>
  <c r="Y82" i="39"/>
  <c r="BA51" i="41"/>
  <c r="BV104" i="38"/>
  <c r="BQ104" i="41"/>
  <c r="J14" i="38"/>
  <c r="J15" s="1"/>
  <c r="CF63" i="37"/>
  <c r="DD28" i="36"/>
  <c r="CP14" i="26"/>
  <c r="CA31" i="36"/>
  <c r="U28"/>
  <c r="BW55" i="1"/>
  <c r="CF68" i="39"/>
  <c r="BB28"/>
  <c r="BB32" s="1"/>
  <c r="BW46" i="36"/>
  <c r="CF76" i="41"/>
  <c r="X11" i="26"/>
  <c r="AQ11"/>
  <c r="BU51" i="39"/>
  <c r="BB46" i="25"/>
  <c r="CY38"/>
  <c r="X99" i="38"/>
  <c r="Q25" i="25"/>
  <c r="CE11" i="41"/>
  <c r="CB72"/>
  <c r="CY104" i="25"/>
  <c r="N14" i="41"/>
  <c r="BV99" i="37"/>
  <c r="BU72" i="26"/>
  <c r="BU68" i="41"/>
  <c r="CH31" i="40"/>
  <c r="CW28" i="38"/>
  <c r="AX76" i="41"/>
  <c r="Q27" i="39"/>
  <c r="BL27" s="1"/>
  <c r="CM82" i="26"/>
  <c r="BU99" i="25"/>
  <c r="CE46" i="39"/>
  <c r="CA14" i="1"/>
  <c r="BS68" i="41"/>
  <c r="AM55" i="40"/>
  <c r="BF53"/>
  <c r="DA19" i="39"/>
  <c r="AF49" i="60"/>
  <c r="U48"/>
  <c r="CH46" i="41"/>
  <c r="DF72" i="39"/>
  <c r="CJ38" i="1"/>
  <c r="BD72"/>
  <c r="AB68" i="25"/>
  <c r="G38"/>
  <c r="Q38" s="1"/>
  <c r="Q37"/>
  <c r="BL37" s="1"/>
  <c r="BT22" i="37"/>
  <c r="AS46" i="38"/>
  <c r="BB63"/>
  <c r="BB84" s="1"/>
  <c r="AW93" i="1"/>
  <c r="AB51" i="36"/>
  <c r="CM38" i="39"/>
  <c r="M93" i="25"/>
  <c r="CM63" i="38"/>
  <c r="AZ38" i="36"/>
  <c r="AZ38" i="41"/>
  <c r="CO68" i="26"/>
  <c r="BT31" i="36"/>
  <c r="BT32" s="1"/>
  <c r="BT68" i="38"/>
  <c r="CZ31" i="36"/>
  <c r="AU68" i="41"/>
  <c r="DH60" i="1"/>
  <c r="AR63"/>
  <c r="CE72" i="25"/>
  <c r="CW55" i="41"/>
  <c r="AQ68" i="1"/>
  <c r="X68" i="38"/>
  <c r="BF27" i="37"/>
  <c r="CG35" i="1"/>
  <c r="AJ104"/>
  <c r="CB104" i="40"/>
  <c r="BW99" i="41"/>
  <c r="AT31" i="37"/>
  <c r="BX11" i="25"/>
  <c r="AY46"/>
  <c r="V68" i="37"/>
  <c r="K38" i="25"/>
  <c r="CJ46" i="40"/>
  <c r="AG14" i="39"/>
  <c r="I28" i="40"/>
  <c r="P22" i="39"/>
  <c r="CA46" i="40"/>
  <c r="V35" i="37"/>
  <c r="BX76"/>
  <c r="DB11" i="25"/>
  <c r="BQ68" i="26"/>
  <c r="Q67"/>
  <c r="CW93"/>
  <c r="CD22" i="40"/>
  <c r="AK37" i="39"/>
  <c r="BL37" s="1"/>
  <c r="S38"/>
  <c r="DB11" i="41"/>
  <c r="X76" i="36"/>
  <c r="AA63" i="25"/>
  <c r="BB68" i="36"/>
  <c r="CX11" i="40"/>
  <c r="DA72" i="26"/>
  <c r="CR28" i="40"/>
  <c r="AA14" i="60"/>
  <c r="AF19" i="39"/>
  <c r="BE28" i="1"/>
  <c r="CY68" i="41"/>
  <c r="CE51" i="1"/>
  <c r="AT76" i="36"/>
  <c r="AK10"/>
  <c r="AC14" i="41"/>
  <c r="CR31" i="40"/>
  <c r="BP104" i="41"/>
  <c r="CY55" i="25"/>
  <c r="CV55" i="39"/>
  <c r="CP14" i="36"/>
  <c r="AH93" i="37"/>
  <c r="O11" i="1"/>
  <c r="AA93" i="36"/>
  <c r="CF38" i="1"/>
  <c r="CZ72" i="36"/>
  <c r="CZ84" s="1"/>
  <c r="CM38" i="1"/>
  <c r="BZ11" i="26"/>
  <c r="AX38" i="38"/>
  <c r="G72" i="36"/>
  <c r="Q72" s="1"/>
  <c r="Q71"/>
  <c r="AB38" i="40"/>
  <c r="BO76" i="1"/>
  <c r="DH75"/>
  <c r="CL46" i="40"/>
  <c r="CZ51" i="39"/>
  <c r="CZ22" i="41"/>
  <c r="BD99" i="26"/>
  <c r="CF55"/>
  <c r="CC63" i="41"/>
  <c r="AR19" i="26"/>
  <c r="CK19" i="40"/>
  <c r="BE55" i="38"/>
  <c r="AX35" i="40"/>
  <c r="AZ31" i="37"/>
  <c r="CX11" i="25"/>
  <c r="CJ63" i="36"/>
  <c r="I104" i="41"/>
  <c r="CZ55" i="39"/>
  <c r="DC11" i="26"/>
  <c r="CY19" i="36"/>
  <c r="BO72" i="41"/>
  <c r="DH71"/>
  <c r="AA55"/>
  <c r="CX14" i="36"/>
  <c r="CX15" s="1"/>
  <c r="AE68" i="25"/>
  <c r="T35" i="38"/>
  <c r="BE11" i="1"/>
  <c r="AS11"/>
  <c r="AS82"/>
  <c r="AU63" i="26"/>
  <c r="AC11" i="38"/>
  <c r="DC68" i="1"/>
  <c r="M51"/>
  <c r="U46" i="39"/>
  <c r="BR51" i="36"/>
  <c r="CG82" i="1"/>
  <c r="Q59" i="25"/>
  <c r="W76" i="38"/>
  <c r="T19"/>
  <c r="AH68" i="41"/>
  <c r="Y82" i="26"/>
  <c r="W38" i="36"/>
  <c r="CN46" i="38"/>
  <c r="L19" i="40"/>
  <c r="CZ22" i="25"/>
  <c r="Y28" i="38"/>
  <c r="CA14" i="26"/>
  <c r="CA15" s="1"/>
  <c r="AH28" i="39"/>
  <c r="BO99"/>
  <c r="BE72" i="37"/>
  <c r="AS11" i="41"/>
  <c r="AX46" i="37"/>
  <c r="AV51"/>
  <c r="CY11" i="39"/>
  <c r="CL51"/>
  <c r="CL84" s="1"/>
  <c r="AR99" i="36"/>
  <c r="AU72" i="39"/>
  <c r="I19" i="1"/>
  <c r="AO19" i="36"/>
  <c r="BD11" i="26"/>
  <c r="CM99" i="41"/>
  <c r="AY76" i="26"/>
  <c r="AI46" i="1"/>
  <c r="Q13" i="40"/>
  <c r="DD55" i="25"/>
  <c r="BO31" i="36"/>
  <c r="DH29"/>
  <c r="BR38" i="40"/>
  <c r="P68" i="25"/>
  <c r="AB46" i="40"/>
  <c r="CC51"/>
  <c r="CF28"/>
  <c r="CF32" s="1"/>
  <c r="CF40" s="1"/>
  <c r="CA93" i="37"/>
  <c r="BA93" i="40"/>
  <c r="CW19" i="1"/>
  <c r="Y72"/>
  <c r="CZ38" i="38"/>
  <c r="BR46" i="36"/>
  <c r="BJ58" i="39"/>
  <c r="BA76" i="40"/>
  <c r="Q75" i="41"/>
  <c r="G76"/>
  <c r="I55" i="38"/>
  <c r="AG19"/>
  <c r="AO19" i="40"/>
  <c r="CC72" i="39"/>
  <c r="CF22" i="37"/>
  <c r="CH93" i="26"/>
  <c r="CB99" i="25"/>
  <c r="CO104" i="36"/>
  <c r="DH65" i="41"/>
  <c r="BO68"/>
  <c r="DH68" s="1"/>
  <c r="BE35" i="38"/>
  <c r="BT19" i="1"/>
  <c r="AZ99" i="39"/>
  <c r="K63" i="26"/>
  <c r="K99" i="1"/>
  <c r="BX99" i="38"/>
  <c r="BW14" i="40"/>
  <c r="BW15" s="1"/>
  <c r="BA104" i="41"/>
  <c r="O93" i="25"/>
  <c r="CJ46" i="1"/>
  <c r="BR11"/>
  <c r="BW63" i="37"/>
  <c r="CS76" i="26"/>
  <c r="J46" i="38"/>
  <c r="Y46" i="37"/>
  <c r="BE31" i="36"/>
  <c r="BE32" s="1"/>
  <c r="BE40" s="1"/>
  <c r="BH104" i="25"/>
  <c r="AZ82" i="37"/>
  <c r="CP22" i="25"/>
  <c r="BZ76" i="39"/>
  <c r="AJ14" i="25"/>
  <c r="BF91"/>
  <c r="CT68" i="26"/>
  <c r="K28" i="40"/>
  <c r="CA22" i="37"/>
  <c r="W63" i="26"/>
  <c r="CI31" i="37"/>
  <c r="BV46" i="40"/>
  <c r="AO51" i="26"/>
  <c r="CS68" i="36"/>
  <c r="AT63"/>
  <c r="BS68" i="40"/>
  <c r="CT28" i="39"/>
  <c r="Q81" i="40"/>
  <c r="CD68" i="26"/>
  <c r="BJ66" i="38"/>
  <c r="J22" i="25"/>
  <c r="CQ68" i="41"/>
  <c r="CQ84" s="1"/>
  <c r="AJ31" i="40"/>
  <c r="DD19" i="1"/>
  <c r="AR93" i="41"/>
  <c r="CL93" i="37"/>
  <c r="CL106" s="1"/>
  <c r="CN68" i="39"/>
  <c r="AA68"/>
  <c r="CC68" i="40"/>
  <c r="BE55" i="25"/>
  <c r="Q29"/>
  <c r="G31"/>
  <c r="DA68"/>
  <c r="BT55" i="26"/>
  <c r="J38" i="1"/>
  <c r="AA14" i="26"/>
  <c r="CM63" i="39"/>
  <c r="CF38"/>
  <c r="BY28" i="41"/>
  <c r="CD99" i="26"/>
  <c r="CZ19" i="36"/>
  <c r="CQ82"/>
  <c r="BY63" i="40"/>
  <c r="M28" i="25"/>
  <c r="CP51" i="37"/>
  <c r="CP84" s="1"/>
  <c r="AJ76" i="36"/>
  <c r="BC72" i="25"/>
  <c r="CP51" i="41"/>
  <c r="BB63" i="26"/>
  <c r="AQ63" i="39"/>
  <c r="AE93" i="37"/>
  <c r="CE38" i="39"/>
  <c r="CP51" i="38"/>
  <c r="CC46" i="36"/>
  <c r="BZ63" i="26"/>
  <c r="AK62" i="37"/>
  <c r="BZ38"/>
  <c r="BO28"/>
  <c r="CR93" i="39"/>
  <c r="AQ28" i="37"/>
  <c r="CN82" i="39"/>
  <c r="CT14" i="41"/>
  <c r="CY31" i="26"/>
  <c r="CU14" i="38"/>
  <c r="CT38" i="37"/>
  <c r="CC19" i="38"/>
  <c r="BA63" i="39"/>
  <c r="BA84" s="1"/>
  <c r="L14" i="38"/>
  <c r="CF31" i="36"/>
  <c r="BX19" i="41"/>
  <c r="DC68" i="37"/>
  <c r="AG11" i="1"/>
  <c r="CZ35" i="36"/>
  <c r="AA82" i="25"/>
  <c r="CT51"/>
  <c r="CT84" s="1"/>
  <c r="BY68" i="36"/>
  <c r="BY84" s="1"/>
  <c r="CW46" i="26"/>
  <c r="AR55"/>
  <c r="S93" i="37"/>
  <c r="S106" s="1"/>
  <c r="O11" i="39"/>
  <c r="CH35" i="38"/>
  <c r="CA55" i="1"/>
  <c r="AY38" i="37"/>
  <c r="X99" i="39"/>
  <c r="BC72" i="36"/>
  <c r="CI104" i="26"/>
  <c r="CG19" i="41"/>
  <c r="DE38" i="37"/>
  <c r="AY99" i="36"/>
  <c r="AA82" i="41"/>
  <c r="CJ19" i="40"/>
  <c r="BD72" i="38"/>
  <c r="BF24" i="25"/>
  <c r="CX55" i="26"/>
  <c r="BZ31" i="40"/>
  <c r="BT19" i="41"/>
  <c r="AP28" i="37"/>
  <c r="CZ63" i="38"/>
  <c r="CO93" i="36"/>
  <c r="CO106" s="1"/>
  <c r="BJ17" i="38"/>
  <c r="BH19"/>
  <c r="AU11" i="39"/>
  <c r="CP76" i="37"/>
  <c r="CS35" i="40"/>
  <c r="CH28" i="38"/>
  <c r="BD82"/>
  <c r="AG72"/>
  <c r="BA72" i="26"/>
  <c r="BC46"/>
  <c r="BV19" i="37"/>
  <c r="BU38" i="41"/>
  <c r="CZ68" i="36"/>
  <c r="AO28" i="39"/>
  <c r="BH63" i="37"/>
  <c r="BJ57"/>
  <c r="CC31" i="39"/>
  <c r="CC32" s="1"/>
  <c r="DF31" i="26"/>
  <c r="CV82" i="1"/>
  <c r="BW46" i="40"/>
  <c r="DH37"/>
  <c r="BO38"/>
  <c r="CD11" i="41"/>
  <c r="CN28" i="38"/>
  <c r="BU104" i="41"/>
  <c r="CX72" i="1"/>
  <c r="DA72" i="36"/>
  <c r="BB76" i="37"/>
  <c r="CK19" i="39"/>
  <c r="DF55" i="38"/>
  <c r="J22" i="1"/>
  <c r="M99" i="36"/>
  <c r="M106" s="1"/>
  <c r="W35" i="41"/>
  <c r="CO68" i="37"/>
  <c r="AU35" i="41"/>
  <c r="AW72" i="40"/>
  <c r="P104" i="41"/>
  <c r="S35" i="1"/>
  <c r="AK34"/>
  <c r="BH11"/>
  <c r="BJ9"/>
  <c r="CK22" i="40"/>
  <c r="I72" i="26"/>
  <c r="DC31" i="25"/>
  <c r="DC32" s="1"/>
  <c r="AF46"/>
  <c r="CP19"/>
  <c r="CM19" i="40"/>
  <c r="Q67" i="1"/>
  <c r="BL67" s="1"/>
  <c r="AG93" i="40"/>
  <c r="DE72" i="41"/>
  <c r="N63" i="26"/>
  <c r="BX72" i="41"/>
  <c r="BU28" i="38"/>
  <c r="BU32" s="1"/>
  <c r="J28" i="37"/>
  <c r="DH59" i="39"/>
  <c r="CW51" i="38"/>
  <c r="CW84" s="1"/>
  <c r="CE38"/>
  <c r="CC55" i="39"/>
  <c r="AT14" i="1"/>
  <c r="AT15" s="1"/>
  <c r="AF72" i="41"/>
  <c r="AP72" i="40"/>
  <c r="DE19" i="36"/>
  <c r="CG76" i="25"/>
  <c r="CG93" i="41"/>
  <c r="CG106" s="1"/>
  <c r="CR68"/>
  <c r="AN63"/>
  <c r="V63" i="25"/>
  <c r="CR35" i="37"/>
  <c r="AJ38"/>
  <c r="CY68" i="1"/>
  <c r="M93" i="26"/>
  <c r="BZ46" i="41"/>
  <c r="CW76" i="38"/>
  <c r="AC93" i="37"/>
  <c r="CK63" i="40"/>
  <c r="AF11" i="38"/>
  <c r="AT51" i="37"/>
  <c r="AT84" s="1"/>
  <c r="P104" i="26"/>
  <c r="AP38"/>
  <c r="CS93" i="39"/>
  <c r="CG35" i="41"/>
  <c r="Z68"/>
  <c r="P76" i="1"/>
  <c r="AX104" i="26"/>
  <c r="AR93" i="25"/>
  <c r="BU38" i="40"/>
  <c r="BZ68" i="39"/>
  <c r="BX31" i="26"/>
  <c r="BX32" s="1"/>
  <c r="CJ93" i="38"/>
  <c r="AR104" i="1"/>
  <c r="CX38"/>
  <c r="BE63" i="41"/>
  <c r="I82" i="25"/>
  <c r="CQ22" i="39"/>
  <c r="CV82" i="37"/>
  <c r="J116" i="50"/>
  <c r="CQ11" i="41"/>
  <c r="Q54" i="26"/>
  <c r="CV35" i="1"/>
  <c r="AY104" i="25"/>
  <c r="CS31" i="26"/>
  <c r="DA82" i="41"/>
  <c r="AX35" i="36"/>
  <c r="T28" i="25"/>
  <c r="T32" s="1"/>
  <c r="AO68" i="38"/>
  <c r="DE35" i="1"/>
  <c r="AM19" i="25"/>
  <c r="BF17"/>
  <c r="T99" i="1"/>
  <c r="AY14" i="38"/>
  <c r="BB19" i="37"/>
  <c r="BQ72" i="1"/>
  <c r="J72" i="26"/>
  <c r="AC104" i="39"/>
  <c r="DF28" i="36"/>
  <c r="AC72" i="1"/>
  <c r="BB51" i="25"/>
  <c r="W31" i="38"/>
  <c r="BC46" i="36"/>
  <c r="CF46" i="26"/>
  <c r="AS72" i="25"/>
  <c r="AN104"/>
  <c r="CU35"/>
  <c r="M46" i="1"/>
  <c r="AE63" i="25"/>
  <c r="O28" i="40"/>
  <c r="DD82" i="39"/>
  <c r="CB68" i="38"/>
  <c r="S99" i="39"/>
  <c r="BO99" i="41"/>
  <c r="CR14" i="1"/>
  <c r="AS22" i="40"/>
  <c r="CO55" i="36"/>
  <c r="AG31" i="37"/>
  <c r="BQ99" i="25"/>
  <c r="BD38" i="36"/>
  <c r="BR68" i="26"/>
  <c r="AR19" i="37"/>
  <c r="AA35"/>
  <c r="AJ104" i="25"/>
  <c r="CL19" i="37"/>
  <c r="CU68" i="26"/>
  <c r="CM104" i="1"/>
  <c r="N55" i="37"/>
  <c r="CF72" i="36"/>
  <c r="AH55" i="40"/>
  <c r="AS35" i="41"/>
  <c r="AY31"/>
  <c r="CR72" i="38"/>
  <c r="CH22"/>
  <c r="BW51"/>
  <c r="AQ35" i="25"/>
  <c r="CR55" i="36"/>
  <c r="DA31"/>
  <c r="BE99" i="39"/>
  <c r="AC68" i="37"/>
  <c r="BP38" i="41"/>
  <c r="CJ11"/>
  <c r="BW82" i="39"/>
  <c r="X31" i="36"/>
  <c r="CL104" i="38"/>
  <c r="CL106" s="1"/>
  <c r="CB19" i="36"/>
  <c r="BR31" i="41"/>
  <c r="BF62" i="1"/>
  <c r="AE38" i="26"/>
  <c r="DH57" i="41"/>
  <c r="BO63"/>
  <c r="BW28" i="37"/>
  <c r="BW32" s="1"/>
  <c r="CN76" i="36"/>
  <c r="AZ28" i="26"/>
  <c r="J14" i="1"/>
  <c r="CV46" i="41"/>
  <c r="BT55" i="38"/>
  <c r="K38" i="36"/>
  <c r="BS99" i="39"/>
  <c r="DD68" i="1"/>
  <c r="O11" i="40"/>
  <c r="X22"/>
  <c r="BT11"/>
  <c r="CV99" i="25"/>
  <c r="AU72" i="37"/>
  <c r="AR51" i="1"/>
  <c r="AX35" i="25"/>
  <c r="BY82" i="40"/>
  <c r="BC82" i="26"/>
  <c r="Z22" i="36"/>
  <c r="H72" i="40"/>
  <c r="AQ82" i="1"/>
  <c r="CJ51" i="41"/>
  <c r="BQ28" i="1"/>
  <c r="G68" i="37"/>
  <c r="Q65"/>
  <c r="CO28" i="39"/>
  <c r="BS93" i="40"/>
  <c r="BI19" i="1"/>
  <c r="AY14" i="26"/>
  <c r="AK61" i="38"/>
  <c r="BB55" i="40"/>
  <c r="CP31" i="25"/>
  <c r="BB22" i="38"/>
  <c r="CQ22" i="1"/>
  <c r="BU82" i="39"/>
  <c r="AZ28" i="41"/>
  <c r="AR63" i="40"/>
  <c r="N55" i="25"/>
  <c r="N84" s="1"/>
  <c r="BA82" i="1"/>
  <c r="CB28" i="41"/>
  <c r="CB32" s="1"/>
  <c r="DF82" i="40"/>
  <c r="AT28" i="38"/>
  <c r="BZ104"/>
  <c r="BC28" i="37"/>
  <c r="P14" i="36"/>
  <c r="P15" s="1"/>
  <c r="P40" s="1"/>
  <c r="K11"/>
  <c r="I38" i="39"/>
  <c r="CO14" i="37"/>
  <c r="AN11" i="39"/>
  <c r="AN15" s="1"/>
  <c r="AU63" i="37"/>
  <c r="DA82" i="38"/>
  <c r="BE104" i="41"/>
  <c r="BB38" i="40"/>
  <c r="AN11" i="36"/>
  <c r="AO11" i="38"/>
  <c r="P63" i="40"/>
  <c r="AW22" i="38"/>
  <c r="S63" i="25"/>
  <c r="AY55" i="1"/>
  <c r="CP38" i="26"/>
  <c r="Q58" i="39"/>
  <c r="BR51" i="26"/>
  <c r="CR55" i="41"/>
  <c r="Y31" i="1"/>
  <c r="X35" i="38"/>
  <c r="AV28" i="39"/>
  <c r="CR82" i="41"/>
  <c r="J35" i="39"/>
  <c r="BJ61" i="26"/>
  <c r="AA82" i="39"/>
  <c r="J31"/>
  <c r="AG31" i="26"/>
  <c r="DD31" i="40"/>
  <c r="CC28" i="39"/>
  <c r="AT19" i="38"/>
  <c r="AZ99" i="41"/>
  <c r="BZ63" i="36"/>
  <c r="AV46" i="41"/>
  <c r="CS11" i="26"/>
  <c r="BW93" i="38"/>
  <c r="BW106" s="1"/>
  <c r="DE35" i="25"/>
  <c r="CW46" i="40"/>
  <c r="CZ104"/>
  <c r="AK59" i="38"/>
  <c r="AD93" i="37"/>
  <c r="CE99" i="36"/>
  <c r="BP99" i="37"/>
  <c r="AH19" i="25"/>
  <c r="AQ68" i="26"/>
  <c r="CM22"/>
  <c r="BZ63" i="37"/>
  <c r="AO99" i="36"/>
  <c r="BD19" i="1"/>
  <c r="BY11" i="40"/>
  <c r="N82" i="39"/>
  <c r="DH71"/>
  <c r="BO72"/>
  <c r="CO31" i="37"/>
  <c r="AP22" i="39"/>
  <c r="J93" i="1"/>
  <c r="AP76" i="39"/>
  <c r="CD55" i="26"/>
  <c r="AP35" i="1"/>
  <c r="BF10" i="39"/>
  <c r="BP72" i="1"/>
  <c r="DH72" s="1"/>
  <c r="DF68" i="40"/>
  <c r="AU63" i="36"/>
  <c r="CW55" i="37"/>
  <c r="CW84" s="1"/>
  <c r="CG104"/>
  <c r="CD63" i="25"/>
  <c r="AN51" i="26"/>
  <c r="CP51" i="1"/>
  <c r="CP84" s="1"/>
  <c r="DB72" i="37"/>
  <c r="AP72" i="41"/>
  <c r="BF96" i="1"/>
  <c r="AM99"/>
  <c r="T35" i="39"/>
  <c r="AS38" i="36"/>
  <c r="AU11" i="37"/>
  <c r="BX99" i="39"/>
  <c r="CN38" i="1"/>
  <c r="M104" i="25"/>
  <c r="AD35" i="37"/>
  <c r="CZ38" i="1"/>
  <c r="S82"/>
  <c r="AK79"/>
  <c r="AG46" i="38"/>
  <c r="CR76" i="37"/>
  <c r="BR93" i="26"/>
  <c r="BA76" i="38"/>
  <c r="CV14" i="40"/>
  <c r="CA46" i="25"/>
  <c r="V93" i="39"/>
  <c r="CS99" i="38"/>
  <c r="J63" i="37"/>
  <c r="H99"/>
  <c r="AV22" i="26"/>
  <c r="K63" i="1"/>
  <c r="O55" i="37"/>
  <c r="Q30" i="38"/>
  <c r="AR104" i="36"/>
  <c r="CG31" i="1"/>
  <c r="AN31" i="40"/>
  <c r="P28" i="38"/>
  <c r="P32" s="1"/>
  <c r="BP38" i="36"/>
  <c r="CC76" i="26"/>
  <c r="AR14" i="38"/>
  <c r="CX55" i="37"/>
  <c r="BY14" i="26"/>
  <c r="BY15" s="1"/>
  <c r="AQ35"/>
  <c r="P22" i="1"/>
  <c r="AA68" i="26"/>
  <c r="DF22" i="40"/>
  <c r="CK28" i="25"/>
  <c r="CR14"/>
  <c r="CI14" i="38"/>
  <c r="AI72" i="26"/>
  <c r="CF46" i="36"/>
  <c r="K72" i="38"/>
  <c r="BX76" i="26"/>
  <c r="T46" i="38"/>
  <c r="BD22"/>
  <c r="Q59" i="41"/>
  <c r="BL59" s="1"/>
  <c r="CE19" i="40"/>
  <c r="AW22" i="39"/>
  <c r="BT11" i="38"/>
  <c r="DC63" i="1"/>
  <c r="CZ104" i="26"/>
  <c r="BH19" i="40"/>
  <c r="BJ17"/>
  <c r="DE55" i="25"/>
  <c r="CO51" i="41"/>
  <c r="CO84" s="1"/>
  <c r="CT68" i="25"/>
  <c r="CT76" i="41"/>
  <c r="CT84" s="1"/>
  <c r="V68" i="1"/>
  <c r="J11" i="25"/>
  <c r="U35" i="37"/>
  <c r="H46" i="38"/>
  <c r="CZ55" i="26"/>
  <c r="BD19" i="38"/>
  <c r="Y11" i="39"/>
  <c r="CI28"/>
  <c r="CI32" s="1"/>
  <c r="AC93" i="41"/>
  <c r="DF28" i="26"/>
  <c r="BU72" i="37"/>
  <c r="CF99"/>
  <c r="DH58" i="40"/>
  <c r="AV63" i="39"/>
  <c r="CU46" i="1"/>
  <c r="AR31" i="39"/>
  <c r="AR32" s="1"/>
  <c r="BI46" i="41"/>
  <c r="O104" i="37"/>
  <c r="AT99" i="1"/>
  <c r="DA93" i="38"/>
  <c r="DA106" s="1"/>
  <c r="W31" i="26"/>
  <c r="CJ82" i="38"/>
  <c r="BZ55" i="25"/>
  <c r="AK59" i="1"/>
  <c r="BL59" s="1"/>
  <c r="CZ11" i="37"/>
  <c r="AH63" i="39"/>
  <c r="Z14" i="38"/>
  <c r="Z68" i="1"/>
  <c r="Q48" i="39"/>
  <c r="G51"/>
  <c r="BR72" i="40"/>
  <c r="AR68" i="38"/>
  <c r="CL93" i="1"/>
  <c r="CU22" i="37"/>
  <c r="AW82" i="26"/>
  <c r="BO104" i="36"/>
  <c r="CW99"/>
  <c r="CV72" i="41"/>
  <c r="AY38" i="25"/>
  <c r="CK51" i="38"/>
  <c r="CK84" s="1"/>
  <c r="G38" i="41"/>
  <c r="Q37"/>
  <c r="DB55" i="37"/>
  <c r="N31" i="40"/>
  <c r="Z22" i="38"/>
  <c r="AU28" i="40"/>
  <c r="CZ82" i="41"/>
  <c r="H35" i="1"/>
  <c r="CN31" i="40"/>
  <c r="AN35" i="25"/>
  <c r="BP28" i="40"/>
  <c r="CD46" i="36"/>
  <c r="AX55" i="40"/>
  <c r="AU51"/>
  <c r="BR14" i="1"/>
  <c r="AY19" i="36"/>
  <c r="AM99" i="39"/>
  <c r="AM106" s="1"/>
  <c r="BF96"/>
  <c r="CN38" i="37"/>
  <c r="AC14" i="36"/>
  <c r="BD46"/>
  <c r="AG14"/>
  <c r="AN99" i="37"/>
  <c r="BB46" i="26"/>
  <c r="BB82" i="39"/>
  <c r="AD19"/>
  <c r="DD22" i="36"/>
  <c r="BU19" i="40"/>
  <c r="AC11" i="37"/>
  <c r="AC15" s="1"/>
  <c r="AJ68" i="25"/>
  <c r="BD76" i="36"/>
  <c r="CB93" i="1"/>
  <c r="CB106" s="1"/>
  <c r="CG31" i="38"/>
  <c r="CL51" i="40"/>
  <c r="AW76" i="39"/>
  <c r="AO82" i="41"/>
  <c r="L22" i="25"/>
  <c r="BD63" i="36"/>
  <c r="O76"/>
  <c r="AC99" i="38"/>
  <c r="N35" i="1"/>
  <c r="DB99" i="41"/>
  <c r="AE11" i="1"/>
  <c r="CH68" i="25"/>
  <c r="CI35" i="41"/>
  <c r="CX46" i="38"/>
  <c r="DC68" i="25"/>
  <c r="DC99" i="26"/>
  <c r="AW35"/>
  <c r="V46" i="41"/>
  <c r="DE68" i="38"/>
  <c r="BV82" i="25"/>
  <c r="DA51" i="36"/>
  <c r="DA84" s="1"/>
  <c r="V82" i="39"/>
  <c r="BA51" i="37"/>
  <c r="M82" i="41"/>
  <c r="AD51" i="36"/>
  <c r="AI68" i="41"/>
  <c r="CO38" i="36"/>
  <c r="CN11" i="40"/>
  <c r="CV93" i="26"/>
  <c r="BY46"/>
  <c r="CU22"/>
  <c r="CT19" i="39"/>
  <c r="CN55"/>
  <c r="T46" i="40"/>
  <c r="O99"/>
  <c r="CI82" i="1"/>
  <c r="CM99" i="26"/>
  <c r="AJ37" i="60"/>
  <c r="CY38" i="40"/>
  <c r="AZ51" i="41"/>
  <c r="AZ84" s="1"/>
  <c r="BJ54" i="26"/>
  <c r="O55" i="1"/>
  <c r="BF25" i="26"/>
  <c r="CE38" i="36"/>
  <c r="M19" i="40"/>
  <c r="CE55" i="1"/>
  <c r="BI63" i="40"/>
  <c r="M63" i="36"/>
  <c r="AD46" i="1"/>
  <c r="DA14" i="37"/>
  <c r="AZ35" i="1"/>
  <c r="DH59"/>
  <c r="CS14" i="26"/>
  <c r="CS15" s="1"/>
  <c r="CS40" s="1"/>
  <c r="AM14" i="41"/>
  <c r="AU99" i="37"/>
  <c r="AC104" i="1"/>
  <c r="BA55" i="36"/>
  <c r="BT63" i="41"/>
  <c r="L99" i="37"/>
  <c r="X22" i="39"/>
  <c r="Q60" i="40"/>
  <c r="BL60" s="1"/>
  <c r="CA99" i="36"/>
  <c r="CS38" i="39"/>
  <c r="CU76" i="1"/>
  <c r="BW31" i="36"/>
  <c r="BW32" s="1"/>
  <c r="CG46" i="38"/>
  <c r="Q96" i="1"/>
  <c r="G99"/>
  <c r="Q99" s="1"/>
  <c r="CT104" i="38"/>
  <c r="AF38" i="40"/>
  <c r="H35" i="26"/>
  <c r="Q81" i="41"/>
  <c r="Q98"/>
  <c r="CD19"/>
  <c r="DA35" i="37"/>
  <c r="K11" i="26"/>
  <c r="AW14" i="38"/>
  <c r="AW15" s="1"/>
  <c r="CO38" i="25"/>
  <c r="CX31" i="38"/>
  <c r="AC72" i="36"/>
  <c r="AE76" i="37"/>
  <c r="AV19" i="25"/>
  <c r="AS51" i="26"/>
  <c r="BZ11" i="39"/>
  <c r="P28" i="41"/>
  <c r="Z22"/>
  <c r="AC63" i="38"/>
  <c r="AB51" i="41"/>
  <c r="AW63" i="36"/>
  <c r="AW84" s="1"/>
  <c r="BP31" i="26"/>
  <c r="CB38" i="36"/>
  <c r="CF93" i="41"/>
  <c r="DB99" i="25"/>
  <c r="DB106" s="1"/>
  <c r="AW28" i="38"/>
  <c r="BU55" i="41"/>
  <c r="CB31" i="1"/>
  <c r="CB32" s="1"/>
  <c r="AT55" i="37"/>
  <c r="AB38" i="1"/>
  <c r="CW46"/>
  <c r="AV82" i="26"/>
  <c r="AY22" i="36"/>
  <c r="CN46" i="39"/>
  <c r="AW19" i="1"/>
  <c r="T35" i="37"/>
  <c r="AR28" i="38"/>
  <c r="AR32" s="1"/>
  <c r="M93" i="39"/>
  <c r="CL99" i="25"/>
  <c r="BJ89" i="36"/>
  <c r="AF55" i="37"/>
  <c r="BO99" i="1"/>
  <c r="Y63" i="36"/>
  <c r="BW51" i="26"/>
  <c r="BW84" s="1"/>
  <c r="CI31" i="36"/>
  <c r="CR32" i="40"/>
  <c r="S31"/>
  <c r="AK29"/>
  <c r="DB28" i="36"/>
  <c r="CU31" i="40"/>
  <c r="BA72" i="41"/>
  <c r="I38" i="37"/>
  <c r="CQ22" i="36"/>
  <c r="AH28"/>
  <c r="CT55" i="40"/>
  <c r="CZ35" i="38"/>
  <c r="CK19" i="41"/>
  <c r="AQ14" i="37"/>
  <c r="AF28" i="25"/>
  <c r="I38" i="36"/>
  <c r="BW28" i="39"/>
  <c r="AZ68" i="25"/>
  <c r="F223" i="46"/>
  <c r="DF63" i="39"/>
  <c r="BA72" i="36"/>
  <c r="AR22" i="41"/>
  <c r="CE68" i="40"/>
  <c r="CO14"/>
  <c r="CO15" s="1"/>
  <c r="AJ38"/>
  <c r="CL31" i="39"/>
  <c r="AH51"/>
  <c r="DD46" i="25"/>
  <c r="BV11" i="40"/>
  <c r="Y72" i="36"/>
  <c r="CQ104" i="39"/>
  <c r="AV93" i="40"/>
  <c r="AV106" s="1"/>
  <c r="Q92" i="26"/>
  <c r="CL14" i="36"/>
  <c r="CY55"/>
  <c r="AF28" i="26"/>
  <c r="AF32" s="1"/>
  <c r="P35" i="1"/>
  <c r="BJ61"/>
  <c r="K99" i="26"/>
  <c r="L22"/>
  <c r="S76" i="36"/>
  <c r="CC55" i="37"/>
  <c r="BX35" i="41"/>
  <c r="I31" i="40"/>
  <c r="I32" s="1"/>
  <c r="BD35"/>
  <c r="BH14" i="25"/>
  <c r="BJ12"/>
  <c r="BY76" i="39"/>
  <c r="CD51" i="38"/>
  <c r="CB14"/>
  <c r="AQ38" i="37"/>
  <c r="AZ63" i="36"/>
  <c r="BJ25" i="38"/>
  <c r="CG11" i="39"/>
  <c r="CP68" i="26"/>
  <c r="BX14" i="38"/>
  <c r="BX15" s="1"/>
  <c r="DF99" i="39"/>
  <c r="BV31" i="1"/>
  <c r="AN19" i="41"/>
  <c r="BA22" i="36"/>
  <c r="BE46"/>
  <c r="AI28" i="26"/>
  <c r="P82" i="25"/>
  <c r="DC14"/>
  <c r="N68"/>
  <c r="CY28" i="40"/>
  <c r="CE55" i="39"/>
  <c r="L93" i="40"/>
  <c r="W63" i="38"/>
  <c r="AT19" i="37"/>
  <c r="BW82" i="36"/>
  <c r="BR82" i="37"/>
  <c r="AH93" i="39"/>
  <c r="DD99" i="25"/>
  <c r="Q81"/>
  <c r="DC55" i="1"/>
  <c r="CQ38" i="36"/>
  <c r="DA46"/>
  <c r="CQ19" i="41"/>
  <c r="CR82" i="37"/>
  <c r="BS11" i="1"/>
  <c r="DE31" i="39"/>
  <c r="Z38" i="38"/>
  <c r="BJ50" i="41"/>
  <c r="BY76" i="26"/>
  <c r="Y82" i="37"/>
  <c r="AF14" i="1"/>
  <c r="AM76" i="41"/>
  <c r="BP63" i="40"/>
  <c r="BV22" i="25"/>
  <c r="CX104" i="38"/>
  <c r="CO35"/>
  <c r="CF11" i="36"/>
  <c r="CY38" i="1"/>
  <c r="AP55" i="41"/>
  <c r="AF46" i="36"/>
  <c r="BU31"/>
  <c r="DE72" i="1"/>
  <c r="CC31" i="36"/>
  <c r="AE37" i="60"/>
  <c r="Q96" i="36"/>
  <c r="G99"/>
  <c r="CY68" i="37"/>
  <c r="CZ28" i="1"/>
  <c r="AY14" i="39"/>
  <c r="J82" i="37"/>
  <c r="CU72" i="39"/>
  <c r="CX35" i="37"/>
  <c r="L11" i="26"/>
  <c r="BB35" i="25"/>
  <c r="CB11" i="38"/>
  <c r="BI38" i="25"/>
  <c r="BJ38" s="1"/>
  <c r="BT31" i="41"/>
  <c r="BV93"/>
  <c r="CL55" i="39"/>
  <c r="N72" i="25"/>
  <c r="AW11" i="41"/>
  <c r="CO82" i="39"/>
  <c r="CA76" i="36"/>
  <c r="BS11" i="37"/>
  <c r="BS15" s="1"/>
  <c r="AT14" i="41"/>
  <c r="CK93" i="25"/>
  <c r="AD25" i="60"/>
  <c r="I63" i="36"/>
  <c r="AQ11" i="41"/>
  <c r="AJ14" i="37"/>
  <c r="BB19" i="40"/>
  <c r="AZ11" i="1"/>
  <c r="CW99" i="37"/>
  <c r="AD46" i="38"/>
  <c r="BD72" i="37"/>
  <c r="W68" i="40"/>
  <c r="BI11" i="38"/>
  <c r="BT93" i="40"/>
  <c r="Y28" i="39"/>
  <c r="Y32" s="1"/>
  <c r="CR38" i="38"/>
  <c r="CX82" i="37"/>
  <c r="BA68" i="36"/>
  <c r="DD22" i="38"/>
  <c r="BS51" i="26"/>
  <c r="BS84" s="1"/>
  <c r="BT19" i="37"/>
  <c r="AE72" i="25"/>
  <c r="AP93"/>
  <c r="BT14" i="36"/>
  <c r="BT15" s="1"/>
  <c r="AT72" i="38"/>
  <c r="CM28" i="37"/>
  <c r="CF14" i="36"/>
  <c r="P11" i="40"/>
  <c r="AF14" i="39"/>
  <c r="CA22" i="25"/>
  <c r="M68" i="41"/>
  <c r="BS31" i="40"/>
  <c r="BX76" i="39"/>
  <c r="CT22" i="37"/>
  <c r="P51" i="41"/>
  <c r="BA82" i="40"/>
  <c r="CO99"/>
  <c r="N32"/>
  <c r="N40" s="1"/>
  <c r="DD11"/>
  <c r="AU55" i="26"/>
  <c r="AZ35" i="25"/>
  <c r="CQ82"/>
  <c r="AP38" i="40"/>
  <c r="CV28" i="25"/>
  <c r="CO28"/>
  <c r="AO19" i="26"/>
  <c r="AY51" i="1"/>
  <c r="BJ48" i="41"/>
  <c r="BH51"/>
  <c r="CC51" i="36"/>
  <c r="CC84" s="1"/>
  <c r="CI38" i="25"/>
  <c r="BR14" i="37"/>
  <c r="BR15" s="1"/>
  <c r="BW19" i="1"/>
  <c r="AM28" i="26"/>
  <c r="BF28" s="1"/>
  <c r="BF26"/>
  <c r="CK63" i="37"/>
  <c r="BF96" i="40"/>
  <c r="AM99"/>
  <c r="AM106" s="1"/>
  <c r="BR55"/>
  <c r="BR84" s="1"/>
  <c r="AC68" i="41"/>
  <c r="CH28" i="1"/>
  <c r="AF14" i="40"/>
  <c r="AF15" s="1"/>
  <c r="AC55" i="36"/>
  <c r="AR22" i="26"/>
  <c r="AG76" i="25"/>
  <c r="DC72"/>
  <c r="CV99" i="37"/>
  <c r="BJ26" i="38"/>
  <c r="BH28"/>
  <c r="AO19" i="1"/>
  <c r="AZ76"/>
  <c r="BZ82" i="36"/>
  <c r="CX22"/>
  <c r="BA82" i="38"/>
  <c r="AH31" i="39"/>
  <c r="AI93" i="26"/>
  <c r="AV38"/>
  <c r="U35" i="36"/>
  <c r="S104" i="25"/>
  <c r="AD93" i="26"/>
  <c r="AD104" i="38"/>
  <c r="BX99" i="37"/>
  <c r="DE28" i="25"/>
  <c r="BB22" i="40"/>
  <c r="AA104" i="25"/>
  <c r="BR11"/>
  <c r="DB14" i="41"/>
  <c r="H46" i="26"/>
  <c r="P38" i="1"/>
  <c r="AW93" i="40"/>
  <c r="AP46"/>
  <c r="BJ30" i="41"/>
  <c r="DD63" i="36"/>
  <c r="AT63" i="40"/>
  <c r="CW38" i="38"/>
  <c r="AT11" i="40"/>
  <c r="AT15" s="1"/>
  <c r="AP38" i="37"/>
  <c r="I99" i="38"/>
  <c r="BR31" i="25"/>
  <c r="CB11" i="39"/>
  <c r="BA31"/>
  <c r="BB76" i="26"/>
  <c r="CR63" i="37"/>
  <c r="AX28"/>
  <c r="BV99" i="40"/>
  <c r="BV106" s="1"/>
  <c r="AO104"/>
  <c r="CF68"/>
  <c r="AB51" i="25"/>
  <c r="G31" i="26"/>
  <c r="Q31" s="1"/>
  <c r="Q29"/>
  <c r="AW28" i="41"/>
  <c r="O68"/>
  <c r="DC76" i="1"/>
  <c r="BX72" i="36"/>
  <c r="AK59" i="26"/>
  <c r="DE14" i="37"/>
  <c r="J93" i="40"/>
  <c r="AQ76" i="26"/>
  <c r="CI46" i="41"/>
  <c r="CB22" i="25"/>
  <c r="AW31"/>
  <c r="CQ76" i="1"/>
  <c r="CO76" i="41"/>
  <c r="AQ31" i="25"/>
  <c r="BP31" i="1"/>
  <c r="CH14" i="39"/>
  <c r="AF22" i="40"/>
  <c r="Y82" i="41"/>
  <c r="I104" i="38"/>
  <c r="AA93" i="1"/>
  <c r="CY72" i="39"/>
  <c r="AU93" i="25"/>
  <c r="BJ30" i="26"/>
  <c r="BE35" i="25"/>
  <c r="BZ28"/>
  <c r="BY93" i="39"/>
  <c r="BY106" s="1"/>
  <c r="DH62" i="40"/>
  <c r="CL72" i="38"/>
  <c r="CC51"/>
  <c r="L68" i="37"/>
  <c r="P22"/>
  <c r="BP99" i="38"/>
  <c r="AY19" i="37"/>
  <c r="BE28" i="40"/>
  <c r="BE32" s="1"/>
  <c r="BE40" s="1"/>
  <c r="CG31" i="37"/>
  <c r="DC14" i="1"/>
  <c r="BA28" i="26"/>
  <c r="Q10" i="38"/>
  <c r="K99" i="37"/>
  <c r="CA72" i="36"/>
  <c r="BE68" i="38"/>
  <c r="AX82" i="37"/>
  <c r="DH62" i="38"/>
  <c r="BF81" i="36"/>
  <c r="AK48"/>
  <c r="O82" i="1"/>
  <c r="U46" i="41"/>
  <c r="CS55" i="39"/>
  <c r="N72" i="41"/>
  <c r="P19" i="36"/>
  <c r="DF68" i="26"/>
  <c r="CG46" i="40"/>
  <c r="CY63" i="38"/>
  <c r="BT22" i="39"/>
  <c r="AK30" i="41"/>
  <c r="CL55" i="1"/>
  <c r="CT72" i="40"/>
  <c r="I31" i="39"/>
  <c r="I32" s="1"/>
  <c r="AI104" i="41"/>
  <c r="L68"/>
  <c r="J72" i="25"/>
  <c r="CZ11" i="1"/>
  <c r="M68" i="25"/>
  <c r="P38" i="40"/>
  <c r="CV19"/>
  <c r="BH22" i="1"/>
  <c r="BJ21"/>
  <c r="BR11" i="38"/>
  <c r="BW72" i="37"/>
  <c r="CN35" i="36"/>
  <c r="CL22" i="25"/>
  <c r="CN76" i="1"/>
  <c r="DB46" i="40"/>
  <c r="AU38" i="41"/>
  <c r="G38" i="39"/>
  <c r="Q38" s="1"/>
  <c r="Q37"/>
  <c r="CR72" i="37"/>
  <c r="BU82" i="26"/>
  <c r="DD38" i="1"/>
  <c r="BD22" i="39"/>
  <c r="S99" i="26"/>
  <c r="Z28" i="40"/>
  <c r="Z32" s="1"/>
  <c r="W19" i="37"/>
  <c r="BF96" i="41"/>
  <c r="AM99"/>
  <c r="CW22" i="39"/>
  <c r="AY104" i="36"/>
  <c r="AR28" i="39"/>
  <c r="I11" i="36"/>
  <c r="CX68"/>
  <c r="AA51" i="25"/>
  <c r="BI22" i="39"/>
  <c r="AM93" i="37"/>
  <c r="AX28" i="26"/>
  <c r="AX32" s="1"/>
  <c r="AN28" i="36"/>
  <c r="AN46" i="38"/>
  <c r="AX35" i="1"/>
  <c r="CL35" i="36"/>
  <c r="BA72" i="38"/>
  <c r="L68" i="39"/>
  <c r="CU35"/>
  <c r="BQ35" i="40"/>
  <c r="L76"/>
  <c r="DB38" i="38"/>
  <c r="O55"/>
  <c r="AU35" i="26"/>
  <c r="O63" i="36"/>
  <c r="AW99" i="38"/>
  <c r="AQ19" i="36"/>
  <c r="BF67" i="41"/>
  <c r="BE99" i="38"/>
  <c r="DE19" i="1"/>
  <c r="CT11" i="26"/>
  <c r="AE72"/>
  <c r="Y76" i="36"/>
  <c r="BC28" i="41"/>
  <c r="AZ76" i="39"/>
  <c r="AS14" i="41"/>
  <c r="AS15" s="1"/>
  <c r="W31" i="1"/>
  <c r="L51" i="39"/>
  <c r="M51" i="37"/>
  <c r="M84" s="1"/>
  <c r="AZ76" i="40"/>
  <c r="CR11" i="1"/>
  <c r="BY82" i="25"/>
  <c r="BE46" i="39"/>
  <c r="N76" i="38"/>
  <c r="CB68" i="37"/>
  <c r="BI35" i="40"/>
  <c r="CW82" i="36"/>
  <c r="DA19" i="37"/>
  <c r="CJ11" i="38"/>
  <c r="CO51" i="37"/>
  <c r="BP104" i="39"/>
  <c r="CH19" i="40"/>
  <c r="N93" i="38"/>
  <c r="BT93" i="37"/>
  <c r="V72" i="26"/>
  <c r="U38" i="1"/>
  <c r="DB51" i="39"/>
  <c r="CO46" i="25"/>
  <c r="V28" i="1"/>
  <c r="AK28" s="1"/>
  <c r="AK50" i="60"/>
  <c r="G224" i="46"/>
  <c r="T28" i="60"/>
  <c r="U36"/>
  <c r="M291" i="46"/>
  <c r="M302" s="1"/>
  <c r="K291"/>
  <c r="K302" s="1"/>
  <c r="CW28" i="36"/>
  <c r="AH49" i="60"/>
  <c r="W48"/>
  <c r="T21"/>
  <c r="Z48"/>
  <c r="AK49"/>
  <c r="AV49" s="1"/>
  <c r="AQ93" i="36"/>
  <c r="DC38" i="37"/>
  <c r="AW68" i="38"/>
  <c r="S38" i="40"/>
  <c r="AK37"/>
  <c r="BL37" s="1"/>
  <c r="Q92" i="38"/>
  <c r="K19" i="36"/>
  <c r="K11" i="41"/>
  <c r="BX72" i="39"/>
  <c r="BX84" s="1"/>
  <c r="BD93" i="41"/>
  <c r="Z76" i="36"/>
  <c r="BR68" i="41"/>
  <c r="DD51" i="26"/>
  <c r="DD84" s="1"/>
  <c r="AJ104" i="38"/>
  <c r="CE72" i="41"/>
  <c r="G82" i="1"/>
  <c r="Q82" s="1"/>
  <c r="Q79"/>
  <c r="J99" i="39"/>
  <c r="CP35"/>
  <c r="AG35" i="40"/>
  <c r="BW28"/>
  <c r="N11" i="38"/>
  <c r="AW93" i="25"/>
  <c r="AW106" s="1"/>
  <c r="BE38" i="39"/>
  <c r="DE22" i="1"/>
  <c r="AY31" i="26"/>
  <c r="AI68" i="25"/>
  <c r="BE14" i="40"/>
  <c r="CE35" i="41"/>
  <c r="AA19" i="1"/>
  <c r="BQ76" i="25"/>
  <c r="DH76" s="1"/>
  <c r="CD82" i="26"/>
  <c r="BR93" i="37"/>
  <c r="CE31" i="40"/>
  <c r="CI46" i="25"/>
  <c r="DC99" i="41"/>
  <c r="K68" i="25"/>
  <c r="AD82" i="36"/>
  <c r="AM63" i="26"/>
  <c r="BQ63" i="39"/>
  <c r="BY63" i="41"/>
  <c r="AR28" i="40"/>
  <c r="AR32" s="1"/>
  <c r="AR40" s="1"/>
  <c r="AX51" i="1"/>
  <c r="CB38" i="41"/>
  <c r="AA51" i="36"/>
  <c r="L35" i="1"/>
  <c r="CH14" i="25"/>
  <c r="CH15" s="1"/>
  <c r="CH40" s="1"/>
  <c r="CH109" s="1"/>
  <c r="Y11"/>
  <c r="AR22" i="37"/>
  <c r="AY28" i="41"/>
  <c r="DC93" i="36"/>
  <c r="DD68" i="38"/>
  <c r="M104"/>
  <c r="CX31" i="25"/>
  <c r="BT55" i="41"/>
  <c r="AD55" i="25"/>
  <c r="CK76" i="1"/>
  <c r="BZ28" i="39"/>
  <c r="BZ32" s="1"/>
  <c r="DC99" i="25"/>
  <c r="CE99" i="41"/>
  <c r="CT72" i="1"/>
  <c r="AG35" i="25"/>
  <c r="BD46" i="37"/>
  <c r="CO82"/>
  <c r="CL93" i="26"/>
  <c r="Y46" i="1"/>
  <c r="AI28" i="25"/>
  <c r="AI32" s="1"/>
  <c r="CN55" i="36"/>
  <c r="CC104" i="26"/>
  <c r="CU68" i="37"/>
  <c r="BR38" i="26"/>
  <c r="BA35" i="40"/>
  <c r="AH11"/>
  <c r="G31"/>
  <c r="Q29"/>
  <c r="BL29" s="1"/>
  <c r="BR14" i="39"/>
  <c r="CO38" i="38"/>
  <c r="BT22"/>
  <c r="AW38"/>
  <c r="CH22" i="26"/>
  <c r="CH14" i="1"/>
  <c r="J68" i="25"/>
  <c r="BU46" i="36"/>
  <c r="CG14" i="1"/>
  <c r="CC76" i="36"/>
  <c r="DH34" i="40"/>
  <c r="BO35"/>
  <c r="DH35" s="1"/>
  <c r="CJ72"/>
  <c r="CF63" i="25"/>
  <c r="BU55" i="38"/>
  <c r="BU84" s="1"/>
  <c r="CX93"/>
  <c r="CR28" i="36"/>
  <c r="CJ82"/>
  <c r="AY82" i="38"/>
  <c r="AS31" i="25"/>
  <c r="BX68" i="37"/>
  <c r="AP28" i="36"/>
  <c r="CR31"/>
  <c r="CR32" s="1"/>
  <c r="CR40" s="1"/>
  <c r="AU72" i="41"/>
  <c r="AA72" i="26"/>
  <c r="CG28" i="40"/>
  <c r="BX93" i="37"/>
  <c r="BX106" s="1"/>
  <c r="AI51" i="39"/>
  <c r="W76"/>
  <c r="AB68"/>
  <c r="CV72" i="38"/>
  <c r="Y19"/>
  <c r="Z93"/>
  <c r="AB99" i="39"/>
  <c r="CH28" i="36"/>
  <c r="CH32" s="1"/>
  <c r="CH40" s="1"/>
  <c r="L289" i="46"/>
  <c r="L300" s="1"/>
  <c r="AI51" i="26"/>
  <c r="AU51" i="38"/>
  <c r="DE46" i="1"/>
  <c r="DE84" s="1"/>
  <c r="BQ35"/>
  <c r="H14" i="38"/>
  <c r="AH31" i="41"/>
  <c r="K68" i="38"/>
  <c r="CK22" i="1"/>
  <c r="CW55" i="25"/>
  <c r="CC68"/>
  <c r="BD31" i="37"/>
  <c r="DC31" i="36"/>
  <c r="DC32" s="1"/>
  <c r="BI46" i="38"/>
  <c r="CG19" i="40"/>
  <c r="BE82" i="1"/>
  <c r="DD99" i="41"/>
  <c r="U14" i="60"/>
  <c r="AO35" i="40"/>
  <c r="CB72" i="38"/>
  <c r="CW72" i="1"/>
  <c r="AR28" i="36"/>
  <c r="CV19" i="37"/>
  <c r="BF81" i="26"/>
  <c r="BU14" i="1"/>
  <c r="BZ82" i="25"/>
  <c r="AC99"/>
  <c r="BO28" i="39"/>
  <c r="BC99" i="26"/>
  <c r="CZ19" i="1"/>
  <c r="BU93" i="26"/>
  <c r="Y28" i="37"/>
  <c r="BF66" i="39"/>
  <c r="H93"/>
  <c r="G46" i="40"/>
  <c r="Q45"/>
  <c r="CO14" i="38"/>
  <c r="BW11" i="40"/>
  <c r="AE22" i="36"/>
  <c r="BE93" i="37"/>
  <c r="BE106" s="1"/>
  <c r="BH11" i="41"/>
  <c r="BJ11" s="1"/>
  <c r="BJ9"/>
  <c r="Y72" i="38"/>
  <c r="AM51" i="41"/>
  <c r="BF48"/>
  <c r="CY46" i="39"/>
  <c r="BH14" i="41"/>
  <c r="BJ12"/>
  <c r="BT99" i="37"/>
  <c r="AP51" i="1"/>
  <c r="CM72" i="36"/>
  <c r="CV22" i="39"/>
  <c r="CQ31" i="26"/>
  <c r="CI11"/>
  <c r="AX19" i="1"/>
  <c r="CO11"/>
  <c r="CO15" s="1"/>
  <c r="CO40" s="1"/>
  <c r="AV51"/>
  <c r="AK67"/>
  <c r="O63" i="40"/>
  <c r="V68" i="25"/>
  <c r="AY104" i="26"/>
  <c r="CL63" i="39"/>
  <c r="CM46" i="38"/>
  <c r="AM46" i="1"/>
  <c r="BF46" s="1"/>
  <c r="BF45"/>
  <c r="I72" i="37"/>
  <c r="AH63" i="26"/>
  <c r="AE22" i="40"/>
  <c r="CV46" i="36"/>
  <c r="BD93" i="1"/>
  <c r="DD14" i="25"/>
  <c r="CJ35" i="40"/>
  <c r="CO99" i="38"/>
  <c r="DE68" i="39"/>
  <c r="AU19" i="36"/>
  <c r="Z63" i="25"/>
  <c r="Z84" s="1"/>
  <c r="DA104" i="1"/>
  <c r="CF31" i="41"/>
  <c r="DC11" i="38"/>
  <c r="CK38" i="1"/>
  <c r="BI63" i="37"/>
  <c r="AB104" i="38"/>
  <c r="DA63"/>
  <c r="K68" i="40"/>
  <c r="AH55" i="1"/>
  <c r="AC76"/>
  <c r="BV104" i="40"/>
  <c r="CP22" i="36"/>
  <c r="CY22" i="40"/>
  <c r="BE28" i="38"/>
  <c r="CU14" i="36"/>
  <c r="CU15" s="1"/>
  <c r="CW72" i="37"/>
  <c r="AN76" i="38"/>
  <c r="M51" i="25"/>
  <c r="M84" s="1"/>
  <c r="CZ46" i="39"/>
  <c r="AO93" i="25"/>
  <c r="AB99" i="40"/>
  <c r="V72" i="41"/>
  <c r="AC46" i="26"/>
  <c r="AA38" i="25"/>
  <c r="AZ82" i="38"/>
  <c r="CH99" i="25"/>
  <c r="DA35" i="36"/>
  <c r="AV68" i="37"/>
  <c r="T19" i="36"/>
  <c r="CZ31" i="1"/>
  <c r="AE63" i="41"/>
  <c r="CV82" i="39"/>
  <c r="AD76" i="38"/>
  <c r="AK62" i="41"/>
  <c r="BL62" s="1"/>
  <c r="AC99"/>
  <c r="CG63" i="38"/>
  <c r="AZ104" i="40"/>
  <c r="DB82" i="25"/>
  <c r="CQ35" i="40"/>
  <c r="BS46" i="25"/>
  <c r="AM63" i="41"/>
  <c r="N104" i="36"/>
  <c r="BO63"/>
  <c r="DH63" s="1"/>
  <c r="DH57"/>
  <c r="BT28" i="37"/>
  <c r="M51" i="40"/>
  <c r="M84" s="1"/>
  <c r="U28" i="1"/>
  <c r="U32" s="1"/>
  <c r="CZ51"/>
  <c r="AC99" i="39"/>
  <c r="AC28" i="1"/>
  <c r="AC32" s="1"/>
  <c r="CU32" i="25"/>
  <c r="AR72" i="38"/>
  <c r="AO35" i="41"/>
  <c r="AI72" i="37"/>
  <c r="BD63" i="39"/>
  <c r="CF76" i="37"/>
  <c r="CY28" i="41"/>
  <c r="CY32" s="1"/>
  <c r="DB19"/>
  <c r="AM31" i="1"/>
  <c r="BF29"/>
  <c r="CF22" i="36"/>
  <c r="AV55" i="37"/>
  <c r="M63" i="25"/>
  <c r="G104" i="1"/>
  <c r="Q102"/>
  <c r="AA22" i="40"/>
  <c r="CN22" i="39"/>
  <c r="BD38" i="40"/>
  <c r="BQ72" i="41"/>
  <c r="BB14" i="37"/>
  <c r="M68" i="40"/>
  <c r="CQ82" i="41"/>
  <c r="BT99" i="38"/>
  <c r="CY38" i="41"/>
  <c r="G76" i="39"/>
  <c r="Q76" s="1"/>
  <c r="Q75"/>
  <c r="AP11" i="40"/>
  <c r="BC68" i="1"/>
  <c r="BD99"/>
  <c r="CV68" i="26"/>
  <c r="BS11" i="25"/>
  <c r="Z11" i="39"/>
  <c r="Z15" s="1"/>
  <c r="CB11" i="26"/>
  <c r="BV104" i="25"/>
  <c r="CV46" i="39"/>
  <c r="CH72" i="1"/>
  <c r="J14" i="26"/>
  <c r="AS93" i="25"/>
  <c r="CU38" i="41"/>
  <c r="CB51" i="25"/>
  <c r="CZ14" i="40"/>
  <c r="CZ15" s="1"/>
  <c r="CZ40" s="1"/>
  <c r="AA35"/>
  <c r="AF11" i="25"/>
  <c r="CF46"/>
  <c r="J38" i="39"/>
  <c r="CY55" i="26"/>
  <c r="AD55" i="38"/>
  <c r="BE93" i="26"/>
  <c r="BE106" s="1"/>
  <c r="AS72" i="39"/>
  <c r="CJ51" i="37"/>
  <c r="CN28" i="40"/>
  <c r="BC19"/>
  <c r="BY32" i="1"/>
  <c r="AV63" i="40"/>
  <c r="AZ38" i="38"/>
  <c r="DB93" i="26"/>
  <c r="DB106" s="1"/>
  <c r="I35" i="36"/>
  <c r="CI63" i="39"/>
  <c r="BE14" i="37"/>
  <c r="AP19" i="25"/>
  <c r="BF19" s="1"/>
  <c r="DE76" i="40"/>
  <c r="AQ46" i="41"/>
  <c r="CT72" i="38"/>
  <c r="CA51" i="36"/>
  <c r="BF59"/>
  <c r="AZ19" i="25"/>
  <c r="CP22" i="40"/>
  <c r="BT31" i="37"/>
  <c r="BT32" s="1"/>
  <c r="AR99" i="26"/>
  <c r="BB93" i="36"/>
  <c r="BY51" i="41"/>
  <c r="BR104" i="37"/>
  <c r="BR106" s="1"/>
  <c r="CT93" i="36"/>
  <c r="CT106" s="1"/>
  <c r="AX68" i="1"/>
  <c r="Z76" i="26"/>
  <c r="AJ76" i="25"/>
  <c r="BY46" i="40"/>
  <c r="Z63" i="1"/>
  <c r="CY51" i="36"/>
  <c r="O31" i="26"/>
  <c r="O32" s="1"/>
  <c r="DA72" i="38"/>
  <c r="CH93" i="40"/>
  <c r="AA46" i="38"/>
  <c r="AB46" i="26"/>
  <c r="AA104" i="40"/>
  <c r="M35" i="39"/>
  <c r="CA46" i="38"/>
  <c r="AQ82" i="41"/>
  <c r="CU82" i="25"/>
  <c r="AH76" i="37"/>
  <c r="CJ104" i="26"/>
  <c r="CF14" i="41"/>
  <c r="CF15" s="1"/>
  <c r="CF40" s="1"/>
  <c r="CG68" i="1"/>
  <c r="AE22" i="60"/>
  <c r="CT28" i="38"/>
  <c r="AV93" i="41"/>
  <c r="AV106" s="1"/>
  <c r="AU46" i="25"/>
  <c r="AS35" i="1"/>
  <c r="AA19" i="26"/>
  <c r="AQ51" i="38"/>
  <c r="AQ84" s="1"/>
  <c r="AA28" i="1"/>
  <c r="CM19" i="37"/>
  <c r="BE28" i="41"/>
  <c r="P104" i="25"/>
  <c r="CB14" i="39"/>
  <c r="DH61" i="26"/>
  <c r="AA14" i="36"/>
  <c r="CU46" i="40"/>
  <c r="BT31" i="25"/>
  <c r="BT32" s="1"/>
  <c r="BT40" s="1"/>
  <c r="AS72" i="37"/>
  <c r="U63" i="1"/>
  <c r="CX51"/>
  <c r="CP19" i="38"/>
  <c r="P93" i="25"/>
  <c r="BZ38"/>
  <c r="BU68"/>
  <c r="BF10" i="36"/>
  <c r="BT46" i="40"/>
  <c r="CK46" i="26"/>
  <c r="BA76" i="41"/>
  <c r="Q49" i="26"/>
  <c r="AQ31" i="40"/>
  <c r="DD46" i="37"/>
  <c r="BA76" i="1"/>
  <c r="N99" i="25"/>
  <c r="CO38" i="26"/>
  <c r="AU99" i="25"/>
  <c r="Z31" i="26"/>
  <c r="CG11" i="36"/>
  <c r="K82" i="25"/>
  <c r="BY68" i="40"/>
  <c r="AV46"/>
  <c r="G28" i="1"/>
  <c r="Q26"/>
  <c r="Q58" i="37"/>
  <c r="M72" i="1"/>
  <c r="CM68" i="26"/>
  <c r="DE82" i="38"/>
  <c r="N46" i="26"/>
  <c r="P31" i="38"/>
  <c r="CO93"/>
  <c r="CO106" s="1"/>
  <c r="BX68" i="40"/>
  <c r="CY46" i="36"/>
  <c r="BD46" i="38"/>
  <c r="CS11" i="39"/>
  <c r="DF76" i="37"/>
  <c r="BU38" i="38"/>
  <c r="CF93" i="36"/>
  <c r="DD38"/>
  <c r="CT28" i="26"/>
  <c r="CT32" s="1"/>
  <c r="CE55" i="25"/>
  <c r="AA72" i="41"/>
  <c r="Z72" i="40"/>
  <c r="CF99" i="39"/>
  <c r="DF14" i="37"/>
  <c r="BJ50" i="1"/>
  <c r="BJ58" i="37"/>
  <c r="AX14" i="25"/>
  <c r="BS82"/>
  <c r="DC99" i="1"/>
  <c r="W35" i="37"/>
  <c r="BA22" i="26"/>
  <c r="BC35" i="40"/>
  <c r="BC63" i="25"/>
  <c r="BC84" s="1"/>
  <c r="L14" i="39"/>
  <c r="L15" s="1"/>
  <c r="T35" i="36"/>
  <c r="DB55" i="41"/>
  <c r="BJ58" i="38"/>
  <c r="AR11" i="40"/>
  <c r="AD104" i="37"/>
  <c r="BU93" i="40"/>
  <c r="BF37" i="41"/>
  <c r="AM38"/>
  <c r="BF38" s="1"/>
  <c r="CO93" i="1"/>
  <c r="BS28"/>
  <c r="BI38" i="26"/>
  <c r="BJ38" s="1"/>
  <c r="CD51" i="40"/>
  <c r="CD84" s="1"/>
  <c r="AC82"/>
  <c r="CQ35" i="25"/>
  <c r="CZ72" i="37"/>
  <c r="AD104" i="41"/>
  <c r="CN35" i="38"/>
  <c r="BR104" i="36"/>
  <c r="BQ35" i="26"/>
  <c r="AN55" i="1"/>
  <c r="BF55" s="1"/>
  <c r="CJ28" i="38"/>
  <c r="DC51" i="37"/>
  <c r="CY22" i="1"/>
  <c r="AE19" i="38"/>
  <c r="CG104" i="1"/>
  <c r="BJ98" i="38"/>
  <c r="CV63" i="39"/>
  <c r="Q61" i="37"/>
  <c r="BL61" s="1"/>
  <c r="BT11" i="25"/>
  <c r="CA72" i="38"/>
  <c r="L72" i="26"/>
  <c r="L84" s="1"/>
  <c r="BO28" i="36"/>
  <c r="DH28" s="1"/>
  <c r="DH26"/>
  <c r="DD31" i="38"/>
  <c r="T51" i="36"/>
  <c r="AM31" i="39"/>
  <c r="AM32" s="1"/>
  <c r="AM40" s="1"/>
  <c r="BF29"/>
  <c r="BU55"/>
  <c r="BP35" i="26"/>
  <c r="DH35" s="1"/>
  <c r="AT99" i="39"/>
  <c r="AV11"/>
  <c r="CB55" i="25"/>
  <c r="P51" i="36"/>
  <c r="P84" s="1"/>
  <c r="BW14" i="25"/>
  <c r="CT46" i="36"/>
  <c r="Y14" i="1"/>
  <c r="K19" i="41"/>
  <c r="AF31" i="1"/>
  <c r="H93" i="36"/>
  <c r="P38" i="25"/>
  <c r="X14" i="40"/>
  <c r="X15" s="1"/>
  <c r="BQ38" i="41"/>
  <c r="CM38" i="25"/>
  <c r="P55" i="41"/>
  <c r="BS93" i="25"/>
  <c r="BW68" i="38"/>
  <c r="AG35" i="36"/>
  <c r="CV11" i="39"/>
  <c r="AN38"/>
  <c r="CR35" i="26"/>
  <c r="CD76" i="41"/>
  <c r="CI22" i="38"/>
  <c r="CZ72" i="40"/>
  <c r="CM76" i="25"/>
  <c r="CJ31" i="26"/>
  <c r="AQ51"/>
  <c r="CM28" i="25"/>
  <c r="CM32" s="1"/>
  <c r="DB68" i="1"/>
  <c r="CA63" i="41"/>
  <c r="BB22" i="26"/>
  <c r="BX104" i="36"/>
  <c r="T31" i="25"/>
  <c r="N99" i="1"/>
  <c r="DF35" i="37"/>
  <c r="CP46" i="36"/>
  <c r="DE76" i="26"/>
  <c r="CU82" i="38"/>
  <c r="AI55" i="36"/>
  <c r="AI84" s="1"/>
  <c r="X46" i="1"/>
  <c r="S76" i="41"/>
  <c r="BS38" i="40"/>
  <c r="DD46" i="1"/>
  <c r="CZ72"/>
  <c r="CQ68" i="38"/>
  <c r="CS19" i="37"/>
  <c r="BA72" i="39"/>
  <c r="CR31" i="37"/>
  <c r="AQ28" i="40"/>
  <c r="AQ32" s="1"/>
  <c r="BJ54" i="1"/>
  <c r="AE76" i="38"/>
  <c r="BP38" i="37"/>
  <c r="CV35" i="41"/>
  <c r="S99" i="40"/>
  <c r="BV46" i="26"/>
  <c r="BB76" i="38"/>
  <c r="DF22" i="39"/>
  <c r="BX19"/>
  <c r="AR46" i="37"/>
  <c r="BP76"/>
  <c r="CB55" i="38"/>
  <c r="CQ11" i="1"/>
  <c r="CQ15" s="1"/>
  <c r="AV35" i="39"/>
  <c r="CM38" i="36"/>
  <c r="Q89" i="38"/>
  <c r="G93"/>
  <c r="CW99" i="39"/>
  <c r="Y76" i="37"/>
  <c r="AM51" i="1"/>
  <c r="CO55" i="25"/>
  <c r="CO84" s="1"/>
  <c r="AT35" i="40"/>
  <c r="AU55" i="38"/>
  <c r="BB76" i="41"/>
  <c r="G35" i="39"/>
  <c r="Q35" s="1"/>
  <c r="Q34"/>
  <c r="AM38" i="40"/>
  <c r="BF37"/>
  <c r="CC51" i="39"/>
  <c r="CG99" i="1"/>
  <c r="AY104" i="37"/>
  <c r="AQ28" i="36"/>
  <c r="AV14" i="38"/>
  <c r="AV15" s="1"/>
  <c r="CP11" i="40"/>
  <c r="O82"/>
  <c r="AN82" i="39"/>
  <c r="BC104" i="40"/>
  <c r="BT55" i="25"/>
  <c r="CQ22" i="26"/>
  <c r="CB14" i="37"/>
  <c r="CX14" i="25"/>
  <c r="CX15" s="1"/>
  <c r="AR11" i="36"/>
  <c r="L14" i="41"/>
  <c r="BV72" i="26"/>
  <c r="DF14" i="40"/>
  <c r="DF15" s="1"/>
  <c r="DF40" s="1"/>
  <c r="AN22" i="1"/>
  <c r="M68" i="39"/>
  <c r="AV28" i="37"/>
  <c r="I28" i="38"/>
  <c r="N19" i="37"/>
  <c r="CA93" i="41"/>
  <c r="CC28"/>
  <c r="M99" i="40"/>
  <c r="BT11" i="1"/>
  <c r="BW93" i="36"/>
  <c r="CJ38" i="38"/>
  <c r="CK93" i="40"/>
  <c r="BJ65" i="39"/>
  <c r="BH68"/>
  <c r="BZ68" i="26"/>
  <c r="DD63" i="41"/>
  <c r="AE38" i="36"/>
  <c r="AP14" i="37"/>
  <c r="AP15" s="1"/>
  <c r="CU55" i="40"/>
  <c r="AZ19" i="39"/>
  <c r="AQ68"/>
  <c r="DA38"/>
  <c r="AC28" i="37"/>
  <c r="AH38"/>
  <c r="AM76" i="38"/>
  <c r="BA55" i="40"/>
  <c r="CF31" i="37"/>
  <c r="BR72" i="38"/>
  <c r="CJ55" i="37"/>
  <c r="CJ84" s="1"/>
  <c r="N35" i="25"/>
  <c r="AQ19" i="39"/>
  <c r="AK25" i="36"/>
  <c r="BL25" s="1"/>
  <c r="I289" i="46"/>
  <c r="I300" s="1"/>
  <c r="W36" i="60"/>
  <c r="DC38" i="36"/>
  <c r="AW68" i="41"/>
  <c r="AD50" i="60"/>
  <c r="AG30"/>
  <c r="V28" i="37"/>
  <c r="AK37" i="38"/>
  <c r="S38"/>
  <c r="AQ93" i="25"/>
  <c r="V55" i="60"/>
  <c r="X18"/>
  <c r="AK54" i="39"/>
  <c r="V36" i="60"/>
  <c r="CW28" i="37"/>
  <c r="CU28" i="36"/>
  <c r="AK25" i="1"/>
  <c r="CU28" i="38"/>
  <c r="CU32" s="1"/>
  <c r="CU40" s="1"/>
  <c r="CU109" s="1"/>
  <c r="F291" i="46"/>
  <c r="F302" s="1"/>
  <c r="BY22" i="25"/>
  <c r="AK54" i="40"/>
  <c r="U18" i="60"/>
  <c r="X55"/>
  <c r="CV28" i="37"/>
  <c r="DH54" i="40"/>
  <c r="S21" i="60"/>
  <c r="N28" i="1"/>
  <c r="AA28" i="60"/>
  <c r="H224" i="46"/>
  <c r="AI50" i="60"/>
  <c r="DH17" i="37"/>
  <c r="K289" i="46"/>
  <c r="K300" s="1"/>
  <c r="J221"/>
  <c r="CS68" i="26"/>
  <c r="CT31" i="39"/>
  <c r="BQ28" i="38"/>
  <c r="CL28"/>
  <c r="CL32" s="1"/>
  <c r="BU28" i="40"/>
  <c r="AR76"/>
  <c r="BJ9" i="36"/>
  <c r="BH11"/>
  <c r="BJ11" s="1"/>
  <c r="AH35" i="39"/>
  <c r="CD82"/>
  <c r="BX31"/>
  <c r="CI31" i="41"/>
  <c r="CI32" s="1"/>
  <c r="CI40" s="1"/>
  <c r="CI109" s="1"/>
  <c r="BU68" i="37"/>
  <c r="AY68" i="26"/>
  <c r="AR28" i="37"/>
  <c r="H28" i="26"/>
  <c r="BJ13" i="37"/>
  <c r="BQ72" i="36"/>
  <c r="CO93" i="39"/>
  <c r="CD76" i="25"/>
  <c r="AI14" i="1"/>
  <c r="AJ99" i="36"/>
  <c r="AI99" i="26"/>
  <c r="CU46" i="39"/>
  <c r="Z31" i="41"/>
  <c r="BU11" i="40"/>
  <c r="CD99" i="38"/>
  <c r="BA104" i="26"/>
  <c r="BI22" i="40"/>
  <c r="CW35" i="37"/>
  <c r="CL22" i="1"/>
  <c r="DE14" i="40"/>
  <c r="DE15" s="1"/>
  <c r="DE40" s="1"/>
  <c r="AJ72" i="1"/>
  <c r="Q25" i="38"/>
  <c r="AP63" i="26"/>
  <c r="AZ104" i="39"/>
  <c r="AR35" i="37"/>
  <c r="DF31" i="1"/>
  <c r="CG31" i="40"/>
  <c r="CI93" i="26"/>
  <c r="CI106" s="1"/>
  <c r="DF82" i="41"/>
  <c r="AX55" i="1"/>
  <c r="DD35" i="25"/>
  <c r="CN93" i="36"/>
  <c r="DH60" i="41"/>
  <c r="DF28" i="38"/>
  <c r="I82" i="40"/>
  <c r="CZ51" i="26"/>
  <c r="CZ84" s="1"/>
  <c r="DF46" i="39"/>
  <c r="P76" i="36"/>
  <c r="CT99" i="38"/>
  <c r="BE11" i="41"/>
  <c r="BE15" s="1"/>
  <c r="BE40" s="1"/>
  <c r="AV93" i="26"/>
  <c r="BF18" i="37"/>
  <c r="BS22"/>
  <c r="BE11" i="40"/>
  <c r="J55" i="36"/>
  <c r="BY28" i="38"/>
  <c r="AB46" i="37"/>
  <c r="CV55" i="40"/>
  <c r="CL35" i="38"/>
  <c r="BV14" i="26"/>
  <c r="Y68" i="37"/>
  <c r="CR46" i="25"/>
  <c r="CJ51" i="39"/>
  <c r="AJ93" i="26"/>
  <c r="AZ28" i="37"/>
  <c r="AY19" i="26"/>
  <c r="AW46" i="25"/>
  <c r="DH30" i="40"/>
  <c r="BU72" i="39"/>
  <c r="Y68" i="41"/>
  <c r="BT82" i="39"/>
  <c r="N19" i="41"/>
  <c r="BX82" i="1"/>
  <c r="O51" i="39"/>
  <c r="O84" s="1"/>
  <c r="Y11" i="37"/>
  <c r="CM35" i="1"/>
  <c r="AQ55" i="36"/>
  <c r="L22" i="40"/>
  <c r="CN38" i="41"/>
  <c r="G99" i="37"/>
  <c r="Q96"/>
  <c r="CO72" i="41"/>
  <c r="BS35" i="37"/>
  <c r="CK38" i="25"/>
  <c r="AT76" i="37"/>
  <c r="DD99"/>
  <c r="DD106" s="1"/>
  <c r="CL28" i="25"/>
  <c r="BV31"/>
  <c r="Q91" i="36"/>
  <c r="AP11" i="25"/>
  <c r="CX46" i="37"/>
  <c r="AT28" i="39"/>
  <c r="AP104" i="41"/>
  <c r="CF19" i="40"/>
  <c r="BE72" i="36"/>
  <c r="L51"/>
  <c r="CM63" i="40"/>
  <c r="CJ55" i="1"/>
  <c r="AV63" i="36"/>
  <c r="I63" i="40"/>
  <c r="DA55" i="36"/>
  <c r="AV22" i="1"/>
  <c r="AM14" i="40"/>
  <c r="BJ61" i="39"/>
  <c r="CQ11" i="26"/>
  <c r="DB68" i="38"/>
  <c r="DB84" s="1"/>
  <c r="CK68" i="25"/>
  <c r="W35" i="36"/>
  <c r="AM35" i="1"/>
  <c r="BF34"/>
  <c r="CY11" i="37"/>
  <c r="I31"/>
  <c r="CZ14" i="25"/>
  <c r="I28" i="36"/>
  <c r="I32" s="1"/>
  <c r="G31" i="41"/>
  <c r="Q29"/>
  <c r="AY68" i="1"/>
  <c r="BU31" i="41"/>
  <c r="AE22" i="1"/>
  <c r="CY19" i="38"/>
  <c r="DA51"/>
  <c r="BS63" i="1"/>
  <c r="CA28" i="38"/>
  <c r="AX22" i="40"/>
  <c r="BA104"/>
  <c r="DA28" i="25"/>
  <c r="DA32" s="1"/>
  <c r="CB76" i="39"/>
  <c r="CM68" i="41"/>
  <c r="BS14" i="37"/>
  <c r="AO104" i="1"/>
  <c r="AQ38" i="41"/>
  <c r="CF82" i="37"/>
  <c r="BZ38" i="41"/>
  <c r="AB46"/>
  <c r="CW55" i="1"/>
  <c r="CW84" s="1"/>
  <c r="CW104" i="39"/>
  <c r="DB38" i="37"/>
  <c r="CC11" i="41"/>
  <c r="BT72" i="40"/>
  <c r="N11"/>
  <c r="BB11" i="25"/>
  <c r="CP19" i="1"/>
  <c r="CK55" i="25"/>
  <c r="AY76" i="36"/>
  <c r="BU99" i="41"/>
  <c r="AG93" i="38"/>
  <c r="T22" i="25"/>
  <c r="CP35" i="36"/>
  <c r="BV63" i="1"/>
  <c r="AU72" i="25"/>
  <c r="BF72" s="1"/>
  <c r="CY22"/>
  <c r="CQ63" i="41"/>
  <c r="DA76" i="37"/>
  <c r="N76" i="1"/>
  <c r="X46" i="38"/>
  <c r="CC38" i="37"/>
  <c r="CW72" i="38"/>
  <c r="CE28" i="25"/>
  <c r="CE32" s="1"/>
  <c r="AX82" i="1"/>
  <c r="H31" i="36"/>
  <c r="BQ63" i="1"/>
  <c r="DD93" i="36"/>
  <c r="DD106" s="1"/>
  <c r="CI76"/>
  <c r="AE93" i="41"/>
  <c r="DC55" i="25"/>
  <c r="BS22" i="38"/>
  <c r="DC72"/>
  <c r="BJ89" i="41"/>
  <c r="CE104" i="26"/>
  <c r="BS104" i="39"/>
  <c r="BY31" i="25"/>
  <c r="AV68" i="36"/>
  <c r="CC38" i="40"/>
  <c r="DF31"/>
  <c r="AX19" i="26"/>
  <c r="AP55" i="40"/>
  <c r="J82" i="36"/>
  <c r="AY11" i="26"/>
  <c r="AE31" i="40"/>
  <c r="AE104" i="36"/>
  <c r="W38" i="26"/>
  <c r="DH60" i="36"/>
  <c r="CE38" i="1"/>
  <c r="CY11" i="36"/>
  <c r="CY104" i="1"/>
  <c r="BB93" i="25"/>
  <c r="CO76" i="37"/>
  <c r="CT68" i="36"/>
  <c r="CE82"/>
  <c r="CI55" i="40"/>
  <c r="AY76" i="41"/>
  <c r="DC19" i="36"/>
  <c r="BF29" i="37"/>
  <c r="AM31"/>
  <c r="BF31" s="1"/>
  <c r="M38" i="41"/>
  <c r="BS68" i="37"/>
  <c r="CN99" i="41"/>
  <c r="CN106" s="1"/>
  <c r="CR76" i="36"/>
  <c r="AD46" i="40"/>
  <c r="CU14"/>
  <c r="CZ99" i="38"/>
  <c r="BB68" i="41"/>
  <c r="CT28" i="25"/>
  <c r="CU55" i="26"/>
  <c r="K63" i="37"/>
  <c r="Q63" s="1"/>
  <c r="BF81" i="1"/>
  <c r="CG22" i="36"/>
  <c r="BI51" i="41"/>
  <c r="CE51" i="39"/>
  <c r="O76" i="1"/>
  <c r="AF35" i="40"/>
  <c r="CF19" i="41"/>
  <c r="CR46" i="26"/>
  <c r="BE104" i="25"/>
  <c r="AC72" i="41"/>
  <c r="BY55" i="25"/>
  <c r="T46" i="37"/>
  <c r="BC93" i="25"/>
  <c r="BC106" s="1"/>
  <c r="AN38" i="41"/>
  <c r="DC55" i="37"/>
  <c r="DH57" i="40"/>
  <c r="BO63"/>
  <c r="DH63" s="1"/>
  <c r="K63" i="41"/>
  <c r="BI63" i="25"/>
  <c r="BV19" i="41"/>
  <c r="CX19"/>
  <c r="CT11" i="1"/>
  <c r="CQ46" i="25"/>
  <c r="CY82" i="41"/>
  <c r="CK38" i="37"/>
  <c r="DD68" i="36"/>
  <c r="CF51" i="1"/>
  <c r="CF84" s="1"/>
  <c r="BV51" i="36"/>
  <c r="Z76" i="25"/>
  <c r="AR99" i="41"/>
  <c r="H289" i="46"/>
  <c r="H300" s="1"/>
  <c r="AO55" i="36"/>
  <c r="AO84" s="1"/>
  <c r="BC31" i="39"/>
  <c r="M38" i="25"/>
  <c r="V72"/>
  <c r="CP35" i="40"/>
  <c r="BW63" i="25"/>
  <c r="CI14" i="37"/>
  <c r="CV38" i="26"/>
  <c r="X14" i="37"/>
  <c r="CZ46"/>
  <c r="AY19" i="40"/>
  <c r="T31" i="36"/>
  <c r="AV14" i="1"/>
  <c r="AV15" s="1"/>
  <c r="AH104" i="40"/>
  <c r="AB68" i="38"/>
  <c r="BZ104" i="41"/>
  <c r="BZ106" s="1"/>
  <c r="AP93" i="40"/>
  <c r="T99" i="41"/>
  <c r="V93" i="1"/>
  <c r="BA11" i="26"/>
  <c r="BR22" i="41"/>
  <c r="DF93"/>
  <c r="AA72" i="39"/>
  <c r="BR104" i="38"/>
  <c r="CN99" i="25"/>
  <c r="CH99" i="1"/>
  <c r="AW55" i="40"/>
  <c r="BW46" i="41"/>
  <c r="U68" i="36"/>
  <c r="CF31" i="26"/>
  <c r="DD82" i="37"/>
  <c r="BP31"/>
  <c r="AI63" i="36"/>
  <c r="BV22" i="41"/>
  <c r="BD68" i="39"/>
  <c r="V28" i="40"/>
  <c r="BA11"/>
  <c r="AO14" i="39"/>
  <c r="K99"/>
  <c r="AI104" i="1"/>
  <c r="BH19"/>
  <c r="BJ19" s="1"/>
  <c r="BJ17"/>
  <c r="AR35" i="40"/>
  <c r="BR55" i="26"/>
  <c r="AF93" i="38"/>
  <c r="CI35" i="1"/>
  <c r="DF76" i="41"/>
  <c r="BZ46" i="1"/>
  <c r="CS28" i="38"/>
  <c r="DA28" i="39"/>
  <c r="Q75" i="38"/>
  <c r="G76"/>
  <c r="BZ35" i="26"/>
  <c r="CR76"/>
  <c r="CX28" i="25"/>
  <c r="CX32" s="1"/>
  <c r="J104" i="41"/>
  <c r="BX11" i="37"/>
  <c r="J19" i="40"/>
  <c r="Q60" i="25"/>
  <c r="CI19" i="39"/>
  <c r="BI63" i="41"/>
  <c r="DE38" i="25"/>
  <c r="DC93" i="1"/>
  <c r="CR51" i="37"/>
  <c r="CR84" s="1"/>
  <c r="BF66" i="36"/>
  <c r="N31" i="41"/>
  <c r="CJ28" i="1"/>
  <c r="CJ32" s="1"/>
  <c r="BJ57" i="25"/>
  <c r="BH63"/>
  <c r="BR68" i="1"/>
  <c r="CN99" i="36"/>
  <c r="BD11" i="25"/>
  <c r="CM68" i="36"/>
  <c r="AQ99" i="25"/>
  <c r="DC51" i="36"/>
  <c r="CQ55" i="26"/>
  <c r="CT51" i="41"/>
  <c r="DB14" i="1"/>
  <c r="AR19" i="38"/>
  <c r="AR40" s="1"/>
  <c r="BP31" i="40"/>
  <c r="AV19" i="41"/>
  <c r="AC51" i="26"/>
  <c r="BC72" i="37"/>
  <c r="X51" i="1"/>
  <c r="X84" s="1"/>
  <c r="CH11" i="38"/>
  <c r="Q65" i="40"/>
  <c r="G68"/>
  <c r="BY38" i="26"/>
  <c r="CT22" i="1"/>
  <c r="DF14" i="25"/>
  <c r="BR82" i="26"/>
  <c r="BU46" i="39"/>
  <c r="L82" i="37"/>
  <c r="CJ46" i="39"/>
  <c r="DH75" i="36"/>
  <c r="BO76"/>
  <c r="DH76" s="1"/>
  <c r="CK22" i="38"/>
  <c r="DC46" i="1"/>
  <c r="CE11" i="38"/>
  <c r="AR51" i="41"/>
  <c r="CM55"/>
  <c r="CB76" i="26"/>
  <c r="H46" i="40"/>
  <c r="Q46" s="1"/>
  <c r="CI51" i="36"/>
  <c r="AO76" i="37"/>
  <c r="U38" i="36"/>
  <c r="AE72" i="37"/>
  <c r="AA51"/>
  <c r="AA84" s="1"/>
  <c r="Z99" i="25"/>
  <c r="BF37" i="36"/>
  <c r="AM38"/>
  <c r="BF38" s="1"/>
  <c r="CO19" i="38"/>
  <c r="K51" i="26"/>
  <c r="Q45" i="37"/>
  <c r="G46"/>
  <c r="Q46" s="1"/>
  <c r="CK31" i="1"/>
  <c r="CQ14" i="26"/>
  <c r="I28" i="37"/>
  <c r="I32" s="1"/>
  <c r="CN93" i="40"/>
  <c r="AK34" i="25"/>
  <c r="S35"/>
  <c r="DF38" i="38"/>
  <c r="X51" i="26"/>
  <c r="AX93" i="36"/>
  <c r="CM31"/>
  <c r="AR82" i="40"/>
  <c r="AS38" i="39"/>
  <c r="AF55" i="41"/>
  <c r="AI99" i="40"/>
  <c r="BB55" i="1"/>
  <c r="Y76"/>
  <c r="Z14" i="37"/>
  <c r="AQ22" i="26"/>
  <c r="BU63" i="1"/>
  <c r="BZ11"/>
  <c r="AA14" i="25"/>
  <c r="CS104"/>
  <c r="CY38" i="36"/>
  <c r="CR35" i="39"/>
  <c r="Y82" i="40"/>
  <c r="Q54" i="41"/>
  <c r="BW14" i="39"/>
  <c r="G19" i="40"/>
  <c r="BP72" i="41"/>
  <c r="DF19" i="39"/>
  <c r="AO76" i="1"/>
  <c r="AY93" i="36"/>
  <c r="CN11" i="37"/>
  <c r="AK13" i="26"/>
  <c r="Q49" i="38"/>
  <c r="Q53" i="26"/>
  <c r="G55"/>
  <c r="N31" i="37"/>
  <c r="AA51" i="26"/>
  <c r="N104"/>
  <c r="CJ104" i="39"/>
  <c r="BT82" i="40"/>
  <c r="AG11" i="41"/>
  <c r="BR55" i="1"/>
  <c r="CP38" i="39"/>
  <c r="CR35" i="41"/>
  <c r="AP68" i="40"/>
  <c r="H76" i="36"/>
  <c r="BS19" i="1"/>
  <c r="DE72" i="37"/>
  <c r="BT63" i="26"/>
  <c r="AW104" i="25"/>
  <c r="AD72" i="38"/>
  <c r="AK60" i="1"/>
  <c r="AQ22" i="36"/>
  <c r="BJ89" i="39"/>
  <c r="Z14" i="40"/>
  <c r="BU46" i="25"/>
  <c r="CD38" i="1"/>
  <c r="DH38" s="1"/>
  <c r="CW51" i="40"/>
  <c r="CW84" s="1"/>
  <c r="DH27" i="41"/>
  <c r="J51" i="1"/>
  <c r="CJ22" i="39"/>
  <c r="M38" i="37"/>
  <c r="CW63" i="41"/>
  <c r="CF104" i="36"/>
  <c r="J68" i="40"/>
  <c r="CI93"/>
  <c r="AJ35" i="39"/>
  <c r="BE93" i="41"/>
  <c r="AI55" i="26"/>
  <c r="BX46" i="36"/>
  <c r="CA82"/>
  <c r="N72" i="38"/>
  <c r="BE35" i="41"/>
  <c r="BF18" i="39"/>
  <c r="CH28" i="37"/>
  <c r="BY19" i="38"/>
  <c r="T31" i="37"/>
  <c r="AK31" s="1"/>
  <c r="AV55" i="38"/>
  <c r="AA63"/>
  <c r="AU11"/>
  <c r="BT72" i="25"/>
  <c r="CB55" i="1"/>
  <c r="BD28"/>
  <c r="BS104" i="40"/>
  <c r="AN35" i="41"/>
  <c r="BF35" s="1"/>
  <c r="BB46" i="36"/>
  <c r="AE28" i="41"/>
  <c r="BJ25" i="40"/>
  <c r="DC14"/>
  <c r="AN22"/>
  <c r="O76" i="25"/>
  <c r="AY82" i="26"/>
  <c r="O72" i="40"/>
  <c r="AV22" i="25"/>
  <c r="AI46" i="38"/>
  <c r="BY93" i="41"/>
  <c r="AJ28" i="39"/>
  <c r="P104" i="37"/>
  <c r="BX11" i="39"/>
  <c r="CJ76" i="36"/>
  <c r="AI38" i="37"/>
  <c r="DB31" i="25"/>
  <c r="CZ99" i="1"/>
  <c r="CR35" i="36"/>
  <c r="BJ18" i="37"/>
  <c r="BT46" i="25"/>
  <c r="DD72" i="39"/>
  <c r="AC72" i="38"/>
  <c r="AH93" i="40"/>
  <c r="BF10"/>
  <c r="BO46" i="1"/>
  <c r="BJ24" i="25"/>
  <c r="AD35" i="36"/>
  <c r="CX68" i="41"/>
  <c r="BS93" i="38"/>
  <c r="CA31" i="26"/>
  <c r="DF38" i="25"/>
  <c r="CD104" i="1"/>
  <c r="BF62" i="40"/>
  <c r="V93" i="41"/>
  <c r="AF11"/>
  <c r="CB38" i="1"/>
  <c r="AG72"/>
  <c r="CV51" i="40"/>
  <c r="CV84" s="1"/>
  <c r="N68" i="36"/>
  <c r="BU93" i="38"/>
  <c r="CK19" i="37"/>
  <c r="CA72" i="40"/>
  <c r="BW51"/>
  <c r="AI22" i="60"/>
  <c r="O35" i="1"/>
  <c r="BZ76" i="41"/>
  <c r="AG31" i="39"/>
  <c r="BV68"/>
  <c r="BS82" i="41"/>
  <c r="CE104" i="39"/>
  <c r="AM28" i="25"/>
  <c r="BF26"/>
  <c r="DC35" i="1"/>
  <c r="AW35" i="39"/>
  <c r="DD19" i="41"/>
  <c r="CC93" i="26"/>
  <c r="CF72" i="39"/>
  <c r="AG93" i="37"/>
  <c r="CS68" i="25"/>
  <c r="BF13" i="36"/>
  <c r="CV104" i="39"/>
  <c r="BE68" i="26"/>
  <c r="BS38" i="37"/>
  <c r="CI82" i="40"/>
  <c r="AP68" i="1"/>
  <c r="CK19" i="25"/>
  <c r="CD99" i="1"/>
  <c r="AN55" i="41"/>
  <c r="DF31" i="38"/>
  <c r="BC104" i="37"/>
  <c r="AJ76" i="38"/>
  <c r="AF35" i="39"/>
  <c r="T19" i="25"/>
  <c r="CZ38" i="41"/>
  <c r="BT38" i="40"/>
  <c r="AP76"/>
  <c r="BZ63" i="41"/>
  <c r="CC63" i="39"/>
  <c r="K11" i="1"/>
  <c r="BB28" i="38"/>
  <c r="BC38" i="1"/>
  <c r="BU38" i="36"/>
  <c r="Z55" i="1"/>
  <c r="CV31"/>
  <c r="CY31" i="37"/>
  <c r="P68" i="38"/>
  <c r="AI22" i="39"/>
  <c r="CU99" i="25"/>
  <c r="CM72"/>
  <c r="AA93"/>
  <c r="AA106" s="1"/>
  <c r="AB99"/>
  <c r="DB104" i="37"/>
  <c r="CR76" i="38"/>
  <c r="AW99" i="1"/>
  <c r="AA63" i="26"/>
  <c r="AH82" i="36"/>
  <c r="Z68" i="25"/>
  <c r="Y35" i="37"/>
  <c r="DE68" i="25"/>
  <c r="CS55" i="1"/>
  <c r="BF61" i="40"/>
  <c r="CW11" i="37"/>
  <c r="AB82" i="1"/>
  <c r="BA51" i="40"/>
  <c r="BP35"/>
  <c r="CD28"/>
  <c r="CD32" s="1"/>
  <c r="AA31" i="1"/>
  <c r="O46" i="39"/>
  <c r="DB31" i="36"/>
  <c r="AT35" i="39"/>
  <c r="CT22" i="25"/>
  <c r="Q59" i="39"/>
  <c r="P19" i="41"/>
  <c r="AN19" i="37"/>
  <c r="BU35" i="39"/>
  <c r="CQ76"/>
  <c r="AJ51"/>
  <c r="BD68" i="26"/>
  <c r="X63" i="1"/>
  <c r="AV38" i="37"/>
  <c r="P19" i="26"/>
  <c r="AI46" i="39"/>
  <c r="BA51" i="1"/>
  <c r="BA84" s="1"/>
  <c r="CE104" i="25"/>
  <c r="BA82" i="41"/>
  <c r="CN46" i="1"/>
  <c r="CO82" i="40"/>
  <c r="AB104" i="41"/>
  <c r="U76" i="39"/>
  <c r="BT99" i="1"/>
  <c r="BT106" s="1"/>
  <c r="L35" i="41"/>
  <c r="AG76" i="38"/>
  <c r="CH76" i="37"/>
  <c r="CR99" i="38"/>
  <c r="CR106" s="1"/>
  <c r="CS11" i="37"/>
  <c r="AJ82" i="38"/>
  <c r="AG35" i="41"/>
  <c r="AM55" i="38"/>
  <c r="AM84" s="1"/>
  <c r="BF53"/>
  <c r="BJ13" i="36"/>
  <c r="Y68" i="38"/>
  <c r="Y72" i="37"/>
  <c r="CO55"/>
  <c r="CO84" s="1"/>
  <c r="CO11" i="40"/>
  <c r="DD72" i="37"/>
  <c r="AN35" i="39"/>
  <c r="BF35" s="1"/>
  <c r="I72" i="25"/>
  <c r="BY28" i="1"/>
  <c r="CS104" i="38"/>
  <c r="CN99" i="1"/>
  <c r="CL76"/>
  <c r="CL84" s="1"/>
  <c r="BA31" i="25"/>
  <c r="BT55" i="36"/>
  <c r="K55" i="26"/>
  <c r="Q55" s="1"/>
  <c r="AD19" i="37"/>
  <c r="CX46" i="1"/>
  <c r="Z38" i="36"/>
  <c r="CZ22" i="1"/>
  <c r="CF46"/>
  <c r="CA99" i="41"/>
  <c r="AE38" i="40"/>
  <c r="CL35" i="26"/>
  <c r="DD93" i="1"/>
  <c r="AQ35" i="36"/>
  <c r="CQ93"/>
  <c r="U93" i="38"/>
  <c r="BS99"/>
  <c r="S104" i="41"/>
  <c r="CB14" i="1"/>
  <c r="CB15" s="1"/>
  <c r="CB40" s="1"/>
  <c r="CB109" s="1"/>
  <c r="J19" i="38"/>
  <c r="BF10" i="26"/>
  <c r="BX19" i="36"/>
  <c r="S38" i="25"/>
  <c r="AK38" s="1"/>
  <c r="AK37"/>
  <c r="BB99"/>
  <c r="AA99" i="36"/>
  <c r="AQ28" i="25"/>
  <c r="AQ32" s="1"/>
  <c r="N14" i="39"/>
  <c r="DH59" i="38"/>
  <c r="CK14" i="36"/>
  <c r="CS46" i="25"/>
  <c r="BT104" i="1"/>
  <c r="BT19" i="39"/>
  <c r="BT51" i="26"/>
  <c r="BT84" s="1"/>
  <c r="CM38" i="37"/>
  <c r="AG68" i="25"/>
  <c r="AX14" i="1"/>
  <c r="K31"/>
  <c r="AF76" i="38"/>
  <c r="AR82"/>
  <c r="AA104" i="26"/>
  <c r="CP28" i="37"/>
  <c r="BE31" i="38"/>
  <c r="BE32" s="1"/>
  <c r="AC14" i="40"/>
  <c r="BU19" i="25"/>
  <c r="DE51" i="39"/>
  <c r="DE84" s="1"/>
  <c r="AS31" i="36"/>
  <c r="AS32" s="1"/>
  <c r="DD76" i="25"/>
  <c r="CW82" i="40"/>
  <c r="CE22" i="1"/>
  <c r="CP38" i="37"/>
  <c r="CZ76" i="39"/>
  <c r="CQ22" i="25"/>
  <c r="AZ104" i="41"/>
  <c r="Z68" i="38"/>
  <c r="CG93"/>
  <c r="CS104" i="37"/>
  <c r="BJ27" i="38"/>
  <c r="CM63" i="37"/>
  <c r="CF76" i="26"/>
  <c r="CH63" i="37"/>
  <c r="BX35" i="1"/>
  <c r="AA55" i="37"/>
  <c r="AQ82" i="38"/>
  <c r="AO63" i="37"/>
  <c r="V46"/>
  <c r="AN32"/>
  <c r="AK10"/>
  <c r="CG14" i="26"/>
  <c r="CP11" i="38"/>
  <c r="CP15" s="1"/>
  <c r="CP40" s="1"/>
  <c r="BY14" i="39"/>
  <c r="DD99" i="36"/>
  <c r="CN38" i="39"/>
  <c r="AM104" i="36"/>
  <c r="BF102"/>
  <c r="AR28" i="41"/>
  <c r="M11" i="37"/>
  <c r="O76" i="39"/>
  <c r="AH35" i="41"/>
  <c r="AG11" i="37"/>
  <c r="CM28" i="1"/>
  <c r="CQ82" i="40"/>
  <c r="CO63" i="25"/>
  <c r="CN63" i="38"/>
  <c r="BU11" i="26"/>
  <c r="M11" i="38"/>
  <c r="CY93" i="40"/>
  <c r="BX63" i="26"/>
  <c r="BU63" i="25"/>
  <c r="CJ14"/>
  <c r="CJ15" s="1"/>
  <c r="AR55" i="37"/>
  <c r="BF24" i="40"/>
  <c r="CP31" i="26"/>
  <c r="N22" i="41"/>
  <c r="CK93" i="1"/>
  <c r="AM93" i="39"/>
  <c r="BF89"/>
  <c r="BU31" i="38"/>
  <c r="AT51" i="39"/>
  <c r="P82" i="38"/>
  <c r="N46" i="40"/>
  <c r="M38" i="36"/>
  <c r="CH99" i="40"/>
  <c r="BE38"/>
  <c r="CQ72" i="26"/>
  <c r="S76" i="37"/>
  <c r="BX55" i="41"/>
  <c r="CN14" i="1"/>
  <c r="AH63" i="38"/>
  <c r="CQ22"/>
  <c r="CZ68" i="37"/>
  <c r="AX38"/>
  <c r="CF82" i="39"/>
  <c r="BA63" i="36"/>
  <c r="CO104" i="38"/>
  <c r="BX93" i="26"/>
  <c r="CJ14" i="39"/>
  <c r="CJ15" s="1"/>
  <c r="BZ93" i="38"/>
  <c r="CL38" i="1"/>
  <c r="AK27"/>
  <c r="AD28" i="39"/>
  <c r="AD32" s="1"/>
  <c r="CS46" i="26"/>
  <c r="CC19" i="37"/>
  <c r="AW51" i="40"/>
  <c r="CX14" i="26"/>
  <c r="BE68" i="25"/>
  <c r="W76" i="41"/>
  <c r="DD28" i="25"/>
  <c r="DD32" s="1"/>
  <c r="DD40" s="1"/>
  <c r="AT93" i="38"/>
  <c r="BV82" i="40"/>
  <c r="BY19" i="36"/>
  <c r="DB11" i="40"/>
  <c r="DB15" s="1"/>
  <c r="AF38" i="1"/>
  <c r="BT51" i="36"/>
  <c r="DF38" i="40"/>
  <c r="CI38" i="39"/>
  <c r="Z72" i="26"/>
  <c r="BY28" i="40"/>
  <c r="DH59" i="26"/>
  <c r="CU76"/>
  <c r="CB35" i="36"/>
  <c r="DD55" i="40"/>
  <c r="CS46" i="1"/>
  <c r="CL99" i="41"/>
  <c r="CL106" s="1"/>
  <c r="Z99"/>
  <c r="Q60" i="36"/>
  <c r="BX28" i="25"/>
  <c r="Y35" i="39"/>
  <c r="X38" i="38"/>
  <c r="AW51" i="1"/>
  <c r="BW51"/>
  <c r="CB28" i="25"/>
  <c r="CB32" s="1"/>
  <c r="L82" i="38"/>
  <c r="BO38" i="36"/>
  <c r="DH37"/>
  <c r="BC51" i="39"/>
  <c r="K46" i="25"/>
  <c r="CU55" i="41"/>
  <c r="CA63" i="26"/>
  <c r="V31" i="39"/>
  <c r="AP72" i="37"/>
  <c r="CF11" i="26"/>
  <c r="DA19" i="36"/>
  <c r="AO28" i="37"/>
  <c r="BF28" s="1"/>
  <c r="BW11" i="38"/>
  <c r="AB82"/>
  <c r="CG99" i="41"/>
  <c r="U68" i="40"/>
  <c r="AT28"/>
  <c r="BW63" i="41"/>
  <c r="AF104" i="1"/>
  <c r="AR99" i="25"/>
  <c r="BT35" i="37"/>
  <c r="AU76" i="26"/>
  <c r="CE63" i="39"/>
  <c r="CL104" i="40"/>
  <c r="CL106" s="1"/>
  <c r="G51" i="37"/>
  <c r="G84" s="1"/>
  <c r="Q48"/>
  <c r="AU63" i="41"/>
  <c r="AS11" i="39"/>
  <c r="CB104" i="26"/>
  <c r="BS63" i="41"/>
  <c r="AC22" i="38"/>
  <c r="CA82" i="40"/>
  <c r="AV99" i="39"/>
  <c r="CP11"/>
  <c r="CP93" i="25"/>
  <c r="CZ38" i="26"/>
  <c r="AA19" i="37"/>
  <c r="BS46" i="36"/>
  <c r="I63" i="39"/>
  <c r="CS11" i="1"/>
  <c r="BX104" i="25"/>
  <c r="BQ68" i="39"/>
  <c r="X76" i="26"/>
  <c r="CM63" i="25"/>
  <c r="CS76" i="36"/>
  <c r="X22" i="1"/>
  <c r="BQ38" i="25"/>
  <c r="AZ93" i="40"/>
  <c r="AG68" i="38"/>
  <c r="CN99"/>
  <c r="DD51" i="41"/>
  <c r="DC19" i="40"/>
  <c r="BH11" i="26"/>
  <c r="BJ9"/>
  <c r="CT99" i="39"/>
  <c r="CJ93" i="26"/>
  <c r="BF66" i="40"/>
  <c r="CG14"/>
  <c r="AH55" i="41"/>
  <c r="AR28" i="25"/>
  <c r="AR32" s="1"/>
  <c r="AJ72" i="40"/>
  <c r="X46"/>
  <c r="AC19" i="41"/>
  <c r="X68"/>
  <c r="CL14" i="38"/>
  <c r="CL15" s="1"/>
  <c r="DH67" i="41"/>
  <c r="DD28" i="37"/>
  <c r="DD32" s="1"/>
  <c r="DD40" s="1"/>
  <c r="BT76" i="39"/>
  <c r="AS35" i="40"/>
  <c r="Y19" i="37"/>
  <c r="BX11" i="40"/>
  <c r="AQ93" i="38"/>
  <c r="BI51" i="1"/>
  <c r="BF25" i="25"/>
  <c r="BS55" i="39"/>
  <c r="BS84" s="1"/>
  <c r="BV72" i="41"/>
  <c r="CS99" i="36"/>
  <c r="AC51" i="1"/>
  <c r="CV19" i="41"/>
  <c r="CO19" i="37"/>
  <c r="CF35" i="36"/>
  <c r="AI51" i="41"/>
  <c r="BS68" i="39"/>
  <c r="BW31" i="26"/>
  <c r="CZ46" i="38"/>
  <c r="AQ99" i="41"/>
  <c r="BE19" i="39"/>
  <c r="CD68" i="36"/>
  <c r="BT22" i="40"/>
  <c r="CA104" i="1"/>
  <c r="AA99"/>
  <c r="AA106" s="1"/>
  <c r="CE19" i="38"/>
  <c r="AD55" i="40"/>
  <c r="CQ11" i="37"/>
  <c r="CC31"/>
  <c r="AH11" i="26"/>
  <c r="CK51" i="36"/>
  <c r="CB82" i="41"/>
  <c r="CB84" s="1"/>
  <c r="J104" i="38"/>
  <c r="S63" i="40"/>
  <c r="DB19" i="39"/>
  <c r="AX99" i="36"/>
  <c r="AX106" s="1"/>
  <c r="CD72"/>
  <c r="BR76" i="37"/>
  <c r="X72" i="25"/>
  <c r="BD82"/>
  <c r="N51" i="39"/>
  <c r="N84" s="1"/>
  <c r="AG28" i="26"/>
  <c r="CN72" i="38"/>
  <c r="CU14" i="1"/>
  <c r="AT63" i="26"/>
  <c r="BI11" i="37"/>
  <c r="BP63"/>
  <c r="P22" i="36"/>
  <c r="L82" i="1"/>
  <c r="BQ38" i="39"/>
  <c r="AQ72"/>
  <c r="AX82"/>
  <c r="BD11"/>
  <c r="BR11" i="26"/>
  <c r="AE22" i="37"/>
  <c r="CJ51" i="25"/>
  <c r="CJ84" s="1"/>
  <c r="AD76" i="26"/>
  <c r="G104" i="41"/>
  <c r="Q102"/>
  <c r="AC38" i="39"/>
  <c r="BJ13" i="40"/>
  <c r="CW55"/>
  <c r="Q81" i="1"/>
  <c r="AI55" i="40"/>
  <c r="P76" i="26"/>
  <c r="AT72"/>
  <c r="DC93" i="39"/>
  <c r="AQ68" i="25"/>
  <c r="AQ84" s="1"/>
  <c r="H11" i="37"/>
  <c r="AI76" i="38"/>
  <c r="CN93" i="37"/>
  <c r="CH68" i="39"/>
  <c r="AD82" i="38"/>
  <c r="BJ37" i="25"/>
  <c r="BH38"/>
  <c r="BU104" i="36"/>
  <c r="CY14" i="37"/>
  <c r="AU11" i="36"/>
  <c r="AE31" i="37"/>
  <c r="Z72"/>
  <c r="W38" i="38"/>
  <c r="BZ93" i="26"/>
  <c r="N51" i="37"/>
  <c r="N84" s="1"/>
  <c r="DH30" i="25"/>
  <c r="CY11" i="1"/>
  <c r="AT22" i="40"/>
  <c r="AX31"/>
  <c r="AN68" i="41"/>
  <c r="BF68" s="1"/>
  <c r="CZ28" i="39"/>
  <c r="AH38"/>
  <c r="CO19"/>
  <c r="AO82" i="37"/>
  <c r="BZ68" i="41"/>
  <c r="CM22" i="25"/>
  <c r="AD82" i="1"/>
  <c r="BS38" i="39"/>
  <c r="L76" i="26"/>
  <c r="CO22" i="40"/>
  <c r="CP46" i="26"/>
  <c r="N291" i="46"/>
  <c r="N302" s="1"/>
  <c r="BR35" i="25"/>
  <c r="DB93" i="40"/>
  <c r="CD72" i="38"/>
  <c r="AB68" i="40"/>
  <c r="AY51" i="39"/>
  <c r="BD31" i="26"/>
  <c r="K104" i="40"/>
  <c r="CE31" i="38"/>
  <c r="CQ14"/>
  <c r="BD68" i="1"/>
  <c r="AT11" i="36"/>
  <c r="BU63" i="26"/>
  <c r="Z19"/>
  <c r="H93" i="41"/>
  <c r="DB28" i="40"/>
  <c r="AJ14" i="41"/>
  <c r="AO14" i="40"/>
  <c r="AQ35" i="38"/>
  <c r="DE14"/>
  <c r="N72" i="39"/>
  <c r="DE76" i="36"/>
  <c r="CI38" i="37"/>
  <c r="AC35" i="38"/>
  <c r="AH72" i="1"/>
  <c r="CC55" i="40"/>
  <c r="CH93" i="38"/>
  <c r="AP51" i="37"/>
  <c r="AP84" s="1"/>
  <c r="BV72"/>
  <c r="BE31" i="41"/>
  <c r="CD72"/>
  <c r="BZ55" i="26"/>
  <c r="H221" i="46"/>
  <c r="Q98" i="26"/>
  <c r="AG28" i="41"/>
  <c r="BD28" i="39"/>
  <c r="CD31" i="40"/>
  <c r="AN72"/>
  <c r="AU99" i="26"/>
  <c r="BH14" i="1"/>
  <c r="BJ14" s="1"/>
  <c r="BJ12"/>
  <c r="CJ14"/>
  <c r="AR63" i="39"/>
  <c r="CY38" i="38"/>
  <c r="CP104" i="37"/>
  <c r="CR82" i="40"/>
  <c r="BR104" i="41"/>
  <c r="AB38" i="38"/>
  <c r="AW82" i="40"/>
  <c r="DD76" i="1"/>
  <c r="Z99" i="40"/>
  <c r="H11" i="39"/>
  <c r="N68" i="41"/>
  <c r="AO68" i="40"/>
  <c r="CQ68" i="25"/>
  <c r="AC55"/>
  <c r="AC84" s="1"/>
  <c r="AR51" i="39"/>
  <c r="AR84" s="1"/>
  <c r="BJ13" i="38"/>
  <c r="DB22" i="40"/>
  <c r="BT55" i="1"/>
  <c r="AE55" i="37"/>
  <c r="BJ59" i="41"/>
  <c r="CI63" i="1"/>
  <c r="DB51" i="25"/>
  <c r="CC46" i="38"/>
  <c r="J11" i="26"/>
  <c r="CG38" i="1"/>
  <c r="CF104" i="39"/>
  <c r="DF76"/>
  <c r="AT19" i="26"/>
  <c r="AN22"/>
  <c r="BF29" i="40"/>
  <c r="AM31"/>
  <c r="BF31" s="1"/>
  <c r="K14" i="37"/>
  <c r="DE35" i="36"/>
  <c r="Z51" i="38"/>
  <c r="Z84" s="1"/>
  <c r="Q59" i="40"/>
  <c r="BL59" s="1"/>
  <c r="V82" i="1"/>
  <c r="CZ55" i="37"/>
  <c r="AS22"/>
  <c r="N35" i="40"/>
  <c r="DH67"/>
  <c r="AO99" i="26"/>
  <c r="CH93" i="1"/>
  <c r="CH106" s="1"/>
  <c r="AR14" i="26"/>
  <c r="P22" i="41"/>
  <c r="DA63" i="37"/>
  <c r="BS19" i="36"/>
  <c r="CB14" i="25"/>
  <c r="AT19" i="41"/>
  <c r="L46" i="38"/>
  <c r="N38" i="36"/>
  <c r="AF38"/>
  <c r="DB35" i="25"/>
  <c r="AH38"/>
  <c r="W68" i="39"/>
  <c r="DB93"/>
  <c r="DB106" s="1"/>
  <c r="BP76" i="25"/>
  <c r="DC35" i="41"/>
  <c r="T46" i="36"/>
  <c r="CD14"/>
  <c r="AT14" i="37"/>
  <c r="M55" i="26"/>
  <c r="V38" i="41"/>
  <c r="CV11"/>
  <c r="Z93" i="26"/>
  <c r="BA35" i="1"/>
  <c r="BR63" i="26"/>
  <c r="BJ66" i="41"/>
  <c r="CM76" i="37"/>
  <c r="BC31" i="38"/>
  <c r="CG68" i="26"/>
  <c r="BJ24" i="36"/>
  <c r="BB14" i="38"/>
  <c r="L35" i="39"/>
  <c r="L19"/>
  <c r="BZ38" i="40"/>
  <c r="AV28" i="25"/>
  <c r="AW28" i="40"/>
  <c r="AP93" i="1"/>
  <c r="BT55" i="39"/>
  <c r="BT84" s="1"/>
  <c r="CO35"/>
  <c r="AI55"/>
  <c r="M51" i="41"/>
  <c r="CX51" i="26"/>
  <c r="CX84" s="1"/>
  <c r="U38" i="38"/>
  <c r="AO22" i="40"/>
  <c r="AD11" i="25"/>
  <c r="T51" i="1"/>
  <c r="CJ104" i="36"/>
  <c r="H82" i="26"/>
  <c r="CH68"/>
  <c r="CX104" i="36"/>
  <c r="J104" i="26"/>
  <c r="AZ19" i="38"/>
  <c r="CW19" i="26"/>
  <c r="L38" i="1"/>
  <c r="CO68" i="39"/>
  <c r="CI28" i="26"/>
  <c r="AA68" i="36"/>
  <c r="K104" i="37"/>
  <c r="X51" i="38"/>
  <c r="CM35" i="41"/>
  <c r="AD68" i="38"/>
  <c r="AD68" i="25"/>
  <c r="Q60" i="1"/>
  <c r="CS82" i="26"/>
  <c r="CG104" i="36"/>
  <c r="CU38" i="26"/>
  <c r="AE76" i="1"/>
  <c r="AX68" i="26"/>
  <c r="DA31" i="39"/>
  <c r="DA32" s="1"/>
  <c r="DA40" s="1"/>
  <c r="BE72" i="40"/>
  <c r="CZ68" i="26"/>
  <c r="CG22" i="38"/>
  <c r="O38"/>
  <c r="DF72" i="26"/>
  <c r="AG22" i="40"/>
  <c r="AV72" i="36"/>
  <c r="CU63" i="1"/>
  <c r="AF31" i="25"/>
  <c r="CG38" i="38"/>
  <c r="AB104" i="39"/>
  <c r="T19"/>
  <c r="K76" i="1"/>
  <c r="Y51" i="37"/>
  <c r="X76" i="41"/>
  <c r="BA38" i="38"/>
  <c r="DD19"/>
  <c r="CM82" i="1"/>
  <c r="CB72" i="40"/>
  <c r="AY31" i="38"/>
  <c r="AY32" s="1"/>
  <c r="AY40" s="1"/>
  <c r="P82" i="36"/>
  <c r="CG46" i="1"/>
  <c r="AB35" i="36"/>
  <c r="J82" i="38"/>
  <c r="CK38" i="26"/>
  <c r="BJ30" i="1"/>
  <c r="AT72" i="37"/>
  <c r="BI46" i="1"/>
  <c r="BO68" i="39"/>
  <c r="DH68" s="1"/>
  <c r="DH65"/>
  <c r="AO14" i="25"/>
  <c r="AO15" s="1"/>
  <c r="CC72" i="41"/>
  <c r="AA46" i="36"/>
  <c r="AP31" i="40"/>
  <c r="AP28"/>
  <c r="AN55"/>
  <c r="BF55" s="1"/>
  <c r="Z76" i="39"/>
  <c r="BV72" i="36"/>
  <c r="BR19"/>
  <c r="AD82" i="37"/>
  <c r="BB19" i="39"/>
  <c r="CL55" i="36"/>
  <c r="DH48" i="38"/>
  <c r="AH11"/>
  <c r="AH15" s="1"/>
  <c r="J63" i="41"/>
  <c r="K68"/>
  <c r="CL22"/>
  <c r="CA82" i="25"/>
  <c r="CX19" i="1"/>
  <c r="AC28" i="41"/>
  <c r="H93" i="26"/>
  <c r="CN22"/>
  <c r="CT14" i="1"/>
  <c r="CT15" s="1"/>
  <c r="AQ82" i="26"/>
  <c r="Q81" i="36"/>
  <c r="CM35" i="38"/>
  <c r="CK35" i="1"/>
  <c r="AH104" i="38"/>
  <c r="CH38" i="39"/>
  <c r="CI104" i="37"/>
  <c r="CI106" s="1"/>
  <c r="AA99"/>
  <c r="CA35" i="26"/>
  <c r="AP72" i="1"/>
  <c r="CT55" i="25"/>
  <c r="CO99" i="41"/>
  <c r="J38" i="26"/>
  <c r="L68" i="40"/>
  <c r="BW35" i="37"/>
  <c r="CZ31" i="25"/>
  <c r="AD76" i="1"/>
  <c r="BS51" i="39"/>
  <c r="CP72" i="26"/>
  <c r="CA14" i="37"/>
  <c r="CA15" s="1"/>
  <c r="CF19" i="25"/>
  <c r="CD99" i="40"/>
  <c r="BU11" i="36"/>
  <c r="BU15" s="1"/>
  <c r="U46" i="1"/>
  <c r="AC46" i="41"/>
  <c r="AB51" i="38"/>
  <c r="AN104" i="26"/>
  <c r="K93" i="38"/>
  <c r="AI38" i="25"/>
  <c r="CP55" i="1"/>
  <c r="AL37" i="60"/>
  <c r="CA28" i="26"/>
  <c r="BT55" i="40"/>
  <c r="CZ63" i="1"/>
  <c r="AA76" i="41"/>
  <c r="AV99" i="38"/>
  <c r="N68" i="40"/>
  <c r="CL93" i="41"/>
  <c r="BJ21" i="37"/>
  <c r="BH22"/>
  <c r="AU82"/>
  <c r="AE35" i="26"/>
  <c r="BF37" i="39"/>
  <c r="AM38"/>
  <c r="BF38" s="1"/>
  <c r="CJ82" i="26"/>
  <c r="AD82"/>
  <c r="N76" i="36"/>
  <c r="BF61" i="1"/>
  <c r="CW68" i="25"/>
  <c r="DH48" i="41"/>
  <c r="AU19" i="39"/>
  <c r="AZ46" i="38"/>
  <c r="CA51" i="39"/>
  <c r="Q62" i="41"/>
  <c r="P63"/>
  <c r="AD22" i="38"/>
  <c r="AI35" i="39"/>
  <c r="CH68" i="36"/>
  <c r="P31" i="39"/>
  <c r="CW68"/>
  <c r="AW99" i="25"/>
  <c r="BR35" i="26"/>
  <c r="AS11"/>
  <c r="AS15" s="1"/>
  <c r="BD32"/>
  <c r="BV46" i="37"/>
  <c r="CS38" i="25"/>
  <c r="BW104"/>
  <c r="AY63" i="38"/>
  <c r="AA35" i="39"/>
  <c r="BH14"/>
  <c r="BJ12"/>
  <c r="CH38" i="37"/>
  <c r="CX22" i="40"/>
  <c r="DC11" i="37"/>
  <c r="CU93" i="38"/>
  <c r="CU106" s="1"/>
  <c r="G22" i="25"/>
  <c r="P19"/>
  <c r="DA93" i="26"/>
  <c r="CU22" i="36"/>
  <c r="AI93" i="38"/>
  <c r="CT93" i="26"/>
  <c r="DH34" i="36"/>
  <c r="BO35"/>
  <c r="CJ93" i="41"/>
  <c r="CK35" i="39"/>
  <c r="U46" i="37"/>
  <c r="BF30" i="25"/>
  <c r="BJ89" i="1"/>
  <c r="CZ22" i="36"/>
  <c r="L68" i="26"/>
  <c r="BW19" i="40"/>
  <c r="CO35" i="25"/>
  <c r="CT76"/>
  <c r="BC19" i="1"/>
  <c r="BO35" i="39"/>
  <c r="DH35" s="1"/>
  <c r="DH34"/>
  <c r="DA11" i="38"/>
  <c r="CN93" i="41"/>
  <c r="Y99" i="36"/>
  <c r="K35" i="39"/>
  <c r="CQ68" i="1"/>
  <c r="U72" i="25"/>
  <c r="AG35" i="38"/>
  <c r="BQ38" i="40"/>
  <c r="DH38" s="1"/>
  <c r="AV104" i="25"/>
  <c r="BE22" i="39"/>
  <c r="BB104"/>
  <c r="DA82"/>
  <c r="BU22" i="37"/>
  <c r="AP19" i="40"/>
  <c r="CB35" i="25"/>
  <c r="AK59" i="39"/>
  <c r="BL59" s="1"/>
  <c r="AA51" i="38"/>
  <c r="CC63"/>
  <c r="AN55"/>
  <c r="BJ26" i="37"/>
  <c r="BH28"/>
  <c r="AW46" i="40"/>
  <c r="AM51" i="36"/>
  <c r="BF48"/>
  <c r="CS51" i="40"/>
  <c r="CZ99" i="37"/>
  <c r="G38" i="38"/>
  <c r="Q37"/>
  <c r="BL37" s="1"/>
  <c r="CJ31" i="25"/>
  <c r="BI35" i="38"/>
  <c r="CM35" i="39"/>
  <c r="AD22" i="36"/>
  <c r="N63" i="1"/>
  <c r="J76" i="41"/>
  <c r="CB51" i="36"/>
  <c r="CB84" s="1"/>
  <c r="BQ28" i="25"/>
  <c r="CV104" i="41"/>
  <c r="X82" i="38"/>
  <c r="AQ99" i="39"/>
  <c r="P22" i="26"/>
  <c r="CU11" i="37"/>
  <c r="P38" i="41"/>
  <c r="DA14" i="36"/>
  <c r="DA15" s="1"/>
  <c r="CN93" i="25"/>
  <c r="CN106" s="1"/>
  <c r="BS11" i="38"/>
  <c r="DD35" i="1"/>
  <c r="L55" i="36"/>
  <c r="L84" s="1"/>
  <c r="CS31" i="38"/>
  <c r="AH55" i="25"/>
  <c r="DH103" i="40"/>
  <c r="DB46" i="36"/>
  <c r="AI93"/>
  <c r="AI106" s="1"/>
  <c r="BX72" i="1"/>
  <c r="BA46" i="25"/>
  <c r="H99"/>
  <c r="H106" s="1"/>
  <c r="AV14" i="39"/>
  <c r="AV15" s="1"/>
  <c r="AV40" s="1"/>
  <c r="CF93" i="25"/>
  <c r="CV38" i="1"/>
  <c r="Z82" i="26"/>
  <c r="CA63" i="25"/>
  <c r="U46" i="36"/>
  <c r="BE19" i="37"/>
  <c r="AR76" i="41"/>
  <c r="AN35" i="1"/>
  <c r="BF35" s="1"/>
  <c r="AU51" i="41"/>
  <c r="DA28" i="26"/>
  <c r="BC19"/>
  <c r="BB55"/>
  <c r="BB84" s="1"/>
  <c r="L63" i="40"/>
  <c r="AU14" i="36"/>
  <c r="BW38" i="39"/>
  <c r="J55" i="1"/>
  <c r="O35" i="26"/>
  <c r="CP14" i="38"/>
  <c r="CV72" i="1"/>
  <c r="CE63" i="25"/>
  <c r="CS14" i="1"/>
  <c r="AF28" i="39"/>
  <c r="CJ76"/>
  <c r="AY82" i="1"/>
  <c r="CQ93" i="40"/>
  <c r="BF54"/>
  <c r="BU31"/>
  <c r="AJ104" i="26"/>
  <c r="AN55" i="37"/>
  <c r="H63" i="40"/>
  <c r="DA22" i="26"/>
  <c r="DA40" s="1"/>
  <c r="DA19" i="1"/>
  <c r="BU19" i="26"/>
  <c r="CZ55" i="36"/>
  <c r="AG19" i="41"/>
  <c r="BC22" i="36"/>
  <c r="BS68" i="25"/>
  <c r="CG38" i="26"/>
  <c r="CG46"/>
  <c r="BS28" i="40"/>
  <c r="DC19" i="25"/>
  <c r="DE99" i="39"/>
  <c r="BW11" i="26"/>
  <c r="CK14" i="39"/>
  <c r="CD72" i="40"/>
  <c r="I76" i="37"/>
  <c r="AA22" i="41"/>
  <c r="L38" i="26"/>
  <c r="V35"/>
  <c r="CB19" i="1"/>
  <c r="CQ46" i="40"/>
  <c r="CN51" i="39"/>
  <c r="CN84" s="1"/>
  <c r="AN63" i="38"/>
  <c r="BH51" i="25"/>
  <c r="BJ51" s="1"/>
  <c r="BJ48"/>
  <c r="BS14" i="1"/>
  <c r="CJ28" i="41"/>
  <c r="AD63"/>
  <c r="CW51"/>
  <c r="CW84" s="1"/>
  <c r="BZ19" i="26"/>
  <c r="DF104" i="38"/>
  <c r="K35" i="26"/>
  <c r="CB72" i="1"/>
  <c r="O72" i="25"/>
  <c r="AT28" i="26"/>
  <c r="G82" i="41"/>
  <c r="Q79"/>
  <c r="CT76" i="40"/>
  <c r="AK34" i="41"/>
  <c r="S35"/>
  <c r="AA22" i="39"/>
  <c r="Z68" i="26"/>
  <c r="CN28" i="39"/>
  <c r="CH63" i="1"/>
  <c r="BD22" i="41"/>
  <c r="CH31" i="1"/>
  <c r="CH32" s="1"/>
  <c r="CF22" i="26"/>
  <c r="W38" i="41"/>
  <c r="CK46" i="1"/>
  <c r="CZ82" i="25"/>
  <c r="BF79" i="37"/>
  <c r="AM82"/>
  <c r="CF72" i="25"/>
  <c r="CR19" i="40"/>
  <c r="AP68" i="41"/>
  <c r="AY51" i="26"/>
  <c r="AX104" i="39"/>
  <c r="DF19" i="25"/>
  <c r="CE11" i="39"/>
  <c r="J46" i="25"/>
  <c r="BC55" i="36"/>
  <c r="BC84" s="1"/>
  <c r="CA38"/>
  <c r="L99" i="25"/>
  <c r="BW82" i="38"/>
  <c r="S76"/>
  <c r="AQ63" i="25"/>
  <c r="AS55" i="38"/>
  <c r="AV55" i="25"/>
  <c r="AO55"/>
  <c r="BF55" s="1"/>
  <c r="CX28" i="37"/>
  <c r="CE28" i="36"/>
  <c r="CS22" i="25"/>
  <c r="G22" i="41"/>
  <c r="AO55" i="1"/>
  <c r="AO84" s="1"/>
  <c r="AN55" i="39"/>
  <c r="CR28"/>
  <c r="BC82" i="38"/>
  <c r="AY63" i="40"/>
  <c r="BZ63"/>
  <c r="CE51"/>
  <c r="BD35" i="41"/>
  <c r="AD72" i="26"/>
  <c r="AQ35" i="40"/>
  <c r="L72" i="36"/>
  <c r="BY99" i="39"/>
  <c r="H76" i="38"/>
  <c r="AP22" i="41"/>
  <c r="G19" i="36"/>
  <c r="AR22" i="40"/>
  <c r="BV38" i="37"/>
  <c r="CS93" i="40"/>
  <c r="AJ72" i="37"/>
  <c r="DD19" i="36"/>
  <c r="DH75" i="38"/>
  <c r="BO76"/>
  <c r="CH22" i="40"/>
  <c r="BF61" i="38"/>
  <c r="BZ51"/>
  <c r="CK63" i="26"/>
  <c r="DC11" i="39"/>
  <c r="CS31" i="25"/>
  <c r="AW63"/>
  <c r="CC68" i="26"/>
  <c r="U19" i="25"/>
  <c r="CP82" i="39"/>
  <c r="BS14" i="40"/>
  <c r="AN68" i="25"/>
  <c r="AO28" i="26"/>
  <c r="DF76" i="40"/>
  <c r="DF84" s="1"/>
  <c r="U19"/>
  <c r="CW31" i="41"/>
  <c r="I68" i="26"/>
  <c r="G28" i="39"/>
  <c r="Q26"/>
  <c r="BL26" s="1"/>
  <c r="O55"/>
  <c r="DA93" i="40"/>
  <c r="AR82" i="41"/>
  <c r="CR28" i="37"/>
  <c r="CR32" s="1"/>
  <c r="M221" i="46"/>
  <c r="AT46" i="40"/>
  <c r="AN22" i="41"/>
  <c r="BF22" s="1"/>
  <c r="T46" i="1"/>
  <c r="BB46" i="40"/>
  <c r="AZ14" i="39"/>
  <c r="CS72" i="40"/>
  <c r="DB99" i="1"/>
  <c r="AS82" i="39"/>
  <c r="DE93" i="25"/>
  <c r="BI38" i="36"/>
  <c r="BV38" i="1"/>
  <c r="AS68" i="38"/>
  <c r="AB38" i="41"/>
  <c r="BV82" i="38"/>
  <c r="X72" i="39"/>
  <c r="BC19" i="41"/>
  <c r="AH14"/>
  <c r="AZ63"/>
  <c r="M55" i="37"/>
  <c r="CV51" i="38"/>
  <c r="BQ68" i="36"/>
  <c r="BW68" i="37"/>
  <c r="BW84" s="1"/>
  <c r="BY35" i="40"/>
  <c r="AV68" i="1"/>
  <c r="BQ72" i="40"/>
  <c r="DE82" i="39"/>
  <c r="BC82" i="25"/>
  <c r="AI104" i="39"/>
  <c r="Q54" i="36"/>
  <c r="AY93" i="38"/>
  <c r="BF93" s="1"/>
  <c r="AP11" i="36"/>
  <c r="BF59" i="39"/>
  <c r="BD46" i="25"/>
  <c r="L31" i="41"/>
  <c r="BY72" i="1"/>
  <c r="CX104"/>
  <c r="DF68" i="39"/>
  <c r="CV68"/>
  <c r="Z82" i="1"/>
  <c r="AS99" i="36"/>
  <c r="J104" i="39"/>
  <c r="CI68" i="1"/>
  <c r="DD51" i="39"/>
  <c r="CT76" i="1"/>
  <c r="AX11" i="39"/>
  <c r="CS35" i="36"/>
  <c r="DA93" i="37"/>
  <c r="DA106" s="1"/>
  <c r="BZ55" i="1"/>
  <c r="H104" i="38"/>
  <c r="O93" i="36"/>
  <c r="O106" s="1"/>
  <c r="K51"/>
  <c r="DD31" i="37"/>
  <c r="AM68" i="26"/>
  <c r="AI31" i="36"/>
  <c r="BQ68" i="37"/>
  <c r="T22" i="39"/>
  <c r="BF24" i="36"/>
  <c r="AO14" i="26"/>
  <c r="BC68" i="39"/>
  <c r="BY51" i="40"/>
  <c r="CP51" i="39"/>
  <c r="N46"/>
  <c r="AK61" i="25"/>
  <c r="BI14"/>
  <c r="BW22" i="1"/>
  <c r="K55" i="38"/>
  <c r="CX76" i="39"/>
  <c r="BY51" i="36"/>
  <c r="BW35" i="41"/>
  <c r="DE14" i="25"/>
  <c r="CN82" i="41"/>
  <c r="X35" i="39"/>
  <c r="BJ30" i="25"/>
  <c r="CH76" i="41"/>
  <c r="K93"/>
  <c r="K106" s="1"/>
  <c r="N104" i="25"/>
  <c r="CJ35" i="38"/>
  <c r="CD104" i="39"/>
  <c r="DE46"/>
  <c r="DF76" i="36"/>
  <c r="DH26" i="41"/>
  <c r="BO28"/>
  <c r="DH28" s="1"/>
  <c r="CU14" i="39"/>
  <c r="BE46" i="38"/>
  <c r="DE38" i="26"/>
  <c r="CK76" i="25"/>
  <c r="CK84" s="1"/>
  <c r="CB51" i="1"/>
  <c r="BJ60" i="26"/>
  <c r="BX76" i="36"/>
  <c r="BI68" i="37"/>
  <c r="CQ14" i="25"/>
  <c r="U76" i="37"/>
  <c r="AF35" i="1"/>
  <c r="CY68" i="40"/>
  <c r="CK104" i="26"/>
  <c r="CT63" i="25"/>
  <c r="BC82" i="36"/>
  <c r="BF34"/>
  <c r="AM35"/>
  <c r="BF35" s="1"/>
  <c r="CH68" i="37"/>
  <c r="AC104" i="25"/>
  <c r="BJ49" i="37"/>
  <c r="AG11" i="26"/>
  <c r="AE19" i="40"/>
  <c r="BX51" i="41"/>
  <c r="CI35" i="26"/>
  <c r="CR76" i="40"/>
  <c r="AF63" i="1"/>
  <c r="CN31" i="38"/>
  <c r="AP68" i="25"/>
  <c r="CE35" i="36"/>
  <c r="O46" i="1"/>
  <c r="BA104" i="36"/>
  <c r="AX72" i="38"/>
  <c r="AU99" i="40"/>
  <c r="CG93"/>
  <c r="DD104" i="38"/>
  <c r="AN104" i="37"/>
  <c r="AN106" s="1"/>
  <c r="CF76" i="38"/>
  <c r="AN63" i="25"/>
  <c r="BV35" i="37"/>
  <c r="CQ51" i="26"/>
  <c r="CQ84" s="1"/>
  <c r="AH82" i="37"/>
  <c r="CB28" i="1"/>
  <c r="AI35" i="41"/>
  <c r="CP46"/>
  <c r="BR46" i="38"/>
  <c r="CS63" i="36"/>
  <c r="BO63" i="39"/>
  <c r="DH57"/>
  <c r="T19" i="26"/>
  <c r="CO22" i="25"/>
  <c r="CG63"/>
  <c r="CL11"/>
  <c r="AW63" i="38"/>
  <c r="AT68" i="36"/>
  <c r="AF35" i="41"/>
  <c r="AV38" i="25"/>
  <c r="BC93" i="26"/>
  <c r="BC106" s="1"/>
  <c r="CW35" i="41"/>
  <c r="DB99" i="40"/>
  <c r="CX38" i="39"/>
  <c r="CR55" i="1"/>
  <c r="CR84" s="1"/>
  <c r="BF18" i="36"/>
  <c r="CE76" i="41"/>
  <c r="CE55" i="40"/>
  <c r="CE84" s="1"/>
  <c r="BC76" i="26"/>
  <c r="DH60" i="38"/>
  <c r="AF19" i="41"/>
  <c r="AE35"/>
  <c r="BQ31" i="26"/>
  <c r="BS19" i="39"/>
  <c r="CH38" i="1"/>
  <c r="AW76" i="26"/>
  <c r="H31" i="37"/>
  <c r="AQ31" i="36"/>
  <c r="W72" i="41"/>
  <c r="P35" i="26"/>
  <c r="AH22" i="25"/>
  <c r="CE93" i="26"/>
  <c r="BX28"/>
  <c r="AA28" i="39"/>
  <c r="K76" i="38"/>
  <c r="CM72" i="41"/>
  <c r="H55" i="38"/>
  <c r="J99"/>
  <c r="AW76" i="37"/>
  <c r="BJ18" i="25"/>
  <c r="AZ35" i="37"/>
  <c r="CO19" i="26"/>
  <c r="CW104" i="41"/>
  <c r="DE68" i="40"/>
  <c r="M31" i="37"/>
  <c r="DB28"/>
  <c r="Q92" i="41"/>
  <c r="DA68" i="38"/>
  <c r="AR22"/>
  <c r="CD38"/>
  <c r="CE51" i="25"/>
  <c r="CH14" i="38"/>
  <c r="CH15" s="1"/>
  <c r="AF76" i="25"/>
  <c r="X19" i="41"/>
  <c r="CV11" i="40"/>
  <c r="G51" i="1"/>
  <c r="Q48"/>
  <c r="DF72" i="25"/>
  <c r="CS63" i="41"/>
  <c r="CS84" s="1"/>
  <c r="BB38" i="26"/>
  <c r="DD68" i="40"/>
  <c r="CY35" i="36"/>
  <c r="AP38"/>
  <c r="CW51" i="39"/>
  <c r="CC68" i="1"/>
  <c r="CT72" i="36"/>
  <c r="AZ28" i="1"/>
  <c r="AZ32" s="1"/>
  <c r="AT11" i="37"/>
  <c r="AY104" i="38"/>
  <c r="BB51" i="41"/>
  <c r="AH38" i="1"/>
  <c r="BJ61" i="38"/>
  <c r="BB76" i="40"/>
  <c r="AG38" i="41"/>
  <c r="DD35" i="36"/>
  <c r="CA93" i="39"/>
  <c r="AF76"/>
  <c r="I68" i="1"/>
  <c r="AK30" i="39"/>
  <c r="AR72" i="25"/>
  <c r="CM82"/>
  <c r="CV14" i="36"/>
  <c r="CV15" s="1"/>
  <c r="CW11" i="40"/>
  <c r="BE68" i="39"/>
  <c r="BP76" i="41"/>
  <c r="CP68" i="1"/>
  <c r="AO104" i="25"/>
  <c r="CN46" i="40"/>
  <c r="AU63" i="39"/>
  <c r="AS55" i="25"/>
  <c r="CP72" i="41"/>
  <c r="AO104" i="36"/>
  <c r="CZ46" i="1"/>
  <c r="AT55" i="38"/>
  <c r="AT84" s="1"/>
  <c r="BC46" i="37"/>
  <c r="AJ31"/>
  <c r="W38" i="40"/>
  <c r="AS38"/>
  <c r="AB93" i="25"/>
  <c r="CA55" i="39"/>
  <c r="AS76" i="37"/>
  <c r="J72"/>
  <c r="Q72" s="1"/>
  <c r="AT22"/>
  <c r="AG22" i="25"/>
  <c r="G104" i="26"/>
  <c r="Q102"/>
  <c r="BB46" i="39"/>
  <c r="BC51" i="25"/>
  <c r="AT51" i="1"/>
  <c r="CL46" i="41"/>
  <c r="CL68" i="36"/>
  <c r="CJ76" i="26"/>
  <c r="Z76" i="40"/>
  <c r="CQ22"/>
  <c r="AV72" i="26"/>
  <c r="AA82"/>
  <c r="AS72" i="1"/>
  <c r="CX19" i="25"/>
  <c r="CY11" i="26"/>
  <c r="CY15" s="1"/>
  <c r="DE55" i="38"/>
  <c r="CI11" i="40"/>
  <c r="CF72" i="26"/>
  <c r="CF31" i="39"/>
  <c r="CB28" i="36"/>
  <c r="AG46"/>
  <c r="H28"/>
  <c r="H32" s="1"/>
  <c r="Z99" i="39"/>
  <c r="BI51"/>
  <c r="BV31" i="37"/>
  <c r="DD19" i="39"/>
  <c r="BI68" i="25"/>
  <c r="BC63" i="39"/>
  <c r="O82" i="38"/>
  <c r="AF76" i="26"/>
  <c r="CQ38" i="41"/>
  <c r="CD93"/>
  <c r="CN76"/>
  <c r="CF68" i="25"/>
  <c r="BJ62" i="1"/>
  <c r="AI104" i="40"/>
  <c r="AA76" i="38"/>
  <c r="P28" i="1"/>
  <c r="P32" s="1"/>
  <c r="CU55"/>
  <c r="CU84" s="1"/>
  <c r="AP19" i="26"/>
  <c r="CB31" i="40"/>
  <c r="AV46" i="25"/>
  <c r="CG28" i="37"/>
  <c r="AV35" i="26"/>
  <c r="L63" i="37"/>
  <c r="AH19" i="40"/>
  <c r="CR22" i="41"/>
  <c r="AZ72" i="38"/>
  <c r="AS63" i="40"/>
  <c r="P63" i="38"/>
  <c r="AS28" i="26"/>
  <c r="AC35" i="37"/>
  <c r="CO63" i="40"/>
  <c r="AD72" i="41"/>
  <c r="BY31" i="38"/>
  <c r="BY32" s="1"/>
  <c r="AR55" i="41"/>
  <c r="CW28"/>
  <c r="N68" i="38"/>
  <c r="BP63" i="26"/>
  <c r="CV35"/>
  <c r="N35" i="41"/>
  <c r="DE51"/>
  <c r="DE84" s="1"/>
  <c r="H22" i="25"/>
  <c r="DE14" i="39"/>
  <c r="AP11" i="1"/>
  <c r="AR51" i="25"/>
  <c r="CY93" i="1"/>
  <c r="BA68" i="25"/>
  <c r="CL55" i="38"/>
  <c r="Y35" i="40"/>
  <c r="AB82" i="39"/>
  <c r="BP35" i="25"/>
  <c r="AY68"/>
  <c r="BB51" i="36"/>
  <c r="DD68" i="26"/>
  <c r="CI72" i="1"/>
  <c r="BJ65" i="25"/>
  <c r="BH68"/>
  <c r="BJ68" s="1"/>
  <c r="J46" i="26"/>
  <c r="CI35" i="36"/>
  <c r="AZ55" i="39"/>
  <c r="AF14" i="25"/>
  <c r="AF15" s="1"/>
  <c r="BY38" i="37"/>
  <c r="AH55" i="26"/>
  <c r="AX93" i="25"/>
  <c r="DE28" i="40"/>
  <c r="CT19" i="26"/>
  <c r="CO51"/>
  <c r="DD55" i="41"/>
  <c r="CC72" i="37"/>
  <c r="BQ38" i="38"/>
  <c r="BA46" i="36"/>
  <c r="CD55" i="25"/>
  <c r="CK51" i="41"/>
  <c r="BD35" i="25"/>
  <c r="CS46" i="38"/>
  <c r="O99"/>
  <c r="DE46" i="37"/>
  <c r="AH46" i="1"/>
  <c r="AR38" i="38"/>
  <c r="AW22" i="26"/>
  <c r="AT38" i="37"/>
  <c r="DE55" i="41"/>
  <c r="BD28" i="26"/>
  <c r="N22" i="25"/>
  <c r="CC11" i="1"/>
  <c r="CY28" i="37"/>
  <c r="BW55" i="38"/>
  <c r="AJ72" i="25"/>
  <c r="CE63" i="40"/>
  <c r="BZ28" i="26"/>
  <c r="N31" i="1"/>
  <c r="AH68" i="36"/>
  <c r="DC35" i="38"/>
  <c r="AD31" i="41"/>
  <c r="AX46" i="1"/>
  <c r="AN72" i="26"/>
  <c r="AB51" i="39"/>
  <c r="U38" i="25"/>
  <c r="AJ99"/>
  <c r="AI19" i="26"/>
  <c r="AH22" i="37"/>
  <c r="H55" i="40"/>
  <c r="BB82" i="41"/>
  <c r="AP72" i="26"/>
  <c r="AO63" i="39"/>
  <c r="BB76" i="25"/>
  <c r="DF55"/>
  <c r="CH93" i="36"/>
  <c r="CH106" s="1"/>
  <c r="DH30" i="1"/>
  <c r="X31" i="37"/>
  <c r="W76" i="25"/>
  <c r="BY46" i="37"/>
  <c r="CC19" i="39"/>
  <c r="I31" i="1"/>
  <c r="P99" i="25"/>
  <c r="BE19" i="38"/>
  <c r="DE28" i="36"/>
  <c r="DE51" i="26"/>
  <c r="AR38" i="37"/>
  <c r="DF19" i="40"/>
  <c r="CE14" i="25"/>
  <c r="CY76" i="36"/>
  <c r="BX31" i="38"/>
  <c r="AZ68" i="37"/>
  <c r="AZ84" s="1"/>
  <c r="CY19" i="26"/>
  <c r="AD55" i="37"/>
  <c r="CV51" i="39"/>
  <c r="CR99" i="41"/>
  <c r="BY68" i="39"/>
  <c r="BC31" i="36"/>
  <c r="O99" i="25"/>
  <c r="O106" s="1"/>
  <c r="AU68" i="26"/>
  <c r="AU84" s="1"/>
  <c r="BX46" i="37"/>
  <c r="BP35"/>
  <c r="L55" i="39"/>
  <c r="L84" s="1"/>
  <c r="AC19" i="1"/>
  <c r="BR63"/>
  <c r="AA99" i="25"/>
  <c r="CY35" i="40"/>
  <c r="AC31" i="37"/>
  <c r="AS68" i="41"/>
  <c r="BT22" i="26"/>
  <c r="AS51" i="25"/>
  <c r="AS84" s="1"/>
  <c r="DE82" i="36"/>
  <c r="AI82" i="41"/>
  <c r="J31" i="36"/>
  <c r="AN51" i="1"/>
  <c r="CV55" i="26"/>
  <c r="BR22" i="25"/>
  <c r="CS14" i="37"/>
  <c r="CO31" i="25"/>
  <c r="CO32" s="1"/>
  <c r="AR31" i="41"/>
  <c r="AR32" s="1"/>
  <c r="V72" i="37"/>
  <c r="CX76" i="36"/>
  <c r="CM46"/>
  <c r="BS55" i="40"/>
  <c r="AB38" i="36"/>
  <c r="AX28" i="1"/>
  <c r="BJ34" i="26"/>
  <c r="BH35"/>
  <c r="BJ35" s="1"/>
  <c r="CG82" i="38"/>
  <c r="Z46" i="41"/>
  <c r="DE38" i="1"/>
  <c r="AB46" i="36"/>
  <c r="CZ35" i="41"/>
  <c r="CA82"/>
  <c r="AA99" i="39"/>
  <c r="AA106" s="1"/>
  <c r="G22" i="26"/>
  <c r="CB76" i="25"/>
  <c r="CJ55" i="38"/>
  <c r="BS51" i="37"/>
  <c r="CY82" i="1"/>
  <c r="DH62" i="41"/>
  <c r="O11" i="37"/>
  <c r="AY55"/>
  <c r="BB68"/>
  <c r="BH104" i="39"/>
  <c r="AR93" i="1"/>
  <c r="P82" i="40"/>
  <c r="H46" i="1"/>
  <c r="BV35" i="36"/>
  <c r="AY72" i="39"/>
  <c r="X99" i="1"/>
  <c r="DB14" i="25"/>
  <c r="L22" i="1"/>
  <c r="AR104" i="37"/>
  <c r="AJ51" i="41"/>
  <c r="CZ14" i="39"/>
  <c r="CZ15" s="1"/>
  <c r="BC38" i="36"/>
  <c r="O72" i="41"/>
  <c r="AK13" i="39"/>
  <c r="CR19" i="41"/>
  <c r="AA35" i="25"/>
  <c r="CA72"/>
  <c r="BZ31" i="26"/>
  <c r="BZ32" s="1"/>
  <c r="DF63" i="40"/>
  <c r="CJ51" i="26"/>
  <c r="BS72" i="38"/>
  <c r="BY55" i="41"/>
  <c r="BY84" s="1"/>
  <c r="BW93" i="37"/>
  <c r="AS55" i="26"/>
  <c r="P72"/>
  <c r="AA93" i="41"/>
  <c r="AA106" s="1"/>
  <c r="DA68" i="37"/>
  <c r="DA84" s="1"/>
  <c r="AD63" i="38"/>
  <c r="N11" i="36"/>
  <c r="AE11" i="40"/>
  <c r="BE14" i="26"/>
  <c r="Q65" i="41"/>
  <c r="G68"/>
  <c r="BZ46" i="39"/>
  <c r="U93" i="40"/>
  <c r="AT55" i="36"/>
  <c r="BA68" i="41"/>
  <c r="DC76" i="40"/>
  <c r="AW22" i="36"/>
  <c r="CV99" i="40"/>
  <c r="AN35" i="37"/>
  <c r="DC104" i="1"/>
  <c r="BA46" i="40"/>
  <c r="CV22" i="41"/>
  <c r="DF46" i="38"/>
  <c r="CP99" i="1"/>
  <c r="BS82" i="37"/>
  <c r="Q49" i="25"/>
  <c r="BD38" i="37"/>
  <c r="T51" i="25"/>
  <c r="AS72" i="40"/>
  <c r="CC63" i="1"/>
  <c r="CL46"/>
  <c r="BW35" i="26"/>
  <c r="CR99" i="1"/>
  <c r="G68" i="36"/>
  <c r="Q65"/>
  <c r="BU11" i="37"/>
  <c r="AF28" i="40"/>
  <c r="AF32" s="1"/>
  <c r="AF40" s="1"/>
  <c r="BD11"/>
  <c r="Z14" i="25"/>
  <c r="BS28" i="37"/>
  <c r="CH19" i="38"/>
  <c r="CH40" s="1"/>
  <c r="CR11" i="40"/>
  <c r="CH22" i="1"/>
  <c r="AP14" i="39"/>
  <c r="AP15" s="1"/>
  <c r="CO72"/>
  <c r="AJ11" i="26"/>
  <c r="CR93" i="40"/>
  <c r="CR106" s="1"/>
  <c r="AA38" i="37"/>
  <c r="CN28"/>
  <c r="CN32" s="1"/>
  <c r="CN40" s="1"/>
  <c r="CD38" i="39"/>
  <c r="CP68" i="36"/>
  <c r="AS99" i="37"/>
  <c r="K31" i="39"/>
  <c r="CF38" i="26"/>
  <c r="BS19" i="40"/>
  <c r="BA82" i="25"/>
  <c r="CS55"/>
  <c r="AE93" i="39"/>
  <c r="AQ55" i="26"/>
  <c r="AZ35" i="41"/>
  <c r="BZ28" i="38"/>
  <c r="AJ11" i="1"/>
  <c r="DD28" i="40"/>
  <c r="AJ22" i="37"/>
  <c r="CM104" i="41"/>
  <c r="AY38" i="26"/>
  <c r="U38" i="37"/>
  <c r="BT38" i="38"/>
  <c r="DC31" i="37"/>
  <c r="AH82" i="39"/>
  <c r="BF25" i="38"/>
  <c r="AS51" i="36"/>
  <c r="AI72"/>
  <c r="CW31" i="37"/>
  <c r="CJ82" i="41"/>
  <c r="BF60" i="26"/>
  <c r="BS63" i="36"/>
  <c r="BE63" i="40"/>
  <c r="AF11" i="1"/>
  <c r="AF15" s="1"/>
  <c r="CG82" i="26"/>
  <c r="CV22"/>
  <c r="P63" i="25"/>
  <c r="L46" i="39"/>
  <c r="AJ22" i="26"/>
  <c r="X46" i="36"/>
  <c r="BU104" i="1"/>
  <c r="AU22" i="40"/>
  <c r="DE19" i="25"/>
  <c r="G22" i="40"/>
  <c r="CR68" i="39"/>
  <c r="BJ59" i="1"/>
  <c r="AZ38"/>
  <c r="CH14" i="40"/>
  <c r="CQ11"/>
  <c r="BA19" i="38"/>
  <c r="BC38" i="40"/>
  <c r="BF18" i="38"/>
  <c r="AU68" i="1"/>
  <c r="O22" i="41"/>
  <c r="BD31"/>
  <c r="BA19" i="39"/>
  <c r="CL68"/>
  <c r="DC93" i="38"/>
  <c r="BF71" i="40"/>
  <c r="AM72"/>
  <c r="CP22" i="37"/>
  <c r="AU93" i="41"/>
  <c r="CT72" i="37"/>
  <c r="AD104" i="1"/>
  <c r="AY72" i="37"/>
  <c r="CR46" i="40"/>
  <c r="AX28" i="25"/>
  <c r="BV19" i="39"/>
  <c r="AI22" i="36"/>
  <c r="CI46" i="37"/>
  <c r="AH30" i="60"/>
  <c r="AK25" i="41"/>
  <c r="CY63" i="26"/>
  <c r="DC46" i="38"/>
  <c r="I99" i="1"/>
  <c r="AC72" i="39"/>
  <c r="BF91" i="1"/>
  <c r="BU68" i="39"/>
  <c r="AA14" i="38"/>
  <c r="CV35"/>
  <c r="BU31" i="25"/>
  <c r="CO68" i="38"/>
  <c r="CD63" i="1"/>
  <c r="BR76" i="26"/>
  <c r="DE63" i="41"/>
  <c r="BP72" i="38"/>
  <c r="CU72" i="36"/>
  <c r="AS35" i="38"/>
  <c r="CD93" i="1"/>
  <c r="CD106" s="1"/>
  <c r="BP76" i="39"/>
  <c r="H51" i="25"/>
  <c r="CP55" i="26"/>
  <c r="CP84" s="1"/>
  <c r="BW82"/>
  <c r="AC82" i="38"/>
  <c r="AF72" i="40"/>
  <c r="Q91"/>
  <c r="AE32"/>
  <c r="BF61" i="25"/>
  <c r="CA63" i="1"/>
  <c r="BE35" i="39"/>
  <c r="AD28" i="40"/>
  <c r="AD32" s="1"/>
  <c r="O93" i="37"/>
  <c r="DB72" i="36"/>
  <c r="CX51" i="39"/>
  <c r="CB93"/>
  <c r="H82" i="36"/>
  <c r="W76"/>
  <c r="AF28" i="1"/>
  <c r="CO93" i="41"/>
  <c r="CO106" s="1"/>
  <c r="Q37" i="26"/>
  <c r="G38"/>
  <c r="DE63" i="36"/>
  <c r="CV19" i="26"/>
  <c r="AP22" i="37"/>
  <c r="AX99" i="1"/>
  <c r="CK14" i="26"/>
  <c r="CK15" s="1"/>
  <c r="AZ72" i="1"/>
  <c r="DC11" i="41"/>
  <c r="CQ19" i="40"/>
  <c r="AA31" i="39"/>
  <c r="CB28" i="40"/>
  <c r="CB32" s="1"/>
  <c r="CB40" s="1"/>
  <c r="CZ22"/>
  <c r="CB104" i="25"/>
  <c r="BF45" i="39"/>
  <c r="AM46"/>
  <c r="AD104" i="36"/>
  <c r="BJ21" i="38"/>
  <c r="BH22"/>
  <c r="BT28" i="40"/>
  <c r="BT32" s="1"/>
  <c r="BT40" s="1"/>
  <c r="H14" i="41"/>
  <c r="CA22"/>
  <c r="BY82" i="37"/>
  <c r="AW99" i="26"/>
  <c r="CQ72" i="25"/>
  <c r="AT22" i="36"/>
  <c r="BT51" i="41"/>
  <c r="BT84" s="1"/>
  <c r="P72"/>
  <c r="AS55" i="40"/>
  <c r="CD46" i="25"/>
  <c r="CX63" i="39"/>
  <c r="AD93" i="36"/>
  <c r="CG11" i="25"/>
  <c r="DA38"/>
  <c r="AX38" i="40"/>
  <c r="K35" i="37"/>
  <c r="CX55" i="39"/>
  <c r="CO104" i="25"/>
  <c r="DD28" i="1"/>
  <c r="M51" i="38"/>
  <c r="CL31" i="26"/>
  <c r="CZ46"/>
  <c r="AU11" i="25"/>
  <c r="AU15" s="1"/>
  <c r="BF59" i="38"/>
  <c r="BV76" i="36"/>
  <c r="AW31"/>
  <c r="BT82" i="37"/>
  <c r="CT82" i="36"/>
  <c r="CB46" i="26"/>
  <c r="BH19" i="37"/>
  <c r="BJ17"/>
  <c r="AH28" i="25"/>
  <c r="AH32" s="1"/>
  <c r="AH40" s="1"/>
  <c r="BS82" i="38"/>
  <c r="CP22" i="26"/>
  <c r="CS68" i="1"/>
  <c r="AV93" i="36"/>
  <c r="DH26" i="40"/>
  <c r="BO28"/>
  <c r="DH103" i="1"/>
  <c r="AV51" i="26"/>
  <c r="AT68" i="25"/>
  <c r="AG28" i="40"/>
  <c r="Q29" i="36"/>
  <c r="BL29" s="1"/>
  <c r="G31"/>
  <c r="Q31" s="1"/>
  <c r="AB51" i="26"/>
  <c r="DE51" i="38"/>
  <c r="AY76" i="37"/>
  <c r="T55" i="41"/>
  <c r="AM93" i="26"/>
  <c r="BF89"/>
  <c r="CM11" i="37"/>
  <c r="CH31" i="38"/>
  <c r="CH32" s="1"/>
  <c r="CE99" i="39"/>
  <c r="DH60" i="37"/>
  <c r="AC99" i="36"/>
  <c r="AC106" s="1"/>
  <c r="CW76" i="26"/>
  <c r="CZ19" i="40"/>
  <c r="DA72" i="39"/>
  <c r="AA11" i="26"/>
  <c r="AA15" s="1"/>
  <c r="AA40" s="1"/>
  <c r="CT14" i="39"/>
  <c r="CT15" s="1"/>
  <c r="Y76" i="38"/>
  <c r="Y31"/>
  <c r="BZ68" i="36"/>
  <c r="CZ28"/>
  <c r="CZ32" s="1"/>
  <c r="BW63" i="1"/>
  <c r="AE68" i="40"/>
  <c r="T22"/>
  <c r="BD14" i="41"/>
  <c r="AV35" i="1"/>
  <c r="BD104" i="41"/>
  <c r="AO22" i="37"/>
  <c r="CX99" i="39"/>
  <c r="AT72" i="1"/>
  <c r="CS104"/>
  <c r="AR14" i="40"/>
  <c r="AR15" s="1"/>
  <c r="Y38" i="26"/>
  <c r="BE99" i="1"/>
  <c r="AN51" i="39"/>
  <c r="BY63" i="26"/>
  <c r="AV68" i="38"/>
  <c r="DB35" i="1"/>
  <c r="CU38" i="37"/>
  <c r="CI93" i="38"/>
  <c r="CI106" s="1"/>
  <c r="AV38" i="1"/>
  <c r="AN11" i="38"/>
  <c r="DB14" i="40"/>
  <c r="AT99" i="38"/>
  <c r="BU14" i="39"/>
  <c r="DE76" i="41"/>
  <c r="Z19" i="39"/>
  <c r="AF35" i="26"/>
  <c r="AW22" i="1"/>
  <c r="AF76" i="40"/>
  <c r="M38" i="26"/>
  <c r="CU35" i="36"/>
  <c r="AW51" i="41"/>
  <c r="X82"/>
  <c r="AY82" i="25"/>
  <c r="CQ99" i="26"/>
  <c r="CQ106" s="1"/>
  <c r="CN72" i="36"/>
  <c r="BX63" i="37"/>
  <c r="N14"/>
  <c r="N15" s="1"/>
  <c r="AY68" i="40"/>
  <c r="BI31" i="36"/>
  <c r="BC51" i="41"/>
  <c r="BJ30" i="38"/>
  <c r="CS28" i="39"/>
  <c r="BQ76" i="1"/>
  <c r="BJ59" i="40"/>
  <c r="BB35" i="41"/>
  <c r="CM35" i="37"/>
  <c r="CH63" i="40"/>
  <c r="CI76"/>
  <c r="AO55" i="26"/>
  <c r="DA38" i="41"/>
  <c r="AM93" i="25"/>
  <c r="AM106" s="1"/>
  <c r="BF89"/>
  <c r="BI22" i="36"/>
  <c r="CQ35" i="39"/>
  <c r="AZ11" i="36"/>
  <c r="BJ67" i="25"/>
  <c r="AX104" i="40"/>
  <c r="Q62" i="37"/>
  <c r="CM55" i="25"/>
  <c r="CP11" i="37"/>
  <c r="CI93" i="39"/>
  <c r="CZ99" i="25"/>
  <c r="CF104" i="26"/>
  <c r="CM14" i="40"/>
  <c r="CP63" i="37"/>
  <c r="BZ76" i="36"/>
  <c r="CA11" i="41"/>
  <c r="BA35" i="26"/>
  <c r="AM22" i="38"/>
  <c r="BF21"/>
  <c r="AN35" i="36"/>
  <c r="DB11" i="39"/>
  <c r="Y99" i="26"/>
  <c r="CU46"/>
  <c r="AR14" i="36"/>
  <c r="AR15" s="1"/>
  <c r="N72" i="40"/>
  <c r="BU82" i="1"/>
  <c r="CN63" i="37"/>
  <c r="CN84" s="1"/>
  <c r="CQ68"/>
  <c r="K104" i="26"/>
  <c r="CB72" i="37"/>
  <c r="CN31" i="36"/>
  <c r="AC72" i="40"/>
  <c r="BU28" i="1"/>
  <c r="AY22" i="39"/>
  <c r="BF25" i="1"/>
  <c r="BE46" i="37"/>
  <c r="AV35" i="41"/>
  <c r="BS55" i="36"/>
  <c r="CT14" i="26"/>
  <c r="CT15" s="1"/>
  <c r="CT40" s="1"/>
  <c r="AD93" i="1"/>
  <c r="H55" i="26"/>
  <c r="AO22"/>
  <c r="P14" i="25"/>
  <c r="CK76" i="40"/>
  <c r="BH35" i="41"/>
  <c r="BJ34"/>
  <c r="CM28" i="38"/>
  <c r="CF46"/>
  <c r="CL99" i="36"/>
  <c r="AU14" i="26"/>
  <c r="AU15" s="1"/>
  <c r="X11" i="38"/>
  <c r="AD46" i="36"/>
  <c r="BX11" i="38"/>
  <c r="BA22" i="37"/>
  <c r="AX38" i="1"/>
  <c r="AJ99" i="26"/>
  <c r="AP104" i="37"/>
  <c r="CQ93" i="38"/>
  <c r="CJ46"/>
  <c r="CH51" i="39"/>
  <c r="N51" i="40"/>
  <c r="AX99"/>
  <c r="AG82" i="26"/>
  <c r="AB31" i="37"/>
  <c r="BS55" i="26"/>
  <c r="AO99" i="39"/>
  <c r="CW11" i="25"/>
  <c r="L93" i="1"/>
  <c r="CR63" i="36"/>
  <c r="BR11" i="41"/>
  <c r="BC22" i="40"/>
  <c r="AV63" i="26"/>
  <c r="BB55" i="36"/>
  <c r="CR35" i="40"/>
  <c r="CE68" i="36"/>
  <c r="M290" i="46"/>
  <c r="M301" s="1"/>
  <c r="AP38" i="41"/>
  <c r="AK10" i="26"/>
  <c r="AM76" i="39"/>
  <c r="CB22" i="38"/>
  <c r="U72" i="40"/>
  <c r="AR72" i="1"/>
  <c r="AU99" i="38"/>
  <c r="BP104"/>
  <c r="AC31" i="36"/>
  <c r="DD14" i="26"/>
  <c r="AJ63" i="37"/>
  <c r="AX46" i="26"/>
  <c r="AT38" i="25"/>
  <c r="AE51" i="1"/>
  <c r="DF82" i="26"/>
  <c r="V19" i="38"/>
  <c r="CO82" i="26"/>
  <c r="DB28" i="1"/>
  <c r="DB32" s="1"/>
  <c r="DF35" i="41"/>
  <c r="DH49" i="1"/>
  <c r="BE68" i="40"/>
  <c r="BI72" i="39"/>
  <c r="CX14" i="1"/>
  <c r="CX15" s="1"/>
  <c r="CX40" s="1"/>
  <c r="DA14" i="26"/>
  <c r="BE14" i="1"/>
  <c r="AH35" i="25"/>
  <c r="CZ104" i="39"/>
  <c r="BU82" i="40"/>
  <c r="CE22"/>
  <c r="CP19" i="26"/>
  <c r="Z22" i="37"/>
  <c r="BI19" i="25"/>
  <c r="BP35" i="41"/>
  <c r="AR55" i="36"/>
  <c r="AR84" s="1"/>
  <c r="CM14" i="1"/>
  <c r="CM15" s="1"/>
  <c r="AO51" i="39"/>
  <c r="BW38" i="26"/>
  <c r="AG55" i="37"/>
  <c r="BJ18" i="1"/>
  <c r="AA31" i="38"/>
  <c r="DH66"/>
  <c r="Q10" i="1"/>
  <c r="AO104" i="39"/>
  <c r="I72" i="40"/>
  <c r="CX68" i="37"/>
  <c r="BD14" i="36"/>
  <c r="BD15" s="1"/>
  <c r="BZ46" i="26"/>
  <c r="AW22" i="25"/>
  <c r="DE55" i="39"/>
  <c r="CS99" i="37"/>
  <c r="CS106" s="1"/>
  <c r="AF19" i="36"/>
  <c r="CG82" i="40"/>
  <c r="AU35" i="39"/>
  <c r="X31"/>
  <c r="K63" i="25"/>
  <c r="K84" s="1"/>
  <c r="Z93" i="36"/>
  <c r="CK11" i="26"/>
  <c r="M63" i="39"/>
  <c r="CH51" i="40"/>
  <c r="CM11" i="38"/>
  <c r="K55" i="25"/>
  <c r="BU51" i="37"/>
  <c r="CK99" i="38"/>
  <c r="CO38" i="37"/>
  <c r="V28" i="41"/>
  <c r="O93" i="26"/>
  <c r="BR19" i="25"/>
  <c r="O51" i="40"/>
  <c r="BT35" i="26"/>
  <c r="AH72" i="39"/>
  <c r="AB76" i="38"/>
  <c r="AS63" i="41"/>
  <c r="AZ28" i="25"/>
  <c r="AT82" i="1"/>
  <c r="Y38" i="40"/>
  <c r="T35"/>
  <c r="AT63" i="1"/>
  <c r="BV19" i="40"/>
  <c r="L76" i="39"/>
  <c r="CI31" i="40"/>
  <c r="H14" i="25"/>
  <c r="CW14" i="41"/>
  <c r="BV28" i="25"/>
  <c r="BV32" s="1"/>
  <c r="BV40" s="1"/>
  <c r="AO38" i="40"/>
  <c r="CX35" i="38"/>
  <c r="BC35" i="41"/>
  <c r="BD68" i="36"/>
  <c r="BB76" i="1"/>
  <c r="O19" i="38"/>
  <c r="DF104" i="25"/>
  <c r="CF82" i="40"/>
  <c r="CC38" i="38"/>
  <c r="K76" i="39"/>
  <c r="CT38" i="40"/>
  <c r="AN22" i="37"/>
  <c r="AF14" i="38"/>
  <c r="BE46" i="26"/>
  <c r="BS63" i="39"/>
  <c r="CL104" i="26"/>
  <c r="DE22" i="25"/>
  <c r="CP99" i="37"/>
  <c r="CA99"/>
  <c r="AY19" i="41"/>
  <c r="DB63" i="37"/>
  <c r="BD63" i="41"/>
  <c r="BT14" i="37"/>
  <c r="BT15" s="1"/>
  <c r="G28" i="38"/>
  <c r="Q28" s="1"/>
  <c r="Q26"/>
  <c r="DF55" i="39"/>
  <c r="BJ54" i="37"/>
  <c r="AK30" i="26"/>
  <c r="N19" i="25"/>
  <c r="CB46" i="1"/>
  <c r="AJ28" i="26"/>
  <c r="CE51"/>
  <c r="U68" i="1"/>
  <c r="DF63" i="36"/>
  <c r="CB31" i="26"/>
  <c r="J31" i="40"/>
  <c r="DE31" i="38"/>
  <c r="BY38" i="1"/>
  <c r="CB99" i="36"/>
  <c r="CT22" i="40"/>
  <c r="I99" i="39"/>
  <c r="BV68" i="38"/>
  <c r="U63"/>
  <c r="CY76" i="25"/>
  <c r="K11" i="39"/>
  <c r="Q53" i="36"/>
  <c r="G55"/>
  <c r="AR31" i="37"/>
  <c r="DB55" i="38"/>
  <c r="J72" i="39"/>
  <c r="Q62" i="25"/>
  <c r="CB99" i="26"/>
  <c r="CJ72" i="37"/>
  <c r="BZ11"/>
  <c r="CJ68" i="25"/>
  <c r="AU82" i="38"/>
  <c r="AR72" i="39"/>
  <c r="AK26" i="26"/>
  <c r="S28"/>
  <c r="W35" i="25"/>
  <c r="CX93"/>
  <c r="CK51" i="26"/>
  <c r="DB46" i="37"/>
  <c r="I11" i="41"/>
  <c r="BW99" i="38"/>
  <c r="AN104"/>
  <c r="BF71" i="37"/>
  <c r="AM72"/>
  <c r="BF72" s="1"/>
  <c r="AX38" i="25"/>
  <c r="CA28" i="41"/>
  <c r="AQ31"/>
  <c r="AW55" i="37"/>
  <c r="CT19"/>
  <c r="CF55" i="1"/>
  <c r="DD14" i="41"/>
  <c r="BY72" i="40"/>
  <c r="G19" i="41"/>
  <c r="CH31"/>
  <c r="DB72" i="39"/>
  <c r="Z46" i="37"/>
  <c r="AY11" i="25"/>
  <c r="BJ10" i="37"/>
  <c r="BV32" i="41"/>
  <c r="BV31" i="36"/>
  <c r="X55" i="37"/>
  <c r="CA104" i="26"/>
  <c r="CE19" i="36"/>
  <c r="CE40" s="1"/>
  <c r="CB19" i="25"/>
  <c r="CL31" i="38"/>
  <c r="AK25"/>
  <c r="AY19" i="25"/>
  <c r="BI99" i="36"/>
  <c r="AH72" i="40"/>
  <c r="BY63" i="39"/>
  <c r="AV82" i="36"/>
  <c r="AM14"/>
  <c r="AF68" i="25"/>
  <c r="CT35" i="26"/>
  <c r="CC35" i="39"/>
  <c r="J38" i="40"/>
  <c r="DE76" i="25"/>
  <c r="AA38" i="38"/>
  <c r="U35" i="25"/>
  <c r="BT28" i="39"/>
  <c r="AO55" i="38"/>
  <c r="AU82" i="25"/>
  <c r="CS46" i="41"/>
  <c r="AI31"/>
  <c r="CO51" i="1"/>
  <c r="BI14" i="41"/>
  <c r="BI15" s="1"/>
  <c r="BI40" s="1"/>
  <c r="AY22" i="1"/>
  <c r="AI55" i="25"/>
  <c r="CG55" i="39"/>
  <c r="O46" i="38"/>
  <c r="CV99" i="36"/>
  <c r="BA19" i="37"/>
  <c r="Q27" i="1"/>
  <c r="AZ14" i="36"/>
  <c r="AZ15" s="1"/>
  <c r="AZ40" s="1"/>
  <c r="DB38"/>
  <c r="AS68" i="1"/>
  <c r="DC72" i="41"/>
  <c r="CF22" i="25"/>
  <c r="AY93"/>
  <c r="CD19" i="26"/>
  <c r="T55"/>
  <c r="V72" i="1"/>
  <c r="O104" i="41"/>
  <c r="BV72" i="40"/>
  <c r="I76" i="41"/>
  <c r="M76" i="37"/>
  <c r="DF93" i="26"/>
  <c r="DF106" s="1"/>
  <c r="CC11" i="38"/>
  <c r="DB51" i="36"/>
  <c r="CQ38" i="38"/>
  <c r="BF66" i="41"/>
  <c r="CY51" i="40"/>
  <c r="AA38"/>
  <c r="O14" i="36"/>
  <c r="CO38" i="41"/>
  <c r="CZ82" i="1"/>
  <c r="BY93" i="37"/>
  <c r="DF99" i="36"/>
  <c r="DF84" s="1"/>
  <c r="DB14" i="37"/>
  <c r="DB15" s="1"/>
  <c r="BF67" i="39"/>
  <c r="BA28"/>
  <c r="CL72"/>
  <c r="DD28" i="26"/>
  <c r="DD32" s="1"/>
  <c r="BW14" i="38"/>
  <c r="CI82" i="39"/>
  <c r="AI19" i="36"/>
  <c r="W35" i="1"/>
  <c r="CB11" i="36"/>
  <c r="K104" i="38"/>
  <c r="CT63" i="37"/>
  <c r="BC28" i="1"/>
  <c r="BC32" s="1"/>
  <c r="CE72" i="39"/>
  <c r="G35" i="36"/>
  <c r="Q34"/>
  <c r="BL34" s="1"/>
  <c r="CS19" i="38"/>
  <c r="AT68" i="41"/>
  <c r="AP22" i="40"/>
  <c r="N55"/>
  <c r="CU51" i="38"/>
  <c r="CU84" s="1"/>
  <c r="CO51" i="36"/>
  <c r="CN11" i="25"/>
  <c r="AJ38" i="26"/>
  <c r="CK68" i="40"/>
  <c r="BY104" i="41"/>
  <c r="W31" i="39"/>
  <c r="CY38" i="37"/>
  <c r="CL99" i="1"/>
  <c r="DC19" i="38"/>
  <c r="CE22" i="36"/>
  <c r="BF60" i="40"/>
  <c r="CK104" i="1"/>
  <c r="CR68" i="36"/>
  <c r="V31"/>
  <c r="AO93" i="1"/>
  <c r="AO106" s="1"/>
  <c r="CC22" i="36"/>
  <c r="M11" i="1"/>
  <c r="CF76" i="36"/>
  <c r="BZ51" i="40"/>
  <c r="Z38" i="25"/>
  <c r="AS22" i="39"/>
  <c r="BA104" i="25"/>
  <c r="W19"/>
  <c r="X46"/>
  <c r="BF34" i="37"/>
  <c r="AM35"/>
  <c r="CU51" i="25"/>
  <c r="AC35"/>
  <c r="AD22"/>
  <c r="CW93" i="39"/>
  <c r="BS31" i="36"/>
  <c r="BP76" i="26"/>
  <c r="AJ22" i="40"/>
  <c r="AF31"/>
  <c r="CO51" i="38"/>
  <c r="CO84" s="1"/>
  <c r="AA99"/>
  <c r="BA19" i="25"/>
  <c r="CC14" i="26"/>
  <c r="AG19" i="39"/>
  <c r="AY51" i="36"/>
  <c r="K55"/>
  <c r="CW14"/>
  <c r="AF55" i="26"/>
  <c r="DF104" i="40"/>
  <c r="BD68" i="37"/>
  <c r="X72"/>
  <c r="CJ63" i="39"/>
  <c r="BR63" i="40"/>
  <c r="I31" i="36"/>
  <c r="CA93"/>
  <c r="AP14"/>
  <c r="AP15" s="1"/>
  <c r="DF63" i="41"/>
  <c r="L68" i="1"/>
  <c r="AH14" i="40"/>
  <c r="M68" i="1"/>
  <c r="M84" s="1"/>
  <c r="BA72"/>
  <c r="AY11"/>
  <c r="AI68" i="26"/>
  <c r="DA99" i="41"/>
  <c r="CO22" i="37"/>
  <c r="CS55"/>
  <c r="CY72" i="26"/>
  <c r="BT93" i="38"/>
  <c r="CO82" i="25"/>
  <c r="CS38" i="1"/>
  <c r="AY51" i="41"/>
  <c r="P93" i="1"/>
  <c r="P106" s="1"/>
  <c r="CQ31" i="39"/>
  <c r="CQ32" s="1"/>
  <c r="CQ40" s="1"/>
  <c r="CM99"/>
  <c r="CE99" i="1"/>
  <c r="CX46" i="40"/>
  <c r="AN14" i="38"/>
  <c r="AN15" s="1"/>
  <c r="CR22" i="36"/>
  <c r="AI14" i="41"/>
  <c r="DF72"/>
  <c r="AV93" i="38"/>
  <c r="DB63" i="39"/>
  <c r="BB51" i="1"/>
  <c r="AS63" i="38"/>
  <c r="AF19" i="26"/>
  <c r="AH14" i="36"/>
  <c r="CP104" i="39"/>
  <c r="AA14"/>
  <c r="DB76" i="26"/>
  <c r="AA31" i="25"/>
  <c r="BD11" i="1"/>
  <c r="AV104"/>
  <c r="AC63" i="25"/>
  <c r="BJ27" i="1"/>
  <c r="CL19" i="41"/>
  <c r="CA99" i="39"/>
  <c r="CA106" s="1"/>
  <c r="Z19" i="1"/>
  <c r="CC68" i="39"/>
  <c r="Q71" i="41"/>
  <c r="G72"/>
  <c r="I14" i="36"/>
  <c r="I15" s="1"/>
  <c r="CS11"/>
  <c r="I35" i="38"/>
  <c r="Z46" i="26"/>
  <c r="U28" i="40"/>
  <c r="AE82" i="25"/>
  <c r="CJ104"/>
  <c r="CT51" i="38"/>
  <c r="AF55" i="39"/>
  <c r="CL46" i="36"/>
  <c r="CE11"/>
  <c r="AE76" i="40"/>
  <c r="DE104" i="36"/>
  <c r="BH51" i="39"/>
  <c r="BJ51" s="1"/>
  <c r="BJ48"/>
  <c r="AT51" i="41"/>
  <c r="AT84" s="1"/>
  <c r="AW93"/>
  <c r="AW106" s="1"/>
  <c r="BI11" i="36"/>
  <c r="BJ61" i="37"/>
  <c r="O31"/>
  <c r="CF35" i="25"/>
  <c r="Y28"/>
  <c r="CA72" i="37"/>
  <c r="BW46" i="25"/>
  <c r="BY19" i="39"/>
  <c r="AE11" i="25"/>
  <c r="O11" i="41"/>
  <c r="CT93"/>
  <c r="CT106" s="1"/>
  <c r="CC55" i="26"/>
  <c r="AU35" i="37"/>
  <c r="CA19" i="25"/>
  <c r="BE82" i="41"/>
  <c r="CX22" i="38"/>
  <c r="DH48" i="40"/>
  <c r="BD19" i="39"/>
  <c r="Q91" i="25"/>
  <c r="CV72"/>
  <c r="AT46" i="26"/>
  <c r="AX104" i="38"/>
  <c r="AY93" i="40"/>
  <c r="AY106" s="1"/>
  <c r="CX76" i="37"/>
  <c r="CO99" i="26"/>
  <c r="DE93" i="1"/>
  <c r="AJ19"/>
  <c r="BR63" i="39"/>
  <c r="CL14" i="25"/>
  <c r="AO72"/>
  <c r="BC38" i="38"/>
  <c r="DH57" i="37"/>
  <c r="BO63"/>
  <c r="X76" i="1"/>
  <c r="AA104" i="39"/>
  <c r="DF19" i="26"/>
  <c r="CS76" i="37"/>
  <c r="AR14" i="25"/>
  <c r="BR63" i="37"/>
  <c r="O68" i="40"/>
  <c r="BV22" i="26"/>
  <c r="CY93"/>
  <c r="BJ65" i="1"/>
  <c r="BH68"/>
  <c r="BJ68" s="1"/>
  <c r="BA55" i="41"/>
  <c r="K68" i="1"/>
  <c r="BJ61" i="25"/>
  <c r="AV31"/>
  <c r="AV32" s="1"/>
  <c r="AV40" s="1"/>
  <c r="AQ72"/>
  <c r="N46" i="41"/>
  <c r="CJ82" i="1"/>
  <c r="BE76" i="40"/>
  <c r="O19" i="26"/>
  <c r="DF28" i="41"/>
  <c r="BV76"/>
  <c r="BU93" i="1"/>
  <c r="BU106" s="1"/>
  <c r="AG63" i="41"/>
  <c r="BX93" i="25"/>
  <c r="DE104" i="1"/>
  <c r="DE106" s="1"/>
  <c r="CM22"/>
  <c r="CO51" i="25"/>
  <c r="AM46" i="38"/>
  <c r="BF45"/>
  <c r="CU31" i="26"/>
  <c r="CU32" s="1"/>
  <c r="AC46" i="36"/>
  <c r="M51"/>
  <c r="DC76"/>
  <c r="CF93" i="37"/>
  <c r="I28" i="41"/>
  <c r="I32" s="1"/>
  <c r="AS31" i="38"/>
  <c r="CF14" i="1"/>
  <c r="CF15" s="1"/>
  <c r="CQ31" i="36"/>
  <c r="CQ35"/>
  <c r="CK82" i="40"/>
  <c r="CY55" i="37"/>
  <c r="BA38" i="36"/>
  <c r="CQ19"/>
  <c r="CJ35" i="39"/>
  <c r="CA22" i="40"/>
  <c r="CU35" i="37"/>
  <c r="N35" i="39"/>
  <c r="AE35"/>
  <c r="CZ104" i="38"/>
  <c r="BX35" i="25"/>
  <c r="DD76" i="41"/>
  <c r="BC76" i="40"/>
  <c r="DD76" i="26"/>
  <c r="CX14" i="40"/>
  <c r="CX15" s="1"/>
  <c r="DE38" i="36"/>
  <c r="CO104" i="1"/>
  <c r="CO106" s="1"/>
  <c r="CE82" i="38"/>
  <c r="CR63" i="39"/>
  <c r="BC22" i="38"/>
  <c r="AG55" i="40"/>
  <c r="CD82" i="38"/>
  <c r="AN31" i="37"/>
  <c r="AZ51" i="36"/>
  <c r="Q27" i="40"/>
  <c r="BV63" i="39"/>
  <c r="P38" i="36"/>
  <c r="CQ93" i="37"/>
  <c r="Z35" i="41"/>
  <c r="CK93"/>
  <c r="CK106" s="1"/>
  <c r="AS82"/>
  <c r="AS76" i="40"/>
  <c r="BV76" i="39"/>
  <c r="Q92" i="1"/>
  <c r="CX22"/>
  <c r="AP14" i="40"/>
  <c r="AP15" s="1"/>
  <c r="AF82" i="25"/>
  <c r="CB104" i="38"/>
  <c r="DH67"/>
  <c r="BJ34" i="39"/>
  <c r="BH35"/>
  <c r="BJ35" s="1"/>
  <c r="CV22" i="1"/>
  <c r="BU11" i="38"/>
  <c r="CQ31"/>
  <c r="AP19" i="36"/>
  <c r="S82" i="39"/>
  <c r="BA22" i="38"/>
  <c r="H14" i="40"/>
  <c r="H15" s="1"/>
  <c r="G55" i="1"/>
  <c r="Q53"/>
  <c r="K19" i="25"/>
  <c r="AC19" i="37"/>
  <c r="AW99" i="39"/>
  <c r="BS72" i="25"/>
  <c r="I55" i="36"/>
  <c r="H104" i="26"/>
  <c r="DH37" i="39"/>
  <c r="BO38"/>
  <c r="AR99" i="1"/>
  <c r="BR76" i="38"/>
  <c r="X93" i="1"/>
  <c r="BV68" i="41"/>
  <c r="DH26" i="25"/>
  <c r="BO28"/>
  <c r="BY104" i="38"/>
  <c r="BY106" s="1"/>
  <c r="CK72" i="39"/>
  <c r="CC104" i="25"/>
  <c r="BZ93" i="40"/>
  <c r="BX72" i="37"/>
  <c r="BX84" s="1"/>
  <c r="AY11"/>
  <c r="AY15" s="1"/>
  <c r="CE19" i="41"/>
  <c r="BX63" i="25"/>
  <c r="BV68" i="36"/>
  <c r="AN38"/>
  <c r="H31" i="25"/>
  <c r="BX19" i="1"/>
  <c r="BF13" i="39"/>
  <c r="CR11"/>
  <c r="CL14" i="26"/>
  <c r="BV93" i="39"/>
  <c r="AM93" i="1"/>
  <c r="AM106" s="1"/>
  <c r="BF89"/>
  <c r="BJ21" i="40"/>
  <c r="BH22"/>
  <c r="AI82" i="25"/>
  <c r="AE46" i="1"/>
  <c r="CA104" i="41"/>
  <c r="BB68" i="38"/>
  <c r="CA93"/>
  <c r="CA106" s="1"/>
  <c r="Q75" i="1"/>
  <c r="G76"/>
  <c r="BY82"/>
  <c r="CS38" i="36"/>
  <c r="BQ31"/>
  <c r="BF37" i="25"/>
  <c r="AM38"/>
  <c r="DH67" i="39"/>
  <c r="AV63" i="41"/>
  <c r="N72" i="36"/>
  <c r="CJ31" i="1"/>
  <c r="AX19" i="41"/>
  <c r="AG37" i="60"/>
  <c r="Z49"/>
  <c r="F221" i="46"/>
  <c r="BH22" i="26"/>
  <c r="BJ22" s="1"/>
  <c r="BJ21"/>
  <c r="AD22" i="41"/>
  <c r="S104" i="26"/>
  <c r="BY55" i="37"/>
  <c r="BY84" s="1"/>
  <c r="BC68" i="36"/>
  <c r="CX76" i="41"/>
  <c r="N76" i="37"/>
  <c r="AU19" i="41"/>
  <c r="AH14" i="25"/>
  <c r="AH15" s="1"/>
  <c r="DA46" i="26"/>
  <c r="CS104" i="39"/>
  <c r="DD46" i="38"/>
  <c r="CN68" i="25"/>
  <c r="CX35" i="40"/>
  <c r="BZ46" i="36"/>
  <c r="AH76" i="40"/>
  <c r="AM51" i="37"/>
  <c r="AM84" s="1"/>
  <c r="BF48"/>
  <c r="BO35" i="1"/>
  <c r="DH34"/>
  <c r="AW51" i="38"/>
  <c r="Q10" i="26"/>
  <c r="BA63" i="41"/>
  <c r="BY99" i="1"/>
  <c r="CT82" i="40"/>
  <c r="AO38" i="25"/>
  <c r="CP55" i="38"/>
  <c r="Q34" i="25"/>
  <c r="BL34" s="1"/>
  <c r="G35"/>
  <c r="AN31" i="38"/>
  <c r="AR46" i="36"/>
  <c r="BU104" i="39"/>
  <c r="CB68"/>
  <c r="BX99" i="1"/>
  <c r="V82" i="37"/>
  <c r="BC63" i="41"/>
  <c r="CA38"/>
  <c r="Q59" i="36"/>
  <c r="AZ38" i="37"/>
  <c r="AD68" i="41"/>
  <c r="AD84" s="1"/>
  <c r="CD19" i="36"/>
  <c r="BQ104" i="37"/>
  <c r="DD51" i="38"/>
  <c r="AJ82" i="1"/>
  <c r="CX46" i="41"/>
  <c r="CU46" i="25"/>
  <c r="BC31" i="26"/>
  <c r="Y22" i="39"/>
  <c r="BZ99"/>
  <c r="CV31" i="38"/>
  <c r="J35" i="36"/>
  <c r="S31" i="39"/>
  <c r="AK29"/>
  <c r="AK13" i="1"/>
  <c r="DD72" i="36"/>
  <c r="DA76" i="38"/>
  <c r="AT35" i="36"/>
  <c r="H11" i="25"/>
  <c r="DE82" i="1"/>
  <c r="AK27" i="25"/>
  <c r="AZ72" i="39"/>
  <c r="AZ99" i="1"/>
  <c r="CM31" i="25"/>
  <c r="S82" i="41"/>
  <c r="P35"/>
  <c r="Y22" i="37"/>
  <c r="BI22" i="1"/>
  <c r="K14" i="36"/>
  <c r="K15" s="1"/>
  <c r="AI99" i="37"/>
  <c r="AI106" s="1"/>
  <c r="BD28" i="41"/>
  <c r="CF11" i="38"/>
  <c r="BS72" i="26"/>
  <c r="DH72" s="1"/>
  <c r="AX31" i="37"/>
  <c r="AN22" i="39"/>
  <c r="DB76" i="38"/>
  <c r="CK76" i="39"/>
  <c r="CJ72"/>
  <c r="BV99" i="41"/>
  <c r="K14" i="26"/>
  <c r="CT76"/>
  <c r="CF99"/>
  <c r="AU19" i="25"/>
  <c r="BA14" i="37"/>
  <c r="AI99" i="38"/>
  <c r="H63" i="26"/>
  <c r="AR55" i="1"/>
  <c r="AH19" i="38"/>
  <c r="O51" i="25"/>
  <c r="U93" i="26"/>
  <c r="BX31" i="25"/>
  <c r="BX32" s="1"/>
  <c r="AE55" i="36"/>
  <c r="Z46" i="40"/>
  <c r="AU46" i="38"/>
  <c r="BV93" i="36"/>
  <c r="AN35" i="38"/>
  <c r="H76" i="25"/>
  <c r="CY68"/>
  <c r="AV104" i="26"/>
  <c r="BR31"/>
  <c r="BB14" i="41"/>
  <c r="P32" i="37"/>
  <c r="CJ76" i="41"/>
  <c r="BF27" i="25"/>
  <c r="O11"/>
  <c r="BZ35" i="1"/>
  <c r="CY14" i="26"/>
  <c r="AJ22" i="1"/>
  <c r="I38" i="38"/>
  <c r="BE99" i="37"/>
  <c r="CY104" i="38"/>
  <c r="BW76" i="1"/>
  <c r="N11" i="41"/>
  <c r="DD93" i="38"/>
  <c r="CJ28" i="36"/>
  <c r="CJ32" s="1"/>
  <c r="DC38" i="26"/>
  <c r="J31" i="41"/>
  <c r="Q31" s="1"/>
  <c r="CU93" i="37"/>
  <c r="AB63"/>
  <c r="P19" i="38"/>
  <c r="CD35" i="40"/>
  <c r="AJ31" i="26"/>
  <c r="DE99" i="41"/>
  <c r="AR82" i="39"/>
  <c r="AD19" i="25"/>
  <c r="CB35" i="1"/>
  <c r="DB38"/>
  <c r="CS82" i="40"/>
  <c r="H76" i="37"/>
  <c r="CQ28" i="40"/>
  <c r="CQ32" s="1"/>
  <c r="AD22" i="37"/>
  <c r="CZ104" i="25"/>
  <c r="BC104" i="39"/>
  <c r="AS93" i="26"/>
  <c r="CM35" i="40"/>
  <c r="H14" i="36"/>
  <c r="BW99"/>
  <c r="AQ68" i="38"/>
  <c r="BF30" i="37"/>
  <c r="H82" i="40"/>
  <c r="CI38" i="1"/>
  <c r="CD51" i="37"/>
  <c r="DH49" i="40"/>
  <c r="CP104" i="41"/>
  <c r="P31" i="25"/>
  <c r="P32" s="1"/>
  <c r="AB76" i="40"/>
  <c r="CC19" i="1"/>
  <c r="BZ76" i="25"/>
  <c r="AR35" i="36"/>
  <c r="AE68" i="37"/>
  <c r="CI63" i="38"/>
  <c r="BV38" i="36"/>
  <c r="AJ68" i="37"/>
  <c r="AC14" i="26"/>
  <c r="BT93" i="36"/>
  <c r="BD55" i="40"/>
  <c r="CI11" i="39"/>
  <c r="CI15" s="1"/>
  <c r="CI40" s="1"/>
  <c r="BJ60"/>
  <c r="BW68" i="40"/>
  <c r="AA19" i="25"/>
  <c r="BD14" i="40"/>
  <c r="BT19"/>
  <c r="Z14" i="41"/>
  <c r="BC28" i="38"/>
  <c r="BC32" s="1"/>
  <c r="AO31" i="39"/>
  <c r="U63" i="25"/>
  <c r="O63" i="38"/>
  <c r="Z35" i="36"/>
  <c r="CQ46" i="1"/>
  <c r="CW35" i="36"/>
  <c r="CZ68" i="40"/>
  <c r="CZ84" s="1"/>
  <c r="CR51" i="41"/>
  <c r="Q49"/>
  <c r="CI11" i="38"/>
  <c r="AW104" i="41"/>
  <c r="BF24"/>
  <c r="BY19" i="37"/>
  <c r="AU72" i="1"/>
  <c r="AF68" i="36"/>
  <c r="CI63" i="41"/>
  <c r="CH68" i="40"/>
  <c r="T51" i="38"/>
  <c r="BB28" i="1"/>
  <c r="BB32" s="1"/>
  <c r="T55" i="37"/>
  <c r="BA82"/>
  <c r="DA55" i="38"/>
  <c r="BS82" i="36"/>
  <c r="AF55" i="40"/>
  <c r="BS93" i="37"/>
  <c r="CA22" i="36"/>
  <c r="AZ104" i="38"/>
  <c r="CD19" i="1"/>
  <c r="CF35" i="40"/>
  <c r="BH14" i="36"/>
  <c r="BJ12"/>
  <c r="BF18" i="26"/>
  <c r="CX104" i="40"/>
  <c r="CL19"/>
  <c r="AZ68" i="39"/>
  <c r="CH63"/>
  <c r="AO82" i="26"/>
  <c r="AU35" i="38"/>
  <c r="Y72" i="26"/>
  <c r="CT46" i="38"/>
  <c r="AI72" i="1"/>
  <c r="CE31" i="39"/>
  <c r="CU55" i="37"/>
  <c r="CG63" i="41"/>
  <c r="DB76"/>
  <c r="AU38" i="26"/>
  <c r="AO82" i="38"/>
  <c r="BF82" s="1"/>
  <c r="AN99" i="1"/>
  <c r="CD14" i="39"/>
  <c r="CM82" i="37"/>
  <c r="S35" i="38"/>
  <c r="AK34"/>
  <c r="AI55"/>
  <c r="AY72" i="36"/>
  <c r="AY46" i="37"/>
  <c r="CE93" i="40"/>
  <c r="CE106" s="1"/>
  <c r="P104" i="1"/>
  <c r="CD22" i="39"/>
  <c r="CC72" i="25"/>
  <c r="BX51" i="40"/>
  <c r="BX84" s="1"/>
  <c r="AG72" i="37"/>
  <c r="AN46"/>
  <c r="BC22"/>
  <c r="S82" i="25"/>
  <c r="CA104" i="36"/>
  <c r="AA31"/>
  <c r="J55" i="39"/>
  <c r="J84" s="1"/>
  <c r="CC72" i="26"/>
  <c r="M72" i="41"/>
  <c r="BC99" i="40"/>
  <c r="CN46" i="26"/>
  <c r="AK62" i="1"/>
  <c r="P104" i="36"/>
  <c r="DD38" i="26"/>
  <c r="BU38" i="25"/>
  <c r="AV19" i="37"/>
  <c r="K99" i="41"/>
  <c r="CW32"/>
  <c r="DH34"/>
  <c r="BO35"/>
  <c r="CI14" i="39"/>
  <c r="DC55" i="41"/>
  <c r="O82" i="37"/>
  <c r="AZ76"/>
  <c r="CH82" i="26"/>
  <c r="BV22" i="38"/>
  <c r="CR104"/>
  <c r="CP31" i="39"/>
  <c r="AK30" i="25"/>
  <c r="X22" i="37"/>
  <c r="BP72" i="36"/>
  <c r="DH72" s="1"/>
  <c r="AD72" i="25"/>
  <c r="AD51"/>
  <c r="I99" i="26"/>
  <c r="BE11"/>
  <c r="DB104"/>
  <c r="BB31" i="25"/>
  <c r="BX76" i="41"/>
  <c r="AQ72" i="1"/>
  <c r="BF72" s="1"/>
  <c r="AP46"/>
  <c r="BA93" i="39"/>
  <c r="CM68"/>
  <c r="CJ99"/>
  <c r="CR14" i="41"/>
  <c r="AS68" i="36"/>
  <c r="Q49" i="40"/>
  <c r="CN93" i="38"/>
  <c r="AG11" i="40"/>
  <c r="CK31" i="38"/>
  <c r="BJ58" i="26"/>
  <c r="CP46" i="39"/>
  <c r="BD46"/>
  <c r="BF30" i="40"/>
  <c r="AA68" i="41"/>
  <c r="Y28"/>
  <c r="Y32" s="1"/>
  <c r="J93"/>
  <c r="J106" s="1"/>
  <c r="AW76" i="38"/>
  <c r="AQ76" i="1"/>
  <c r="CP76" i="36"/>
  <c r="CL46" i="38"/>
  <c r="T19" i="40"/>
  <c r="L19" i="38"/>
  <c r="CR93" i="36"/>
  <c r="DC68"/>
  <c r="CW68" i="26"/>
  <c r="CU11" i="41"/>
  <c r="Z19" i="36"/>
  <c r="AF68" i="26"/>
  <c r="CF11" i="37"/>
  <c r="CM82" i="38"/>
  <c r="AY93" i="1"/>
  <c r="BU82" i="38"/>
  <c r="CD55" i="41"/>
  <c r="BT38" i="37"/>
  <c r="CD35" i="1"/>
  <c r="CC35" i="25"/>
  <c r="U28" i="26"/>
  <c r="BO31" i="25"/>
  <c r="DH29"/>
  <c r="Q30" i="36"/>
  <c r="BJ89" i="26"/>
  <c r="CN104" i="41"/>
  <c r="DH27" i="37"/>
  <c r="CL31" i="41"/>
  <c r="BR68" i="39"/>
  <c r="K11" i="37"/>
  <c r="CM93" i="1"/>
  <c r="BB11" i="36"/>
  <c r="AZ22"/>
  <c r="AS99" i="38"/>
  <c r="AR72" i="26"/>
  <c r="CI72" i="39"/>
  <c r="AE35" i="37"/>
  <c r="CS11" i="40"/>
  <c r="BU76" i="39"/>
  <c r="AX55" i="41"/>
  <c r="K104"/>
  <c r="BJ66" i="37"/>
  <c r="AD11" i="36"/>
  <c r="BF13" i="26"/>
  <c r="CG63" i="1"/>
  <c r="AG38" i="39"/>
  <c r="DD76"/>
  <c r="CQ99" i="25"/>
  <c r="DB35" i="26"/>
  <c r="CQ38"/>
  <c r="BF29" i="25"/>
  <c r="AM31"/>
  <c r="AM32" s="1"/>
  <c r="BI51" i="26"/>
  <c r="CU22" i="25"/>
  <c r="CD22" i="1"/>
  <c r="G99" i="26"/>
  <c r="G106" s="1"/>
  <c r="Q96"/>
  <c r="CD14" i="40"/>
  <c r="CP11" i="36"/>
  <c r="CN63" i="40"/>
  <c r="DA82" i="25"/>
  <c r="Z76" i="41"/>
  <c r="CL68" i="26"/>
  <c r="BE63"/>
  <c r="CH55" i="39"/>
  <c r="CL35" i="40"/>
  <c r="CE22" i="26"/>
  <c r="BS104" i="1"/>
  <c r="BS106" s="1"/>
  <c r="K22" i="39"/>
  <c r="DA82" i="36"/>
  <c r="BX22" i="1"/>
  <c r="CI28" i="38"/>
  <c r="CI32" s="1"/>
  <c r="BE99" i="26"/>
  <c r="BV82"/>
  <c r="DA31" i="37"/>
  <c r="CI104" i="38"/>
  <c r="AY93" i="39"/>
  <c r="BI22" i="41"/>
  <c r="AG46" i="39"/>
  <c r="CN46" i="25"/>
  <c r="AM28" i="39"/>
  <c r="BF26"/>
  <c r="DF51" i="37"/>
  <c r="DF84" s="1"/>
  <c r="AX104" i="41"/>
  <c r="DC28" i="25"/>
  <c r="K104" i="36"/>
  <c r="CK55" i="40"/>
  <c r="CK84" s="1"/>
  <c r="AJ63" i="1"/>
  <c r="BA55" i="37"/>
  <c r="L63" i="38"/>
  <c r="AT28" i="1"/>
  <c r="I99" i="37"/>
  <c r="I106" s="1"/>
  <c r="O63" i="39"/>
  <c r="CI14" i="36"/>
  <c r="AW72" i="41"/>
  <c r="AZ31" i="39"/>
  <c r="AR104" i="41"/>
  <c r="CJ72" i="1"/>
  <c r="AX28" i="39"/>
  <c r="S46" i="1"/>
  <c r="CI99" i="40"/>
  <c r="BV93" i="25"/>
  <c r="AS55" i="36"/>
  <c r="AD82" i="40"/>
  <c r="BI28" i="38"/>
  <c r="G68" i="1"/>
  <c r="Q65"/>
  <c r="BA99" i="38"/>
  <c r="CG55" i="1"/>
  <c r="CF72" i="38"/>
  <c r="BR31" i="37"/>
  <c r="CJ22"/>
  <c r="DH71" i="40"/>
  <c r="BO72"/>
  <c r="DH72" s="1"/>
  <c r="BD63" i="26"/>
  <c r="CU76" i="38"/>
  <c r="W68" i="26"/>
  <c r="P104" i="40"/>
  <c r="BY19" i="25"/>
  <c r="BA51" i="26"/>
  <c r="O19" i="41"/>
  <c r="BS14" i="25"/>
  <c r="BS15" s="1"/>
  <c r="I35" i="26"/>
  <c r="Q35" s="1"/>
  <c r="AD76" i="36"/>
  <c r="BF27"/>
  <c r="CZ63" i="37"/>
  <c r="BV28" i="41"/>
  <c r="BI72"/>
  <c r="AF93" i="25"/>
  <c r="AY35" i="36"/>
  <c r="BJ57"/>
  <c r="BH63"/>
  <c r="AE82" i="39"/>
  <c r="BS19" i="41"/>
  <c r="AC68" i="25"/>
  <c r="K72"/>
  <c r="DH30" i="41"/>
  <c r="CG63" i="40"/>
  <c r="AJ82" i="37"/>
  <c r="BJ30"/>
  <c r="CN68" i="1"/>
  <c r="V76" i="40"/>
  <c r="CX63" i="37"/>
  <c r="AA72" i="38"/>
  <c r="BD76" i="1"/>
  <c r="AV104" i="36"/>
  <c r="AV106" s="1"/>
  <c r="BV104" i="41"/>
  <c r="BB63" i="39"/>
  <c r="AA82" i="37"/>
  <c r="CP82" i="41"/>
  <c r="M22"/>
  <c r="AO22" i="38"/>
  <c r="CQ76" i="26"/>
  <c r="AJ19" i="36"/>
  <c r="DD11" i="37"/>
  <c r="CF99" i="38"/>
  <c r="BJ13" i="25"/>
  <c r="CE76" i="40"/>
  <c r="Z35" i="1"/>
  <c r="BI68" i="36"/>
  <c r="AD28" i="25"/>
  <c r="AS99" i="41"/>
  <c r="CF35" i="1"/>
  <c r="DE63" i="38"/>
  <c r="DE84" s="1"/>
  <c r="AV38" i="39"/>
  <c r="H22" i="1"/>
  <c r="CM51" i="41"/>
  <c r="CH31" i="26"/>
  <c r="CH32" s="1"/>
  <c r="CL99" i="39"/>
  <c r="CL106" s="1"/>
  <c r="AC19" i="26"/>
  <c r="CA104" i="25"/>
  <c r="CN14" i="41"/>
  <c r="DC72" i="26"/>
  <c r="BT51" i="37"/>
  <c r="AN19" i="39"/>
  <c r="AF31" i="26"/>
  <c r="P46" i="37"/>
  <c r="DD22" i="41"/>
  <c r="CU19" i="39"/>
  <c r="CK31" i="26"/>
  <c r="CK32" s="1"/>
  <c r="CK40" s="1"/>
  <c r="Y38" i="38"/>
  <c r="CB99" i="1"/>
  <c r="BD99" i="38"/>
  <c r="AT93" i="25"/>
  <c r="S104" i="37"/>
  <c r="BZ72" i="38"/>
  <c r="Z31" i="40"/>
  <c r="AS99" i="25"/>
  <c r="CT11" i="37"/>
  <c r="BT68" i="40"/>
  <c r="L35" i="37"/>
  <c r="CH104" i="26"/>
  <c r="CI35" i="25"/>
  <c r="BW38" i="41"/>
  <c r="AP82" i="26"/>
  <c r="CY76" i="40"/>
  <c r="U63" i="39"/>
  <c r="I82" i="1"/>
  <c r="AT99" i="41"/>
  <c r="CU68"/>
  <c r="K22" i="40"/>
  <c r="H72" i="39"/>
  <c r="BT68" i="26"/>
  <c r="P99" i="39"/>
  <c r="P106" s="1"/>
  <c r="CZ63" i="36"/>
  <c r="BI72" i="37"/>
  <c r="CG63" i="36"/>
  <c r="BJ17" i="41"/>
  <c r="BH19"/>
  <c r="CY76" i="1"/>
  <c r="DH62" i="36"/>
  <c r="CX38" i="41"/>
  <c r="CU28" i="40"/>
  <c r="I51" i="1"/>
  <c r="AD46" i="41"/>
  <c r="M19" i="39"/>
  <c r="AO46" i="1"/>
  <c r="BQ31" i="40"/>
  <c r="DF82" i="36"/>
  <c r="BD38" i="26"/>
  <c r="BQ63"/>
  <c r="AG19" i="40"/>
  <c r="CK55" i="36"/>
  <c r="CK84" s="1"/>
  <c r="CL46" i="39"/>
  <c r="DD82" i="1"/>
  <c r="CG19"/>
  <c r="AS11" i="38"/>
  <c r="AO22" i="41"/>
  <c r="BX35" i="40"/>
  <c r="BI19" i="38"/>
  <c r="CS76" i="39"/>
  <c r="CE11" i="25"/>
  <c r="DB82" i="1"/>
  <c r="AU38" i="37"/>
  <c r="H82" i="38"/>
  <c r="Q91" i="26"/>
  <c r="CP104"/>
  <c r="BB63" i="1"/>
  <c r="BF61" i="39"/>
  <c r="DE31" i="36"/>
  <c r="DE32" s="1"/>
  <c r="AK30" i="40"/>
  <c r="O35"/>
  <c r="AM46" i="26"/>
  <c r="BF46" s="1"/>
  <c r="BF45"/>
  <c r="J35" i="40"/>
  <c r="CL28" i="26"/>
  <c r="CL32" s="1"/>
  <c r="CP55" i="39"/>
  <c r="CP84" s="1"/>
  <c r="CR51" i="26"/>
  <c r="CL104" i="25"/>
  <c r="CH104" i="37"/>
  <c r="DC35" i="39"/>
  <c r="O76" i="41"/>
  <c r="CK38"/>
  <c r="AN76" i="37"/>
  <c r="Q62" i="39"/>
  <c r="BL62" s="1"/>
  <c r="CT82" i="1"/>
  <c r="AD63" i="39"/>
  <c r="DA31" i="38"/>
  <c r="AH63" i="25"/>
  <c r="AS19" i="39"/>
  <c r="DE99" i="25"/>
  <c r="CI72" i="40"/>
  <c r="AY55" i="36"/>
  <c r="AY84" s="1"/>
  <c r="BV28" i="39"/>
  <c r="AX46"/>
  <c r="O76" i="26"/>
  <c r="Q79" i="40"/>
  <c r="G82"/>
  <c r="Q82" s="1"/>
  <c r="DF11" i="1"/>
  <c r="AQ31" i="26"/>
  <c r="BF81" i="39"/>
  <c r="CL28"/>
  <c r="AI46" i="41"/>
  <c r="BQ104" i="36"/>
  <c r="BB35" i="39"/>
  <c r="AN19" i="1"/>
  <c r="DC14" i="26"/>
  <c r="DF51" i="25"/>
  <c r="J51" i="37"/>
  <c r="CU19" i="36"/>
  <c r="BY38" i="25"/>
  <c r="BY38" i="41"/>
  <c r="Z22" i="1"/>
  <c r="DE99" i="36"/>
  <c r="AG28" i="37"/>
  <c r="Y51" i="26"/>
  <c r="X63" i="40"/>
  <c r="BD38" i="38"/>
  <c r="Q30" i="26"/>
  <c r="BP99" i="25"/>
  <c r="AV72"/>
  <c r="AR19" i="41"/>
  <c r="CU93" i="40"/>
  <c r="CE104" i="41"/>
  <c r="DD31" i="26"/>
  <c r="AG11" i="38"/>
  <c r="AG15" s="1"/>
  <c r="AJ72" i="39"/>
  <c r="BJ61" i="36"/>
  <c r="BF13" i="40"/>
  <c r="BV28" i="38"/>
  <c r="DH49" i="39"/>
  <c r="L19" i="26"/>
  <c r="CG72" i="41"/>
  <c r="CS55" i="26"/>
  <c r="BX46" i="1"/>
  <c r="P55" i="36"/>
  <c r="AN68" i="39"/>
  <c r="DD31" i="41"/>
  <c r="AA76" i="25"/>
  <c r="CN55" i="38"/>
  <c r="BQ104" i="40"/>
  <c r="AJ38" i="41"/>
  <c r="AQ72" i="36"/>
  <c r="AZ51" i="1"/>
  <c r="AE76" i="26"/>
  <c r="G35" i="41"/>
  <c r="Q34"/>
  <c r="BJ66" i="36"/>
  <c r="AZ68" i="26"/>
  <c r="AZ84" s="1"/>
  <c r="CZ76" i="40"/>
  <c r="CR63" i="41"/>
  <c r="AX76" i="37"/>
  <c r="BU35" i="26"/>
  <c r="AB28"/>
  <c r="DD82" i="41"/>
  <c r="N116" i="50"/>
  <c r="BR31" i="38"/>
  <c r="BR32" s="1"/>
  <c r="M93" i="41"/>
  <c r="DD14" i="36"/>
  <c r="BT76" i="38"/>
  <c r="CT31" i="36"/>
  <c r="CX35" i="25"/>
  <c r="DA82" i="37"/>
  <c r="BD72" i="40"/>
  <c r="BO72" i="37"/>
  <c r="DH72" s="1"/>
  <c r="DH71"/>
  <c r="CV11" i="1"/>
  <c r="AB19" i="41"/>
  <c r="AX99" i="26"/>
  <c r="AX31" i="25"/>
  <c r="AX32" s="1"/>
  <c r="DA35" i="1"/>
  <c r="BS99"/>
  <c r="BV51" i="41"/>
  <c r="BV84" s="1"/>
  <c r="BI31" i="26"/>
  <c r="CS31" i="36"/>
  <c r="BJ18" i="39"/>
  <c r="CJ63" i="25"/>
  <c r="BV35"/>
  <c r="CU14"/>
  <c r="J63" i="40"/>
  <c r="CP22" i="39"/>
  <c r="K51" i="37"/>
  <c r="K84" s="1"/>
  <c r="AS93" i="40"/>
  <c r="BI51" i="36"/>
  <c r="AG55" i="41"/>
  <c r="CH22" i="25"/>
  <c r="BF66"/>
  <c r="AK48" i="38"/>
  <c r="H31" i="39"/>
  <c r="H32" s="1"/>
  <c r="K93"/>
  <c r="CJ35" i="36"/>
  <c r="CK28" i="26"/>
  <c r="AN82" i="37"/>
  <c r="BF82" s="1"/>
  <c r="BX76" i="40"/>
  <c r="CC46" i="26"/>
  <c r="CM76"/>
  <c r="BE63" i="38"/>
  <c r="CJ99" i="1"/>
  <c r="BI51" i="37"/>
  <c r="AK27" i="41"/>
  <c r="BX28"/>
  <c r="DE31" i="25"/>
  <c r="DE32" s="1"/>
  <c r="Q58" i="26"/>
  <c r="T55" i="40"/>
  <c r="DD38" i="37"/>
  <c r="CT104" i="36"/>
  <c r="BV11" i="37"/>
  <c r="AA28" i="40"/>
  <c r="Y38" i="36"/>
  <c r="BZ51" i="25"/>
  <c r="CU55" i="36"/>
  <c r="J38" i="25"/>
  <c r="AW72" i="39"/>
  <c r="CM55" i="36"/>
  <c r="CM84" s="1"/>
  <c r="X82"/>
  <c r="CU76" i="37"/>
  <c r="BB104" i="25"/>
  <c r="CE28" i="26"/>
  <c r="BH68"/>
  <c r="BJ65"/>
  <c r="DD38" i="38"/>
  <c r="BZ14" i="37"/>
  <c r="BZ15" s="1"/>
  <c r="O93" i="38"/>
  <c r="BO28" i="1"/>
  <c r="BP104" i="25"/>
  <c r="DF19" i="41"/>
  <c r="DE82"/>
  <c r="BW76" i="37"/>
  <c r="AH93" i="1"/>
  <c r="CU19"/>
  <c r="CK11" i="39"/>
  <c r="BJ98" i="26"/>
  <c r="AU76" i="36"/>
  <c r="BI99" i="25"/>
  <c r="CJ31" i="41"/>
  <c r="CJ32" s="1"/>
  <c r="CJ40" s="1"/>
  <c r="BJ13" i="26"/>
  <c r="CT35" i="39"/>
  <c r="AC22" i="26"/>
  <c r="AC76" i="40"/>
  <c r="BV63" i="37"/>
  <c r="CZ99" i="39"/>
  <c r="DB72" i="40"/>
  <c r="CK35" i="37"/>
  <c r="BV11" i="39"/>
  <c r="DH29" i="1"/>
  <c r="BO31"/>
  <c r="DH31" s="1"/>
  <c r="CA46" i="39"/>
  <c r="CW76" i="41"/>
  <c r="CA38" i="1"/>
  <c r="P72" i="36"/>
  <c r="AR22" i="39"/>
  <c r="AJ14" i="36"/>
  <c r="AJ68" i="39"/>
  <c r="AV22" i="36"/>
  <c r="CD19" i="25"/>
  <c r="Y76" i="39"/>
  <c r="N93" i="37"/>
  <c r="CI31" i="38"/>
  <c r="DD35" i="37"/>
  <c r="CD82" i="1"/>
  <c r="L82" i="40"/>
  <c r="CH38" i="36"/>
  <c r="X68" i="26"/>
  <c r="BS68" i="38"/>
  <c r="DA11" i="39"/>
  <c r="Y38"/>
  <c r="CC35" i="37"/>
  <c r="DA14" i="40"/>
  <c r="U38" i="26"/>
  <c r="K93" i="40"/>
  <c r="CO28" i="38"/>
  <c r="CN99" i="26"/>
  <c r="CS28" i="1"/>
  <c r="BQ35" i="41"/>
  <c r="AT38" i="39"/>
  <c r="N22" i="40"/>
  <c r="AB35" i="38"/>
  <c r="J28" i="39"/>
  <c r="AH28" i="41"/>
  <c r="AH32" s="1"/>
  <c r="BB99" i="36"/>
  <c r="AC63" i="26"/>
  <c r="CT72"/>
  <c r="AJ82" i="36"/>
  <c r="P68" i="37"/>
  <c r="AW28" i="1"/>
  <c r="DE82" i="26"/>
  <c r="L31" i="38"/>
  <c r="AY93" i="26"/>
  <c r="P63"/>
  <c r="BE22" i="1"/>
  <c r="BI46" i="26"/>
  <c r="AH72" i="36"/>
  <c r="DC51" i="40"/>
  <c r="X63" i="39"/>
  <c r="CD28" i="38"/>
  <c r="AO46" i="40"/>
  <c r="CG14" i="39"/>
  <c r="CW28" i="40"/>
  <c r="CB68" i="26"/>
  <c r="CS72" i="25"/>
  <c r="BR68"/>
  <c r="DH37"/>
  <c r="BO38"/>
  <c r="X46" i="41"/>
  <c r="P11" i="36"/>
  <c r="CG55" i="25"/>
  <c r="DC72" i="37"/>
  <c r="BW104" i="41"/>
  <c r="BT31" i="38"/>
  <c r="BT32" s="1"/>
  <c r="CT51" i="1"/>
  <c r="BE104" i="26"/>
  <c r="AA76"/>
  <c r="AC11" i="36"/>
  <c r="U76"/>
  <c r="DF31" i="37"/>
  <c r="AX51" i="26"/>
  <c r="CJ35" i="41"/>
  <c r="AH19" i="26"/>
  <c r="I11" i="38"/>
  <c r="CC14" i="37"/>
  <c r="K28" i="38"/>
  <c r="CJ99" i="41"/>
  <c r="BP76" i="1"/>
  <c r="BD35" i="38"/>
  <c r="CM76" i="39"/>
  <c r="CD63" i="26"/>
  <c r="AZ68" i="41"/>
  <c r="DB22" i="26"/>
  <c r="BC22" i="41"/>
  <c r="AS19" i="25"/>
  <c r="AA28"/>
  <c r="CX55" i="36"/>
  <c r="BV63"/>
  <c r="DB22" i="25"/>
  <c r="AG22" i="38"/>
  <c r="Z19"/>
  <c r="Y93" i="1"/>
  <c r="CW68" i="41"/>
  <c r="J35" i="26"/>
  <c r="CH72" i="38"/>
  <c r="Z51" i="40"/>
  <c r="CL38" i="37"/>
  <c r="CR93" i="38"/>
  <c r="CA93" i="1"/>
  <c r="CA106" s="1"/>
  <c r="X19" i="36"/>
  <c r="AV46" i="38"/>
  <c r="CX63"/>
  <c r="BS104" i="37"/>
  <c r="CP93" i="38"/>
  <c r="BJ67" i="36"/>
  <c r="CM11" i="1"/>
  <c r="BJ25" i="41"/>
  <c r="CL19" i="1"/>
  <c r="Y68" i="26"/>
  <c r="AC22" i="41"/>
  <c r="BZ68" i="1"/>
  <c r="DC63" i="25"/>
  <c r="M14"/>
  <c r="M72" i="38"/>
  <c r="BZ72" i="1"/>
  <c r="AS14" i="40"/>
  <c r="AS15" s="1"/>
  <c r="DA72"/>
  <c r="W72" i="38"/>
  <c r="CD19"/>
  <c r="AK62" i="39"/>
  <c r="L28" i="37"/>
  <c r="DH61" i="40"/>
  <c r="X76" i="37"/>
  <c r="CA72" i="1"/>
  <c r="BA63" i="37"/>
  <c r="CC104" i="40"/>
  <c r="AP68" i="37"/>
  <c r="CK14" i="40"/>
  <c r="AB28" i="36"/>
  <c r="BH28" i="25"/>
  <c r="BJ26"/>
  <c r="CC104" i="41"/>
  <c r="BS55"/>
  <c r="CR72" i="40"/>
  <c r="AB93" i="39"/>
  <c r="AB106" s="1"/>
  <c r="M31" i="26"/>
  <c r="CV11"/>
  <c r="CH76" i="39"/>
  <c r="CU72" i="41"/>
  <c r="L76" i="37"/>
  <c r="AZ93" i="36"/>
  <c r="BW31" i="37"/>
  <c r="AI82" i="40"/>
  <c r="AE14" i="26"/>
  <c r="BT22" i="36"/>
  <c r="BD104" i="26"/>
  <c r="BT38" i="1"/>
  <c r="AC19" i="40"/>
  <c r="CN55" i="25"/>
  <c r="AY22" i="37"/>
  <c r="CJ35" i="25"/>
  <c r="CA11" i="38"/>
  <c r="DC46" i="25"/>
  <c r="AO22" i="36"/>
  <c r="CV82" i="25"/>
  <c r="BF79" i="36"/>
  <c r="AM82"/>
  <c r="V35" i="38"/>
  <c r="L51" i="1"/>
  <c r="Z31" i="36"/>
  <c r="CA55" i="25"/>
  <c r="AI28" i="38"/>
  <c r="Y63"/>
  <c r="CZ63" i="40"/>
  <c r="CF93"/>
  <c r="CV38" i="25"/>
  <c r="CN76"/>
  <c r="CC63" i="36"/>
  <c r="CD72" i="39"/>
  <c r="P99" i="40"/>
  <c r="P106" s="1"/>
  <c r="CF19" i="26"/>
  <c r="AJ19" i="39"/>
  <c r="DF14" i="26"/>
  <c r="DF15" s="1"/>
  <c r="Y31" i="39"/>
  <c r="AS51" i="37"/>
  <c r="DH58" i="41"/>
  <c r="AX51" i="36"/>
  <c r="CE55" i="26"/>
  <c r="DA46" i="25"/>
  <c r="CF19" i="37"/>
  <c r="AA38" i="39"/>
  <c r="Z35" i="26"/>
  <c r="L46"/>
  <c r="AF46" i="1"/>
  <c r="CL28" i="41"/>
  <c r="AB19" i="38"/>
  <c r="AB19" i="26"/>
  <c r="AO19" i="38"/>
  <c r="O72" i="39"/>
  <c r="CL93" i="36"/>
  <c r="CJ99" i="38"/>
  <c r="BF10" i="37"/>
  <c r="CE82" i="26"/>
  <c r="CZ35" i="1"/>
  <c r="DD19" i="25"/>
  <c r="CK55" i="39"/>
  <c r="BR82" i="1"/>
  <c r="BX51" i="25"/>
  <c r="BX84" s="1"/>
  <c r="G55" i="39"/>
  <c r="Q53"/>
  <c r="DH75"/>
  <c r="BO76"/>
  <c r="BF13" i="38"/>
  <c r="CQ82" i="37"/>
  <c r="AK10" i="39"/>
  <c r="AD22" i="1"/>
  <c r="AW35" i="36"/>
  <c r="AX82" i="41"/>
  <c r="AA55" i="25"/>
  <c r="CY46"/>
  <c r="AO51" i="38"/>
  <c r="BY19" i="26"/>
  <c r="Z46" i="38"/>
  <c r="BS28" i="39"/>
  <c r="O46" i="26"/>
  <c r="BV35" i="38"/>
  <c r="V46" i="1"/>
  <c r="BD28" i="38"/>
  <c r="BD32" s="1"/>
  <c r="BD40" s="1"/>
  <c r="Y35" i="41"/>
  <c r="AP38" i="39"/>
  <c r="BC19" i="37"/>
  <c r="BS14" i="36"/>
  <c r="AV14" i="26"/>
  <c r="P38" i="38"/>
  <c r="AP82" i="37"/>
  <c r="AR104" i="40"/>
  <c r="CR104" i="37"/>
  <c r="W14" i="60"/>
  <c r="BH38" i="39"/>
  <c r="BJ38" s="1"/>
  <c r="BJ37"/>
  <c r="DF99" i="37"/>
  <c r="DD72" i="38"/>
  <c r="AR32" i="26"/>
  <c r="T51" i="40"/>
  <c r="L82" i="39"/>
  <c r="H99"/>
  <c r="CL63" i="25"/>
  <c r="AN76"/>
  <c r="U35" i="39"/>
  <c r="CN19" i="36"/>
  <c r="I38" i="26"/>
  <c r="BP68" i="25"/>
  <c r="DH68" s="1"/>
  <c r="AT46" i="37"/>
  <c r="AA72" i="36"/>
  <c r="BJ57" i="40"/>
  <c r="BH63"/>
  <c r="O14" i="39"/>
  <c r="CI99" i="36"/>
  <c r="BA93" i="41"/>
  <c r="BU93"/>
  <c r="BU106" s="1"/>
  <c r="BE22" i="26"/>
  <c r="BJ34" i="38"/>
  <c r="BH35"/>
  <c r="BJ35" s="1"/>
  <c r="DE19"/>
  <c r="AZ63" i="37"/>
  <c r="AB31" i="26"/>
  <c r="BT72" i="41"/>
  <c r="AS99" i="1"/>
  <c r="M19" i="36"/>
  <c r="CM28" i="41"/>
  <c r="BS72" i="39"/>
  <c r="CP76" i="38"/>
  <c r="DB76" i="37"/>
  <c r="AX72" i="39"/>
  <c r="AN51" i="37"/>
  <c r="CB22" i="26"/>
  <c r="CE31" i="1"/>
  <c r="DC19" i="39"/>
  <c r="AS46"/>
  <c r="CT22" i="26"/>
  <c r="CC31" i="1"/>
  <c r="DF104" i="39"/>
  <c r="AC28"/>
  <c r="AC32" s="1"/>
  <c r="BC32" i="25"/>
  <c r="V76" i="26"/>
  <c r="CI46"/>
  <c r="AI93" i="41"/>
  <c r="BC55" i="40"/>
  <c r="J46"/>
  <c r="J63" i="1"/>
  <c r="O19" i="25"/>
  <c r="CD99" i="39"/>
  <c r="AK27" i="38"/>
  <c r="CP51" i="40"/>
  <c r="CW19" i="39"/>
  <c r="AW14" i="36"/>
  <c r="CD76"/>
  <c r="CB22" i="41"/>
  <c r="AV19" i="36"/>
  <c r="CS72" i="39"/>
  <c r="BR35" i="36"/>
  <c r="BV19" i="26"/>
  <c r="CW82"/>
  <c r="AI76"/>
  <c r="CR31" i="1"/>
  <c r="BY76" i="36"/>
  <c r="BY35" i="26"/>
  <c r="V63" i="37"/>
  <c r="AU68" i="40"/>
  <c r="M82" i="25"/>
  <c r="BV35" i="1"/>
  <c r="BF81" i="25"/>
  <c r="CQ14" i="37"/>
  <c r="BB104"/>
  <c r="CV55"/>
  <c r="CP14"/>
  <c r="CD82" i="40"/>
  <c r="BU93" i="36"/>
  <c r="BW68"/>
  <c r="DB63" i="26"/>
  <c r="DE22" i="37"/>
  <c r="BR35" i="1"/>
  <c r="CU76" i="25"/>
  <c r="AF28" i="37"/>
  <c r="AT55" i="26"/>
  <c r="AW51" i="39"/>
  <c r="Z55"/>
  <c r="CH38" i="25"/>
  <c r="CH55" i="41"/>
  <c r="DB11" i="26"/>
  <c r="CI55" i="1"/>
  <c r="S93" i="40"/>
  <c r="S106" s="1"/>
  <c r="AK89"/>
  <c r="CQ55" i="37"/>
  <c r="CJ22" i="41"/>
  <c r="AV22" i="38"/>
  <c r="DF38" i="36"/>
  <c r="CV99" i="26"/>
  <c r="BP38" i="39"/>
  <c r="AF63" i="40"/>
  <c r="X82" i="1"/>
  <c r="CZ14" i="26"/>
  <c r="BR99" i="36"/>
  <c r="AA35" i="1"/>
  <c r="CZ55" i="40"/>
  <c r="K72" i="37"/>
  <c r="AZ99" i="26"/>
  <c r="DH61" i="1"/>
  <c r="AI19" i="37"/>
  <c r="AQ82"/>
  <c r="AJ76" i="40"/>
  <c r="BB31" i="38"/>
  <c r="AR22" i="25"/>
  <c r="BD38" i="41"/>
  <c r="AS72" i="38"/>
  <c r="AW72" i="26"/>
  <c r="DA76" i="40"/>
  <c r="BJ21" i="36"/>
  <c r="BH22"/>
  <c r="AQ11" i="38"/>
  <c r="CM55"/>
  <c r="CE99" i="37"/>
  <c r="AY35" i="1"/>
  <c r="BE82" i="36"/>
  <c r="Q67" i="40"/>
  <c r="AU99" i="39"/>
  <c r="AG28" i="38"/>
  <c r="AG32" s="1"/>
  <c r="CY72" i="37"/>
  <c r="CS55" i="38"/>
  <c r="AW35" i="37"/>
  <c r="CY11" i="40"/>
  <c r="CY15" s="1"/>
  <c r="BR19" i="26"/>
  <c r="AA19" i="41"/>
  <c r="BS22" i="25"/>
  <c r="CA28" i="36"/>
  <c r="CA32" s="1"/>
  <c r="CA40" s="1"/>
  <c r="CF28" i="1"/>
  <c r="BY82" i="39"/>
  <c r="CE104" i="38"/>
  <c r="BJ62" i="40"/>
  <c r="N82" i="25"/>
  <c r="BR35" i="40"/>
  <c r="CM55"/>
  <c r="X22" i="36"/>
  <c r="N38" i="37"/>
  <c r="AV46" i="39"/>
  <c r="BT46" i="38"/>
  <c r="BT84" s="1"/>
  <c r="CI63" i="40"/>
  <c r="AI35" i="26"/>
  <c r="K82"/>
  <c r="U19" i="1"/>
  <c r="AX19" i="39"/>
  <c r="I35" i="40"/>
  <c r="AE104" i="37"/>
  <c r="BE104"/>
  <c r="AU11" i="40"/>
  <c r="AS22" i="36"/>
  <c r="BE14" i="25"/>
  <c r="BE15" s="1"/>
  <c r="CB82" i="39"/>
  <c r="CQ19" i="37"/>
  <c r="AX35" i="39"/>
  <c r="T99" i="26"/>
  <c r="AU76" i="39"/>
  <c r="CD31" i="41"/>
  <c r="BS55" i="38"/>
  <c r="CC51" i="37"/>
  <c r="CC84" s="1"/>
  <c r="BJ30" i="36"/>
  <c r="AY28" i="37"/>
  <c r="DB19" i="38"/>
  <c r="I31"/>
  <c r="Q31" s="1"/>
  <c r="DD46" i="41"/>
  <c r="CG72" i="36"/>
  <c r="AU38"/>
  <c r="CJ63" i="38"/>
  <c r="CL31" i="25"/>
  <c r="CL32" s="1"/>
  <c r="CK11" i="1"/>
  <c r="CH76"/>
  <c r="AW99" i="36"/>
  <c r="CA35" i="39"/>
  <c r="X21" i="60"/>
  <c r="L38" i="25"/>
  <c r="BE38" i="38"/>
  <c r="CQ31" i="1"/>
  <c r="L72" i="25"/>
  <c r="Q72" s="1"/>
  <c r="CO28" i="1"/>
  <c r="CO32" s="1"/>
  <c r="DE31" i="41"/>
  <c r="DA63" i="25"/>
  <c r="CI76"/>
  <c r="K28" i="36"/>
  <c r="J76" i="38"/>
  <c r="AX14" i="41"/>
  <c r="AC82"/>
  <c r="CC28" i="36"/>
  <c r="BH104" i="40"/>
  <c r="O28" i="26"/>
  <c r="AH28" i="38"/>
  <c r="AT31" i="40"/>
  <c r="AT32" s="1"/>
  <c r="BE68" i="37"/>
  <c r="AM51" i="25"/>
  <c r="BB11" i="38"/>
  <c r="BX38" i="40"/>
  <c r="BT72" i="37"/>
  <c r="AU35" i="36"/>
  <c r="DD99" i="26"/>
  <c r="X11" i="25"/>
  <c r="AG68" i="1"/>
  <c r="CW72" i="25"/>
  <c r="BI99" i="1"/>
  <c r="P68" i="26"/>
  <c r="CA51"/>
  <c r="CM38" i="40"/>
  <c r="DE11" i="1"/>
  <c r="N14" i="38"/>
  <c r="N15" s="1"/>
  <c r="AV55" i="26"/>
  <c r="M46" i="38"/>
  <c r="BB28" i="40"/>
  <c r="BB32" s="1"/>
  <c r="DE55"/>
  <c r="AJ55" i="37"/>
  <c r="I46" i="39"/>
  <c r="AV11" i="26"/>
  <c r="DE99" i="37"/>
  <c r="AU93" i="36"/>
  <c r="BB93" i="39"/>
  <c r="BB106" s="1"/>
  <c r="BX76" i="38"/>
  <c r="CI38"/>
  <c r="T31" i="1"/>
  <c r="BZ104" i="25"/>
  <c r="CZ35" i="40"/>
  <c r="BV99" i="26"/>
  <c r="AX82" i="38"/>
  <c r="AS28" i="40"/>
  <c r="BF28" s="1"/>
  <c r="BI35" i="36"/>
  <c r="AH11" i="39"/>
  <c r="AX93"/>
  <c r="T55" i="25"/>
  <c r="J82" i="26"/>
  <c r="DD38" i="25"/>
  <c r="K35" i="41"/>
  <c r="AT11" i="26"/>
  <c r="AR46" i="41"/>
  <c r="CR28"/>
  <c r="DD104"/>
  <c r="BX31" i="40"/>
  <c r="AZ72" i="26"/>
  <c r="CV28" i="36"/>
  <c r="W72" i="37"/>
  <c r="AU19" i="1"/>
  <c r="AU46" i="40"/>
  <c r="CB35" i="37"/>
  <c r="Y19" i="40"/>
  <c r="CA14" i="41"/>
  <c r="CA15" s="1"/>
  <c r="BR76" i="39"/>
  <c r="BZ99" i="1"/>
  <c r="CG31" i="25"/>
  <c r="AH46" i="38"/>
  <c r="AV82" i="41"/>
  <c r="BH22" i="25"/>
  <c r="BJ21"/>
  <c r="AH51" i="37"/>
  <c r="DF11" i="38"/>
  <c r="AM104" i="39"/>
  <c r="BF102"/>
  <c r="BY104" i="26"/>
  <c r="CI68" i="39"/>
  <c r="BX46"/>
  <c r="DF11" i="36"/>
  <c r="S63" i="41"/>
  <c r="AX55" i="36"/>
  <c r="Z82" i="38"/>
  <c r="DH103" i="41"/>
  <c r="AA72" i="25"/>
  <c r="CM99"/>
  <c r="BU99" i="37"/>
  <c r="BR72" i="26"/>
  <c r="AU14" i="37"/>
  <c r="Z46" i="36"/>
  <c r="CP31"/>
  <c r="CX104" i="39"/>
  <c r="W76" i="26"/>
  <c r="O28" i="1"/>
  <c r="DB76" i="25"/>
  <c r="AB63"/>
  <c r="Z63" i="26"/>
  <c r="AT76" i="25"/>
  <c r="CY35" i="26"/>
  <c r="CS19"/>
  <c r="CR82" i="25"/>
  <c r="BO38" i="41"/>
  <c r="DH37"/>
  <c r="BZ31" i="39"/>
  <c r="CR51" i="40"/>
  <c r="CR84" s="1"/>
  <c r="AX11" i="1"/>
  <c r="AX15" s="1"/>
  <c r="AX40" s="1"/>
  <c r="DD28" i="39"/>
  <c r="BW63" i="40"/>
  <c r="K35" i="1"/>
  <c r="L38" i="41"/>
  <c r="AJ38" i="36"/>
  <c r="CY31" i="41"/>
  <c r="DF68" i="38"/>
  <c r="AD22" i="26"/>
  <c r="W21" i="60"/>
  <c r="AH37"/>
  <c r="AI31" i="26"/>
  <c r="AI32" s="1"/>
  <c r="BA51" i="39"/>
  <c r="BQ104" i="1"/>
  <c r="AO82"/>
  <c r="BE35" i="36"/>
  <c r="AA22" i="26"/>
  <c r="CM31" i="38"/>
  <c r="AI55" i="37"/>
  <c r="AP31" i="36"/>
  <c r="DF93" i="39"/>
  <c r="DF106" s="1"/>
  <c r="U55" i="38"/>
  <c r="CQ51" i="37"/>
  <c r="CQ84" s="1"/>
  <c r="CT72" i="39"/>
  <c r="DD93" i="25"/>
  <c r="AX99" i="37"/>
  <c r="N76" i="26"/>
  <c r="S28" i="39"/>
  <c r="AK28" s="1"/>
  <c r="AK26"/>
  <c r="AU38" i="40"/>
  <c r="AB28" i="25"/>
  <c r="AB32" s="1"/>
  <c r="AO35" i="38"/>
  <c r="AX99"/>
  <c r="BF92" i="1"/>
  <c r="BV31" i="38"/>
  <c r="CH63" i="41"/>
  <c r="CH84" s="1"/>
  <c r="CO93" i="40"/>
  <c r="CF11" i="39"/>
  <c r="AK61" i="37"/>
  <c r="AD35" i="39"/>
  <c r="BR11" i="36"/>
  <c r="BA72" i="25"/>
  <c r="Y72" i="40"/>
  <c r="BQ63" i="37"/>
  <c r="DH63" s="1"/>
  <c r="BU35" i="41"/>
  <c r="AF82" i="1"/>
  <c r="BE38"/>
  <c r="CT68" i="40"/>
  <c r="Z72" i="1"/>
  <c r="CU93" i="25"/>
  <c r="AQ14" i="38"/>
  <c r="AQ15" s="1"/>
  <c r="AQ40" s="1"/>
  <c r="CN51" i="41"/>
  <c r="CN84" s="1"/>
  <c r="DB11" i="38"/>
  <c r="AJ68" i="36"/>
  <c r="AZ19"/>
  <c r="BH68" i="38"/>
  <c r="BJ68" s="1"/>
  <c r="BJ65"/>
  <c r="AV11" i="1"/>
  <c r="DH27" i="40"/>
  <c r="BA28" i="25"/>
  <c r="BA32" s="1"/>
  <c r="AC28"/>
  <c r="CN104" i="26"/>
  <c r="BI28" i="40"/>
  <c r="BI32" s="1"/>
  <c r="BC93"/>
  <c r="BC106" s="1"/>
  <c r="AB104"/>
  <c r="CU35" i="26"/>
  <c r="CG99" i="36"/>
  <c r="BU28" i="37"/>
  <c r="AC51" i="25"/>
  <c r="AW76" i="41"/>
  <c r="CF82" i="1"/>
  <c r="U76" i="40"/>
  <c r="BE31" i="39"/>
  <c r="CS82" i="36"/>
  <c r="CW93" i="38"/>
  <c r="CW106" s="1"/>
  <c r="CL99" i="26"/>
  <c r="CL106" s="1"/>
  <c r="AR68" i="37"/>
  <c r="AM19"/>
  <c r="BF17"/>
  <c r="BR76" i="40"/>
  <c r="BP76" i="38"/>
  <c r="M38" i="39"/>
  <c r="AM104" i="37"/>
  <c r="BF102"/>
  <c r="AF31" i="39"/>
  <c r="CT35" i="37"/>
  <c r="CJ22" i="25"/>
  <c r="AE14"/>
  <c r="CI68" i="36"/>
  <c r="CA11" i="40"/>
  <c r="H38" i="37"/>
  <c r="Z14" i="36"/>
  <c r="Z15" s="1"/>
  <c r="Z40" s="1"/>
  <c r="CL11" i="40"/>
  <c r="BS22" i="39"/>
  <c r="CX19" i="40"/>
  <c r="BU14" i="38"/>
  <c r="AP55" i="39"/>
  <c r="T99"/>
  <c r="CE55" i="37"/>
  <c r="AO38"/>
  <c r="CU46" i="36"/>
  <c r="BT68" i="39"/>
  <c r="L93" i="26"/>
  <c r="AD63" i="1"/>
  <c r="AQ63" i="41"/>
  <c r="BU46" i="37"/>
  <c r="CU72"/>
  <c r="CI38" i="41"/>
  <c r="AT14" i="25"/>
  <c r="AO31" i="1"/>
  <c r="BF31" s="1"/>
  <c r="BV19" i="36"/>
  <c r="DD104" i="39"/>
  <c r="BO63" i="38"/>
  <c r="DH57"/>
  <c r="BD82" i="1"/>
  <c r="CR28" i="25"/>
  <c r="CR32" s="1"/>
  <c r="BV55" i="36"/>
  <c r="BW11" i="37"/>
  <c r="AO93" i="26"/>
  <c r="J63" i="39"/>
  <c r="CP63" i="25"/>
  <c r="AW35" i="40"/>
  <c r="BP28" i="26"/>
  <c r="AK34"/>
  <c r="S35"/>
  <c r="AZ11" i="38"/>
  <c r="AY63" i="36"/>
  <c r="AX72"/>
  <c r="O28" i="37"/>
  <c r="BF24" i="39"/>
  <c r="CQ82" i="38"/>
  <c r="CL38" i="25"/>
  <c r="AN63" i="37"/>
  <c r="BY93" i="25"/>
  <c r="AC76" i="38"/>
  <c r="CO22" i="41"/>
  <c r="AD28" i="1"/>
  <c r="CH82" i="39"/>
  <c r="BP38" i="25"/>
  <c r="DH38" s="1"/>
  <c r="BS55"/>
  <c r="BE93"/>
  <c r="AC63" i="39"/>
  <c r="DE14" i="36"/>
  <c r="DE15" s="1"/>
  <c r="DE40" s="1"/>
  <c r="DA99"/>
  <c r="BC46" i="25"/>
  <c r="AN51" i="38"/>
  <c r="AN84" s="1"/>
  <c r="X11" i="36"/>
  <c r="AW19" i="40"/>
  <c r="CA93" i="25"/>
  <c r="CJ93" i="36"/>
  <c r="CF55"/>
  <c r="AE55" i="41"/>
  <c r="BI38" i="37"/>
  <c r="CO11" i="25"/>
  <c r="H55" i="37"/>
  <c r="AP28" i="25"/>
  <c r="K46" i="38"/>
  <c r="AN31" i="39"/>
  <c r="BF31" s="1"/>
  <c r="BD38"/>
  <c r="Q10" i="36"/>
  <c r="BJ29" i="1"/>
  <c r="BH31"/>
  <c r="BJ31" s="1"/>
  <c r="CO82" i="36"/>
  <c r="CV31" i="37"/>
  <c r="AC19" i="36"/>
  <c r="Q53" i="37"/>
  <c r="G55"/>
  <c r="BU11" i="1"/>
  <c r="BU22" i="36"/>
  <c r="CA63" i="40"/>
  <c r="CI35" i="39"/>
  <c r="CN31" i="41"/>
  <c r="CY31" i="39"/>
  <c r="AV35" i="37"/>
  <c r="AO68" i="1"/>
  <c r="P31" i="41"/>
  <c r="BZ31" i="38"/>
  <c r="DA35" i="26"/>
  <c r="P14"/>
  <c r="CO38" i="40"/>
  <c r="AC51" i="36"/>
  <c r="AC84" s="1"/>
  <c r="AQ68" i="40"/>
  <c r="M11"/>
  <c r="CZ104" i="1"/>
  <c r="V72" i="36"/>
  <c r="M22" i="25"/>
  <c r="BA51" i="36"/>
  <c r="CR38" i="39"/>
  <c r="CP82" i="38"/>
  <c r="O38" i="39"/>
  <c r="CP99"/>
  <c r="M46" i="36"/>
  <c r="DF35" i="26"/>
  <c r="CM82" i="36"/>
  <c r="H93" i="37"/>
  <c r="BU51" i="1"/>
  <c r="G46" i="36"/>
  <c r="Q46" s="1"/>
  <c r="Q45"/>
  <c r="DD22" i="25"/>
  <c r="CC76" i="39"/>
  <c r="DH27" i="25"/>
  <c r="BQ35" i="39"/>
  <c r="Q98"/>
  <c r="CH82" i="37"/>
  <c r="DC55" i="26"/>
  <c r="CV38" i="37"/>
  <c r="J11"/>
  <c r="Q61" i="39"/>
  <c r="AV93" i="25"/>
  <c r="AV106" s="1"/>
  <c r="CV22" i="36"/>
  <c r="CA22" i="26"/>
  <c r="Q79" i="36"/>
  <c r="G82"/>
  <c r="Q82" s="1"/>
  <c r="BP104" i="37"/>
  <c r="DF68" i="36"/>
  <c r="CL46" i="37"/>
  <c r="AY55" i="26"/>
  <c r="AY84" s="1"/>
  <c r="CA14" i="38"/>
  <c r="CA15" s="1"/>
  <c r="CA40" s="1"/>
  <c r="CA109" s="1"/>
  <c r="BZ28" i="37"/>
  <c r="O28" i="39"/>
  <c r="U72" i="26"/>
  <c r="BT63" i="1"/>
  <c r="BT38" i="39"/>
  <c r="BV76" i="25"/>
  <c r="CB46" i="40"/>
  <c r="CT35"/>
  <c r="H35" i="39"/>
  <c r="AA46" i="1"/>
  <c r="AC76" i="26"/>
  <c r="G93" i="25"/>
  <c r="Q89"/>
  <c r="J14" i="37"/>
  <c r="W35" i="40"/>
  <c r="T99" i="36"/>
  <c r="N104" i="39"/>
  <c r="CN51" i="38"/>
  <c r="AZ11" i="40"/>
  <c r="CK68" i="26"/>
  <c r="CK84" s="1"/>
  <c r="BI31" i="40"/>
  <c r="AD104"/>
  <c r="CN14" i="39"/>
  <c r="CN15" s="1"/>
  <c r="CN40" s="1"/>
  <c r="CV76" i="38"/>
  <c r="W72" i="25"/>
  <c r="AY99" i="40"/>
  <c r="BU82" i="25"/>
  <c r="AB68" i="36"/>
  <c r="CL51"/>
  <c r="DD82" i="40"/>
  <c r="CW14" i="37"/>
  <c r="BY28" i="39"/>
  <c r="AC55" i="26"/>
  <c r="AC84" s="1"/>
  <c r="CR11" i="36"/>
  <c r="L104" i="37"/>
  <c r="DE28"/>
  <c r="CV55" i="1"/>
  <c r="DE63" i="37"/>
  <c r="DE84" s="1"/>
  <c r="K31" i="36"/>
  <c r="BJ58" i="25"/>
  <c r="CT76" i="37"/>
  <c r="AY46" i="36"/>
  <c r="CV82"/>
  <c r="AP31" i="26"/>
  <c r="AT31" i="36"/>
  <c r="CS35" i="37"/>
  <c r="BX68" i="36"/>
  <c r="CB76" i="1"/>
  <c r="AY35" i="40"/>
  <c r="DD31" i="39"/>
  <c r="CR28" i="1"/>
  <c r="CR32" s="1"/>
  <c r="CB38" i="40"/>
  <c r="BJ49" i="1"/>
  <c r="CA68" i="25"/>
  <c r="CA99" i="38"/>
  <c r="AH38" i="41"/>
  <c r="AH72" i="37"/>
  <c r="DH67"/>
  <c r="AQ68"/>
  <c r="AO104" i="38"/>
  <c r="AN82" i="26"/>
  <c r="CP82" i="1"/>
  <c r="I38" i="40"/>
  <c r="CI72" i="36"/>
  <c r="CF11" i="40"/>
  <c r="P76" i="37"/>
  <c r="O35" i="41"/>
  <c r="AZ99" i="37"/>
  <c r="AZ106" s="1"/>
  <c r="J11" i="1"/>
  <c r="AM35" i="25"/>
  <c r="BF34"/>
  <c r="Y11" i="36"/>
  <c r="BQ76" i="38"/>
  <c r="DH76" s="1"/>
  <c r="CB72" i="25"/>
  <c r="N63" i="41"/>
  <c r="CJ19" i="26"/>
  <c r="BD72" i="25"/>
  <c r="DE104"/>
  <c r="CA55" i="40"/>
  <c r="BV14" i="36"/>
  <c r="BV15" s="1"/>
  <c r="BV40" s="1"/>
  <c r="CJ46" i="41"/>
  <c r="CH99" i="39"/>
  <c r="DB32" i="36"/>
  <c r="Z21" i="60"/>
  <c r="BD104" i="1"/>
  <c r="CF72" i="40"/>
  <c r="AW19" i="26"/>
  <c r="CJ82" i="40"/>
  <c r="CP22" i="1"/>
  <c r="AF63" i="37"/>
  <c r="BU63" i="38"/>
  <c r="BT63" i="36"/>
  <c r="BT84" s="1"/>
  <c r="CX51" i="41"/>
  <c r="M93" i="37"/>
  <c r="V93" i="25"/>
  <c r="CZ63"/>
  <c r="CM76" i="41"/>
  <c r="DD99" i="39"/>
  <c r="CV51" i="36"/>
  <c r="L51" i="37"/>
  <c r="AZ63" i="39"/>
  <c r="BS99" i="37"/>
  <c r="BW76" i="39"/>
  <c r="CD99" i="25"/>
  <c r="CD106" s="1"/>
  <c r="CL35" i="37"/>
  <c r="X19" i="1"/>
  <c r="I46" i="26"/>
  <c r="Q46" s="1"/>
  <c r="CN68" i="36"/>
  <c r="AX46"/>
  <c r="DB19"/>
  <c r="AF38" i="38"/>
  <c r="CS38"/>
  <c r="DB46" i="41"/>
  <c r="BS22" i="40"/>
  <c r="AD31" i="39"/>
  <c r="CU63" i="41"/>
  <c r="BY93" i="26"/>
  <c r="DD55" i="36"/>
  <c r="CH63"/>
  <c r="Q81" i="38"/>
  <c r="AI35" i="36"/>
  <c r="AA11" i="41"/>
  <c r="AA99"/>
  <c r="BF27" i="1"/>
  <c r="BL27" s="1"/>
  <c r="K51" i="25"/>
  <c r="AJ35" i="37"/>
  <c r="AB63" i="40"/>
  <c r="AU28" i="41"/>
  <c r="AU32" s="1"/>
  <c r="CI11"/>
  <c r="BY76" i="25"/>
  <c r="BS82" i="1"/>
  <c r="AE93" i="26"/>
  <c r="L51" i="38"/>
  <c r="CL38" i="41"/>
  <c r="L14" i="1"/>
  <c r="L15" s="1"/>
  <c r="L99"/>
  <c r="L106" s="1"/>
  <c r="Q91" i="41"/>
  <c r="BX14"/>
  <c r="AA55" i="39"/>
  <c r="AA84" s="1"/>
  <c r="AY38" i="41"/>
  <c r="X28" i="36"/>
  <c r="BH31" i="41"/>
  <c r="BJ29"/>
  <c r="AE38"/>
  <c r="DD63" i="1"/>
  <c r="BB68" i="39"/>
  <c r="BD46" i="41"/>
  <c r="BV14" i="40"/>
  <c r="BR82" i="41"/>
  <c r="CW76" i="25"/>
  <c r="BI11" i="1"/>
  <c r="BJ11" s="1"/>
  <c r="CJ68" i="41"/>
  <c r="N68" i="37"/>
  <c r="P63" i="39"/>
  <c r="CQ46"/>
  <c r="CT55" i="41"/>
  <c r="CG72" i="25"/>
  <c r="BD104" i="38"/>
  <c r="H76" i="1"/>
  <c r="Q76" s="1"/>
  <c r="CC55" i="36"/>
  <c r="CE19" i="39"/>
  <c r="CT11"/>
  <c r="CW31" i="38"/>
  <c r="CW32" s="1"/>
  <c r="BF59" i="26"/>
  <c r="CX55" i="38"/>
  <c r="J31"/>
  <c r="X55" i="1"/>
  <c r="CZ99" i="26"/>
  <c r="DB99"/>
  <c r="BJ59"/>
  <c r="CW14"/>
  <c r="CE99" i="38"/>
  <c r="CQ55" i="40"/>
  <c r="CF99" i="1"/>
  <c r="CS19"/>
  <c r="CI82" i="36"/>
  <c r="CR46" i="37"/>
  <c r="CK72" i="38"/>
  <c r="CU104" i="25"/>
  <c r="CW14" i="38"/>
  <c r="V38" i="1"/>
  <c r="CK99"/>
  <c r="AQ46" i="37"/>
  <c r="AV55" i="1"/>
  <c r="DB38" i="39"/>
  <c r="CW19" i="37"/>
  <c r="BB35" i="38"/>
  <c r="CW68" i="40"/>
  <c r="O38" i="26"/>
  <c r="AI99" i="36"/>
  <c r="AB99" i="41"/>
  <c r="DC104" i="40"/>
  <c r="DE104"/>
  <c r="CB82" i="36"/>
  <c r="BD76" i="26"/>
  <c r="AB35" i="37"/>
  <c r="P99" i="36"/>
  <c r="BY72" i="39"/>
  <c r="CT104"/>
  <c r="CC93"/>
  <c r="CH76" i="38"/>
  <c r="CJ82" i="39"/>
  <c r="CX11" i="26"/>
  <c r="O22" i="25"/>
  <c r="BF62"/>
  <c r="CN31" i="26"/>
  <c r="CA82"/>
  <c r="AZ35" i="38"/>
  <c r="CO31" i="1"/>
  <c r="Y99" i="41"/>
  <c r="AS38" i="25"/>
  <c r="BF38" s="1"/>
  <c r="CO55" i="39"/>
  <c r="Z31" i="1"/>
  <c r="CW38" i="41"/>
  <c r="AQ14" i="26"/>
  <c r="AQ15" s="1"/>
  <c r="AQ40" s="1"/>
  <c r="CM93" i="39"/>
  <c r="AG93" i="1"/>
  <c r="AC55" i="37"/>
  <c r="AU11" i="41"/>
  <c r="AU15" s="1"/>
  <c r="AU40" s="1"/>
  <c r="BD93" i="39"/>
  <c r="BD106" s="1"/>
  <c r="X46" i="26"/>
  <c r="AH76" i="38"/>
  <c r="BB28" i="36"/>
  <c r="CE63" i="41"/>
  <c r="AE38" i="38"/>
  <c r="CA35" i="36"/>
  <c r="BX82" i="37"/>
  <c r="BQ35" i="36"/>
  <c r="CE76" i="26"/>
  <c r="AR38" i="39"/>
  <c r="J28" i="38"/>
  <c r="CV11" i="36"/>
  <c r="O76" i="38"/>
  <c r="U28" i="39"/>
  <c r="U32" s="1"/>
  <c r="BJ17" i="26"/>
  <c r="BH19"/>
  <c r="AN76" i="36"/>
  <c r="AT28" i="41"/>
  <c r="CD22" i="38"/>
  <c r="BB51" i="39"/>
  <c r="AK29" i="26"/>
  <c r="S31"/>
  <c r="BX14" i="39"/>
  <c r="BX15" s="1"/>
  <c r="AK37" i="60"/>
  <c r="DC55" i="36"/>
  <c r="AZ72" i="41"/>
  <c r="BZ72" i="36"/>
  <c r="AU76" i="38"/>
  <c r="BV31" i="41"/>
  <c r="DF55" i="40"/>
  <c r="CA68" i="26"/>
  <c r="Z51" i="41"/>
  <c r="AW11" i="25"/>
  <c r="AG28"/>
  <c r="BR76"/>
  <c r="AO51" i="41"/>
  <c r="AO84" s="1"/>
  <c r="AD14" i="36"/>
  <c r="N72" i="1"/>
  <c r="CP104" i="36"/>
  <c r="BT14" i="1"/>
  <c r="BT15" s="1"/>
  <c r="AU22" i="25"/>
  <c r="BJ50" i="36"/>
  <c r="S104" i="1"/>
  <c r="AN72" i="38"/>
  <c r="N38" i="25"/>
  <c r="AU38" i="1"/>
  <c r="AD35" i="41"/>
  <c r="AF11" i="40"/>
  <c r="AP14" i="25"/>
  <c r="CM14" i="37"/>
  <c r="AQ11" i="40"/>
  <c r="BE99" i="25"/>
  <c r="BE106" s="1"/>
  <c r="DC72" i="40"/>
  <c r="X14" i="36"/>
  <c r="CT99"/>
  <c r="CZ72" i="38"/>
  <c r="BS104" i="25"/>
  <c r="DE104" i="37"/>
  <c r="CT11" i="38"/>
  <c r="AB46" i="1"/>
  <c r="AK10"/>
  <c r="H72" i="41"/>
  <c r="H290" i="46"/>
  <c r="H301" s="1"/>
  <c r="CZ68" i="38"/>
  <c r="N28"/>
  <c r="CS76" i="41"/>
  <c r="AG76" i="36"/>
  <c r="I55" i="41"/>
  <c r="AM72" i="1"/>
  <c r="BF71"/>
  <c r="AD55"/>
  <c r="AU99" i="41"/>
  <c r="J72" i="1"/>
  <c r="AT72" i="25"/>
  <c r="AM11" i="40"/>
  <c r="CK55" i="38"/>
  <c r="AP63" i="41"/>
  <c r="M11"/>
  <c r="Y82" i="38"/>
  <c r="BU55" i="26"/>
  <c r="AQ19"/>
  <c r="AT82" i="25"/>
  <c r="I104" i="39"/>
  <c r="DE38" i="38"/>
  <c r="BQ63"/>
  <c r="CW22"/>
  <c r="DF38" i="1"/>
  <c r="V63" i="39"/>
  <c r="AI82" i="1"/>
  <c r="Z55" i="25"/>
  <c r="X68" i="36"/>
  <c r="AC68" i="38"/>
  <c r="CX11" i="36"/>
  <c r="AJ104" i="41"/>
  <c r="AZ93"/>
  <c r="AZ106" s="1"/>
  <c r="AJ14" i="1"/>
  <c r="AJ15" s="1"/>
  <c r="AN55" i="36"/>
  <c r="P46" i="1"/>
  <c r="CT99" i="37"/>
  <c r="AV19" i="38"/>
  <c r="CG35"/>
  <c r="CD55" i="36"/>
  <c r="BU22" i="39"/>
  <c r="DF99" i="26"/>
  <c r="AQ19" i="41"/>
  <c r="J72" i="36"/>
  <c r="J82" i="41"/>
  <c r="Q82" s="1"/>
  <c r="CU31" i="1"/>
  <c r="AF82" i="36"/>
  <c r="BD38" i="1"/>
  <c r="DA93" i="25"/>
  <c r="BY76" i="38"/>
  <c r="CS14" i="36"/>
  <c r="CS15" s="1"/>
  <c r="CA22" i="39"/>
  <c r="I38" i="25"/>
  <c r="AF63"/>
  <c r="CF14" i="26"/>
  <c r="CF15" s="1"/>
  <c r="AN31" i="41"/>
  <c r="DD104" i="26"/>
  <c r="BF91" i="41"/>
  <c r="AS28" i="36"/>
  <c r="CN104" i="25"/>
  <c r="AA31" i="40"/>
  <c r="AA32" s="1"/>
  <c r="AA40" s="1"/>
  <c r="BU55" i="37"/>
  <c r="AU63" i="1"/>
  <c r="AU55" i="37"/>
  <c r="AG38" i="25"/>
  <c r="BA68" i="38"/>
  <c r="Q89" i="39"/>
  <c r="G93"/>
  <c r="AS19" i="37"/>
  <c r="T22" i="1"/>
  <c r="Q10" i="40"/>
  <c r="BF10" i="25"/>
  <c r="BO99"/>
  <c r="L55" i="38"/>
  <c r="L84" s="1"/>
  <c r="Y35"/>
  <c r="K99" i="36"/>
  <c r="U93" i="41"/>
  <c r="N76"/>
  <c r="CV35" i="40"/>
  <c r="BZ82" i="37"/>
  <c r="BV22" i="39"/>
  <c r="O31" i="41"/>
  <c r="O32" s="1"/>
  <c r="AB38" i="37"/>
  <c r="H14" i="26"/>
  <c r="AS46" i="37"/>
  <c r="L93" i="36"/>
  <c r="L106" s="1"/>
  <c r="AQ55" i="38"/>
  <c r="DB19" i="40"/>
  <c r="DD19" i="37"/>
  <c r="CU19" i="26"/>
  <c r="DH66" i="37"/>
  <c r="CP76" i="41"/>
  <c r="P31" i="26"/>
  <c r="P32" s="1"/>
  <c r="N19" i="1"/>
  <c r="CR82" i="36"/>
  <c r="BH35"/>
  <c r="BJ34"/>
  <c r="AD93" i="41"/>
  <c r="CF104" i="37"/>
  <c r="BH104" i="1"/>
  <c r="CS51" i="39"/>
  <c r="AU11" i="26"/>
  <c r="AP31" i="41"/>
  <c r="CS22" i="38"/>
  <c r="BY82" i="36"/>
  <c r="G31" i="1"/>
  <c r="Q29"/>
  <c r="DE38" i="40"/>
  <c r="AH82"/>
  <c r="BF79" i="41"/>
  <c r="AM82"/>
  <c r="Y11" i="26"/>
  <c r="BQ76"/>
  <c r="BC99" i="25"/>
  <c r="BT51" i="39"/>
  <c r="BU28" i="36"/>
  <c r="CK82" i="25"/>
  <c r="BT32" i="41"/>
  <c r="U76"/>
  <c r="BW35" i="40"/>
  <c r="DB46" i="38"/>
  <c r="AK30" i="1"/>
  <c r="BB63" i="36"/>
  <c r="H46" i="25"/>
  <c r="CP11"/>
  <c r="CM35" i="26"/>
  <c r="CI99" i="39"/>
  <c r="AT11" i="38"/>
  <c r="AK62" i="36"/>
  <c r="BL62" s="1"/>
  <c r="CP68" i="39"/>
  <c r="BB63" i="41"/>
  <c r="X28" i="37"/>
  <c r="X32" s="1"/>
  <c r="CZ55" i="38"/>
  <c r="CU104"/>
  <c r="AI19" i="41"/>
  <c r="Z28"/>
  <c r="CY31" i="1"/>
  <c r="CD46" i="26"/>
  <c r="O31" i="40"/>
  <c r="O32" s="1"/>
  <c r="CB93" i="25"/>
  <c r="CB106" s="1"/>
  <c r="CM19" i="39"/>
  <c r="BS76" i="38"/>
  <c r="H31"/>
  <c r="AU68"/>
  <c r="BQ35" i="25"/>
  <c r="DH35" s="1"/>
  <c r="AZ35" i="36"/>
  <c r="CE68" i="26"/>
  <c r="L63" i="36"/>
  <c r="CY46" i="1"/>
  <c r="AQ46" i="39"/>
  <c r="DA51" i="40"/>
  <c r="L104"/>
  <c r="N51" i="36"/>
  <c r="N84" s="1"/>
  <c r="CI68" i="40"/>
  <c r="BA22" i="25"/>
  <c r="CZ93" i="40"/>
  <c r="CZ106" s="1"/>
  <c r="AM35" i="39"/>
  <c r="BF34"/>
  <c r="Q54"/>
  <c r="Q17" i="26"/>
  <c r="BL17" s="1"/>
  <c r="G19"/>
  <c r="BS76" i="36"/>
  <c r="AP51" i="40"/>
  <c r="BB14"/>
  <c r="BB15" s="1"/>
  <c r="CR11" i="25"/>
  <c r="DF22" i="36"/>
  <c r="BO35" i="26"/>
  <c r="DH34"/>
  <c r="AG35" i="37"/>
  <c r="CT99" i="1"/>
  <c r="BI72" i="36"/>
  <c r="BF17"/>
  <c r="AM19"/>
  <c r="BF19" s="1"/>
  <c r="X68" i="40"/>
  <c r="T28" i="37"/>
  <c r="P46" i="41"/>
  <c r="CR104" i="39"/>
  <c r="AF104" i="38"/>
  <c r="AD55" i="39"/>
  <c r="Q65"/>
  <c r="G68"/>
  <c r="BT76" i="1"/>
  <c r="CH63" i="38"/>
  <c r="AQ46" i="36"/>
  <c r="CD76" i="40"/>
  <c r="W28" i="1"/>
  <c r="BE104"/>
  <c r="CX35" i="26"/>
  <c r="CC82" i="37"/>
  <c r="AW63" i="39"/>
  <c r="CH51" i="38"/>
  <c r="AD76" i="37"/>
  <c r="P38" i="39"/>
  <c r="AO76" i="26"/>
  <c r="BE19" i="25"/>
  <c r="CB93" i="37"/>
  <c r="CB106" s="1"/>
  <c r="CN31" i="25"/>
  <c r="BX38" i="39"/>
  <c r="CE14" i="36"/>
  <c r="CE15" s="1"/>
  <c r="DC51" i="25"/>
  <c r="Q67" i="37"/>
  <c r="CA19" i="41"/>
  <c r="BX51" i="37"/>
  <c r="DA46" i="41"/>
  <c r="AI35" i="37"/>
  <c r="BW28" i="25"/>
  <c r="AN72" i="39"/>
  <c r="BC46" i="41"/>
  <c r="CK11" i="40"/>
  <c r="CQ22" i="37"/>
  <c r="CI63" i="25"/>
  <c r="AE28" i="39"/>
  <c r="AE32" s="1"/>
  <c r="BV11" i="26"/>
  <c r="AQ51" i="1"/>
  <c r="AM46" i="40"/>
  <c r="BF45"/>
  <c r="CG55" i="36"/>
  <c r="BC55" i="1"/>
  <c r="DD93" i="37"/>
  <c r="AA55" i="36"/>
  <c r="AA84" s="1"/>
  <c r="CW14" i="1"/>
  <c r="Z28" i="38"/>
  <c r="BA63" i="40"/>
  <c r="AE30" i="60"/>
  <c r="CP104" i="25"/>
  <c r="AV104" i="41"/>
  <c r="CT28" i="36"/>
  <c r="N46" i="1"/>
  <c r="W31" i="40"/>
  <c r="CP38" i="36"/>
  <c r="CZ76"/>
  <c r="W72" i="1"/>
  <c r="X55" i="38"/>
  <c r="AU38"/>
  <c r="AH82" i="26"/>
  <c r="CD68" i="25"/>
  <c r="G72" i="39"/>
  <c r="Q71"/>
  <c r="H38" i="25"/>
  <c r="CP51" i="36"/>
  <c r="CP84" s="1"/>
  <c r="DA76"/>
  <c r="AP31" i="25"/>
  <c r="AM22" i="41"/>
  <c r="BF21"/>
  <c r="CD35" i="37"/>
  <c r="P99" i="1"/>
  <c r="BR28" i="38"/>
  <c r="BB82"/>
  <c r="M82" i="1"/>
  <c r="AD31"/>
  <c r="AD32" s="1"/>
  <c r="CJ68" i="39"/>
  <c r="L82" i="36"/>
  <c r="BJ98" i="41"/>
  <c r="AN76" i="1"/>
  <c r="CX104" i="26"/>
  <c r="DD11" i="1"/>
  <c r="DD15" s="1"/>
  <c r="DD40" s="1"/>
  <c r="BR82" i="40"/>
  <c r="AM22" i="25"/>
  <c r="BF21"/>
  <c r="CK31" i="41"/>
  <c r="CX28" i="38"/>
  <c r="CX32" s="1"/>
  <c r="BC28" i="36"/>
  <c r="AH72" i="41"/>
  <c r="AJ22" i="25"/>
  <c r="DB14" i="26"/>
  <c r="DB15" s="1"/>
  <c r="CW46" i="36"/>
  <c r="CB19" i="41"/>
  <c r="AF104" i="40"/>
  <c r="DA51" i="41"/>
  <c r="X28" i="1"/>
  <c r="N104" i="40"/>
  <c r="CE104" i="1"/>
  <c r="CE106" s="1"/>
  <c r="AQ38" i="25"/>
  <c r="CW55" i="36"/>
  <c r="CF55" i="37"/>
  <c r="CS32" i="38"/>
  <c r="CA38" i="37"/>
  <c r="BV76" i="1"/>
  <c r="AI14" i="39"/>
  <c r="AG104" i="38"/>
  <c r="AG63"/>
  <c r="CJ93" i="25"/>
  <c r="AP93" i="38"/>
  <c r="AZ35" i="39"/>
  <c r="CE38" i="26"/>
  <c r="BT63" i="37"/>
  <c r="BV11" i="41"/>
  <c r="CE14"/>
  <c r="BF66" i="38"/>
  <c r="CH35" i="37"/>
  <c r="Y76" i="25"/>
  <c r="AK61" i="26"/>
  <c r="BL61" s="1"/>
  <c r="AX35" i="38"/>
  <c r="AD93" i="25"/>
  <c r="AW11" i="40"/>
  <c r="CZ35" i="25"/>
  <c r="AC63" i="40"/>
  <c r="J76" i="36"/>
  <c r="AG11"/>
  <c r="AG15" s="1"/>
  <c r="CZ72" i="41"/>
  <c r="BW68" i="1"/>
  <c r="AP28"/>
  <c r="AP32" s="1"/>
  <c r="BW35" i="39"/>
  <c r="BX72" i="40"/>
  <c r="AZ72" i="36"/>
  <c r="AK89" i="38"/>
  <c r="S93"/>
  <c r="CQ51" i="25"/>
  <c r="BQ31" i="39"/>
  <c r="DF104" i="36"/>
  <c r="BA22" i="39"/>
  <c r="BC82" i="40"/>
  <c r="AR72" i="36"/>
  <c r="CG76" i="26"/>
  <c r="V76" i="1"/>
  <c r="H104" i="41"/>
  <c r="Q104" s="1"/>
  <c r="BS51" i="40"/>
  <c r="CK82" i="37"/>
  <c r="CQ63" i="26"/>
  <c r="AG104" i="41"/>
  <c r="CW46"/>
  <c r="AC31" i="26"/>
  <c r="AD68" i="39"/>
  <c r="CJ55" i="41"/>
  <c r="I63" i="1"/>
  <c r="CV14"/>
  <c r="CV19" i="25"/>
  <c r="CF82" i="36"/>
  <c r="V46" i="40"/>
  <c r="BJ45" i="1"/>
  <c r="BH46"/>
  <c r="BJ46" s="1"/>
  <c r="BZ28"/>
  <c r="BZ32" s="1"/>
  <c r="BX51" i="39"/>
  <c r="V19" i="25"/>
  <c r="CP55" i="40"/>
  <c r="CP84" s="1"/>
  <c r="CP22" i="41"/>
  <c r="M63" i="1"/>
  <c r="CB51" i="40"/>
  <c r="CB38" i="26"/>
  <c r="AO14" i="1"/>
  <c r="AO15" s="1"/>
  <c r="AB31" i="36"/>
  <c r="AB32" s="1"/>
  <c r="U31" i="39"/>
  <c r="BR55" i="37"/>
  <c r="BR84" s="1"/>
  <c r="AV63"/>
  <c r="CV35" i="36"/>
  <c r="AG76" i="41"/>
  <c r="O99" i="39"/>
  <c r="Q99" s="1"/>
  <c r="J99" i="41"/>
  <c r="BF30" i="36"/>
  <c r="DF99" i="41"/>
  <c r="AT76"/>
  <c r="AJ63" i="39"/>
  <c r="H28"/>
  <c r="CA11" i="37"/>
  <c r="DA46" i="40"/>
  <c r="CA104" i="38"/>
  <c r="AX31" i="36"/>
  <c r="BW76"/>
  <c r="AI68"/>
  <c r="N99" i="37"/>
  <c r="BY11" i="41"/>
  <c r="K35" i="38"/>
  <c r="BI22"/>
  <c r="DA93" i="1"/>
  <c r="V46" i="39"/>
  <c r="BB99" i="1"/>
  <c r="BF24" i="26"/>
  <c r="CG72" i="40"/>
  <c r="BB31" i="1"/>
  <c r="AV38" i="40"/>
  <c r="CS28" i="26"/>
  <c r="AI63"/>
  <c r="AO76" i="25"/>
  <c r="Q81" i="39"/>
  <c r="Q62" i="1"/>
  <c r="BS55" i="37"/>
  <c r="BF45" i="36"/>
  <c r="AM46"/>
  <c r="BF46" s="1"/>
  <c r="I68" i="37"/>
  <c r="DB104" i="38"/>
  <c r="DC31" i="1"/>
  <c r="AO68" i="39"/>
  <c r="AO84" s="1"/>
  <c r="AG104"/>
  <c r="CN19" i="40"/>
  <c r="P28" i="39"/>
  <c r="M28" i="41"/>
  <c r="M32" s="1"/>
  <c r="M40" s="1"/>
  <c r="CQ28" i="36"/>
  <c r="CJ28" i="37"/>
  <c r="AW93" i="26"/>
  <c r="DB35" i="38"/>
  <c r="CH93" i="39"/>
  <c r="CW76" i="40"/>
  <c r="X76"/>
  <c r="X99" i="26"/>
  <c r="AO51" i="1"/>
  <c r="BU22"/>
  <c r="BO76" i="41"/>
  <c r="DH76" s="1"/>
  <c r="DH75"/>
  <c r="AO82" i="25"/>
  <c r="CT82" i="39"/>
  <c r="DE72" i="25"/>
  <c r="CR72"/>
  <c r="CF31"/>
  <c r="CN11" i="39"/>
  <c r="BH104" i="41"/>
  <c r="BC63" i="38"/>
  <c r="AQ76" i="41"/>
  <c r="BC72" i="39"/>
  <c r="BA19" i="1"/>
  <c r="Y35"/>
  <c r="BS31" i="25"/>
  <c r="CY82" i="40"/>
  <c r="DA63"/>
  <c r="DB31" i="39"/>
  <c r="BE99" i="41"/>
  <c r="CP14" i="39"/>
  <c r="CP15" s="1"/>
  <c r="CH38" i="40"/>
  <c r="AJ28" i="25"/>
  <c r="CQ14" i="36"/>
  <c r="CB51" i="41"/>
  <c r="AY82" i="40"/>
  <c r="DA38"/>
  <c r="BD93" i="36"/>
  <c r="AD72" i="1"/>
  <c r="BB93" i="40"/>
  <c r="BB106" s="1"/>
  <c r="L46" i="41"/>
  <c r="BU55" i="36"/>
  <c r="BS99"/>
  <c r="AP55" i="1"/>
  <c r="AP84" s="1"/>
  <c r="CU63" i="40"/>
  <c r="CK99" i="36"/>
  <c r="AM38" i="38"/>
  <c r="BF37"/>
  <c r="BI19" i="26"/>
  <c r="CF55" i="39"/>
  <c r="G63" i="40"/>
  <c r="Q57"/>
  <c r="CH72"/>
  <c r="AA14" i="41"/>
  <c r="AA15" s="1"/>
  <c r="L221" i="46"/>
  <c r="DD22" i="26"/>
  <c r="O14" i="37"/>
  <c r="O15" s="1"/>
  <c r="O40" s="1"/>
  <c r="BF48" i="39"/>
  <c r="AM51"/>
  <c r="DB46"/>
  <c r="AT82" i="38"/>
  <c r="DD22" i="39"/>
  <c r="CK28"/>
  <c r="AM11"/>
  <c r="AR46" i="25"/>
  <c r="BE55" i="37"/>
  <c r="DF46" i="25"/>
  <c r="L63" i="1"/>
  <c r="Q63" s="1"/>
  <c r="AV68" i="25"/>
  <c r="AI72"/>
  <c r="CW76" i="37"/>
  <c r="I28" i="25"/>
  <c r="I32" s="1"/>
  <c r="AB31" i="40"/>
  <c r="DF35" i="39"/>
  <c r="DE35" i="37"/>
  <c r="O19"/>
  <c r="U55" i="25"/>
  <c r="S72" i="39"/>
  <c r="BV63" i="38"/>
  <c r="U93" i="25"/>
  <c r="DH58" i="36"/>
  <c r="J19" i="41"/>
  <c r="CR76" i="25"/>
  <c r="CX51" i="38"/>
  <c r="AU46" i="37"/>
  <c r="BD63" i="40"/>
  <c r="I14" i="25"/>
  <c r="CM19" i="26"/>
  <c r="BS55" i="1"/>
  <c r="CU63" i="36"/>
  <c r="DA51" i="39"/>
  <c r="CV38" i="36"/>
  <c r="CK51" i="40"/>
  <c r="K55" i="1"/>
  <c r="BJ62" i="41"/>
  <c r="BV19" i="38"/>
  <c r="CY31" i="25"/>
  <c r="CP19" i="36"/>
  <c r="BP63"/>
  <c r="CJ31" i="38"/>
  <c r="CJ32" s="1"/>
  <c r="CX76" i="25"/>
  <c r="AY99" i="37"/>
  <c r="CN68" i="40"/>
  <c r="CT46" i="37"/>
  <c r="CK35" i="38"/>
  <c r="J68" i="26"/>
  <c r="U68" i="41"/>
  <c r="AV31"/>
  <c r="BE104" i="36"/>
  <c r="AS82"/>
  <c r="DC51" i="1"/>
  <c r="AR93" i="26"/>
  <c r="AR106" s="1"/>
  <c r="N104" i="1"/>
  <c r="AH19" i="37"/>
  <c r="AH22" i="26"/>
  <c r="BH11" i="39"/>
  <c r="BJ11" s="1"/>
  <c r="BJ9"/>
  <c r="DE55" i="37"/>
  <c r="BT51" i="38"/>
  <c r="U63" i="41"/>
  <c r="BW55" i="37"/>
  <c r="DF46" i="1"/>
  <c r="AW55" i="39"/>
  <c r="BC51" i="26"/>
  <c r="BC84" s="1"/>
  <c r="BC46" i="40"/>
  <c r="AI63" i="38"/>
  <c r="DB22" i="1"/>
  <c r="BY35" i="37"/>
  <c r="BX68" i="41"/>
  <c r="AJ31"/>
  <c r="T51" i="26"/>
  <c r="AX51" i="40"/>
  <c r="AT51" i="36"/>
  <c r="CF31" i="40"/>
  <c r="V93" i="38"/>
  <c r="AZ46" i="41"/>
  <c r="CR46" i="39"/>
  <c r="BD82" i="36"/>
  <c r="O72" i="38"/>
  <c r="AM63" i="1"/>
  <c r="AM84" s="1"/>
  <c r="AQ72" i="40"/>
  <c r="CB22" i="39"/>
  <c r="CM19" i="25"/>
  <c r="AD19" i="41"/>
  <c r="AB99" i="36"/>
  <c r="AH11" i="1"/>
  <c r="CW104"/>
  <c r="CL19" i="39"/>
  <c r="CF82" i="26"/>
  <c r="CM93" i="40"/>
  <c r="CD68"/>
  <c r="AO93" i="41"/>
  <c r="BF93" s="1"/>
  <c r="BW35" i="38"/>
  <c r="AO31"/>
  <c r="AU93"/>
  <c r="CZ51" i="25"/>
  <c r="CZ84" s="1"/>
  <c r="AO38" i="41"/>
  <c r="CB82" i="25"/>
  <c r="AP28" i="39"/>
  <c r="AK26" i="36"/>
  <c r="S28"/>
  <c r="Q25" i="40"/>
  <c r="M35" i="38"/>
  <c r="O82" i="25"/>
  <c r="CC28" i="37"/>
  <c r="CC32" s="1"/>
  <c r="CL35" i="39"/>
  <c r="AD38" i="1"/>
  <c r="V38" i="38"/>
  <c r="DE51" i="40"/>
  <c r="DE84" s="1"/>
  <c r="BF10" i="38"/>
  <c r="AN93" i="36"/>
  <c r="DE31" i="26"/>
  <c r="DE32" s="1"/>
  <c r="DE40" s="1"/>
  <c r="DE109" s="1"/>
  <c r="AM63" i="39"/>
  <c r="AD76" i="25"/>
  <c r="AN35" i="40"/>
  <c r="DH29" i="37"/>
  <c r="BO31"/>
  <c r="DH31" s="1"/>
  <c r="J51" i="40"/>
  <c r="CU22" i="38"/>
  <c r="CN99" i="40"/>
  <c r="CC99" i="26"/>
  <c r="CR22" i="37"/>
  <c r="CN72" i="25"/>
  <c r="CM93" i="36"/>
  <c r="CV28" i="26"/>
  <c r="CV32" s="1"/>
  <c r="CV40" s="1"/>
  <c r="BP99" i="39"/>
  <c r="CU22"/>
  <c r="CW55"/>
  <c r="AW68" i="36"/>
  <c r="AR11" i="39"/>
  <c r="AJ22" i="41"/>
  <c r="BJ54"/>
  <c r="CQ51"/>
  <c r="AB31" i="39"/>
  <c r="BO38" i="37"/>
  <c r="DH37"/>
  <c r="Q102" i="25"/>
  <c r="G104"/>
  <c r="CN72" i="26"/>
  <c r="CA68" i="39"/>
  <c r="AT72" i="40"/>
  <c r="CU35"/>
  <c r="CG76" i="1"/>
  <c r="BR63" i="25"/>
  <c r="AR14" i="39"/>
  <c r="AR15" s="1"/>
  <c r="AR40" s="1"/>
  <c r="Q59" i="1"/>
  <c r="M19" i="41"/>
  <c r="AI51" i="40"/>
  <c r="AI84" s="1"/>
  <c r="CK72"/>
  <c r="H11" i="41"/>
  <c r="CS19" i="25"/>
  <c r="X19" i="26"/>
  <c r="X40" s="1"/>
  <c r="DC46" i="37"/>
  <c r="AY76" i="25"/>
  <c r="BW11" i="36"/>
  <c r="CW22"/>
  <c r="DF104" i="37"/>
  <c r="P55" i="26"/>
  <c r="DA51" i="37"/>
  <c r="CW11" i="38"/>
  <c r="AA46" i="25"/>
  <c r="S63" i="36"/>
  <c r="CC93" i="41"/>
  <c r="P72" i="39"/>
  <c r="P84" s="1"/>
  <c r="AH19"/>
  <c r="CX31"/>
  <c r="AS14" i="25"/>
  <c r="BR51" i="41"/>
  <c r="AN38" i="26"/>
  <c r="DH103" i="38"/>
  <c r="BD93" i="37"/>
  <c r="CY104" i="40"/>
  <c r="CR14" i="36"/>
  <c r="CR15" s="1"/>
  <c r="CB93" i="26"/>
  <c r="BT31" i="40"/>
  <c r="AE11" i="26"/>
  <c r="AZ46" i="36"/>
  <c r="BW99" i="40"/>
  <c r="AO72" i="36"/>
  <c r="BE14"/>
  <c r="BE15" s="1"/>
  <c r="AH93" i="25"/>
  <c r="CE93" i="1"/>
  <c r="CQ68" i="40"/>
  <c r="CQ84" s="1"/>
  <c r="AK67" i="41"/>
  <c r="DB28" i="38"/>
  <c r="BF92"/>
  <c r="AH93"/>
  <c r="BA38" i="40"/>
  <c r="AJ63" i="36"/>
  <c r="CH104" i="41"/>
  <c r="CY51" i="25"/>
  <c r="CY84" s="1"/>
  <c r="CC104" i="39"/>
  <c r="O11" i="38"/>
  <c r="AN72" i="1"/>
  <c r="CV31" i="36"/>
  <c r="CV32" s="1"/>
  <c r="CV40" s="1"/>
  <c r="BY55" i="26"/>
  <c r="CJ99" i="25"/>
  <c r="AS76" i="41"/>
  <c r="M104" i="37"/>
  <c r="AR76" i="39"/>
  <c r="V82" i="36"/>
  <c r="L72" i="39"/>
  <c r="AM19" i="26"/>
  <c r="BF19" s="1"/>
  <c r="BF17"/>
  <c r="AG14"/>
  <c r="CZ35" i="37"/>
  <c r="CK31" i="36"/>
  <c r="AP76" i="38"/>
  <c r="DB38" i="41"/>
  <c r="BI11" i="25"/>
  <c r="CC82" i="41"/>
  <c r="U19" i="26"/>
  <c r="CX14" i="41"/>
  <c r="BR22" i="39"/>
  <c r="DC93" i="41"/>
  <c r="DC106" s="1"/>
  <c r="BJ58" i="1"/>
  <c r="V35" i="40"/>
  <c r="AA63" i="1"/>
  <c r="K104" i="39"/>
  <c r="DD55" i="38"/>
  <c r="CK19" i="26"/>
  <c r="AU72" i="40"/>
  <c r="AS76" i="26"/>
  <c r="BW68" i="25"/>
  <c r="AT11"/>
  <c r="CG72" i="38"/>
  <c r="Q89" i="41"/>
  <c r="BL89" s="1"/>
  <c r="G93"/>
  <c r="Q93" s="1"/>
  <c r="CJ38"/>
  <c r="AD14"/>
  <c r="CB14"/>
  <c r="CB15" s="1"/>
  <c r="CB40" s="1"/>
  <c r="AD72" i="40"/>
  <c r="AJ104" i="39"/>
  <c r="DH66" i="40"/>
  <c r="CR38" i="36"/>
  <c r="Y99" i="40"/>
  <c r="O104" i="25"/>
  <c r="DE99" i="38"/>
  <c r="CL104" i="39"/>
  <c r="CI99" i="26"/>
  <c r="AZ22"/>
  <c r="DA63" i="1"/>
  <c r="X76" i="25"/>
  <c r="AK29" i="37"/>
  <c r="S31"/>
  <c r="AP35" i="38"/>
  <c r="DD76" i="37"/>
  <c r="H28" i="25"/>
  <c r="H32" s="1"/>
  <c r="P51" i="39"/>
  <c r="H63"/>
  <c r="CS93" i="26"/>
  <c r="CS106" s="1"/>
  <c r="Y14" i="37"/>
  <c r="Y15" s="1"/>
  <c r="Y40" s="1"/>
  <c r="Q67" i="39"/>
  <c r="CN76"/>
  <c r="BA93" i="38"/>
  <c r="I14" i="37"/>
  <c r="BB76" i="36"/>
  <c r="BE35" i="1"/>
  <c r="BF24"/>
  <c r="CK68"/>
  <c r="CX68" i="26"/>
  <c r="AR76" i="37"/>
  <c r="DB51" i="26"/>
  <c r="DB84" s="1"/>
  <c r="Z38" i="37"/>
  <c r="Q29" i="39"/>
  <c r="G31"/>
  <c r="Q31" s="1"/>
  <c r="CQ55" i="36"/>
  <c r="AQ14" i="1"/>
  <c r="BT63" i="40"/>
  <c r="AA11" i="38"/>
  <c r="DA63" i="39"/>
  <c r="AP11" i="41"/>
  <c r="I68" i="40"/>
  <c r="T35" i="25"/>
  <c r="AK35" s="1"/>
  <c r="J35" i="1"/>
  <c r="AB76" i="36"/>
  <c r="AH35" i="37"/>
  <c r="CL76" i="26"/>
  <c r="CX76" i="1"/>
  <c r="AJ11" i="37"/>
  <c r="BS14" i="38"/>
  <c r="BJ29" i="26"/>
  <c r="BH31"/>
  <c r="BJ31" s="1"/>
  <c r="BF21" i="40"/>
  <c r="AM22"/>
  <c r="AG63" i="39"/>
  <c r="AX72" i="41"/>
  <c r="DH59"/>
  <c r="CL68" i="25"/>
  <c r="K51" i="40"/>
  <c r="AP82" i="36"/>
  <c r="CG82"/>
  <c r="CO68" i="40"/>
  <c r="AF46" i="39"/>
  <c r="AE55" i="26"/>
  <c r="V31" i="41"/>
  <c r="CE35" i="1"/>
  <c r="CM31" i="37"/>
  <c r="CM32" s="1"/>
  <c r="CM40" s="1"/>
  <c r="AS68" i="25"/>
  <c r="BF59" i="37"/>
  <c r="AR28" i="26"/>
  <c r="DC46" i="40"/>
  <c r="CG28" i="1"/>
  <c r="CY82" i="39"/>
  <c r="BJ50" i="38"/>
  <c r="DE82" i="40"/>
  <c r="CR31" i="25"/>
  <c r="BR82"/>
  <c r="CU68" i="1"/>
  <c r="BY104" i="40"/>
  <c r="AE76" i="41"/>
  <c r="AO38" i="38"/>
  <c r="AC72" i="25"/>
  <c r="CZ28" i="40"/>
  <c r="CZ32" s="1"/>
  <c r="X35" i="25"/>
  <c r="W68" i="1"/>
  <c r="P99" i="26"/>
  <c r="AY35" i="25"/>
  <c r="AQ55" i="37"/>
  <c r="DF76" i="38"/>
  <c r="H72"/>
  <c r="Q72" s="1"/>
  <c r="AH93" i="26"/>
  <c r="AO31"/>
  <c r="AK13" i="40"/>
  <c r="BL13" s="1"/>
  <c r="AM51" i="26"/>
  <c r="BF48"/>
  <c r="BE72" i="41"/>
  <c r="K63" i="40"/>
  <c r="Q63" s="1"/>
  <c r="AQ19"/>
  <c r="CE82" i="41"/>
  <c r="DF19" i="1"/>
  <c r="AR11" i="26"/>
  <c r="AE55" i="1"/>
  <c r="AW19" i="36"/>
  <c r="Y22" i="41"/>
  <c r="AE46" i="37"/>
  <c r="CT76" i="38"/>
  <c r="BX55" i="37"/>
  <c r="AO82" i="40"/>
  <c r="AM55" i="41"/>
  <c r="BF55" s="1"/>
  <c r="BF53"/>
  <c r="CL93" i="38"/>
  <c r="AD14"/>
  <c r="L68"/>
  <c r="BE22"/>
  <c r="AJ55"/>
  <c r="CZ55" i="1"/>
  <c r="BZ38" i="39"/>
  <c r="BI14" i="37"/>
  <c r="AE46" i="25"/>
  <c r="CS51" i="1"/>
  <c r="CL22" i="40"/>
  <c r="CK72" i="25"/>
  <c r="BY76" i="37"/>
  <c r="CP19" i="41"/>
  <c r="CO93" i="26"/>
  <c r="M63" i="40"/>
  <c r="BZ35" i="37"/>
  <c r="AH22" i="38"/>
  <c r="CX104" i="25"/>
  <c r="CX106" s="1"/>
  <c r="BE76" i="36"/>
  <c r="CG55" i="38"/>
  <c r="BY28" i="36"/>
  <c r="BT46" i="37"/>
  <c r="AT28" i="36"/>
  <c r="M72" i="25"/>
  <c r="Y11" i="41"/>
  <c r="Q34" i="37"/>
  <c r="G35"/>
  <c r="BC99" i="39"/>
  <c r="CI14" i="26"/>
  <c r="CS68" i="37"/>
  <c r="CS84" s="1"/>
  <c r="CJ51" i="36"/>
  <c r="CJ84" s="1"/>
  <c r="DE11"/>
  <c r="AP104" i="26"/>
  <c r="CG28" i="38"/>
  <c r="CG32" s="1"/>
  <c r="CO93" i="25"/>
  <c r="CO106" s="1"/>
  <c r="BZ104" i="40"/>
  <c r="CZ31"/>
  <c r="AG82" i="39"/>
  <c r="L19" i="41"/>
  <c r="AO35" i="26"/>
  <c r="CM104"/>
  <c r="BU28"/>
  <c r="P46" i="40"/>
  <c r="AO38" i="39"/>
  <c r="BT22" i="25"/>
  <c r="AB76" i="37"/>
  <c r="O63"/>
  <c r="O84" s="1"/>
  <c r="AJ93" i="1"/>
  <c r="CT63"/>
  <c r="AY72" i="41"/>
  <c r="O14" i="25"/>
  <c r="BZ55" i="36"/>
  <c r="AO38"/>
  <c r="Q49" i="1"/>
  <c r="BB11" i="41"/>
  <c r="CF28" i="39"/>
  <c r="CX63" i="40"/>
  <c r="V38" i="37"/>
  <c r="CI11" i="25"/>
  <c r="AZ63" i="1"/>
  <c r="AN104" i="41"/>
  <c r="CW68" i="38"/>
  <c r="DA104" i="41"/>
  <c r="BJ59" i="37"/>
  <c r="P51" i="38"/>
  <c r="DH57" i="26"/>
  <c r="BO63"/>
  <c r="DH63" s="1"/>
  <c r="CO68" i="41"/>
  <c r="CD68" i="1"/>
  <c r="AC104" i="41"/>
  <c r="CH19" i="1"/>
  <c r="AD63" i="40"/>
  <c r="AX104" i="36"/>
  <c r="CM14"/>
  <c r="T28" i="38"/>
  <c r="T32" s="1"/>
  <c r="AO31" i="40"/>
  <c r="AM19" i="38"/>
  <c r="BF17"/>
  <c r="DA55" i="41"/>
  <c r="AC31" i="1"/>
  <c r="BF13" i="41"/>
  <c r="AA72" i="40"/>
  <c r="CE72" i="36"/>
  <c r="CQ76" i="40"/>
  <c r="BJ49" i="26"/>
  <c r="M19"/>
  <c r="AY14" i="1"/>
  <c r="AY15" s="1"/>
  <c r="AY40" s="1"/>
  <c r="BR46" i="37"/>
  <c r="AH31" i="38"/>
  <c r="CL14" i="37"/>
  <c r="CL15" s="1"/>
  <c r="Y63" i="39"/>
  <c r="CC11" i="40"/>
  <c r="CD93" i="36"/>
  <c r="AW76" i="1"/>
  <c r="BJ59" i="39"/>
  <c r="CO31" i="38"/>
  <c r="T38" i="40"/>
  <c r="CU35" i="1"/>
  <c r="CC104" i="37"/>
  <c r="CD35" i="41"/>
  <c r="BC28" i="25"/>
  <c r="W38"/>
  <c r="CF11" i="1"/>
  <c r="AK67" i="26"/>
  <c r="BJ18"/>
  <c r="AA35" i="36"/>
  <c r="L82" i="41"/>
  <c r="Y51" i="38"/>
  <c r="I19" i="25"/>
  <c r="DB38" i="26"/>
  <c r="BZ19" i="37"/>
  <c r="DB76" i="1"/>
  <c r="I11" i="40"/>
  <c r="CZ55" i="41"/>
  <c r="CZ84" s="1"/>
  <c r="AO51" i="40"/>
  <c r="AO84" s="1"/>
  <c r="AO68" i="37"/>
  <c r="BJ49" i="41"/>
  <c r="AR63" i="25"/>
  <c r="AE19" i="41"/>
  <c r="AE40" s="1"/>
  <c r="CH14"/>
  <c r="CK35" i="36"/>
  <c r="DH67" i="26"/>
  <c r="CJ19" i="41"/>
  <c r="BT76" i="37"/>
  <c r="CI31" i="25"/>
  <c r="AE72" i="40"/>
  <c r="CH11" i="26"/>
  <c r="AO28" i="1"/>
  <c r="I35" i="41"/>
  <c r="BI28" i="1"/>
  <c r="K22"/>
  <c r="Y46" i="41"/>
  <c r="BD82" i="39"/>
  <c r="BW11" i="1"/>
  <c r="BW15" s="1"/>
  <c r="W72" i="39"/>
  <c r="I93" i="38"/>
  <c r="CW72" i="39"/>
  <c r="AK61" i="1"/>
  <c r="DB46" i="25"/>
  <c r="BS28" i="26"/>
  <c r="AG22"/>
  <c r="DF28" i="1"/>
  <c r="DF32" s="1"/>
  <c r="AM82" i="40"/>
  <c r="BF82" s="1"/>
  <c r="BF79"/>
  <c r="CV31" i="41"/>
  <c r="CR82" i="26"/>
  <c r="CI63" i="36"/>
  <c r="CS31" i="37"/>
  <c r="CH46" i="40"/>
  <c r="CB35" i="26"/>
  <c r="AE28" i="25"/>
  <c r="AG22" i="37"/>
  <c r="DC51" i="38"/>
  <c r="AK34" i="39"/>
  <c r="S35"/>
  <c r="AK35" s="1"/>
  <c r="CO99"/>
  <c r="AF104" i="25"/>
  <c r="AD31" i="26"/>
  <c r="AG72" i="41"/>
  <c r="AW55" i="36"/>
  <c r="CB55" i="37"/>
  <c r="J72" i="40"/>
  <c r="DD55" i="26"/>
  <c r="AR38" i="40"/>
  <c r="BS31" i="26"/>
  <c r="I35" i="25"/>
  <c r="CS14" i="40"/>
  <c r="CS15" s="1"/>
  <c r="BA38" i="25"/>
  <c r="BR99" i="26"/>
  <c r="CY31" i="40"/>
  <c r="CY32" s="1"/>
  <c r="CE68" i="25"/>
  <c r="CH28" i="39"/>
  <c r="AX19" i="25"/>
  <c r="BJ29" i="39"/>
  <c r="BH31"/>
  <c r="BJ31" s="1"/>
  <c r="BT28" i="36"/>
  <c r="AA11" i="40"/>
  <c r="BJ29"/>
  <c r="BH31"/>
  <c r="BJ31" s="1"/>
  <c r="CW99" i="1"/>
  <c r="DH62" i="26"/>
  <c r="BW82" i="37"/>
  <c r="CD11" i="39"/>
  <c r="CD46" i="1"/>
  <c r="Q98" i="36"/>
  <c r="Z55" i="41"/>
  <c r="I46" i="40"/>
  <c r="G72" i="38"/>
  <c r="Q71"/>
  <c r="AY63" i="25"/>
  <c r="AM38" i="26"/>
  <c r="BF37"/>
  <c r="Z46" i="39"/>
  <c r="BR51" i="38"/>
  <c r="BR84" s="1"/>
  <c r="BS93" i="41"/>
  <c r="AG104" i="26"/>
  <c r="CU93" i="36"/>
  <c r="AU82" i="41"/>
  <c r="CM19"/>
  <c r="CS82" i="1"/>
  <c r="CD28" i="41"/>
  <c r="CD32" s="1"/>
  <c r="CD40" s="1"/>
  <c r="CD109" s="1"/>
  <c r="BH51" i="36"/>
  <c r="BJ51" s="1"/>
  <c r="BJ48"/>
  <c r="CD28" i="25"/>
  <c r="DC93" i="40"/>
  <c r="DC106" s="1"/>
  <c r="U68" i="37"/>
  <c r="BH28" i="1"/>
  <c r="BJ26"/>
  <c r="Q92" i="36"/>
  <c r="AF93" i="39"/>
  <c r="DF51" i="36"/>
  <c r="AR11" i="37"/>
  <c r="CT55" i="1"/>
  <c r="CJ93" i="40"/>
  <c r="CJ106" s="1"/>
  <c r="CV28" i="38"/>
  <c r="CF22" i="39"/>
  <c r="CR19" i="1"/>
  <c r="BU63" i="40"/>
  <c r="G68" i="26"/>
  <c r="Q65"/>
  <c r="CH68" i="1"/>
  <c r="AK30" i="38"/>
  <c r="CM46" i="40"/>
  <c r="H72" i="37"/>
  <c r="DH71" i="25"/>
  <c r="BO72"/>
  <c r="DH72" s="1"/>
  <c r="BJ9" i="37"/>
  <c r="BH11"/>
  <c r="BJ11" s="1"/>
  <c r="BE104" i="40"/>
  <c r="CV104" i="1"/>
  <c r="V42" i="60"/>
  <c r="BA55" i="39"/>
  <c r="BH51" i="40"/>
  <c r="BJ48"/>
  <c r="Q60" i="39"/>
  <c r="BR46" i="26"/>
  <c r="Q92" i="37"/>
  <c r="Q59" i="26"/>
  <c r="BL59" s="1"/>
  <c r="X63" i="25"/>
  <c r="AV99" i="40"/>
  <c r="AA28" i="36"/>
  <c r="AA32" s="1"/>
  <c r="K11" i="25"/>
  <c r="BR31" i="36"/>
  <c r="AJ55" i="26"/>
  <c r="AZ63" i="40"/>
  <c r="AZ84" s="1"/>
  <c r="U31" i="36"/>
  <c r="U32" s="1"/>
  <c r="O104" i="40"/>
  <c r="BA46" i="41"/>
  <c r="CH72" i="37"/>
  <c r="CF76" i="1"/>
  <c r="AX51" i="39"/>
  <c r="J38" i="36"/>
  <c r="BX14" i="1"/>
  <c r="AY104"/>
  <c r="AB46" i="39"/>
  <c r="CD31"/>
  <c r="BW72"/>
  <c r="CX14"/>
  <c r="Z68" i="36"/>
  <c r="CZ22" i="38"/>
  <c r="AJ35" i="1"/>
  <c r="AK35" s="1"/>
  <c r="BA46" i="38"/>
  <c r="CY19" i="39"/>
  <c r="V31" i="37"/>
  <c r="CO55" i="38"/>
  <c r="I14"/>
  <c r="DH67" i="25"/>
  <c r="CU104" i="36"/>
  <c r="O82" i="26"/>
  <c r="CW11" i="1"/>
  <c r="CO22" i="36"/>
  <c r="BX99" i="25"/>
  <c r="BX106" s="1"/>
  <c r="CA46" i="26"/>
  <c r="F116" i="50"/>
  <c r="F117" s="1"/>
  <c r="F145" s="1"/>
  <c r="F184" s="1"/>
  <c r="AL30" i="60"/>
  <c r="AQ76" i="38"/>
  <c r="AX93" i="41"/>
  <c r="AX106" s="1"/>
  <c r="DC76" i="37"/>
  <c r="AF30" i="60"/>
  <c r="Z14"/>
  <c r="CY31" i="36"/>
  <c r="CY32" s="1"/>
  <c r="BT11" i="41"/>
  <c r="BJ12" i="40"/>
  <c r="BH14"/>
  <c r="BH15" s="1"/>
  <c r="AG76"/>
  <c r="CU99" i="26"/>
  <c r="CL11" i="41"/>
  <c r="AN82" i="36"/>
  <c r="BF82" s="1"/>
  <c r="BF21" i="39"/>
  <c r="AM22"/>
  <c r="BQ99" i="1"/>
  <c r="AJ76" i="41"/>
  <c r="K19" i="39"/>
  <c r="BF67" i="26"/>
  <c r="U72" i="41"/>
  <c r="DF22" i="37"/>
  <c r="CT28" i="40"/>
  <c r="CT32" s="1"/>
  <c r="CP11" i="26"/>
  <c r="CP15" s="1"/>
  <c r="AS22" i="25"/>
  <c r="V63" i="36"/>
  <c r="AY51" i="25"/>
  <c r="AY84" s="1"/>
  <c r="AX38" i="26"/>
  <c r="Y72" i="41"/>
  <c r="AA46" i="26"/>
  <c r="BF60" i="36"/>
  <c r="AV93" i="37"/>
  <c r="BW11" i="41"/>
  <c r="Q75" i="25"/>
  <c r="G76"/>
  <c r="Q76" s="1"/>
  <c r="M104" i="26"/>
  <c r="AP19" i="41"/>
  <c r="BV93" i="1"/>
  <c r="BV106" s="1"/>
  <c r="CA35" i="41"/>
  <c r="CN11" i="38"/>
  <c r="AG82" i="36"/>
  <c r="DH27"/>
  <c r="AQ32" i="38"/>
  <c r="Y19" i="39"/>
  <c r="AX51" i="37"/>
  <c r="AF31" i="36"/>
  <c r="AF32" s="1"/>
  <c r="AA11" i="25"/>
  <c r="N11" i="39"/>
  <c r="S28" i="1"/>
  <c r="AK26"/>
  <c r="AY72" i="38"/>
  <c r="M99" i="39"/>
  <c r="CM22"/>
  <c r="BW11" i="25"/>
  <c r="AK62"/>
  <c r="BQ99" i="26"/>
  <c r="AE104"/>
  <c r="P82" i="1"/>
  <c r="CX11" i="37"/>
  <c r="CB72" i="26"/>
  <c r="CL63" i="1"/>
  <c r="S99" i="41"/>
  <c r="S106" s="1"/>
  <c r="K93" i="1"/>
  <c r="K106" s="1"/>
  <c r="DD46" i="36"/>
  <c r="AT35" i="26"/>
  <c r="G63" i="25"/>
  <c r="Q63" s="1"/>
  <c r="Q57"/>
  <c r="AJ28" i="38"/>
  <c r="DC72" i="1"/>
  <c r="CI31" i="39"/>
  <c r="BV55"/>
  <c r="AA76" i="1"/>
  <c r="CT38" i="39"/>
  <c r="AW31" i="26"/>
  <c r="AW32" s="1"/>
  <c r="AW40" s="1"/>
  <c r="CZ51" i="37"/>
  <c r="CZ84" s="1"/>
  <c r="CL55" i="40"/>
  <c r="CU76" i="36"/>
  <c r="CC72"/>
  <c r="BY55" i="38"/>
  <c r="BW28" i="36"/>
  <c r="BY104" i="37"/>
  <c r="BY106" s="1"/>
  <c r="BX51" i="36"/>
  <c r="W31" i="37"/>
  <c r="DC28" i="40"/>
  <c r="BO68"/>
  <c r="DH65"/>
  <c r="AE104"/>
  <c r="Q67" i="36"/>
  <c r="BC46" i="1"/>
  <c r="Q98" i="25"/>
  <c r="CE19" i="26"/>
  <c r="N82" i="41"/>
  <c r="CC14" i="38"/>
  <c r="M82"/>
  <c r="AB82" i="26"/>
  <c r="CP63" i="38"/>
  <c r="DE51" i="37"/>
  <c r="BF10" i="41"/>
  <c r="AX38" i="36"/>
  <c r="P82" i="39"/>
  <c r="CL82" i="26"/>
  <c r="X82"/>
  <c r="AD28"/>
  <c r="AD32" s="1"/>
  <c r="CR99" i="36"/>
  <c r="BI99" i="39"/>
  <c r="BS22" i="26"/>
  <c r="DE11"/>
  <c r="P93" i="40"/>
  <c r="CX72" i="26"/>
  <c r="AI19" i="25"/>
  <c r="CA19" i="39"/>
  <c r="Q13" i="36"/>
  <c r="AR35" i="26"/>
  <c r="AK65" i="38"/>
  <c r="CO35" i="40"/>
  <c r="BJ54"/>
  <c r="Q60" i="37"/>
  <c r="V68" i="26"/>
  <c r="CN82" i="36"/>
  <c r="AE31" i="38"/>
  <c r="AQ82" i="40"/>
  <c r="BC31" i="1"/>
  <c r="AO35" i="25"/>
  <c r="BF35" s="1"/>
  <c r="BJ10" i="38"/>
  <c r="AA99" i="40"/>
  <c r="Y46" i="36"/>
  <c r="DA22"/>
  <c r="CM35" i="25"/>
  <c r="DA93" i="36"/>
  <c r="CW11" i="26"/>
  <c r="CW15" s="1"/>
  <c r="CV22" i="37"/>
  <c r="CS99" i="40"/>
  <c r="CW38" i="36"/>
  <c r="BY72" i="38"/>
  <c r="AB76" i="41"/>
  <c r="BA22" i="40"/>
  <c r="DC99" i="36"/>
  <c r="K76"/>
  <c r="Q76" s="1"/>
  <c r="CP63" i="26"/>
  <c r="BQ72" i="37"/>
  <c r="U55" i="41"/>
  <c r="Y99" i="38"/>
  <c r="DF76" i="25"/>
  <c r="CS11" i="41"/>
  <c r="DE28" i="39"/>
  <c r="AI22" i="26"/>
  <c r="AS14" i="39"/>
  <c r="AS15" s="1"/>
  <c r="CX68" i="38"/>
  <c r="CS93" i="1"/>
  <c r="AW55" i="25"/>
  <c r="CB68" i="1"/>
  <c r="CK51" i="37"/>
  <c r="AJ82" i="25"/>
  <c r="AD19" i="38"/>
  <c r="CH11" i="25"/>
  <c r="BW46" i="1"/>
  <c r="CI76" i="41"/>
  <c r="AN11"/>
  <c r="U19" i="37"/>
  <c r="K82" i="36"/>
  <c r="AX82" i="26"/>
  <c r="CJ28"/>
  <c r="CJ32" s="1"/>
  <c r="CJ40" s="1"/>
  <c r="CJ109" s="1"/>
  <c r="CG76" i="39"/>
  <c r="CK93" i="38"/>
  <c r="CS14" i="39"/>
  <c r="AJ51" i="40"/>
  <c r="CP28" i="41"/>
  <c r="AB35"/>
  <c r="DC104" i="38"/>
  <c r="AR35" i="39"/>
  <c r="CH55" i="36"/>
  <c r="CH84" s="1"/>
  <c r="CZ76" i="26"/>
  <c r="AC63" i="37"/>
  <c r="BJ89" i="40"/>
  <c r="CH76"/>
  <c r="N31" i="36"/>
  <c r="BU76" i="38"/>
  <c r="BU93" i="39"/>
  <c r="BU106" s="1"/>
  <c r="BE82" i="37"/>
  <c r="CL72" i="1"/>
  <c r="AG22" i="36"/>
  <c r="CI82" i="26"/>
  <c r="BH22" i="39"/>
  <c r="BJ22" s="1"/>
  <c r="BJ21"/>
  <c r="BA14"/>
  <c r="AC31" i="25"/>
  <c r="AC32" s="1"/>
  <c r="BW38" i="36"/>
  <c r="CV28" i="40"/>
  <c r="AR82" i="1"/>
  <c r="AV22" i="37"/>
  <c r="BD99" i="36"/>
  <c r="AO19" i="37"/>
  <c r="AT63" i="38"/>
  <c r="Y14"/>
  <c r="Y15" s="1"/>
  <c r="Y40" s="1"/>
  <c r="BF62" i="37"/>
  <c r="CK76" i="36"/>
  <c r="CF35" i="41"/>
  <c r="AS99" i="40"/>
  <c r="AY55"/>
  <c r="AY84" s="1"/>
  <c r="K93" i="26"/>
  <c r="AE104" i="41"/>
  <c r="AI104" i="38"/>
  <c r="AX46" i="40"/>
  <c r="CP93"/>
  <c r="I63" i="26"/>
  <c r="CS93" i="41"/>
  <c r="CS106" s="1"/>
  <c r="AB19" i="1"/>
  <c r="BB104" i="26"/>
  <c r="CD51" i="1"/>
  <c r="CF68"/>
  <c r="AH76"/>
  <c r="Z51" i="25"/>
  <c r="V76" i="38"/>
  <c r="I76" i="39"/>
  <c r="K46" i="40"/>
  <c r="J55" i="25"/>
  <c r="BB28" i="26"/>
  <c r="AS68" i="39"/>
  <c r="O72" i="1"/>
  <c r="BQ76" i="39"/>
  <c r="H93" i="25"/>
  <c r="AH11" i="37"/>
  <c r="DE35" i="40"/>
  <c r="T38" i="38"/>
  <c r="AZ14"/>
  <c r="S31" i="1"/>
  <c r="AK29"/>
  <c r="BL29" s="1"/>
  <c r="Z68" i="37"/>
  <c r="L31" i="40"/>
  <c r="DE104" i="38"/>
  <c r="V68" i="36"/>
  <c r="BR46" i="41"/>
  <c r="CS46" i="37"/>
  <c r="BE72" i="39"/>
  <c r="CJ38" i="26"/>
  <c r="N93" i="36"/>
  <c r="AA14" i="40"/>
  <c r="AA15" s="1"/>
  <c r="BF37" i="37"/>
  <c r="AM38"/>
  <c r="AW38" i="1"/>
  <c r="CV63" i="36"/>
  <c r="CW38" i="39"/>
  <c r="K82" i="38"/>
  <c r="AP104" i="39"/>
  <c r="AS38" i="41"/>
  <c r="CQ72" i="40"/>
  <c r="CU38" i="1"/>
  <c r="BY14" i="38"/>
  <c r="N68" i="39"/>
  <c r="U31" i="41"/>
  <c r="AW104" i="39"/>
  <c r="CS51" i="41"/>
  <c r="CI82" i="25"/>
  <c r="AC82" i="37"/>
  <c r="AA28" i="38"/>
  <c r="AA32" s="1"/>
  <c r="BI63" i="39"/>
  <c r="BV38" i="40"/>
  <c r="BZ14" i="41"/>
  <c r="BZ15" s="1"/>
  <c r="BT46" i="1"/>
  <c r="BV35" i="39"/>
  <c r="CQ31" i="25"/>
  <c r="BE19" i="41"/>
  <c r="I55" i="25"/>
  <c r="AS28" i="39"/>
  <c r="DH60" i="26"/>
  <c r="S72" i="25"/>
  <c r="DB46" i="26"/>
  <c r="BQ31" i="38"/>
  <c r="O51" i="1"/>
  <c r="AY99" i="25"/>
  <c r="CY19" i="40"/>
  <c r="CL72" i="36"/>
  <c r="K93" i="25"/>
  <c r="H76" i="39"/>
  <c r="W63"/>
  <c r="CG55" i="40"/>
  <c r="BX28" i="39"/>
  <c r="CD63" i="38"/>
  <c r="AZ19" i="1"/>
  <c r="AR28"/>
  <c r="BV93" i="40"/>
  <c r="AP22" i="26"/>
  <c r="AV99" i="37"/>
  <c r="CG19" i="36"/>
  <c r="CC19" i="41"/>
  <c r="AH31" i="1"/>
  <c r="AH32" s="1"/>
  <c r="DE19" i="37"/>
  <c r="X82" i="40"/>
  <c r="S63" i="38"/>
  <c r="AV104" i="37"/>
  <c r="DF55" i="36"/>
  <c r="BV46" i="25"/>
  <c r="CN55" i="1"/>
  <c r="O68" i="38"/>
  <c r="CU72" i="25"/>
  <c r="AY76" i="39"/>
  <c r="AV11" i="37"/>
  <c r="AG46" i="40"/>
  <c r="CZ72" i="39"/>
  <c r="CZ84" s="1"/>
  <c r="O19" i="36"/>
  <c r="CU68" i="39"/>
  <c r="AE104" i="1"/>
  <c r="CY76" i="26"/>
  <c r="CJ72"/>
  <c r="DD35"/>
  <c r="CB14"/>
  <c r="CB15" s="1"/>
  <c r="CF38" i="25"/>
  <c r="CU28"/>
  <c r="BW51"/>
  <c r="BW84" s="1"/>
  <c r="BA46" i="37"/>
  <c r="AO72"/>
  <c r="BU51" i="38"/>
  <c r="DE76" i="37"/>
  <c r="AE38" i="25"/>
  <c r="H31" i="26"/>
  <c r="Q27" i="36"/>
  <c r="BA22" i="1"/>
  <c r="L68" i="25"/>
  <c r="L35" i="36"/>
  <c r="CU11" i="40"/>
  <c r="CU15" s="1"/>
  <c r="CG14" i="25"/>
  <c r="CG15" s="1"/>
  <c r="CG40" s="1"/>
  <c r="BC63" i="1"/>
  <c r="AI35" i="25"/>
  <c r="BE76"/>
  <c r="Z11" i="40"/>
  <c r="AS31" i="1"/>
  <c r="AJ22" i="36"/>
  <c r="CA104" i="40"/>
  <c r="CZ31" i="37"/>
  <c r="AB46" i="38"/>
  <c r="AC99" i="1"/>
  <c r="K38" i="38"/>
  <c r="AW46" i="26"/>
  <c r="CP35" i="25"/>
  <c r="BC51" i="1"/>
  <c r="BJ60" i="38"/>
  <c r="AD72" i="37"/>
  <c r="AD84" s="1"/>
  <c r="T28" i="1"/>
  <c r="CW104" i="25"/>
  <c r="I93" i="26"/>
  <c r="I106" s="1"/>
  <c r="AO63" i="25"/>
  <c r="DB14" i="38"/>
  <c r="DB15" s="1"/>
  <c r="O31"/>
  <c r="CD14" i="26"/>
  <c r="CD15" s="1"/>
  <c r="CD40" s="1"/>
  <c r="AG38" i="38"/>
  <c r="CC82" i="36"/>
  <c r="AO63"/>
  <c r="K72" i="26"/>
  <c r="G28" i="25"/>
  <c r="G32" s="1"/>
  <c r="Q26"/>
  <c r="CZ31" i="39"/>
  <c r="CZ32" s="1"/>
  <c r="CW46" i="38"/>
  <c r="V76" i="25"/>
  <c r="AC93" i="36"/>
  <c r="CC22" i="1"/>
  <c r="AI19" i="39"/>
  <c r="AS72" i="26"/>
  <c r="V38" i="40"/>
  <c r="BZ63" i="39"/>
  <c r="BJ62" i="37"/>
  <c r="BL62" s="1"/>
  <c r="AZ82" i="39"/>
  <c r="CI28" i="25"/>
  <c r="BC68" i="26"/>
  <c r="AQ46" i="1"/>
  <c r="T28" i="36"/>
  <c r="T32" s="1"/>
  <c r="CG76"/>
  <c r="CY51" i="41"/>
  <c r="J55" i="38"/>
  <c r="AA82" i="1"/>
  <c r="AZ82" i="41"/>
  <c r="CT14" i="40"/>
  <c r="DA31" i="41"/>
  <c r="CD38"/>
  <c r="AK13" i="25"/>
  <c r="CZ11" i="26"/>
  <c r="CZ15" s="1"/>
  <c r="H28" i="40"/>
  <c r="H32" s="1"/>
  <c r="AI99" i="1"/>
  <c r="CF82" i="25"/>
  <c r="CR46" i="41"/>
  <c r="CK68" i="38"/>
  <c r="BE28" i="26"/>
  <c r="AO19" i="25"/>
  <c r="G22" i="39"/>
  <c r="AA63"/>
  <c r="P93" i="36"/>
  <c r="P106" s="1"/>
  <c r="Q98" i="1"/>
  <c r="N38" i="40"/>
  <c r="AT93" i="37"/>
  <c r="AD55" i="36"/>
  <c r="K82" i="41"/>
  <c r="BF26" i="1"/>
  <c r="AM28"/>
  <c r="AM32" s="1"/>
  <c r="BJ25" i="26"/>
  <c r="CJ55"/>
  <c r="BP38" i="38"/>
  <c r="DE38" i="41"/>
  <c r="BX63" i="36"/>
  <c r="I35" i="37"/>
  <c r="CB38" i="25"/>
  <c r="M72" i="26"/>
  <c r="CC55" i="25"/>
  <c r="CF19" i="36"/>
  <c r="CU28" i="41"/>
  <c r="BB76" i="39"/>
  <c r="V19"/>
  <c r="DA104" i="37"/>
  <c r="AU31" i="26"/>
  <c r="CQ19"/>
  <c r="DB51" i="40"/>
  <c r="Q37" i="37"/>
  <c r="G38"/>
  <c r="Q38" s="1"/>
  <c r="BA93" i="1"/>
  <c r="BA106" s="1"/>
  <c r="AY76"/>
  <c r="CG72" i="26"/>
  <c r="AP46" i="39"/>
  <c r="CN22" i="1"/>
  <c r="M35" i="41"/>
  <c r="AY51" i="40"/>
  <c r="DF76" i="1"/>
  <c r="CR38" i="40"/>
  <c r="O82" i="41"/>
  <c r="AC14" i="38"/>
  <c r="BI72"/>
  <c r="BJ58" i="40"/>
  <c r="AI46" i="37"/>
  <c r="AN14" i="26"/>
  <c r="CJ31" i="36"/>
  <c r="BZ19" i="38"/>
  <c r="CS55" i="41"/>
  <c r="AG19" i="26"/>
  <c r="AI46" i="40"/>
  <c r="AX76" i="38"/>
  <c r="H63"/>
  <c r="BZ104" i="36"/>
  <c r="AU72" i="38"/>
  <c r="BV72" i="39"/>
  <c r="CK63" i="25"/>
  <c r="CI46" i="1"/>
  <c r="CX28"/>
  <c r="CX32" s="1"/>
  <c r="T46" i="25"/>
  <c r="CW55" i="26"/>
  <c r="BX28" i="37"/>
  <c r="AH31" i="36"/>
  <c r="AH32" s="1"/>
  <c r="AP76" i="1"/>
  <c r="CN31" i="37"/>
  <c r="G19" i="1"/>
  <c r="Q17"/>
  <c r="BL17" s="1"/>
  <c r="CM19"/>
  <c r="I11"/>
  <c r="CH11"/>
  <c r="CH15" s="1"/>
  <c r="CB35" i="40"/>
  <c r="V28" i="38"/>
  <c r="BS14" i="41"/>
  <c r="DC14" i="37"/>
  <c r="BS99" i="25"/>
  <c r="BD99" i="41"/>
  <c r="BD106" s="1"/>
  <c r="CH55" i="37"/>
  <c r="BZ19" i="1"/>
  <c r="AB68" i="26"/>
  <c r="CN38" i="36"/>
  <c r="AX11" i="38"/>
  <c r="AV31" i="1"/>
  <c r="T99" i="40"/>
  <c r="BX14" i="26"/>
  <c r="BX15" s="1"/>
  <c r="BF62" i="38"/>
  <c r="G31" i="37"/>
  <c r="Q29"/>
  <c r="BL29" s="1"/>
  <c r="AY76" i="40"/>
  <c r="BV22" i="37"/>
  <c r="BV14" i="25"/>
  <c r="O46" i="40"/>
  <c r="CL22" i="36"/>
  <c r="BB93" i="41"/>
  <c r="K46"/>
  <c r="CO72" i="25"/>
  <c r="Y63" i="41"/>
  <c r="BQ28" i="39"/>
  <c r="G51" i="25"/>
  <c r="Q48"/>
  <c r="AT38" i="38"/>
  <c r="BT55" i="37"/>
  <c r="CS35" i="26"/>
  <c r="DF14" i="1"/>
  <c r="DF15" s="1"/>
  <c r="DF40" s="1"/>
  <c r="CV104" i="26"/>
  <c r="AC35" i="36"/>
  <c r="P35" i="39"/>
  <c r="BJ26" i="40"/>
  <c r="BH28"/>
  <c r="BH32" s="1"/>
  <c r="AZ11" i="25"/>
  <c r="DE72" i="40"/>
  <c r="S76"/>
  <c r="DC104" i="26"/>
  <c r="DF19" i="38"/>
  <c r="AG35" i="39"/>
  <c r="U19"/>
  <c r="BZ93" i="25"/>
  <c r="AR99" i="38"/>
  <c r="CT68" i="37"/>
  <c r="BZ82" i="1"/>
  <c r="BP99" i="36"/>
  <c r="BW31" i="1"/>
  <c r="BB35" i="26"/>
  <c r="AP55" i="37"/>
  <c r="BC38" i="26"/>
  <c r="BZ72" i="37"/>
  <c r="CB104" i="39"/>
  <c r="BS51" i="41"/>
  <c r="AR31" i="26"/>
  <c r="BR99" i="25"/>
  <c r="BV35" i="26"/>
  <c r="AR51"/>
  <c r="P11"/>
  <c r="J35" i="37"/>
  <c r="I35" i="39"/>
  <c r="CJ63" i="41"/>
  <c r="CJ84" s="1"/>
  <c r="O93" i="40"/>
  <c r="CU11" i="39"/>
  <c r="AU31" i="1"/>
  <c r="AU32" s="1"/>
  <c r="CW76" i="36"/>
  <c r="BB99" i="41"/>
  <c r="AI93" i="39"/>
  <c r="CM99" i="40"/>
  <c r="AO11" i="41"/>
  <c r="CK38" i="38"/>
  <c r="AG28" i="1"/>
  <c r="CB93" i="36"/>
  <c r="CB106" s="1"/>
  <c r="CD63" i="39"/>
  <c r="DH54" i="36"/>
  <c r="T31" i="40"/>
  <c r="CX76" i="38"/>
  <c r="V21" i="60"/>
  <c r="CU51" i="40"/>
  <c r="AQ22" i="1"/>
  <c r="AY99" i="41"/>
  <c r="BX104" i="26"/>
  <c r="CF104" i="41"/>
  <c r="AC35" i="1"/>
  <c r="Z93" i="40"/>
  <c r="AD31" i="25"/>
  <c r="BS35" i="36"/>
  <c r="BY35" i="1"/>
  <c r="BI11" i="40"/>
  <c r="BI15" s="1"/>
  <c r="BI40" s="1"/>
  <c r="CX63" i="1"/>
  <c r="Q57" i="37"/>
  <c r="G63"/>
  <c r="CF68" i="26"/>
  <c r="AV31" i="40"/>
  <c r="BA63" i="1"/>
  <c r="N99" i="26"/>
  <c r="BD55" i="1"/>
  <c r="AV35" i="40"/>
  <c r="M19" i="38"/>
  <c r="L46" i="1"/>
  <c r="AC82" i="26"/>
  <c r="DC28" i="39"/>
  <c r="O104" i="38"/>
  <c r="CV55" i="41"/>
  <c r="AZ22" i="1"/>
  <c r="CV63" i="37"/>
  <c r="CR19" i="36"/>
  <c r="BW104" i="38"/>
  <c r="BZ28" i="41"/>
  <c r="BZ32" s="1"/>
  <c r="AJ14" i="26"/>
  <c r="T19" i="41"/>
  <c r="Y19" i="26"/>
  <c r="AQ38" i="1"/>
  <c r="CS99" i="39"/>
  <c r="DE14" i="1"/>
  <c r="AE11" i="36"/>
  <c r="CX72" i="37"/>
  <c r="AE82" i="36"/>
  <c r="AS93" i="41"/>
  <c r="BD46" i="40"/>
  <c r="BV11" i="38"/>
  <c r="O99" i="1"/>
  <c r="AA63" i="37"/>
  <c r="BV31" i="40"/>
  <c r="CC14" i="39"/>
  <c r="AZ14" i="25"/>
  <c r="AZ15" s="1"/>
  <c r="CI76" i="39"/>
  <c r="CB82" i="37"/>
  <c r="CQ99" i="36"/>
  <c r="L72" i="38"/>
  <c r="H55" i="25"/>
  <c r="Z93" i="1"/>
  <c r="J63" i="36"/>
  <c r="AC93" i="1"/>
  <c r="AG14" i="38"/>
  <c r="BJ59"/>
  <c r="BA14" i="36"/>
  <c r="AV46" i="26"/>
  <c r="AZ55" i="38"/>
  <c r="AZ82" i="26"/>
  <c r="CN82" i="38"/>
  <c r="CN84" s="1"/>
  <c r="BB11" i="26"/>
  <c r="AI63" i="39"/>
  <c r="CT68"/>
  <c r="CE38" i="25"/>
  <c r="AO11" i="1"/>
  <c r="BZ31" i="36"/>
  <c r="AZ63" i="26"/>
  <c r="J22" i="39"/>
  <c r="P76" i="40"/>
  <c r="Q102"/>
  <c r="G104"/>
  <c r="DE46" i="36"/>
  <c r="K38" i="39"/>
  <c r="H28" i="38"/>
  <c r="AA28" i="26"/>
  <c r="CZ46" i="36"/>
  <c r="M22" i="38"/>
  <c r="BU76" i="41"/>
  <c r="CX11" i="1"/>
  <c r="AU28" i="39"/>
  <c r="AU32" s="1"/>
  <c r="CO55" i="41"/>
  <c r="BF45" i="25"/>
  <c r="AM46"/>
  <c r="CM51" i="39"/>
  <c r="CM84" s="1"/>
  <c r="CQ46" i="36"/>
  <c r="AE14"/>
  <c r="AE15" s="1"/>
  <c r="AU28" i="37"/>
  <c r="U55" i="36"/>
  <c r="CV31" i="39"/>
  <c r="AE93" i="36"/>
  <c r="AG76" i="37"/>
  <c r="V93" i="26"/>
  <c r="BC82" i="37"/>
  <c r="CU14" i="41"/>
  <c r="CR104" i="25"/>
  <c r="CE72" i="38"/>
  <c r="BX38" i="37"/>
  <c r="CG82" i="25"/>
  <c r="CT51" i="37"/>
  <c r="M55" i="36"/>
  <c r="M84" s="1"/>
  <c r="CJ19"/>
  <c r="BZ55" i="41"/>
  <c r="BE19" i="1"/>
  <c r="AB104" i="25"/>
  <c r="BZ82" i="41"/>
  <c r="BE63" i="36"/>
  <c r="Z11" i="37"/>
  <c r="AX51" i="25"/>
  <c r="BS11" i="26"/>
  <c r="CJ63" i="37"/>
  <c r="BW63" i="36"/>
  <c r="CT31" i="40"/>
  <c r="AZ19" i="26"/>
  <c r="CD99" i="41"/>
  <c r="CG104" i="40"/>
  <c r="BE63" i="39"/>
  <c r="DA99" i="1"/>
  <c r="CY82" i="38"/>
  <c r="DA82" i="40"/>
  <c r="AZ76" i="26"/>
  <c r="BQ38" i="37"/>
  <c r="CV14" i="41"/>
  <c r="AV14" i="36"/>
  <c r="W72" i="40"/>
  <c r="CB76" i="41"/>
  <c r="AY22" i="25"/>
  <c r="J28" i="41"/>
  <c r="DB22"/>
  <c r="BS22" i="36"/>
  <c r="CJ68" i="1"/>
  <c r="CY93" i="25"/>
  <c r="M51" i="39"/>
  <c r="CB38"/>
  <c r="CI38" i="36"/>
  <c r="BA68" i="26"/>
  <c r="AS72" i="41"/>
  <c r="AS84" s="1"/>
  <c r="CH104" i="1"/>
  <c r="BE22" i="36"/>
  <c r="BD82" i="40"/>
  <c r="CM22" i="37"/>
  <c r="DF28" i="25"/>
  <c r="AM28" i="38"/>
  <c r="BF26"/>
  <c r="AE28" i="1"/>
  <c r="BO104" i="37"/>
  <c r="CF38" i="41"/>
  <c r="BJ9" i="38"/>
  <c r="BH11"/>
  <c r="BJ11" s="1"/>
  <c r="CI104" i="1"/>
  <c r="BI38" i="39"/>
  <c r="CJ22" i="1"/>
  <c r="Y68" i="25"/>
  <c r="BT93" i="26"/>
  <c r="DD51" i="25"/>
  <c r="CK93" i="37"/>
  <c r="BB19" i="1"/>
  <c r="BB40" s="1"/>
  <c r="CV76" i="37"/>
  <c r="CA55" i="26"/>
  <c r="CN51" i="36"/>
  <c r="BT46"/>
  <c r="AK13" i="38"/>
  <c r="CR68" i="25"/>
  <c r="BY104" i="1"/>
  <c r="K63" i="36"/>
  <c r="BY99" i="40"/>
  <c r="U31" i="1"/>
  <c r="X14" i="39"/>
  <c r="J63" i="26"/>
  <c r="BF21" i="1"/>
  <c r="AM22"/>
  <c r="AA93" i="37"/>
  <c r="CO72" i="36"/>
  <c r="CT55"/>
  <c r="AB28" i="40"/>
  <c r="CL51" i="26"/>
  <c r="BF17" i="39"/>
  <c r="AM19"/>
  <c r="DB76" i="40"/>
  <c r="AQ35" i="39"/>
  <c r="AF68"/>
  <c r="AZ68" i="36"/>
  <c r="CC22" i="37"/>
  <c r="CG63" i="26"/>
  <c r="AI37" i="60"/>
  <c r="O55" i="40"/>
  <c r="Y82" i="1"/>
  <c r="DF104"/>
  <c r="CN19"/>
  <c r="BC104" i="36"/>
  <c r="CS82" i="39"/>
  <c r="J22" i="40"/>
  <c r="CW11" i="41"/>
  <c r="CW15" s="1"/>
  <c r="CW40" s="1"/>
  <c r="AH46" i="37"/>
  <c r="CD55" i="40"/>
  <c r="BB55" i="38"/>
  <c r="CP22"/>
  <c r="AK62"/>
  <c r="H104" i="1"/>
  <c r="CN11"/>
  <c r="Z82" i="41"/>
  <c r="BE72" i="38"/>
  <c r="CC99" i="39"/>
  <c r="CX35" i="41"/>
  <c r="AD31" i="36"/>
  <c r="AD32" s="1"/>
  <c r="AN31" i="25"/>
  <c r="AN32" s="1"/>
  <c r="AN40" s="1"/>
  <c r="AX31" i="26"/>
  <c r="AZ22" i="39"/>
  <c r="CZ11" i="40"/>
  <c r="BT19" i="38"/>
  <c r="BT40" s="1"/>
  <c r="H28" i="41"/>
  <c r="M35" i="37"/>
  <c r="P104" i="39"/>
  <c r="V63" i="38"/>
  <c r="AW55" i="1"/>
  <c r="BY28" i="37"/>
  <c r="CJ55" i="39"/>
  <c r="CJ84" s="1"/>
  <c r="CD46" i="38"/>
  <c r="Y22" i="36"/>
  <c r="BT28" i="38"/>
  <c r="CZ31"/>
  <c r="CZ32" s="1"/>
  <c r="CZ40" s="1"/>
  <c r="CF63" i="40"/>
  <c r="AH11" i="25"/>
  <c r="CT28" i="1"/>
  <c r="AB76" i="26"/>
  <c r="CX11" i="39"/>
  <c r="CX15" s="1"/>
  <c r="Z93" i="37"/>
  <c r="X63" i="38"/>
  <c r="AT19" i="39"/>
  <c r="CL68" i="38"/>
  <c r="BS72" i="1"/>
  <c r="CE14" i="39"/>
  <c r="CE15" s="1"/>
  <c r="CX46"/>
  <c r="BY93" i="38"/>
  <c r="AN76" i="39"/>
  <c r="AX11" i="37"/>
  <c r="CB104" i="41"/>
  <c r="AC99" i="37"/>
  <c r="Z93" i="39"/>
  <c r="BD22" i="26"/>
  <c r="CA11" i="25"/>
  <c r="AH104"/>
  <c r="CY11"/>
  <c r="CY15" s="1"/>
  <c r="CH38" i="26"/>
  <c r="AY99"/>
  <c r="AY106" s="1"/>
  <c r="V35" i="39"/>
  <c r="DA19" i="38"/>
  <c r="AA31" i="26"/>
  <c r="AT19" i="40"/>
  <c r="BT68" i="1"/>
  <c r="AB76" i="39"/>
  <c r="AE63" i="36"/>
  <c r="CV46" i="25"/>
  <c r="BC72" i="1"/>
  <c r="BZ93" i="41"/>
  <c r="DH30" i="37"/>
  <c r="BP35" i="1"/>
  <c r="DH35" s="1"/>
  <c r="AP51" i="26"/>
  <c r="AP84" s="1"/>
  <c r="Y22" i="25"/>
  <c r="CR68" i="40"/>
  <c r="AG68" i="26"/>
  <c r="BT51" i="40"/>
  <c r="BT84" s="1"/>
  <c r="BI38" i="41"/>
  <c r="Q25" i="37"/>
  <c r="AC104" i="38"/>
  <c r="AC22" i="39"/>
  <c r="AX28" i="40"/>
  <c r="CL11" i="1"/>
  <c r="CZ99" i="36"/>
  <c r="BQ31" i="41"/>
  <c r="CF55" i="38"/>
  <c r="DD76" i="36"/>
  <c r="P99" i="41"/>
  <c r="P106" s="1"/>
  <c r="DF19" i="37"/>
  <c r="CX19" i="39"/>
  <c r="CU99" i="36"/>
  <c r="AQ99" i="1"/>
  <c r="K46" i="36"/>
  <c r="U72"/>
  <c r="BJ98" i="39"/>
  <c r="CQ68" i="36"/>
  <c r="CQ84" s="1"/>
  <c r="BP72" i="25"/>
  <c r="CH46" i="36"/>
  <c r="CC68"/>
  <c r="G63" i="41"/>
  <c r="Q57"/>
  <c r="N76" i="40"/>
  <c r="CA76" i="39"/>
  <c r="BE22" i="41"/>
  <c r="P35" i="36"/>
  <c r="AM35" i="26"/>
  <c r="BF34"/>
  <c r="BJ18" i="40"/>
  <c r="AH22"/>
  <c r="M28" i="36"/>
  <c r="J22" i="41"/>
  <c r="CR63" i="26"/>
  <c r="CN93" i="1"/>
  <c r="AS31" i="26"/>
  <c r="N99" i="38"/>
  <c r="BC51"/>
  <c r="CR46" i="1"/>
  <c r="BY63"/>
  <c r="CJ72" i="38"/>
  <c r="CL68" i="37"/>
  <c r="CQ22" i="41"/>
  <c r="AY46" i="26"/>
  <c r="CO99" i="37"/>
  <c r="CV19" i="38"/>
  <c r="Z11"/>
  <c r="AH76" i="39"/>
  <c r="AQ35" i="1"/>
  <c r="CH46" i="25"/>
  <c r="M19"/>
  <c r="BP99" i="40"/>
  <c r="BJ89" i="38"/>
  <c r="CA11" i="1"/>
  <c r="BJ27" i="39"/>
  <c r="Y51" i="36"/>
  <c r="CF31" i="1"/>
  <c r="AT55" i="39"/>
  <c r="CQ28" i="41"/>
  <c r="CQ32" s="1"/>
  <c r="AP93" i="39"/>
  <c r="N11" i="25"/>
  <c r="BV76" i="40"/>
  <c r="AE72" i="39"/>
  <c r="AJ19" i="26"/>
  <c r="BQ38"/>
  <c r="BI11" i="39"/>
  <c r="H63" i="37"/>
  <c r="CS63"/>
  <c r="CI55" i="26"/>
  <c r="CF55" i="25"/>
  <c r="BB22" i="1"/>
  <c r="DB93" i="37"/>
  <c r="L63" i="26"/>
  <c r="BR28"/>
  <c r="BJ62" i="38"/>
  <c r="BC76" i="25"/>
  <c r="BC104" i="26"/>
  <c r="CR82" i="39"/>
  <c r="AP104" i="40"/>
  <c r="BB11" i="1"/>
  <c r="CP76" i="39"/>
  <c r="BY63" i="37"/>
  <c r="V93"/>
  <c r="O22" i="1"/>
  <c r="AR38" i="41"/>
  <c r="CM72" i="39"/>
  <c r="W63" i="37"/>
  <c r="BI31"/>
  <c r="AO72" i="41"/>
  <c r="AF31" i="38"/>
  <c r="AF32" s="1"/>
  <c r="CY68" i="36"/>
  <c r="CR19" i="38"/>
  <c r="CA93" i="26"/>
  <c r="BW35" i="36"/>
  <c r="F289" i="46"/>
  <c r="F300" s="1"/>
  <c r="S42" i="60"/>
  <c r="DE104" i="26"/>
  <c r="AV46" i="36"/>
  <c r="BV14" i="37"/>
  <c r="BV15" s="1"/>
  <c r="BV40" s="1"/>
  <c r="AR72" i="41"/>
  <c r="BJ17" i="25"/>
  <c r="BH19"/>
  <c r="BJ19" s="1"/>
  <c r="CX35" i="36"/>
  <c r="Q54" i="38"/>
  <c r="CO14" i="41"/>
  <c r="CT93" i="38"/>
  <c r="CT106" s="1"/>
  <c r="AW19" i="39"/>
  <c r="X31" i="26"/>
  <c r="AH22" i="39"/>
  <c r="DE11" i="40"/>
  <c r="BS63"/>
  <c r="CM14" i="41"/>
  <c r="I93" i="36"/>
  <c r="O14" i="38"/>
  <c r="AW72" i="36"/>
  <c r="DB104"/>
  <c r="DB11" i="1"/>
  <c r="H99" i="41"/>
  <c r="H106" s="1"/>
  <c r="CD14" i="38"/>
  <c r="DF35" i="40"/>
  <c r="BZ93" i="1"/>
  <c r="BE31"/>
  <c r="AS46" i="40"/>
  <c r="AT14" i="39"/>
  <c r="DE68" i="41"/>
  <c r="DA72"/>
  <c r="AE31" i="36"/>
  <c r="CO11" i="37"/>
  <c r="CO15" s="1"/>
  <c r="CN31" i="39"/>
  <c r="Q26" i="36"/>
  <c r="BL26" s="1"/>
  <c r="G28"/>
  <c r="CR51" i="38"/>
  <c r="DE11" i="25"/>
  <c r="AR38" i="36"/>
  <c r="BV35" i="41"/>
  <c r="AJ14" i="39"/>
  <c r="DE28" i="1"/>
  <c r="DH58" i="26"/>
  <c r="AI28" i="37"/>
  <c r="AI32" s="1"/>
  <c r="AD63"/>
  <c r="BE22" i="40"/>
  <c r="AC19" i="38"/>
  <c r="BW38" i="37"/>
  <c r="H104" i="40"/>
  <c r="BW46" i="39"/>
  <c r="BX72" i="38"/>
  <c r="AW14" i="1"/>
  <c r="BD19" i="25"/>
  <c r="AD28" i="38"/>
  <c r="O46" i="36"/>
  <c r="DD22" i="40"/>
  <c r="DE63" i="39"/>
  <c r="AC38" i="1"/>
  <c r="AE19" i="37"/>
  <c r="BV76" i="26"/>
  <c r="AJ104" i="36"/>
  <c r="BE72" i="25"/>
  <c r="Z99" i="1"/>
  <c r="AJ99" i="40"/>
  <c r="BD11" i="36"/>
  <c r="CI46"/>
  <c r="BV55" i="37"/>
  <c r="BV84" s="1"/>
  <c r="AN68" i="1"/>
  <c r="BF27" i="41"/>
  <c r="AN82"/>
  <c r="CY14" i="38"/>
  <c r="CY15" s="1"/>
  <c r="CY40" s="1"/>
  <c r="BB99" i="40"/>
  <c r="AM82" i="38"/>
  <c r="BF79"/>
  <c r="N14" i="1"/>
  <c r="N15" s="1"/>
  <c r="BP104" i="36"/>
  <c r="DH61"/>
  <c r="CN82" i="26"/>
  <c r="K11" i="40"/>
  <c r="CE93" i="36"/>
  <c r="BA55" i="25"/>
  <c r="AZ22"/>
  <c r="CH82" i="38"/>
  <c r="CF31"/>
  <c r="DD63"/>
  <c r="BU19"/>
  <c r="CY14" i="36"/>
  <c r="CY15" s="1"/>
  <c r="CY40" s="1"/>
  <c r="AG28"/>
  <c r="AG32" s="1"/>
  <c r="BA99" i="37"/>
  <c r="BV28"/>
  <c r="BV32" s="1"/>
  <c r="CY72" i="25"/>
  <c r="BF18"/>
  <c r="AS46"/>
  <c r="BV38"/>
  <c r="CL11" i="39"/>
  <c r="BT28" i="1"/>
  <c r="BW14" i="36"/>
  <c r="BW15" s="1"/>
  <c r="Y93" i="38"/>
  <c r="AD55" i="41"/>
  <c r="X19" i="37"/>
  <c r="AV55" i="39"/>
  <c r="S82" i="37"/>
  <c r="BU19"/>
  <c r="CC46" i="1"/>
  <c r="DH54" i="41"/>
  <c r="BB93" i="1"/>
  <c r="BB106" s="1"/>
  <c r="AG38" i="26"/>
  <c r="Z63" i="37"/>
  <c r="AT31" i="38"/>
  <c r="BY11" i="1"/>
  <c r="K22" i="41"/>
  <c r="AZ51" i="25"/>
  <c r="Y14" i="26"/>
  <c r="Y15" s="1"/>
  <c r="AD32" i="25"/>
  <c r="BP63"/>
  <c r="CU82" i="1"/>
  <c r="AY99" i="39"/>
  <c r="BF27"/>
  <c r="N35" i="38"/>
  <c r="N31" i="25"/>
  <c r="BP76" i="40"/>
  <c r="BU51" i="41"/>
  <c r="BU84" s="1"/>
  <c r="CM99" i="1"/>
  <c r="AO104" i="37"/>
  <c r="AM63" i="36"/>
  <c r="CQ82" i="39"/>
  <c r="AQ31" i="38"/>
  <c r="AO19" i="41"/>
  <c r="DC19" i="1"/>
  <c r="BC72" i="38"/>
  <c r="DB28" i="26"/>
  <c r="AN46" i="41"/>
  <c r="P51" i="26"/>
  <c r="P84" s="1"/>
  <c r="Q62" i="38"/>
  <c r="BA35" i="41"/>
  <c r="CB28" i="26"/>
  <c r="CL63" i="38"/>
  <c r="BZ55" i="40"/>
  <c r="AN46" i="36"/>
  <c r="AD14" i="25"/>
  <c r="CA28" i="40"/>
  <c r="S99" i="37"/>
  <c r="BF96" i="36"/>
  <c r="AM99"/>
  <c r="AB82" i="25"/>
  <c r="AD14" i="26"/>
  <c r="AD15" s="1"/>
  <c r="AD40" s="1"/>
  <c r="M76" i="1"/>
  <c r="CD35" i="36"/>
  <c r="J28" i="26"/>
  <c r="J19"/>
  <c r="K38" i="41"/>
  <c r="L104"/>
  <c r="K72"/>
  <c r="AV35" i="38"/>
  <c r="AO38" i="26"/>
  <c r="AQ63" i="37"/>
  <c r="DH59"/>
  <c r="CQ28" i="38"/>
  <c r="CU19" i="41"/>
  <c r="BY51" i="37"/>
  <c r="AQ46" i="38"/>
  <c r="CO82" i="1"/>
  <c r="DC28"/>
  <c r="J35" i="41"/>
  <c r="K51" i="39"/>
  <c r="K84" s="1"/>
  <c r="BZ22" i="1"/>
  <c r="AD22" i="39"/>
  <c r="BC22" i="26"/>
  <c r="AN14" i="40"/>
  <c r="AN15" s="1"/>
  <c r="BQ68"/>
  <c r="CL76" i="41"/>
  <c r="AF76" i="1"/>
  <c r="AS22" i="26"/>
  <c r="CG51" i="1"/>
  <c r="CG84" s="1"/>
  <c r="CD31" i="38"/>
  <c r="BZ51" i="39"/>
  <c r="O19" i="1"/>
  <c r="U31" i="25"/>
  <c r="BH28" i="26"/>
  <c r="BJ26"/>
  <c r="AW72" i="25"/>
  <c r="BI28"/>
  <c r="AH51" i="1"/>
  <c r="AQ28"/>
  <c r="CX14" i="37"/>
  <c r="BU76" i="40"/>
  <c r="BX28" i="1"/>
  <c r="BB72" i="39"/>
  <c r="BU51" i="26"/>
  <c r="BU84" s="1"/>
  <c r="BO31" i="41"/>
  <c r="DH31" s="1"/>
  <c r="DH29"/>
  <c r="BB35" i="37"/>
  <c r="CB63" i="39"/>
  <c r="CB84" s="1"/>
  <c r="H104"/>
  <c r="H106" s="1"/>
  <c r="CW31" i="25"/>
  <c r="BU11" i="39"/>
  <c r="BO28" i="26"/>
  <c r="DH26"/>
  <c r="L38" i="38"/>
  <c r="N22" i="26"/>
  <c r="BD14" i="1"/>
  <c r="BD15" s="1"/>
  <c r="AD35" i="25"/>
  <c r="CQ76" i="36"/>
  <c r="BU104" i="26"/>
  <c r="BE46" i="1"/>
  <c r="AP46" i="41"/>
  <c r="BA35" i="36"/>
  <c r="AW46" i="1"/>
  <c r="T55"/>
  <c r="BV51" i="39"/>
  <c r="CT82" i="37"/>
  <c r="CS19" i="39"/>
  <c r="CH55" i="38"/>
  <c r="CH84" s="1"/>
  <c r="CE104" i="36"/>
  <c r="AH38" i="40"/>
  <c r="BT14" i="41"/>
  <c r="DE35" i="39"/>
  <c r="BJ24" i="26"/>
  <c r="AJ68" i="41"/>
  <c r="CJ82" i="25"/>
  <c r="BF18" i="1"/>
  <c r="I76" i="25"/>
  <c r="CR76" i="1"/>
  <c r="CW51" i="26"/>
  <c r="BZ99" i="37"/>
  <c r="BX38" i="25"/>
  <c r="L31" i="39"/>
  <c r="CZ22"/>
  <c r="K68" i="26"/>
  <c r="K84" s="1"/>
  <c r="AT68" i="40"/>
  <c r="CZ14" i="36"/>
  <c r="I99" i="40"/>
  <c r="Y72" i="25"/>
  <c r="AH104" i="41"/>
  <c r="CO19" i="40"/>
  <c r="CZ93" i="25"/>
  <c r="DF11"/>
  <c r="DF15" s="1"/>
  <c r="AF38" i="39"/>
  <c r="BC38" i="25"/>
  <c r="CW72" i="41"/>
  <c r="DH61"/>
  <c r="K19" i="1"/>
  <c r="DC63" i="36"/>
  <c r="BR28" i="25"/>
  <c r="CO28" i="37"/>
  <c r="CO32" s="1"/>
  <c r="CO40" s="1"/>
  <c r="H63" i="25"/>
  <c r="CV104" i="38"/>
  <c r="X31" i="25"/>
  <c r="CD82" i="41"/>
  <c r="Q91" i="37"/>
  <c r="AC55" i="1"/>
  <c r="BR38" i="39"/>
  <c r="CI99" i="25"/>
  <c r="CA28" i="37"/>
  <c r="CA32" s="1"/>
  <c r="CN63" i="25"/>
  <c r="BB63" i="37"/>
  <c r="AU51" i="1"/>
  <c r="AU84" s="1"/>
  <c r="BV46"/>
  <c r="S76" i="26"/>
  <c r="O35" i="25"/>
  <c r="AB35" i="40"/>
  <c r="AN68" i="38"/>
  <c r="BV68" i="26"/>
  <c r="CG35" i="40"/>
  <c r="CL22" i="38"/>
  <c r="CL40" s="1"/>
  <c r="J68" i="1"/>
  <c r="CA76" i="26"/>
  <c r="AV99"/>
  <c r="BZ11" i="36"/>
  <c r="CG22" i="25"/>
  <c r="N99" i="41"/>
  <c r="AF19" i="38"/>
  <c r="CN32" i="1"/>
  <c r="DC46" i="26"/>
  <c r="CL76" i="37"/>
  <c r="AH14" i="1"/>
  <c r="BD31" i="40"/>
  <c r="AY93" i="37"/>
  <c r="AY106" s="1"/>
  <c r="CW22" i="41"/>
  <c r="BJ65" i="37"/>
  <c r="BH68"/>
  <c r="BJ68" s="1"/>
  <c r="G38" i="40"/>
  <c r="Q37"/>
  <c r="CW99" i="41"/>
  <c r="AZ28" i="40"/>
  <c r="AZ32" s="1"/>
  <c r="AQ63" i="26"/>
  <c r="BS51" i="38"/>
  <c r="CR55" i="39"/>
  <c r="O76" i="40"/>
  <c r="BU55"/>
  <c r="DD82" i="25"/>
  <c r="AM76" i="1"/>
  <c r="S104" i="39"/>
  <c r="CA63"/>
  <c r="CH19"/>
  <c r="CE51" i="38"/>
  <c r="BI99" i="41"/>
  <c r="L11" i="40"/>
  <c r="CA19" i="37"/>
  <c r="CJ104" i="38"/>
  <c r="CI55" i="39"/>
  <c r="CD93"/>
  <c r="BW19" i="41"/>
  <c r="AM93"/>
  <c r="BF89"/>
  <c r="CM51" i="26"/>
  <c r="CM84" s="1"/>
  <c r="CM72" i="37"/>
  <c r="AM68" i="25"/>
  <c r="CD11" i="1"/>
  <c r="CD15" s="1"/>
  <c r="CD40" s="1"/>
  <c r="Z22" i="40"/>
  <c r="CW22" i="26"/>
  <c r="AU31" i="38"/>
  <c r="BI38"/>
  <c r="AY38" i="36"/>
  <c r="AO35" i="37"/>
  <c r="DD55" i="1"/>
  <c r="BA28" i="36"/>
  <c r="BA32" s="1"/>
  <c r="CZ68" i="1"/>
  <c r="BR14" i="25"/>
  <c r="CY46" i="26"/>
  <c r="CY55" i="40"/>
  <c r="CY84" s="1"/>
  <c r="BV51"/>
  <c r="BH19" i="36"/>
  <c r="BJ17"/>
  <c r="CN93" i="26"/>
  <c r="CN106" s="1"/>
  <c r="AW14"/>
  <c r="U46" i="40"/>
  <c r="AF82" i="41"/>
  <c r="CA19" i="38"/>
  <c r="H38" i="41"/>
  <c r="AQ14" i="39"/>
  <c r="M28" i="40"/>
  <c r="M32" s="1"/>
  <c r="M40" s="1"/>
  <c r="CR31" i="38"/>
  <c r="CR32" s="1"/>
  <c r="BO31" i="26"/>
  <c r="DH29"/>
  <c r="AP46"/>
  <c r="AZ28" i="38"/>
  <c r="AZ32" s="1"/>
  <c r="Q98" i="37"/>
  <c r="Z11" i="25"/>
  <c r="CO68" i="36"/>
  <c r="CL38" i="38"/>
  <c r="X14"/>
  <c r="BC63" i="26"/>
  <c r="DA22" i="37"/>
  <c r="AQ68" i="36"/>
  <c r="AM35" i="40"/>
  <c r="BF34"/>
  <c r="AC11" i="39"/>
  <c r="AC76" i="36"/>
  <c r="CK63" i="1"/>
  <c r="Y93" i="40"/>
  <c r="AZ82" i="1"/>
  <c r="CA14" i="39"/>
  <c r="CA15" s="1"/>
  <c r="BF96" i="37"/>
  <c r="AM99"/>
  <c r="DA63" i="41"/>
  <c r="DA84" s="1"/>
  <c r="K46" i="26"/>
  <c r="CY63" i="37"/>
  <c r="CQ99" i="39"/>
  <c r="AF14" i="26"/>
  <c r="AF15" s="1"/>
  <c r="AF40" s="1"/>
  <c r="CS14" i="25"/>
  <c r="DD93" i="39"/>
  <c r="DD106" s="1"/>
  <c r="DB72" i="38"/>
  <c r="AK60" i="39"/>
  <c r="BL60" s="1"/>
  <c r="AV35" i="25"/>
  <c r="T22" i="36"/>
  <c r="CM31" i="41"/>
  <c r="CM32" s="1"/>
  <c r="CJ99" i="36"/>
  <c r="N51" i="38"/>
  <c r="N84" s="1"/>
  <c r="AF28"/>
  <c r="AU38" i="39"/>
  <c r="AS31" i="37"/>
  <c r="CT38" i="1"/>
  <c r="AV11" i="36"/>
  <c r="CE14" i="26"/>
  <c r="AY28" i="1"/>
  <c r="AY32" s="1"/>
  <c r="BY35" i="25"/>
  <c r="AY14" i="40"/>
  <c r="I31" i="26"/>
  <c r="CI22" i="25"/>
  <c r="DH66" i="26"/>
  <c r="DB99" i="37"/>
  <c r="CF93" i="39"/>
  <c r="X99" i="40"/>
  <c r="BT72" i="39"/>
  <c r="AR99"/>
  <c r="AT51" i="38"/>
  <c r="CK63"/>
  <c r="CQ99" i="41"/>
  <c r="CU82"/>
  <c r="CW35" i="39"/>
  <c r="BZ82" i="40"/>
  <c r="CG19" i="38"/>
  <c r="BF54" i="36"/>
  <c r="AC63" i="41"/>
  <c r="AC51" i="39"/>
  <c r="AZ76" i="36"/>
  <c r="K38" i="40"/>
  <c r="K93" i="36"/>
  <c r="K106" s="1"/>
  <c r="T19" i="1"/>
  <c r="BI68" i="39"/>
  <c r="T31" i="41"/>
  <c r="O35" i="37"/>
  <c r="BP72"/>
  <c r="X68" i="39"/>
  <c r="AB93" i="37"/>
  <c r="BT28" i="41"/>
  <c r="AI14" i="38"/>
  <c r="AF11" i="26"/>
  <c r="DB11" i="36"/>
  <c r="BI28" i="26"/>
  <c r="AZ46" i="39"/>
  <c r="AU14" i="40"/>
  <c r="AU15" s="1"/>
  <c r="BJ60" i="25"/>
  <c r="AW82" i="39"/>
  <c r="CM76" i="38"/>
  <c r="BX104" i="40"/>
  <c r="CK72" i="36"/>
  <c r="DB14" i="39"/>
  <c r="DB15" s="1"/>
  <c r="DB40" s="1"/>
  <c r="DB109" s="1"/>
  <c r="AV31" i="36"/>
  <c r="DE99" i="40"/>
  <c r="CA72" i="41"/>
  <c r="BD76" i="38"/>
  <c r="CW104" i="36"/>
  <c r="AD14" i="39"/>
  <c r="AU51"/>
  <c r="CX28" i="40"/>
  <c r="CN68" i="41"/>
  <c r="AJ28"/>
  <c r="DA68" i="26"/>
  <c r="CM68" i="37"/>
  <c r="CR11" i="26"/>
  <c r="CT19" i="1"/>
  <c r="AE82" i="40"/>
  <c r="AF28" i="41"/>
  <c r="AF32" s="1"/>
  <c r="CS32" i="26"/>
  <c r="CH28" i="25"/>
  <c r="CH32" s="1"/>
  <c r="CE68" i="41"/>
  <c r="CI19" i="38"/>
  <c r="CZ14" i="1"/>
  <c r="AN19" i="36"/>
  <c r="U55" i="39"/>
  <c r="BR22" i="37"/>
  <c r="DA104" i="36"/>
  <c r="DA106" s="1"/>
  <c r="AI68" i="1"/>
  <c r="CV38" i="39"/>
  <c r="BD55" i="25"/>
  <c r="CG22" i="1"/>
  <c r="AO31" i="41"/>
  <c r="CL104" i="36"/>
  <c r="CJ104" i="37"/>
  <c r="I19" i="41"/>
  <c r="CY35"/>
  <c r="AN11" i="40"/>
  <c r="CA32" i="38"/>
  <c r="AI72" i="41"/>
  <c r="AY63" i="39"/>
  <c r="M93" i="36"/>
  <c r="BO68" i="37"/>
  <c r="DH68" s="1"/>
  <c r="DH65"/>
  <c r="CI63" i="26"/>
  <c r="CW46" i="25"/>
  <c r="DH75" i="40"/>
  <c r="BO76"/>
  <c r="AW14"/>
  <c r="BA82" i="36"/>
  <c r="BB63" i="25"/>
  <c r="CB46" i="39"/>
  <c r="AD46" i="26"/>
  <c r="AN14" i="39"/>
  <c r="CF63" i="36"/>
  <c r="P55" i="39"/>
  <c r="U68" i="25"/>
  <c r="AB99" i="1"/>
  <c r="DA72" i="37"/>
  <c r="CX99"/>
  <c r="CX106" s="1"/>
  <c r="BS19"/>
  <c r="BV55" i="25"/>
  <c r="AW55" i="41"/>
  <c r="AW84" s="1"/>
  <c r="CS82" i="37"/>
  <c r="AH93" i="41"/>
  <c r="X14" i="1"/>
  <c r="J35" i="25"/>
  <c r="DF63" i="1"/>
  <c r="BB82" i="25"/>
  <c r="M11" i="39"/>
  <c r="CP11" i="1"/>
  <c r="CP15" s="1"/>
  <c r="CP40" s="1"/>
  <c r="BW63" i="26"/>
  <c r="N38" i="41"/>
  <c r="AD68" i="37"/>
  <c r="CC99" i="1"/>
  <c r="BA14"/>
  <c r="AW82" i="36"/>
  <c r="BQ63" i="41"/>
  <c r="BJ29" i="37"/>
  <c r="BH31"/>
  <c r="BH32" s="1"/>
  <c r="BJ32" s="1"/>
  <c r="O68" i="25"/>
  <c r="AW99" i="40"/>
  <c r="DE35" i="41"/>
  <c r="X55" i="26"/>
  <c r="BT31" i="1"/>
  <c r="CT76" i="39"/>
  <c r="AR31" i="36"/>
  <c r="AR32" s="1"/>
  <c r="CY55" i="38"/>
  <c r="CE99" i="25"/>
  <c r="CP28" i="38"/>
  <c r="M35" i="26"/>
  <c r="CK46" i="40"/>
  <c r="AQ22" i="25"/>
  <c r="O93" i="1"/>
  <c r="O106" s="1"/>
  <c r="Y19"/>
  <c r="AP63" i="36"/>
  <c r="BZ68" i="25"/>
  <c r="V31" i="1"/>
  <c r="K68" i="39"/>
  <c r="AU38" i="25"/>
  <c r="AT46" i="38"/>
  <c r="O68" i="1"/>
  <c r="O84" s="1"/>
  <c r="CX99"/>
  <c r="CG35" i="26"/>
  <c r="BC68" i="40"/>
  <c r="AE82" i="1"/>
  <c r="S104" i="36"/>
  <c r="BS46" i="37"/>
  <c r="AF76"/>
  <c r="Q26" i="40"/>
  <c r="G28"/>
  <c r="CH14" i="37"/>
  <c r="CH19" i="25"/>
  <c r="CX93" i="40"/>
  <c r="N28" i="25"/>
  <c r="N32" s="1"/>
  <c r="BE82"/>
  <c r="BB46" i="1"/>
  <c r="BO76" i="26"/>
  <c r="DH76" s="1"/>
  <c r="DH75"/>
  <c r="BZ38" i="36"/>
  <c r="DE68" i="26"/>
  <c r="CO11" i="39"/>
  <c r="Q13" i="37"/>
  <c r="CM68" i="38"/>
  <c r="BB11" i="40"/>
  <c r="DB22" i="39"/>
  <c r="BO38" i="38"/>
  <c r="DH37"/>
  <c r="DB51" i="41"/>
  <c r="AF68" i="37"/>
  <c r="CB38" i="38"/>
  <c r="X99" i="36"/>
  <c r="BX68" i="25"/>
  <c r="CK35" i="40"/>
  <c r="N31" i="39"/>
  <c r="N32" s="1"/>
  <c r="CI11" i="37"/>
  <c r="CI15" s="1"/>
  <c r="CS104" i="36"/>
  <c r="CS72" i="26"/>
  <c r="AD63" i="36"/>
  <c r="CG38" i="39"/>
  <c r="CS82" i="25"/>
  <c r="CB22" i="36"/>
  <c r="DE35" i="38"/>
  <c r="BF71" i="41"/>
  <c r="AM72"/>
  <c r="O51" i="38"/>
  <c r="O84" s="1"/>
  <c r="BS51" i="25"/>
  <c r="AU55" i="36"/>
  <c r="AB35" i="1"/>
  <c r="AW22" i="41"/>
  <c r="BR19" i="38"/>
  <c r="BY11" i="26"/>
  <c r="Q10" i="41"/>
  <c r="DE99" i="26"/>
  <c r="CU68" i="36"/>
  <c r="CU84" s="1"/>
  <c r="Y46" i="25"/>
  <c r="AG28" i="39"/>
  <c r="BI63" i="38"/>
  <c r="Z99"/>
  <c r="H14" i="37"/>
  <c r="AD46"/>
  <c r="W31" i="25"/>
  <c r="CL63" i="36"/>
  <c r="CZ11" i="38"/>
  <c r="CI68" i="37"/>
  <c r="AQ38" i="40"/>
  <c r="AA104" i="1"/>
  <c r="BT82" i="38"/>
  <c r="CY38" i="26"/>
  <c r="CA68" i="38"/>
  <c r="N51" i="1"/>
  <c r="AH76" i="25"/>
  <c r="AJ63"/>
  <c r="CA38" i="40"/>
  <c r="CY76" i="41"/>
  <c r="AA93" i="39"/>
  <c r="CG22"/>
  <c r="CN76" i="37"/>
  <c r="AZ51" i="40"/>
  <c r="T38" i="1"/>
  <c r="J46" i="39"/>
  <c r="AY82"/>
  <c r="CM46" i="41"/>
  <c r="DE28"/>
  <c r="DE32" s="1"/>
  <c r="DE46" i="25"/>
  <c r="J99"/>
  <c r="AZ19" i="37"/>
  <c r="CV99" i="41"/>
  <c r="AY28" i="40"/>
  <c r="AY32" s="1"/>
  <c r="AF93"/>
  <c r="K28" i="1"/>
  <c r="BX104" i="37"/>
  <c r="P11" i="38"/>
  <c r="CX99" i="41"/>
  <c r="BW51" i="37"/>
  <c r="I46" i="1"/>
  <c r="AW11" i="36"/>
  <c r="AS63"/>
  <c r="DH37" i="26"/>
  <c r="BO38"/>
  <c r="BS51" i="36"/>
  <c r="BD55" i="41"/>
  <c r="BX82" i="26"/>
  <c r="BV14" i="1"/>
  <c r="CI22" i="40"/>
  <c r="CN99" i="39"/>
  <c r="AY46" i="1"/>
  <c r="CZ104" i="36"/>
  <c r="AH68" i="40"/>
  <c r="AX22" i="36"/>
  <c r="AC55" i="38"/>
  <c r="DD72" i="40"/>
  <c r="CD31" i="36"/>
  <c r="AF14" i="37"/>
  <c r="BA99" i="26"/>
  <c r="AP35" i="37"/>
  <c r="AN14" i="1"/>
  <c r="AN15" s="1"/>
  <c r="AN40" s="1"/>
  <c r="BT11" i="37"/>
  <c r="AO76" i="41"/>
  <c r="CT55" i="38"/>
  <c r="BE38" i="25"/>
  <c r="AR68"/>
  <c r="CL55" i="41"/>
  <c r="I82" i="37"/>
  <c r="CN104" i="38"/>
  <c r="DA31" i="26"/>
  <c r="CW38" i="37"/>
  <c r="P35" i="25"/>
  <c r="DE31" i="40"/>
  <c r="DE32" s="1"/>
  <c r="CX14" i="38"/>
  <c r="CX15" s="1"/>
  <c r="CV63" i="26"/>
  <c r="V14" i="60"/>
  <c r="H116" i="50"/>
  <c r="W19" i="1"/>
  <c r="AZ55" i="41"/>
  <c r="AA38" i="36"/>
  <c r="U55" i="60"/>
  <c r="T14"/>
  <c r="X82" i="25"/>
  <c r="AD28" i="37"/>
  <c r="AQ68" i="41"/>
  <c r="CG11"/>
  <c r="AG46" i="25"/>
  <c r="K31" i="41"/>
  <c r="BI14" i="39"/>
  <c r="BT35" i="40"/>
  <c r="P55" i="37"/>
  <c r="DA11" i="36"/>
  <c r="M22" i="40"/>
  <c r="DH60"/>
  <c r="V46" i="26"/>
  <c r="DF72" i="36"/>
  <c r="AN22" i="38"/>
  <c r="BF22" s="1"/>
  <c r="CB63" i="26"/>
  <c r="U46" i="25"/>
  <c r="AP31" i="1"/>
  <c r="AM63" i="38"/>
  <c r="AB99" i="26"/>
  <c r="I76" i="40"/>
  <c r="AM104" i="26"/>
  <c r="BF102"/>
  <c r="CO11" i="38"/>
  <c r="BJ67" i="41"/>
  <c r="BU22" i="25"/>
  <c r="CX31" i="37"/>
  <c r="CX32" s="1"/>
  <c r="CX40" s="1"/>
  <c r="CD68" i="38"/>
  <c r="BR46" i="39"/>
  <c r="BF60"/>
  <c r="DF55" i="26"/>
  <c r="BJ10" i="39"/>
  <c r="BY72" i="37"/>
  <c r="BX99" i="41"/>
  <c r="AW38" i="36"/>
  <c r="Y22" i="40"/>
  <c r="AY104" i="39"/>
  <c r="BJ25" i="1"/>
  <c r="CW35" i="26"/>
  <c r="CN28"/>
  <c r="CN32" s="1"/>
  <c r="H11" i="36"/>
  <c r="AV14" i="41"/>
  <c r="BX19" i="40"/>
  <c r="BS76" i="26"/>
  <c r="CP63" i="41"/>
  <c r="BI63" i="26"/>
  <c r="BU99" i="39"/>
  <c r="BF26" i="41"/>
  <c r="AM28"/>
  <c r="AU28" i="1"/>
  <c r="BV14" i="39"/>
  <c r="BV15" s="1"/>
  <c r="AZ68" i="38"/>
  <c r="BJ27" i="36"/>
  <c r="BW46" i="26"/>
  <c r="DD28" i="41"/>
  <c r="DD32" s="1"/>
  <c r="AJ93" i="36"/>
  <c r="AE11" i="39"/>
  <c r="O68" i="26"/>
  <c r="M31" i="36"/>
  <c r="L99" i="38"/>
  <c r="K55" i="41"/>
  <c r="CQ63" i="37"/>
  <c r="AO35" i="1"/>
  <c r="CK99" i="25"/>
  <c r="AD38" i="40"/>
  <c r="AA22" i="25"/>
  <c r="DB55" i="39"/>
  <c r="DB84" s="1"/>
  <c r="CD11" i="40"/>
  <c r="AO14" i="37"/>
  <c r="BB19" i="25"/>
  <c r="H93" i="1"/>
  <c r="AN31" i="36"/>
  <c r="S99" i="25"/>
  <c r="O46" i="37"/>
  <c r="BX11" i="41"/>
  <c r="BX15" s="1"/>
  <c r="CF55" i="40"/>
  <c r="BZ31" i="41"/>
  <c r="AA51"/>
  <c r="CE76" i="1"/>
  <c r="AC19" i="25"/>
  <c r="AI93" i="37"/>
  <c r="CY93" i="38"/>
  <c r="BE82" i="39"/>
  <c r="S93" i="36"/>
  <c r="S106" s="1"/>
  <c r="AK89"/>
  <c r="DD11"/>
  <c r="DD15" s="1"/>
  <c r="DD63" i="40"/>
  <c r="AN11" i="26"/>
  <c r="AI104" i="37"/>
  <c r="I28" i="26"/>
  <c r="CQ31" i="37"/>
  <c r="CQ32" s="1"/>
  <c r="BP31" i="25"/>
  <c r="AQ51" i="37"/>
  <c r="DB14" i="36"/>
  <c r="CC28" i="25"/>
  <c r="W63" i="41"/>
  <c r="BQ35" i="38"/>
  <c r="CN35" i="41"/>
  <c r="AP28"/>
  <c r="AP32" s="1"/>
  <c r="T28" i="39"/>
  <c r="AG72" i="40"/>
  <c r="CO99" i="36"/>
  <c r="AW28"/>
  <c r="CN35" i="39"/>
  <c r="CA55" i="38"/>
  <c r="AE72" i="1"/>
  <c r="BB72" i="40"/>
  <c r="BA28" i="41"/>
  <c r="CA76" i="38"/>
  <c r="CY104" i="41"/>
  <c r="AI76" i="37"/>
  <c r="CX28" i="26"/>
  <c r="AE46" i="40"/>
  <c r="BI31" i="25"/>
  <c r="AC28" i="38"/>
  <c r="AC32" s="1"/>
  <c r="P51" i="40"/>
  <c r="CE82" i="39"/>
  <c r="BF92" i="25"/>
  <c r="AQ14" i="40"/>
  <c r="AQ15" s="1"/>
  <c r="AQ40" s="1"/>
  <c r="CQ31" i="41"/>
  <c r="CO14" i="39"/>
  <c r="CP31" i="37"/>
  <c r="AC38"/>
  <c r="BD11" i="38"/>
  <c r="O11" i="26"/>
  <c r="AG104" i="1"/>
  <c r="AI14" i="36"/>
  <c r="CQ11" i="39"/>
  <c r="CQ15" s="1"/>
  <c r="AI28"/>
  <c r="BB104" i="36"/>
  <c r="AM11" i="41"/>
  <c r="AM15" s="1"/>
  <c r="AM40" s="1"/>
  <c r="AP22" i="36"/>
  <c r="CU46" i="38"/>
  <c r="BI63" i="36"/>
  <c r="Z72" i="41"/>
  <c r="CC104" i="1"/>
  <c r="CQ28" i="39"/>
  <c r="BD46" i="26"/>
  <c r="BS11" i="41"/>
  <c r="BS46"/>
  <c r="BV55" i="1"/>
  <c r="CC31" i="41"/>
  <c r="DD63" i="25"/>
  <c r="AG82"/>
  <c r="BT68" i="36"/>
  <c r="DC104" i="37"/>
  <c r="M93" i="38"/>
  <c r="CN19" i="26"/>
  <c r="AH68" i="37"/>
  <c r="BA99" i="25"/>
  <c r="V68" i="38"/>
  <c r="AN82" i="40"/>
  <c r="BD93" i="38"/>
  <c r="CQ104" i="41"/>
  <c r="DA28" i="1"/>
  <c r="DA32" s="1"/>
  <c r="BT46" i="26"/>
  <c r="CJ72" i="36"/>
  <c r="CF14" i="39"/>
  <c r="CF15" s="1"/>
  <c r="AM99" i="26"/>
  <c r="AM106" s="1"/>
  <c r="BF96"/>
  <c r="I11" i="39"/>
  <c r="CE35" i="38"/>
  <c r="BB82" i="1"/>
  <c r="DC63" i="41"/>
  <c r="BJ25" i="39"/>
  <c r="AW93" i="36"/>
  <c r="CE68" i="37"/>
  <c r="Y93"/>
  <c r="M22" i="1"/>
  <c r="P28" i="25"/>
  <c r="DF99" i="38"/>
  <c r="BH31" i="36"/>
  <c r="BJ31" s="1"/>
  <c r="BJ29"/>
  <c r="DC99" i="39"/>
  <c r="Y21" i="60"/>
  <c r="AF19" i="40"/>
  <c r="N93"/>
  <c r="BO104"/>
  <c r="AI51" i="25"/>
  <c r="AH55" i="37"/>
  <c r="CO72"/>
  <c r="DF11" i="41"/>
  <c r="CG11" i="37"/>
  <c r="CE76"/>
  <c r="AE14" i="1"/>
  <c r="AY19" i="39"/>
  <c r="J28" i="1"/>
  <c r="M31" i="25"/>
  <c r="BT76" i="40"/>
  <c r="S93" i="39"/>
  <c r="AK89"/>
  <c r="BL89" s="1"/>
  <c r="BJ54"/>
  <c r="CC46" i="25"/>
  <c r="G68" i="38"/>
  <c r="Q65"/>
  <c r="BL65" s="1"/>
  <c r="DB68" i="26"/>
  <c r="BV19" i="25"/>
  <c r="AX14" i="38"/>
  <c r="U38" i="40"/>
  <c r="Z11" i="1"/>
  <c r="BQ99" i="38"/>
  <c r="AO11" i="40"/>
  <c r="BS104" i="26"/>
  <c r="BE46" i="40"/>
  <c r="S76" i="1"/>
  <c r="AK75"/>
  <c r="Q54" i="25"/>
  <c r="AF104" i="37"/>
  <c r="AE28"/>
  <c r="BO35" i="25"/>
  <c r="DH34"/>
  <c r="DB38"/>
  <c r="BC68" i="41"/>
  <c r="CZ28" i="25"/>
  <c r="CM104" i="37"/>
  <c r="CM106" s="1"/>
  <c r="BY35" i="41"/>
  <c r="AI104" i="25"/>
  <c r="BJ67" i="37"/>
  <c r="K63" i="38"/>
  <c r="DD14"/>
  <c r="DD15" s="1"/>
  <c r="AK61" i="36"/>
  <c r="CL38" i="39"/>
  <c r="CS38" i="41"/>
  <c r="CG28" i="36"/>
  <c r="CG32" s="1"/>
  <c r="CV93" i="41"/>
  <c r="CG14" i="36"/>
  <c r="BD22" i="1"/>
  <c r="AE31" i="25"/>
  <c r="AE32" s="1"/>
  <c r="CQ46" i="26"/>
  <c r="CD28" i="37"/>
  <c r="CH22" i="39"/>
  <c r="AC14"/>
  <c r="BB38" i="36"/>
  <c r="CT63" i="38"/>
  <c r="CF82" i="41"/>
  <c r="CD104" i="25"/>
  <c r="AS63"/>
  <c r="BJ27" i="40"/>
  <c r="DH62" i="39"/>
  <c r="DF68" i="25"/>
  <c r="M55" i="1"/>
  <c r="AG14" i="40"/>
  <c r="AU76" i="41"/>
  <c r="F224" i="46"/>
  <c r="CV68" i="1"/>
  <c r="L46" i="25"/>
  <c r="Q46" s="1"/>
  <c r="BB72" i="37"/>
  <c r="AO28" i="25"/>
  <c r="CO19"/>
  <c r="BD55" i="36"/>
  <c r="AO55" i="40"/>
  <c r="AG104" i="36"/>
  <c r="BJ98"/>
  <c r="CT35"/>
  <c r="DE72" i="38"/>
  <c r="CD76" i="1"/>
  <c r="CL104"/>
  <c r="BX68"/>
  <c r="CR93"/>
  <c r="CR106" s="1"/>
  <c r="AB46" i="25"/>
  <c r="AR55" i="38"/>
  <c r="AA63" i="36"/>
  <c r="AM11"/>
  <c r="AM15" s="1"/>
  <c r="BT22" i="1"/>
  <c r="BV28" i="40"/>
  <c r="AE11" i="38"/>
  <c r="AB93" i="26"/>
  <c r="AB106" s="1"/>
  <c r="AS35"/>
  <c r="DA104" i="39"/>
  <c r="CU31" i="38"/>
  <c r="CE55" i="41"/>
  <c r="CB11" i="37"/>
  <c r="BC35" i="25"/>
  <c r="BH104" i="37"/>
  <c r="CF72" i="41"/>
  <c r="BB104"/>
  <c r="AU46" i="39"/>
  <c r="BT35" i="38"/>
  <c r="CN72" i="40"/>
  <c r="CJ11" i="37"/>
  <c r="BX19" i="38"/>
  <c r="BJ37" i="41"/>
  <c r="BH38"/>
  <c r="V31" i="40"/>
  <c r="AF63" i="38"/>
  <c r="W72" i="36"/>
  <c r="BA35" i="38"/>
  <c r="DF82"/>
  <c r="AJ99" i="37"/>
  <c r="DH66" i="41"/>
  <c r="AN31" i="26"/>
  <c r="BZ19" i="39"/>
  <c r="DC72"/>
  <c r="CU46" i="41"/>
  <c r="AY31" i="40"/>
  <c r="AO14" i="36"/>
  <c r="CG14" i="37"/>
  <c r="CJ99" i="26"/>
  <c r="CE14" i="40"/>
  <c r="BB55" i="39"/>
  <c r="DH103" i="26"/>
  <c r="CC82"/>
  <c r="DA76" i="25"/>
  <c r="BJ48" i="1"/>
  <c r="BH51"/>
  <c r="BJ51" s="1"/>
  <c r="X22" i="38"/>
  <c r="AC46" i="1"/>
  <c r="BD38" i="25"/>
  <c r="Q13" i="39"/>
  <c r="CT19" i="41"/>
  <c r="BF81" i="40"/>
  <c r="L31" i="37"/>
  <c r="CM28" i="26"/>
  <c r="DF51" i="38"/>
  <c r="AI28" i="40"/>
  <c r="DF46" i="36"/>
  <c r="BE31" i="25"/>
  <c r="BW55" i="36"/>
  <c r="BW84" s="1"/>
  <c r="AI76" i="40"/>
  <c r="CT99" i="41"/>
  <c r="CR93" i="37"/>
  <c r="CB31" i="39"/>
  <c r="CB32" s="1"/>
  <c r="AG55" i="1"/>
  <c r="AR19" i="40"/>
  <c r="CR93" i="26"/>
  <c r="BY99" i="36"/>
  <c r="BY106" s="1"/>
  <c r="J99" i="1"/>
  <c r="M99" i="38"/>
  <c r="BW99" i="26"/>
  <c r="DF31" i="25"/>
  <c r="DF32" s="1"/>
  <c r="N28" i="26"/>
  <c r="N32" s="1"/>
  <c r="U49" i="60"/>
  <c r="Y55"/>
  <c r="W53"/>
  <c r="AO28" i="40"/>
  <c r="AO32" s="1"/>
  <c r="AB63" i="36"/>
  <c r="CH11" i="40"/>
  <c r="N22" i="39"/>
  <c r="BW35" i="1"/>
  <c r="CX19" i="38"/>
  <c r="BD14" i="25"/>
  <c r="AZ93" i="39"/>
  <c r="AZ106" s="1"/>
  <c r="AF35" i="36"/>
  <c r="X72" i="1"/>
  <c r="AG55" i="36"/>
  <c r="BB68" i="40"/>
  <c r="BU68" i="1"/>
  <c r="BU84" s="1"/>
  <c r="AW104"/>
  <c r="CY104" i="39"/>
  <c r="BO104"/>
  <c r="CZ38" i="40"/>
  <c r="CJ11" i="25"/>
  <c r="CT11" i="40"/>
  <c r="AS35" i="37"/>
  <c r="AH14" i="26"/>
  <c r="AH15" s="1"/>
  <c r="BA63" i="38"/>
  <c r="J68" i="36"/>
  <c r="DD76" i="40"/>
  <c r="CX72" i="39"/>
  <c r="BU51" i="36"/>
  <c r="AU19" i="37"/>
  <c r="AF46" i="26"/>
  <c r="BA63" i="25"/>
  <c r="BA84" s="1"/>
  <c r="AQ55" i="41"/>
  <c r="X51" i="36"/>
  <c r="Q13" i="26"/>
  <c r="BL13" s="1"/>
  <c r="CV104" i="37"/>
  <c r="AF104" i="36"/>
  <c r="BU31" i="26"/>
  <c r="AU93" i="39"/>
  <c r="J99" i="37"/>
  <c r="AG104"/>
  <c r="CG38"/>
  <c r="AZ14" i="26"/>
  <c r="AZ15" s="1"/>
  <c r="CQ99" i="37"/>
  <c r="DE63" i="40"/>
  <c r="Y18" i="60"/>
  <c r="BB72" i="38"/>
  <c r="CU76" i="39"/>
  <c r="M82" i="37"/>
  <c r="AU14" i="41"/>
  <c r="P76" i="39"/>
  <c r="AS55" i="1"/>
  <c r="CS76"/>
  <c r="CD72" i="26"/>
  <c r="DH59" i="25"/>
  <c r="K22" i="36"/>
  <c r="CB99" i="41"/>
  <c r="CM99" i="38"/>
  <c r="CO31" i="39"/>
  <c r="CO32" s="1"/>
  <c r="CA82" i="37"/>
  <c r="G46" i="1"/>
  <c r="Q45"/>
  <c r="AW82" i="25"/>
  <c r="AA104" i="41"/>
  <c r="J68" i="37"/>
  <c r="BF71" i="26"/>
  <c r="AM72"/>
  <c r="BF72" s="1"/>
  <c r="AN93" i="38"/>
  <c r="AW14" i="25"/>
  <c r="AW15" s="1"/>
  <c r="BY46" i="38"/>
  <c r="BD31" i="39"/>
  <c r="BD104"/>
  <c r="BR31" i="1"/>
  <c r="AW55" i="38"/>
  <c r="AR46" i="40"/>
  <c r="BF46" s="1"/>
  <c r="BF29" i="41"/>
  <c r="AM31"/>
  <c r="AW63"/>
  <c r="BO99" i="37"/>
  <c r="AE63" i="38"/>
  <c r="AQ38"/>
  <c r="AU22" i="1"/>
  <c r="BU31" i="37"/>
  <c r="CL14" i="40"/>
  <c r="CL15" s="1"/>
  <c r="AO55" i="41"/>
  <c r="DD46" i="40"/>
  <c r="DD84" s="1"/>
  <c r="X93" i="39"/>
  <c r="BQ72"/>
  <c r="DE72" i="36"/>
  <c r="AD11" i="37"/>
  <c r="CW93" i="36"/>
  <c r="AE19" i="26"/>
  <c r="H46" i="36"/>
  <c r="AR82" i="25"/>
  <c r="CT14" i="38"/>
  <c r="H38" i="26"/>
  <c r="X76" i="38"/>
  <c r="BV82" i="1"/>
  <c r="CF93" i="26"/>
  <c r="CF106" s="1"/>
  <c r="CB55" i="41"/>
  <c r="CF19" i="39"/>
  <c r="CK35" i="26"/>
  <c r="CH46" i="38"/>
  <c r="CL82" i="37"/>
  <c r="CG51" i="36"/>
  <c r="CT28" i="41"/>
  <c r="CT32" s="1"/>
  <c r="AO55" i="37"/>
  <c r="P14" i="39"/>
  <c r="BT46" i="41"/>
  <c r="CG99" i="26"/>
  <c r="BI35" i="37"/>
  <c r="DE46" i="41"/>
  <c r="H22" i="26"/>
  <c r="AY99" i="1"/>
  <c r="BP31" i="39"/>
  <c r="DH59" i="36"/>
  <c r="DC35" i="40"/>
  <c r="Y51"/>
  <c r="H76" i="26"/>
  <c r="AI72" i="40"/>
  <c r="U19" i="36"/>
  <c r="CU51" i="37"/>
  <c r="CU84" s="1"/>
  <c r="T35" i="1"/>
  <c r="AJ19" i="38"/>
  <c r="BA76" i="36"/>
  <c r="BB22" i="37"/>
  <c r="CC38" i="39"/>
  <c r="AB19"/>
  <c r="BA76"/>
  <c r="CO104" i="26"/>
  <c r="AW38" i="37"/>
  <c r="CA28" i="39"/>
  <c r="CD76" i="38"/>
  <c r="CM104" i="39"/>
  <c r="CM106" s="1"/>
  <c r="BF61" i="36"/>
  <c r="AC55" i="41"/>
  <c r="DD93" i="40"/>
  <c r="DD38"/>
  <c r="BD76"/>
  <c r="CX76"/>
  <c r="M35"/>
  <c r="DD104" i="1"/>
  <c r="BX55"/>
  <c r="CG28" i="25"/>
  <c r="CN72" i="37"/>
  <c r="CT72" i="25"/>
  <c r="DB72" i="26"/>
  <c r="CN35" i="1"/>
  <c r="BX76" i="25"/>
  <c r="AI38" i="39"/>
  <c r="K28"/>
  <c r="AE46" i="36"/>
  <c r="T19" i="37"/>
  <c r="AI104" i="26"/>
  <c r="O82" i="36"/>
  <c r="AC38"/>
  <c r="AX99" i="25"/>
  <c r="CQ104" i="37"/>
  <c r="CB22" i="1"/>
  <c r="J76" i="39"/>
  <c r="BF92" i="41"/>
  <c r="Y28" i="36"/>
  <c r="AJ82" i="26"/>
  <c r="CP55" i="25"/>
  <c r="DB104" i="41"/>
  <c r="BF81"/>
  <c r="BF59" i="1"/>
  <c r="CU38" i="38"/>
  <c r="DE51" i="25"/>
  <c r="DE84" s="1"/>
  <c r="AQ31" i="37"/>
  <c r="AQ32" s="1"/>
  <c r="CL72" i="41"/>
  <c r="V38" i="25"/>
  <c r="CP28" i="40"/>
  <c r="CP32" s="1"/>
  <c r="AJ11" i="38"/>
  <c r="H35" i="36"/>
  <c r="DA19" i="40"/>
  <c r="H51" i="38"/>
  <c r="N11" i="26"/>
  <c r="N15" s="1"/>
  <c r="N40" s="1"/>
  <c r="CK68" i="37"/>
  <c r="CH68" i="38"/>
  <c r="CS28" i="41"/>
  <c r="CS32" s="1"/>
  <c r="K51"/>
  <c r="CQ19" i="1"/>
  <c r="CE46" i="26"/>
  <c r="CA35" i="37"/>
  <c r="CT93" i="1"/>
  <c r="Y68"/>
  <c r="W68" i="36"/>
  <c r="G51" i="26"/>
  <c r="G84" s="1"/>
  <c r="Q48"/>
  <c r="DF11"/>
  <c r="Y63" i="25"/>
  <c r="CV46" i="40"/>
  <c r="CG38"/>
  <c r="CH35" i="41"/>
  <c r="BY93" i="36"/>
  <c r="AY28" i="26"/>
  <c r="AY32" s="1"/>
  <c r="O55" i="25"/>
  <c r="Z68" i="39"/>
  <c r="H51" i="36"/>
  <c r="CB55"/>
  <c r="AN51"/>
  <c r="AN84" s="1"/>
  <c r="AJ82" i="41"/>
  <c r="CT11" i="25"/>
  <c r="CR99" i="37"/>
  <c r="O72"/>
  <c r="CT63" i="40"/>
  <c r="CY22" i="41"/>
  <c r="CB46" i="38"/>
  <c r="X99" i="41"/>
  <c r="CU46" i="37"/>
  <c r="P38" i="26"/>
  <c r="O55" i="41"/>
  <c r="CV14" i="26"/>
  <c r="CV15" s="1"/>
  <c r="M22"/>
  <c r="AR93" i="38"/>
  <c r="T99" i="37"/>
  <c r="H51" i="26"/>
  <c r="CP46" i="37"/>
  <c r="N72"/>
  <c r="CZ38" i="25"/>
  <c r="J63" i="38"/>
  <c r="BQ104" i="26"/>
  <c r="G51" i="38"/>
  <c r="Q48"/>
  <c r="P55"/>
  <c r="AM28" i="37"/>
  <c r="BF26"/>
  <c r="AR82" i="36"/>
  <c r="CF93" i="1"/>
  <c r="CK11" i="38"/>
  <c r="BE55" i="1"/>
  <c r="M82" i="36"/>
  <c r="AF46" i="40"/>
  <c r="CM38" i="38"/>
  <c r="CA76" i="40"/>
  <c r="BO99" i="26"/>
  <c r="P51" i="1"/>
  <c r="DD68" i="37"/>
  <c r="CN72" i="39"/>
  <c r="CJ22" i="26"/>
  <c r="BZ99"/>
  <c r="CT104" i="1"/>
  <c r="CJ46" i="37"/>
  <c r="CG99" i="38"/>
  <c r="CG106" s="1"/>
  <c r="DA22" i="1"/>
  <c r="N28" i="40"/>
  <c r="AA21" i="60"/>
  <c r="AD93" i="39"/>
  <c r="CO28" i="41"/>
  <c r="CO32" s="1"/>
  <c r="K82" i="37"/>
  <c r="AD28" i="41"/>
  <c r="H31" i="1"/>
  <c r="BX46" i="26"/>
  <c r="CX99"/>
  <c r="CG76" i="41"/>
  <c r="Q98" i="40"/>
  <c r="CU55" i="25"/>
  <c r="Q59" i="37"/>
  <c r="Z35" i="40"/>
  <c r="AV51"/>
  <c r="CT28" i="37"/>
  <c r="AH104" i="36"/>
  <c r="P72" i="40"/>
  <c r="BV28" i="36"/>
  <c r="BV32" s="1"/>
  <c r="AZ55" i="40"/>
  <c r="BS31" i="41"/>
  <c r="CQ93" i="1"/>
  <c r="BC38" i="37"/>
  <c r="CJ51" i="38"/>
  <c r="CJ84" s="1"/>
  <c r="BH11" i="25"/>
  <c r="BJ11" s="1"/>
  <c r="BJ9"/>
  <c r="AH51" i="26"/>
  <c r="AH84" s="1"/>
  <c r="W63" i="40"/>
  <c r="AD31" i="38"/>
  <c r="AV99" i="41"/>
  <c r="DB28" i="39"/>
  <c r="DB32" s="1"/>
  <c r="P19" i="37"/>
  <c r="Z14" i="39"/>
  <c r="AF104"/>
  <c r="CT31" i="1"/>
  <c r="CC31" i="25"/>
  <c r="BZ99"/>
  <c r="BD104"/>
  <c r="BS35" i="1"/>
  <c r="AW38" i="26"/>
  <c r="CK28" i="36"/>
  <c r="AY46" i="39"/>
  <c r="BD76"/>
  <c r="CZ68" i="25"/>
  <c r="BY31" i="37"/>
  <c r="BY32" s="1"/>
  <c r="CG38" i="36"/>
  <c r="BW93" i="1"/>
  <c r="BP35" i="36"/>
  <c r="DH58" i="38"/>
  <c r="AQ28" i="41"/>
  <c r="CX99" i="38"/>
  <c r="BV99"/>
  <c r="G22" i="36"/>
  <c r="CT19" i="38"/>
  <c r="AO68" i="26"/>
  <c r="CI68"/>
  <c r="Q13" i="41"/>
  <c r="BJ62" i="26"/>
  <c r="BL62" s="1"/>
  <c r="AZ28" i="39"/>
  <c r="AZ32" s="1"/>
  <c r="AZ40" s="1"/>
  <c r="CK14" i="41"/>
  <c r="CS51" i="26"/>
  <c r="AP14"/>
  <c r="AP15" s="1"/>
  <c r="BZ14"/>
  <c r="BZ15" s="1"/>
  <c r="AO99" i="37"/>
  <c r="CS46" i="39"/>
  <c r="AB35" i="25"/>
  <c r="AY38" i="1"/>
  <c r="CF68" i="41"/>
  <c r="CP19" i="40"/>
  <c r="DA35"/>
  <c r="BV31" i="26"/>
  <c r="AZ82" i="25"/>
  <c r="CZ63" i="39"/>
  <c r="BC51" i="40"/>
  <c r="BC84" s="1"/>
  <c r="M93" i="1"/>
  <c r="AN19" i="25"/>
  <c r="AE63" i="37"/>
  <c r="BC63" i="40"/>
  <c r="AV82" i="38"/>
  <c r="AJ19" i="37"/>
  <c r="Y14" i="39"/>
  <c r="Y15" s="1"/>
  <c r="BC104" i="25"/>
  <c r="CE19" i="1"/>
  <c r="CC14" i="41"/>
  <c r="O14"/>
  <c r="O15" s="1"/>
  <c r="CO46" i="40"/>
  <c r="AS68" i="37"/>
  <c r="CA72" i="39"/>
  <c r="AZ46" i="25"/>
  <c r="CX68"/>
  <c r="DA104" i="26"/>
  <c r="W68" i="41"/>
  <c r="CH38"/>
  <c r="CR38" i="37"/>
  <c r="BP28" i="41"/>
  <c r="BU68" i="38"/>
  <c r="DE19" i="26"/>
  <c r="H72"/>
  <c r="DA72" i="1"/>
  <c r="CP68" i="25"/>
  <c r="AX51" i="41"/>
  <c r="CK82" i="1"/>
  <c r="G99" i="39"/>
  <c r="Q96"/>
  <c r="DF14" i="36"/>
  <c r="DF15" s="1"/>
  <c r="DF40" s="1"/>
  <c r="CU76" i="40"/>
  <c r="AP72" i="25"/>
  <c r="CK22" i="26"/>
  <c r="CQ38" i="40"/>
  <c r="DA93" i="41"/>
  <c r="BB72" i="25"/>
  <c r="DB104"/>
  <c r="CY46" i="38"/>
  <c r="CH11" i="39"/>
  <c r="CH15" s="1"/>
  <c r="CH40" s="1"/>
  <c r="CV72"/>
  <c r="CK28" i="40"/>
  <c r="CE35"/>
  <c r="CO72" i="38"/>
  <c r="BY38" i="39"/>
  <c r="H63" i="1"/>
  <c r="DH61" i="37"/>
  <c r="BR11" i="39"/>
  <c r="BZ68" i="38"/>
  <c r="DD11"/>
  <c r="AJ76" i="1"/>
  <c r="O38"/>
  <c r="CW22" i="25"/>
  <c r="AT35" i="1"/>
  <c r="BX99" i="36"/>
  <c r="CY14" i="39"/>
  <c r="AW46" i="41"/>
  <c r="CZ93" i="1"/>
  <c r="CZ106" s="1"/>
  <c r="AX104" i="25"/>
  <c r="AY19" i="1"/>
  <c r="N51" i="41"/>
  <c r="AE19" i="1"/>
  <c r="J99" i="26"/>
  <c r="J106" s="1"/>
  <c r="L55" i="41"/>
  <c r="BB19" i="38"/>
  <c r="BU76" i="26"/>
  <c r="AE22" i="39"/>
  <c r="CV14" i="38"/>
  <c r="AR19" i="36"/>
  <c r="AJ31" i="25"/>
  <c r="BI72"/>
  <c r="CN28" i="1"/>
  <c r="P76" i="25"/>
  <c r="AC22" i="1"/>
  <c r="BO76" i="37"/>
  <c r="DH76" s="1"/>
  <c r="DH75"/>
  <c r="BC51" i="36"/>
  <c r="BV104" i="37"/>
  <c r="BB22" i="36"/>
  <c r="X38" i="26"/>
  <c r="BT28" i="25"/>
  <c r="AA55" i="38"/>
  <c r="AA84" s="1"/>
  <c r="AA82" i="36"/>
  <c r="BD104" i="37"/>
  <c r="BB93" i="38"/>
  <c r="Y99" i="39"/>
  <c r="AD51" i="40"/>
  <c r="CE22" i="39"/>
  <c r="AS19" i="38"/>
  <c r="DC35" i="26"/>
  <c r="DD46"/>
  <c r="BB93"/>
  <c r="AH35" i="40"/>
  <c r="DB63" i="41"/>
  <c r="DB84" s="1"/>
  <c r="BU99" i="36"/>
  <c r="CZ28" i="26"/>
  <c r="CZ32" s="1"/>
  <c r="DF55" i="37"/>
  <c r="BP68" i="38"/>
  <c r="X35" i="40"/>
  <c r="BJ10" i="36"/>
  <c r="BL10" s="1"/>
  <c r="X14" i="41"/>
  <c r="X15" s="1"/>
  <c r="X35"/>
  <c r="CK99"/>
  <c r="BX38"/>
  <c r="CJ35" i="37"/>
  <c r="T68" i="41"/>
  <c r="AN82" i="25"/>
  <c r="CY104" i="37"/>
  <c r="AU76" i="1"/>
  <c r="AN38" i="37"/>
  <c r="CZ11" i="25"/>
  <c r="Y51" i="39"/>
  <c r="DC99" i="38"/>
  <c r="AE22" i="25"/>
  <c r="P93" i="41"/>
  <c r="X31" i="38"/>
  <c r="K55" i="37"/>
  <c r="S35" i="36"/>
  <c r="AK34"/>
  <c r="BC22" i="25"/>
  <c r="CQ11" i="38"/>
  <c r="BI31"/>
  <c r="BI32" s="1"/>
  <c r="BU22"/>
  <c r="BT14" i="26"/>
  <c r="BF24" i="38"/>
  <c r="AR76" i="25"/>
  <c r="CK19" i="1"/>
  <c r="CV63"/>
  <c r="BB31" i="26"/>
  <c r="AM11"/>
  <c r="AZ99" i="25"/>
  <c r="K14"/>
  <c r="AS14" i="38"/>
  <c r="AS15" s="1"/>
  <c r="AS40" s="1"/>
  <c r="AS46" i="41"/>
  <c r="BU38" i="39"/>
  <c r="AW51" i="37"/>
  <c r="Y63"/>
  <c r="DB11"/>
  <c r="AK27" i="39"/>
  <c r="BJ25" i="36"/>
  <c r="AN68" i="40"/>
  <c r="CS35" i="38"/>
  <c r="M14" i="41"/>
  <c r="M15" s="1"/>
  <c r="G38" i="36"/>
  <c r="Q38" s="1"/>
  <c r="Q37"/>
  <c r="AU72" i="26"/>
  <c r="AO63"/>
  <c r="M46" i="41"/>
  <c r="CN14" i="36"/>
  <c r="CX93" i="26"/>
  <c r="CX106" s="1"/>
  <c r="AX14"/>
  <c r="BZ55" i="38"/>
  <c r="CE46" i="1"/>
  <c r="CQ14" i="40"/>
  <c r="AB104" i="26"/>
  <c r="DF72" i="38"/>
  <c r="AA55" i="1"/>
  <c r="AA84" s="1"/>
  <c r="CI72" i="25"/>
  <c r="AH82" i="1"/>
  <c r="AO72" i="38"/>
  <c r="BF72" s="1"/>
  <c r="U28" i="41"/>
  <c r="J46"/>
  <c r="BQ99" i="39"/>
  <c r="AF22" i="26"/>
  <c r="CR22" i="1"/>
  <c r="AX82" i="25"/>
  <c r="DC31" i="26"/>
  <c r="CQ55" i="25"/>
  <c r="CQ84" s="1"/>
  <c r="BY46" i="39"/>
  <c r="AU46" i="26"/>
  <c r="BR99" i="39"/>
  <c r="AI99" i="41"/>
  <c r="CK51" i="25"/>
  <c r="K31" i="40"/>
  <c r="AH63" i="36"/>
  <c r="CV38" i="41"/>
  <c r="CE104" i="40"/>
  <c r="O22" i="37"/>
  <c r="BY14" i="40"/>
  <c r="BY15" s="1"/>
  <c r="AH31" i="26"/>
  <c r="AH32" s="1"/>
  <c r="AH40" s="1"/>
  <c r="AH95" s="1"/>
  <c r="BT14" i="25"/>
  <c r="BT15" s="1"/>
  <c r="BX55" i="38"/>
  <c r="AS76" i="1"/>
  <c r="U76" i="25"/>
  <c r="CS14" i="38"/>
  <c r="CE38" i="37"/>
  <c r="CB99"/>
  <c r="CC51" i="26"/>
  <c r="CC84" s="1"/>
  <c r="Y42" i="60"/>
  <c r="M14" i="36"/>
  <c r="CC68" i="41"/>
  <c r="BE31" i="37"/>
  <c r="BC22" i="39"/>
  <c r="BF62"/>
  <c r="CI35" i="40"/>
  <c r="CO104" i="37"/>
  <c r="CO106" s="1"/>
  <c r="AX28" i="41"/>
  <c r="BB38"/>
  <c r="AW51" i="25"/>
  <c r="AV46" i="37"/>
  <c r="CO22" i="39"/>
  <c r="AA38" i="26"/>
  <c r="M22" i="36"/>
  <c r="AM72"/>
  <c r="BF72" s="1"/>
  <c r="BF71"/>
  <c r="S93" i="41"/>
  <c r="AK89"/>
  <c r="AD68" i="26"/>
  <c r="J76" i="1"/>
  <c r="CB63" i="25"/>
  <c r="DA35" i="38"/>
  <c r="AG19" i="36"/>
  <c r="AG40" s="1"/>
  <c r="AQ51"/>
  <c r="AQ84" s="1"/>
  <c r="BZ11" i="41"/>
  <c r="BE38" i="36"/>
  <c r="BC76" i="37"/>
  <c r="CY63" i="25"/>
  <c r="CD31" i="26"/>
  <c r="CN19" i="38"/>
  <c r="BR93"/>
  <c r="BR106" s="1"/>
  <c r="BA76" i="37"/>
  <c r="CQ55" i="39"/>
  <c r="AJ31" i="36"/>
  <c r="Y31" i="26"/>
  <c r="Y32" s="1"/>
  <c r="Y40" s="1"/>
  <c r="AO63" i="41"/>
  <c r="CS99" i="26"/>
  <c r="CF46" i="37"/>
  <c r="CE46" i="40"/>
  <c r="T28" i="26"/>
  <c r="T32" s="1"/>
  <c r="Z28"/>
  <c r="AR46" i="1"/>
  <c r="CT22" i="39"/>
  <c r="BA72" i="37"/>
  <c r="X11"/>
  <c r="BW68" i="39"/>
  <c r="CT68" i="1"/>
  <c r="BV63" i="41"/>
  <c r="AM76" i="25"/>
  <c r="BR72" i="1"/>
  <c r="AP28" i="38"/>
  <c r="BF28" s="1"/>
  <c r="BL28" s="1"/>
  <c r="BS99" i="41"/>
  <c r="BZ99" i="40"/>
  <c r="CZ82" i="26"/>
  <c r="AM76" i="36"/>
  <c r="V46"/>
  <c r="CH11" i="37"/>
  <c r="L28" i="1"/>
  <c r="CH35" i="26"/>
  <c r="BW19" i="36"/>
  <c r="P68" i="39"/>
  <c r="CU82"/>
  <c r="CS72" i="1"/>
  <c r="AY68" i="36"/>
  <c r="BZ99" i="38"/>
  <c r="CZ51" i="40"/>
  <c r="AQ76"/>
  <c r="I63" i="37"/>
  <c r="Z19" i="41"/>
  <c r="DC68" i="26"/>
  <c r="CK99" i="40"/>
  <c r="CD55" i="37"/>
  <c r="CD84" s="1"/>
  <c r="BI68" i="41"/>
  <c r="M51" i="26"/>
  <c r="AX93" i="37"/>
  <c r="AX106" s="1"/>
  <c r="AZ19" i="41"/>
  <c r="V35" i="1"/>
  <c r="AE55" i="39"/>
  <c r="O14" i="26"/>
  <c r="Q27" i="38"/>
  <c r="CN104" i="1"/>
  <c r="BV46" i="39"/>
  <c r="AW35" i="25"/>
  <c r="DD63" i="37"/>
  <c r="BP104" i="26"/>
  <c r="AP51" i="39"/>
  <c r="AH76" i="36"/>
  <c r="AU68" i="39"/>
  <c r="L104" i="38"/>
  <c r="Z28" i="25"/>
  <c r="CX28" i="41"/>
  <c r="CX32" s="1"/>
  <c r="CJ55" i="40"/>
  <c r="Z19" i="37"/>
  <c r="Y38" i="41"/>
  <c r="BW31" i="38"/>
  <c r="AO68" i="36"/>
  <c r="DH57" i="25"/>
  <c r="BO63"/>
  <c r="BJ48" i="38"/>
  <c r="BH51"/>
  <c r="P11" i="41"/>
  <c r="CB104" i="37"/>
  <c r="DD35" i="38"/>
  <c r="CS76"/>
  <c r="CI93" i="37"/>
  <c r="DC51" i="39"/>
  <c r="AF22" i="36"/>
  <c r="CS35" i="41"/>
  <c r="AY68"/>
  <c r="Z99" i="36"/>
  <c r="CE76" i="39"/>
  <c r="CC11" i="25"/>
  <c r="AP38" i="1"/>
  <c r="AQ38" i="26"/>
  <c r="BT35" i="36"/>
  <c r="L35" i="25"/>
  <c r="AS19" i="40"/>
  <c r="AU46" i="41"/>
  <c r="BS82" i="26"/>
  <c r="O104" i="1"/>
  <c r="K76" i="40"/>
  <c r="Q96" i="38"/>
  <c r="G99"/>
  <c r="G106" s="1"/>
  <c r="BA99" i="1"/>
  <c r="BA11" i="36"/>
  <c r="CJ99" i="37"/>
  <c r="CF38" i="36"/>
  <c r="BW11" i="39"/>
  <c r="BW15" s="1"/>
  <c r="CQ46" i="41"/>
  <c r="BY55" i="39"/>
  <c r="AI99" i="25"/>
  <c r="BA51"/>
  <c r="CX46"/>
  <c r="CD93" i="26"/>
  <c r="CD106" s="1"/>
  <c r="CW72" i="40"/>
  <c r="BS11" i="36"/>
  <c r="AB38" i="26"/>
  <c r="P35" i="40"/>
  <c r="G28" i="37"/>
  <c r="G32" s="1"/>
  <c r="Q26"/>
  <c r="BU76" i="36"/>
  <c r="X93" i="40"/>
  <c r="L93" i="41"/>
  <c r="N93" i="26"/>
  <c r="T46"/>
  <c r="CP82" i="25"/>
  <c r="CK19" i="36"/>
  <c r="CL46" i="25"/>
  <c r="CZ46"/>
  <c r="CJ38" i="40"/>
  <c r="CD51" i="26"/>
  <c r="CD84" s="1"/>
  <c r="CC46" i="37"/>
  <c r="CC63"/>
  <c r="AE35" i="25"/>
  <c r="AG19" i="1"/>
  <c r="DB93" i="25"/>
  <c r="T22" i="26"/>
  <c r="AP35" i="36"/>
  <c r="J93"/>
  <c r="CT82" i="38"/>
  <c r="DC14" i="36"/>
  <c r="I72" i="39"/>
  <c r="CY68" i="38"/>
  <c r="BT82" i="36"/>
  <c r="DD104"/>
  <c r="CN35" i="26"/>
  <c r="DA72" i="25"/>
  <c r="P14" i="38"/>
  <c r="AB31" i="25"/>
  <c r="CB38" i="37"/>
  <c r="DH38" s="1"/>
  <c r="Q61" i="40"/>
  <c r="BL61" s="1"/>
  <c r="AB82" i="41"/>
  <c r="Z55" i="26"/>
  <c r="L55" i="37"/>
  <c r="CV46" i="38"/>
  <c r="J46" i="37"/>
  <c r="DD14" i="40"/>
  <c r="DB19" i="37"/>
  <c r="CT22" i="38"/>
  <c r="AH51" i="25"/>
  <c r="CC51" i="1"/>
  <c r="AU99"/>
  <c r="CE46" i="38"/>
  <c r="AO28" i="36"/>
  <c r="AO32" s="1"/>
  <c r="CZ93" i="38"/>
  <c r="BR51" i="1"/>
  <c r="BR84" s="1"/>
  <c r="CH46" i="37"/>
  <c r="CG35" i="39"/>
  <c r="AH35" i="38"/>
  <c r="S72"/>
  <c r="X38" i="39"/>
  <c r="BZ104"/>
  <c r="AG72" i="36"/>
  <c r="CI99" i="38"/>
  <c r="BY14" i="37"/>
  <c r="CQ99" i="40"/>
  <c r="H104" i="37"/>
  <c r="AT28"/>
  <c r="AT32" s="1"/>
  <c r="CZ31" i="41"/>
  <c r="CN76" i="38"/>
  <c r="M38"/>
  <c r="BJ62" i="25"/>
  <c r="BA55" i="38"/>
  <c r="BA84" s="1"/>
  <c r="M46" i="37"/>
  <c r="AC104" i="40"/>
  <c r="AM55" i="36"/>
  <c r="BF55" s="1"/>
  <c r="BF53"/>
  <c r="BR46" i="25"/>
  <c r="AG82" i="1"/>
  <c r="DD11" i="41"/>
  <c r="DD15" s="1"/>
  <c r="DD40" s="1"/>
  <c r="AN11" i="25"/>
  <c r="DH48" i="39"/>
  <c r="CX68" i="1"/>
  <c r="W28" i="25"/>
  <c r="W32" s="1"/>
  <c r="J68" i="41"/>
  <c r="DF93" i="40"/>
  <c r="CA76" i="25"/>
  <c r="G63" i="1"/>
  <c r="Q57"/>
  <c r="AM68"/>
  <c r="AR55" i="25"/>
  <c r="U55" i="40"/>
  <c r="BC99" i="36"/>
  <c r="U31" i="38"/>
  <c r="AJ72" i="41"/>
  <c r="H46" i="39"/>
  <c r="AD35" i="1"/>
  <c r="AK29" i="38"/>
  <c r="S31"/>
  <c r="AK31" s="1"/>
  <c r="AV19" i="1"/>
  <c r="AU28" i="25"/>
  <c r="BY11"/>
  <c r="CH51" i="1"/>
  <c r="AQ28" i="26"/>
  <c r="AQ32" s="1"/>
  <c r="AJ93" i="41"/>
  <c r="BC38"/>
  <c r="CV93" i="1"/>
  <c r="CV106" s="1"/>
  <c r="CP31"/>
  <c r="CP32" s="1"/>
  <c r="CZ76" i="41"/>
  <c r="AI38" i="26"/>
  <c r="AN104" i="36"/>
  <c r="AN106" s="1"/>
  <c r="BP38" i="1"/>
  <c r="CA51"/>
  <c r="AK65" i="36"/>
  <c r="AS31" i="40"/>
  <c r="AE22" i="26"/>
  <c r="AT93" i="39"/>
  <c r="P11" i="37"/>
  <c r="CK63" i="39"/>
  <c r="CK84" s="1"/>
  <c r="AS76"/>
  <c r="CK31" i="40"/>
  <c r="CF99"/>
  <c r="BS72" i="37"/>
  <c r="BY72" i="41"/>
  <c r="AK10" i="25"/>
  <c r="CG82" i="37"/>
  <c r="BD22" i="40"/>
  <c r="AX55" i="25"/>
  <c r="I93" i="37"/>
  <c r="U72" i="1"/>
  <c r="AI38"/>
  <c r="BQ31" i="37"/>
  <c r="H93" i="40"/>
  <c r="H106" s="1"/>
  <c r="BF67" i="1"/>
  <c r="BJ18" i="38"/>
  <c r="AU82" i="39"/>
  <c r="CT46" i="41"/>
  <c r="AH51"/>
  <c r="BJ10" i="1"/>
  <c r="BU14" i="41"/>
  <c r="BU15" s="1"/>
  <c r="BD35" i="26"/>
  <c r="X28" i="40"/>
  <c r="DA31" i="1"/>
  <c r="AO31" i="36"/>
  <c r="BH35" i="1"/>
  <c r="BJ34"/>
  <c r="AX104"/>
  <c r="DF11" i="40"/>
  <c r="BB72" i="1"/>
  <c r="AS31" i="39"/>
  <c r="CH55" i="26"/>
  <c r="CH84" s="1"/>
  <c r="CK14" i="38"/>
  <c r="CK15" s="1"/>
  <c r="CO104" i="40"/>
  <c r="CH22" i="37"/>
  <c r="CX82" i="41"/>
  <c r="BR22" i="38"/>
  <c r="O51" i="37"/>
  <c r="BS31"/>
  <c r="AX19" i="36"/>
  <c r="AX40" s="1"/>
  <c r="BX31" i="1"/>
  <c r="CI68" i="38"/>
  <c r="BB63" i="40"/>
  <c r="I82" i="26"/>
  <c r="L11" i="39"/>
  <c r="CE22" i="41"/>
  <c r="CV63" i="40"/>
  <c r="CL55" i="26"/>
  <c r="CL84" s="1"/>
  <c r="CD51" i="25"/>
  <c r="CD84" s="1"/>
  <c r="BA31" i="26"/>
  <c r="X14" i="25"/>
  <c r="X15" s="1"/>
  <c r="AT99"/>
  <c r="X76" i="39"/>
  <c r="AE11" i="37"/>
  <c r="AS38" i="38"/>
  <c r="AX22"/>
  <c r="AO93"/>
  <c r="AO106" s="1"/>
  <c r="AX11" i="40"/>
  <c r="AV35" i="36"/>
  <c r="DA14" i="38"/>
  <c r="DA15" s="1"/>
  <c r="DA40" s="1"/>
  <c r="AJ19" i="40"/>
  <c r="DE22" i="39"/>
  <c r="AX72" i="1"/>
  <c r="CS46" i="36"/>
  <c r="CR22" i="38"/>
  <c r="AU93" i="40"/>
  <c r="AW76"/>
  <c r="P93" i="38"/>
  <c r="P106" s="1"/>
  <c r="AR35"/>
  <c r="CP76" i="1"/>
  <c r="AI28" i="41"/>
  <c r="AI32" s="1"/>
  <c r="J28" i="36"/>
  <c r="CL11" i="26"/>
  <c r="CV63" i="41"/>
  <c r="BW19" i="39"/>
  <c r="H22" i="37"/>
  <c r="N55" i="36"/>
  <c r="X99" i="37"/>
  <c r="CE35" i="25"/>
  <c r="CP55" i="41"/>
  <c r="AF72" i="37"/>
  <c r="BJ26" i="39"/>
  <c r="BH28"/>
  <c r="CO14" i="26"/>
  <c r="CO15" s="1"/>
  <c r="CO40" s="1"/>
  <c r="AN99" i="41"/>
  <c r="DA104" i="25"/>
  <c r="P28" i="40"/>
  <c r="CY51" i="38"/>
  <c r="CY84" s="1"/>
  <c r="AZ68" i="40"/>
  <c r="AU68" i="37"/>
  <c r="AN93" i="1"/>
  <c r="AE68" i="39"/>
  <c r="AQ72" i="38"/>
  <c r="AX28"/>
  <c r="BF13" i="37"/>
  <c r="CD28" i="36"/>
  <c r="CH72" i="26"/>
  <c r="AQ22" i="39"/>
  <c r="AW63" i="1"/>
  <c r="AE76" i="36"/>
  <c r="AC68" i="40"/>
  <c r="AG38" i="1"/>
  <c r="BV104" i="39"/>
  <c r="BV106" s="1"/>
  <c r="DA22" i="38"/>
  <c r="BW55" i="25"/>
  <c r="CO76" i="38"/>
  <c r="BB82" i="26"/>
  <c r="I14"/>
  <c r="AE51" i="37"/>
  <c r="AE84" s="1"/>
  <c r="J51" i="26"/>
  <c r="DD11" i="25"/>
  <c r="DD15" s="1"/>
  <c r="CL82" i="1"/>
  <c r="J76" i="25"/>
  <c r="CL68" i="1"/>
  <c r="CB99" i="40"/>
  <c r="CA22" i="1"/>
  <c r="CU82" i="40"/>
  <c r="CB19" i="38"/>
  <c r="CC11" i="37"/>
  <c r="BE38"/>
  <c r="CU82" i="36"/>
  <c r="X28" i="25"/>
  <c r="X32" s="1"/>
  <c r="N99" i="39"/>
  <c r="AP28" i="26"/>
  <c r="AP32" s="1"/>
  <c r="BA68" i="37"/>
  <c r="BA84" s="1"/>
  <c r="AZ76" i="38"/>
  <c r="CW72" i="36"/>
  <c r="BE72" i="1"/>
  <c r="CR82"/>
  <c r="BH35" i="37"/>
  <c r="BJ34"/>
  <c r="CG35" i="36"/>
  <c r="BQ28" i="41"/>
  <c r="CI104" i="36"/>
  <c r="V38"/>
  <c r="CM51" i="37"/>
  <c r="CM84" s="1"/>
  <c r="Z38" i="39"/>
  <c r="CC14" i="36"/>
  <c r="BR104" i="25"/>
  <c r="BA22" i="41"/>
  <c r="CP82" i="26"/>
  <c r="Z46" i="25"/>
  <c r="AU55"/>
  <c r="CE76"/>
  <c r="CE84" s="1"/>
  <c r="CS104" i="41"/>
  <c r="CG68" i="36"/>
  <c r="CN14" i="40"/>
  <c r="CL82" i="41"/>
  <c r="CH35" i="40"/>
  <c r="CB46" i="41"/>
  <c r="AC11" i="26"/>
  <c r="AZ38" i="40"/>
  <c r="AK25" i="39"/>
  <c r="BL25" s="1"/>
  <c r="AY35" i="37"/>
  <c r="AS76" i="38"/>
  <c r="CN63" i="1"/>
  <c r="BI14" i="36"/>
  <c r="BU38" i="26"/>
  <c r="AV38" i="38"/>
  <c r="AI51"/>
  <c r="L28" i="36"/>
  <c r="CO38" i="1"/>
  <c r="AM93" i="38"/>
  <c r="BF89"/>
  <c r="N82"/>
  <c r="J31" i="25"/>
  <c r="AI22" i="1"/>
  <c r="BT72" i="26"/>
  <c r="AG55"/>
  <c r="AD51" i="39"/>
  <c r="BJ89" i="37"/>
  <c r="AV72" i="1"/>
  <c r="AU55" i="40"/>
  <c r="BT99" i="26"/>
  <c r="AR104" i="38"/>
  <c r="AR106" s="1"/>
  <c r="CQ76" i="37"/>
  <c r="BC55" i="25"/>
  <c r="DC99" i="37"/>
  <c r="BD82" i="26"/>
  <c r="CJ76" i="38"/>
  <c r="AW31"/>
  <c r="P35" i="37"/>
  <c r="AT93" i="41"/>
  <c r="T51" i="39"/>
  <c r="BJ13" i="41"/>
  <c r="M63" i="38"/>
  <c r="W63" i="1"/>
  <c r="H51" i="41"/>
  <c r="CW82" i="37"/>
  <c r="AJ63" i="26"/>
  <c r="AU82" i="36"/>
  <c r="CV46" i="1"/>
  <c r="AG72" i="26"/>
  <c r="CM11" i="25"/>
  <c r="CI14" i="40"/>
  <c r="BY72" i="25"/>
  <c r="CL93"/>
  <c r="AQ11" i="1"/>
  <c r="AQ15" s="1"/>
  <c r="AA38"/>
  <c r="K72" i="40"/>
  <c r="BI28" i="37"/>
  <c r="BB35" i="36"/>
  <c r="BV22" i="1"/>
  <c r="X38" i="37"/>
  <c r="CY82"/>
  <c r="BY31" i="1"/>
  <c r="AY46" i="41"/>
  <c r="CT35" i="1"/>
  <c r="CM76" i="36"/>
  <c r="CE19" i="25"/>
  <c r="CB93" i="41"/>
  <c r="V82" i="26"/>
  <c r="CR14" i="37"/>
  <c r="BB82"/>
  <c r="CJ22" i="40"/>
  <c r="AG93" i="26"/>
  <c r="I55" i="40"/>
  <c r="BS93" i="26"/>
  <c r="BU28" i="25"/>
  <c r="BU32" s="1"/>
  <c r="AI55" i="1"/>
  <c r="BB46" i="41"/>
  <c r="BB19" i="36"/>
  <c r="CT99" i="26"/>
  <c r="BW51" i="36"/>
  <c r="CO76" i="39"/>
  <c r="CC19" i="40"/>
  <c r="CY93" i="39"/>
  <c r="CP93" i="1"/>
  <c r="CI104" i="41"/>
  <c r="CN68" i="37"/>
  <c r="AH46" i="25"/>
  <c r="BU28" i="39"/>
  <c r="BU32" s="1"/>
  <c r="BU40" s="1"/>
  <c r="BU109" s="1"/>
  <c r="J11" i="41"/>
  <c r="BS22"/>
  <c r="AJ31" i="39"/>
  <c r="CX68"/>
  <c r="DA38" i="37"/>
  <c r="AG35" i="26"/>
  <c r="AB99" i="38"/>
  <c r="AA22" i="36"/>
  <c r="BE68" i="1"/>
  <c r="BI35" i="25"/>
  <c r="AQ99" i="38"/>
  <c r="AW11" i="37"/>
  <c r="AW15" s="1"/>
  <c r="H22" i="41"/>
  <c r="DF28" i="37"/>
  <c r="DF32" s="1"/>
  <c r="CA35" i="40"/>
  <c r="CN93" i="39"/>
  <c r="CQ93" i="41"/>
  <c r="BZ82" i="26"/>
  <c r="AT63" i="25"/>
  <c r="Q58" i="41"/>
  <c r="AC28" i="40"/>
  <c r="AQ99" i="36"/>
  <c r="Z14" i="26"/>
  <c r="Z15" s="1"/>
  <c r="AH63" i="1"/>
  <c r="M104" i="39"/>
  <c r="Z55" i="40"/>
  <c r="V38" i="26"/>
  <c r="AU14" i="38"/>
  <c r="AU15" s="1"/>
  <c r="AO99" i="40"/>
  <c r="AO46" i="25"/>
  <c r="BP28"/>
  <c r="AN51" i="40"/>
  <c r="DE76" i="38"/>
  <c r="BD68"/>
  <c r="W28"/>
  <c r="W32" s="1"/>
  <c r="AU19" i="40"/>
  <c r="J31" i="1"/>
  <c r="AG63" i="40"/>
  <c r="CZ11" i="36"/>
  <c r="CZ15" s="1"/>
  <c r="CZ40" s="1"/>
  <c r="BR93" i="1"/>
  <c r="BR104" i="40"/>
  <c r="AR19" i="39"/>
  <c r="CT11" i="36"/>
  <c r="CT15" s="1"/>
  <c r="BP35" i="38"/>
  <c r="BR35" i="37"/>
  <c r="CG22" i="40"/>
  <c r="DC28" i="37"/>
  <c r="DC32" s="1"/>
  <c r="BY99" i="38"/>
  <c r="CY76" i="37"/>
  <c r="BY72" i="26"/>
  <c r="AB31" i="1"/>
  <c r="I68" i="38"/>
  <c r="CX72" i="41"/>
  <c r="CU51" i="26"/>
  <c r="K14" i="41"/>
  <c r="K15" s="1"/>
  <c r="CK46" i="25"/>
  <c r="CW63" i="38"/>
  <c r="BX55" i="39"/>
  <c r="CD32" i="37"/>
  <c r="BX14" i="40"/>
  <c r="L76" i="25"/>
  <c r="CG82" i="39"/>
  <c r="BF27" i="40"/>
  <c r="CL63"/>
  <c r="AT63" i="41"/>
  <c r="BU72" i="38"/>
  <c r="O68" i="36"/>
  <c r="O84" s="1"/>
  <c r="BA31" i="38"/>
  <c r="AQ72" i="41"/>
  <c r="BJ30" i="39"/>
  <c r="K93" i="37"/>
  <c r="K106" s="1"/>
  <c r="CK104"/>
  <c r="BR55" i="36"/>
  <c r="AJ11" i="25"/>
  <c r="CN38" i="40"/>
  <c r="AJ19" i="25"/>
  <c r="AM11" i="1"/>
  <c r="CY46" i="41"/>
  <c r="Z72" i="38"/>
  <c r="O35" i="36"/>
  <c r="CQ38" i="1"/>
  <c r="DC63" i="38"/>
  <c r="L99" i="36"/>
  <c r="AU82" i="40"/>
  <c r="CN22" i="38"/>
  <c r="BR14" i="36"/>
  <c r="BR15" s="1"/>
  <c r="BR40" s="1"/>
  <c r="BT19"/>
  <c r="I19" i="26"/>
  <c r="DA55" i="1"/>
  <c r="CA38" i="26"/>
  <c r="CK11" i="25"/>
  <c r="CJ22" i="36"/>
  <c r="DH103" i="25"/>
  <c r="BR11" i="40"/>
  <c r="CC31"/>
  <c r="CC32" s="1"/>
  <c r="BD55" i="38"/>
  <c r="G19" i="37"/>
  <c r="Q17"/>
  <c r="BL17" s="1"/>
  <c r="DD68" i="41"/>
  <c r="DA46" i="39"/>
  <c r="X68" i="1"/>
  <c r="BC35" i="36"/>
  <c r="BC99" i="37"/>
  <c r="BC106" s="1"/>
  <c r="AU22" i="36"/>
  <c r="CZ28" i="37"/>
  <c r="DF55" i="41"/>
  <c r="DF84" s="1"/>
  <c r="N46" i="38"/>
  <c r="AC93" i="25"/>
  <c r="AC106" s="1"/>
  <c r="BZ76" i="37"/>
  <c r="AR68" i="41"/>
  <c r="CD35" i="38"/>
  <c r="DB31" i="37"/>
  <c r="BA14" i="26"/>
  <c r="DC76" i="38"/>
  <c r="Z31" i="37"/>
  <c r="Z32" s="1"/>
  <c r="BF92"/>
  <c r="CX38" i="36"/>
  <c r="AT22" i="41"/>
  <c r="AQ28" i="39"/>
  <c r="AQ32" s="1"/>
  <c r="DH62" i="25"/>
  <c r="DE51" i="36"/>
  <c r="J93" i="37"/>
  <c r="J106" s="1"/>
  <c r="K76" i="25"/>
  <c r="BZ104" i="26"/>
  <c r="AZ93" i="1"/>
  <c r="CM46"/>
  <c r="Q13"/>
  <c r="BL13" s="1"/>
  <c r="X55" i="36"/>
  <c r="CH93" i="37"/>
  <c r="BJ59" i="25"/>
  <c r="AW31" i="39"/>
  <c r="AJ11" i="40"/>
  <c r="CP35" i="1"/>
  <c r="CT55" i="37"/>
  <c r="CE51"/>
  <c r="CE84" s="1"/>
  <c r="CM104" i="40"/>
  <c r="CC99" i="36"/>
  <c r="CD19" i="40"/>
  <c r="CG55" i="37"/>
  <c r="CD51" i="36"/>
  <c r="BB19" i="26"/>
  <c r="CO51" i="39"/>
  <c r="CO84" s="1"/>
  <c r="BY68" i="41"/>
  <c r="BX38" i="26"/>
  <c r="BX14" i="25"/>
  <c r="N55" i="1"/>
  <c r="BF54" i="26"/>
  <c r="K116" i="50"/>
  <c r="BF54" i="37"/>
  <c r="AA42" i="60"/>
  <c r="N28" i="36"/>
  <c r="AW28" i="37"/>
  <c r="AQ22" i="40"/>
  <c r="G51" i="36"/>
  <c r="G84" s="1"/>
  <c r="Q48"/>
  <c r="BF66" i="26"/>
  <c r="K104" i="25"/>
  <c r="AG38" i="37"/>
  <c r="BJ13" i="39"/>
  <c r="M76" i="40"/>
  <c r="AV99" i="1"/>
  <c r="CV68" i="36"/>
  <c r="AU51" i="37"/>
  <c r="AD11" i="26"/>
  <c r="J55"/>
  <c r="BV31" i="39"/>
  <c r="BV32" s="1"/>
  <c r="G19"/>
  <c r="AA19" i="38"/>
  <c r="CX19" i="26"/>
  <c r="Y14" i="36"/>
  <c r="Y15" s="1"/>
  <c r="AC68" i="26"/>
  <c r="CP68" i="38"/>
  <c r="BY31" i="36"/>
  <c r="CY19" i="37"/>
  <c r="CG35" i="25"/>
  <c r="CQ104" i="40"/>
  <c r="CO19" i="36"/>
  <c r="CF22" i="41"/>
  <c r="BQ63" i="25"/>
  <c r="AA76" i="37"/>
  <c r="T38"/>
  <c r="S72" i="26"/>
  <c r="H28" i="1"/>
  <c r="H32" s="1"/>
  <c r="H40" s="1"/>
  <c r="CA31" i="39"/>
  <c r="CA32" s="1"/>
  <c r="L46" i="37"/>
  <c r="CU104" i="26"/>
  <c r="DD31" i="25"/>
  <c r="BE19" i="26"/>
  <c r="CA35" i="38"/>
  <c r="CL14" i="41"/>
  <c r="CL15" s="1"/>
  <c r="CL68"/>
  <c r="AQ76" i="37"/>
  <c r="BO38" i="1"/>
  <c r="DH37"/>
  <c r="AS28" i="38"/>
  <c r="AS32" s="1"/>
  <c r="AR22" i="36"/>
  <c r="CW19" i="41"/>
  <c r="AN28" i="1"/>
  <c r="AN32" s="1"/>
  <c r="AR104" i="39"/>
  <c r="CO104" i="41"/>
  <c r="Y46" i="40"/>
  <c r="AT63" i="37"/>
  <c r="BI19" i="41"/>
  <c r="CM28" i="36"/>
  <c r="CM32" s="1"/>
  <c r="CM40" s="1"/>
  <c r="CQ31" i="40"/>
  <c r="CE63" i="37"/>
  <c r="BP99" i="26"/>
  <c r="BB38" i="37"/>
  <c r="AF11" i="39"/>
  <c r="AF15" s="1"/>
  <c r="Y35" i="26"/>
  <c r="AK35" s="1"/>
  <c r="AC93" i="39"/>
  <c r="AC106" s="1"/>
  <c r="BU35" i="37"/>
  <c r="CE93" i="25"/>
  <c r="CE106" s="1"/>
  <c r="BF91" i="26"/>
  <c r="I221" i="46"/>
  <c r="AI38" i="38"/>
  <c r="CO11" i="26"/>
  <c r="AE14" i="37"/>
  <c r="AE15" s="1"/>
  <c r="CD72" i="1"/>
  <c r="N99" i="40"/>
  <c r="AW46" i="36"/>
  <c r="AN82" i="1"/>
  <c r="BF82" s="1"/>
  <c r="BJ58" i="41"/>
  <c r="BO104" i="38"/>
  <c r="BF30" i="26"/>
  <c r="DH27" i="39"/>
  <c r="AM38" i="1"/>
  <c r="BF37"/>
  <c r="AS14"/>
  <c r="AS15" s="1"/>
  <c r="AS40" s="1"/>
  <c r="CN46" i="36"/>
  <c r="O35" i="38"/>
  <c r="CF35" i="26"/>
  <c r="CO22" i="1"/>
  <c r="K28" i="25"/>
  <c r="AZ14" i="41"/>
  <c r="AT22" i="25"/>
  <c r="CX31" i="36"/>
  <c r="AO51" i="37"/>
  <c r="AO84" s="1"/>
  <c r="BW76" i="26"/>
  <c r="CV19" i="1"/>
  <c r="CM51" i="40"/>
  <c r="AP31" i="37"/>
  <c r="AP32" s="1"/>
  <c r="K55" i="39"/>
  <c r="AT46" i="1"/>
  <c r="CK11" i="36"/>
  <c r="DC93" i="25"/>
  <c r="DC106" s="1"/>
  <c r="AY28" i="36"/>
  <c r="BR99" i="41"/>
  <c r="BF79" i="26"/>
  <c r="AM82"/>
  <c r="BF82" s="1"/>
  <c r="AO11" i="36"/>
  <c r="AH28" i="26"/>
  <c r="DC55" i="38"/>
  <c r="AW72"/>
  <c r="CO93" i="37"/>
  <c r="O28" i="25"/>
  <c r="CE93" i="37"/>
  <c r="CE106" s="1"/>
  <c r="CC68" i="38"/>
  <c r="DB82" i="26"/>
  <c r="DA99" i="40"/>
  <c r="AI22" i="38"/>
  <c r="BC82" i="1"/>
  <c r="CS104" i="40"/>
  <c r="DD35" i="41"/>
  <c r="CN22"/>
  <c r="BS63" i="37"/>
  <c r="AZ31" i="1"/>
  <c r="BX11"/>
  <c r="AC76" i="37"/>
  <c r="AG76" i="1"/>
  <c r="AH55" i="36"/>
  <c r="CT46" i="1"/>
  <c r="DF55"/>
  <c r="AQ14" i="41"/>
  <c r="CU51" i="36"/>
  <c r="DF14" i="41"/>
  <c r="CT38"/>
  <c r="BD72" i="39"/>
  <c r="CT38" i="25"/>
  <c r="BX14" i="37"/>
  <c r="BX15" s="1"/>
  <c r="CH93" i="41"/>
  <c r="CH106" s="1"/>
  <c r="CC35" i="40"/>
  <c r="DF38" i="26"/>
  <c r="CG22" i="41"/>
  <c r="H93" i="38"/>
  <c r="H106" s="1"/>
  <c r="DH48" i="37"/>
  <c r="CI22" i="1"/>
  <c r="BV22" i="36"/>
  <c r="CK51" i="1"/>
  <c r="CK84" s="1"/>
  <c r="CG76" i="38"/>
  <c r="AN55" i="25"/>
  <c r="CT14"/>
  <c r="BZ93" i="36"/>
  <c r="BZ106" s="1"/>
  <c r="CA51" i="40"/>
  <c r="CA84" s="1"/>
  <c r="CX82" i="39"/>
  <c r="CD38" i="25"/>
  <c r="BU35" i="1"/>
  <c r="CR55" i="26"/>
  <c r="CK35" i="41"/>
  <c r="AH11"/>
  <c r="BB32" i="36"/>
  <c r="Q58" i="1"/>
  <c r="DD28" i="38"/>
  <c r="DD32" s="1"/>
  <c r="L55" i="1"/>
  <c r="M28" i="26"/>
  <c r="M32" s="1"/>
  <c r="BQ28"/>
  <c r="AA99"/>
  <c r="DC14" i="41"/>
  <c r="DC15" s="1"/>
  <c r="BQ28" i="40"/>
  <c r="DH28" s="1"/>
  <c r="K22" i="25"/>
  <c r="O19" i="39"/>
  <c r="CI22" i="41"/>
  <c r="CM99" i="37"/>
  <c r="AC104" i="36"/>
  <c r="CV93" i="37"/>
  <c r="BY28" i="25"/>
  <c r="BY32" s="1"/>
  <c r="AX99" i="41"/>
  <c r="DC31" i="38"/>
  <c r="BC32" i="36"/>
  <c r="BQ104" i="39"/>
  <c r="AT46" i="25"/>
  <c r="CO99" i="1"/>
  <c r="DH49" i="36"/>
  <c r="DF82" i="37"/>
  <c r="AT32" i="38"/>
  <c r="BE11" i="37"/>
  <c r="CW104" i="38"/>
  <c r="BA11" i="1"/>
  <c r="CL31" i="40"/>
  <c r="CK104" i="38"/>
  <c r="AS82"/>
  <c r="CG55" i="26"/>
  <c r="AI76" i="25"/>
  <c r="AE31" i="26"/>
  <c r="AX35" i="41"/>
  <c r="CW82" i="1"/>
  <c r="BB104" i="38"/>
  <c r="BU31" i="1"/>
  <c r="BS63" i="26"/>
  <c r="CN28" i="36"/>
  <c r="CN32" s="1"/>
  <c r="CF63" i="38"/>
  <c r="CK104" i="36"/>
  <c r="CQ51"/>
  <c r="V28" i="26"/>
  <c r="BF54" i="41"/>
  <c r="AZ51" i="38"/>
  <c r="BO68"/>
  <c r="DH65"/>
  <c r="J68" i="39"/>
  <c r="DE51" i="1"/>
  <c r="BD55" i="26"/>
  <c r="AN38" i="38"/>
  <c r="BF38" s="1"/>
  <c r="DB63" i="40"/>
  <c r="CF38" i="38"/>
  <c r="Z46" i="1"/>
  <c r="CV82" i="38"/>
  <c r="CB82" i="40"/>
  <c r="AV11" i="41"/>
  <c r="AV15" s="1"/>
  <c r="AF14" i="36"/>
  <c r="CQ35" i="1"/>
  <c r="AR46" i="39"/>
  <c r="J11" i="36"/>
  <c r="DB104" i="39"/>
  <c r="CQ93" i="25"/>
  <c r="CQ106" s="1"/>
  <c r="AV11"/>
  <c r="AV15" s="1"/>
  <c r="Q75" i="37"/>
  <c r="G76"/>
  <c r="BE22" i="25"/>
  <c r="CL51" i="38"/>
  <c r="AS19" i="26"/>
  <c r="S72" i="1"/>
  <c r="AY68" i="39"/>
  <c r="CV46" i="26"/>
  <c r="CB35" i="41"/>
  <c r="DF35" i="36"/>
  <c r="CG11" i="26"/>
  <c r="CG15" s="1"/>
  <c r="BO99" i="38"/>
  <c r="BB51" i="37"/>
  <c r="AI72" i="38"/>
  <c r="DB68" i="36"/>
  <c r="L35" i="40"/>
  <c r="AG93" i="25"/>
  <c r="BW93"/>
  <c r="BS76" i="1"/>
  <c r="BJ67" i="26"/>
  <c r="AD19" i="36"/>
  <c r="AH63" i="41"/>
  <c r="CV76"/>
  <c r="BS104" i="38"/>
  <c r="BS106" s="1"/>
  <c r="CM22" i="36"/>
  <c r="AH11"/>
  <c r="AH15" s="1"/>
  <c r="DA38" i="38"/>
  <c r="K38" i="1"/>
  <c r="BB38" i="25"/>
  <c r="CM14" i="38"/>
  <c r="CM15" s="1"/>
  <c r="CK22" i="36"/>
  <c r="CB51" i="38"/>
  <c r="Y31" i="41"/>
  <c r="CO19" i="1"/>
  <c r="CB11" i="25"/>
  <c r="CX35" i="1"/>
  <c r="AO82" i="36"/>
  <c r="AO72" i="1"/>
  <c r="CE51" i="41"/>
  <c r="CE84" s="1"/>
  <c r="AR31" i="25"/>
  <c r="CN28" i="41"/>
  <c r="CN32" s="1"/>
  <c r="BU55" i="1"/>
  <c r="BJ49" i="39"/>
  <c r="AD68" i="1"/>
  <c r="BS14" i="26"/>
  <c r="CS22" i="39"/>
  <c r="CU63" i="37"/>
  <c r="BF27" i="26"/>
  <c r="CT35" i="41"/>
  <c r="J31" i="26"/>
  <c r="AR14" i="37"/>
  <c r="AR15" s="1"/>
  <c r="BP68" i="40"/>
  <c r="DD76" i="38"/>
  <c r="BR76" i="1"/>
  <c r="X31" i="41"/>
  <c r="X32" s="1"/>
  <c r="M31"/>
  <c r="CF28" i="25"/>
  <c r="AB19" i="40"/>
  <c r="AA35" i="41"/>
  <c r="BT72" i="38"/>
  <c r="AT11" i="39"/>
  <c r="Z82" i="37"/>
  <c r="DA63" i="26"/>
  <c r="DA84" s="1"/>
  <c r="AW31" i="1"/>
  <c r="CB28" i="39"/>
  <c r="BU46" i="26"/>
  <c r="AF82" i="37"/>
  <c r="AI72" i="39"/>
  <c r="AT82" i="36"/>
  <c r="AH55" i="38"/>
  <c r="CT63" i="39"/>
  <c r="CT84" s="1"/>
  <c r="Z31" i="38"/>
  <c r="CN22" i="36"/>
  <c r="CA99" i="1"/>
  <c r="AJ11" i="39"/>
  <c r="AJ15" s="1"/>
  <c r="CF76" i="40"/>
  <c r="CC22"/>
  <c r="BB14" i="26"/>
  <c r="W18" i="60"/>
  <c r="Q79" i="39"/>
  <c r="G82"/>
  <c r="DF11" i="37"/>
  <c r="DF15" s="1"/>
  <c r="AX11" i="41"/>
  <c r="CJ51" i="40"/>
  <c r="CJ84" s="1"/>
  <c r="L22" i="37"/>
  <c r="DA22" i="41"/>
  <c r="DE104"/>
  <c r="DH61" i="39"/>
  <c r="CB99"/>
  <c r="CY51" i="37"/>
  <c r="AN68" i="36"/>
  <c r="CF63" i="1"/>
  <c r="K63" i="39"/>
  <c r="CY82" i="25"/>
  <c r="DH27" i="38"/>
  <c r="Y82" i="25"/>
  <c r="AD28" i="36"/>
  <c r="CY72"/>
  <c r="M76" i="39"/>
  <c r="CE28" i="37"/>
  <c r="CU63" i="25"/>
  <c r="BO76"/>
  <c r="DH75"/>
  <c r="AG93" i="39"/>
  <c r="BF25" i="36"/>
  <c r="AD51" i="41"/>
  <c r="BR22" i="40"/>
  <c r="AF68"/>
  <c r="AA93" i="38"/>
  <c r="BD19" i="36"/>
  <c r="CJ93" i="39"/>
  <c r="CJ106" s="1"/>
  <c r="CQ28" i="25"/>
  <c r="AR63" i="41"/>
  <c r="AC35" i="26"/>
  <c r="CR104" i="36"/>
  <c r="CR106" s="1"/>
  <c r="CM72" i="38"/>
  <c r="CT104" i="37"/>
  <c r="CD35" i="25"/>
  <c r="DC14" i="39"/>
  <c r="DC15" s="1"/>
  <c r="L31" i="26"/>
  <c r="O51"/>
  <c r="CH35" i="36"/>
  <c r="AO93" i="39"/>
  <c r="BF93" s="1"/>
  <c r="AX46" i="38"/>
  <c r="AA51" i="39"/>
  <c r="I76" i="38"/>
  <c r="AX22" i="39"/>
  <c r="AZ68" i="1"/>
  <c r="AF31" i="37"/>
  <c r="L76" i="38"/>
  <c r="CV14" i="37"/>
  <c r="CV15" s="1"/>
  <c r="BY14" i="41"/>
  <c r="BY15" s="1"/>
  <c r="BR38" i="36"/>
  <c r="O38"/>
  <c r="CX72" i="40"/>
  <c r="AV99" i="36"/>
  <c r="BA19" i="41"/>
  <c r="H82" i="37"/>
  <c r="CN19" i="41"/>
  <c r="AH22" i="1"/>
  <c r="AN28" i="38"/>
  <c r="AV72" i="40"/>
  <c r="CX51" i="36"/>
  <c r="CX84" s="1"/>
  <c r="AR63"/>
  <c r="AI19" i="1"/>
  <c r="O19" i="40"/>
  <c r="BW104" i="39"/>
  <c r="AS11" i="37"/>
  <c r="CJ22" i="38"/>
  <c r="CY93" i="37"/>
  <c r="AP93"/>
  <c r="K38" i="26"/>
  <c r="BR93" i="36"/>
  <c r="AD14" i="40"/>
  <c r="DA99" i="39"/>
  <c r="AQ35" i="41"/>
  <c r="CM11" i="39"/>
  <c r="O38" i="40"/>
  <c r="U63"/>
  <c r="CV99" i="39"/>
  <c r="N22" i="37"/>
  <c r="CD72" i="25"/>
  <c r="CK38" i="39"/>
  <c r="CY22" i="36"/>
  <c r="AY51" i="38"/>
  <c r="BX19" i="25"/>
  <c r="AX72" i="40"/>
  <c r="BZ38" i="26"/>
  <c r="BF62" i="41"/>
  <c r="J51" i="38"/>
  <c r="U55" i="26"/>
  <c r="DC76"/>
  <c r="L68" i="36"/>
  <c r="BR51" i="40"/>
  <c r="DF31" i="36"/>
  <c r="DF32" s="1"/>
  <c r="AZ11" i="39"/>
  <c r="AZ15" s="1"/>
  <c r="CS31" i="40"/>
  <c r="DD19"/>
  <c r="J51" i="36"/>
  <c r="J84" s="1"/>
  <c r="Z51" i="26"/>
  <c r="Z84" s="1"/>
  <c r="CW99" i="25"/>
  <c r="AI76" i="39"/>
  <c r="CR14" i="40"/>
  <c r="CR15" s="1"/>
  <c r="CR40" s="1"/>
  <c r="CC76"/>
  <c r="AG31" i="1"/>
  <c r="AC51" i="41"/>
  <c r="X51"/>
  <c r="X84" s="1"/>
  <c r="U76" i="38"/>
  <c r="AT72" i="41"/>
  <c r="AK27" i="26"/>
  <c r="CM28" i="39"/>
  <c r="CM32" s="1"/>
  <c r="DD11"/>
  <c r="CW51" i="25"/>
  <c r="BX11" i="26"/>
  <c r="CW14" i="40"/>
  <c r="CW15" s="1"/>
  <c r="M28" i="1"/>
  <c r="AB76" i="25"/>
  <c r="BV76" i="38"/>
  <c r="CI14" i="1"/>
  <c r="H28" i="37"/>
  <c r="DB82" i="36"/>
  <c r="CN38" i="38"/>
  <c r="G76" i="40"/>
  <c r="Q75"/>
  <c r="CW55" i="38"/>
  <c r="BZ51" i="37"/>
  <c r="BZ84" s="1"/>
  <c r="AF22" i="25"/>
  <c r="AY22" i="40"/>
  <c r="BA14" i="25"/>
  <c r="BE63"/>
  <c r="Y93"/>
  <c r="CU55" i="38"/>
  <c r="AP31"/>
  <c r="CR99" i="25"/>
  <c r="DB63"/>
  <c r="AS19" i="41"/>
  <c r="CZ76" i="25"/>
  <c r="CU19" i="40"/>
  <c r="CT63" i="36"/>
  <c r="AD72"/>
  <c r="CN46" i="37"/>
  <c r="CL35" i="1"/>
  <c r="DB19"/>
  <c r="K38" i="37"/>
  <c r="DD46" i="39"/>
  <c r="CA82" i="1"/>
  <c r="BZ82" i="39"/>
  <c r="CL76"/>
  <c r="K28" i="26"/>
  <c r="AD35"/>
  <c r="BR28" i="36"/>
  <c r="BR32" s="1"/>
  <c r="CN76" i="40"/>
  <c r="L35" i="38"/>
  <c r="Q53"/>
  <c r="G55"/>
  <c r="Q55" s="1"/>
  <c r="AI31" i="25"/>
  <c r="AB19" i="37"/>
  <c r="AH51" i="40"/>
  <c r="AH84" s="1"/>
  <c r="DA11" i="1"/>
  <c r="U31" i="40"/>
  <c r="AV72" i="41"/>
  <c r="K14" i="39"/>
  <c r="K15" s="1"/>
  <c r="AV82"/>
  <c r="DD51" i="37"/>
  <c r="CV104" i="40"/>
  <c r="AF72" i="1"/>
  <c r="AK48" i="37"/>
  <c r="CE68" i="39"/>
  <c r="CS55" i="40"/>
  <c r="AK13" i="36"/>
  <c r="AW99" i="41"/>
  <c r="I46" i="25"/>
  <c r="AS82" i="37"/>
  <c r="AE46" i="41"/>
  <c r="O99" i="36"/>
  <c r="AC68" i="1"/>
  <c r="BZ14" i="39"/>
  <c r="CT68" i="38"/>
  <c r="BY46" i="25"/>
  <c r="L82"/>
  <c r="AA46" i="39"/>
  <c r="J38" i="41"/>
  <c r="Q38" s="1"/>
  <c r="BP68"/>
  <c r="CV99" i="1"/>
  <c r="V72" i="39"/>
  <c r="AY11"/>
  <c r="CV31" i="26"/>
  <c r="AN28" i="41"/>
  <c r="AO46" i="39"/>
  <c r="AO72" i="40"/>
  <c r="AZ32" i="37"/>
  <c r="AY22" i="26"/>
  <c r="CC22" i="25"/>
  <c r="AT35" i="38"/>
  <c r="J55" i="41"/>
  <c r="DH62" i="37"/>
  <c r="AO72" i="39"/>
  <c r="BR76" i="41"/>
  <c r="P99" i="38"/>
  <c r="CV55"/>
  <c r="BS32" i="26"/>
  <c r="BA46" i="39"/>
  <c r="AT55" i="41"/>
  <c r="BT93" i="25"/>
  <c r="DB99" i="39"/>
  <c r="AO82"/>
  <c r="BF82" s="1"/>
  <c r="X72" i="26"/>
  <c r="V31"/>
  <c r="CO72" i="1"/>
  <c r="CH22" i="36"/>
  <c r="CG14" i="38"/>
  <c r="CG15" s="1"/>
  <c r="CG40" s="1"/>
  <c r="AR22" i="1"/>
  <c r="CP82" i="37"/>
  <c r="AB68" i="41"/>
  <c r="CZ76" i="38"/>
  <c r="CV76" i="39"/>
  <c r="DD72" i="26"/>
  <c r="U38" i="41"/>
  <c r="BF81" i="38"/>
  <c r="CN14" i="25"/>
  <c r="CN15" s="1"/>
  <c r="CS51"/>
  <c r="CM11" i="41"/>
  <c r="CM15" s="1"/>
  <c r="CM40" s="1"/>
  <c r="AN99" i="40"/>
  <c r="BB72" i="26"/>
  <c r="BY76" i="41"/>
  <c r="CC68" i="37"/>
  <c r="BZ31" i="25"/>
  <c r="AF14" i="41"/>
  <c r="BF54" i="38"/>
  <c r="S55" i="60"/>
  <c r="CZ46" i="41"/>
  <c r="AZ76"/>
  <c r="H55" i="1"/>
  <c r="DF14" i="39"/>
  <c r="DF15" s="1"/>
  <c r="CP38" i="40"/>
  <c r="BV99" i="1"/>
  <c r="CA38" i="25"/>
  <c r="AX93" i="26"/>
  <c r="AX106" s="1"/>
  <c r="DC38" i="39"/>
  <c r="AC82" i="36"/>
  <c r="DC38" i="40"/>
  <c r="T99" i="38"/>
  <c r="M68"/>
  <c r="CU31" i="25"/>
  <c r="CO99"/>
  <c r="CF63" i="41"/>
  <c r="DH63" s="1"/>
  <c r="BU76" i="1"/>
  <c r="CQ46" i="37"/>
  <c r="Y31" i="36"/>
  <c r="DE11" i="39"/>
  <c r="CU11" i="25"/>
  <c r="CU15" s="1"/>
  <c r="CG72" i="37"/>
  <c r="BZ68" i="40"/>
  <c r="AH104" i="1"/>
  <c r="J51" i="25"/>
  <c r="BF62" i="36"/>
  <c r="L22" i="38"/>
  <c r="CZ72" i="26"/>
  <c r="AU99" i="36"/>
  <c r="CB82" i="26"/>
  <c r="CW51" i="1"/>
  <c r="AJ99" i="41"/>
  <c r="AJ106" s="1"/>
  <c r="AD63" i="25"/>
  <c r="AD84" s="1"/>
  <c r="CC55" i="1"/>
  <c r="H51" i="39"/>
  <c r="DC51" i="41"/>
  <c r="AA28"/>
  <c r="CS68"/>
  <c r="CR14" i="38"/>
  <c r="AI63" i="25"/>
  <c r="H11" i="38"/>
  <c r="CO38" i="39"/>
  <c r="BD82" i="37"/>
  <c r="CK55" i="41"/>
  <c r="AP51" i="25"/>
  <c r="AP84" s="1"/>
  <c r="CN38"/>
  <c r="BY31" i="26"/>
  <c r="CG19" i="39"/>
  <c r="BV72" i="38"/>
  <c r="BI68"/>
  <c r="DD72" i="25"/>
  <c r="BD14" i="38"/>
  <c r="BD15" s="1"/>
  <c r="CW35"/>
  <c r="Y35" i="25"/>
  <c r="BI38" i="40"/>
  <c r="K55"/>
  <c r="AB28" i="1"/>
  <c r="K28" i="37"/>
  <c r="AU63" i="38"/>
  <c r="BB22" i="39"/>
  <c r="P22" i="38"/>
  <c r="CF46" i="39"/>
  <c r="P46" i="26"/>
  <c r="CZ19" i="38"/>
  <c r="AG82" i="40"/>
  <c r="CC35" i="38"/>
  <c r="CK76" i="41"/>
  <c r="CC28" i="1"/>
  <c r="P46" i="25"/>
  <c r="S82" i="36"/>
  <c r="BR14" i="38"/>
  <c r="DH49" i="37"/>
  <c r="Q98" i="38"/>
  <c r="P72" i="37"/>
  <c r="H35" i="38"/>
  <c r="BT76" i="36"/>
  <c r="CX63" i="26"/>
  <c r="L72" i="37"/>
  <c r="AN68" i="26"/>
  <c r="CW63" i="37"/>
  <c r="BW104"/>
  <c r="BE55" i="26"/>
  <c r="AT76"/>
  <c r="AU31" i="41"/>
  <c r="CQ76" i="38"/>
  <c r="CU38" i="36"/>
  <c r="CL35" i="41"/>
  <c r="BS28" i="38"/>
  <c r="DH28" s="1"/>
  <c r="CI82"/>
  <c r="AS38" i="26"/>
  <c r="CL38" i="40"/>
  <c r="BB68" i="25"/>
  <c r="DC99" i="40"/>
  <c r="BP63" i="41"/>
  <c r="V19" i="1"/>
  <c r="CI19" i="25"/>
  <c r="W46" i="1"/>
  <c r="CG11" i="38"/>
  <c r="AJ68" i="40"/>
  <c r="AN22" i="36"/>
  <c r="AS93" i="38"/>
  <c r="CT38"/>
  <c r="AC104" i="26"/>
  <c r="AS93" i="36"/>
  <c r="CV51" i="1"/>
  <c r="AJ68" i="26"/>
  <c r="N14" i="25"/>
  <c r="N15" s="1"/>
  <c r="N40" s="1"/>
  <c r="N109" s="1"/>
  <c r="BC76" i="36"/>
  <c r="CB72" i="39"/>
  <c r="CC19" i="36"/>
  <c r="DB82" i="37"/>
  <c r="DB84" s="1"/>
  <c r="AE38" i="1"/>
  <c r="BF89" i="40"/>
  <c r="AM93"/>
  <c r="DH71" i="38"/>
  <c r="BO72"/>
  <c r="CQ11" i="25"/>
  <c r="CN72" i="1"/>
  <c r="CK22" i="25"/>
  <c r="CC14"/>
  <c r="CC15" s="1"/>
  <c r="AW28" i="26"/>
  <c r="CI22" i="37"/>
  <c r="CL51"/>
  <c r="BB51" i="40"/>
  <c r="BE55" i="41"/>
  <c r="AD51" i="26"/>
  <c r="AG63" i="36"/>
  <c r="CM68" i="40"/>
  <c r="AT76" i="38"/>
  <c r="BE82" i="40"/>
  <c r="CK72" i="26"/>
  <c r="Q49" i="37"/>
  <c r="AG82" i="38"/>
  <c r="CV35" i="39"/>
  <c r="CI68" i="41"/>
  <c r="CS72"/>
  <c r="CZ93"/>
  <c r="DC68" i="39"/>
  <c r="CU11" i="26"/>
  <c r="CU15" s="1"/>
  <c r="BS31" i="1"/>
  <c r="BS32" s="1"/>
  <c r="BD35" i="36"/>
  <c r="AP82" i="40"/>
  <c r="L72" i="1"/>
  <c r="AH19" i="41"/>
  <c r="CD104" i="40"/>
  <c r="Q30" i="37"/>
  <c r="BA11"/>
  <c r="I76" i="26"/>
  <c r="BJ98" i="40"/>
  <c r="X68" i="37"/>
  <c r="CM46" i="26"/>
  <c r="BV104"/>
  <c r="K72" i="1"/>
  <c r="AK27" i="36"/>
  <c r="CV63" i="38"/>
  <c r="CO51" i="40"/>
  <c r="BY38" i="36"/>
  <c r="Y93" i="41"/>
  <c r="AV46" i="1"/>
  <c r="CY22" i="38"/>
  <c r="Z82" i="39"/>
  <c r="W28" i="26"/>
  <c r="W32" s="1"/>
  <c r="BC99" i="38"/>
  <c r="BC106" s="1"/>
  <c r="O22" i="39"/>
  <c r="CF38" i="40"/>
  <c r="AP11" i="38"/>
  <c r="N55" i="26"/>
  <c r="BJ24" i="1"/>
  <c r="DD55" i="37"/>
  <c r="AJ22" i="39"/>
  <c r="CC104" i="38"/>
  <c r="CG46" i="37"/>
  <c r="BX68" i="39"/>
  <c r="AK25" i="37"/>
  <c r="BL25" s="1"/>
  <c r="CI76" i="26"/>
  <c r="BB11" i="37"/>
  <c r="DB72" i="41"/>
  <c r="S31"/>
  <c r="AK29"/>
  <c r="AQ82" i="36"/>
  <c r="Z14" i="1"/>
  <c r="W28" i="41"/>
  <c r="W32" s="1"/>
  <c r="Q59" i="38"/>
  <c r="CF11" i="41"/>
  <c r="CD28" i="1"/>
  <c r="BZ19" i="40"/>
  <c r="AR14" i="1"/>
  <c r="AR15" s="1"/>
  <c r="AR40" s="1"/>
  <c r="AO76" i="40"/>
  <c r="CL63" i="26"/>
  <c r="DB99" i="36"/>
  <c r="DB106" s="1"/>
  <c r="N104" i="37"/>
  <c r="X93" i="41"/>
  <c r="AN93" i="39"/>
  <c r="O32" i="38"/>
  <c r="Q71" i="37"/>
  <c r="G72"/>
  <c r="CR51" i="1"/>
  <c r="CO46" i="26"/>
  <c r="AV14" i="40"/>
  <c r="AV15" s="1"/>
  <c r="AX22" i="1"/>
  <c r="X63" i="41"/>
  <c r="AT72" i="39"/>
  <c r="P72" i="1"/>
  <c r="AP55" i="38"/>
  <c r="AD55" i="26"/>
  <c r="BT93" i="1"/>
  <c r="BU93" i="25"/>
  <c r="K19" i="26"/>
  <c r="AT35" i="41"/>
  <c r="AW19" i="38"/>
  <c r="AN63" i="1"/>
  <c r="CM11" i="26"/>
  <c r="CM15" s="1"/>
  <c r="AE93" i="25"/>
  <c r="H55" i="41"/>
  <c r="CM93" i="25"/>
  <c r="AI82" i="37"/>
  <c r="DA51" i="1"/>
  <c r="DA84" s="1"/>
  <c r="G104" i="36"/>
  <c r="Q102"/>
  <c r="AM63" i="25"/>
  <c r="CY28"/>
  <c r="CY28" i="26"/>
  <c r="AX14" i="37"/>
  <c r="DB31" i="41"/>
  <c r="DB32" s="1"/>
  <c r="AV55"/>
  <c r="X99" i="25"/>
  <c r="K11" i="38"/>
  <c r="K15" s="1"/>
  <c r="P31" i="36"/>
  <c r="Z72" i="39"/>
  <c r="N14" i="40"/>
  <c r="N15" s="1"/>
  <c r="CR76" i="41"/>
  <c r="CR84" s="1"/>
  <c r="AP14" i="38"/>
  <c r="AC46"/>
  <c r="DE22" i="36"/>
  <c r="CR68" i="1"/>
  <c r="AD38" i="25"/>
  <c r="CL46" i="26"/>
  <c r="AW14" i="39"/>
  <c r="CK82"/>
  <c r="M14" i="26"/>
  <c r="AF93" i="37"/>
  <c r="AJ22" i="38"/>
  <c r="BX31" i="36"/>
  <c r="M46" i="25"/>
  <c r="AZ51" i="26"/>
  <c r="CX82" i="36"/>
  <c r="U35" i="40"/>
  <c r="AK35" s="1"/>
  <c r="CA22" i="38"/>
  <c r="CU99" i="1"/>
  <c r="CZ31" i="26"/>
  <c r="AI31" i="1"/>
  <c r="BR31" i="40"/>
  <c r="AV11" i="38"/>
  <c r="U63" i="37"/>
  <c r="BQ76" i="41"/>
  <c r="CJ31" i="39"/>
  <c r="AS14" i="26"/>
  <c r="BT19"/>
  <c r="AN99" i="38"/>
  <c r="P51" i="37"/>
  <c r="P84" s="1"/>
  <c r="DA11" i="26"/>
  <c r="DA15" s="1"/>
  <c r="L99" i="39"/>
  <c r="AP104" i="38"/>
  <c r="BW68" i="41"/>
  <c r="O63" i="26"/>
  <c r="Q96" i="25"/>
  <c r="G99"/>
  <c r="G106" s="1"/>
  <c r="Y14"/>
  <c r="Y15" s="1"/>
  <c r="AH63" i="40"/>
  <c r="Z35" i="39"/>
  <c r="CZ63" i="41"/>
  <c r="AF55" i="1"/>
  <c r="BX82" i="25"/>
  <c r="J55" i="37"/>
  <c r="BC55"/>
  <c r="BC84" s="1"/>
  <c r="AR11" i="38"/>
  <c r="AR15" s="1"/>
  <c r="O22" i="36"/>
  <c r="CQ38" i="39"/>
  <c r="I32" i="26"/>
  <c r="BE76" i="39"/>
  <c r="I55"/>
  <c r="CI22" i="26"/>
  <c r="AB93" i="36"/>
  <c r="AB106" s="1"/>
  <c r="AG46" i="1"/>
  <c r="N99" i="36"/>
  <c r="BR82" i="39"/>
  <c r="S72" i="36"/>
  <c r="AJ68" i="38"/>
  <c r="L28" i="39"/>
  <c r="BX35" i="26"/>
  <c r="CZ99" i="41"/>
  <c r="CZ106" s="1"/>
  <c r="AT31" i="26"/>
  <c r="AT32" s="1"/>
  <c r="CD63" i="36"/>
  <c r="Q79" i="38"/>
  <c r="G82"/>
  <c r="Q82" s="1"/>
  <c r="AE104" i="39"/>
  <c r="AZ31" i="25"/>
  <c r="BX35" i="38"/>
  <c r="DA46" i="1"/>
  <c r="BW104"/>
  <c r="AJ99" i="38"/>
  <c r="AU93" i="1"/>
  <c r="CH63" i="26"/>
  <c r="AI99" i="39"/>
  <c r="AI106" s="1"/>
  <c r="CY28" i="1"/>
  <c r="CY32" s="1"/>
  <c r="CI28" i="41"/>
  <c r="AH31" i="40"/>
  <c r="AH32" s="1"/>
  <c r="AM14" i="25"/>
  <c r="AM15" s="1"/>
  <c r="AM40" s="1"/>
  <c r="DC11" i="1"/>
  <c r="AG93" i="41"/>
  <c r="AN55" i="26"/>
  <c r="AN84" s="1"/>
  <c r="AH82" i="38"/>
  <c r="DB28" i="41"/>
  <c r="L28" i="40"/>
  <c r="Y76"/>
  <c r="CR11" i="37"/>
  <c r="AA19" i="36"/>
  <c r="L93" i="25"/>
  <c r="DB93" i="38"/>
  <c r="DB106" s="1"/>
  <c r="CQ28" i="26"/>
  <c r="AZ31" i="41"/>
  <c r="AZ32" s="1"/>
  <c r="L19" i="37"/>
  <c r="BD63" i="38"/>
  <c r="CD28" i="39"/>
  <c r="CD32" s="1"/>
  <c r="DD93" i="41"/>
  <c r="H82" i="1"/>
  <c r="AX55" i="39"/>
  <c r="L14" i="26"/>
  <c r="L15" s="1"/>
  <c r="CP28" i="39"/>
  <c r="BV68" i="40"/>
  <c r="CT46" i="25"/>
  <c r="BQ76" i="37"/>
  <c r="CG46" i="25"/>
  <c r="AC76" i="41"/>
  <c r="AW72" i="37"/>
  <c r="AM68" i="38"/>
  <c r="BF65"/>
  <c r="CU38" i="39"/>
  <c r="BS38" i="41"/>
  <c r="DH38" s="1"/>
  <c r="Q91" i="38"/>
  <c r="BW72" i="40"/>
  <c r="CB19"/>
  <c r="BU19" i="1"/>
  <c r="AH19"/>
  <c r="AE82" i="41"/>
  <c r="AP51" i="38"/>
  <c r="BF61" i="41"/>
  <c r="CU22" i="40"/>
  <c r="L93" i="39"/>
  <c r="CD82" i="36"/>
  <c r="CW104" i="40"/>
  <c r="CW106" s="1"/>
  <c r="CX19" i="36"/>
  <c r="CC99" i="37"/>
  <c r="P28" i="26"/>
  <c r="AY51" i="37"/>
  <c r="DA63" i="36"/>
  <c r="AT28" i="25"/>
  <c r="AT32" s="1"/>
  <c r="CT63" i="26"/>
  <c r="AJ28" i="1"/>
  <c r="AY76" i="38"/>
  <c r="X28" i="26"/>
  <c r="X32" s="1"/>
  <c r="I46" i="41"/>
  <c r="BU55" i="25"/>
  <c r="BU84" s="1"/>
  <c r="G35" i="40"/>
  <c r="Q34"/>
  <c r="AF68" i="41"/>
  <c r="BF27" i="38"/>
  <c r="BL27" s="1"/>
  <c r="J93"/>
  <c r="CJ11" i="1"/>
  <c r="AI31" i="39"/>
  <c r="BV32" i="38"/>
  <c r="BU104"/>
  <c r="CT31" i="26"/>
  <c r="Q61" i="38"/>
  <c r="AW93" i="39"/>
  <c r="AW106" s="1"/>
  <c r="CU99" i="38"/>
  <c r="AZ31" i="36"/>
  <c r="AF35" i="25"/>
  <c r="CA31" i="37"/>
  <c r="CW72" i="26"/>
  <c r="CU104" i="39"/>
  <c r="AO46" i="38"/>
  <c r="DH30" i="36"/>
  <c r="M19" i="1"/>
  <c r="AE76" i="25"/>
  <c r="DC63" i="26"/>
  <c r="DC11" i="25"/>
  <c r="DC15" s="1"/>
  <c r="O32" i="39"/>
  <c r="BQ72" i="26"/>
  <c r="Y38" i="1"/>
  <c r="AJ38" i="25"/>
  <c r="DF93" i="37"/>
  <c r="K22"/>
  <c r="CP28" i="26"/>
  <c r="CP32" s="1"/>
  <c r="CP40" s="1"/>
  <c r="AV14" i="37"/>
  <c r="AO31"/>
  <c r="M104" i="41"/>
  <c r="CW68" i="1"/>
  <c r="BX104" i="38"/>
  <c r="Y63" i="40"/>
  <c r="Z22" i="25"/>
  <c r="CP63" i="36"/>
  <c r="BX82" i="39"/>
  <c r="CZ14" i="37"/>
  <c r="BZ104" i="1"/>
  <c r="BZ106" s="1"/>
  <c r="CF14" i="38"/>
  <c r="CF15" s="1"/>
  <c r="AK61" i="40"/>
  <c r="DB82" i="38"/>
  <c r="CQ68" i="26"/>
  <c r="CE28" i="39"/>
  <c r="CE32" s="1"/>
  <c r="CE40" s="1"/>
  <c r="CE109" s="1"/>
  <c r="CE46" i="41"/>
  <c r="CB31" i="38"/>
  <c r="AE22" i="41"/>
  <c r="DB19" i="25"/>
  <c r="AN76" i="26"/>
  <c r="BS46" i="39"/>
  <c r="AR19" i="1"/>
  <c r="DH30" i="26"/>
  <c r="BD19"/>
  <c r="AM68" i="37"/>
  <c r="CM93" i="41"/>
  <c r="CM106" s="1"/>
  <c r="AZ35" i="26"/>
  <c r="CC99" i="25"/>
  <c r="AC68" i="36"/>
  <c r="CQ104" i="25"/>
  <c r="N55" i="41"/>
  <c r="N84" s="1"/>
  <c r="CR51" i="36"/>
  <c r="CR84" s="1"/>
  <c r="CC38" i="26"/>
  <c r="CO63" i="39"/>
  <c r="G35" i="38"/>
  <c r="Q35" s="1"/>
  <c r="Q34"/>
  <c r="BL34" s="1"/>
  <c r="BS93" i="36"/>
  <c r="AS11" i="25"/>
  <c r="AC63" i="1"/>
  <c r="CD104" i="38"/>
  <c r="N82" i="36"/>
  <c r="AT46" i="39"/>
  <c r="CI35" i="38"/>
  <c r="AD68" i="36"/>
  <c r="BS35" i="25"/>
  <c r="AA22" i="1"/>
  <c r="AP76" i="25"/>
  <c r="BE63" i="37"/>
  <c r="CP46" i="40"/>
  <c r="M55" i="41"/>
  <c r="BX93" i="38"/>
  <c r="CR11" i="41"/>
  <c r="CR15" s="1"/>
  <c r="AA82" i="40"/>
  <c r="CT38" i="36"/>
  <c r="BU19"/>
  <c r="DE19" i="39"/>
  <c r="AY38"/>
  <c r="CE38" i="40"/>
  <c r="CH82"/>
  <c r="M68" i="37"/>
  <c r="CC46" i="39"/>
  <c r="T35" i="26"/>
  <c r="CE11" i="37"/>
  <c r="CE15" s="1"/>
  <c r="AH68" i="26"/>
  <c r="BS46"/>
  <c r="W19"/>
  <c r="BE76" i="1"/>
  <c r="CL31"/>
  <c r="AV68" i="39"/>
  <c r="CN14" i="26"/>
  <c r="AB82" i="36"/>
  <c r="AT51" i="40"/>
  <c r="AT84" s="1"/>
  <c r="Z31" i="39"/>
  <c r="AF82" i="40"/>
  <c r="CU68"/>
  <c r="I11" i="37"/>
  <c r="I15" s="1"/>
  <c r="CE35" i="39"/>
  <c r="X38" i="1"/>
  <c r="BI51" i="40"/>
  <c r="AY14" i="25"/>
  <c r="AY15" s="1"/>
  <c r="AY40" s="1"/>
  <c r="CZ14" i="41"/>
  <c r="AH14" i="38"/>
  <c r="CD104" i="37"/>
  <c r="BC46" i="38"/>
  <c r="CE93" i="41"/>
  <c r="AM35"/>
  <c r="BF34"/>
  <c r="BL34" s="1"/>
  <c r="BD104" i="36"/>
  <c r="CR31" i="41"/>
  <c r="AX11" i="36"/>
  <c r="CS63" i="1"/>
  <c r="CS84" s="1"/>
  <c r="CP82" i="36"/>
  <c r="S28" i="41"/>
  <c r="AK26"/>
  <c r="Q50" i="1"/>
  <c r="BC35" i="37"/>
  <c r="DD51" i="36"/>
  <c r="T51" i="41"/>
  <c r="AB51" i="37"/>
  <c r="CU38" i="25"/>
  <c r="BV104" i="1"/>
  <c r="CR55" i="40"/>
  <c r="CU76" i="41"/>
  <c r="CB35" i="38"/>
  <c r="CU93" i="1"/>
  <c r="P46" i="36"/>
  <c r="CM82" i="40"/>
  <c r="BU14"/>
  <c r="BU15" s="1"/>
  <c r="CE19" i="37"/>
  <c r="AW14" i="41"/>
  <c r="AP68" i="26"/>
  <c r="BF65" i="41"/>
  <c r="BL65" s="1"/>
  <c r="AM68"/>
  <c r="AC82" i="1"/>
  <c r="Q30" i="39"/>
  <c r="BL30" s="1"/>
  <c r="AZ55" i="25"/>
  <c r="AZ84" s="1"/>
  <c r="CC28" i="26"/>
  <c r="AE55" i="38"/>
  <c r="BF29" i="36"/>
  <c r="AM31"/>
  <c r="BF31" s="1"/>
  <c r="DE76" i="39"/>
  <c r="CS19" i="41"/>
  <c r="Z93"/>
  <c r="CA46" i="1"/>
  <c r="CW93" i="40"/>
  <c r="AX19" i="37"/>
  <c r="Q25" i="1"/>
  <c r="L72" i="40"/>
  <c r="AF104" i="41"/>
  <c r="BF17" i="1"/>
  <c r="AM19"/>
  <c r="CH63" i="25"/>
  <c r="O51" i="41"/>
  <c r="CI19" i="40"/>
  <c r="BE82" i="38"/>
  <c r="AO35" i="36"/>
  <c r="BC104" i="41"/>
  <c r="AE82" i="26"/>
  <c r="J76" i="37"/>
  <c r="AG63" i="26"/>
  <c r="BY31" i="40"/>
  <c r="AP46" i="37"/>
  <c r="DC63"/>
  <c r="CT31" i="41"/>
  <c r="CX63" i="36"/>
  <c r="CY19" i="25"/>
  <c r="CY40" s="1"/>
  <c r="CX31" i="26"/>
  <c r="CX32" s="1"/>
  <c r="AB63" i="41"/>
  <c r="BT35"/>
  <c r="CF28"/>
  <c r="CF32" s="1"/>
  <c r="AY11" i="38"/>
  <c r="AY15" s="1"/>
  <c r="AI22" i="37"/>
  <c r="AG14"/>
  <c r="AG15" s="1"/>
  <c r="BF53"/>
  <c r="AM55"/>
  <c r="BF55" s="1"/>
  <c r="CD104" i="26"/>
  <c r="CJ19" i="1"/>
  <c r="CU14" i="37"/>
  <c r="CU15" s="1"/>
  <c r="CV104" i="25"/>
  <c r="CS51" i="37"/>
  <c r="CB28" i="38"/>
  <c r="CF28" i="37"/>
  <c r="CF32" s="1"/>
  <c r="CO76" i="1"/>
  <c r="AN46"/>
  <c r="AH46" i="36"/>
  <c r="BC99" i="41"/>
  <c r="BD31" i="36"/>
  <c r="Q27" i="37"/>
  <c r="DD14" i="1"/>
  <c r="CB31" i="36"/>
  <c r="CB32" s="1"/>
  <c r="AX76" i="25"/>
  <c r="BW72" i="1"/>
  <c r="DE31" i="37"/>
  <c r="AM14" i="26"/>
  <c r="AM15" s="1"/>
  <c r="BA35" i="39"/>
  <c r="J93" i="25"/>
  <c r="BU14" i="36"/>
  <c r="DD104" i="37"/>
  <c r="Y68" i="39"/>
  <c r="CE99" i="26"/>
  <c r="X82" i="37"/>
  <c r="AP38" i="38"/>
  <c r="AD31" i="37"/>
  <c r="AD32" s="1"/>
  <c r="AX11" i="25"/>
  <c r="AF35" i="37"/>
  <c r="CA99" i="26"/>
  <c r="CA106" s="1"/>
  <c r="CN22" i="37"/>
  <c r="CJ76" i="1"/>
  <c r="CM28" i="40"/>
  <c r="AP93" i="26"/>
  <c r="BS38" i="38"/>
  <c r="AP104" i="36"/>
  <c r="BI68" i="26"/>
  <c r="AA46" i="37"/>
  <c r="CE28" i="38"/>
  <c r="CE32" s="1"/>
  <c r="P68" i="41"/>
  <c r="DE72" i="39"/>
  <c r="AX68"/>
  <c r="BO104" i="26"/>
  <c r="L63" i="25"/>
  <c r="BW28" i="38"/>
  <c r="BB68" i="1"/>
  <c r="BP68" i="39"/>
  <c r="H72" i="36"/>
  <c r="BX63" i="1"/>
  <c r="AW35" i="38"/>
  <c r="CH46" i="1"/>
  <c r="J11" i="40"/>
  <c r="J15" s="1"/>
  <c r="BU63" i="41"/>
  <c r="AN38" i="1"/>
  <c r="BF38" s="1"/>
  <c r="DD35" i="39"/>
  <c r="BF60" i="1"/>
  <c r="BU14" i="25"/>
  <c r="CL22" i="37"/>
  <c r="BZ19" i="36"/>
  <c r="P14" i="41"/>
  <c r="AZ93" i="38"/>
  <c r="DF68" i="41"/>
  <c r="DB55" i="40"/>
  <c r="V31" i="38"/>
  <c r="Q102" i="37"/>
  <c r="G104"/>
  <c r="Q104" s="1"/>
  <c r="AQ11"/>
  <c r="CM55" i="26"/>
  <c r="I76" i="36"/>
  <c r="AK27" i="37"/>
  <c r="H82" i="25"/>
  <c r="AZ46" i="1"/>
  <c r="BS72" i="40"/>
  <c r="AI51" i="1"/>
  <c r="AI84" s="1"/>
  <c r="CK28" i="38"/>
  <c r="CF68"/>
  <c r="BD104" i="40"/>
  <c r="BE11" i="38"/>
  <c r="CT46" i="39"/>
  <c r="AJ93"/>
  <c r="CS31" i="1"/>
  <c r="AW19" i="25"/>
  <c r="CC63"/>
  <c r="AK13" i="41"/>
  <c r="AI19" i="38"/>
  <c r="U38" i="39"/>
  <c r="AK38" s="1"/>
  <c r="AC46" i="37"/>
  <c r="CQ19" i="39"/>
  <c r="BU35" i="25"/>
  <c r="AP35" i="39"/>
  <c r="Z22"/>
  <c r="AY31" i="37"/>
  <c r="CT104" i="40"/>
  <c r="CU68" i="38"/>
  <c r="CH51" i="37"/>
  <c r="CO46" i="38"/>
  <c r="CK46"/>
  <c r="CW82" i="39"/>
  <c r="CQ76" i="25"/>
  <c r="CK31" i="37"/>
  <c r="BF54" i="25"/>
  <c r="BH104" i="38"/>
  <c r="DA51" i="25"/>
  <c r="N28" i="41"/>
  <c r="N32" s="1"/>
  <c r="AP63" i="25"/>
  <c r="BP35" i="39"/>
  <c r="N38" i="26"/>
  <c r="CP31" i="40"/>
  <c r="CO63" i="36"/>
  <c r="CE99" i="40"/>
  <c r="AP22" i="25"/>
  <c r="BF22" s="1"/>
  <c r="CP51"/>
  <c r="DF99" i="40"/>
  <c r="CN55"/>
  <c r="CN84" s="1"/>
  <c r="CM104" i="38"/>
  <c r="Z28" i="39"/>
  <c r="DA99" i="26"/>
  <c r="AQ51" i="39"/>
  <c r="AQ84" s="1"/>
  <c r="AH68" i="38"/>
  <c r="AI14" i="26"/>
  <c r="BD28" i="37"/>
  <c r="BD32" s="1"/>
  <c r="AE93" i="1"/>
  <c r="DD82" i="38"/>
  <c r="J19" i="25"/>
  <c r="AS38" i="1"/>
  <c r="CY51" i="26"/>
  <c r="CF63"/>
  <c r="AR104"/>
  <c r="BB14" i="39"/>
  <c r="CA11" i="26"/>
  <c r="BR38" i="25"/>
  <c r="H22" i="36"/>
  <c r="CR35" i="1"/>
  <c r="T42" i="60"/>
  <c r="AQ46" i="25"/>
  <c r="BF65" i="36"/>
  <c r="AM68"/>
  <c r="DB35" i="41"/>
  <c r="AI14" i="37"/>
  <c r="BA38" i="1"/>
  <c r="BX55" i="26"/>
  <c r="V76" i="37"/>
  <c r="L38" i="39"/>
  <c r="BX46" i="38"/>
  <c r="CC55" i="41"/>
  <c r="CX82" i="38"/>
  <c r="AW104"/>
  <c r="AW106" s="1"/>
  <c r="AA11" i="1"/>
  <c r="CJ28" i="40"/>
  <c r="AX14" i="39"/>
  <c r="AX15" s="1"/>
  <c r="CL28" i="1"/>
  <c r="AT22" i="26"/>
  <c r="P72" i="38"/>
  <c r="Y11"/>
  <c r="DC63" i="39"/>
  <c r="DH103" i="37"/>
  <c r="I104"/>
  <c r="P51" i="25"/>
  <c r="P84" s="1"/>
  <c r="CJ19" i="37"/>
  <c r="I104" i="36"/>
  <c r="AH35" i="1"/>
  <c r="CT35" i="38"/>
  <c r="AK60" i="36"/>
  <c r="AV99" i="25"/>
  <c r="AM55" i="1"/>
  <c r="BF53"/>
  <c r="BR35" i="39"/>
  <c r="CA28" i="25"/>
  <c r="AT99" i="40"/>
  <c r="AA28" i="37"/>
  <c r="AA32" s="1"/>
  <c r="AE38"/>
  <c r="DC19" i="26"/>
  <c r="X35"/>
  <c r="U76"/>
  <c r="CK72" i="1"/>
  <c r="O31"/>
  <c r="AT22"/>
  <c r="BY55" i="40"/>
  <c r="BY84" s="1"/>
  <c r="AM72" i="38"/>
  <c r="BF71"/>
  <c r="AB68" i="37"/>
  <c r="I99" i="36"/>
  <c r="Q99" s="1"/>
  <c r="CY82"/>
  <c r="DC31" i="39"/>
  <c r="AU93" i="37"/>
  <c r="BF21" i="36"/>
  <c r="AM22"/>
  <c r="CU35" i="38"/>
  <c r="CV19" i="39"/>
  <c r="DE46" i="26"/>
  <c r="DH58" i="39"/>
  <c r="AC99" i="40"/>
  <c r="K68" i="37"/>
  <c r="CD28" i="26"/>
  <c r="BD35" i="1"/>
  <c r="AY38" i="38"/>
  <c r="BF30"/>
  <c r="AC11" i="1"/>
  <c r="BQ63" i="36"/>
  <c r="CA19" i="1"/>
  <c r="CO22" i="26"/>
  <c r="BV46" i="36"/>
  <c r="AI82" i="26"/>
  <c r="BT63" i="38"/>
  <c r="BC68"/>
  <c r="BC84" s="1"/>
  <c r="AX82" i="40"/>
  <c r="BC19" i="36"/>
  <c r="Q92" i="40"/>
  <c r="DB22" i="38"/>
  <c r="BC72" i="41"/>
  <c r="BX38" i="1"/>
  <c r="BS28" i="25"/>
  <c r="BS32" s="1"/>
  <c r="X93"/>
  <c r="CX31" i="1"/>
  <c r="I93" i="39"/>
  <c r="CU93"/>
  <c r="BI14" i="38"/>
  <c r="BI15" s="1"/>
  <c r="BI40" s="1"/>
  <c r="BZ14" i="40"/>
  <c r="AM104" i="25"/>
  <c r="BF102"/>
  <c r="CF19" i="38"/>
  <c r="AC93" i="40"/>
  <c r="AC106" s="1"/>
  <c r="AQ76" i="25"/>
  <c r="BV46" i="38"/>
  <c r="AU19"/>
  <c r="BI19" i="36"/>
  <c r="CI104" i="40"/>
  <c r="AX19" i="38"/>
  <c r="BT11" i="26"/>
  <c r="T31" i="39"/>
  <c r="BJ12" i="37"/>
  <c r="BH14"/>
  <c r="L76" i="36"/>
  <c r="AE28"/>
  <c r="AE32" s="1"/>
  <c r="AG63" i="37"/>
  <c r="CT14" i="36"/>
  <c r="BV68" i="1"/>
  <c r="AO55" i="39"/>
  <c r="BI22" i="26"/>
  <c r="AF11" i="36"/>
  <c r="S31"/>
  <c r="AK31" s="1"/>
  <c r="AK29"/>
  <c r="DD11" i="26"/>
  <c r="CM82" i="39"/>
  <c r="CF104" i="40"/>
  <c r="CE76" i="38"/>
  <c r="BU99" i="40"/>
  <c r="K31" i="38"/>
  <c r="Z38" i="1"/>
  <c r="N19" i="40"/>
  <c r="CH51" i="26"/>
  <c r="CJ55" i="36"/>
  <c r="AP68" i="38"/>
  <c r="AP84" s="1"/>
  <c r="DA11" i="41"/>
  <c r="CV22" i="40"/>
  <c r="H38" i="39"/>
  <c r="Z72" i="36"/>
  <c r="Z84" s="1"/>
  <c r="DF93" i="25"/>
  <c r="DF106" s="1"/>
  <c r="BC51" i="37"/>
  <c r="AT38" i="1"/>
  <c r="DA46" i="38"/>
  <c r="BA14" i="41"/>
  <c r="CZ11"/>
  <c r="CA31"/>
  <c r="M32" i="25"/>
  <c r="AA104" i="37"/>
  <c r="BP38" i="40"/>
  <c r="BA76" i="25"/>
  <c r="DF72" i="1"/>
  <c r="AI22" i="41"/>
  <c r="N82" i="40"/>
  <c r="Q54"/>
  <c r="AC104" i="37"/>
  <c r="AC106" s="1"/>
  <c r="V63" i="26"/>
  <c r="AI38" i="41"/>
  <c r="CV93" i="36"/>
  <c r="AR68"/>
  <c r="AO104" i="26"/>
  <c r="AI35" i="1"/>
  <c r="Q25" i="41"/>
  <c r="Q13" i="38"/>
  <c r="N76" i="25"/>
  <c r="AV31" i="37"/>
  <c r="CT93" i="39"/>
  <c r="CV31" i="25"/>
  <c r="CV32" s="1"/>
  <c r="BV51" i="26"/>
  <c r="BV84" s="1"/>
  <c r="AT99" i="36"/>
  <c r="CG19" i="37"/>
  <c r="AD82" i="25"/>
  <c r="CO46" i="1"/>
  <c r="S99" i="36"/>
  <c r="AJ51" i="26"/>
  <c r="DE63" i="25"/>
  <c r="AF63" i="26"/>
  <c r="AH19" i="36"/>
  <c r="CA46" i="41"/>
  <c r="CP93"/>
  <c r="CP106" s="1"/>
  <c r="AC35"/>
  <c r="CT55" i="39"/>
  <c r="CX104" i="37"/>
  <c r="CG99"/>
  <c r="W38" i="1"/>
  <c r="BJ10" i="26"/>
  <c r="BY76" i="40"/>
  <c r="CE72" i="37"/>
  <c r="DA68" i="41"/>
  <c r="AJ93" i="38"/>
  <c r="Q30" i="1"/>
  <c r="AK27" i="40"/>
  <c r="BY99" i="25"/>
  <c r="CA38" i="39"/>
  <c r="AX35" i="26"/>
  <c r="BY63" i="38"/>
  <c r="BC72" i="26"/>
  <c r="Q45" i="25"/>
  <c r="G46"/>
  <c r="AJ55" i="36"/>
  <c r="AZ22" i="40"/>
  <c r="CL93" i="39"/>
  <c r="AH31" i="37"/>
  <c r="AK61" i="41"/>
  <c r="BZ82" i="38"/>
  <c r="CN99" i="37"/>
  <c r="AX31" i="1"/>
  <c r="AX32" s="1"/>
  <c r="AN51" i="25"/>
  <c r="BU38" i="37"/>
  <c r="Y31" i="40"/>
  <c r="CF22"/>
  <c r="CD35" i="26"/>
  <c r="CJ72" i="41"/>
  <c r="BX93" i="40"/>
  <c r="CS28" i="36"/>
  <c r="CS32" s="1"/>
  <c r="AY55" i="38"/>
  <c r="AY84" s="1"/>
  <c r="BE93" i="39"/>
  <c r="BE106" s="1"/>
  <c r="CG35" i="37"/>
  <c r="S82" i="26"/>
  <c r="O93" i="39"/>
  <c r="O106" s="1"/>
  <c r="CI11" i="1"/>
  <c r="AZ51" i="37"/>
  <c r="M82" i="39"/>
  <c r="CH104" i="36"/>
  <c r="BE93" i="40"/>
  <c r="BE106" s="1"/>
  <c r="AW38" i="39"/>
  <c r="CC28" i="38"/>
  <c r="BQ72"/>
  <c r="CW38" i="1"/>
  <c r="H46" i="37"/>
  <c r="BS35" i="40"/>
  <c r="BI68"/>
  <c r="CG31" i="41"/>
  <c r="O38"/>
  <c r="CB51" i="26"/>
  <c r="U31" i="37"/>
  <c r="DF38" i="39"/>
  <c r="CC76" i="25"/>
  <c r="CD46" i="37"/>
  <c r="BW104" i="26"/>
  <c r="CD31" i="37"/>
  <c r="CE35" i="26"/>
  <c r="BZ35" i="36"/>
  <c r="DF22" i="26"/>
  <c r="CR19"/>
  <c r="CI35" i="37"/>
  <c r="AX38" i="39"/>
  <c r="BW55" i="40"/>
  <c r="DF68" i="1"/>
  <c r="AQ99" i="26"/>
  <c r="CK31" i="39"/>
  <c r="BY82" i="41"/>
  <c r="BY72" i="36"/>
  <c r="CC38" i="41"/>
  <c r="AJ30" i="60"/>
  <c r="O51" i="36"/>
  <c r="AN28" i="37"/>
  <c r="BQ104" i="38"/>
  <c r="CR38" i="41"/>
  <c r="AT82" i="40"/>
  <c r="G221" i="46"/>
  <c r="I82" i="38"/>
  <c r="H55" i="36"/>
  <c r="AE68" i="1"/>
  <c r="BF24" i="37"/>
  <c r="BV55" i="40"/>
  <c r="BR93"/>
  <c r="BR106" s="1"/>
  <c r="CE14" i="38"/>
  <c r="BZ76" i="1"/>
  <c r="BD76" i="37"/>
  <c r="AF82" i="26"/>
  <c r="AI38" i="36"/>
  <c r="CT19" i="40"/>
  <c r="CW82" i="38"/>
  <c r="DC76" i="41"/>
  <c r="Q89" i="40"/>
  <c r="G93"/>
  <c r="DE22" i="26"/>
  <c r="CF38" i="37"/>
  <c r="DE93" i="40"/>
  <c r="CK35" i="25"/>
  <c r="CR19" i="37"/>
  <c r="AK26" i="40"/>
  <c r="S28"/>
  <c r="AK28" s="1"/>
  <c r="AN51" i="41"/>
  <c r="T46" i="39"/>
  <c r="CT93" i="40"/>
  <c r="CT106" s="1"/>
  <c r="DA14" i="39"/>
  <c r="DA15" s="1"/>
  <c r="AA46" i="41"/>
  <c r="AK59" i="25"/>
  <c r="DD31" i="36"/>
  <c r="DD32" s="1"/>
  <c r="BW99" i="1"/>
  <c r="AP11" i="26"/>
  <c r="AF93" i="1"/>
  <c r="AI76"/>
  <c r="DH103" i="39"/>
  <c r="BO72" i="1"/>
  <c r="DH71"/>
  <c r="X22" i="26"/>
  <c r="BB32" i="38"/>
  <c r="V68" i="40"/>
  <c r="CC31" i="26"/>
  <c r="CI99" i="41"/>
  <c r="AY28" i="25"/>
  <c r="AY32" s="1"/>
  <c r="BP104" i="40"/>
  <c r="W35" i="38"/>
  <c r="X55" i="39"/>
  <c r="AK34" i="40"/>
  <c r="BL34" s="1"/>
  <c r="S35"/>
  <c r="O35" i="39"/>
  <c r="CR72" i="26"/>
  <c r="CG63" i="39"/>
  <c r="BI28" i="41"/>
  <c r="Y76" i="26"/>
  <c r="O68" i="39"/>
  <c r="BY51" i="25"/>
  <c r="CZ19" i="41"/>
  <c r="X14" i="26"/>
  <c r="X15" s="1"/>
  <c r="J14" i="36"/>
  <c r="J15" s="1"/>
  <c r="BR72" i="41"/>
  <c r="DH72" s="1"/>
  <c r="AO99" i="38"/>
  <c r="X46" i="39"/>
  <c r="CR55" i="25"/>
  <c r="CR84" s="1"/>
  <c r="AR63" i="38"/>
  <c r="BX63" i="40"/>
  <c r="AF46" i="38"/>
  <c r="K51"/>
  <c r="K84" s="1"/>
  <c r="AO99" i="1"/>
  <c r="BY19"/>
  <c r="DB93" i="41"/>
  <c r="AN63" i="39"/>
  <c r="AN84" s="1"/>
  <c r="I82" i="41"/>
  <c r="AX22"/>
  <c r="AY31" i="25"/>
  <c r="AJ11" i="36"/>
  <c r="AJ15" s="1"/>
  <c r="BJ50" i="40"/>
  <c r="AA68" i="38"/>
  <c r="CY51" i="1"/>
  <c r="M63" i="41"/>
  <c r="AH93" i="36"/>
  <c r="AA19" i="40"/>
  <c r="CW35"/>
  <c r="AD46" i="25"/>
  <c r="CE11" i="40"/>
  <c r="H31"/>
  <c r="BX76" i="1"/>
  <c r="BJ50" i="39"/>
  <c r="CQ63"/>
  <c r="AJ31" i="38"/>
  <c r="AP82" i="25"/>
  <c r="DD38" i="41"/>
  <c r="P46" i="39"/>
  <c r="AW82" i="37"/>
  <c r="BW55" i="26"/>
  <c r="Y22" i="1"/>
  <c r="BC82" i="39"/>
  <c r="J82"/>
  <c r="DA99" i="25"/>
  <c r="CR51" i="39"/>
  <c r="CR84" s="1"/>
  <c r="BV99" i="25"/>
  <c r="BV106" s="1"/>
  <c r="AT68" i="38"/>
  <c r="AS38" i="37"/>
  <c r="BD19" i="40"/>
  <c r="AJ93"/>
  <c r="K46" i="1"/>
  <c r="AE68" i="38"/>
  <c r="U93" i="1"/>
  <c r="W35" i="39"/>
  <c r="U55" i="37"/>
  <c r="CP14" i="25"/>
  <c r="CP15" s="1"/>
  <c r="CP40" s="1"/>
  <c r="AU31" i="39"/>
  <c r="BU31"/>
  <c r="DB22" i="37"/>
  <c r="CM55" i="1"/>
  <c r="CM84" s="1"/>
  <c r="CS11" i="38"/>
  <c r="CQ93" i="26"/>
  <c r="V31" i="25"/>
  <c r="AT19" i="36"/>
  <c r="BY51" i="26"/>
  <c r="BE14" i="41"/>
  <c r="CV82" i="26"/>
  <c r="CL31" i="36"/>
  <c r="CV51" i="37"/>
  <c r="AU19" i="26"/>
  <c r="AY82" i="36"/>
  <c r="AX76" i="40"/>
  <c r="DC55"/>
  <c r="W76"/>
  <c r="AV82" i="1"/>
  <c r="AP46" i="38"/>
  <c r="DF51" i="39"/>
  <c r="DF84" s="1"/>
  <c r="CC82"/>
  <c r="CA38" i="38"/>
  <c r="CE55" i="36"/>
  <c r="AN46" i="26"/>
  <c r="BZ72" i="41"/>
  <c r="CI19"/>
  <c r="CI31" i="26"/>
  <c r="CI32" s="1"/>
  <c r="J82" i="1"/>
  <c r="AN38" i="25"/>
  <c r="DH103" i="36"/>
  <c r="AE14" i="40"/>
  <c r="AE15" s="1"/>
  <c r="AE40" s="1"/>
  <c r="Z55" i="37"/>
  <c r="Z84" s="1"/>
  <c r="BY99" i="41"/>
  <c r="DC19" i="37"/>
  <c r="DH30" i="38"/>
  <c r="CJ68" i="37"/>
  <c r="DF82" i="39"/>
  <c r="CV22" i="25"/>
  <c r="AE63" i="26"/>
  <c r="AQ51" i="25"/>
  <c r="U35" i="38"/>
  <c r="AX35" i="37"/>
  <c r="BY14" i="1"/>
  <c r="BY15" s="1"/>
  <c r="BY40" s="1"/>
  <c r="M38" i="40"/>
  <c r="BZ72" i="39"/>
  <c r="W28"/>
  <c r="BT68" i="37"/>
  <c r="BT84" s="1"/>
  <c r="AC14" i="25"/>
  <c r="DA104" i="40"/>
  <c r="M93"/>
  <c r="S72"/>
  <c r="AS63" i="1"/>
  <c r="AS51"/>
  <c r="AM55" i="25"/>
  <c r="BF53"/>
  <c r="AG104" i="40"/>
  <c r="AW51" i="26"/>
  <c r="BT31"/>
  <c r="BT32" s="1"/>
  <c r="CJ14" i="37"/>
  <c r="CJ15" s="1"/>
  <c r="CY11" i="38"/>
  <c r="CP99" i="40"/>
  <c r="CX35" i="39"/>
  <c r="CL28" i="40"/>
  <c r="CL32" s="1"/>
  <c r="CL40" s="1"/>
  <c r="AA38" i="41"/>
  <c r="P68" i="36"/>
  <c r="BJ66" i="40"/>
  <c r="AN11" i="37"/>
  <c r="AW35" i="41"/>
  <c r="CK14" i="1"/>
  <c r="CK15" s="1"/>
  <c r="AG31" i="25"/>
  <c r="AG32" s="1"/>
  <c r="AG40" s="1"/>
  <c r="W76" i="1"/>
  <c r="BJ66" i="25"/>
  <c r="CY11" i="41"/>
  <c r="CL76" i="38"/>
  <c r="CN14"/>
  <c r="BX38"/>
  <c r="AH104" i="37"/>
  <c r="BB99" i="26"/>
  <c r="AA63" i="41"/>
  <c r="AF76" i="36"/>
  <c r="AZ93" i="25"/>
  <c r="AZ106" s="1"/>
  <c r="AJ51"/>
  <c r="AO93" i="37"/>
  <c r="BA99" i="41"/>
  <c r="AC46" i="25"/>
  <c r="BP99" i="1"/>
  <c r="CR72" i="41"/>
  <c r="AO99"/>
  <c r="AG104" i="25"/>
  <c r="H35" i="40"/>
  <c r="AM68" i="39"/>
  <c r="CZ93"/>
  <c r="AI76" i="41"/>
  <c r="CN31" i="1"/>
  <c r="BW31" i="25"/>
  <c r="BW32" s="1"/>
  <c r="CP19" i="37"/>
  <c r="CF14"/>
  <c r="CJ76" i="25"/>
  <c r="CX72"/>
  <c r="BW93" i="40"/>
  <c r="AK67" i="39"/>
  <c r="AU35" i="40"/>
  <c r="DC11"/>
  <c r="DC15" s="1"/>
  <c r="L11" i="25"/>
  <c r="L15" s="1"/>
  <c r="AT14" i="36"/>
  <c r="AU22" i="37"/>
  <c r="CU63" i="38"/>
  <c r="AQ55" i="1"/>
  <c r="BF18" i="41"/>
  <c r="AM104" i="40"/>
  <c r="BF102"/>
  <c r="AY72"/>
  <c r="BV38" i="39"/>
  <c r="CP72" i="36"/>
  <c r="P93" i="26"/>
  <c r="P106" s="1"/>
  <c r="BU46" i="1"/>
  <c r="CN35" i="37"/>
  <c r="DE11" i="38"/>
  <c r="AN93" i="37"/>
  <c r="BS76"/>
  <c r="AT51" i="26"/>
  <c r="DE38" i="39"/>
  <c r="U72" i="38"/>
  <c r="L35" i="26"/>
  <c r="AU55" i="39"/>
  <c r="CM22" i="41"/>
  <c r="AJ31" i="1"/>
  <c r="AO68" i="25"/>
  <c r="H35" i="41"/>
  <c r="CY28" i="39"/>
  <c r="CY32" s="1"/>
  <c r="CF46" i="41"/>
  <c r="AS46" i="36"/>
  <c r="AT55" i="25"/>
  <c r="CP72" i="40"/>
  <c r="AB51"/>
  <c r="T46" i="41"/>
  <c r="BQ99" i="40"/>
  <c r="BA11" i="39"/>
  <c r="AS68" i="40"/>
  <c r="CI14" i="41"/>
  <c r="CI15" s="1"/>
  <c r="DA31" i="40"/>
  <c r="CD93" i="38"/>
  <c r="CD106" s="1"/>
  <c r="DF35" i="1"/>
  <c r="Z55" i="36"/>
  <c r="BD72" i="26"/>
  <c r="I63" i="41"/>
  <c r="DC93" i="26"/>
  <c r="AZ14" i="1"/>
  <c r="BE93"/>
  <c r="BE106" s="1"/>
  <c r="BJ29" i="25"/>
  <c r="BH31"/>
  <c r="BJ31" s="1"/>
  <c r="AN14" i="36"/>
  <c r="Q49" i="39"/>
  <c r="BY104" i="36"/>
  <c r="AM14" i="37"/>
  <c r="DH29" i="40"/>
  <c r="BO31"/>
  <c r="M99" i="25"/>
  <c r="AQ76" i="39"/>
  <c r="AH46" i="41"/>
  <c r="N51" i="26"/>
  <c r="P82" i="41"/>
  <c r="S76" i="25"/>
  <c r="CX38" i="37"/>
  <c r="AZ55"/>
  <c r="L104" i="39"/>
  <c r="BS28" i="36"/>
  <c r="BE104" i="39"/>
  <c r="Q62" i="36"/>
  <c r="AG14" i="41"/>
  <c r="AG15" s="1"/>
  <c r="AR14"/>
  <c r="AR15" s="1"/>
  <c r="AJ63"/>
  <c r="DE68" i="37"/>
  <c r="AI104" i="36"/>
  <c r="DF63" i="37"/>
  <c r="CT31" i="25"/>
  <c r="CT32" s="1"/>
  <c r="AE72" i="38"/>
  <c r="AU68" i="36"/>
  <c r="Q30" i="25"/>
  <c r="BL30" s="1"/>
  <c r="CN35"/>
  <c r="CW22" i="40"/>
  <c r="H51"/>
  <c r="CI46" i="38"/>
  <c r="AY31" i="36"/>
  <c r="AY32" s="1"/>
  <c r="AA11" i="37"/>
  <c r="AF82" i="39"/>
  <c r="AA31" i="37"/>
  <c r="CQ104" i="1"/>
  <c r="G82" i="26"/>
  <c r="Q79"/>
  <c r="AI82" i="38"/>
  <c r="Z38" i="26"/>
  <c r="CS63" i="39"/>
  <c r="AQ99" i="40"/>
  <c r="J72" i="38"/>
  <c r="AP93" i="41"/>
  <c r="DC104"/>
  <c r="AH51" i="36"/>
  <c r="AH84" s="1"/>
  <c r="CM46" i="25"/>
  <c r="X19"/>
  <c r="CW31" i="1"/>
  <c r="BE38" i="41"/>
  <c r="BF71" i="25"/>
  <c r="AM72"/>
  <c r="BI99" i="38"/>
  <c r="DC68" i="41"/>
  <c r="Q25" i="36"/>
  <c r="CK104" i="25"/>
  <c r="CI51" i="41"/>
  <c r="BC31" i="40"/>
  <c r="BC32" s="1"/>
  <c r="AE46" i="26"/>
  <c r="CQ38" i="25"/>
  <c r="AN63" i="26"/>
  <c r="AR82" i="37"/>
  <c r="AJ104"/>
  <c r="AW11" i="39"/>
  <c r="AW15" s="1"/>
  <c r="BO35" i="37"/>
  <c r="DH34"/>
  <c r="BI28" i="39"/>
  <c r="BI32" s="1"/>
  <c r="N35" i="36"/>
  <c r="BQ99" i="37"/>
  <c r="BT93" i="41"/>
  <c r="AY63" i="26"/>
  <c r="AJ76"/>
  <c r="CM68" i="25"/>
  <c r="AH38" i="26"/>
  <c r="AG31" i="38"/>
  <c r="CU51" i="1"/>
  <c r="CV51" i="25"/>
  <c r="K22" i="26"/>
  <c r="AO11" i="37"/>
  <c r="AO15" s="1"/>
  <c r="DH71" i="36"/>
  <c r="BO72"/>
  <c r="AI76"/>
  <c r="DF46" i="40"/>
  <c r="CV51" i="41"/>
  <c r="CO55" i="40"/>
  <c r="CQ72" i="37"/>
  <c r="BZ51" i="41"/>
  <c r="BZ84" s="1"/>
  <c r="H82" i="39"/>
  <c r="AH35" i="36"/>
  <c r="X32" i="39"/>
  <c r="BW63"/>
  <c r="AW93" i="38"/>
  <c r="CH93" i="25"/>
  <c r="S93" i="1"/>
  <c r="S106" s="1"/>
  <c r="AK89"/>
  <c r="BE28" i="37"/>
  <c r="BE32" s="1"/>
  <c r="AQ63" i="36"/>
  <c r="CI72" i="26"/>
  <c r="CK14" i="37"/>
  <c r="DE99" i="1"/>
  <c r="BV51" i="37"/>
  <c r="DA82" i="1"/>
  <c r="M28" i="38"/>
  <c r="DA76" i="39"/>
  <c r="AI35" i="38"/>
  <c r="DH65" i="1"/>
  <c r="BO68"/>
  <c r="DH68" s="1"/>
  <c r="CV11" i="37"/>
  <c r="U93" i="39"/>
  <c r="AW38" i="41"/>
  <c r="AK62" i="26"/>
  <c r="BZ14" i="36"/>
  <c r="AX82"/>
  <c r="W28" i="40"/>
  <c r="W32" s="1"/>
  <c r="AT82" i="26"/>
  <c r="BR99" i="38"/>
  <c r="CU51" i="39"/>
  <c r="AT93" i="40"/>
  <c r="CJ38" i="37"/>
  <c r="CO14" i="36"/>
  <c r="CO11"/>
  <c r="CO15" s="1"/>
  <c r="CD63" i="40"/>
  <c r="CA19" i="26"/>
  <c r="AW11"/>
  <c r="AW15" s="1"/>
  <c r="AO63" i="38"/>
  <c r="AU63" i="40"/>
  <c r="CF46"/>
  <c r="DE11" i="41"/>
  <c r="CK22" i="39"/>
  <c r="CD11" i="38"/>
  <c r="CC35" i="36"/>
  <c r="AU55" i="1"/>
  <c r="BZ72" i="25"/>
  <c r="DD72" i="41"/>
  <c r="DH30" i="39"/>
  <c r="BA11" i="25"/>
  <c r="DB31" i="26"/>
  <c r="AU31" i="37"/>
  <c r="BA93" i="36"/>
  <c r="BA106" s="1"/>
  <c r="BO104" i="1"/>
  <c r="DH102"/>
  <c r="BT99" i="41"/>
  <c r="BA82" i="39"/>
  <c r="BD68" i="40"/>
  <c r="BD82" i="41"/>
  <c r="BW38" i="1"/>
  <c r="CK76" i="38"/>
  <c r="CJ68" i="40"/>
  <c r="CR38" i="26"/>
  <c r="DC104" i="36"/>
  <c r="CL51" i="1"/>
  <c r="BC19" i="25"/>
  <c r="AB28" i="41"/>
  <c r="AB32" s="1"/>
  <c r="CI93" i="1"/>
  <c r="M55" i="40"/>
  <c r="I99" i="25"/>
  <c r="AD22" i="40"/>
  <c r="H22" i="38"/>
  <c r="CK19"/>
  <c r="M46" i="26"/>
  <c r="CU11" i="38"/>
  <c r="M55" i="39"/>
  <c r="O31" i="25"/>
  <c r="AD19" i="26"/>
  <c r="CJ93" i="1"/>
  <c r="AK22" i="60"/>
  <c r="CI28" i="36"/>
  <c r="CB55" i="39"/>
  <c r="CB31" i="25"/>
  <c r="AN99"/>
  <c r="AN106" s="1"/>
  <c r="DB104" i="40"/>
  <c r="CW51" i="36"/>
  <c r="DD35" i="40"/>
  <c r="CK93" i="26"/>
  <c r="CK106" s="1"/>
  <c r="CU72" i="1"/>
  <c r="AO76" i="36"/>
  <c r="AI31" i="38"/>
  <c r="J72" i="41"/>
  <c r="CS35" i="1"/>
  <c r="O63" i="25"/>
  <c r="AH22" i="36"/>
  <c r="AH40" s="1"/>
  <c r="CF76" i="25"/>
  <c r="CA72" i="26"/>
  <c r="BW55" i="41"/>
  <c r="BZ63" i="25"/>
  <c r="CM14"/>
  <c r="AW104" i="40"/>
  <c r="AR35" i="1"/>
  <c r="AU76" i="40"/>
  <c r="BQ31" i="1"/>
  <c r="AP93" i="36"/>
  <c r="K35"/>
  <c r="CZ76" i="37"/>
  <c r="AJ11" i="41"/>
  <c r="CD38" i="36"/>
  <c r="AD93" i="40"/>
  <c r="BJ60" i="41"/>
  <c r="U28" i="25"/>
  <c r="DH71" i="26"/>
  <c r="BO72"/>
  <c r="CG51" i="25"/>
  <c r="CG84" s="1"/>
  <c r="AO19" i="39"/>
  <c r="CY35" i="37"/>
  <c r="CI76" i="38"/>
  <c r="CW63" i="26"/>
  <c r="CW84" s="1"/>
  <c r="AN93"/>
  <c r="DF72" i="37"/>
  <c r="BI22" i="25"/>
  <c r="P11" i="1"/>
  <c r="BO104" i="41"/>
  <c r="AT68" i="26"/>
  <c r="CX28" i="36"/>
  <c r="AR72" i="37"/>
  <c r="BI63" i="1"/>
  <c r="BJ63" s="1"/>
  <c r="CK55" i="37"/>
  <c r="CY28" i="38"/>
  <c r="N63" i="36"/>
  <c r="DH65" i="26"/>
  <c r="BO68"/>
  <c r="X72" i="38"/>
  <c r="AC99" i="26"/>
  <c r="Q79" i="37"/>
  <c r="G82"/>
  <c r="AN93" i="41"/>
  <c r="BZ35" i="25"/>
  <c r="DF51" i="40"/>
  <c r="AO63" i="1"/>
  <c r="CJ51"/>
  <c r="CA63" i="38"/>
  <c r="BW72" i="41"/>
  <c r="CX104"/>
  <c r="CJ11" i="26"/>
  <c r="CC38" i="36"/>
  <c r="CL82" i="25"/>
  <c r="DC28" i="36"/>
  <c r="CO76" i="26"/>
  <c r="BX28" i="36"/>
  <c r="BX32" s="1"/>
  <c r="BX55" i="40"/>
  <c r="O31" i="39"/>
  <c r="AF37" i="60"/>
  <c r="DC38" i="1"/>
  <c r="Y31" i="37"/>
  <c r="AU46" i="1"/>
  <c r="AZ104" i="25"/>
  <c r="DE22" i="41"/>
  <c r="X35" i="36"/>
  <c r="AF72" i="25"/>
  <c r="L14" i="37"/>
  <c r="CZ104"/>
  <c r="BC31" i="41"/>
  <c r="CT82" i="26"/>
  <c r="W68" i="25"/>
  <c r="S76" i="39"/>
  <c r="AY104" i="41"/>
  <c r="CG93" i="26"/>
  <c r="K14" i="1"/>
  <c r="BB38" i="39"/>
  <c r="CR55" i="38"/>
  <c r="BH28" i="36"/>
  <c r="BJ26"/>
  <c r="AB93" i="41"/>
  <c r="AB106" s="1"/>
  <c r="G99"/>
  <c r="G106" s="1"/>
  <c r="Q96"/>
  <c r="Q27" i="26"/>
  <c r="DC31" i="40"/>
  <c r="DF46" i="26"/>
  <c r="AO68" i="41"/>
  <c r="CZ82" i="38"/>
  <c r="AN68" i="37"/>
  <c r="BS76" i="40"/>
  <c r="CP46" i="1"/>
  <c r="BF61" i="26"/>
  <c r="CU63" i="39"/>
  <c r="CR104" i="1"/>
  <c r="BR99" i="37"/>
  <c r="BA31" i="1"/>
  <c r="BF30" i="41"/>
  <c r="BR72" i="25"/>
  <c r="AZ38" i="39"/>
  <c r="Y38" i="25"/>
  <c r="AE72" i="41"/>
  <c r="AD93" i="38"/>
  <c r="CP35"/>
  <c r="AU93" i="26"/>
  <c r="BT46" i="39"/>
  <c r="I76" i="1"/>
  <c r="AD11" i="41"/>
  <c r="U31" i="26"/>
  <c r="CK104" i="41"/>
  <c r="Z35" i="37"/>
  <c r="L22" i="36"/>
  <c r="DH58" i="1"/>
  <c r="BT14" i="39"/>
  <c r="BJ24" i="40"/>
  <c r="AT31" i="1"/>
  <c r="AJ76" i="39"/>
  <c r="BD72" i="41"/>
  <c r="AV104" i="40"/>
  <c r="CG19" i="25"/>
  <c r="AK30" i="60"/>
  <c r="BA38" i="26"/>
  <c r="CX82" i="25"/>
  <c r="BR93"/>
  <c r="BR106" s="1"/>
  <c r="AT31" i="41"/>
  <c r="AT32" s="1"/>
  <c r="DH66" i="25"/>
  <c r="CH68" i="41"/>
  <c r="BA51" i="38"/>
  <c r="BC31" i="37"/>
  <c r="BC32" s="1"/>
  <c r="BR72"/>
  <c r="J82" i="25"/>
  <c r="DA11" i="37"/>
  <c r="BZ51" i="26"/>
  <c r="BA35" i="25"/>
  <c r="AH68" i="1"/>
  <c r="BZ11" i="38"/>
  <c r="CG31" i="39"/>
  <c r="CO22" i="38"/>
  <c r="BU82" i="37"/>
  <c r="BT76" i="26"/>
  <c r="AQ51" i="40"/>
  <c r="AQ84" s="1"/>
  <c r="CN28" i="25"/>
  <c r="M72" i="40"/>
  <c r="BY51" i="38"/>
  <c r="CL19" i="36"/>
  <c r="CD19" i="37"/>
  <c r="J38" i="38"/>
  <c r="AR19" i="25"/>
  <c r="AF38" i="41"/>
  <c r="BJ59" i="36"/>
  <c r="AR93" i="37"/>
  <c r="Q92" i="25"/>
  <c r="I11" i="26"/>
  <c r="CO63" i="41"/>
  <c r="CT99" i="25"/>
  <c r="BY35" i="39"/>
  <c r="AF22" i="41"/>
  <c r="BJ27" i="26"/>
  <c r="CP72" i="39"/>
  <c r="O99" i="37"/>
  <c r="BU76" i="25"/>
  <c r="AN76" i="41"/>
  <c r="CX82" i="1"/>
  <c r="BJ49" i="38"/>
  <c r="CI22" i="39"/>
  <c r="G72" i="25"/>
  <c r="Q71"/>
  <c r="BJ25"/>
  <c r="CB68" i="36"/>
  <c r="AM28" i="40"/>
  <c r="BF26"/>
  <c r="CN51"/>
  <c r="CO63" i="26"/>
  <c r="CO84" s="1"/>
  <c r="DB22" i="36"/>
  <c r="BY38" i="38"/>
  <c r="BW99" i="39"/>
  <c r="BE31" i="26"/>
  <c r="BE32" s="1"/>
  <c r="BB28" i="25"/>
  <c r="BB32" s="1"/>
  <c r="BB40" s="1"/>
  <c r="BB22" i="41"/>
  <c r="BQ68" i="25"/>
  <c r="CJ38" i="36"/>
  <c r="BR51" i="25"/>
  <c r="BR84" s="1"/>
  <c r="CL63" i="37"/>
  <c r="CJ46" i="25"/>
  <c r="BZ55" i="39"/>
  <c r="CV76" i="26"/>
  <c r="CV68" i="38"/>
  <c r="AB104" i="36"/>
  <c r="AT19" i="25"/>
  <c r="P11"/>
  <c r="P15" s="1"/>
  <c r="CG104" i="38"/>
  <c r="BB51" i="26"/>
  <c r="AC51" i="38"/>
  <c r="AC84" s="1"/>
  <c r="DE63" i="26"/>
  <c r="DE84" s="1"/>
  <c r="CM55" i="39"/>
  <c r="AM14" i="38"/>
  <c r="CC99" i="40"/>
  <c r="AY82" i="37"/>
  <c r="AW28" i="25"/>
  <c r="AW32" s="1"/>
  <c r="AT35" i="37"/>
  <c r="Z51" i="39"/>
  <c r="Z84" s="1"/>
  <c r="AE28" i="26"/>
  <c r="AE32" s="1"/>
  <c r="AO28" i="38"/>
  <c r="AO32" s="1"/>
  <c r="Q25" i="39"/>
  <c r="AT68"/>
  <c r="AT84" s="1"/>
  <c r="AI31" i="40"/>
  <c r="AI32" s="1"/>
  <c r="DF31" i="39"/>
  <c r="CJ63" i="1"/>
  <c r="BJ60" i="37"/>
  <c r="AD19" i="1"/>
  <c r="CS82" i="41"/>
  <c r="CR19" i="39"/>
  <c r="CF93" i="38"/>
  <c r="CF106" s="1"/>
  <c r="BY11" i="36"/>
  <c r="L14" i="25"/>
  <c r="CI14"/>
  <c r="BE14" i="38"/>
  <c r="BE15" s="1"/>
  <c r="Z35" i="25"/>
  <c r="CC22" i="39"/>
  <c r="BJ98" i="37"/>
  <c r="AQ38" i="36"/>
  <c r="DA82" i="26"/>
  <c r="BX51" i="1"/>
  <c r="AY14" i="37"/>
  <c r="M35" i="1"/>
  <c r="BS68"/>
  <c r="S63" i="26"/>
  <c r="AG35" i="1"/>
  <c r="Y51"/>
  <c r="DH48" i="25"/>
  <c r="BW14" i="1"/>
  <c r="CW76"/>
  <c r="AM63" i="40"/>
  <c r="AM84" s="1"/>
  <c r="AU82" i="26"/>
  <c r="AH72"/>
  <c r="CK82" i="38"/>
  <c r="CJ19" i="39"/>
  <c r="CQ72"/>
  <c r="AD11" i="38"/>
  <c r="AQ82" i="39"/>
  <c r="AD82" i="41"/>
  <c r="BJ65"/>
  <c r="BH68"/>
  <c r="BJ68" s="1"/>
  <c r="AG14" i="1"/>
  <c r="AY68" i="37"/>
  <c r="AM19" i="41"/>
  <c r="BF19" s="1"/>
  <c r="BF17"/>
  <c r="AO93" i="40"/>
  <c r="AO106" s="1"/>
  <c r="BP28" i="37"/>
  <c r="X93" i="36"/>
  <c r="AH104" i="39"/>
  <c r="AA11"/>
  <c r="AD68" i="40"/>
  <c r="L72" i="41"/>
  <c r="AT46"/>
  <c r="BW19" i="38"/>
  <c r="CO35" i="37"/>
  <c r="AS46" i="1"/>
  <c r="AA51"/>
  <c r="CL72" i="26"/>
  <c r="BX51"/>
  <c r="CB68" i="40"/>
  <c r="BQ35" i="37"/>
  <c r="CJ14" i="26"/>
  <c r="CJ15" s="1"/>
  <c r="O93" i="41"/>
  <c r="O106" s="1"/>
  <c r="X35" i="37"/>
  <c r="BW104" i="40"/>
  <c r="BC28" i="39"/>
  <c r="BC32" s="1"/>
  <c r="DF104" i="41"/>
  <c r="BR72" i="39"/>
  <c r="AV93" i="1"/>
  <c r="AU76" i="37"/>
  <c r="AU84" s="1"/>
  <c r="AJ35" i="25"/>
  <c r="AA31" i="41"/>
  <c r="AV93" i="39"/>
  <c r="AY11" i="41"/>
  <c r="AY15" s="1"/>
  <c r="DE46" i="38"/>
  <c r="CW104" i="37"/>
  <c r="CV51" i="26"/>
  <c r="CP68" i="41"/>
  <c r="M46" i="40"/>
  <c r="CU99" i="39"/>
  <c r="CQ104" i="36"/>
  <c r="AW46" i="38"/>
  <c r="AW84" s="1"/>
  <c r="AB38" i="25"/>
  <c r="AV22" i="40"/>
  <c r="Y28"/>
  <c r="CF99" i="36"/>
  <c r="AK61" i="39"/>
  <c r="CR38" i="25"/>
  <c r="AR51" i="36"/>
  <c r="BQ68" i="38"/>
  <c r="BR28" i="40"/>
  <c r="AW22" i="37"/>
  <c r="H14" i="1"/>
  <c r="H15" s="1"/>
  <c r="H63" i="41"/>
  <c r="H14" i="39"/>
  <c r="CY68" i="26"/>
  <c r="L28" i="38"/>
  <c r="DH48" i="36"/>
  <c r="O82" i="39"/>
  <c r="AQ11"/>
  <c r="AR38" i="26"/>
  <c r="BI51" i="38"/>
  <c r="CW63" i="1"/>
  <c r="U21" i="60"/>
  <c r="N63" i="25"/>
  <c r="BV55" i="41"/>
  <c r="BJ27" i="25"/>
  <c r="BU35" i="40"/>
  <c r="DC104" i="25"/>
  <c r="AH63" i="37"/>
  <c r="BV11" i="36"/>
  <c r="AK65" i="41"/>
  <c r="BC35" i="26"/>
  <c r="CC93" i="1"/>
  <c r="CC106" s="1"/>
  <c r="AJ63" i="38"/>
  <c r="AS82" i="40"/>
  <c r="M82" i="26"/>
  <c r="AI19" i="40"/>
  <c r="BY46" i="41"/>
  <c r="AS31"/>
  <c r="CP35"/>
  <c r="CP28" i="25"/>
  <c r="CP32" s="1"/>
  <c r="CF68" i="36"/>
  <c r="CB51" i="37"/>
  <c r="CM68" i="1"/>
  <c r="O104" i="36"/>
  <c r="AD38" i="41"/>
  <c r="CK104" i="40"/>
  <c r="CA31"/>
  <c r="AT99" i="37"/>
  <c r="AI28" i="36"/>
  <c r="AI32" s="1"/>
  <c r="BI14" i="26"/>
  <c r="V63" i="40"/>
  <c r="Y51" i="41"/>
  <c r="DF38"/>
  <c r="CA68" i="37"/>
  <c r="CZ19" i="39"/>
  <c r="CZ40" s="1"/>
  <c r="DB55" i="26"/>
  <c r="AE68"/>
  <c r="DF14" i="38"/>
  <c r="CY35" i="1"/>
  <c r="AK10" i="41"/>
  <c r="BL10" s="1"/>
  <c r="BI46" i="36"/>
  <c r="BC82" i="41"/>
  <c r="DE93" i="36"/>
  <c r="DE106" s="1"/>
  <c r="AN28" i="39"/>
  <c r="AG31" i="36"/>
  <c r="S93" i="26"/>
  <c r="S106" s="1"/>
  <c r="AK89"/>
  <c r="BL89" s="1"/>
  <c r="AU14" i="1"/>
  <c r="AU15" s="1"/>
  <c r="X93" i="26"/>
  <c r="CP93"/>
  <c r="CW68" i="36"/>
  <c r="CW84" s="1"/>
  <c r="CJ46" i="26"/>
  <c r="CP38" i="38"/>
  <c r="CD38" i="37"/>
  <c r="Q96" i="40"/>
  <c r="G99"/>
  <c r="Q99" s="1"/>
  <c r="BI11" i="41"/>
  <c r="BD14" i="37"/>
  <c r="CP38" i="25"/>
  <c r="CT46" i="26"/>
  <c r="AN99" i="36"/>
  <c r="AS35"/>
  <c r="BQ31" i="25"/>
  <c r="BB104" i="40"/>
  <c r="BT19" i="25"/>
  <c r="CY72" i="38"/>
  <c r="AG82" i="37"/>
  <c r="CE51" i="36"/>
  <c r="CD14" i="1"/>
  <c r="CE46" i="36"/>
  <c r="N93" i="1"/>
  <c r="N106" s="1"/>
  <c r="CY104" i="26"/>
  <c r="AQ31" i="1"/>
  <c r="CE63" i="36"/>
  <c r="BU46" i="41"/>
  <c r="AY72" i="26"/>
  <c r="CH76" i="25"/>
  <c r="AT22" i="38"/>
  <c r="CE72" i="1"/>
  <c r="BS63" i="25"/>
  <c r="BU72"/>
  <c r="BF59" i="40"/>
  <c r="AF19" i="1"/>
  <c r="L76"/>
  <c r="AH68" i="25"/>
  <c r="AO51" i="36"/>
  <c r="V72" i="40"/>
  <c r="BB99" i="37"/>
  <c r="CO46" i="39"/>
  <c r="AZ46" i="26"/>
  <c r="BS31" i="39"/>
  <c r="CP72" i="25"/>
  <c r="CP84" s="1"/>
  <c r="AV19" i="26"/>
  <c r="K99" i="25"/>
  <c r="BF13" i="1"/>
  <c r="CK28" i="37"/>
  <c r="V19" i="41"/>
  <c r="CU11" i="1"/>
  <c r="AB93" i="38"/>
  <c r="AB106" s="1"/>
  <c r="M14" i="39"/>
  <c r="M15" s="1"/>
  <c r="BR22" i="1"/>
  <c r="AY99" i="38"/>
  <c r="BI19" i="40"/>
  <c r="BJ19" s="1"/>
  <c r="AQ55" i="25"/>
  <c r="BF92" i="39"/>
  <c r="BA19" i="36"/>
  <c r="BV28" i="1"/>
  <c r="BV32" s="1"/>
  <c r="BI38"/>
  <c r="I19" i="37"/>
  <c r="BB38" i="38"/>
  <c r="BF45" i="37"/>
  <c r="AM46"/>
  <c r="DF22" i="25"/>
  <c r="AV31" i="39"/>
  <c r="BP68" i="26"/>
  <c r="DH68" s="1"/>
  <c r="BT99" i="36"/>
  <c r="CX76" i="26"/>
  <c r="CJ72" i="25"/>
  <c r="CF35" i="39"/>
  <c r="CN82" i="40"/>
  <c r="BH63" i="41"/>
  <c r="BJ57"/>
  <c r="BF81" i="37"/>
  <c r="AQ63" i="38"/>
  <c r="CX72" i="36"/>
  <c r="AB99" i="37"/>
  <c r="AP72" i="38"/>
  <c r="J55" i="40"/>
  <c r="J84" s="1"/>
  <c r="BS46" i="1"/>
  <c r="CD19" i="39"/>
  <c r="CI82" i="37"/>
  <c r="CG104" i="41"/>
  <c r="AN76" i="40"/>
  <c r="CT76" i="36"/>
  <c r="CN63" i="41"/>
  <c r="BS35" i="38"/>
  <c r="CC76" i="37"/>
  <c r="AG82" i="41"/>
  <c r="DE93" i="26"/>
  <c r="DE106" s="1"/>
  <c r="CE28" i="1"/>
  <c r="CE32" s="1"/>
  <c r="G76" i="36"/>
  <c r="Q75"/>
  <c r="DA76" i="41"/>
  <c r="CC22" i="38"/>
  <c r="CB55" i="40"/>
  <c r="BQ104" i="25"/>
  <c r="CL31" i="37"/>
  <c r="H46" i="41"/>
  <c r="BV19" i="1"/>
  <c r="AP76" i="37"/>
  <c r="BY76" i="1"/>
  <c r="CX99" i="36"/>
  <c r="AE93" i="40"/>
  <c r="CI46" i="39"/>
  <c r="CA14" i="40"/>
  <c r="CA15" s="1"/>
  <c r="CL72" i="25"/>
  <c r="P31" i="40"/>
  <c r="AX76" i="39"/>
  <c r="CD32" i="26"/>
  <c r="BY99"/>
  <c r="BY106" s="1"/>
  <c r="DB68" i="40"/>
  <c r="Z11" i="26"/>
  <c r="K46" i="37"/>
  <c r="Z31" i="25"/>
  <c r="CD11"/>
  <c r="BU38" i="1"/>
  <c r="AS63" i="26"/>
  <c r="AB35" i="39"/>
  <c r="J99" i="40"/>
  <c r="AM31" i="38"/>
  <c r="BF29"/>
  <c r="BH11" i="40"/>
  <c r="BJ9"/>
  <c r="CW35" i="25"/>
  <c r="CS93"/>
  <c r="CS106" s="1"/>
  <c r="CG104"/>
  <c r="AP63" i="38"/>
  <c r="CG22" i="26"/>
  <c r="CF28" i="38"/>
  <c r="CN104" i="40"/>
  <c r="DC38" i="41"/>
  <c r="DH66" i="39"/>
  <c r="AH104" i="26"/>
  <c r="X28" i="38"/>
  <c r="BH104" i="26"/>
  <c r="T55" i="39"/>
  <c r="H38" i="38"/>
  <c r="CV93" i="25"/>
  <c r="CV106" s="1"/>
  <c r="AA72" i="37"/>
  <c r="DD68" i="39"/>
  <c r="I104" i="40"/>
  <c r="Q104" s="1"/>
  <c r="AD104" i="26"/>
  <c r="BT11" i="36"/>
  <c r="BS38" i="1"/>
  <c r="AZ46" i="37"/>
  <c r="CE93" i="38"/>
  <c r="CQ28" i="1"/>
  <c r="CQ32" s="1"/>
  <c r="J14" i="41"/>
  <c r="CQ51" i="1"/>
  <c r="CQ84" s="1"/>
  <c r="H31" i="41"/>
  <c r="AI35" i="40"/>
  <c r="AW82" i="38"/>
  <c r="BR19" i="37"/>
  <c r="BR40" s="1"/>
  <c r="AN38" i="40"/>
  <c r="BF38" s="1"/>
  <c r="AW46" i="37"/>
  <c r="CI46" i="40"/>
  <c r="V76" i="41"/>
  <c r="DE55" i="1"/>
  <c r="AI14" i="25"/>
  <c r="DF63" i="26"/>
  <c r="AN72" i="36"/>
  <c r="AI28" i="1"/>
  <c r="CN51"/>
  <c r="AU28" i="36"/>
  <c r="AU32" s="1"/>
  <c r="BX55"/>
  <c r="CT35" i="25"/>
  <c r="BU63" i="36"/>
  <c r="AY38" i="40"/>
  <c r="AM63" i="37"/>
  <c r="BU22" i="26"/>
  <c r="G46" i="38"/>
  <c r="Q45"/>
  <c r="AG38" i="36"/>
  <c r="H99" i="38"/>
  <c r="CS19" i="36"/>
  <c r="AS68" i="26"/>
  <c r="AJ28" i="37"/>
  <c r="AU82" i="1"/>
  <c r="BJ24" i="41"/>
  <c r="BZ63" i="38"/>
  <c r="H35" i="25"/>
  <c r="Q35" s="1"/>
  <c r="AA46" i="40"/>
  <c r="Q60" i="41"/>
  <c r="BS104" i="36"/>
  <c r="CH28" i="41"/>
  <c r="AJ28" i="36"/>
  <c r="G22" i="37"/>
  <c r="DF11" i="39"/>
  <c r="BV28" i="26"/>
  <c r="BV32" s="1"/>
  <c r="CP38" i="1"/>
  <c r="G46" i="41"/>
  <c r="Q45"/>
  <c r="CH46" i="26"/>
  <c r="CY63" i="1"/>
  <c r="CL51" i="25"/>
  <c r="CK38" i="36"/>
  <c r="BT51" i="1"/>
  <c r="CJ35" i="26"/>
  <c r="AK10" i="40"/>
  <c r="AI46" i="26"/>
  <c r="BY51" i="1"/>
  <c r="BY84" s="1"/>
  <c r="DH26" i="38"/>
  <c r="BO28"/>
  <c r="AQ19" i="1"/>
  <c r="CC46" i="40"/>
  <c r="H22" i="39"/>
  <c r="AY19" i="38"/>
  <c r="Y38" i="37"/>
  <c r="AO99" i="25"/>
  <c r="AO106" s="1"/>
  <c r="BX63" i="41"/>
  <c r="BX84" s="1"/>
  <c r="BX63" i="39"/>
  <c r="BW76" i="25"/>
  <c r="BX72" i="26"/>
  <c r="BE55" i="40"/>
  <c r="BI14"/>
  <c r="CS38" i="26"/>
  <c r="N31" i="38"/>
  <c r="N32" s="1"/>
  <c r="AQ19" i="37"/>
  <c r="DE68" i="1"/>
  <c r="I68" i="25"/>
  <c r="CU99" i="40"/>
  <c r="CU106" s="1"/>
  <c r="AI68" i="39"/>
  <c r="CA63" i="37"/>
  <c r="CZ104" i="41"/>
  <c r="CR14" i="39"/>
  <c r="CR15" s="1"/>
  <c r="BF25" i="41"/>
  <c r="AE46" i="39"/>
  <c r="AM76" i="26"/>
  <c r="X51" i="40"/>
  <c r="X84" s="1"/>
  <c r="DF82" i="1"/>
  <c r="DE63"/>
  <c r="BJ24" i="39"/>
  <c r="BH32"/>
  <c r="BJ32" s="1"/>
  <c r="CB63" i="40"/>
  <c r="BJ10" i="41"/>
  <c r="J104" i="25"/>
  <c r="CH99" i="26"/>
  <c r="CW104"/>
  <c r="O22"/>
  <c r="DC28"/>
  <c r="AZ72" i="25"/>
  <c r="T38"/>
  <c r="BD46" i="1"/>
  <c r="BA38" i="37"/>
  <c r="BX104" i="41"/>
  <c r="BX106" s="1"/>
  <c r="AS28" i="25"/>
  <c r="AS32" s="1"/>
  <c r="L14" i="36"/>
  <c r="P55" i="1"/>
  <c r="AJ19" i="41"/>
  <c r="AB63" i="39"/>
  <c r="CC72" i="1"/>
  <c r="H63" i="36"/>
  <c r="V76"/>
  <c r="BA11" i="41"/>
  <c r="AP63" i="37"/>
  <c r="L11" i="1"/>
  <c r="AT22" i="39"/>
  <c r="BR35" i="38"/>
  <c r="BW28" i="1"/>
  <c r="AW38" i="25"/>
  <c r="Y46" i="39"/>
  <c r="AE82" i="38"/>
  <c r="CP14" i="40"/>
  <c r="CO55" i="1"/>
  <c r="CG46" i="41"/>
  <c r="AZ82" i="36"/>
  <c r="CX31" i="41"/>
  <c r="BR46" i="40"/>
  <c r="CW11" i="36"/>
  <c r="AO14" i="38"/>
  <c r="AO15" s="1"/>
  <c r="AO40" s="1"/>
  <c r="AO109" s="1"/>
  <c r="CS35" i="39"/>
  <c r="AK29" i="25"/>
  <c r="S31"/>
  <c r="CG93" i="39"/>
  <c r="BI99" i="26"/>
  <c r="W31" i="36"/>
  <c r="CQ51" i="39"/>
  <c r="CQ84" s="1"/>
  <c r="M35" i="25"/>
  <c r="AG31" i="41"/>
  <c r="AG32" s="1"/>
  <c r="BU22" i="40"/>
  <c r="CP35" i="37"/>
  <c r="DE76" i="1"/>
  <c r="CF104" i="38"/>
  <c r="U35" i="1"/>
  <c r="AU22" i="39"/>
  <c r="CM93" i="37"/>
  <c r="DC28" i="38"/>
  <c r="BE99" i="40"/>
  <c r="CJ11"/>
  <c r="CJ15" s="1"/>
  <c r="CF14" i="25"/>
  <c r="AT93" i="1"/>
  <c r="CK51" i="39"/>
  <c r="AW31" i="41"/>
  <c r="DE28" i="38"/>
  <c r="DE32" s="1"/>
  <c r="CZ14"/>
  <c r="CZ15" s="1"/>
  <c r="BW93" i="26"/>
  <c r="I14" i="39"/>
  <c r="I15" s="1"/>
  <c r="CX99" i="40"/>
  <c r="X28" i="41"/>
  <c r="AZ11"/>
  <c r="BE11" i="39"/>
  <c r="AT63"/>
  <c r="CV35" i="37"/>
  <c r="Y14" i="41"/>
  <c r="Y15" s="1"/>
  <c r="X38" i="40"/>
  <c r="BE93" i="36"/>
  <c r="P22" i="25"/>
  <c r="CK46" i="41"/>
  <c r="BX82" i="38"/>
  <c r="Y46"/>
  <c r="BS99" i="40"/>
  <c r="BD11" i="41"/>
  <c r="CB14" i="36"/>
  <c r="CB15" s="1"/>
  <c r="CB40" s="1"/>
  <c r="CB109" s="1"/>
  <c r="BE35" i="40"/>
  <c r="CC11" i="26"/>
  <c r="AF19" i="37"/>
  <c r="CR63" i="1"/>
  <c r="CG28" i="41"/>
  <c r="BC99" i="1"/>
  <c r="AH31" i="25"/>
  <c r="AE31" i="1"/>
  <c r="CZ51" i="38"/>
  <c r="AS55" i="41"/>
  <c r="CX82" i="26"/>
  <c r="AB38" i="39"/>
  <c r="CQ46" i="38"/>
  <c r="DH49"/>
  <c r="W28" i="36"/>
  <c r="Q62" i="40"/>
  <c r="L31" i="1"/>
  <c r="CR22" i="39"/>
  <c r="BE93" i="38"/>
  <c r="W32" i="1"/>
  <c r="J68" i="38"/>
  <c r="BA104" i="1"/>
  <c r="BF26" i="36"/>
  <c r="AM28"/>
  <c r="BY19" i="41"/>
  <c r="CE22" i="38"/>
  <c r="Z38" i="40"/>
  <c r="AP82" i="39"/>
  <c r="AW22" i="40"/>
  <c r="DB55" i="1"/>
  <c r="CD46" i="40"/>
  <c r="CG76"/>
  <c r="CW68" i="37"/>
  <c r="CF76" i="39"/>
  <c r="AN99"/>
  <c r="CA76" i="37"/>
  <c r="BY35" i="36"/>
  <c r="AV63" i="25"/>
  <c r="Y76" i="41"/>
  <c r="BT72" i="1"/>
  <c r="BZ46" i="37"/>
  <c r="BS63" i="38"/>
  <c r="G93" i="1"/>
  <c r="Q93" s="1"/>
  <c r="Q89"/>
  <c r="BT14" i="38"/>
  <c r="BT15" s="1"/>
  <c r="BV82" i="36"/>
  <c r="AW63" i="40"/>
  <c r="X19" i="39"/>
  <c r="U46" i="38"/>
  <c r="CU72" i="26"/>
  <c r="BF25" i="40"/>
  <c r="CB68" i="41"/>
  <c r="CO68" i="25"/>
  <c r="DD14" i="39"/>
  <c r="DD15" s="1"/>
  <c r="BX35" i="36"/>
  <c r="CK68"/>
  <c r="CW28" i="25"/>
  <c r="CW32" s="1"/>
  <c r="BS68" i="36"/>
  <c r="G93" i="37"/>
  <c r="G106" s="1"/>
  <c r="Q89"/>
  <c r="BJ98" i="1"/>
  <c r="DA11" i="40"/>
  <c r="AZ99"/>
  <c r="CH104"/>
  <c r="M72" i="37"/>
  <c r="BB82" i="40"/>
  <c r="CV14" i="25"/>
  <c r="CV15" s="1"/>
  <c r="CV40" s="1"/>
  <c r="CV109" s="1"/>
  <c r="AA14" i="37"/>
  <c r="AS51" i="38"/>
  <c r="K35" i="40"/>
  <c r="Q35" s="1"/>
  <c r="BL35" s="1"/>
  <c r="AC55" i="39"/>
  <c r="M19" i="37"/>
  <c r="BA31" i="40"/>
  <c r="BA32" s="1"/>
  <c r="AF11" i="37"/>
  <c r="Q61" i="1"/>
  <c r="CM72"/>
  <c r="AA104" i="38"/>
  <c r="AA106" s="1"/>
  <c r="Q49" i="36"/>
  <c r="CQ14" i="39"/>
  <c r="BJ66" i="26"/>
  <c r="DA46" i="37"/>
  <c r="G32" i="26"/>
  <c r="BF34" i="38"/>
  <c r="AM35"/>
  <c r="BY38" i="40"/>
  <c r="J11" i="38"/>
  <c r="BI19" i="37"/>
  <c r="I38" i="41"/>
  <c r="AB82" i="40"/>
  <c r="CZ22" i="26"/>
  <c r="X82" i="39"/>
  <c r="BA93" i="25"/>
  <c r="O11" i="36"/>
  <c r="AU31" i="25"/>
  <c r="AU32" s="1"/>
  <c r="DE93" i="41"/>
  <c r="S99" i="38"/>
  <c r="AN104" i="1"/>
  <c r="Y14" i="40"/>
  <c r="BB14" i="25"/>
  <c r="BJ60" i="40"/>
  <c r="BR55" i="25"/>
  <c r="CB82" i="38"/>
  <c r="BU28" i="41"/>
  <c r="G35" i="26"/>
  <c r="Q34"/>
  <c r="BL34" s="1"/>
  <c r="I63" i="25"/>
  <c r="CP104" i="38"/>
  <c r="BB38" i="1"/>
  <c r="CA51" i="25"/>
  <c r="AZ93" i="26"/>
  <c r="DB31" i="1"/>
  <c r="M68" i="26"/>
  <c r="AX72" i="25"/>
  <c r="AB63" i="1"/>
  <c r="BU104" i="40"/>
  <c r="BI46" i="39"/>
  <c r="AO46" i="41"/>
  <c r="BF46" s="1"/>
  <c r="G76" i="26"/>
  <c r="Q75"/>
  <c r="AT93"/>
  <c r="AO93" i="36"/>
  <c r="AO106" s="1"/>
  <c r="AD19" i="40"/>
  <c r="AE31" i="41"/>
  <c r="AE32" s="1"/>
  <c r="BJ67" i="38"/>
  <c r="CY72" i="1"/>
  <c r="Y63"/>
  <c r="AC76" i="25"/>
  <c r="DA55" i="37"/>
  <c r="BD28" i="25"/>
  <c r="BD32" s="1"/>
  <c r="CH31" i="37"/>
  <c r="CH32" s="1"/>
  <c r="Q13" i="25"/>
  <c r="CK76" i="37"/>
  <c r="CW93"/>
  <c r="CW106" s="1"/>
  <c r="AV22" i="41"/>
  <c r="T51" i="37"/>
  <c r="CK99" i="39"/>
  <c r="AY68" i="38"/>
  <c r="BS19" i="25"/>
  <c r="AV28" i="40"/>
  <c r="CW31" i="26"/>
  <c r="AA63" i="40"/>
  <c r="AA84" s="1"/>
  <c r="BI72"/>
  <c r="CZ51" i="41"/>
  <c r="L55" i="26"/>
  <c r="AX22" i="25"/>
  <c r="AC82" i="39"/>
  <c r="AU51" i="36"/>
  <c r="G104" i="38"/>
  <c r="Q102"/>
  <c r="U19"/>
  <c r="BA99" i="39"/>
  <c r="AN72" i="25"/>
  <c r="CB93" i="40"/>
  <c r="CB106" s="1"/>
  <c r="BR76" i="36"/>
  <c r="BE11"/>
  <c r="BF92"/>
  <c r="BB35" i="40"/>
  <c r="CX93" i="41"/>
  <c r="CA46" i="36"/>
  <c r="CR82" i="38"/>
  <c r="AA14" i="1"/>
  <c r="AA15" s="1"/>
  <c r="DD63" i="26"/>
  <c r="AQ35" i="37"/>
  <c r="CH99" i="36"/>
  <c r="BR68" i="40"/>
  <c r="DH68" s="1"/>
  <c r="CG104" i="39"/>
  <c r="CK63" i="36"/>
  <c r="CI28" i="1"/>
  <c r="CC93" i="36"/>
  <c r="CC106" s="1"/>
  <c r="AX93" i="40"/>
  <c r="AX106" s="1"/>
  <c r="P11" i="39"/>
  <c r="P15" s="1"/>
  <c r="AE19" i="25"/>
  <c r="CH31" i="36"/>
  <c r="Q30" i="41"/>
  <c r="BL30" s="1"/>
  <c r="BI14" i="1"/>
  <c r="BB51" i="38"/>
  <c r="AC51" i="40"/>
  <c r="AC84" s="1"/>
  <c r="AF22" i="1"/>
  <c r="BI31"/>
  <c r="BQ46"/>
  <c r="AA68" i="25"/>
  <c r="BF59" i="41"/>
  <c r="CB63" i="1"/>
  <c r="BO63"/>
  <c r="DH57"/>
  <c r="AN28" i="40"/>
  <c r="AN32" s="1"/>
  <c r="AK30" i="37"/>
  <c r="BF13" i="25"/>
  <c r="AW82" i="41"/>
  <c r="AR35" i="25"/>
  <c r="Q89" i="26"/>
  <c r="G93"/>
  <c r="N82" i="1"/>
  <c r="CD99" i="37"/>
  <c r="S72"/>
  <c r="AI51"/>
  <c r="AZ99" i="38"/>
  <c r="AZ106" s="1"/>
  <c r="BF18" i="40"/>
  <c r="CF82" i="38"/>
  <c r="BP63" i="39"/>
  <c r="G22" i="38"/>
  <c r="CO35" i="1"/>
  <c r="BJ89" i="25"/>
  <c r="Z11" i="36"/>
  <c r="DE46" i="40"/>
  <c r="BR72" i="36"/>
  <c r="DA55" i="25"/>
  <c r="CZ82" i="36"/>
  <c r="BA31"/>
  <c r="CF63" i="39"/>
  <c r="M76" i="25"/>
  <c r="U72" i="39"/>
  <c r="BJ25" i="37"/>
  <c r="CT104" i="26"/>
  <c r="N14"/>
  <c r="CI11" i="36"/>
  <c r="CI15" s="1"/>
  <c r="AE104" i="25"/>
  <c r="CD46" i="41"/>
  <c r="P68" i="1"/>
  <c r="AT72" i="36"/>
  <c r="DA28" i="37"/>
  <c r="DA32" s="1"/>
  <c r="J31"/>
  <c r="CT51" i="36"/>
  <c r="CT84" s="1"/>
  <c r="BP72" i="39"/>
  <c r="CH104"/>
  <c r="CW99" i="26"/>
  <c r="AJ28" i="40"/>
  <c r="CN51" i="25"/>
  <c r="DF46" i="37"/>
  <c r="I28" i="39"/>
  <c r="BS68" i="26"/>
  <c r="BF91" i="40"/>
  <c r="L99" i="26"/>
  <c r="I11" i="25"/>
  <c r="AN14" i="37"/>
  <c r="BA82" i="26"/>
  <c r="BT11" i="39"/>
  <c r="AU51" i="26"/>
  <c r="P32" i="41"/>
  <c r="AD35" i="40"/>
  <c r="AH46" i="26"/>
  <c r="CM11" i="36"/>
  <c r="CW31" i="39"/>
  <c r="P31" i="1"/>
  <c r="CT38" i="26"/>
  <c r="G104" i="39"/>
  <c r="Q102"/>
  <c r="CF104" i="1"/>
  <c r="CK55" i="26"/>
  <c r="BZ46" i="40"/>
  <c r="CG31" i="26"/>
  <c r="U46"/>
  <c r="BZ14" i="25"/>
  <c r="X22"/>
  <c r="T38" i="26"/>
  <c r="BJ50" i="37"/>
  <c r="BB19" i="41"/>
  <c r="CL38" i="26"/>
  <c r="AY46" i="38"/>
  <c r="DC63" i="40"/>
  <c r="AA68"/>
  <c r="AN11" i="1"/>
  <c r="CS99"/>
  <c r="AS63" i="39"/>
  <c r="AN63" i="36"/>
  <c r="AF28"/>
  <c r="AX72" i="37"/>
  <c r="DF93" i="38"/>
  <c r="CB82" i="1"/>
  <c r="J11" i="39"/>
  <c r="DB35" i="36"/>
  <c r="AA76" i="40"/>
  <c r="DC104" i="39"/>
  <c r="CW38" i="26"/>
  <c r="CI104" i="39"/>
  <c r="CK76" i="26"/>
  <c r="AD72" i="39"/>
  <c r="AZ38" i="26"/>
  <c r="CG99" i="39"/>
  <c r="AY82" i="41"/>
  <c r="P76" i="38"/>
  <c r="AW76" i="25"/>
  <c r="BV38" i="41"/>
  <c r="J38" i="37"/>
  <c r="DA51" i="26"/>
  <c r="AS19" i="1"/>
  <c r="DF35" i="38"/>
  <c r="AD82" i="39"/>
  <c r="BB28" i="41"/>
  <c r="CI55" i="25"/>
  <c r="BZ11" i="40"/>
  <c r="CV99" i="38"/>
  <c r="CE31" i="26"/>
  <c r="Z63" i="38"/>
  <c r="CS72"/>
  <c r="BX72" i="25"/>
  <c r="DC76" i="39"/>
  <c r="AX72" i="26"/>
  <c r="T55" i="36"/>
  <c r="CM35"/>
  <c r="J28" i="40"/>
  <c r="X63" i="26"/>
  <c r="J22" i="38"/>
  <c r="BT99" i="39"/>
  <c r="AO38" i="1"/>
  <c r="BZ63"/>
  <c r="BS11" i="39"/>
  <c r="BS15" s="1"/>
  <c r="AP55" i="36"/>
  <c r="O38" i="25"/>
  <c r="BO99" i="40"/>
  <c r="BP28" i="39"/>
  <c r="K76" i="37"/>
  <c r="AR11" i="25"/>
  <c r="T31" i="26"/>
  <c r="AK31" s="1"/>
  <c r="AP72" i="36"/>
  <c r="AR38" i="1"/>
  <c r="T99" i="25"/>
  <c r="M68" i="36"/>
  <c r="I104" i="1"/>
  <c r="Q104" s="1"/>
  <c r="CB35" i="39"/>
  <c r="CL99" i="37"/>
  <c r="BI46" i="25"/>
  <c r="M55" i="38"/>
  <c r="L55" i="40"/>
  <c r="AB28" i="37"/>
  <c r="AB32" s="1"/>
  <c r="CG93" i="1"/>
  <c r="CG106" s="1"/>
  <c r="CY63" i="40"/>
  <c r="M72" i="36"/>
  <c r="M76"/>
  <c r="AD38" i="26"/>
  <c r="K19" i="38"/>
  <c r="AW63" i="26"/>
  <c r="CJ93" i="37"/>
  <c r="CS31" i="41"/>
  <c r="N19" i="38"/>
  <c r="H38" i="40"/>
  <c r="BV63"/>
  <c r="BS72" i="41"/>
  <c r="AA22" i="38"/>
  <c r="CL68" i="40"/>
  <c r="CE46" i="25"/>
  <c r="AR76" i="26"/>
  <c r="AQ76" i="36"/>
  <c r="AT99" i="26"/>
  <c r="AY93" i="41"/>
  <c r="DF38" i="37"/>
  <c r="CS51" i="36"/>
  <c r="CS84" s="1"/>
  <c r="AW55" i="26"/>
  <c r="AR93" i="40"/>
  <c r="AQ11" i="25"/>
  <c r="AG63" i="1"/>
  <c r="X11"/>
  <c r="AV31" i="26"/>
  <c r="AO31" i="25"/>
  <c r="AO32" s="1"/>
  <c r="AO40" s="1"/>
  <c r="W38" i="37"/>
  <c r="CU72" i="40"/>
  <c r="AY104"/>
  <c r="CQ72" i="38"/>
  <c r="O22"/>
  <c r="AK13" i="37"/>
  <c r="N38" i="39"/>
  <c r="BR104" i="26"/>
  <c r="CL72" i="40"/>
  <c r="CQ63" i="1"/>
  <c r="BJ61" i="41"/>
  <c r="CD22" i="36"/>
  <c r="Z82" i="40"/>
  <c r="N93" i="41"/>
  <c r="CX31" i="40"/>
  <c r="AO63"/>
  <c r="DD38" i="39"/>
  <c r="BU82" i="41"/>
  <c r="BF102" i="38"/>
  <c r="AM104"/>
  <c r="CQ104" i="26"/>
  <c r="CI55" i="41"/>
  <c r="AY22" i="38"/>
  <c r="CS82"/>
  <c r="BA104" i="37"/>
  <c r="CA31" i="1"/>
  <c r="Z76" i="38"/>
  <c r="M14" i="1"/>
  <c r="M15" s="1"/>
  <c r="X19" i="40"/>
  <c r="G22" i="1"/>
  <c r="DA38" i="36"/>
  <c r="DA35" i="41"/>
  <c r="Q65" i="25"/>
  <c r="G68"/>
  <c r="L51" i="40"/>
  <c r="DB51" i="38"/>
  <c r="DC28" i="41"/>
  <c r="AU31" i="40"/>
  <c r="P19" i="1"/>
  <c r="AW82"/>
  <c r="H38"/>
  <c r="CM104" i="25"/>
  <c r="DD22" i="37"/>
  <c r="AB28" i="39"/>
  <c r="J51" i="41"/>
  <c r="DA11" i="25"/>
  <c r="DB82" i="39"/>
  <c r="AT38" i="36"/>
  <c r="AR31" i="40"/>
  <c r="CY104" i="36"/>
  <c r="BA28" i="38"/>
  <c r="BA32" s="1"/>
  <c r="AE14"/>
  <c r="AR82" i="26"/>
  <c r="CN63"/>
  <c r="CN84" s="1"/>
  <c r="BJ48"/>
  <c r="BH51"/>
  <c r="BJ51" s="1"/>
  <c r="DB68" i="37"/>
  <c r="DH34" i="38"/>
  <c r="BO35"/>
  <c r="DH35" s="1"/>
  <c r="CP46" i="25"/>
  <c r="CT11" i="41"/>
  <c r="AY72" i="25"/>
  <c r="BW28" i="41"/>
  <c r="BX55" i="25"/>
  <c r="BT38"/>
  <c r="BX28" i="40"/>
  <c r="BX32" s="1"/>
  <c r="AY35" i="38"/>
  <c r="W31" i="41"/>
  <c r="BB55"/>
  <c r="AF72" i="26"/>
  <c r="N38" i="38"/>
  <c r="O72" i="36"/>
  <c r="BV14" i="38"/>
  <c r="BF96"/>
  <c r="AM99"/>
  <c r="AM106" s="1"/>
  <c r="AG76" i="39"/>
  <c r="AT82"/>
  <c r="CX22" i="41"/>
  <c r="CV68" i="40"/>
  <c r="BR28" i="39"/>
  <c r="DB51" i="37"/>
  <c r="P22" i="40"/>
  <c r="N68" i="26"/>
  <c r="CR19" i="25"/>
  <c r="BR22" i="26"/>
  <c r="Z68" i="40"/>
  <c r="BW19" i="37"/>
  <c r="Y99"/>
  <c r="BD63" i="25"/>
  <c r="CB99" i="38"/>
  <c r="CB106" s="1"/>
  <c r="AB63" i="26"/>
  <c r="DH65" i="36"/>
  <c r="BO68"/>
  <c r="CN104"/>
  <c r="CN106" s="1"/>
  <c r="AR99" i="37"/>
  <c r="AR106" s="1"/>
  <c r="BI46" i="40"/>
  <c r="BZ19" i="41"/>
  <c r="AE19" i="36"/>
  <c r="AE40" s="1"/>
  <c r="AR46" i="38"/>
  <c r="CM104" i="36"/>
  <c r="Y28" i="1"/>
  <c r="BA14" i="38"/>
  <c r="BE31" i="40"/>
  <c r="G31" i="38"/>
  <c r="Q29"/>
  <c r="CJ14" i="36"/>
  <c r="CJ15" s="1"/>
  <c r="CJ40" s="1"/>
  <c r="CG55" i="41"/>
  <c r="DC46" i="39"/>
  <c r="BD76" i="41"/>
  <c r="AC93" i="26"/>
  <c r="AB93" i="1"/>
  <c r="DA22" i="39"/>
  <c r="DD104" i="40"/>
  <c r="AT14" i="38"/>
  <c r="CF11" i="25"/>
  <c r="CF15" s="1"/>
  <c r="CF40" s="1"/>
  <c r="AV51"/>
  <c r="AJ68" i="1"/>
  <c r="Y31" i="25"/>
  <c r="Y32" s="1"/>
  <c r="CA93" i="40"/>
  <c r="CA68" i="36"/>
  <c r="BY68" i="1"/>
  <c r="H99" i="26"/>
  <c r="Q99" s="1"/>
  <c r="P68" i="40"/>
  <c r="CR68" i="38"/>
  <c r="BE22" i="37"/>
  <c r="AQ31" i="39"/>
  <c r="DF51" i="26"/>
  <c r="DF84" s="1"/>
  <c r="CT104" i="41"/>
  <c r="CF99"/>
  <c r="BP38" i="26"/>
  <c r="DH38" s="1"/>
  <c r="P46" i="38"/>
  <c r="CI99" i="37"/>
  <c r="BZ35" i="39"/>
  <c r="AO104" i="41"/>
  <c r="BB104" i="1"/>
  <c r="DD14" i="37"/>
  <c r="DD15" s="1"/>
  <c r="BH28" i="41"/>
  <c r="BJ26"/>
  <c r="BJ18" i="36"/>
  <c r="BR28" i="41"/>
  <c r="BR32" s="1"/>
  <c r="W32" i="39"/>
  <c r="DA28" i="36"/>
  <c r="DA32" s="1"/>
  <c r="DA40" s="1"/>
  <c r="BA28" i="37"/>
  <c r="N104" i="38"/>
  <c r="BA35" i="37"/>
  <c r="BU19" i="41"/>
  <c r="CJ68" i="26"/>
  <c r="AY14" i="36"/>
  <c r="I68" i="39"/>
  <c r="DE19" i="40"/>
  <c r="BF92"/>
  <c r="AX93" i="1"/>
  <c r="K28" i="41"/>
  <c r="CR72" i="36"/>
  <c r="CG11" i="40"/>
  <c r="BY104" i="25"/>
  <c r="CY63" i="36"/>
  <c r="CP63" i="1"/>
  <c r="AO14" i="41"/>
  <c r="AO15" s="1"/>
  <c r="AO40" s="1"/>
  <c r="L99"/>
  <c r="J93" i="39"/>
  <c r="Q93" s="1"/>
  <c r="N93"/>
  <c r="N106" s="1"/>
  <c r="CV72" i="37"/>
  <c r="AC38" i="40"/>
  <c r="AG76" i="26"/>
  <c r="O104" i="39"/>
  <c r="AR68" i="40"/>
  <c r="CD68" i="37"/>
  <c r="AY46" i="40"/>
  <c r="CJ11" i="36"/>
  <c r="J35" i="38"/>
  <c r="I19" i="36"/>
  <c r="AK89" i="25"/>
  <c r="BL89" s="1"/>
  <c r="S93"/>
  <c r="S106" s="1"/>
  <c r="BS76"/>
  <c r="BC28" i="26"/>
  <c r="BC32" s="1"/>
  <c r="BP72" i="40"/>
  <c r="AI82" i="36"/>
  <c r="BA93" i="26"/>
  <c r="AE35" i="38"/>
  <c r="BT99" i="40"/>
  <c r="AF22" i="39"/>
  <c r="BA63" i="26"/>
  <c r="BY55" i="36"/>
  <c r="V35" i="25"/>
  <c r="BD93"/>
  <c r="AS22" i="1"/>
  <c r="BE19" i="36"/>
  <c r="AP104" i="1"/>
  <c r="N93" i="25"/>
  <c r="N106" s="1"/>
  <c r="AY63" i="1"/>
  <c r="DA28" i="40"/>
  <c r="AO46" i="26"/>
  <c r="AC35" i="40"/>
  <c r="DB28" i="25"/>
  <c r="DB32" s="1"/>
  <c r="BT38" i="36"/>
  <c r="BI35" i="1"/>
  <c r="CU93" i="41"/>
  <c r="BQ28" i="36"/>
  <c r="BR31" i="39"/>
  <c r="BT63" i="25"/>
  <c r="AZ11" i="37"/>
  <c r="AW72" i="1"/>
  <c r="AK59" i="36"/>
  <c r="BL59" s="1"/>
  <c r="BT51" i="25"/>
  <c r="CD38" i="40"/>
  <c r="CE31" i="36"/>
  <c r="CL22" i="39"/>
  <c r="DE93"/>
  <c r="CD22" i="41"/>
  <c r="BI72" i="26"/>
  <c r="AP76" i="41"/>
  <c r="BB22" i="25"/>
  <c r="AU14"/>
  <c r="Y93" i="39"/>
  <c r="X19" i="38"/>
  <c r="Y19" i="36"/>
  <c r="M76" i="41"/>
  <c r="CN55" i="37"/>
  <c r="CL28"/>
  <c r="CL32" s="1"/>
  <c r="CL40" s="1"/>
  <c r="CW46"/>
  <c r="CR51" i="25"/>
  <c r="CQ63"/>
  <c r="CL104" i="41"/>
  <c r="M22" i="39"/>
  <c r="AU28" i="26"/>
  <c r="Q18" i="1"/>
  <c r="AO22" i="39"/>
  <c r="BI22" i="37"/>
  <c r="O38"/>
  <c r="CX51" i="25"/>
  <c r="AG46" i="26"/>
  <c r="CF72" i="1"/>
  <c r="CB19" i="26"/>
  <c r="BC35" i="39"/>
  <c r="BR82" i="38"/>
  <c r="Y11" i="1"/>
  <c r="Y15" s="1"/>
  <c r="CQ72" i="36"/>
  <c r="AG55" i="39"/>
  <c r="BW76" i="38"/>
  <c r="DH62" i="1"/>
  <c r="BJ34" i="40"/>
  <c r="BH35"/>
  <c r="AR68" i="1"/>
  <c r="AR84" s="1"/>
  <c r="CW82" i="41"/>
  <c r="Y63" i="26"/>
  <c r="CU104" i="41"/>
  <c r="BF30" i="1"/>
  <c r="BD19" i="41"/>
  <c r="CC72" i="40"/>
  <c r="CG72" i="39"/>
  <c r="BR82" i="36"/>
  <c r="U93"/>
  <c r="BR14" i="26"/>
  <c r="BR15" s="1"/>
  <c r="Q61" i="25"/>
  <c r="CZ19" i="26"/>
  <c r="CK68" i="41"/>
  <c r="O28"/>
  <c r="CQ19" i="25"/>
  <c r="CT51" i="26"/>
  <c r="CT84" s="1"/>
  <c r="L104" i="1"/>
  <c r="BB99" i="39"/>
  <c r="BD22" i="37"/>
  <c r="DD31" i="1"/>
  <c r="DD32" s="1"/>
  <c r="CF35" i="37"/>
  <c r="DA99" i="38"/>
  <c r="AX99" i="39"/>
  <c r="DC35" i="37"/>
  <c r="BY82" i="26"/>
  <c r="CG104"/>
  <c r="AG14" i="25"/>
  <c r="M31" i="39"/>
  <c r="N63"/>
  <c r="L22" i="41"/>
  <c r="BR19" i="39"/>
  <c r="P55" i="25"/>
  <c r="CK82" i="41"/>
  <c r="AI38" i="40"/>
  <c r="AF104" i="26"/>
  <c r="J46" i="36"/>
  <c r="CQ19" i="38"/>
  <c r="BI99" i="40"/>
  <c r="AF35" i="38"/>
  <c r="DC55" i="39"/>
  <c r="N104" i="41"/>
  <c r="AX46" i="25"/>
  <c r="AV28" i="26"/>
  <c r="AV32" s="1"/>
  <c r="CP72" i="38"/>
  <c r="CP84" s="1"/>
  <c r="Y22" i="26"/>
  <c r="BZ46" i="38"/>
  <c r="AB104" i="1"/>
  <c r="DA38" i="26"/>
  <c r="DH60" i="39"/>
  <c r="AM51" i="38"/>
  <c r="BF48"/>
  <c r="CK28" i="41"/>
  <c r="CK32" s="1"/>
  <c r="BS93" i="39"/>
  <c r="BS106" s="1"/>
  <c r="BS109" s="1"/>
  <c r="CD104" i="36"/>
  <c r="N63" i="40"/>
  <c r="BD14" i="26"/>
  <c r="BD15" s="1"/>
  <c r="BD40" s="1"/>
  <c r="AQ46"/>
  <c r="AF46" i="41"/>
  <c r="O28" i="38"/>
  <c r="K82" i="40"/>
  <c r="AZ76" i="25"/>
  <c r="P63" i="36"/>
  <c r="BB46" i="37"/>
  <c r="CA31" i="25"/>
  <c r="CA32" s="1"/>
  <c r="CU31" i="36"/>
  <c r="CU32" s="1"/>
  <c r="CU40" s="1"/>
  <c r="P104" i="38"/>
  <c r="AK60" i="25"/>
  <c r="BU14" i="37"/>
  <c r="BU15" s="1"/>
  <c r="AP51" i="41"/>
  <c r="X22"/>
  <c r="BU46" i="40"/>
  <c r="X38" i="36"/>
  <c r="CM63" i="41"/>
  <c r="CM84" s="1"/>
  <c r="Y72" i="39"/>
  <c r="BZ31" i="1"/>
  <c r="CN14" i="37"/>
  <c r="CN15" s="1"/>
  <c r="CD22" i="25"/>
  <c r="BJ24" i="37"/>
  <c r="BC35" i="1"/>
  <c r="AH14" i="37"/>
  <c r="AH15" s="1"/>
  <c r="AH40" s="1"/>
  <c r="CC82" i="1"/>
  <c r="I68" i="36"/>
  <c r="CI28" i="37"/>
  <c r="AP63" i="1"/>
  <c r="I35"/>
  <c r="Z51" i="36"/>
  <c r="CK72" i="41"/>
  <c r="CM32" i="38"/>
  <c r="BW31" i="41"/>
  <c r="CH11"/>
  <c r="AM46"/>
  <c r="BF45"/>
  <c r="Z51" i="1"/>
  <c r="Z84" s="1"/>
  <c r="CH72" i="25"/>
  <c r="CF28" i="36"/>
  <c r="CF32" s="1"/>
  <c r="CZ76" i="1"/>
  <c r="CZ84" s="1"/>
  <c r="CZ109" s="1"/>
  <c r="BZ14"/>
  <c r="CR72"/>
  <c r="CR22" i="40"/>
  <c r="P14"/>
  <c r="P15" s="1"/>
  <c r="P40" s="1"/>
  <c r="AH51" i="38"/>
  <c r="AT46" i="36"/>
  <c r="DA76" i="1"/>
  <c r="X46" i="37"/>
  <c r="CJ63" i="26"/>
  <c r="CI19" i="37"/>
  <c r="CU22" i="1"/>
  <c r="W76" i="37"/>
  <c r="DD99" i="38"/>
  <c r="CK55" i="1"/>
  <c r="BS99" i="26"/>
  <c r="CU104" i="37"/>
  <c r="Z82" i="25"/>
  <c r="BS46" i="40"/>
  <c r="CB68" i="25"/>
  <c r="AG68" i="41"/>
  <c r="DA19" i="26"/>
  <c r="U32"/>
  <c r="CD72" i="37"/>
  <c r="BC55" i="26"/>
  <c r="BC93" i="39"/>
  <c r="BC106" s="1"/>
  <c r="BA19" i="26"/>
  <c r="BX68" i="38"/>
  <c r="BR32" i="37"/>
  <c r="AZ14" i="40"/>
  <c r="X93" i="38"/>
  <c r="AJ72" i="26"/>
  <c r="CE32" i="36"/>
  <c r="BX11"/>
  <c r="CE72" i="26"/>
  <c r="BC93" i="38"/>
  <c r="Y22"/>
  <c r="K51" i="1"/>
  <c r="K84" s="1"/>
  <c r="Q61" i="26"/>
  <c r="Q57"/>
  <c r="G63"/>
  <c r="Q63" s="1"/>
  <c r="BJ49" i="25"/>
  <c r="P93" i="39"/>
  <c r="BJ67" i="40"/>
  <c r="BD28" i="36"/>
  <c r="BD32" s="1"/>
  <c r="BD40" s="1"/>
  <c r="DA68" i="40"/>
  <c r="CH72" i="41"/>
  <c r="W72" i="26"/>
  <c r="CT31" i="37"/>
  <c r="CT32" s="1"/>
  <c r="AP76" i="26"/>
  <c r="CY68" i="39"/>
  <c r="H104" i="36"/>
  <c r="V93" i="40"/>
  <c r="CC82" i="38"/>
  <c r="BB31" i="39"/>
  <c r="CY14" i="1"/>
  <c r="CY15" s="1"/>
  <c r="AN19" i="40"/>
  <c r="BF19" s="1"/>
  <c r="G35" i="1"/>
  <c r="Q34"/>
  <c r="BY63" i="36"/>
  <c r="BY22" i="1"/>
  <c r="AH28" i="37"/>
  <c r="CH51" i="36"/>
  <c r="AV72" i="39"/>
  <c r="AU76" i="25"/>
  <c r="I93" i="40"/>
  <c r="Q93" s="1"/>
  <c r="CY93" i="41"/>
  <c r="CK22"/>
  <c r="AX55" i="38"/>
  <c r="AS35" i="39"/>
  <c r="AY11" i="36"/>
  <c r="DA28" i="38"/>
  <c r="DA32" s="1"/>
  <c r="BF25" i="39"/>
  <c r="BV93" i="26"/>
  <c r="BV106" s="1"/>
  <c r="Z63" i="39"/>
  <c r="CZ82"/>
  <c r="AO11" i="26"/>
  <c r="CO35" i="36"/>
  <c r="AA104"/>
  <c r="AV68" i="41"/>
  <c r="CL35" i="25"/>
  <c r="CJ14" i="41"/>
  <c r="CJ15" s="1"/>
  <c r="CF104" i="25"/>
  <c r="BC104" i="1"/>
  <c r="AG22" i="39"/>
  <c r="CC11" i="36"/>
  <c r="P76" i="41"/>
  <c r="AC14" i="37"/>
  <c r="AW99"/>
  <c r="DA35" i="25"/>
  <c r="W63"/>
  <c r="DF76" i="26"/>
  <c r="CU31" i="37"/>
  <c r="CY55" i="1"/>
  <c r="AK59" i="40"/>
  <c r="K104" i="1"/>
  <c r="Z11" i="41"/>
  <c r="AD104" i="39"/>
  <c r="BR63" i="36"/>
  <c r="BS35" i="26"/>
  <c r="AX31" i="39"/>
  <c r="CZ38"/>
  <c r="BT82" i="41"/>
  <c r="BT76"/>
  <c r="AZ55" i="36"/>
  <c r="AZ84" s="1"/>
  <c r="N22" i="38"/>
  <c r="AF63" i="41"/>
  <c r="AM51" i="40"/>
  <c r="CI82" i="41"/>
  <c r="BX93" i="39"/>
  <c r="AY35" i="41"/>
  <c r="L63"/>
  <c r="Y35" i="36"/>
  <c r="BZ38" i="1"/>
  <c r="CI99"/>
  <c r="DC72" i="36"/>
  <c r="CR11" i="38"/>
  <c r="CR15" s="1"/>
  <c r="CR40" s="1"/>
  <c r="BU72" i="41"/>
  <c r="BF10" i="1"/>
  <c r="AE19" i="39"/>
  <c r="I14" i="41"/>
  <c r="AD76" i="40"/>
  <c r="AR76" i="1"/>
  <c r="AD63" i="26"/>
  <c r="AT31" i="39"/>
  <c r="AT32" s="1"/>
  <c r="CC22" i="26"/>
  <c r="CP68" i="37"/>
  <c r="O55" i="36"/>
  <c r="M31" i="38"/>
  <c r="DB72" i="1"/>
  <c r="X28" i="39"/>
  <c r="S72" i="41"/>
  <c r="AX76" i="36"/>
  <c r="AT51" i="25"/>
  <c r="AT84" s="1"/>
  <c r="CQ35" i="26"/>
  <c r="CU55" i="39"/>
  <c r="X11"/>
  <c r="X15" s="1"/>
  <c r="X40" s="1"/>
  <c r="AA68" i="37"/>
  <c r="AE55" i="40"/>
  <c r="CS93" i="37"/>
  <c r="CB55" i="26"/>
  <c r="CB84" s="1"/>
  <c r="CF14" i="40"/>
  <c r="CF15" s="1"/>
  <c r="CE104" i="37"/>
  <c r="BZ76" i="26"/>
  <c r="BU99"/>
  <c r="BU106" s="1"/>
  <c r="AQ14" i="36"/>
  <c r="CD55" i="38"/>
  <c r="BU11" i="41"/>
  <c r="BZ93" i="37"/>
  <c r="BB55"/>
  <c r="BB35" i="1"/>
  <c r="CE35" i="37"/>
  <c r="CW93" i="41"/>
  <c r="CM31" i="40"/>
  <c r="CC46" i="41"/>
  <c r="CE11" i="26"/>
  <c r="CV28" i="41"/>
  <c r="CV32" s="1"/>
  <c r="L22" i="39"/>
  <c r="AF63" i="36"/>
  <c r="Y51" i="25"/>
  <c r="BF79"/>
  <c r="AM82"/>
  <c r="CZ11" i="39"/>
  <c r="BP31" i="38"/>
  <c r="L93"/>
  <c r="L106" s="1"/>
  <c r="BE35" i="26"/>
  <c r="CX93" i="37"/>
  <c r="CZ19" i="25"/>
  <c r="Q54" i="37"/>
  <c r="AY31" i="1"/>
  <c r="I28"/>
  <c r="I32" s="1"/>
  <c r="AO46" i="37"/>
  <c r="N63"/>
  <c r="CU19" i="25"/>
  <c r="BX46"/>
  <c r="BE28" i="36"/>
  <c r="BR19" i="41"/>
  <c r="DE93" i="37"/>
  <c r="DE106" s="1"/>
  <c r="BH63" i="26"/>
  <c r="BJ63" s="1"/>
  <c r="BJ57"/>
  <c r="DA14" i="1"/>
  <c r="DA15" s="1"/>
  <c r="J22" i="37"/>
  <c r="BE72" i="26"/>
  <c r="DD22" i="1"/>
  <c r="CF68" i="37"/>
  <c r="CZ82"/>
  <c r="CC82" i="25"/>
  <c r="AS51" i="40"/>
  <c r="T28" i="41"/>
  <c r="T32" s="1"/>
  <c r="CS14"/>
  <c r="M11" i="25"/>
  <c r="BY93" i="40"/>
  <c r="X14" i="60"/>
  <c r="W68" i="38"/>
  <c r="AE28"/>
  <c r="BD93" i="40"/>
  <c r="BA38" i="39"/>
  <c r="BU14" i="26"/>
  <c r="BU15" s="1"/>
  <c r="BA28" i="40"/>
  <c r="BJ12" i="26"/>
  <c r="BH14"/>
  <c r="CP63" i="39"/>
  <c r="AT11" i="41"/>
  <c r="AN19" i="26"/>
  <c r="CA28" i="1"/>
  <c r="AJ82" i="39"/>
  <c r="CA76" i="41"/>
  <c r="CI19" i="36"/>
  <c r="CN68" i="26"/>
  <c r="BQ72" i="25"/>
  <c r="CV68" i="37"/>
  <c r="AH46" i="40"/>
  <c r="N68" i="1"/>
  <c r="AN32" i="36"/>
  <c r="CY72" i="41"/>
  <c r="BR63"/>
  <c r="CE14" i="1"/>
  <c r="CE15" s="1"/>
  <c r="CE40" s="1"/>
  <c r="CY22" i="39"/>
  <c r="AG11"/>
  <c r="AG72"/>
  <c r="CY63" i="41"/>
  <c r="AQ22" i="38"/>
  <c r="CH82" i="1"/>
  <c r="DD93" i="26"/>
  <c r="I93" i="25"/>
  <c r="AE55"/>
  <c r="CE28" i="40"/>
  <c r="AU63" i="25"/>
  <c r="BB55"/>
  <c r="K99" i="38"/>
  <c r="CM14" i="26"/>
  <c r="L11" i="37"/>
  <c r="CH76" i="36"/>
  <c r="CJ82" i="37"/>
  <c r="CG46" i="36"/>
  <c r="BX82" i="40"/>
  <c r="Q30"/>
  <c r="BL30" s="1"/>
  <c r="AO51" i="25"/>
  <c r="AO84" s="1"/>
  <c r="CV72" i="26"/>
  <c r="BZ31" i="37"/>
  <c r="AD76" i="39"/>
  <c r="AT68" i="37"/>
  <c r="AO22" i="1"/>
  <c r="DC68" i="40"/>
  <c r="BJ50" i="26"/>
  <c r="CP104" i="1"/>
  <c r="CT46" i="40"/>
  <c r="DB68" i="41"/>
  <c r="AP63" i="39"/>
  <c r="AC14" i="1"/>
  <c r="AN63" i="40"/>
  <c r="DA19" i="41"/>
  <c r="DA55" i="39"/>
  <c r="BW28" i="26"/>
  <c r="BA55" i="1"/>
  <c r="T38" i="39"/>
  <c r="AV82" i="25"/>
  <c r="BC93" i="1"/>
  <c r="L19"/>
  <c r="N22" i="36"/>
  <c r="CY76" i="39"/>
  <c r="BJ29" i="38"/>
  <c r="BH31"/>
  <c r="CJ28" i="25"/>
  <c r="AX31" i="41"/>
  <c r="AZ28" i="36"/>
  <c r="CG19" i="26"/>
  <c r="AW76" i="36"/>
  <c r="CB28" i="37"/>
  <c r="BF54" i="39"/>
  <c r="AJ14" i="38"/>
  <c r="Q60"/>
  <c r="BB11" i="39"/>
  <c r="AP68"/>
  <c r="CQ11" i="36"/>
  <c r="CO76" i="40"/>
  <c r="BU51"/>
  <c r="BU84" s="1"/>
  <c r="BD55" i="37"/>
  <c r="BF79" i="39"/>
  <c r="AM82"/>
  <c r="BE55"/>
  <c r="CZ35" i="26"/>
  <c r="CM11" i="40"/>
  <c r="CM15" s="1"/>
  <c r="CS22" i="1"/>
  <c r="AC11" i="41"/>
  <c r="BW68" i="26"/>
  <c r="BX63" i="38"/>
  <c r="CO46" i="41"/>
  <c r="CE93" i="39"/>
  <c r="CE106" s="1"/>
  <c r="BX68" i="26"/>
  <c r="CP99" i="41"/>
  <c r="CA51"/>
  <c r="BW93"/>
  <c r="BW106" s="1"/>
  <c r="I93" i="1"/>
  <c r="I106" s="1"/>
  <c r="BJ12" i="38"/>
  <c r="BH14"/>
  <c r="P55" i="40"/>
  <c r="AC28" i="26"/>
  <c r="AQ99" i="37"/>
  <c r="CB11" i="40"/>
  <c r="CJ28" i="39"/>
  <c r="CJ32" s="1"/>
  <c r="BY93" i="1"/>
  <c r="AV14" i="25"/>
  <c r="CV76"/>
  <c r="BW82" i="40"/>
  <c r="AS22" i="38"/>
  <c r="O63" i="1"/>
  <c r="AB51"/>
  <c r="CU63" i="26"/>
  <c r="AW35" i="1"/>
  <c r="CT104" i="25"/>
  <c r="BC76" i="1"/>
  <c r="BV82" i="37"/>
  <c r="AB31" i="38"/>
  <c r="AB32" s="1"/>
  <c r="BC63" i="36"/>
  <c r="CB46" i="25"/>
  <c r="AZ72" i="37"/>
  <c r="CF72"/>
  <c r="J19" i="36"/>
  <c r="AF93" i="26"/>
  <c r="I82" i="36"/>
  <c r="AR51" i="37"/>
  <c r="G46" i="39"/>
  <c r="Q45"/>
  <c r="AD14" i="37"/>
  <c r="AD15" s="1"/>
  <c r="AD40" s="1"/>
  <c r="AD95" s="1"/>
  <c r="AQ93" i="40"/>
  <c r="AC55"/>
  <c r="CO72"/>
  <c r="DE82" i="37"/>
  <c r="BY46" i="36"/>
  <c r="BZ32"/>
  <c r="CJ104" i="1"/>
  <c r="AV51" i="36"/>
  <c r="BV63" i="26"/>
  <c r="BU11" i="25"/>
  <c r="CP99" i="38"/>
  <c r="DE22"/>
  <c r="Y19" i="41"/>
  <c r="Y40" s="1"/>
  <c r="BX46" i="40"/>
  <c r="BA76" i="26"/>
  <c r="BJ10" i="25"/>
  <c r="CZ93" i="36"/>
  <c r="CE22" i="37"/>
  <c r="M31" i="1"/>
  <c r="BI72"/>
  <c r="X55" i="41"/>
  <c r="AP38" i="25"/>
  <c r="CO63" i="1"/>
  <c r="BW31" i="40"/>
  <c r="BW32" s="1"/>
  <c r="AQ19" i="38"/>
  <c r="CI68" i="25"/>
  <c r="CE76" i="36"/>
  <c r="AF55" i="38"/>
  <c r="V19" i="36"/>
  <c r="AU22" i="41"/>
  <c r="AW104" i="36"/>
  <c r="AC51" i="37"/>
  <c r="AC84" s="1"/>
  <c r="AB93" i="40"/>
  <c r="CS68" i="39"/>
  <c r="AZ35" i="40"/>
  <c r="BI35" i="41"/>
  <c r="BJ35" s="1"/>
  <c r="CX82" i="40"/>
  <c r="BB31" i="36"/>
  <c r="CE63" i="1"/>
  <c r="CE82" i="37"/>
  <c r="CM63" i="1"/>
  <c r="CM55" i="37"/>
  <c r="CE72" i="40"/>
  <c r="AA35" i="26"/>
  <c r="J63" i="25"/>
  <c r="AT76" i="40"/>
  <c r="AZ22" i="38"/>
  <c r="CK99" i="26"/>
  <c r="I14" i="40"/>
  <c r="CB11" i="41"/>
  <c r="CJ99" i="40"/>
  <c r="M35" i="36"/>
  <c r="Q35" s="1"/>
  <c r="I72"/>
  <c r="AD51" i="37"/>
  <c r="AR72" i="40"/>
  <c r="BZ99" i="36"/>
  <c r="BY68" i="26"/>
  <c r="N35"/>
  <c r="AP46" i="36"/>
  <c r="DA76" i="26"/>
  <c r="AR76" i="38"/>
  <c r="Z72" i="25"/>
  <c r="CF35" i="38"/>
  <c r="CL14" i="39"/>
  <c r="BC104" i="38"/>
  <c r="AR99" i="40"/>
  <c r="CW22" i="37"/>
  <c r="CK46"/>
  <c r="BX28" i="38"/>
  <c r="AN28" i="26"/>
  <c r="J99" i="36"/>
  <c r="L104" i="26"/>
  <c r="Q104" s="1"/>
  <c r="BC93" i="37"/>
  <c r="Q27" i="41"/>
  <c r="O22" i="40"/>
  <c r="CS55" i="36"/>
  <c r="CG38" i="41"/>
  <c r="CB22" i="37"/>
  <c r="CQ82" i="26"/>
  <c r="M14" i="37"/>
  <c r="CP11" i="41"/>
  <c r="CB93" i="38"/>
  <c r="CI72" i="41"/>
  <c r="BR104" i="39"/>
  <c r="AK59" i="41"/>
  <c r="AF82" i="38"/>
  <c r="AW31" i="37"/>
  <c r="AV28" i="1"/>
  <c r="BT82" i="25"/>
  <c r="CX19" i="37"/>
  <c r="AX76" i="26"/>
  <c r="BV55"/>
  <c r="H72" i="25"/>
  <c r="O99" i="41"/>
  <c r="P99" i="37"/>
  <c r="BS104" i="41"/>
  <c r="BT82" i="1"/>
  <c r="AX14" i="36"/>
  <c r="AX15" s="1"/>
  <c r="BD11" i="37"/>
  <c r="X68" i="25"/>
  <c r="BC19" i="39"/>
  <c r="BT99" i="25"/>
  <c r="AT68" i="1"/>
  <c r="BR55" i="41"/>
  <c r="CM99" i="36"/>
  <c r="BH68" i="40"/>
  <c r="BJ65"/>
  <c r="BT76" i="25"/>
  <c r="BS38" i="36"/>
  <c r="BJ27" i="37"/>
  <c r="CR99" i="26"/>
  <c r="CW99" i="40"/>
  <c r="N76" i="39"/>
  <c r="BW14" i="26"/>
  <c r="CM51" i="38"/>
  <c r="CM84" s="1"/>
  <c r="CD22" i="26"/>
  <c r="BW38" i="25"/>
  <c r="AS14" i="36"/>
  <c r="AR11" i="41"/>
  <c r="AP72" i="39"/>
  <c r="BF72" s="1"/>
  <c r="DF22" i="1"/>
  <c r="AY55" i="25"/>
  <c r="V76" i="39"/>
  <c r="O14" i="40"/>
  <c r="O15" s="1"/>
  <c r="O40" s="1"/>
  <c r="BX31" i="37"/>
  <c r="AQ46" i="40"/>
  <c r="U19" i="41"/>
  <c r="AR93" i="36"/>
  <c r="AR106" s="1"/>
  <c r="CN68" i="38"/>
  <c r="AZ31"/>
  <c r="AF55" i="25"/>
  <c r="CR68" i="37"/>
  <c r="S63" i="1"/>
  <c r="L82" i="26"/>
  <c r="CG32" i="41"/>
  <c r="AG19" i="25"/>
  <c r="CV22" i="38"/>
  <c r="BQ99" i="41"/>
  <c r="CS93" i="38"/>
  <c r="CS106" s="1"/>
  <c r="CQ35" i="37"/>
  <c r="BW46"/>
  <c r="CT93" i="25"/>
  <c r="M99" i="37"/>
  <c r="M106" s="1"/>
  <c r="BY14" i="36"/>
  <c r="BY15" s="1"/>
  <c r="O14" i="1"/>
  <c r="Q27" i="25"/>
  <c r="DF63"/>
  <c r="BX93" i="1"/>
  <c r="BX106" s="1"/>
  <c r="AM11" i="38"/>
  <c r="AM15" s="1"/>
  <c r="BC38" i="39"/>
  <c r="BP46" i="1"/>
  <c r="CU51" i="41"/>
  <c r="CW46" i="39"/>
  <c r="AH76" i="26"/>
  <c r="AG46" i="37"/>
  <c r="J28" i="25"/>
  <c r="I14" i="1"/>
  <c r="I15" s="1"/>
  <c r="DD68" i="25"/>
  <c r="CM22" i="40"/>
  <c r="AP82" i="41"/>
  <c r="U35"/>
  <c r="CV72" i="36"/>
  <c r="CW35" i="1"/>
  <c r="CT19" i="36"/>
  <c r="AX31" i="38"/>
  <c r="BU72" i="1"/>
  <c r="AC11" i="25"/>
  <c r="BR38" i="37"/>
  <c r="CV19" i="36"/>
  <c r="AC35" i="39"/>
  <c r="AT76" i="1"/>
  <c r="DF104" i="26"/>
  <c r="DB63" i="38"/>
  <c r="AE63" i="1"/>
  <c r="CZ46" i="40"/>
  <c r="CE82" i="1"/>
  <c r="AO76" i="39"/>
  <c r="AP51" i="36"/>
  <c r="BC19" i="38"/>
  <c r="CA68" i="1"/>
  <c r="BZ99" i="41"/>
  <c r="AZ55" i="26"/>
  <c r="AU31" i="36"/>
  <c r="BP104" i="1"/>
  <c r="CO31" i="41"/>
  <c r="AU35" i="1"/>
  <c r="DF99" i="25"/>
  <c r="DF84" s="1"/>
  <c r="M28" i="39"/>
  <c r="BT38" i="26"/>
  <c r="CN104" i="37"/>
  <c r="CH104" i="25"/>
  <c r="BY82" i="38"/>
  <c r="BR14" i="41"/>
  <c r="L63" i="39"/>
  <c r="AZ55" i="1"/>
  <c r="AZ84" s="1"/>
  <c r="BY14" i="25"/>
  <c r="BY15" s="1"/>
  <c r="BY40" s="1"/>
  <c r="BD99" i="40"/>
  <c r="BS31" i="38"/>
  <c r="AG68" i="39"/>
  <c r="BJ58" i="36"/>
  <c r="CY14" i="41"/>
  <c r="CY15" s="1"/>
  <c r="CC63" i="40"/>
  <c r="CB31" i="37"/>
  <c r="CB32" s="1"/>
  <c r="BB99" i="38"/>
  <c r="BV72" i="1"/>
  <c r="AN14" i="25"/>
  <c r="AN15" s="1"/>
  <c r="AS82"/>
  <c r="BE11"/>
  <c r="AM93" i="36"/>
  <c r="BF89"/>
  <c r="Q57" i="38"/>
  <c r="G63"/>
  <c r="AN82"/>
  <c r="DD72" i="1"/>
  <c r="DE22" i="40"/>
  <c r="BS35" i="41"/>
  <c r="AN22" i="25"/>
  <c r="BE76" i="37"/>
  <c r="CW14" i="25"/>
  <c r="CW15" s="1"/>
  <c r="CW40" s="1"/>
  <c r="CH99" i="38"/>
  <c r="CH106" s="1"/>
  <c r="BR14" i="40"/>
  <c r="CZ63" i="26"/>
  <c r="DD55" i="39"/>
  <c r="BZ35" i="38"/>
  <c r="AW14" i="37"/>
  <c r="AP76" i="36"/>
  <c r="J104"/>
  <c r="Q104" s="1"/>
  <c r="CM76" i="40"/>
  <c r="CZ28" i="41"/>
  <c r="BP28" i="36"/>
  <c r="CG68" i="39"/>
  <c r="CN51" i="37"/>
  <c r="AV82"/>
  <c r="AJ55" i="39"/>
  <c r="AU55" i="41"/>
  <c r="J46" i="1"/>
  <c r="AJ35" i="38"/>
  <c r="CM22"/>
  <c r="CI28" i="40"/>
  <c r="CI32" s="1"/>
  <c r="CI40" s="1"/>
  <c r="BI19" i="39"/>
  <c r="BH63"/>
  <c r="BJ63" s="1"/>
  <c r="BJ57"/>
  <c r="DB82" i="41"/>
  <c r="M99" i="26"/>
  <c r="M106" s="1"/>
  <c r="AW51" i="36"/>
  <c r="CQ38" i="37"/>
  <c r="AS99" i="26"/>
  <c r="CX93" i="36"/>
  <c r="CX106" s="1"/>
  <c r="BZ38" i="38"/>
  <c r="BO104" i="25"/>
  <c r="BE63" i="1"/>
  <c r="CX38" i="26"/>
  <c r="BR93" i="41"/>
  <c r="BR106" s="1"/>
  <c r="BT72" i="36"/>
  <c r="CG93" i="37"/>
  <c r="BU32" i="1"/>
  <c r="CC72" i="38"/>
  <c r="BX19" i="26"/>
  <c r="CC35"/>
  <c r="BF62"/>
  <c r="AU14" i="39"/>
  <c r="AU15" s="1"/>
  <c r="U63" i="26"/>
  <c r="AS76" i="36"/>
  <c r="AU22" i="26"/>
  <c r="BI35" i="39"/>
  <c r="AP31"/>
  <c r="AP32" s="1"/>
  <c r="CT51" i="40"/>
  <c r="CT84" s="1"/>
  <c r="AF38" i="37"/>
  <c r="CO46"/>
  <c r="BY19" i="40"/>
  <c r="DF99" i="1"/>
  <c r="DF84" s="1"/>
  <c r="CF55" i="41"/>
  <c r="AX55" i="26"/>
  <c r="N221" i="46"/>
  <c r="DA93" i="39"/>
  <c r="DA106" s="1"/>
  <c r="AE35" i="36"/>
  <c r="AU22" i="38"/>
  <c r="BC55" i="39"/>
  <c r="CE31" i="37"/>
  <c r="CE32" s="1"/>
  <c r="AB19" i="25"/>
  <c r="CP31" i="41"/>
  <c r="CP55" i="36"/>
  <c r="AD38" i="38"/>
  <c r="V63" i="41"/>
  <c r="AZ22"/>
  <c r="DF51"/>
  <c r="DB99" i="38"/>
  <c r="CP19" i="39"/>
  <c r="CQ14" i="41"/>
  <c r="CA35" i="25"/>
  <c r="BA46" i="1"/>
  <c r="CE28" i="41"/>
  <c r="CE32" s="1"/>
  <c r="K82" i="1"/>
  <c r="BD76" i="25"/>
  <c r="DA68" i="36"/>
  <c r="BJ60"/>
  <c r="L19" i="25"/>
  <c r="L104" i="36"/>
  <c r="Z35" i="38"/>
  <c r="CT63" i="41"/>
  <c r="DB63" i="36"/>
  <c r="DB93" i="1"/>
  <c r="CR14" i="26"/>
  <c r="CR15" s="1"/>
  <c r="AT82" i="41"/>
  <c r="AM22" i="26"/>
  <c r="BF21"/>
  <c r="BX31" i="41"/>
  <c r="BX32" s="1"/>
  <c r="DH49" i="26"/>
  <c r="BF91" i="36"/>
  <c r="BD68" i="25"/>
  <c r="DH58" i="37"/>
  <c r="CB72" i="36"/>
  <c r="AS51" i="41"/>
  <c r="CH35" i="1"/>
  <c r="AH68" i="39"/>
  <c r="AH84" s="1"/>
  <c r="H55"/>
  <c r="L11" i="38"/>
  <c r="CX93" i="1"/>
  <c r="DF31" i="41"/>
  <c r="DF32" s="1"/>
  <c r="CE82" i="25"/>
  <c r="DB82" i="40"/>
  <c r="Q67" i="41"/>
  <c r="X63" i="36"/>
  <c r="X84" s="1"/>
  <c r="BV11" i="25"/>
  <c r="BB14" i="1"/>
  <c r="BB15" s="1"/>
  <c r="K68" i="36"/>
  <c r="Y11" i="40"/>
  <c r="Y15" s="1"/>
  <c r="Y40" s="1"/>
  <c r="AV28" i="41"/>
  <c r="O68" i="37"/>
  <c r="AS51" i="39"/>
  <c r="CF22" i="38"/>
  <c r="L31" i="25"/>
  <c r="Q31" s="1"/>
  <c r="G51" i="41"/>
  <c r="Q48"/>
  <c r="BA99" i="40"/>
  <c r="AJ51" i="38"/>
  <c r="BY46" i="1"/>
  <c r="BJ60"/>
  <c r="BT38" i="41"/>
  <c r="O31" i="36"/>
  <c r="Z99" i="37"/>
  <c r="CJ55" i="25"/>
  <c r="CM46" i="37"/>
  <c r="BA28" i="1"/>
  <c r="BA32" s="1"/>
  <c r="CD14" i="37"/>
  <c r="AF68" i="1"/>
  <c r="BS28" i="41"/>
  <c r="DD104" i="25"/>
  <c r="AH55" i="39"/>
  <c r="DH27" i="26"/>
  <c r="H76" i="40"/>
  <c r="Q76" s="1"/>
  <c r="P14" i="1"/>
  <c r="CV63" i="25"/>
  <c r="N55" i="39"/>
  <c r="BR68" i="37"/>
  <c r="BW99" i="25"/>
  <c r="BW106" s="1"/>
  <c r="BU72" i="40"/>
  <c r="H99" i="36"/>
  <c r="CN38" i="26"/>
  <c r="AB104" i="37"/>
  <c r="AB106" s="1"/>
  <c r="K31" i="25"/>
  <c r="M14" i="40"/>
  <c r="M15" s="1"/>
  <c r="Y93" i="26"/>
  <c r="BZ55" i="37"/>
  <c r="BE76" i="38"/>
  <c r="AE46"/>
  <c r="CX63" i="25"/>
  <c r="CX84" s="1"/>
  <c r="DE28" i="26"/>
  <c r="AE35" i="40"/>
  <c r="X42" i="60"/>
  <c r="AQ51" i="41"/>
  <c r="AQ84" s="1"/>
  <c r="BU93" i="37"/>
  <c r="BU106" s="1"/>
  <c r="CD31" i="1"/>
  <c r="CD32" s="1"/>
  <c r="AQ63" i="40"/>
  <c r="DF93" i="1"/>
  <c r="Q45" i="26"/>
  <c r="G46"/>
  <c r="CY82"/>
  <c r="CI19"/>
  <c r="CO46" i="36"/>
  <c r="BS11" i="40"/>
  <c r="BT31" i="39"/>
  <c r="CO28" i="26"/>
  <c r="CO32" s="1"/>
  <c r="AH72" i="25"/>
  <c r="AI93" i="40"/>
  <c r="AI106" s="1"/>
  <c r="J19" i="39"/>
  <c r="CE31" i="25"/>
  <c r="CS63" i="26"/>
  <c r="CY19" i="1"/>
  <c r="BU35" i="38"/>
  <c r="BY11"/>
  <c r="BY15" s="1"/>
  <c r="AF72" i="36"/>
  <c r="AC31" i="41"/>
  <c r="CR55" i="37"/>
  <c r="K22" i="38"/>
  <c r="AF38" i="25"/>
  <c r="AM76" i="40"/>
  <c r="CQ63" i="38"/>
  <c r="Z38" i="41"/>
  <c r="CI38" i="26"/>
  <c r="AH35"/>
  <c r="Z28" i="37"/>
  <c r="CD76"/>
  <c r="AO32" i="41"/>
  <c r="CY76" i="38"/>
  <c r="BY68"/>
  <c r="CH14" i="36"/>
  <c r="CH15" s="1"/>
  <c r="CU31" i="41"/>
  <c r="N63" i="38"/>
  <c r="AY72" i="1"/>
  <c r="AY55" i="41"/>
  <c r="AH82" i="25"/>
  <c r="H11" i="26"/>
  <c r="CP82" i="40"/>
  <c r="DF28"/>
  <c r="DF32" s="1"/>
  <c r="BS19" i="38"/>
  <c r="BV22" i="40"/>
  <c r="CC99" i="38"/>
  <c r="CC93"/>
  <c r="CC106" s="1"/>
  <c r="K19" i="37"/>
  <c r="BJ54" i="38"/>
  <c r="CH51" i="41"/>
  <c r="CI76" i="37"/>
  <c r="AF22" i="38"/>
  <c r="AE104"/>
  <c r="AT38" i="40"/>
  <c r="AK62"/>
  <c r="BL62" s="1"/>
  <c r="AJ63"/>
  <c r="Q91" i="39"/>
  <c r="K31" i="37"/>
  <c r="BQ76" i="40"/>
  <c r="DH76" s="1"/>
  <c r="K72" i="39"/>
  <c r="BS46" i="38"/>
  <c r="AQ82" i="25"/>
  <c r="AC38" i="26"/>
  <c r="DF19" i="36"/>
  <c r="DD99" i="1"/>
  <c r="AC63" i="36"/>
  <c r="BW72" i="38"/>
  <c r="CX38" i="40"/>
  <c r="BV14" i="41"/>
  <c r="BO99" i="36"/>
  <c r="CS63" i="40"/>
  <c r="CS84" s="1"/>
  <c r="DE72" i="26"/>
  <c r="CL82" i="36"/>
  <c r="AX55" i="37"/>
  <c r="BU68" i="36"/>
  <c r="BU84" s="1"/>
  <c r="CC38" i="25"/>
  <c r="CR46" i="36"/>
  <c r="CZ38" i="37"/>
  <c r="CP93"/>
  <c r="CS35" i="25"/>
  <c r="CG68" i="41"/>
  <c r="AA76" i="36"/>
  <c r="BF91" i="37"/>
  <c r="O99" i="26"/>
  <c r="BR46" i="1"/>
  <c r="CV68" i="25"/>
  <c r="BE82" i="26"/>
  <c r="CW31" i="36"/>
  <c r="BQ63" i="40"/>
  <c r="AS99" i="39"/>
  <c r="AF31" i="41"/>
  <c r="CJ104" i="40"/>
  <c r="AG72" i="25"/>
  <c r="BW72" i="26"/>
  <c r="CQ104" i="38"/>
  <c r="CQ106" s="1"/>
  <c r="CS51"/>
  <c r="CS84" s="1"/>
  <c r="CP55" i="37"/>
  <c r="CO31" i="40"/>
  <c r="Q53"/>
  <c r="G55"/>
  <c r="G84" s="1"/>
  <c r="BP68" i="36"/>
  <c r="CS22" i="41"/>
  <c r="AC19" i="39"/>
  <c r="CG38" i="25"/>
  <c r="CK104" i="39"/>
  <c r="CK106" s="1"/>
  <c r="BT14" i="40"/>
  <c r="BT15" s="1"/>
  <c r="CD11" i="37"/>
  <c r="CV11" i="25"/>
  <c r="CK99" i="37"/>
  <c r="Z51"/>
  <c r="DE14" i="41"/>
  <c r="DE15" s="1"/>
  <c r="DE40" s="1"/>
  <c r="CK82" i="26"/>
  <c r="BW72" i="36"/>
  <c r="CO35" i="41"/>
  <c r="CL76" i="40"/>
  <c r="CR93" i="25"/>
  <c r="CP99" i="36"/>
  <c r="CX46"/>
  <c r="W28" i="37"/>
  <c r="W32" s="1"/>
  <c r="BE104" i="38"/>
  <c r="I46" i="37"/>
  <c r="O63" i="41"/>
  <c r="CV76" i="36"/>
  <c r="CX38" i="25"/>
  <c r="BY31" i="41"/>
  <c r="BE28" i="25"/>
  <c r="CM14" i="39"/>
  <c r="AJ99"/>
  <c r="AJ106" s="1"/>
  <c r="BT35" i="25"/>
  <c r="CO31" i="36"/>
  <c r="CO32" s="1"/>
  <c r="N22" i="1"/>
  <c r="Q10" i="37"/>
  <c r="BU22" i="41"/>
  <c r="V46" i="25"/>
  <c r="CX55" i="1"/>
  <c r="CG68" i="38"/>
  <c r="BH22" i="41"/>
  <c r="BJ22" s="1"/>
  <c r="BJ21"/>
  <c r="CO104" i="39"/>
  <c r="CO106" s="1"/>
  <c r="CV38" i="38"/>
  <c r="CY55" i="41"/>
  <c r="CC31" i="38"/>
  <c r="CC32" s="1"/>
  <c r="CT22" i="41"/>
  <c r="Z19" i="40"/>
  <c r="CE11" i="1"/>
  <c r="CK11" i="37"/>
  <c r="BR55" i="39"/>
  <c r="AZ22" i="37"/>
  <c r="J82" i="40"/>
  <c r="K76" i="26"/>
  <c r="DA14" i="41"/>
  <c r="DA15" s="1"/>
  <c r="DA40" s="1"/>
  <c r="BP76" i="36"/>
  <c r="AG11" i="25"/>
  <c r="AG15" s="1"/>
  <c r="AY35" i="39"/>
  <c r="H22" i="40"/>
  <c r="AH28" i="1"/>
  <c r="BE76" i="41"/>
  <c r="W42" i="60"/>
  <c r="CO68" i="1"/>
  <c r="CO84" s="1"/>
  <c r="BW31" i="39"/>
  <c r="CC76" i="1"/>
  <c r="CW38" i="25"/>
  <c r="CR46" i="38"/>
  <c r="CN55" i="26"/>
  <c r="CZ51" i="36"/>
  <c r="H99" i="1"/>
  <c r="BP72" i="26"/>
  <c r="CP76" i="25"/>
  <c r="X11" i="41"/>
  <c r="CN82" i="1"/>
  <c r="BS19" i="26"/>
  <c r="BW99" i="37"/>
  <c r="CN11" i="41"/>
  <c r="CJ31" i="40"/>
  <c r="CJ32" s="1"/>
  <c r="AK60"/>
  <c r="BA19"/>
  <c r="AA93"/>
  <c r="I68" i="41"/>
  <c r="CY31" i="38"/>
  <c r="CY32" s="1"/>
  <c r="DC93" i="37"/>
  <c r="AN93" i="25"/>
  <c r="BW82" i="41"/>
  <c r="CQ93" i="39"/>
  <c r="L46" i="40"/>
  <c r="CI19" i="1"/>
  <c r="CI76"/>
  <c r="CC93" i="25"/>
  <c r="CL63" i="41"/>
  <c r="BD28" i="40"/>
  <c r="CI55" i="36"/>
  <c r="CI84" s="1"/>
  <c r="CJ19" i="38"/>
  <c r="BS82" i="40"/>
  <c r="P31" i="37"/>
  <c r="BW14" i="41"/>
  <c r="BW15" s="1"/>
  <c r="CG68" i="25"/>
  <c r="BW38" i="40"/>
  <c r="CA104" i="39"/>
  <c r="CC51" i="41"/>
  <c r="CC84" s="1"/>
  <c r="AS14" i="37"/>
  <c r="V82" i="25"/>
  <c r="CK72" i="37"/>
  <c r="CY93" i="36"/>
  <c r="CW19" i="38"/>
  <c r="AV31"/>
  <c r="X63" i="37"/>
  <c r="DE11"/>
  <c r="DE15" s="1"/>
  <c r="X55" i="25"/>
  <c r="CG93"/>
  <c r="CS76"/>
  <c r="AS28" i="41"/>
  <c r="AS32" s="1"/>
  <c r="CI63" i="37"/>
  <c r="CU99"/>
  <c r="CH55" i="40"/>
  <c r="CY46" i="37"/>
  <c r="BX82" i="41"/>
  <c r="BX104" i="39"/>
  <c r="CA104" i="37"/>
  <c r="G28" i="41"/>
  <c r="G32" s="1"/>
  <c r="Q26"/>
  <c r="AV55" i="36"/>
  <c r="AP35" i="41"/>
  <c r="U68" i="26"/>
  <c r="CO28" i="40"/>
  <c r="U28" i="38"/>
  <c r="CD99" i="36"/>
  <c r="X31" i="1"/>
  <c r="CH14" i="26"/>
  <c r="CO72"/>
  <c r="CP38" i="41"/>
  <c r="AW104" i="26"/>
  <c r="BX19" i="37"/>
  <c r="AA51" i="40"/>
  <c r="L28" i="26"/>
  <c r="BU99" i="1"/>
  <c r="CG28" i="26"/>
  <c r="AX38" i="41"/>
  <c r="BJ24" i="38"/>
  <c r="CS28" i="37"/>
  <c r="CR22" i="26"/>
  <c r="CM93" i="38"/>
  <c r="K19" i="40"/>
  <c r="CK22" i="37"/>
  <c r="BW19" i="26"/>
  <c r="CE68" i="38"/>
  <c r="CA68" i="41"/>
  <c r="AX46"/>
  <c r="BP68" i="1"/>
  <c r="L104" i="25"/>
  <c r="BJ98"/>
  <c r="CN46" i="41"/>
  <c r="X72"/>
  <c r="BQ99" i="36"/>
  <c r="AM99" i="25"/>
  <c r="BF96"/>
  <c r="CS22" i="36"/>
  <c r="CS40" s="1"/>
  <c r="CS22" i="26"/>
  <c r="N19"/>
  <c r="AZ104" i="37"/>
  <c r="CK31" i="25"/>
  <c r="CK32" s="1"/>
  <c r="CP35" i="26"/>
  <c r="Z82" i="36"/>
  <c r="CA14" i="25"/>
  <c r="CA15" s="1"/>
  <c r="CA40" s="1"/>
  <c r="CA109" s="1"/>
  <c r="CW19" i="36"/>
  <c r="T31" i="38"/>
  <c r="DF93" i="36"/>
  <c r="CP63" i="40"/>
  <c r="BZ68" i="37"/>
  <c r="CD93" i="25"/>
  <c r="BY31" i="39"/>
  <c r="BY32" s="1"/>
  <c r="BZ35" i="41"/>
  <c r="AJ51" i="37"/>
  <c r="Q10" i="39"/>
  <c r="U68"/>
  <c r="CZ93" i="26"/>
  <c r="CZ106" s="1"/>
  <c r="BI11"/>
  <c r="BI15" s="1"/>
  <c r="BZ51" i="1"/>
  <c r="CX51" i="40"/>
  <c r="CM63" i="36"/>
  <c r="Z99" i="26"/>
  <c r="AT82" i="37"/>
  <c r="CA19" i="40"/>
  <c r="CS38" i="37"/>
  <c r="AX11" i="26"/>
  <c r="BU35" i="36"/>
  <c r="CP46" i="38"/>
  <c r="AR55" i="40"/>
  <c r="DC76" i="25"/>
  <c r="AV68" i="40"/>
  <c r="AY11"/>
  <c r="X55"/>
  <c r="AO76" i="38"/>
  <c r="AV55" i="40"/>
  <c r="CR93" i="41"/>
  <c r="CR38" i="1"/>
  <c r="AF93" i="36"/>
  <c r="BF91" i="38"/>
  <c r="AJ55" i="41"/>
  <c r="CP14"/>
  <c r="CP15" s="1"/>
  <c r="AV38"/>
  <c r="AC38" i="25"/>
  <c r="AJ38" i="1"/>
  <c r="Z19" i="25"/>
  <c r="BC68"/>
  <c r="BD19" i="37"/>
  <c r="BV38" i="38"/>
  <c r="P82" i="37"/>
  <c r="DH66" i="36"/>
  <c r="M82" i="40"/>
  <c r="CD104" i="41"/>
  <c r="CD106" s="1"/>
  <c r="DB104" i="1"/>
  <c r="M104" i="40"/>
  <c r="DA38" i="1"/>
  <c r="CW19" i="25"/>
  <c r="BV93" i="38"/>
  <c r="BV106" s="1"/>
  <c r="DF22"/>
  <c r="CH76" i="26"/>
  <c r="CO35"/>
  <c r="CL55" i="25"/>
  <c r="CL84" s="1"/>
  <c r="CN63" i="36"/>
  <c r="CE22" i="25"/>
  <c r="CC55" i="38"/>
  <c r="CK14" i="25"/>
  <c r="CK15" s="1"/>
  <c r="CK40" s="1"/>
  <c r="AV68" i="26"/>
  <c r="AM104" i="41"/>
  <c r="BF102"/>
  <c r="DF72" i="40"/>
  <c r="DB63" i="1"/>
  <c r="DE35" i="26"/>
  <c r="BV32" i="40"/>
  <c r="I82" i="39"/>
  <c r="CH46"/>
  <c r="CD55"/>
  <c r="I72" i="38"/>
  <c r="BY63" i="25"/>
  <c r="AP19" i="39"/>
  <c r="AX14" i="40"/>
  <c r="BA46" i="26"/>
  <c r="G82" i="25"/>
  <c r="Q79"/>
  <c r="CD63" i="41"/>
  <c r="J76" i="40"/>
  <c r="CW63" i="39"/>
  <c r="CW84" s="1"/>
  <c r="CX68" i="40"/>
  <c r="CX84" s="1"/>
  <c r="CL76" i="36"/>
  <c r="CC19" i="25"/>
  <c r="CG82" i="41"/>
  <c r="I19" i="38"/>
  <c r="AA82"/>
  <c r="AU68" i="25"/>
  <c r="AX28" i="36"/>
  <c r="AX32" s="1"/>
  <c r="BB31" i="41"/>
  <c r="BB32" s="1"/>
  <c r="BI31"/>
  <c r="M31" i="40"/>
  <c r="CW38"/>
  <c r="BT93" i="39"/>
  <c r="DH65" i="25"/>
  <c r="BO68"/>
  <c r="CL72" i="37"/>
  <c r="X72" i="36"/>
  <c r="DD51" i="40"/>
  <c r="AK37" i="41"/>
  <c r="S38"/>
  <c r="AV28" i="36"/>
  <c r="AV32" s="1"/>
  <c r="AW104" i="37"/>
  <c r="CP68" i="40"/>
  <c r="AF22" i="37"/>
  <c r="BH51"/>
  <c r="BJ51" s="1"/>
  <c r="BJ48"/>
  <c r="CX22" i="26"/>
  <c r="CV93" i="38"/>
  <c r="CD82" i="25"/>
  <c r="CX99"/>
  <c r="CN76" i="26"/>
  <c r="CD68" i="39"/>
  <c r="BW51" i="41"/>
  <c r="AO28"/>
  <c r="BF53" i="39"/>
  <c r="AM55"/>
  <c r="BF55" s="1"/>
  <c r="AK26" i="37"/>
  <c r="S28"/>
  <c r="CJ46" i="36"/>
  <c r="CN82" i="37"/>
  <c r="CD55" i="1"/>
  <c r="CQ76" i="41"/>
  <c r="CG68" i="40"/>
  <c r="BZ35"/>
  <c r="BS38" i="25"/>
  <c r="CO82" i="38"/>
  <c r="CU31" i="39"/>
  <c r="BV93" i="37"/>
  <c r="BV106" s="1"/>
  <c r="BF59" i="25"/>
  <c r="DB35" i="39"/>
  <c r="T22" i="41"/>
  <c r="V72" i="38"/>
  <c r="CP104" i="40"/>
  <c r="CP106" s="1"/>
  <c r="BB93" i="37"/>
  <c r="BV51" i="25"/>
  <c r="CX28" i="39"/>
  <c r="CX32" s="1"/>
  <c r="AC22" i="25"/>
  <c r="DC35"/>
  <c r="CT93" i="37"/>
  <c r="BB72" i="36"/>
  <c r="CW51" i="37"/>
  <c r="AP55" i="25"/>
  <c r="BW72"/>
  <c r="CH31" i="39"/>
  <c r="CH32" s="1"/>
  <c r="BY11" i="37"/>
  <c r="CK63" i="41"/>
  <c r="CH82" i="36"/>
  <c r="CM38" i="26"/>
  <c r="BW104" i="36"/>
  <c r="BZ28" i="40"/>
  <c r="CC93"/>
  <c r="CC11" i="39"/>
  <c r="M921" i="14"/>
  <c r="M923"/>
  <c r="L931"/>
  <c r="L930"/>
  <c r="L933"/>
  <c r="L657"/>
  <c r="L621"/>
  <c r="L666"/>
  <c r="L630"/>
  <c r="M540"/>
  <c r="M557" s="1"/>
  <c r="L629"/>
  <c r="M539"/>
  <c r="M556" s="1"/>
  <c r="M592" s="1"/>
  <c r="J921"/>
  <c r="J924"/>
  <c r="J754"/>
  <c r="J922"/>
  <c r="H646" i="17"/>
  <c r="N1129" i="4"/>
  <c r="N1283" s="1"/>
  <c r="N520" i="17"/>
  <c r="N724" s="1"/>
  <c r="H660" i="14"/>
  <c r="H624"/>
  <c r="I563"/>
  <c r="I601"/>
  <c r="H637" i="17"/>
  <c r="H653" s="1"/>
  <c r="H507"/>
  <c r="H522" s="1"/>
  <c r="H726" s="1"/>
  <c r="G575"/>
  <c r="G657" i="14"/>
  <c r="N755"/>
  <c r="I442" i="17"/>
  <c r="G581"/>
  <c r="G582"/>
  <c r="N186" i="13"/>
  <c r="L186"/>
  <c r="K186"/>
  <c r="L539" i="14"/>
  <c r="L556" s="1"/>
  <c r="N664"/>
  <c r="N521" i="17"/>
  <c r="N725" s="1"/>
  <c r="N711" s="1"/>
  <c r="J720" i="14"/>
  <c r="N408" i="17"/>
  <c r="I412" i="15"/>
  <c r="J196" i="12"/>
  <c r="G577" i="17"/>
  <c r="J186" i="13"/>
  <c r="M922" i="14"/>
  <c r="M625"/>
  <c r="K621"/>
  <c r="J538"/>
  <c r="J555" s="1"/>
  <c r="M552"/>
  <c r="M569" s="1"/>
  <c r="I754"/>
  <c r="L642"/>
  <c r="H535"/>
  <c r="H552" s="1"/>
  <c r="H569" s="1"/>
  <c r="G547"/>
  <c r="L547"/>
  <c r="I922"/>
  <c r="N552" i="17"/>
  <c r="N557"/>
  <c r="N452"/>
  <c r="N737" s="1"/>
  <c r="M404" i="15"/>
  <c r="H383" i="17"/>
  <c r="H351"/>
  <c r="H594"/>
  <c r="H616" s="1"/>
  <c r="H318"/>
  <c r="F447" i="42"/>
  <c r="G448" s="1"/>
  <c r="F446"/>
  <c r="G447" s="1"/>
  <c r="F448"/>
  <c r="H529" i="14"/>
  <c r="H546" s="1"/>
  <c r="G619"/>
  <c r="G655"/>
  <c r="G637"/>
  <c r="H393" i="15"/>
  <c r="H396" s="1"/>
  <c r="H409"/>
  <c r="H412" s="1"/>
  <c r="H401"/>
  <c r="H404" s="1"/>
  <c r="H385"/>
  <c r="L169" i="43"/>
  <c r="L271" s="1"/>
  <c r="L168"/>
  <c r="L270" s="1"/>
  <c r="L698" i="14"/>
  <c r="L720" s="1"/>
  <c r="L713"/>
  <c r="L714" s="1"/>
  <c r="L738" s="1"/>
  <c r="K696"/>
  <c r="K755" s="1"/>
  <c r="K504"/>
  <c r="K521" s="1"/>
  <c r="N1119" i="4"/>
  <c r="N1122"/>
  <c r="N1127" s="1"/>
  <c r="J637" i="14"/>
  <c r="J655"/>
  <c r="G87" i="30"/>
  <c r="G122"/>
  <c r="G64" i="57"/>
  <c r="G77"/>
  <c r="G76"/>
  <c r="F76"/>
  <c r="F77"/>
  <c r="H156" i="12" a="1"/>
  <c r="H184"/>
  <c r="M361" i="15"/>
  <c r="F64" i="57"/>
  <c r="L184" i="12"/>
  <c r="L182"/>
  <c r="K392" i="34"/>
  <c r="K393" s="1"/>
  <c r="N674" i="14"/>
  <c r="N689"/>
  <c r="N810" s="1"/>
  <c r="J713"/>
  <c r="J506"/>
  <c r="J523" s="1"/>
  <c r="F553" i="17"/>
  <c r="F560" s="1"/>
  <c r="F450"/>
  <c r="F735" s="1"/>
  <c r="N508"/>
  <c r="N638"/>
  <c r="N641" s="1"/>
  <c r="N370"/>
  <c r="M216" i="10"/>
  <c r="M214"/>
  <c r="M541" i="34"/>
  <c r="M545"/>
  <c r="F497" i="14"/>
  <c r="F514" s="1"/>
  <c r="G531" s="1"/>
  <c r="F689"/>
  <c r="F810" s="1"/>
  <c r="H153" i="18"/>
  <c r="H154"/>
  <c r="N375" i="42"/>
  <c r="N379" s="1"/>
  <c r="N545" s="1"/>
  <c r="H139" i="16"/>
  <c r="N496" i="14"/>
  <c r="N513" s="1"/>
  <c r="N673"/>
  <c r="N718" s="1"/>
  <c r="F523" i="17"/>
  <c r="F727" s="1"/>
  <c r="F520"/>
  <c r="F724" s="1"/>
  <c r="F710" s="1"/>
  <c r="F519"/>
  <c r="F723" s="1"/>
  <c r="F516"/>
  <c r="F411" i="15"/>
  <c r="F412" s="1"/>
  <c r="F395"/>
  <c r="F396" s="1"/>
  <c r="M708" i="14"/>
  <c r="M747" s="1"/>
  <c r="M693"/>
  <c r="I711"/>
  <c r="I696"/>
  <c r="I755" s="1"/>
  <c r="K292" i="13"/>
  <c r="K299"/>
  <c r="G630" i="17"/>
  <c r="G646" s="1"/>
  <c r="G571"/>
  <c r="G583" s="1"/>
  <c r="G567"/>
  <c r="G572" s="1"/>
  <c r="M258" i="13"/>
  <c r="M255"/>
  <c r="M257"/>
  <c r="G868" i="4"/>
  <c r="G884" s="1"/>
  <c r="G861"/>
  <c r="G1074" s="1"/>
  <c r="H246" i="24"/>
  <c r="H377"/>
  <c r="M64" i="57"/>
  <c r="M76"/>
  <c r="I268" i="13"/>
  <c r="I269"/>
  <c r="K688" i="14"/>
  <c r="K746" s="1"/>
  <c r="K673"/>
  <c r="K904" s="1"/>
  <c r="N543" i="17"/>
  <c r="J212" i="24"/>
  <c r="J219" s="1"/>
  <c r="N617" i="17"/>
  <c r="N618" s="1"/>
  <c r="I172" i="16"/>
  <c r="H158" i="12"/>
  <c r="H195" s="1"/>
  <c r="N403" i="15"/>
  <c r="N404" s="1"/>
  <c r="N395"/>
  <c r="N396" s="1"/>
  <c r="G409"/>
  <c r="G401"/>
  <c r="G711" i="14"/>
  <c r="G504"/>
  <c r="G521" s="1"/>
  <c r="L179" i="10"/>
  <c r="L180" s="1"/>
  <c r="G180"/>
  <c r="G644" i="17"/>
  <c r="I432" i="34"/>
  <c r="N432"/>
  <c r="N697" i="14"/>
  <c r="H501"/>
  <c r="H518" s="1"/>
  <c r="H216" i="43"/>
  <c r="F559" i="17"/>
  <c r="F452"/>
  <c r="F737" s="1"/>
  <c r="K376" i="42"/>
  <c r="K380" s="1"/>
  <c r="K544" s="1"/>
  <c r="F575" i="17"/>
  <c r="F584" s="1"/>
  <c r="K436" i="42"/>
  <c r="I375"/>
  <c r="I379" s="1"/>
  <c r="I543" s="1"/>
  <c r="J697" i="14"/>
  <c r="G558" i="17"/>
  <c r="G560" s="1"/>
  <c r="F555"/>
  <c r="F581"/>
  <c r="K567" i="42"/>
  <c r="G559" i="17"/>
  <c r="F572"/>
  <c r="N196" i="12"/>
  <c r="L457" i="34"/>
  <c r="L560" s="1"/>
  <c r="F172" i="16"/>
  <c r="N539" i="17"/>
  <c r="G457" i="34"/>
  <c r="G560" s="1"/>
  <c r="H157" i="12"/>
  <c r="H194" s="1"/>
  <c r="J172" i="16"/>
  <c r="Q76" i="37"/>
  <c r="BH32" i="25"/>
  <c r="CV84" i="39"/>
  <c r="AS84" i="38"/>
  <c r="N106" i="40"/>
  <c r="AI106" i="25"/>
  <c r="CZ106" i="37"/>
  <c r="BF93" i="40"/>
  <c r="CC84" i="38"/>
  <c r="BS84" i="41"/>
  <c r="CV84" i="25"/>
  <c r="BA106" i="40"/>
  <c r="DB106" i="1"/>
  <c r="BF72" i="40"/>
  <c r="DH31" i="25"/>
  <c r="AP84" i="36"/>
  <c r="DH46" i="1"/>
  <c r="AJ15" i="38"/>
  <c r="CW106" i="26"/>
  <c r="BJ31" i="38"/>
  <c r="Q76"/>
  <c r="BA106" i="26"/>
  <c r="Q63" i="36"/>
  <c r="BF82" i="25"/>
  <c r="BT84" i="1"/>
  <c r="CQ32" i="26"/>
  <c r="BL13" i="25"/>
  <c r="Q76" i="41"/>
  <c r="DH31" i="39"/>
  <c r="AH84" i="1"/>
  <c r="CF106" i="40"/>
  <c r="CQ106"/>
  <c r="J106" i="36"/>
  <c r="DD84" i="38"/>
  <c r="BJ22" i="1"/>
  <c r="BV84" i="38"/>
  <c r="BI15" i="39"/>
  <c r="AQ15" i="37"/>
  <c r="AQ40" s="1"/>
  <c r="AN84" i="25"/>
  <c r="J84" i="38"/>
  <c r="BX32" i="1"/>
  <c r="O84" i="40"/>
  <c r="CC15" i="37"/>
  <c r="AU84" i="41"/>
  <c r="X32" i="40"/>
  <c r="BL30" i="36"/>
  <c r="CX40" i="39"/>
  <c r="DB84" i="1"/>
  <c r="CU84" i="41"/>
  <c r="AZ32" i="36"/>
  <c r="DC32" i="41"/>
  <c r="CS15"/>
  <c r="CA84" i="25"/>
  <c r="DH68" i="38"/>
  <c r="AS15" i="37"/>
  <c r="AP32" i="38"/>
  <c r="H15" i="37"/>
  <c r="AN84" i="1"/>
  <c r="BI32" i="41"/>
  <c r="BA32" i="37"/>
  <c r="CM32" i="40"/>
  <c r="CM40" s="1"/>
  <c r="BS84" i="38"/>
  <c r="J84" i="1"/>
  <c r="AO15" i="36"/>
  <c r="AX32" i="38"/>
  <c r="CP84" i="41"/>
  <c r="AC15" i="39"/>
  <c r="AC40" s="1"/>
  <c r="Q46"/>
  <c r="BZ106"/>
  <c r="BF22" i="40"/>
  <c r="DB15" i="36"/>
  <c r="CE84" i="1"/>
  <c r="BY84" i="25"/>
  <c r="CV32" i="38"/>
  <c r="CN32" i="39"/>
  <c r="CS32" i="37"/>
  <c r="DB106"/>
  <c r="Q63" i="41"/>
  <c r="AX15" i="37"/>
  <c r="BL13" i="38"/>
  <c r="BL25" i="41"/>
  <c r="AP40" i="39"/>
  <c r="AW106" i="26"/>
  <c r="BW32" i="39"/>
  <c r="CG15"/>
  <c r="CX106" i="41"/>
  <c r="CB84" i="25"/>
  <c r="CY84" i="26"/>
  <c r="CC32"/>
  <c r="AX32" i="41"/>
  <c r="DE106" i="40"/>
  <c r="U32" i="37"/>
  <c r="BX106" i="40"/>
  <c r="AW32" i="1"/>
  <c r="CI106"/>
  <c r="CF32" i="25"/>
  <c r="U32" i="41"/>
  <c r="BZ84" i="26"/>
  <c r="AA32" i="41"/>
  <c r="BL26"/>
  <c r="CQ15" i="38"/>
  <c r="CK106" i="40"/>
  <c r="Z32" i="39"/>
  <c r="AK28" i="26"/>
  <c r="CP32" i="38"/>
  <c r="AN106" i="40"/>
  <c r="AW106"/>
  <c r="BA15" i="1"/>
  <c r="CB32" i="38"/>
  <c r="AI32" i="39"/>
  <c r="CT15" i="25"/>
  <c r="CT40" s="1"/>
  <c r="BX15" i="1"/>
  <c r="BX40" s="1"/>
  <c r="Q28" i="25"/>
  <c r="BD106" i="36"/>
  <c r="AU84" i="39"/>
  <c r="BS32" i="41"/>
  <c r="AK31" i="40"/>
  <c r="K106" i="25"/>
  <c r="CI32" i="36"/>
  <c r="AA84" i="26"/>
  <c r="O84" i="41"/>
  <c r="CJ32" i="37"/>
  <c r="CE15" i="26"/>
  <c r="AV106" i="37"/>
  <c r="M106" i="39"/>
  <c r="BX32"/>
  <c r="CA40"/>
  <c r="CH84" i="1"/>
  <c r="BE32"/>
  <c r="DC32" i="39"/>
  <c r="AB32"/>
  <c r="CE84"/>
  <c r="AG32" i="1"/>
  <c r="BB106" i="41"/>
  <c r="CU15" i="39"/>
  <c r="O32" i="37"/>
  <c r="BU32"/>
  <c r="Y32" i="38"/>
  <c r="AW32" i="36"/>
  <c r="CK106" i="25"/>
  <c r="BV106" i="41"/>
  <c r="CR32"/>
  <c r="BU106" i="38"/>
  <c r="T32" i="1"/>
  <c r="BD32" i="41"/>
  <c r="CV15" i="39"/>
  <c r="AY15"/>
  <c r="L15" i="36"/>
  <c r="BD15" i="40"/>
  <c r="CP106" i="1"/>
  <c r="AB106" i="40"/>
  <c r="DE15" i="39"/>
  <c r="BA106" i="37"/>
  <c r="Y32"/>
  <c r="CD15" i="41"/>
  <c r="CL15" i="1"/>
  <c r="J15" i="25"/>
  <c r="H15" i="38"/>
  <c r="BI32" i="26"/>
  <c r="CV15" i="1"/>
  <c r="AO32" i="26"/>
  <c r="BE32" i="39"/>
  <c r="CR32"/>
  <c r="CR40" s="1"/>
  <c r="CH106" i="26"/>
  <c r="BL61" i="36"/>
  <c r="CW84" i="25"/>
  <c r="AY40" i="37"/>
  <c r="DC106"/>
  <c r="CP106"/>
  <c r="AC15" i="25"/>
  <c r="AG15" i="40"/>
  <c r="AG40" s="1"/>
  <c r="BB15" i="25"/>
  <c r="CY32"/>
  <c r="AS32" i="1"/>
  <c r="I15" i="26"/>
  <c r="CL106" i="1"/>
  <c r="DH72" i="38"/>
  <c r="BT15" i="41"/>
  <c r="AP40" i="1"/>
  <c r="AW15" i="40"/>
  <c r="AN32" i="38"/>
  <c r="CX15" i="37"/>
  <c r="P15" i="41"/>
  <c r="BL67" i="26"/>
  <c r="CX40" i="38"/>
  <c r="BL13" i="39"/>
  <c r="AD32" i="38"/>
  <c r="CY84" i="36"/>
  <c r="N106" i="38"/>
  <c r="AR15" i="26"/>
  <c r="AR40" s="1"/>
  <c r="BL62" i="38"/>
  <c r="DF106" i="1"/>
  <c r="CO84" i="40"/>
  <c r="Q28"/>
  <c r="DD40" i="38"/>
  <c r="BL27" i="25"/>
  <c r="BW106" i="40"/>
  <c r="AO106" i="37"/>
  <c r="AN15"/>
  <c r="CU106" i="1"/>
  <c r="BV15" i="25"/>
  <c r="BW106" i="1"/>
  <c r="U32" i="25"/>
  <c r="AH32" i="37"/>
  <c r="BL30"/>
  <c r="BL27"/>
  <c r="CX84" i="38"/>
  <c r="CX106" i="40"/>
  <c r="BJ68" i="39"/>
  <c r="CZ15" i="41"/>
  <c r="BJ35" i="40"/>
  <c r="AV32" i="37"/>
  <c r="CZ15" i="1"/>
  <c r="CT106"/>
  <c r="N15" i="41"/>
  <c r="N40" s="1"/>
  <c r="BJ14" i="36"/>
  <c r="AN32" i="26"/>
  <c r="AJ106" i="37"/>
  <c r="P32" i="40"/>
  <c r="AE15" i="38"/>
  <c r="AE40" s="1"/>
  <c r="CT84"/>
  <c r="AE32"/>
  <c r="AE15" i="1"/>
  <c r="CK32" i="40"/>
  <c r="DE15" i="26"/>
  <c r="AQ32" i="1"/>
  <c r="AQ40" s="1"/>
  <c r="BJ28" i="26"/>
  <c r="BA106" i="25"/>
  <c r="CC32" i="41"/>
  <c r="BA84"/>
  <c r="AM32"/>
  <c r="CO15" i="38"/>
  <c r="BT32" i="1"/>
  <c r="BJ51" i="40"/>
  <c r="I106" i="36"/>
  <c r="I15" i="40"/>
  <c r="CM15" i="36"/>
  <c r="CI15" i="26"/>
  <c r="CI40" s="1"/>
  <c r="CI106" i="39"/>
  <c r="BI15" i="37"/>
  <c r="BY106" i="40"/>
  <c r="AA32" i="25"/>
  <c r="AN32" i="41"/>
  <c r="AZ106" i="40"/>
  <c r="AA32" i="26"/>
  <c r="O15" i="38"/>
  <c r="O40" s="1"/>
  <c r="BZ32" i="25"/>
  <c r="AM15" i="39"/>
  <c r="BY32" i="26"/>
  <c r="CB15" i="39"/>
  <c r="CB40" s="1"/>
  <c r="M15" i="36"/>
  <c r="DE32" i="37"/>
  <c r="BZ106" i="38"/>
  <c r="CV106" i="37"/>
  <c r="AR32" i="1"/>
  <c r="BA84" i="40"/>
  <c r="M84" i="38"/>
  <c r="AQ15" i="41"/>
  <c r="Q38" i="26"/>
  <c r="CG32" i="25"/>
  <c r="CZ32" i="1"/>
  <c r="CZ40" s="1"/>
  <c r="AY106" i="36"/>
  <c r="AM15" i="37"/>
  <c r="CR106" i="41"/>
  <c r="BJ35" i="25"/>
  <c r="CK15" i="41"/>
  <c r="CC32" i="1"/>
  <c r="BL10" i="40"/>
  <c r="DD84" i="41"/>
  <c r="BS32" i="39"/>
  <c r="BS40" s="1"/>
  <c r="H15" i="26"/>
  <c r="BL10" i="25"/>
  <c r="CA84" i="38"/>
  <c r="BA32" i="26"/>
  <c r="DD106"/>
  <c r="AU32" i="37"/>
  <c r="DF32" i="26"/>
  <c r="Q99" i="37"/>
  <c r="BR32" i="25"/>
  <c r="K15" i="40"/>
  <c r="BL26" i="38"/>
  <c r="AK28" i="41"/>
  <c r="CK106" i="38"/>
  <c r="P106" i="25"/>
  <c r="BE32" i="41"/>
  <c r="BX84" i="36"/>
  <c r="BU84" i="39"/>
  <c r="CB84" i="40"/>
  <c r="BL61" i="39"/>
  <c r="CP106"/>
  <c r="BZ32" i="38"/>
  <c r="J15" i="1"/>
  <c r="CN106"/>
  <c r="CA106" i="25"/>
  <c r="CV106" i="40"/>
  <c r="CM84"/>
  <c r="BJ22" i="36"/>
  <c r="DE32" i="39"/>
  <c r="AT84" i="26"/>
  <c r="AI106" i="41"/>
  <c r="BX106" i="38"/>
  <c r="CP106"/>
  <c r="CT15" i="37"/>
  <c r="AA32" i="39"/>
  <c r="AO15"/>
  <c r="AK35" i="38"/>
  <c r="CG106" i="40"/>
  <c r="N106" i="37"/>
  <c r="CZ106" i="39"/>
  <c r="BU15" i="1"/>
  <c r="BU40" s="1"/>
  <c r="DC15" i="26"/>
  <c r="CE32"/>
  <c r="AR106" i="41"/>
  <c r="DB32" i="40"/>
  <c r="CJ106" i="1"/>
  <c r="BD106" i="26"/>
  <c r="AY106" i="38"/>
  <c r="BJ51" i="41"/>
  <c r="AH15"/>
  <c r="AB32" i="26"/>
  <c r="Z32" i="36"/>
  <c r="G32" i="39"/>
  <c r="CG32"/>
  <c r="CG40" s="1"/>
  <c r="CE106" i="41"/>
  <c r="BL61" i="38"/>
  <c r="AG32" i="37"/>
  <c r="J84"/>
  <c r="BF19" i="1"/>
  <c r="CG32" i="40"/>
  <c r="BB106" i="25"/>
  <c r="BF19" i="39"/>
  <c r="BZ84" i="38"/>
  <c r="CS84" i="39"/>
  <c r="DE106"/>
  <c r="AJ106" i="26"/>
  <c r="CU32" i="40"/>
  <c r="CA15" i="1"/>
  <c r="CG106" i="36"/>
  <c r="AZ15" i="37"/>
  <c r="AZ40" s="1"/>
  <c r="AS84" i="26"/>
  <c r="DA32" i="41"/>
  <c r="CN15"/>
  <c r="CN40" s="1"/>
  <c r="CI106"/>
  <c r="CZ15" i="25"/>
  <c r="Q31" i="37"/>
  <c r="BJ63" i="36"/>
  <c r="BL26" i="25"/>
  <c r="DA106" i="26"/>
  <c r="DC15" i="37"/>
  <c r="M106" i="38"/>
  <c r="P32" i="36"/>
  <c r="BA106" i="38"/>
  <c r="CI106" i="40"/>
  <c r="CL32" i="36"/>
  <c r="CJ84" i="26"/>
  <c r="CH84" i="25"/>
  <c r="K106" i="38"/>
  <c r="DH35" i="37"/>
  <c r="BV15" i="26"/>
  <c r="BV40" s="1"/>
  <c r="BV109" s="1"/>
  <c r="AC32" i="41"/>
  <c r="BB15" i="36"/>
  <c r="BB40" s="1"/>
  <c r="BB109" s="1"/>
  <c r="AP32" i="40"/>
  <c r="CD84" i="41"/>
  <c r="BE15" i="40"/>
  <c r="CU15" i="41"/>
  <c r="CM15" i="37"/>
  <c r="AX106" i="38"/>
  <c r="Z84" i="41"/>
  <c r="BW84" i="1"/>
  <c r="DC106"/>
  <c r="CG32"/>
  <c r="CG40" s="1"/>
  <c r="CG109" s="1"/>
  <c r="BY32" i="40"/>
  <c r="DB40"/>
  <c r="CC106" i="39"/>
  <c r="AO84" i="38"/>
  <c r="BT32" i="39"/>
  <c r="Q38" i="40"/>
  <c r="AH84" i="38"/>
  <c r="CN15" i="1"/>
  <c r="CA32" i="41"/>
  <c r="I15"/>
  <c r="BJ31"/>
  <c r="X32" i="36"/>
  <c r="G32" i="1"/>
  <c r="DD84" i="36"/>
  <c r="BL30" i="26"/>
  <c r="BS106" i="37"/>
  <c r="BF28" i="41"/>
  <c r="H15" i="25"/>
  <c r="CU106" i="41"/>
  <c r="BL10" i="37"/>
  <c r="BS106" i="40"/>
  <c r="BD32" i="1"/>
  <c r="AO32" i="39"/>
  <c r="AR84" i="38"/>
  <c r="BW106" i="37"/>
  <c r="CA84" i="36"/>
  <c r="BE106" i="41"/>
  <c r="BZ15" i="38"/>
  <c r="CJ106"/>
  <c r="CI15" i="40"/>
  <c r="BJ63" i="25"/>
  <c r="Q99" i="41"/>
  <c r="I15" i="38"/>
  <c r="AQ32" i="36"/>
  <c r="AV106" i="38"/>
  <c r="CT32" i="39"/>
  <c r="BH32" i="1"/>
  <c r="BR84" i="36"/>
  <c r="AP84" i="40"/>
  <c r="CK15" i="39"/>
  <c r="BF55" i="38"/>
  <c r="X84" i="26"/>
  <c r="BJ28" i="37"/>
  <c r="O15" i="1"/>
  <c r="AR84" i="37"/>
  <c r="BJ22"/>
  <c r="DH31" i="38"/>
  <c r="AC84" i="39"/>
  <c r="BF38" i="37"/>
  <c r="O84" i="25"/>
  <c r="DH63"/>
  <c r="CU106" i="36"/>
  <c r="H106"/>
  <c r="Q28" i="41"/>
  <c r="CM84" i="25"/>
  <c r="AE84" i="1"/>
  <c r="CP15" i="37"/>
  <c r="CD32" i="38"/>
  <c r="DD84" i="39"/>
  <c r="BS15" i="1"/>
  <c r="BS40" i="25"/>
  <c r="DC106" i="36"/>
  <c r="AJ15" i="40"/>
  <c r="BB84" i="36"/>
  <c r="BB84" i="40"/>
  <c r="BB84" i="39"/>
  <c r="AK28" i="38"/>
  <c r="BR84" i="41"/>
  <c r="BA15" i="38"/>
  <c r="BA40" s="1"/>
  <c r="DH104" i="1"/>
  <c r="BY106"/>
  <c r="BW32" i="41"/>
  <c r="J84"/>
  <c r="L84" i="40"/>
  <c r="BF46" i="37"/>
  <c r="L84" i="41"/>
  <c r="J15"/>
  <c r="BL61" i="1"/>
  <c r="CN15" i="38"/>
  <c r="AS84" i="1"/>
  <c r="AK31" i="25"/>
  <c r="AN84" i="40"/>
  <c r="BF35" i="37"/>
  <c r="J84" i="25"/>
  <c r="CQ106" i="37"/>
  <c r="BJ35"/>
  <c r="CZ106" i="25"/>
  <c r="BF46" i="38"/>
  <c r="DD84" i="25"/>
  <c r="L106" i="41"/>
  <c r="BF22" i="39"/>
  <c r="DH38"/>
  <c r="BI32" i="1"/>
  <c r="BJ32" s="1"/>
  <c r="Q35" i="41"/>
  <c r="BW84" i="38"/>
  <c r="AD15"/>
  <c r="M84" i="39"/>
  <c r="AV15" i="36"/>
  <c r="G106" i="39"/>
  <c r="AD84" i="40"/>
  <c r="DB32" i="38"/>
  <c r="DB40" s="1"/>
  <c r="AR84" i="26"/>
  <c r="BH32" i="38"/>
  <c r="BJ32" s="1"/>
  <c r="J15" i="37"/>
  <c r="P84" i="41"/>
  <c r="BF19" i="37"/>
  <c r="BU15" i="39"/>
  <c r="BF35" i="38"/>
  <c r="CS32" i="40"/>
  <c r="CS40" s="1"/>
  <c r="CC106" i="26"/>
  <c r="AT40" i="40"/>
  <c r="DF84" i="38"/>
  <c r="CL32" i="41"/>
  <c r="CL40" s="1"/>
  <c r="BD106" i="1"/>
  <c r="Z32"/>
  <c r="BJ14" i="37"/>
  <c r="BH15"/>
  <c r="BJ15" s="1"/>
  <c r="AM32" i="38"/>
  <c r="H106" i="37"/>
  <c r="BL62" i="25"/>
  <c r="CK106" i="1"/>
  <c r="DH76"/>
  <c r="DH28" i="25"/>
  <c r="AY84" i="39"/>
  <c r="Q82" i="25"/>
  <c r="CA40" i="41"/>
  <c r="DH31" i="40"/>
  <c r="AM32" i="37"/>
  <c r="DD106" i="38"/>
  <c r="CV106" i="41"/>
  <c r="BF28" i="36"/>
  <c r="AP84" i="39"/>
  <c r="CY15" i="37"/>
  <c r="Q72" i="39"/>
  <c r="CD32" i="25"/>
  <c r="BU32" i="26"/>
  <c r="BU40" s="1"/>
  <c r="DD84" i="1"/>
  <c r="CB84"/>
  <c r="BJ19" i="38"/>
  <c r="CT15" i="41"/>
  <c r="DE15" i="25"/>
  <c r="DE40" s="1"/>
  <c r="DA32" i="26"/>
  <c r="AI106" i="38"/>
  <c r="AY106" i="39"/>
  <c r="AK38" i="41"/>
  <c r="AV106" i="26"/>
  <c r="G146" i="50"/>
  <c r="BL25" i="1"/>
  <c r="BF93" i="26"/>
  <c r="N40" i="37"/>
  <c r="CI84" i="41"/>
  <c r="H32"/>
  <c r="BD40" i="1"/>
  <c r="BX84" i="26"/>
  <c r="Z32"/>
  <c r="Z40" s="1"/>
  <c r="AU84" i="36"/>
  <c r="CY84" i="37"/>
  <c r="DA84" i="39"/>
  <c r="I15" i="25"/>
  <c r="BL13" i="37"/>
  <c r="CU84" i="39"/>
  <c r="AK35" i="36"/>
  <c r="BS106"/>
  <c r="BL13"/>
  <c r="AV15" i="37"/>
  <c r="BR15" i="39"/>
  <c r="BY84" i="26"/>
  <c r="N106"/>
  <c r="CU84" i="25"/>
  <c r="CN106" i="40"/>
  <c r="BU106"/>
  <c r="N84" i="1"/>
  <c r="BW15" i="38"/>
  <c r="BU40" i="37"/>
  <c r="CO106" i="40"/>
  <c r="O106" i="37"/>
  <c r="AS32" i="40"/>
  <c r="AS40" s="1"/>
  <c r="DC106" i="38"/>
  <c r="AQ84" i="26"/>
  <c r="L84" i="37"/>
  <c r="BR15" i="1"/>
  <c r="CA106" i="37"/>
  <c r="CG15" i="41"/>
  <c r="CG40" s="1"/>
  <c r="BJ14" i="38"/>
  <c r="CD15" i="37"/>
  <c r="CD40" s="1"/>
  <c r="BH32" i="41"/>
  <c r="Q82" i="39"/>
  <c r="DD84" i="37"/>
  <c r="AY15" i="40"/>
  <c r="Z15" i="25"/>
  <c r="AO15" i="40"/>
  <c r="M15" i="26"/>
  <c r="M40" s="1"/>
  <c r="T32" i="39"/>
  <c r="CH32" i="41"/>
  <c r="AJ15" i="37"/>
  <c r="DF106" i="41"/>
  <c r="BB84"/>
  <c r="AY84" i="1"/>
  <c r="Q55" i="36"/>
  <c r="CN84" i="1"/>
  <c r="CW32" i="37"/>
  <c r="CV32" i="39"/>
  <c r="AK76" i="1"/>
  <c r="BI15" i="36"/>
  <c r="AM32" i="40"/>
  <c r="Q93" i="25"/>
  <c r="CV106" i="38"/>
  <c r="J15" i="39"/>
  <c r="AR84" i="40"/>
  <c r="DF106" i="38"/>
  <c r="DF106" i="36"/>
  <c r="K84"/>
  <c r="L15" i="38"/>
  <c r="DC32"/>
  <c r="CQ15" i="36"/>
  <c r="BW32" i="1"/>
  <c r="AA15" i="37"/>
  <c r="AG32" i="39"/>
  <c r="X15" i="37"/>
  <c r="X40" s="1"/>
  <c r="BH15" i="25"/>
  <c r="CJ84" i="1"/>
  <c r="CN106" i="37"/>
  <c r="AJ106" i="38"/>
  <c r="AF15" i="36"/>
  <c r="DF15" i="41"/>
  <c r="P84" i="1"/>
  <c r="AW32" i="39"/>
  <c r="AQ15"/>
  <c r="AQ40" s="1"/>
  <c r="BJ19" i="36"/>
  <c r="K106" i="26"/>
  <c r="BA15" i="39"/>
  <c r="AX15" i="38"/>
  <c r="AX40" s="1"/>
  <c r="CC15"/>
  <c r="BZ106" i="26"/>
  <c r="CC106" i="25"/>
  <c r="AR15"/>
  <c r="BL61" i="41"/>
  <c r="I106" i="38"/>
  <c r="AH15" i="1"/>
  <c r="BD106" i="38"/>
  <c r="M15" i="37"/>
  <c r="AD15" i="39"/>
  <c r="BU15" i="38"/>
  <c r="CY84" i="39"/>
  <c r="AJ15" i="26"/>
  <c r="CH106" i="25"/>
  <c r="O15" i="39"/>
  <c r="O40" s="1"/>
  <c r="BY32" i="41"/>
  <c r="AI32" i="38"/>
  <c r="BB106" i="36"/>
  <c r="DB15" i="25"/>
  <c r="DB40" s="1"/>
  <c r="CJ32"/>
  <c r="AY106" i="1"/>
  <c r="H32" i="26"/>
  <c r="AY15" i="36"/>
  <c r="DA15" i="40"/>
  <c r="BU15" i="25"/>
  <c r="CY15" i="39"/>
  <c r="CY40" s="1"/>
  <c r="CZ32" i="37"/>
  <c r="DC32" i="1"/>
  <c r="BA32" i="41"/>
  <c r="AD15"/>
  <c r="AW32"/>
  <c r="CE106" i="38"/>
  <c r="BZ32" i="37"/>
  <c r="BW84" i="40"/>
  <c r="CO15" i="41"/>
  <c r="M106"/>
  <c r="CW15" i="39"/>
  <c r="AI84" i="38"/>
  <c r="CN84" i="36"/>
  <c r="BL25" i="38"/>
  <c r="X84"/>
  <c r="AK38" i="40"/>
  <c r="CV32" i="37"/>
  <c r="AK38" i="1"/>
  <c r="AV40"/>
  <c r="BH32" i="26"/>
  <c r="BJ32" s="1"/>
  <c r="BJ28" i="38"/>
  <c r="BJ28" i="41"/>
  <c r="O106" i="26"/>
  <c r="I106" i="25"/>
  <c r="AZ32"/>
  <c r="BJ63" i="41"/>
  <c r="Y32" i="40"/>
  <c r="CM15" i="25"/>
  <c r="DB106" i="40"/>
  <c r="BX32" i="37"/>
  <c r="BE15"/>
  <c r="CD15" i="39"/>
  <c r="CD40" s="1"/>
  <c r="CV15" i="38"/>
  <c r="CF106" i="1"/>
  <c r="CJ106" i="26"/>
  <c r="CP32" i="41"/>
  <c r="Z32" i="25"/>
  <c r="CU15" i="1"/>
  <c r="CM106" i="36"/>
  <c r="CX15" i="26"/>
  <c r="CX40" s="1"/>
  <c r="AT32" i="36"/>
  <c r="CS32" i="39"/>
  <c r="CN32" i="40"/>
  <c r="AR106" i="1"/>
  <c r="AT15" i="41"/>
  <c r="CD106" i="37"/>
  <c r="DE15" i="1"/>
  <c r="BU32" i="36"/>
  <c r="CF15"/>
  <c r="CU15" i="38"/>
  <c r="AJ15" i="25"/>
  <c r="DB15" i="1"/>
  <c r="CE106" i="26"/>
  <c r="BJ19" i="39"/>
  <c r="BI40" i="37"/>
  <c r="CQ40" i="1"/>
  <c r="BV40" i="39"/>
  <c r="G229" i="43"/>
  <c r="DF40" i="26"/>
  <c r="CJ40" i="37"/>
  <c r="CZ40" i="26"/>
  <c r="I74" i="52"/>
  <c r="CU40" i="25"/>
  <c r="AA40" i="41"/>
  <c r="AO40" i="39"/>
  <c r="X40" i="40"/>
  <c r="BL28" i="41"/>
  <c r="AN40" i="37"/>
  <c r="BL37" i="26"/>
  <c r="CH40" i="1"/>
  <c r="BT40"/>
  <c r="L758" i="4"/>
  <c r="L760" s="1"/>
  <c r="DH28" i="26"/>
  <c r="BL26" i="37"/>
  <c r="CI51" i="38"/>
  <c r="CI84" s="1"/>
  <c r="BZ22" i="25"/>
  <c r="DH18" i="36"/>
  <c r="BP19" i="1"/>
  <c r="DH54" i="25"/>
  <c r="BH38" i="36"/>
  <c r="BJ37"/>
  <c r="AY63" i="37"/>
  <c r="BF60"/>
  <c r="BQ19"/>
  <c r="T14" i="25"/>
  <c r="BJ75" i="1"/>
  <c r="BH76"/>
  <c r="BJ76" s="1"/>
  <c r="BQ51"/>
  <c r="AZ63" i="38"/>
  <c r="BF60"/>
  <c r="BO19" i="37"/>
  <c r="DH18"/>
  <c r="I55" i="1"/>
  <c r="Q54"/>
  <c r="DH25" i="37"/>
  <c r="G116" i="50"/>
  <c r="DH17" i="25"/>
  <c r="BO19" i="1"/>
  <c r="DH18"/>
  <c r="G278" i="46"/>
  <c r="AK60" i="37"/>
  <c r="BP19"/>
  <c r="AK17" i="25"/>
  <c r="BL17" s="1"/>
  <c r="DH79"/>
  <c r="DH25" i="41"/>
  <c r="AG22" i="60"/>
  <c r="S38" i="37"/>
  <c r="AK38" s="1"/>
  <c r="AK37"/>
  <c r="V82" i="38"/>
  <c r="DH79" i="1"/>
  <c r="Y36" i="60"/>
  <c r="AK48" i="40"/>
  <c r="BO19" i="36"/>
  <c r="V51" i="1"/>
  <c r="AI68" i="37"/>
  <c r="V50" i="60"/>
  <c r="CU28" i="37"/>
  <c r="DH26"/>
  <c r="S19" i="1"/>
  <c r="AK18"/>
  <c r="AD32" i="60"/>
  <c r="E29" i="64"/>
  <c r="AY325" i="47"/>
  <c r="BJ37" i="37"/>
  <c r="BH38"/>
  <c r="V53" i="60"/>
  <c r="DH26" i="39"/>
  <c r="CU28"/>
  <c r="BF89" i="37"/>
  <c r="AQ93"/>
  <c r="BF93" s="1"/>
  <c r="V18" i="60"/>
  <c r="Q17" i="36"/>
  <c r="AB14" i="1"/>
  <c r="AK48" i="26"/>
  <c r="AA36" i="60"/>
  <c r="Z53"/>
  <c r="AV76" i="1"/>
  <c r="BF75"/>
  <c r="S39" i="60"/>
  <c r="AD7"/>
  <c r="S51" i="1"/>
  <c r="AK89" i="37"/>
  <c r="DC82" i="36"/>
  <c r="BJ79" i="1"/>
  <c r="BP51"/>
  <c r="Q18" i="37"/>
  <c r="H19"/>
  <c r="W14" i="25"/>
  <c r="BQ19" i="1"/>
  <c r="CI51" i="37"/>
  <c r="BO19" i="40"/>
  <c r="DH17"/>
  <c r="T14" i="1"/>
  <c r="CI51" i="39"/>
  <c r="CI51" i="26"/>
  <c r="CI84" s="1"/>
  <c r="L116" i="50"/>
  <c r="BO51" i="1"/>
  <c r="BF48" i="40"/>
  <c r="BF12" i="25"/>
  <c r="BC14"/>
  <c r="W55" i="60"/>
  <c r="J289" i="46"/>
  <c r="J300" s="1"/>
  <c r="DC82" i="25"/>
  <c r="DC84" s="1"/>
  <c r="X51" i="37"/>
  <c r="W51" i="1"/>
  <c r="BF66" i="37"/>
  <c r="AG50" i="60"/>
  <c r="K29" i="64"/>
  <c r="BE325" i="47"/>
  <c r="AJ32" i="60"/>
  <c r="S19" i="40"/>
  <c r="AK18"/>
  <c r="AK48" i="39"/>
  <c r="X36" i="60"/>
  <c r="AK54" i="25"/>
  <c r="S38" i="36"/>
  <c r="AK37"/>
  <c r="AF22" i="60"/>
  <c r="U51" i="1"/>
  <c r="DC82"/>
  <c r="CU28"/>
  <c r="DH26"/>
  <c r="DH79" i="36"/>
  <c r="AK60" i="38"/>
  <c r="BB325" i="47"/>
  <c r="AG32" i="60"/>
  <c r="H29" i="64"/>
  <c r="S19" i="37"/>
  <c r="AK18"/>
  <c r="G196" i="12"/>
  <c r="K247" i="13"/>
  <c r="K277" s="1"/>
  <c r="K250"/>
  <c r="K251"/>
  <c r="K248"/>
  <c r="K249"/>
  <c r="G319" i="7"/>
  <c r="I119" i="16"/>
  <c r="I118"/>
  <c r="I117"/>
  <c r="F241" i="13"/>
  <c r="F439" s="1"/>
  <c r="F244"/>
  <c r="F442" s="1"/>
  <c r="F240"/>
  <c r="F243"/>
  <c r="F441" s="1"/>
  <c r="F437"/>
  <c r="F242"/>
  <c r="F440" s="1"/>
  <c r="M388" i="15"/>
  <c r="K275" i="13"/>
  <c r="K276"/>
  <c r="L438" i="42"/>
  <c r="L393"/>
  <c r="H192" i="13"/>
  <c r="H248" s="1"/>
  <c r="G192"/>
  <c r="G269" s="1"/>
  <c r="G194"/>
  <c r="G271" s="1"/>
  <c r="H194"/>
  <c r="N255"/>
  <c r="N257"/>
  <c r="N258"/>
  <c r="N254"/>
  <c r="N274" s="1"/>
  <c r="N256"/>
  <c r="J278" i="24"/>
  <c r="N71" i="32"/>
  <c r="N74"/>
  <c r="N76" s="1"/>
  <c r="F319" i="7"/>
  <c r="F119" i="16"/>
  <c r="F117"/>
  <c r="F118"/>
  <c r="L78" i="57"/>
  <c r="H196" i="12"/>
  <c r="G438" i="42"/>
  <c r="G393"/>
  <c r="G546" s="1"/>
  <c r="F102" i="9"/>
  <c r="F134" s="1"/>
  <c r="F125"/>
  <c r="F124"/>
  <c r="K256" i="13"/>
  <c r="K258"/>
  <c r="K257"/>
  <c r="K254"/>
  <c r="K274" s="1"/>
  <c r="K255"/>
  <c r="I139" i="16"/>
  <c r="M177" i="13"/>
  <c r="L211"/>
  <c r="L236"/>
  <c r="G191"/>
  <c r="G268" s="1"/>
  <c r="H191"/>
  <c r="I170" i="58"/>
  <c r="I233" i="10"/>
  <c r="G255" i="13"/>
  <c r="G237"/>
  <c r="N275"/>
  <c r="N276"/>
  <c r="K139" i="16"/>
  <c r="F122" i="8"/>
  <c r="F154" s="1"/>
  <c r="F144"/>
  <c r="F145"/>
  <c r="G262" i="13"/>
  <c r="F262"/>
  <c r="F264"/>
  <c r="F265"/>
  <c r="F263"/>
  <c r="F261"/>
  <c r="F1075" i="4"/>
  <c r="F1073"/>
  <c r="F1076"/>
  <c r="F1072"/>
  <c r="F1077"/>
  <c r="F1078"/>
  <c r="F1071"/>
  <c r="F1079"/>
  <c r="F1074"/>
  <c r="F870"/>
  <c r="F873"/>
  <c r="Q28" i="1"/>
  <c r="N32"/>
  <c r="G443" i="34" a="1"/>
  <c r="G442" a="1"/>
  <c r="G442" s="1"/>
  <c r="G556" s="1"/>
  <c r="G441" a="1"/>
  <c r="G441" s="1"/>
  <c r="G555" s="1"/>
  <c r="G462" i="17" a="1"/>
  <c r="H185" i="12"/>
  <c r="I377" i="24"/>
  <c r="I246"/>
  <c r="L275" i="13"/>
  <c r="L276"/>
  <c r="I114" i="52"/>
  <c r="I76"/>
  <c r="J122" i="58"/>
  <c r="J124" s="1"/>
  <c r="K122"/>
  <c r="K124" s="1"/>
  <c r="F116" i="9"/>
  <c r="F106"/>
  <c r="F111"/>
  <c r="F136"/>
  <c r="M122" i="58"/>
  <c r="L122"/>
  <c r="L124" s="1"/>
  <c r="M233" i="10"/>
  <c r="N120" i="18" a="1"/>
  <c r="N120" s="1"/>
  <c r="N164" s="1"/>
  <c r="N122" a="1"/>
  <c r="N122" s="1"/>
  <c r="N166" s="1"/>
  <c r="N121" a="1"/>
  <c r="N121" s="1"/>
  <c r="N165" s="1"/>
  <c r="N154"/>
  <c r="N153"/>
  <c r="F1129" i="4"/>
  <c r="F1283" s="1"/>
  <c r="F1127"/>
  <c r="K118" i="16"/>
  <c r="K119"/>
  <c r="K117"/>
  <c r="F136" i="8"/>
  <c r="F156"/>
  <c r="F131"/>
  <c r="F126"/>
  <c r="J248" i="13"/>
  <c r="J250"/>
  <c r="J251"/>
  <c r="J249"/>
  <c r="J247"/>
  <c r="J277" s="1"/>
  <c r="J121" i="50"/>
  <c r="I175"/>
  <c r="H186" i="13"/>
  <c r="H234"/>
  <c r="BA262" i="47"/>
  <c r="BA272" s="1"/>
  <c r="Q28" i="39"/>
  <c r="N455" i="17"/>
  <c r="F527" a="1"/>
  <c r="H620" i="14"/>
  <c r="M436" i="34"/>
  <c r="M539" s="1"/>
  <c r="L660" i="14"/>
  <c r="G552"/>
  <c r="N624"/>
  <c r="H404" i="17"/>
  <c r="H395"/>
  <c r="H403"/>
  <c r="H609"/>
  <c r="G740"/>
  <c r="G630" i="14"/>
  <c r="G1071" i="4"/>
  <c r="L924" i="14"/>
  <c r="G578" i="17"/>
  <c r="G408"/>
  <c r="N577"/>
  <c r="N584" s="1"/>
  <c r="F269" i="13"/>
  <c r="H634" i="17"/>
  <c r="H650" s="1"/>
  <c r="L932" i="14"/>
  <c r="M435" i="34"/>
  <c r="M538" s="1"/>
  <c r="M540"/>
  <c r="M534" i="14"/>
  <c r="M551" s="1"/>
  <c r="G625"/>
  <c r="H565" i="17"/>
  <c r="H563"/>
  <c r="H402"/>
  <c r="H571"/>
  <c r="L665" i="14"/>
  <c r="L648"/>
  <c r="H612" i="17"/>
  <c r="G557" i="14"/>
  <c r="G574" s="1"/>
  <c r="K643"/>
  <c r="M763"/>
  <c r="G639"/>
  <c r="G873" i="4"/>
  <c r="N628" i="14"/>
  <c r="M563"/>
  <c r="M924"/>
  <c r="M719"/>
  <c r="K719"/>
  <c r="K734" s="1"/>
  <c r="J923"/>
  <c r="N555" i="17"/>
  <c r="K729" i="4"/>
  <c r="I639"/>
  <c r="K923" i="14"/>
  <c r="G450" i="17"/>
  <c r="G735" s="1"/>
  <c r="G185" i="12"/>
  <c r="F268" i="13"/>
  <c r="F528" i="17" a="1"/>
  <c r="F528" s="1"/>
  <c r="F758" s="1"/>
  <c r="G186" i="13"/>
  <c r="I186"/>
  <c r="BL26" i="1"/>
  <c r="J443" i="34" a="1"/>
  <c r="J442" a="1"/>
  <c r="J441" a="1"/>
  <c r="J441" s="1"/>
  <c r="J555" s="1"/>
  <c r="N442" a="1"/>
  <c r="N441" a="1"/>
  <c r="N443" a="1"/>
  <c r="N529" i="17" a="1"/>
  <c r="N527" a="1"/>
  <c r="N528" a="1"/>
  <c r="L441" i="34" a="1"/>
  <c r="L442" a="1"/>
  <c r="L443" a="1"/>
  <c r="I442" a="1"/>
  <c r="I443" a="1"/>
  <c r="I441" a="1"/>
  <c r="N462" i="17" a="1"/>
  <c r="I103" i="52"/>
  <c r="I104"/>
  <c r="H118" i="16"/>
  <c r="H117"/>
  <c r="H119"/>
  <c r="G247" i="13"/>
  <c r="G277" s="1"/>
  <c r="F248"/>
  <c r="F247"/>
  <c r="F277" s="1"/>
  <c r="F251"/>
  <c r="F249"/>
  <c r="F250"/>
  <c r="J225" i="10"/>
  <c r="AZ262" i="47"/>
  <c r="AZ272" s="1"/>
  <c r="H442" i="34" a="1"/>
  <c r="H442" s="1"/>
  <c r="H556" s="1"/>
  <c r="H443" a="1"/>
  <c r="H441" a="1"/>
  <c r="K441" a="1"/>
  <c r="K442" a="1"/>
  <c r="K442" s="1"/>
  <c r="K556" s="1"/>
  <c r="K443" a="1"/>
  <c r="K443" s="1"/>
  <c r="K557" s="1"/>
  <c r="H122" i="58"/>
  <c r="I122"/>
  <c r="G518" i="17"/>
  <c r="G722" s="1"/>
  <c r="G708" s="1"/>
  <c r="G519"/>
  <c r="G723" s="1"/>
  <c r="G709" s="1"/>
  <c r="G516"/>
  <c r="G720" s="1"/>
  <c r="G706" s="1"/>
  <c r="G522"/>
  <c r="G726" s="1"/>
  <c r="G510"/>
  <c r="G517"/>
  <c r="G721" s="1"/>
  <c r="G520"/>
  <c r="G724" s="1"/>
  <c r="G710" s="1"/>
  <c r="G521"/>
  <c r="G725" s="1"/>
  <c r="G515"/>
  <c r="G523"/>
  <c r="G727" s="1"/>
  <c r="N118" i="16"/>
  <c r="N117"/>
  <c r="N119"/>
  <c r="G168" i="43"/>
  <c r="G270" s="1"/>
  <c r="G170"/>
  <c r="G272" s="1"/>
  <c r="G167"/>
  <c r="G269" s="1"/>
  <c r="G169"/>
  <c r="G271" s="1"/>
  <c r="H170" i="58"/>
  <c r="G193" i="13"/>
  <c r="G270" s="1"/>
  <c r="H193"/>
  <c r="H249" s="1"/>
  <c r="G195"/>
  <c r="G272" s="1"/>
  <c r="H195"/>
  <c r="AY262" i="47"/>
  <c r="AY272" s="1"/>
  <c r="F139" i="16"/>
  <c r="M275" i="13"/>
  <c r="M276"/>
  <c r="H247"/>
  <c r="H277" s="1"/>
  <c r="H250"/>
  <c r="I251"/>
  <c r="I248"/>
  <c r="I247"/>
  <c r="I277" s="1"/>
  <c r="I250"/>
  <c r="I249"/>
  <c r="L257"/>
  <c r="L254"/>
  <c r="L274" s="1"/>
  <c r="L256"/>
  <c r="L255"/>
  <c r="L258"/>
  <c r="H319" i="7"/>
  <c r="J217" i="10"/>
  <c r="F307" i="7"/>
  <c r="I431" i="17"/>
  <c r="H406"/>
  <c r="H582" s="1"/>
  <c r="H564"/>
  <c r="G621" i="14"/>
  <c r="H531"/>
  <c r="H548" s="1"/>
  <c r="H584" s="1"/>
  <c r="G379" i="42"/>
  <c r="G545" s="1"/>
  <c r="L763" i="14"/>
  <c r="J548"/>
  <c r="J603" s="1"/>
  <c r="L557"/>
  <c r="L612" s="1"/>
  <c r="F156" i="18"/>
  <c r="H405" i="17"/>
  <c r="H568"/>
  <c r="H580" s="1"/>
  <c r="H570"/>
  <c r="H566"/>
  <c r="I156" i="18"/>
  <c r="H654" i="17"/>
  <c r="G719" i="14"/>
  <c r="G734" s="1"/>
  <c r="M932"/>
  <c r="I534"/>
  <c r="I551" s="1"/>
  <c r="G1072" i="4"/>
  <c r="J601" i="14"/>
  <c r="I582"/>
  <c r="M754"/>
  <c r="M555"/>
  <c r="M610" s="1"/>
  <c r="G711" i="17"/>
  <c r="G456"/>
  <c r="G576"/>
  <c r="F271" i="13"/>
  <c r="F457" i="34"/>
  <c r="F560" s="1"/>
  <c r="F561" s="1"/>
  <c r="F529" i="17" a="1"/>
  <c r="F255" i="13"/>
  <c r="F257"/>
  <c r="J758" i="4"/>
  <c r="J760" s="1"/>
  <c r="V14" i="1"/>
  <c r="BX22" i="25"/>
  <c r="Q18" i="40"/>
  <c r="BQ19"/>
  <c r="DH18"/>
  <c r="BP19"/>
  <c r="DH25" i="1"/>
  <c r="V14" i="25"/>
  <c r="H720" i="14"/>
  <c r="H762" s="1"/>
  <c r="H766" s="1"/>
  <c r="N572" i="17"/>
  <c r="H656" i="14"/>
  <c r="L719"/>
  <c r="L734" s="1"/>
  <c r="N921"/>
  <c r="J639"/>
  <c r="K531"/>
  <c r="K548" s="1"/>
  <c r="K565" s="1"/>
  <c r="I530"/>
  <c r="I547" s="1"/>
  <c r="I602" s="1"/>
  <c r="F906"/>
  <c r="N551"/>
  <c r="N606" s="1"/>
  <c r="AZ424" i="47"/>
  <c r="N449" i="17"/>
  <c r="N734" s="1"/>
  <c r="K930" i="14"/>
  <c r="H642"/>
  <c r="G444" i="17"/>
  <c r="J582" i="14"/>
  <c r="L923"/>
  <c r="L922"/>
  <c r="K563"/>
  <c r="M543" i="42"/>
  <c r="I396" i="15"/>
  <c r="N579" i="17"/>
  <c r="N548"/>
  <c r="J747" i="14"/>
  <c r="L921"/>
  <c r="L404" i="15"/>
  <c r="N582" i="17"/>
  <c r="N923" i="14"/>
  <c r="N551" i="17"/>
  <c r="L548" i="14"/>
  <c r="L584" s="1"/>
  <c r="H547"/>
  <c r="H583" s="1"/>
  <c r="N922"/>
  <c r="N538"/>
  <c r="N555" s="1"/>
  <c r="N572" s="1"/>
  <c r="H551"/>
  <c r="H568" s="1"/>
  <c r="K931"/>
  <c r="G932"/>
  <c r="F388" i="15"/>
  <c r="N105" i="52"/>
  <c r="J543" i="42"/>
  <c r="J548" s="1"/>
  <c r="I545"/>
  <c r="N576" i="17"/>
  <c r="N543" i="42"/>
  <c r="N548" s="1"/>
  <c r="M548"/>
  <c r="H543"/>
  <c r="X51" i="25"/>
  <c r="AK49" i="41"/>
  <c r="F451" i="42"/>
  <c r="G452" s="1"/>
  <c r="F452"/>
  <c r="G453" s="1"/>
  <c r="F453"/>
  <c r="K543"/>
  <c r="AS49" i="60"/>
  <c r="DH17" i="38"/>
  <c r="Q17" i="39"/>
  <c r="AB14" i="26"/>
  <c r="AK17" i="39"/>
  <c r="W19"/>
  <c r="DH17" i="41"/>
  <c r="DH25" i="26"/>
  <c r="AK17" i="38"/>
  <c r="W19"/>
  <c r="AK17" i="41"/>
  <c r="W19"/>
  <c r="Q17" i="38"/>
  <c r="DH17" i="39"/>
  <c r="Q17" i="41"/>
  <c r="K185" i="12"/>
  <c r="G656" i="17"/>
  <c r="G657" s="1"/>
  <c r="G641"/>
  <c r="M196" i="12"/>
  <c r="I915" i="14"/>
  <c r="AZ428" i="47"/>
  <c r="G930" i="14"/>
  <c r="K404" i="15"/>
  <c r="H737" i="4"/>
  <c r="H1051"/>
  <c r="N754" i="14"/>
  <c r="N719"/>
  <c r="N753" s="1"/>
  <c r="L639"/>
  <c r="M646"/>
  <c r="K763"/>
  <c r="K720"/>
  <c r="K762" s="1"/>
  <c r="G931"/>
  <c r="G933"/>
  <c r="G396" i="15"/>
  <c r="J185" i="12"/>
  <c r="F448" i="17"/>
  <c r="F536"/>
  <c r="F586" s="1"/>
  <c r="F784" s="1"/>
  <c r="F442"/>
  <c r="K196" i="12"/>
  <c r="G618" i="17"/>
  <c r="G620"/>
  <c r="G785" s="1"/>
  <c r="M185" i="12"/>
  <c r="N710" i="17"/>
  <c r="F903" i="14"/>
  <c r="G737" i="4"/>
  <c r="J714" i="14"/>
  <c r="J738" s="1"/>
  <c r="G763"/>
  <c r="G412" i="15"/>
  <c r="N388"/>
  <c r="N1056" i="4"/>
  <c r="H105" i="52"/>
  <c r="L81" i="33"/>
  <c r="J105" i="52"/>
  <c r="H1052" i="4"/>
  <c r="H1047"/>
  <c r="H1121"/>
  <c r="H1126"/>
  <c r="H1122"/>
  <c r="M729"/>
  <c r="BC14" i="26"/>
  <c r="BF14" s="1"/>
  <c r="BF12"/>
  <c r="L737" i="4"/>
  <c r="H681"/>
  <c r="H699"/>
  <c r="N714" i="14"/>
  <c r="N738" s="1"/>
  <c r="H1048" i="4"/>
  <c r="H1124"/>
  <c r="L638" i="14"/>
  <c r="K754"/>
  <c r="N552"/>
  <c r="N569" s="1"/>
  <c r="I502" i="17"/>
  <c r="G714" i="14"/>
  <c r="G738" s="1"/>
  <c r="N684"/>
  <c r="N736" s="1"/>
  <c r="L903"/>
  <c r="H1053" i="4"/>
  <c r="H1055"/>
  <c r="H1050"/>
  <c r="I904" i="14"/>
  <c r="K747"/>
  <c r="I913"/>
  <c r="J913"/>
  <c r="I636" i="17"/>
  <c r="I652" s="1"/>
  <c r="K660" i="14"/>
  <c r="N661"/>
  <c r="H1125" i="4"/>
  <c r="H1123"/>
  <c r="H1115"/>
  <c r="M530" i="14"/>
  <c r="M547" s="1"/>
  <c r="K922"/>
  <c r="K412" i="15"/>
  <c r="G404"/>
  <c r="G388"/>
  <c r="J729" i="4"/>
  <c r="K737"/>
  <c r="L729"/>
  <c r="L644"/>
  <c r="L647" s="1"/>
  <c r="K644"/>
  <c r="K647" s="1"/>
  <c r="M644"/>
  <c r="M647" s="1"/>
  <c r="J644"/>
  <c r="J647" s="1"/>
  <c r="H644"/>
  <c r="H647" s="1"/>
  <c r="I644"/>
  <c r="I647" s="1"/>
  <c r="I1037"/>
  <c r="J632"/>
  <c r="I660"/>
  <c r="I1108"/>
  <c r="I1124" s="1"/>
  <c r="I734"/>
  <c r="I737" s="1"/>
  <c r="I729"/>
  <c r="H698"/>
  <c r="H680"/>
  <c r="N729"/>
  <c r="N734"/>
  <c r="N737" s="1"/>
  <c r="I1038"/>
  <c r="J633"/>
  <c r="I661"/>
  <c r="I1109"/>
  <c r="H714" i="14"/>
  <c r="H738" s="1"/>
  <c r="J737" i="4"/>
  <c r="F745" i="14"/>
  <c r="H1049" i="4"/>
  <c r="H1120"/>
  <c r="K924" i="14"/>
  <c r="L105" i="52"/>
  <c r="M737" i="4"/>
  <c r="H1054"/>
  <c r="H1044"/>
  <c r="K905" i="14"/>
  <c r="I507" i="17"/>
  <c r="L534" i="14"/>
  <c r="L551" s="1"/>
  <c r="L568" s="1"/>
  <c r="N625"/>
  <c r="H1119" i="4"/>
  <c r="H1129" s="1"/>
  <c r="H1283" s="1"/>
  <c r="F747" i="14"/>
  <c r="G422" i="34"/>
  <c r="G543" s="1"/>
  <c r="N377" i="24"/>
  <c r="M246"/>
  <c r="G122" i="8"/>
  <c r="G154" s="1"/>
  <c r="G145"/>
  <c r="G146" s="1"/>
  <c r="AK67" i="37"/>
  <c r="I291" i="46"/>
  <c r="I302" s="1"/>
  <c r="BF67" i="37"/>
  <c r="AX68"/>
  <c r="I105" i="33"/>
  <c r="BL67" i="41"/>
  <c r="M81" i="33"/>
  <c r="M758" i="4"/>
  <c r="M760" s="1"/>
  <c r="BL89" i="1"/>
  <c r="S49" i="60"/>
  <c r="F290" i="46"/>
  <c r="F301" s="1"/>
  <c r="AK65" i="1"/>
  <c r="T68"/>
  <c r="AD49" i="60"/>
  <c r="S48"/>
  <c r="BF65" i="1"/>
  <c r="AW68"/>
  <c r="BL89" i="36"/>
  <c r="F111" i="32"/>
  <c r="BD51" i="37"/>
  <c r="BD84" s="1"/>
  <c r="V54" i="60"/>
  <c r="H758" i="4"/>
  <c r="H1235" s="1"/>
  <c r="N758"/>
  <c r="N760" s="1"/>
  <c r="N765" s="1" a="1"/>
  <c r="F758"/>
  <c r="F1235" s="1"/>
  <c r="K758"/>
  <c r="K1235" s="1"/>
  <c r="G758"/>
  <c r="G1235" s="1"/>
  <c r="H558" i="34"/>
  <c r="BL60" i="1"/>
  <c r="BL59" i="25"/>
  <c r="BL60" i="26"/>
  <c r="AE51"/>
  <c r="AE84" s="1"/>
  <c r="H68" i="38"/>
  <c r="Q66"/>
  <c r="AK49"/>
  <c r="AX68" i="36"/>
  <c r="BF68" s="1"/>
  <c r="BF67"/>
  <c r="H68" i="39"/>
  <c r="Q66"/>
  <c r="BF67" i="40"/>
  <c r="AX68"/>
  <c r="Q66"/>
  <c r="H68"/>
  <c r="AE51" i="25"/>
  <c r="AE84" s="1"/>
  <c r="AX68"/>
  <c r="BF67"/>
  <c r="AE51" i="39"/>
  <c r="AE51" i="40"/>
  <c r="AE84" s="1"/>
  <c r="BZ22" i="36"/>
  <c r="AE51"/>
  <c r="AK49"/>
  <c r="BF65" i="25"/>
  <c r="AW68"/>
  <c r="AE49" i="60"/>
  <c r="T48"/>
  <c r="DH25" i="40"/>
  <c r="AK33" i="60"/>
  <c r="AK66" i="41"/>
  <c r="S68"/>
  <c r="AD51" i="1"/>
  <c r="AD84" s="1"/>
  <c r="AK50"/>
  <c r="AE33" i="60"/>
  <c r="S68" i="25"/>
  <c r="AK66"/>
  <c r="BD51" i="38"/>
  <c r="W54" i="60"/>
  <c r="AH33"/>
  <c r="S68" i="38"/>
  <c r="AK66"/>
  <c r="AK66" i="26"/>
  <c r="S68"/>
  <c r="AL33" i="60"/>
  <c r="H68" i="41"/>
  <c r="Q66"/>
  <c r="H68" i="25"/>
  <c r="Q66"/>
  <c r="CG51" i="37"/>
  <c r="BX22" i="36"/>
  <c r="Q66"/>
  <c r="H68"/>
  <c r="AX68" i="38"/>
  <c r="BF67"/>
  <c r="AE51"/>
  <c r="H68" i="1"/>
  <c r="Q66"/>
  <c r="BY22" i="36"/>
  <c r="Q66" i="26"/>
  <c r="H68"/>
  <c r="DH25" i="25"/>
  <c r="AK67" i="40"/>
  <c r="L291" i="46"/>
  <c r="L302" s="1"/>
  <c r="AK66" i="40"/>
  <c r="S68"/>
  <c r="T54" i="60"/>
  <c r="BD51" i="39"/>
  <c r="X54" i="60"/>
  <c r="BD51" i="40"/>
  <c r="Y54" i="60"/>
  <c r="BD51" i="36"/>
  <c r="U54" i="60"/>
  <c r="DH25" i="39"/>
  <c r="BF65"/>
  <c r="AW68"/>
  <c r="AI49" i="60"/>
  <c r="X48"/>
  <c r="AD33"/>
  <c r="S68" i="1"/>
  <c r="AK66"/>
  <c r="T49" i="60"/>
  <c r="AK65" i="25"/>
  <c r="T68"/>
  <c r="G290" i="46"/>
  <c r="G301" s="1"/>
  <c r="BF65" i="37"/>
  <c r="AW68"/>
  <c r="AG49" i="60"/>
  <c r="V48"/>
  <c r="AW68" i="40"/>
  <c r="BF65"/>
  <c r="Y48" i="60"/>
  <c r="AJ49"/>
  <c r="S68" i="36"/>
  <c r="AK66"/>
  <c r="H291" i="46"/>
  <c r="H302" s="1"/>
  <c r="AK67" i="36"/>
  <c r="T68"/>
  <c r="BF50" i="1"/>
  <c r="S54" i="60"/>
  <c r="T68" i="39"/>
  <c r="AK65"/>
  <c r="X49" i="60"/>
  <c r="K290" i="46"/>
  <c r="K301" s="1"/>
  <c r="G288"/>
  <c r="G299" s="1"/>
  <c r="AK58" i="25"/>
  <c r="AK67"/>
  <c r="G291" i="46"/>
  <c r="G302" s="1"/>
  <c r="J291"/>
  <c r="J302" s="1"/>
  <c r="AK67" i="38"/>
  <c r="T68"/>
  <c r="S6" i="60"/>
  <c r="BD51" i="26"/>
  <c r="BD84" s="1"/>
  <c r="AA54" i="60"/>
  <c r="AI33"/>
  <c r="AK66" i="39"/>
  <c r="S68"/>
  <c r="V49" i="60"/>
  <c r="AK65" i="37"/>
  <c r="T68"/>
  <c r="I290" i="46"/>
  <c r="I301" s="1"/>
  <c r="Y49" i="60"/>
  <c r="T68" i="40"/>
  <c r="AK65"/>
  <c r="L290" i="46"/>
  <c r="L301" s="1"/>
  <c r="H145" i="8"/>
  <c r="H144"/>
  <c r="H122"/>
  <c r="H154" s="1"/>
  <c r="L388" i="15"/>
  <c r="H156" i="8"/>
  <c r="H126"/>
  <c r="H131"/>
  <c r="H136"/>
  <c r="G132"/>
  <c r="G167"/>
  <c r="F547" i="34"/>
  <c r="AZ379" i="47"/>
  <c r="BF407" s="1"/>
  <c r="BH407" s="1"/>
  <c r="BI407" s="1"/>
  <c r="I116" i="8"/>
  <c r="I117" s="1"/>
  <c r="I120"/>
  <c r="I264" i="13"/>
  <c r="I261"/>
  <c r="I263"/>
  <c r="I265"/>
  <c r="I262"/>
  <c r="I237"/>
  <c r="N639" i="14"/>
  <c r="F714"/>
  <c r="F738" s="1"/>
  <c r="I449" i="34"/>
  <c r="I718" i="14"/>
  <c r="H913"/>
  <c r="N747"/>
  <c r="L914"/>
  <c r="G747"/>
  <c r="J699"/>
  <c r="J737" s="1"/>
  <c r="K915"/>
  <c r="I747"/>
  <c r="H745"/>
  <c r="K699"/>
  <c r="K737" s="1"/>
  <c r="I714"/>
  <c r="I738" s="1"/>
  <c r="L684"/>
  <c r="L736" s="1"/>
  <c r="N643"/>
  <c r="L396" i="15"/>
  <c r="BL25" i="25"/>
  <c r="BL59" i="38"/>
  <c r="AO50" i="60"/>
  <c r="AQ50"/>
  <c r="L105" i="33"/>
  <c r="G169" i="8"/>
  <c r="G127"/>
  <c r="L443" i="42"/>
  <c r="K441"/>
  <c r="L442" s="1"/>
  <c r="BG414" i="47"/>
  <c r="BH414" s="1"/>
  <c r="BI414" s="1"/>
  <c r="K175" i="13"/>
  <c r="J234"/>
  <c r="J209"/>
  <c r="K388" i="15"/>
  <c r="G165" i="8"/>
  <c r="G137"/>
  <c r="K355" i="34"/>
  <c r="J448"/>
  <c r="J559" s="1"/>
  <c r="K110" i="8"/>
  <c r="J155"/>
  <c r="J114"/>
  <c r="I297" i="13"/>
  <c r="I300" s="1"/>
  <c r="I456" s="1"/>
  <c r="I311"/>
  <c r="I314" s="1"/>
  <c r="I472" s="1"/>
  <c r="I325"/>
  <c r="I328" s="1"/>
  <c r="I474" s="1"/>
  <c r="I304"/>
  <c r="I307" s="1"/>
  <c r="I457" s="1"/>
  <c r="I332"/>
  <c r="I335" s="1"/>
  <c r="I475" s="1"/>
  <c r="I290"/>
  <c r="I293" s="1"/>
  <c r="I455" s="1"/>
  <c r="I318"/>
  <c r="I321" s="1"/>
  <c r="I473" s="1"/>
  <c r="I283"/>
  <c r="I286" s="1"/>
  <c r="F105" i="52"/>
  <c r="H454" i="13"/>
  <c r="H363"/>
  <c r="H365" s="1"/>
  <c r="G111" i="32"/>
  <c r="K548" i="42"/>
  <c r="F545"/>
  <c r="F543"/>
  <c r="N77" i="52"/>
  <c r="N78" s="1"/>
  <c r="N79" s="1"/>
  <c r="J78"/>
  <c r="J79" s="1"/>
  <c r="H105" i="33"/>
  <c r="K111" i="32"/>
  <c r="L77" i="52"/>
  <c r="L78" s="1"/>
  <c r="L79" s="1"/>
  <c r="H78"/>
  <c r="H79" s="1"/>
  <c r="G105" i="33"/>
  <c r="J105"/>
  <c r="K77" i="52"/>
  <c r="K78" s="1"/>
  <c r="K79" s="1"/>
  <c r="G78"/>
  <c r="G79" s="1"/>
  <c r="H406" i="34"/>
  <c r="H409" s="1"/>
  <c r="I363"/>
  <c r="H364"/>
  <c r="H411" s="1"/>
  <c r="H413" s="1"/>
  <c r="I111" i="32"/>
  <c r="L111"/>
  <c r="AT50" i="60"/>
  <c r="N905" i="14"/>
  <c r="I746"/>
  <c r="G699"/>
  <c r="G737" s="1"/>
  <c r="H747"/>
  <c r="L747"/>
  <c r="K396" i="15"/>
  <c r="M105" i="52"/>
  <c r="G913" i="14"/>
  <c r="I699"/>
  <c r="I737" s="1"/>
  <c r="I508" i="17"/>
  <c r="I912" i="14"/>
  <c r="F913"/>
  <c r="K105" i="52"/>
  <c r="L412" i="15"/>
  <c r="G105" i="52"/>
  <c r="BL60" i="25"/>
  <c r="AW50" i="60"/>
  <c r="AP50"/>
  <c r="CF51" i="25"/>
  <c r="CF51" i="39"/>
  <c r="BQ19"/>
  <c r="Q50"/>
  <c r="I51"/>
  <c r="DH18" i="38"/>
  <c r="BO19"/>
  <c r="BP19" i="41"/>
  <c r="AL16" i="60"/>
  <c r="AF16"/>
  <c r="BW22" i="25"/>
  <c r="BI76"/>
  <c r="J245" i="46"/>
  <c r="J68"/>
  <c r="BQ19" i="41"/>
  <c r="L245" i="46"/>
  <c r="L68"/>
  <c r="M245"/>
  <c r="I51" i="36"/>
  <c r="Q50"/>
  <c r="DH18" i="39"/>
  <c r="BO19"/>
  <c r="Q50" i="38"/>
  <c r="I51"/>
  <c r="K245" i="46"/>
  <c r="K68"/>
  <c r="AD46" i="60"/>
  <c r="DH18" i="41"/>
  <c r="BO19"/>
  <c r="BP19" i="25"/>
  <c r="U14" i="26"/>
  <c r="J29" i="64"/>
  <c r="AI32" i="60"/>
  <c r="AK18" i="39"/>
  <c r="S19"/>
  <c r="BD325" i="47"/>
  <c r="F29" i="64"/>
  <c r="AK18" i="25"/>
  <c r="S19"/>
  <c r="AE32" i="60"/>
  <c r="AZ325" i="47"/>
  <c r="Q18" i="39"/>
  <c r="H19"/>
  <c r="H223" i="46"/>
  <c r="I29" i="64"/>
  <c r="BC325" i="47"/>
  <c r="AK18" i="38"/>
  <c r="S19"/>
  <c r="AH32" i="60"/>
  <c r="Q18" i="41"/>
  <c r="H19"/>
  <c r="M68" i="46"/>
  <c r="Q50" i="40"/>
  <c r="I51"/>
  <c r="AH16" i="60"/>
  <c r="AG16"/>
  <c r="BP19" i="38"/>
  <c r="I51" i="25"/>
  <c r="Q50"/>
  <c r="H245" i="46"/>
  <c r="H68"/>
  <c r="DH18" i="25"/>
  <c r="BO19"/>
  <c r="AE46" i="60"/>
  <c r="G245" i="46"/>
  <c r="G68"/>
  <c r="N279"/>
  <c r="BP19" i="39"/>
  <c r="BQ19" i="38"/>
  <c r="F279" i="46"/>
  <c r="I245"/>
  <c r="I68"/>
  <c r="CF51" i="41"/>
  <c r="BQ19" i="25"/>
  <c r="AD16" i="60"/>
  <c r="AJ46"/>
  <c r="Q18" i="38"/>
  <c r="H19"/>
  <c r="T76" i="25"/>
  <c r="AK75"/>
  <c r="AK32" i="60"/>
  <c r="BF325" i="47"/>
  <c r="L29" i="64"/>
  <c r="AK18" i="41"/>
  <c r="S19"/>
  <c r="Q18" i="25"/>
  <c r="H19"/>
  <c r="I224" i="46"/>
  <c r="I583" i="14"/>
  <c r="I564"/>
  <c r="H602"/>
  <c r="H588"/>
  <c r="H607"/>
  <c r="J591"/>
  <c r="J610"/>
  <c r="J572"/>
  <c r="K573"/>
  <c r="K592"/>
  <c r="K611"/>
  <c r="L583"/>
  <c r="L564"/>
  <c r="L602"/>
  <c r="H587"/>
  <c r="K588"/>
  <c r="K607"/>
  <c r="K569"/>
  <c r="J587"/>
  <c r="J568"/>
  <c r="J606"/>
  <c r="L574"/>
  <c r="L593"/>
  <c r="I593"/>
  <c r="I612"/>
  <c r="I574"/>
  <c r="H593"/>
  <c r="H574"/>
  <c r="H612"/>
  <c r="J573"/>
  <c r="J611"/>
  <c r="J592"/>
  <c r="H536" i="34"/>
  <c r="H443"/>
  <c r="H557" s="1"/>
  <c r="H441"/>
  <c r="H555" s="1"/>
  <c r="K537"/>
  <c r="K462"/>
  <c r="L336" i="17"/>
  <c r="M417" s="1"/>
  <c r="L417"/>
  <c r="I702" i="4"/>
  <c r="I684"/>
  <c r="I733" i="14"/>
  <c r="I744"/>
  <c r="M611"/>
  <c r="M573"/>
  <c r="J443" i="34"/>
  <c r="J557" s="1"/>
  <c r="J536"/>
  <c r="J442"/>
  <c r="J556" s="1"/>
  <c r="I675" i="4"/>
  <c r="I693"/>
  <c r="I603" i="14"/>
  <c r="I584"/>
  <c r="I565"/>
  <c r="G464" i="34"/>
  <c r="G539"/>
  <c r="M606" i="14"/>
  <c r="M587"/>
  <c r="M568"/>
  <c r="J169" i="7"/>
  <c r="I217"/>
  <c r="I248"/>
  <c r="M644" i="14"/>
  <c r="N536"/>
  <c r="N553" s="1"/>
  <c r="M626"/>
  <c r="M662"/>
  <c r="I700" i="4"/>
  <c r="I682"/>
  <c r="K564" i="14"/>
  <c r="K583"/>
  <c r="K602"/>
  <c r="I658"/>
  <c r="J532"/>
  <c r="J549" s="1"/>
  <c r="I622"/>
  <c r="I640"/>
  <c r="L537" i="34"/>
  <c r="L462"/>
  <c r="J356" i="17"/>
  <c r="J323"/>
  <c r="J388"/>
  <c r="J599"/>
  <c r="M714" i="14"/>
  <c r="M738" s="1"/>
  <c r="I704" i="4"/>
  <c r="I686"/>
  <c r="K568" i="14"/>
  <c r="K606"/>
  <c r="K587"/>
  <c r="K663"/>
  <c r="L537"/>
  <c r="L554" s="1"/>
  <c r="K627"/>
  <c r="K645"/>
  <c r="G302" i="7"/>
  <c r="G211"/>
  <c r="J644" i="14"/>
  <c r="K536"/>
  <c r="K553" s="1"/>
  <c r="J626"/>
  <c r="J662"/>
  <c r="I632" i="17"/>
  <c r="I648" s="1"/>
  <c r="N537" i="14"/>
  <c r="N554" s="1"/>
  <c r="M645"/>
  <c r="M627"/>
  <c r="M663"/>
  <c r="K156" i="18"/>
  <c r="K441" i="34"/>
  <c r="K555" s="1"/>
  <c r="K536"/>
  <c r="J463"/>
  <c r="J538"/>
  <c r="N574" i="14"/>
  <c r="N593"/>
  <c r="N612"/>
  <c r="K640"/>
  <c r="K622"/>
  <c r="K658"/>
  <c r="L532"/>
  <c r="L549" s="1"/>
  <c r="H644"/>
  <c r="I536"/>
  <c r="I553" s="1"/>
  <c r="H626"/>
  <c r="H662"/>
  <c r="N626"/>
  <c r="N644"/>
  <c r="N662"/>
  <c r="I631" i="17"/>
  <c r="I647" s="1"/>
  <c r="H337" i="7"/>
  <c r="H623" i="14"/>
  <c r="H659"/>
  <c r="I533"/>
  <c r="I550" s="1"/>
  <c r="H641"/>
  <c r="M533"/>
  <c r="M550" s="1"/>
  <c r="L641"/>
  <c r="L623"/>
  <c r="L659"/>
  <c r="G659"/>
  <c r="G623"/>
  <c r="H533"/>
  <c r="H550" s="1"/>
  <c r="G550"/>
  <c r="G641"/>
  <c r="N735"/>
  <c r="N762"/>
  <c r="N766" s="1"/>
  <c r="M735"/>
  <c r="M762"/>
  <c r="M766" s="1"/>
  <c r="J317" i="17"/>
  <c r="J350"/>
  <c r="J382"/>
  <c r="J593"/>
  <c r="L536" i="34"/>
  <c r="L443"/>
  <c r="L557" s="1"/>
  <c r="L441"/>
  <c r="L555" s="1"/>
  <c r="L442"/>
  <c r="L556" s="1"/>
  <c r="G573" i="14"/>
  <c r="G611"/>
  <c r="G592"/>
  <c r="L588"/>
  <c r="L569"/>
  <c r="L607"/>
  <c r="I633" i="17"/>
  <c r="I649" s="1"/>
  <c r="M913" i="14"/>
  <c r="M903"/>
  <c r="M684"/>
  <c r="M914"/>
  <c r="M904"/>
  <c r="M745"/>
  <c r="M912"/>
  <c r="M905"/>
  <c r="M915"/>
  <c r="M906"/>
  <c r="K631" i="4"/>
  <c r="J1107"/>
  <c r="J659"/>
  <c r="J1036"/>
  <c r="J358" i="17"/>
  <c r="J325"/>
  <c r="J390"/>
  <c r="J601"/>
  <c r="J544" i="34"/>
  <c r="L753" i="14"/>
  <c r="L757" s="1"/>
  <c r="N533"/>
  <c r="N550" s="1"/>
  <c r="M641"/>
  <c r="M623"/>
  <c r="M659"/>
  <c r="G544" i="34"/>
  <c r="H537"/>
  <c r="H462"/>
  <c r="L626" i="14"/>
  <c r="L644"/>
  <c r="L662"/>
  <c r="M536"/>
  <c r="M553" s="1"/>
  <c r="K464" i="34"/>
  <c r="K539"/>
  <c r="I203" i="7"/>
  <c r="J168"/>
  <c r="I242"/>
  <c r="G569" i="14"/>
  <c r="G607"/>
  <c r="G588"/>
  <c r="K636" i="4"/>
  <c r="J664"/>
  <c r="J1112"/>
  <c r="J1041"/>
  <c r="G583" i="14"/>
  <c r="G564"/>
  <c r="G602"/>
  <c r="J462" i="34"/>
  <c r="J537"/>
  <c r="M612" i="14"/>
  <c r="M574"/>
  <c r="M593"/>
  <c r="I638" i="17"/>
  <c r="I654" s="1"/>
  <c r="K637" i="4"/>
  <c r="J1113"/>
  <c r="J665"/>
  <c r="J1042"/>
  <c r="I710"/>
  <c r="I711" s="1"/>
  <c r="I683"/>
  <c r="I701"/>
  <c r="H131" i="6"/>
  <c r="H168" s="1"/>
  <c r="H165"/>
  <c r="I644" i="14"/>
  <c r="I662"/>
  <c r="I626"/>
  <c r="J536"/>
  <c r="J553" s="1"/>
  <c r="H536"/>
  <c r="H553" s="1"/>
  <c r="G626"/>
  <c r="G553"/>
  <c r="G644"/>
  <c r="G662"/>
  <c r="I188" i="7"/>
  <c r="J167"/>
  <c r="I170"/>
  <c r="I335" s="1"/>
  <c r="I236"/>
  <c r="G536" i="34"/>
  <c r="G443"/>
  <c r="G557" s="1"/>
  <c r="I637" i="17"/>
  <c r="I653" s="1"/>
  <c r="J607" i="14"/>
  <c r="J588"/>
  <c r="J569"/>
  <c r="J352" i="17"/>
  <c r="J319"/>
  <c r="J384"/>
  <c r="J595"/>
  <c r="I677" i="4"/>
  <c r="I695"/>
  <c r="J90" i="9"/>
  <c r="I94"/>
  <c r="I135"/>
  <c r="K662" i="14"/>
  <c r="K626"/>
  <c r="K644"/>
  <c r="L536"/>
  <c r="L553" s="1"/>
  <c r="M156" i="18"/>
  <c r="I674" i="4"/>
  <c r="I692"/>
  <c r="L416" i="17"/>
  <c r="L335"/>
  <c r="M416" s="1"/>
  <c r="H735" i="14"/>
  <c r="L539" i="34"/>
  <c r="L464"/>
  <c r="G735" i="14"/>
  <c r="G762"/>
  <c r="G766" s="1"/>
  <c r="H719"/>
  <c r="H924"/>
  <c r="H754"/>
  <c r="H921"/>
  <c r="H922"/>
  <c r="H923"/>
  <c r="I676" i="4"/>
  <c r="I694"/>
  <c r="J359" i="17"/>
  <c r="J326"/>
  <c r="J391"/>
  <c r="J602"/>
  <c r="F735" i="14"/>
  <c r="F762"/>
  <c r="F766" s="1"/>
  <c r="M638"/>
  <c r="M656"/>
  <c r="M620"/>
  <c r="N530"/>
  <c r="N547" s="1"/>
  <c r="I679" i="4"/>
  <c r="I697"/>
  <c r="G125" i="9"/>
  <c r="G102"/>
  <c r="G134" s="1"/>
  <c r="G124"/>
  <c r="I124" i="6"/>
  <c r="I125" s="1"/>
  <c r="I130" s="1"/>
  <c r="I138"/>
  <c r="I630" i="17"/>
  <c r="I646" s="1"/>
  <c r="J435"/>
  <c r="J442" s="1"/>
  <c r="J431"/>
  <c r="J718" i="14"/>
  <c r="G905"/>
  <c r="L906"/>
  <c r="L745"/>
  <c r="N740" i="17"/>
  <c r="F912" i="14"/>
  <c r="I745"/>
  <c r="I684"/>
  <c r="J915"/>
  <c r="H905"/>
  <c r="G684"/>
  <c r="G745"/>
  <c r="J558" i="34"/>
  <c r="H755" i="14"/>
  <c r="L904"/>
  <c r="H699"/>
  <c r="H737" s="1"/>
  <c r="F904"/>
  <c r="F905"/>
  <c r="F718"/>
  <c r="N745"/>
  <c r="N906"/>
  <c r="K714"/>
  <c r="K738" s="1"/>
  <c r="G132" i="6"/>
  <c r="G134" s="1"/>
  <c r="I914" i="14"/>
  <c r="I906"/>
  <c r="I903"/>
  <c r="L699"/>
  <c r="L737" s="1"/>
  <c r="H578" i="17"/>
  <c r="L558" i="34"/>
  <c r="I639" i="17"/>
  <c r="I655" s="1"/>
  <c r="K718" i="14"/>
  <c r="G746"/>
  <c r="K846" i="4"/>
  <c r="J905" i="14"/>
  <c r="J912"/>
  <c r="J684"/>
  <c r="G449" i="34"/>
  <c r="H903" i="14"/>
  <c r="H914"/>
  <c r="H904"/>
  <c r="I634" i="17"/>
  <c r="I650" s="1"/>
  <c r="G903" i="14"/>
  <c r="G914"/>
  <c r="G718"/>
  <c r="L915"/>
  <c r="L913"/>
  <c r="L718"/>
  <c r="F746"/>
  <c r="H746"/>
  <c r="N558" i="34"/>
  <c r="I558"/>
  <c r="J735" i="14"/>
  <c r="J762"/>
  <c r="J766" s="1"/>
  <c r="M536" i="34"/>
  <c r="J354" i="17"/>
  <c r="J321"/>
  <c r="J386"/>
  <c r="J597"/>
  <c r="N645" i="14"/>
  <c r="N663"/>
  <c r="N627"/>
  <c r="H521" i="17"/>
  <c r="H725" s="1"/>
  <c r="H519"/>
  <c r="H723" s="1"/>
  <c r="I866" i="4"/>
  <c r="I882" s="1"/>
  <c r="I858"/>
  <c r="I874" s="1"/>
  <c r="I863"/>
  <c r="I879" s="1"/>
  <c r="I864"/>
  <c r="I880" s="1"/>
  <c r="I865"/>
  <c r="I881" s="1"/>
  <c r="I857"/>
  <c r="I869"/>
  <c r="I885" s="1"/>
  <c r="I859"/>
  <c r="I875" s="1"/>
  <c r="I860"/>
  <c r="I876" s="1"/>
  <c r="I868"/>
  <c r="I884" s="1"/>
  <c r="I867"/>
  <c r="I883" s="1"/>
  <c r="I861"/>
  <c r="I877" s="1"/>
  <c r="I862"/>
  <c r="I878" s="1"/>
  <c r="J324" i="17"/>
  <c r="J389"/>
  <c r="J357"/>
  <c r="J600"/>
  <c r="I544" i="34"/>
  <c r="I627" i="17"/>
  <c r="H664" i="14"/>
  <c r="I538"/>
  <c r="I555" s="1"/>
  <c r="H628"/>
  <c r="H646"/>
  <c r="J663"/>
  <c r="K537"/>
  <c r="K554" s="1"/>
  <c r="J645"/>
  <c r="J627"/>
  <c r="K628" i="4"/>
  <c r="J656"/>
  <c r="J1033"/>
  <c r="J1104"/>
  <c r="M544" i="34"/>
  <c r="M640" i="14"/>
  <c r="N532"/>
  <c r="N549" s="1"/>
  <c r="M622"/>
  <c r="M658"/>
  <c r="H532"/>
  <c r="H549" s="1"/>
  <c r="G549"/>
  <c r="G658"/>
  <c r="G622"/>
  <c r="G640"/>
  <c r="H1079" i="4"/>
  <c r="H1072"/>
  <c r="H1074"/>
  <c r="H870"/>
  <c r="H1076"/>
  <c r="H1077"/>
  <c r="H1073"/>
  <c r="H1078"/>
  <c r="H1075"/>
  <c r="H873"/>
  <c r="H1071"/>
  <c r="M462" i="34"/>
  <c r="M537"/>
  <c r="H538"/>
  <c r="H463"/>
  <c r="I645" i="14"/>
  <c r="I627"/>
  <c r="I663"/>
  <c r="J537"/>
  <c r="J554" s="1"/>
  <c r="G645"/>
  <c r="H537"/>
  <c r="H554" s="1"/>
  <c r="G627"/>
  <c r="G663"/>
  <c r="G554"/>
  <c r="I587"/>
  <c r="I606"/>
  <c r="I568"/>
  <c r="K635" i="4"/>
  <c r="J663"/>
  <c r="J1040"/>
  <c r="J1111"/>
  <c r="J156" i="18"/>
  <c r="H565" i="14"/>
  <c r="H603"/>
  <c r="J641"/>
  <c r="K533"/>
  <c r="K550" s="1"/>
  <c r="J623"/>
  <c r="J659"/>
  <c r="G463" i="34"/>
  <c r="G538"/>
  <c r="K630" i="4"/>
  <c r="J1106"/>
  <c r="J658"/>
  <c r="J1035"/>
  <c r="K544" i="34"/>
  <c r="J327" i="17"/>
  <c r="J360"/>
  <c r="J392"/>
  <c r="J603"/>
  <c r="H218" i="7"/>
  <c r="H220" s="1"/>
  <c r="H222" s="1"/>
  <c r="H225" s="1"/>
  <c r="H224" s="1"/>
  <c r="H229"/>
  <c r="H245"/>
  <c r="L544" i="34"/>
  <c r="M657" i="14"/>
  <c r="N531"/>
  <c r="N548" s="1"/>
  <c r="M621"/>
  <c r="M548"/>
  <c r="M639"/>
  <c r="K844" i="4"/>
  <c r="J852"/>
  <c r="J853" s="1"/>
  <c r="J854" s="1"/>
  <c r="N733" i="17"/>
  <c r="N544" i="34"/>
  <c r="K428" i="17"/>
  <c r="K418"/>
  <c r="K426"/>
  <c r="K439" s="1"/>
  <c r="K425"/>
  <c r="K438" s="1"/>
  <c r="K429"/>
  <c r="K422"/>
  <c r="K423"/>
  <c r="K436" s="1"/>
  <c r="K424"/>
  <c r="K437" s="1"/>
  <c r="K430"/>
  <c r="K443" s="1"/>
  <c r="K427"/>
  <c r="K440" s="1"/>
  <c r="I537" i="14"/>
  <c r="I554" s="1"/>
  <c r="H645"/>
  <c r="H663"/>
  <c r="H627"/>
  <c r="G733" i="17"/>
  <c r="K118" i="6"/>
  <c r="J122"/>
  <c r="J177"/>
  <c r="F734" i="14"/>
  <c r="F753"/>
  <c r="F757" s="1"/>
  <c r="J387" i="17"/>
  <c r="J355"/>
  <c r="J322"/>
  <c r="J598"/>
  <c r="N659" i="14"/>
  <c r="N623"/>
  <c r="N641"/>
  <c r="I735"/>
  <c r="I762"/>
  <c r="I766" s="1"/>
  <c r="H464" i="34"/>
  <c r="H539"/>
  <c r="N611" i="14"/>
  <c r="N573"/>
  <c r="N592"/>
  <c r="K463" i="34"/>
  <c r="K538"/>
  <c r="H204" i="7"/>
  <c r="H206" s="1"/>
  <c r="H208" s="1"/>
  <c r="H239"/>
  <c r="J464" i="34"/>
  <c r="J539"/>
  <c r="J583" i="14"/>
  <c r="J602"/>
  <c r="J564"/>
  <c r="K532"/>
  <c r="K549" s="1"/>
  <c r="J640"/>
  <c r="J658"/>
  <c r="J622"/>
  <c r="J328" i="17"/>
  <c r="J361"/>
  <c r="J393"/>
  <c r="J604"/>
  <c r="I685" i="4"/>
  <c r="I703"/>
  <c r="BF388" i="47"/>
  <c r="H544" i="34"/>
  <c r="K627" i="4"/>
  <c r="J655"/>
  <c r="J1103"/>
  <c r="J1032"/>
  <c r="L627" i="14"/>
  <c r="L663"/>
  <c r="M537"/>
  <c r="M554" s="1"/>
  <c r="L645"/>
  <c r="I536" i="17"/>
  <c r="I444"/>
  <c r="G587" i="14"/>
  <c r="G606"/>
  <c r="G568"/>
  <c r="L573"/>
  <c r="L611"/>
  <c r="L592"/>
  <c r="H189" i="7"/>
  <c r="H191" s="1"/>
  <c r="H193" s="1"/>
  <c r="H196" s="1"/>
  <c r="H195" s="1"/>
  <c r="H233"/>
  <c r="J362" i="17"/>
  <c r="J394"/>
  <c r="J329"/>
  <c r="J605"/>
  <c r="G462" i="34"/>
  <c r="G537"/>
  <c r="I678" i="4"/>
  <c r="I696"/>
  <c r="I659" i="14"/>
  <c r="I641"/>
  <c r="I623"/>
  <c r="J533"/>
  <c r="J550" s="1"/>
  <c r="G612"/>
  <c r="J1110" i="4"/>
  <c r="J662"/>
  <c r="K634"/>
  <c r="J1039"/>
  <c r="N640" i="14"/>
  <c r="N622"/>
  <c r="N658"/>
  <c r="K629" i="4"/>
  <c r="J657"/>
  <c r="J1105"/>
  <c r="J1034"/>
  <c r="H96" i="9"/>
  <c r="H97" s="1"/>
  <c r="H100"/>
  <c r="J1102" i="4"/>
  <c r="J654"/>
  <c r="J1031"/>
  <c r="K626"/>
  <c r="G753" i="14"/>
  <c r="G757" s="1"/>
  <c r="K659"/>
  <c r="K641"/>
  <c r="L533"/>
  <c r="L550" s="1"/>
  <c r="K623"/>
  <c r="I532"/>
  <c r="I549" s="1"/>
  <c r="H622"/>
  <c r="H658"/>
  <c r="H640"/>
  <c r="M532"/>
  <c r="M549" s="1"/>
  <c r="L622"/>
  <c r="L658"/>
  <c r="L640"/>
  <c r="L538" i="34"/>
  <c r="L463"/>
  <c r="G156" i="18"/>
  <c r="M699" i="14"/>
  <c r="M737" s="1"/>
  <c r="M746"/>
  <c r="K638" i="4"/>
  <c r="J1114"/>
  <c r="J1043"/>
  <c r="J666"/>
  <c r="M660" i="17"/>
  <c r="N660"/>
  <c r="G136" i="9"/>
  <c r="G111"/>
  <c r="G106"/>
  <c r="G116"/>
  <c r="H647" i="14"/>
  <c r="I539"/>
  <c r="I556" s="1"/>
  <c r="H556"/>
  <c r="H665"/>
  <c r="H629"/>
  <c r="I179" i="6"/>
  <c r="J353" i="17"/>
  <c r="J320"/>
  <c r="J385"/>
  <c r="J596"/>
  <c r="M734" i="14"/>
  <c r="M753"/>
  <c r="M757" s="1"/>
  <c r="J906"/>
  <c r="J745"/>
  <c r="N699"/>
  <c r="N737" s="1"/>
  <c r="H906"/>
  <c r="H915"/>
  <c r="H718"/>
  <c r="G915"/>
  <c r="G912"/>
  <c r="F914"/>
  <c r="J904"/>
  <c r="J914"/>
  <c r="N746"/>
  <c r="H684"/>
  <c r="J746"/>
  <c r="K847" i="4"/>
  <c r="F684" i="14"/>
  <c r="F915"/>
  <c r="I905"/>
  <c r="L746"/>
  <c r="K845" i="4"/>
  <c r="J903" i="14"/>
  <c r="I629" i="17"/>
  <c r="I645" s="1"/>
  <c r="H912" i="14"/>
  <c r="G904"/>
  <c r="G906"/>
  <c r="I503" i="17"/>
  <c r="L912" i="14"/>
  <c r="L905"/>
  <c r="F699"/>
  <c r="F737" s="1"/>
  <c r="I635" i="17"/>
  <c r="I651" s="1"/>
  <c r="W12" i="26"/>
  <c r="AG48" i="25"/>
  <c r="F13" i="60"/>
  <c r="W17" i="36"/>
  <c r="G74" i="60"/>
  <c r="H17" i="40"/>
  <c r="T60" i="41"/>
  <c r="J16" i="60"/>
  <c r="X49" i="39"/>
  <c r="BD50" i="41"/>
  <c r="L12" i="60"/>
  <c r="S18" i="36"/>
  <c r="G13" i="64"/>
  <c r="G75" i="60"/>
  <c r="BA312" i="47"/>
  <c r="BO25" i="36"/>
  <c r="F89" i="64"/>
  <c r="E53"/>
  <c r="F66" i="46"/>
  <c r="H87" i="60"/>
  <c r="CI50" i="40"/>
  <c r="BP17" i="36"/>
  <c r="BB161" i="47"/>
  <c r="BG160"/>
  <c r="BC161"/>
  <c r="BF171"/>
  <c r="AX46" i="3"/>
  <c r="BB160" i="47"/>
  <c r="BG159"/>
  <c r="E78" i="60"/>
  <c r="E15" i="64"/>
  <c r="L24" i="37"/>
  <c r="E85" i="60"/>
  <c r="G12" i="26"/>
  <c r="T58" i="36"/>
  <c r="BX21" i="37"/>
  <c r="BC307" i="47"/>
  <c r="AG49" i="25"/>
  <c r="J85" i="60"/>
  <c r="V50" i="25"/>
  <c r="L24" i="1"/>
  <c r="AZ11" i="47"/>
  <c r="K8" i="64"/>
  <c r="AX57" i="25"/>
  <c r="F48" i="64"/>
  <c r="E54"/>
  <c r="H6" i="59"/>
  <c r="I68" i="64"/>
  <c r="K82" i="60"/>
  <c r="BG310" i="47"/>
  <c r="G61" i="60"/>
  <c r="L82"/>
  <c r="AZ108" i="47"/>
  <c r="BA174"/>
  <c r="BG170"/>
  <c r="BA160"/>
  <c r="BQ50" i="36"/>
  <c r="S18" i="26"/>
  <c r="F45" i="60"/>
  <c r="S50" i="36"/>
  <c r="AG50"/>
  <c r="K24" i="39"/>
  <c r="W50"/>
  <c r="AJ24" i="37"/>
  <c r="BF307" i="47"/>
  <c r="W50" i="41"/>
  <c r="F57" i="60"/>
  <c r="H16" i="59"/>
  <c r="S24" i="38"/>
  <c r="H36" i="46"/>
  <c r="J24" i="37"/>
  <c r="M57" i="60"/>
  <c r="K86" i="64"/>
  <c r="AZ170" i="47"/>
  <c r="W50" i="36"/>
  <c r="S24" i="1"/>
  <c r="S24" i="25"/>
  <c r="K86" i="60"/>
  <c r="V50" i="36"/>
  <c r="V21" i="1"/>
  <c r="G15" i="64"/>
  <c r="F36" i="46"/>
  <c r="T12" i="26"/>
  <c r="S24" i="36"/>
  <c r="I18" i="35"/>
  <c r="M85" i="60"/>
  <c r="BB308" i="47"/>
  <c r="I6" i="59"/>
  <c r="AZ98" i="47"/>
  <c r="I15" i="60"/>
  <c r="H69" i="64"/>
  <c r="I83" i="60"/>
  <c r="AG50" i="40"/>
  <c r="S24" i="26"/>
  <c r="AI9" i="36"/>
  <c r="G92" i="63"/>
  <c r="L57" i="60"/>
  <c r="CF50" i="38"/>
  <c r="AZ101" i="47"/>
  <c r="I102" i="63"/>
  <c r="I50" i="46"/>
  <c r="H85" i="60"/>
  <c r="AJ24" i="25"/>
  <c r="F89" i="60"/>
  <c r="BP50" i="38"/>
  <c r="G12" i="25"/>
  <c r="V50" i="38"/>
  <c r="AG50" i="25"/>
  <c r="S66" i="37"/>
  <c r="BG171" i="47"/>
  <c r="U21" i="1"/>
  <c r="I15" i="64"/>
  <c r="AZ314" i="47"/>
  <c r="F16" i="46"/>
  <c r="H54" i="64"/>
  <c r="L88"/>
  <c r="BD48" i="1"/>
  <c r="AY174" i="47"/>
  <c r="AZ159"/>
  <c r="BO50" i="40"/>
  <c r="AZ103" i="47"/>
  <c r="K60" i="59"/>
  <c r="BF314" i="47"/>
  <c r="F50" i="64"/>
  <c r="F85" i="60"/>
  <c r="J15"/>
  <c r="G86"/>
  <c r="V50" i="41"/>
  <c r="H51" i="59"/>
  <c r="BF160" i="47"/>
  <c r="I8" i="64"/>
  <c r="M88" i="60"/>
  <c r="G57"/>
  <c r="G19" i="63"/>
  <c r="I21" i="1"/>
  <c r="H18" i="26"/>
  <c r="S50" i="41"/>
  <c r="I70" i="64"/>
  <c r="T75" i="36"/>
  <c r="BB105" i="47"/>
  <c r="N17" i="35"/>
  <c r="I45" i="65"/>
  <c r="S24" i="40"/>
  <c r="H86" i="64"/>
  <c r="S12" i="26"/>
  <c r="K24" i="41"/>
  <c r="BD314" i="47"/>
  <c r="BE49" i="26"/>
  <c r="F71" i="60"/>
  <c r="BO50" i="38"/>
  <c r="AJ24" i="36"/>
  <c r="L24" i="41"/>
  <c r="L84" i="60"/>
  <c r="BO50" i="36"/>
  <c r="I82" i="60"/>
  <c r="K24" i="40"/>
  <c r="AY171" i="47"/>
  <c r="F26" i="46"/>
  <c r="I95" i="64"/>
  <c r="AX58" i="36"/>
  <c r="J8" i="64"/>
  <c r="H92"/>
  <c r="BG110" i="47"/>
  <c r="E55" i="64"/>
  <c r="BE160" i="47"/>
  <c r="BC174"/>
  <c r="I29" i="63"/>
  <c r="W21" i="1"/>
  <c r="M15" i="60"/>
  <c r="E45"/>
  <c r="J82"/>
  <c r="H73"/>
  <c r="S50" i="38"/>
  <c r="BB121" i="47"/>
  <c r="G35" i="65"/>
  <c r="BD108" i="47"/>
  <c r="S24" i="39"/>
  <c r="K24" i="25"/>
  <c r="AG50" i="37"/>
  <c r="L24" i="25"/>
  <c r="U50" i="40"/>
  <c r="BB159" i="47"/>
  <c r="BC45"/>
  <c r="U50" i="39"/>
  <c r="CF50" i="26"/>
  <c r="H57" i="60"/>
  <c r="K24" i="1"/>
  <c r="J84" i="60"/>
  <c r="F11" i="65"/>
  <c r="AX57" i="1"/>
  <c r="AJ24" i="38"/>
  <c r="CF50" i="36"/>
  <c r="H44" i="59"/>
  <c r="S50" i="25"/>
  <c r="T57"/>
  <c r="BW21" i="36"/>
  <c r="V24" i="26"/>
  <c r="F8" i="64"/>
  <c r="BE314" i="47"/>
  <c r="BA29"/>
  <c r="G85" i="60"/>
  <c r="T79" i="25"/>
  <c r="J15" i="64"/>
  <c r="K34" i="59"/>
  <c r="BE49" i="38"/>
  <c r="M13" i="64"/>
  <c r="U12" i="25"/>
  <c r="BC314" i="47"/>
  <c r="AG50" i="38"/>
  <c r="BQ50" i="39"/>
  <c r="L89" i="60"/>
  <c r="L83"/>
  <c r="AJ24" i="1"/>
  <c r="BG247" i="47"/>
  <c r="L15" i="64"/>
  <c r="AY38" i="3"/>
  <c r="H15" i="64"/>
  <c r="G15" i="60"/>
  <c r="I31" i="4"/>
  <c r="W17" i="40"/>
  <c r="K74" i="60"/>
  <c r="W12" i="1"/>
  <c r="H15" i="60"/>
  <c r="BE49" i="37"/>
  <c r="AG48" i="41"/>
  <c r="L13" i="60"/>
  <c r="AG48" i="1"/>
  <c r="E13" i="60"/>
  <c r="H18" i="36"/>
  <c r="E93" i="64"/>
  <c r="AY233" i="47"/>
  <c r="H88" i="60"/>
  <c r="BD48" i="25"/>
  <c r="N66" i="46"/>
  <c r="U12" i="1"/>
  <c r="AY60" i="41"/>
  <c r="AF49" i="26"/>
  <c r="BQ17" i="36"/>
  <c r="CI50" i="25"/>
  <c r="BA161" i="47"/>
  <c r="BD161"/>
  <c r="AZ174"/>
  <c r="BC170"/>
  <c r="BB174"/>
  <c r="AY165"/>
  <c r="AY161"/>
  <c r="BD170"/>
  <c r="J83" i="60"/>
  <c r="AZ310" i="47"/>
  <c r="AJ24" i="26"/>
  <c r="K57" i="60"/>
  <c r="BB314" i="47"/>
  <c r="K81" i="60"/>
  <c r="G88"/>
  <c r="J51" i="46"/>
  <c r="I44" i="59"/>
  <c r="K15" i="64"/>
  <c r="L15" i="60"/>
  <c r="AZ307" i="47"/>
  <c r="U50" i="36"/>
  <c r="L24" i="26"/>
  <c r="CF50" i="37"/>
  <c r="AX58" i="1"/>
  <c r="AY108" i="47"/>
  <c r="I81" i="60"/>
  <c r="M15" i="64"/>
  <c r="BE161" i="47"/>
  <c r="BE171"/>
  <c r="BB110"/>
  <c r="K54" i="64"/>
  <c r="AX58" i="25"/>
  <c r="BC124" i="47"/>
  <c r="BP18" i="26"/>
  <c r="BQ18"/>
  <c r="V24" i="40"/>
  <c r="S24" i="41"/>
  <c r="BQ50" i="40"/>
  <c r="U50" i="38"/>
  <c r="F17" i="46"/>
  <c r="BP50" i="25"/>
  <c r="I16" i="59"/>
  <c r="J89" i="60"/>
  <c r="AG50" i="26"/>
  <c r="AZ171" i="47"/>
  <c r="I85" i="60"/>
  <c r="E86" i="64"/>
  <c r="G87" i="60"/>
  <c r="G37" i="46"/>
  <c r="F83" i="60"/>
  <c r="H9" i="64"/>
  <c r="CF50" i="40"/>
  <c r="I57" i="60"/>
  <c r="AF49" i="1"/>
  <c r="M86" i="60"/>
  <c r="AI9" i="1"/>
  <c r="G81" i="60"/>
  <c r="AG50" i="39"/>
  <c r="BE49"/>
  <c r="BC105" i="47"/>
  <c r="L88" i="60"/>
  <c r="F72"/>
  <c r="H67" i="64"/>
  <c r="CI50" i="1"/>
  <c r="BE49" i="36"/>
  <c r="F82" i="60"/>
  <c r="BG314" i="47"/>
  <c r="AZ247"/>
  <c r="J81" i="60"/>
  <c r="AJ24" i="40"/>
  <c r="J16" i="59"/>
  <c r="L24" i="38"/>
  <c r="L86" i="60"/>
  <c r="AI9" i="25"/>
  <c r="AX38" i="3"/>
  <c r="AY170" i="47"/>
  <c r="H17" i="46"/>
  <c r="W50" i="38"/>
  <c r="BA307" i="47"/>
  <c r="BF174"/>
  <c r="G83" i="60"/>
  <c r="H86"/>
  <c r="F84"/>
  <c r="AZ102" i="47"/>
  <c r="BA107"/>
  <c r="N36" i="46"/>
  <c r="J87" i="60"/>
  <c r="BC159" i="47"/>
  <c r="BF159"/>
  <c r="BB170"/>
  <c r="AZ161"/>
  <c r="AZ160"/>
  <c r="BD307"/>
  <c r="BZ21" i="37"/>
  <c r="BE108" i="47"/>
  <c r="I84" i="60"/>
  <c r="AF49" i="25"/>
  <c r="J57" i="60"/>
  <c r="K84"/>
  <c r="BB123" i="47"/>
  <c r="L81" i="60"/>
  <c r="T58" i="1"/>
  <c r="G82" i="60"/>
  <c r="K89"/>
  <c r="W50" i="25"/>
  <c r="BE307" i="47"/>
  <c r="AI9" i="39"/>
  <c r="L24" i="36"/>
  <c r="M11" i="64"/>
  <c r="BY21" i="37"/>
  <c r="BE159" i="47"/>
  <c r="K83" i="60"/>
  <c r="U50" i="41"/>
  <c r="I50"/>
  <c r="E57" i="60"/>
  <c r="F86"/>
  <c r="BG312" i="47"/>
  <c r="BI75" i="36"/>
  <c r="V50" i="39"/>
  <c r="V50" i="40"/>
  <c r="AG50" i="41"/>
  <c r="S50" i="39"/>
  <c r="E86" i="60"/>
  <c r="BQ50" i="25"/>
  <c r="G84" i="60"/>
  <c r="J33" i="59"/>
  <c r="G16" i="46"/>
  <c r="F54" i="64"/>
  <c r="F15"/>
  <c r="BG174" i="47"/>
  <c r="L85" i="60"/>
  <c r="M75"/>
  <c r="BA314" i="47"/>
  <c r="BC122"/>
  <c r="J59" i="59"/>
  <c r="BE105" i="47"/>
  <c r="I88" i="60"/>
  <c r="M87"/>
  <c r="AE50" i="41"/>
  <c r="BA159" i="47"/>
  <c r="BF161"/>
  <c r="BE170"/>
  <c r="BG161"/>
  <c r="AY173"/>
  <c r="BE174"/>
  <c r="BO18" i="26"/>
  <c r="J54" i="64"/>
  <c r="U50" i="25"/>
  <c r="J86" i="64"/>
  <c r="AB21" i="1"/>
  <c r="AF50" i="25"/>
  <c r="J51" i="59"/>
  <c r="H66" i="37"/>
  <c r="AF49"/>
  <c r="S24"/>
  <c r="AY159" i="47"/>
  <c r="CG50" i="38"/>
  <c r="BP50" i="40"/>
  <c r="AY314" i="47"/>
  <c r="S12" i="25"/>
  <c r="G8" i="64"/>
  <c r="BO50" i="25"/>
  <c r="I86" i="60"/>
  <c r="BP50" i="39"/>
  <c r="F81" i="60"/>
  <c r="I51" i="59"/>
  <c r="BD171" i="47"/>
  <c r="E15" i="60"/>
  <c r="AJ24" i="39"/>
  <c r="K85" i="60"/>
  <c r="H88" i="64"/>
  <c r="W50" i="40"/>
  <c r="J88" i="60"/>
  <c r="BP50" i="36"/>
  <c r="L8" i="64"/>
  <c r="F11"/>
  <c r="T57" i="1"/>
  <c r="E49" i="64" s="1"/>
  <c r="F86"/>
  <c r="BE49" i="1"/>
  <c r="BE49" i="41"/>
  <c r="BB108" i="47"/>
  <c r="F61" i="60"/>
  <c r="BB171" i="47"/>
  <c r="S50" i="40"/>
  <c r="AJ24" i="41"/>
  <c r="BO50" i="39"/>
  <c r="BQ50" i="38"/>
  <c r="L52" i="64"/>
  <c r="BF105" i="47"/>
  <c r="AY247"/>
  <c r="AE51" i="41" l="1"/>
  <c r="AE84" s="1"/>
  <c r="AE95" s="1"/>
  <c r="N278" i="46"/>
  <c r="CI51" i="25"/>
  <c r="CI84" s="1"/>
  <c r="BQ19" i="36"/>
  <c r="DH19" s="1"/>
  <c r="AK49" i="26"/>
  <c r="BF60" i="41"/>
  <c r="AY63"/>
  <c r="U14" i="1"/>
  <c r="N68" i="46"/>
  <c r="N245"/>
  <c r="BD51" i="25"/>
  <c r="BD84" s="1"/>
  <c r="BF48"/>
  <c r="H19" i="36"/>
  <c r="Q19" s="1"/>
  <c r="BL19" s="1"/>
  <c r="Q18"/>
  <c r="S36" i="60"/>
  <c r="AG51" i="1"/>
  <c r="AG84" s="1"/>
  <c r="AK48"/>
  <c r="Z36" i="60"/>
  <c r="AK48" i="41"/>
  <c r="BF49" i="37"/>
  <c r="BE97"/>
  <c r="BF97" s="1"/>
  <c r="V43" i="60"/>
  <c r="W14" i="1"/>
  <c r="AJ33" i="60"/>
  <c r="W19" i="40"/>
  <c r="AK19" s="1"/>
  <c r="AK17"/>
  <c r="BF48" i="1"/>
  <c r="BD51"/>
  <c r="BP19" i="36"/>
  <c r="DH17"/>
  <c r="CI51" i="40"/>
  <c r="CI84" s="1"/>
  <c r="AG46" i="60"/>
  <c r="F68" i="46"/>
  <c r="F245"/>
  <c r="DH25" i="36"/>
  <c r="BA325" i="47"/>
  <c r="AF32" i="60"/>
  <c r="G29" i="64"/>
  <c r="AK18" i="36"/>
  <c r="S19"/>
  <c r="AK19" s="1"/>
  <c r="Z54" i="60"/>
  <c r="BD51" i="41"/>
  <c r="BD84" s="1"/>
  <c r="X51" i="39"/>
  <c r="X84" s="1"/>
  <c r="AK49"/>
  <c r="AK60" i="41"/>
  <c r="BL60" s="1"/>
  <c r="H19" i="40"/>
  <c r="Q17"/>
  <c r="BL17" s="1"/>
  <c r="AF33" i="60"/>
  <c r="W19" i="36"/>
  <c r="AK17"/>
  <c r="T36" i="60"/>
  <c r="AK48" i="25"/>
  <c r="W14" i="26"/>
  <c r="CD109" i="39"/>
  <c r="CU40" i="41"/>
  <c r="CU109" s="1"/>
  <c r="BL31" i="25"/>
  <c r="CP40" i="39"/>
  <c r="CP109" s="1"/>
  <c r="CV40" i="41"/>
  <c r="CV109" s="1"/>
  <c r="AT40" i="39"/>
  <c r="AH95" i="37"/>
  <c r="M40" i="1"/>
  <c r="M109" s="1"/>
  <c r="AO109" i="25"/>
  <c r="AV40" i="40"/>
  <c r="AE40" i="37"/>
  <c r="AE95" s="1"/>
  <c r="Q106" i="38"/>
  <c r="CH109" i="39"/>
  <c r="CX109" i="37"/>
  <c r="AN109" i="1"/>
  <c r="CO109" i="37"/>
  <c r="BJ32" i="40"/>
  <c r="CD109" i="26"/>
  <c r="CA109" i="36"/>
  <c r="CY40" i="40"/>
  <c r="AG40" i="38"/>
  <c r="BV109" i="25"/>
  <c r="CH109" i="38"/>
  <c r="BL35" i="26"/>
  <c r="CX40" i="25"/>
  <c r="CX109" s="1"/>
  <c r="AV40" i="38"/>
  <c r="CR109" i="36"/>
  <c r="BL31" i="26"/>
  <c r="AW40" i="38"/>
  <c r="AP40" i="41"/>
  <c r="AP40" i="37"/>
  <c r="H620" i="17"/>
  <c r="H785" s="1"/>
  <c r="DB109" i="25"/>
  <c r="AC40"/>
  <c r="AC95" s="1"/>
  <c r="AC97" s="1"/>
  <c r="CU109" i="36"/>
  <c r="N40" i="38"/>
  <c r="N109" s="1"/>
  <c r="AH95" i="36"/>
  <c r="CO40"/>
  <c r="Y40" i="25"/>
  <c r="CM40" i="26"/>
  <c r="CM109" s="1"/>
  <c r="Z40" i="37"/>
  <c r="CT40" i="36"/>
  <c r="CT109" s="1"/>
  <c r="AR109" i="38"/>
  <c r="X40" i="41"/>
  <c r="AZ109" i="39"/>
  <c r="CA40" i="37"/>
  <c r="AD95" i="26"/>
  <c r="BL35" i="39"/>
  <c r="AR109"/>
  <c r="O109" i="37"/>
  <c r="O40" i="41"/>
  <c r="O109" s="1"/>
  <c r="AR40" i="36"/>
  <c r="AR109" s="1"/>
  <c r="BL31"/>
  <c r="CB109" i="40"/>
  <c r="DD40" i="39"/>
  <c r="DD40" i="36"/>
  <c r="DD109" s="1"/>
  <c r="DA109" i="26"/>
  <c r="Q106" i="25"/>
  <c r="AU40" i="39"/>
  <c r="AY109" i="38"/>
  <c r="CJ40" i="39"/>
  <c r="CJ109" s="1"/>
  <c r="DE109" i="40"/>
  <c r="N109"/>
  <c r="CM109" i="38"/>
  <c r="BL35" i="37"/>
  <c r="L735" i="14"/>
  <c r="L762"/>
  <c r="L766" s="1"/>
  <c r="BJ15" i="40"/>
  <c r="BH40"/>
  <c r="BJ40" s="1"/>
  <c r="BI40" i="26"/>
  <c r="CT109" i="25"/>
  <c r="CJ40" i="40"/>
  <c r="CA40"/>
  <c r="CA109" s="1"/>
  <c r="AW40" i="25"/>
  <c r="AU40" i="38"/>
  <c r="DA109"/>
  <c r="BD40" i="40"/>
  <c r="BD109" s="1"/>
  <c r="N40" i="39"/>
  <c r="N109" s="1"/>
  <c r="AF40" i="38"/>
  <c r="BL31" i="39"/>
  <c r="BL31" i="38"/>
  <c r="AF40" i="1"/>
  <c r="CP109" i="38"/>
  <c r="CY40" i="1"/>
  <c r="O40" i="26"/>
  <c r="O109" s="1"/>
  <c r="AC40" i="1"/>
  <c r="P109" i="36"/>
  <c r="AC109" i="40"/>
  <c r="CV40"/>
  <c r="CV109" s="1"/>
  <c r="CD40" i="36"/>
  <c r="CD109" s="1"/>
  <c r="BA109" i="38"/>
  <c r="CO40"/>
  <c r="CO109" s="1"/>
  <c r="CO109" i="1"/>
  <c r="DA109" i="41"/>
  <c r="AY84"/>
  <c r="CI109" i="40"/>
  <c r="CW109" i="25"/>
  <c r="AU40" i="1"/>
  <c r="AO40" i="37"/>
  <c r="AO109" s="1"/>
  <c r="AR40" i="41"/>
  <c r="BY109" i="1"/>
  <c r="AM40"/>
  <c r="AM109" s="1"/>
  <c r="CE40" i="37"/>
  <c r="CE109" s="1"/>
  <c r="CP109" i="26"/>
  <c r="CO40" i="39"/>
  <c r="CO109" s="1"/>
  <c r="DF40" i="37"/>
  <c r="DF109" i="1"/>
  <c r="CZ109" i="39"/>
  <c r="BB40" i="40"/>
  <c r="BB109" s="1"/>
  <c r="CN109" i="41"/>
  <c r="CX40" i="40"/>
  <c r="CX109" s="1"/>
  <c r="CU40" i="26"/>
  <c r="CU109" s="1"/>
  <c r="CE109" i="36"/>
  <c r="BT40" i="37"/>
  <c r="AM109" i="39"/>
  <c r="BL38" i="41"/>
  <c r="AS40"/>
  <c r="Z40" i="40"/>
  <c r="BT40" i="36"/>
  <c r="CX40"/>
  <c r="CX109" s="1"/>
  <c r="BL35" i="41"/>
  <c r="I435" i="34"/>
  <c r="I434"/>
  <c r="I433"/>
  <c r="I540"/>
  <c r="I436"/>
  <c r="G628" i="14"/>
  <c r="G646"/>
  <c r="G555"/>
  <c r="G664"/>
  <c r="H538"/>
  <c r="H156" i="18"/>
  <c r="J630" i="14"/>
  <c r="J631" s="1"/>
  <c r="K540"/>
  <c r="K557" s="1"/>
  <c r="J648"/>
  <c r="J666"/>
  <c r="F78" i="57"/>
  <c r="M78"/>
  <c r="N554" i="17"/>
  <c r="N560" s="1"/>
  <c r="N451"/>
  <c r="N736" s="1"/>
  <c r="N376"/>
  <c r="F709"/>
  <c r="I275" i="13"/>
  <c r="I276"/>
  <c r="K646" i="14"/>
  <c r="K649" s="1"/>
  <c r="K555"/>
  <c r="L538"/>
  <c r="L555" s="1"/>
  <c r="K664"/>
  <c r="K628"/>
  <c r="K631" s="1"/>
  <c r="H399" i="17"/>
  <c r="H575" s="1"/>
  <c r="H584" s="1"/>
  <c r="H401"/>
  <c r="H407"/>
  <c r="H628"/>
  <c r="H644" s="1"/>
  <c r="H657" s="1"/>
  <c r="H567"/>
  <c r="H579" s="1"/>
  <c r="H400"/>
  <c r="AE95" i="40"/>
  <c r="BV109" i="39"/>
  <c r="CO40" i="41"/>
  <c r="CO109" s="1"/>
  <c r="BA40" i="39"/>
  <c r="BA109" s="1"/>
  <c r="CQ40" i="36"/>
  <c r="BI40"/>
  <c r="CH40" i="41"/>
  <c r="BR40" i="1"/>
  <c r="BR109" s="1"/>
  <c r="CA109" i="41"/>
  <c r="BL35" i="38"/>
  <c r="BS40" i="1"/>
  <c r="BS109" s="1"/>
  <c r="CP40" i="37"/>
  <c r="CP109" s="1"/>
  <c r="BH40" i="1"/>
  <c r="BJ40" s="1"/>
  <c r="CI40" i="36"/>
  <c r="BS40" i="41"/>
  <c r="BS109" s="1"/>
  <c r="BL28" i="25"/>
  <c r="BA40" i="1"/>
  <c r="CE109"/>
  <c r="AC95" i="39"/>
  <c r="AC97" s="1"/>
  <c r="AO40" i="36"/>
  <c r="AO109" s="1"/>
  <c r="G1076" i="4"/>
  <c r="AC106" i="26"/>
  <c r="AO106" i="41"/>
  <c r="AK31"/>
  <c r="BL31" s="1"/>
  <c r="CL84" i="37"/>
  <c r="BZ106"/>
  <c r="CL84" i="38"/>
  <c r="AE32" i="1"/>
  <c r="AE40" s="1"/>
  <c r="AE95" s="1"/>
  <c r="CC15" i="39"/>
  <c r="CC40" s="1"/>
  <c r="CO106" i="26"/>
  <c r="CO109" s="1"/>
  <c r="AH84" i="37"/>
  <c r="Z15" i="41"/>
  <c r="Z40" s="1"/>
  <c r="Y40" i="39"/>
  <c r="O15" i="36"/>
  <c r="O40" s="1"/>
  <c r="O109" s="1"/>
  <c r="BL10" i="1"/>
  <c r="BJ22" i="38"/>
  <c r="AF40" i="25"/>
  <c r="DH35" i="36"/>
  <c r="BD32" i="39"/>
  <c r="AK38" i="38"/>
  <c r="BL38" s="1"/>
  <c r="I32"/>
  <c r="BS106" i="25"/>
  <c r="CX84" i="1"/>
  <c r="AY15" i="26"/>
  <c r="AY40" s="1"/>
  <c r="AY109" s="1"/>
  <c r="CC84" i="40"/>
  <c r="M106" i="25"/>
  <c r="Q72" i="40"/>
  <c r="CW32" i="39"/>
  <c r="CW40" s="1"/>
  <c r="CW109" s="1"/>
  <c r="P106" i="37"/>
  <c r="P109" s="1"/>
  <c r="AR106" i="25"/>
  <c r="AK38" i="26"/>
  <c r="BL38" s="1"/>
  <c r="DH38" i="38"/>
  <c r="M607" i="14"/>
  <c r="H510" i="17"/>
  <c r="M718" i="14"/>
  <c r="BD84" i="39"/>
  <c r="BD109" s="1"/>
  <c r="BD84" i="38"/>
  <c r="BL17"/>
  <c r="H613" i="17"/>
  <c r="G579"/>
  <c r="G584" s="1"/>
  <c r="H577"/>
  <c r="G254" i="13"/>
  <c r="G274" s="1"/>
  <c r="DC84" i="1"/>
  <c r="AI84" i="37"/>
  <c r="BZ40" i="25"/>
  <c r="CF40" i="36"/>
  <c r="CP40" i="41"/>
  <c r="CP109" s="1"/>
  <c r="CV40" i="37"/>
  <c r="AY40" i="36"/>
  <c r="AY109" s="1"/>
  <c r="M40" i="37"/>
  <c r="M109" s="1"/>
  <c r="I106" i="40"/>
  <c r="BH15" i="38"/>
  <c r="BH40" s="1"/>
  <c r="BJ40" s="1"/>
  <c r="BF55" i="26"/>
  <c r="AV40" i="36"/>
  <c r="G106" i="1"/>
  <c r="Q106" s="1"/>
  <c r="CD40" i="38"/>
  <c r="CD109" s="1"/>
  <c r="BH15" i="1"/>
  <c r="CT40" i="39"/>
  <c r="CT109" s="1"/>
  <c r="CC109"/>
  <c r="CU40" i="40"/>
  <c r="BJ28"/>
  <c r="BL28" s="1"/>
  <c r="DH31" i="26"/>
  <c r="BT40" i="41"/>
  <c r="AK28" i="25"/>
  <c r="BF28" i="1"/>
  <c r="BL28" s="1"/>
  <c r="Z40" i="39"/>
  <c r="BF28" i="25"/>
  <c r="G1077" i="4"/>
  <c r="CG32" i="26"/>
  <c r="CG40" s="1"/>
  <c r="CR106" i="25"/>
  <c r="CU32" i="41"/>
  <c r="AV32"/>
  <c r="AV40" s="1"/>
  <c r="M32" i="39"/>
  <c r="CZ106" i="36"/>
  <c r="AC15" i="1"/>
  <c r="Q35"/>
  <c r="BT84" i="25"/>
  <c r="BD106"/>
  <c r="BD109" s="1"/>
  <c r="CA106" i="40"/>
  <c r="AZ106" i="26"/>
  <c r="Q31" i="1"/>
  <c r="BL31" s="1"/>
  <c r="BE106" i="36"/>
  <c r="CG106" i="39"/>
  <c r="AI32" i="1"/>
  <c r="M40" i="39"/>
  <c r="M109" s="1"/>
  <c r="CE84" i="36"/>
  <c r="AN32" i="39"/>
  <c r="AN40" s="1"/>
  <c r="AN109" s="1"/>
  <c r="CK15" i="37"/>
  <c r="CV84"/>
  <c r="BL89" i="40"/>
  <c r="CE15" i="38"/>
  <c r="CE40" s="1"/>
  <c r="BA15" i="41"/>
  <c r="BA40" s="1"/>
  <c r="BA109" s="1"/>
  <c r="AK31" i="39"/>
  <c r="BL60" i="36"/>
  <c r="CA84" i="1"/>
  <c r="CL32"/>
  <c r="CL40" s="1"/>
  <c r="CL109" s="1"/>
  <c r="J106" i="38"/>
  <c r="BR32" i="40"/>
  <c r="AP15" i="38"/>
  <c r="AP40" s="1"/>
  <c r="CI15" i="1"/>
  <c r="CI40" s="1"/>
  <c r="CR84" i="26"/>
  <c r="CR109" s="1"/>
  <c r="BX15" i="40"/>
  <c r="BY15" i="37"/>
  <c r="CN15" i="36"/>
  <c r="CN40" s="1"/>
  <c r="CN109" s="1"/>
  <c r="BU106"/>
  <c r="CC32" i="25"/>
  <c r="CC40" s="1"/>
  <c r="CC109" s="1"/>
  <c r="CT15" i="38"/>
  <c r="CT40" s="1"/>
  <c r="CT109" s="1"/>
  <c r="AN106"/>
  <c r="CX84" i="39"/>
  <c r="CX109" s="1"/>
  <c r="J106" i="1"/>
  <c r="P84" i="40"/>
  <c r="P109" s="1"/>
  <c r="AF15" i="37"/>
  <c r="AF40" s="1"/>
  <c r="G32" i="40"/>
  <c r="CD106" i="39"/>
  <c r="AP84" i="41"/>
  <c r="BZ84" i="40"/>
  <c r="CL15" i="39"/>
  <c r="CF32" i="38"/>
  <c r="CF40" s="1"/>
  <c r="AW15" i="1"/>
  <c r="AW40" s="1"/>
  <c r="Q28" i="36"/>
  <c r="BL28" s="1"/>
  <c r="CD15" i="38"/>
  <c r="AC106" i="1"/>
  <c r="BZ106" i="25"/>
  <c r="BV84" i="39"/>
  <c r="CA84" i="26"/>
  <c r="K15" i="25"/>
  <c r="BL30" i="38"/>
  <c r="BS106" i="41"/>
  <c r="DB84" i="25"/>
  <c r="BB15" i="41"/>
  <c r="BB40" s="1"/>
  <c r="DA106" i="1"/>
  <c r="CN32" i="25"/>
  <c r="CN40" s="1"/>
  <c r="BJ19" i="26"/>
  <c r="BZ84" i="25"/>
  <c r="DH72" i="39"/>
  <c r="BS84" i="25"/>
  <c r="CQ32" i="36"/>
  <c r="CE84" i="26"/>
  <c r="BE15"/>
  <c r="BE40" s="1"/>
  <c r="AB106" i="25"/>
  <c r="BC84" i="39"/>
  <c r="BW15" i="25"/>
  <c r="AA32" i="1"/>
  <c r="AA40" s="1"/>
  <c r="AA109" s="1"/>
  <c r="AA84" i="25"/>
  <c r="CG32" i="37"/>
  <c r="CD84" i="38"/>
  <c r="BA84" i="36"/>
  <c r="AD84"/>
  <c r="AC106" i="41"/>
  <c r="DD32" i="40"/>
  <c r="AW106" i="1"/>
  <c r="CH32" i="40"/>
  <c r="AQ15" i="25"/>
  <c r="AQ40" s="1"/>
  <c r="M32" i="37"/>
  <c r="M15" i="38"/>
  <c r="M40" s="1"/>
  <c r="M109" s="1"/>
  <c r="Q72" i="1"/>
  <c r="K906" i="14"/>
  <c r="N914"/>
  <c r="N903"/>
  <c r="K735"/>
  <c r="G593"/>
  <c r="M588"/>
  <c r="H555"/>
  <c r="H591" s="1"/>
  <c r="H523" i="17"/>
  <c r="H727" s="1"/>
  <c r="H515"/>
  <c r="H516"/>
  <c r="H720" s="1"/>
  <c r="K913" i="14"/>
  <c r="N904"/>
  <c r="N913"/>
  <c r="M572"/>
  <c r="N734"/>
  <c r="N587"/>
  <c r="L603"/>
  <c r="N610"/>
  <c r="BW40" i="25"/>
  <c r="BW109" s="1"/>
  <c r="CF84"/>
  <c r="K903" i="14"/>
  <c r="AE84" i="38"/>
  <c r="AE84" i="36"/>
  <c r="AE95" s="1"/>
  <c r="K745" i="14"/>
  <c r="X84" i="25"/>
  <c r="N586" i="17"/>
  <c r="N784" s="1"/>
  <c r="K912" i="14"/>
  <c r="F529" i="17"/>
  <c r="F759" s="1"/>
  <c r="G248" i="13"/>
  <c r="G263"/>
  <c r="CI84" i="37"/>
  <c r="DC84" i="36"/>
  <c r="BL17"/>
  <c r="BL18" i="1"/>
  <c r="I84"/>
  <c r="AZ84" i="38"/>
  <c r="AR109" i="1"/>
  <c r="BE40" i="37"/>
  <c r="AD40" i="41"/>
  <c r="AD95" s="1"/>
  <c r="G84" i="39"/>
  <c r="DF40" i="41"/>
  <c r="AA40" i="37"/>
  <c r="Q93" i="36"/>
  <c r="BF93" i="1"/>
  <c r="BF31" i="25"/>
  <c r="AO106" i="39"/>
  <c r="G32" i="38"/>
  <c r="BI15" i="1"/>
  <c r="BI40" s="1"/>
  <c r="Q93" i="26"/>
  <c r="CN40" i="1"/>
  <c r="AP40" i="40"/>
  <c r="CT40" i="37"/>
  <c r="DE40"/>
  <c r="DE109" s="1"/>
  <c r="BJ31"/>
  <c r="BL31" s="1"/>
  <c r="BH32" i="36"/>
  <c r="BJ32" s="1"/>
  <c r="P40" i="41"/>
  <c r="P109" s="1"/>
  <c r="BD40"/>
  <c r="BD109" s="1"/>
  <c r="Q55" i="25"/>
  <c r="BZ32" i="40"/>
  <c r="BB106" i="37"/>
  <c r="BZ84" i="1"/>
  <c r="BL10" i="39"/>
  <c r="CM106" i="38"/>
  <c r="BX106" i="39"/>
  <c r="CU106" i="37"/>
  <c r="CG106" i="25"/>
  <c r="CG109" s="1"/>
  <c r="BS15" i="40"/>
  <c r="G84" i="41"/>
  <c r="CQ15"/>
  <c r="CQ40" s="1"/>
  <c r="CQ109" s="1"/>
  <c r="CZ32"/>
  <c r="CZ40" s="1"/>
  <c r="CZ109" s="1"/>
  <c r="BR15" i="40"/>
  <c r="BR40" s="1"/>
  <c r="BR15" i="41"/>
  <c r="BR40" s="1"/>
  <c r="BX32" i="38"/>
  <c r="CV84" i="26"/>
  <c r="CV109" s="1"/>
  <c r="BL34" i="1"/>
  <c r="AT84" i="36"/>
  <c r="AU32" i="26"/>
  <c r="AU40" s="1"/>
  <c r="BY106" i="25"/>
  <c r="AX106" i="1"/>
  <c r="Q104" i="38"/>
  <c r="BR32" i="39"/>
  <c r="BR40" s="1"/>
  <c r="BR109" s="1"/>
  <c r="Z84" i="40"/>
  <c r="BT15" i="39"/>
  <c r="AV32" i="40"/>
  <c r="BU32" i="41"/>
  <c r="BU40" s="1"/>
  <c r="BU109" s="1"/>
  <c r="AG40"/>
  <c r="CP15" i="40"/>
  <c r="CP40" s="1"/>
  <c r="CP109" s="1"/>
  <c r="Q46" i="38"/>
  <c r="J106" i="40"/>
  <c r="DB84"/>
  <c r="DF32" i="39"/>
  <c r="DF40" s="1"/>
  <c r="DF109" s="1"/>
  <c r="BU84" i="37"/>
  <c r="BJ28" i="36"/>
  <c r="CG106" i="26"/>
  <c r="CK84" i="37"/>
  <c r="AN15" i="36"/>
  <c r="AN40" s="1"/>
  <c r="AN109" s="1"/>
  <c r="AZ15" i="1"/>
  <c r="AZ40" s="1"/>
  <c r="AZ109" s="1"/>
  <c r="AT15" i="36"/>
  <c r="AT40" s="1"/>
  <c r="BY106" i="41"/>
  <c r="AJ106" i="40"/>
  <c r="AN84" i="41"/>
  <c r="G106" i="40"/>
  <c r="DD15" i="26"/>
  <c r="DD40" s="1"/>
  <c r="DD109" s="1"/>
  <c r="I106" i="39"/>
  <c r="O32" i="1"/>
  <c r="O40" s="1"/>
  <c r="O109" s="1"/>
  <c r="CK32" i="37"/>
  <c r="CZ15"/>
  <c r="CZ40" s="1"/>
  <c r="CZ109" s="1"/>
  <c r="AO32"/>
  <c r="DF106"/>
  <c r="CC106"/>
  <c r="L106" i="39"/>
  <c r="CP32"/>
  <c r="DD106" i="41"/>
  <c r="DD109" s="1"/>
  <c r="CY32" i="26"/>
  <c r="CY40" s="1"/>
  <c r="BU106" i="25"/>
  <c r="BB15" i="37"/>
  <c r="BB40" s="1"/>
  <c r="CQ15" i="25"/>
  <c r="CQ40" s="1"/>
  <c r="CQ109" s="1"/>
  <c r="CV84" i="1"/>
  <c r="AB32"/>
  <c r="AF15" i="41"/>
  <c r="AF40" s="1"/>
  <c r="DH76" i="39"/>
  <c r="BF22" i="1"/>
  <c r="H32" i="37"/>
  <c r="H40" s="1"/>
  <c r="M32" i="1"/>
  <c r="CM15" i="39"/>
  <c r="CM40" s="1"/>
  <c r="CM109" s="1"/>
  <c r="BR106" i="36"/>
  <c r="BR109" s="1"/>
  <c r="AF32" i="37"/>
  <c r="BS15" i="26"/>
  <c r="BS40" s="1"/>
  <c r="AA106"/>
  <c r="AA109" s="1"/>
  <c r="AZ15" i="41"/>
  <c r="AZ40" s="1"/>
  <c r="AZ109" s="1"/>
  <c r="AW32" i="37"/>
  <c r="AW40" s="1"/>
  <c r="CD84" i="36"/>
  <c r="DB32" i="37"/>
  <c r="DB40" s="1"/>
  <c r="DB109" s="1"/>
  <c r="Q55" i="40"/>
  <c r="CR15" i="37"/>
  <c r="CR40" s="1"/>
  <c r="AU84" i="40"/>
  <c r="CC15" i="36"/>
  <c r="CC40" s="1"/>
  <c r="CC109" s="1"/>
  <c r="J84" i="26"/>
  <c r="AX15" i="40"/>
  <c r="BJ35" i="1"/>
  <c r="AH84" i="25"/>
  <c r="AH95" s="1"/>
  <c r="P15" i="38"/>
  <c r="P40" s="1"/>
  <c r="P109" s="1"/>
  <c r="BS15" i="36"/>
  <c r="BJ51" i="38"/>
  <c r="CQ15" i="40"/>
  <c r="CQ40" s="1"/>
  <c r="CK32" i="36"/>
  <c r="AC84" i="41"/>
  <c r="BF31"/>
  <c r="CB106"/>
  <c r="CB109" s="1"/>
  <c r="AQ49" i="60"/>
  <c r="O15" i="26"/>
  <c r="CO15" i="39"/>
  <c r="AE15"/>
  <c r="AE40" s="1"/>
  <c r="CH15" i="37"/>
  <c r="CH40" s="1"/>
  <c r="CH109" s="1"/>
  <c r="DH35" i="41"/>
  <c r="X15" i="38"/>
  <c r="BV84" i="40"/>
  <c r="CN84" i="25"/>
  <c r="Q38" i="38"/>
  <c r="DB32" i="26"/>
  <c r="DB40" s="1"/>
  <c r="CM106" i="1"/>
  <c r="CM109" s="1"/>
  <c r="AJ106" i="36"/>
  <c r="CR84" i="38"/>
  <c r="CR109" s="1"/>
  <c r="AT15" i="39"/>
  <c r="AS32" i="26"/>
  <c r="AS40" s="1"/>
  <c r="M32" i="36"/>
  <c r="M40" s="1"/>
  <c r="M109" s="1"/>
  <c r="AX32" i="40"/>
  <c r="BJ38" i="41"/>
  <c r="AB32" i="40"/>
  <c r="CV15" i="41"/>
  <c r="BS15"/>
  <c r="CC84" i="25"/>
  <c r="N106" i="36"/>
  <c r="Q106" s="1"/>
  <c r="BB106" i="26"/>
  <c r="N32" i="36"/>
  <c r="BL10" i="38"/>
  <c r="DC32" i="40"/>
  <c r="N15" i="39"/>
  <c r="CW15" i="1"/>
  <c r="CW40" s="1"/>
  <c r="BJ28"/>
  <c r="AO32"/>
  <c r="AO40" s="1"/>
  <c r="AO109" s="1"/>
  <c r="CH15" i="41"/>
  <c r="CO32" i="38"/>
  <c r="CC15" i="40"/>
  <c r="CC40" s="1"/>
  <c r="CF32" i="39"/>
  <c r="CF40" s="1"/>
  <c r="CF109" s="1"/>
  <c r="AJ106" i="1"/>
  <c r="CX15" i="41"/>
  <c r="CX40" s="1"/>
  <c r="CX109" s="1"/>
  <c r="AG15" i="26"/>
  <c r="CB106"/>
  <c r="BL25" i="40"/>
  <c r="CM106"/>
  <c r="CM109" s="1"/>
  <c r="CH106" i="39"/>
  <c r="BS84" i="40"/>
  <c r="CJ106" i="25"/>
  <c r="X32" i="1"/>
  <c r="Z32" i="38"/>
  <c r="AO84" i="26"/>
  <c r="H32" i="38"/>
  <c r="AP15" i="25"/>
  <c r="AP40" s="1"/>
  <c r="AD15" i="36"/>
  <c r="AD40" s="1"/>
  <c r="CW15" i="37"/>
  <c r="CW40" s="1"/>
  <c r="CW109" s="1"/>
  <c r="P15" i="26"/>
  <c r="P40" s="1"/>
  <c r="P109" s="1"/>
  <c r="DD106" i="25"/>
  <c r="DD109" s="1"/>
  <c r="DD32" i="39"/>
  <c r="BJ22" i="25"/>
  <c r="CQ15" i="37"/>
  <c r="CQ40" s="1"/>
  <c r="CQ109" s="1"/>
  <c r="AV15" i="26"/>
  <c r="AS84" i="37"/>
  <c r="AE15" i="26"/>
  <c r="AE40" s="1"/>
  <c r="AE95" s="1"/>
  <c r="M15" i="25"/>
  <c r="M40" s="1"/>
  <c r="M109" s="1"/>
  <c r="O106" i="38"/>
  <c r="O109" s="1"/>
  <c r="BJ68" i="26"/>
  <c r="BJ19" i="41"/>
  <c r="BA84" i="26"/>
  <c r="CH84" i="39"/>
  <c r="BR84"/>
  <c r="CF15" i="37"/>
  <c r="CF40" s="1"/>
  <c r="CK32" i="38"/>
  <c r="CK40" s="1"/>
  <c r="CK109" s="1"/>
  <c r="AS84" i="36"/>
  <c r="AC15" i="26"/>
  <c r="DE106" i="41"/>
  <c r="DE109" s="1"/>
  <c r="BL10" i="26"/>
  <c r="CL15"/>
  <c r="CL40" s="1"/>
  <c r="CL109" s="1"/>
  <c r="CL15" i="25"/>
  <c r="CL40" s="1"/>
  <c r="AE15"/>
  <c r="AE40" s="1"/>
  <c r="AE95" s="1"/>
  <c r="CO84" i="36"/>
  <c r="AF15" i="38"/>
  <c r="H15" i="41"/>
  <c r="CE15" i="25"/>
  <c r="CE40" s="1"/>
  <c r="CE109" s="1"/>
  <c r="AR84"/>
  <c r="G84" i="1"/>
  <c r="BI15" i="25"/>
  <c r="CV84" i="38"/>
  <c r="CS106" i="40"/>
  <c r="CS15" i="1"/>
  <c r="CF106" i="25"/>
  <c r="BS15" i="38"/>
  <c r="BS40" s="1"/>
  <c r="BS109" s="1"/>
  <c r="CT106" i="26"/>
  <c r="CT109" s="1"/>
  <c r="CL84" i="36"/>
  <c r="CJ106"/>
  <c r="BB15" i="38"/>
  <c r="BB40" s="1"/>
  <c r="BB109" s="1"/>
  <c r="AT15" i="37"/>
  <c r="AT40" s="1"/>
  <c r="K15"/>
  <c r="J15" i="26"/>
  <c r="CJ15" i="1"/>
  <c r="CJ40" s="1"/>
  <c r="CJ109" s="1"/>
  <c r="AU15" i="36"/>
  <c r="AU40" s="1"/>
  <c r="AG32" i="26"/>
  <c r="CS106" i="36"/>
  <c r="CS109" s="1"/>
  <c r="DD106" i="1"/>
  <c r="DD109" s="1"/>
  <c r="Z15" i="40"/>
  <c r="CF32" i="26"/>
  <c r="CF40" s="1"/>
  <c r="DF32" i="38"/>
  <c r="BW106" i="36"/>
  <c r="CA106" i="41"/>
  <c r="L15"/>
  <c r="AU84" i="38"/>
  <c r="BL89"/>
  <c r="CQ84"/>
  <c r="AX15" i="25"/>
  <c r="AX40" s="1"/>
  <c r="CH106" i="40"/>
  <c r="J106" i="39"/>
  <c r="Q106" s="1"/>
  <c r="CJ15" i="38"/>
  <c r="CJ40" s="1"/>
  <c r="CJ109" s="1"/>
  <c r="BR15"/>
  <c r="BR40" s="1"/>
  <c r="BR109" s="1"/>
  <c r="DC15" i="1"/>
  <c r="BL29" i="26"/>
  <c r="AI106"/>
  <c r="BS32" i="40"/>
  <c r="CB15" i="38"/>
  <c r="CB40" s="1"/>
  <c r="BJ14" i="25"/>
  <c r="CL15" i="36"/>
  <c r="CL40" s="1"/>
  <c r="CL32" i="39"/>
  <c r="AW32" i="38"/>
  <c r="DA15" i="37"/>
  <c r="DA40" s="1"/>
  <c r="DA109" s="1"/>
  <c r="DB106" i="41"/>
  <c r="CL84" i="40"/>
  <c r="AU32"/>
  <c r="BF32" s="1"/>
  <c r="BL37" i="41"/>
  <c r="BR84" i="26"/>
  <c r="AA106" i="36"/>
  <c r="AA109" s="1"/>
  <c r="AC15" i="41"/>
  <c r="AC40" s="1"/>
  <c r="AG15" i="39"/>
  <c r="AG40" s="1"/>
  <c r="CE15" i="41"/>
  <c r="CE40" s="1"/>
  <c r="BC84"/>
  <c r="CV106" i="39"/>
  <c r="BX15" i="36"/>
  <c r="BX40" s="1"/>
  <c r="BX109" s="1"/>
  <c r="AS32" i="37"/>
  <c r="AS40" s="1"/>
  <c r="BJ38" i="1"/>
  <c r="P15" i="37"/>
  <c r="P40" s="1"/>
  <c r="CS84" i="25"/>
  <c r="BD15" i="39"/>
  <c r="BD40" s="1"/>
  <c r="CW32" i="40"/>
  <c r="CW40" s="1"/>
  <c r="CW109" s="1"/>
  <c r="BA15"/>
  <c r="BA40" s="1"/>
  <c r="BA109" s="1"/>
  <c r="BR106" i="1"/>
  <c r="BY15" i="39"/>
  <c r="AT15" i="26"/>
  <c r="AT40" s="1"/>
  <c r="DC15" i="38"/>
  <c r="CX106" i="39"/>
  <c r="AC106" i="38"/>
  <c r="CI106" i="36"/>
  <c r="L106" i="37"/>
  <c r="BE15" i="39"/>
  <c r="BE40" s="1"/>
  <c r="N620" i="14"/>
  <c r="N656"/>
  <c r="N638"/>
  <c r="H388" i="15"/>
  <c r="H610" i="17"/>
  <c r="H618" s="1"/>
  <c r="H615"/>
  <c r="H611"/>
  <c r="BH15" i="26"/>
  <c r="BJ15" s="1"/>
  <c r="BJ14"/>
  <c r="N435" i="34"/>
  <c r="N434"/>
  <c r="N433"/>
  <c r="N540"/>
  <c r="N436"/>
  <c r="G877" i="4"/>
  <c r="G1078"/>
  <c r="F720" i="17"/>
  <c r="F524"/>
  <c r="H582" i="14"/>
  <c r="H601"/>
  <c r="H563"/>
  <c r="I594" i="17"/>
  <c r="I318"/>
  <c r="I351"/>
  <c r="I383"/>
  <c r="J755" i="14"/>
  <c r="J719"/>
  <c r="I535"/>
  <c r="I552" s="1"/>
  <c r="H661"/>
  <c r="H643"/>
  <c r="H625"/>
  <c r="J246" i="24"/>
  <c r="J377"/>
  <c r="M217" i="10"/>
  <c r="N523" i="17"/>
  <c r="N727" s="1"/>
  <c r="N519"/>
  <c r="N723" s="1"/>
  <c r="N709" s="1"/>
  <c r="N510"/>
  <c r="N516"/>
  <c r="N720" s="1"/>
  <c r="N515"/>
  <c r="N518"/>
  <c r="N722" s="1"/>
  <c r="N522"/>
  <c r="N726" s="1"/>
  <c r="L185" i="12"/>
  <c r="G78" i="57"/>
  <c r="H448" i="42"/>
  <c r="G446"/>
  <c r="H447" s="1"/>
  <c r="H546" i="17"/>
  <c r="H363"/>
  <c r="H640" s="1"/>
  <c r="H656" s="1"/>
  <c r="H374"/>
  <c r="H455" s="1"/>
  <c r="H740" s="1"/>
  <c r="H712" s="1"/>
  <c r="H373"/>
  <c r="H454" s="1"/>
  <c r="H739" s="1"/>
  <c r="H545"/>
  <c r="H369"/>
  <c r="H450" s="1"/>
  <c r="H735" s="1"/>
  <c r="H541"/>
  <c r="H553" s="1"/>
  <c r="H370"/>
  <c r="H451" s="1"/>
  <c r="H736" s="1"/>
  <c r="H540"/>
  <c r="H547"/>
  <c r="H372"/>
  <c r="H371"/>
  <c r="H452" s="1"/>
  <c r="H737" s="1"/>
  <c r="H709" s="1"/>
  <c r="H375"/>
  <c r="H456" s="1"/>
  <c r="H543"/>
  <c r="H544"/>
  <c r="H556" s="1"/>
  <c r="H367"/>
  <c r="H542"/>
  <c r="H368"/>
  <c r="H449" s="1"/>
  <c r="H734" s="1"/>
  <c r="H539"/>
  <c r="BH15" i="39"/>
  <c r="BH40" s="1"/>
  <c r="BJ14"/>
  <c r="BJ14" i="41"/>
  <c r="BH15"/>
  <c r="BH40" s="1"/>
  <c r="BJ40" s="1"/>
  <c r="N462" i="17"/>
  <c r="N765" s="1"/>
  <c r="H583"/>
  <c r="CX109" i="26"/>
  <c r="AD40" i="39"/>
  <c r="BU109" i="37"/>
  <c r="N109"/>
  <c r="CT40" i="41"/>
  <c r="CT109" s="1"/>
  <c r="BU109" i="26"/>
  <c r="BR109" i="41"/>
  <c r="BS109" i="25"/>
  <c r="AY40" i="39"/>
  <c r="AY109" s="1"/>
  <c r="BA40" i="37"/>
  <c r="BA109" s="1"/>
  <c r="BJ15" i="39"/>
  <c r="DD109" i="38"/>
  <c r="CG106" i="37"/>
  <c r="CK84" i="41"/>
  <c r="AM84" i="36"/>
  <c r="BT15" i="26"/>
  <c r="BT40" s="1"/>
  <c r="AX106" i="25"/>
  <c r="H106" i="1"/>
  <c r="CD32" i="36"/>
  <c r="BB84" i="25"/>
  <c r="BB109" s="1"/>
  <c r="CX32" i="40"/>
  <c r="DF40" i="25"/>
  <c r="CA32" i="40"/>
  <c r="BL26"/>
  <c r="AK31" i="1"/>
  <c r="CT84" i="37"/>
  <c r="BA106" i="41"/>
  <c r="AX32" i="39"/>
  <c r="BF32" s="1"/>
  <c r="CN106" i="38"/>
  <c r="BL27" i="40"/>
  <c r="AO15" i="26"/>
  <c r="AO40" s="1"/>
  <c r="DE15" i="38"/>
  <c r="DE40" s="1"/>
  <c r="DE109" s="1"/>
  <c r="CQ106" i="36"/>
  <c r="CC84" i="39"/>
  <c r="CF106" i="36"/>
  <c r="AM84" i="41"/>
  <c r="AM109" s="1"/>
  <c r="AI84" i="25"/>
  <c r="M84" i="41"/>
  <c r="AC15" i="36"/>
  <c r="AC40" s="1"/>
  <c r="AC95" s="1"/>
  <c r="AC97" s="1"/>
  <c r="AY32" i="41"/>
  <c r="AY40" s="1"/>
  <c r="DE106" i="38"/>
  <c r="BX106" i="36"/>
  <c r="CX84" i="37"/>
  <c r="BJ68" i="36"/>
  <c r="AN15" i="41"/>
  <c r="AN40" s="1"/>
  <c r="G462" i="17"/>
  <c r="G765" s="1"/>
  <c r="H517"/>
  <c r="H721" s="1"/>
  <c r="BF14" i="1"/>
  <c r="CF84" i="41"/>
  <c r="BD84" i="36"/>
  <c r="G1075" i="4"/>
  <c r="H453" i="17"/>
  <c r="H738" s="1"/>
  <c r="AK19" i="37"/>
  <c r="AK38" i="36"/>
  <c r="X84" i="37"/>
  <c r="BF14" i="25"/>
  <c r="AK19" i="1"/>
  <c r="BU40" i="25"/>
  <c r="BU109" s="1"/>
  <c r="BU40" i="38"/>
  <c r="BU109" s="1"/>
  <c r="AW40" i="39"/>
  <c r="AQ84" i="1"/>
  <c r="AV40" i="37"/>
  <c r="AK28" i="36"/>
  <c r="CD40" i="25"/>
  <c r="Q93" i="37"/>
  <c r="Z40" i="1"/>
  <c r="Q93" i="38"/>
  <c r="Q55" i="39"/>
  <c r="BT40"/>
  <c r="Q99" i="25"/>
  <c r="AG40" i="37"/>
  <c r="CE40" i="26"/>
  <c r="CE109" s="1"/>
  <c r="AW40" i="40"/>
  <c r="CC40" i="26"/>
  <c r="DB40" i="36"/>
  <c r="DB109" s="1"/>
  <c r="CS40" i="41"/>
  <c r="CS109" s="1"/>
  <c r="K84" i="40"/>
  <c r="BJ14"/>
  <c r="J557" i="14"/>
  <c r="BW84" i="41"/>
  <c r="M106" i="40"/>
  <c r="M109" s="1"/>
  <c r="P15" i="1"/>
  <c r="P40" s="1"/>
  <c r="P109" s="1"/>
  <c r="BF82" i="41"/>
  <c r="AZ15" i="40"/>
  <c r="AZ40" s="1"/>
  <c r="AZ109" s="1"/>
  <c r="BZ15" i="1"/>
  <c r="BZ40" s="1"/>
  <c r="BZ109" s="1"/>
  <c r="AI84" i="39"/>
  <c r="X32" i="38"/>
  <c r="BJ11" i="40"/>
  <c r="Q46" i="41"/>
  <c r="H15" i="39"/>
  <c r="AN106" i="26"/>
  <c r="M32" i="38"/>
  <c r="BS32" i="36"/>
  <c r="BZ15" i="40"/>
  <c r="CH84" i="37"/>
  <c r="AM32" i="36"/>
  <c r="AM40" s="1"/>
  <c r="Q76" i="26"/>
  <c r="BL27"/>
  <c r="CB84" i="38"/>
  <c r="CN106" i="39"/>
  <c r="CN109" s="1"/>
  <c r="CS15" i="38"/>
  <c r="CS40" s="1"/>
  <c r="CS109" s="1"/>
  <c r="DA106" i="41"/>
  <c r="M106" i="1"/>
  <c r="K84" i="41"/>
  <c r="BL29"/>
  <c r="CE15" i="40"/>
  <c r="BF22" i="36"/>
  <c r="CS15" i="25"/>
  <c r="CS40" s="1"/>
  <c r="CA84" i="39"/>
  <c r="CA109" s="1"/>
  <c r="CE106" i="36"/>
  <c r="DC106" i="26"/>
  <c r="Q82"/>
  <c r="CH15"/>
  <c r="CH40" s="1"/>
  <c r="CH109" s="1"/>
  <c r="O15" i="25"/>
  <c r="O40" s="1"/>
  <c r="O109" s="1"/>
  <c r="AM84" i="26"/>
  <c r="BL62" i="1"/>
  <c r="AM32" i="26"/>
  <c r="AM40" s="1"/>
  <c r="AM109" s="1"/>
  <c r="CR15" i="25"/>
  <c r="CR40" s="1"/>
  <c r="CR109" s="1"/>
  <c r="CW15" i="38"/>
  <c r="CW40" s="1"/>
  <c r="CW109" s="1"/>
  <c r="AO106" i="26"/>
  <c r="L106"/>
  <c r="AW15" i="36"/>
  <c r="AW40" s="1"/>
  <c r="AW109" s="1"/>
  <c r="CK15" i="40"/>
  <c r="CK40" s="1"/>
  <c r="CK109" s="1"/>
  <c r="K106" i="39"/>
  <c r="P40" i="25"/>
  <c r="P109" s="1"/>
  <c r="AX32" i="37"/>
  <c r="AX40" s="1"/>
  <c r="CF106"/>
  <c r="AY106" i="25"/>
  <c r="AY109" s="1"/>
  <c r="CA32" i="26"/>
  <c r="CA40" s="1"/>
  <c r="CA109" s="1"/>
  <c r="CB15" i="25"/>
  <c r="CB40" s="1"/>
  <c r="CB109" s="1"/>
  <c r="AJ15" i="41"/>
  <c r="BW32" i="26"/>
  <c r="AA15" i="25"/>
  <c r="AA40" s="1"/>
  <c r="AA109" s="1"/>
  <c r="AR84" i="41"/>
  <c r="BV84" i="36"/>
  <c r="AM15" i="40"/>
  <c r="BU32"/>
  <c r="BU40" s="1"/>
  <c r="BU109" s="1"/>
  <c r="BL34" i="39"/>
  <c r="AF32" i="1"/>
  <c r="CX106" i="38"/>
  <c r="CX109" s="1"/>
  <c r="BV15" i="40"/>
  <c r="BV40" s="1"/>
  <c r="BV109" s="1"/>
  <c r="CV106" i="26"/>
  <c r="CW106" i="36"/>
  <c r="AH32" i="39"/>
  <c r="DA15" i="25"/>
  <c r="DA40" s="1"/>
  <c r="DA109" s="1"/>
  <c r="K914" i="14"/>
  <c r="G457" i="17"/>
  <c r="H520"/>
  <c r="H724" s="1"/>
  <c r="H518"/>
  <c r="H722" s="1"/>
  <c r="K684" i="14"/>
  <c r="K726" s="1"/>
  <c r="K776" s="1"/>
  <c r="N915"/>
  <c r="N912"/>
  <c r="N568"/>
  <c r="N724"/>
  <c r="N774" s="1"/>
  <c r="AK76" i="25"/>
  <c r="AK19"/>
  <c r="CF84" i="39"/>
  <c r="I721" i="14"/>
  <c r="BD84" i="40"/>
  <c r="BF68" i="38"/>
  <c r="CG84" i="37"/>
  <c r="AK68" i="41"/>
  <c r="AE84" i="39"/>
  <c r="BF68" i="1"/>
  <c r="BL17" i="41"/>
  <c r="G586" i="17"/>
  <c r="G784" s="1"/>
  <c r="G1073" i="4"/>
  <c r="G1080" s="1"/>
  <c r="H606" i="17"/>
  <c r="G249" i="13"/>
  <c r="I441" i="34"/>
  <c r="I555" s="1"/>
  <c r="G1079" i="4"/>
  <c r="H617" i="17"/>
  <c r="G870" i="4"/>
  <c r="F527" i="17"/>
  <c r="F757" s="1"/>
  <c r="F760" s="1"/>
  <c r="G261" i="13"/>
  <c r="CI84" i="39"/>
  <c r="CI109" s="1"/>
  <c r="BL79" i="1"/>
  <c r="AY84" i="37"/>
  <c r="AY109" s="1"/>
  <c r="DB40" i="1"/>
  <c r="DB109" s="1"/>
  <c r="AT40" i="41"/>
  <c r="DB109" i="40"/>
  <c r="AZ40" i="25"/>
  <c r="AZ109" s="1"/>
  <c r="BF93" i="36"/>
  <c r="BJ11" i="26"/>
  <c r="AR40" i="25"/>
  <c r="AR109" s="1"/>
  <c r="BJ15"/>
  <c r="BF93"/>
  <c r="AO40" i="40"/>
  <c r="AO109" s="1"/>
  <c r="BF28" i="39"/>
  <c r="AH40" i="41"/>
  <c r="Q99" i="38"/>
  <c r="AN40"/>
  <c r="CV40" i="1"/>
  <c r="CR40" i="41"/>
  <c r="CR109" s="1"/>
  <c r="CC40" i="37"/>
  <c r="CC109" s="1"/>
  <c r="I719" i="14"/>
  <c r="N517" i="17"/>
  <c r="N721" s="1"/>
  <c r="N707" s="1"/>
  <c r="H614"/>
  <c r="H569"/>
  <c r="G548" i="14"/>
  <c r="F707" i="17"/>
  <c r="CC106" i="40"/>
  <c r="CT106" i="37"/>
  <c r="BV84" i="25"/>
  <c r="BD32" i="40"/>
  <c r="AA106"/>
  <c r="CC84" i="1"/>
  <c r="CO32" i="40"/>
  <c r="CO40" s="1"/>
  <c r="CO109" s="1"/>
  <c r="BY84" i="38"/>
  <c r="AS84" i="39"/>
  <c r="CX106" i="1"/>
  <c r="CX109" s="1"/>
  <c r="BS32" i="38"/>
  <c r="CT106" i="25"/>
  <c r="AS15" i="36"/>
  <c r="AS40" s="1"/>
  <c r="BW15" i="26"/>
  <c r="BJ68" i="40"/>
  <c r="AU84" i="25"/>
  <c r="BD106" i="40"/>
  <c r="AS84"/>
  <c r="BC106" i="1"/>
  <c r="CI32" i="37"/>
  <c r="CI40" s="1"/>
  <c r="AV40" i="26"/>
  <c r="BL61" i="25"/>
  <c r="CF106" i="41"/>
  <c r="BL29" i="38"/>
  <c r="Y32" i="1"/>
  <c r="Y40" s="1"/>
  <c r="BV15" i="38"/>
  <c r="BV40" s="1"/>
  <c r="BV109" s="1"/>
  <c r="CA32" i="1"/>
  <c r="CA40" s="1"/>
  <c r="CA109" s="1"/>
  <c r="N106" i="41"/>
  <c r="Q106" s="1"/>
  <c r="AR106" i="40"/>
  <c r="AR109" s="1"/>
  <c r="AY106" i="41"/>
  <c r="CJ106" i="37"/>
  <c r="CJ109" s="1"/>
  <c r="Q104" i="39"/>
  <c r="DA84" i="25"/>
  <c r="DH63" i="1"/>
  <c r="BS84" i="36"/>
  <c r="DH63" i="38"/>
  <c r="BE106"/>
  <c r="BD15" i="41"/>
  <c r="BW106" i="26"/>
  <c r="W32" i="36"/>
  <c r="BL29" i="25"/>
  <c r="J106"/>
  <c r="BD15" i="37"/>
  <c r="BD40" s="1"/>
  <c r="BD109" s="1"/>
  <c r="DF15" i="38"/>
  <c r="DF40" s="1"/>
  <c r="AV106" i="1"/>
  <c r="AA15" i="39"/>
  <c r="AA40" s="1"/>
  <c r="AA109" s="1"/>
  <c r="AG15" i="1"/>
  <c r="AG40" s="1"/>
  <c r="CI15" i="25"/>
  <c r="AT32" i="1"/>
  <c r="AT40" s="1"/>
  <c r="CZ84" i="38"/>
  <c r="CZ109" s="1"/>
  <c r="K15" i="1"/>
  <c r="L15" i="37"/>
  <c r="AN106" i="41"/>
  <c r="CX32" i="36"/>
  <c r="BZ15"/>
  <c r="BZ40" s="1"/>
  <c r="BZ109" s="1"/>
  <c r="N84" i="26"/>
  <c r="DA32" i="40"/>
  <c r="DA40" s="1"/>
  <c r="DA109" s="1"/>
  <c r="AM84" i="25"/>
  <c r="AM109" s="1"/>
  <c r="DA106"/>
  <c r="CY84" i="1"/>
  <c r="BL30"/>
  <c r="CT106" i="39"/>
  <c r="CV106" i="36"/>
  <c r="CU106" i="39"/>
  <c r="BB15"/>
  <c r="BB40" s="1"/>
  <c r="BB109" s="1"/>
  <c r="BX84" i="1"/>
  <c r="BW32" i="38"/>
  <c r="AC84" i="1"/>
  <c r="AW15" i="41"/>
  <c r="AW40" s="1"/>
  <c r="AW109" s="1"/>
  <c r="CN15" i="26"/>
  <c r="CN40" s="1"/>
  <c r="CN109" s="1"/>
  <c r="L106" i="25"/>
  <c r="CM106"/>
  <c r="AN106" i="39"/>
  <c r="Z15" i="1"/>
  <c r="AD84" i="26"/>
  <c r="Y32" i="36"/>
  <c r="Y40" s="1"/>
  <c r="BZ15" i="39"/>
  <c r="BA15" i="25"/>
  <c r="BA40" s="1"/>
  <c r="BA109" s="1"/>
  <c r="AD15" i="40"/>
  <c r="AD40" s="1"/>
  <c r="AD95" s="1"/>
  <c r="BB15" i="26"/>
  <c r="L84" i="1"/>
  <c r="CT84"/>
  <c r="DA106" i="40"/>
  <c r="O32" i="25"/>
  <c r="BX15"/>
  <c r="BX40" s="1"/>
  <c r="BX109" s="1"/>
  <c r="BA15" i="26"/>
  <c r="BA40" s="1"/>
  <c r="BA109" s="1"/>
  <c r="BF46" i="25"/>
  <c r="BS106" i="26"/>
  <c r="AD84" i="39"/>
  <c r="CN15" i="40"/>
  <c r="CN40" s="1"/>
  <c r="BL34" i="37"/>
  <c r="AN106" i="1"/>
  <c r="BJ28" i="39"/>
  <c r="BS32" i="37"/>
  <c r="BS40" s="1"/>
  <c r="BS109" s="1"/>
  <c r="AS32" i="39"/>
  <c r="AS40" s="1"/>
  <c r="AH84" i="41"/>
  <c r="U32" i="38"/>
  <c r="DF106" i="40"/>
  <c r="DF109" s="1"/>
  <c r="CZ106" i="38"/>
  <c r="DD15" i="40"/>
  <c r="DD40" s="1"/>
  <c r="BA15" i="36"/>
  <c r="BA40" s="1"/>
  <c r="BA109" s="1"/>
  <c r="BR106" i="39"/>
  <c r="DC32" i="26"/>
  <c r="AX15"/>
  <c r="AX40" s="1"/>
  <c r="G32" i="36"/>
  <c r="BB106" i="38"/>
  <c r="CC15" i="41"/>
  <c r="CC40" s="1"/>
  <c r="CS84" i="26"/>
  <c r="CS109" s="1"/>
  <c r="BL13" i="41"/>
  <c r="AQ32"/>
  <c r="AQ40" s="1"/>
  <c r="CQ106" i="1"/>
  <c r="AD32" i="41"/>
  <c r="G84" i="38"/>
  <c r="DD106" i="40"/>
  <c r="CG84" i="36"/>
  <c r="BD15" i="25"/>
  <c r="BD40" s="1"/>
  <c r="CR106" i="26"/>
  <c r="CR106" i="37"/>
  <c r="BE32" i="25"/>
  <c r="BE40" s="1"/>
  <c r="CM32" i="26"/>
  <c r="CG15" i="37"/>
  <c r="CG40" s="1"/>
  <c r="CG15" i="36"/>
  <c r="CG40" s="1"/>
  <c r="CG109" s="1"/>
  <c r="CZ32" i="25"/>
  <c r="CZ40" s="1"/>
  <c r="CZ109" s="1"/>
  <c r="S106" i="39"/>
  <c r="AW106" i="36"/>
  <c r="CQ106" i="41"/>
  <c r="CP32" i="37"/>
  <c r="BI32" i="25"/>
  <c r="BJ32" s="1"/>
  <c r="AA84" i="41"/>
  <c r="AA109" s="1"/>
  <c r="BV15" i="1"/>
  <c r="BV40" s="1"/>
  <c r="BV109" s="1"/>
  <c r="Q46"/>
  <c r="X15"/>
  <c r="X40" s="1"/>
  <c r="AB106"/>
  <c r="CL106" i="36"/>
  <c r="CF106" i="39"/>
  <c r="CQ106"/>
  <c r="CQ109" s="1"/>
  <c r="AM106" i="37"/>
  <c r="BR15" i="25"/>
  <c r="BR40" s="1"/>
  <c r="BR109" s="1"/>
  <c r="AU32" i="38"/>
  <c r="CW106" i="41"/>
  <c r="CW109" s="1"/>
  <c r="BB84" i="37"/>
  <c r="BL26" i="26"/>
  <c r="BZ84" i="39"/>
  <c r="AM106" i="36"/>
  <c r="AD15" i="25"/>
  <c r="AD40" s="1"/>
  <c r="AD95" s="1"/>
  <c r="CB32" i="26"/>
  <c r="CB40" s="1"/>
  <c r="CB109" s="1"/>
  <c r="CF32" i="1"/>
  <c r="CF40" s="1"/>
  <c r="CF109" s="1"/>
  <c r="CT32"/>
  <c r="CT40" s="1"/>
  <c r="CT109" s="1"/>
  <c r="AA106" i="37"/>
  <c r="CK106"/>
  <c r="Z15"/>
  <c r="CB106" i="39"/>
  <c r="CB109" s="1"/>
  <c r="AN15" i="26"/>
  <c r="AN40" s="1"/>
  <c r="AN109" s="1"/>
  <c r="AC15" i="38"/>
  <c r="AC40" s="1"/>
  <c r="AC95" s="1"/>
  <c r="AC97" s="1"/>
  <c r="CT15" i="40"/>
  <c r="CT40" s="1"/>
  <c r="CT109" s="1"/>
  <c r="CY84" i="41"/>
  <c r="BC84" i="1"/>
  <c r="BL27" i="36"/>
  <c r="CQ32" i="25"/>
  <c r="CV84" i="36"/>
  <c r="CV109" s="1"/>
  <c r="Q31" i="40"/>
  <c r="BL31" s="1"/>
  <c r="AZ15" i="38"/>
  <c r="AZ40" s="1"/>
  <c r="BB32" i="26"/>
  <c r="CD84" i="1"/>
  <c r="CD109" s="1"/>
  <c r="CS15" i="39"/>
  <c r="CS40" s="1"/>
  <c r="CS106" i="1"/>
  <c r="BR106" i="26"/>
  <c r="CB84" i="37"/>
  <c r="CH84" i="40"/>
  <c r="CI32" i="25"/>
  <c r="CD106" i="36"/>
  <c r="AH32" i="38"/>
  <c r="AH40" s="1"/>
  <c r="AH95" s="1"/>
  <c r="P84"/>
  <c r="BY32" i="36"/>
  <c r="BY40" s="1"/>
  <c r="BY109" s="1"/>
  <c r="AQ84" i="37"/>
  <c r="BL29" i="39"/>
  <c r="AS15" i="25"/>
  <c r="AS40" s="1"/>
  <c r="CC106" i="41"/>
  <c r="CK32" i="39"/>
  <c r="CK40" s="1"/>
  <c r="CK109" s="1"/>
  <c r="AM84"/>
  <c r="P32"/>
  <c r="P40" s="1"/>
  <c r="P109" s="1"/>
  <c r="AC32" i="26"/>
  <c r="BV15" i="41"/>
  <c r="BV40" s="1"/>
  <c r="BV109" s="1"/>
  <c r="CT32" i="36"/>
  <c r="T32" i="37"/>
  <c r="L106" i="40"/>
  <c r="Z32" i="41"/>
  <c r="AT15" i="38"/>
  <c r="AT40" s="1"/>
  <c r="BJ35" i="36"/>
  <c r="BL35" s="1"/>
  <c r="X15"/>
  <c r="X40" s="1"/>
  <c r="AT15" i="25"/>
  <c r="AT40" s="1"/>
  <c r="CU106"/>
  <c r="AX106" i="39"/>
  <c r="AX15" i="41"/>
  <c r="AX40" s="1"/>
  <c r="BJ28" i="25"/>
  <c r="CS32" i="1"/>
  <c r="BB84"/>
  <c r="BB109" s="1"/>
  <c r="CD15" i="40"/>
  <c r="CD40" s="1"/>
  <c r="CD109" s="1"/>
  <c r="AN84" i="37"/>
  <c r="AN109" s="1"/>
  <c r="BF38" i="26"/>
  <c r="BH15" i="36"/>
  <c r="DA84" i="38"/>
  <c r="CI15"/>
  <c r="CI40" s="1"/>
  <c r="H15" i="36"/>
  <c r="BR32" i="26"/>
  <c r="BR40" s="1"/>
  <c r="BR109" s="1"/>
  <c r="BA15" i="37"/>
  <c r="K15" i="26"/>
  <c r="BZ84" i="36"/>
  <c r="CS106" i="39"/>
  <c r="BJ22" i="40"/>
  <c r="BZ106"/>
  <c r="CQ32" i="38"/>
  <c r="CQ40" s="1"/>
  <c r="AI84" i="26"/>
  <c r="CA106" i="36"/>
  <c r="CW15"/>
  <c r="CC15" i="26"/>
  <c r="CW106" i="39"/>
  <c r="BA32"/>
  <c r="BE15" i="1"/>
  <c r="BE40" s="1"/>
  <c r="N84" i="40"/>
  <c r="BJ19" i="37"/>
  <c r="AA15" i="38"/>
  <c r="AA40" s="1"/>
  <c r="AA109" s="1"/>
  <c r="CH15" i="40"/>
  <c r="CS15" i="37"/>
  <c r="CS40" s="1"/>
  <c r="CS109" s="1"/>
  <c r="AT84" i="1"/>
  <c r="DH63" i="39"/>
  <c r="CN32" i="38"/>
  <c r="CN40" s="1"/>
  <c r="CN109" s="1"/>
  <c r="DE106" i="25"/>
  <c r="AF32" i="39"/>
  <c r="AF40" s="1"/>
  <c r="H106" i="26"/>
  <c r="Q106" s="1"/>
  <c r="BF22"/>
  <c r="AE32" i="37"/>
  <c r="DC106" i="39"/>
  <c r="CG15" i="40"/>
  <c r="CG40" s="1"/>
  <c r="CP106" i="25"/>
  <c r="CP109" s="1"/>
  <c r="BX106" i="26"/>
  <c r="CK15" i="36"/>
  <c r="CK40" s="1"/>
  <c r="CK109" s="1"/>
  <c r="CY32" i="37"/>
  <c r="CY40" s="1"/>
  <c r="CU84" i="26"/>
  <c r="BS84" i="37"/>
  <c r="CQ15" i="26"/>
  <c r="CQ40" s="1"/>
  <c r="CQ109" s="1"/>
  <c r="AR32" i="37"/>
  <c r="AR40" s="1"/>
  <c r="AR109" s="1"/>
  <c r="DH38" i="36"/>
  <c r="AC32" i="37"/>
  <c r="AC40" s="1"/>
  <c r="CU84" i="40"/>
  <c r="CB15" i="37"/>
  <c r="CB40" s="1"/>
  <c r="AP32" i="36"/>
  <c r="AP40" s="1"/>
  <c r="AH15" i="40"/>
  <c r="AH40" s="1"/>
  <c r="AH95" s="1"/>
  <c r="CE32"/>
  <c r="CW32" i="36"/>
  <c r="BC32" i="41"/>
  <c r="AM106"/>
  <c r="Q72"/>
  <c r="CC32" i="36"/>
  <c r="AF32" i="25"/>
  <c r="CL106"/>
  <c r="BJ63" i="40"/>
  <c r="O106"/>
  <c r="O109" s="1"/>
  <c r="Z15" i="38"/>
  <c r="Z40" s="1"/>
  <c r="CV15" i="40"/>
  <c r="AU15" i="37"/>
  <c r="AU40" s="1"/>
  <c r="CR15" i="1"/>
  <c r="CR40" s="1"/>
  <c r="CR109" s="1"/>
  <c r="BJ63" i="37"/>
  <c r="CP15" i="36"/>
  <c r="CP40" s="1"/>
  <c r="CP109" s="1"/>
  <c r="DB15" i="41"/>
  <c r="DB40" s="1"/>
  <c r="DB109" s="1"/>
  <c r="CO15" i="25"/>
  <c r="CO40" s="1"/>
  <c r="CO109" s="1"/>
  <c r="K106" i="40"/>
  <c r="CW32" i="26"/>
  <c r="CW40" s="1"/>
  <c r="CW109" s="1"/>
  <c r="AD40" i="1"/>
  <c r="AD95" s="1"/>
  <c r="AH15" i="39"/>
  <c r="AH40" s="1"/>
  <c r="AH95" s="1"/>
  <c r="BR32" i="1"/>
  <c r="AV106" i="39"/>
  <c r="N15" i="36"/>
  <c r="N40" s="1"/>
  <c r="N109" s="1"/>
  <c r="DE32" i="1"/>
  <c r="DE40" s="1"/>
  <c r="DE109" s="1"/>
  <c r="AY32" i="39"/>
  <c r="AV32" i="38"/>
  <c r="S106"/>
  <c r="CC15" i="1"/>
  <c r="CC40" s="1"/>
  <c r="CC109" s="1"/>
  <c r="Q38"/>
  <c r="BL38" s="1"/>
  <c r="AR106" i="39"/>
  <c r="AC95" i="1"/>
  <c r="AC97" s="1"/>
  <c r="AC109"/>
  <c r="BT109"/>
  <c r="CB109" i="37"/>
  <c r="CJ109" i="40"/>
  <c r="CA109" i="37"/>
  <c r="BU109" i="1"/>
  <c r="DB109" i="38"/>
  <c r="CK109" i="25"/>
  <c r="DF109"/>
  <c r="CR109" i="39"/>
  <c r="N40" i="1"/>
  <c r="N109" s="1"/>
  <c r="AM40" i="40"/>
  <c r="AM109" s="1"/>
  <c r="DA109" i="36"/>
  <c r="BI40" i="39"/>
  <c r="AN109" i="25"/>
  <c r="CQ109" i="1"/>
  <c r="BV109" i="36"/>
  <c r="AC109" i="39"/>
  <c r="CL109" i="37"/>
  <c r="CJ40" i="25"/>
  <c r="CH109" i="36"/>
  <c r="O109" i="39"/>
  <c r="AH40" i="1"/>
  <c r="AH95" s="1"/>
  <c r="CC40" i="38"/>
  <c r="CC109" s="1"/>
  <c r="BW40" i="1"/>
  <c r="BW109" s="1"/>
  <c r="AC109" i="38"/>
  <c r="CV40" i="39"/>
  <c r="CV109" s="1"/>
  <c r="AC109" i="36"/>
  <c r="BJ32" i="41"/>
  <c r="M109" i="26"/>
  <c r="BE40" i="38"/>
  <c r="CN109" i="40"/>
  <c r="N109" i="26"/>
  <c r="BH40" i="25"/>
  <c r="CL109" i="41"/>
  <c r="CC109" i="26"/>
  <c r="CS109" i="40"/>
  <c r="BL38" i="39"/>
  <c r="CP109" i="1"/>
  <c r="AR109" i="26"/>
  <c r="CZ109" i="36"/>
  <c r="BR109" i="37"/>
  <c r="DE40" i="39"/>
  <c r="DE109" s="1"/>
  <c r="AN40" i="40"/>
  <c r="AN109" s="1"/>
  <c r="DA40" i="1"/>
  <c r="AU40" i="25"/>
  <c r="CL109" i="38"/>
  <c r="BD109" i="36"/>
  <c r="BL38" i="40"/>
  <c r="BY109" i="25"/>
  <c r="BF32"/>
  <c r="CK109" i="1"/>
  <c r="AC109" i="25"/>
  <c r="BU40" i="36"/>
  <c r="BU109" s="1"/>
  <c r="BF32"/>
  <c r="CZ109" i="40"/>
  <c r="DE109" i="36"/>
  <c r="AE95" i="38"/>
  <c r="CI109" i="26"/>
  <c r="CH109" i="1"/>
  <c r="CQ109" i="40"/>
  <c r="DE109" i="25"/>
  <c r="CM109" i="36"/>
  <c r="CW109" i="1"/>
  <c r="CE109" i="41"/>
  <c r="CJ109" i="36"/>
  <c r="CK40" i="41"/>
  <c r="CK109" s="1"/>
  <c r="CV40" i="38"/>
  <c r="CM40" i="25"/>
  <c r="CM109" s="1"/>
  <c r="BX109" i="1"/>
  <c r="AZ40" i="26"/>
  <c r="AZ109" s="1"/>
  <c r="BL28"/>
  <c r="CN109" i="1"/>
  <c r="AY109"/>
  <c r="CH109" i="41"/>
  <c r="AY40" i="40"/>
  <c r="AY109" s="1"/>
  <c r="CD109" i="37"/>
  <c r="AD40" i="38"/>
  <c r="AD95" s="1"/>
  <c r="AO109" i="41"/>
  <c r="BL35" i="1"/>
  <c r="AC95" i="40"/>
  <c r="AC97" s="1"/>
  <c r="AC109" i="41"/>
  <c r="AC95"/>
  <c r="AC97" s="1"/>
  <c r="AM40" i="37"/>
  <c r="BF32"/>
  <c r="CN109"/>
  <c r="BL28"/>
  <c r="CM109" i="41"/>
  <c r="M109"/>
  <c r="BL35" i="25"/>
  <c r="AA109" i="40"/>
  <c r="BF32" i="38"/>
  <c r="DF109"/>
  <c r="BJ15"/>
  <c r="BL38" i="25"/>
  <c r="AZ109" i="37"/>
  <c r="CM109"/>
  <c r="CK109" i="26"/>
  <c r="BL28" i="39"/>
  <c r="CZ109" i="26"/>
  <c r="BR109" i="40"/>
  <c r="DF109" i="41"/>
  <c r="CR109" i="40"/>
  <c r="AM40" i="38"/>
  <c r="AM109" s="1"/>
  <c r="H40" i="40"/>
  <c r="CI109" i="37"/>
  <c r="BJ15" i="41"/>
  <c r="CU109" i="25"/>
  <c r="BA109" i="1"/>
  <c r="CJ109" i="41"/>
  <c r="AZ109" i="36"/>
  <c r="AP40" i="26"/>
  <c r="Z40" i="25"/>
  <c r="DF109" i="36"/>
  <c r="CD109" i="25"/>
  <c r="DB109" i="26"/>
  <c r="CF109" i="41"/>
  <c r="BH40" i="26"/>
  <c r="H40" i="36"/>
  <c r="CL109" i="25"/>
  <c r="CL109" i="40"/>
  <c r="BJ15" i="36"/>
  <c r="AO109" i="39"/>
  <c r="DA109"/>
  <c r="CE109" i="38"/>
  <c r="BB109" i="41"/>
  <c r="DF109" i="26"/>
  <c r="DD109" i="39"/>
  <c r="AF40" i="36"/>
  <c r="BV109" i="37"/>
  <c r="DD109"/>
  <c r="CF109" i="25"/>
  <c r="BD109" i="38"/>
  <c r="N388" i="35"/>
  <c r="N290"/>
  <c r="N297" s="1"/>
  <c r="N341" s="1"/>
  <c r="N359" s="1"/>
  <c r="BJ40" i="39"/>
  <c r="I389" i="35"/>
  <c r="I263"/>
  <c r="I274" s="1"/>
  <c r="I336" s="1"/>
  <c r="G73" i="65"/>
  <c r="BA289" i="47"/>
  <c r="CI109" i="38"/>
  <c r="BJ40" i="26"/>
  <c r="I758" i="4"/>
  <c r="I1235" s="1"/>
  <c r="AW109" i="38"/>
  <c r="L1235" i="4"/>
  <c r="BD109" i="26"/>
  <c r="BL18" i="40"/>
  <c r="BL60" i="38"/>
  <c r="DH19" i="1"/>
  <c r="BL18" i="37"/>
  <c r="BL75" i="1"/>
  <c r="DH19" i="37"/>
  <c r="U14" i="25"/>
  <c r="Q50" i="41"/>
  <c r="I51"/>
  <c r="I84" s="1"/>
  <c r="BF58" i="1"/>
  <c r="Q66" i="37"/>
  <c r="H68"/>
  <c r="F278" i="46"/>
  <c r="F280" s="1"/>
  <c r="BQ19" i="26"/>
  <c r="W22" i="1"/>
  <c r="AK66" i="37"/>
  <c r="S68"/>
  <c r="AK68" s="1"/>
  <c r="AG33" i="60"/>
  <c r="H19" i="26"/>
  <c r="Q18"/>
  <c r="DH18"/>
  <c r="BO19"/>
  <c r="G14" i="25"/>
  <c r="Q14" s="1"/>
  <c r="Q12"/>
  <c r="V22" i="1"/>
  <c r="AB22"/>
  <c r="CI51"/>
  <c r="DH50"/>
  <c r="AK46" i="60"/>
  <c r="AJ16"/>
  <c r="AK16"/>
  <c r="BP19" i="26"/>
  <c r="AX63" i="1"/>
  <c r="BF57"/>
  <c r="AK18" i="26"/>
  <c r="S19"/>
  <c r="AK19" s="1"/>
  <c r="M29" i="64"/>
  <c r="BG325" i="47"/>
  <c r="AL32" i="60"/>
  <c r="F288" i="46"/>
  <c r="F299" s="1"/>
  <c r="AK58" i="1"/>
  <c r="F287" i="46"/>
  <c r="F298" s="1"/>
  <c r="AK57" i="1"/>
  <c r="T63"/>
  <c r="AK63" s="1"/>
  <c r="S56" i="60"/>
  <c r="I22" i="1"/>
  <c r="Q21"/>
  <c r="U22"/>
  <c r="F464" i="17" a="1"/>
  <c r="H258" i="13"/>
  <c r="H272"/>
  <c r="I105" i="52"/>
  <c r="F167" i="8"/>
  <c r="F132"/>
  <c r="N156" i="18"/>
  <c r="N167"/>
  <c r="L248" i="13"/>
  <c r="L247"/>
  <c r="L277" s="1"/>
  <c r="L251"/>
  <c r="L249"/>
  <c r="L250"/>
  <c r="N79" i="32"/>
  <c r="N78"/>
  <c r="N119"/>
  <c r="H257" i="13"/>
  <c r="H271"/>
  <c r="L546" i="42"/>
  <c r="L543"/>
  <c r="F341" i="13" a="1"/>
  <c r="F341" s="1"/>
  <c r="F342" a="1"/>
  <c r="F342" s="1"/>
  <c r="F452" s="1"/>
  <c r="F438"/>
  <c r="F443" s="1"/>
  <c r="F343" a="1"/>
  <c r="F343" s="1"/>
  <c r="F453" s="1"/>
  <c r="BJ38" i="37"/>
  <c r="BL38" s="1"/>
  <c r="BH40"/>
  <c r="BJ40" s="1"/>
  <c r="DH28"/>
  <c r="CU32"/>
  <c r="CU40" s="1"/>
  <c r="H462" i="17" a="1"/>
  <c r="H464" a="1"/>
  <c r="H463" a="1"/>
  <c r="H527" a="1"/>
  <c r="H529" a="1"/>
  <c r="H528" a="1"/>
  <c r="H528" s="1"/>
  <c r="H758" s="1"/>
  <c r="M123" i="58"/>
  <c r="M124" s="1"/>
  <c r="H124"/>
  <c r="F127" i="8"/>
  <c r="F169"/>
  <c r="F117" i="9"/>
  <c r="F145"/>
  <c r="F887" i="4"/>
  <c r="F896"/>
  <c r="F1090" s="1"/>
  <c r="F894"/>
  <c r="F1088" s="1"/>
  <c r="F889"/>
  <c r="F891"/>
  <c r="F1085" s="1"/>
  <c r="F895"/>
  <c r="F1089" s="1"/>
  <c r="F893"/>
  <c r="F1087" s="1"/>
  <c r="F897"/>
  <c r="F1091" s="1"/>
  <c r="F892"/>
  <c r="F1086" s="1"/>
  <c r="F890"/>
  <c r="F1084" s="1"/>
  <c r="F1080"/>
  <c r="F1083"/>
  <c r="G276" i="13"/>
  <c r="G275"/>
  <c r="H269"/>
  <c r="H255"/>
  <c r="CU32" i="1"/>
  <c r="CU40" s="1"/>
  <c r="CU109" s="1"/>
  <c r="DH28"/>
  <c r="AV84"/>
  <c r="BF76"/>
  <c r="BL76" s="1"/>
  <c r="BJ38" i="36"/>
  <c r="BL38" s="1"/>
  <c r="BH40"/>
  <c r="BJ40" s="1"/>
  <c r="H707" i="17"/>
  <c r="J565" i="14"/>
  <c r="H705" i="4"/>
  <c r="M442" i="34" a="1"/>
  <c r="M442" s="1"/>
  <c r="M556" s="1"/>
  <c r="BL60" i="37"/>
  <c r="K766" i="14"/>
  <c r="L587"/>
  <c r="M463" i="34"/>
  <c r="J634" i="17"/>
  <c r="J584" i="14"/>
  <c r="H581" i="17"/>
  <c r="H576"/>
  <c r="M591" i="14"/>
  <c r="M464" i="34"/>
  <c r="Q19" i="37"/>
  <c r="K753" i="14"/>
  <c r="K757" s="1"/>
  <c r="N757"/>
  <c r="H606"/>
  <c r="H564"/>
  <c r="Q55" i="1"/>
  <c r="G543" i="42"/>
  <c r="G707" i="17"/>
  <c r="H251" i="13"/>
  <c r="G250"/>
  <c r="N464" i="17" a="1"/>
  <c r="G464" a="1"/>
  <c r="G464" s="1"/>
  <c r="G767" s="1"/>
  <c r="G264" i="13"/>
  <c r="G265"/>
  <c r="G258"/>
  <c r="G256"/>
  <c r="M443" i="34" a="1"/>
  <c r="M443" s="1"/>
  <c r="M557" s="1"/>
  <c r="G527" i="17" a="1"/>
  <c r="G527" s="1"/>
  <c r="G757" s="1"/>
  <c r="G760" s="1"/>
  <c r="G528" a="1"/>
  <c r="G528" s="1"/>
  <c r="G758" s="1"/>
  <c r="G529" a="1"/>
  <c r="G529" s="1"/>
  <c r="G759" s="1"/>
  <c r="G524"/>
  <c r="G719"/>
  <c r="G728" s="1"/>
  <c r="F276" i="13"/>
  <c r="F275"/>
  <c r="AZ441" i="47"/>
  <c r="BG396" s="1"/>
  <c r="BH396" s="1"/>
  <c r="BI396" s="1"/>
  <c r="F147" i="9"/>
  <c r="F112"/>
  <c r="F146" i="8"/>
  <c r="L334" i="13"/>
  <c r="L292"/>
  <c r="L313"/>
  <c r="L306"/>
  <c r="L327"/>
  <c r="L285"/>
  <c r="L320"/>
  <c r="L299"/>
  <c r="F126" i="9"/>
  <c r="N109" i="32"/>
  <c r="N110"/>
  <c r="DH28" i="39"/>
  <c r="CU32"/>
  <c r="CU40" s="1"/>
  <c r="CU109" s="1"/>
  <c r="H256" i="13"/>
  <c r="H270"/>
  <c r="I124" i="58"/>
  <c r="N123"/>
  <c r="N124" s="1"/>
  <c r="H263" i="13"/>
  <c r="H265"/>
  <c r="H262"/>
  <c r="H264"/>
  <c r="H261"/>
  <c r="H237"/>
  <c r="F165" i="8"/>
  <c r="F137"/>
  <c r="F107" i="9"/>
  <c r="F149"/>
  <c r="M77" i="52"/>
  <c r="M78" s="1"/>
  <c r="M79" s="1"/>
  <c r="I78"/>
  <c r="I79" s="1"/>
  <c r="G244" i="13"/>
  <c r="G442" s="1"/>
  <c r="G243"/>
  <c r="G441" s="1"/>
  <c r="G240"/>
  <c r="G241"/>
  <c r="G439" s="1"/>
  <c r="G437"/>
  <c r="G242"/>
  <c r="G440" s="1"/>
  <c r="H254"/>
  <c r="H274" s="1"/>
  <c r="H268"/>
  <c r="M211"/>
  <c r="N177"/>
  <c r="M236"/>
  <c r="G251"/>
  <c r="M441" i="34" a="1"/>
  <c r="M441" s="1"/>
  <c r="M555" s="1"/>
  <c r="AR50" i="60"/>
  <c r="L606" i="14"/>
  <c r="H408" i="17"/>
  <c r="G712"/>
  <c r="I517"/>
  <c r="I721" s="1"/>
  <c r="N463" a="1"/>
  <c r="N463" s="1"/>
  <c r="N766" s="1"/>
  <c r="G463" a="1"/>
  <c r="G463" s="1"/>
  <c r="G766" s="1"/>
  <c r="G750" s="1"/>
  <c r="G257" i="13"/>
  <c r="BL89" i="37"/>
  <c r="BL37"/>
  <c r="BL37" i="36"/>
  <c r="Q19" i="40"/>
  <c r="DH19"/>
  <c r="J1235" i="4"/>
  <c r="J1206" s="1"/>
  <c r="AK49" i="37"/>
  <c r="T14" i="26"/>
  <c r="BF49" i="41"/>
  <c r="BE97"/>
  <c r="BF97" s="1"/>
  <c r="Z43" i="60"/>
  <c r="W24"/>
  <c r="W43"/>
  <c r="BF49" i="38"/>
  <c r="BE97"/>
  <c r="BF97" s="1"/>
  <c r="K584" i="14"/>
  <c r="I548" i="42"/>
  <c r="N706" i="17"/>
  <c r="K603" i="14"/>
  <c r="N464" i="17"/>
  <c r="N767" s="1"/>
  <c r="L565" i="14"/>
  <c r="N591"/>
  <c r="I1126" i="4"/>
  <c r="J765" a="1"/>
  <c r="J766" s="1"/>
  <c r="N457" i="17"/>
  <c r="I510"/>
  <c r="H687" i="4"/>
  <c r="BF49" i="36"/>
  <c r="BE97"/>
  <c r="BF97" s="1"/>
  <c r="U43" i="60"/>
  <c r="BE97" i="26"/>
  <c r="BF97" s="1"/>
  <c r="BF49"/>
  <c r="AA43" i="60"/>
  <c r="H548" i="42"/>
  <c r="BL65" i="39"/>
  <c r="X43" i="60"/>
  <c r="BE97" i="39"/>
  <c r="BF97" s="1"/>
  <c r="BF49"/>
  <c r="H453" i="42"/>
  <c r="G451"/>
  <c r="H452" s="1"/>
  <c r="AK19" i="41"/>
  <c r="BL17" i="39"/>
  <c r="G279" i="46"/>
  <c r="G280" s="1"/>
  <c r="F265"/>
  <c r="AE16" i="60"/>
  <c r="AJ32" i="38"/>
  <c r="AJ40" s="1"/>
  <c r="AJ44" s="1"/>
  <c r="AI16" i="60"/>
  <c r="AL46"/>
  <c r="I1125" i="4"/>
  <c r="AK19" i="39"/>
  <c r="I1044" i="4"/>
  <c r="H1056"/>
  <c r="F455" i="17"/>
  <c r="F740" s="1"/>
  <c r="F444"/>
  <c r="F733"/>
  <c r="N607" i="14"/>
  <c r="I1119" i="4"/>
  <c r="G667" i="14"/>
  <c r="L726"/>
  <c r="L776" s="1"/>
  <c r="L792" s="1"/>
  <c r="AK19" i="38"/>
  <c r="I1123" i="4"/>
  <c r="I1122"/>
  <c r="I1050"/>
  <c r="I1048"/>
  <c r="AJ32" i="26"/>
  <c r="AJ40" s="1"/>
  <c r="AJ44" s="1"/>
  <c r="S24" i="60"/>
  <c r="X24"/>
  <c r="AJ32" i="25"/>
  <c r="AJ40" s="1"/>
  <c r="AJ44" s="1"/>
  <c r="AI46" i="60"/>
  <c r="AJ32" i="36"/>
  <c r="AJ40" s="1"/>
  <c r="AJ44" s="1"/>
  <c r="I699" i="4"/>
  <c r="I681"/>
  <c r="K632"/>
  <c r="J1037"/>
  <c r="J1051" s="1"/>
  <c r="J1108"/>
  <c r="J660"/>
  <c r="J1038"/>
  <c r="J1109"/>
  <c r="J1124" s="1"/>
  <c r="J661"/>
  <c r="K633"/>
  <c r="H1127"/>
  <c r="N649" i="14"/>
  <c r="I1049" i="4"/>
  <c r="I649" i="14"/>
  <c r="N726"/>
  <c r="N776" s="1"/>
  <c r="N784" s="1"/>
  <c r="I1120" i="4"/>
  <c r="I1121"/>
  <c r="I1115"/>
  <c r="G631" i="14"/>
  <c r="N588"/>
  <c r="I1054" i="4"/>
  <c r="I1052"/>
  <c r="I1051"/>
  <c r="N725" i="14"/>
  <c r="AZ455" i="47" s="1"/>
  <c r="BG380" s="1"/>
  <c r="BH380" s="1"/>
  <c r="BI380" s="1"/>
  <c r="I698" i="4"/>
  <c r="I680"/>
  <c r="I1047"/>
  <c r="I519" i="17"/>
  <c r="I723" s="1"/>
  <c r="H649" i="14"/>
  <c r="J639" i="4"/>
  <c r="I1118"/>
  <c r="I1053"/>
  <c r="I1055"/>
  <c r="I516" i="17"/>
  <c r="I720" s="1"/>
  <c r="J449" i="34"/>
  <c r="G546"/>
  <c r="BF58" i="25"/>
  <c r="BL58" s="1"/>
  <c r="BL67" i="37"/>
  <c r="AW84" i="1"/>
  <c r="N1235" i="4"/>
  <c r="N1206" s="1"/>
  <c r="BL65" i="1"/>
  <c r="M1235" i="4"/>
  <c r="M1206" s="1"/>
  <c r="AK68" i="1"/>
  <c r="AO49" i="60"/>
  <c r="H132" i="6"/>
  <c r="H134" s="1"/>
  <c r="H166" s="1"/>
  <c r="AT49" i="60"/>
  <c r="BL66" i="26"/>
  <c r="H760" i="4"/>
  <c r="H765" s="1" a="1"/>
  <c r="H773" s="1"/>
  <c r="BL67" i="25"/>
  <c r="K760" i="4"/>
  <c r="N293" i="35"/>
  <c r="N340" s="1"/>
  <c r="CF51" i="36"/>
  <c r="CF84" s="1"/>
  <c r="G760" i="4"/>
  <c r="G765" s="1" a="1"/>
  <c r="G775" s="1"/>
  <c r="G996" s="1"/>
  <c r="F760"/>
  <c r="F765" s="1" a="1"/>
  <c r="F765" s="1"/>
  <c r="BL65" i="25"/>
  <c r="BL66"/>
  <c r="BL18" i="39"/>
  <c r="BL65" i="40"/>
  <c r="N280" i="46"/>
  <c r="AK68" i="39"/>
  <c r="BL67" i="36"/>
  <c r="AK68"/>
  <c r="AK68" i="38"/>
  <c r="BL50" i="1"/>
  <c r="BL66" i="38"/>
  <c r="AK68" i="25"/>
  <c r="AU49" i="60"/>
  <c r="AR49"/>
  <c r="AP49"/>
  <c r="BL66" i="36"/>
  <c r="AJ32" i="1"/>
  <c r="AJ40" s="1"/>
  <c r="AJ44" s="1"/>
  <c r="V24" i="60"/>
  <c r="U24"/>
  <c r="BW22" i="36"/>
  <c r="BW40" s="1"/>
  <c r="BX22" i="37"/>
  <c r="BX40" s="1"/>
  <c r="BX109" s="1"/>
  <c r="AJ32"/>
  <c r="AJ40" s="1"/>
  <c r="AJ44" s="1"/>
  <c r="AA24" i="60"/>
  <c r="S32" i="25"/>
  <c r="AI11" i="39"/>
  <c r="AI15" s="1"/>
  <c r="AI40" s="1"/>
  <c r="S32"/>
  <c r="S32" i="38"/>
  <c r="AI11" i="36"/>
  <c r="AI15" s="1"/>
  <c r="AI40" s="1"/>
  <c r="AI109" s="1"/>
  <c r="AK58"/>
  <c r="H288" i="46"/>
  <c r="H299" s="1"/>
  <c r="Y24" i="60"/>
  <c r="AF51" i="1"/>
  <c r="AK49"/>
  <c r="BZ22" i="37"/>
  <c r="BZ40" s="1"/>
  <c r="BZ109" s="1"/>
  <c r="AI11" i="1"/>
  <c r="AI15" s="1"/>
  <c r="AI40" s="1"/>
  <c r="AI109" s="1"/>
  <c r="BY22" i="37"/>
  <c r="BY40" s="1"/>
  <c r="BY109" s="1"/>
  <c r="CG51" i="38"/>
  <c r="CG84" s="1"/>
  <c r="CG109" s="1"/>
  <c r="AF51" i="25"/>
  <c r="AF84" s="1"/>
  <c r="AK49"/>
  <c r="T24" i="60"/>
  <c r="BF58" i="36"/>
  <c r="S32" i="37"/>
  <c r="AI11" i="25"/>
  <c r="AI15" s="1"/>
  <c r="AI40" s="1"/>
  <c r="AI109" s="1"/>
  <c r="BF49" i="1"/>
  <c r="BE97"/>
  <c r="BF97" s="1"/>
  <c r="BE51"/>
  <c r="S43" i="60"/>
  <c r="AD8"/>
  <c r="I364" i="34"/>
  <c r="I411" s="1"/>
  <c r="I413" s="1"/>
  <c r="I406"/>
  <c r="I409" s="1"/>
  <c r="J363"/>
  <c r="Q68" i="38"/>
  <c r="H84"/>
  <c r="I131" i="8"/>
  <c r="I156"/>
  <c r="I126"/>
  <c r="I136"/>
  <c r="H165"/>
  <c r="H137"/>
  <c r="BF68" i="37"/>
  <c r="AW84"/>
  <c r="K1206" i="4"/>
  <c r="L110" i="8"/>
  <c r="K155"/>
  <c r="K114"/>
  <c r="J263" i="13"/>
  <c r="J261"/>
  <c r="J262"/>
  <c r="J264"/>
  <c r="J265"/>
  <c r="J237"/>
  <c r="M443" i="42"/>
  <c r="L441"/>
  <c r="M442" s="1"/>
  <c r="H1206" i="4"/>
  <c r="I240" i="13"/>
  <c r="I241"/>
  <c r="I439" s="1"/>
  <c r="I243"/>
  <c r="I441" s="1"/>
  <c r="I437"/>
  <c r="I244"/>
  <c r="I442" s="1"/>
  <c r="I242"/>
  <c r="I440" s="1"/>
  <c r="H169" i="8"/>
  <c r="H127"/>
  <c r="H146"/>
  <c r="BD84" i="1"/>
  <c r="BF68" i="39"/>
  <c r="AW84"/>
  <c r="AW109" s="1"/>
  <c r="Q68" i="26"/>
  <c r="H84"/>
  <c r="Q68" i="1"/>
  <c r="H84"/>
  <c r="H84" i="40"/>
  <c r="Q68"/>
  <c r="L847" i="4"/>
  <c r="M631" i="14"/>
  <c r="I748"/>
  <c r="L667"/>
  <c r="J508" i="17"/>
  <c r="J667" i="14"/>
  <c r="I523" i="17"/>
  <c r="I727" s="1"/>
  <c r="L725" i="14"/>
  <c r="L775" s="1"/>
  <c r="L791" s="1"/>
  <c r="BL18" i="38"/>
  <c r="DH19" i="25"/>
  <c r="H422" i="34"/>
  <c r="BL65" i="37"/>
  <c r="BL67" i="40"/>
  <c r="BL66" i="41"/>
  <c r="BL66" i="39"/>
  <c r="J304" i="13"/>
  <c r="J307" s="1"/>
  <c r="J457" s="1"/>
  <c r="J325"/>
  <c r="J328" s="1"/>
  <c r="J474" s="1"/>
  <c r="J297"/>
  <c r="J300" s="1"/>
  <c r="J456" s="1"/>
  <c r="J290"/>
  <c r="J293" s="1"/>
  <c r="J455" s="1"/>
  <c r="J283"/>
  <c r="J286" s="1"/>
  <c r="J332"/>
  <c r="J335" s="1"/>
  <c r="J475" s="1"/>
  <c r="J318"/>
  <c r="J321" s="1"/>
  <c r="J473" s="1"/>
  <c r="J311"/>
  <c r="J314" s="1"/>
  <c r="J472" s="1"/>
  <c r="I145" i="8"/>
  <c r="I144"/>
  <c r="I122"/>
  <c r="I154" s="1"/>
  <c r="H167"/>
  <c r="H132"/>
  <c r="AW84" i="40"/>
  <c r="AW109" s="1"/>
  <c r="BF68"/>
  <c r="H84" i="25"/>
  <c r="Q68"/>
  <c r="BF68"/>
  <c r="AW84"/>
  <c r="AW109" s="1"/>
  <c r="I454" i="13"/>
  <c r="I363"/>
  <c r="I365" s="1"/>
  <c r="J116" i="8"/>
  <c r="J117" s="1"/>
  <c r="L355" i="34"/>
  <c r="K448"/>
  <c r="G548" i="42"/>
  <c r="H84" i="36"/>
  <c r="Q68"/>
  <c r="G1206" i="4"/>
  <c r="F548" i="42"/>
  <c r="L175" i="13"/>
  <c r="K209"/>
  <c r="K234"/>
  <c r="N769" i="4"/>
  <c r="N768"/>
  <c r="N772"/>
  <c r="N775"/>
  <c r="N774"/>
  <c r="N767"/>
  <c r="N771"/>
  <c r="N773"/>
  <c r="N766"/>
  <c r="N776"/>
  <c r="N770"/>
  <c r="N765"/>
  <c r="N777"/>
  <c r="Q68" i="41"/>
  <c r="H84"/>
  <c r="Q68" i="39"/>
  <c r="H84"/>
  <c r="BL66" i="1"/>
  <c r="N667" i="14"/>
  <c r="J650" i="17"/>
  <c r="G649" i="14"/>
  <c r="L649"/>
  <c r="H667"/>
  <c r="L724"/>
  <c r="L774" s="1"/>
  <c r="L631"/>
  <c r="H631"/>
  <c r="I631"/>
  <c r="J649"/>
  <c r="N631"/>
  <c r="I518" i="17"/>
  <c r="I722" s="1"/>
  <c r="BL67" i="38"/>
  <c r="AK68" i="40"/>
  <c r="BL66"/>
  <c r="AZ109" i="47"/>
  <c r="H278" i="46"/>
  <c r="AG51" i="41"/>
  <c r="AG84" s="1"/>
  <c r="L32" i="25"/>
  <c r="L40" s="1"/>
  <c r="L109" s="1"/>
  <c r="L32" i="36"/>
  <c r="L40" s="1"/>
  <c r="L109" s="1"/>
  <c r="BQ51" i="39"/>
  <c r="K32"/>
  <c r="K40" s="1"/>
  <c r="K109" s="1"/>
  <c r="BQ51" i="38"/>
  <c r="BQ51" i="36"/>
  <c r="AE47" i="60"/>
  <c r="L32" i="41"/>
  <c r="L40" s="1"/>
  <c r="L109" s="1"/>
  <c r="BP51" i="36"/>
  <c r="K32" i="41"/>
  <c r="K40" s="1"/>
  <c r="K109" s="1"/>
  <c r="AH47" i="60"/>
  <c r="K32" i="1"/>
  <c r="K40" s="1"/>
  <c r="K109" s="1"/>
  <c r="AG51" i="37"/>
  <c r="AG84" s="1"/>
  <c r="AD47" i="60"/>
  <c r="AJ32" i="40"/>
  <c r="AJ40" s="1"/>
  <c r="CF51"/>
  <c r="CF84" s="1"/>
  <c r="CF109" s="1"/>
  <c r="AJ32" i="39"/>
  <c r="AJ40" s="1"/>
  <c r="BP51" i="25"/>
  <c r="K32" i="40"/>
  <c r="K40" s="1"/>
  <c r="L32" i="26"/>
  <c r="L40" s="1"/>
  <c r="L109" s="1"/>
  <c r="BP51" i="39"/>
  <c r="AK47" i="60"/>
  <c r="Z24"/>
  <c r="BP51" i="38"/>
  <c r="V32" i="26"/>
  <c r="AL47" i="60"/>
  <c r="S51" i="41"/>
  <c r="AK7" i="60"/>
  <c r="G14" i="26"/>
  <c r="Q12"/>
  <c r="W51" i="41"/>
  <c r="V51" i="38"/>
  <c r="W51"/>
  <c r="V51" i="41"/>
  <c r="S32" i="40"/>
  <c r="AK24"/>
  <c r="U51" i="36"/>
  <c r="E26" i="64"/>
  <c r="AY322" i="47"/>
  <c r="S32" i="1"/>
  <c r="V51" i="40"/>
  <c r="S32" i="41"/>
  <c r="U51" i="25"/>
  <c r="V51" i="39"/>
  <c r="W51" i="36"/>
  <c r="S14" i="26"/>
  <c r="T63" i="25"/>
  <c r="AK57"/>
  <c r="T56" i="60"/>
  <c r="G287" i="46"/>
  <c r="G298" s="1"/>
  <c r="T76" i="36"/>
  <c r="AK76" s="1"/>
  <c r="AK75"/>
  <c r="AJ7" i="60"/>
  <c r="S51" i="40"/>
  <c r="AK79" i="25"/>
  <c r="J32" i="37"/>
  <c r="S51" i="36"/>
  <c r="AF7" i="60"/>
  <c r="AG51" i="36"/>
  <c r="AG84" s="1"/>
  <c r="AF47" i="60"/>
  <c r="L32" i="1"/>
  <c r="L40" s="1"/>
  <c r="BQ51" i="40"/>
  <c r="AG51" i="26"/>
  <c r="AG84" s="1"/>
  <c r="AG51" i="39"/>
  <c r="AG84" s="1"/>
  <c r="L32" i="38"/>
  <c r="L40" s="1"/>
  <c r="L109" s="1"/>
  <c r="CF51" i="26"/>
  <c r="CF84" s="1"/>
  <c r="CF109" s="1"/>
  <c r="AF46" i="60"/>
  <c r="AX63" i="25"/>
  <c r="BF57"/>
  <c r="BQ51"/>
  <c r="AJ47" i="60"/>
  <c r="K32" i="25"/>
  <c r="K40" s="1"/>
  <c r="K109" s="1"/>
  <c r="L32" i="37"/>
  <c r="L40" s="1"/>
  <c r="L109" s="1"/>
  <c r="CF51"/>
  <c r="CF84" s="1"/>
  <c r="CF109" s="1"/>
  <c r="CF51" i="38"/>
  <c r="CF84" s="1"/>
  <c r="CF109" s="1"/>
  <c r="AG47" i="60"/>
  <c r="BI76" i="36"/>
  <c r="AG51" i="25"/>
  <c r="AG84" s="1"/>
  <c r="AG51" i="38"/>
  <c r="AG84" s="1"/>
  <c r="BP51" i="40"/>
  <c r="AJ32" i="41"/>
  <c r="AJ40" s="1"/>
  <c r="V32" i="40"/>
  <c r="U51" i="41"/>
  <c r="S32" i="36"/>
  <c r="DH50" i="25"/>
  <c r="BO51"/>
  <c r="I223" i="46"/>
  <c r="U51" i="38"/>
  <c r="AK24" i="26"/>
  <c r="S32"/>
  <c r="V51" i="25"/>
  <c r="V51" i="36"/>
  <c r="W51" i="39"/>
  <c r="BO51" i="40"/>
  <c r="BO51" i="39"/>
  <c r="DH50" i="38"/>
  <c r="BO51"/>
  <c r="U51" i="39"/>
  <c r="J224" i="46"/>
  <c r="AK12" i="25"/>
  <c r="S14"/>
  <c r="W51" i="40"/>
  <c r="AE7" i="60"/>
  <c r="AK50" i="25"/>
  <c r="S51"/>
  <c r="AI7" i="60"/>
  <c r="S51" i="39"/>
  <c r="U51" i="40"/>
  <c r="W51" i="25"/>
  <c r="S51" i="38"/>
  <c r="AH7" i="60"/>
  <c r="DH50" i="36"/>
  <c r="BO51"/>
  <c r="H302" i="7"/>
  <c r="H211"/>
  <c r="J570" i="14"/>
  <c r="J608"/>
  <c r="J589"/>
  <c r="N570"/>
  <c r="N608"/>
  <c r="N589"/>
  <c r="M571"/>
  <c r="M590"/>
  <c r="M609"/>
  <c r="H586"/>
  <c r="H567"/>
  <c r="H605"/>
  <c r="N571"/>
  <c r="N590"/>
  <c r="N609"/>
  <c r="K570"/>
  <c r="K608"/>
  <c r="K589"/>
  <c r="M566"/>
  <c r="M604"/>
  <c r="M585"/>
  <c r="L586"/>
  <c r="L567"/>
  <c r="L605"/>
  <c r="K585"/>
  <c r="K604"/>
  <c r="K566"/>
  <c r="H609"/>
  <c r="H571"/>
  <c r="H590"/>
  <c r="M608"/>
  <c r="M589"/>
  <c r="M570"/>
  <c r="N567"/>
  <c r="N586"/>
  <c r="N605"/>
  <c r="L589"/>
  <c r="L608"/>
  <c r="L570"/>
  <c r="H608"/>
  <c r="H589"/>
  <c r="H570"/>
  <c r="I586"/>
  <c r="I605"/>
  <c r="I567"/>
  <c r="I589"/>
  <c r="I608"/>
  <c r="I570"/>
  <c r="AZ451" i="47"/>
  <c r="AZ453"/>
  <c r="BG410" s="1"/>
  <c r="BH410" s="1"/>
  <c r="BI410" s="1"/>
  <c r="J630" i="17"/>
  <c r="J646" s="1"/>
  <c r="H573" i="14"/>
  <c r="H611"/>
  <c r="H592"/>
  <c r="G147" i="9"/>
  <c r="G112"/>
  <c r="J686" i="4"/>
  <c r="J704"/>
  <c r="L604" i="14"/>
  <c r="L566"/>
  <c r="L585"/>
  <c r="H585"/>
  <c r="H566"/>
  <c r="H604"/>
  <c r="K435" i="17"/>
  <c r="K442" s="1"/>
  <c r="K431"/>
  <c r="J694" i="4"/>
  <c r="J676"/>
  <c r="J631" i="17"/>
  <c r="J647" s="1"/>
  <c r="G724" i="14"/>
  <c r="G774" s="1"/>
  <c r="G725"/>
  <c r="G775" s="1"/>
  <c r="G726"/>
  <c r="G776" s="1"/>
  <c r="G736"/>
  <c r="N712" i="17"/>
  <c r="N733" i="14"/>
  <c r="N744"/>
  <c r="N748" s="1"/>
  <c r="N721"/>
  <c r="I131" i="6"/>
  <c r="I168" s="1"/>
  <c r="I165"/>
  <c r="M425" i="17"/>
  <c r="M438" s="1"/>
  <c r="M423"/>
  <c r="M436" s="1"/>
  <c r="M422"/>
  <c r="M430"/>
  <c r="M443" s="1"/>
  <c r="M418"/>
  <c r="M428"/>
  <c r="M424"/>
  <c r="M437" s="1"/>
  <c r="M427"/>
  <c r="M440" s="1"/>
  <c r="M429"/>
  <c r="M426"/>
  <c r="M439" s="1"/>
  <c r="J697" i="4"/>
  <c r="J679"/>
  <c r="G210" i="7"/>
  <c r="G306" s="1"/>
  <c r="G305"/>
  <c r="K571" i="14"/>
  <c r="K590"/>
  <c r="K609"/>
  <c r="J633" i="17"/>
  <c r="J649" s="1"/>
  <c r="I604" i="14"/>
  <c r="I566"/>
  <c r="I585"/>
  <c r="N775"/>
  <c r="N777" s="1"/>
  <c r="M255" i="46"/>
  <c r="N255"/>
  <c r="H724" i="14"/>
  <c r="H774" s="1"/>
  <c r="H736"/>
  <c r="H726"/>
  <c r="H776" s="1"/>
  <c r="H725"/>
  <c r="H775" s="1"/>
  <c r="K567"/>
  <c r="K605"/>
  <c r="K586"/>
  <c r="J692" i="4"/>
  <c r="J674"/>
  <c r="N604" i="14"/>
  <c r="N585"/>
  <c r="N566"/>
  <c r="J700" i="4"/>
  <c r="J682"/>
  <c r="L590" i="14"/>
  <c r="L571"/>
  <c r="L609"/>
  <c r="L627" i="4"/>
  <c r="K655"/>
  <c r="K1103"/>
  <c r="K1032"/>
  <c r="J124" i="6"/>
  <c r="J125" s="1"/>
  <c r="J130" s="1"/>
  <c r="J138"/>
  <c r="K391" i="17"/>
  <c r="K636" s="1"/>
  <c r="K326"/>
  <c r="K602"/>
  <c r="K359"/>
  <c r="M567" i="14"/>
  <c r="M605"/>
  <c r="M586"/>
  <c r="J627" i="17"/>
  <c r="K169" i="7"/>
  <c r="J217"/>
  <c r="J248"/>
  <c r="AZ436" i="47"/>
  <c r="L782" i="14"/>
  <c r="L255" i="46"/>
  <c r="J255"/>
  <c r="F724" i="14"/>
  <c r="F774" s="1"/>
  <c r="F725"/>
  <c r="F775" s="1"/>
  <c r="F736"/>
  <c r="F726"/>
  <c r="F776" s="1"/>
  <c r="K596" i="17"/>
  <c r="K353"/>
  <c r="K385"/>
  <c r="K320"/>
  <c r="I573" i="14"/>
  <c r="I592"/>
  <c r="I611"/>
  <c r="L626" i="4"/>
  <c r="K1102"/>
  <c r="K654"/>
  <c r="K1031"/>
  <c r="J1123"/>
  <c r="H125" i="9"/>
  <c r="H124"/>
  <c r="H102"/>
  <c r="H134" s="1"/>
  <c r="K1105" i="4"/>
  <c r="L629"/>
  <c r="K657"/>
  <c r="K1034"/>
  <c r="J566" i="14"/>
  <c r="J604"/>
  <c r="J585"/>
  <c r="G768" i="17"/>
  <c r="N741"/>
  <c r="M565" i="14"/>
  <c r="M603"/>
  <c r="M584"/>
  <c r="K1111" i="4"/>
  <c r="K1040"/>
  <c r="L635"/>
  <c r="K663"/>
  <c r="L628"/>
  <c r="K656"/>
  <c r="K1104"/>
  <c r="K1033"/>
  <c r="H572" i="14"/>
  <c r="K357" i="17"/>
  <c r="K324"/>
  <c r="K389"/>
  <c r="K600"/>
  <c r="K321"/>
  <c r="K354"/>
  <c r="K597"/>
  <c r="K386"/>
  <c r="K733" i="14"/>
  <c r="K721"/>
  <c r="K744"/>
  <c r="K748" s="1"/>
  <c r="G166" i="6"/>
  <c r="G167"/>
  <c r="I725" i="14"/>
  <c r="I775" s="1"/>
  <c r="I724"/>
  <c r="I774" s="1"/>
  <c r="I726"/>
  <c r="I776" s="1"/>
  <c r="I736"/>
  <c r="J733"/>
  <c r="J721"/>
  <c r="J744"/>
  <c r="J748" s="1"/>
  <c r="G126" i="9"/>
  <c r="M583" i="14"/>
  <c r="M564"/>
  <c r="M602"/>
  <c r="L430" i="17"/>
  <c r="L443" s="1"/>
  <c r="L422"/>
  <c r="L418"/>
  <c r="L426"/>
  <c r="L439" s="1"/>
  <c r="L425"/>
  <c r="L438" s="1"/>
  <c r="L427"/>
  <c r="L440" s="1"/>
  <c r="L424"/>
  <c r="L437" s="1"/>
  <c r="L429"/>
  <c r="L428"/>
  <c r="L423"/>
  <c r="L436" s="1"/>
  <c r="K167" i="7"/>
  <c r="J188"/>
  <c r="J170"/>
  <c r="J335" s="1"/>
  <c r="J236"/>
  <c r="G570" i="14"/>
  <c r="G589"/>
  <c r="G608"/>
  <c r="J685" i="4"/>
  <c r="J703"/>
  <c r="K168" i="7"/>
  <c r="J203"/>
  <c r="J242"/>
  <c r="M733" i="14"/>
  <c r="M744"/>
  <c r="M748" s="1"/>
  <c r="M721"/>
  <c r="K350" i="17"/>
  <c r="K317"/>
  <c r="K593"/>
  <c r="K382"/>
  <c r="K599"/>
  <c r="K388"/>
  <c r="K356"/>
  <c r="K323"/>
  <c r="G359" i="46"/>
  <c r="G255"/>
  <c r="G369" s="1"/>
  <c r="F359"/>
  <c r="F255"/>
  <c r="F369" s="1"/>
  <c r="I84" i="36"/>
  <c r="Q51"/>
  <c r="I84" i="39"/>
  <c r="Q51"/>
  <c r="M667" i="14"/>
  <c r="J502" i="17"/>
  <c r="BL18" i="25"/>
  <c r="L845" i="4"/>
  <c r="J639" i="17"/>
  <c r="J655" s="1"/>
  <c r="J507"/>
  <c r="BL19" i="1"/>
  <c r="J635" i="17"/>
  <c r="J651" s="1"/>
  <c r="I520"/>
  <c r="I724" s="1"/>
  <c r="I522"/>
  <c r="I726" s="1"/>
  <c r="I515"/>
  <c r="DH19" i="41"/>
  <c r="H706" i="17"/>
  <c r="H733" i="14"/>
  <c r="H721"/>
  <c r="H744"/>
  <c r="H748" s="1"/>
  <c r="H106" i="9"/>
  <c r="H111"/>
  <c r="H116"/>
  <c r="H136"/>
  <c r="J677" i="4"/>
  <c r="J695"/>
  <c r="K394" i="17"/>
  <c r="K329"/>
  <c r="K362"/>
  <c r="K605"/>
  <c r="K328"/>
  <c r="K604"/>
  <c r="K361"/>
  <c r="K393"/>
  <c r="J632"/>
  <c r="J648" s="1"/>
  <c r="L118" i="6"/>
  <c r="K122"/>
  <c r="K177"/>
  <c r="J637" i="17"/>
  <c r="J653" s="1"/>
  <c r="J696" i="4"/>
  <c r="J678"/>
  <c r="J567" i="14"/>
  <c r="J586"/>
  <c r="J605"/>
  <c r="J683" i="4"/>
  <c r="J710"/>
  <c r="J711" s="1"/>
  <c r="J701"/>
  <c r="G590" i="14"/>
  <c r="G571"/>
  <c r="G609"/>
  <c r="I590"/>
  <c r="I609"/>
  <c r="I571"/>
  <c r="G561" i="34"/>
  <c r="I337" i="7"/>
  <c r="L636" i="4"/>
  <c r="K1112"/>
  <c r="K664"/>
  <c r="K1041"/>
  <c r="G605" i="14"/>
  <c r="G586"/>
  <c r="G567"/>
  <c r="Q19" i="38"/>
  <c r="H40"/>
  <c r="I84" i="40"/>
  <c r="Q51"/>
  <c r="I84" i="38"/>
  <c r="Q51"/>
  <c r="G149" i="9"/>
  <c r="G107"/>
  <c r="L638" i="4"/>
  <c r="K1043"/>
  <c r="K666"/>
  <c r="K1114"/>
  <c r="K852"/>
  <c r="K853" s="1"/>
  <c r="K854" s="1"/>
  <c r="L844"/>
  <c r="N603" i="14"/>
  <c r="N584"/>
  <c r="N565"/>
  <c r="H894" i="4"/>
  <c r="H1088" s="1"/>
  <c r="H892"/>
  <c r="H1086" s="1"/>
  <c r="H893"/>
  <c r="H1087" s="1"/>
  <c r="H895"/>
  <c r="H1089" s="1"/>
  <c r="H896"/>
  <c r="H1090" s="1"/>
  <c r="H889"/>
  <c r="H1083" s="1"/>
  <c r="H890"/>
  <c r="H1084" s="1"/>
  <c r="H891"/>
  <c r="H897"/>
  <c r="H1091" s="1"/>
  <c r="H887"/>
  <c r="I572" i="14"/>
  <c r="I610"/>
  <c r="I591"/>
  <c r="L733"/>
  <c r="L721"/>
  <c r="L744"/>
  <c r="L748" s="1"/>
  <c r="AZ452" i="47"/>
  <c r="K90" i="9"/>
  <c r="J94"/>
  <c r="J135"/>
  <c r="K595" i="17"/>
  <c r="K319"/>
  <c r="K384"/>
  <c r="K352"/>
  <c r="K665" i="4"/>
  <c r="L637"/>
  <c r="K1042"/>
  <c r="K1113"/>
  <c r="J684"/>
  <c r="J702"/>
  <c r="J561" i="34"/>
  <c r="N798" i="14"/>
  <c r="N782"/>
  <c r="H255" i="46"/>
  <c r="I84" i="25"/>
  <c r="Q51"/>
  <c r="K255" i="46"/>
  <c r="G145" i="9"/>
  <c r="G117"/>
  <c r="L634" i="4"/>
  <c r="K1110"/>
  <c r="K1039"/>
  <c r="K662"/>
  <c r="J693"/>
  <c r="J675"/>
  <c r="J638" i="17"/>
  <c r="J654" s="1"/>
  <c r="K355"/>
  <c r="K598"/>
  <c r="K387"/>
  <c r="K322"/>
  <c r="J179" i="6"/>
  <c r="G741" i="17"/>
  <c r="J858" i="4"/>
  <c r="J874" s="1"/>
  <c r="J861"/>
  <c r="J877" s="1"/>
  <c r="J863"/>
  <c r="J879" s="1"/>
  <c r="J869"/>
  <c r="J885" s="1"/>
  <c r="J864"/>
  <c r="J880" s="1"/>
  <c r="J866"/>
  <c r="J882" s="1"/>
  <c r="J862"/>
  <c r="J878" s="1"/>
  <c r="J859"/>
  <c r="J875" s="1"/>
  <c r="J865"/>
  <c r="J881" s="1"/>
  <c r="J868"/>
  <c r="J884" s="1"/>
  <c r="J857"/>
  <c r="J867"/>
  <c r="J883" s="1"/>
  <c r="J860"/>
  <c r="J876" s="1"/>
  <c r="K603" i="17"/>
  <c r="K327"/>
  <c r="K360"/>
  <c r="K392"/>
  <c r="K658" i="4"/>
  <c r="L630"/>
  <c r="K1035"/>
  <c r="K1106"/>
  <c r="H1080"/>
  <c r="G604" i="14"/>
  <c r="G566"/>
  <c r="G585"/>
  <c r="J590"/>
  <c r="J571"/>
  <c r="J609"/>
  <c r="I873" i="4"/>
  <c r="I1073"/>
  <c r="I1076"/>
  <c r="I1074"/>
  <c r="I1075"/>
  <c r="I1077"/>
  <c r="I1071"/>
  <c r="I1078"/>
  <c r="I1079"/>
  <c r="I870"/>
  <c r="I1072"/>
  <c r="H719" i="17"/>
  <c r="H728" s="1"/>
  <c r="G733" i="14"/>
  <c r="G744"/>
  <c r="G748" s="1"/>
  <c r="G721"/>
  <c r="J736"/>
  <c r="J724"/>
  <c r="J774" s="1"/>
  <c r="J725"/>
  <c r="J775" s="1"/>
  <c r="J726"/>
  <c r="J776" s="1"/>
  <c r="K736"/>
  <c r="K724"/>
  <c r="K774" s="1"/>
  <c r="F733"/>
  <c r="F744"/>
  <c r="F748" s="1"/>
  <c r="F721"/>
  <c r="J444" i="17"/>
  <c r="J536"/>
  <c r="N583" i="14"/>
  <c r="N602"/>
  <c r="N564"/>
  <c r="H734"/>
  <c r="H753"/>
  <c r="H757" s="1"/>
  <c r="I96" i="9"/>
  <c r="I97" s="1"/>
  <c r="I100"/>
  <c r="I189" i="7"/>
  <c r="I191" s="1"/>
  <c r="I193" s="1"/>
  <c r="I196" s="1"/>
  <c r="I233"/>
  <c r="I204"/>
  <c r="I206" s="1"/>
  <c r="I208" s="1"/>
  <c r="I239"/>
  <c r="K325" i="17"/>
  <c r="K358"/>
  <c r="K601"/>
  <c r="K390"/>
  <c r="K1107" i="4"/>
  <c r="K659"/>
  <c r="K1036"/>
  <c r="L631"/>
  <c r="M724" i="14"/>
  <c r="M774" s="1"/>
  <c r="M725"/>
  <c r="M775" s="1"/>
  <c r="M736"/>
  <c r="M726"/>
  <c r="M776" s="1"/>
  <c r="I218" i="7"/>
  <c r="I220" s="1"/>
  <c r="I222" s="1"/>
  <c r="I225" s="1"/>
  <c r="I245"/>
  <c r="I229"/>
  <c r="H561" i="34"/>
  <c r="Q19" i="25"/>
  <c r="BL19" s="1"/>
  <c r="H40"/>
  <c r="I255" i="46"/>
  <c r="Q19" i="41"/>
  <c r="H40"/>
  <c r="Q19" i="39"/>
  <c r="H40"/>
  <c r="K667" i="14"/>
  <c r="I667"/>
  <c r="BL18" i="41"/>
  <c r="L846" i="4"/>
  <c r="M649" i="14"/>
  <c r="J636" i="17"/>
  <c r="J652" s="1"/>
  <c r="J629"/>
  <c r="J645" s="1"/>
  <c r="J503"/>
  <c r="I521"/>
  <c r="I725" s="1"/>
  <c r="DH19" i="39"/>
  <c r="DH19" i="38"/>
  <c r="BF12" i="47"/>
  <c r="L12" i="65"/>
  <c r="I18" i="63"/>
  <c r="BC28" i="47"/>
  <c r="I91" i="63"/>
  <c r="I34" i="65"/>
  <c r="E41"/>
  <c r="E25" i="63"/>
  <c r="AY38" i="47"/>
  <c r="E98" i="63"/>
  <c r="V12" i="26"/>
  <c r="BE28" i="47"/>
  <c r="K34" i="65"/>
  <c r="K18" i="63"/>
  <c r="K91"/>
  <c r="BE27" i="47"/>
  <c r="K90" i="63"/>
  <c r="K33" i="65"/>
  <c r="K17" i="63"/>
  <c r="M91"/>
  <c r="M34" i="65"/>
  <c r="BG28" i="47"/>
  <c r="M18" i="63"/>
  <c r="I11" i="65"/>
  <c r="BC11" i="47"/>
  <c r="J11" i="65"/>
  <c r="BD11" i="47"/>
  <c r="J41" i="65"/>
  <c r="J98" i="63"/>
  <c r="J25"/>
  <c r="BD38" i="47"/>
  <c r="BA26"/>
  <c r="G89" i="63"/>
  <c r="G32" i="65"/>
  <c r="G16" i="63"/>
  <c r="BD10" i="47"/>
  <c r="J10" i="65"/>
  <c r="I10"/>
  <c r="BC10" i="47"/>
  <c r="H11" i="65"/>
  <c r="BB11" i="47"/>
  <c r="BD26"/>
  <c r="J16" i="63"/>
  <c r="J89"/>
  <c r="J32" i="65"/>
  <c r="G63" i="60"/>
  <c r="AB12" i="36"/>
  <c r="BA42" i="47"/>
  <c r="BA17"/>
  <c r="N26" i="46"/>
  <c r="BF17" i="47"/>
  <c r="U12" i="36"/>
  <c r="T12"/>
  <c r="M70" i="60"/>
  <c r="E70"/>
  <c r="BC160" i="47"/>
  <c r="BB184"/>
  <c r="H34" i="65"/>
  <c r="BD40" i="47"/>
  <c r="J43" i="65"/>
  <c r="L9" i="61"/>
  <c r="F25" i="63"/>
  <c r="M16" i="66"/>
  <c r="AZ40" i="47"/>
  <c r="F100" i="63"/>
  <c r="BG11" i="47"/>
  <c r="J39" i="65"/>
  <c r="G39"/>
  <c r="L102" i="63"/>
  <c r="AY65" i="47"/>
  <c r="BF188"/>
  <c r="K98" i="63"/>
  <c r="L96"/>
  <c r="F91"/>
  <c r="E19" i="66"/>
  <c r="J18" i="63"/>
  <c r="AY26" i="47"/>
  <c r="BE26"/>
  <c r="BD12"/>
  <c r="J19" i="35"/>
  <c r="BG27" i="47"/>
  <c r="BF186"/>
  <c r="K23" i="63"/>
  <c r="J29"/>
  <c r="E11" i="65"/>
  <c r="BF10" i="47"/>
  <c r="I41" i="65"/>
  <c r="AZ189" i="47"/>
  <c r="AH96" i="26"/>
  <c r="BF8" i="47"/>
  <c r="BG98"/>
  <c r="BA98"/>
  <c r="J24" i="36"/>
  <c r="BQ24" i="37"/>
  <c r="H61" i="60"/>
  <c r="G70"/>
  <c r="J21" i="66"/>
  <c r="AB21" i="37"/>
  <c r="J24" i="38"/>
  <c r="T75" i="37"/>
  <c r="AI9" i="38"/>
  <c r="S12" i="1"/>
  <c r="N19" i="35"/>
  <c r="BG34" i="47"/>
  <c r="BW21" i="37"/>
  <c r="F9" i="55"/>
  <c r="M22" i="60"/>
  <c r="I18" i="66"/>
  <c r="G48" i="64"/>
  <c r="F35" i="60"/>
  <c r="BQ24" i="25"/>
  <c r="J24" i="41"/>
  <c r="F17" i="66"/>
  <c r="M23" i="60"/>
  <c r="BD24" i="47"/>
  <c r="I17" i="66"/>
  <c r="BA103" i="47"/>
  <c r="AZ24"/>
  <c r="J50" i="46"/>
  <c r="AY235" i="47"/>
  <c r="F14" i="60"/>
  <c r="M18" i="66"/>
  <c r="E34" i="65"/>
  <c r="L19" i="66"/>
  <c r="F14" i="63"/>
  <c r="BP24" i="1"/>
  <c r="E14" i="64"/>
  <c r="BF9" i="47"/>
  <c r="BQ24" i="36"/>
  <c r="AX57"/>
  <c r="V24" i="41"/>
  <c r="BE49" i="40"/>
  <c r="BB27" i="47"/>
  <c r="K19" i="66"/>
  <c r="G17" i="63"/>
  <c r="F96"/>
  <c r="L19"/>
  <c r="AZ184" i="47"/>
  <c r="BQ24" i="26"/>
  <c r="J24"/>
  <c r="BE49" i="25"/>
  <c r="BI75" i="37"/>
  <c r="M96" i="63"/>
  <c r="K15" i="60"/>
  <c r="G72"/>
  <c r="BC24" i="47"/>
  <c r="BP24" i="40"/>
  <c r="J6" i="59"/>
  <c r="AY241" i="47"/>
  <c r="BG9"/>
  <c r="BE167"/>
  <c r="BB167"/>
  <c r="L19" i="35"/>
  <c r="W12" i="36"/>
  <c r="G26" i="46"/>
  <c r="BO50" i="37"/>
  <c r="AY160" i="47"/>
  <c r="K17" i="35"/>
  <c r="BD34" i="47"/>
  <c r="K41" i="65"/>
  <c r="F18" i="63"/>
  <c r="J91"/>
  <c r="K89"/>
  <c r="F17" i="35"/>
  <c r="BB187" i="47"/>
  <c r="K20" i="66"/>
  <c r="AZ9" i="47"/>
  <c r="J68" i="64"/>
  <c r="J24" i="25"/>
  <c r="E8" i="65"/>
  <c r="G35" i="60"/>
  <c r="BH75" i="25"/>
  <c r="BF167" i="47"/>
  <c r="V24" i="25"/>
  <c r="BD8" i="47"/>
  <c r="BC167"/>
  <c r="BC185"/>
  <c r="BG240"/>
  <c r="G45" i="60"/>
  <c r="BC123" i="47"/>
  <c r="AZ8"/>
  <c r="E91" i="63"/>
  <c r="AY167" i="47"/>
  <c r="BI79" i="25"/>
  <c r="G12" i="1"/>
  <c r="F70" i="60"/>
  <c r="BQ12" i="26"/>
  <c r="E11" i="64"/>
  <c r="H17" i="63"/>
  <c r="AZ34" i="47"/>
  <c r="M9" i="65"/>
  <c r="F15" i="60"/>
  <c r="BA247" i="47"/>
  <c r="W21" i="25"/>
  <c r="BQ24" i="41"/>
  <c r="AY248" i="47"/>
  <c r="P8" i="59"/>
  <c r="BP24" i="41"/>
  <c r="BP24" i="26"/>
  <c r="BC186" i="47"/>
  <c r="N18" i="35"/>
  <c r="I50" i="37"/>
  <c r="BC171" i="47"/>
  <c r="BD174"/>
  <c r="K24" i="26"/>
  <c r="G12" i="36"/>
  <c r="AZ17" i="47"/>
  <c r="M33" i="65"/>
  <c r="L10"/>
  <c r="BD122" i="47"/>
  <c r="AY103"/>
  <c r="T58" i="37"/>
  <c r="BB103" i="47" s="1"/>
  <c r="H9" i="55"/>
  <c r="F78" i="60"/>
  <c r="J30" i="65"/>
  <c r="F87" i="64"/>
  <c r="N9" i="55"/>
  <c r="G14" i="63"/>
  <c r="BO24" i="1"/>
  <c r="J44" i="59"/>
  <c r="AY28" i="47"/>
  <c r="I14" i="63"/>
  <c r="BO24" i="38"/>
  <c r="BE64" i="47"/>
  <c r="BQ50" i="41"/>
  <c r="K87" i="63"/>
  <c r="V24" i="39"/>
  <c r="H33" i="65"/>
  <c r="F23" i="63"/>
  <c r="L92"/>
  <c r="BZ21" i="38"/>
  <c r="BD167" i="47"/>
  <c r="AZ69"/>
  <c r="BC121"/>
  <c r="AX41" i="3"/>
  <c r="AY69" i="47"/>
  <c r="BO24" i="37"/>
  <c r="T65" i="26"/>
  <c r="AZ45" i="47"/>
  <c r="F45" i="65"/>
  <c r="F29" i="63"/>
  <c r="F102"/>
  <c r="BB12" i="47"/>
  <c r="H12" i="65"/>
  <c r="H32"/>
  <c r="BB26" i="47"/>
  <c r="H89" i="63"/>
  <c r="H16"/>
  <c r="F33" i="65"/>
  <c r="F17" i="63"/>
  <c r="F90"/>
  <c r="AZ27" i="47"/>
  <c r="BF189"/>
  <c r="L21" i="66"/>
  <c r="AY10" i="47"/>
  <c r="E10" i="65"/>
  <c r="E27" i="63"/>
  <c r="F9" i="61"/>
  <c r="E43" i="65"/>
  <c r="E100" i="63"/>
  <c r="AY40" i="47"/>
  <c r="M19" i="66"/>
  <c r="BG187" i="47"/>
  <c r="BE11"/>
  <c r="K11" i="65"/>
  <c r="K19" i="63"/>
  <c r="K92"/>
  <c r="K35" i="65"/>
  <c r="BE29" i="47"/>
  <c r="M21" i="66"/>
  <c r="BG189" i="47"/>
  <c r="G29" i="63"/>
  <c r="BA45" i="47"/>
  <c r="G102" i="63"/>
  <c r="G45" i="65"/>
  <c r="BB10" i="47"/>
  <c r="H10" i="65"/>
  <c r="L17" i="63"/>
  <c r="L90"/>
  <c r="BF27" i="47"/>
  <c r="L33" i="65"/>
  <c r="F10"/>
  <c r="AZ10" i="47"/>
  <c r="M61" i="60"/>
  <c r="V12" i="36"/>
  <c r="F12" i="65"/>
  <c r="AZ12" i="47"/>
  <c r="G16" i="66"/>
  <c r="BA184" i="47"/>
  <c r="BD27"/>
  <c r="J17" i="63"/>
  <c r="J90"/>
  <c r="J33" i="65"/>
  <c r="BC26" i="47"/>
  <c r="I32" i="65"/>
  <c r="I16" i="63"/>
  <c r="I89"/>
  <c r="I19" i="66"/>
  <c r="BC187" i="47"/>
  <c r="H102" i="63"/>
  <c r="BB45" i="47"/>
  <c r="H29" i="63"/>
  <c r="H45" i="65"/>
  <c r="K29" i="63"/>
  <c r="BE45" i="47"/>
  <c r="K102" i="63"/>
  <c r="K45" i="65"/>
  <c r="G18" i="63"/>
  <c r="BA28" i="47"/>
  <c r="G34" i="65"/>
  <c r="G91" i="63"/>
  <c r="N9" i="61"/>
  <c r="M27" i="63"/>
  <c r="BG40" i="47"/>
  <c r="M43" i="65"/>
  <c r="M100" i="63"/>
  <c r="G11" i="65"/>
  <c r="BA11" i="47"/>
  <c r="H17" i="35"/>
  <c r="BC42" i="47"/>
  <c r="L24" i="40"/>
  <c r="BE65" i="47"/>
  <c r="BA170"/>
  <c r="BF170"/>
  <c r="I87" i="60"/>
  <c r="BO12" i="25"/>
  <c r="BA171" i="47"/>
  <c r="BB28"/>
  <c r="J27" i="63"/>
  <c r="K100"/>
  <c r="BE40" i="47"/>
  <c r="E17" i="66"/>
  <c r="F41" i="65"/>
  <c r="F43"/>
  <c r="M11"/>
  <c r="J23" i="63"/>
  <c r="G23"/>
  <c r="L45" i="65"/>
  <c r="BC64" i="47"/>
  <c r="L20" i="66"/>
  <c r="BE38" i="47"/>
  <c r="L23" i="63"/>
  <c r="AZ28" i="47"/>
  <c r="AY187"/>
  <c r="BD28"/>
  <c r="E16" i="63"/>
  <c r="K16"/>
  <c r="J12" i="65"/>
  <c r="BA65" i="47"/>
  <c r="M90" i="63"/>
  <c r="H19" i="66"/>
  <c r="BE34" i="47"/>
  <c r="J45" i="65"/>
  <c r="BE188" i="47"/>
  <c r="BC38"/>
  <c r="I96" i="63"/>
  <c r="E87" i="64"/>
  <c r="H16" i="46"/>
  <c r="K51"/>
  <c r="BQ24" i="39"/>
  <c r="BP24" i="36"/>
  <c r="BP24" i="38"/>
  <c r="I87" i="63"/>
  <c r="BD124" i="47"/>
  <c r="M40" i="64"/>
  <c r="V21" i="37"/>
  <c r="H78" i="60"/>
  <c r="BQ12" i="25"/>
  <c r="I17" i="46"/>
  <c r="H9" i="65"/>
  <c r="J70" i="64"/>
  <c r="AV75" i="25"/>
  <c r="BB9" i="47"/>
  <c r="BP12" i="26"/>
  <c r="AZ185" i="47"/>
  <c r="V21" i="25"/>
  <c r="AI9" i="26"/>
  <c r="L34" i="59"/>
  <c r="BO24" i="40"/>
  <c r="BP12" i="25"/>
  <c r="J24" i="39"/>
  <c r="U21" i="25"/>
  <c r="AB21"/>
  <c r="I67" i="64"/>
  <c r="AY64" i="47"/>
  <c r="F8" i="65"/>
  <c r="BP50" i="41"/>
  <c r="AW65" i="26"/>
  <c r="G87" i="63"/>
  <c r="G9" i="65"/>
  <c r="BQ21" i="1"/>
  <c r="AI9" i="40"/>
  <c r="BG186" i="47"/>
  <c r="E18" i="63"/>
  <c r="BF187" i="47"/>
  <c r="G50" i="64"/>
  <c r="BD189" i="47"/>
  <c r="BP24" i="25"/>
  <c r="J87" i="63"/>
  <c r="I9" i="65"/>
  <c r="I30"/>
  <c r="BA167" i="47"/>
  <c r="U21" i="37"/>
  <c r="BC9" i="47"/>
  <c r="AI9" i="37"/>
  <c r="H90" i="63"/>
  <c r="BE187" i="47"/>
  <c r="G90" i="63"/>
  <c r="F39" i="65"/>
  <c r="BF29" i="47"/>
  <c r="F16" i="66"/>
  <c r="BC34" i="47"/>
  <c r="AG49" i="40"/>
  <c r="W21" i="37"/>
  <c r="J24" i="1"/>
  <c r="M39" i="65"/>
  <c r="K30"/>
  <c r="BO24" i="39"/>
  <c r="L9" i="65"/>
  <c r="AY313" i="47"/>
  <c r="BP24" i="37"/>
  <c r="I21" i="25"/>
  <c r="AV75" i="36"/>
  <c r="L60" i="59"/>
  <c r="I39" i="65"/>
  <c r="F47" i="64"/>
  <c r="J8" i="65"/>
  <c r="M23" i="63"/>
  <c r="F87"/>
  <c r="E50" i="64"/>
  <c r="I19" i="35"/>
  <c r="E72" i="60"/>
  <c r="L24" i="39"/>
  <c r="J86" i="60"/>
  <c r="AY42" i="47"/>
  <c r="I50" i="26"/>
  <c r="AY17" i="47"/>
  <c r="BO24" i="26"/>
  <c r="AZ42" i="47"/>
  <c r="BD160"/>
  <c r="H91" i="63"/>
  <c r="J100"/>
  <c r="BG10" i="47"/>
  <c r="K27" i="63"/>
  <c r="AY185" i="47"/>
  <c r="F98" i="63"/>
  <c r="G9" i="61"/>
  <c r="BG12" i="47"/>
  <c r="G96" i="63"/>
  <c r="BF45" i="47"/>
  <c r="AZ65"/>
  <c r="BG42"/>
  <c r="BF34"/>
  <c r="AY183"/>
  <c r="E89" i="63"/>
  <c r="AY181" i="47"/>
  <c r="BC65"/>
  <c r="M17" i="63"/>
  <c r="K39" i="65"/>
  <c r="J102" i="63"/>
  <c r="I25"/>
  <c r="BA101" i="47"/>
  <c r="BO24" i="25"/>
  <c r="F49" i="64"/>
  <c r="AY102" i="47"/>
  <c r="I69" i="64"/>
  <c r="T79" i="36"/>
  <c r="G47" i="64" s="1"/>
  <c r="K51" i="59"/>
  <c r="BQ24" i="1"/>
  <c r="V24" i="36"/>
  <c r="BH79" i="25"/>
  <c r="BA9" i="47"/>
  <c r="BE24"/>
  <c r="I23" i="63"/>
  <c r="AX58" i="37"/>
  <c r="P46" i="59"/>
  <c r="AI9" i="41"/>
  <c r="F30" i="65"/>
  <c r="BY21" i="38"/>
  <c r="G33" i="65"/>
  <c r="BE186" i="47"/>
  <c r="L35" i="65"/>
  <c r="V24" i="38"/>
  <c r="G30" i="65"/>
  <c r="AZ100" i="47"/>
  <c r="BA69"/>
  <c r="J14" i="63"/>
  <c r="BE240" i="47"/>
  <c r="BE50" i="25"/>
  <c r="BG108" i="47"/>
  <c r="I17" i="35"/>
  <c r="H37" i="46"/>
  <c r="BD42" i="47"/>
  <c r="H19" i="35"/>
  <c r="BD159" i="47"/>
  <c r="BO12" i="26"/>
  <c r="G18" i="35"/>
  <c r="H16" i="66"/>
  <c r="H18" i="63"/>
  <c r="K9" i="61"/>
  <c r="M10" i="65"/>
  <c r="K43"/>
  <c r="AZ38" i="47"/>
  <c r="BG184"/>
  <c r="F27" i="63"/>
  <c r="M12" i="65"/>
  <c r="J96" i="63"/>
  <c r="BA34" i="47"/>
  <c r="L29" i="63"/>
  <c r="AZ64" i="47"/>
  <c r="BB17"/>
  <c r="K25" i="63"/>
  <c r="L39" i="65"/>
  <c r="E15" i="66"/>
  <c r="F34" i="65"/>
  <c r="J34"/>
  <c r="E32"/>
  <c r="E8" i="66"/>
  <c r="K32" i="65"/>
  <c r="J18" i="35"/>
  <c r="BD65" i="47"/>
  <c r="L18" i="66"/>
  <c r="K96" i="63"/>
  <c r="BD45" i="47"/>
  <c r="AY11"/>
  <c r="I98" i="63"/>
  <c r="F21" i="66"/>
  <c r="L8" i="65"/>
  <c r="AY310" i="47"/>
  <c r="F9" i="65"/>
  <c r="BA24" i="47"/>
  <c r="V24" i="37"/>
  <c r="J24" i="40"/>
  <c r="G9" i="55"/>
  <c r="V24" i="1"/>
  <c r="K16" i="59"/>
  <c r="K24" i="36"/>
  <c r="I21" i="37"/>
  <c r="G40" i="64"/>
  <c r="AZ167" i="47"/>
  <c r="AY8"/>
  <c r="I9" i="55"/>
  <c r="BF65" i="47"/>
  <c r="K59" i="59"/>
  <c r="S21" i="1"/>
  <c r="BX21" i="38"/>
  <c r="BO24" i="36"/>
  <c r="BA27" i="47"/>
  <c r="K18" i="66"/>
  <c r="K33" i="59"/>
  <c r="N19" i="46"/>
  <c r="K14" i="63"/>
  <c r="BO50" i="41"/>
  <c r="BP21" i="1"/>
  <c r="BQ24" i="38"/>
  <c r="BO24" i="41"/>
  <c r="AD96" i="37"/>
  <c r="J9" i="55"/>
  <c r="BQ24" i="40"/>
  <c r="T57" i="36"/>
  <c r="M54" i="64"/>
  <c r="M16" i="63"/>
  <c r="M89"/>
  <c r="BG26" i="47"/>
  <c r="M32" i="65"/>
  <c r="L91" i="63"/>
  <c r="BF28" i="47"/>
  <c r="L18" i="63"/>
  <c r="L34" i="65"/>
  <c r="G100" i="63"/>
  <c r="BA40" i="47"/>
  <c r="H9" i="61"/>
  <c r="G27" i="63"/>
  <c r="G43" i="65"/>
  <c r="K10"/>
  <c r="BE10" i="47"/>
  <c r="BD184"/>
  <c r="J16" i="66"/>
  <c r="M25" i="63"/>
  <c r="BG38" i="47"/>
  <c r="M41" i="65"/>
  <c r="M98" i="63"/>
  <c r="G10" i="65"/>
  <c r="BA10" i="47"/>
  <c r="G59" i="60"/>
  <c r="BC12" i="36"/>
  <c r="E12" i="65"/>
  <c r="AY12" i="47"/>
  <c r="F19" i="35"/>
  <c r="J17"/>
  <c r="L17"/>
  <c r="BG17" i="47"/>
  <c r="M19" i="35"/>
  <c r="BG64" i="47"/>
  <c r="G17" i="35"/>
  <c r="BC12" i="47"/>
  <c r="I12" i="65"/>
  <c r="F19" i="63"/>
  <c r="AZ29" i="47"/>
  <c r="F35" i="65"/>
  <c r="F92" i="63"/>
  <c r="L41" i="65"/>
  <c r="L25" i="63"/>
  <c r="BF38" i="47"/>
  <c r="L98" i="63"/>
  <c r="F32" i="65"/>
  <c r="F89" i="63"/>
  <c r="AZ26" i="47"/>
  <c r="F16" i="63"/>
  <c r="AY184" i="47"/>
  <c r="E16" i="66"/>
  <c r="H39" i="65"/>
  <c r="H96" i="63"/>
  <c r="H23"/>
  <c r="BB34" i="47"/>
  <c r="H100" i="63"/>
  <c r="I9" i="61"/>
  <c r="H27" i="63"/>
  <c r="BB40" i="47"/>
  <c r="H43" i="65"/>
  <c r="G12"/>
  <c r="BA12" i="47"/>
  <c r="K12" i="65"/>
  <c r="BE12" i="47"/>
  <c r="E90" i="63"/>
  <c r="E33" i="65"/>
  <c r="AY27" i="47"/>
  <c r="E17" i="63"/>
  <c r="J19" i="66"/>
  <c r="BD187" i="47"/>
  <c r="AY45"/>
  <c r="E29" i="63"/>
  <c r="E102"/>
  <c r="E45" i="65"/>
  <c r="I92" i="63"/>
  <c r="I19"/>
  <c r="I35" i="65"/>
  <c r="BC29" i="47"/>
  <c r="M72" i="60"/>
  <c r="BD29" i="47"/>
  <c r="J35" i="65"/>
  <c r="J19" i="63"/>
  <c r="J92"/>
  <c r="L30" i="65"/>
  <c r="BF24" i="47"/>
  <c r="L14" i="63"/>
  <c r="L87"/>
  <c r="E92"/>
  <c r="E19"/>
  <c r="E35" i="65"/>
  <c r="AY29" i="47"/>
  <c r="M20" i="66"/>
  <c r="BG188" i="47"/>
  <c r="BE17"/>
  <c r="M18" i="35"/>
  <c r="BA64" i="47"/>
  <c r="L18" i="35"/>
  <c r="BC17" i="47"/>
  <c r="BD64"/>
  <c r="BB42"/>
  <c r="G19" i="35"/>
  <c r="BE42" i="47"/>
  <c r="BF64"/>
  <c r="BD17"/>
  <c r="F18" i="35"/>
  <c r="F389" l="1"/>
  <c r="F263"/>
  <c r="F266" s="1"/>
  <c r="F334" s="1"/>
  <c r="F352" s="1"/>
  <c r="G390"/>
  <c r="G276"/>
  <c r="L389"/>
  <c r="L263"/>
  <c r="L270" s="1"/>
  <c r="L335" s="1"/>
  <c r="M263"/>
  <c r="M389"/>
  <c r="AY289" i="47"/>
  <c r="E73" i="65"/>
  <c r="BF284" i="47"/>
  <c r="L69" i="65"/>
  <c r="J73"/>
  <c r="BD289" i="47"/>
  <c r="BC289"/>
  <c r="I73" i="65"/>
  <c r="AY287" i="47"/>
  <c r="E71" i="65"/>
  <c r="AZ286" i="47"/>
  <c r="F70" i="65"/>
  <c r="F73"/>
  <c r="AZ289" i="47"/>
  <c r="G290" i="35"/>
  <c r="G293" s="1"/>
  <c r="G340" s="1"/>
  <c r="F358" s="1"/>
  <c r="G388"/>
  <c r="M276"/>
  <c r="M390"/>
  <c r="L290"/>
  <c r="L388"/>
  <c r="J290"/>
  <c r="J388"/>
  <c r="F390"/>
  <c r="F276"/>
  <c r="F283" s="1"/>
  <c r="F338" s="1"/>
  <c r="BC14" i="36"/>
  <c r="BF14" s="1"/>
  <c r="BF12"/>
  <c r="AZ370" i="47"/>
  <c r="L72" i="65"/>
  <c r="BF288" i="47"/>
  <c r="M70" i="65"/>
  <c r="BG286" i="47"/>
  <c r="G389" i="35"/>
  <c r="G263"/>
  <c r="G266" s="1"/>
  <c r="G334" s="1"/>
  <c r="BO14" i="26"/>
  <c r="H276" i="35"/>
  <c r="H287" s="1"/>
  <c r="H339" s="1"/>
  <c r="H390"/>
  <c r="H279" i="46"/>
  <c r="I290" i="35"/>
  <c r="I301" s="1"/>
  <c r="I342" s="1"/>
  <c r="H360" s="1"/>
  <c r="I388"/>
  <c r="BO32" i="26"/>
  <c r="I51"/>
  <c r="Q50"/>
  <c r="AI47" i="60"/>
  <c r="L32" i="39"/>
  <c r="L40" s="1"/>
  <c r="L109" s="1"/>
  <c r="I390" i="35"/>
  <c r="I276"/>
  <c r="I287" s="1"/>
  <c r="I339" s="1"/>
  <c r="BO14" i="25"/>
  <c r="AH46" i="60"/>
  <c r="L32" i="40"/>
  <c r="L40" s="1"/>
  <c r="L109" s="1"/>
  <c r="H290" i="35"/>
  <c r="H301" s="1"/>
  <c r="H342" s="1"/>
  <c r="H388"/>
  <c r="AZ372" i="47"/>
  <c r="BF406" s="1"/>
  <c r="BH406" s="1"/>
  <c r="BI406" s="1"/>
  <c r="G72" i="65"/>
  <c r="BA288" i="47"/>
  <c r="I70" i="65"/>
  <c r="BC286" i="47"/>
  <c r="J71" i="65"/>
  <c r="BD287" i="47"/>
  <c r="V14" i="36"/>
  <c r="L71" i="65"/>
  <c r="BF287" i="47"/>
  <c r="BE289"/>
  <c r="K73" i="65"/>
  <c r="H121" i="61"/>
  <c r="H124" s="1"/>
  <c r="H127" s="1"/>
  <c r="J121"/>
  <c r="J124" s="1"/>
  <c r="J127" s="1"/>
  <c r="I121"/>
  <c r="I124" s="1"/>
  <c r="I127" s="1"/>
  <c r="I128" s="1"/>
  <c r="I177" s="1"/>
  <c r="M121"/>
  <c r="M124" s="1"/>
  <c r="M127" s="1"/>
  <c r="M128" s="1"/>
  <c r="M177" s="1"/>
  <c r="K121"/>
  <c r="K124" s="1"/>
  <c r="K127" s="1"/>
  <c r="K128" s="1"/>
  <c r="K177" s="1"/>
  <c r="L121"/>
  <c r="L124" s="1"/>
  <c r="L127" s="1"/>
  <c r="L128" s="1"/>
  <c r="L177" s="1"/>
  <c r="G121"/>
  <c r="G124" s="1"/>
  <c r="G127" s="1"/>
  <c r="F121"/>
  <c r="F124" s="1"/>
  <c r="F127" s="1"/>
  <c r="N121"/>
  <c r="N124" s="1"/>
  <c r="N127" s="1"/>
  <c r="N128" s="1"/>
  <c r="N177" s="1"/>
  <c r="AZ287" i="47"/>
  <c r="F71" i="65"/>
  <c r="BB286" i="47"/>
  <c r="H70" i="65"/>
  <c r="G14" i="36"/>
  <c r="Q12"/>
  <c r="K32" i="26"/>
  <c r="K40" s="1"/>
  <c r="K109" s="1"/>
  <c r="Q50" i="37"/>
  <c r="I51"/>
  <c r="N389" i="35"/>
  <c r="N263"/>
  <c r="K290"/>
  <c r="K388"/>
  <c r="BO51" i="37"/>
  <c r="G265" i="46"/>
  <c r="W14" i="36"/>
  <c r="L276" i="35"/>
  <c r="L279" s="1"/>
  <c r="L337" s="1"/>
  <c r="L390"/>
  <c r="T14" i="36"/>
  <c r="U14"/>
  <c r="N265" i="46"/>
  <c r="AB14" i="36"/>
  <c r="J70" i="65"/>
  <c r="BD286" i="47"/>
  <c r="G70" i="65"/>
  <c r="BA286" i="47"/>
  <c r="BG288"/>
  <c r="M72" i="65"/>
  <c r="K71"/>
  <c r="BE287" i="47"/>
  <c r="K72" i="65"/>
  <c r="BE288" i="47"/>
  <c r="V14" i="26"/>
  <c r="AK14" s="1"/>
  <c r="AK12"/>
  <c r="BL12" s="1"/>
  <c r="I72" i="65"/>
  <c r="BC288" i="47"/>
  <c r="AZ438"/>
  <c r="H711" i="17"/>
  <c r="AC109" i="37"/>
  <c r="AC95"/>
  <c r="AC97" s="1"/>
  <c r="N441" i="34"/>
  <c r="N555" s="1"/>
  <c r="N443"/>
  <c r="N557" s="1"/>
  <c r="N536"/>
  <c r="N442"/>
  <c r="N556" s="1"/>
  <c r="G610" i="14"/>
  <c r="G572"/>
  <c r="G591"/>
  <c r="G594" s="1"/>
  <c r="H448" i="17"/>
  <c r="H376"/>
  <c r="H708"/>
  <c r="AZ426" i="47"/>
  <c r="I566" i="17"/>
  <c r="I578" s="1"/>
  <c r="I570"/>
  <c r="I401"/>
  <c r="I404"/>
  <c r="I406"/>
  <c r="I569"/>
  <c r="I564"/>
  <c r="I568"/>
  <c r="I571"/>
  <c r="I628"/>
  <c r="I644" s="1"/>
  <c r="I567"/>
  <c r="I405"/>
  <c r="I400"/>
  <c r="I399"/>
  <c r="I402"/>
  <c r="I563"/>
  <c r="I403"/>
  <c r="I565"/>
  <c r="I577" s="1"/>
  <c r="I395"/>
  <c r="I407"/>
  <c r="F706"/>
  <c r="F728"/>
  <c r="K572" i="14"/>
  <c r="K610"/>
  <c r="K613" s="1"/>
  <c r="K591"/>
  <c r="K594" s="1"/>
  <c r="K574"/>
  <c r="K612"/>
  <c r="K593"/>
  <c r="I539" i="34"/>
  <c r="I464"/>
  <c r="I463"/>
  <c r="I538"/>
  <c r="G603" i="14"/>
  <c r="G613" s="1"/>
  <c r="G565"/>
  <c r="G584"/>
  <c r="I753"/>
  <c r="I757" s="1"/>
  <c r="I734"/>
  <c r="J612"/>
  <c r="J574"/>
  <c r="J593"/>
  <c r="J594" s="1"/>
  <c r="I611" i="17"/>
  <c r="I615"/>
  <c r="I617"/>
  <c r="I612"/>
  <c r="I610"/>
  <c r="I606"/>
  <c r="I609"/>
  <c r="I616"/>
  <c r="I613"/>
  <c r="I614"/>
  <c r="N464" i="34"/>
  <c r="N539"/>
  <c r="N463"/>
  <c r="N538"/>
  <c r="L610" i="14"/>
  <c r="L591"/>
  <c r="L572"/>
  <c r="L575" s="1"/>
  <c r="I537" i="34"/>
  <c r="I462"/>
  <c r="I739" i="14"/>
  <c r="G1088" i="4"/>
  <c r="N792" i="14"/>
  <c r="H610"/>
  <c r="AW109" i="37"/>
  <c r="CF109" i="36"/>
  <c r="AV109" i="1"/>
  <c r="AN109" i="41"/>
  <c r="CL109" i="36"/>
  <c r="Q106" i="40"/>
  <c r="CT109" i="37"/>
  <c r="CN109" i="25"/>
  <c r="CQ109" i="36"/>
  <c r="AR109" i="41"/>
  <c r="AY109"/>
  <c r="AX40" i="39"/>
  <c r="K725" i="14"/>
  <c r="K775" s="1"/>
  <c r="K777" s="1"/>
  <c r="H524" i="17"/>
  <c r="BL68" i="41"/>
  <c r="H109" i="36"/>
  <c r="Q84" i="1"/>
  <c r="BF51"/>
  <c r="AF95" i="25"/>
  <c r="BW109" i="36"/>
  <c r="AW109" i="1"/>
  <c r="BL19" i="40"/>
  <c r="BL19" i="37"/>
  <c r="CU109"/>
  <c r="DA109" i="1"/>
  <c r="BJ15"/>
  <c r="Q106" i="37"/>
  <c r="CH40" i="40"/>
  <c r="CH109" s="1"/>
  <c r="CW40" i="36"/>
  <c r="CW109" s="1"/>
  <c r="CC109" i="41"/>
  <c r="AG95" i="1"/>
  <c r="AN109" i="38"/>
  <c r="N529" i="17"/>
  <c r="N759" s="1"/>
  <c r="N751" s="1"/>
  <c r="AE95" i="39"/>
  <c r="AD95"/>
  <c r="H554" i="17"/>
  <c r="H552"/>
  <c r="H557"/>
  <c r="H558"/>
  <c r="CS40" i="1"/>
  <c r="CS109" s="1"/>
  <c r="BS40" i="36"/>
  <c r="BS109" s="1"/>
  <c r="AX40" i="40"/>
  <c r="CR109" i="37"/>
  <c r="BS40" i="40"/>
  <c r="BS109" s="1"/>
  <c r="CL40" i="39"/>
  <c r="CL109" s="1"/>
  <c r="CU109" i="40"/>
  <c r="CV109" i="37"/>
  <c r="N109" i="41"/>
  <c r="BF32" i="1"/>
  <c r="AU40" i="40"/>
  <c r="BL18" i="36"/>
  <c r="H551" i="17"/>
  <c r="H548"/>
  <c r="I569" i="14"/>
  <c r="I607"/>
  <c r="I588"/>
  <c r="I545" i="17"/>
  <c r="I540"/>
  <c r="I368"/>
  <c r="I449" s="1"/>
  <c r="I734" s="1"/>
  <c r="I706" s="1"/>
  <c r="I369"/>
  <c r="I450" s="1"/>
  <c r="I735" s="1"/>
  <c r="I707" s="1"/>
  <c r="I373"/>
  <c r="I539"/>
  <c r="I363"/>
  <c r="I372"/>
  <c r="I544"/>
  <c r="I370"/>
  <c r="I451" s="1"/>
  <c r="I736" s="1"/>
  <c r="I542"/>
  <c r="I554" s="1"/>
  <c r="I541"/>
  <c r="I553" s="1"/>
  <c r="I375"/>
  <c r="I374"/>
  <c r="I371"/>
  <c r="I452" s="1"/>
  <c r="I737" s="1"/>
  <c r="I547"/>
  <c r="I559" s="1"/>
  <c r="I367"/>
  <c r="I543"/>
  <c r="I546"/>
  <c r="I558" s="1"/>
  <c r="I448" i="42"/>
  <c r="H446"/>
  <c r="I447" s="1"/>
  <c r="N719" i="17"/>
  <c r="N528"/>
  <c r="N758" s="1"/>
  <c r="N750" s="1"/>
  <c r="N527"/>
  <c r="N757" s="1"/>
  <c r="N524"/>
  <c r="J734" i="14"/>
  <c r="J753"/>
  <c r="J757" s="1"/>
  <c r="J594" i="17"/>
  <c r="J351"/>
  <c r="J318"/>
  <c r="J383"/>
  <c r="G892" i="4"/>
  <c r="G1086" s="1"/>
  <c r="G893"/>
  <c r="G1087" s="1"/>
  <c r="G887"/>
  <c r="G896"/>
  <c r="G1090" s="1"/>
  <c r="G890"/>
  <c r="G1084" s="1"/>
  <c r="G895"/>
  <c r="G1089" s="1"/>
  <c r="G889"/>
  <c r="G897"/>
  <c r="G1091" s="1"/>
  <c r="G891"/>
  <c r="G1085" s="1"/>
  <c r="G894"/>
  <c r="N462" i="34"/>
  <c r="N537"/>
  <c r="N708" i="17"/>
  <c r="I443" i="34"/>
  <c r="I557" s="1"/>
  <c r="I561" s="1"/>
  <c r="I442"/>
  <c r="I556" s="1"/>
  <c r="I536"/>
  <c r="H464" i="17"/>
  <c r="H767" s="1"/>
  <c r="CS109" i="39"/>
  <c r="CG109" i="37"/>
  <c r="AZ109" i="38"/>
  <c r="H529" i="17"/>
  <c r="H759" s="1"/>
  <c r="J1122" i="4"/>
  <c r="CE40" i="40"/>
  <c r="CE109" s="1"/>
  <c r="H527" i="17"/>
  <c r="H757" s="1"/>
  <c r="H760" s="1"/>
  <c r="N790" i="14"/>
  <c r="H710" i="17"/>
  <c r="L109" i="1"/>
  <c r="K109" i="40"/>
  <c r="AI109" i="39"/>
  <c r="J1047" i="4"/>
  <c r="H641" i="17"/>
  <c r="BL58" i="1"/>
  <c r="BF32" i="26"/>
  <c r="AM109" i="37"/>
  <c r="CV109" i="38"/>
  <c r="CJ109" i="25"/>
  <c r="BF32" i="41"/>
  <c r="CQ109" i="38"/>
  <c r="DD109" i="40"/>
  <c r="BB40" i="26"/>
  <c r="BB109" s="1"/>
  <c r="CI40" i="25"/>
  <c r="CI109" s="1"/>
  <c r="CV109" i="1"/>
  <c r="AH95" i="41"/>
  <c r="CS109" i="25"/>
  <c r="AM109" i="36"/>
  <c r="AO109" i="26"/>
  <c r="H555" i="17"/>
  <c r="H559"/>
  <c r="CB109" i="38"/>
  <c r="BI40" i="25"/>
  <c r="BJ40" s="1"/>
  <c r="AC40" i="26"/>
  <c r="AD95" i="36"/>
  <c r="AG40" i="26"/>
  <c r="CC109" i="40"/>
  <c r="X40" i="38"/>
  <c r="BS109" i="26"/>
  <c r="BB109" i="37"/>
  <c r="AA109"/>
  <c r="H572" i="17"/>
  <c r="CK40" i="37"/>
  <c r="CK109" s="1"/>
  <c r="BZ109" i="25"/>
  <c r="CI109" i="36"/>
  <c r="DF109" i="37"/>
  <c r="CO109" i="36"/>
  <c r="M71" i="65"/>
  <c r="BG287" i="47"/>
  <c r="F388" i="35"/>
  <c r="F290"/>
  <c r="F301" s="1"/>
  <c r="F342" s="1"/>
  <c r="J389"/>
  <c r="J263"/>
  <c r="J266" s="1"/>
  <c r="J334" s="1"/>
  <c r="J390"/>
  <c r="J276"/>
  <c r="J283" s="1"/>
  <c r="J338" s="1"/>
  <c r="K70" i="65"/>
  <c r="BE286" i="47"/>
  <c r="AY286"/>
  <c r="E70" i="65"/>
  <c r="BD288" i="47"/>
  <c r="J72" i="65"/>
  <c r="F72"/>
  <c r="AZ288" i="47"/>
  <c r="H72" i="65"/>
  <c r="BB288" i="47"/>
  <c r="J301" i="35"/>
  <c r="J342" s="1"/>
  <c r="H293"/>
  <c r="H340" s="1"/>
  <c r="G358" s="1"/>
  <c r="L129" i="61"/>
  <c r="L132" s="1"/>
  <c r="G297" i="35"/>
  <c r="G341" s="1"/>
  <c r="L73" i="65"/>
  <c r="BF289" i="47"/>
  <c r="G71" i="65"/>
  <c r="BA287" i="47"/>
  <c r="H71" i="65"/>
  <c r="BB287" i="47"/>
  <c r="AY288"/>
  <c r="E72" i="65"/>
  <c r="F279" i="35"/>
  <c r="F337" s="1"/>
  <c r="F287"/>
  <c r="F339" s="1"/>
  <c r="H109" i="40"/>
  <c r="N301" i="35"/>
  <c r="N342" s="1"/>
  <c r="N360" s="1"/>
  <c r="K301"/>
  <c r="K342" s="1"/>
  <c r="I270"/>
  <c r="I335" s="1"/>
  <c r="F293"/>
  <c r="F340" s="1"/>
  <c r="AH97" i="26"/>
  <c r="AH99"/>
  <c r="AH106" s="1"/>
  <c r="AH109" s="1"/>
  <c r="N390" i="35"/>
  <c r="N276"/>
  <c r="N287" s="1"/>
  <c r="N339" s="1"/>
  <c r="Q51" i="41"/>
  <c r="K129" i="61"/>
  <c r="K146" s="1"/>
  <c r="N129"/>
  <c r="N176" s="1"/>
  <c r="G274" i="35"/>
  <c r="G336" s="1"/>
  <c r="G270"/>
  <c r="G335" s="1"/>
  <c r="AD97" i="37"/>
  <c r="AD99"/>
  <c r="AD106" s="1"/>
  <c r="AD109" s="1"/>
  <c r="G69" i="65"/>
  <c r="BA284" i="47"/>
  <c r="I279" i="35"/>
  <c r="I337" s="1"/>
  <c r="G301"/>
  <c r="G342" s="1"/>
  <c r="I266"/>
  <c r="I334" s="1"/>
  <c r="I352" s="1"/>
  <c r="I69" i="65"/>
  <c r="BC284" i="47"/>
  <c r="AI11" i="37"/>
  <c r="AI15" s="1"/>
  <c r="AI40" s="1"/>
  <c r="AI109" s="1"/>
  <c r="AI11" i="40"/>
  <c r="AI15" s="1"/>
  <c r="AI40" s="1"/>
  <c r="AI109" s="1"/>
  <c r="I1206" i="4"/>
  <c r="I760"/>
  <c r="I765" s="1" a="1"/>
  <c r="I775" s="1"/>
  <c r="I996" s="1"/>
  <c r="L1206"/>
  <c r="BL57" i="1"/>
  <c r="BP14" i="25"/>
  <c r="Q21"/>
  <c r="I22"/>
  <c r="AB22"/>
  <c r="BP14" i="26"/>
  <c r="AA49" i="60"/>
  <c r="AK65" i="26"/>
  <c r="T68"/>
  <c r="AK68" s="1"/>
  <c r="N290" i="46"/>
  <c r="N301" s="1"/>
  <c r="U22" i="25"/>
  <c r="BF49"/>
  <c r="BE97"/>
  <c r="BF97" s="1"/>
  <c r="T43" i="60"/>
  <c r="BP22" i="1"/>
  <c r="V22" i="25"/>
  <c r="W22"/>
  <c r="BQ14"/>
  <c r="BP51" i="41"/>
  <c r="AK49" i="40"/>
  <c r="AG51"/>
  <c r="AG84" s="1"/>
  <c r="AG95" s="1"/>
  <c r="AY109" i="47"/>
  <c r="BO51" i="41"/>
  <c r="BQ51"/>
  <c r="BQ22" i="1"/>
  <c r="BF65" i="26"/>
  <c r="AW68"/>
  <c r="AL49" i="60"/>
  <c r="AA48"/>
  <c r="AK21" i="1"/>
  <c r="BL21" s="1"/>
  <c r="S22"/>
  <c r="AK22" s="1"/>
  <c r="BE97" i="40"/>
  <c r="BF97" s="1"/>
  <c r="BF49"/>
  <c r="Y43" i="60"/>
  <c r="M299" i="13"/>
  <c r="M320"/>
  <c r="M292"/>
  <c r="M313"/>
  <c r="M285"/>
  <c r="M334"/>
  <c r="M306"/>
  <c r="M327"/>
  <c r="AZ386" i="47"/>
  <c r="H276" i="13"/>
  <c r="H275"/>
  <c r="F367"/>
  <c r="F369" s="1"/>
  <c r="F458" s="1"/>
  <c r="F451"/>
  <c r="H40" i="26"/>
  <c r="H109" s="1"/>
  <c r="Q19"/>
  <c r="BL19" s="1"/>
  <c r="N800" i="14"/>
  <c r="G749" i="17"/>
  <c r="G752" s="1"/>
  <c r="F462" a="1"/>
  <c r="F462" s="1"/>
  <c r="F765" s="1"/>
  <c r="BL66" i="37"/>
  <c r="I528" i="17" a="1"/>
  <c r="I527" a="1"/>
  <c r="I529" a="1"/>
  <c r="I529" s="1"/>
  <c r="I759" s="1"/>
  <c r="CI84" i="1"/>
  <c r="CI109" s="1"/>
  <c r="DH51"/>
  <c r="Q68" i="37"/>
  <c r="BL68" s="1"/>
  <c r="H84"/>
  <c r="H109" s="1"/>
  <c r="I463" i="17" a="1"/>
  <c r="I462" a="1"/>
  <c r="I464" a="1"/>
  <c r="I341" i="13" a="1"/>
  <c r="I341" s="1"/>
  <c r="I342" a="1"/>
  <c r="I343" a="1"/>
  <c r="N236"/>
  <c r="N211"/>
  <c r="H437"/>
  <c r="H244"/>
  <c r="H442" s="1"/>
  <c r="H241"/>
  <c r="H439" s="1"/>
  <c r="H243"/>
  <c r="H441" s="1"/>
  <c r="H242"/>
  <c r="H440" s="1"/>
  <c r="H240"/>
  <c r="N111" i="32"/>
  <c r="Q22" i="1"/>
  <c r="I40"/>
  <c r="I109" s="1"/>
  <c r="M251" i="13"/>
  <c r="M248"/>
  <c r="M247"/>
  <c r="M277" s="1"/>
  <c r="M250"/>
  <c r="M249"/>
  <c r="G341" a="1"/>
  <c r="G341" s="1"/>
  <c r="G343" a="1"/>
  <c r="G343" s="1"/>
  <c r="G453" s="1"/>
  <c r="G342" a="1"/>
  <c r="G342" s="1"/>
  <c r="G452" s="1"/>
  <c r="G438"/>
  <c r="L548" i="42"/>
  <c r="AX84" i="1"/>
  <c r="AX109" s="1"/>
  <c r="BF63"/>
  <c r="BL63" s="1"/>
  <c r="BL18" i="26"/>
  <c r="BL12" i="25"/>
  <c r="G443" i="13"/>
  <c r="G705" i="17"/>
  <c r="G751"/>
  <c r="F1092" i="4"/>
  <c r="F898"/>
  <c r="F463" i="17" a="1"/>
  <c r="F463" s="1"/>
  <c r="F766" s="1"/>
  <c r="DH19" i="26"/>
  <c r="J770" i="4"/>
  <c r="J991" s="1"/>
  <c r="J769"/>
  <c r="J776"/>
  <c r="J997" s="1"/>
  <c r="J772"/>
  <c r="J774"/>
  <c r="J777"/>
  <c r="J768"/>
  <c r="J765"/>
  <c r="J773"/>
  <c r="J775"/>
  <c r="J996" s="1"/>
  <c r="J771"/>
  <c r="J992" s="1"/>
  <c r="J767"/>
  <c r="AI11" i="38"/>
  <c r="AI15" s="1"/>
  <c r="AI40" s="1"/>
  <c r="AI109" s="1"/>
  <c r="BQ14" i="26"/>
  <c r="L784" i="14"/>
  <c r="F464" i="17"/>
  <c r="F767" s="1"/>
  <c r="L799" i="14"/>
  <c r="K635" i="17"/>
  <c r="K651" s="1"/>
  <c r="N768"/>
  <c r="I708"/>
  <c r="J1126" i="4"/>
  <c r="I705"/>
  <c r="BL19" i="41"/>
  <c r="I453" i="42"/>
  <c r="H451"/>
  <c r="I452" s="1"/>
  <c r="BL19" i="38"/>
  <c r="BQ32" i="40"/>
  <c r="S14" i="1"/>
  <c r="AK14" s="1"/>
  <c r="AK12"/>
  <c r="Q12"/>
  <c r="G14"/>
  <c r="Q14" s="1"/>
  <c r="F750" i="17"/>
  <c r="J1121" i="4"/>
  <c r="I687"/>
  <c r="BL19" i="39"/>
  <c r="K502" i="17"/>
  <c r="J1118" i="4"/>
  <c r="J1125"/>
  <c r="I575" i="14"/>
  <c r="L594"/>
  <c r="I1129" i="4"/>
  <c r="I1283" s="1"/>
  <c r="J1052"/>
  <c r="F457" i="17"/>
  <c r="F741"/>
  <c r="F705"/>
  <c r="F712"/>
  <c r="J1115" i="4"/>
  <c r="J1119"/>
  <c r="I1127"/>
  <c r="L800" i="14"/>
  <c r="J1120" i="4"/>
  <c r="J1054"/>
  <c r="I1056"/>
  <c r="J1053"/>
  <c r="BQ32" i="26"/>
  <c r="K1037" i="4"/>
  <c r="K660"/>
  <c r="L632"/>
  <c r="L765" s="1" a="1"/>
  <c r="K1108"/>
  <c r="K1125" s="1"/>
  <c r="K765" a="1"/>
  <c r="K765" s="1"/>
  <c r="J1048"/>
  <c r="J1050"/>
  <c r="J1044"/>
  <c r="K639"/>
  <c r="K661"/>
  <c r="K1038"/>
  <c r="K1109"/>
  <c r="L633"/>
  <c r="J698"/>
  <c r="J680"/>
  <c r="J681"/>
  <c r="J699"/>
  <c r="G307" i="7"/>
  <c r="M846" i="4"/>
  <c r="K507" i="17"/>
  <c r="J1055" i="4"/>
  <c r="J1049"/>
  <c r="J613" i="14"/>
  <c r="K652" i="17"/>
  <c r="AE8" i="60"/>
  <c r="T6"/>
  <c r="BE51" i="25"/>
  <c r="BE84" s="1"/>
  <c r="BE109" s="1"/>
  <c r="BF50"/>
  <c r="BL50" s="1"/>
  <c r="G547" i="34"/>
  <c r="H771" i="4"/>
  <c r="H992" s="1"/>
  <c r="H775"/>
  <c r="H996" s="1"/>
  <c r="AI11" i="26"/>
  <c r="AI15" s="1"/>
  <c r="AI40" s="1"/>
  <c r="AI109" s="1"/>
  <c r="G777" i="4"/>
  <c r="AI11" i="41"/>
  <c r="AI15" s="1"/>
  <c r="AI40" s="1"/>
  <c r="AI109" s="1"/>
  <c r="H767" i="4"/>
  <c r="BL68" i="1"/>
  <c r="G360" i="35"/>
  <c r="H768" i="4"/>
  <c r="N358" i="35"/>
  <c r="H776" i="4"/>
  <c r="H997" s="1"/>
  <c r="H770"/>
  <c r="H991" s="1"/>
  <c r="H772"/>
  <c r="H777"/>
  <c r="H769"/>
  <c r="H766"/>
  <c r="H765"/>
  <c r="H774"/>
  <c r="BL68" i="38"/>
  <c r="H167" i="6"/>
  <c r="H169" s="1"/>
  <c r="G774" i="4"/>
  <c r="G766"/>
  <c r="G769"/>
  <c r="F773"/>
  <c r="G776"/>
  <c r="G997" s="1"/>
  <c r="G767"/>
  <c r="G768"/>
  <c r="G772"/>
  <c r="G770"/>
  <c r="G991" s="1"/>
  <c r="G765"/>
  <c r="G771"/>
  <c r="G992" s="1"/>
  <c r="G773"/>
  <c r="F777"/>
  <c r="F771"/>
  <c r="F992" s="1"/>
  <c r="F766"/>
  <c r="F767"/>
  <c r="F775"/>
  <c r="F996" s="1"/>
  <c r="F770"/>
  <c r="F991" s="1"/>
  <c r="F769"/>
  <c r="F776"/>
  <c r="F997" s="1"/>
  <c r="F774"/>
  <c r="F768"/>
  <c r="F772"/>
  <c r="I422" i="34"/>
  <c r="I546" s="1"/>
  <c r="BL68" i="36"/>
  <c r="H109" i="39"/>
  <c r="Q84" i="38"/>
  <c r="Q84" i="39"/>
  <c r="AK32" i="26"/>
  <c r="Q84" i="40"/>
  <c r="BL68" i="39"/>
  <c r="Q84" i="41"/>
  <c r="Q84" i="25"/>
  <c r="H109" i="38"/>
  <c r="DH24" i="40"/>
  <c r="BO32"/>
  <c r="BX22" i="38"/>
  <c r="BX40" s="1"/>
  <c r="BX109" s="1"/>
  <c r="W22" i="37"/>
  <c r="BW22"/>
  <c r="BW40" s="1"/>
  <c r="BW109" s="1"/>
  <c r="BZ22" i="38"/>
  <c r="BZ40" s="1"/>
  <c r="BZ109" s="1"/>
  <c r="I22" i="37"/>
  <c r="Q21"/>
  <c r="BF58"/>
  <c r="AB22"/>
  <c r="BP32" i="40"/>
  <c r="BY22" i="38"/>
  <c r="BY40" s="1"/>
  <c r="BY109" s="1"/>
  <c r="V22" i="37"/>
  <c r="AZ284" i="47"/>
  <c r="F69" i="65"/>
  <c r="BE284" i="47"/>
  <c r="K69" i="65"/>
  <c r="AK58" i="37"/>
  <c r="I288" i="46"/>
  <c r="I299" s="1"/>
  <c r="BD284" i="47"/>
  <c r="J69" i="65"/>
  <c r="U22" i="37"/>
  <c r="K283" i="13"/>
  <c r="K286" s="1"/>
  <c r="K311"/>
  <c r="K314" s="1"/>
  <c r="K472" s="1"/>
  <c r="K332"/>
  <c r="K335" s="1"/>
  <c r="K475" s="1"/>
  <c r="K318"/>
  <c r="K321" s="1"/>
  <c r="K473" s="1"/>
  <c r="K290"/>
  <c r="K293" s="1"/>
  <c r="K455" s="1"/>
  <c r="K325"/>
  <c r="K328" s="1"/>
  <c r="K474" s="1"/>
  <c r="K304"/>
  <c r="K307" s="1"/>
  <c r="K457" s="1"/>
  <c r="K297"/>
  <c r="K300" s="1"/>
  <c r="K456" s="1"/>
  <c r="J122" i="8"/>
  <c r="J154" s="1"/>
  <c r="J145"/>
  <c r="J144"/>
  <c r="H543" i="34"/>
  <c r="H546"/>
  <c r="K265" i="13"/>
  <c r="K264"/>
  <c r="K263"/>
  <c r="K261"/>
  <c r="K262"/>
  <c r="K237"/>
  <c r="M355" i="34"/>
  <c r="L448"/>
  <c r="J454" i="13"/>
  <c r="J363"/>
  <c r="J365" s="1"/>
  <c r="L155" i="8"/>
  <c r="L114"/>
  <c r="M110"/>
  <c r="I169"/>
  <c r="I127"/>
  <c r="BE84" i="1"/>
  <c r="BE109" s="1"/>
  <c r="BE95"/>
  <c r="BF95" s="1"/>
  <c r="H283" i="35"/>
  <c r="H338" s="1"/>
  <c r="H279"/>
  <c r="H337" s="1"/>
  <c r="F274"/>
  <c r="F336" s="1"/>
  <c r="F354" s="1"/>
  <c r="K559" i="34"/>
  <c r="K449"/>
  <c r="I438" i="13"/>
  <c r="I443" s="1"/>
  <c r="I342"/>
  <c r="I452" s="1"/>
  <c r="I343"/>
  <c r="I453" s="1"/>
  <c r="I165" i="8"/>
  <c r="I137"/>
  <c r="G283" i="35"/>
  <c r="G338" s="1"/>
  <c r="F356" s="1"/>
  <c r="G279"/>
  <c r="G337" s="1"/>
  <c r="F355" s="1"/>
  <c r="G287"/>
  <c r="G339" s="1"/>
  <c r="L287"/>
  <c r="L339" s="1"/>
  <c r="K503" i="17"/>
  <c r="L790" i="14"/>
  <c r="L793" s="1"/>
  <c r="H594"/>
  <c r="BL68" i="40"/>
  <c r="H109" i="25"/>
  <c r="K629" i="17"/>
  <c r="K645" s="1"/>
  <c r="M847" i="4"/>
  <c r="G575" i="14"/>
  <c r="Q84" i="36"/>
  <c r="G379" i="46"/>
  <c r="J575" i="14"/>
  <c r="L777"/>
  <c r="H575"/>
  <c r="L613"/>
  <c r="BL68" i="25"/>
  <c r="H109" i="1"/>
  <c r="BL58" i="36"/>
  <c r="BD109" i="1"/>
  <c r="K363" i="34"/>
  <c r="J406"/>
  <c r="J409" s="1"/>
  <c r="J364"/>
  <c r="J411" s="1"/>
  <c r="J413" s="1"/>
  <c r="AF84" i="1"/>
  <c r="AF95" s="1"/>
  <c r="AK51"/>
  <c r="BL51" s="1"/>
  <c r="N786" i="4" a="1"/>
  <c r="N786" s="1"/>
  <c r="N1063" s="1"/>
  <c r="N788" a="1"/>
  <c r="N788" s="1"/>
  <c r="N1065" s="1"/>
  <c r="N778"/>
  <c r="N789" a="1"/>
  <c r="N789" s="1"/>
  <c r="N1066" s="1"/>
  <c r="N784" a="1"/>
  <c r="N784" s="1"/>
  <c r="N1061" s="1"/>
  <c r="N790" a="1"/>
  <c r="N790" s="1"/>
  <c r="N1067" s="1"/>
  <c r="N785" a="1"/>
  <c r="N785" s="1"/>
  <c r="N1062" s="1"/>
  <c r="N787" a="1"/>
  <c r="N787" s="1"/>
  <c r="N1064" s="1"/>
  <c r="N783" a="1"/>
  <c r="N783" s="1"/>
  <c r="N1060" s="1"/>
  <c r="N782" a="1"/>
  <c r="N782" s="1"/>
  <c r="J243" i="13"/>
  <c r="J441" s="1"/>
  <c r="J240"/>
  <c r="J244"/>
  <c r="J442" s="1"/>
  <c r="J437"/>
  <c r="J241"/>
  <c r="J439" s="1"/>
  <c r="J242"/>
  <c r="J440" s="1"/>
  <c r="M175"/>
  <c r="L234"/>
  <c r="L209"/>
  <c r="J136" i="8"/>
  <c r="J131"/>
  <c r="J126"/>
  <c r="J156"/>
  <c r="I146"/>
  <c r="N443" i="42"/>
  <c r="M441"/>
  <c r="N442" s="1"/>
  <c r="K120" i="8"/>
  <c r="K116"/>
  <c r="K117" s="1"/>
  <c r="I167"/>
  <c r="I132"/>
  <c r="J279" i="35"/>
  <c r="J337" s="1"/>
  <c r="N594" i="14"/>
  <c r="I613"/>
  <c r="H109" i="41"/>
  <c r="K508" i="17"/>
  <c r="K639"/>
  <c r="L783" i="14"/>
  <c r="L785" s="1"/>
  <c r="L798"/>
  <c r="H613"/>
  <c r="K575"/>
  <c r="F116" i="55"/>
  <c r="V32" i="36"/>
  <c r="AK32" s="1"/>
  <c r="AK24"/>
  <c r="V32" i="39"/>
  <c r="AK24"/>
  <c r="V32" i="1"/>
  <c r="AK24"/>
  <c r="G116" i="55"/>
  <c r="V32" i="41"/>
  <c r="AK24"/>
  <c r="I116" i="55"/>
  <c r="AX63" i="36"/>
  <c r="BF57"/>
  <c r="N116" i="55"/>
  <c r="BI76" i="37"/>
  <c r="K224" i="46"/>
  <c r="U56" i="60"/>
  <c r="H287" i="46"/>
  <c r="H298" s="1"/>
  <c r="T63" i="36"/>
  <c r="AK57"/>
  <c r="BP32" i="1"/>
  <c r="DH24" i="41"/>
  <c r="BO32"/>
  <c r="BO32" i="38"/>
  <c r="DH24"/>
  <c r="J32" i="25"/>
  <c r="Q24"/>
  <c r="J32" i="40"/>
  <c r="Q24"/>
  <c r="BL24" s="1"/>
  <c r="AV76" i="36"/>
  <c r="BF75"/>
  <c r="U39" i="60"/>
  <c r="BQ32" i="37"/>
  <c r="AV76" i="25"/>
  <c r="BF75"/>
  <c r="T39" i="60"/>
  <c r="J32" i="39"/>
  <c r="Q24"/>
  <c r="BQ32" i="36"/>
  <c r="DH24" i="25"/>
  <c r="BO32"/>
  <c r="BQ32" i="38"/>
  <c r="J32" i="36"/>
  <c r="Q24"/>
  <c r="J32" i="38"/>
  <c r="BP32" i="37"/>
  <c r="DH24" i="1"/>
  <c r="BO32"/>
  <c r="BO32" i="36"/>
  <c r="DH24"/>
  <c r="BP32" i="26"/>
  <c r="DH24"/>
  <c r="BQ32" i="25"/>
  <c r="AK79" i="36"/>
  <c r="K32"/>
  <c r="K40" s="1"/>
  <c r="K109" s="1"/>
  <c r="V32" i="38"/>
  <c r="AK24"/>
  <c r="J116" i="55"/>
  <c r="V32" i="25"/>
  <c r="AK24"/>
  <c r="H116" i="55"/>
  <c r="V32" i="37"/>
  <c r="AK24"/>
  <c r="BJ75" i="25"/>
  <c r="BH76"/>
  <c r="BJ76" s="1"/>
  <c r="BJ79"/>
  <c r="BL79" s="1"/>
  <c r="BQ32" i="41"/>
  <c r="J32" i="1"/>
  <c r="Q24"/>
  <c r="BQ32" i="39"/>
  <c r="DH24" i="37"/>
  <c r="BO32"/>
  <c r="T76"/>
  <c r="AK76" s="1"/>
  <c r="AK75"/>
  <c r="J32" i="41"/>
  <c r="Q24"/>
  <c r="BP32"/>
  <c r="BO32" i="39"/>
  <c r="BP32" i="38"/>
  <c r="J223" i="46"/>
  <c r="BQ32" i="1"/>
  <c r="BP32" i="36"/>
  <c r="J32" i="26"/>
  <c r="Q24"/>
  <c r="BL24" s="1"/>
  <c r="BP32" i="25"/>
  <c r="I227" i="7"/>
  <c r="I224"/>
  <c r="L387" i="17"/>
  <c r="L355"/>
  <c r="L322"/>
  <c r="L598"/>
  <c r="K682" i="4"/>
  <c r="K700"/>
  <c r="K179" i="6"/>
  <c r="K135" i="61"/>
  <c r="K175" s="1"/>
  <c r="L388" i="17"/>
  <c r="L599"/>
  <c r="L323"/>
  <c r="L356"/>
  <c r="K627"/>
  <c r="H751"/>
  <c r="K677" i="4"/>
  <c r="K695"/>
  <c r="H126" i="9"/>
  <c r="L385" i="17"/>
  <c r="L320"/>
  <c r="L596"/>
  <c r="L353"/>
  <c r="F791" i="14"/>
  <c r="F783"/>
  <c r="F799"/>
  <c r="K217" i="7"/>
  <c r="L169"/>
  <c r="K248"/>
  <c r="H210"/>
  <c r="H306" s="1"/>
  <c r="H305"/>
  <c r="AK14" i="25"/>
  <c r="BL14" s="1"/>
  <c r="AJ44" i="41"/>
  <c r="Q14" i="36"/>
  <c r="AJ44" i="39"/>
  <c r="M777" i="14"/>
  <c r="M798"/>
  <c r="M782"/>
  <c r="M790"/>
  <c r="L325" i="17"/>
  <c r="L390"/>
  <c r="L358"/>
  <c r="L601"/>
  <c r="I116" i="9"/>
  <c r="I111"/>
  <c r="I106"/>
  <c r="I136"/>
  <c r="J777" i="14"/>
  <c r="J782"/>
  <c r="J790"/>
  <c r="J798"/>
  <c r="G739"/>
  <c r="M634" i="4"/>
  <c r="L662"/>
  <c r="L1039"/>
  <c r="L1110"/>
  <c r="L739" i="14"/>
  <c r="M636" i="4"/>
  <c r="L664"/>
  <c r="L1041"/>
  <c r="L1112"/>
  <c r="H149" i="9"/>
  <c r="H107"/>
  <c r="J204" i="7"/>
  <c r="J206" s="1"/>
  <c r="J208" s="1"/>
  <c r="J239"/>
  <c r="J189"/>
  <c r="J191" s="1"/>
  <c r="J193" s="1"/>
  <c r="J196" s="1"/>
  <c r="J233"/>
  <c r="I784" i="14"/>
  <c r="I792"/>
  <c r="I800"/>
  <c r="G169" i="6"/>
  <c r="K739" i="14"/>
  <c r="L354" i="17"/>
  <c r="L321"/>
  <c r="L386"/>
  <c r="L597"/>
  <c r="J218" i="7"/>
  <c r="J220" s="1"/>
  <c r="J222" s="1"/>
  <c r="J225" s="1"/>
  <c r="J229"/>
  <c r="J245"/>
  <c r="J131" i="6"/>
  <c r="J168" s="1"/>
  <c r="J165"/>
  <c r="H784" i="14"/>
  <c r="H792"/>
  <c r="H800"/>
  <c r="G790"/>
  <c r="G782"/>
  <c r="G777"/>
  <c r="G798"/>
  <c r="K536" i="17"/>
  <c r="K444"/>
  <c r="I211" i="7"/>
  <c r="I302"/>
  <c r="K799" i="14"/>
  <c r="J784"/>
  <c r="J792"/>
  <c r="J800"/>
  <c r="L658" i="4"/>
  <c r="L1106"/>
  <c r="M630"/>
  <c r="L1035"/>
  <c r="L327" i="17"/>
  <c r="L360"/>
  <c r="L392"/>
  <c r="L603"/>
  <c r="J1072" i="4"/>
  <c r="J1079"/>
  <c r="J1071"/>
  <c r="J1078"/>
  <c r="J1073"/>
  <c r="J1076"/>
  <c r="J1074"/>
  <c r="J870"/>
  <c r="J1075"/>
  <c r="J873"/>
  <c r="J1077"/>
  <c r="G713" i="17"/>
  <c r="K632"/>
  <c r="K648" s="1"/>
  <c r="K685" i="4"/>
  <c r="K703"/>
  <c r="L384" i="17"/>
  <c r="L319"/>
  <c r="L352"/>
  <c r="L595"/>
  <c r="L90" i="9"/>
  <c r="K94"/>
  <c r="K135"/>
  <c r="K860" i="4"/>
  <c r="K876" s="1"/>
  <c r="K861"/>
  <c r="K877" s="1"/>
  <c r="K857"/>
  <c r="K863"/>
  <c r="K879" s="1"/>
  <c r="K868"/>
  <c r="K884" s="1"/>
  <c r="K866"/>
  <c r="K882" s="1"/>
  <c r="K858"/>
  <c r="K874" s="1"/>
  <c r="K859"/>
  <c r="K875" s="1"/>
  <c r="K869"/>
  <c r="K885" s="1"/>
  <c r="K867"/>
  <c r="K883" s="1"/>
  <c r="K862"/>
  <c r="K878" s="1"/>
  <c r="K865"/>
  <c r="K881" s="1"/>
  <c r="K864"/>
  <c r="K880" s="1"/>
  <c r="K684"/>
  <c r="K702"/>
  <c r="K124" i="6"/>
  <c r="K125" s="1"/>
  <c r="K130" s="1"/>
  <c r="K138"/>
  <c r="L393" i="17"/>
  <c r="L361"/>
  <c r="L328"/>
  <c r="L604"/>
  <c r="H145" i="9"/>
  <c r="H117"/>
  <c r="H739" i="14"/>
  <c r="I719" i="17"/>
  <c r="I728" s="1"/>
  <c r="I528"/>
  <c r="I758" s="1"/>
  <c r="I524"/>
  <c r="I527"/>
  <c r="I757" s="1"/>
  <c r="L134" i="61"/>
  <c r="L174" s="1"/>
  <c r="J510" i="17"/>
  <c r="J522"/>
  <c r="J726" s="1"/>
  <c r="J520"/>
  <c r="J724" s="1"/>
  <c r="J521"/>
  <c r="J725" s="1"/>
  <c r="J517"/>
  <c r="J721" s="1"/>
  <c r="J515"/>
  <c r="J523"/>
  <c r="J727" s="1"/>
  <c r="J518"/>
  <c r="J722" s="1"/>
  <c r="J516"/>
  <c r="J720" s="1"/>
  <c r="J519"/>
  <c r="J723" s="1"/>
  <c r="L435"/>
  <c r="L431"/>
  <c r="J739" i="14"/>
  <c r="I799"/>
  <c r="I783"/>
  <c r="I791"/>
  <c r="K676" i="4"/>
  <c r="K694"/>
  <c r="K683"/>
  <c r="K710"/>
  <c r="K711" s="1"/>
  <c r="K701"/>
  <c r="L657"/>
  <c r="M629"/>
  <c r="L1105"/>
  <c r="L1034"/>
  <c r="K1052"/>
  <c r="K1055"/>
  <c r="M626"/>
  <c r="L1102"/>
  <c r="L654"/>
  <c r="L1031"/>
  <c r="K630" i="17"/>
  <c r="K646" s="1"/>
  <c r="F777" i="14"/>
  <c r="F782"/>
  <c r="F790"/>
  <c r="F798"/>
  <c r="K675" i="4"/>
  <c r="K693"/>
  <c r="H782" i="14"/>
  <c r="H798"/>
  <c r="H790"/>
  <c r="H777"/>
  <c r="N783"/>
  <c r="N785" s="1"/>
  <c r="N799"/>
  <c r="N801" s="1"/>
  <c r="N791"/>
  <c r="N793" s="1"/>
  <c r="G792"/>
  <c r="G784"/>
  <c r="G800"/>
  <c r="DH51" i="36"/>
  <c r="AK51" i="25"/>
  <c r="DH51" i="38"/>
  <c r="AG95" i="25"/>
  <c r="AX84"/>
  <c r="AX109" s="1"/>
  <c r="BF63"/>
  <c r="AG95" i="39"/>
  <c r="AG95" i="36"/>
  <c r="H1085" i="4"/>
  <c r="H1092" s="1"/>
  <c r="K655" i="17"/>
  <c r="M594" i="14"/>
  <c r="BG411" i="47"/>
  <c r="BH411" s="1"/>
  <c r="BI411" s="1"/>
  <c r="N575" i="14"/>
  <c r="M613"/>
  <c r="K634" i="17"/>
  <c r="K650" s="1"/>
  <c r="BL57" i="25"/>
  <c r="M784" i="14"/>
  <c r="M792"/>
  <c r="M800"/>
  <c r="L659" i="4"/>
  <c r="M631"/>
  <c r="L1107"/>
  <c r="L1036"/>
  <c r="I198" i="7"/>
  <c r="I195"/>
  <c r="I125" i="9"/>
  <c r="I124"/>
  <c r="I102"/>
  <c r="I134" s="1"/>
  <c r="F739" i="14"/>
  <c r="K792"/>
  <c r="K784"/>
  <c r="K800"/>
  <c r="I1080" i="4"/>
  <c r="L665"/>
  <c r="L1113"/>
  <c r="L1042"/>
  <c r="M637"/>
  <c r="J96" i="9"/>
  <c r="J97" s="1"/>
  <c r="J100"/>
  <c r="M844" i="4"/>
  <c r="L852"/>
  <c r="L853" s="1"/>
  <c r="L854" s="1"/>
  <c r="L666"/>
  <c r="M638"/>
  <c r="L1114"/>
  <c r="L1043"/>
  <c r="L168" i="7"/>
  <c r="K203"/>
  <c r="K242"/>
  <c r="L167"/>
  <c r="K188"/>
  <c r="K170"/>
  <c r="K335" s="1"/>
  <c r="K236"/>
  <c r="I790" i="14"/>
  <c r="I782"/>
  <c r="I777"/>
  <c r="I798"/>
  <c r="K631" i="17"/>
  <c r="K647" s="1"/>
  <c r="M435"/>
  <c r="M442" s="1"/>
  <c r="M431"/>
  <c r="J40" i="37"/>
  <c r="J109" s="1"/>
  <c r="Q14" i="26"/>
  <c r="K637" i="17"/>
  <c r="K653" s="1"/>
  <c r="M739" i="14"/>
  <c r="L391" i="17"/>
  <c r="L326"/>
  <c r="L359"/>
  <c r="L602"/>
  <c r="AG95" i="26"/>
  <c r="AG95" i="41"/>
  <c r="M783" i="14"/>
  <c r="M791"/>
  <c r="M799"/>
  <c r="K679" i="4"/>
  <c r="K697"/>
  <c r="K798" i="14"/>
  <c r="K782"/>
  <c r="K790"/>
  <c r="J799"/>
  <c r="J783"/>
  <c r="J791"/>
  <c r="I889" i="4"/>
  <c r="I1083" s="1"/>
  <c r="I894"/>
  <c r="I1088" s="1"/>
  <c r="I887"/>
  <c r="I893"/>
  <c r="I892"/>
  <c r="I1086" s="1"/>
  <c r="I897"/>
  <c r="I896"/>
  <c r="I1090" s="1"/>
  <c r="I895"/>
  <c r="I1089" s="1"/>
  <c r="I891"/>
  <c r="I890"/>
  <c r="I1084" s="1"/>
  <c r="K696"/>
  <c r="K678"/>
  <c r="K686"/>
  <c r="K704"/>
  <c r="M118" i="6"/>
  <c r="L122"/>
  <c r="L177"/>
  <c r="K638" i="17"/>
  <c r="K654" s="1"/>
  <c r="L329"/>
  <c r="L362"/>
  <c r="L394"/>
  <c r="L605"/>
  <c r="H147" i="9"/>
  <c r="H112"/>
  <c r="K633" i="17"/>
  <c r="K649" s="1"/>
  <c r="L317"/>
  <c r="L350"/>
  <c r="L382"/>
  <c r="L593"/>
  <c r="J337" i="7"/>
  <c r="L389" i="17"/>
  <c r="L357"/>
  <c r="L600"/>
  <c r="L324"/>
  <c r="M628" i="4"/>
  <c r="L656"/>
  <c r="L1104"/>
  <c r="L1033"/>
  <c r="L663"/>
  <c r="L1111"/>
  <c r="L1040"/>
  <c r="M635"/>
  <c r="K674"/>
  <c r="K692"/>
  <c r="F792" i="14"/>
  <c r="F800"/>
  <c r="F784"/>
  <c r="L1103" i="4"/>
  <c r="L655"/>
  <c r="M627"/>
  <c r="L1032"/>
  <c r="H783" i="14"/>
  <c r="H791"/>
  <c r="H799"/>
  <c r="N739"/>
  <c r="G799"/>
  <c r="G783"/>
  <c r="G791"/>
  <c r="DH51" i="25"/>
  <c r="AG95" i="38"/>
  <c r="AK63" i="25"/>
  <c r="AJ44" i="40"/>
  <c r="AG95" i="37"/>
  <c r="M845" i="4"/>
  <c r="N613" i="14"/>
  <c r="H898" i="4"/>
  <c r="F379" i="46"/>
  <c r="M575" i="14"/>
  <c r="I594"/>
  <c r="I132" i="6"/>
  <c r="I134" s="1"/>
  <c r="AK32" i="40"/>
  <c r="H280" i="46"/>
  <c r="J9" i="65"/>
  <c r="BD9" i="47"/>
  <c r="V50" i="26"/>
  <c r="M83" i="60"/>
  <c r="U50" i="37"/>
  <c r="H82" i="60"/>
  <c r="AY23" i="47"/>
  <c r="E86" i="63"/>
  <c r="E13"/>
  <c r="F15" i="44"/>
  <c r="E29" i="65"/>
  <c r="BF26" i="47"/>
  <c r="L32" i="65"/>
  <c r="L16" i="63"/>
  <c r="L89"/>
  <c r="BA189" i="47"/>
  <c r="G21" i="66"/>
  <c r="J18"/>
  <c r="BD186" i="47"/>
  <c r="J20" i="66"/>
  <c r="BD188" i="47"/>
  <c r="BE8"/>
  <c r="K8" i="65"/>
  <c r="M35"/>
  <c r="M92" i="63"/>
  <c r="BG29" i="47"/>
  <c r="M19" i="63"/>
  <c r="AZ188" i="47"/>
  <c r="F20" i="66"/>
  <c r="BB186" i="47"/>
  <c r="H18" i="66"/>
  <c r="G19"/>
  <c r="BA187" i="47"/>
  <c r="BA185"/>
  <c r="G17" i="66"/>
  <c r="E30" i="65"/>
  <c r="E87" i="63"/>
  <c r="E14"/>
  <c r="AY24" i="47"/>
  <c r="E20" i="66"/>
  <c r="AY188" i="47"/>
  <c r="L11" i="65"/>
  <c r="BF11" i="47"/>
  <c r="M71" i="60"/>
  <c r="E9" i="65"/>
  <c r="AY9" i="47"/>
  <c r="I21" i="66"/>
  <c r="BC189" i="47"/>
  <c r="H83" i="60"/>
  <c r="V50" i="37"/>
  <c r="M84" i="60"/>
  <c r="W50" i="26"/>
  <c r="H14" i="63"/>
  <c r="H30" i="65"/>
  <c r="H87" i="63"/>
  <c r="BB24" i="47"/>
  <c r="G20" i="66"/>
  <c r="BA188" i="47"/>
  <c r="G21" i="65"/>
  <c r="BA16" i="47"/>
  <c r="G15" i="66"/>
  <c r="BA183" i="47"/>
  <c r="H20" i="66"/>
  <c r="BB188" i="47"/>
  <c r="U50" i="26"/>
  <c r="M82" i="60"/>
  <c r="H81"/>
  <c r="H8" i="64"/>
  <c r="BB307" i="47"/>
  <c r="S50" i="37"/>
  <c r="I90" i="63"/>
  <c r="I17"/>
  <c r="I33" i="65"/>
  <c r="BC27" i="47"/>
  <c r="H41" i="65"/>
  <c r="H25" i="63"/>
  <c r="H98"/>
  <c r="BB38" i="47"/>
  <c r="I20" i="66"/>
  <c r="BC188" i="47"/>
  <c r="AY189"/>
  <c r="E21" i="66"/>
  <c r="M102" i="63"/>
  <c r="M29"/>
  <c r="M45" i="65"/>
  <c r="BG45" i="47"/>
  <c r="BE184"/>
  <c r="K16" i="66"/>
  <c r="BA186" i="47"/>
  <c r="G18" i="66"/>
  <c r="AD96" i="41"/>
  <c r="AH96" i="25"/>
  <c r="AH96" i="40"/>
  <c r="AD96" i="25"/>
  <c r="AE96" i="36"/>
  <c r="BH53" i="39"/>
  <c r="BH53" i="26"/>
  <c r="BO50"/>
  <c r="BQ50" i="37"/>
  <c r="H18" i="35"/>
  <c r="BE69" i="47"/>
  <c r="K70" i="64"/>
  <c r="BY21" i="39"/>
  <c r="BC69" i="47"/>
  <c r="I61" i="60"/>
  <c r="BB241" i="47"/>
  <c r="BX21" i="39"/>
  <c r="J17" i="46"/>
  <c r="I21" i="36"/>
  <c r="BE50" i="37"/>
  <c r="BE50" i="36"/>
  <c r="M86" i="64"/>
  <c r="AE96" i="1"/>
  <c r="AH96" i="37"/>
  <c r="U12"/>
  <c r="BQ12" i="36"/>
  <c r="M17" i="35"/>
  <c r="I16"/>
  <c r="G8" i="65"/>
  <c r="BI79" i="36"/>
  <c r="F21" i="65"/>
  <c r="K16" i="35"/>
  <c r="K9" i="55"/>
  <c r="BP12" i="1"/>
  <c r="BB71" i="47"/>
  <c r="BD121"/>
  <c r="CG50" i="39"/>
  <c r="E69" i="60"/>
  <c r="BD16" i="47"/>
  <c r="BW21" i="38"/>
  <c r="AZ248" i="47"/>
  <c r="H70" i="60"/>
  <c r="AE96" i="41"/>
  <c r="AH96" i="38"/>
  <c r="BH53" i="37"/>
  <c r="BP24" i="39"/>
  <c r="F16" i="35"/>
  <c r="K18"/>
  <c r="T12" i="37"/>
  <c r="BB64" i="47"/>
  <c r="AE96" i="38"/>
  <c r="Y53" i="26"/>
  <c r="H48" i="64"/>
  <c r="K44" i="59"/>
  <c r="BA102" i="47"/>
  <c r="DC21" i="1"/>
  <c r="K68" i="64"/>
  <c r="E31" i="65"/>
  <c r="AY25" i="47"/>
  <c r="AE96" i="26"/>
  <c r="BD123" i="47"/>
  <c r="AY240"/>
  <c r="T58" i="38"/>
  <c r="AY33" i="47"/>
  <c r="L9" i="55"/>
  <c r="H40" i="64"/>
  <c r="AZ33" i="47"/>
  <c r="BG167"/>
  <c r="BB98"/>
  <c r="AZ163"/>
  <c r="G87" i="64"/>
  <c r="BB183" i="47"/>
  <c r="AZ241"/>
  <c r="G49" i="64"/>
  <c r="BG69" i="47"/>
  <c r="AX39" i="3"/>
  <c r="K9" i="65"/>
  <c r="BE9" i="47"/>
  <c r="BF40"/>
  <c r="L43" i="65"/>
  <c r="M9" i="61"/>
  <c r="L27" i="63"/>
  <c r="L100"/>
  <c r="F19" i="66"/>
  <c r="AZ187" i="47"/>
  <c r="BF184"/>
  <c r="L16" i="66"/>
  <c r="K21"/>
  <c r="BE189" i="47"/>
  <c r="BB185"/>
  <c r="H17" i="66"/>
  <c r="F18"/>
  <c r="AZ186" i="47"/>
  <c r="BA38"/>
  <c r="G25" i="63"/>
  <c r="G41" i="65"/>
  <c r="G98" i="63"/>
  <c r="I16" i="66"/>
  <c r="BC184" i="47"/>
  <c r="BB29"/>
  <c r="H35" i="65"/>
  <c r="H19" i="63"/>
  <c r="H92"/>
  <c r="F15" i="66"/>
  <c r="AZ183" i="47"/>
  <c r="M8" i="65"/>
  <c r="BG8" i="47"/>
  <c r="W50" i="37"/>
  <c r="H84" i="60"/>
  <c r="BB189" i="47"/>
  <c r="H21" i="66"/>
  <c r="I43" i="65"/>
  <c r="J9" i="61"/>
  <c r="BC40" i="47"/>
  <c r="I27" i="63"/>
  <c r="I100"/>
  <c r="S50" i="26"/>
  <c r="BG307" i="47"/>
  <c r="M8" i="64"/>
  <c r="M81" i="60"/>
  <c r="AD96" i="1"/>
  <c r="AD96" i="40"/>
  <c r="AE96" i="37"/>
  <c r="BH53" i="40"/>
  <c r="AH96" i="39"/>
  <c r="BB65" i="47"/>
  <c r="BQ50" i="26"/>
  <c r="G71" i="60"/>
  <c r="G15" i="35"/>
  <c r="K19"/>
  <c r="V12" i="37"/>
  <c r="K24" i="38"/>
  <c r="BP50" i="37"/>
  <c r="BD69" i="47"/>
  <c r="AD96" i="38"/>
  <c r="K21" i="65"/>
  <c r="BP21" i="25"/>
  <c r="AX58" i="38"/>
  <c r="BB101" i="47"/>
  <c r="BF16"/>
  <c r="BO21" i="1"/>
  <c r="L51" i="46"/>
  <c r="H7" i="65"/>
  <c r="AZ16" i="47"/>
  <c r="I21" i="65"/>
  <c r="F15" i="35"/>
  <c r="BI75" i="38"/>
  <c r="F69" i="60"/>
  <c r="W21" i="36"/>
  <c r="L59" i="59"/>
  <c r="N16" i="35"/>
  <c r="E23" i="63"/>
  <c r="T57" i="37"/>
  <c r="BH75" i="36"/>
  <c r="E18" i="66"/>
  <c r="BQ21" i="25"/>
  <c r="S21"/>
  <c r="BB248" i="47"/>
  <c r="AZ313"/>
  <c r="BB313"/>
  <c r="AB53" i="39"/>
  <c r="I36" i="46"/>
  <c r="J67" i="64"/>
  <c r="V21" i="36"/>
  <c r="H16" i="35"/>
  <c r="M9" i="55"/>
  <c r="BB240" i="47"/>
  <c r="H45" i="60"/>
  <c r="E15" i="63"/>
  <c r="F31" i="65"/>
  <c r="M60" i="59"/>
  <c r="E88" i="63"/>
  <c r="G93" i="64"/>
  <c r="BC16" i="47"/>
  <c r="J16" i="35"/>
  <c r="E96" i="63"/>
  <c r="AB21" i="36"/>
  <c r="G16" i="35"/>
  <c r="E19" i="65"/>
  <c r="BE16" i="47"/>
  <c r="F88" i="63"/>
  <c r="BQ21" i="37"/>
  <c r="F14" i="64"/>
  <c r="AY34" i="47"/>
  <c r="BB235"/>
  <c r="E22" i="63"/>
  <c r="BH79" i="36"/>
  <c r="BA100" i="47"/>
  <c r="I78" i="60"/>
  <c r="BF240" i="47"/>
  <c r="AY16"/>
  <c r="BA163"/>
  <c r="K6" i="59"/>
  <c r="I16" i="46"/>
  <c r="AY41" i="3"/>
  <c r="F93" i="64"/>
  <c r="H71" i="60"/>
  <c r="AB21" i="38"/>
  <c r="BB7" i="47"/>
  <c r="H14" i="64"/>
  <c r="L16" i="35"/>
  <c r="BE124" i="47"/>
  <c r="BF69"/>
  <c r="J21" i="65"/>
  <c r="F95" i="63"/>
  <c r="M21" i="65"/>
  <c r="AY14" i="47"/>
  <c r="BB69"/>
  <c r="H15" i="66"/>
  <c r="AY163" i="47"/>
  <c r="L21" i="65"/>
  <c r="AE96" i="25"/>
  <c r="AH96" i="36"/>
  <c r="BH53" i="41"/>
  <c r="AE96" i="40"/>
  <c r="BP50" i="26"/>
  <c r="K24" i="37"/>
  <c r="BF42" i="47"/>
  <c r="AH96" i="1"/>
  <c r="F38" i="65"/>
  <c r="BG16" i="47"/>
  <c r="E95" i="63"/>
  <c r="T75" i="38"/>
  <c r="E39" i="65"/>
  <c r="F22" i="63"/>
  <c r="U21" i="36"/>
  <c r="L51" i="59"/>
  <c r="BO12" i="1"/>
  <c r="BA240" i="47"/>
  <c r="W21" i="38"/>
  <c r="K50" i="46"/>
  <c r="H21" i="65"/>
  <c r="H50" i="64"/>
  <c r="G78" i="60"/>
  <c r="AX57" i="37"/>
  <c r="E21" i="65"/>
  <c r="BZ21" i="39"/>
  <c r="AY186" i="47"/>
  <c r="AZ235"/>
  <c r="AZ240"/>
  <c r="BC163"/>
  <c r="L16" i="59"/>
  <c r="M16" i="35"/>
  <c r="G14" i="60"/>
  <c r="BE122" i="47"/>
  <c r="U21" i="38"/>
  <c r="S21" i="37"/>
  <c r="BP21"/>
  <c r="L33" i="59"/>
  <c r="V21" i="38"/>
  <c r="I21"/>
  <c r="AD96" i="26"/>
  <c r="W12" i="37"/>
  <c r="AF50" i="36"/>
  <c r="M34" i="59"/>
  <c r="BQ12" i="1"/>
  <c r="BC240" i="47"/>
  <c r="BB16"/>
  <c r="BD240"/>
  <c r="W53" i="40"/>
  <c r="H14" i="60"/>
  <c r="AZ25" i="47"/>
  <c r="F15" i="63"/>
  <c r="E38" i="65"/>
  <c r="J69" i="64"/>
  <c r="T79" i="37"/>
  <c r="BA8" i="47"/>
  <c r="BB247"/>
  <c r="W14" i="37" l="1"/>
  <c r="AD97" i="26"/>
  <c r="AD99"/>
  <c r="AD106" s="1"/>
  <c r="AD109" s="1"/>
  <c r="Q24" i="37"/>
  <c r="K32"/>
  <c r="BP51" i="26"/>
  <c r="AE97" i="40"/>
  <c r="AE99"/>
  <c r="AE106" s="1"/>
  <c r="AE109" s="1"/>
  <c r="BH55" i="41"/>
  <c r="AH99" i="36"/>
  <c r="AH106" s="1"/>
  <c r="AH109" s="1"/>
  <c r="AH97"/>
  <c r="AE97" i="25"/>
  <c r="AE99"/>
  <c r="AE106" s="1"/>
  <c r="AE109" s="1"/>
  <c r="BP51" i="37"/>
  <c r="DH51" s="1"/>
  <c r="DH50"/>
  <c r="K32" i="38"/>
  <c r="K40" s="1"/>
  <c r="K109" s="1"/>
  <c r="Q24"/>
  <c r="BL24" s="1"/>
  <c r="V14" i="37"/>
  <c r="K276" i="35"/>
  <c r="K390"/>
  <c r="G235"/>
  <c r="G246" s="1"/>
  <c r="G330" s="1"/>
  <c r="G386"/>
  <c r="BQ51" i="26"/>
  <c r="AH97" i="39"/>
  <c r="AH99"/>
  <c r="AH106" s="1"/>
  <c r="AH109" s="1"/>
  <c r="BH55" i="40"/>
  <c r="AE97" i="37"/>
  <c r="AE99"/>
  <c r="AE106" s="1"/>
  <c r="AE109" s="1"/>
  <c r="AD99" i="40"/>
  <c r="AD106" s="1"/>
  <c r="AD109" s="1"/>
  <c r="AD97"/>
  <c r="AD99" i="1"/>
  <c r="AD106" s="1"/>
  <c r="AD109" s="1"/>
  <c r="AD97"/>
  <c r="AL7" i="60"/>
  <c r="S51" i="26"/>
  <c r="W51" i="37"/>
  <c r="H73" i="65"/>
  <c r="BB289" i="47"/>
  <c r="T14" i="37"/>
  <c r="K263" i="35"/>
  <c r="K389"/>
  <c r="F387"/>
  <c r="F249"/>
  <c r="BP32" i="39"/>
  <c r="DH24"/>
  <c r="BH55" i="37"/>
  <c r="AH97" i="38"/>
  <c r="AH99"/>
  <c r="AH106" s="1"/>
  <c r="AH109" s="1"/>
  <c r="AE99" i="41"/>
  <c r="AE106" s="1"/>
  <c r="AE109" s="1"/>
  <c r="AE97"/>
  <c r="M388" i="35"/>
  <c r="M290"/>
  <c r="BQ14" i="36"/>
  <c r="U14" i="37"/>
  <c r="AH97"/>
  <c r="AH99"/>
  <c r="AH106" s="1"/>
  <c r="AH109" s="1"/>
  <c r="AE99" i="1"/>
  <c r="AE106" s="1"/>
  <c r="AE109" s="1"/>
  <c r="AE97"/>
  <c r="H389" i="35"/>
  <c r="H263"/>
  <c r="BQ51" i="37"/>
  <c r="BO51" i="26"/>
  <c r="BH55"/>
  <c r="BH55" i="39"/>
  <c r="AE99" i="36"/>
  <c r="AE106" s="1"/>
  <c r="AE109" s="1"/>
  <c r="AE97"/>
  <c r="AD99" i="25"/>
  <c r="AD106" s="1"/>
  <c r="AD109" s="1"/>
  <c r="AD97"/>
  <c r="AH99" i="40"/>
  <c r="AH106" s="1"/>
  <c r="AH109" s="1"/>
  <c r="AH97"/>
  <c r="AH97" i="25"/>
  <c r="AH99"/>
  <c r="AH106" s="1"/>
  <c r="AH109" s="1"/>
  <c r="AD97" i="41"/>
  <c r="AD99"/>
  <c r="AD106" s="1"/>
  <c r="AD109" s="1"/>
  <c r="AZ374" i="47"/>
  <c r="BF385" s="1"/>
  <c r="BH385" s="1"/>
  <c r="BI385" s="1"/>
  <c r="BC287"/>
  <c r="I71" i="65"/>
  <c r="S51" i="37"/>
  <c r="AG7" i="60"/>
  <c r="U51" i="26"/>
  <c r="BB284" i="47"/>
  <c r="H69" i="65"/>
  <c r="W51" i="26"/>
  <c r="V51" i="37"/>
  <c r="AY284" i="47"/>
  <c r="E69" i="65"/>
  <c r="BG289" i="47"/>
  <c r="M73" i="65"/>
  <c r="L70"/>
  <c r="BF286" i="47"/>
  <c r="E67" i="65"/>
  <c r="E120" i="63"/>
  <c r="E109"/>
  <c r="AY283" i="47"/>
  <c r="U51" i="37"/>
  <c r="V51" i="26"/>
  <c r="J400" i="17"/>
  <c r="J563"/>
  <c r="J399"/>
  <c r="J565"/>
  <c r="J577" s="1"/>
  <c r="J628"/>
  <c r="J405"/>
  <c r="J569"/>
  <c r="J581" s="1"/>
  <c r="J571"/>
  <c r="J583" s="1"/>
  <c r="J402"/>
  <c r="J404"/>
  <c r="J395"/>
  <c r="J403"/>
  <c r="J401"/>
  <c r="J564"/>
  <c r="J566"/>
  <c r="J570"/>
  <c r="J582" s="1"/>
  <c r="J407"/>
  <c r="J567"/>
  <c r="J406"/>
  <c r="J568"/>
  <c r="J580" s="1"/>
  <c r="I575"/>
  <c r="I572"/>
  <c r="AZ447" i="47"/>
  <c r="G128" i="61"/>
  <c r="G177" s="1"/>
  <c r="N266" i="35"/>
  <c r="N334" s="1"/>
  <c r="N270"/>
  <c r="N335" s="1"/>
  <c r="N274"/>
  <c r="N336" s="1"/>
  <c r="F128" i="61"/>
  <c r="F177" s="1"/>
  <c r="G1083" i="4"/>
  <c r="G1092" s="1"/>
  <c r="G898"/>
  <c r="K318" i="17"/>
  <c r="K351"/>
  <c r="K594"/>
  <c r="K383"/>
  <c r="N728"/>
  <c r="N705"/>
  <c r="I548"/>
  <c r="I551"/>
  <c r="I618"/>
  <c r="I620"/>
  <c r="I785" s="1"/>
  <c r="Q51" i="37"/>
  <c r="I84"/>
  <c r="J128" i="61"/>
  <c r="J177" s="1"/>
  <c r="Q51" i="26"/>
  <c r="I84"/>
  <c r="Q84" s="1"/>
  <c r="J293" i="35"/>
  <c r="J340" s="1"/>
  <c r="J297"/>
  <c r="J341" s="1"/>
  <c r="M279"/>
  <c r="M337" s="1"/>
  <c r="M287"/>
  <c r="M339" s="1"/>
  <c r="L357" s="1"/>
  <c r="M283"/>
  <c r="M338" s="1"/>
  <c r="L356" s="1"/>
  <c r="K783" i="14"/>
  <c r="F270" i="35"/>
  <c r="F335" s="1"/>
  <c r="I283"/>
  <c r="I338" s="1"/>
  <c r="N760" i="17"/>
  <c r="I453"/>
  <c r="I738" s="1"/>
  <c r="J287" i="35"/>
  <c r="J339" s="1"/>
  <c r="I357" s="1"/>
  <c r="I293"/>
  <c r="I340" s="1"/>
  <c r="M129" i="61"/>
  <c r="I360" i="35"/>
  <c r="I555" i="17"/>
  <c r="I455"/>
  <c r="I552"/>
  <c r="I640"/>
  <c r="I579"/>
  <c r="I576"/>
  <c r="AZ448" i="47"/>
  <c r="AZ450"/>
  <c r="AC109" i="26"/>
  <c r="AC95"/>
  <c r="AC97" s="1"/>
  <c r="AZ437" i="47"/>
  <c r="J612" i="17"/>
  <c r="J614"/>
  <c r="J610"/>
  <c r="J616"/>
  <c r="J615"/>
  <c r="J617"/>
  <c r="J606"/>
  <c r="J611"/>
  <c r="J609"/>
  <c r="J613"/>
  <c r="H586"/>
  <c r="H784" s="1"/>
  <c r="H560"/>
  <c r="H463"/>
  <c r="H766" s="1"/>
  <c r="H462"/>
  <c r="H765" s="1"/>
  <c r="H457"/>
  <c r="H733"/>
  <c r="L293" i="35"/>
  <c r="L340" s="1"/>
  <c r="L301"/>
  <c r="L342" s="1"/>
  <c r="L297"/>
  <c r="L341" s="1"/>
  <c r="M266"/>
  <c r="M334" s="1"/>
  <c r="M270"/>
  <c r="M335" s="1"/>
  <c r="L353" s="1"/>
  <c r="M274"/>
  <c r="M336" s="1"/>
  <c r="J546" i="17"/>
  <c r="J558" s="1"/>
  <c r="J547"/>
  <c r="J545"/>
  <c r="J371"/>
  <c r="J370"/>
  <c r="J451" s="1"/>
  <c r="J736" s="1"/>
  <c r="J544"/>
  <c r="J556" s="1"/>
  <c r="J368"/>
  <c r="J543"/>
  <c r="J555" s="1"/>
  <c r="J542"/>
  <c r="J554" s="1"/>
  <c r="J373"/>
  <c r="J454" s="1"/>
  <c r="J739" s="1"/>
  <c r="J541"/>
  <c r="J539"/>
  <c r="J540"/>
  <c r="J552" s="1"/>
  <c r="J369"/>
  <c r="J450" s="1"/>
  <c r="J735" s="1"/>
  <c r="J707" s="1"/>
  <c r="J372"/>
  <c r="J453" s="1"/>
  <c r="J738" s="1"/>
  <c r="J363"/>
  <c r="J367"/>
  <c r="J375"/>
  <c r="J456" s="1"/>
  <c r="J740" s="1"/>
  <c r="J712" s="1"/>
  <c r="J374"/>
  <c r="J455" s="1"/>
  <c r="J448" i="42"/>
  <c r="I446"/>
  <c r="J447" s="1"/>
  <c r="I376" i="17"/>
  <c r="I448"/>
  <c r="AZ449" i="47"/>
  <c r="K297" i="35"/>
  <c r="K341" s="1"/>
  <c r="K293"/>
  <c r="K340" s="1"/>
  <c r="J358" s="1"/>
  <c r="H128" i="61"/>
  <c r="H177" s="1"/>
  <c r="K515" i="17"/>
  <c r="I580"/>
  <c r="L283" i="35"/>
  <c r="L338" s="1"/>
  <c r="H297"/>
  <c r="H341" s="1"/>
  <c r="G359" s="1"/>
  <c r="F360"/>
  <c r="I129" i="61"/>
  <c r="F297" i="35"/>
  <c r="F341" s="1"/>
  <c r="F359" s="1"/>
  <c r="I583" i="17"/>
  <c r="K791" i="14"/>
  <c r="K518" i="17"/>
  <c r="K722" s="1"/>
  <c r="I709"/>
  <c r="BL24" i="37"/>
  <c r="I297" i="35"/>
  <c r="I341" s="1"/>
  <c r="I359" s="1"/>
  <c r="L274"/>
  <c r="L336" s="1"/>
  <c r="L354" s="1"/>
  <c r="K360"/>
  <c r="L266"/>
  <c r="L334" s="1"/>
  <c r="I456" i="17"/>
  <c r="I556"/>
  <c r="I454"/>
  <c r="I739" s="1"/>
  <c r="I557"/>
  <c r="N749"/>
  <c r="N752" s="1"/>
  <c r="I408"/>
  <c r="I581"/>
  <c r="I582"/>
  <c r="AH99" i="1"/>
  <c r="AH106" s="1"/>
  <c r="AH109" s="1"/>
  <c r="AH97"/>
  <c r="AE97" i="38"/>
  <c r="AE99"/>
  <c r="AE106" s="1"/>
  <c r="AE109" s="1"/>
  <c r="AD97"/>
  <c r="AD99"/>
  <c r="AD106" s="1"/>
  <c r="AD109" s="1"/>
  <c r="L135" i="61"/>
  <c r="L175" s="1"/>
  <c r="L133"/>
  <c r="L219" s="1"/>
  <c r="L227" s="1"/>
  <c r="L176"/>
  <c r="L146"/>
  <c r="M132"/>
  <c r="M172" s="1"/>
  <c r="H358" i="35"/>
  <c r="J274"/>
  <c r="J336" s="1"/>
  <c r="I354" s="1"/>
  <c r="J270"/>
  <c r="J335" s="1"/>
  <c r="I353" s="1"/>
  <c r="J360"/>
  <c r="I176" i="61"/>
  <c r="M135"/>
  <c r="M175" s="1"/>
  <c r="F357" i="35"/>
  <c r="K134" i="61"/>
  <c r="K174" s="1"/>
  <c r="I133"/>
  <c r="K133"/>
  <c r="K141" s="1"/>
  <c r="K189" s="1"/>
  <c r="K132"/>
  <c r="I132"/>
  <c r="K176"/>
  <c r="I356" i="35"/>
  <c r="N279"/>
  <c r="N337" s="1"/>
  <c r="M355" s="1"/>
  <c r="F353"/>
  <c r="N135" i="61"/>
  <c r="N175" s="1"/>
  <c r="Y55" i="26"/>
  <c r="Y84" s="1"/>
  <c r="AE97"/>
  <c r="AE99"/>
  <c r="AE106" s="1"/>
  <c r="AE109" s="1"/>
  <c r="N146" i="61"/>
  <c r="N283" i="35"/>
  <c r="N338" s="1"/>
  <c r="N356" s="1"/>
  <c r="N134" i="61"/>
  <c r="N174" s="1"/>
  <c r="I766" i="4"/>
  <c r="I767"/>
  <c r="I355" i="35"/>
  <c r="N133" i="61"/>
  <c r="M176"/>
  <c r="BL22" i="1"/>
  <c r="I771" i="4"/>
  <c r="I992" s="1"/>
  <c r="M134" i="61"/>
  <c r="M174" s="1"/>
  <c r="N132"/>
  <c r="N172" s="1"/>
  <c r="I777" i="4"/>
  <c r="I769"/>
  <c r="I768"/>
  <c r="I773"/>
  <c r="I776"/>
  <c r="I997" s="1"/>
  <c r="I770"/>
  <c r="I991" s="1"/>
  <c r="I772"/>
  <c r="I765"/>
  <c r="I774"/>
  <c r="BL65" i="26"/>
  <c r="BQ22" i="25"/>
  <c r="W22" i="36"/>
  <c r="BO14" i="1"/>
  <c r="AE26" i="60"/>
  <c r="BP22" i="25"/>
  <c r="Q21" i="36"/>
  <c r="I22"/>
  <c r="DC22" i="1"/>
  <c r="BP14"/>
  <c r="AB22" i="36"/>
  <c r="AY285" i="47"/>
  <c r="E68" i="65"/>
  <c r="V22" i="36"/>
  <c r="S22" i="25"/>
  <c r="AK22" s="1"/>
  <c r="AK21"/>
  <c r="BL21" s="1"/>
  <c r="BO22" i="1"/>
  <c r="DH21"/>
  <c r="U22" i="36"/>
  <c r="J462" i="17" a="1"/>
  <c r="J463" a="1"/>
  <c r="J464" a="1"/>
  <c r="N320" i="13"/>
  <c r="N292"/>
  <c r="N306"/>
  <c r="N334"/>
  <c r="N285"/>
  <c r="N327"/>
  <c r="N299"/>
  <c r="N313"/>
  <c r="J529" i="17" a="1"/>
  <c r="J528" a="1"/>
  <c r="J527" a="1"/>
  <c r="J343" i="13" a="1"/>
  <c r="J342" a="1"/>
  <c r="J341" a="1"/>
  <c r="H341" a="1"/>
  <c r="H341" s="1"/>
  <c r="H342" a="1"/>
  <c r="H342" s="1"/>
  <c r="H452" s="1"/>
  <c r="H343" a="1"/>
  <c r="H343" s="1"/>
  <c r="H453" s="1"/>
  <c r="H438"/>
  <c r="F459"/>
  <c r="BG413" i="47"/>
  <c r="AZ387"/>
  <c r="BF413" s="1"/>
  <c r="BF412"/>
  <c r="BH412" s="1"/>
  <c r="BI412" s="1"/>
  <c r="AW84" i="26"/>
  <c r="AW109" s="1"/>
  <c r="BF68"/>
  <c r="BL68" s="1"/>
  <c r="I40" i="25"/>
  <c r="I109" s="1"/>
  <c r="Q22"/>
  <c r="G367" i="13"/>
  <c r="G369" s="1"/>
  <c r="G458" s="1"/>
  <c r="G451"/>
  <c r="N249"/>
  <c r="N248"/>
  <c r="N250"/>
  <c r="N247"/>
  <c r="N277" s="1"/>
  <c r="N251"/>
  <c r="K522" i="17"/>
  <c r="K726" s="1"/>
  <c r="K1047" i="4"/>
  <c r="J1129"/>
  <c r="J1283" s="1"/>
  <c r="Q84" i="37"/>
  <c r="E131" i="63"/>
  <c r="L507" i="17"/>
  <c r="F749"/>
  <c r="F752" s="1"/>
  <c r="AW49" i="60"/>
  <c r="J778" i="4"/>
  <c r="J783" a="1"/>
  <c r="J783" s="1"/>
  <c r="J788" a="1"/>
  <c r="J788" s="1"/>
  <c r="J1065" s="1"/>
  <c r="J784" a="1"/>
  <c r="J784" s="1"/>
  <c r="J1061" s="1"/>
  <c r="J787" a="1"/>
  <c r="J787" s="1"/>
  <c r="J1064" s="1"/>
  <c r="J789" a="1"/>
  <c r="J789" s="1"/>
  <c r="J1066" s="1"/>
  <c r="J782" a="1"/>
  <c r="J782" s="1"/>
  <c r="J1059" s="1"/>
  <c r="J786" a="1"/>
  <c r="J786" s="1"/>
  <c r="J1063" s="1"/>
  <c r="J790" a="1"/>
  <c r="J790" s="1"/>
  <c r="J1067" s="1"/>
  <c r="J785" a="1"/>
  <c r="J785" s="1"/>
  <c r="J1062" s="1"/>
  <c r="BA109" i="47"/>
  <c r="BQ14" i="1"/>
  <c r="F751" i="17"/>
  <c r="K1118" i="4"/>
  <c r="K1129" s="1"/>
  <c r="K1283" s="1"/>
  <c r="F768" i="17"/>
  <c r="J705" i="4"/>
  <c r="J1127"/>
  <c r="K517" i="17"/>
  <c r="K721" s="1"/>
  <c r="I451" i="42"/>
  <c r="J452" s="1"/>
  <c r="J453"/>
  <c r="I278" i="46"/>
  <c r="AD26" i="60"/>
  <c r="L801" i="14"/>
  <c r="K1126" i="4"/>
  <c r="K523" i="17"/>
  <c r="K727" s="1"/>
  <c r="BL12" i="1"/>
  <c r="F713" i="17"/>
  <c r="L639" i="4"/>
  <c r="K521" i="17"/>
  <c r="K725" s="1"/>
  <c r="K772" i="4"/>
  <c r="BL14" i="1"/>
  <c r="K1119" i="4"/>
  <c r="K1121"/>
  <c r="K1124"/>
  <c r="K1115"/>
  <c r="K1120"/>
  <c r="J1056"/>
  <c r="J687"/>
  <c r="K1051"/>
  <c r="K770"/>
  <c r="K991" s="1"/>
  <c r="K774"/>
  <c r="K771"/>
  <c r="K992" s="1"/>
  <c r="K777"/>
  <c r="K766"/>
  <c r="K775"/>
  <c r="K996" s="1"/>
  <c r="K698"/>
  <c r="K680"/>
  <c r="L1109"/>
  <c r="M633"/>
  <c r="L1038"/>
  <c r="L661"/>
  <c r="L660"/>
  <c r="L1108"/>
  <c r="M632"/>
  <c r="L1037"/>
  <c r="K1050"/>
  <c r="DH32" i="26"/>
  <c r="K785" i="14"/>
  <c r="K1123" i="4"/>
  <c r="K1122"/>
  <c r="I801" i="14"/>
  <c r="K1048" i="4"/>
  <c r="K1054"/>
  <c r="L629" i="17"/>
  <c r="L645" s="1"/>
  <c r="K520"/>
  <c r="K724" s="1"/>
  <c r="K516"/>
  <c r="K720" s="1"/>
  <c r="K510"/>
  <c r="K773" i="4"/>
  <c r="K767"/>
  <c r="K776"/>
  <c r="K997" s="1"/>
  <c r="K699"/>
  <c r="K681"/>
  <c r="K1049"/>
  <c r="I1091"/>
  <c r="K1053"/>
  <c r="K1044"/>
  <c r="I760" i="17"/>
  <c r="K519"/>
  <c r="K723" s="1"/>
  <c r="J801" i="14"/>
  <c r="K769" i="4"/>
  <c r="K768"/>
  <c r="BE95" i="25"/>
  <c r="BF95" s="1"/>
  <c r="BF51"/>
  <c r="BL51" s="1"/>
  <c r="I543" i="34"/>
  <c r="I547" s="1"/>
  <c r="H1004" i="4" a="1"/>
  <c r="H1004" s="1"/>
  <c r="H1214" s="1"/>
  <c r="G1004" a="1"/>
  <c r="G1004" s="1"/>
  <c r="G1214" s="1"/>
  <c r="H999"/>
  <c r="H1005" a="1"/>
  <c r="H1005" s="1"/>
  <c r="H1215" s="1"/>
  <c r="H1007" a="1"/>
  <c r="H1007" s="1"/>
  <c r="H1217" s="1"/>
  <c r="H1009" a="1"/>
  <c r="H1009" s="1"/>
  <c r="H1219" s="1"/>
  <c r="H1006" a="1"/>
  <c r="H1006" s="1"/>
  <c r="H1216" s="1"/>
  <c r="G1008" a="1"/>
  <c r="G1008" s="1"/>
  <c r="G1218" s="1"/>
  <c r="H1008" a="1"/>
  <c r="H1008" s="1"/>
  <c r="H1218" s="1"/>
  <c r="H1012" a="1"/>
  <c r="H1012" s="1"/>
  <c r="H1223" s="1"/>
  <c r="H1010" a="1"/>
  <c r="H1010" s="1"/>
  <c r="H1221" s="1"/>
  <c r="H1011" a="1"/>
  <c r="H1011" s="1"/>
  <c r="H1222" s="1"/>
  <c r="G783" a="1"/>
  <c r="G783" s="1"/>
  <c r="G941" s="1"/>
  <c r="G1230" s="1"/>
  <c r="H778"/>
  <c r="H788" a="1"/>
  <c r="H788" s="1"/>
  <c r="H1065" s="1"/>
  <c r="H785" a="1"/>
  <c r="H785" s="1"/>
  <c r="H1062" s="1"/>
  <c r="H786" a="1"/>
  <c r="H786" s="1"/>
  <c r="H1063" s="1"/>
  <c r="G1011" a="1"/>
  <c r="G1011" s="1"/>
  <c r="G1222" s="1"/>
  <c r="G788" a="1"/>
  <c r="G788" s="1"/>
  <c r="G1065" s="1"/>
  <c r="H782" a="1"/>
  <c r="H782" s="1"/>
  <c r="H940" s="1"/>
  <c r="H784" a="1"/>
  <c r="H784" s="1"/>
  <c r="H1061" s="1"/>
  <c r="H783" a="1"/>
  <c r="H783" s="1"/>
  <c r="H941" s="1"/>
  <c r="H1230" s="1"/>
  <c r="F778"/>
  <c r="H790" a="1"/>
  <c r="H790" s="1"/>
  <c r="H1067" s="1"/>
  <c r="H789" a="1"/>
  <c r="H789" s="1"/>
  <c r="H947" s="1"/>
  <c r="H787" a="1"/>
  <c r="H787" s="1"/>
  <c r="H1064" s="1"/>
  <c r="BJ75" i="36"/>
  <c r="BL75" s="1"/>
  <c r="BH76"/>
  <c r="BJ76" s="1"/>
  <c r="G1006" i="4" a="1"/>
  <c r="G1006" s="1"/>
  <c r="G1216" s="1"/>
  <c r="G1009" a="1"/>
  <c r="G1009" s="1"/>
  <c r="G1219" s="1"/>
  <c r="G778"/>
  <c r="G782" a="1"/>
  <c r="G782" s="1"/>
  <c r="G1059" s="1"/>
  <c r="G790" a="1"/>
  <c r="G790" s="1"/>
  <c r="G948" s="1"/>
  <c r="G1007" a="1"/>
  <c r="G1007" s="1"/>
  <c r="G1217" s="1"/>
  <c r="J132" i="6"/>
  <c r="J134" s="1"/>
  <c r="J167" s="1"/>
  <c r="G787" i="4" a="1"/>
  <c r="G787" s="1"/>
  <c r="G945" s="1"/>
  <c r="G1234" s="1"/>
  <c r="G785" a="1"/>
  <c r="G785" s="1"/>
  <c r="G1062" s="1"/>
  <c r="G1005" a="1"/>
  <c r="G1005" s="1"/>
  <c r="G1215" s="1"/>
  <c r="G1012" a="1"/>
  <c r="G1012" s="1"/>
  <c r="G1223" s="1"/>
  <c r="G999"/>
  <c r="F1009" a="1"/>
  <c r="F1009" s="1"/>
  <c r="F1219" s="1"/>
  <c r="G789" a="1"/>
  <c r="G789" s="1"/>
  <c r="G1066" s="1"/>
  <c r="BL24" i="41"/>
  <c r="BL24" i="36"/>
  <c r="G784" i="4" a="1"/>
  <c r="G784" s="1"/>
  <c r="G1061" s="1"/>
  <c r="G786" a="1"/>
  <c r="G786" s="1"/>
  <c r="G1063" s="1"/>
  <c r="G1010" a="1"/>
  <c r="G1010" s="1"/>
  <c r="G1221" s="1"/>
  <c r="F1010" a="1"/>
  <c r="F1010" s="1"/>
  <c r="F1221" s="1"/>
  <c r="F1206" s="1"/>
  <c r="F783" a="1"/>
  <c r="F783" s="1"/>
  <c r="F941" s="1"/>
  <c r="F1230" s="1"/>
  <c r="F782" a="1"/>
  <c r="F782" s="1"/>
  <c r="F940" s="1"/>
  <c r="F1004" a="1"/>
  <c r="F1004" s="1"/>
  <c r="F1214" s="1"/>
  <c r="F785" a="1"/>
  <c r="F785" s="1"/>
  <c r="F943" s="1"/>
  <c r="F1232" s="1"/>
  <c r="F790" a="1"/>
  <c r="F790" s="1"/>
  <c r="F1067" s="1"/>
  <c r="F999"/>
  <c r="F1012" a="1"/>
  <c r="F1012" s="1"/>
  <c r="F1223" s="1"/>
  <c r="F788" a="1"/>
  <c r="F788" s="1"/>
  <c r="F1065" s="1"/>
  <c r="F787" a="1"/>
  <c r="F787" s="1"/>
  <c r="F1064" s="1"/>
  <c r="F1007" a="1"/>
  <c r="F1007" s="1"/>
  <c r="F1217" s="1"/>
  <c r="F1008" a="1"/>
  <c r="F1008" s="1"/>
  <c r="F1218" s="1"/>
  <c r="F1005" a="1"/>
  <c r="F1005" s="1"/>
  <c r="F1215" s="1"/>
  <c r="F1006" a="1"/>
  <c r="F1006" s="1"/>
  <c r="F1216" s="1"/>
  <c r="F786" a="1"/>
  <c r="F786" s="1"/>
  <c r="F944" s="1"/>
  <c r="F1233" s="1"/>
  <c r="F1011" a="1"/>
  <c r="F1011" s="1"/>
  <c r="F1222" s="1"/>
  <c r="F784" a="1"/>
  <c r="F784" s="1"/>
  <c r="F1061" s="1"/>
  <c r="F789" a="1"/>
  <c r="F789" s="1"/>
  <c r="F947" s="1"/>
  <c r="DH32" i="37"/>
  <c r="N221" i="61"/>
  <c r="N229" s="1"/>
  <c r="BF84" i="1"/>
  <c r="BL75" i="25"/>
  <c r="BL63"/>
  <c r="BL57" i="36"/>
  <c r="V22" i="38"/>
  <c r="BF58"/>
  <c r="AB22"/>
  <c r="BP22" i="37"/>
  <c r="BZ22" i="39"/>
  <c r="BZ40" s="1"/>
  <c r="BZ109" s="1"/>
  <c r="BQ22" i="37"/>
  <c r="BW22" i="38"/>
  <c r="BW40" s="1"/>
  <c r="BW109" s="1"/>
  <c r="BY22" i="39"/>
  <c r="BY40" s="1"/>
  <c r="BY109" s="1"/>
  <c r="AG8" i="60"/>
  <c r="V6"/>
  <c r="BE51" i="37"/>
  <c r="BF50"/>
  <c r="F235" i="35"/>
  <c r="F386"/>
  <c r="J288" i="46"/>
  <c r="J299" s="1"/>
  <c r="AK58" i="38"/>
  <c r="Q21"/>
  <c r="I22"/>
  <c r="CG51" i="39"/>
  <c r="DH50"/>
  <c r="AF51" i="36"/>
  <c r="AK50"/>
  <c r="W22" i="38"/>
  <c r="BX22" i="39"/>
  <c r="BX40" s="1"/>
  <c r="BX109" s="1"/>
  <c r="AK21" i="37"/>
  <c r="BL21" s="1"/>
  <c r="S22"/>
  <c r="AK22" s="1"/>
  <c r="U22" i="38"/>
  <c r="AF8" i="60"/>
  <c r="U6"/>
  <c r="BE51" i="36"/>
  <c r="BF50"/>
  <c r="K145" i="8"/>
  <c r="K122"/>
  <c r="K154" s="1"/>
  <c r="K144"/>
  <c r="J342" i="13"/>
  <c r="J452" s="1"/>
  <c r="J438"/>
  <c r="J443" s="1"/>
  <c r="J341"/>
  <c r="J343"/>
  <c r="J453" s="1"/>
  <c r="M448" i="34"/>
  <c r="N355"/>
  <c r="N448" s="1"/>
  <c r="N175" i="13"/>
  <c r="M234"/>
  <c r="M209"/>
  <c r="G356" i="35"/>
  <c r="H356"/>
  <c r="L116" i="8"/>
  <c r="L117" s="1"/>
  <c r="L120"/>
  <c r="L559" i="34"/>
  <c r="L449"/>
  <c r="K437" i="13"/>
  <c r="K243"/>
  <c r="K441" s="1"/>
  <c r="K244"/>
  <c r="K442" s="1"/>
  <c r="K240"/>
  <c r="K242"/>
  <c r="K440" s="1"/>
  <c r="K241"/>
  <c r="K439" s="1"/>
  <c r="J146" i="8"/>
  <c r="J137"/>
  <c r="J165"/>
  <c r="L263" i="13"/>
  <c r="L265"/>
  <c r="L262"/>
  <c r="L261"/>
  <c r="L264"/>
  <c r="L237"/>
  <c r="N791" i="4"/>
  <c r="N1059"/>
  <c r="N1068" s="1"/>
  <c r="K561" i="34"/>
  <c r="N357" i="35"/>
  <c r="G355"/>
  <c r="H355"/>
  <c r="M114" i="8"/>
  <c r="M155"/>
  <c r="N110"/>
  <c r="H547" i="34"/>
  <c r="N845" i="4"/>
  <c r="I793" i="14"/>
  <c r="DH32" i="40"/>
  <c r="N219" i="61"/>
  <c r="N227" s="1"/>
  <c r="N441" i="42"/>
  <c r="J422" i="34"/>
  <c r="BL58" i="37"/>
  <c r="J169" i="8"/>
  <c r="J127"/>
  <c r="L355" i="35"/>
  <c r="Q22" i="37"/>
  <c r="I40"/>
  <c r="K406" i="34"/>
  <c r="K409" s="1"/>
  <c r="K364"/>
  <c r="K411" s="1"/>
  <c r="K413" s="1"/>
  <c r="L363"/>
  <c r="K156" i="8"/>
  <c r="K126"/>
  <c r="K131"/>
  <c r="K136"/>
  <c r="J167"/>
  <c r="J132"/>
  <c r="L283" i="13"/>
  <c r="L286" s="1"/>
  <c r="L297"/>
  <c r="L300" s="1"/>
  <c r="L456" s="1"/>
  <c r="L290"/>
  <c r="L293" s="1"/>
  <c r="L455" s="1"/>
  <c r="L304"/>
  <c r="L307" s="1"/>
  <c r="L457" s="1"/>
  <c r="L332"/>
  <c r="L335" s="1"/>
  <c r="L475" s="1"/>
  <c r="L311"/>
  <c r="L314" s="1"/>
  <c r="L472" s="1"/>
  <c r="L318"/>
  <c r="L321" s="1"/>
  <c r="L473" s="1"/>
  <c r="L325"/>
  <c r="L328" s="1"/>
  <c r="L474" s="1"/>
  <c r="I367"/>
  <c r="I369" s="1"/>
  <c r="I458" s="1"/>
  <c r="I451"/>
  <c r="G357" i="35"/>
  <c r="H357"/>
  <c r="K454" i="13"/>
  <c r="K363"/>
  <c r="K365" s="1"/>
  <c r="M793" i="14"/>
  <c r="H785"/>
  <c r="F793"/>
  <c r="N173" i="61"/>
  <c r="BL14" i="26"/>
  <c r="I1085" i="4"/>
  <c r="N141" i="61"/>
  <c r="N189" s="1"/>
  <c r="L503" i="17"/>
  <c r="BL24" i="39"/>
  <c r="AX63" i="37"/>
  <c r="BF57"/>
  <c r="M116" i="55"/>
  <c r="L116"/>
  <c r="BJ79" i="36"/>
  <c r="BL79" s="1"/>
  <c r="G249" i="35"/>
  <c r="G387"/>
  <c r="L249"/>
  <c r="L387"/>
  <c r="N249"/>
  <c r="N387"/>
  <c r="K223" i="46"/>
  <c r="V56" i="60"/>
  <c r="T63" i="37"/>
  <c r="AK57"/>
  <c r="I287" i="46"/>
  <c r="I298" s="1"/>
  <c r="J249" i="35"/>
  <c r="J387"/>
  <c r="H249"/>
  <c r="H387"/>
  <c r="T76" i="38"/>
  <c r="AK76" s="1"/>
  <c r="AK75"/>
  <c r="BI76"/>
  <c r="K116" i="55"/>
  <c r="I249" i="35"/>
  <c r="I387"/>
  <c r="W55" i="40"/>
  <c r="F68" i="65"/>
  <c r="AZ285" i="47"/>
  <c r="L224" i="46"/>
  <c r="M249" i="35"/>
  <c r="M387"/>
  <c r="K249"/>
  <c r="K387"/>
  <c r="AB55" i="39"/>
  <c r="J198" i="7"/>
  <c r="J195"/>
  <c r="J227"/>
  <c r="J224"/>
  <c r="K189"/>
  <c r="K191" s="1"/>
  <c r="K193" s="1"/>
  <c r="K196" s="1"/>
  <c r="K233"/>
  <c r="L203"/>
  <c r="M168"/>
  <c r="L242"/>
  <c r="J125" i="9"/>
  <c r="J124"/>
  <c r="J102"/>
  <c r="J134" s="1"/>
  <c r="L685" i="4"/>
  <c r="L703"/>
  <c r="L697"/>
  <c r="L679"/>
  <c r="L536" i="17"/>
  <c r="J529"/>
  <c r="J759" s="1"/>
  <c r="J528"/>
  <c r="J758" s="1"/>
  <c r="J524"/>
  <c r="J719"/>
  <c r="J728" s="1"/>
  <c r="J527"/>
  <c r="J757" s="1"/>
  <c r="M360"/>
  <c r="M392"/>
  <c r="M603"/>
  <c r="L631"/>
  <c r="L647" s="1"/>
  <c r="L684" i="4"/>
  <c r="L702"/>
  <c r="L682"/>
  <c r="L700"/>
  <c r="L632" i="17"/>
  <c r="L648" s="1"/>
  <c r="J40" i="36"/>
  <c r="J109" s="1"/>
  <c r="Q32"/>
  <c r="BL32" s="1"/>
  <c r="BF76" i="25"/>
  <c r="BL76" s="1"/>
  <c r="AV84"/>
  <c r="AK32" i="39"/>
  <c r="N118" i="6"/>
  <c r="M122"/>
  <c r="M177"/>
  <c r="K337" i="7"/>
  <c r="K204"/>
  <c r="K206" s="1"/>
  <c r="K208" s="1"/>
  <c r="K239"/>
  <c r="L704" i="4"/>
  <c r="L686"/>
  <c r="I126" i="9"/>
  <c r="M659" i="4"/>
  <c r="M1107"/>
  <c r="M1036"/>
  <c r="L221" i="61"/>
  <c r="L229" s="1"/>
  <c r="L141"/>
  <c r="L189" s="1"/>
  <c r="I145" i="9"/>
  <c r="I117"/>
  <c r="M358" i="17"/>
  <c r="M390"/>
  <c r="M601"/>
  <c r="M356"/>
  <c r="M503" s="1"/>
  <c r="M388"/>
  <c r="M599"/>
  <c r="K173" i="61"/>
  <c r="K172"/>
  <c r="I275" i="7"/>
  <c r="I276"/>
  <c r="I304"/>
  <c r="I277"/>
  <c r="J40" i="26"/>
  <c r="J109" s="1"/>
  <c r="Q32"/>
  <c r="BL32" s="1"/>
  <c r="AK32" i="37"/>
  <c r="H119" i="55"/>
  <c r="H145"/>
  <c r="H118"/>
  <c r="H212"/>
  <c r="H117"/>
  <c r="AK32" i="38"/>
  <c r="J40"/>
  <c r="J109" s="1"/>
  <c r="Q32"/>
  <c r="AV84" i="36"/>
  <c r="BF76"/>
  <c r="Q32" i="40"/>
  <c r="BL32" s="1"/>
  <c r="J40"/>
  <c r="J109" s="1"/>
  <c r="N119" i="55"/>
  <c r="N212"/>
  <c r="N118"/>
  <c r="N117"/>
  <c r="N145"/>
  <c r="I119"/>
  <c r="I118"/>
  <c r="I212"/>
  <c r="I117"/>
  <c r="I145"/>
  <c r="M663" i="4"/>
  <c r="M1111"/>
  <c r="M1040"/>
  <c r="M600" i="17"/>
  <c r="M389"/>
  <c r="M357"/>
  <c r="M350"/>
  <c r="M382"/>
  <c r="M593"/>
  <c r="L124" i="6"/>
  <c r="L125" s="1"/>
  <c r="L130" s="1"/>
  <c r="L138"/>
  <c r="M536" i="17"/>
  <c r="M444"/>
  <c r="M1114" i="4"/>
  <c r="M666"/>
  <c r="M1043"/>
  <c r="M852"/>
  <c r="M853" s="1"/>
  <c r="M854" s="1"/>
  <c r="N844"/>
  <c r="J710" i="17"/>
  <c r="L770" i="4"/>
  <c r="L776"/>
  <c r="L772"/>
  <c r="L769"/>
  <c r="L775"/>
  <c r="L773"/>
  <c r="L766"/>
  <c r="L774"/>
  <c r="L777"/>
  <c r="L765"/>
  <c r="L771"/>
  <c r="L768"/>
  <c r="L767"/>
  <c r="M657"/>
  <c r="M1105"/>
  <c r="M1034"/>
  <c r="L148" i="61"/>
  <c r="L638" i="17"/>
  <c r="L654" s="1"/>
  <c r="J1080" i="4"/>
  <c r="L637" i="17"/>
  <c r="L653" s="1"/>
  <c r="M658" i="4"/>
  <c r="M1106"/>
  <c r="M1035"/>
  <c r="K719" i="17"/>
  <c r="I147" i="9"/>
  <c r="I112"/>
  <c r="M385" i="17"/>
  <c r="M353"/>
  <c r="M596"/>
  <c r="L147" i="61"/>
  <c r="M355" i="17"/>
  <c r="M387"/>
  <c r="M598"/>
  <c r="Q32" i="1"/>
  <c r="J40"/>
  <c r="J109" s="1"/>
  <c r="G119" i="55"/>
  <c r="G145"/>
  <c r="G117"/>
  <c r="G212"/>
  <c r="G118"/>
  <c r="N846" i="4"/>
  <c r="N847"/>
  <c r="L639" i="17"/>
  <c r="L655" s="1"/>
  <c r="K793" i="14"/>
  <c r="L502" i="17"/>
  <c r="BL24" i="25"/>
  <c r="DH32" i="41"/>
  <c r="L442" i="17"/>
  <c r="L444" s="1"/>
  <c r="I1087" i="4"/>
  <c r="K705"/>
  <c r="K801" i="14"/>
  <c r="L636" i="17"/>
  <c r="L652" s="1"/>
  <c r="I785" i="14"/>
  <c r="H793"/>
  <c r="G801"/>
  <c r="J785"/>
  <c r="L635" i="17"/>
  <c r="L651" s="1"/>
  <c r="M801" i="14"/>
  <c r="DH32" i="36"/>
  <c r="DH32" i="25"/>
  <c r="DH32" i="38"/>
  <c r="M655" i="4"/>
  <c r="M1103"/>
  <c r="M1032"/>
  <c r="L676"/>
  <c r="L694"/>
  <c r="L627" i="17"/>
  <c r="M361"/>
  <c r="M604"/>
  <c r="M393"/>
  <c r="K131" i="6"/>
  <c r="K168" s="1"/>
  <c r="K165"/>
  <c r="M90" i="9"/>
  <c r="L94"/>
  <c r="L135"/>
  <c r="L678" i="4"/>
  <c r="L696"/>
  <c r="I213" i="7"/>
  <c r="I272" s="1"/>
  <c r="I210"/>
  <c r="I306" s="1"/>
  <c r="J211"/>
  <c r="J302"/>
  <c r="K218"/>
  <c r="K220" s="1"/>
  <c r="K222" s="1"/>
  <c r="K225" s="1"/>
  <c r="K229"/>
  <c r="K245"/>
  <c r="Q32" i="25"/>
  <c r="J40"/>
  <c r="J109" s="1"/>
  <c r="I166" i="6"/>
  <c r="I167"/>
  <c r="J116" i="9"/>
  <c r="J106"/>
  <c r="J136"/>
  <c r="J111"/>
  <c r="J1007" i="4" a="1"/>
  <c r="J1007" s="1"/>
  <c r="J1217" s="1"/>
  <c r="J1004" a="1"/>
  <c r="J1004" s="1"/>
  <c r="J1005" a="1"/>
  <c r="J1005" s="1"/>
  <c r="J1215" s="1"/>
  <c r="J999"/>
  <c r="J1011" a="1"/>
  <c r="J1011" s="1"/>
  <c r="J1222" s="1"/>
  <c r="J1012" a="1"/>
  <c r="J1012" s="1"/>
  <c r="J1223" s="1"/>
  <c r="J1006" a="1"/>
  <c r="J1006" s="1"/>
  <c r="J1216" s="1"/>
  <c r="J1009" a="1"/>
  <c r="J1009" s="1"/>
  <c r="J1219" s="1"/>
  <c r="J1010" a="1"/>
  <c r="J1010" s="1"/>
  <c r="J1221" s="1"/>
  <c r="J1008" a="1"/>
  <c r="J1008" s="1"/>
  <c r="J1218" s="1"/>
  <c r="M654"/>
  <c r="M1031"/>
  <c r="M1102"/>
  <c r="L695"/>
  <c r="L677"/>
  <c r="K96" i="9"/>
  <c r="K97" s="1"/>
  <c r="K100"/>
  <c r="M352" i="17"/>
  <c r="M384"/>
  <c r="M595"/>
  <c r="J887" i="4"/>
  <c r="J897"/>
  <c r="J895"/>
  <c r="J1089" s="1"/>
  <c r="J893"/>
  <c r="J1087" s="1"/>
  <c r="J894"/>
  <c r="J889"/>
  <c r="J1083" s="1"/>
  <c r="J892"/>
  <c r="J896"/>
  <c r="J891"/>
  <c r="J1085" s="1"/>
  <c r="J890"/>
  <c r="J1084" s="1"/>
  <c r="L217" i="7"/>
  <c r="M169"/>
  <c r="L248"/>
  <c r="L630" i="17"/>
  <c r="L646" s="1"/>
  <c r="L693" i="4"/>
  <c r="L675"/>
  <c r="L701"/>
  <c r="L683"/>
  <c r="L710"/>
  <c r="L711" s="1"/>
  <c r="M656"/>
  <c r="M1104"/>
  <c r="M1033"/>
  <c r="M362" i="17"/>
  <c r="M394"/>
  <c r="M605"/>
  <c r="L179" i="6"/>
  <c r="M391" i="17"/>
  <c r="M602"/>
  <c r="M359"/>
  <c r="L188" i="7"/>
  <c r="M167"/>
  <c r="L170"/>
  <c r="L335" s="1"/>
  <c r="L236"/>
  <c r="L859" i="4"/>
  <c r="L875" s="1"/>
  <c r="L865"/>
  <c r="L881" s="1"/>
  <c r="L861"/>
  <c r="L877" s="1"/>
  <c r="L869"/>
  <c r="L885" s="1"/>
  <c r="L866"/>
  <c r="L882" s="1"/>
  <c r="L863"/>
  <c r="L879" s="1"/>
  <c r="L864"/>
  <c r="L880" s="1"/>
  <c r="L860"/>
  <c r="L876" s="1"/>
  <c r="L867"/>
  <c r="L883" s="1"/>
  <c r="L862"/>
  <c r="L878" s="1"/>
  <c r="L868"/>
  <c r="L884" s="1"/>
  <c r="L857"/>
  <c r="L858"/>
  <c r="L874" s="1"/>
  <c r="M1113"/>
  <c r="M665"/>
  <c r="M1042"/>
  <c r="L692"/>
  <c r="L674"/>
  <c r="L172" i="61"/>
  <c r="K1076" i="4"/>
  <c r="K1073"/>
  <c r="K1079"/>
  <c r="K873"/>
  <c r="K1074"/>
  <c r="K1072"/>
  <c r="K870"/>
  <c r="K1075"/>
  <c r="K1078"/>
  <c r="K1077"/>
  <c r="K1071"/>
  <c r="M386" i="17"/>
  <c r="M354"/>
  <c r="M597"/>
  <c r="M1112" i="4"/>
  <c r="M664"/>
  <c r="M1041"/>
  <c r="M1110"/>
  <c r="M662"/>
  <c r="M1039"/>
  <c r="I149" i="9"/>
  <c r="I107"/>
  <c r="L633" i="17"/>
  <c r="L649" s="1"/>
  <c r="Q32" i="41"/>
  <c r="J40"/>
  <c r="J109" s="1"/>
  <c r="AK32" i="25"/>
  <c r="J119" i="55"/>
  <c r="J145"/>
  <c r="J212"/>
  <c r="J117"/>
  <c r="J118"/>
  <c r="J40" i="39"/>
  <c r="J109" s="1"/>
  <c r="Q32"/>
  <c r="AK63" i="36"/>
  <c r="AX84"/>
  <c r="AX109" s="1"/>
  <c r="BF63"/>
  <c r="F145" i="55"/>
  <c r="F212"/>
  <c r="G785" i="14"/>
  <c r="I898" i="4"/>
  <c r="H801" i="14"/>
  <c r="F801"/>
  <c r="AK32" i="1"/>
  <c r="AK32" i="41"/>
  <c r="L634" i="17"/>
  <c r="L650" s="1"/>
  <c r="H307" i="7"/>
  <c r="F785" i="14"/>
  <c r="L508" i="17"/>
  <c r="G793" i="14"/>
  <c r="J793"/>
  <c r="M785"/>
  <c r="DH32" i="39"/>
  <c r="BL24" i="1"/>
  <c r="DH32"/>
  <c r="I8" i="65"/>
  <c r="BC8" i="47"/>
  <c r="BO12" i="36"/>
  <c r="BC12" i="37"/>
  <c r="H59" i="60"/>
  <c r="AE96" i="39"/>
  <c r="AD96"/>
  <c r="BG65" i="47"/>
  <c r="AB53" i="40"/>
  <c r="S53" i="41"/>
  <c r="AG96" i="40"/>
  <c r="BO21" i="25"/>
  <c r="T79" i="38"/>
  <c r="I48" i="64"/>
  <c r="BQ53" i="39"/>
  <c r="BG24" i="47"/>
  <c r="BQ21" i="36"/>
  <c r="T58" i="39"/>
  <c r="BF7" i="47"/>
  <c r="G15" i="63"/>
  <c r="F19" i="65"/>
  <c r="I50" i="64"/>
  <c r="AZ169" i="47"/>
  <c r="I54" i="60"/>
  <c r="AG96" i="41"/>
  <c r="E40" i="60"/>
  <c r="AZ7" i="47"/>
  <c r="J64" i="60"/>
  <c r="BE123" i="47"/>
  <c r="M54" i="60"/>
  <c r="V21" i="39"/>
  <c r="F60" i="60"/>
  <c r="G12" i="38"/>
  <c r="E60" i="60"/>
  <c r="M14" i="63"/>
  <c r="AJ45" i="1"/>
  <c r="I21" i="39"/>
  <c r="I39" i="60"/>
  <c r="J61"/>
  <c r="L7" i="65"/>
  <c r="I7"/>
  <c r="BX21" i="40"/>
  <c r="H47" i="64"/>
  <c r="M30" i="65"/>
  <c r="F42" i="60"/>
  <c r="E42"/>
  <c r="AB53" i="41"/>
  <c r="BA248" i="47"/>
  <c r="G40" i="60"/>
  <c r="G60"/>
  <c r="E7" i="65"/>
  <c r="W53" i="41"/>
  <c r="BA25" i="47"/>
  <c r="M51" i="59"/>
  <c r="AG96" i="26"/>
  <c r="BC183" i="47"/>
  <c r="BI75" i="39"/>
  <c r="AY7" i="47"/>
  <c r="AB21" i="39"/>
  <c r="BI79" i="37"/>
  <c r="J50" i="64"/>
  <c r="S21" i="36"/>
  <c r="AX57" i="38"/>
  <c r="BH53" i="1"/>
  <c r="U12" i="38"/>
  <c r="L18" i="64"/>
  <c r="Y53" i="41"/>
  <c r="F54" i="60"/>
  <c r="G7" i="65"/>
  <c r="AG96" i="38"/>
  <c r="L68" i="64"/>
  <c r="AG96" i="37"/>
  <c r="BQ53" i="26"/>
  <c r="BA313" i="47"/>
  <c r="W53" i="26"/>
  <c r="AX44" i="3"/>
  <c r="BC248" i="47"/>
  <c r="BH75" i="38"/>
  <c r="M51" i="46"/>
  <c r="BE317" i="47"/>
  <c r="H54" i="60"/>
  <c r="S53" i="26"/>
  <c r="K7" i="65"/>
  <c r="BC313" i="47"/>
  <c r="H49" i="64"/>
  <c r="AG96" i="36"/>
  <c r="AF50" i="37"/>
  <c r="F62" i="60"/>
  <c r="BP21" i="36"/>
  <c r="F43" i="60"/>
  <c r="BA169" i="47"/>
  <c r="T9" i="36"/>
  <c r="BE7" i="47"/>
  <c r="AG96" i="1"/>
  <c r="BF71" i="47"/>
  <c r="H26" i="46"/>
  <c r="H72" i="60"/>
  <c r="I42"/>
  <c r="K69" i="64"/>
  <c r="T57" i="38"/>
  <c r="G41" i="60"/>
  <c r="BB102" i="47"/>
  <c r="N60" i="59"/>
  <c r="I14" i="64"/>
  <c r="BA7" i="47"/>
  <c r="T9" i="1"/>
  <c r="AJ45" i="37"/>
  <c r="BQ53" i="40"/>
  <c r="W9" i="1"/>
  <c r="G31" i="65"/>
  <c r="E41" i="60"/>
  <c r="I45"/>
  <c r="V53" i="39"/>
  <c r="L50" i="46"/>
  <c r="M87" i="63"/>
  <c r="BE169" i="47"/>
  <c r="M69" i="60"/>
  <c r="BP12" i="36"/>
  <c r="I63" i="60"/>
  <c r="AB12" i="38"/>
  <c r="S12" i="36"/>
  <c r="G11" i="64"/>
  <c r="BA310" i="47"/>
  <c r="BC12" i="38"/>
  <c r="I59" i="60"/>
  <c r="H63"/>
  <c r="AB12" i="37"/>
  <c r="BG71" i="47"/>
  <c r="AY71"/>
  <c r="I37" i="46"/>
  <c r="BH53" i="36"/>
  <c r="BC71" i="47"/>
  <c r="BF317"/>
  <c r="G54" i="60"/>
  <c r="AG96" i="25"/>
  <c r="G14" i="64"/>
  <c r="BC101" i="47"/>
  <c r="AB9" i="25"/>
  <c r="BF124" i="47"/>
  <c r="S21" i="38"/>
  <c r="M16" i="59"/>
  <c r="AJ45" i="26"/>
  <c r="J79" i="60"/>
  <c r="J18" i="64"/>
  <c r="AY169" i="47"/>
  <c r="U21" i="39"/>
  <c r="T9" i="25"/>
  <c r="H87" i="64"/>
  <c r="AV75" i="37"/>
  <c r="G42" i="60"/>
  <c r="E43"/>
  <c r="BF122" i="47"/>
  <c r="AB53" i="26"/>
  <c r="BZ21" i="40"/>
  <c r="S53"/>
  <c r="BP21" i="38"/>
  <c r="M7" i="65"/>
  <c r="N34" i="59"/>
  <c r="S53" i="39"/>
  <c r="J78" i="60"/>
  <c r="DC21" i="37"/>
  <c r="BB169" i="47"/>
  <c r="BC235"/>
  <c r="BA235"/>
  <c r="M59" i="59"/>
  <c r="J36" i="46"/>
  <c r="AJ45" i="25"/>
  <c r="AJ45" i="38"/>
  <c r="J80" i="60"/>
  <c r="BF169" i="47"/>
  <c r="Y53" i="39"/>
  <c r="AF96" i="1"/>
  <c r="BC169" i="47"/>
  <c r="V9" i="1"/>
  <c r="F7" i="65"/>
  <c r="M18" i="64"/>
  <c r="K36" i="46"/>
  <c r="BO21" i="37"/>
  <c r="W79"/>
  <c r="AX58" i="39"/>
  <c r="BA241" i="47"/>
  <c r="AF96" i="25"/>
  <c r="AH96" i="41"/>
  <c r="AD96" i="36"/>
  <c r="AZ71" i="47"/>
  <c r="BH53" i="38"/>
  <c r="AG96" i="39"/>
  <c r="L70" i="64"/>
  <c r="I43" i="60"/>
  <c r="H35"/>
  <c r="DC21" i="25"/>
  <c r="AJ45" i="36"/>
  <c r="BD317" i="47"/>
  <c r="AY44" i="3"/>
  <c r="BY21" i="40"/>
  <c r="F41" i="60"/>
  <c r="G88" i="63"/>
  <c r="I41" i="60"/>
  <c r="E39"/>
  <c r="BB100" i="47"/>
  <c r="F40" i="60"/>
  <c r="J16" i="46"/>
  <c r="BW21" i="39"/>
  <c r="AZ14" i="47"/>
  <c r="Y53" i="37"/>
  <c r="I15" i="66"/>
  <c r="BD169" i="47"/>
  <c r="G43" i="60"/>
  <c r="BE71" i="47"/>
  <c r="BH53" i="25"/>
  <c r="V12" i="38"/>
  <c r="Y53" i="40"/>
  <c r="BG317" i="47"/>
  <c r="I40" i="60"/>
  <c r="K67" i="64"/>
  <c r="BG7" i="47"/>
  <c r="CG50" i="40"/>
  <c r="V53" i="26"/>
  <c r="W21" i="39"/>
  <c r="W53"/>
  <c r="K18" i="64"/>
  <c r="J7" i="65"/>
  <c r="K17" i="46"/>
  <c r="T75" i="39"/>
  <c r="J48" i="64" s="1"/>
  <c r="L44" i="59"/>
  <c r="BH75" i="37"/>
  <c r="I60" i="60"/>
  <c r="L6" i="59"/>
  <c r="BQ21" i="38"/>
  <c r="BE121" i="47"/>
  <c r="BD7"/>
  <c r="BG169"/>
  <c r="BC241"/>
  <c r="BC7"/>
  <c r="BC103"/>
  <c r="BD103"/>
  <c r="E54" i="60"/>
  <c r="F39"/>
  <c r="M33" i="59"/>
  <c r="G39" i="60"/>
  <c r="BB163" i="47"/>
  <c r="I70" i="60"/>
  <c r="V14" i="38" l="1"/>
  <c r="BH55" i="25"/>
  <c r="BH55" i="38"/>
  <c r="AD99" i="36"/>
  <c r="AD106" s="1"/>
  <c r="AD109" s="1"/>
  <c r="AD97"/>
  <c r="AH99" i="41"/>
  <c r="AH106" s="1"/>
  <c r="AH109" s="1"/>
  <c r="AH97"/>
  <c r="AF99" i="25"/>
  <c r="AF106" s="1"/>
  <c r="AF109" s="1"/>
  <c r="AF97"/>
  <c r="BH55" i="36"/>
  <c r="I279" i="46"/>
  <c r="AB14" i="37"/>
  <c r="BF12" i="38"/>
  <c r="BC14"/>
  <c r="BF14" s="1"/>
  <c r="AK12" i="36"/>
  <c r="BL12" s="1"/>
  <c r="S14"/>
  <c r="AK14" s="1"/>
  <c r="BL14" s="1"/>
  <c r="AB14" i="38"/>
  <c r="BP14" i="36"/>
  <c r="AL26" i="60"/>
  <c r="H265" i="46"/>
  <c r="AG99" i="1"/>
  <c r="AG106" s="1"/>
  <c r="AG109" s="1"/>
  <c r="AG97"/>
  <c r="U14" i="38"/>
  <c r="BH55" i="1"/>
  <c r="AD97" i="39"/>
  <c r="AD99"/>
  <c r="AD106" s="1"/>
  <c r="AD109" s="1"/>
  <c r="AE97"/>
  <c r="AE99"/>
  <c r="AE106" s="1"/>
  <c r="AE109" s="1"/>
  <c r="BF12" i="37"/>
  <c r="BC14"/>
  <c r="BF14" s="1"/>
  <c r="BO14" i="36"/>
  <c r="J446" i="42"/>
  <c r="K447" s="1"/>
  <c r="K448"/>
  <c r="I710" i="17"/>
  <c r="I560"/>
  <c r="I586"/>
  <c r="I784" s="1"/>
  <c r="K395"/>
  <c r="K640" s="1"/>
  <c r="K569"/>
  <c r="K581" s="1"/>
  <c r="K405"/>
  <c r="K406"/>
  <c r="K401"/>
  <c r="K628"/>
  <c r="K644" s="1"/>
  <c r="K564"/>
  <c r="K567"/>
  <c r="K399"/>
  <c r="K565"/>
  <c r="K402"/>
  <c r="K404"/>
  <c r="K407"/>
  <c r="K571"/>
  <c r="K400"/>
  <c r="K566"/>
  <c r="K578" s="1"/>
  <c r="K563"/>
  <c r="K568"/>
  <c r="K580" s="1"/>
  <c r="K403"/>
  <c r="K570"/>
  <c r="K582" s="1"/>
  <c r="N354" i="35"/>
  <c r="M354"/>
  <c r="K40" i="37"/>
  <c r="K109" s="1"/>
  <c r="Q32"/>
  <c r="H705" i="17"/>
  <c r="H741"/>
  <c r="L594"/>
  <c r="L383"/>
  <c r="L351"/>
  <c r="L318"/>
  <c r="F260" i="35"/>
  <c r="F333" s="1"/>
  <c r="F252"/>
  <c r="F331" s="1"/>
  <c r="F256"/>
  <c r="F332" s="1"/>
  <c r="I135" i="61"/>
  <c r="I175" s="1"/>
  <c r="I134"/>
  <c r="I174" s="1"/>
  <c r="I462" i="17"/>
  <c r="I765" s="1"/>
  <c r="I464"/>
  <c r="I767" s="1"/>
  <c r="I463"/>
  <c r="I766" s="1"/>
  <c r="I733"/>
  <c r="I457"/>
  <c r="H750"/>
  <c r="J618"/>
  <c r="J620"/>
  <c r="J785" s="1"/>
  <c r="AZ435" i="47"/>
  <c r="BG390" s="1"/>
  <c r="BH390" s="1"/>
  <c r="BI390" s="1"/>
  <c r="N713" i="17"/>
  <c r="K539"/>
  <c r="K545"/>
  <c r="K363"/>
  <c r="K375"/>
  <c r="K456" s="1"/>
  <c r="K740" s="1"/>
  <c r="K373"/>
  <c r="K454" s="1"/>
  <c r="K739" s="1"/>
  <c r="K540"/>
  <c r="K369"/>
  <c r="K542"/>
  <c r="K554" s="1"/>
  <c r="K543"/>
  <c r="K368"/>
  <c r="K449" s="1"/>
  <c r="K734" s="1"/>
  <c r="K544"/>
  <c r="K371"/>
  <c r="K452" s="1"/>
  <c r="K737" s="1"/>
  <c r="K541"/>
  <c r="K553" s="1"/>
  <c r="K374"/>
  <c r="K455" s="1"/>
  <c r="K547"/>
  <c r="K372"/>
  <c r="K453" s="1"/>
  <c r="K738" s="1"/>
  <c r="K546"/>
  <c r="K558" s="1"/>
  <c r="K370"/>
  <c r="K451" s="1"/>
  <c r="K736" s="1"/>
  <c r="K367"/>
  <c r="M352" i="35"/>
  <c r="N352"/>
  <c r="J572" i="17"/>
  <c r="J575"/>
  <c r="H266" i="35"/>
  <c r="H334" s="1"/>
  <c r="H270"/>
  <c r="H335" s="1"/>
  <c r="H274"/>
  <c r="H336" s="1"/>
  <c r="M297"/>
  <c r="M341" s="1"/>
  <c r="M301"/>
  <c r="M342" s="1"/>
  <c r="M293"/>
  <c r="M340" s="1"/>
  <c r="K266"/>
  <c r="K334" s="1"/>
  <c r="J352" s="1"/>
  <c r="K274"/>
  <c r="K336" s="1"/>
  <c r="K354" s="1"/>
  <c r="K270"/>
  <c r="K335" s="1"/>
  <c r="K287"/>
  <c r="K339" s="1"/>
  <c r="K283"/>
  <c r="K338" s="1"/>
  <c r="K279"/>
  <c r="K337" s="1"/>
  <c r="K706" i="17"/>
  <c r="G242" i="35"/>
  <c r="G329" s="1"/>
  <c r="J559" i="17"/>
  <c r="I584"/>
  <c r="BL32" i="37"/>
  <c r="G238" i="35"/>
  <c r="G328" s="1"/>
  <c r="J553" i="17"/>
  <c r="J449"/>
  <c r="J734" s="1"/>
  <c r="J557"/>
  <c r="K358" i="35"/>
  <c r="I358"/>
  <c r="J708" i="17"/>
  <c r="J359" i="35"/>
  <c r="J129" i="61"/>
  <c r="F129"/>
  <c r="J579" i="17"/>
  <c r="J576"/>
  <c r="J376"/>
  <c r="J448"/>
  <c r="I711"/>
  <c r="L352" i="35"/>
  <c r="K352"/>
  <c r="I656" i="17"/>
  <c r="I657" s="1"/>
  <c r="I641"/>
  <c r="J644"/>
  <c r="J551"/>
  <c r="J548"/>
  <c r="H749"/>
  <c r="H768"/>
  <c r="M146" i="61"/>
  <c r="N147" s="1"/>
  <c r="M133"/>
  <c r="K612" i="17"/>
  <c r="K609"/>
  <c r="K606"/>
  <c r="K614"/>
  <c r="K613"/>
  <c r="K617"/>
  <c r="K611"/>
  <c r="K610"/>
  <c r="K616"/>
  <c r="K615"/>
  <c r="N353" i="35"/>
  <c r="M353"/>
  <c r="I280" i="46"/>
  <c r="I139" i="61"/>
  <c r="I187" s="1"/>
  <c r="M148"/>
  <c r="K359" i="35"/>
  <c r="H359"/>
  <c r="G129" i="61"/>
  <c r="I109" i="37"/>
  <c r="M357" i="35"/>
  <c r="J711" i="17"/>
  <c r="L1048" i="4"/>
  <c r="K687"/>
  <c r="I146" i="61"/>
  <c r="J147" s="1"/>
  <c r="H129"/>
  <c r="J452" i="17"/>
  <c r="J737" s="1"/>
  <c r="I740"/>
  <c r="BG371" i="47"/>
  <c r="BH371" s="1"/>
  <c r="BI371" s="1"/>
  <c r="J578" i="17"/>
  <c r="J640"/>
  <c r="J656" s="1"/>
  <c r="J408"/>
  <c r="S55" i="41"/>
  <c r="Y55" i="40"/>
  <c r="Y84" s="1"/>
  <c r="AB55"/>
  <c r="M147" i="61"/>
  <c r="K220"/>
  <c r="K228" s="1"/>
  <c r="L140"/>
  <c r="L188" s="1"/>
  <c r="L139"/>
  <c r="L187" s="1"/>
  <c r="L190" s="1"/>
  <c r="L222"/>
  <c r="L230" s="1"/>
  <c r="L173"/>
  <c r="M222"/>
  <c r="M230" s="1"/>
  <c r="N355" i="35"/>
  <c r="I1007" i="4" a="1"/>
  <c r="I1007" s="1"/>
  <c r="I1217" s="1"/>
  <c r="K140" i="61"/>
  <c r="K188" s="1"/>
  <c r="K190" s="1"/>
  <c r="L178"/>
  <c r="K178"/>
  <c r="K222"/>
  <c r="K230" s="1"/>
  <c r="L220"/>
  <c r="L228" s="1"/>
  <c r="J354" i="35"/>
  <c r="Y55" i="37"/>
  <c r="Y84" s="1"/>
  <c r="AB55" i="41"/>
  <c r="N178" i="61"/>
  <c r="N179" s="1"/>
  <c r="I1006" i="4" a="1"/>
  <c r="I1006" s="1"/>
  <c r="I1216" s="1"/>
  <c r="I219" i="61"/>
  <c r="I227" s="1"/>
  <c r="I140"/>
  <c r="I188" s="1"/>
  <c r="N220"/>
  <c r="N228" s="1"/>
  <c r="I1009" i="4" a="1"/>
  <c r="I1009" s="1"/>
  <c r="I1219" s="1"/>
  <c r="W55" i="39"/>
  <c r="AB55" i="26"/>
  <c r="Y55" i="39"/>
  <c r="Y84" s="1"/>
  <c r="I172" i="61"/>
  <c r="I221"/>
  <c r="I229" s="1"/>
  <c r="I141"/>
  <c r="I189" s="1"/>
  <c r="I220"/>
  <c r="I228" s="1"/>
  <c r="K139"/>
  <c r="K187" s="1"/>
  <c r="K221"/>
  <c r="K229" s="1"/>
  <c r="I222"/>
  <c r="I230" s="1"/>
  <c r="I173"/>
  <c r="K219"/>
  <c r="K227" s="1"/>
  <c r="N140"/>
  <c r="N188" s="1"/>
  <c r="W55" i="41"/>
  <c r="Y55"/>
  <c r="Y84" s="1"/>
  <c r="W55" i="26"/>
  <c r="S55"/>
  <c r="I790" i="4" a="1"/>
  <c r="I790" s="1"/>
  <c r="I1067" s="1"/>
  <c r="M141" i="61"/>
  <c r="M189" s="1"/>
  <c r="M356" i="35"/>
  <c r="N139" i="61"/>
  <c r="N187" s="1"/>
  <c r="M219"/>
  <c r="M227" s="1"/>
  <c r="N222"/>
  <c r="N230" s="1"/>
  <c r="I1011" i="4" a="1"/>
  <c r="I1011" s="1"/>
  <c r="I1222" s="1"/>
  <c r="I784" a="1"/>
  <c r="I784" s="1"/>
  <c r="I1061" s="1"/>
  <c r="I1010" a="1"/>
  <c r="I1010" s="1"/>
  <c r="I1221" s="1"/>
  <c r="BL22" i="25"/>
  <c r="I1004" i="4" a="1"/>
  <c r="I1004" s="1"/>
  <c r="I1008" a="1"/>
  <c r="I1008" s="1"/>
  <c r="I1218" s="1"/>
  <c r="I1012" a="1"/>
  <c r="I1012" s="1"/>
  <c r="I1223" s="1"/>
  <c r="I999"/>
  <c r="I785" a="1"/>
  <c r="I785" s="1"/>
  <c r="I1062" s="1"/>
  <c r="I1005" a="1"/>
  <c r="I1005" s="1"/>
  <c r="I1215" s="1"/>
  <c r="I778"/>
  <c r="I787" a="1"/>
  <c r="I787" s="1"/>
  <c r="I945" s="1"/>
  <c r="I1234" s="1"/>
  <c r="I1205" s="1"/>
  <c r="I783" a="1"/>
  <c r="I783" s="1"/>
  <c r="I786" a="1"/>
  <c r="I786" s="1"/>
  <c r="I788" a="1"/>
  <c r="I788" s="1"/>
  <c r="I1065" s="1"/>
  <c r="I782" a="1"/>
  <c r="I782" s="1"/>
  <c r="I1059" s="1"/>
  <c r="I789" a="1"/>
  <c r="I789" s="1"/>
  <c r="BP22" i="36"/>
  <c r="DH21" i="25"/>
  <c r="BO22"/>
  <c r="S22" i="36"/>
  <c r="AK22" s="1"/>
  <c r="AK21"/>
  <c r="BL21" s="1"/>
  <c r="J278" i="46"/>
  <c r="BQ22" i="36"/>
  <c r="DC22" i="25"/>
  <c r="DC40" s="1"/>
  <c r="DC109" s="1"/>
  <c r="BG284" i="47"/>
  <c r="M69" i="65"/>
  <c r="G459" i="13"/>
  <c r="K341" a="1"/>
  <c r="K342" a="1"/>
  <c r="K343" a="1"/>
  <c r="DH22" i="1"/>
  <c r="DC40"/>
  <c r="DC109" s="1"/>
  <c r="K464" i="17" a="1"/>
  <c r="K462" a="1"/>
  <c r="K463" a="1"/>
  <c r="BH413" i="47"/>
  <c r="BI413" s="1"/>
  <c r="K528" i="17" a="1"/>
  <c r="L1044" i="4"/>
  <c r="L1120"/>
  <c r="M639"/>
  <c r="J941"/>
  <c r="J1230" s="1"/>
  <c r="J1201" s="1"/>
  <c r="K529" i="17" a="1"/>
  <c r="I40" i="36"/>
  <c r="I109" s="1"/>
  <c r="Q22"/>
  <c r="H367" i="13"/>
  <c r="H369" s="1"/>
  <c r="H458" s="1"/>
  <c r="H451"/>
  <c r="L1051" i="4"/>
  <c r="H443" i="13"/>
  <c r="K527" i="17" a="1"/>
  <c r="J1060" i="4"/>
  <c r="J1094" s="1"/>
  <c r="J1282" s="1"/>
  <c r="J945"/>
  <c r="J1234" s="1"/>
  <c r="J1205" s="1"/>
  <c r="J948"/>
  <c r="J947"/>
  <c r="J791"/>
  <c r="J943"/>
  <c r="J1232" s="1"/>
  <c r="J1203" s="1"/>
  <c r="L1049"/>
  <c r="L1053"/>
  <c r="L1054"/>
  <c r="J451" i="42"/>
  <c r="K452" s="1"/>
  <c r="K453"/>
  <c r="M765" i="4" a="1"/>
  <c r="M768" s="1"/>
  <c r="K527" i="17"/>
  <c r="K757" s="1"/>
  <c r="L1052" i="4"/>
  <c r="L1055"/>
  <c r="L1047"/>
  <c r="K529" i="17"/>
  <c r="K759" s="1"/>
  <c r="L1124" i="4"/>
  <c r="K1056"/>
  <c r="L1050"/>
  <c r="K1127"/>
  <c r="L1115"/>
  <c r="I1092"/>
  <c r="L1123"/>
  <c r="L1121"/>
  <c r="K778"/>
  <c r="K787" a="1"/>
  <c r="K787" s="1"/>
  <c r="K1064" s="1"/>
  <c r="K788" a="1"/>
  <c r="K788" s="1"/>
  <c r="K1065" s="1"/>
  <c r="M661"/>
  <c r="M1038"/>
  <c r="M1109"/>
  <c r="M660"/>
  <c r="M1037"/>
  <c r="M1108"/>
  <c r="K786" a="1"/>
  <c r="K786" s="1"/>
  <c r="K1063" s="1"/>
  <c r="K790" a="1"/>
  <c r="K790" s="1"/>
  <c r="K1067" s="1"/>
  <c r="K728" i="17"/>
  <c r="L1122" i="4"/>
  <c r="K785" a="1"/>
  <c r="K785" s="1"/>
  <c r="K1062" s="1"/>
  <c r="K789" a="1"/>
  <c r="K789" s="1"/>
  <c r="K783" a="1"/>
  <c r="K783" s="1"/>
  <c r="K524" i="17"/>
  <c r="L1125" i="4"/>
  <c r="L1126"/>
  <c r="J760" i="17"/>
  <c r="L698" i="4"/>
  <c r="L680"/>
  <c r="L699"/>
  <c r="L681"/>
  <c r="K782" a="1"/>
  <c r="K782" s="1"/>
  <c r="K1059" s="1"/>
  <c r="J1091"/>
  <c r="K784" a="1"/>
  <c r="K784" s="1"/>
  <c r="J940"/>
  <c r="J1229" s="1"/>
  <c r="K528" i="17"/>
  <c r="K758" s="1"/>
  <c r="L1118" i="4"/>
  <c r="L1119"/>
  <c r="M507" i="17"/>
  <c r="H943" i="4"/>
  <c r="H1232" s="1"/>
  <c r="H1203" s="1"/>
  <c r="AK50" i="37"/>
  <c r="BL50" s="1"/>
  <c r="AF51"/>
  <c r="AF84" s="1"/>
  <c r="AF95" s="1"/>
  <c r="G1060" i="4"/>
  <c r="G1094" s="1"/>
  <c r="G1282" s="1"/>
  <c r="H948"/>
  <c r="H1237" s="1"/>
  <c r="H942"/>
  <c r="H1231" s="1"/>
  <c r="H1202" s="1"/>
  <c r="H944"/>
  <c r="H1233" s="1"/>
  <c r="H1059"/>
  <c r="H945"/>
  <c r="H1234" s="1"/>
  <c r="H1205" s="1"/>
  <c r="F948"/>
  <c r="F1237" s="1"/>
  <c r="F1208" s="1"/>
  <c r="G942"/>
  <c r="G1231" s="1"/>
  <c r="G1202" s="1"/>
  <c r="G947"/>
  <c r="G1237" s="1"/>
  <c r="G946"/>
  <c r="G1236" s="1"/>
  <c r="H1013"/>
  <c r="H1016" a="1"/>
  <c r="H1016" s="1"/>
  <c r="AF11" i="60"/>
  <c r="U11"/>
  <c r="H1018" i="4" a="1"/>
  <c r="H1018" s="1"/>
  <c r="H1017" a="1"/>
  <c r="H1017" s="1"/>
  <c r="H1224"/>
  <c r="H946"/>
  <c r="H1236" s="1"/>
  <c r="F1062"/>
  <c r="F1060"/>
  <c r="BB109" i="47"/>
  <c r="H1060" i="4"/>
  <c r="BL76" i="36"/>
  <c r="H791" i="4"/>
  <c r="F1063"/>
  <c r="H1066"/>
  <c r="G1067"/>
  <c r="G944"/>
  <c r="G1233" s="1"/>
  <c r="G1204" s="1"/>
  <c r="G1224"/>
  <c r="F946"/>
  <c r="F1236" s="1"/>
  <c r="F1207" s="1"/>
  <c r="F942"/>
  <c r="F1231" s="1"/>
  <c r="F1202" s="1"/>
  <c r="J166" i="6"/>
  <c r="J169" s="1"/>
  <c r="G1064" i="4"/>
  <c r="F945"/>
  <c r="F1234" s="1"/>
  <c r="F1205" s="1"/>
  <c r="F1066"/>
  <c r="G791"/>
  <c r="G1017" a="1"/>
  <c r="G1017" s="1"/>
  <c r="T11" i="60"/>
  <c r="AE11"/>
  <c r="F1059" i="4"/>
  <c r="G943"/>
  <c r="G1232" s="1"/>
  <c r="G1203" s="1"/>
  <c r="G1013"/>
  <c r="G940"/>
  <c r="G1016" a="1"/>
  <c r="G1016" s="1"/>
  <c r="G1018" a="1"/>
  <c r="G1018" s="1"/>
  <c r="F1016" a="1"/>
  <c r="F1016" s="1"/>
  <c r="S11" i="60"/>
  <c r="AD11"/>
  <c r="I271" i="7"/>
  <c r="I316" s="1"/>
  <c r="F1017" i="4" a="1"/>
  <c r="F1017" s="1"/>
  <c r="F791"/>
  <c r="F1224"/>
  <c r="F1018" a="1"/>
  <c r="F1018" s="1"/>
  <c r="F1013"/>
  <c r="L149" i="61"/>
  <c r="BL22" i="37"/>
  <c r="BL32" i="39"/>
  <c r="V55" i="26"/>
  <c r="V84" s="1"/>
  <c r="AK53"/>
  <c r="BZ22" i="40"/>
  <c r="BZ40" s="1"/>
  <c r="BZ109" s="1"/>
  <c r="BQ22" i="38"/>
  <c r="BF58" i="39"/>
  <c r="G14" i="38"/>
  <c r="Q14" s="1"/>
  <c r="Q12"/>
  <c r="BY22" i="40"/>
  <c r="BY40" s="1"/>
  <c r="BY109" s="1"/>
  <c r="BP22" i="38"/>
  <c r="AF99" i="1"/>
  <c r="AF106" s="1"/>
  <c r="AF109" s="1"/>
  <c r="AF97"/>
  <c r="AB11" i="25"/>
  <c r="AB15" s="1"/>
  <c r="AB40" s="1"/>
  <c r="BO22" i="37"/>
  <c r="DH21"/>
  <c r="V11" i="1"/>
  <c r="V15" s="1"/>
  <c r="V40" s="1"/>
  <c r="T11" i="36"/>
  <c r="T15" s="1"/>
  <c r="T40" s="1"/>
  <c r="W11" i="1"/>
  <c r="W15" s="1"/>
  <c r="W40" s="1"/>
  <c r="U22" i="39"/>
  <c r="W22"/>
  <c r="BW22"/>
  <c r="BW40" s="1"/>
  <c r="BW109" s="1"/>
  <c r="V22"/>
  <c r="BQ55" i="26"/>
  <c r="DC22" i="37"/>
  <c r="DC40" s="1"/>
  <c r="BX22" i="40"/>
  <c r="BX40" s="1"/>
  <c r="BX109" s="1"/>
  <c r="T11" i="1"/>
  <c r="T15" s="1"/>
  <c r="T40" s="1"/>
  <c r="T90" s="1"/>
  <c r="T11" i="25"/>
  <c r="T15" s="1"/>
  <c r="T40" s="1"/>
  <c r="Q21" i="39"/>
  <c r="I22"/>
  <c r="AB22"/>
  <c r="CG51" i="40"/>
  <c r="DH50"/>
  <c r="S22" i="38"/>
  <c r="AK22" s="1"/>
  <c r="AK21"/>
  <c r="BL21" s="1"/>
  <c r="AK58" i="39"/>
  <c r="K288" i="46"/>
  <c r="K299" s="1"/>
  <c r="G1205" i="4"/>
  <c r="I459" i="13"/>
  <c r="H1229" i="4"/>
  <c r="K132" i="8"/>
  <c r="K167"/>
  <c r="J543" i="34"/>
  <c r="J546"/>
  <c r="J367" i="13"/>
  <c r="J369" s="1"/>
  <c r="J458" s="1"/>
  <c r="J451"/>
  <c r="L363"/>
  <c r="L365" s="1"/>
  <c r="L454"/>
  <c r="K165" i="8"/>
  <c r="K137"/>
  <c r="F1203" i="4"/>
  <c r="H1201"/>
  <c r="F1229"/>
  <c r="F1204"/>
  <c r="L156" i="8"/>
  <c r="L131"/>
  <c r="L136"/>
  <c r="L126"/>
  <c r="N234" i="13"/>
  <c r="N209"/>
  <c r="M559" i="34"/>
  <c r="M449"/>
  <c r="AF84" i="36"/>
  <c r="AF95" s="1"/>
  <c r="AK51"/>
  <c r="J1088" i="4"/>
  <c r="M636" i="17"/>
  <c r="N652" s="1"/>
  <c r="BL32" i="1"/>
  <c r="BL32" i="38"/>
  <c r="L244" i="13"/>
  <c r="L442" s="1"/>
  <c r="L240"/>
  <c r="L243"/>
  <c r="L441" s="1"/>
  <c r="L437"/>
  <c r="L242"/>
  <c r="L440" s="1"/>
  <c r="L241"/>
  <c r="L439" s="1"/>
  <c r="K438"/>
  <c r="K443" s="1"/>
  <c r="K343"/>
  <c r="K453" s="1"/>
  <c r="K342"/>
  <c r="K452" s="1"/>
  <c r="K341"/>
  <c r="M283"/>
  <c r="M286" s="1"/>
  <c r="M304"/>
  <c r="M307" s="1"/>
  <c r="M457" s="1"/>
  <c r="M297"/>
  <c r="M300" s="1"/>
  <c r="M456" s="1"/>
  <c r="M290"/>
  <c r="M293" s="1"/>
  <c r="M455" s="1"/>
  <c r="M311"/>
  <c r="M314" s="1"/>
  <c r="M472" s="1"/>
  <c r="M325"/>
  <c r="M328" s="1"/>
  <c r="M474" s="1"/>
  <c r="M332"/>
  <c r="M335" s="1"/>
  <c r="M475" s="1"/>
  <c r="M318"/>
  <c r="M321" s="1"/>
  <c r="M473" s="1"/>
  <c r="F1201" i="4"/>
  <c r="G1201"/>
  <c r="CG84" i="39"/>
  <c r="CG109" s="1"/>
  <c r="DH51"/>
  <c r="L364" i="34"/>
  <c r="L411" s="1"/>
  <c r="L413" s="1"/>
  <c r="L406"/>
  <c r="L409" s="1"/>
  <c r="M363"/>
  <c r="M116" i="8"/>
  <c r="M117" s="1"/>
  <c r="M120"/>
  <c r="L144"/>
  <c r="L145"/>
  <c r="L122"/>
  <c r="L154" s="1"/>
  <c r="F246" i="35"/>
  <c r="F242"/>
  <c r="F238"/>
  <c r="K127" i="8"/>
  <c r="K169"/>
  <c r="N155"/>
  <c r="N114"/>
  <c r="L561" i="34"/>
  <c r="M261" i="13"/>
  <c r="M265"/>
  <c r="M263"/>
  <c r="M262"/>
  <c r="M264"/>
  <c r="M237"/>
  <c r="N559" i="34"/>
  <c r="N449"/>
  <c r="K146" i="8"/>
  <c r="BE95" i="36"/>
  <c r="BF95" s="1"/>
  <c r="BE84"/>
  <c r="BE109" s="1"/>
  <c r="BF51"/>
  <c r="I40" i="38"/>
  <c r="I109" s="1"/>
  <c r="Q22"/>
  <c r="BE84" i="37"/>
  <c r="BE109" s="1"/>
  <c r="BE95"/>
  <c r="BF95" s="1"/>
  <c r="BF51"/>
  <c r="BL58" i="38"/>
  <c r="J942" i="4"/>
  <c r="J1231" s="1"/>
  <c r="J1202" s="1"/>
  <c r="M629" i="17"/>
  <c r="N645" s="1"/>
  <c r="K132" i="6"/>
  <c r="K134" s="1"/>
  <c r="K166" s="1"/>
  <c r="J944" i="4"/>
  <c r="J1233" s="1"/>
  <c r="J1204" s="1"/>
  <c r="M634" i="17"/>
  <c r="N650" s="1"/>
  <c r="I152" i="55"/>
  <c r="BL57" i="37"/>
  <c r="K422" i="34"/>
  <c r="BL50" i="36"/>
  <c r="W11" i="60"/>
  <c r="AG99" i="26"/>
  <c r="AG106" s="1"/>
  <c r="AG109" s="1"/>
  <c r="AG97"/>
  <c r="K278" i="46"/>
  <c r="AG99" i="41"/>
  <c r="AG106" s="1"/>
  <c r="AG109" s="1"/>
  <c r="AG97"/>
  <c r="AG99" i="40"/>
  <c r="AG106" s="1"/>
  <c r="AG109" s="1"/>
  <c r="AG97"/>
  <c r="BI76" i="39"/>
  <c r="BQ55" i="40"/>
  <c r="AX63" i="38"/>
  <c r="BF57"/>
  <c r="AG99" i="25"/>
  <c r="AG106" s="1"/>
  <c r="AG109" s="1"/>
  <c r="AG97"/>
  <c r="J13" i="65"/>
  <c r="J18" s="1"/>
  <c r="BD13" i="47"/>
  <c r="L223" i="46"/>
  <c r="F13" i="65"/>
  <c r="F18" s="1"/>
  <c r="AZ13" i="47"/>
  <c r="T76" i="39"/>
  <c r="AK76" s="1"/>
  <c r="AK75"/>
  <c r="W56" i="60"/>
  <c r="T63" i="38"/>
  <c r="AK57"/>
  <c r="J287" i="46"/>
  <c r="J298" s="1"/>
  <c r="K13" i="65"/>
  <c r="K18" s="1"/>
  <c r="BE13" i="47"/>
  <c r="AJ46" i="36"/>
  <c r="AJ84" s="1"/>
  <c r="AJ109" s="1"/>
  <c r="AF24" i="60"/>
  <c r="AQ24" s="1"/>
  <c r="AK53" i="39"/>
  <c r="S55"/>
  <c r="AH24" i="60"/>
  <c r="AS24" s="1"/>
  <c r="AJ46" i="38"/>
  <c r="AJ84" s="1"/>
  <c r="AJ109" s="1"/>
  <c r="L13" i="65"/>
  <c r="L18" s="1"/>
  <c r="BF13" i="47"/>
  <c r="AJ46" i="37"/>
  <c r="AJ84" s="1"/>
  <c r="AJ109" s="1"/>
  <c r="AG24" i="60"/>
  <c r="AR24" s="1"/>
  <c r="M13" i="65"/>
  <c r="M18" s="1"/>
  <c r="BG13" i="47"/>
  <c r="M224" i="46"/>
  <c r="G13" i="65"/>
  <c r="G18" s="1"/>
  <c r="BA13" i="47"/>
  <c r="AH11" i="60"/>
  <c r="AG99" i="38"/>
  <c r="AG106" s="1"/>
  <c r="AG109" s="1"/>
  <c r="AG97"/>
  <c r="BH76"/>
  <c r="BJ76" s="1"/>
  <c r="BJ75"/>
  <c r="BJ75" i="37"/>
  <c r="BH76"/>
  <c r="BJ76" s="1"/>
  <c r="BQ55" i="39"/>
  <c r="AG99"/>
  <c r="AG106" s="1"/>
  <c r="AG109" s="1"/>
  <c r="AG97"/>
  <c r="AG99" i="37"/>
  <c r="AG106" s="1"/>
  <c r="AG109" s="1"/>
  <c r="AG97"/>
  <c r="AG99" i="36"/>
  <c r="AG106" s="1"/>
  <c r="AG109" s="1"/>
  <c r="AG97"/>
  <c r="G68" i="65"/>
  <c r="BA285" i="47"/>
  <c r="AV76" i="37"/>
  <c r="BF75"/>
  <c r="V39" i="60"/>
  <c r="AJ46" i="25"/>
  <c r="AJ84" s="1"/>
  <c r="AJ109" s="1"/>
  <c r="AE24" i="60"/>
  <c r="AP24" s="1"/>
  <c r="AL24"/>
  <c r="AW24" s="1"/>
  <c r="AJ46" i="26"/>
  <c r="AJ84" s="1"/>
  <c r="AJ109" s="1"/>
  <c r="AD24" i="60"/>
  <c r="AO24" s="1"/>
  <c r="S25"/>
  <c r="AO25" s="1"/>
  <c r="AJ46" i="1"/>
  <c r="AK45"/>
  <c r="S55" i="40"/>
  <c r="E13" i="65"/>
  <c r="E18" s="1"/>
  <c r="AY13" i="47"/>
  <c r="I13" i="65"/>
  <c r="I18" s="1"/>
  <c r="BC13" i="47"/>
  <c r="V55" i="39"/>
  <c r="V84" s="1"/>
  <c r="K227" i="7"/>
  <c r="K224"/>
  <c r="K712" i="17"/>
  <c r="J122" i="55"/>
  <c r="J137"/>
  <c r="J146"/>
  <c r="J142"/>
  <c r="J127"/>
  <c r="L337" i="7"/>
  <c r="M701" i="4"/>
  <c r="M710"/>
  <c r="M711" s="1"/>
  <c r="M683"/>
  <c r="N701" s="1"/>
  <c r="N710"/>
  <c r="H123" i="55"/>
  <c r="H138"/>
  <c r="H143"/>
  <c r="K211" i="7"/>
  <c r="K302"/>
  <c r="J126" i="9"/>
  <c r="L204" i="7"/>
  <c r="L206" s="1"/>
  <c r="L208" s="1"/>
  <c r="L239"/>
  <c r="J275"/>
  <c r="J304"/>
  <c r="J277"/>
  <c r="J276"/>
  <c r="M260" i="35"/>
  <c r="M252"/>
  <c r="M256"/>
  <c r="AK63" i="37"/>
  <c r="L256" i="35"/>
  <c r="L252"/>
  <c r="L260"/>
  <c r="M119" i="55"/>
  <c r="M118"/>
  <c r="M212"/>
  <c r="M117"/>
  <c r="M145"/>
  <c r="N152" s="1"/>
  <c r="M696" i="4"/>
  <c r="M678"/>
  <c r="N696" s="1"/>
  <c r="L131" i="6"/>
  <c r="L168" s="1"/>
  <c r="L165"/>
  <c r="I128" i="55"/>
  <c r="I139"/>
  <c r="I144"/>
  <c r="I284" i="7"/>
  <c r="K179" i="61"/>
  <c r="M633" i="17"/>
  <c r="N122" i="6"/>
  <c r="N177"/>
  <c r="K119" i="55"/>
  <c r="K118"/>
  <c r="K117"/>
  <c r="K145"/>
  <c r="K152" s="1"/>
  <c r="K212"/>
  <c r="K891" i="4"/>
  <c r="K1085" s="1"/>
  <c r="K897"/>
  <c r="K894"/>
  <c r="K1088" s="1"/>
  <c r="K893"/>
  <c r="K887"/>
  <c r="K890"/>
  <c r="K895"/>
  <c r="K1089" s="1"/>
  <c r="K889"/>
  <c r="K1083" s="1"/>
  <c r="K896"/>
  <c r="K1090" s="1"/>
  <c r="K892"/>
  <c r="K1086" s="1"/>
  <c r="M188" i="7"/>
  <c r="N167"/>
  <c r="M170"/>
  <c r="M335" s="1"/>
  <c r="M236"/>
  <c r="L218"/>
  <c r="L220" s="1"/>
  <c r="L222" s="1"/>
  <c r="L225" s="1"/>
  <c r="L245"/>
  <c r="L229"/>
  <c r="M692" i="4"/>
  <c r="M674"/>
  <c r="J1017" a="1"/>
  <c r="J1017" s="1"/>
  <c r="J1013"/>
  <c r="J1214"/>
  <c r="J1224" s="1"/>
  <c r="J1016" a="1"/>
  <c r="J1016" s="1"/>
  <c r="J1018" a="1"/>
  <c r="J1018" s="1"/>
  <c r="J149" i="9"/>
  <c r="J107"/>
  <c r="K1007" i="4" a="1"/>
  <c r="K1007" s="1"/>
  <c r="K1217" s="1"/>
  <c r="K1006" a="1"/>
  <c r="K1006" s="1"/>
  <c r="K1216" s="1"/>
  <c r="K1009" a="1"/>
  <c r="K1009" s="1"/>
  <c r="K1219" s="1"/>
  <c r="K1010" a="1"/>
  <c r="K1010" s="1"/>
  <c r="K1221" s="1"/>
  <c r="K1012" a="1"/>
  <c r="K1012" s="1"/>
  <c r="K1223" s="1"/>
  <c r="K1004" a="1"/>
  <c r="K1004" s="1"/>
  <c r="K1005" a="1"/>
  <c r="K1005" s="1"/>
  <c r="K1215" s="1"/>
  <c r="K1011" a="1"/>
  <c r="K1011" s="1"/>
  <c r="K1222" s="1"/>
  <c r="K999"/>
  <c r="K1008" a="1"/>
  <c r="K1008" s="1"/>
  <c r="K1218" s="1"/>
  <c r="J213" i="7"/>
  <c r="J271" s="1"/>
  <c r="J210"/>
  <c r="J306" s="1"/>
  <c r="K708" i="17"/>
  <c r="M632"/>
  <c r="L996" i="4"/>
  <c r="L991"/>
  <c r="M627" i="17"/>
  <c r="N137" i="55"/>
  <c r="N127"/>
  <c r="N142"/>
  <c r="N146"/>
  <c r="N122"/>
  <c r="M179" i="6"/>
  <c r="J256" i="35"/>
  <c r="J252"/>
  <c r="J260"/>
  <c r="N260"/>
  <c r="N252"/>
  <c r="N256"/>
  <c r="M639" i="17"/>
  <c r="N852" i="4"/>
  <c r="N853" s="1"/>
  <c r="N854" s="1"/>
  <c r="J1090"/>
  <c r="J898"/>
  <c r="BL32" i="25"/>
  <c r="M508" i="17"/>
  <c r="J946" i="4"/>
  <c r="J1236" s="1"/>
  <c r="G152" i="55"/>
  <c r="H152"/>
  <c r="M702" i="4"/>
  <c r="M684"/>
  <c r="N702" s="1"/>
  <c r="M631" i="17"/>
  <c r="M685" i="4"/>
  <c r="N703" s="1"/>
  <c r="M703"/>
  <c r="N169" i="7"/>
  <c r="M217"/>
  <c r="M248"/>
  <c r="G137" i="55"/>
  <c r="G142"/>
  <c r="G149" s="1"/>
  <c r="G122"/>
  <c r="G146"/>
  <c r="G153" s="1"/>
  <c r="G127"/>
  <c r="L787" i="4" a="1"/>
  <c r="L787" s="1"/>
  <c r="L789" a="1"/>
  <c r="L789" s="1"/>
  <c r="L784" a="1"/>
  <c r="L784" s="1"/>
  <c r="L1061" s="1"/>
  <c r="L782" a="1"/>
  <c r="L782" s="1"/>
  <c r="L786" a="1"/>
  <c r="L786" s="1"/>
  <c r="L778"/>
  <c r="L790" a="1"/>
  <c r="L790" s="1"/>
  <c r="L1067" s="1"/>
  <c r="L785" a="1"/>
  <c r="L785" s="1"/>
  <c r="L788" a="1"/>
  <c r="L788" s="1"/>
  <c r="L783" a="1"/>
  <c r="L783" s="1"/>
  <c r="L1060" s="1"/>
  <c r="L997"/>
  <c r="M866"/>
  <c r="M882" s="1"/>
  <c r="M858"/>
  <c r="M874" s="1"/>
  <c r="M868"/>
  <c r="M884" s="1"/>
  <c r="M865"/>
  <c r="M881" s="1"/>
  <c r="M863"/>
  <c r="M879" s="1"/>
  <c r="M861"/>
  <c r="M877" s="1"/>
  <c r="M857"/>
  <c r="M862"/>
  <c r="M878" s="1"/>
  <c r="M869"/>
  <c r="M885" s="1"/>
  <c r="M864"/>
  <c r="M880" s="1"/>
  <c r="M860"/>
  <c r="M876" s="1"/>
  <c r="M867"/>
  <c r="M883" s="1"/>
  <c r="M859"/>
  <c r="M875" s="1"/>
  <c r="I142" i="55"/>
  <c r="I122"/>
  <c r="I127"/>
  <c r="I137"/>
  <c r="I146"/>
  <c r="N128"/>
  <c r="N139"/>
  <c r="N144"/>
  <c r="J143"/>
  <c r="J138"/>
  <c r="J123"/>
  <c r="J128"/>
  <c r="J139"/>
  <c r="J144"/>
  <c r="M700" i="4"/>
  <c r="M682"/>
  <c r="N700" s="1"/>
  <c r="L1078"/>
  <c r="L1075"/>
  <c r="L1073"/>
  <c r="L1071"/>
  <c r="L1072"/>
  <c r="L1077"/>
  <c r="L870"/>
  <c r="L1079"/>
  <c r="L1074"/>
  <c r="L1076"/>
  <c r="L873"/>
  <c r="K125" i="9"/>
  <c r="K124"/>
  <c r="K102"/>
  <c r="K134" s="1"/>
  <c r="J147"/>
  <c r="J112"/>
  <c r="I169" i="6"/>
  <c r="N90" i="9"/>
  <c r="M94"/>
  <c r="M135"/>
  <c r="M638" i="17"/>
  <c r="L510"/>
  <c r="L522"/>
  <c r="L726" s="1"/>
  <c r="L518"/>
  <c r="L722" s="1"/>
  <c r="L521"/>
  <c r="L725" s="1"/>
  <c r="L517"/>
  <c r="L721" s="1"/>
  <c r="L519"/>
  <c r="L723" s="1"/>
  <c r="L516"/>
  <c r="L720" s="1"/>
  <c r="L515"/>
  <c r="L523"/>
  <c r="L727" s="1"/>
  <c r="L520"/>
  <c r="L724" s="1"/>
  <c r="L992" i="4"/>
  <c r="AZ419" i="47"/>
  <c r="M203" i="7"/>
  <c r="N168"/>
  <c r="M242"/>
  <c r="K198"/>
  <c r="K195"/>
  <c r="K260" i="35"/>
  <c r="K256"/>
  <c r="K252"/>
  <c r="I260"/>
  <c r="I256"/>
  <c r="I252"/>
  <c r="H260"/>
  <c r="H252"/>
  <c r="H256"/>
  <c r="BF63" i="37"/>
  <c r="AX84"/>
  <c r="AX109" s="1"/>
  <c r="K710" i="17"/>
  <c r="F214" i="55"/>
  <c r="K1080" i="4"/>
  <c r="L189" i="7"/>
  <c r="L191" s="1"/>
  <c r="L193" s="1"/>
  <c r="L196" s="1"/>
  <c r="L233"/>
  <c r="M676" i="4"/>
  <c r="N694" s="1"/>
  <c r="M694"/>
  <c r="K116" i="9"/>
  <c r="K106"/>
  <c r="K136"/>
  <c r="K111"/>
  <c r="J145"/>
  <c r="J117"/>
  <c r="I305" i="7"/>
  <c r="I303"/>
  <c r="L96" i="9"/>
  <c r="L97" s="1"/>
  <c r="L100"/>
  <c r="M693" i="4"/>
  <c r="M675"/>
  <c r="N693" s="1"/>
  <c r="G143" i="55"/>
  <c r="G150" s="1"/>
  <c r="G123"/>
  <c r="G138"/>
  <c r="G128"/>
  <c r="G144"/>
  <c r="G151" s="1"/>
  <c r="G139"/>
  <c r="M630" i="17"/>
  <c r="M677" i="4"/>
  <c r="N695" s="1"/>
  <c r="M695"/>
  <c r="M704"/>
  <c r="M686"/>
  <c r="N704" s="1"/>
  <c r="I123" i="55"/>
  <c r="I138"/>
  <c r="I143"/>
  <c r="N123"/>
  <c r="N138"/>
  <c r="N143"/>
  <c r="AV109" i="36"/>
  <c r="H137" i="55"/>
  <c r="H122"/>
  <c r="H146"/>
  <c r="H127"/>
  <c r="H142"/>
  <c r="H128"/>
  <c r="H139"/>
  <c r="H144"/>
  <c r="M697" i="4"/>
  <c r="M679"/>
  <c r="N697" s="1"/>
  <c r="M124" i="6"/>
  <c r="M125" s="1"/>
  <c r="M130" s="1"/>
  <c r="M138"/>
  <c r="AV109" i="25"/>
  <c r="BF84"/>
  <c r="M637" i="17"/>
  <c r="G260" i="35"/>
  <c r="G256"/>
  <c r="G252"/>
  <c r="L119" i="55"/>
  <c r="L145"/>
  <c r="L118"/>
  <c r="L212"/>
  <c r="L117"/>
  <c r="J1086" i="4"/>
  <c r="BL63" i="36"/>
  <c r="J152" i="55"/>
  <c r="BL32" i="41"/>
  <c r="M502" i="17"/>
  <c r="I270" i="7"/>
  <c r="I280" s="1"/>
  <c r="I318" s="1"/>
  <c r="I317"/>
  <c r="M635" i="17"/>
  <c r="BO12" i="37"/>
  <c r="AB12" i="39"/>
  <c r="J63" i="60"/>
  <c r="W12" i="38"/>
  <c r="BA71" i="47"/>
  <c r="AZ67"/>
  <c r="I26" i="46"/>
  <c r="BO53" i="37"/>
  <c r="BP53" i="40"/>
  <c r="H40" i="60"/>
  <c r="H79"/>
  <c r="J60"/>
  <c r="L54"/>
  <c r="J45"/>
  <c r="I67"/>
  <c r="H31" i="65"/>
  <c r="G66" i="60"/>
  <c r="BC9" i="1"/>
  <c r="T79" i="39"/>
  <c r="BP79" i="37"/>
  <c r="BQ21" i="39"/>
  <c r="BW21" i="40"/>
  <c r="AZ70" i="47"/>
  <c r="AB9" i="1"/>
  <c r="AB21" i="40"/>
  <c r="AJ45"/>
  <c r="AJ45" i="41"/>
  <c r="BB317" i="47"/>
  <c r="H38" i="65"/>
  <c r="AY309" i="47"/>
  <c r="M6" i="59"/>
  <c r="G67" i="60"/>
  <c r="AJ45" i="39"/>
  <c r="BF68" i="47"/>
  <c r="W9" i="38"/>
  <c r="AZ191" i="47"/>
  <c r="BX21" i="41"/>
  <c r="BA23" i="47"/>
  <c r="AX58" i="40"/>
  <c r="I47" i="64"/>
  <c r="K79" i="60"/>
  <c r="M44" i="59"/>
  <c r="AX42" i="3"/>
  <c r="BB25" i="47"/>
  <c r="S9" i="38"/>
  <c r="F13" i="63"/>
  <c r="BO53" i="39"/>
  <c r="E10" i="64"/>
  <c r="G15" i="44"/>
  <c r="BC102" i="47"/>
  <c r="J14" i="64"/>
  <c r="BD185" i="47"/>
  <c r="I21" i="40"/>
  <c r="T75"/>
  <c r="J43" i="60"/>
  <c r="BE50" i="38"/>
  <c r="BG124" i="47"/>
  <c r="BC9" i="36"/>
  <c r="BB68" i="47"/>
  <c r="BZ21" i="41"/>
  <c r="J25" i="46"/>
  <c r="BD100" i="47"/>
  <c r="M70" i="64"/>
  <c r="F9" i="54"/>
  <c r="G19" i="65"/>
  <c r="BQ53" i="37"/>
  <c r="S9" i="36"/>
  <c r="V9" i="38"/>
  <c r="G86" i="63"/>
  <c r="I15" i="35"/>
  <c r="AB9" i="38"/>
  <c r="H15" i="63"/>
  <c r="N33" i="59"/>
  <c r="J35" i="60"/>
  <c r="BG68" i="47"/>
  <c r="H39" i="60"/>
  <c r="G9" i="25"/>
  <c r="AZ97" i="47"/>
  <c r="G9" i="1"/>
  <c r="AY67" i="47"/>
  <c r="BG70"/>
  <c r="I49" i="64"/>
  <c r="S21" i="39"/>
  <c r="AY68" i="47"/>
  <c r="G12" i="39"/>
  <c r="BQ53" i="41"/>
  <c r="AV75" i="38"/>
  <c r="DC79" i="37"/>
  <c r="I58" i="60"/>
  <c r="J17" i="66"/>
  <c r="L69" i="64"/>
  <c r="J41" i="60"/>
  <c r="E58"/>
  <c r="V53" i="37"/>
  <c r="BB242" i="47" s="1"/>
  <c r="G95" i="63"/>
  <c r="BC9" i="38"/>
  <c r="AY97" i="47"/>
  <c r="O60" i="59"/>
  <c r="AX57" i="39"/>
  <c r="H15" i="35"/>
  <c r="G38" i="65"/>
  <c r="J77" i="60"/>
  <c r="T9" i="38"/>
  <c r="H93" i="64"/>
  <c r="N59" i="59"/>
  <c r="BE68" i="47"/>
  <c r="G39" i="64"/>
  <c r="DC21" i="36"/>
  <c r="G25" i="46"/>
  <c r="E66" i="60"/>
  <c r="AF50" i="38"/>
  <c r="AB9" i="37"/>
  <c r="G13" i="63"/>
  <c r="BO21" i="38"/>
  <c r="H8" i="65"/>
  <c r="BB8" i="47"/>
  <c r="H80" i="60"/>
  <c r="W53" i="37"/>
  <c r="S12"/>
  <c r="H11" i="64"/>
  <c r="BB310" i="47"/>
  <c r="AB53" i="37"/>
  <c r="H64" i="60"/>
  <c r="BP12" i="37"/>
  <c r="BC12" i="39"/>
  <c r="J59" i="60"/>
  <c r="G12" i="37"/>
  <c r="G69" i="60"/>
  <c r="BQ12" i="37"/>
  <c r="T12" i="38"/>
  <c r="BB14" i="47"/>
  <c r="H19" i="65"/>
  <c r="J37" i="46"/>
  <c r="T12" i="39"/>
  <c r="V12"/>
  <c r="BI53"/>
  <c r="V53" i="40"/>
  <c r="H18" i="64"/>
  <c r="G29" i="65"/>
  <c r="U9" i="38"/>
  <c r="BF123" i="47"/>
  <c r="E62" i="60"/>
  <c r="F67"/>
  <c r="J15" i="66"/>
  <c r="BD183" i="47"/>
  <c r="BC9" i="25"/>
  <c r="O34" i="59"/>
  <c r="E39" i="64"/>
  <c r="BD68" i="47"/>
  <c r="F86" i="63"/>
  <c r="H43" i="60"/>
  <c r="H95" i="63"/>
  <c r="BF121" i="47"/>
  <c r="BP53" i="37"/>
  <c r="W9" i="25"/>
  <c r="BG122" i="47"/>
  <c r="BA70"/>
  <c r="BI75" i="40"/>
  <c r="N51" i="59"/>
  <c r="G9" i="36"/>
  <c r="I66" i="60"/>
  <c r="BD242" i="47"/>
  <c r="E68" i="60"/>
  <c r="H62"/>
  <c r="I10" i="64"/>
  <c r="AZ68" i="47"/>
  <c r="BB33"/>
  <c r="F29" i="65"/>
  <c r="CG50" i="26"/>
  <c r="BB70" i="47"/>
  <c r="BO53" i="26"/>
  <c r="E67" i="60"/>
  <c r="BD241" i="47"/>
  <c r="S53" i="37"/>
  <c r="N51" i="46"/>
  <c r="K61" i="60"/>
  <c r="U21" i="40"/>
  <c r="BD313" i="47"/>
  <c r="J71" i="60"/>
  <c r="V9" i="25"/>
  <c r="K54" i="60"/>
  <c r="G58"/>
  <c r="E23" i="66"/>
  <c r="BC100" i="47"/>
  <c r="F66" i="60"/>
  <c r="I35"/>
  <c r="L67" i="64"/>
  <c r="BC309" i="47"/>
  <c r="BC68"/>
  <c r="K16" i="46"/>
  <c r="G22" i="63"/>
  <c r="H88"/>
  <c r="AZ23" i="47"/>
  <c r="BI79" i="38"/>
  <c r="BD71" i="47"/>
  <c r="BI53" i="40"/>
  <c r="BI53" i="26"/>
  <c r="DC21" i="38"/>
  <c r="M68" i="64"/>
  <c r="BD163" i="47"/>
  <c r="N16" i="59"/>
  <c r="U9" i="25"/>
  <c r="W79" i="38"/>
  <c r="S9" i="1"/>
  <c r="H15" i="44"/>
  <c r="BQ79" i="37"/>
  <c r="AY191" i="47"/>
  <c r="BA68"/>
  <c r="I19" i="65"/>
  <c r="AY246" i="47"/>
  <c r="BE242"/>
  <c r="BD235"/>
  <c r="BD248"/>
  <c r="BP53" i="26"/>
  <c r="BD101" i="47"/>
  <c r="BA309"/>
  <c r="BB250"/>
  <c r="I14" i="60"/>
  <c r="W21" i="40"/>
  <c r="L17" i="46"/>
  <c r="J54" i="60"/>
  <c r="H41"/>
  <c r="F39" i="64"/>
  <c r="G62" i="60"/>
  <c r="BP21" i="39"/>
  <c r="F68" i="60"/>
  <c r="I62"/>
  <c r="CG50" i="41"/>
  <c r="W9" i="36"/>
  <c r="AV75" i="39"/>
  <c r="BA33" i="47"/>
  <c r="G10" i="64"/>
  <c r="V21" i="40"/>
  <c r="W12" i="39"/>
  <c r="I71" i="60"/>
  <c r="BO53" i="40"/>
  <c r="BP53" i="39"/>
  <c r="J40" i="64"/>
  <c r="F23" i="66"/>
  <c r="BY21" i="41"/>
  <c r="BA97" i="47"/>
  <c r="BC14"/>
  <c r="K78" i="60"/>
  <c r="G9" i="54"/>
  <c r="U79" i="37"/>
  <c r="T58" i="40"/>
  <c r="I68" i="60"/>
  <c r="K64"/>
  <c r="U9" i="1"/>
  <c r="J42" i="60"/>
  <c r="H42"/>
  <c r="M50" i="46"/>
  <c r="AB9" i="36"/>
  <c r="BO21"/>
  <c r="BG242" i="47"/>
  <c r="BC70"/>
  <c r="J39" i="60"/>
  <c r="I87" i="64"/>
  <c r="F58" i="60"/>
  <c r="H60"/>
  <c r="V9" i="36"/>
  <c r="AY168" i="47"/>
  <c r="BA14"/>
  <c r="T57" i="39"/>
  <c r="H22" i="63"/>
  <c r="J40" i="60"/>
  <c r="BH79" i="37"/>
  <c r="K80" i="60"/>
  <c r="H77"/>
  <c r="U9" i="36"/>
  <c r="BD102" i="47"/>
  <c r="BC247"/>
  <c r="BC98"/>
  <c r="I40" i="64"/>
  <c r="BD98" i="47"/>
  <c r="BD247"/>
  <c r="W14" i="39" l="1"/>
  <c r="V14"/>
  <c r="T14"/>
  <c r="J279" i="46"/>
  <c r="T14" i="38"/>
  <c r="BQ14" i="37"/>
  <c r="AF26" i="60"/>
  <c r="G14" i="37"/>
  <c r="Q14" s="1"/>
  <c r="Q12"/>
  <c r="BL12" s="1"/>
  <c r="BF12" i="39"/>
  <c r="BC14"/>
  <c r="BP14" i="37"/>
  <c r="AB55"/>
  <c r="S14"/>
  <c r="AK14" s="1"/>
  <c r="BL14" s="1"/>
  <c r="AK12"/>
  <c r="W55"/>
  <c r="BB13" i="47"/>
  <c r="H13" i="65"/>
  <c r="H18" s="1"/>
  <c r="Q12" i="39"/>
  <c r="G14"/>
  <c r="BO55" i="37"/>
  <c r="I265" i="46"/>
  <c r="W14" i="38"/>
  <c r="AB14" i="39"/>
  <c r="BO14" i="37"/>
  <c r="M173" i="61"/>
  <c r="M221"/>
  <c r="M229" s="1"/>
  <c r="J706" i="17"/>
  <c r="K353" i="35"/>
  <c r="J353"/>
  <c r="L360"/>
  <c r="M360"/>
  <c r="H352"/>
  <c r="G352"/>
  <c r="I751" i="17"/>
  <c r="L542"/>
  <c r="L375"/>
  <c r="L456" s="1"/>
  <c r="L368"/>
  <c r="L544"/>
  <c r="L373"/>
  <c r="L539"/>
  <c r="L372"/>
  <c r="L453" s="1"/>
  <c r="L738" s="1"/>
  <c r="L540"/>
  <c r="L370"/>
  <c r="L543"/>
  <c r="L363"/>
  <c r="L545"/>
  <c r="L557" s="1"/>
  <c r="L374"/>
  <c r="L371"/>
  <c r="L452" s="1"/>
  <c r="L737" s="1"/>
  <c r="L541"/>
  <c r="L547"/>
  <c r="L367"/>
  <c r="L546"/>
  <c r="L558" s="1"/>
  <c r="L369"/>
  <c r="L450" s="1"/>
  <c r="L735" s="1"/>
  <c r="H713"/>
  <c r="I712"/>
  <c r="K357" i="35"/>
  <c r="J357"/>
  <c r="L358"/>
  <c r="M358"/>
  <c r="G353"/>
  <c r="H353"/>
  <c r="K551" i="17"/>
  <c r="K548"/>
  <c r="I750"/>
  <c r="M351"/>
  <c r="M594"/>
  <c r="M383"/>
  <c r="K620"/>
  <c r="K785" s="1"/>
  <c r="K618"/>
  <c r="J146" i="61"/>
  <c r="J176"/>
  <c r="J132"/>
  <c r="J134"/>
  <c r="J174" s="1"/>
  <c r="J135"/>
  <c r="J175" s="1"/>
  <c r="J133"/>
  <c r="J356" i="35"/>
  <c r="K356"/>
  <c r="H354"/>
  <c r="G354"/>
  <c r="I741" i="17"/>
  <c r="I705"/>
  <c r="L617"/>
  <c r="L606"/>
  <c r="L614"/>
  <c r="L613"/>
  <c r="L610"/>
  <c r="L611"/>
  <c r="L616"/>
  <c r="L612"/>
  <c r="L609"/>
  <c r="L615"/>
  <c r="K760"/>
  <c r="I190" i="61"/>
  <c r="M178"/>
  <c r="M149"/>
  <c r="H752" i="17"/>
  <c r="K555"/>
  <c r="K583"/>
  <c r="K577"/>
  <c r="K641"/>
  <c r="K711"/>
  <c r="M1052" i="4"/>
  <c r="J280" i="46"/>
  <c r="I1013" i="4"/>
  <c r="M139" i="61"/>
  <c r="M187" s="1"/>
  <c r="M220"/>
  <c r="M228" s="1"/>
  <c r="M140"/>
  <c r="M188" s="1"/>
  <c r="K709" i="17"/>
  <c r="I178" i="61"/>
  <c r="J657" i="17"/>
  <c r="N148" i="61"/>
  <c r="K552" i="17"/>
  <c r="K557"/>
  <c r="K576"/>
  <c r="J709"/>
  <c r="K575"/>
  <c r="K572"/>
  <c r="H133" i="61"/>
  <c r="H146"/>
  <c r="H176"/>
  <c r="H132"/>
  <c r="H134"/>
  <c r="H174" s="1"/>
  <c r="H135"/>
  <c r="H175" s="1"/>
  <c r="G132"/>
  <c r="G133"/>
  <c r="G135"/>
  <c r="G175" s="1"/>
  <c r="G134"/>
  <c r="G174" s="1"/>
  <c r="G146"/>
  <c r="G176"/>
  <c r="J560" i="17"/>
  <c r="J586"/>
  <c r="J784" s="1"/>
  <c r="J464"/>
  <c r="J767" s="1"/>
  <c r="J462"/>
  <c r="J765" s="1"/>
  <c r="J457"/>
  <c r="J733"/>
  <c r="J463"/>
  <c r="J766" s="1"/>
  <c r="F133" i="61"/>
  <c r="F135"/>
  <c r="F175" s="1"/>
  <c r="F134"/>
  <c r="F174" s="1"/>
  <c r="F176"/>
  <c r="F132"/>
  <c r="F146"/>
  <c r="G147" s="1"/>
  <c r="J355" i="35"/>
  <c r="K355"/>
  <c r="M359"/>
  <c r="L359"/>
  <c r="K376" i="17"/>
  <c r="K448"/>
  <c r="I768"/>
  <c r="I749"/>
  <c r="I752" s="1"/>
  <c r="L569"/>
  <c r="L401"/>
  <c r="L567"/>
  <c r="L568"/>
  <c r="L580" s="1"/>
  <c r="L399"/>
  <c r="L566"/>
  <c r="L564"/>
  <c r="L571"/>
  <c r="L583" s="1"/>
  <c r="L402"/>
  <c r="L565"/>
  <c r="L577" s="1"/>
  <c r="L395"/>
  <c r="L570"/>
  <c r="L582" s="1"/>
  <c r="L403"/>
  <c r="L563"/>
  <c r="L407"/>
  <c r="L405"/>
  <c r="L406"/>
  <c r="L628"/>
  <c r="L644" s="1"/>
  <c r="L404"/>
  <c r="L400"/>
  <c r="K446" i="42"/>
  <c r="L447" s="1"/>
  <c r="L448"/>
  <c r="K408" i="17"/>
  <c r="K656"/>
  <c r="K657" s="1"/>
  <c r="J641"/>
  <c r="I179" i="61"/>
  <c r="M1122" i="4"/>
  <c r="I946"/>
  <c r="I1236" s="1"/>
  <c r="N149" i="61"/>
  <c r="J584" i="17"/>
  <c r="K559"/>
  <c r="K556"/>
  <c r="K450"/>
  <c r="K735" s="1"/>
  <c r="K579"/>
  <c r="AK53" i="40"/>
  <c r="V55"/>
  <c r="V84" s="1"/>
  <c r="BP55" i="39"/>
  <c r="BP55" i="40"/>
  <c r="BJ53" i="39"/>
  <c r="BL53" s="1"/>
  <c r="BI55"/>
  <c r="BJ53" i="40"/>
  <c r="BI55"/>
  <c r="DH53"/>
  <c r="BO55"/>
  <c r="M179" i="61"/>
  <c r="L179"/>
  <c r="BP55" i="37"/>
  <c r="BJ53" i="26"/>
  <c r="BI55"/>
  <c r="BJ55" s="1"/>
  <c r="BP55"/>
  <c r="DH53" i="37"/>
  <c r="BQ55"/>
  <c r="BO55" i="39"/>
  <c r="DH53"/>
  <c r="V55" i="37"/>
  <c r="V84" s="1"/>
  <c r="AG29" i="60"/>
  <c r="AK53" i="37"/>
  <c r="S55"/>
  <c r="H27" i="64"/>
  <c r="BB323" i="47"/>
  <c r="I1064" i="4"/>
  <c r="BO55" i="26"/>
  <c r="DH55" s="1"/>
  <c r="DH53"/>
  <c r="BQ55" i="41"/>
  <c r="N190" i="61"/>
  <c r="I948" i="4"/>
  <c r="M190" i="61"/>
  <c r="V11" i="60"/>
  <c r="AG11"/>
  <c r="I1214" i="4"/>
  <c r="I1224" s="1"/>
  <c r="I1017" a="1"/>
  <c r="I1017" s="1"/>
  <c r="I1018" a="1"/>
  <c r="I1018" s="1"/>
  <c r="I942"/>
  <c r="I1231" s="1"/>
  <c r="I943"/>
  <c r="I1232" s="1"/>
  <c r="I1203" s="1"/>
  <c r="I1016" a="1"/>
  <c r="I1016" s="1"/>
  <c r="V15" i="60"/>
  <c r="AB11" i="37"/>
  <c r="AB15" s="1"/>
  <c r="AB40" s="1"/>
  <c r="I1060" i="4"/>
  <c r="I941"/>
  <c r="I1230" s="1"/>
  <c r="I1063"/>
  <c r="I944"/>
  <c r="I1233" s="1"/>
  <c r="I1094"/>
  <c r="I1282" s="1"/>
  <c r="I791"/>
  <c r="I1066"/>
  <c r="I947"/>
  <c r="I940"/>
  <c r="I1229" s="1"/>
  <c r="DH22" i="25"/>
  <c r="AR11" i="60"/>
  <c r="BL22" i="36"/>
  <c r="DC22"/>
  <c r="DC40" s="1"/>
  <c r="DC109" s="1"/>
  <c r="DH21"/>
  <c r="BO22"/>
  <c r="F43" i="54"/>
  <c r="G43"/>
  <c r="G46" s="1"/>
  <c r="T11" i="38"/>
  <c r="T15" s="1"/>
  <c r="T40" s="1"/>
  <c r="L343" i="13" a="1"/>
  <c r="L341" a="1"/>
  <c r="L341" s="1"/>
  <c r="L342" a="1"/>
  <c r="L342" s="1"/>
  <c r="L452" s="1"/>
  <c r="H459"/>
  <c r="M1124" i="4"/>
  <c r="M652" i="17"/>
  <c r="L1066" i="4"/>
  <c r="L529" i="17" a="1"/>
  <c r="L528" a="1"/>
  <c r="L528" s="1"/>
  <c r="L758" s="1"/>
  <c r="L527" a="1"/>
  <c r="L463" a="1"/>
  <c r="L464" a="1"/>
  <c r="L462" a="1"/>
  <c r="J1092" i="4"/>
  <c r="L1065"/>
  <c r="L1056"/>
  <c r="J1068"/>
  <c r="AB11" i="38"/>
  <c r="AB15" s="1"/>
  <c r="AB40" s="1"/>
  <c r="J1237" i="4"/>
  <c r="J1238" s="1"/>
  <c r="V11" i="38"/>
  <c r="V15" s="1"/>
  <c r="V40" s="1"/>
  <c r="M774" i="4"/>
  <c r="M1120"/>
  <c r="L705"/>
  <c r="M1047"/>
  <c r="L453" i="42"/>
  <c r="K451"/>
  <c r="L452" s="1"/>
  <c r="M770" i="4"/>
  <c r="M991" s="1"/>
  <c r="M776"/>
  <c r="M997" s="1"/>
  <c r="M769"/>
  <c r="M1118"/>
  <c r="L1062"/>
  <c r="M772"/>
  <c r="M775"/>
  <c r="M996" s="1"/>
  <c r="M767"/>
  <c r="M766"/>
  <c r="M765"/>
  <c r="M771"/>
  <c r="M992" s="1"/>
  <c r="M777"/>
  <c r="M773"/>
  <c r="M1048"/>
  <c r="L1127"/>
  <c r="L687"/>
  <c r="K947"/>
  <c r="K944"/>
  <c r="K1233" s="1"/>
  <c r="K1204" s="1"/>
  <c r="M1055"/>
  <c r="K1066"/>
  <c r="K1087"/>
  <c r="AK51" i="37"/>
  <c r="BL51" s="1"/>
  <c r="K942" i="4"/>
  <c r="K1231" s="1"/>
  <c r="M1119"/>
  <c r="L1129"/>
  <c r="L1283" s="1"/>
  <c r="K1061"/>
  <c r="K791"/>
  <c r="K1060"/>
  <c r="K948"/>
  <c r="M681"/>
  <c r="N699" s="1"/>
  <c r="M699"/>
  <c r="M1053"/>
  <c r="M1044"/>
  <c r="K941"/>
  <c r="K1230" s="1"/>
  <c r="K1201" s="1"/>
  <c r="K1091"/>
  <c r="M1115"/>
  <c r="M1125"/>
  <c r="M1126"/>
  <c r="M650" i="17"/>
  <c r="M1050" i="4"/>
  <c r="M1054"/>
  <c r="M698"/>
  <c r="M680"/>
  <c r="N698" s="1"/>
  <c r="M1049"/>
  <c r="L707" i="17"/>
  <c r="M1123" i="4"/>
  <c r="M1121"/>
  <c r="M1051"/>
  <c r="V11" i="36"/>
  <c r="V15" s="1"/>
  <c r="V40" s="1"/>
  <c r="H952" i="4" a="1"/>
  <c r="H952" s="1"/>
  <c r="H1262" s="1"/>
  <c r="H1246" s="1"/>
  <c r="U11" i="36"/>
  <c r="U15" s="1"/>
  <c r="U40" s="1"/>
  <c r="H949" i="4"/>
  <c r="H1094"/>
  <c r="H1282" s="1"/>
  <c r="W11" i="36"/>
  <c r="W15" s="1"/>
  <c r="W40" s="1"/>
  <c r="H1204" i="4"/>
  <c r="AB11" i="36"/>
  <c r="AB15" s="1"/>
  <c r="AB40" s="1"/>
  <c r="H1068" i="4"/>
  <c r="U11" i="25"/>
  <c r="U15" s="1"/>
  <c r="U40" s="1"/>
  <c r="T45" i="60"/>
  <c r="BF9" i="25"/>
  <c r="BC11"/>
  <c r="BC15" s="1"/>
  <c r="G1207" i="4"/>
  <c r="G1068"/>
  <c r="H954" a="1"/>
  <c r="H954" s="1"/>
  <c r="H1264" s="1"/>
  <c r="H953" a="1"/>
  <c r="H953" s="1"/>
  <c r="H1263" s="1"/>
  <c r="F1068"/>
  <c r="F1094"/>
  <c r="F1282" s="1"/>
  <c r="AQ11" i="60"/>
  <c r="BC11" i="36"/>
  <c r="BC15" s="1"/>
  <c r="BC40" s="1"/>
  <c r="BF9"/>
  <c r="U45" i="60"/>
  <c r="H1207" i="4"/>
  <c r="AO11" i="60"/>
  <c r="F954" i="4" a="1"/>
  <c r="F954" s="1"/>
  <c r="F1264" s="1"/>
  <c r="F1248" s="1"/>
  <c r="G953" a="1"/>
  <c r="G953" s="1"/>
  <c r="G1263" s="1"/>
  <c r="G1247" s="1"/>
  <c r="W11" i="25"/>
  <c r="W15" s="1"/>
  <c r="W40" s="1"/>
  <c r="BL53" i="40"/>
  <c r="U11" i="1"/>
  <c r="U15" s="1"/>
  <c r="U40" s="1"/>
  <c r="AB11"/>
  <c r="AB15" s="1"/>
  <c r="AB40" s="1"/>
  <c r="S45" i="60"/>
  <c r="BC11" i="1"/>
  <c r="BC15" s="1"/>
  <c r="BF9"/>
  <c r="BF75" i="38"/>
  <c r="BL75" s="1"/>
  <c r="AV76"/>
  <c r="BF76" s="1"/>
  <c r="BL76" s="1"/>
  <c r="W39" i="60"/>
  <c r="F949" i="4"/>
  <c r="I150" i="55"/>
  <c r="K167" i="6"/>
  <c r="K169" s="1"/>
  <c r="F953" i="4" a="1"/>
  <c r="F953" s="1"/>
  <c r="F1263" s="1"/>
  <c r="F1247" s="1"/>
  <c r="G949"/>
  <c r="AP11" i="60"/>
  <c r="G954" i="4" a="1"/>
  <c r="G954" s="1"/>
  <c r="G1264" s="1"/>
  <c r="G1248" s="1"/>
  <c r="F952" a="1"/>
  <c r="F952" s="1"/>
  <c r="F1262" s="1"/>
  <c r="F1246" s="1"/>
  <c r="G952" a="1"/>
  <c r="G952" s="1"/>
  <c r="G1262" s="1"/>
  <c r="V11" i="25"/>
  <c r="V15" s="1"/>
  <c r="V40" s="1"/>
  <c r="G1229" i="4"/>
  <c r="G1200" s="1"/>
  <c r="J151" i="55"/>
  <c r="BC109" i="47"/>
  <c r="Q9" i="36"/>
  <c r="G11"/>
  <c r="H1208" i="4"/>
  <c r="BF11" i="36"/>
  <c r="J149" i="55"/>
  <c r="DH22" i="37"/>
  <c r="G11" i="1"/>
  <c r="Q11" s="1"/>
  <c r="Q9"/>
  <c r="L152" i="55"/>
  <c r="J954" i="4" a="1"/>
  <c r="J954" s="1"/>
  <c r="J1264" s="1"/>
  <c r="J1248" s="1"/>
  <c r="BL51" i="36"/>
  <c r="U11" i="38"/>
  <c r="U15" s="1"/>
  <c r="U40" s="1"/>
  <c r="BY22" i="41"/>
  <c r="BY40" s="1"/>
  <c r="BY109" s="1"/>
  <c r="J264" i="46"/>
  <c r="BZ22" i="41"/>
  <c r="BZ40" s="1"/>
  <c r="BZ109" s="1"/>
  <c r="BQ22" i="39"/>
  <c r="CG51" i="26"/>
  <c r="DH50"/>
  <c r="L288" i="46"/>
  <c r="L299" s="1"/>
  <c r="AK58" i="40"/>
  <c r="W22"/>
  <c r="I386" i="35"/>
  <c r="I235"/>
  <c r="U22" i="40"/>
  <c r="DH21" i="38"/>
  <c r="BO22"/>
  <c r="AK9" i="36"/>
  <c r="S11"/>
  <c r="BP22" i="39"/>
  <c r="G264" i="46"/>
  <c r="G266" s="1"/>
  <c r="G286" s="1"/>
  <c r="BF58" i="40"/>
  <c r="BX22" i="41"/>
  <c r="BX40" s="1"/>
  <c r="BX109" s="1"/>
  <c r="BW22" i="40"/>
  <c r="BW40" s="1"/>
  <c r="BW109" s="1"/>
  <c r="W11" i="38"/>
  <c r="W15" s="1"/>
  <c r="W40" s="1"/>
  <c r="DC22"/>
  <c r="DC40" s="1"/>
  <c r="AF51"/>
  <c r="AK50"/>
  <c r="I22" i="40"/>
  <c r="Q21"/>
  <c r="G11" i="25"/>
  <c r="Q9"/>
  <c r="CG51" i="41"/>
  <c r="DH50"/>
  <c r="AK9" i="1"/>
  <c r="S11"/>
  <c r="AH8" i="60"/>
  <c r="W6"/>
  <c r="BF50" i="38"/>
  <c r="BE51"/>
  <c r="AK21" i="39"/>
  <c r="BL21" s="1"/>
  <c r="S22"/>
  <c r="AK22" s="1"/>
  <c r="BD323" i="47"/>
  <c r="J27" i="64"/>
  <c r="AI29" i="60"/>
  <c r="V22" i="40"/>
  <c r="AB22"/>
  <c r="H235" i="35"/>
  <c r="H386"/>
  <c r="N561" i="34"/>
  <c r="N120" i="8"/>
  <c r="N116"/>
  <c r="N117" s="1"/>
  <c r="F329" i="35"/>
  <c r="F347" s="1"/>
  <c r="F307"/>
  <c r="F384" s="1"/>
  <c r="L146" i="8"/>
  <c r="N363" i="34"/>
  <c r="M406"/>
  <c r="M409" s="1"/>
  <c r="M364"/>
  <c r="M411" s="1"/>
  <c r="M413" s="1"/>
  <c r="N297" i="13"/>
  <c r="N300" s="1"/>
  <c r="N456" s="1"/>
  <c r="N290"/>
  <c r="N293" s="1"/>
  <c r="N455" s="1"/>
  <c r="N283"/>
  <c r="N286" s="1"/>
  <c r="N304"/>
  <c r="N307" s="1"/>
  <c r="N457" s="1"/>
  <c r="N332"/>
  <c r="N335" s="1"/>
  <c r="N475" s="1"/>
  <c r="N318"/>
  <c r="N321" s="1"/>
  <c r="N473" s="1"/>
  <c r="N325"/>
  <c r="N328" s="1"/>
  <c r="N474" s="1"/>
  <c r="N311"/>
  <c r="N314" s="1"/>
  <c r="N472" s="1"/>
  <c r="L167" i="8"/>
  <c r="L132"/>
  <c r="M437" i="13"/>
  <c r="M244"/>
  <c r="M442" s="1"/>
  <c r="M240"/>
  <c r="M241"/>
  <c r="M439" s="1"/>
  <c r="M242"/>
  <c r="M440" s="1"/>
  <c r="M243"/>
  <c r="M441" s="1"/>
  <c r="F330" i="35"/>
  <c r="F348" s="1"/>
  <c r="F308"/>
  <c r="F385" s="1"/>
  <c r="L343" i="13"/>
  <c r="L453" s="1"/>
  <c r="L438"/>
  <c r="N264"/>
  <c r="N263"/>
  <c r="N261"/>
  <c r="N265"/>
  <c r="N262"/>
  <c r="N237"/>
  <c r="J459"/>
  <c r="H1200" i="4"/>
  <c r="H1238"/>
  <c r="J270" i="7"/>
  <c r="J315" s="1"/>
  <c r="H153" i="55"/>
  <c r="M645" i="17"/>
  <c r="J949" i="4"/>
  <c r="K946"/>
  <c r="K1236" s="1"/>
  <c r="K1207" s="1"/>
  <c r="J272" i="7"/>
  <c r="J317" s="1"/>
  <c r="H241" i="55"/>
  <c r="J153"/>
  <c r="BL22" i="38"/>
  <c r="L422" i="34"/>
  <c r="J547"/>
  <c r="F306" i="35"/>
  <c r="F328"/>
  <c r="F346" s="1"/>
  <c r="M145" i="8"/>
  <c r="M122"/>
  <c r="M154" s="1"/>
  <c r="M144"/>
  <c r="K367" i="13"/>
  <c r="K369" s="1"/>
  <c r="K458" s="1"/>
  <c r="K451"/>
  <c r="G1208" i="4"/>
  <c r="M561" i="34"/>
  <c r="L165" i="8"/>
  <c r="L137"/>
  <c r="F1238" i="4"/>
  <c r="F1200"/>
  <c r="K543" i="34"/>
  <c r="K546"/>
  <c r="M136" i="8"/>
  <c r="M131"/>
  <c r="M156"/>
  <c r="M126"/>
  <c r="M454" i="13"/>
  <c r="M363"/>
  <c r="M365" s="1"/>
  <c r="L127" i="8"/>
  <c r="L169"/>
  <c r="CG84" i="40"/>
  <c r="CG109" s="1"/>
  <c r="DH51"/>
  <c r="Q22" i="39"/>
  <c r="I40"/>
  <c r="I109" s="1"/>
  <c r="J316" i="7"/>
  <c r="J953" i="4" a="1"/>
  <c r="J953" s="1"/>
  <c r="J1263" s="1"/>
  <c r="AK55" i="26"/>
  <c r="H151" i="55"/>
  <c r="BF84" i="36"/>
  <c r="J952" i="4" a="1"/>
  <c r="J952" s="1"/>
  <c r="J1262" s="1"/>
  <c r="J1246" s="1"/>
  <c r="BL58" i="39"/>
  <c r="BL53" i="26"/>
  <c r="BD109" i="47"/>
  <c r="DC82" i="37"/>
  <c r="DC84" s="1"/>
  <c r="DC109" s="1"/>
  <c r="BI76" i="40"/>
  <c r="BJ79" i="37"/>
  <c r="AX63" i="39"/>
  <c r="BF57"/>
  <c r="X11" i="60"/>
  <c r="X56"/>
  <c r="T63" i="39"/>
  <c r="AK57"/>
  <c r="K287" i="46"/>
  <c r="K298" s="1"/>
  <c r="AJ46" i="40"/>
  <c r="AJ84" s="1"/>
  <c r="AJ109" s="1"/>
  <c r="AJ24" i="60"/>
  <c r="AU24" s="1"/>
  <c r="G67" i="65"/>
  <c r="G120" i="63"/>
  <c r="G109"/>
  <c r="BA283" i="47"/>
  <c r="AV76" i="39"/>
  <c r="BF75"/>
  <c r="X39" i="60"/>
  <c r="H68" i="65"/>
  <c r="BB285" i="47"/>
  <c r="W45" i="60"/>
  <c r="BC11" i="38"/>
  <c r="BF9"/>
  <c r="M223" i="46"/>
  <c r="AI24" i="60"/>
  <c r="AT24" s="1"/>
  <c r="AJ46" i="39"/>
  <c r="AJ84" s="1"/>
  <c r="AJ109" s="1"/>
  <c r="N224" i="46"/>
  <c r="T76" i="40"/>
  <c r="AK76" s="1"/>
  <c r="AK75"/>
  <c r="AK24" i="60"/>
  <c r="AV24" s="1"/>
  <c r="AJ46" i="41"/>
  <c r="AJ84" s="1"/>
  <c r="AJ109" s="1"/>
  <c r="AI11" i="60"/>
  <c r="F67" i="65"/>
  <c r="F120" i="63"/>
  <c r="F109"/>
  <c r="AZ283" i="47"/>
  <c r="AK79" i="37"/>
  <c r="S11" i="38"/>
  <c r="AK9"/>
  <c r="L211" i="7"/>
  <c r="L302"/>
  <c r="L198"/>
  <c r="L195"/>
  <c r="BB262" i="47"/>
  <c r="BB272" s="1"/>
  <c r="H331" i="35"/>
  <c r="I331"/>
  <c r="K332"/>
  <c r="M96" i="9"/>
  <c r="M97" s="1"/>
  <c r="M100"/>
  <c r="K126"/>
  <c r="L894" i="4"/>
  <c r="L945" s="1"/>
  <c r="L1234" s="1"/>
  <c r="L897"/>
  <c r="L948" s="1"/>
  <c r="L891"/>
  <c r="L942" s="1"/>
  <c r="L1231" s="1"/>
  <c r="L896"/>
  <c r="L1090" s="1"/>
  <c r="L887"/>
  <c r="L895"/>
  <c r="L1089" s="1"/>
  <c r="L889"/>
  <c r="L940" s="1"/>
  <c r="L890"/>
  <c r="L941" s="1"/>
  <c r="L1230" s="1"/>
  <c r="L893"/>
  <c r="L944" s="1"/>
  <c r="L1233" s="1"/>
  <c r="L892"/>
  <c r="L1086" s="1"/>
  <c r="N333" i="35"/>
  <c r="M648" i="17"/>
  <c r="N648"/>
  <c r="L227" i="7"/>
  <c r="L224"/>
  <c r="K123" i="55"/>
  <c r="K143"/>
  <c r="K150" s="1"/>
  <c r="K138"/>
  <c r="K213" i="7"/>
  <c r="K270" s="1"/>
  <c r="K210"/>
  <c r="K306" s="1"/>
  <c r="BJ55" i="39"/>
  <c r="BF63" i="38"/>
  <c r="AX84"/>
  <c r="AX109" s="1"/>
  <c r="L1080" i="4"/>
  <c r="I231" i="55"/>
  <c r="I131"/>
  <c r="I222" s="1"/>
  <c r="I132"/>
  <c r="I223" s="1"/>
  <c r="I232"/>
  <c r="I233"/>
  <c r="I133"/>
  <c r="I224" s="1"/>
  <c r="I211"/>
  <c r="I230"/>
  <c r="L791" i="4"/>
  <c r="M655" i="17"/>
  <c r="N655"/>
  <c r="M189" i="7"/>
  <c r="M191" s="1"/>
  <c r="M193" s="1"/>
  <c r="M196" s="1"/>
  <c r="M233"/>
  <c r="K137" i="55"/>
  <c r="K127"/>
  <c r="K142"/>
  <c r="K149" s="1"/>
  <c r="K122"/>
  <c r="K146"/>
  <c r="K153" s="1"/>
  <c r="M649" i="17"/>
  <c r="N649"/>
  <c r="M128" i="55"/>
  <c r="M139"/>
  <c r="M144"/>
  <c r="N151" s="1"/>
  <c r="M331" i="35"/>
  <c r="AV84" i="37"/>
  <c r="BF76"/>
  <c r="BL76" s="1"/>
  <c r="M651" i="17"/>
  <c r="N651"/>
  <c r="M517"/>
  <c r="M721" s="1"/>
  <c r="M520"/>
  <c r="M724" s="1"/>
  <c r="M516"/>
  <c r="M720" s="1"/>
  <c r="M515"/>
  <c r="M518"/>
  <c r="M722" s="1"/>
  <c r="M519"/>
  <c r="M723" s="1"/>
  <c r="M523"/>
  <c r="M727" s="1"/>
  <c r="M522"/>
  <c r="M726" s="1"/>
  <c r="M521"/>
  <c r="M725" s="1"/>
  <c r="M510"/>
  <c r="G333" i="35"/>
  <c r="F351" s="1"/>
  <c r="G308"/>
  <c r="M653" i="17"/>
  <c r="N653"/>
  <c r="G210" i="55"/>
  <c r="G124"/>
  <c r="G213" s="1"/>
  <c r="K145" i="9"/>
  <c r="K117"/>
  <c r="H333" i="35"/>
  <c r="I332"/>
  <c r="K333"/>
  <c r="N203" i="7"/>
  <c r="N242"/>
  <c r="BG388" i="47"/>
  <c r="BH388" s="1"/>
  <c r="BI388" s="1"/>
  <c r="N94" i="9"/>
  <c r="N135"/>
  <c r="G230" i="55"/>
  <c r="G131"/>
  <c r="G222" s="1"/>
  <c r="G211"/>
  <c r="G233"/>
  <c r="G231"/>
  <c r="G132"/>
  <c r="G223" s="1"/>
  <c r="G232"/>
  <c r="G133"/>
  <c r="G224" s="1"/>
  <c r="M218" i="7"/>
  <c r="M220" s="1"/>
  <c r="M222" s="1"/>
  <c r="M225" s="1"/>
  <c r="M245"/>
  <c r="M229"/>
  <c r="J1207" i="4"/>
  <c r="J333" i="35"/>
  <c r="N233" i="55"/>
  <c r="N132"/>
  <c r="N223" s="1"/>
  <c r="N211"/>
  <c r="N232"/>
  <c r="N230"/>
  <c r="N131"/>
  <c r="N222" s="1"/>
  <c r="N231"/>
  <c r="N133"/>
  <c r="N224" s="1"/>
  <c r="J303" i="7"/>
  <c r="J305"/>
  <c r="M337"/>
  <c r="K128" i="55"/>
  <c r="K144"/>
  <c r="K151" s="1"/>
  <c r="K139"/>
  <c r="N179" i="6"/>
  <c r="L331" i="35"/>
  <c r="J284" i="7"/>
  <c r="AJ84" i="1"/>
  <c r="AJ109" s="1"/>
  <c r="AK46"/>
  <c r="BL46" s="1"/>
  <c r="AK55" i="39"/>
  <c r="BF14"/>
  <c r="I315" i="7"/>
  <c r="J150" i="55"/>
  <c r="N692" i="4"/>
  <c r="M152" i="55"/>
  <c r="AS11" i="60"/>
  <c r="K945" i="4"/>
  <c r="K1234" s="1"/>
  <c r="I153" i="55"/>
  <c r="I149"/>
  <c r="G241"/>
  <c r="H150"/>
  <c r="N711" i="4"/>
  <c r="J241" i="55"/>
  <c r="BL57" i="38"/>
  <c r="L137" i="55"/>
  <c r="L146"/>
  <c r="L122"/>
  <c r="L127"/>
  <c r="L142"/>
  <c r="L128"/>
  <c r="L139"/>
  <c r="L144"/>
  <c r="G332" i="35"/>
  <c r="F350" s="1"/>
  <c r="G307"/>
  <c r="M131" i="6"/>
  <c r="M168" s="1"/>
  <c r="M165"/>
  <c r="H233" i="55"/>
  <c r="H132"/>
  <c r="H223" s="1"/>
  <c r="H131"/>
  <c r="H222" s="1"/>
  <c r="H231"/>
  <c r="H230"/>
  <c r="H133"/>
  <c r="H224" s="1"/>
  <c r="H232"/>
  <c r="H211"/>
  <c r="M646" i="17"/>
  <c r="N646"/>
  <c r="I283" i="7"/>
  <c r="I307"/>
  <c r="K149" i="9"/>
  <c r="K107"/>
  <c r="J210" i="55"/>
  <c r="J124"/>
  <c r="J213" s="1"/>
  <c r="N210"/>
  <c r="N124"/>
  <c r="N213" s="1"/>
  <c r="I124"/>
  <c r="I213" s="1"/>
  <c r="I210"/>
  <c r="M137"/>
  <c r="M122"/>
  <c r="M146"/>
  <c r="N153" s="1"/>
  <c r="M142"/>
  <c r="N149" s="1"/>
  <c r="M127"/>
  <c r="L333" i="35"/>
  <c r="M333"/>
  <c r="DH55" i="40"/>
  <c r="G331" i="35"/>
  <c r="F349" s="1"/>
  <c r="G306"/>
  <c r="L125" i="9"/>
  <c r="L124"/>
  <c r="L102"/>
  <c r="L134" s="1"/>
  <c r="H332" i="35"/>
  <c r="K331"/>
  <c r="L527" i="17"/>
  <c r="L757" s="1"/>
  <c r="L524"/>
  <c r="L529"/>
  <c r="L759" s="1"/>
  <c r="L719"/>
  <c r="L728" s="1"/>
  <c r="N331" i="35"/>
  <c r="J332"/>
  <c r="BJ55" i="40"/>
  <c r="L138" i="55"/>
  <c r="L143"/>
  <c r="L123"/>
  <c r="H210"/>
  <c r="H124"/>
  <c r="H213" s="1"/>
  <c r="L111" i="9"/>
  <c r="L136"/>
  <c r="L106"/>
  <c r="L116"/>
  <c r="K147"/>
  <c r="K112"/>
  <c r="I333" i="35"/>
  <c r="M204" i="7"/>
  <c r="M206" s="1"/>
  <c r="M208" s="1"/>
  <c r="M239"/>
  <c r="M654" i="17"/>
  <c r="N654"/>
  <c r="M873" i="4"/>
  <c r="M1074"/>
  <c r="M1076"/>
  <c r="M1073"/>
  <c r="M870"/>
  <c r="M1071"/>
  <c r="M1079"/>
  <c r="M1077"/>
  <c r="M1078"/>
  <c r="M1075"/>
  <c r="M1072"/>
  <c r="N217" i="7"/>
  <c r="N248"/>
  <c r="J1200" i="4"/>
  <c r="M647" i="17"/>
  <c r="N647"/>
  <c r="N857" i="4"/>
  <c r="N867"/>
  <c r="N883" s="1"/>
  <c r="N861"/>
  <c r="N877" s="1"/>
  <c r="N869"/>
  <c r="N885" s="1"/>
  <c r="N864"/>
  <c r="N880" s="1"/>
  <c r="N862"/>
  <c r="N878" s="1"/>
  <c r="N868"/>
  <c r="N884" s="1"/>
  <c r="N860"/>
  <c r="N876" s="1"/>
  <c r="N863"/>
  <c r="N879" s="1"/>
  <c r="N865"/>
  <c r="N881" s="1"/>
  <c r="N858"/>
  <c r="N874" s="1"/>
  <c r="N866"/>
  <c r="N882" s="1"/>
  <c r="N859"/>
  <c r="N875" s="1"/>
  <c r="N332" i="35"/>
  <c r="J331"/>
  <c r="L1011" i="4" a="1"/>
  <c r="L1011" s="1"/>
  <c r="L1222" s="1"/>
  <c r="L1004" a="1"/>
  <c r="L1004" s="1"/>
  <c r="L1009" a="1"/>
  <c r="L1009" s="1"/>
  <c r="L1219" s="1"/>
  <c r="L999"/>
  <c r="L1010" a="1"/>
  <c r="L1010" s="1"/>
  <c r="L1221" s="1"/>
  <c r="L1006" a="1"/>
  <c r="L1006" s="1"/>
  <c r="L1216" s="1"/>
  <c r="L1005" a="1"/>
  <c r="L1005" s="1"/>
  <c r="L1215" s="1"/>
  <c r="L1007" a="1"/>
  <c r="L1007" s="1"/>
  <c r="L1217" s="1"/>
  <c r="L1012" a="1"/>
  <c r="L1012" s="1"/>
  <c r="L1223" s="1"/>
  <c r="L1008" a="1"/>
  <c r="L1008" s="1"/>
  <c r="L1218" s="1"/>
  <c r="K1018" a="1"/>
  <c r="K1018" s="1"/>
  <c r="K1214"/>
  <c r="K1224" s="1"/>
  <c r="K1017" a="1"/>
  <c r="K1017" s="1"/>
  <c r="K1016" a="1"/>
  <c r="K1016" s="1"/>
  <c r="K1013"/>
  <c r="N188" i="7"/>
  <c r="N170"/>
  <c r="N335" s="1"/>
  <c r="N236"/>
  <c r="N124" i="6"/>
  <c r="N125" s="1"/>
  <c r="N130" s="1"/>
  <c r="N138"/>
  <c r="M123" i="55"/>
  <c r="M138"/>
  <c r="M143"/>
  <c r="N150" s="1"/>
  <c r="L332" i="35"/>
  <c r="M332"/>
  <c r="J211" i="55"/>
  <c r="J232"/>
  <c r="J132"/>
  <c r="J223" s="1"/>
  <c r="J131"/>
  <c r="J222" s="1"/>
  <c r="J230"/>
  <c r="J233"/>
  <c r="J231"/>
  <c r="J133"/>
  <c r="J224" s="1"/>
  <c r="K275" i="7"/>
  <c r="K276"/>
  <c r="K304"/>
  <c r="K277"/>
  <c r="DH55" i="39"/>
  <c r="AK63" i="38"/>
  <c r="Q14" i="39"/>
  <c r="K943" i="4"/>
  <c r="K1232" s="1"/>
  <c r="H149" i="55"/>
  <c r="L1059" i="4"/>
  <c r="K1084"/>
  <c r="I241" i="55"/>
  <c r="L1063" i="4"/>
  <c r="L1064"/>
  <c r="N241" i="55"/>
  <c r="K898" i="4"/>
  <c r="K940"/>
  <c r="I151" i="55"/>
  <c r="L132" i="6"/>
  <c r="L134" s="1"/>
  <c r="BL63" i="37"/>
  <c r="BL75"/>
  <c r="I64" i="60"/>
  <c r="AB53" i="38"/>
  <c r="BQ12"/>
  <c r="BP12"/>
  <c r="W53"/>
  <c r="I80" i="60"/>
  <c r="H69"/>
  <c r="U12" i="39"/>
  <c r="W12" i="40"/>
  <c r="AB53" i="25"/>
  <c r="F64" i="60"/>
  <c r="AB53" i="1"/>
  <c r="E64" i="60"/>
  <c r="BO53" i="41"/>
  <c r="J72" i="60"/>
  <c r="Y53" i="36"/>
  <c r="Y53" i="1"/>
  <c r="BH45" i="36"/>
  <c r="F25" i="46"/>
  <c r="J47" i="64"/>
  <c r="I39"/>
  <c r="BB233" i="47"/>
  <c r="BC306"/>
  <c r="BO79" i="38"/>
  <c r="N44" i="59"/>
  <c r="F55" i="60"/>
  <c r="G53"/>
  <c r="K41"/>
  <c r="J58"/>
  <c r="BO9" i="38"/>
  <c r="H67" i="60"/>
  <c r="S21" i="40"/>
  <c r="BA191" i="47"/>
  <c r="BO45" i="36"/>
  <c r="U9" i="40"/>
  <c r="AZ168" i="47"/>
  <c r="BP45" i="36"/>
  <c r="BP21" i="40"/>
  <c r="BP79" i="38"/>
  <c r="S45" i="25"/>
  <c r="S45" i="37"/>
  <c r="K14" i="64"/>
  <c r="M7"/>
  <c r="BD172" i="47"/>
  <c r="K50" i="64"/>
  <c r="L36" i="46"/>
  <c r="F50" i="60"/>
  <c r="BB309" i="47"/>
  <c r="BO45" i="37"/>
  <c r="W9"/>
  <c r="I53" i="60"/>
  <c r="H7" i="64"/>
  <c r="V53" i="41"/>
  <c r="BP53"/>
  <c r="BI79" i="39"/>
  <c r="BE70" i="47"/>
  <c r="BZ21" i="26"/>
  <c r="BP9" i="25"/>
  <c r="P60" i="59"/>
  <c r="G9" i="38"/>
  <c r="K42" i="60"/>
  <c r="BE101" i="47"/>
  <c r="W45" i="38"/>
  <c r="AB21" i="41"/>
  <c r="W45" i="25"/>
  <c r="T9" i="40"/>
  <c r="BC250" i="47"/>
  <c r="K60" i="60"/>
  <c r="BO21" i="39"/>
  <c r="W9"/>
  <c r="V9"/>
  <c r="J68" i="60"/>
  <c r="AY216" i="47"/>
  <c r="I21" i="41"/>
  <c r="S45" i="26"/>
  <c r="BQ45" i="25"/>
  <c r="I93" i="64"/>
  <c r="V9" i="37"/>
  <c r="H23" i="66"/>
  <c r="M55" i="60"/>
  <c r="K17" i="66"/>
  <c r="K37" i="46"/>
  <c r="G68" i="60"/>
  <c r="BC236" i="47"/>
  <c r="K62" i="60"/>
  <c r="L80"/>
  <c r="T9" i="37"/>
  <c r="BB168" i="47"/>
  <c r="M67" i="64"/>
  <c r="L79" i="60"/>
  <c r="L78"/>
  <c r="BQ45" i="38"/>
  <c r="BD70" i="47"/>
  <c r="F65" i="60"/>
  <c r="BB191" i="47"/>
  <c r="I9" i="54"/>
  <c r="G65" i="60"/>
  <c r="J14"/>
  <c r="S9" i="25"/>
  <c r="U79" i="38"/>
  <c r="S45"/>
  <c r="I15" i="63"/>
  <c r="BO45" i="26"/>
  <c r="AB9" i="40"/>
  <c r="BQ9" i="36"/>
  <c r="AZ236" i="47"/>
  <c r="T58" i="41"/>
  <c r="BF70" i="47"/>
  <c r="BO12" i="38"/>
  <c r="AB12" i="40"/>
  <c r="K63" i="60"/>
  <c r="AB53" i="36"/>
  <c r="G64" i="60"/>
  <c r="W53" i="25"/>
  <c r="F80" i="60"/>
  <c r="S12" i="38"/>
  <c r="I11" i="64"/>
  <c r="BC310" i="47"/>
  <c r="W53" i="1"/>
  <c r="E80" i="60"/>
  <c r="W53" i="36"/>
  <c r="G80" i="60"/>
  <c r="H58"/>
  <c r="BC9" i="37"/>
  <c r="J49" i="64"/>
  <c r="Y53" i="38"/>
  <c r="BI53" i="41"/>
  <c r="BI53" i="37"/>
  <c r="Y53" i="25"/>
  <c r="I55" i="60"/>
  <c r="H50"/>
  <c r="BE313" i="47"/>
  <c r="BE241"/>
  <c r="AF50" i="39"/>
  <c r="O16" i="59"/>
  <c r="BQ79" i="38"/>
  <c r="G50" i="60"/>
  <c r="BQ9" i="38"/>
  <c r="BE103" i="47"/>
  <c r="AZ309"/>
  <c r="M69" i="64"/>
  <c r="BQ9" i="25"/>
  <c r="F53" i="60"/>
  <c r="AZ306" i="47"/>
  <c r="K15" i="66"/>
  <c r="BA306" i="47"/>
  <c r="W79" i="39"/>
  <c r="H25" i="46"/>
  <c r="I88" i="63"/>
  <c r="BO9" i="25"/>
  <c r="BP45" i="37"/>
  <c r="DC21" i="39"/>
  <c r="S45" i="36"/>
  <c r="S9" i="37"/>
  <c r="W45"/>
  <c r="BH45"/>
  <c r="I31" i="65"/>
  <c r="W96" i="1"/>
  <c r="BW21" i="41"/>
  <c r="K77" i="60"/>
  <c r="T57" i="40"/>
  <c r="H55" i="60"/>
  <c r="AY217" i="47"/>
  <c r="AX57" i="40"/>
  <c r="U9" i="39"/>
  <c r="AB9"/>
  <c r="BO45" i="38"/>
  <c r="BG172" i="47"/>
  <c r="AX58" i="41"/>
  <c r="BB306" i="47"/>
  <c r="L16" i="46"/>
  <c r="AF96" i="36"/>
  <c r="AY45" i="3"/>
  <c r="F7" i="64"/>
  <c r="K70" i="60"/>
  <c r="T9" i="39"/>
  <c r="J19" i="65"/>
  <c r="M50" i="60"/>
  <c r="BQ45" i="37"/>
  <c r="E26" i="60"/>
  <c r="BE248" i="47"/>
  <c r="BP45" i="26"/>
  <c r="I25" i="46"/>
  <c r="K40" i="60"/>
  <c r="BP9" i="38"/>
  <c r="BE50" i="39"/>
  <c r="BG123" i="47"/>
  <c r="BE235"/>
  <c r="L61" i="60"/>
  <c r="O59" i="59"/>
  <c r="U21" i="41"/>
  <c r="AY70" i="47"/>
  <c r="BE183"/>
  <c r="K43" i="60"/>
  <c r="V21" i="41"/>
  <c r="H9" i="54"/>
  <c r="BG306" i="47"/>
  <c r="BC9" i="39"/>
  <c r="U9" i="37"/>
  <c r="H10" i="64"/>
  <c r="BE172" i="47"/>
  <c r="BO45" i="25"/>
  <c r="K39" i="64"/>
  <c r="BH75" i="39"/>
  <c r="AY236" i="47"/>
  <c r="G7" i="64"/>
  <c r="M17" i="46"/>
  <c r="BO79" i="37"/>
  <c r="I7" i="64"/>
  <c r="U12" i="40"/>
  <c r="I72" i="60"/>
  <c r="J26" i="46"/>
  <c r="K39" i="60"/>
  <c r="O51" i="59"/>
  <c r="E27" i="60"/>
  <c r="BE185" i="47"/>
  <c r="BY21" i="26"/>
  <c r="L64" i="60"/>
  <c r="BX21" i="26"/>
  <c r="BA246" i="47"/>
  <c r="I50" i="60"/>
  <c r="G55"/>
  <c r="W9" i="40"/>
  <c r="M53" i="60"/>
  <c r="J87" i="64"/>
  <c r="N6" i="59"/>
  <c r="W45" i="36"/>
  <c r="H53" i="60"/>
  <c r="BD14" i="47"/>
  <c r="BP9" i="1"/>
  <c r="W45" i="26"/>
  <c r="O33" i="59"/>
  <c r="BC97" i="47"/>
  <c r="F10" i="64"/>
  <c r="BH45" i="25"/>
  <c r="AZ246" i="47"/>
  <c r="P34" i="59"/>
  <c r="N50" i="46"/>
  <c r="BP9" i="36"/>
  <c r="BG121" i="47"/>
  <c r="BH45" i="38"/>
  <c r="BP45" i="25"/>
  <c r="BE163" i="47"/>
  <c r="G23" i="66"/>
  <c r="BA236" i="47"/>
  <c r="J93" i="64"/>
  <c r="BI75" i="41"/>
  <c r="BQ45" i="36"/>
  <c r="BH79" i="38"/>
  <c r="I65" i="60"/>
  <c r="BH45" i="26"/>
  <c r="W21" i="41"/>
  <c r="AF96" i="37"/>
  <c r="T75" i="41"/>
  <c r="K48" i="64"/>
  <c r="BQ45" i="26"/>
  <c r="V96" i="1"/>
  <c r="BP45" i="38"/>
  <c r="BQ9" i="1"/>
  <c r="BQ21" i="40"/>
  <c r="E65" i="60"/>
  <c r="BO9" i="1"/>
  <c r="K45" i="60"/>
  <c r="BC25" i="47"/>
  <c r="K87" i="64"/>
  <c r="BC246" i="47"/>
  <c r="J62" i="60"/>
  <c r="T79" i="40"/>
  <c r="BO9" i="36"/>
  <c r="BB97" i="47"/>
  <c r="BE247"/>
  <c r="BF242"/>
  <c r="J265" i="46" l="1"/>
  <c r="U14" i="40"/>
  <c r="Y55" i="25"/>
  <c r="Y84" s="1"/>
  <c r="BJ53" i="37"/>
  <c r="BL53" s="1"/>
  <c r="BI55"/>
  <c r="BJ55" s="1"/>
  <c r="BJ53" i="41"/>
  <c r="BI55"/>
  <c r="BJ55" s="1"/>
  <c r="Y55" i="38"/>
  <c r="Y84" s="1"/>
  <c r="BF9" i="37"/>
  <c r="BC11"/>
  <c r="BC15" s="1"/>
  <c r="V45" i="60"/>
  <c r="W55" i="36"/>
  <c r="W55" i="1"/>
  <c r="S14" i="38"/>
  <c r="AK14" s="1"/>
  <c r="BL14" s="1"/>
  <c r="AK12"/>
  <c r="BL12" s="1"/>
  <c r="W55" i="25"/>
  <c r="U15" i="60"/>
  <c r="AB55" i="36"/>
  <c r="AB70" s="1"/>
  <c r="AB14" i="40"/>
  <c r="BO14" i="38"/>
  <c r="K279" i="46"/>
  <c r="K280" s="1"/>
  <c r="BP55" i="41"/>
  <c r="V55"/>
  <c r="AK53"/>
  <c r="BL53" s="1"/>
  <c r="Y55" i="1"/>
  <c r="Y84" s="1"/>
  <c r="Y55" i="36"/>
  <c r="Y84" s="1"/>
  <c r="DH53" i="41"/>
  <c r="BO55"/>
  <c r="DH55" s="1"/>
  <c r="S15" i="60"/>
  <c r="AB55" i="1"/>
  <c r="T15" i="60"/>
  <c r="AB55" i="25"/>
  <c r="AB70" s="1"/>
  <c r="W14" i="40"/>
  <c r="U14" i="39"/>
  <c r="AG26" i="60"/>
  <c r="W55" i="38"/>
  <c r="BP14"/>
  <c r="BQ14"/>
  <c r="AB55"/>
  <c r="AB70" s="1"/>
  <c r="W15" i="60"/>
  <c r="I1207" i="4"/>
  <c r="L548" i="17"/>
  <c r="L551"/>
  <c r="J705"/>
  <c r="J741"/>
  <c r="H148" i="61"/>
  <c r="I147"/>
  <c r="I149" s="1"/>
  <c r="I148"/>
  <c r="F178"/>
  <c r="F172"/>
  <c r="F141"/>
  <c r="F189" s="1"/>
  <c r="F173"/>
  <c r="F222"/>
  <c r="F230" s="1"/>
  <c r="F219"/>
  <c r="F227" s="1"/>
  <c r="F220"/>
  <c r="F228" s="1"/>
  <c r="F140"/>
  <c r="F188" s="1"/>
  <c r="F221"/>
  <c r="F229" s="1"/>
  <c r="F139"/>
  <c r="F187" s="1"/>
  <c r="J768" i="17"/>
  <c r="J749"/>
  <c r="G173" i="61"/>
  <c r="G140"/>
  <c r="G188" s="1"/>
  <c r="G141"/>
  <c r="G189" s="1"/>
  <c r="G222"/>
  <c r="G230" s="1"/>
  <c r="G219"/>
  <c r="G227" s="1"/>
  <c r="G221"/>
  <c r="G229" s="1"/>
  <c r="G139"/>
  <c r="G187" s="1"/>
  <c r="G220"/>
  <c r="G228" s="1"/>
  <c r="H172"/>
  <c r="H178"/>
  <c r="J220"/>
  <c r="J228" s="1"/>
  <c r="J221"/>
  <c r="J229" s="1"/>
  <c r="J141"/>
  <c r="J189" s="1"/>
  <c r="J219"/>
  <c r="J227" s="1"/>
  <c r="J139"/>
  <c r="J187" s="1"/>
  <c r="J173"/>
  <c r="J222"/>
  <c r="J230" s="1"/>
  <c r="J140"/>
  <c r="J188" s="1"/>
  <c r="M628" i="17"/>
  <c r="M570"/>
  <c r="M400"/>
  <c r="M404"/>
  <c r="M565"/>
  <c r="M577" s="1"/>
  <c r="M407"/>
  <c r="M563"/>
  <c r="M405"/>
  <c r="M564"/>
  <c r="M576" s="1"/>
  <c r="M395"/>
  <c r="M401"/>
  <c r="M569"/>
  <c r="M581" s="1"/>
  <c r="M406"/>
  <c r="M571"/>
  <c r="M583" s="1"/>
  <c r="M566"/>
  <c r="M578" s="1"/>
  <c r="M568"/>
  <c r="M580" s="1"/>
  <c r="M399"/>
  <c r="M408" s="1"/>
  <c r="M403"/>
  <c r="M567"/>
  <c r="M402"/>
  <c r="L376"/>
  <c r="L448"/>
  <c r="L555"/>
  <c r="BL55" i="26"/>
  <c r="L581" i="17"/>
  <c r="L943" i="4"/>
  <c r="L1232" s="1"/>
  <c r="S15" i="38"/>
  <c r="I1237" i="4"/>
  <c r="AB70" i="37"/>
  <c r="DH55"/>
  <c r="L640" i="17"/>
  <c r="L576"/>
  <c r="L579"/>
  <c r="L455"/>
  <c r="L740" s="1"/>
  <c r="L451"/>
  <c r="L736" s="1"/>
  <c r="L454"/>
  <c r="L739" s="1"/>
  <c r="L554"/>
  <c r="H219" i="61"/>
  <c r="H227" s="1"/>
  <c r="H139"/>
  <c r="H187" s="1"/>
  <c r="H222"/>
  <c r="H230" s="1"/>
  <c r="H173"/>
  <c r="H220"/>
  <c r="H228" s="1"/>
  <c r="H140"/>
  <c r="H188" s="1"/>
  <c r="H141"/>
  <c r="H189" s="1"/>
  <c r="H221"/>
  <c r="H229" s="1"/>
  <c r="J172"/>
  <c r="J178"/>
  <c r="L709" i="17"/>
  <c r="K707"/>
  <c r="M448" i="42"/>
  <c r="L446"/>
  <c r="M447" s="1"/>
  <c r="I713" i="17"/>
  <c r="M539"/>
  <c r="M542"/>
  <c r="M554" s="1"/>
  <c r="M370"/>
  <c r="M451" s="1"/>
  <c r="M736" s="1"/>
  <c r="M540"/>
  <c r="M371"/>
  <c r="M452" s="1"/>
  <c r="M737" s="1"/>
  <c r="M545"/>
  <c r="M374"/>
  <c r="M373"/>
  <c r="M454" s="1"/>
  <c r="M739" s="1"/>
  <c r="M544"/>
  <c r="M556" s="1"/>
  <c r="M547"/>
  <c r="M559" s="1"/>
  <c r="M541"/>
  <c r="M368"/>
  <c r="M449" s="1"/>
  <c r="M734" s="1"/>
  <c r="M543"/>
  <c r="M555" s="1"/>
  <c r="M546"/>
  <c r="M558" s="1"/>
  <c r="M375"/>
  <c r="M369"/>
  <c r="M450" s="1"/>
  <c r="M735" s="1"/>
  <c r="M363"/>
  <c r="M372"/>
  <c r="M453" s="1"/>
  <c r="M738" s="1"/>
  <c r="M367"/>
  <c r="L572"/>
  <c r="L575"/>
  <c r="K464"/>
  <c r="K767" s="1"/>
  <c r="K733"/>
  <c r="K462"/>
  <c r="K765" s="1"/>
  <c r="K463"/>
  <c r="K766" s="1"/>
  <c r="K457"/>
  <c r="J750"/>
  <c r="J751"/>
  <c r="H147" i="61"/>
  <c r="G148"/>
  <c r="G149" s="1"/>
  <c r="G172"/>
  <c r="G178"/>
  <c r="L618" i="17"/>
  <c r="L620"/>
  <c r="L785" s="1"/>
  <c r="K147" i="61"/>
  <c r="K148"/>
  <c r="J148"/>
  <c r="J149" s="1"/>
  <c r="M609" i="17"/>
  <c r="M610"/>
  <c r="M612"/>
  <c r="M614"/>
  <c r="M617"/>
  <c r="M616"/>
  <c r="M611"/>
  <c r="M613"/>
  <c r="M606"/>
  <c r="M615"/>
  <c r="K586"/>
  <c r="K784" s="1"/>
  <c r="K560"/>
  <c r="AB70" i="1"/>
  <c r="J266" i="46"/>
  <c r="J286" s="1"/>
  <c r="J297" s="1"/>
  <c r="J303" s="1"/>
  <c r="J323" s="1"/>
  <c r="L408" i="17"/>
  <c r="L553"/>
  <c r="L449"/>
  <c r="L734" s="1"/>
  <c r="M709"/>
  <c r="L710"/>
  <c r="L578"/>
  <c r="K584"/>
  <c r="L559"/>
  <c r="L552"/>
  <c r="L556"/>
  <c r="AK55" i="40"/>
  <c r="BL55" s="1"/>
  <c r="I949" i="4"/>
  <c r="AK55" i="37"/>
  <c r="U11"/>
  <c r="U15" s="1"/>
  <c r="U40" s="1"/>
  <c r="V11"/>
  <c r="V15" s="1"/>
  <c r="V40" s="1"/>
  <c r="V95" s="1"/>
  <c r="I1202" i="4"/>
  <c r="I953" a="1"/>
  <c r="I953" s="1"/>
  <c r="I1263" s="1"/>
  <c r="K1237"/>
  <c r="K1208" s="1"/>
  <c r="I954" a="1"/>
  <c r="I954" s="1"/>
  <c r="I1264" s="1"/>
  <c r="I1068"/>
  <c r="I264" i="46"/>
  <c r="I266" s="1"/>
  <c r="I286" s="1"/>
  <c r="W11" i="37"/>
  <c r="W15" s="1"/>
  <c r="W40" s="1"/>
  <c r="T11"/>
  <c r="T15" s="1"/>
  <c r="T40" s="1"/>
  <c r="I1208" i="4"/>
  <c r="I1204"/>
  <c r="I952" a="1"/>
  <c r="I952" s="1"/>
  <c r="I1262" s="1"/>
  <c r="I1246" s="1"/>
  <c r="I1201"/>
  <c r="AK9" i="37"/>
  <c r="S11"/>
  <c r="S15" s="1"/>
  <c r="I1200" i="4"/>
  <c r="BF11" i="37"/>
  <c r="DH22" i="36"/>
  <c r="H43" i="54"/>
  <c r="H46" s="1"/>
  <c r="M343" i="13" a="1"/>
  <c r="M343" s="1"/>
  <c r="M453" s="1"/>
  <c r="M342" a="1"/>
  <c r="M342" s="1"/>
  <c r="M452" s="1"/>
  <c r="M341" a="1"/>
  <c r="M529" i="17" a="1"/>
  <c r="M527" a="1"/>
  <c r="M528" a="1"/>
  <c r="M528" s="1"/>
  <c r="M758" s="1"/>
  <c r="M462" a="1"/>
  <c r="M463" a="1"/>
  <c r="M464" a="1"/>
  <c r="G49" i="54"/>
  <c r="G74" s="1"/>
  <c r="G52"/>
  <c r="G75" s="1"/>
  <c r="M708" i="17"/>
  <c r="M1129" i="4"/>
  <c r="M1283" s="1"/>
  <c r="Q9" i="38"/>
  <c r="BL9" s="1"/>
  <c r="G11"/>
  <c r="G15" s="1"/>
  <c r="Q15" s="1"/>
  <c r="J1208" i="4"/>
  <c r="J1209" s="1"/>
  <c r="L1085"/>
  <c r="M687"/>
  <c r="M453" i="42"/>
  <c r="L451"/>
  <c r="M452" s="1"/>
  <c r="M788" i="4" a="1"/>
  <c r="M788" s="1"/>
  <c r="M1065" s="1"/>
  <c r="M786" a="1"/>
  <c r="M786" s="1"/>
  <c r="M1063" s="1"/>
  <c r="M787" a="1"/>
  <c r="M787" s="1"/>
  <c r="M1064" s="1"/>
  <c r="M783" a="1"/>
  <c r="M783" s="1"/>
  <c r="M1060" s="1"/>
  <c r="M789" a="1"/>
  <c r="M789" s="1"/>
  <c r="M1066" s="1"/>
  <c r="M1127"/>
  <c r="M782" a="1"/>
  <c r="M782" s="1"/>
  <c r="M1059" s="1"/>
  <c r="M790" a="1"/>
  <c r="M790" s="1"/>
  <c r="M1067" s="1"/>
  <c r="M785" a="1"/>
  <c r="M785" s="1"/>
  <c r="M1062" s="1"/>
  <c r="M778"/>
  <c r="M784" a="1"/>
  <c r="M784" s="1"/>
  <c r="M1061" s="1"/>
  <c r="M1056"/>
  <c r="W11" i="39"/>
  <c r="W15" s="1"/>
  <c r="W40" s="1"/>
  <c r="U11"/>
  <c r="U15" s="1"/>
  <c r="U40" s="1"/>
  <c r="L278" i="46"/>
  <c r="M705" i="4"/>
  <c r="K1202"/>
  <c r="K1068"/>
  <c r="K1094"/>
  <c r="K1282" s="1"/>
  <c r="T11" i="39"/>
  <c r="T15" s="1"/>
  <c r="T40" s="1"/>
  <c r="L947" i="4"/>
  <c r="L1237" s="1"/>
  <c r="L1084"/>
  <c r="L1088"/>
  <c r="L712" i="17"/>
  <c r="N705" i="4"/>
  <c r="BL57" i="39"/>
  <c r="BO11" i="36"/>
  <c r="BO15" s="1"/>
  <c r="BO40" s="1"/>
  <c r="H1265" i="4"/>
  <c r="H264" i="46"/>
  <c r="H266" s="1"/>
  <c r="H286" s="1"/>
  <c r="H292" s="1"/>
  <c r="H310" s="1"/>
  <c r="BF11" i="25"/>
  <c r="H1247" i="4"/>
  <c r="BF15" i="36"/>
  <c r="F1265" i="4"/>
  <c r="BP11" i="36"/>
  <c r="BP15" s="1"/>
  <c r="BP40" s="1"/>
  <c r="F264" i="46"/>
  <c r="F266" s="1"/>
  <c r="F286" s="1"/>
  <c r="F292" s="1"/>
  <c r="F310" s="1"/>
  <c r="BQ11" i="36"/>
  <c r="BQ15" s="1"/>
  <c r="BQ40" s="1"/>
  <c r="H1248" i="4"/>
  <c r="BQ11" i="1"/>
  <c r="BQ15" s="1"/>
  <c r="BQ40" s="1"/>
  <c r="BP11" i="25"/>
  <c r="BP15" s="1"/>
  <c r="BP40" s="1"/>
  <c r="L153" i="55"/>
  <c r="BF11" i="1"/>
  <c r="AV84" i="38"/>
  <c r="AV109" s="1"/>
  <c r="BO11" i="1"/>
  <c r="BO15" s="1"/>
  <c r="BO40" s="1"/>
  <c r="BP11"/>
  <c r="BP15" s="1"/>
  <c r="BP40" s="1"/>
  <c r="BO11" i="25"/>
  <c r="BO15" s="1"/>
  <c r="BO40" s="1"/>
  <c r="BQ11"/>
  <c r="BQ15" s="1"/>
  <c r="BQ40" s="1"/>
  <c r="BJ75" i="39"/>
  <c r="BL75" s="1"/>
  <c r="BH76"/>
  <c r="BJ76" s="1"/>
  <c r="G1265" i="4"/>
  <c r="G1246"/>
  <c r="G1249" s="1"/>
  <c r="S11" i="25"/>
  <c r="S15" s="1"/>
  <c r="AK9"/>
  <c r="BL9" s="1"/>
  <c r="G1238" i="4"/>
  <c r="K351" i="35"/>
  <c r="K271" i="7"/>
  <c r="K316" s="1"/>
  <c r="K272"/>
  <c r="K317" s="1"/>
  <c r="G15" i="1"/>
  <c r="G40" s="1"/>
  <c r="G109" s="1"/>
  <c r="BL63" i="38"/>
  <c r="BL9" i="36"/>
  <c r="M132" i="6"/>
  <c r="M134" s="1"/>
  <c r="M166" s="1"/>
  <c r="H349" i="35"/>
  <c r="BL9" i="1"/>
  <c r="G15" i="36"/>
  <c r="Q11"/>
  <c r="L241" i="55"/>
  <c r="K350" i="35"/>
  <c r="L149" i="55"/>
  <c r="H351" i="35"/>
  <c r="L150" i="55"/>
  <c r="BQ11" i="38"/>
  <c r="BQ15" s="1"/>
  <c r="BQ40" s="1"/>
  <c r="J1265" i="4"/>
  <c r="BL79" i="37"/>
  <c r="BL22" i="39"/>
  <c r="DH22" i="38"/>
  <c r="BP11"/>
  <c r="BP15" s="1"/>
  <c r="BP40" s="1"/>
  <c r="BZ22" i="26"/>
  <c r="BZ40" s="1"/>
  <c r="BZ109" s="1"/>
  <c r="BW22" i="41"/>
  <c r="BW40" s="1"/>
  <c r="BW109" s="1"/>
  <c r="DC22" i="39"/>
  <c r="DC40" s="1"/>
  <c r="BY22" i="26"/>
  <c r="BY40" s="1"/>
  <c r="BY109" s="1"/>
  <c r="BO11" i="38"/>
  <c r="BO15" s="1"/>
  <c r="BO40" s="1"/>
  <c r="BF58" i="41"/>
  <c r="BX22" i="26"/>
  <c r="BX40" s="1"/>
  <c r="BX109" s="1"/>
  <c r="AF99" i="36"/>
  <c r="AF106" s="1"/>
  <c r="AF109" s="1"/>
  <c r="AF97"/>
  <c r="X6" i="60"/>
  <c r="AI8"/>
  <c r="BE51" i="39"/>
  <c r="BF50"/>
  <c r="M288" i="46"/>
  <c r="M299" s="1"/>
  <c r="AK58" i="41"/>
  <c r="AF27" i="60"/>
  <c r="W22" i="41"/>
  <c r="AE27" i="60"/>
  <c r="X45"/>
  <c r="BF9" i="39"/>
  <c r="BC11"/>
  <c r="DH21"/>
  <c r="BO22"/>
  <c r="DH22" s="1"/>
  <c r="E103" i="60"/>
  <c r="U22" i="41"/>
  <c r="BQ22" i="40"/>
  <c r="AF99" i="37"/>
  <c r="AF106" s="1"/>
  <c r="AF109" s="1"/>
  <c r="AF97"/>
  <c r="BP22" i="40"/>
  <c r="AB22" i="41"/>
  <c r="K27" i="64"/>
  <c r="BE323" i="47"/>
  <c r="AK21" i="40"/>
  <c r="BL21" s="1"/>
  <c r="S22"/>
  <c r="AK22" s="1"/>
  <c r="AJ29" i="60"/>
  <c r="AF51" i="39"/>
  <c r="AK50"/>
  <c r="AD27" i="60"/>
  <c r="V22" i="41"/>
  <c r="Q21"/>
  <c r="I22"/>
  <c r="M127" i="8"/>
  <c r="M169"/>
  <c r="M146"/>
  <c r="F383" i="35"/>
  <c r="F391"/>
  <c r="L543" i="34"/>
  <c r="L546"/>
  <c r="H1209" i="4"/>
  <c r="N136" i="8"/>
  <c r="N131"/>
  <c r="N156"/>
  <c r="N126"/>
  <c r="G1209" i="4"/>
  <c r="N241" i="13"/>
  <c r="N439" s="1"/>
  <c r="N240"/>
  <c r="N243"/>
  <c r="N441" s="1"/>
  <c r="N242"/>
  <c r="N440" s="1"/>
  <c r="N437"/>
  <c r="N244"/>
  <c r="N442" s="1"/>
  <c r="N364" i="34"/>
  <c r="N411" s="1"/>
  <c r="N413" s="1"/>
  <c r="N406"/>
  <c r="N409" s="1"/>
  <c r="N122" i="8"/>
  <c r="N154" s="1"/>
  <c r="N144"/>
  <c r="N145"/>
  <c r="H238" i="35"/>
  <c r="H242"/>
  <c r="H246"/>
  <c r="M132" i="8"/>
  <c r="M167"/>
  <c r="K459" i="13"/>
  <c r="L451"/>
  <c r="L367"/>
  <c r="L369" s="1"/>
  <c r="L458" s="1"/>
  <c r="BF15" i="25"/>
  <c r="BC40"/>
  <c r="BE95" i="38"/>
  <c r="BF95" s="1"/>
  <c r="BF51"/>
  <c r="BE84"/>
  <c r="BE109" s="1"/>
  <c r="CG84" i="41"/>
  <c r="CG109" s="1"/>
  <c r="DH51"/>
  <c r="Q22" i="40"/>
  <c r="I40"/>
  <c r="I109" s="1"/>
  <c r="L760" i="17"/>
  <c r="G350" i="35"/>
  <c r="M241" i="55"/>
  <c r="AK11" i="38"/>
  <c r="F1249" i="4"/>
  <c r="M422" i="34"/>
  <c r="BL58" i="40"/>
  <c r="G15" i="25"/>
  <c r="Q11"/>
  <c r="AF84" i="38"/>
  <c r="AF95" s="1"/>
  <c r="AK51"/>
  <c r="M165" i="8"/>
  <c r="M137"/>
  <c r="M438" i="13"/>
  <c r="M443" s="1"/>
  <c r="M341"/>
  <c r="AK11" i="1"/>
  <c r="S15"/>
  <c r="I246" i="35"/>
  <c r="I242"/>
  <c r="I238"/>
  <c r="BC40" i="1"/>
  <c r="BF15"/>
  <c r="K547" i="34"/>
  <c r="F1209" i="4"/>
  <c r="N454" i="13"/>
  <c r="N363"/>
  <c r="N365" s="1"/>
  <c r="N458" s="1"/>
  <c r="G292" i="46"/>
  <c r="G310" s="1"/>
  <c r="G297"/>
  <c r="G303" s="1"/>
  <c r="G323" s="1"/>
  <c r="AK11" i="36"/>
  <c r="S15"/>
  <c r="CG84" i="26"/>
  <c r="CG109" s="1"/>
  <c r="DH51"/>
  <c r="K349" i="35"/>
  <c r="L1087" i="4"/>
  <c r="BL50" i="38"/>
  <c r="L946" i="4"/>
  <c r="L1236" s="1"/>
  <c r="L1207" s="1"/>
  <c r="J280" i="7"/>
  <c r="J318" s="1"/>
  <c r="BC262" i="47" s="1"/>
  <c r="BC272" s="1"/>
  <c r="L350" i="35"/>
  <c r="J1247" i="4"/>
  <c r="J1249" s="1"/>
  <c r="L443" i="13"/>
  <c r="W25" i="60"/>
  <c r="BJ45" i="38"/>
  <c r="BH46"/>
  <c r="BJ46" s="1"/>
  <c r="T25" i="60"/>
  <c r="BH46" i="25"/>
  <c r="BJ46" s="1"/>
  <c r="BJ45"/>
  <c r="AA25" i="60"/>
  <c r="BH46" i="26"/>
  <c r="BJ46" s="1"/>
  <c r="BJ45"/>
  <c r="U11" i="40"/>
  <c r="U15" s="1"/>
  <c r="BP46" i="38"/>
  <c r="Y11" i="60"/>
  <c r="BQ46" i="36"/>
  <c r="BQ46" i="38"/>
  <c r="BO46"/>
  <c r="BQ46" i="25"/>
  <c r="AJ11" i="60"/>
  <c r="BJ79" i="38"/>
  <c r="BP46" i="26"/>
  <c r="BP46" i="25"/>
  <c r="BO46"/>
  <c r="BP46" i="37"/>
  <c r="U25" i="60"/>
  <c r="BJ45" i="36"/>
  <c r="BH46"/>
  <c r="BJ46" s="1"/>
  <c r="Y15" i="60"/>
  <c r="AB11" i="40"/>
  <c r="AB15" s="1"/>
  <c r="AB40" s="1"/>
  <c r="T11"/>
  <c r="DH79" i="37"/>
  <c r="V11" i="39"/>
  <c r="V15" s="1"/>
  <c r="V40" s="1"/>
  <c r="T63" i="40"/>
  <c r="AK57"/>
  <c r="Y56" i="60"/>
  <c r="L287" i="46"/>
  <c r="L298" s="1"/>
  <c r="H26" i="64"/>
  <c r="AG25" i="60"/>
  <c r="BB322" i="47"/>
  <c r="AK45" i="37"/>
  <c r="S46"/>
  <c r="M26" i="64"/>
  <c r="AL25" i="60"/>
  <c r="BG322" i="47"/>
  <c r="AK45" i="26"/>
  <c r="S46"/>
  <c r="AB11" i="39"/>
  <c r="AB15" s="1"/>
  <c r="AB40" s="1"/>
  <c r="X15" i="60"/>
  <c r="BO46" i="26"/>
  <c r="W46" i="37"/>
  <c r="I68" i="65"/>
  <c r="BC285" i="47"/>
  <c r="I43" i="54"/>
  <c r="BP46" i="36"/>
  <c r="BO46"/>
  <c r="BI76" i="41"/>
  <c r="BQ46" i="26"/>
  <c r="AX63" i="40"/>
  <c r="BF57"/>
  <c r="BQ46" i="37"/>
  <c r="BO46"/>
  <c r="I26" i="64"/>
  <c r="AK45" i="38"/>
  <c r="S46"/>
  <c r="AH25" i="60"/>
  <c r="BC322" i="47"/>
  <c r="W46" i="26"/>
  <c r="W46" i="25"/>
  <c r="F26" i="64"/>
  <c r="S46" i="25"/>
  <c r="AK45"/>
  <c r="AZ322" i="47"/>
  <c r="AE25" i="60"/>
  <c r="W11" i="40"/>
  <c r="W15" s="1"/>
  <c r="W40" s="1"/>
  <c r="AH27" i="60"/>
  <c r="V25"/>
  <c r="BJ45" i="37"/>
  <c r="BH46"/>
  <c r="BJ46" s="1"/>
  <c r="W46" i="38"/>
  <c r="N223" i="46"/>
  <c r="G26" i="64"/>
  <c r="AF25" i="60"/>
  <c r="BA322" i="47"/>
  <c r="AK45" i="36"/>
  <c r="S46"/>
  <c r="W46"/>
  <c r="T76" i="41"/>
  <c r="AK76" s="1"/>
  <c r="AK75"/>
  <c r="AK79" i="38"/>
  <c r="M211" i="7"/>
  <c r="M302"/>
  <c r="M227"/>
  <c r="M224"/>
  <c r="AZ420" i="47"/>
  <c r="BF389" s="1"/>
  <c r="L1202" i="4"/>
  <c r="M198" i="7"/>
  <c r="M195"/>
  <c r="K949" i="4"/>
  <c r="K954" a="1"/>
  <c r="K954" s="1"/>
  <c r="K1264" s="1"/>
  <c r="K953" a="1"/>
  <c r="K953" s="1"/>
  <c r="K1263" s="1"/>
  <c r="K952" a="1"/>
  <c r="K952" s="1"/>
  <c r="K1262" s="1"/>
  <c r="K1229"/>
  <c r="L1203"/>
  <c r="K284" i="7"/>
  <c r="L149" i="9"/>
  <c r="L107"/>
  <c r="M230" i="55"/>
  <c r="M132"/>
  <c r="M223" s="1"/>
  <c r="M211"/>
  <c r="M233"/>
  <c r="M231"/>
  <c r="M131"/>
  <c r="M222" s="1"/>
  <c r="M232"/>
  <c r="M133"/>
  <c r="M224" s="1"/>
  <c r="M125" i="9"/>
  <c r="M124"/>
  <c r="M102"/>
  <c r="M134" s="1"/>
  <c r="M710" i="17"/>
  <c r="L1205" i="4"/>
  <c r="BC40" i="37"/>
  <c r="BF15"/>
  <c r="N189" i="7"/>
  <c r="N191" s="1"/>
  <c r="N193" s="1"/>
  <c r="N196" s="1"/>
  <c r="N233"/>
  <c r="G383" i="35"/>
  <c r="G391"/>
  <c r="L1201" i="4"/>
  <c r="I319" i="7"/>
  <c r="M1004" i="4" a="1"/>
  <c r="M1004" s="1"/>
  <c r="M1006" a="1"/>
  <c r="M1006" s="1"/>
  <c r="M1216" s="1"/>
  <c r="M1009" a="1"/>
  <c r="M1009" s="1"/>
  <c r="M1219" s="1"/>
  <c r="M1011" a="1"/>
  <c r="M1011" s="1"/>
  <c r="M1222" s="1"/>
  <c r="M1012" a="1"/>
  <c r="M1012" s="1"/>
  <c r="M1223" s="1"/>
  <c r="M999"/>
  <c r="M1007" a="1"/>
  <c r="M1007" s="1"/>
  <c r="M1217" s="1"/>
  <c r="M1008" a="1"/>
  <c r="M1008" s="1"/>
  <c r="M1218" s="1"/>
  <c r="M1010" a="1"/>
  <c r="M1010" s="1"/>
  <c r="M1221" s="1"/>
  <c r="M1005" a="1"/>
  <c r="M1005" s="1"/>
  <c r="M1215" s="1"/>
  <c r="AV109" i="37"/>
  <c r="BF84"/>
  <c r="L1229" i="4"/>
  <c r="K1203"/>
  <c r="L1017" a="1"/>
  <c r="L1017" s="1"/>
  <c r="L1016" a="1"/>
  <c r="L1016" s="1"/>
  <c r="L1214"/>
  <c r="L1224" s="1"/>
  <c r="L1018" a="1"/>
  <c r="L1018" s="1"/>
  <c r="L1013"/>
  <c r="M350" i="35"/>
  <c r="N350"/>
  <c r="N991" i="4"/>
  <c r="N996"/>
  <c r="N218" i="7"/>
  <c r="N220" s="1"/>
  <c r="N222" s="1"/>
  <c r="N225" s="1"/>
  <c r="N229"/>
  <c r="N245"/>
  <c r="M1080" i="4"/>
  <c r="M349" i="35"/>
  <c r="N349"/>
  <c r="L126" i="9"/>
  <c r="I214" i="55"/>
  <c r="AZ415" i="47"/>
  <c r="N214" i="55"/>
  <c r="L232"/>
  <c r="L133"/>
  <c r="L224" s="1"/>
  <c r="L233"/>
  <c r="L231"/>
  <c r="L131"/>
  <c r="L222" s="1"/>
  <c r="L211"/>
  <c r="L230"/>
  <c r="L132"/>
  <c r="L223" s="1"/>
  <c r="K1205" i="4"/>
  <c r="K210" i="55"/>
  <c r="K124"/>
  <c r="K213" s="1"/>
  <c r="N225"/>
  <c r="AK15" i="38"/>
  <c r="S40"/>
  <c r="K241" i="55"/>
  <c r="L1091" i="4"/>
  <c r="L351" i="35"/>
  <c r="M149" i="55"/>
  <c r="L151"/>
  <c r="K1092" i="4"/>
  <c r="BL55" i="39"/>
  <c r="L349" i="35"/>
  <c r="AT11" i="60"/>
  <c r="N997" i="4"/>
  <c r="J214" i="55"/>
  <c r="AZ418" i="47"/>
  <c r="N96" i="9"/>
  <c r="N97" s="1"/>
  <c r="N100"/>
  <c r="N204" i="7"/>
  <c r="N206" s="1"/>
  <c r="N208" s="1"/>
  <c r="N239"/>
  <c r="G214" i="55"/>
  <c r="M210"/>
  <c r="M124"/>
  <c r="M213" s="1"/>
  <c r="L213" i="7"/>
  <c r="L271" s="1"/>
  <c r="L210"/>
  <c r="L306" s="1"/>
  <c r="AK63" i="39"/>
  <c r="BF63"/>
  <c r="AX84"/>
  <c r="AX109" s="1"/>
  <c r="L1204" i="4"/>
  <c r="BC109" i="36"/>
  <c r="BF40"/>
  <c r="L145" i="9"/>
  <c r="L117"/>
  <c r="G384" i="35"/>
  <c r="L210" i="55"/>
  <c r="L124"/>
  <c r="L213" s="1"/>
  <c r="L275" i="7"/>
  <c r="L304"/>
  <c r="L276"/>
  <c r="L277"/>
  <c r="M111" i="9"/>
  <c r="M106"/>
  <c r="M116"/>
  <c r="M136"/>
  <c r="AV84" i="39"/>
  <c r="BF76"/>
  <c r="G131" i="63"/>
  <c r="L166" i="6"/>
  <c r="L167"/>
  <c r="L1068" i="4"/>
  <c r="K280" i="7"/>
  <c r="K318" s="1"/>
  <c r="K315"/>
  <c r="N131" i="6"/>
  <c r="N168" s="1"/>
  <c r="N165"/>
  <c r="N337" i="7"/>
  <c r="N992" i="4"/>
  <c r="N1076"/>
  <c r="N1073"/>
  <c r="N1075"/>
  <c r="N1077"/>
  <c r="N1074"/>
  <c r="N870"/>
  <c r="N1079"/>
  <c r="N1071"/>
  <c r="N1072"/>
  <c r="N1078"/>
  <c r="N873"/>
  <c r="M897"/>
  <c r="M889"/>
  <c r="M1083" s="1"/>
  <c r="M895"/>
  <c r="M887"/>
  <c r="M891"/>
  <c r="M892"/>
  <c r="M1086" s="1"/>
  <c r="M896"/>
  <c r="M1090" s="1"/>
  <c r="M890"/>
  <c r="M1084" s="1"/>
  <c r="M893"/>
  <c r="M1087" s="1"/>
  <c r="M894"/>
  <c r="M1088" s="1"/>
  <c r="L147" i="9"/>
  <c r="L112"/>
  <c r="H214" i="55"/>
  <c r="J283" i="7"/>
  <c r="J307"/>
  <c r="G385" i="35"/>
  <c r="M524" i="17"/>
  <c r="M719"/>
  <c r="M728" s="1"/>
  <c r="M527"/>
  <c r="M757" s="1"/>
  <c r="M529"/>
  <c r="M759" s="1"/>
  <c r="K232" i="55"/>
  <c r="K131"/>
  <c r="K222" s="1"/>
  <c r="K233"/>
  <c r="K211"/>
  <c r="K132"/>
  <c r="K223" s="1"/>
  <c r="K230"/>
  <c r="K231"/>
  <c r="K133"/>
  <c r="K224" s="1"/>
  <c r="K303" i="7"/>
  <c r="K305"/>
  <c r="M351" i="35"/>
  <c r="N351"/>
  <c r="F131" i="63"/>
  <c r="BF11" i="38"/>
  <c r="BC15"/>
  <c r="M1091" i="4"/>
  <c r="H350" i="35"/>
  <c r="I349"/>
  <c r="I350"/>
  <c r="L898" i="4"/>
  <c r="M150" i="55"/>
  <c r="J349" i="35"/>
  <c r="M153" i="55"/>
  <c r="I351" i="35"/>
  <c r="J351"/>
  <c r="G351"/>
  <c r="M151" i="55"/>
  <c r="L1083" i="4"/>
  <c r="J350" i="35"/>
  <c r="G349"/>
  <c r="E77" i="60"/>
  <c r="E18" i="64"/>
  <c r="S53" i="1"/>
  <c r="AY317" i="47"/>
  <c r="BO53" i="1"/>
  <c r="V12" i="40"/>
  <c r="BO53" i="36"/>
  <c r="BD310" i="47"/>
  <c r="J11" i="64"/>
  <c r="S12" i="39"/>
  <c r="AZ317" i="47"/>
  <c r="F77" i="60"/>
  <c r="S53" i="25"/>
  <c r="F18" i="64"/>
  <c r="T12" i="40"/>
  <c r="I69" i="60"/>
  <c r="G79"/>
  <c r="V53" i="36"/>
  <c r="BP12" i="39"/>
  <c r="BO53" i="25"/>
  <c r="BC12" i="40"/>
  <c r="K59" i="60"/>
  <c r="BO12" i="39"/>
  <c r="BP53" i="25"/>
  <c r="BI53" i="36"/>
  <c r="BP53" i="38"/>
  <c r="V9" i="40"/>
  <c r="BP53" i="36"/>
  <c r="BI53" i="38"/>
  <c r="V12" i="41"/>
  <c r="BQ9" i="37"/>
  <c r="J15" i="44"/>
  <c r="K19" i="65"/>
  <c r="H13" i="63"/>
  <c r="S21" i="41"/>
  <c r="BO45" i="40"/>
  <c r="BP45"/>
  <c r="J55" i="60"/>
  <c r="BQ45" i="39"/>
  <c r="K50" i="60"/>
  <c r="BF183" i="47"/>
  <c r="V96" i="25"/>
  <c r="J39" i="64"/>
  <c r="G37" i="65"/>
  <c r="BB236" i="47"/>
  <c r="M64" i="60"/>
  <c r="S45" i="39"/>
  <c r="M16" i="46"/>
  <c r="S45" i="40"/>
  <c r="L39" i="60"/>
  <c r="BG185" i="47"/>
  <c r="I22" i="63"/>
  <c r="BF241" i="47"/>
  <c r="BQ9" i="39"/>
  <c r="L71" i="60"/>
  <c r="S9" i="40"/>
  <c r="J50" i="60"/>
  <c r="BF101" i="47"/>
  <c r="L7" i="64"/>
  <c r="M17" i="66"/>
  <c r="BQ45" i="40"/>
  <c r="BI79"/>
  <c r="BO21"/>
  <c r="L15" i="66"/>
  <c r="K68" i="60"/>
  <c r="AZ216" i="47"/>
  <c r="L43" i="60"/>
  <c r="BP9" i="39"/>
  <c r="K58" i="60"/>
  <c r="BA32" i="47"/>
  <c r="O44" i="59"/>
  <c r="J88" i="63"/>
  <c r="AY215" i="47"/>
  <c r="G9" i="40"/>
  <c r="H39" i="64"/>
  <c r="S9" i="39"/>
  <c r="BD236" i="47"/>
  <c r="BD25"/>
  <c r="W21" i="26"/>
  <c r="BP21" i="41"/>
  <c r="BE236" i="47"/>
  <c r="I29" i="65"/>
  <c r="P16" i="59"/>
  <c r="BO45" i="41"/>
  <c r="J15" i="63"/>
  <c r="I9" i="53"/>
  <c r="BE14" i="47"/>
  <c r="K25" i="46"/>
  <c r="BO9" i="39"/>
  <c r="J7" i="64"/>
  <c r="E28" i="60"/>
  <c r="M80"/>
  <c r="N17" i="46"/>
  <c r="S45" i="41"/>
  <c r="F25" i="60"/>
  <c r="K14"/>
  <c r="BD238" i="47"/>
  <c r="AV75" i="41"/>
  <c r="BD306" i="47"/>
  <c r="BF313"/>
  <c r="BB238"/>
  <c r="AX58" i="26"/>
  <c r="I86" i="63"/>
  <c r="W45" i="39"/>
  <c r="BD97" i="47"/>
  <c r="BC233"/>
  <c r="L41" i="60"/>
  <c r="F26"/>
  <c r="F28"/>
  <c r="T79" i="41"/>
  <c r="BQ53" i="1"/>
  <c r="G9" i="37"/>
  <c r="K72" i="60"/>
  <c r="T12" i="41"/>
  <c r="K26" i="46"/>
  <c r="L72" i="60"/>
  <c r="BF185" i="47"/>
  <c r="BD250"/>
  <c r="BF248"/>
  <c r="AX57" i="41"/>
  <c r="L48" i="64"/>
  <c r="I38" i="65"/>
  <c r="J53" i="60"/>
  <c r="K10" i="64"/>
  <c r="BB23" i="47"/>
  <c r="I95" i="63"/>
  <c r="G9" i="39"/>
  <c r="I15" i="44"/>
  <c r="BQ21" i="41"/>
  <c r="J31" i="65"/>
  <c r="BC23" i="47"/>
  <c r="BP45" i="39"/>
  <c r="L40" i="60"/>
  <c r="G94" i="63"/>
  <c r="BE100" i="47"/>
  <c r="BF163"/>
  <c r="W45" i="41"/>
  <c r="BO45" i="39"/>
  <c r="W79" i="40"/>
  <c r="V53" i="25"/>
  <c r="F79" i="60"/>
  <c r="S53" i="36"/>
  <c r="G18" i="64"/>
  <c r="G77" i="60"/>
  <c r="BA317" i="47"/>
  <c r="BC317"/>
  <c r="I77" i="60"/>
  <c r="I18" i="64"/>
  <c r="S53" i="38"/>
  <c r="AB12" i="41"/>
  <c r="L63" i="60"/>
  <c r="BQ12" i="39"/>
  <c r="V53" i="1"/>
  <c r="E79" i="60"/>
  <c r="V53" i="38"/>
  <c r="I79" i="60"/>
  <c r="BO53" i="38"/>
  <c r="BC12" i="41"/>
  <c r="L59" i="60"/>
  <c r="BI53" i="1"/>
  <c r="BQ53" i="38"/>
  <c r="BB172" i="47"/>
  <c r="G12" i="40"/>
  <c r="L37" i="46"/>
  <c r="F9" i="53"/>
  <c r="BD246" i="47"/>
  <c r="W45" i="40"/>
  <c r="BW21" i="26"/>
  <c r="O6" i="59"/>
  <c r="H65" i="60"/>
  <c r="DC79" i="39"/>
  <c r="T75" i="26"/>
  <c r="BC33" i="47"/>
  <c r="BH45" i="40"/>
  <c r="BD168" i="47"/>
  <c r="T57" i="41"/>
  <c r="M36" i="46"/>
  <c r="P59" i="59"/>
  <c r="BE306" i="47"/>
  <c r="BH96" i="25"/>
  <c r="BA67" i="47"/>
  <c r="V21" i="26"/>
  <c r="BP45" i="41"/>
  <c r="AZ217" i="47"/>
  <c r="BC168"/>
  <c r="BE102"/>
  <c r="AF50" i="40"/>
  <c r="DC21"/>
  <c r="H66" i="60"/>
  <c r="J67"/>
  <c r="K47" i="64"/>
  <c r="I25" i="35"/>
  <c r="DC79" i="38"/>
  <c r="BH96" i="1"/>
  <c r="U79" i="39"/>
  <c r="H29" i="65"/>
  <c r="BO79" i="39"/>
  <c r="T58" i="26"/>
  <c r="L42" i="60"/>
  <c r="BE309" i="47"/>
  <c r="U96" i="25"/>
  <c r="AY15" i="47"/>
  <c r="BE246"/>
  <c r="BI75" i="26"/>
  <c r="K7" i="64"/>
  <c r="L55" i="60"/>
  <c r="P33" i="59"/>
  <c r="L50" i="64"/>
  <c r="BC9" i="40"/>
  <c r="AZ215" i="47"/>
  <c r="I13" i="63"/>
  <c r="K35" i="60"/>
  <c r="BE97" i="47"/>
  <c r="BB246"/>
  <c r="BF172"/>
  <c r="G9" i="53"/>
  <c r="BP53" i="1"/>
  <c r="J70" i="60"/>
  <c r="W12" i="41"/>
  <c r="E20" i="65"/>
  <c r="BF103" i="47"/>
  <c r="K49" i="64"/>
  <c r="G21" i="63"/>
  <c r="BF306" i="47"/>
  <c r="BO9" i="37"/>
  <c r="E25" i="60"/>
  <c r="BE50" i="40"/>
  <c r="BG163" i="47"/>
  <c r="BP79" i="39"/>
  <c r="K53" i="60"/>
  <c r="J66"/>
  <c r="DC21" i="26"/>
  <c r="K55" i="60"/>
  <c r="U96" i="1"/>
  <c r="L60" i="60"/>
  <c r="M79"/>
  <c r="BQ45" i="41"/>
  <c r="W96" i="25"/>
  <c r="L17" i="66"/>
  <c r="BA168" i="47"/>
  <c r="J15" i="35"/>
  <c r="BQ53" i="25"/>
  <c r="BQ53" i="36"/>
  <c r="U12" i="41"/>
  <c r="BI53" i="25"/>
  <c r="BH75" i="40"/>
  <c r="BB67" i="47"/>
  <c r="BH45" i="39"/>
  <c r="BD309" i="47"/>
  <c r="L14" i="64"/>
  <c r="M78" i="60"/>
  <c r="L53"/>
  <c r="BH45" i="41"/>
  <c r="BP9" i="37"/>
  <c r="U21" i="26"/>
  <c r="BH79" i="39"/>
  <c r="F27" i="60"/>
  <c r="K66"/>
  <c r="L35"/>
  <c r="I21" i="26"/>
  <c r="AV75" i="40"/>
  <c r="L77" i="60"/>
  <c r="AY39" i="3"/>
  <c r="H68" i="60"/>
  <c r="L50"/>
  <c r="AB21" i="26"/>
  <c r="P51" i="59"/>
  <c r="L45" i="60"/>
  <c r="H86" i="63"/>
  <c r="J10" i="64"/>
  <c r="BQ79" i="39"/>
  <c r="BF235" i="47"/>
  <c r="K67" i="60"/>
  <c r="BG103" i="47"/>
  <c r="J9" i="53"/>
  <c r="H9"/>
  <c r="BE98" i="47"/>
  <c r="K40" i="64"/>
  <c r="BA242" i="47"/>
  <c r="L40" i="64"/>
  <c r="BF98" i="47"/>
  <c r="AZ242"/>
  <c r="AY242"/>
  <c r="BC242"/>
  <c r="H47" i="53" l="1"/>
  <c r="H53" s="1"/>
  <c r="I55" s="1"/>
  <c r="J47"/>
  <c r="J53" s="1"/>
  <c r="BI55" i="25"/>
  <c r="BJ55" s="1"/>
  <c r="BJ53"/>
  <c r="U14" i="41"/>
  <c r="BQ55" i="36"/>
  <c r="BQ55" i="25"/>
  <c r="W14" i="41"/>
  <c r="BP55" i="1"/>
  <c r="G47" i="53"/>
  <c r="F47"/>
  <c r="F77" s="1"/>
  <c r="L279" i="46"/>
  <c r="Q12" i="40"/>
  <c r="G14"/>
  <c r="Q14" s="1"/>
  <c r="BQ55" i="38"/>
  <c r="BJ53" i="1"/>
  <c r="BI55"/>
  <c r="BJ55" s="1"/>
  <c r="BC14" i="41"/>
  <c r="BF14" s="1"/>
  <c r="BF12"/>
  <c r="DH53" i="38"/>
  <c r="BO55"/>
  <c r="DH55" s="1"/>
  <c r="V55"/>
  <c r="V84" s="1"/>
  <c r="V55" i="1"/>
  <c r="V84" s="1"/>
  <c r="BQ14" i="39"/>
  <c r="AB14" i="41"/>
  <c r="S55" i="38"/>
  <c r="AK55" s="1"/>
  <c r="AK53"/>
  <c r="BL53" s="1"/>
  <c r="I27" i="64"/>
  <c r="AH29" i="60"/>
  <c r="BC323" i="47"/>
  <c r="BA323"/>
  <c r="AF29" i="60"/>
  <c r="G27" i="64"/>
  <c r="S55" i="36"/>
  <c r="AK53"/>
  <c r="V55" i="25"/>
  <c r="V84" s="1"/>
  <c r="K265" i="46"/>
  <c r="T14" i="41"/>
  <c r="Q9" i="37"/>
  <c r="G11"/>
  <c r="Q11" s="1"/>
  <c r="BQ55" i="1"/>
  <c r="I47" i="53"/>
  <c r="I49" s="1"/>
  <c r="I78" s="1"/>
  <c r="V14" i="41"/>
  <c r="BJ53" i="38"/>
  <c r="BI55"/>
  <c r="BJ55" s="1"/>
  <c r="BP55" i="36"/>
  <c r="V11" i="40"/>
  <c r="BP55" i="38"/>
  <c r="BJ53" i="36"/>
  <c r="BI55"/>
  <c r="BJ55" s="1"/>
  <c r="BP55" i="25"/>
  <c r="BO14" i="39"/>
  <c r="BF12" i="40"/>
  <c r="BC14"/>
  <c r="BF14" s="1"/>
  <c r="BO55" i="25"/>
  <c r="DH53"/>
  <c r="BP14" i="39"/>
  <c r="V55" i="36"/>
  <c r="V84" s="1"/>
  <c r="AH26" i="60"/>
  <c r="T14" i="40"/>
  <c r="F27" i="64"/>
  <c r="S55" i="25"/>
  <c r="AK55" s="1"/>
  <c r="BL55" s="1"/>
  <c r="AK53"/>
  <c r="AE29" i="60"/>
  <c r="AZ323" i="47"/>
  <c r="S14" i="39"/>
  <c r="AK14" s="1"/>
  <c r="BL14" s="1"/>
  <c r="AK12"/>
  <c r="BL12" s="1"/>
  <c r="DH53" i="36"/>
  <c r="BO55"/>
  <c r="DH55" s="1"/>
  <c r="V14" i="40"/>
  <c r="BO55" i="1"/>
  <c r="DH53"/>
  <c r="AY323" i="47"/>
  <c r="S55" i="1"/>
  <c r="AK53"/>
  <c r="BL53" s="1"/>
  <c r="E27" i="64"/>
  <c r="AD29" i="60"/>
  <c r="M641" i="17"/>
  <c r="J190" i="61"/>
  <c r="L463" i="17"/>
  <c r="L766" s="1"/>
  <c r="L462"/>
  <c r="L765" s="1"/>
  <c r="L457"/>
  <c r="L733"/>
  <c r="L464"/>
  <c r="L767" s="1"/>
  <c r="M618"/>
  <c r="M620"/>
  <c r="M785" s="1"/>
  <c r="K751"/>
  <c r="J179" i="61"/>
  <c r="M572" i="17"/>
  <c r="M575"/>
  <c r="H179" i="61"/>
  <c r="J292" i="46"/>
  <c r="J310" s="1"/>
  <c r="M707" i="17"/>
  <c r="M640"/>
  <c r="M582"/>
  <c r="J752"/>
  <c r="L280" i="46"/>
  <c r="BL55" i="37"/>
  <c r="M557" i="17"/>
  <c r="M579"/>
  <c r="K749"/>
  <c r="K768"/>
  <c r="L711"/>
  <c r="M644"/>
  <c r="N644"/>
  <c r="G190" i="61"/>
  <c r="L560" i="17"/>
  <c r="L586"/>
  <c r="L784" s="1"/>
  <c r="K750"/>
  <c r="M551"/>
  <c r="M548"/>
  <c r="J713"/>
  <c r="L706"/>
  <c r="G179" i="61"/>
  <c r="K741" i="17"/>
  <c r="K705"/>
  <c r="M376"/>
  <c r="M448"/>
  <c r="M446" i="42"/>
  <c r="N447" s="1"/>
  <c r="N448"/>
  <c r="H190" i="61"/>
  <c r="L708" i="17"/>
  <c r="L656"/>
  <c r="L657" s="1"/>
  <c r="L641"/>
  <c r="F190" i="61"/>
  <c r="F179"/>
  <c r="V84" i="41"/>
  <c r="AK55"/>
  <c r="BL55" s="1"/>
  <c r="M552" i="17"/>
  <c r="M706"/>
  <c r="L584"/>
  <c r="T15" i="40"/>
  <c r="T40" s="1"/>
  <c r="I1238" i="4"/>
  <c r="M711" i="17"/>
  <c r="K149" i="61"/>
  <c r="M456" i="17"/>
  <c r="M740" s="1"/>
  <c r="M553"/>
  <c r="M455"/>
  <c r="H149" i="61"/>
  <c r="I53" i="53"/>
  <c r="I54" s="1"/>
  <c r="I56" s="1"/>
  <c r="I77"/>
  <c r="BL9" i="37"/>
  <c r="G15"/>
  <c r="G40" s="1"/>
  <c r="G109" s="1"/>
  <c r="AK11"/>
  <c r="BL11" s="1"/>
  <c r="I1265" i="4"/>
  <c r="Q9" i="39"/>
  <c r="G11"/>
  <c r="Q11" s="1"/>
  <c r="BQ11" i="37"/>
  <c r="BQ15" s="1"/>
  <c r="BQ40" s="1"/>
  <c r="BP11"/>
  <c r="BP15" s="1"/>
  <c r="BP40" s="1"/>
  <c r="I1248" i="4"/>
  <c r="I1247"/>
  <c r="BO11" i="37"/>
  <c r="BO15" s="1"/>
  <c r="BO40" s="1"/>
  <c r="I46" i="54"/>
  <c r="I73" s="1"/>
  <c r="I297" i="46"/>
  <c r="I303" s="1"/>
  <c r="I323" s="1"/>
  <c r="I292"/>
  <c r="I310" s="1"/>
  <c r="AG27" i="60"/>
  <c r="I1209" i="4"/>
  <c r="M278" i="46"/>
  <c r="BE109" i="47"/>
  <c r="H52" i="54"/>
  <c r="H75" s="1"/>
  <c r="H49"/>
  <c r="H74" s="1"/>
  <c r="H73"/>
  <c r="N342" i="13" a="1"/>
  <c r="N343" a="1"/>
  <c r="N341" a="1"/>
  <c r="N341" s="1"/>
  <c r="N451" s="1"/>
  <c r="H49" i="53"/>
  <c r="H78" s="1"/>
  <c r="G40" i="38"/>
  <c r="G109" s="1"/>
  <c r="Q109" s="1"/>
  <c r="Q11"/>
  <c r="BL11" s="1"/>
  <c r="M946" i="4"/>
  <c r="M1236" s="1"/>
  <c r="M942"/>
  <c r="M1231" s="1"/>
  <c r="M948"/>
  <c r="M451" i="42"/>
  <c r="N452" s="1"/>
  <c r="N453"/>
  <c r="M791" i="4"/>
  <c r="M1085"/>
  <c r="M944"/>
  <c r="M1233" s="1"/>
  <c r="M1204" s="1"/>
  <c r="M943"/>
  <c r="M1232" s="1"/>
  <c r="M1203" s="1"/>
  <c r="M945"/>
  <c r="M1234" s="1"/>
  <c r="K264" i="46"/>
  <c r="M760" i="17"/>
  <c r="J319" i="7"/>
  <c r="H297" i="46"/>
  <c r="H303" s="1"/>
  <c r="H323" s="1"/>
  <c r="Q15" i="1"/>
  <c r="Q40" s="1"/>
  <c r="H1249" i="4"/>
  <c r="BL11" i="1"/>
  <c r="F297" i="46"/>
  <c r="F303" s="1"/>
  <c r="F323" s="1"/>
  <c r="DH40" i="36"/>
  <c r="H77" i="53"/>
  <c r="DH15" i="36"/>
  <c r="BL11"/>
  <c r="DH15" i="25"/>
  <c r="BL22" i="40"/>
  <c r="DH15" i="1"/>
  <c r="BL76" i="39"/>
  <c r="DH40" i="1"/>
  <c r="AK11" i="25"/>
  <c r="BL11" s="1"/>
  <c r="F49" i="53"/>
  <c r="F78" s="1"/>
  <c r="F53"/>
  <c r="G55" s="1"/>
  <c r="DH40" i="25"/>
  <c r="N132" i="6"/>
  <c r="N134" s="1"/>
  <c r="N166" s="1"/>
  <c r="M167"/>
  <c r="M169" s="1"/>
  <c r="G40" i="36"/>
  <c r="G109" s="1"/>
  <c r="Q15"/>
  <c r="Q40" s="1"/>
  <c r="L949" i="4"/>
  <c r="AS25" i="60"/>
  <c r="BF84" i="38"/>
  <c r="DH46"/>
  <c r="AP25" i="60"/>
  <c r="DH15" i="38"/>
  <c r="L952" i="4" a="1"/>
  <c r="L952" s="1"/>
  <c r="L1262" s="1"/>
  <c r="BW22" i="26"/>
  <c r="BW40" s="1"/>
  <c r="BW109" s="1"/>
  <c r="DC22"/>
  <c r="DC40" s="1"/>
  <c r="BQ22" i="41"/>
  <c r="J235" i="35"/>
  <c r="J386"/>
  <c r="AY18" i="47"/>
  <c r="E22" i="65"/>
  <c r="Q21" i="26"/>
  <c r="I22"/>
  <c r="BF9" i="40"/>
  <c r="BC11"/>
  <c r="BF11" s="1"/>
  <c r="Y45" i="60"/>
  <c r="BO22" i="40"/>
  <c r="DH21"/>
  <c r="N288" i="46"/>
  <c r="N299" s="1"/>
  <c r="AK58" i="26"/>
  <c r="V22"/>
  <c r="BH99" i="1"/>
  <c r="BJ99" s="1"/>
  <c r="BJ96"/>
  <c r="DH79" i="38"/>
  <c r="DC82"/>
  <c r="DC84" s="1"/>
  <c r="DC109" s="1"/>
  <c r="BP22" i="41"/>
  <c r="DC22" i="40"/>
  <c r="DC40" s="1"/>
  <c r="BF58" i="26"/>
  <c r="S22" i="41"/>
  <c r="AK22" s="1"/>
  <c r="AK21"/>
  <c r="BL21" s="1"/>
  <c r="BF323" i="47"/>
  <c r="L27" i="64"/>
  <c r="AK29" i="60"/>
  <c r="U22" i="26"/>
  <c r="AF51" i="40"/>
  <c r="AK50"/>
  <c r="AB22" i="26"/>
  <c r="Y6" i="60"/>
  <c r="AJ8"/>
  <c r="BF50" i="40"/>
  <c r="BE51"/>
  <c r="W22" i="26"/>
  <c r="AK96" i="1"/>
  <c r="S8" i="60"/>
  <c r="AO8" s="1"/>
  <c r="I330" i="35"/>
  <c r="I308"/>
  <c r="I385" s="1"/>
  <c r="M543" i="34"/>
  <c r="M546"/>
  <c r="Q109" i="1"/>
  <c r="BF11" i="39"/>
  <c r="BC15"/>
  <c r="AK15" i="36"/>
  <c r="S40"/>
  <c r="AK40" s="1"/>
  <c r="I329" i="35"/>
  <c r="I307"/>
  <c r="AK15" i="1"/>
  <c r="S40"/>
  <c r="L459" i="13"/>
  <c r="H328" i="35"/>
  <c r="G346" s="1"/>
  <c r="H306"/>
  <c r="N146" i="8"/>
  <c r="N342" i="13"/>
  <c r="N452" s="1"/>
  <c r="N343"/>
  <c r="N453" s="1"/>
  <c r="N438"/>
  <c r="N443" s="1"/>
  <c r="S40" i="25"/>
  <c r="AK40" s="1"/>
  <c r="AK15"/>
  <c r="BF40" i="1"/>
  <c r="BC109"/>
  <c r="H330" i="35"/>
  <c r="G348" s="1"/>
  <c r="H308"/>
  <c r="H385" s="1"/>
  <c r="AZ445" i="47"/>
  <c r="N165" i="8"/>
  <c r="N137"/>
  <c r="AF84" i="39"/>
  <c r="AF95" s="1"/>
  <c r="AK51"/>
  <c r="BE95"/>
  <c r="BF95" s="1"/>
  <c r="BE84"/>
  <c r="BE109" s="1"/>
  <c r="BF51"/>
  <c r="BL50"/>
  <c r="M1068" i="4"/>
  <c r="L1092"/>
  <c r="I50" i="53"/>
  <c r="I79" s="1"/>
  <c r="BL63" i="39"/>
  <c r="M941" i="4"/>
  <c r="M1230" s="1"/>
  <c r="M1201" s="1"/>
  <c r="L953" a="1"/>
  <c r="L953" s="1"/>
  <c r="L1263" s="1"/>
  <c r="N422" i="34"/>
  <c r="BC109" i="25"/>
  <c r="BF40"/>
  <c r="AZ444" i="47"/>
  <c r="N132" i="8"/>
  <c r="N167"/>
  <c r="L547" i="34"/>
  <c r="I40" i="41"/>
  <c r="I109" s="1"/>
  <c r="Q22"/>
  <c r="M367" i="13"/>
  <c r="M369" s="1"/>
  <c r="M458" s="1"/>
  <c r="M451"/>
  <c r="AZ429" i="47"/>
  <c r="I328" i="35"/>
  <c r="I306"/>
  <c r="Q15" i="25"/>
  <c r="G40"/>
  <c r="G109" s="1"/>
  <c r="H329" i="35"/>
  <c r="G347" s="1"/>
  <c r="H307"/>
  <c r="AZ446" i="47"/>
  <c r="N169" i="8"/>
  <c r="N127"/>
  <c r="F392" i="35"/>
  <c r="L954" i="4" a="1"/>
  <c r="L954" s="1"/>
  <c r="L1264" s="1"/>
  <c r="L1248" s="1"/>
  <c r="BL51" i="38"/>
  <c r="BL58" i="41"/>
  <c r="BH46" i="40"/>
  <c r="BJ46" s="1"/>
  <c r="BJ45"/>
  <c r="Y25" i="60"/>
  <c r="BH46" i="41"/>
  <c r="BJ46" s="1"/>
  <c r="BJ45"/>
  <c r="Z25" i="60"/>
  <c r="BH76" i="40"/>
  <c r="BJ76" s="1"/>
  <c r="BJ75"/>
  <c r="AK11" i="60"/>
  <c r="BO46" i="41"/>
  <c r="BP46"/>
  <c r="BP46" i="39"/>
  <c r="I67" i="65"/>
  <c r="I120" i="63"/>
  <c r="I109"/>
  <c r="BC283" i="47"/>
  <c r="J26" i="64"/>
  <c r="AI25" i="60"/>
  <c r="BD322" i="47"/>
  <c r="S46" i="39"/>
  <c r="AK45"/>
  <c r="H67" i="65"/>
  <c r="H120" i="63"/>
  <c r="H109"/>
  <c r="BB283" i="47"/>
  <c r="BP11" i="39"/>
  <c r="Q9" i="40"/>
  <c r="G11"/>
  <c r="AK79" i="39"/>
  <c r="F103" i="60"/>
  <c r="T76" i="26"/>
  <c r="AK76" s="1"/>
  <c r="AK75"/>
  <c r="AV76" i="40"/>
  <c r="BF75"/>
  <c r="Y39" i="60"/>
  <c r="J68" i="65"/>
  <c r="BD285" i="47"/>
  <c r="S11" i="40"/>
  <c r="AK11" s="1"/>
  <c r="AK9"/>
  <c r="AK96" i="25"/>
  <c r="T8" i="60"/>
  <c r="AP8" s="1"/>
  <c r="T63" i="41"/>
  <c r="AK57"/>
  <c r="Z56" i="60"/>
  <c r="M287" i="46"/>
  <c r="M298" s="1"/>
  <c r="AV76" i="41"/>
  <c r="BF75"/>
  <c r="Z39" i="60"/>
  <c r="S11" i="39"/>
  <c r="AK9"/>
  <c r="BJ79"/>
  <c r="BO46"/>
  <c r="BP46" i="40"/>
  <c r="Z11" i="60"/>
  <c r="BO46" i="40"/>
  <c r="BQ46" i="39"/>
  <c r="BI76" i="26"/>
  <c r="BQ46" i="40"/>
  <c r="AX63" i="41"/>
  <c r="BF57"/>
  <c r="BQ46"/>
  <c r="DC82" i="39"/>
  <c r="DC84" s="1"/>
  <c r="DC109" s="1"/>
  <c r="BE322" i="47"/>
  <c r="K26" i="64"/>
  <c r="AJ25" i="60"/>
  <c r="S46" i="40"/>
  <c r="AK45"/>
  <c r="BA291" i="47"/>
  <c r="G75" i="65"/>
  <c r="BQ11" i="39"/>
  <c r="BQ15" s="1"/>
  <c r="BQ40" s="1"/>
  <c r="DH79"/>
  <c r="L26" i="64"/>
  <c r="AK25" i="60"/>
  <c r="BF322" i="47"/>
  <c r="AK45" i="41"/>
  <c r="S46"/>
  <c r="BH99" i="25"/>
  <c r="BJ99" s="1"/>
  <c r="BJ96"/>
  <c r="W46" i="41"/>
  <c r="X25" i="60"/>
  <c r="BJ45" i="39"/>
  <c r="BH46"/>
  <c r="BJ46" s="1"/>
  <c r="W46"/>
  <c r="W46" i="40"/>
  <c r="BO11" i="39"/>
  <c r="BO15" s="1"/>
  <c r="N125" i="9"/>
  <c r="N102"/>
  <c r="N134" s="1"/>
  <c r="N124"/>
  <c r="DH40" i="38"/>
  <c r="AB70" i="39"/>
  <c r="N896" i="4"/>
  <c r="N947" s="1"/>
  <c r="N889"/>
  <c r="N1083" s="1"/>
  <c r="N897"/>
  <c r="N948" s="1"/>
  <c r="N887"/>
  <c r="N893"/>
  <c r="N944" s="1"/>
  <c r="N1233" s="1"/>
  <c r="N891"/>
  <c r="N942" s="1"/>
  <c r="N1231" s="1"/>
  <c r="N894"/>
  <c r="N945" s="1"/>
  <c r="N1234" s="1"/>
  <c r="N890"/>
  <c r="N941" s="1"/>
  <c r="N1230" s="1"/>
  <c r="N895"/>
  <c r="N946" s="1"/>
  <c r="N1236" s="1"/>
  <c r="N892"/>
  <c r="N943" s="1"/>
  <c r="N1232" s="1"/>
  <c r="L284" i="7"/>
  <c r="K214" i="55"/>
  <c r="K1247" i="4"/>
  <c r="AK46" i="25"/>
  <c r="BL46" s="1"/>
  <c r="T90"/>
  <c r="S84"/>
  <c r="AK46" i="38"/>
  <c r="BL46" s="1"/>
  <c r="T90"/>
  <c r="S84"/>
  <c r="S109" s="1"/>
  <c r="AX84" i="40"/>
  <c r="AX109" s="1"/>
  <c r="BF63"/>
  <c r="AK46" i="26"/>
  <c r="BL46" s="1"/>
  <c r="S84"/>
  <c r="V95" i="39"/>
  <c r="L1208" i="4"/>
  <c r="K283" i="7"/>
  <c r="K307"/>
  <c r="L169" i="6"/>
  <c r="AV109" i="39"/>
  <c r="M145" i="9"/>
  <c r="M117"/>
  <c r="J55" i="53"/>
  <c r="BG389" i="47"/>
  <c r="BH389" s="1"/>
  <c r="BI389" s="1"/>
  <c r="L1238" i="4"/>
  <c r="L1200"/>
  <c r="M1017" a="1"/>
  <c r="M1017" s="1"/>
  <c r="M1016" a="1"/>
  <c r="M1016" s="1"/>
  <c r="M1013"/>
  <c r="M1018" a="1"/>
  <c r="M1018" s="1"/>
  <c r="M1214"/>
  <c r="M1224" s="1"/>
  <c r="G392" i="35"/>
  <c r="BC109" i="37"/>
  <c r="BF40"/>
  <c r="M126" i="9"/>
  <c r="K1200" i="4"/>
  <c r="K1238"/>
  <c r="DH46" i="37"/>
  <c r="M947" i="4"/>
  <c r="M898"/>
  <c r="M1089"/>
  <c r="M1092" s="1"/>
  <c r="M940"/>
  <c r="AR25" i="60"/>
  <c r="DH46" i="26"/>
  <c r="BL57" i="40"/>
  <c r="AW25" i="60"/>
  <c r="BD262" i="47"/>
  <c r="BD272" s="1"/>
  <c r="L214" i="55"/>
  <c r="L305" i="7"/>
  <c r="L303"/>
  <c r="N227"/>
  <c r="N224"/>
  <c r="K1248" i="4"/>
  <c r="M213" i="7"/>
  <c r="M270" s="1"/>
  <c r="M210"/>
  <c r="M306" s="1"/>
  <c r="AK46" i="36"/>
  <c r="BL46" s="1"/>
  <c r="T90"/>
  <c r="S84"/>
  <c r="K319" i="7"/>
  <c r="M147" i="9"/>
  <c r="M112"/>
  <c r="S40" i="37"/>
  <c r="AK15"/>
  <c r="M214" i="55"/>
  <c r="N116" i="9"/>
  <c r="N111"/>
  <c r="N106"/>
  <c r="N136"/>
  <c r="AK46" i="37"/>
  <c r="BL46" s="1"/>
  <c r="T90"/>
  <c r="S84"/>
  <c r="BC40" i="38"/>
  <c r="BF15"/>
  <c r="BL15" s="1"/>
  <c r="N1080" i="4"/>
  <c r="M149" i="9"/>
  <c r="M107"/>
  <c r="Q40" i="38"/>
  <c r="N211" i="7"/>
  <c r="N302"/>
  <c r="AK40" i="38"/>
  <c r="S90"/>
  <c r="N1011" i="4" a="1"/>
  <c r="N1011" s="1"/>
  <c r="N1222" s="1"/>
  <c r="N1004" a="1"/>
  <c r="N1004" s="1"/>
  <c r="N1012" a="1"/>
  <c r="N1012" s="1"/>
  <c r="N1223" s="1"/>
  <c r="N999"/>
  <c r="N1006" a="1"/>
  <c r="N1006" s="1"/>
  <c r="N1216" s="1"/>
  <c r="N1008" a="1"/>
  <c r="N1008" s="1"/>
  <c r="N1218" s="1"/>
  <c r="N1007" a="1"/>
  <c r="N1007" s="1"/>
  <c r="N1217" s="1"/>
  <c r="N1009" a="1"/>
  <c r="N1009" s="1"/>
  <c r="N1219" s="1"/>
  <c r="N1010" a="1"/>
  <c r="N1010" s="1"/>
  <c r="N1221" s="1"/>
  <c r="N1005" a="1"/>
  <c r="N1005" s="1"/>
  <c r="N1215" s="1"/>
  <c r="N198" i="7"/>
  <c r="N195"/>
  <c r="K1265" i="4"/>
  <c r="K1246"/>
  <c r="M275" i="7"/>
  <c r="M304"/>
  <c r="M277"/>
  <c r="M276"/>
  <c r="AK63" i="40"/>
  <c r="AB70"/>
  <c r="U40"/>
  <c r="L270" i="7"/>
  <c r="L315" s="1"/>
  <c r="AU11" i="60"/>
  <c r="M1094" i="4"/>
  <c r="M1282" s="1"/>
  <c r="DH46" i="25"/>
  <c r="L1094" i="4"/>
  <c r="L1282" s="1"/>
  <c r="L316" i="7"/>
  <c r="L272"/>
  <c r="L317" s="1"/>
  <c r="BL79" i="38"/>
  <c r="DH46" i="36"/>
  <c r="AQ25" i="60"/>
  <c r="AB71" i="1"/>
  <c r="E36" i="60"/>
  <c r="BJ40" i="3"/>
  <c r="AY238" i="47"/>
  <c r="BE310"/>
  <c r="K11" i="64"/>
  <c r="S12" i="40"/>
  <c r="BL40" i="3"/>
  <c r="BC238" i="47"/>
  <c r="BB319"/>
  <c r="H20" i="64"/>
  <c r="T71" i="37"/>
  <c r="BA238" i="47"/>
  <c r="BK40" i="3"/>
  <c r="BO12" i="40"/>
  <c r="BF247" i="47"/>
  <c r="K71" i="60"/>
  <c r="G20" i="65"/>
  <c r="H37"/>
  <c r="BG101" i="47"/>
  <c r="BE50" i="41"/>
  <c r="P6" i="59"/>
  <c r="L25" i="46"/>
  <c r="M62" i="60"/>
  <c r="BF100" i="47"/>
  <c r="L19" i="65"/>
  <c r="BA15" i="47"/>
  <c r="BH71" i="37"/>
  <c r="U9" i="41"/>
  <c r="L68" i="60"/>
  <c r="BO79" i="40"/>
  <c r="M48" i="64"/>
  <c r="H20" i="65"/>
  <c r="AZ166" i="47"/>
  <c r="BB32"/>
  <c r="W79" i="41"/>
  <c r="AX40" i="3"/>
  <c r="BG241" i="47"/>
  <c r="BQ79" i="40"/>
  <c r="V9" i="41"/>
  <c r="K88" i="63"/>
  <c r="BA166" i="47"/>
  <c r="BC9" i="41"/>
  <c r="T71" i="36"/>
  <c r="L62" i="60"/>
  <c r="J22" i="63"/>
  <c r="J38" i="65"/>
  <c r="I20"/>
  <c r="J23" i="66"/>
  <c r="AB71" i="36"/>
  <c r="BB217" i="47"/>
  <c r="AV75" i="26"/>
  <c r="J95" i="63"/>
  <c r="BF14" i="47"/>
  <c r="M60" i="60"/>
  <c r="M35"/>
  <c r="M37" i="46"/>
  <c r="H36" i="60"/>
  <c r="M45"/>
  <c r="J29" i="65"/>
  <c r="H21" i="63"/>
  <c r="BA165" i="47"/>
  <c r="G27" i="60"/>
  <c r="AZ15" i="47"/>
  <c r="BC15"/>
  <c r="K9" i="54"/>
  <c r="M14" i="64"/>
  <c r="AY319" i="47"/>
  <c r="K15" i="63"/>
  <c r="L49" i="64"/>
  <c r="L87"/>
  <c r="M39" i="60"/>
  <c r="U79" i="40"/>
  <c r="BG248" i="47"/>
  <c r="J86" i="63"/>
  <c r="BA217" i="47"/>
  <c r="BO21" i="41"/>
  <c r="BF102" i="47"/>
  <c r="BC191"/>
  <c r="T9" i="41"/>
  <c r="K25" i="35"/>
  <c r="BO21" i="26"/>
  <c r="BG183" i="47"/>
  <c r="K9" i="53"/>
  <c r="W9" i="41"/>
  <c r="AX57" i="26"/>
  <c r="M43" i="60"/>
  <c r="BB165" i="47"/>
  <c r="K65" i="60"/>
  <c r="AB9" i="41"/>
  <c r="L93" i="64"/>
  <c r="AF96" i="38"/>
  <c r="BD191" i="47"/>
  <c r="AB71" i="37"/>
  <c r="J65" i="60"/>
  <c r="F37" i="65"/>
  <c r="AZ238" i="47"/>
  <c r="BP12" i="40"/>
  <c r="BQ12"/>
  <c r="J69" i="60"/>
  <c r="G12" i="41"/>
  <c r="V9" i="26"/>
  <c r="E94" i="63"/>
  <c r="H27" i="60"/>
  <c r="J9" i="54"/>
  <c r="BE250" i="47"/>
  <c r="BI79" i="41"/>
  <c r="BP9" i="40"/>
  <c r="T71" i="1"/>
  <c r="L67" i="60"/>
  <c r="BB15" i="47"/>
  <c r="M42" i="60"/>
  <c r="J13" i="63"/>
  <c r="F94"/>
  <c r="T79" i="26"/>
  <c r="W96" i="36"/>
  <c r="F20" i="65"/>
  <c r="BC165" i="47"/>
  <c r="BG313"/>
  <c r="M58" i="60"/>
  <c r="BO9" i="40"/>
  <c r="M77" i="60"/>
  <c r="F21" i="63"/>
  <c r="M40" i="60"/>
  <c r="BQ21" i="26"/>
  <c r="AY32" i="47"/>
  <c r="E21" i="63"/>
  <c r="M25" i="46"/>
  <c r="G36" i="60"/>
  <c r="AF50" i="41"/>
  <c r="BG165" i="47"/>
  <c r="BP79" i="40"/>
  <c r="K31" i="65"/>
  <c r="BD33" i="47"/>
  <c r="L47" i="64"/>
  <c r="AZ165" i="47"/>
  <c r="BD23"/>
  <c r="N16" i="46"/>
  <c r="M15" i="66"/>
  <c r="BA319" i="47"/>
  <c r="BC80"/>
  <c r="DC21" i="41"/>
  <c r="AZ32" i="47"/>
  <c r="E37" i="65"/>
  <c r="BH75" i="41"/>
  <c r="BH79" i="40"/>
  <c r="T57" i="26"/>
  <c r="BD233" i="47"/>
  <c r="W96" i="37"/>
  <c r="BC9" i="26"/>
  <c r="K93" i="64"/>
  <c r="M50"/>
  <c r="T9" i="26"/>
  <c r="BG235" i="47"/>
  <c r="M41" i="60"/>
  <c r="U9" i="26"/>
  <c r="BE25" i="47"/>
  <c r="BC172"/>
  <c r="BA172"/>
  <c r="L70" i="60"/>
  <c r="L26" i="46"/>
  <c r="L58" i="60"/>
  <c r="L14"/>
  <c r="E20" i="64"/>
  <c r="G20"/>
  <c r="L9" i="53"/>
  <c r="P44" i="59"/>
  <c r="H94" i="63"/>
  <c r="W9" i="26"/>
  <c r="J9" i="48"/>
  <c r="S21" i="26"/>
  <c r="AY166" i="47"/>
  <c r="K15" i="44"/>
  <c r="K15" i="35"/>
  <c r="I23" i="66"/>
  <c r="BG100" i="47"/>
  <c r="BP21" i="26"/>
  <c r="AB9"/>
  <c r="BQ9" i="40"/>
  <c r="BC166" i="47"/>
  <c r="L265" i="46" l="1"/>
  <c r="G14" i="41"/>
  <c r="Q14" s="1"/>
  <c r="Q12"/>
  <c r="AI26" i="60"/>
  <c r="BQ14" i="40"/>
  <c r="BP14"/>
  <c r="M279" i="46"/>
  <c r="BO14" i="40"/>
  <c r="T72" i="37"/>
  <c r="H21" i="64"/>
  <c r="H28"/>
  <c r="H30" s="1"/>
  <c r="BB320" i="47"/>
  <c r="BB324"/>
  <c r="BB326" s="1"/>
  <c r="S14" i="40"/>
  <c r="AK14" s="1"/>
  <c r="BL14" s="1"/>
  <c r="AK12"/>
  <c r="BL12" s="1"/>
  <c r="AD15" i="60"/>
  <c r="AO15" s="1"/>
  <c r="AB72" i="1"/>
  <c r="AB84" s="1"/>
  <c r="AB109" s="1"/>
  <c r="M712" i="17"/>
  <c r="K713"/>
  <c r="L751"/>
  <c r="L750"/>
  <c r="V95" i="25"/>
  <c r="M657" i="17"/>
  <c r="N1091" i="4"/>
  <c r="J77" i="53"/>
  <c r="BP15" i="39"/>
  <c r="BP40" s="1"/>
  <c r="K266" i="46"/>
  <c r="K286" s="1"/>
  <c r="K297" s="1"/>
  <c r="K303" s="1"/>
  <c r="K323" s="1"/>
  <c r="N446" i="42"/>
  <c r="L749" i="17"/>
  <c r="L768"/>
  <c r="S84" i="1"/>
  <c r="S101" s="1"/>
  <c r="AK55"/>
  <c r="BL55" s="1"/>
  <c r="V95" i="36"/>
  <c r="V95" i="38"/>
  <c r="G53" i="53"/>
  <c r="G49"/>
  <c r="G78" s="1"/>
  <c r="G77"/>
  <c r="M463" i="17"/>
  <c r="M766" s="1"/>
  <c r="M462"/>
  <c r="M765" s="1"/>
  <c r="M457"/>
  <c r="M733"/>
  <c r="M586"/>
  <c r="M784" s="1"/>
  <c r="M560"/>
  <c r="N656"/>
  <c r="N657" s="1"/>
  <c r="M656"/>
  <c r="L705"/>
  <c r="L741"/>
  <c r="V95" i="1"/>
  <c r="J49" i="53"/>
  <c r="J78" s="1"/>
  <c r="K752" i="17"/>
  <c r="M464"/>
  <c r="M767" s="1"/>
  <c r="M584"/>
  <c r="AK55" i="36"/>
  <c r="BL55" s="1"/>
  <c r="BL55" i="38"/>
  <c r="S74"/>
  <c r="M280" i="46"/>
  <c r="DH55" i="1"/>
  <c r="DH55" i="25"/>
  <c r="V15" i="40"/>
  <c r="V40" s="1"/>
  <c r="BL53" i="36"/>
  <c r="BL53" i="25"/>
  <c r="Q15" i="37"/>
  <c r="Q40" s="1"/>
  <c r="BF109" i="47"/>
  <c r="AB72" i="37"/>
  <c r="AB84" s="1"/>
  <c r="AB109" s="1"/>
  <c r="AK71"/>
  <c r="AG15" i="60"/>
  <c r="AR15" s="1"/>
  <c r="I49" i="54"/>
  <c r="I74" s="1"/>
  <c r="DH15" i="37"/>
  <c r="I52" i="54"/>
  <c r="I75" s="1"/>
  <c r="H22" i="65"/>
  <c r="BB18" i="47"/>
  <c r="I1249" i="4"/>
  <c r="G15" i="39"/>
  <c r="G40" s="1"/>
  <c r="G109" s="1"/>
  <c r="BL9"/>
  <c r="Q109" i="37"/>
  <c r="DH40"/>
  <c r="G21" i="64"/>
  <c r="G28"/>
  <c r="G30" s="1"/>
  <c r="T72" i="36"/>
  <c r="BA324" i="47"/>
  <c r="BA326" s="1"/>
  <c r="BA320"/>
  <c r="H50" i="53"/>
  <c r="H79" s="1"/>
  <c r="H80" s="1"/>
  <c r="I22" i="65"/>
  <c r="BC18" i="47"/>
  <c r="BF9" i="41"/>
  <c r="BC11"/>
  <c r="BF11" s="1"/>
  <c r="Z45" i="60"/>
  <c r="M1207" i="4"/>
  <c r="N451" i="42"/>
  <c r="M1237" i="4"/>
  <c r="M1208" s="1"/>
  <c r="U11" i="41"/>
  <c r="U15" s="1"/>
  <c r="U40" s="1"/>
  <c r="M1202" i="4"/>
  <c r="W11" i="41"/>
  <c r="W15" s="1"/>
  <c r="W40" s="1"/>
  <c r="N1090" i="4"/>
  <c r="V11" i="41"/>
  <c r="V15" s="1"/>
  <c r="V40" s="1"/>
  <c r="V95" s="1"/>
  <c r="Z15" i="60"/>
  <c r="AB11" i="41"/>
  <c r="AB15" s="1"/>
  <c r="AB40" s="1"/>
  <c r="AB70" s="1"/>
  <c r="N1085" i="4"/>
  <c r="M1205"/>
  <c r="BL15" i="37"/>
  <c r="N1089" i="4"/>
  <c r="BL15" i="1"/>
  <c r="AK71" i="36"/>
  <c r="AB72"/>
  <c r="AB84" s="1"/>
  <c r="AB109" s="1"/>
  <c r="AF15" i="60"/>
  <c r="AQ15" s="1"/>
  <c r="BL22" i="41"/>
  <c r="F50" i="53"/>
  <c r="F79" s="1"/>
  <c r="F80" s="1"/>
  <c r="AK71" i="1"/>
  <c r="T72"/>
  <c r="AY320" i="47"/>
  <c r="AY324"/>
  <c r="AY326" s="1"/>
  <c r="E28" i="64"/>
  <c r="E30" s="1"/>
  <c r="E21"/>
  <c r="N167" i="6"/>
  <c r="N169" s="1"/>
  <c r="M271" i="7"/>
  <c r="M316" s="1"/>
  <c r="BH76" i="41"/>
  <c r="BJ76" s="1"/>
  <c r="BJ75"/>
  <c r="BL75" s="1"/>
  <c r="BL40" i="36"/>
  <c r="BL51" i="39"/>
  <c r="G22" i="65"/>
  <c r="BA18" i="47"/>
  <c r="Q109" i="36"/>
  <c r="BL15"/>
  <c r="BL63" i="40"/>
  <c r="BC15"/>
  <c r="BF15" s="1"/>
  <c r="S74" i="36"/>
  <c r="S78" s="1"/>
  <c r="S80" s="1"/>
  <c r="AV11" i="60"/>
  <c r="AT25"/>
  <c r="S90" i="36"/>
  <c r="BF84" i="39"/>
  <c r="L1265" i="4"/>
  <c r="L1246"/>
  <c r="BO11" i="40"/>
  <c r="BO15" s="1"/>
  <c r="BP11"/>
  <c r="BP15" s="1"/>
  <c r="BP40" s="1"/>
  <c r="BH72" i="37"/>
  <c r="BJ72" s="1"/>
  <c r="BJ71"/>
  <c r="T11" i="41"/>
  <c r="T15" s="1"/>
  <c r="T40" s="1"/>
  <c r="T90" s="1"/>
  <c r="DH21"/>
  <c r="BO22"/>
  <c r="K235" i="35"/>
  <c r="K386"/>
  <c r="G103" i="60"/>
  <c r="E75" i="65"/>
  <c r="AY291" i="47"/>
  <c r="BG323"/>
  <c r="S22" i="26"/>
  <c r="AK22" s="1"/>
  <c r="AK21"/>
  <c r="BL21" s="1"/>
  <c r="M27" i="64"/>
  <c r="AL29" i="60"/>
  <c r="AF51" i="41"/>
  <c r="AK50"/>
  <c r="BQ11" i="40"/>
  <c r="DC22" i="41"/>
  <c r="DC40" s="1"/>
  <c r="BP22" i="26"/>
  <c r="AF99" i="38"/>
  <c r="AF106" s="1"/>
  <c r="AF109" s="1"/>
  <c r="AF97"/>
  <c r="BQ22" i="26"/>
  <c r="F75" i="65"/>
  <c r="AZ291" i="47"/>
  <c r="AK8" i="60"/>
  <c r="Z6"/>
  <c r="BF50" i="41"/>
  <c r="BE51"/>
  <c r="BO22" i="26"/>
  <c r="DH21"/>
  <c r="H103" i="60"/>
  <c r="F22" i="65"/>
  <c r="AZ18" i="47"/>
  <c r="J43" i="54"/>
  <c r="J46" s="1"/>
  <c r="J49" s="1"/>
  <c r="J74" s="1"/>
  <c r="H384" i="35"/>
  <c r="BL15" i="25"/>
  <c r="Q40"/>
  <c r="BL40" s="1"/>
  <c r="M459" i="13"/>
  <c r="AZ443" i="47"/>
  <c r="BG393" s="1"/>
  <c r="BH393" s="1"/>
  <c r="BI393" s="1"/>
  <c r="AK40" i="1"/>
  <c r="BL40" s="1"/>
  <c r="S90"/>
  <c r="S74"/>
  <c r="M547" i="34"/>
  <c r="AU25" i="60"/>
  <c r="N1237" i="4"/>
  <c r="N1208" s="1"/>
  <c r="DH46" i="40"/>
  <c r="BL9"/>
  <c r="H346" i="35"/>
  <c r="BL58" i="26"/>
  <c r="I391" i="35"/>
  <c r="I383"/>
  <c r="AF84" i="40"/>
  <c r="AF95" s="1"/>
  <c r="AK51"/>
  <c r="J242" i="35"/>
  <c r="J238"/>
  <c r="J246"/>
  <c r="N459" i="13"/>
  <c r="I312" i="35"/>
  <c r="I317" s="1"/>
  <c r="I384"/>
  <c r="BF15" i="39"/>
  <c r="BC40"/>
  <c r="Q109" i="25"/>
  <c r="N543" i="34"/>
  <c r="N546"/>
  <c r="AZ378" i="47"/>
  <c r="H383" i="35"/>
  <c r="H391"/>
  <c r="BF51" i="40"/>
  <c r="BE84"/>
  <c r="BE109" s="1"/>
  <c r="BE95"/>
  <c r="BF95" s="1"/>
  <c r="I40" i="26"/>
  <c r="I109" s="1"/>
  <c r="Q22"/>
  <c r="H347" i="35"/>
  <c r="H348"/>
  <c r="DH22" i="40"/>
  <c r="J50" i="53"/>
  <c r="J79" s="1"/>
  <c r="J80" s="1"/>
  <c r="S74" i="25"/>
  <c r="BL79" i="39"/>
  <c r="BL50" i="40"/>
  <c r="K1249" i="4"/>
  <c r="I80" i="53"/>
  <c r="N1088" i="4"/>
  <c r="L1247"/>
  <c r="S90" i="25"/>
  <c r="BL75" i="40"/>
  <c r="BL96" i="1"/>
  <c r="L264" i="46"/>
  <c r="J65" i="48"/>
  <c r="J67" s="1"/>
  <c r="BJ79" i="40"/>
  <c r="T11" i="26"/>
  <c r="T15" s="1"/>
  <c r="T40" s="1"/>
  <c r="AL11" i="60"/>
  <c r="AV76" i="26"/>
  <c r="BF75"/>
  <c r="AA39" i="60"/>
  <c r="W11" i="26"/>
  <c r="W15" s="1"/>
  <c r="W40" s="1"/>
  <c r="K43" i="54"/>
  <c r="AA11" i="60"/>
  <c r="AK79" i="40"/>
  <c r="AI27" i="60"/>
  <c r="BB291" i="47"/>
  <c r="H75" i="65"/>
  <c r="AJ27" i="60"/>
  <c r="AB11" i="26"/>
  <c r="AB15" s="1"/>
  <c r="AB40" s="1"/>
  <c r="AA15" i="60"/>
  <c r="AA56"/>
  <c r="T63" i="26"/>
  <c r="AK57"/>
  <c r="N287" i="46"/>
  <c r="N298" s="1"/>
  <c r="M264"/>
  <c r="L47" i="53"/>
  <c r="AX63" i="26"/>
  <c r="BF57"/>
  <c r="K47" i="53"/>
  <c r="AA45" i="60"/>
  <c r="BC11" i="26"/>
  <c r="BF9"/>
  <c r="J67" i="65"/>
  <c r="J120" i="63"/>
  <c r="J109"/>
  <c r="BD283" i="47"/>
  <c r="K68" i="65"/>
  <c r="BE285" i="47"/>
  <c r="V11" i="26"/>
  <c r="V15" s="1"/>
  <c r="V40" s="1"/>
  <c r="U11"/>
  <c r="U15" s="1"/>
  <c r="N145" i="9"/>
  <c r="N117"/>
  <c r="N275" i="7"/>
  <c r="N304"/>
  <c r="N276"/>
  <c r="N277"/>
  <c r="M952" i="4" a="1"/>
  <c r="M952" s="1"/>
  <c r="M1262" s="1"/>
  <c r="M954" a="1"/>
  <c r="M954" s="1"/>
  <c r="M1264" s="1"/>
  <c r="M1229"/>
  <c r="M953" a="1"/>
  <c r="M953" s="1"/>
  <c r="M1263" s="1"/>
  <c r="M949"/>
  <c r="N1201"/>
  <c r="AK46" i="41"/>
  <c r="BL46" s="1"/>
  <c r="S84"/>
  <c r="H131" i="63"/>
  <c r="AK46" i="39"/>
  <c r="BL46" s="1"/>
  <c r="S84"/>
  <c r="T90"/>
  <c r="K55" i="53"/>
  <c r="J54"/>
  <c r="J56" s="1"/>
  <c r="M280" i="7"/>
  <c r="M318" s="1"/>
  <c r="M315"/>
  <c r="AZ404" i="47"/>
  <c r="AZ400"/>
  <c r="BF403" s="1"/>
  <c r="BH403" s="1"/>
  <c r="BI403" s="1"/>
  <c r="N1204" i="4"/>
  <c r="AK11" i="39"/>
  <c r="BL11" s="1"/>
  <c r="S15"/>
  <c r="AZ407" i="47"/>
  <c r="N1017" i="4" a="1"/>
  <c r="N1017" s="1"/>
  <c r="N1013"/>
  <c r="N1214"/>
  <c r="N1224" s="1"/>
  <c r="N1018" a="1"/>
  <c r="N1018" s="1"/>
  <c r="N1016" a="1"/>
  <c r="N1016" s="1"/>
  <c r="N149" i="9"/>
  <c r="N107"/>
  <c r="AZ405" i="47"/>
  <c r="AZ408"/>
  <c r="BC109" i="38"/>
  <c r="BF40"/>
  <c r="BL40" s="1"/>
  <c r="M305" i="7"/>
  <c r="M303"/>
  <c r="L283"/>
  <c r="L307"/>
  <c r="K1209" i="4"/>
  <c r="L1209"/>
  <c r="AZ427" i="47"/>
  <c r="N1205" i="4"/>
  <c r="AZ410" i="47"/>
  <c r="BF420" s="1"/>
  <c r="BH420" s="1"/>
  <c r="BI420" s="1"/>
  <c r="N126" i="9"/>
  <c r="DH15" i="39"/>
  <c r="BO40"/>
  <c r="AK72" i="37"/>
  <c r="BF63" i="41"/>
  <c r="AX84"/>
  <c r="AX109" s="1"/>
  <c r="BF76" i="40"/>
  <c r="BL76" s="1"/>
  <c r="AV84"/>
  <c r="L280" i="7"/>
  <c r="L318" s="1"/>
  <c r="N1084" i="4"/>
  <c r="N1094" s="1"/>
  <c r="N1282" s="1"/>
  <c r="N1087"/>
  <c r="S15" i="40"/>
  <c r="S101" i="38"/>
  <c r="N1086" i="4"/>
  <c r="M272" i="7"/>
  <c r="M317" s="1"/>
  <c r="BL96" i="25"/>
  <c r="AV25" i="60"/>
  <c r="S109" i="25"/>
  <c r="S101"/>
  <c r="AK46" i="40"/>
  <c r="BL46" s="1"/>
  <c r="S84"/>
  <c r="AZ425" i="47"/>
  <c r="N213" i="7"/>
  <c r="N270" s="1"/>
  <c r="N210"/>
  <c r="N306" s="1"/>
  <c r="N147" i="9"/>
  <c r="N112"/>
  <c r="S101" i="37"/>
  <c r="S74"/>
  <c r="S109"/>
  <c r="S90"/>
  <c r="AK40"/>
  <c r="S101" i="36"/>
  <c r="S109"/>
  <c r="N1207" i="4"/>
  <c r="AZ423" i="47"/>
  <c r="AK63" i="41"/>
  <c r="I131" i="63"/>
  <c r="M284" i="7"/>
  <c r="AZ406" i="47"/>
  <c r="N1203" i="4"/>
  <c r="N1202"/>
  <c r="N898"/>
  <c r="N940"/>
  <c r="BF76" i="41"/>
  <c r="AV84"/>
  <c r="Q11" i="40"/>
  <c r="BL11" s="1"/>
  <c r="G15"/>
  <c r="DH46" i="41"/>
  <c r="T90" i="40"/>
  <c r="DH46" i="39"/>
  <c r="BL57" i="41"/>
  <c r="G25" i="35"/>
  <c r="BP12" i="41"/>
  <c r="K69" i="60"/>
  <c r="BO12" i="41"/>
  <c r="BJ43" i="3"/>
  <c r="J25" i="35"/>
  <c r="M26" i="46"/>
  <c r="BB166" i="47"/>
  <c r="BE233"/>
  <c r="U96" i="36"/>
  <c r="M87" i="64"/>
  <c r="BH96" i="37"/>
  <c r="BH96" i="36"/>
  <c r="BO9" i="41"/>
  <c r="AF50" i="26"/>
  <c r="BA216" i="47"/>
  <c r="BE33"/>
  <c r="W79" i="26"/>
  <c r="U96" i="37"/>
  <c r="H26" i="60"/>
  <c r="BF97" i="47"/>
  <c r="M68" i="60"/>
  <c r="S9" i="41"/>
  <c r="I9" i="48"/>
  <c r="BE165" i="47"/>
  <c r="BD15"/>
  <c r="M67" i="60"/>
  <c r="BF238" i="47"/>
  <c r="G26" i="60"/>
  <c r="BH75" i="26"/>
  <c r="I21" i="63"/>
  <c r="BF25" i="47"/>
  <c r="M66" i="60"/>
  <c r="I94" i="63"/>
  <c r="BB216" i="47"/>
  <c r="BE168"/>
  <c r="BF165"/>
  <c r="M39" i="64"/>
  <c r="BQ79" i="41"/>
  <c r="H15" i="6"/>
  <c r="M14" i="60"/>
  <c r="K95" i="63"/>
  <c r="BD165" i="47"/>
  <c r="BG14"/>
  <c r="M49" i="64"/>
  <c r="BC67" i="47"/>
  <c r="AZ80"/>
  <c r="BG97"/>
  <c r="BG236"/>
  <c r="BG238"/>
  <c r="BA66"/>
  <c r="BA215"/>
  <c r="BF246"/>
  <c r="DC79" i="41"/>
  <c r="BG102" i="47"/>
  <c r="BF236"/>
  <c r="BC32"/>
  <c r="N25" i="46"/>
  <c r="J20" i="65"/>
  <c r="BA80" i="47"/>
  <c r="I37" i="65"/>
  <c r="G9" i="48"/>
  <c r="M19" i="65"/>
  <c r="I15" i="6"/>
  <c r="DC79" i="40"/>
  <c r="BP79" i="41"/>
  <c r="L39" i="64"/>
  <c r="AB71" i="38"/>
  <c r="I36" i="60"/>
  <c r="AB71" i="25"/>
  <c r="F36" i="60"/>
  <c r="BF310" i="47"/>
  <c r="L11" i="64"/>
  <c r="S12" i="41"/>
  <c r="BC319" i="47"/>
  <c r="T71" i="38"/>
  <c r="I20" i="64"/>
  <c r="BE238" i="47"/>
  <c r="T71" i="25"/>
  <c r="AZ319" i="47"/>
  <c r="F20" i="64"/>
  <c r="F25" i="35"/>
  <c r="BQ12" i="41"/>
  <c r="AX45" i="3"/>
  <c r="AY172" i="47"/>
  <c r="BK43" i="3"/>
  <c r="BL43"/>
  <c r="BJ42"/>
  <c r="H25" i="35"/>
  <c r="V96" i="37"/>
  <c r="BO79" i="41"/>
  <c r="K22" i="63"/>
  <c r="H25" i="60"/>
  <c r="G9" i="41"/>
  <c r="G15" i="6"/>
  <c r="BB66" i="47"/>
  <c r="L66" i="60"/>
  <c r="BI79" i="26"/>
  <c r="BG246" i="47"/>
  <c r="BB215"/>
  <c r="V96" i="36"/>
  <c r="G9" i="26"/>
  <c r="H28" i="60"/>
  <c r="M47" i="64"/>
  <c r="BD166" i="47"/>
  <c r="BF250"/>
  <c r="AF96" i="39"/>
  <c r="BB80" i="47"/>
  <c r="M93" i="64"/>
  <c r="L10"/>
  <c r="F9" i="48"/>
  <c r="L88" i="63"/>
  <c r="BH71" i="38"/>
  <c r="BH71" i="36"/>
  <c r="K38" i="65"/>
  <c r="BQ9" i="41"/>
  <c r="BK44" i="3"/>
  <c r="BL44"/>
  <c r="BJ44"/>
  <c r="AY66" i="47"/>
  <c r="J15" i="6"/>
  <c r="AZ172" i="47"/>
  <c r="L15" i="35"/>
  <c r="M9" i="53"/>
  <c r="BP9" i="41"/>
  <c r="L31" i="65"/>
  <c r="H9" i="48"/>
  <c r="BK42" i="3"/>
  <c r="BL42"/>
  <c r="U79" i="41"/>
  <c r="BM40" i="3"/>
  <c r="F15" i="6"/>
  <c r="BH79" i="41"/>
  <c r="G28" i="60"/>
  <c r="M25" i="35"/>
  <c r="BE50" i="26"/>
  <c r="H15" i="24"/>
  <c r="BH71" i="1"/>
  <c r="G25" i="60"/>
  <c r="L15" i="63"/>
  <c r="BF309" i="47"/>
  <c r="H312" i="35" l="1"/>
  <c r="H317" s="1"/>
  <c r="BQ14" i="41"/>
  <c r="F312" i="35"/>
  <c r="F317" s="1"/>
  <c r="F28" i="64"/>
  <c r="F30" s="1"/>
  <c r="F21"/>
  <c r="AZ320" i="47"/>
  <c r="AZ324"/>
  <c r="AZ326" s="1"/>
  <c r="AK71" i="25"/>
  <c r="T72"/>
  <c r="I28" i="64"/>
  <c r="I30" s="1"/>
  <c r="I21"/>
  <c r="T72" i="38"/>
  <c r="AK71"/>
  <c r="BC324" i="47"/>
  <c r="BC326" s="1"/>
  <c r="BC320"/>
  <c r="AK12" i="41"/>
  <c r="BL12" s="1"/>
  <c r="S14"/>
  <c r="AK14" s="1"/>
  <c r="BL14" s="1"/>
  <c r="AE15" i="60"/>
  <c r="AP15" s="1"/>
  <c r="AB72" i="25"/>
  <c r="AB84" s="1"/>
  <c r="AB109" s="1"/>
  <c r="AH15" i="60"/>
  <c r="AS15" s="1"/>
  <c r="AB72" i="38"/>
  <c r="AB84" s="1"/>
  <c r="AB109" s="1"/>
  <c r="M265" i="46"/>
  <c r="BO14" i="41"/>
  <c r="AJ26" i="60"/>
  <c r="BP14" i="41"/>
  <c r="G312" i="35"/>
  <c r="G317" s="1"/>
  <c r="H55" i="53"/>
  <c r="H54"/>
  <c r="M751" i="17"/>
  <c r="V97" i="1"/>
  <c r="V95" i="40"/>
  <c r="M705" i="17"/>
  <c r="M741"/>
  <c r="M266" i="46"/>
  <c r="M286" s="1"/>
  <c r="M297" s="1"/>
  <c r="M303" s="1"/>
  <c r="M323" s="1"/>
  <c r="BL40" i="37"/>
  <c r="Q15" i="39"/>
  <c r="S78" i="38"/>
  <c r="S80" s="1"/>
  <c r="S109" i="1"/>
  <c r="AK72"/>
  <c r="G50" i="53"/>
  <c r="G79" s="1"/>
  <c r="L752" i="17"/>
  <c r="M768"/>
  <c r="M749"/>
  <c r="M752" s="1"/>
  <c r="L713"/>
  <c r="M750"/>
  <c r="V97" i="25"/>
  <c r="L266" i="46"/>
  <c r="L286" s="1"/>
  <c r="L297" s="1"/>
  <c r="L303" s="1"/>
  <c r="L323" s="1"/>
  <c r="BQ15" i="40"/>
  <c r="BQ40" s="1"/>
  <c r="BL71" i="37"/>
  <c r="G54" i="53"/>
  <c r="G56" s="1"/>
  <c r="K292" i="46"/>
  <c r="K310" s="1"/>
  <c r="BG109" i="47"/>
  <c r="BH72" i="36"/>
  <c r="BJ72" s="1"/>
  <c r="BJ71"/>
  <c r="BC15" i="41"/>
  <c r="BF15" s="1"/>
  <c r="G11"/>
  <c r="Q11" s="1"/>
  <c r="Q9"/>
  <c r="BL71" i="36"/>
  <c r="AK72"/>
  <c r="BJ71" i="1"/>
  <c r="BL71" s="1"/>
  <c r="BH72"/>
  <c r="BJ72" s="1"/>
  <c r="BL72" s="1"/>
  <c r="BH76" i="26"/>
  <c r="BJ76" s="1"/>
  <c r="BJ75"/>
  <c r="BL75" s="1"/>
  <c r="BC40" i="40"/>
  <c r="BF40" s="1"/>
  <c r="J52" i="54"/>
  <c r="J75" s="1"/>
  <c r="BL76" i="41"/>
  <c r="J73" i="54"/>
  <c r="BL22" i="26"/>
  <c r="L1249" i="4"/>
  <c r="H65" i="48"/>
  <c r="H67" s="1"/>
  <c r="H116" s="1"/>
  <c r="DH22" i="41"/>
  <c r="DH15" i="40"/>
  <c r="K46" i="54"/>
  <c r="K49" s="1"/>
  <c r="K74" s="1"/>
  <c r="BO40" i="40"/>
  <c r="DH40" s="1"/>
  <c r="AW11" i="60"/>
  <c r="BJ71" i="38"/>
  <c r="BL71" s="1"/>
  <c r="BH72"/>
  <c r="BJ72" s="1"/>
  <c r="F65" i="48"/>
  <c r="F67" s="1"/>
  <c r="G65"/>
  <c r="G67" s="1"/>
  <c r="G116" s="1"/>
  <c r="BH99" i="37"/>
  <c r="BJ99" s="1"/>
  <c r="BJ96"/>
  <c r="BH99" i="36"/>
  <c r="BJ99" s="1"/>
  <c r="BJ96"/>
  <c r="AF51" i="26"/>
  <c r="AK50"/>
  <c r="V97" i="37"/>
  <c r="L386" i="35"/>
  <c r="L235"/>
  <c r="G11" i="26"/>
  <c r="Q11" s="1"/>
  <c r="Q9"/>
  <c r="AF99" i="39"/>
  <c r="AF106" s="1"/>
  <c r="AF109" s="1"/>
  <c r="AF97"/>
  <c r="AL8" i="60"/>
  <c r="AA6"/>
  <c r="BF50" i="26"/>
  <c r="BE51"/>
  <c r="AK96" i="36"/>
  <c r="U8" i="60"/>
  <c r="AQ8" s="1"/>
  <c r="AK96" i="37"/>
  <c r="V8" i="60"/>
  <c r="AR8" s="1"/>
  <c r="V97" i="36"/>
  <c r="BF40" i="39"/>
  <c r="BC109"/>
  <c r="N547" i="34"/>
  <c r="J330" i="35"/>
  <c r="I348" s="1"/>
  <c r="J308"/>
  <c r="J385" s="1"/>
  <c r="BL50" i="41"/>
  <c r="BL63"/>
  <c r="N1092" i="4"/>
  <c r="S78" i="25"/>
  <c r="S80" s="1"/>
  <c r="AF84" i="41"/>
  <c r="AF95" s="1"/>
  <c r="AK51"/>
  <c r="BF370" i="47"/>
  <c r="BH370" s="1"/>
  <c r="BI370" s="1"/>
  <c r="BG372"/>
  <c r="J329" i="35"/>
  <c r="I347" s="1"/>
  <c r="J307"/>
  <c r="BF51" i="41"/>
  <c r="BE95"/>
  <c r="BF95" s="1"/>
  <c r="BE84"/>
  <c r="BE109" s="1"/>
  <c r="K238" i="35"/>
  <c r="K242"/>
  <c r="K246"/>
  <c r="H392"/>
  <c r="J328"/>
  <c r="I346" s="1"/>
  <c r="J306"/>
  <c r="I392"/>
  <c r="S78" i="1"/>
  <c r="S80" s="1"/>
  <c r="BL51" i="40"/>
  <c r="BL72" i="37"/>
  <c r="DH22" i="26"/>
  <c r="N264" i="46"/>
  <c r="N266" s="1"/>
  <c r="N286" s="1"/>
  <c r="BJ79" i="41"/>
  <c r="M47" i="53"/>
  <c r="DC82" i="41"/>
  <c r="DC84" s="1"/>
  <c r="DC109" s="1"/>
  <c r="DH79"/>
  <c r="DC82" i="40"/>
  <c r="DC84" s="1"/>
  <c r="DC109" s="1"/>
  <c r="DH79"/>
  <c r="BC291" i="47"/>
  <c r="I75" i="65"/>
  <c r="BD18" i="47"/>
  <c r="J22" i="65"/>
  <c r="AK79" i="41"/>
  <c r="S11"/>
  <c r="AK9"/>
  <c r="I65" i="48"/>
  <c r="I67" s="1"/>
  <c r="L68" i="65"/>
  <c r="BF285" i="47"/>
  <c r="BP11" i="41"/>
  <c r="BP15" s="1"/>
  <c r="BP40" s="1"/>
  <c r="BO11"/>
  <c r="BO15" s="1"/>
  <c r="BQ11"/>
  <c r="N1229" i="4"/>
  <c r="N954" a="1"/>
  <c r="N954" s="1"/>
  <c r="N1264" s="1"/>
  <c r="N949"/>
  <c r="N953" a="1"/>
  <c r="N953" s="1"/>
  <c r="N1263" s="1"/>
  <c r="N952" a="1"/>
  <c r="N952" s="1"/>
  <c r="N1262" s="1"/>
  <c r="AZ433" i="47"/>
  <c r="BF262"/>
  <c r="BF272" s="1"/>
  <c r="N280" i="7"/>
  <c r="N318" s="1"/>
  <c r="N315"/>
  <c r="U40" i="26"/>
  <c r="BF11"/>
  <c r="BC15"/>
  <c r="AX84"/>
  <c r="AX109" s="1"/>
  <c r="BF63"/>
  <c r="AZ432" i="47"/>
  <c r="N303" i="7"/>
  <c r="N305"/>
  <c r="S40" i="39"/>
  <c r="AK15"/>
  <c r="BL15" s="1"/>
  <c r="M319" i="7"/>
  <c r="J131" i="63"/>
  <c r="AV109" i="41"/>
  <c r="BF409" i="47"/>
  <c r="BH409" s="1"/>
  <c r="BI409" s="1"/>
  <c r="S78" i="37"/>
  <c r="S80" s="1"/>
  <c r="Q40" i="39"/>
  <c r="S40" i="40"/>
  <c r="AK15"/>
  <c r="BE262" i="47"/>
  <c r="BE272" s="1"/>
  <c r="AV109" i="40"/>
  <c r="BF84"/>
  <c r="Q109" i="39"/>
  <c r="M283" i="7"/>
  <c r="M307"/>
  <c r="AZ434" i="47"/>
  <c r="M1238" i="4"/>
  <c r="M1200"/>
  <c r="V95" i="26"/>
  <c r="AB70"/>
  <c r="T90"/>
  <c r="BF375" i="47"/>
  <c r="N271" i="7"/>
  <c r="N316" s="1"/>
  <c r="N272"/>
  <c r="N317" s="1"/>
  <c r="BG375" i="47"/>
  <c r="BL57" i="26"/>
  <c r="BL79" i="40"/>
  <c r="G40"/>
  <c r="G109" s="1"/>
  <c r="Q15"/>
  <c r="DH40" i="39"/>
  <c r="M1247" i="4"/>
  <c r="AK72" i="38"/>
  <c r="M1265" i="4"/>
  <c r="M1246"/>
  <c r="N284" i="7"/>
  <c r="K49" i="53"/>
  <c r="K78" s="1"/>
  <c r="K53"/>
  <c r="K77"/>
  <c r="L49"/>
  <c r="L78" s="1"/>
  <c r="L53"/>
  <c r="L77"/>
  <c r="M1248" i="4"/>
  <c r="M292" i="46"/>
  <c r="M310" s="1"/>
  <c r="AK63" i="26"/>
  <c r="AV84"/>
  <c r="BF76"/>
  <c r="J116" i="48"/>
  <c r="J69"/>
  <c r="J117" s="1"/>
  <c r="L319" i="7"/>
  <c r="L69" i="60"/>
  <c r="BH71" i="25"/>
  <c r="L95" i="63"/>
  <c r="S9" i="26"/>
  <c r="AF96" i="40"/>
  <c r="M15" i="63"/>
  <c r="J21"/>
  <c r="L25" i="35"/>
  <c r="I15" i="24"/>
  <c r="T91" i="25"/>
  <c r="U79" i="26"/>
  <c r="N9" i="53"/>
  <c r="K20" i="65"/>
  <c r="L15" i="44"/>
  <c r="BE319" i="47"/>
  <c r="I27" i="60"/>
  <c r="F15" i="24"/>
  <c r="BE191" i="47"/>
  <c r="J94" i="63"/>
  <c r="BE23" i="47"/>
  <c r="M15" i="35"/>
  <c r="M10" i="64"/>
  <c r="K36" i="60"/>
  <c r="M15" i="44"/>
  <c r="K13" i="63"/>
  <c r="BE166" i="47"/>
  <c r="BP9" i="26"/>
  <c r="F16" i="51"/>
  <c r="AY80" i="47"/>
  <c r="G16" i="51"/>
  <c r="BD32" i="47"/>
  <c r="BO79" i="26"/>
  <c r="L9" i="54"/>
  <c r="BF168" i="47"/>
  <c r="BC66"/>
  <c r="J15" i="24"/>
  <c r="L86" i="63"/>
  <c r="AB71" i="39"/>
  <c r="N25" i="35"/>
  <c r="BI91" i="38"/>
  <c r="K20" i="64"/>
  <c r="BF191" i="47"/>
  <c r="T91" i="38"/>
  <c r="L65" i="60"/>
  <c r="BG168" i="47"/>
  <c r="I52" i="60"/>
  <c r="BG309" i="47"/>
  <c r="L23" i="66"/>
  <c r="L29" i="65"/>
  <c r="L22" i="63"/>
  <c r="L38" i="65"/>
  <c r="BO9" i="26"/>
  <c r="BM44" i="3"/>
  <c r="BD67" i="47"/>
  <c r="M9" i="54"/>
  <c r="T91" i="36"/>
  <c r="L13" i="63"/>
  <c r="DC79" i="26"/>
  <c r="BE15" i="47"/>
  <c r="W96" i="38"/>
  <c r="BQ9" i="26"/>
  <c r="I16" i="51"/>
  <c r="BH79" i="26"/>
  <c r="BM43" i="3"/>
  <c r="J37" i="65"/>
  <c r="BG25" i="47"/>
  <c r="G15" i="24"/>
  <c r="BG250" i="47"/>
  <c r="BD319"/>
  <c r="T71" i="39"/>
  <c r="AZ66" i="47"/>
  <c r="BF33"/>
  <c r="H16" i="51"/>
  <c r="BC217" i="47"/>
  <c r="T71" i="40"/>
  <c r="J20" i="64"/>
  <c r="BF23" i="47"/>
  <c r="AB71" i="40"/>
  <c r="K29" i="65"/>
  <c r="BQ79" i="26"/>
  <c r="M88" i="63"/>
  <c r="J36" i="60"/>
  <c r="BP79" i="26"/>
  <c r="BM42" i="3"/>
  <c r="K23" i="66"/>
  <c r="M31" i="65"/>
  <c r="K86" i="63"/>
  <c r="AY42" i="3"/>
  <c r="BF233" i="47"/>
  <c r="G79" i="51" l="1"/>
  <c r="G108" s="1"/>
  <c r="F79"/>
  <c r="F108" s="1"/>
  <c r="BJ71" i="25"/>
  <c r="BL71" s="1"/>
  <c r="BH72"/>
  <c r="BJ72" s="1"/>
  <c r="AK26" i="60"/>
  <c r="L292" i="46"/>
  <c r="L310" s="1"/>
  <c r="BQ15" i="41"/>
  <c r="BQ40" s="1"/>
  <c r="AK72" i="25"/>
  <c r="BL72" s="1"/>
  <c r="G80" i="53"/>
  <c r="M713" i="17"/>
  <c r="H56" i="53"/>
  <c r="BL72" i="36"/>
  <c r="BC40" i="41"/>
  <c r="BF40" s="1"/>
  <c r="G15"/>
  <c r="Q15" s="1"/>
  <c r="BL9"/>
  <c r="BC109" i="40"/>
  <c r="BF84" i="41"/>
  <c r="BL76" i="26"/>
  <c r="H69" i="48"/>
  <c r="H117" s="1"/>
  <c r="H118" s="1"/>
  <c r="K73" i="54"/>
  <c r="K52"/>
  <c r="K75" s="1"/>
  <c r="G15" i="26"/>
  <c r="G40" s="1"/>
  <c r="G109" s="1"/>
  <c r="G69" i="48"/>
  <c r="G117" s="1"/>
  <c r="G118" s="1"/>
  <c r="BL96" i="37"/>
  <c r="H79" i="51"/>
  <c r="H108" s="1"/>
  <c r="I79"/>
  <c r="I108" s="1"/>
  <c r="J75" i="65"/>
  <c r="BD291" i="47"/>
  <c r="M386" i="35"/>
  <c r="M235"/>
  <c r="AF99" i="40"/>
  <c r="AF106" s="1"/>
  <c r="AF109" s="1"/>
  <c r="AF97"/>
  <c r="I103" i="60"/>
  <c r="J383" i="35"/>
  <c r="J391"/>
  <c r="K329"/>
  <c r="J347" s="1"/>
  <c r="K307"/>
  <c r="L238"/>
  <c r="L246"/>
  <c r="L242"/>
  <c r="AF84" i="26"/>
  <c r="AF95" s="1"/>
  <c r="AK51"/>
  <c r="BF51"/>
  <c r="BE95"/>
  <c r="BF95" s="1"/>
  <c r="BE84"/>
  <c r="BE109" s="1"/>
  <c r="F116" i="48"/>
  <c r="F69"/>
  <c r="F117" s="1"/>
  <c r="BH375" i="47"/>
  <c r="BI375" s="1"/>
  <c r="BL50" i="26"/>
  <c r="L50" i="53"/>
  <c r="L79" s="1"/>
  <c r="L80" s="1"/>
  <c r="BL72" i="38"/>
  <c r="BL96" i="36"/>
  <c r="K330" i="35"/>
  <c r="J348" s="1"/>
  <c r="K308"/>
  <c r="K385" s="1"/>
  <c r="K328"/>
  <c r="J346" s="1"/>
  <c r="K306"/>
  <c r="J312"/>
  <c r="J317" s="1"/>
  <c r="J384"/>
  <c r="BL51" i="41"/>
  <c r="BJ79" i="26"/>
  <c r="BP11"/>
  <c r="BP15" s="1"/>
  <c r="BP40" s="1"/>
  <c r="AB72" i="40"/>
  <c r="AB84" s="1"/>
  <c r="AB109" s="1"/>
  <c r="AJ15" i="60"/>
  <c r="AU15" s="1"/>
  <c r="AB72" i="39"/>
  <c r="AB84" s="1"/>
  <c r="AB109" s="1"/>
  <c r="AI15" i="60"/>
  <c r="AT15" s="1"/>
  <c r="AK27"/>
  <c r="AK79" i="26"/>
  <c r="AK9"/>
  <c r="BL9" s="1"/>
  <c r="S11"/>
  <c r="T72" i="40"/>
  <c r="AK71"/>
  <c r="K21" i="64"/>
  <c r="K28"/>
  <c r="K30" s="1"/>
  <c r="BE320" i="47"/>
  <c r="BE324"/>
  <c r="BE326" s="1"/>
  <c r="J21" i="64"/>
  <c r="J28"/>
  <c r="J30" s="1"/>
  <c r="BD320" i="47"/>
  <c r="BD324"/>
  <c r="BD326" s="1"/>
  <c r="T72" i="39"/>
  <c r="AK71"/>
  <c r="K22" i="65"/>
  <c r="BE18" i="47"/>
  <c r="L67" i="65"/>
  <c r="L120" i="63"/>
  <c r="L109"/>
  <c r="BF283" i="47"/>
  <c r="DC82" i="26"/>
  <c r="DC84" s="1"/>
  <c r="DC109" s="1"/>
  <c r="T93" i="38"/>
  <c r="AK91"/>
  <c r="AK91" i="25"/>
  <c r="T93"/>
  <c r="AK91" i="36"/>
  <c r="T93"/>
  <c r="K67" i="65"/>
  <c r="K120" i="63"/>
  <c r="K109"/>
  <c r="BE283" i="47"/>
  <c r="M68" i="65"/>
  <c r="BG285" i="47"/>
  <c r="DH79" i="26"/>
  <c r="L43" i="54"/>
  <c r="L46" s="1"/>
  <c r="N47" i="53"/>
  <c r="BJ91" i="38"/>
  <c r="BO11" i="26"/>
  <c r="BO15" s="1"/>
  <c r="BQ11"/>
  <c r="BQ15" s="1"/>
  <c r="BQ40" s="1"/>
  <c r="M43" i="54"/>
  <c r="L55" i="53"/>
  <c r="K54"/>
  <c r="K56" s="1"/>
  <c r="N1247" i="4"/>
  <c r="BO40" i="41"/>
  <c r="I69" i="48"/>
  <c r="I117" s="1"/>
  <c r="I116"/>
  <c r="AV109" i="26"/>
  <c r="M1209" i="4"/>
  <c r="S101" i="39"/>
  <c r="S74"/>
  <c r="S109"/>
  <c r="S90"/>
  <c r="AK40"/>
  <c r="BL40" s="1"/>
  <c r="N283" i="7"/>
  <c r="N307"/>
  <c r="N1200" i="4"/>
  <c r="N1238"/>
  <c r="AK11" i="41"/>
  <c r="BL11" s="1"/>
  <c r="S15"/>
  <c r="Q109" i="40"/>
  <c r="BC40" i="26"/>
  <c r="BF15"/>
  <c r="BG262" i="47"/>
  <c r="BG272" s="1"/>
  <c r="J118" i="48"/>
  <c r="L54" i="53"/>
  <c r="M55"/>
  <c r="BL15" i="40"/>
  <c r="Q40"/>
  <c r="N319" i="7"/>
  <c r="M77" i="53"/>
  <c r="M49"/>
  <c r="M78" s="1"/>
  <c r="M53"/>
  <c r="M1249" i="4"/>
  <c r="BL63" i="26"/>
  <c r="K50" i="53"/>
  <c r="K79" s="1"/>
  <c r="K80" s="1"/>
  <c r="S101" i="40"/>
  <c r="S74"/>
  <c r="S109"/>
  <c r="S90"/>
  <c r="AK40"/>
  <c r="N1246" i="4"/>
  <c r="N1265"/>
  <c r="N1248"/>
  <c r="N297" i="46"/>
  <c r="N303" s="1"/>
  <c r="N323" s="1"/>
  <c r="N292"/>
  <c r="N310" s="1"/>
  <c r="BL79" i="41"/>
  <c r="N15" i="35"/>
  <c r="M20" i="65"/>
  <c r="I26" i="60"/>
  <c r="K94" i="63"/>
  <c r="BF319" i="47"/>
  <c r="BG15"/>
  <c r="BG191"/>
  <c r="E52" i="60"/>
  <c r="U96" i="38"/>
  <c r="T91" i="37"/>
  <c r="BH71" i="39"/>
  <c r="V98" i="36"/>
  <c r="G52" i="60"/>
  <c r="BC84" i="47"/>
  <c r="K15" i="6"/>
  <c r="K21" i="63"/>
  <c r="AF96" i="41"/>
  <c r="BG233" i="47"/>
  <c r="BE67"/>
  <c r="I25" i="60"/>
  <c r="J27"/>
  <c r="BI91" i="1"/>
  <c r="BD80" i="47"/>
  <c r="L15" i="6"/>
  <c r="M95" i="63"/>
  <c r="BC216" i="47"/>
  <c r="F52" i="60"/>
  <c r="V98" i="37"/>
  <c r="I28" i="60"/>
  <c r="M13" i="63"/>
  <c r="G18" i="60"/>
  <c r="M22" i="63"/>
  <c r="BG33" i="47"/>
  <c r="K37" i="65"/>
  <c r="BI91" i="25"/>
  <c r="H18" i="60"/>
  <c r="AZ84" i="47"/>
  <c r="BG23"/>
  <c r="M23" i="66"/>
  <c r="L36" i="60"/>
  <c r="V98" i="1"/>
  <c r="AY221" i="47"/>
  <c r="E18" i="60"/>
  <c r="AZ221" i="47"/>
  <c r="V98" i="25"/>
  <c r="F18" i="60"/>
  <c r="M86" i="63"/>
  <c r="BE32" i="47"/>
  <c r="M65" i="60"/>
  <c r="BA84" i="47"/>
  <c r="N9" i="54"/>
  <c r="W96" i="39"/>
  <c r="N15" i="44"/>
  <c r="BH71" i="40"/>
  <c r="BC215" i="47"/>
  <c r="M29" i="65"/>
  <c r="BB221" i="47"/>
  <c r="L9" i="48"/>
  <c r="BE66" i="47"/>
  <c r="L20" i="64"/>
  <c r="BD217" i="47"/>
  <c r="H52" i="60"/>
  <c r="AB71" i="41"/>
  <c r="BH96" i="38"/>
  <c r="V96"/>
  <c r="BI91" i="36"/>
  <c r="M38" i="65"/>
  <c r="BE80" i="47"/>
  <c r="T91" i="1"/>
  <c r="T71" i="41"/>
  <c r="BI91" i="37"/>
  <c r="K9" i="48"/>
  <c r="BD66" i="47"/>
  <c r="BA221"/>
  <c r="F102" i="60" l="1"/>
  <c r="T9"/>
  <c r="V99" i="25"/>
  <c r="AZ226" i="47"/>
  <c r="E102" i="60"/>
  <c r="S9"/>
  <c r="AY226" i="47"/>
  <c r="V99" i="1"/>
  <c r="G84" i="51"/>
  <c r="DH15" i="41"/>
  <c r="F84" i="51"/>
  <c r="BC109" i="41"/>
  <c r="G40"/>
  <c r="G109" s="1"/>
  <c r="Q109" s="1"/>
  <c r="BE291" i="47"/>
  <c r="K75" i="65"/>
  <c r="BC85" i="47"/>
  <c r="BJ91" i="36"/>
  <c r="BL91" s="1"/>
  <c r="Q15" i="26"/>
  <c r="Q40" s="1"/>
  <c r="BA85" i="47"/>
  <c r="AZ85"/>
  <c r="BJ91" i="25"/>
  <c r="BL91" s="1"/>
  <c r="M50" i="53"/>
  <c r="M79" s="1"/>
  <c r="L56"/>
  <c r="BF84" i="26"/>
  <c r="N1249" i="4"/>
  <c r="BL79" i="26"/>
  <c r="J103" i="60"/>
  <c r="BJ96" i="38"/>
  <c r="BH99"/>
  <c r="BJ99" s="1"/>
  <c r="V99" i="36"/>
  <c r="BA226" i="47"/>
  <c r="G102" i="60"/>
  <c r="U9"/>
  <c r="BJ91" i="1"/>
  <c r="V9" i="60"/>
  <c r="H102"/>
  <c r="V99" i="37"/>
  <c r="BB226" i="47"/>
  <c r="AK96" i="38"/>
  <c r="W8" i="60"/>
  <c r="AS8" s="1"/>
  <c r="BH72" i="40"/>
  <c r="BJ72" s="1"/>
  <c r="BJ71"/>
  <c r="BL71" s="1"/>
  <c r="AF99" i="41"/>
  <c r="AF106" s="1"/>
  <c r="AF109" s="1"/>
  <c r="AF97"/>
  <c r="T93" i="1"/>
  <c r="T74" s="1"/>
  <c r="T78" s="1"/>
  <c r="T80" s="1"/>
  <c r="AK91"/>
  <c r="BL91" s="1"/>
  <c r="V97" i="38"/>
  <c r="N386" i="35"/>
  <c r="N235"/>
  <c r="L328"/>
  <c r="K346" s="1"/>
  <c r="L306"/>
  <c r="J392"/>
  <c r="BL51" i="26"/>
  <c r="H84" i="51"/>
  <c r="F118" i="48"/>
  <c r="L330" i="35"/>
  <c r="K348" s="1"/>
  <c r="L308"/>
  <c r="L385" s="1"/>
  <c r="L329"/>
  <c r="K347" s="1"/>
  <c r="L307"/>
  <c r="K383"/>
  <c r="K391"/>
  <c r="K384"/>
  <c r="K312"/>
  <c r="K317" s="1"/>
  <c r="M246"/>
  <c r="M242"/>
  <c r="M238"/>
  <c r="I84" i="51"/>
  <c r="L65" i="48"/>
  <c r="L67" s="1"/>
  <c r="BH72" i="39"/>
  <c r="BJ71"/>
  <c r="BL71" s="1"/>
  <c r="K65" i="48"/>
  <c r="K67" s="1"/>
  <c r="BG18" i="47"/>
  <c r="M22" i="65"/>
  <c r="BJ91" i="37"/>
  <c r="AK91"/>
  <c r="T93"/>
  <c r="L28" i="64"/>
  <c r="L30" s="1"/>
  <c r="L21"/>
  <c r="BF324" i="47"/>
  <c r="BF326" s="1"/>
  <c r="BF320"/>
  <c r="T72" i="41"/>
  <c r="AK71"/>
  <c r="N43" i="54"/>
  <c r="AL27" i="60"/>
  <c r="M67" i="65"/>
  <c r="M120" i="63"/>
  <c r="M109"/>
  <c r="BG283" i="47"/>
  <c r="AK15" i="60"/>
  <c r="AV15" s="1"/>
  <c r="AB72" i="41"/>
  <c r="AB84" s="1"/>
  <c r="AB109" s="1"/>
  <c r="S78" i="40"/>
  <c r="S80" s="1"/>
  <c r="Q109" i="26"/>
  <c r="S40" i="41"/>
  <c r="AK15"/>
  <c r="BL15" s="1"/>
  <c r="L49" i="54"/>
  <c r="L74" s="1"/>
  <c r="L73"/>
  <c r="L52"/>
  <c r="L75" s="1"/>
  <c r="T74" i="38"/>
  <c r="L131" i="63"/>
  <c r="Q40" i="41"/>
  <c r="I118" i="48"/>
  <c r="T74" i="36"/>
  <c r="AK72" i="40"/>
  <c r="BC109" i="26"/>
  <c r="BF40"/>
  <c r="K131" i="63"/>
  <c r="N55" i="53"/>
  <c r="M54"/>
  <c r="M56" s="1"/>
  <c r="AZ431" i="47"/>
  <c r="BG391" s="1"/>
  <c r="BH391" s="1"/>
  <c r="BI391" s="1"/>
  <c r="N1209" i="4"/>
  <c r="N49" i="53"/>
  <c r="N78" s="1"/>
  <c r="N77"/>
  <c r="N53"/>
  <c r="N54" s="1"/>
  <c r="T74" i="25"/>
  <c r="AK72" i="39"/>
  <c r="BL91" i="38"/>
  <c r="BL40" i="40"/>
  <c r="AK11" i="26"/>
  <c r="BL11" s="1"/>
  <c r="S15"/>
  <c r="S78" i="39"/>
  <c r="S80" s="1"/>
  <c r="DH40" i="41"/>
  <c r="BO40" i="26"/>
  <c r="DH15"/>
  <c r="M46" i="54"/>
  <c r="AY239" i="47"/>
  <c r="BJ41" i="3"/>
  <c r="BF67" i="47"/>
  <c r="BH96" i="39"/>
  <c r="BA239" i="47"/>
  <c r="L15" i="24"/>
  <c r="H16" i="6"/>
  <c r="BB84" i="47"/>
  <c r="M21" i="63"/>
  <c r="F16" i="6"/>
  <c r="K27" i="60"/>
  <c r="K15" i="24"/>
  <c r="BG319" i="47"/>
  <c r="BH71" i="41"/>
  <c r="AY40" i="3"/>
  <c r="J28" i="60"/>
  <c r="M37" i="65"/>
  <c r="G16" i="6"/>
  <c r="L20" i="65"/>
  <c r="J16" i="51"/>
  <c r="F16" i="24"/>
  <c r="AZ239" i="47"/>
  <c r="BD216"/>
  <c r="W96" i="40"/>
  <c r="L37" i="65"/>
  <c r="BG166" i="47"/>
  <c r="T71" i="26"/>
  <c r="U96" i="39"/>
  <c r="M94" i="63"/>
  <c r="BF32" i="47"/>
  <c r="V96" i="39"/>
  <c r="L21" i="63"/>
  <c r="AB71" i="26"/>
  <c r="BG32" i="47"/>
  <c r="BD215"/>
  <c r="M36" i="60"/>
  <c r="BF15" i="47"/>
  <c r="J25" i="60"/>
  <c r="BF66" i="47"/>
  <c r="BB239"/>
  <c r="L94" i="63"/>
  <c r="BK41" i="3"/>
  <c r="AY84" i="47"/>
  <c r="M20" i="64"/>
  <c r="AF96" i="26"/>
  <c r="J26" i="60"/>
  <c r="BF166" i="47"/>
  <c r="J16" i="6"/>
  <c r="BE217" i="47"/>
  <c r="AZ254" l="1"/>
  <c r="AY254"/>
  <c r="V101" i="25"/>
  <c r="V101" i="1"/>
  <c r="BF291" i="47"/>
  <c r="L75" i="65"/>
  <c r="BF18" i="47"/>
  <c r="L22" i="65"/>
  <c r="BB85" i="47"/>
  <c r="AY85"/>
  <c r="BH72" i="41"/>
  <c r="BJ72" s="1"/>
  <c r="BJ71"/>
  <c r="BL71" s="1"/>
  <c r="M80" i="53"/>
  <c r="BL96" i="38"/>
  <c r="BL72" i="40"/>
  <c r="AF99" i="26"/>
  <c r="AF106" s="1"/>
  <c r="AF109" s="1"/>
  <c r="AF97"/>
  <c r="J79" i="51"/>
  <c r="J108" s="1"/>
  <c r="V97" i="39"/>
  <c r="BA254" i="47"/>
  <c r="AK96" i="39"/>
  <c r="X8" i="60"/>
  <c r="AT8" s="1"/>
  <c r="BH99" i="39"/>
  <c r="BJ99" s="1"/>
  <c r="BJ96"/>
  <c r="K103" i="60"/>
  <c r="F127" i="6"/>
  <c r="F128" s="1"/>
  <c r="BB254" i="47"/>
  <c r="M328" i="35"/>
  <c r="L346" s="1"/>
  <c r="M306"/>
  <c r="L384"/>
  <c r="L312"/>
  <c r="L317" s="1"/>
  <c r="L383"/>
  <c r="L391"/>
  <c r="V101" i="36"/>
  <c r="K392" i="35"/>
  <c r="N238"/>
  <c r="N246"/>
  <c r="N242"/>
  <c r="M330"/>
  <c r="L348" s="1"/>
  <c r="M308"/>
  <c r="M385" s="1"/>
  <c r="N46" i="54"/>
  <c r="N49" s="1"/>
  <c r="N74" s="1"/>
  <c r="M329" i="35"/>
  <c r="L347" s="1"/>
  <c r="M307"/>
  <c r="V101" i="37"/>
  <c r="BL91"/>
  <c r="BG320" i="47"/>
  <c r="BG324"/>
  <c r="BG326" s="1"/>
  <c r="T72" i="26"/>
  <c r="AK71"/>
  <c r="M21" i="64"/>
  <c r="M28"/>
  <c r="M30" s="1"/>
  <c r="G127" i="6"/>
  <c r="G128" s="1"/>
  <c r="H127"/>
  <c r="H128" s="1"/>
  <c r="J127"/>
  <c r="J128" s="1"/>
  <c r="F242" i="24"/>
  <c r="AL15" i="60"/>
  <c r="AW15" s="1"/>
  <c r="AB72" i="26"/>
  <c r="AB84" s="1"/>
  <c r="AB109" s="1"/>
  <c r="BG291" i="47"/>
  <c r="M75" i="65"/>
  <c r="M131" i="63"/>
  <c r="DH40" i="26"/>
  <c r="K69" i="48"/>
  <c r="K117" s="1"/>
  <c r="K116"/>
  <c r="BJ72" i="39"/>
  <c r="BL72" s="1"/>
  <c r="T78" i="25"/>
  <c r="T80" s="1"/>
  <c r="M49" i="54"/>
  <c r="M74" s="1"/>
  <c r="M73"/>
  <c r="M52"/>
  <c r="M75" s="1"/>
  <c r="S40" i="26"/>
  <c r="AK15"/>
  <c r="BL15" s="1"/>
  <c r="T78" i="36"/>
  <c r="T80" s="1"/>
  <c r="T78" i="38"/>
  <c r="T80" s="1"/>
  <c r="N50" i="53"/>
  <c r="N79" s="1"/>
  <c r="N56"/>
  <c r="AK72" i="41"/>
  <c r="L116" i="48"/>
  <c r="L69"/>
  <c r="L117" s="1"/>
  <c r="AZ401" i="47"/>
  <c r="S90" i="41"/>
  <c r="S101"/>
  <c r="S109"/>
  <c r="AK40"/>
  <c r="BL40" s="1"/>
  <c r="S74"/>
  <c r="T74" i="37"/>
  <c r="F10" i="45"/>
  <c r="T91" i="40"/>
  <c r="J52" i="60"/>
  <c r="K28"/>
  <c r="I18"/>
  <c r="BG67" i="47"/>
  <c r="M15" i="6"/>
  <c r="H10" i="45"/>
  <c r="BI91" i="40"/>
  <c r="G16" i="24"/>
  <c r="V96" i="40"/>
  <c r="BE215" i="47"/>
  <c r="T91" i="39"/>
  <c r="I16" i="6"/>
  <c r="BF80" i="47"/>
  <c r="H16" i="24"/>
  <c r="BF217" i="47"/>
  <c r="K52" i="60"/>
  <c r="BG66" i="47"/>
  <c r="BH96" i="40"/>
  <c r="W96" i="41"/>
  <c r="V98" i="38"/>
  <c r="J16" i="24"/>
  <c r="G10" i="45"/>
  <c r="BH71" i="26"/>
  <c r="M9" i="48"/>
  <c r="BE216" i="47"/>
  <c r="K25" i="60"/>
  <c r="BI91" i="39"/>
  <c r="I10" i="45"/>
  <c r="BC221" i="47"/>
  <c r="K26" i="60"/>
  <c r="K16" i="51"/>
  <c r="L27" i="60"/>
  <c r="U96" i="40"/>
  <c r="G62" i="45" l="1"/>
  <c r="F62"/>
  <c r="G471" i="17"/>
  <c r="G962" i="4"/>
  <c r="G468" i="34"/>
  <c r="G349" i="13"/>
  <c r="G472" i="17"/>
  <c r="G352" i="13"/>
  <c r="G961" i="4"/>
  <c r="G471" i="34"/>
  <c r="F352" i="13"/>
  <c r="F471" i="17"/>
  <c r="F962" i="4"/>
  <c r="F468" i="34"/>
  <c r="F472" i="17"/>
  <c r="F471" i="34"/>
  <c r="F961" i="4"/>
  <c r="F349" i="13"/>
  <c r="N52" i="54"/>
  <c r="N75" s="1"/>
  <c r="J84" i="51"/>
  <c r="BL96" i="39"/>
  <c r="I62" i="45"/>
  <c r="H62"/>
  <c r="V97" i="40"/>
  <c r="W9" i="60"/>
  <c r="I102"/>
  <c r="V99" i="38"/>
  <c r="BC226" i="47"/>
  <c r="K79" i="51"/>
  <c r="K108" s="1"/>
  <c r="BH99" i="40"/>
  <c r="BJ99" s="1"/>
  <c r="BJ96"/>
  <c r="L103" i="60"/>
  <c r="AK96" i="40"/>
  <c r="Y8" i="60"/>
  <c r="AU8" s="1"/>
  <c r="N330" i="35"/>
  <c r="N308"/>
  <c r="N385" s="1"/>
  <c r="M383"/>
  <c r="M391"/>
  <c r="N329"/>
  <c r="N307"/>
  <c r="I352" i="13"/>
  <c r="I961" i="4"/>
  <c r="I471" i="17"/>
  <c r="I962" i="4"/>
  <c r="I349" i="13"/>
  <c r="I468" i="34"/>
  <c r="I472" i="17"/>
  <c r="I471" i="34"/>
  <c r="N50" i="54"/>
  <c r="N76" s="1"/>
  <c r="BL72" i="41"/>
  <c r="N73" i="54"/>
  <c r="M384" i="35"/>
  <c r="M312"/>
  <c r="M317" s="1"/>
  <c r="N328"/>
  <c r="N306"/>
  <c r="L392"/>
  <c r="H472" i="17"/>
  <c r="H352" i="13"/>
  <c r="H471" i="17"/>
  <c r="H349" i="13"/>
  <c r="H961" i="4"/>
  <c r="H471" i="34"/>
  <c r="H962" i="4"/>
  <c r="H468" i="34"/>
  <c r="J242" i="24"/>
  <c r="M65" i="48"/>
  <c r="M67" s="1"/>
  <c r="H242" i="24"/>
  <c r="BH72" i="26"/>
  <c r="BJ71"/>
  <c r="BL71" s="1"/>
  <c r="I127" i="6"/>
  <c r="I128" s="1"/>
  <c r="BJ91" i="40"/>
  <c r="G242" i="24"/>
  <c r="BJ91" i="39"/>
  <c r="AK91" i="40"/>
  <c r="T93"/>
  <c r="T93" i="39"/>
  <c r="AK91"/>
  <c r="BG379" i="47"/>
  <c r="AZ430"/>
  <c r="BF379" s="1"/>
  <c r="F245" i="24"/>
  <c r="F252"/>
  <c r="AK72" i="26"/>
  <c r="T78" i="37"/>
  <c r="T80" s="1"/>
  <c r="N80" i="53"/>
  <c r="S101" i="26"/>
  <c r="S109"/>
  <c r="AK40"/>
  <c r="BL40" s="1"/>
  <c r="S74"/>
  <c r="S90"/>
  <c r="S78" i="41"/>
  <c r="S80" s="1"/>
  <c r="L118" i="48"/>
  <c r="K118"/>
  <c r="BG80" i="47"/>
  <c r="U96" i="41"/>
  <c r="L28" i="60"/>
  <c r="BE84" i="47"/>
  <c r="I16" i="24"/>
  <c r="BH96" i="41"/>
  <c r="BD84" i="47"/>
  <c r="W96" i="26"/>
  <c r="J18" i="60"/>
  <c r="BC239" i="47"/>
  <c r="BL41" i="3"/>
  <c r="M27" i="60"/>
  <c r="BF216" i="47"/>
  <c r="M15" i="24"/>
  <c r="N9" i="48"/>
  <c r="L26" i="60"/>
  <c r="BD221" i="47"/>
  <c r="V96" i="41"/>
  <c r="BF215" i="47"/>
  <c r="BG217"/>
  <c r="V98" i="39"/>
  <c r="N15" i="6"/>
  <c r="L25" i="60"/>
  <c r="L16" i="51"/>
  <c r="G112" i="45" l="1"/>
  <c r="G109"/>
  <c r="F109"/>
  <c r="F112"/>
  <c r="BE85" i="47"/>
  <c r="N53" i="54"/>
  <c r="N77" s="1"/>
  <c r="BD85" i="47"/>
  <c r="BL91" i="40"/>
  <c r="K84" i="51"/>
  <c r="BL96" i="40"/>
  <c r="BD226" i="47"/>
  <c r="V99" i="39"/>
  <c r="X9" i="60"/>
  <c r="J102"/>
  <c r="BH99" i="41"/>
  <c r="BJ99" s="1"/>
  <c r="BJ96"/>
  <c r="L79" i="51"/>
  <c r="L108" s="1"/>
  <c r="V97" i="41"/>
  <c r="M103" i="60"/>
  <c r="AK96" i="41"/>
  <c r="Z8" i="60"/>
  <c r="AV8" s="1"/>
  <c r="BC254" i="47"/>
  <c r="M346" i="35"/>
  <c r="N346"/>
  <c r="N383"/>
  <c r="N391"/>
  <c r="N347"/>
  <c r="M347"/>
  <c r="N348"/>
  <c r="M348"/>
  <c r="I109" i="45"/>
  <c r="I112"/>
  <c r="N384" i="35"/>
  <c r="N312"/>
  <c r="N317" s="1"/>
  <c r="AZ392" i="47"/>
  <c r="H109" i="45"/>
  <c r="H112"/>
  <c r="M392" i="35"/>
  <c r="V101" i="38"/>
  <c r="N65" i="48"/>
  <c r="N67" s="1"/>
  <c r="I242" i="24"/>
  <c r="M116" i="48"/>
  <c r="M69"/>
  <c r="M117" s="1"/>
  <c r="T74" i="39"/>
  <c r="G252" i="24"/>
  <c r="G245"/>
  <c r="S78" i="26"/>
  <c r="S80" s="1"/>
  <c r="BJ72"/>
  <c r="BL72" s="1"/>
  <c r="H252" i="24"/>
  <c r="H245"/>
  <c r="J252"/>
  <c r="J245"/>
  <c r="BH379" i="47"/>
  <c r="BI379" s="1"/>
  <c r="BL91" i="39"/>
  <c r="F247" i="24"/>
  <c r="F249" s="1"/>
  <c r="F254" s="1"/>
  <c r="F293"/>
  <c r="F308"/>
  <c r="T74" i="40"/>
  <c r="Y102" i="1"/>
  <c r="V96" i="26"/>
  <c r="U96"/>
  <c r="L52" i="60"/>
  <c r="L16" i="6"/>
  <c r="BG215" i="47"/>
  <c r="M26" i="60"/>
  <c r="BH96" i="26"/>
  <c r="V102" i="25"/>
  <c r="Y102" i="36"/>
  <c r="BE221" i="47"/>
  <c r="N15" i="24"/>
  <c r="Y102" i="25"/>
  <c r="M16" i="51"/>
  <c r="K18" i="60"/>
  <c r="BG216" i="47"/>
  <c r="M25" i="60"/>
  <c r="BD239" i="47"/>
  <c r="M28" i="60"/>
  <c r="V98" i="40"/>
  <c r="V102" i="36"/>
  <c r="V102" i="37"/>
  <c r="V102" i="1"/>
  <c r="T91" i="41"/>
  <c r="J10" i="45"/>
  <c r="K16" i="6"/>
  <c r="Y102" i="37"/>
  <c r="BI91" i="41"/>
  <c r="V104" i="1" l="1"/>
  <c r="V106" s="1"/>
  <c r="V109" s="1"/>
  <c r="Y103" i="25"/>
  <c r="AT103" s="1"/>
  <c r="AT104" s="1"/>
  <c r="AT106" s="1"/>
  <c r="AT109" s="1"/>
  <c r="V104"/>
  <c r="V106" s="1"/>
  <c r="V109" s="1"/>
  <c r="Y103" i="1"/>
  <c r="AT103" s="1"/>
  <c r="AT104" s="1"/>
  <c r="AT106" s="1"/>
  <c r="AT109" s="1"/>
  <c r="Y104"/>
  <c r="Y106" s="1"/>
  <c r="Y109" s="1"/>
  <c r="BL96" i="41"/>
  <c r="L84" i="51"/>
  <c r="V104" i="36"/>
  <c r="V106" s="1"/>
  <c r="V109" s="1"/>
  <c r="Y103" i="37"/>
  <c r="AT103" s="1"/>
  <c r="AT104" s="1"/>
  <c r="AT106" s="1"/>
  <c r="AT109" s="1"/>
  <c r="Y103" i="36"/>
  <c r="AT103" s="1"/>
  <c r="AT104" s="1"/>
  <c r="AT106" s="1"/>
  <c r="AT109" s="1"/>
  <c r="M79" i="51"/>
  <c r="M108" s="1"/>
  <c r="V97" i="26"/>
  <c r="AA8" i="60"/>
  <c r="AW8" s="1"/>
  <c r="AK96" i="26"/>
  <c r="BD254" i="47"/>
  <c r="BJ96" i="26"/>
  <c r="BH99"/>
  <c r="BJ99" s="1"/>
  <c r="BE226" i="47"/>
  <c r="Y9" i="60"/>
  <c r="K102"/>
  <c r="V99" i="40"/>
  <c r="J62" i="45"/>
  <c r="V104" i="37"/>
  <c r="V106" s="1"/>
  <c r="V109" s="1"/>
  <c r="AZ391" i="47"/>
  <c r="N392" i="35"/>
  <c r="AZ390" i="47"/>
  <c r="V101" i="39"/>
  <c r="AZ393" i="47"/>
  <c r="J471" i="34"/>
  <c r="J962" i="4"/>
  <c r="J468" i="34"/>
  <c r="J961" i="4"/>
  <c r="J349" i="13"/>
  <c r="J472" i="17"/>
  <c r="J352" i="13"/>
  <c r="J471" i="17"/>
  <c r="BJ91" i="41"/>
  <c r="L127" i="6"/>
  <c r="L128" s="1"/>
  <c r="K127"/>
  <c r="K128" s="1"/>
  <c r="AK91" i="41"/>
  <c r="T93"/>
  <c r="H293" i="24"/>
  <c r="H247"/>
  <c r="H249" s="1"/>
  <c r="H254" s="1"/>
  <c r="H308"/>
  <c r="F255"/>
  <c r="F256" s="1"/>
  <c r="F258" s="1"/>
  <c r="F262"/>
  <c r="F264" s="1"/>
  <c r="F336" s="1"/>
  <c r="G247"/>
  <c r="G249" s="1"/>
  <c r="G254" s="1"/>
  <c r="G308"/>
  <c r="G293"/>
  <c r="T78" i="40"/>
  <c r="T80" s="1"/>
  <c r="F376" i="24"/>
  <c r="J247"/>
  <c r="J249" s="1"/>
  <c r="J254" s="1"/>
  <c r="J308"/>
  <c r="J293"/>
  <c r="N69" i="48"/>
  <c r="N117" s="1"/>
  <c r="N116"/>
  <c r="T78" i="39"/>
  <c r="T80" s="1"/>
  <c r="M118" i="48"/>
  <c r="I245" i="24"/>
  <c r="I252"/>
  <c r="AZ62" i="47"/>
  <c r="BK22" i="3"/>
  <c r="L18" i="60"/>
  <c r="G44" i="65"/>
  <c r="F49" i="46"/>
  <c r="G30" i="60"/>
  <c r="T91" i="26"/>
  <c r="AY59" i="47"/>
  <c r="I10" i="44"/>
  <c r="L16" i="24"/>
  <c r="H101" i="63"/>
  <c r="E44" i="65"/>
  <c r="E28" i="63"/>
  <c r="F10" i="44"/>
  <c r="E9" i="60" s="1"/>
  <c r="BJ22" i="3"/>
  <c r="E101" i="63"/>
  <c r="AY41" i="47"/>
  <c r="E30" i="60"/>
  <c r="AZ41" i="47"/>
  <c r="F30" i="60"/>
  <c r="F101" i="63"/>
  <c r="F44" i="65"/>
  <c r="G10" i="44"/>
  <c r="F9" i="60" s="1"/>
  <c r="F28" i="63"/>
  <c r="AY62" i="47"/>
  <c r="G28" i="63"/>
  <c r="BA41" i="47"/>
  <c r="BB62"/>
  <c r="AY119"/>
  <c r="BF221"/>
  <c r="N16" i="51"/>
  <c r="E37" i="60"/>
  <c r="H30"/>
  <c r="BF84" i="47"/>
  <c r="K10" i="45"/>
  <c r="K16" i="24"/>
  <c r="BB41" i="47"/>
  <c r="BA62"/>
  <c r="BE239"/>
  <c r="E65" i="64"/>
  <c r="H10" i="44"/>
  <c r="H44" i="65"/>
  <c r="V98" i="41"/>
  <c r="BI91" i="26"/>
  <c r="T81" i="1"/>
  <c r="H28" i="63"/>
  <c r="G101"/>
  <c r="M52" i="60"/>
  <c r="F114"/>
  <c r="AE40" l="1"/>
  <c r="F20"/>
  <c r="T40" s="1"/>
  <c r="AP40" s="1"/>
  <c r="T41"/>
  <c r="F61" i="65"/>
  <c r="F52"/>
  <c r="F62"/>
  <c r="F124" i="63"/>
  <c r="F113"/>
  <c r="T34" i="60"/>
  <c r="F108" s="1"/>
  <c r="F120" s="1"/>
  <c r="F126" s="1"/>
  <c r="F132" s="1"/>
  <c r="F106" i="64" s="1"/>
  <c r="AZ43" i="47"/>
  <c r="AZ294" s="1"/>
  <c r="S34" i="60"/>
  <c r="E108" s="1"/>
  <c r="AY43" i="47"/>
  <c r="AY294" s="1"/>
  <c r="E113" i="63"/>
  <c r="E135" s="1"/>
  <c r="E124"/>
  <c r="S41" i="60"/>
  <c r="E20"/>
  <c r="AD40"/>
  <c r="E52" i="65"/>
  <c r="E61"/>
  <c r="E62"/>
  <c r="Y104" i="25"/>
  <c r="Y106" s="1"/>
  <c r="Y109" s="1"/>
  <c r="BF85" i="47"/>
  <c r="Y104" i="36"/>
  <c r="Y106" s="1"/>
  <c r="Y109" s="1"/>
  <c r="BL91" i="41"/>
  <c r="K62" i="45"/>
  <c r="N79" i="51"/>
  <c r="N108" s="1"/>
  <c r="L102" i="60"/>
  <c r="Z9"/>
  <c r="V99" i="41"/>
  <c r="BF226" i="47"/>
  <c r="V34" i="60"/>
  <c r="H108" s="1"/>
  <c r="H124" i="63"/>
  <c r="H113"/>
  <c r="BB43" i="47"/>
  <c r="BB294" s="1"/>
  <c r="H61" i="65"/>
  <c r="H62"/>
  <c r="H52"/>
  <c r="BE254" i="47"/>
  <c r="U34" i="60"/>
  <c r="G108" s="1"/>
  <c r="G52" i="65"/>
  <c r="G62"/>
  <c r="G61"/>
  <c r="BA43" i="47"/>
  <c r="BA294" s="1"/>
  <c r="G124" i="63"/>
  <c r="G113"/>
  <c r="K349" i="13"/>
  <c r="K471" i="17"/>
  <c r="K471" i="34"/>
  <c r="K961" i="4"/>
  <c r="K472" i="17"/>
  <c r="K468" i="34"/>
  <c r="K962" i="4"/>
  <c r="K352" i="13"/>
  <c r="V101" i="40"/>
  <c r="M84" i="51"/>
  <c r="Y104" i="37"/>
  <c r="Y106" s="1"/>
  <c r="Y109" s="1"/>
  <c r="J112" i="45"/>
  <c r="J109"/>
  <c r="BF372" i="47"/>
  <c r="BH372" s="1"/>
  <c r="BI372" s="1"/>
  <c r="BL96" i="26"/>
  <c r="T82" i="1"/>
  <c r="AD17" i="60"/>
  <c r="F222" i="46"/>
  <c r="K242" i="24"/>
  <c r="L242"/>
  <c r="AK91" i="26"/>
  <c r="T93"/>
  <c r="BJ91"/>
  <c r="J376" i="24"/>
  <c r="G255"/>
  <c r="G256" s="1"/>
  <c r="G258" s="1"/>
  <c r="G262"/>
  <c r="G264" s="1"/>
  <c r="G336" s="1"/>
  <c r="F337"/>
  <c r="I247"/>
  <c r="I249" s="1"/>
  <c r="I254" s="1"/>
  <c r="I293"/>
  <c r="I308"/>
  <c r="F378"/>
  <c r="J255"/>
  <c r="J256" s="1"/>
  <c r="J258" s="1"/>
  <c r="J262"/>
  <c r="J264" s="1"/>
  <c r="J336" s="1"/>
  <c r="G376"/>
  <c r="H255"/>
  <c r="H262"/>
  <c r="H264" s="1"/>
  <c r="H336" s="1"/>
  <c r="N118" i="48"/>
  <c r="H376" i="24"/>
  <c r="T74" i="41"/>
  <c r="AZ417" i="47"/>
  <c r="F265" i="24"/>
  <c r="F341" s="1"/>
  <c r="F294"/>
  <c r="M309"/>
  <c r="H310"/>
  <c r="F65" i="64"/>
  <c r="I37" i="60"/>
  <c r="H114"/>
  <c r="T81" i="36"/>
  <c r="M16" i="6"/>
  <c r="E32" i="60"/>
  <c r="G49" i="46"/>
  <c r="G65" i="64"/>
  <c r="H49" i="46"/>
  <c r="Y102" i="38"/>
  <c r="G114" i="60"/>
  <c r="BF239" i="47"/>
  <c r="BA119"/>
  <c r="BI81" i="1"/>
  <c r="AY96" i="47"/>
  <c r="L10" i="45"/>
  <c r="AZ119" i="47"/>
  <c r="T81" i="38"/>
  <c r="U81" i="1"/>
  <c r="I65" i="64"/>
  <c r="T81" i="25"/>
  <c r="G9" i="60"/>
  <c r="M18"/>
  <c r="V98" i="26"/>
  <c r="BG221" i="47"/>
  <c r="H9" i="60"/>
  <c r="BB59" i="47"/>
  <c r="BC119"/>
  <c r="E114" i="60"/>
  <c r="J49" i="46"/>
  <c r="BA59" i="47"/>
  <c r="E38" i="64"/>
  <c r="G37" i="60"/>
  <c r="AZ59" i="47"/>
  <c r="F37" i="60"/>
  <c r="V102" i="38"/>
  <c r="BG84" i="47"/>
  <c r="AD34" i="60" l="1"/>
  <c r="AO34" s="1"/>
  <c r="S40"/>
  <c r="AO40" s="1"/>
  <c r="AE34"/>
  <c r="AP34" s="1"/>
  <c r="E120"/>
  <c r="E126" s="1"/>
  <c r="E132" s="1"/>
  <c r="E106" i="64" s="1"/>
  <c r="F135" i="63"/>
  <c r="AY99" i="47"/>
  <c r="AY111" s="1"/>
  <c r="AY86" s="1"/>
  <c r="G120" i="60"/>
  <c r="G126" s="1"/>
  <c r="G132" s="1"/>
  <c r="G106" i="64" s="1"/>
  <c r="E41"/>
  <c r="E46" s="1"/>
  <c r="E56" s="1"/>
  <c r="BG85" i="47"/>
  <c r="H120" i="60"/>
  <c r="H126" s="1"/>
  <c r="H132" s="1"/>
  <c r="H106" i="64" s="1"/>
  <c r="F266" i="24"/>
  <c r="F268" s="1"/>
  <c r="F273" s="1"/>
  <c r="F352" s="1"/>
  <c r="U41" i="60"/>
  <c r="AF40"/>
  <c r="G20"/>
  <c r="U40" s="1"/>
  <c r="AG40"/>
  <c r="V41"/>
  <c r="H20"/>
  <c r="V40" s="1"/>
  <c r="Y103" i="38"/>
  <c r="AT103" s="1"/>
  <c r="AT104" s="1"/>
  <c r="AT106" s="1"/>
  <c r="AT109" s="1"/>
  <c r="V104"/>
  <c r="V106" s="1"/>
  <c r="V109" s="1"/>
  <c r="L62" i="45"/>
  <c r="BF254" i="47"/>
  <c r="BG226"/>
  <c r="V99" i="26"/>
  <c r="AA9" i="60"/>
  <c r="M102"/>
  <c r="AF34"/>
  <c r="AQ34" s="1"/>
  <c r="K109" i="45"/>
  <c r="K112"/>
  <c r="N84" i="51"/>
  <c r="AZ382" i="47" s="1"/>
  <c r="BF373" s="1"/>
  <c r="BH373" s="1"/>
  <c r="BI373" s="1"/>
  <c r="G135" i="63"/>
  <c r="BL91" i="26"/>
  <c r="H135" i="63"/>
  <c r="L468" i="34"/>
  <c r="L961" i="4"/>
  <c r="L349" i="13"/>
  <c r="L472" i="17"/>
  <c r="L471"/>
  <c r="L471" i="34"/>
  <c r="L962" i="4"/>
  <c r="L352" i="13"/>
  <c r="V101" i="41"/>
  <c r="BI82" i="1"/>
  <c r="BI84" s="1"/>
  <c r="AH17" i="60"/>
  <c r="T82" i="38"/>
  <c r="T82" i="25"/>
  <c r="AE17" i="60"/>
  <c r="J222" i="46"/>
  <c r="T82" i="36"/>
  <c r="AF17" i="60"/>
  <c r="U82" i="1"/>
  <c r="U84" s="1"/>
  <c r="M127" i="6"/>
  <c r="M128" s="1"/>
  <c r="H222" i="46"/>
  <c r="G222"/>
  <c r="N309" i="24"/>
  <c r="I310"/>
  <c r="T74" i="26"/>
  <c r="F383" i="24"/>
  <c r="G298"/>
  <c r="F299"/>
  <c r="F390"/>
  <c r="J265"/>
  <c r="J266" s="1"/>
  <c r="J268" s="1"/>
  <c r="J340" s="1"/>
  <c r="J294"/>
  <c r="G265"/>
  <c r="G266" s="1"/>
  <c r="G268" s="1"/>
  <c r="G294"/>
  <c r="J378"/>
  <c r="K252"/>
  <c r="K245"/>
  <c r="T84" i="1"/>
  <c r="J310" i="24"/>
  <c r="H256"/>
  <c r="H258" s="1"/>
  <c r="J337"/>
  <c r="I255"/>
  <c r="I256" s="1"/>
  <c r="I258" s="1"/>
  <c r="I262"/>
  <c r="I264" s="1"/>
  <c r="G337"/>
  <c r="L245"/>
  <c r="L252"/>
  <c r="T78" i="41"/>
  <c r="T80" s="1"/>
  <c r="H378" i="24"/>
  <c r="H265"/>
  <c r="H266" s="1"/>
  <c r="H268" s="1"/>
  <c r="H294"/>
  <c r="G378"/>
  <c r="I376"/>
  <c r="Y102" i="39"/>
  <c r="AY117" i="47"/>
  <c r="E66" i="64"/>
  <c r="BQ81" i="1"/>
  <c r="I101" i="63"/>
  <c r="BB119" i="47"/>
  <c r="BA96"/>
  <c r="I28" i="63"/>
  <c r="BL22" i="3"/>
  <c r="F47" i="46"/>
  <c r="F38" i="64"/>
  <c r="I44" i="65"/>
  <c r="N16" i="6"/>
  <c r="AY234" i="47"/>
  <c r="U81" i="25"/>
  <c r="BC96" i="47"/>
  <c r="H65" i="64"/>
  <c r="E94"/>
  <c r="I32" i="60"/>
  <c r="I38" i="64"/>
  <c r="AY120" i="47"/>
  <c r="M10" i="45"/>
  <c r="BJ46" i="3"/>
  <c r="BM41"/>
  <c r="AZ96" i="47"/>
  <c r="I30" i="60"/>
  <c r="F32"/>
  <c r="AY231" i="47"/>
  <c r="I49" i="46"/>
  <c r="E145" i="63"/>
  <c r="G38" i="64"/>
  <c r="M16" i="24"/>
  <c r="BC41" i="47"/>
  <c r="U81" i="38"/>
  <c r="BC62" i="47"/>
  <c r="BG239"/>
  <c r="J10" i="44"/>
  <c r="V102" i="39"/>
  <c r="BH81" i="38"/>
  <c r="AZ99" i="47" l="1"/>
  <c r="AZ111" s="1"/>
  <c r="AZ86" s="1"/>
  <c r="G41" i="64"/>
  <c r="G46" s="1"/>
  <c r="G56" s="1"/>
  <c r="BC99" i="47"/>
  <c r="BC111" s="1"/>
  <c r="BC86" s="1"/>
  <c r="F271" i="24"/>
  <c r="F350" s="1"/>
  <c r="BA99" i="47"/>
  <c r="BA111" s="1"/>
  <c r="BA86" s="1"/>
  <c r="I41" i="64"/>
  <c r="I46" s="1"/>
  <c r="I56" s="1"/>
  <c r="F41"/>
  <c r="F46" s="1"/>
  <c r="F56" s="1"/>
  <c r="F339" i="24"/>
  <c r="F279" s="1"/>
  <c r="F272"/>
  <c r="F351" s="1"/>
  <c r="F340"/>
  <c r="AR40" i="60"/>
  <c r="AQ40"/>
  <c r="G341" i="24"/>
  <c r="AG34" i="60"/>
  <c r="AR34" s="1"/>
  <c r="V104" i="39"/>
  <c r="V106" s="1"/>
  <c r="V109" s="1"/>
  <c r="M62" i="45"/>
  <c r="Y103" i="39"/>
  <c r="AT103" s="1"/>
  <c r="AT104" s="1"/>
  <c r="AT106" s="1"/>
  <c r="AT109" s="1"/>
  <c r="W34" i="60"/>
  <c r="I108" s="1"/>
  <c r="I61" i="65"/>
  <c r="I62"/>
  <c r="I52"/>
  <c r="BC43" i="47"/>
  <c r="BC294" s="1"/>
  <c r="I124" i="63"/>
  <c r="I113"/>
  <c r="BG254" i="47"/>
  <c r="M962" i="4"/>
  <c r="M352" i="13"/>
  <c r="M471" i="17"/>
  <c r="M471" i="34"/>
  <c r="M961" i="4"/>
  <c r="M468" i="34"/>
  <c r="M349" i="13"/>
  <c r="M472" i="17"/>
  <c r="J341" i="24"/>
  <c r="Y104" i="38"/>
  <c r="Y106" s="1"/>
  <c r="Y109" s="1"/>
  <c r="V101" i="26"/>
  <c r="L112" i="45"/>
  <c r="L109"/>
  <c r="BH82" i="38"/>
  <c r="I222" i="46"/>
  <c r="U82" i="25"/>
  <c r="U84" s="1"/>
  <c r="N127" i="6"/>
  <c r="N128" s="1"/>
  <c r="F220" i="46"/>
  <c r="F225" s="1"/>
  <c r="F243" s="1"/>
  <c r="F52"/>
  <c r="BQ82" i="1"/>
  <c r="BQ84" s="1"/>
  <c r="M242" i="24"/>
  <c r="U82" i="38"/>
  <c r="U84" s="1"/>
  <c r="H272" i="24"/>
  <c r="H351" s="1"/>
  <c r="H273"/>
  <c r="H352" s="1"/>
  <c r="H339"/>
  <c r="H271"/>
  <c r="H350" s="1"/>
  <c r="G271"/>
  <c r="G350" s="1"/>
  <c r="G272"/>
  <c r="G351" s="1"/>
  <c r="G273"/>
  <c r="G352" s="1"/>
  <c r="G339"/>
  <c r="G340"/>
  <c r="I337"/>
  <c r="I378"/>
  <c r="L247"/>
  <c r="L249" s="1"/>
  <c r="L254" s="1"/>
  <c r="L293"/>
  <c r="L308"/>
  <c r="U95" i="1"/>
  <c r="T84" i="25"/>
  <c r="I294" i="24"/>
  <c r="J297" s="1"/>
  <c r="I265"/>
  <c r="I266" s="1"/>
  <c r="I268" s="1"/>
  <c r="T101" i="1"/>
  <c r="T103" s="1"/>
  <c r="T78" i="26"/>
  <c r="T80" s="1"/>
  <c r="K293" i="24"/>
  <c r="K247"/>
  <c r="K249" s="1"/>
  <c r="K254" s="1"/>
  <c r="K308"/>
  <c r="K310" s="1"/>
  <c r="F385"/>
  <c r="T84" i="38"/>
  <c r="I336" i="24"/>
  <c r="H341"/>
  <c r="G299"/>
  <c r="G297"/>
  <c r="G300" s="1"/>
  <c r="G301" s="1"/>
  <c r="G383"/>
  <c r="H298"/>
  <c r="G390"/>
  <c r="J271"/>
  <c r="J350" s="1"/>
  <c r="J272"/>
  <c r="J351" s="1"/>
  <c r="J273"/>
  <c r="J352" s="1"/>
  <c r="J339"/>
  <c r="H340"/>
  <c r="H337"/>
  <c r="J383"/>
  <c r="J299"/>
  <c r="K298"/>
  <c r="J390"/>
  <c r="T84" i="36"/>
  <c r="H383" i="24"/>
  <c r="H299"/>
  <c r="I298"/>
  <c r="H297"/>
  <c r="H390"/>
  <c r="F391"/>
  <c r="BQ81" i="36"/>
  <c r="BO81"/>
  <c r="I38" i="60"/>
  <c r="BA117" i="47"/>
  <c r="J101" i="63"/>
  <c r="BA120" i="47"/>
  <c r="G47" i="46"/>
  <c r="G34" i="60"/>
  <c r="BC234" i="47"/>
  <c r="J44" i="65"/>
  <c r="W81" i="36"/>
  <c r="F34" i="60"/>
  <c r="BD62" i="47"/>
  <c r="U81" i="36"/>
  <c r="H47" i="46"/>
  <c r="BJ50" i="3"/>
  <c r="BC59" i="47"/>
  <c r="BP81" i="36"/>
  <c r="BQ81" i="25"/>
  <c r="BI81" i="38"/>
  <c r="H37" i="60"/>
  <c r="W81" i="25"/>
  <c r="BP81" i="38"/>
  <c r="BJ48" i="3"/>
  <c r="H58" i="59"/>
  <c r="BC117" i="47"/>
  <c r="BP81" i="25"/>
  <c r="BL46" i="3"/>
  <c r="U81" i="37"/>
  <c r="G38" i="60"/>
  <c r="G32"/>
  <c r="I94" i="64"/>
  <c r="BP81" i="1"/>
  <c r="BQ81" i="38"/>
  <c r="I34" i="60"/>
  <c r="BI81" i="36"/>
  <c r="AZ120" i="47"/>
  <c r="N10" i="45"/>
  <c r="AZ234" i="47"/>
  <c r="BH81" i="1"/>
  <c r="F38" i="60"/>
  <c r="BH81" i="25"/>
  <c r="J47" i="46"/>
  <c r="E34" i="60"/>
  <c r="F145" i="63"/>
  <c r="T81" i="37"/>
  <c r="BC120" i="47"/>
  <c r="H32" i="59"/>
  <c r="BO81" i="38"/>
  <c r="F42" i="46"/>
  <c r="BC231" i="47"/>
  <c r="F24" i="35"/>
  <c r="BO81" i="1"/>
  <c r="V102" i="40"/>
  <c r="G145" i="63"/>
  <c r="E38" i="60"/>
  <c r="BJ51" i="3"/>
  <c r="H32" i="60"/>
  <c r="I66" i="64"/>
  <c r="F94"/>
  <c r="J28" i="63"/>
  <c r="BO81" i="25"/>
  <c r="G66" i="64"/>
  <c r="Y102" i="40"/>
  <c r="I9" i="60"/>
  <c r="BI81" i="25"/>
  <c r="N16" i="24"/>
  <c r="W81" i="1"/>
  <c r="BJ49" i="3"/>
  <c r="I145" i="63"/>
  <c r="K10" i="44"/>
  <c r="J30" i="60"/>
  <c r="AZ117" i="47"/>
  <c r="BH81" i="36"/>
  <c r="F66" i="64"/>
  <c r="BD41" i="47"/>
  <c r="I114" i="60"/>
  <c r="AZ231" i="47"/>
  <c r="W81" i="38"/>
  <c r="I120" i="60" l="1"/>
  <c r="I126" s="1"/>
  <c r="I132" s="1"/>
  <c r="I106" i="64" s="1"/>
  <c r="F353" i="24"/>
  <c r="BO82" i="1"/>
  <c r="BO84" s="1"/>
  <c r="F342" i="24"/>
  <c r="AD52" i="60"/>
  <c r="W82" i="1"/>
  <c r="W84" s="1"/>
  <c r="AK81"/>
  <c r="J342" i="24"/>
  <c r="DH81" i="1"/>
  <c r="BP82"/>
  <c r="BP84" s="1"/>
  <c r="BH82"/>
  <c r="BJ82" s="1"/>
  <c r="BJ81"/>
  <c r="S52" i="60"/>
  <c r="BI82" i="25"/>
  <c r="BI84" s="1"/>
  <c r="G342" i="24"/>
  <c r="W41" i="60"/>
  <c r="AH40"/>
  <c r="I20"/>
  <c r="AH34" s="1"/>
  <c r="AS34" s="1"/>
  <c r="Y104" i="39"/>
  <c r="Y106" s="1"/>
  <c r="Y109" s="1"/>
  <c r="H300" i="24"/>
  <c r="H301" s="1"/>
  <c r="N62" i="45"/>
  <c r="Y103" i="40"/>
  <c r="AT103" s="1"/>
  <c r="AT104" s="1"/>
  <c r="AT106" s="1"/>
  <c r="AT109" s="1"/>
  <c r="X34" i="60"/>
  <c r="J124" i="63"/>
  <c r="J113"/>
  <c r="BD43" i="47"/>
  <c r="BD294" s="1"/>
  <c r="J52" i="65"/>
  <c r="J61"/>
  <c r="J62"/>
  <c r="V104" i="40"/>
  <c r="V106" s="1"/>
  <c r="V109" s="1"/>
  <c r="BI82" i="38"/>
  <c r="BI84" s="1"/>
  <c r="BJ81"/>
  <c r="W52" i="60"/>
  <c r="M109" i="45"/>
  <c r="M112"/>
  <c r="N471" i="17"/>
  <c r="N471" i="34"/>
  <c r="N472" i="17"/>
  <c r="N468" i="34"/>
  <c r="N352" i="13"/>
  <c r="N962" i="4"/>
  <c r="N349" i="13"/>
  <c r="N961" i="4"/>
  <c r="L310" i="24"/>
  <c r="I135" i="63"/>
  <c r="BP82" i="38"/>
  <c r="BP84" s="1"/>
  <c r="BQ82" i="36"/>
  <c r="BQ84" s="1"/>
  <c r="BQ82" i="38"/>
  <c r="BQ84" s="1"/>
  <c r="BI82" i="36"/>
  <c r="BI84" s="1"/>
  <c r="BP82"/>
  <c r="BP84" s="1"/>
  <c r="G220" i="46"/>
  <c r="G225" s="1"/>
  <c r="G243" s="1"/>
  <c r="G52"/>
  <c r="AG17" i="60"/>
  <c r="T82" i="37"/>
  <c r="W82" i="36"/>
  <c r="W84" s="1"/>
  <c r="H220" i="46"/>
  <c r="H225" s="1"/>
  <c r="H243" s="1"/>
  <c r="H52"/>
  <c r="W82" i="38"/>
  <c r="W84" s="1"/>
  <c r="AK81"/>
  <c r="AH52" i="60"/>
  <c r="J52" i="46"/>
  <c r="J220"/>
  <c r="J225" s="1"/>
  <c r="J243" s="1"/>
  <c r="U52" i="60"/>
  <c r="BJ81" i="36"/>
  <c r="BH82"/>
  <c r="DH81" i="38"/>
  <c r="BO82"/>
  <c r="F311" i="35"/>
  <c r="U82" i="37"/>
  <c r="U84" s="1"/>
  <c r="BJ81" i="25"/>
  <c r="BH82"/>
  <c r="T52" i="60"/>
  <c r="DH81" i="25"/>
  <c r="BO82"/>
  <c r="BP82"/>
  <c r="BP84" s="1"/>
  <c r="BQ82"/>
  <c r="BQ84" s="1"/>
  <c r="N242" i="24"/>
  <c r="F242" i="46"/>
  <c r="AF52" i="60"/>
  <c r="U82" i="36"/>
  <c r="AK81"/>
  <c r="W82" i="25"/>
  <c r="W84" s="1"/>
  <c r="AK84" s="1"/>
  <c r="AK81"/>
  <c r="AE52" i="60"/>
  <c r="DH81" i="36"/>
  <c r="BO82"/>
  <c r="I271" i="24"/>
  <c r="I350" s="1"/>
  <c r="I272"/>
  <c r="I351" s="1"/>
  <c r="I273"/>
  <c r="I352" s="1"/>
  <c r="I339"/>
  <c r="I340"/>
  <c r="G385"/>
  <c r="U95" i="38"/>
  <c r="H279" i="24"/>
  <c r="H391"/>
  <c r="H385"/>
  <c r="J279"/>
  <c r="G391"/>
  <c r="T101" i="38"/>
  <c r="T103" s="1"/>
  <c r="T101" i="25"/>
  <c r="T103" s="1"/>
  <c r="J391" i="24"/>
  <c r="J385"/>
  <c r="J353"/>
  <c r="K376"/>
  <c r="U97" i="1"/>
  <c r="L376" i="24"/>
  <c r="G353"/>
  <c r="M245"/>
  <c r="M252"/>
  <c r="AK82" i="38"/>
  <c r="I341" i="24"/>
  <c r="K255"/>
  <c r="K256" s="1"/>
  <c r="K258" s="1"/>
  <c r="K262"/>
  <c r="K264" s="1"/>
  <c r="K336" s="1"/>
  <c r="AQ103" i="1"/>
  <c r="T104"/>
  <c r="I383" i="24"/>
  <c r="J298"/>
  <c r="J300" s="1"/>
  <c r="J301" s="1"/>
  <c r="I299"/>
  <c r="I297"/>
  <c r="I300" s="1"/>
  <c r="I301" s="1"/>
  <c r="I390"/>
  <c r="U95" i="25"/>
  <c r="T101" i="36"/>
  <c r="T103" s="1"/>
  <c r="H342" i="24"/>
  <c r="L255"/>
  <c r="L262"/>
  <c r="L264" s="1"/>
  <c r="L336" s="1"/>
  <c r="G279"/>
  <c r="H353"/>
  <c r="F253" i="46"/>
  <c r="BH84" i="38"/>
  <c r="BB120" i="47"/>
  <c r="K101" i="63"/>
  <c r="BL51" i="3"/>
  <c r="BB96" i="47"/>
  <c r="F96" i="64"/>
  <c r="BC249" i="47"/>
  <c r="H94" i="64"/>
  <c r="BE119" i="47"/>
  <c r="E96" i="64"/>
  <c r="T81" i="39"/>
  <c r="BO81" i="37"/>
  <c r="I32" i="59"/>
  <c r="H38" i="64"/>
  <c r="K49" i="46"/>
  <c r="AZ244" i="47"/>
  <c r="BA244"/>
  <c r="I96" i="64"/>
  <c r="BB117" i="47"/>
  <c r="AZ249"/>
  <c r="G24" i="35"/>
  <c r="I58" i="59"/>
  <c r="J32"/>
  <c r="BL50" i="3"/>
  <c r="H42" i="46"/>
  <c r="J15" i="50"/>
  <c r="L32" i="59"/>
  <c r="J114" i="60"/>
  <c r="BL32" i="3"/>
  <c r="I47" i="46"/>
  <c r="BA234" i="47"/>
  <c r="BK32" i="3"/>
  <c r="L49" i="46"/>
  <c r="BL48" i="3"/>
  <c r="K28" i="63"/>
  <c r="AY249" i="47"/>
  <c r="J37" i="60"/>
  <c r="BP81" i="37"/>
  <c r="BI81"/>
  <c r="T81" i="40"/>
  <c r="H15" i="50"/>
  <c r="Y102" i="41"/>
  <c r="BE41" i="47"/>
  <c r="W81" i="37"/>
  <c r="BB231" i="47"/>
  <c r="BA249"/>
  <c r="J58" i="59"/>
  <c r="J9" i="60"/>
  <c r="BD59" i="47"/>
  <c r="H34" i="60"/>
  <c r="H145" i="63"/>
  <c r="BL49" i="3"/>
  <c r="L10" i="44"/>
  <c r="H38" i="60"/>
  <c r="BE62" i="47"/>
  <c r="F15" i="51"/>
  <c r="BD119" i="47"/>
  <c r="BQ81" i="37"/>
  <c r="K65" i="64"/>
  <c r="G15" i="50"/>
  <c r="K44" i="65"/>
  <c r="BJ32" i="3"/>
  <c r="BH81" i="37"/>
  <c r="V102" i="41"/>
  <c r="J42" i="46"/>
  <c r="G96" i="64"/>
  <c r="L58" i="59"/>
  <c r="AY244" i="47"/>
  <c r="H66" i="64"/>
  <c r="J65"/>
  <c r="K30" i="60"/>
  <c r="G42" i="46"/>
  <c r="K37" i="60"/>
  <c r="G94" i="64"/>
  <c r="BB234" i="47"/>
  <c r="J24" i="35"/>
  <c r="BC244" i="47"/>
  <c r="E97" i="64" l="1"/>
  <c r="H41"/>
  <c r="H46" s="1"/>
  <c r="H56" s="1"/>
  <c r="AO52" i="60"/>
  <c r="BH84" i="1"/>
  <c r="BJ84" s="1"/>
  <c r="I97" i="64"/>
  <c r="BL81" i="1"/>
  <c r="AK84"/>
  <c r="AK82"/>
  <c r="BL82" s="1"/>
  <c r="W40" i="60"/>
  <c r="AS40" s="1"/>
  <c r="F97" i="64"/>
  <c r="BB99" i="47"/>
  <c r="BB111" s="1"/>
  <c r="BB86" s="1"/>
  <c r="DH82" i="1"/>
  <c r="DH112" s="1"/>
  <c r="X41" i="60"/>
  <c r="AI40"/>
  <c r="J20"/>
  <c r="AI34" s="1"/>
  <c r="AT34" s="1"/>
  <c r="G97" i="64"/>
  <c r="BJ82" i="38"/>
  <c r="BL82" s="1"/>
  <c r="BL81"/>
  <c r="BL81" i="36"/>
  <c r="AS52" i="60"/>
  <c r="J135" i="63"/>
  <c r="Y103" i="41"/>
  <c r="AT103" s="1"/>
  <c r="AT104" s="1"/>
  <c r="AT106" s="1"/>
  <c r="AT109" s="1"/>
  <c r="Y34" i="60"/>
  <c r="K62" i="65"/>
  <c r="K61"/>
  <c r="K52"/>
  <c r="K124" i="63"/>
  <c r="K113"/>
  <c r="BE43" i="47"/>
  <c r="BE294" s="1"/>
  <c r="V104" i="41"/>
  <c r="V106" s="1"/>
  <c r="V109" s="1"/>
  <c r="N112" i="45"/>
  <c r="N109"/>
  <c r="AK82" i="25"/>
  <c r="AP52" i="60"/>
  <c r="Y104" i="40"/>
  <c r="Y106" s="1"/>
  <c r="Y109" s="1"/>
  <c r="J108" i="60"/>
  <c r="J120" s="1"/>
  <c r="J126" s="1"/>
  <c r="J132" s="1"/>
  <c r="J106" i="64" s="1"/>
  <c r="BL81" i="25"/>
  <c r="T82" i="40"/>
  <c r="AJ17" i="60"/>
  <c r="BP82" i="37"/>
  <c r="BP84" s="1"/>
  <c r="BI82"/>
  <c r="BI84" s="1"/>
  <c r="F78" i="51"/>
  <c r="F83" s="1"/>
  <c r="F87" s="1" a="1"/>
  <c r="F87" s="1"/>
  <c r="F119" s="1"/>
  <c r="H114" i="50"/>
  <c r="H117" s="1"/>
  <c r="H145" s="1"/>
  <c r="H142"/>
  <c r="H242" i="46"/>
  <c r="G311" i="35"/>
  <c r="T82" i="39"/>
  <c r="AI17" i="60"/>
  <c r="L222" i="46"/>
  <c r="V52" i="60"/>
  <c r="BJ81" i="37"/>
  <c r="BH82"/>
  <c r="J142" i="50"/>
  <c r="J114"/>
  <c r="J117" s="1"/>
  <c r="J145" s="1"/>
  <c r="J242" i="46"/>
  <c r="G242"/>
  <c r="G142" i="50"/>
  <c r="G114"/>
  <c r="G117" s="1"/>
  <c r="G145" s="1"/>
  <c r="AG52" i="60"/>
  <c r="W82" i="37"/>
  <c r="W84" s="1"/>
  <c r="AK81"/>
  <c r="BQ82"/>
  <c r="BQ84" s="1"/>
  <c r="DH81"/>
  <c r="BO82"/>
  <c r="I220" i="46"/>
  <c r="I225" s="1"/>
  <c r="I243" s="1"/>
  <c r="I52"/>
  <c r="K222"/>
  <c r="J311" i="35"/>
  <c r="K337" i="24"/>
  <c r="AQ103" i="36"/>
  <c r="T104"/>
  <c r="U97" i="25"/>
  <c r="T106" i="1"/>
  <c r="L378" i="24"/>
  <c r="U95" i="37"/>
  <c r="I391" i="24"/>
  <c r="K265"/>
  <c r="K341" s="1"/>
  <c r="K294"/>
  <c r="AQ103" i="38"/>
  <c r="T104"/>
  <c r="H253" i="46"/>
  <c r="T84" i="37"/>
  <c r="DH84" i="1"/>
  <c r="AQ104"/>
  <c r="M247" i="24"/>
  <c r="M249" s="1"/>
  <c r="M254" s="1"/>
  <c r="M293"/>
  <c r="M308"/>
  <c r="M310" s="1"/>
  <c r="AQ103" i="25"/>
  <c r="T104"/>
  <c r="I279" i="24"/>
  <c r="DH82" i="36"/>
  <c r="BO84"/>
  <c r="BJ82"/>
  <c r="BH84"/>
  <c r="L256" i="24"/>
  <c r="L258" s="1"/>
  <c r="AQ52" i="60"/>
  <c r="AK84" i="38"/>
  <c r="I342" i="24"/>
  <c r="I353"/>
  <c r="I385"/>
  <c r="K378"/>
  <c r="U97" i="38"/>
  <c r="U84" i="36"/>
  <c r="AK82"/>
  <c r="N252" i="24"/>
  <c r="N245"/>
  <c r="DH82" i="38"/>
  <c r="BO84"/>
  <c r="J253" i="46"/>
  <c r="BJ84" i="38"/>
  <c r="L294" i="24"/>
  <c r="L265"/>
  <c r="L266" s="1"/>
  <c r="L268" s="1"/>
  <c r="F247" i="46"/>
  <c r="F252"/>
  <c r="F356"/>
  <c r="F336"/>
  <c r="DH82" i="25"/>
  <c r="BO84"/>
  <c r="BJ82"/>
  <c r="BH84"/>
  <c r="F316" i="35"/>
  <c r="G253" i="46"/>
  <c r="BI81" i="39"/>
  <c r="BK37" i="3"/>
  <c r="BK46"/>
  <c r="BK35"/>
  <c r="BE96" i="47"/>
  <c r="BD96"/>
  <c r="BJ35" i="3"/>
  <c r="K38" i="64"/>
  <c r="G113"/>
  <c r="J32" i="60"/>
  <c r="U81" i="39"/>
  <c r="K9" i="60"/>
  <c r="BL35" i="3"/>
  <c r="AZ158" i="47"/>
  <c r="AX36" i="3"/>
  <c r="BL38"/>
  <c r="H96" i="64"/>
  <c r="I24" i="35"/>
  <c r="J38" i="64"/>
  <c r="AY158" i="47"/>
  <c r="E113" i="64"/>
  <c r="J15" i="51"/>
  <c r="L28" i="63"/>
  <c r="K32" i="59"/>
  <c r="BB249" i="47"/>
  <c r="Y102" i="26"/>
  <c r="BK34" i="3"/>
  <c r="V102" i="26"/>
  <c r="I113" i="64"/>
  <c r="BF41" i="47"/>
  <c r="BJ36" i="3"/>
  <c r="BL34"/>
  <c r="BL37"/>
  <c r="BF62" i="47"/>
  <c r="BL36" i="3"/>
  <c r="L101" i="63"/>
  <c r="M10" i="44"/>
  <c r="CY98" i="1"/>
  <c r="BJ37" i="3"/>
  <c r="BB244" i="47"/>
  <c r="BC158"/>
  <c r="L44" i="65"/>
  <c r="K58" i="59"/>
  <c r="BE59" i="47"/>
  <c r="BK36" i="3"/>
  <c r="L30" i="60"/>
  <c r="F113" i="64"/>
  <c r="BJ34" i="3"/>
  <c r="G15" i="51"/>
  <c r="BJ38" i="3"/>
  <c r="BK38"/>
  <c r="BA231" i="47"/>
  <c r="K114" i="60"/>
  <c r="BA158" i="47"/>
  <c r="H97" i="64" l="1"/>
  <c r="J41"/>
  <c r="J46" s="1"/>
  <c r="J56" s="1"/>
  <c r="BE99" i="47"/>
  <c r="BE111" s="1"/>
  <c r="BE86" s="1"/>
  <c r="K41" i="64"/>
  <c r="K46" s="1"/>
  <c r="K56" s="1"/>
  <c r="BD99" i="47"/>
  <c r="BD111" s="1"/>
  <c r="BD86" s="1"/>
  <c r="BL84" i="1"/>
  <c r="AY261" i="47"/>
  <c r="AY270" s="1"/>
  <c r="X40" i="60"/>
  <c r="AT40" s="1"/>
  <c r="Y41"/>
  <c r="K20"/>
  <c r="AJ34" s="1"/>
  <c r="AU34" s="1"/>
  <c r="AJ40"/>
  <c r="BL82" i="25"/>
  <c r="BL81" i="37"/>
  <c r="AR52" i="60"/>
  <c r="Y104" i="41"/>
  <c r="Y106" s="1"/>
  <c r="Y109" s="1"/>
  <c r="Z34" i="60"/>
  <c r="L124" i="63"/>
  <c r="L113"/>
  <c r="BF43" i="47"/>
  <c r="BF294" s="1"/>
  <c r="L52" i="65"/>
  <c r="L62"/>
  <c r="L61"/>
  <c r="Y103" i="26"/>
  <c r="AT103" s="1"/>
  <c r="AT104" s="1"/>
  <c r="AT106" s="1"/>
  <c r="AT109" s="1"/>
  <c r="V104"/>
  <c r="V106" s="1"/>
  <c r="V109" s="1"/>
  <c r="K108" i="60"/>
  <c r="K120" s="1"/>
  <c r="K126" s="1"/>
  <c r="K132" s="1"/>
  <c r="K106" i="64" s="1"/>
  <c r="L341" i="24"/>
  <c r="BL82" i="36"/>
  <c r="AK82" i="37"/>
  <c r="K135" i="63"/>
  <c r="BI82" i="39"/>
  <c r="BI84" s="1"/>
  <c r="G78" i="51"/>
  <c r="G83" s="1"/>
  <c r="G87" s="1" a="1"/>
  <c r="G87" s="1"/>
  <c r="G119" s="1"/>
  <c r="J78"/>
  <c r="BA261" i="47"/>
  <c r="I311" i="35"/>
  <c r="U82" i="39"/>
  <c r="U84" s="1"/>
  <c r="BC261" i="47"/>
  <c r="DH98" i="1"/>
  <c r="AZ261" i="47"/>
  <c r="F311" i="46"/>
  <c r="DH112" i="36"/>
  <c r="AQ106" i="1"/>
  <c r="AQ109" s="1"/>
  <c r="AQ104" i="38"/>
  <c r="G316" i="35"/>
  <c r="DH84" i="38"/>
  <c r="M255" i="24"/>
  <c r="M262"/>
  <c r="M264" s="1"/>
  <c r="M336" s="1"/>
  <c r="T101" i="37"/>
  <c r="T103" s="1"/>
  <c r="AK84"/>
  <c r="U97"/>
  <c r="AQ104" i="36"/>
  <c r="I253" i="46"/>
  <c r="H146" i="50"/>
  <c r="G147"/>
  <c r="G148" s="1"/>
  <c r="G184"/>
  <c r="DH84" i="25"/>
  <c r="F366" i="46"/>
  <c r="F376" s="1"/>
  <c r="F257"/>
  <c r="F346"/>
  <c r="L383" i="24"/>
  <c r="L297"/>
  <c r="M298"/>
  <c r="L299"/>
  <c r="L390"/>
  <c r="T106" i="25"/>
  <c r="T106" i="38"/>
  <c r="T109" i="1"/>
  <c r="N308" i="24"/>
  <c r="N310" s="1"/>
  <c r="N247"/>
  <c r="N249" s="1"/>
  <c r="N254" s="1"/>
  <c r="N293"/>
  <c r="U95" i="36"/>
  <c r="AK84"/>
  <c r="K383" i="24"/>
  <c r="K297"/>
  <c r="K300" s="1"/>
  <c r="K301" s="1"/>
  <c r="K299"/>
  <c r="L298"/>
  <c r="K390"/>
  <c r="T106" i="36"/>
  <c r="J316" i="35"/>
  <c r="DH82" i="37"/>
  <c r="BO84"/>
  <c r="G247" i="46"/>
  <c r="G252"/>
  <c r="G336"/>
  <c r="G356" s="1"/>
  <c r="J247"/>
  <c r="J252"/>
  <c r="J336"/>
  <c r="J356" s="1"/>
  <c r="BJ82" i="37"/>
  <c r="BH84"/>
  <c r="H252" i="46"/>
  <c r="H356"/>
  <c r="H247"/>
  <c r="H336"/>
  <c r="F107" i="51"/>
  <c r="BL84" i="38"/>
  <c r="K266" i="24"/>
  <c r="K268" s="1"/>
  <c r="BJ84" i="25"/>
  <c r="BL84" s="1"/>
  <c r="L271" i="24"/>
  <c r="L350" s="1"/>
  <c r="L272"/>
  <c r="L351" s="1"/>
  <c r="L273"/>
  <c r="L352" s="1"/>
  <c r="L339"/>
  <c r="DH112" i="38"/>
  <c r="L340" i="24"/>
  <c r="L337"/>
  <c r="F120" i="51"/>
  <c r="DH112" i="25"/>
  <c r="DH84" i="36"/>
  <c r="AQ104" i="25"/>
  <c r="H184" i="50"/>
  <c r="H147"/>
  <c r="I146"/>
  <c r="BJ84" i="36"/>
  <c r="M376" i="24"/>
  <c r="J184" i="50"/>
  <c r="K146"/>
  <c r="T84" i="39"/>
  <c r="T84" i="40"/>
  <c r="N10" i="44"/>
  <c r="AY220" i="47"/>
  <c r="CY98" i="25"/>
  <c r="E17" i="60"/>
  <c r="M28" i="63"/>
  <c r="K47" i="46"/>
  <c r="E36" i="65"/>
  <c r="K32" i="60"/>
  <c r="BD231" i="47"/>
  <c r="BK51" i="3"/>
  <c r="J94" i="64"/>
  <c r="M49" i="46"/>
  <c r="BG62" i="47"/>
  <c r="BJ25" i="3"/>
  <c r="AY81" i="47"/>
  <c r="E93" i="63"/>
  <c r="L37" i="60"/>
  <c r="BQ81" i="40"/>
  <c r="BG41" i="47"/>
  <c r="BD234"/>
  <c r="I15" i="51"/>
  <c r="H24" i="35"/>
  <c r="W81" i="40"/>
  <c r="BM22" i="3"/>
  <c r="M101" i="63"/>
  <c r="AY30" i="47"/>
  <c r="J66" i="64"/>
  <c r="K66"/>
  <c r="I15" i="50"/>
  <c r="BP81" i="40"/>
  <c r="U81"/>
  <c r="L9" i="60"/>
  <c r="BK50" i="3"/>
  <c r="M44" i="65"/>
  <c r="K145" i="63"/>
  <c r="L47" i="46"/>
  <c r="U98" i="1"/>
  <c r="K34" i="60"/>
  <c r="BO81" i="40"/>
  <c r="BF119" i="47"/>
  <c r="L114" i="60"/>
  <c r="E20" i="63"/>
  <c r="H113" i="64"/>
  <c r="BH81" i="40"/>
  <c r="BB158" i="47"/>
  <c r="BK49" i="3"/>
  <c r="BK48"/>
  <c r="BD120" i="47"/>
  <c r="M30" i="60"/>
  <c r="BE120" i="47"/>
  <c r="I42" i="46"/>
  <c r="K38" i="60"/>
  <c r="BD117" i="47"/>
  <c r="J145" i="63"/>
  <c r="BF59" i="47"/>
  <c r="T81" i="41"/>
  <c r="BE117" i="47"/>
  <c r="L65" i="64"/>
  <c r="E51" i="60"/>
  <c r="BI81" i="40"/>
  <c r="Y40" i="60" l="1"/>
  <c r="AU40" s="1"/>
  <c r="Z41"/>
  <c r="L20"/>
  <c r="AK34" s="1"/>
  <c r="AV34" s="1"/>
  <c r="AK40"/>
  <c r="BL82" i="37"/>
  <c r="AA34" i="60"/>
  <c r="M108" s="1"/>
  <c r="AZ395" i="47"/>
  <c r="BF398" s="1"/>
  <c r="BG43"/>
  <c r="BG294" s="1"/>
  <c r="AZ373"/>
  <c r="M52" i="65"/>
  <c r="M61"/>
  <c r="M62"/>
  <c r="M113" i="63"/>
  <c r="M124"/>
  <c r="BI82" i="40"/>
  <c r="BI84" s="1"/>
  <c r="L108" i="60"/>
  <c r="L120" s="1"/>
  <c r="L126" s="1"/>
  <c r="L132" s="1"/>
  <c r="L106" i="64" s="1"/>
  <c r="L135" i="63"/>
  <c r="BL84" i="36"/>
  <c r="Y104" i="26"/>
  <c r="Y106" s="1"/>
  <c r="Y109" s="1"/>
  <c r="AK17" i="60"/>
  <c r="T82" i="41"/>
  <c r="DH98" i="25"/>
  <c r="I114" i="50"/>
  <c r="I117" s="1"/>
  <c r="I145" s="1"/>
  <c r="I142"/>
  <c r="I242" i="46"/>
  <c r="E110" i="63"/>
  <c r="E121"/>
  <c r="AY290" i="47"/>
  <c r="AY113"/>
  <c r="AY114" s="1"/>
  <c r="AY31"/>
  <c r="E74" i="65"/>
  <c r="S17" i="60"/>
  <c r="AO17" s="1"/>
  <c r="M222" i="46"/>
  <c r="Y52" i="60"/>
  <c r="BJ81" i="40"/>
  <c r="BH82"/>
  <c r="U99" i="1"/>
  <c r="E101" i="60"/>
  <c r="S10"/>
  <c r="AY225" i="47"/>
  <c r="K52" i="46"/>
  <c r="K220"/>
  <c r="K225" s="1"/>
  <c r="K243" s="1"/>
  <c r="H311" i="35"/>
  <c r="AY82" i="47"/>
  <c r="DH81" i="40"/>
  <c r="BO82"/>
  <c r="L52" i="46"/>
  <c r="L220"/>
  <c r="L225" s="1"/>
  <c r="L243" s="1"/>
  <c r="BP82" i="40"/>
  <c r="BP84" s="1"/>
  <c r="BQ82"/>
  <c r="BQ84" s="1"/>
  <c r="I78" i="51"/>
  <c r="I83" s="1"/>
  <c r="I87" s="1" a="1"/>
  <c r="I87" s="1"/>
  <c r="I119" s="1"/>
  <c r="AJ52" i="60"/>
  <c r="U82" i="40"/>
  <c r="AK81"/>
  <c r="W82"/>
  <c r="W84" s="1"/>
  <c r="BB261" i="47"/>
  <c r="G120" i="51"/>
  <c r="N376" i="24"/>
  <c r="AQ106" i="36"/>
  <c r="AQ109" s="1"/>
  <c r="AQ103" i="37"/>
  <c r="T104"/>
  <c r="BA270" i="47"/>
  <c r="J107" i="51"/>
  <c r="T101" i="40"/>
  <c r="T103" s="1"/>
  <c r="M378" i="24"/>
  <c r="H257" i="46"/>
  <c r="H366"/>
  <c r="H376" s="1"/>
  <c r="H346"/>
  <c r="G257"/>
  <c r="G346"/>
  <c r="G366" s="1"/>
  <c r="G376" s="1"/>
  <c r="K391" i="24"/>
  <c r="K385"/>
  <c r="U97" i="36"/>
  <c r="DH113" i="1"/>
  <c r="DH114" s="1"/>
  <c r="T109" i="25"/>
  <c r="F337" i="46"/>
  <c r="F312" s="1"/>
  <c r="T101" i="39"/>
  <c r="T103" s="1"/>
  <c r="AQ106" i="25"/>
  <c r="AQ109" s="1"/>
  <c r="L353" i="24"/>
  <c r="DH84" i="37"/>
  <c r="T109" i="36"/>
  <c r="N255" i="24"/>
  <c r="N256" s="1"/>
  <c r="N258" s="1"/>
  <c r="N262"/>
  <c r="N264" s="1"/>
  <c r="T109" i="38"/>
  <c r="L391" i="24"/>
  <c r="L385"/>
  <c r="BC270" i="47"/>
  <c r="U95" i="39"/>
  <c r="L300" i="24"/>
  <c r="L301" s="1"/>
  <c r="M256"/>
  <c r="M258" s="1"/>
  <c r="H148" i="50"/>
  <c r="H311" i="46"/>
  <c r="BJ84" i="37"/>
  <c r="BL84" s="1"/>
  <c r="J257" i="46"/>
  <c r="J346"/>
  <c r="J366" s="1"/>
  <c r="J376" s="1"/>
  <c r="L342" i="24"/>
  <c r="L279"/>
  <c r="K272"/>
  <c r="K351" s="1"/>
  <c r="K273"/>
  <c r="K352" s="1"/>
  <c r="K339"/>
  <c r="K271"/>
  <c r="K350" s="1"/>
  <c r="K340"/>
  <c r="J311" i="46"/>
  <c r="G311"/>
  <c r="DH112" i="37"/>
  <c r="F324" i="46"/>
  <c r="M294" i="24"/>
  <c r="M265"/>
  <c r="M266" s="1"/>
  <c r="M268" s="1"/>
  <c r="AQ106" i="38"/>
  <c r="AQ109" s="1"/>
  <c r="AZ270" i="47"/>
  <c r="I316" i="35"/>
  <c r="G107" i="51"/>
  <c r="J83"/>
  <c r="J87" s="1" a="1"/>
  <c r="J87" s="1"/>
  <c r="J119" s="1"/>
  <c r="BA81" i="47"/>
  <c r="I36" i="65"/>
  <c r="BJ47" i="3"/>
  <c r="I51" i="60"/>
  <c r="K15" i="50"/>
  <c r="BF96" i="47"/>
  <c r="M114" i="60"/>
  <c r="BC81" i="47"/>
  <c r="M9" i="60"/>
  <c r="I20" i="63"/>
  <c r="I93"/>
  <c r="BE234" i="47"/>
  <c r="G36" i="65"/>
  <c r="J34" i="60"/>
  <c r="W81" i="39"/>
  <c r="J38" i="60"/>
  <c r="G93" i="63"/>
  <c r="F17" i="60"/>
  <c r="K94" i="64"/>
  <c r="BG119" i="47"/>
  <c r="AZ220"/>
  <c r="BQ81" i="39"/>
  <c r="AZ81" i="47"/>
  <c r="BK25" i="3"/>
  <c r="F36" i="65"/>
  <c r="M58" i="59"/>
  <c r="BE249" i="47"/>
  <c r="H15" i="51"/>
  <c r="AZ30" i="47"/>
  <c r="G51" i="60"/>
  <c r="AY232" i="47"/>
  <c r="K24" i="35"/>
  <c r="BH81" i="39"/>
  <c r="N49" i="46"/>
  <c r="F20" i="63"/>
  <c r="CY98" i="38"/>
  <c r="U98" i="25"/>
  <c r="BC220" i="47"/>
  <c r="F51" i="60"/>
  <c r="K96" i="64"/>
  <c r="G20" i="63"/>
  <c r="M65" i="64"/>
  <c r="L38"/>
  <c r="CY98" i="37"/>
  <c r="F93" i="63"/>
  <c r="BE244" i="47"/>
  <c r="L42" i="46"/>
  <c r="BG59" i="47"/>
  <c r="BA30"/>
  <c r="BO81" i="39"/>
  <c r="K42" i="46"/>
  <c r="N32" i="59"/>
  <c r="BL25" i="3"/>
  <c r="BC30" i="47"/>
  <c r="M32" i="59"/>
  <c r="N58"/>
  <c r="BP81" i="39"/>
  <c r="I17" i="60"/>
  <c r="L15" i="50"/>
  <c r="U98" i="38"/>
  <c r="BF99" i="47" l="1"/>
  <c r="BF111" s="1"/>
  <c r="BF86" s="1"/>
  <c r="L41" i="64"/>
  <c r="L46" s="1"/>
  <c r="L56" s="1"/>
  <c r="M120" i="60"/>
  <c r="M126" s="1"/>
  <c r="M132" s="1"/>
  <c r="M106" i="64" s="1"/>
  <c r="M20" i="60"/>
  <c r="AA40" s="1"/>
  <c r="AA41"/>
  <c r="AL40"/>
  <c r="K97" i="64"/>
  <c r="Z40" i="60"/>
  <c r="AV40" s="1"/>
  <c r="M135" i="63"/>
  <c r="M341" i="24"/>
  <c r="BF405" i="47"/>
  <c r="BH405" s="1"/>
  <c r="BI405" s="1"/>
  <c r="BG404"/>
  <c r="AZ384"/>
  <c r="H78" i="51"/>
  <c r="BP82" i="39"/>
  <c r="BP84" s="1"/>
  <c r="K311" i="35"/>
  <c r="AZ82" i="47"/>
  <c r="L142" i="50"/>
  <c r="L114"/>
  <c r="L117" s="1"/>
  <c r="L145" s="1"/>
  <c r="L242" i="46"/>
  <c r="DH98" i="37"/>
  <c r="T10" i="60"/>
  <c r="F101"/>
  <c r="U99" i="25"/>
  <c r="AZ225" i="47"/>
  <c r="DH81" i="39"/>
  <c r="BO82"/>
  <c r="BC82" i="47"/>
  <c r="DH98" i="38"/>
  <c r="X52" i="60"/>
  <c r="BJ81" i="39"/>
  <c r="BH82"/>
  <c r="F74" i="65"/>
  <c r="F110" i="63"/>
  <c r="F121"/>
  <c r="AZ113" i="47"/>
  <c r="AZ114" s="1"/>
  <c r="AZ290"/>
  <c r="AZ31"/>
  <c r="T17" i="60"/>
  <c r="AP17" s="1"/>
  <c r="K114" i="50"/>
  <c r="K117" s="1"/>
  <c r="K145" s="1"/>
  <c r="K142"/>
  <c r="K242" i="46"/>
  <c r="N222"/>
  <c r="AY265" i="47"/>
  <c r="AY253"/>
  <c r="AY264"/>
  <c r="BQ82" i="39"/>
  <c r="BQ84" s="1"/>
  <c r="BA82" i="47"/>
  <c r="W82" i="39"/>
  <c r="AK81"/>
  <c r="AI52" i="60"/>
  <c r="I74" i="65"/>
  <c r="BC113" i="47"/>
  <c r="BC114" s="1"/>
  <c r="BC290"/>
  <c r="BC31"/>
  <c r="I110" i="63"/>
  <c r="I121"/>
  <c r="W17" i="60"/>
  <c r="AS17" s="1"/>
  <c r="W10"/>
  <c r="I101"/>
  <c r="BC225" i="47"/>
  <c r="U99" i="38"/>
  <c r="G74" i="65"/>
  <c r="G110" i="63"/>
  <c r="G121"/>
  <c r="BA290" i="47"/>
  <c r="BA113"/>
  <c r="BA114" s="1"/>
  <c r="BA31"/>
  <c r="U17" i="60"/>
  <c r="AQ17" s="1"/>
  <c r="M271" i="24"/>
  <c r="M350" s="1"/>
  <c r="M272"/>
  <c r="M351" s="1"/>
  <c r="M273"/>
  <c r="M352" s="1"/>
  <c r="M339"/>
  <c r="N337"/>
  <c r="M383"/>
  <c r="M297"/>
  <c r="M300" s="1"/>
  <c r="M301" s="1"/>
  <c r="N298"/>
  <c r="M299"/>
  <c r="M390"/>
  <c r="J324" i="46"/>
  <c r="U97" i="39"/>
  <c r="N294" i="24"/>
  <c r="N265"/>
  <c r="N266" s="1"/>
  <c r="N268" s="1"/>
  <c r="DH113" i="25"/>
  <c r="DH114" s="1"/>
  <c r="AQ103" i="40"/>
  <c r="T104"/>
  <c r="AQ104" i="37"/>
  <c r="BB270" i="47"/>
  <c r="I120" i="51"/>
  <c r="G324" i="46"/>
  <c r="K353" i="24"/>
  <c r="DH113" i="38"/>
  <c r="DH114" s="1"/>
  <c r="F357" i="46"/>
  <c r="H324"/>
  <c r="J120" i="51"/>
  <c r="G337" i="46"/>
  <c r="G312" s="1"/>
  <c r="H337"/>
  <c r="M340" i="24"/>
  <c r="M337"/>
  <c r="AQ103" i="39"/>
  <c r="T104"/>
  <c r="N378" i="24"/>
  <c r="I107" i="51"/>
  <c r="DH82" i="40"/>
  <c r="BO84"/>
  <c r="U101" i="1"/>
  <c r="E132" i="63"/>
  <c r="N336" i="24"/>
  <c r="BL81" i="40"/>
  <c r="AU52" i="60"/>
  <c r="DH113" i="36"/>
  <c r="DH114" s="1"/>
  <c r="H316" i="35"/>
  <c r="I147" i="50"/>
  <c r="I148" s="1"/>
  <c r="I184"/>
  <c r="J146"/>
  <c r="J147"/>
  <c r="J337" i="46"/>
  <c r="K279" i="24"/>
  <c r="K342"/>
  <c r="F338" i="46"/>
  <c r="F358" s="1"/>
  <c r="T106" i="37"/>
  <c r="K253" i="46"/>
  <c r="BJ82" i="40"/>
  <c r="BH84"/>
  <c r="F347" i="46"/>
  <c r="F325" s="1"/>
  <c r="U84" i="40"/>
  <c r="AK82"/>
  <c r="L253" i="46"/>
  <c r="I252"/>
  <c r="I247"/>
  <c r="I336"/>
  <c r="I356" s="1"/>
  <c r="T84" i="41"/>
  <c r="BI81"/>
  <c r="W81"/>
  <c r="BH81"/>
  <c r="K15" i="51"/>
  <c r="L38" i="60"/>
  <c r="BC232" i="47"/>
  <c r="BF120"/>
  <c r="BE158"/>
  <c r="F9" i="45"/>
  <c r="BF117" i="47"/>
  <c r="BP81" i="41"/>
  <c r="L32" i="60"/>
  <c r="BD249" i="47"/>
  <c r="BO81" i="41"/>
  <c r="U81" i="26"/>
  <c r="T81"/>
  <c r="L66" i="64"/>
  <c r="M37" i="60"/>
  <c r="L145" i="63"/>
  <c r="BL47" i="3"/>
  <c r="BQ81" i="41"/>
  <c r="U81"/>
  <c r="M32" i="60"/>
  <c r="BB220" i="47"/>
  <c r="AZ232"/>
  <c r="K113" i="64"/>
  <c r="H17" i="60"/>
  <c r="L34"/>
  <c r="U98" i="37"/>
  <c r="J96" i="64"/>
  <c r="M47" i="46"/>
  <c r="BE231" i="47"/>
  <c r="BL82" i="40" l="1"/>
  <c r="J97" i="64"/>
  <c r="AL34" i="60"/>
  <c r="AW34" s="1"/>
  <c r="BL81" i="39"/>
  <c r="AW40" i="60"/>
  <c r="BI82" i="41"/>
  <c r="BI84" s="1"/>
  <c r="BG398" i="47"/>
  <c r="BH398" s="1"/>
  <c r="BI398" s="1"/>
  <c r="BF404"/>
  <c r="BH404" s="1"/>
  <c r="BI404" s="1"/>
  <c r="N341" i="24"/>
  <c r="J148" i="50"/>
  <c r="AT52" i="60"/>
  <c r="F61" i="45"/>
  <c r="K78" i="51"/>
  <c r="K83" s="1"/>
  <c r="K87" s="1" a="1"/>
  <c r="K87" s="1"/>
  <c r="K119" s="1"/>
  <c r="BP82" i="41"/>
  <c r="BP84" s="1"/>
  <c r="BE261" i="47"/>
  <c r="AK52" i="60"/>
  <c r="U82" i="41"/>
  <c r="AK81"/>
  <c r="U82" i="26"/>
  <c r="U84" s="1"/>
  <c r="W82" i="41"/>
  <c r="W84" s="1"/>
  <c r="Z52" i="60"/>
  <c r="BJ81" i="41"/>
  <c r="BH82"/>
  <c r="T82" i="26"/>
  <c r="AL17" i="60"/>
  <c r="AZ265" i="47"/>
  <c r="AZ253"/>
  <c r="AZ264"/>
  <c r="BQ82" i="41"/>
  <c r="BQ84" s="1"/>
  <c r="BC265" i="47"/>
  <c r="BC253"/>
  <c r="BC264"/>
  <c r="V10" i="60"/>
  <c r="H101"/>
  <c r="BB225" i="47"/>
  <c r="U99" i="37"/>
  <c r="M220" i="46"/>
  <c r="M225" s="1"/>
  <c r="M243" s="1"/>
  <c r="M52"/>
  <c r="DH81" i="41"/>
  <c r="BO82"/>
  <c r="F348" i="46"/>
  <c r="F368" s="1"/>
  <c r="F378" s="1"/>
  <c r="T101" i="41"/>
  <c r="T103" s="1"/>
  <c r="J357" i="46"/>
  <c r="DH112" i="40"/>
  <c r="M342" i="24"/>
  <c r="H357" i="46"/>
  <c r="G347"/>
  <c r="G325" s="1"/>
  <c r="N272" i="24"/>
  <c r="N351" s="1"/>
  <c r="N273"/>
  <c r="N352" s="1"/>
  <c r="N339"/>
  <c r="N271"/>
  <c r="N350" s="1"/>
  <c r="J347" i="46"/>
  <c r="J325" s="1"/>
  <c r="I132" i="63"/>
  <c r="F470" i="34"/>
  <c r="F348" i="13"/>
  <c r="F287" i="7"/>
  <c r="F467" i="34"/>
  <c r="F286" i="7"/>
  <c r="F351" i="13"/>
  <c r="F473" i="17"/>
  <c r="F481"/>
  <c r="F474"/>
  <c r="F482"/>
  <c r="F963" i="4"/>
  <c r="F972"/>
  <c r="F964"/>
  <c r="F971"/>
  <c r="F277" i="24"/>
  <c r="F276" s="1"/>
  <c r="L247" i="46"/>
  <c r="L252"/>
  <c r="L336"/>
  <c r="L356" s="1"/>
  <c r="DH84" i="40"/>
  <c r="G338" i="46"/>
  <c r="G358" s="1"/>
  <c r="T106" i="40"/>
  <c r="AZ397" i="47"/>
  <c r="M279" i="24"/>
  <c r="W84" i="39"/>
  <c r="AK82"/>
  <c r="G357" i="46"/>
  <c r="I257"/>
  <c r="I346"/>
  <c r="I366" s="1"/>
  <c r="I376" s="1"/>
  <c r="U95" i="40"/>
  <c r="AK84"/>
  <c r="BJ84"/>
  <c r="T109" i="37"/>
  <c r="AZ402" i="47"/>
  <c r="T106" i="39"/>
  <c r="H347" i="46"/>
  <c r="H325" s="1"/>
  <c r="AQ106" i="37"/>
  <c r="AQ109" s="1"/>
  <c r="AQ104" i="40"/>
  <c r="K252" i="46"/>
  <c r="K247"/>
  <c r="K336"/>
  <c r="K356" s="1"/>
  <c r="U101" i="25"/>
  <c r="M146" i="50"/>
  <c r="L184"/>
  <c r="L147"/>
  <c r="F313" i="46"/>
  <c r="H312"/>
  <c r="F367"/>
  <c r="F377" s="1"/>
  <c r="BJ82" i="39"/>
  <c r="BH84"/>
  <c r="K316" i="35"/>
  <c r="U101" i="38"/>
  <c r="K147" i="50"/>
  <c r="K148" s="1"/>
  <c r="L146"/>
  <c r="K184"/>
  <c r="F132" i="63"/>
  <c r="H107" i="51"/>
  <c r="I311" i="46"/>
  <c r="AQ104" i="39"/>
  <c r="N383" i="24"/>
  <c r="N299"/>
  <c r="N297"/>
  <c r="N300" s="1"/>
  <c r="N301" s="1"/>
  <c r="N390"/>
  <c r="M391"/>
  <c r="M385"/>
  <c r="M353"/>
  <c r="G132" i="63"/>
  <c r="DH82" i="39"/>
  <c r="BO84"/>
  <c r="J312" i="46"/>
  <c r="N340" i="24"/>
  <c r="H83" i="51"/>
  <c r="H87" s="1" a="1"/>
  <c r="H87" s="1"/>
  <c r="H119" s="1"/>
  <c r="J9" i="45"/>
  <c r="BG96" i="47"/>
  <c r="H36" i="65"/>
  <c r="G17" i="60"/>
  <c r="M42" i="46"/>
  <c r="BF234" i="47"/>
  <c r="BG234"/>
  <c r="BB81"/>
  <c r="BB232"/>
  <c r="L96" i="64"/>
  <c r="H20" i="63"/>
  <c r="BI81" i="26"/>
  <c r="M66" i="64"/>
  <c r="BB30" i="47"/>
  <c r="BH81" i="26"/>
  <c r="BF244" i="47"/>
  <c r="H93" i="63"/>
  <c r="M34" i="60"/>
  <c r="M96" i="64" s="1"/>
  <c r="CY98" i="39"/>
  <c r="O32" i="59"/>
  <c r="BD158" i="47"/>
  <c r="BD244"/>
  <c r="BF249"/>
  <c r="M15" i="50"/>
  <c r="BP81" i="26"/>
  <c r="J113" i="64"/>
  <c r="W81" i="26"/>
  <c r="H51" i="60"/>
  <c r="BM46" i="3"/>
  <c r="N47" i="46"/>
  <c r="BG231" i="47"/>
  <c r="G9" i="45"/>
  <c r="M145" i="63"/>
  <c r="L24" i="35"/>
  <c r="CY98" i="36"/>
  <c r="L94" i="64"/>
  <c r="BQ81" i="26"/>
  <c r="M94" i="64"/>
  <c r="BA220" i="47"/>
  <c r="O58" i="59"/>
  <c r="BG120" i="47"/>
  <c r="M38" i="60"/>
  <c r="BG117" i="47"/>
  <c r="U98" i="36"/>
  <c r="M38" i="64"/>
  <c r="BO81" i="26"/>
  <c r="M41" i="64" l="1"/>
  <c r="M46" s="1"/>
  <c r="M56" s="1"/>
  <c r="F326" i="46"/>
  <c r="BG99" i="47"/>
  <c r="BG111" s="1"/>
  <c r="BG86" s="1"/>
  <c r="N342" i="24"/>
  <c r="L97" i="64"/>
  <c r="BL84" i="40"/>
  <c r="BI82" i="26"/>
  <c r="BI84" s="1"/>
  <c r="AV52" i="60"/>
  <c r="L148" i="50"/>
  <c r="BL82" i="39"/>
  <c r="M97" i="64"/>
  <c r="DH98" i="39"/>
  <c r="J61" i="45"/>
  <c r="BP82" i="26"/>
  <c r="BP84" s="1"/>
  <c r="G61" i="45"/>
  <c r="DH98" i="36"/>
  <c r="DH81" i="26"/>
  <c r="BO82"/>
  <c r="AA52" i="60"/>
  <c r="BJ81" i="26"/>
  <c r="BH82"/>
  <c r="BB253" i="47"/>
  <c r="BB264"/>
  <c r="BB265"/>
  <c r="N52" i="46"/>
  <c r="N220"/>
  <c r="N225" s="1"/>
  <c r="N243" s="1"/>
  <c r="BB113" i="47"/>
  <c r="BB114" s="1"/>
  <c r="BB290"/>
  <c r="BB31"/>
  <c r="H110" i="63"/>
  <c r="H121"/>
  <c r="H74" i="65"/>
  <c r="V17" i="60"/>
  <c r="AR17" s="1"/>
  <c r="BB82" i="47"/>
  <c r="M242" i="46"/>
  <c r="M114" i="50"/>
  <c r="M117" s="1"/>
  <c r="M145" s="1"/>
  <c r="M142"/>
  <c r="BD261" i="47"/>
  <c r="U10" i="60"/>
  <c r="G101"/>
  <c r="U99" i="36"/>
  <c r="BA225" i="47"/>
  <c r="L311" i="35"/>
  <c r="W82" i="26"/>
  <c r="W84" s="1"/>
  <c r="AK81"/>
  <c r="AL52" i="60"/>
  <c r="BQ82" i="26"/>
  <c r="BQ84" s="1"/>
  <c r="J348" i="46"/>
  <c r="J368" s="1"/>
  <c r="K120" i="51"/>
  <c r="H120"/>
  <c r="DH84" i="39"/>
  <c r="H338" i="46"/>
  <c r="H313" s="1"/>
  <c r="K311"/>
  <c r="AQ106" i="40"/>
  <c r="AQ109" s="1"/>
  <c r="H348" i="46"/>
  <c r="H368" s="1"/>
  <c r="N353" i="24"/>
  <c r="G348" i="46"/>
  <c r="G368" s="1"/>
  <c r="G378" s="1"/>
  <c r="F349"/>
  <c r="F327" s="1"/>
  <c r="AZ403" i="47"/>
  <c r="BF416" s="1"/>
  <c r="N391" i="24"/>
  <c r="AQ106" i="39"/>
  <c r="AQ109" s="1"/>
  <c r="U101" i="37"/>
  <c r="G287" i="7"/>
  <c r="G473" i="17"/>
  <c r="G286" i="7"/>
  <c r="G474" i="17"/>
  <c r="G481"/>
  <c r="G482"/>
  <c r="G963" i="4"/>
  <c r="G972"/>
  <c r="G971"/>
  <c r="G964"/>
  <c r="G348" i="13"/>
  <c r="G351"/>
  <c r="G467" i="34"/>
  <c r="G470"/>
  <c r="G277" i="24"/>
  <c r="G276" s="1"/>
  <c r="T84" i="26"/>
  <c r="N385" i="24"/>
  <c r="I337" i="46"/>
  <c r="I312" s="1"/>
  <c r="T109" i="39"/>
  <c r="DH113" i="37"/>
  <c r="DH114" s="1"/>
  <c r="I324" i="46"/>
  <c r="AQ103" i="41"/>
  <c r="T104"/>
  <c r="J348" i="13"/>
  <c r="J351"/>
  <c r="J473" i="17"/>
  <c r="J470" i="34"/>
  <c r="J474" i="17"/>
  <c r="J467" i="34"/>
  <c r="J481" i="17"/>
  <c r="J482"/>
  <c r="J963" i="4"/>
  <c r="J971"/>
  <c r="J972"/>
  <c r="J964"/>
  <c r="J287" i="7"/>
  <c r="J286"/>
  <c r="J277" i="24"/>
  <c r="J276" s="1"/>
  <c r="J338" i="46"/>
  <c r="J313" s="1"/>
  <c r="DH112" i="39"/>
  <c r="BJ84"/>
  <c r="H367" i="46"/>
  <c r="H377" s="1"/>
  <c r="BG381" i="47"/>
  <c r="U97" i="40"/>
  <c r="L311" i="46"/>
  <c r="F284" i="24"/>
  <c r="F359" s="1"/>
  <c r="F286"/>
  <c r="F361" s="1"/>
  <c r="F283"/>
  <c r="F358" s="1"/>
  <c r="F280"/>
  <c r="F285"/>
  <c r="F360" s="1"/>
  <c r="AZ399" i="47"/>
  <c r="BG416" s="1"/>
  <c r="N279" i="24"/>
  <c r="G367" i="46"/>
  <c r="G377" s="1"/>
  <c r="DH82" i="41"/>
  <c r="BO84"/>
  <c r="M253" i="46"/>
  <c r="G313"/>
  <c r="AK84" i="39"/>
  <c r="U95" i="26"/>
  <c r="F339" i="46"/>
  <c r="K257"/>
  <c r="K346"/>
  <c r="K366" s="1"/>
  <c r="K376" s="1"/>
  <c r="T109" i="40"/>
  <c r="L257" i="46"/>
  <c r="L346"/>
  <c r="L366" s="1"/>
  <c r="L376" s="1"/>
  <c r="J367"/>
  <c r="J377" s="1"/>
  <c r="U84" i="41"/>
  <c r="AK82"/>
  <c r="F111" i="45"/>
  <c r="F108"/>
  <c r="BJ82" i="41"/>
  <c r="BH84"/>
  <c r="BE270" i="47"/>
  <c r="K107" i="51"/>
  <c r="BL81" i="41"/>
  <c r="BD81" i="47"/>
  <c r="K93" i="63"/>
  <c r="BF158" i="47"/>
  <c r="BG249"/>
  <c r="K36" i="65"/>
  <c r="L113" i="64"/>
  <c r="U102" i="1"/>
  <c r="J93" i="63"/>
  <c r="BM50" i="3"/>
  <c r="J51" i="60"/>
  <c r="P58" i="59"/>
  <c r="BG244" i="47"/>
  <c r="BD30"/>
  <c r="U98" i="39"/>
  <c r="N24" i="35"/>
  <c r="BE30" i="47"/>
  <c r="P32" i="59"/>
  <c r="J17" i="60"/>
  <c r="K51"/>
  <c r="BM32" i="3"/>
  <c r="J36" i="65"/>
  <c r="X102" i="1"/>
  <c r="BM48" i="3"/>
  <c r="J20" i="63"/>
  <c r="I9" i="45"/>
  <c r="K20" i="63"/>
  <c r="BK47" i="3"/>
  <c r="BF231" i="47"/>
  <c r="L15" i="51"/>
  <c r="BM49" i="3"/>
  <c r="BM51"/>
  <c r="BE81" i="47"/>
  <c r="BA232"/>
  <c r="BD220"/>
  <c r="AK82" i="26" l="1"/>
  <c r="G326" i="46"/>
  <c r="G349" s="1"/>
  <c r="H326"/>
  <c r="H349" s="1"/>
  <c r="BL81" i="26"/>
  <c r="L78" i="51"/>
  <c r="J101" i="60"/>
  <c r="X10"/>
  <c r="BD225" i="47"/>
  <c r="U99" i="39"/>
  <c r="U104" i="1"/>
  <c r="BD82" i="47"/>
  <c r="N311" i="35"/>
  <c r="BF261" i="47"/>
  <c r="X103" i="1"/>
  <c r="I61" i="45"/>
  <c r="K74" i="65"/>
  <c r="K110" i="63"/>
  <c r="K121"/>
  <c r="BE290" i="47"/>
  <c r="BE113"/>
  <c r="BE114" s="1"/>
  <c r="BE31"/>
  <c r="Y17" i="60"/>
  <c r="AU17" s="1"/>
  <c r="BE82" i="47"/>
  <c r="J110" i="63"/>
  <c r="J121"/>
  <c r="J74" i="65"/>
  <c r="BD113" i="47"/>
  <c r="BD114" s="1"/>
  <c r="BD290"/>
  <c r="BD31"/>
  <c r="X17" i="60"/>
  <c r="AT17" s="1"/>
  <c r="BA264" i="47"/>
  <c r="BA265"/>
  <c r="BA253"/>
  <c r="L337" i="46"/>
  <c r="L312" s="1"/>
  <c r="J339"/>
  <c r="J359" s="1"/>
  <c r="F350"/>
  <c r="F370" s="1"/>
  <c r="BJ82" i="26"/>
  <c r="BL82" s="1"/>
  <c r="BH84"/>
  <c r="DH82"/>
  <c r="BO84"/>
  <c r="U95" i="41"/>
  <c r="AK84"/>
  <c r="K324" i="46"/>
  <c r="J358"/>
  <c r="J378" s="1"/>
  <c r="I347"/>
  <c r="I325" s="1"/>
  <c r="DH113" i="39"/>
  <c r="DH114" s="1"/>
  <c r="L316" i="35"/>
  <c r="G108" i="45"/>
  <c r="G111"/>
  <c r="BJ84" i="41"/>
  <c r="L324" i="46"/>
  <c r="U97" i="26"/>
  <c r="DH112" i="41"/>
  <c r="AQ104"/>
  <c r="I357" i="46"/>
  <c r="G280" i="24"/>
  <c r="G284"/>
  <c r="G359" s="1"/>
  <c r="G286"/>
  <c r="G361" s="1"/>
  <c r="G283"/>
  <c r="G358" s="1"/>
  <c r="G285"/>
  <c r="G360" s="1"/>
  <c r="M184" i="50"/>
  <c r="M147"/>
  <c r="M148" s="1"/>
  <c r="N146"/>
  <c r="H132" i="63"/>
  <c r="N253" i="46"/>
  <c r="BL84" i="39"/>
  <c r="BH416" i="47"/>
  <c r="BI416" s="1"/>
  <c r="BL82" i="41"/>
  <c r="F314" i="46"/>
  <c r="J326"/>
  <c r="AW52" i="60"/>
  <c r="T106" i="41"/>
  <c r="AK84" i="26"/>
  <c r="T101"/>
  <c r="T103" s="1"/>
  <c r="H339" i="46"/>
  <c r="H359" s="1"/>
  <c r="H358"/>
  <c r="H378" s="1"/>
  <c r="BD270" i="47"/>
  <c r="M247" i="46"/>
  <c r="M252"/>
  <c r="M336"/>
  <c r="M356" s="1"/>
  <c r="I482" i="17"/>
  <c r="I474"/>
  <c r="I351" i="13"/>
  <c r="I473" i="17"/>
  <c r="I481"/>
  <c r="I348" i="13"/>
  <c r="I964" i="4"/>
  <c r="I971"/>
  <c r="I467" i="34"/>
  <c r="I972" i="4"/>
  <c r="I963"/>
  <c r="I470" i="34"/>
  <c r="I287" i="7"/>
  <c r="I286"/>
  <c r="I277" i="24"/>
  <c r="I276" s="1"/>
  <c r="DH113" i="40"/>
  <c r="DH114" s="1"/>
  <c r="G339" i="46"/>
  <c r="DH84" i="41"/>
  <c r="J283" i="24"/>
  <c r="J358" s="1"/>
  <c r="J285"/>
  <c r="J360" s="1"/>
  <c r="J286"/>
  <c r="J361" s="1"/>
  <c r="J280"/>
  <c r="J284"/>
  <c r="J359" s="1"/>
  <c r="I338" i="46"/>
  <c r="I358" s="1"/>
  <c r="K337"/>
  <c r="K312" s="1"/>
  <c r="U101" i="36"/>
  <c r="J111" i="45"/>
  <c r="J108"/>
  <c r="BD232" i="47"/>
  <c r="BM34" i="3"/>
  <c r="N15" i="51"/>
  <c r="M24" i="35"/>
  <c r="BM37" i="3"/>
  <c r="BM36"/>
  <c r="N15" i="50"/>
  <c r="BG158" i="47"/>
  <c r="U102" i="38"/>
  <c r="BM38" i="3"/>
  <c r="H9" i="45"/>
  <c r="X102" i="25"/>
  <c r="BM35" i="3"/>
  <c r="N42" i="46"/>
  <c r="X102" i="38"/>
  <c r="M113" i="64"/>
  <c r="U102" i="25"/>
  <c r="AY36" i="3"/>
  <c r="BL84" i="41" l="1"/>
  <c r="H327" i="46"/>
  <c r="H350" s="1"/>
  <c r="H370" s="1"/>
  <c r="F328"/>
  <c r="F329" s="1"/>
  <c r="F386" s="1"/>
  <c r="F387" s="1"/>
  <c r="I313"/>
  <c r="I339" s="1"/>
  <c r="I359" s="1"/>
  <c r="H314"/>
  <c r="H340" s="1"/>
  <c r="X103" i="38"/>
  <c r="N78" i="51"/>
  <c r="BG261" i="47"/>
  <c r="N242" i="46"/>
  <c r="N142" i="50"/>
  <c r="N114"/>
  <c r="N117" s="1"/>
  <c r="N145" s="1"/>
  <c r="M311" i="35"/>
  <c r="H61" i="45"/>
  <c r="X103" i="25"/>
  <c r="X104" s="1"/>
  <c r="X106" s="1"/>
  <c r="X109" s="1"/>
  <c r="U104"/>
  <c r="U104" i="38"/>
  <c r="BD264" i="47"/>
  <c r="BD253"/>
  <c r="BD265"/>
  <c r="K338" i="46"/>
  <c r="K358" s="1"/>
  <c r="I285" i="24"/>
  <c r="I360" s="1"/>
  <c r="I280"/>
  <c r="I286"/>
  <c r="I361" s="1"/>
  <c r="I284"/>
  <c r="I359" s="1"/>
  <c r="I283"/>
  <c r="I358" s="1"/>
  <c r="F340" i="46"/>
  <c r="F315" s="1"/>
  <c r="F316" s="1"/>
  <c r="F388" s="1"/>
  <c r="DH112" i="26"/>
  <c r="L338" i="46"/>
  <c r="L358" s="1"/>
  <c r="AS103" i="1"/>
  <c r="N316" i="35"/>
  <c r="U106" i="1"/>
  <c r="L107" i="51"/>
  <c r="M311" i="46"/>
  <c r="AQ103" i="26"/>
  <c r="T104"/>
  <c r="L347" i="46"/>
  <c r="L325" s="1"/>
  <c r="DH84" i="26"/>
  <c r="L357" i="46"/>
  <c r="H287" i="7"/>
  <c r="H286"/>
  <c r="H482" i="17"/>
  <c r="H481"/>
  <c r="H473"/>
  <c r="H474"/>
  <c r="H963" i="4"/>
  <c r="H351" i="13"/>
  <c r="H971" i="4"/>
  <c r="H964"/>
  <c r="H972"/>
  <c r="H348" i="13"/>
  <c r="H467" i="34"/>
  <c r="H470"/>
  <c r="H277" i="24"/>
  <c r="H276" s="1"/>
  <c r="J132" i="63"/>
  <c r="T109" i="41"/>
  <c r="I348" i="46"/>
  <c r="I368" s="1"/>
  <c r="I378" s="1"/>
  <c r="U97" i="41"/>
  <c r="BF270" i="47"/>
  <c r="K357" i="46"/>
  <c r="M257"/>
  <c r="M346"/>
  <c r="M366" s="1"/>
  <c r="M376" s="1"/>
  <c r="K132" i="63"/>
  <c r="AQ106" i="41"/>
  <c r="AQ109" s="1"/>
  <c r="I108" i="45"/>
  <c r="I111"/>
  <c r="H369" i="46"/>
  <c r="H379" s="1"/>
  <c r="J349"/>
  <c r="J327" s="1"/>
  <c r="I367"/>
  <c r="I377" s="1"/>
  <c r="K347"/>
  <c r="K325" s="1"/>
  <c r="BJ84" i="26"/>
  <c r="BL84" s="1"/>
  <c r="U101" i="39"/>
  <c r="G327" i="46"/>
  <c r="L83" i="51"/>
  <c r="L87" s="1" a="1"/>
  <c r="L87" s="1"/>
  <c r="L119" s="1"/>
  <c r="F351" i="46"/>
  <c r="F371" s="1"/>
  <c r="G314"/>
  <c r="J314"/>
  <c r="X104" i="1"/>
  <c r="X106" s="1"/>
  <c r="X109" s="1"/>
  <c r="BF30" i="47"/>
  <c r="AZ58"/>
  <c r="K17" i="60"/>
  <c r="L93" i="63"/>
  <c r="L36" i="65"/>
  <c r="K9" i="45"/>
  <c r="X102" i="37"/>
  <c r="M15" i="51"/>
  <c r="BE220" i="47"/>
  <c r="CY98" i="40"/>
  <c r="L20" i="63"/>
  <c r="U102" i="37"/>
  <c r="U98" i="40"/>
  <c r="L51" i="60"/>
  <c r="AY58" i="47"/>
  <c r="BF81"/>
  <c r="L313" i="46" l="1"/>
  <c r="L339" s="1"/>
  <c r="F397"/>
  <c r="F434" s="1"/>
  <c r="I326"/>
  <c r="I349" s="1"/>
  <c r="K313"/>
  <c r="K339" s="1"/>
  <c r="K314" s="1"/>
  <c r="K61" i="45"/>
  <c r="X103" i="37"/>
  <c r="K101" i="60"/>
  <c r="Y10"/>
  <c r="U99" i="40"/>
  <c r="BE225" i="47"/>
  <c r="M78" i="51"/>
  <c r="M83" s="1"/>
  <c r="M87" s="1" a="1"/>
  <c r="M87" s="1"/>
  <c r="M119" s="1"/>
  <c r="DH98" i="40"/>
  <c r="BF290" i="47"/>
  <c r="BF113"/>
  <c r="BF114" s="1"/>
  <c r="BF31"/>
  <c r="L110" i="63"/>
  <c r="L121"/>
  <c r="L74" i="65"/>
  <c r="Z17" i="60"/>
  <c r="AV17" s="1"/>
  <c r="U104" i="37"/>
  <c r="BF82" i="47"/>
  <c r="J340" i="46"/>
  <c r="J315" s="1"/>
  <c r="J316" s="1"/>
  <c r="J388" s="1"/>
  <c r="G340"/>
  <c r="G315" s="1"/>
  <c r="G316" s="1"/>
  <c r="G388" s="1"/>
  <c r="K348"/>
  <c r="K368" s="1"/>
  <c r="K378" s="1"/>
  <c r="J350"/>
  <c r="J370" s="1"/>
  <c r="H360"/>
  <c r="H380" s="1"/>
  <c r="H341"/>
  <c r="H361" s="1"/>
  <c r="M324"/>
  <c r="AQ104" i="26"/>
  <c r="AS104" i="1"/>
  <c r="K351" i="13"/>
  <c r="K348"/>
  <c r="K467" i="34"/>
  <c r="K470"/>
  <c r="K474" i="17"/>
  <c r="K473"/>
  <c r="K482"/>
  <c r="K481"/>
  <c r="K972" i="4"/>
  <c r="K963"/>
  <c r="K971"/>
  <c r="K964"/>
  <c r="K286" i="7"/>
  <c r="K287"/>
  <c r="K277" i="24"/>
  <c r="K276" s="1"/>
  <c r="H108" i="45"/>
  <c r="H111"/>
  <c r="N252" i="46"/>
  <c r="N247"/>
  <c r="N336"/>
  <c r="N356" s="1"/>
  <c r="AS103" i="38"/>
  <c r="AZ416" i="47"/>
  <c r="BF381" s="1"/>
  <c r="BH381" s="1"/>
  <c r="BI381" s="1"/>
  <c r="T106" i="26"/>
  <c r="U109" i="1"/>
  <c r="U106" i="38"/>
  <c r="N107" i="51"/>
  <c r="AS103" i="25"/>
  <c r="G350" i="46"/>
  <c r="G328" s="1"/>
  <c r="G329" s="1"/>
  <c r="K367"/>
  <c r="K377" s="1"/>
  <c r="J369"/>
  <c r="J379" s="1"/>
  <c r="L367"/>
  <c r="L377" s="1"/>
  <c r="U106" i="25"/>
  <c r="M316" i="35"/>
  <c r="BG270" i="47"/>
  <c r="F389" i="46"/>
  <c r="F390" s="1"/>
  <c r="H315"/>
  <c r="H316" s="1"/>
  <c r="H388" s="1"/>
  <c r="X104" i="38"/>
  <c r="X106" s="1"/>
  <c r="X109" s="1"/>
  <c r="L120" i="51"/>
  <c r="F360" i="46"/>
  <c r="F380" s="1"/>
  <c r="F341"/>
  <c r="F361" s="1"/>
  <c r="F381" s="1"/>
  <c r="F448" s="1"/>
  <c r="BJ8" i="3" s="1"/>
  <c r="DH113" i="41"/>
  <c r="DH114" s="1"/>
  <c r="H286" i="24"/>
  <c r="H361" s="1"/>
  <c r="H285"/>
  <c r="H360" s="1"/>
  <c r="H284"/>
  <c r="H359" s="1"/>
  <c r="H283"/>
  <c r="H358" s="1"/>
  <c r="H280"/>
  <c r="L348" i="46"/>
  <c r="L368" s="1"/>
  <c r="L378" s="1"/>
  <c r="M337"/>
  <c r="M312" s="1"/>
  <c r="N184" i="50"/>
  <c r="N147"/>
  <c r="N148" s="1"/>
  <c r="I314" i="46"/>
  <c r="H351"/>
  <c r="H371" s="1"/>
  <c r="H328"/>
  <c r="H329" s="1"/>
  <c r="N83" i="51"/>
  <c r="AY61" i="47"/>
  <c r="BE232"/>
  <c r="BG220"/>
  <c r="U102" i="36"/>
  <c r="BI92" i="1"/>
  <c r="X102" i="36"/>
  <c r="CY98" i="41"/>
  <c r="M17" i="60"/>
  <c r="BC58" i="47"/>
  <c r="U98" i="26"/>
  <c r="F398" i="46" l="1"/>
  <c r="F435" s="1"/>
  <c r="I327"/>
  <c r="I350" s="1"/>
  <c r="I370" s="1"/>
  <c r="BI93" i="1"/>
  <c r="U104" i="36"/>
  <c r="X103"/>
  <c r="X104" s="1"/>
  <c r="X106" s="1"/>
  <c r="X109" s="1"/>
  <c r="DH98" i="41"/>
  <c r="BE265" i="47"/>
  <c r="BE253"/>
  <c r="BE264"/>
  <c r="AA10" i="60"/>
  <c r="M101"/>
  <c r="U99" i="26"/>
  <c r="BG225" i="47"/>
  <c r="I340" i="46"/>
  <c r="I315" s="1"/>
  <c r="I316" s="1"/>
  <c r="I388" s="1"/>
  <c r="G386"/>
  <c r="G387" s="1"/>
  <c r="G389" s="1"/>
  <c r="G390" s="1"/>
  <c r="G397"/>
  <c r="AS104" i="25"/>
  <c r="L359" i="46"/>
  <c r="U109" i="38"/>
  <c r="T109" i="26"/>
  <c r="AS104" i="38"/>
  <c r="N257" i="46"/>
  <c r="N346"/>
  <c r="N366" s="1"/>
  <c r="N376" s="1"/>
  <c r="AQ106" i="26"/>
  <c r="AQ109" s="1"/>
  <c r="M347" i="46"/>
  <c r="M325" s="1"/>
  <c r="L132" i="63"/>
  <c r="H381" i="46"/>
  <c r="H448" s="1"/>
  <c r="G370"/>
  <c r="G351"/>
  <c r="G371" s="1"/>
  <c r="K285" i="24"/>
  <c r="K360" s="1"/>
  <c r="K280"/>
  <c r="K283"/>
  <c r="K358" s="1"/>
  <c r="K286"/>
  <c r="K361" s="1"/>
  <c r="K284"/>
  <c r="K359" s="1"/>
  <c r="AS106" i="1"/>
  <c r="AS109" s="1"/>
  <c r="U109" i="25"/>
  <c r="K340" i="46"/>
  <c r="K360" s="1"/>
  <c r="I369"/>
  <c r="I379" s="1"/>
  <c r="J360"/>
  <c r="J380" s="1"/>
  <c r="J341"/>
  <c r="J361" s="1"/>
  <c r="U106" i="37"/>
  <c r="J351" i="46"/>
  <c r="J371" s="1"/>
  <c r="L314"/>
  <c r="K326"/>
  <c r="N87" i="51" a="1"/>
  <c r="N87" s="1"/>
  <c r="N119" s="1"/>
  <c r="AZ381" i="47"/>
  <c r="M338" i="46"/>
  <c r="M358" s="1"/>
  <c r="M120" i="51"/>
  <c r="AS103" i="37"/>
  <c r="U101" i="40"/>
  <c r="K111" i="45"/>
  <c r="K108"/>
  <c r="H397" i="46"/>
  <c r="H386"/>
  <c r="H387" s="1"/>
  <c r="H389" s="1"/>
  <c r="H390" s="1"/>
  <c r="M357"/>
  <c r="F407"/>
  <c r="BJ9" i="3"/>
  <c r="F446" i="46"/>
  <c r="K359"/>
  <c r="N311"/>
  <c r="G360"/>
  <c r="G341"/>
  <c r="G361" s="1"/>
  <c r="M107" i="51"/>
  <c r="L326" i="46"/>
  <c r="J328"/>
  <c r="J329" s="1"/>
  <c r="X104" i="37"/>
  <c r="X106" s="1"/>
  <c r="X109" s="1"/>
  <c r="E42" i="65"/>
  <c r="BM25" i="3"/>
  <c r="W92" i="1"/>
  <c r="BB58" i="47"/>
  <c r="AZ61"/>
  <c r="BG30"/>
  <c r="BF220"/>
  <c r="E29" i="60"/>
  <c r="M93" i="63"/>
  <c r="E26"/>
  <c r="F9" i="44"/>
  <c r="E77" i="64"/>
  <c r="M51" i="60"/>
  <c r="L9" i="45"/>
  <c r="L17" i="60"/>
  <c r="BG81" i="47"/>
  <c r="BC61"/>
  <c r="BM47" i="3"/>
  <c r="U98" i="41"/>
  <c r="BJ21" i="3"/>
  <c r="E99" i="63"/>
  <c r="X102" i="39"/>
  <c r="CY98" i="26"/>
  <c r="M20" i="63"/>
  <c r="E146"/>
  <c r="BG232" i="47"/>
  <c r="M36" i="65"/>
  <c r="BA58" i="47"/>
  <c r="AY37"/>
  <c r="U102" i="39"/>
  <c r="AY131" i="47"/>
  <c r="F436" i="46" l="1"/>
  <c r="F399"/>
  <c r="F401" s="1"/>
  <c r="M313"/>
  <c r="M339" s="1"/>
  <c r="K315"/>
  <c r="K316" s="1"/>
  <c r="K388" s="1"/>
  <c r="F437"/>
  <c r="K341"/>
  <c r="K361" s="1"/>
  <c r="X103" i="39"/>
  <c r="X104" s="1"/>
  <c r="X106" s="1"/>
  <c r="X109" s="1"/>
  <c r="AK92" i="1"/>
  <c r="W93"/>
  <c r="E78" i="64"/>
  <c r="AY132" i="47"/>
  <c r="DH98" i="26"/>
  <c r="E64" i="65"/>
  <c r="E63"/>
  <c r="E51"/>
  <c r="AY39" i="47"/>
  <c r="AY293" s="1"/>
  <c r="E112" i="63"/>
  <c r="E123"/>
  <c r="S51" i="60"/>
  <c r="BG290" i="47"/>
  <c r="BG113"/>
  <c r="BG114" s="1"/>
  <c r="BG31"/>
  <c r="M74" i="65"/>
  <c r="M110" i="63"/>
  <c r="M121"/>
  <c r="AA17" i="60"/>
  <c r="AW17" s="1"/>
  <c r="BG264" i="47"/>
  <c r="BG265"/>
  <c r="BG253"/>
  <c r="L61" i="45"/>
  <c r="Z10" i="60"/>
  <c r="L101"/>
  <c r="U99" i="41"/>
  <c r="BF225" i="47"/>
  <c r="U104" i="39"/>
  <c r="BG82" i="47"/>
  <c r="F447" i="46"/>
  <c r="M348"/>
  <c r="M368" s="1"/>
  <c r="M378" s="1"/>
  <c r="N324"/>
  <c r="AS106" i="38"/>
  <c r="AS109" s="1"/>
  <c r="AS106" i="25"/>
  <c r="AS109" s="1"/>
  <c r="L340" i="46"/>
  <c r="L315" s="1"/>
  <c r="L316" s="1"/>
  <c r="L388" s="1"/>
  <c r="N120" i="51"/>
  <c r="U109" i="37"/>
  <c r="G407" i="46"/>
  <c r="G446"/>
  <c r="U101" i="26"/>
  <c r="I328" i="46"/>
  <c r="I329" s="1"/>
  <c r="G380"/>
  <c r="K349"/>
  <c r="K327" s="1"/>
  <c r="J381"/>
  <c r="J448" s="1"/>
  <c r="L351" i="13"/>
  <c r="L348"/>
  <c r="L470" i="34"/>
  <c r="L467"/>
  <c r="L473" i="17"/>
  <c r="L481"/>
  <c r="L482"/>
  <c r="L474"/>
  <c r="L971" i="4"/>
  <c r="L963"/>
  <c r="L964"/>
  <c r="L972"/>
  <c r="L286" i="7"/>
  <c r="L287"/>
  <c r="L277" i="24"/>
  <c r="L276" s="1"/>
  <c r="N337" i="46"/>
  <c r="N312" s="1"/>
  <c r="I360"/>
  <c r="I380" s="1"/>
  <c r="I341"/>
  <c r="I361" s="1"/>
  <c r="AS103" i="36"/>
  <c r="U106"/>
  <c r="J397" i="46"/>
  <c r="J386"/>
  <c r="J387" s="1"/>
  <c r="J389" s="1"/>
  <c r="J390" s="1"/>
  <c r="H398"/>
  <c r="H434"/>
  <c r="L349"/>
  <c r="L327" s="1"/>
  <c r="H446"/>
  <c r="H407"/>
  <c r="AS104" i="37"/>
  <c r="BF374" i="47"/>
  <c r="BH374" s="1"/>
  <c r="BI374" s="1"/>
  <c r="G381" i="46"/>
  <c r="G448" s="1"/>
  <c r="M367"/>
  <c r="M377" s="1"/>
  <c r="DH113" i="26"/>
  <c r="DH114" s="1"/>
  <c r="G398" i="46"/>
  <c r="G434"/>
  <c r="I351"/>
  <c r="I371" s="1"/>
  <c r="BH92" i="1"/>
  <c r="BD58" i="47"/>
  <c r="BC37"/>
  <c r="F458" i="46"/>
  <c r="BI92" i="36"/>
  <c r="BI92" i="25"/>
  <c r="I42" i="65"/>
  <c r="E113" i="60"/>
  <c r="G146" i="63"/>
  <c r="AZ131" i="47"/>
  <c r="BB61"/>
  <c r="H36" i="59"/>
  <c r="F457" i="46"/>
  <c r="I99" i="63"/>
  <c r="F29" i="60"/>
  <c r="G9" i="44"/>
  <c r="F99" i="63"/>
  <c r="H62" i="59"/>
  <c r="BL21" i="3"/>
  <c r="F26" i="63"/>
  <c r="BF232" i="47"/>
  <c r="F459" i="46"/>
  <c r="N9" i="45"/>
  <c r="G77" i="64"/>
  <c r="E7" i="60"/>
  <c r="F77" i="64"/>
  <c r="BA131" i="47"/>
  <c r="AZ37"/>
  <c r="F146" i="63"/>
  <c r="J9" i="44"/>
  <c r="F42" i="65"/>
  <c r="I26" i="63"/>
  <c r="I29" i="60"/>
  <c r="F460" i="46" l="1"/>
  <c r="BJ10" i="3" s="1"/>
  <c r="BH93" i="1"/>
  <c r="BJ93" s="1"/>
  <c r="BJ92"/>
  <c r="BL92" s="1"/>
  <c r="M326" i="46"/>
  <c r="M349" s="1"/>
  <c r="M327" s="1"/>
  <c r="AD12" i="60"/>
  <c r="E19"/>
  <c r="AD51" s="1"/>
  <c r="AO51" s="1"/>
  <c r="S13"/>
  <c r="N61" i="45"/>
  <c r="G78" i="64"/>
  <c r="BA132" i="47"/>
  <c r="F78" i="64"/>
  <c r="AZ132" i="47"/>
  <c r="F64" i="65"/>
  <c r="F63"/>
  <c r="F51"/>
  <c r="T51" i="60"/>
  <c r="AZ39" i="47"/>
  <c r="AZ293" s="1"/>
  <c r="F112" i="63"/>
  <c r="F123"/>
  <c r="BF265" i="47"/>
  <c r="BF253"/>
  <c r="BF264"/>
  <c r="BI93" i="36"/>
  <c r="BC39" i="47"/>
  <c r="BC293" s="1"/>
  <c r="I63" i="65"/>
  <c r="I64"/>
  <c r="I51"/>
  <c r="W51" i="60"/>
  <c r="I112" i="63"/>
  <c r="I123"/>
  <c r="BI93" i="25"/>
  <c r="H447" i="46"/>
  <c r="H435"/>
  <c r="H436"/>
  <c r="H399"/>
  <c r="H401" s="1"/>
  <c r="L280" i="24"/>
  <c r="L283"/>
  <c r="L358" s="1"/>
  <c r="L286"/>
  <c r="L361" s="1"/>
  <c r="L285"/>
  <c r="L360" s="1"/>
  <c r="L284"/>
  <c r="L359" s="1"/>
  <c r="M359" i="46"/>
  <c r="G447"/>
  <c r="N347"/>
  <c r="N325" s="1"/>
  <c r="U101" i="41"/>
  <c r="N473" i="17"/>
  <c r="N474"/>
  <c r="N481"/>
  <c r="N482"/>
  <c r="N348" i="13"/>
  <c r="N351"/>
  <c r="N467" i="34"/>
  <c r="N470"/>
  <c r="N964" i="4"/>
  <c r="N971"/>
  <c r="N972"/>
  <c r="N963"/>
  <c r="N287" i="7"/>
  <c r="N286"/>
  <c r="N277" i="24"/>
  <c r="N276" s="1"/>
  <c r="U109" i="36"/>
  <c r="N338" i="46"/>
  <c r="N358" s="1"/>
  <c r="I397"/>
  <c r="I386"/>
  <c r="I387" s="1"/>
  <c r="I389" s="1"/>
  <c r="I390" s="1"/>
  <c r="AS103" i="39"/>
  <c r="AS106" i="37"/>
  <c r="AS109" s="1"/>
  <c r="L350" i="46"/>
  <c r="L370" s="1"/>
  <c r="J398"/>
  <c r="J434"/>
  <c r="AS104" i="36"/>
  <c r="N357" i="46"/>
  <c r="K350"/>
  <c r="K370" s="1"/>
  <c r="K380" s="1"/>
  <c r="U106" i="39"/>
  <c r="I381" i="46"/>
  <c r="I448" s="1"/>
  <c r="BK8" i="3" s="1"/>
  <c r="L369" i="46"/>
  <c r="L379" s="1"/>
  <c r="J407"/>
  <c r="J446"/>
  <c r="K369"/>
  <c r="K379" s="1"/>
  <c r="L360"/>
  <c r="L341"/>
  <c r="L361" s="1"/>
  <c r="L111" i="45"/>
  <c r="L108"/>
  <c r="M314" i="46"/>
  <c r="E134" i="63"/>
  <c r="G436" i="46"/>
  <c r="G435"/>
  <c r="G399"/>
  <c r="G401" s="1"/>
  <c r="E107" i="60"/>
  <c r="E119" s="1"/>
  <c r="E125" s="1"/>
  <c r="E131" s="1"/>
  <c r="E105" i="64" s="1"/>
  <c r="M132" i="63"/>
  <c r="AK93" i="1"/>
  <c r="W95"/>
  <c r="H459" i="46"/>
  <c r="I77" i="64"/>
  <c r="I62" i="59"/>
  <c r="BQ92" i="1"/>
  <c r="M9" i="45"/>
  <c r="I36" i="59"/>
  <c r="I146" i="63"/>
  <c r="BH92" i="36"/>
  <c r="BP92" i="1"/>
  <c r="BI92" i="38"/>
  <c r="X102" i="40"/>
  <c r="W92" i="25"/>
  <c r="G459" i="46"/>
  <c r="J62" i="59"/>
  <c r="H457" i="46"/>
  <c r="BH92" i="25"/>
  <c r="I7" i="60"/>
  <c r="F113"/>
  <c r="I9" i="44"/>
  <c r="G457" i="46"/>
  <c r="BB37" i="47"/>
  <c r="I113" i="60"/>
  <c r="H29"/>
  <c r="BC131" i="47"/>
  <c r="F7" i="60"/>
  <c r="H42" i="65"/>
  <c r="H99" i="63"/>
  <c r="BO92" i="1"/>
  <c r="H458" i="46"/>
  <c r="BA61" i="47"/>
  <c r="F26" i="35"/>
  <c r="H26" i="63"/>
  <c r="W92" i="36"/>
  <c r="U102" i="40"/>
  <c r="J36" i="59"/>
  <c r="G458" i="46"/>
  <c r="BP93" i="1" l="1"/>
  <c r="BP106" s="1"/>
  <c r="BP109" s="1"/>
  <c r="BQ93"/>
  <c r="BQ106" s="1"/>
  <c r="BQ109" s="1"/>
  <c r="BO93"/>
  <c r="BO106" s="1"/>
  <c r="BO109" s="1"/>
  <c r="BH106"/>
  <c r="BH109" s="1"/>
  <c r="H437" i="46"/>
  <c r="I134" i="63"/>
  <c r="AH12" i="60"/>
  <c r="W13"/>
  <c r="I19"/>
  <c r="AH51" s="1"/>
  <c r="AS51" s="1"/>
  <c r="T13"/>
  <c r="F19"/>
  <c r="AE51" s="1"/>
  <c r="AP51" s="1"/>
  <c r="AE12"/>
  <c r="S12"/>
  <c r="AO12" s="1"/>
  <c r="K351" i="46"/>
  <c r="K371" s="1"/>
  <c r="K381" s="1"/>
  <c r="K448" s="1"/>
  <c r="BL8" i="3" s="1"/>
  <c r="L351" i="46"/>
  <c r="L371" s="1"/>
  <c r="L381" s="1"/>
  <c r="G460"/>
  <c r="H460"/>
  <c r="BK10" i="3" s="1"/>
  <c r="M61" i="45"/>
  <c r="X103" i="40"/>
  <c r="X104" s="1"/>
  <c r="X106" s="1"/>
  <c r="X109" s="1"/>
  <c r="W93" i="36"/>
  <c r="AK92"/>
  <c r="U104" i="40"/>
  <c r="BI93" i="38"/>
  <c r="I78" i="64"/>
  <c r="BC132" i="47"/>
  <c r="F313" i="35"/>
  <c r="BJ92" i="25"/>
  <c r="BH93"/>
  <c r="V51" i="60"/>
  <c r="H63" i="65"/>
  <c r="H64"/>
  <c r="H51"/>
  <c r="H112" i="63"/>
  <c r="H123"/>
  <c r="BB39" i="47"/>
  <c r="BB293" s="1"/>
  <c r="BJ92" i="36"/>
  <c r="BH93"/>
  <c r="W93" i="25"/>
  <c r="AK92"/>
  <c r="M350" i="46"/>
  <c r="M370" s="1"/>
  <c r="F107" i="60"/>
  <c r="F119" s="1"/>
  <c r="F125" s="1"/>
  <c r="F131" s="1"/>
  <c r="F105" i="64" s="1"/>
  <c r="N348" i="46"/>
  <c r="N368" s="1"/>
  <c r="N378" s="1"/>
  <c r="J447"/>
  <c r="N367"/>
  <c r="N377" s="1"/>
  <c r="W97" i="1"/>
  <c r="M340" i="46"/>
  <c r="J436"/>
  <c r="J435"/>
  <c r="J399"/>
  <c r="J401" s="1"/>
  <c r="BK9" i="3"/>
  <c r="I446" i="46"/>
  <c r="I407"/>
  <c r="N108" i="45"/>
  <c r="N111"/>
  <c r="L380" i="46"/>
  <c r="BL93" i="1"/>
  <c r="K328" i="46"/>
  <c r="K329" s="1"/>
  <c r="L328"/>
  <c r="L329" s="1"/>
  <c r="F134" i="63"/>
  <c r="U109" i="39"/>
  <c r="N285" i="24"/>
  <c r="N360" s="1"/>
  <c r="N280"/>
  <c r="N283"/>
  <c r="N358" s="1"/>
  <c r="N286"/>
  <c r="N361" s="1"/>
  <c r="N284"/>
  <c r="N359" s="1"/>
  <c r="G412" i="46"/>
  <c r="AS106" i="36"/>
  <c r="AS109" s="1"/>
  <c r="AS104" i="39"/>
  <c r="M369" i="46"/>
  <c r="M379" s="1"/>
  <c r="I107" i="60"/>
  <c r="I119" s="1"/>
  <c r="I125" s="1"/>
  <c r="I131" s="1"/>
  <c r="I105" i="64" s="1"/>
  <c r="M348" i="13"/>
  <c r="M351"/>
  <c r="M467" i="34"/>
  <c r="M470"/>
  <c r="M474" i="17"/>
  <c r="M481"/>
  <c r="M473"/>
  <c r="M482"/>
  <c r="M971" i="4"/>
  <c r="M963"/>
  <c r="M972"/>
  <c r="M964"/>
  <c r="M286" i="7"/>
  <c r="M287"/>
  <c r="M277" i="24"/>
  <c r="M276" s="1"/>
  <c r="I398" i="46"/>
  <c r="I434"/>
  <c r="H412"/>
  <c r="N313"/>
  <c r="G437"/>
  <c r="G99" i="63"/>
  <c r="L36" i="59"/>
  <c r="J458" i="46"/>
  <c r="F17" i="51"/>
  <c r="BB131" i="47"/>
  <c r="AY180"/>
  <c r="BQ92" i="25"/>
  <c r="BA37" i="47"/>
  <c r="J459" i="46"/>
  <c r="AY52" i="47"/>
  <c r="H146" i="63"/>
  <c r="BH92" i="38"/>
  <c r="J457" i="46"/>
  <c r="U102" i="26"/>
  <c r="L62" i="59"/>
  <c r="E7" i="66"/>
  <c r="W92" i="38"/>
  <c r="BE58" i="47"/>
  <c r="BP92" i="25"/>
  <c r="G26" i="63"/>
  <c r="G42" i="65"/>
  <c r="H9" i="44"/>
  <c r="H113" i="60"/>
  <c r="BK21" i="3"/>
  <c r="G29" i="60"/>
  <c r="BP92" i="36"/>
  <c r="X102" i="26"/>
  <c r="BD61" i="47"/>
  <c r="BQ92" i="36"/>
  <c r="H7" i="60"/>
  <c r="BO92" i="36"/>
  <c r="BO92" i="25"/>
  <c r="BI92" i="37"/>
  <c r="H77" i="64"/>
  <c r="DH93" i="1" l="1"/>
  <c r="BO93" i="36"/>
  <c r="BO106" s="1"/>
  <c r="W12" i="60"/>
  <c r="AS12" s="1"/>
  <c r="BO93" i="25"/>
  <c r="BO106" s="1"/>
  <c r="H134" i="63"/>
  <c r="BQ93" i="36"/>
  <c r="BQ106" s="1"/>
  <c r="BQ109" s="1"/>
  <c r="BP93" i="25"/>
  <c r="BP106" s="1"/>
  <c r="BP109" s="1"/>
  <c r="BP93" i="36"/>
  <c r="BP106" s="1"/>
  <c r="BP109" s="1"/>
  <c r="H19" i="60"/>
  <c r="AG51" s="1"/>
  <c r="AR51" s="1"/>
  <c r="AG12"/>
  <c r="V13"/>
  <c r="BQ93" i="25"/>
  <c r="BQ106" s="1"/>
  <c r="BQ109" s="1"/>
  <c r="T12" i="60"/>
  <c r="AP12" s="1"/>
  <c r="L448" i="46"/>
  <c r="AK92" i="38"/>
  <c r="W93"/>
  <c r="J460" i="46"/>
  <c r="BL10" i="3" s="1"/>
  <c r="X103" i="26"/>
  <c r="X104" s="1"/>
  <c r="X106" s="1"/>
  <c r="X109" s="1"/>
  <c r="BI93" i="37"/>
  <c r="U51" i="60"/>
  <c r="BA39" i="47"/>
  <c r="BA293" s="1"/>
  <c r="G64" i="65"/>
  <c r="G63"/>
  <c r="G51"/>
  <c r="G112" i="63"/>
  <c r="G123"/>
  <c r="BJ92" i="38"/>
  <c r="BH93"/>
  <c r="AY182" i="47"/>
  <c r="E9" i="66"/>
  <c r="E14" s="1"/>
  <c r="U104" i="26"/>
  <c r="F80" i="51"/>
  <c r="F85" s="1"/>
  <c r="H78" i="64"/>
  <c r="BB132" i="47"/>
  <c r="N339" i="46"/>
  <c r="N314" s="1"/>
  <c r="L397"/>
  <c r="L386"/>
  <c r="L387" s="1"/>
  <c r="L389" s="1"/>
  <c r="L390" s="1"/>
  <c r="M360"/>
  <c r="M380" s="1"/>
  <c r="M341"/>
  <c r="M361" s="1"/>
  <c r="H107" i="60"/>
  <c r="H119" s="1"/>
  <c r="H125" s="1"/>
  <c r="H131" s="1"/>
  <c r="H105" i="64" s="1"/>
  <c r="M108" i="45"/>
  <c r="M111"/>
  <c r="BJ93" i="36"/>
  <c r="BH106"/>
  <c r="F318" i="35"/>
  <c r="F322" a="1"/>
  <c r="F322" s="1"/>
  <c r="F401" s="1"/>
  <c r="M284" i="24"/>
  <c r="M359" s="1"/>
  <c r="M280"/>
  <c r="M283"/>
  <c r="M358" s="1"/>
  <c r="M285"/>
  <c r="M360" s="1"/>
  <c r="M286"/>
  <c r="M361" s="1"/>
  <c r="I435" i="46"/>
  <c r="I436"/>
  <c r="I399"/>
  <c r="I401" s="1"/>
  <c r="K386"/>
  <c r="K387" s="1"/>
  <c r="K389" s="1"/>
  <c r="K390" s="1"/>
  <c r="K397"/>
  <c r="BH106" i="25"/>
  <c r="BJ93"/>
  <c r="M328" i="46"/>
  <c r="M329" s="1"/>
  <c r="M315"/>
  <c r="M316" s="1"/>
  <c r="M388" s="1"/>
  <c r="N326"/>
  <c r="J437"/>
  <c r="BL92" i="25"/>
  <c r="BL92" i="36"/>
  <c r="U106" i="40"/>
  <c r="AS103"/>
  <c r="AS106" i="39"/>
  <c r="AS109" s="1"/>
  <c r="I447" i="46"/>
  <c r="AK93" i="25"/>
  <c r="W95"/>
  <c r="AK93" i="36"/>
  <c r="W95"/>
  <c r="M351" i="46"/>
  <c r="M371" s="1"/>
  <c r="J42" i="65"/>
  <c r="BH92" i="37"/>
  <c r="G113" i="60"/>
  <c r="K36" i="59"/>
  <c r="J26" i="63"/>
  <c r="I457" i="46"/>
  <c r="BO92" i="38"/>
  <c r="X102" i="41"/>
  <c r="I458" i="46"/>
  <c r="K9" i="44"/>
  <c r="I459" i="46"/>
  <c r="G7" i="60"/>
  <c r="BD37" i="47"/>
  <c r="AY164"/>
  <c r="J99" i="63"/>
  <c r="BQ92" i="38"/>
  <c r="BP92"/>
  <c r="H26" i="35"/>
  <c r="W92" i="37"/>
  <c r="CY96" i="1"/>
  <c r="U102" i="41"/>
  <c r="G26" i="35"/>
  <c r="J29" i="60"/>
  <c r="K62" i="59"/>
  <c r="BG58" i="47"/>
  <c r="G134" i="63" l="1"/>
  <c r="BO93" i="38"/>
  <c r="BO106" s="1"/>
  <c r="BP93"/>
  <c r="BP106" s="1"/>
  <c r="BP109" s="1"/>
  <c r="BQ93"/>
  <c r="BQ106" s="1"/>
  <c r="BQ109" s="1"/>
  <c r="AF12" i="60"/>
  <c r="G19"/>
  <c r="U12" s="1"/>
  <c r="U13"/>
  <c r="V12"/>
  <c r="AR12" s="1"/>
  <c r="DH93" i="36"/>
  <c r="DH93" i="25"/>
  <c r="BL93"/>
  <c r="X103" i="41"/>
  <c r="X104" s="1"/>
  <c r="X106" s="1"/>
  <c r="X109" s="1"/>
  <c r="I460" i="46"/>
  <c r="H313" i="35"/>
  <c r="CY99" i="1"/>
  <c r="DH96"/>
  <c r="U104" i="41"/>
  <c r="AK92" i="37"/>
  <c r="W93"/>
  <c r="G313" i="35"/>
  <c r="BD39" i="47"/>
  <c r="BD293" s="1"/>
  <c r="J64" i="65"/>
  <c r="J63"/>
  <c r="J51"/>
  <c r="J112" i="63"/>
  <c r="J123"/>
  <c r="X51" i="60"/>
  <c r="BJ92" i="37"/>
  <c r="BH93"/>
  <c r="I412" i="46"/>
  <c r="L398"/>
  <c r="L434"/>
  <c r="N340"/>
  <c r="N360" s="1"/>
  <c r="G107" i="60"/>
  <c r="G119" s="1"/>
  <c r="G125" s="1"/>
  <c r="G131" s="1"/>
  <c r="G105" i="64" s="1"/>
  <c r="M381" i="46"/>
  <c r="M448" s="1"/>
  <c r="BO109" i="25"/>
  <c r="K398" i="46"/>
  <c r="K434"/>
  <c r="BH109" i="36"/>
  <c r="BO109"/>
  <c r="N359" i="46"/>
  <c r="U106" i="26"/>
  <c r="AS103"/>
  <c r="W97" i="36"/>
  <c r="U109" i="40"/>
  <c r="M397" i="46"/>
  <c r="M386"/>
  <c r="M387" s="1"/>
  <c r="M389" s="1"/>
  <c r="M390" s="1"/>
  <c r="F402" i="35"/>
  <c r="BL92" i="38"/>
  <c r="W97" i="25"/>
  <c r="AS104" i="40"/>
  <c r="K446" i="46"/>
  <c r="K407"/>
  <c r="BL9" i="3"/>
  <c r="L407" i="46"/>
  <c r="L446"/>
  <c r="F109" i="51"/>
  <c r="F89"/>
  <c r="F128" s="1"/>
  <c r="F110"/>
  <c r="N349" i="46"/>
  <c r="N327" s="1"/>
  <c r="BH109" i="25"/>
  <c r="BH106" i="38"/>
  <c r="BJ93"/>
  <c r="AK93"/>
  <c r="W95"/>
  <c r="BL93" i="36"/>
  <c r="J412" i="46"/>
  <c r="I437"/>
  <c r="H17" i="51"/>
  <c r="W98" i="1"/>
  <c r="F7" i="66"/>
  <c r="BA164" i="47"/>
  <c r="BI92" i="40"/>
  <c r="J146" i="63"/>
  <c r="H23" i="59"/>
  <c r="BP92" i="37"/>
  <c r="BO92"/>
  <c r="J77" i="64"/>
  <c r="G17" i="51"/>
  <c r="BQ92" i="37"/>
  <c r="K77" i="64"/>
  <c r="BI92" i="39"/>
  <c r="BA180" i="47"/>
  <c r="BE61"/>
  <c r="BD131"/>
  <c r="BA52"/>
  <c r="BF58"/>
  <c r="AY222"/>
  <c r="J113" i="60"/>
  <c r="G7" i="66"/>
  <c r="K146" i="63"/>
  <c r="AP98" i="1"/>
  <c r="AZ180" i="47"/>
  <c r="BE131"/>
  <c r="H55" i="59"/>
  <c r="J7" i="60"/>
  <c r="AZ52" i="47"/>
  <c r="AZ164"/>
  <c r="J26" i="35"/>
  <c r="AF51" i="60" l="1"/>
  <c r="AQ51" s="1"/>
  <c r="BO93" i="37"/>
  <c r="J134" i="63"/>
  <c r="BP93" i="37"/>
  <c r="BP106" s="1"/>
  <c r="BP109" s="1"/>
  <c r="J19" i="60"/>
  <c r="AI51" s="1"/>
  <c r="AT51" s="1"/>
  <c r="AI12"/>
  <c r="X13"/>
  <c r="BQ93" i="37"/>
  <c r="BQ106" s="1"/>
  <c r="BQ109" s="1"/>
  <c r="AQ12" i="60"/>
  <c r="DH93" i="38"/>
  <c r="N315" i="46"/>
  <c r="N316" s="1"/>
  <c r="N388" s="1"/>
  <c r="BL93" i="38"/>
  <c r="N341" i="46"/>
  <c r="N361" s="1"/>
  <c r="AP99" i="1"/>
  <c r="BF98"/>
  <c r="G80" i="51"/>
  <c r="BI93" i="39"/>
  <c r="J313" i="35"/>
  <c r="K78" i="64"/>
  <c r="BE132" i="47"/>
  <c r="J78" i="64"/>
  <c r="BD132" i="47"/>
  <c r="BI93" i="40"/>
  <c r="W99" i="1"/>
  <c r="AK98"/>
  <c r="AY227" i="47"/>
  <c r="H80" i="51"/>
  <c r="AS106" i="40"/>
  <c r="AS109" s="1"/>
  <c r="M434" i="46"/>
  <c r="M398"/>
  <c r="U109" i="26"/>
  <c r="AK93" i="37"/>
  <c r="W95"/>
  <c r="L435" i="46"/>
  <c r="L436"/>
  <c r="L399"/>
  <c r="L401" s="1"/>
  <c r="X12" i="60"/>
  <c r="G318" i="35"/>
  <c r="G322" a="1"/>
  <c r="G322" s="1"/>
  <c r="G401" s="1"/>
  <c r="CY106" i="1"/>
  <c r="DH99"/>
  <c r="AS103" i="41"/>
  <c r="W97" i="38"/>
  <c r="BH109"/>
  <c r="N350" i="46"/>
  <c r="N370" s="1"/>
  <c r="N380" s="1"/>
  <c r="L447"/>
  <c r="K447"/>
  <c r="BO109" i="38"/>
  <c r="N369" i="46"/>
  <c r="N379" s="1"/>
  <c r="F111" i="51"/>
  <c r="AS104" i="26"/>
  <c r="K435" i="46"/>
  <c r="K436"/>
  <c r="K399"/>
  <c r="K401" s="1"/>
  <c r="BJ93" i="37"/>
  <c r="BH106"/>
  <c r="U106" i="41"/>
  <c r="BO106" i="37"/>
  <c r="BL92"/>
  <c r="J107" i="60"/>
  <c r="J119" s="1"/>
  <c r="J125" s="1"/>
  <c r="J131" s="1"/>
  <c r="J105" i="64" s="1"/>
  <c r="H318" i="35"/>
  <c r="H322" a="1"/>
  <c r="H322" s="1"/>
  <c r="H401" s="1"/>
  <c r="M407" i="46"/>
  <c r="M446"/>
  <c r="BI92" i="41"/>
  <c r="L458" i="46"/>
  <c r="AY162" i="47"/>
  <c r="W92" i="40"/>
  <c r="CY96" i="36"/>
  <c r="K459" i="46"/>
  <c r="N62" i="59"/>
  <c r="I26" i="35"/>
  <c r="BE37" i="47"/>
  <c r="K26" i="63"/>
  <c r="L459" i="46"/>
  <c r="BJ33" i="3"/>
  <c r="AY245" i="47"/>
  <c r="L9" i="44"/>
  <c r="K29" i="60"/>
  <c r="L457" i="46"/>
  <c r="BH92" i="40"/>
  <c r="BG61" i="47"/>
  <c r="K99" i="63"/>
  <c r="BC164" i="47"/>
  <c r="AX37" i="3"/>
  <c r="K42" i="65"/>
  <c r="BH92" i="39"/>
  <c r="M62" i="59"/>
  <c r="BC52" i="47"/>
  <c r="CY96" i="25"/>
  <c r="K458" i="46"/>
  <c r="L146" i="63"/>
  <c r="BF131" i="47"/>
  <c r="N36" i="59"/>
  <c r="W92" i="39"/>
  <c r="K457" i="46"/>
  <c r="M36" i="59"/>
  <c r="BC180" i="47"/>
  <c r="J17" i="51"/>
  <c r="L77" i="64"/>
  <c r="I7" i="66"/>
  <c r="AT12" i="60" l="1"/>
  <c r="DH93" i="37"/>
  <c r="L437" i="46"/>
  <c r="K437"/>
  <c r="L460"/>
  <c r="J80" i="51"/>
  <c r="J85" s="1"/>
  <c r="W93" i="39"/>
  <c r="AK92"/>
  <c r="AK92" i="40"/>
  <c r="W93"/>
  <c r="CY99" i="25"/>
  <c r="DH96"/>
  <c r="BI93" i="41"/>
  <c r="K112" i="63"/>
  <c r="K123"/>
  <c r="Y51" i="60"/>
  <c r="K64" i="65"/>
  <c r="K63"/>
  <c r="K51"/>
  <c r="BE39" i="47"/>
  <c r="BE293" s="1"/>
  <c r="BJ92" i="39"/>
  <c r="BH93"/>
  <c r="BJ92" i="40"/>
  <c r="BH93"/>
  <c r="K460" i="46"/>
  <c r="CY99" i="36"/>
  <c r="DH96"/>
  <c r="I313" i="35"/>
  <c r="AY266" i="47"/>
  <c r="AY263"/>
  <c r="AY255"/>
  <c r="BF132"/>
  <c r="L78" i="64"/>
  <c r="AX47" i="3"/>
  <c r="AX48" s="1"/>
  <c r="AY175" i="47"/>
  <c r="G402" i="35"/>
  <c r="H109" i="51"/>
  <c r="H89"/>
  <c r="H128" s="1"/>
  <c r="H110"/>
  <c r="J318" i="35"/>
  <c r="J322" a="1"/>
  <c r="J322" s="1"/>
  <c r="J401" s="1"/>
  <c r="BF99" i="1"/>
  <c r="AP106"/>
  <c r="BO109" i="37"/>
  <c r="AS106" i="26"/>
  <c r="AS109" s="1"/>
  <c r="CY109" i="1"/>
  <c r="DH106"/>
  <c r="BH109" i="37"/>
  <c r="L412" i="46"/>
  <c r="G109" i="51"/>
  <c r="G110"/>
  <c r="G89"/>
  <c r="G128" s="1"/>
  <c r="K412" i="46"/>
  <c r="AS104" i="41"/>
  <c r="N328" i="46"/>
  <c r="N329" s="1"/>
  <c r="BL98" i="1"/>
  <c r="N351" i="46"/>
  <c r="N371" s="1"/>
  <c r="BL93" i="37"/>
  <c r="G85" i="51"/>
  <c r="H402" i="35"/>
  <c r="U109" i="41"/>
  <c r="W97" i="37"/>
  <c r="M435" i="46"/>
  <c r="M436"/>
  <c r="M399"/>
  <c r="M401" s="1"/>
  <c r="AK99" i="1"/>
  <c r="W101"/>
  <c r="M447" i="46"/>
  <c r="H85" i="51"/>
  <c r="J55" i="59"/>
  <c r="N9" i="44"/>
  <c r="I55" i="59"/>
  <c r="AY190" i="47"/>
  <c r="K113" i="60"/>
  <c r="BP92" i="40"/>
  <c r="BB180" i="47"/>
  <c r="M457" i="46"/>
  <c r="W92" i="41"/>
  <c r="BO92" i="40"/>
  <c r="CY96" i="38"/>
  <c r="M99" i="63"/>
  <c r="AP98" i="36"/>
  <c r="BQ92" i="40"/>
  <c r="M459" i="46"/>
  <c r="BF61" i="47"/>
  <c r="J23" i="59"/>
  <c r="W98" i="25"/>
  <c r="I17" i="51"/>
  <c r="BG37" i="47"/>
  <c r="AP98" i="25"/>
  <c r="M29" i="60"/>
  <c r="M458" i="46"/>
  <c r="W98" i="36"/>
  <c r="BB164" i="47"/>
  <c r="BP92" i="39"/>
  <c r="M42" i="65"/>
  <c r="BA222" i="47"/>
  <c r="O36" i="59"/>
  <c r="BQ92" i="39"/>
  <c r="AZ222" i="47"/>
  <c r="H7" i="66"/>
  <c r="O62" i="59"/>
  <c r="BM21" i="3"/>
  <c r="E22" i="66"/>
  <c r="BO92" i="39"/>
  <c r="BH92" i="41"/>
  <c r="F11" i="45"/>
  <c r="K7" i="60"/>
  <c r="I23" i="59"/>
  <c r="M26" i="63"/>
  <c r="BB52" i="47"/>
  <c r="BO93" i="39" l="1"/>
  <c r="BO106" s="1"/>
  <c r="BO93" i="40"/>
  <c r="BO106" s="1"/>
  <c r="K134" i="63"/>
  <c r="BQ93" i="40"/>
  <c r="BQ106" s="1"/>
  <c r="BQ109" s="1"/>
  <c r="Y13" i="60"/>
  <c r="K19"/>
  <c r="AJ51" s="1"/>
  <c r="AU51" s="1"/>
  <c r="AJ12"/>
  <c r="BP93" i="40"/>
  <c r="BP106" s="1"/>
  <c r="BP109" s="1"/>
  <c r="BQ93" i="39"/>
  <c r="BQ106" s="1"/>
  <c r="BQ109" s="1"/>
  <c r="BP93"/>
  <c r="BP106" s="1"/>
  <c r="BP109" s="1"/>
  <c r="BF98" i="36"/>
  <c r="AP99"/>
  <c r="CY99" i="38"/>
  <c r="DH96"/>
  <c r="W99" i="36"/>
  <c r="AK98"/>
  <c r="BA227" i="47"/>
  <c r="I80" i="51"/>
  <c r="I85" s="1"/>
  <c r="F64" i="45"/>
  <c r="M460" i="46"/>
  <c r="W93" i="41"/>
  <c r="AK92"/>
  <c r="AP99" i="25"/>
  <c r="BF98"/>
  <c r="AY192" i="47"/>
  <c r="E24" i="66"/>
  <c r="BJ92" i="41"/>
  <c r="BH93"/>
  <c r="AA51" i="60"/>
  <c r="M112" i="63"/>
  <c r="M123"/>
  <c r="AZ394" i="47"/>
  <c r="BG39"/>
  <c r="BG293" s="1"/>
  <c r="AZ371"/>
  <c r="M63" i="65"/>
  <c r="M64"/>
  <c r="M51"/>
  <c r="AZ227" i="47"/>
  <c r="W99" i="25"/>
  <c r="AK98"/>
  <c r="J402" i="35"/>
  <c r="H111" i="51"/>
  <c r="CY106" i="25"/>
  <c r="CY109" s="1"/>
  <c r="DH99"/>
  <c r="AK93" i="39"/>
  <c r="W95"/>
  <c r="J109" i="51"/>
  <c r="J89"/>
  <c r="J128" s="1"/>
  <c r="J110"/>
  <c r="M412" i="46"/>
  <c r="AP109" i="1"/>
  <c r="I318" i="35"/>
  <c r="I322" a="1"/>
  <c r="I322" s="1"/>
  <c r="I401" s="1"/>
  <c r="BH106" i="39"/>
  <c r="BJ93"/>
  <c r="BL92" i="40"/>
  <c r="DH109" i="1"/>
  <c r="AY271" i="47"/>
  <c r="AY267"/>
  <c r="DH99" i="36"/>
  <c r="CY106"/>
  <c r="CY109" s="1"/>
  <c r="F472" i="34"/>
  <c r="F288" i="7"/>
  <c r="F353" i="13"/>
  <c r="F350"/>
  <c r="F289" i="7"/>
  <c r="F469" i="34"/>
  <c r="F201" i="12"/>
  <c r="F475" i="17"/>
  <c r="F477"/>
  <c r="F479"/>
  <c r="F468"/>
  <c r="F480"/>
  <c r="F202" i="12"/>
  <c r="F204"/>
  <c r="F478" i="17"/>
  <c r="F470"/>
  <c r="F203" i="12"/>
  <c r="F476" i="17"/>
  <c r="F469"/>
  <c r="F467"/>
  <c r="F174" i="18"/>
  <c r="F172"/>
  <c r="F175"/>
  <c r="F173"/>
  <c r="F969" i="4"/>
  <c r="F959"/>
  <c r="F965"/>
  <c r="F960"/>
  <c r="F968"/>
  <c r="F966"/>
  <c r="F970"/>
  <c r="F967"/>
  <c r="F958"/>
  <c r="F957"/>
  <c r="BH106" i="40"/>
  <c r="BJ93"/>
  <c r="N381" i="46"/>
  <c r="N448" s="1"/>
  <c r="BM8" i="3" s="1"/>
  <c r="N397" i="46"/>
  <c r="N386"/>
  <c r="N387" s="1"/>
  <c r="N389" s="1"/>
  <c r="N390" s="1"/>
  <c r="G111" i="51"/>
  <c r="AS106" i="41"/>
  <c r="AS109" s="1"/>
  <c r="K107" i="60"/>
  <c r="K119" s="1"/>
  <c r="K125" s="1"/>
  <c r="K131" s="1"/>
  <c r="K105" i="64" s="1"/>
  <c r="AK93" i="40"/>
  <c r="W95"/>
  <c r="BL92" i="39"/>
  <c r="BL99" i="1"/>
  <c r="M437" i="46"/>
  <c r="AZ162" i="47"/>
  <c r="F22" i="66"/>
  <c r="L23" i="59"/>
  <c r="L99" i="63"/>
  <c r="BA190" i="47"/>
  <c r="AY35"/>
  <c r="CY96" i="37"/>
  <c r="K26" i="35"/>
  <c r="E24" i="63"/>
  <c r="L55" i="59"/>
  <c r="BA162" i="47"/>
  <c r="AZ245"/>
  <c r="W98" i="38"/>
  <c r="G22" i="66"/>
  <c r="BO92" i="41"/>
  <c r="BC222" i="47"/>
  <c r="L29" i="60"/>
  <c r="BJ24" i="3"/>
  <c r="BA245" i="47"/>
  <c r="M113" i="60"/>
  <c r="AP98" i="38"/>
  <c r="M7" i="60"/>
  <c r="E97" i="63"/>
  <c r="L42" i="65"/>
  <c r="E40"/>
  <c r="L26" i="63"/>
  <c r="AZ190" i="47"/>
  <c r="BK33" i="3"/>
  <c r="BF37" i="47"/>
  <c r="BQ92" i="41"/>
  <c r="L26" i="35"/>
  <c r="BP92" i="41"/>
  <c r="M9" i="44"/>
  <c r="BO93" i="41" l="1"/>
  <c r="Y12" i="60"/>
  <c r="AU12" s="1"/>
  <c r="M134" i="63"/>
  <c r="BP93" i="41"/>
  <c r="BP106" s="1"/>
  <c r="BP109" s="1"/>
  <c r="BQ93"/>
  <c r="BQ106" s="1"/>
  <c r="BQ109" s="1"/>
  <c r="AL12" i="60"/>
  <c r="M19"/>
  <c r="AL51" s="1"/>
  <c r="AW51" s="1"/>
  <c r="AA13"/>
  <c r="DH93" i="40"/>
  <c r="DH93" i="39"/>
  <c r="BL93" i="40"/>
  <c r="BL98" i="25"/>
  <c r="AP99" i="38"/>
  <c r="BF98"/>
  <c r="BC227" i="47"/>
  <c r="W99" i="38"/>
  <c r="AK98"/>
  <c r="BA255" i="47"/>
  <c r="BA266"/>
  <c r="BA263"/>
  <c r="L112" i="63"/>
  <c r="L123"/>
  <c r="Z51" i="60"/>
  <c r="BF39" i="47"/>
  <c r="BF293" s="1"/>
  <c r="L64" i="65"/>
  <c r="L63"/>
  <c r="L51"/>
  <c r="E111" i="63"/>
  <c r="E122"/>
  <c r="E50" i="65"/>
  <c r="AY36" i="47"/>
  <c r="L313" i="35"/>
  <c r="AZ266" i="47"/>
  <c r="AZ263"/>
  <c r="AZ255"/>
  <c r="CY99" i="37"/>
  <c r="DH96"/>
  <c r="K313" i="35"/>
  <c r="N407" i="46"/>
  <c r="BM9" i="3"/>
  <c r="N446" i="46"/>
  <c r="F973" i="4"/>
  <c r="F974" s="1"/>
  <c r="F978"/>
  <c r="F1271" s="1"/>
  <c r="F977"/>
  <c r="F1270" s="1"/>
  <c r="F980"/>
  <c r="F1273" s="1"/>
  <c r="F979"/>
  <c r="F1272" s="1"/>
  <c r="F478" i="34"/>
  <c r="F569" s="1"/>
  <c r="F474"/>
  <c r="F566" s="1"/>
  <c r="F476"/>
  <c r="F567" s="1"/>
  <c r="F477"/>
  <c r="F568" s="1"/>
  <c r="F295" i="7"/>
  <c r="F327" s="1"/>
  <c r="F293"/>
  <c r="F325" s="1"/>
  <c r="F294"/>
  <c r="F326" s="1"/>
  <c r="F292"/>
  <c r="F324" s="1"/>
  <c r="AY273" i="47"/>
  <c r="AY275"/>
  <c r="AY276" s="1"/>
  <c r="J111" i="51"/>
  <c r="AK99" i="36"/>
  <c r="W101"/>
  <c r="BH109" i="39"/>
  <c r="M107" i="60"/>
  <c r="M119" s="1"/>
  <c r="M125" s="1"/>
  <c r="M131" s="1"/>
  <c r="M105" i="64" s="1"/>
  <c r="AK93" i="41"/>
  <c r="W95"/>
  <c r="I109" i="51"/>
  <c r="I110"/>
  <c r="I89"/>
  <c r="I128" s="1"/>
  <c r="BF99" i="36"/>
  <c r="AP106"/>
  <c r="BO109" i="40"/>
  <c r="W97"/>
  <c r="N398" i="46"/>
  <c r="N434"/>
  <c r="BO109" i="39"/>
  <c r="AK99" i="25"/>
  <c r="W101"/>
  <c r="BF415" i="47"/>
  <c r="BJ93" i="41"/>
  <c r="BH106"/>
  <c r="BF99" i="25"/>
  <c r="AP106"/>
  <c r="BO106" i="41"/>
  <c r="BL98" i="36"/>
  <c r="BL93" i="39"/>
  <c r="I402" i="35"/>
  <c r="BH109" i="40"/>
  <c r="W97" i="39"/>
  <c r="BF377" i="47"/>
  <c r="BH377" s="1"/>
  <c r="BI377" s="1"/>
  <c r="BG376"/>
  <c r="AZ383"/>
  <c r="F483" i="17"/>
  <c r="F484" s="1"/>
  <c r="F489"/>
  <c r="F774" s="1"/>
  <c r="F488"/>
  <c r="F773" s="1"/>
  <c r="F491"/>
  <c r="F776" s="1"/>
  <c r="F490"/>
  <c r="F775" s="1"/>
  <c r="F358" i="13"/>
  <c r="F467" s="1"/>
  <c r="F355"/>
  <c r="F464" s="1"/>
  <c r="F356"/>
  <c r="F465" s="1"/>
  <c r="F357"/>
  <c r="F466" s="1"/>
  <c r="E38" i="66"/>
  <c r="E40" s="1"/>
  <c r="E42" s="1"/>
  <c r="AY155" i="47"/>
  <c r="AZ149" s="1"/>
  <c r="AY194"/>
  <c r="F78" i="45"/>
  <c r="G79" s="1"/>
  <c r="F110"/>
  <c r="F65"/>
  <c r="F114" s="1"/>
  <c r="DH99" i="38"/>
  <c r="CY106"/>
  <c r="CY109" s="1"/>
  <c r="BL92" i="41"/>
  <c r="L7" i="60"/>
  <c r="K23" i="59"/>
  <c r="E94" i="60"/>
  <c r="G11" i="45"/>
  <c r="BB222" i="47"/>
  <c r="M26" i="35"/>
  <c r="BD180" i="47"/>
  <c r="K17" i="51"/>
  <c r="K55" i="59"/>
  <c r="M77" i="64"/>
  <c r="BC162" i="47"/>
  <c r="BC190"/>
  <c r="AP98" i="37"/>
  <c r="W98"/>
  <c r="H11" i="45"/>
  <c r="I22" i="66"/>
  <c r="L17" i="51"/>
  <c r="BE180" i="47"/>
  <c r="BE164"/>
  <c r="BD164"/>
  <c r="BE52"/>
  <c r="BI102" i="1"/>
  <c r="W102"/>
  <c r="BI92" i="26"/>
  <c r="BG131" i="47"/>
  <c r="BC245"/>
  <c r="L113" i="60"/>
  <c r="K7" i="66"/>
  <c r="J7"/>
  <c r="M146" i="63"/>
  <c r="BD52" i="47"/>
  <c r="BL33" i="3"/>
  <c r="L134" i="63" l="1"/>
  <c r="AK12" i="60"/>
  <c r="L19"/>
  <c r="Z12" s="1"/>
  <c r="Z13"/>
  <c r="AA12"/>
  <c r="AW12" s="1"/>
  <c r="DH93" i="41"/>
  <c r="BL98" i="38"/>
  <c r="H64" i="45"/>
  <c r="K80" i="51"/>
  <c r="K85" s="1"/>
  <c r="L80"/>
  <c r="L85" s="1"/>
  <c r="BC255" i="47"/>
  <c r="BC263"/>
  <c r="BC266"/>
  <c r="W99" i="37"/>
  <c r="AK98"/>
  <c r="BB227" i="47"/>
  <c r="M78" i="64"/>
  <c r="BG132" i="47"/>
  <c r="G64" i="45"/>
  <c r="BF98" i="37"/>
  <c r="AP99"/>
  <c r="BC149" i="47"/>
  <c r="W104" i="1"/>
  <c r="BI93" i="26"/>
  <c r="BI104" i="1"/>
  <c r="BJ102"/>
  <c r="AD35" i="60"/>
  <c r="M313" i="35"/>
  <c r="L318"/>
  <c r="L322" a="1"/>
  <c r="L322" s="1"/>
  <c r="L401" s="1"/>
  <c r="AK99" i="38"/>
  <c r="W101"/>
  <c r="BA271" i="47"/>
  <c r="BA267"/>
  <c r="AP106" i="38"/>
  <c r="BF99"/>
  <c r="BO109" i="41"/>
  <c r="AP109" i="36"/>
  <c r="I111" i="51"/>
  <c r="N447" i="46"/>
  <c r="AZ271" i="47"/>
  <c r="AZ267"/>
  <c r="AY153"/>
  <c r="F66" i="45"/>
  <c r="F113" s="1"/>
  <c r="F115" s="1"/>
  <c r="BA149" i="47"/>
  <c r="BG146"/>
  <c r="BC147"/>
  <c r="AZ38" i="3"/>
  <c r="BB143" i="47"/>
  <c r="BD148"/>
  <c r="BD147"/>
  <c r="BF148"/>
  <c r="BA148"/>
  <c r="AZ148"/>
  <c r="BG143"/>
  <c r="AY144"/>
  <c r="BA143"/>
  <c r="AZ143"/>
  <c r="AY147"/>
  <c r="AY142"/>
  <c r="AZ145"/>
  <c r="AY150"/>
  <c r="BB147"/>
  <c r="BB146"/>
  <c r="BB148"/>
  <c r="BG145"/>
  <c r="BD145"/>
  <c r="BG147"/>
  <c r="BA145"/>
  <c r="BF146"/>
  <c r="BF147"/>
  <c r="AY145"/>
  <c r="AY146"/>
  <c r="AY143"/>
  <c r="BD143"/>
  <c r="BE148"/>
  <c r="BA146"/>
  <c r="BF145"/>
  <c r="BE147"/>
  <c r="BC145"/>
  <c r="BE146"/>
  <c r="AZ147"/>
  <c r="BB145"/>
  <c r="AY148"/>
  <c r="AZ146"/>
  <c r="BE145"/>
  <c r="BC146"/>
  <c r="BG148"/>
  <c r="BC148"/>
  <c r="BC143"/>
  <c r="BE143"/>
  <c r="BD146"/>
  <c r="BF143"/>
  <c r="BA147"/>
  <c r="BA142"/>
  <c r="BF142"/>
  <c r="BG142"/>
  <c r="BE142"/>
  <c r="AZ142"/>
  <c r="BD144"/>
  <c r="AZ144"/>
  <c r="BB142"/>
  <c r="BD142"/>
  <c r="BA144"/>
  <c r="BF144"/>
  <c r="AZ41" i="3"/>
  <c r="BC142" i="47"/>
  <c r="BE144"/>
  <c r="AZ42" i="3"/>
  <c r="BG144" i="47"/>
  <c r="BB144"/>
  <c r="BC144"/>
  <c r="AZ150"/>
  <c r="BA150"/>
  <c r="AZ39" i="3"/>
  <c r="AZ44"/>
  <c r="AZ45"/>
  <c r="BB150" i="47"/>
  <c r="BC150"/>
  <c r="BD150"/>
  <c r="BE150"/>
  <c r="BF150"/>
  <c r="BG150"/>
  <c r="AZ40" i="3"/>
  <c r="AZ36"/>
  <c r="AY141" i="47"/>
  <c r="AY149"/>
  <c r="AY292"/>
  <c r="BF376"/>
  <c r="BH376" s="1"/>
  <c r="BI376" s="1"/>
  <c r="BG415"/>
  <c r="BH415" s="1"/>
  <c r="BI415" s="1"/>
  <c r="AP109" i="25"/>
  <c r="W97" i="41"/>
  <c r="DH99" i="37"/>
  <c r="CY106"/>
  <c r="CY109" s="1"/>
  <c r="BH109" i="41"/>
  <c r="N435" i="46"/>
  <c r="N436"/>
  <c r="N399"/>
  <c r="N401" s="1"/>
  <c r="K318" i="35"/>
  <c r="K322" a="1"/>
  <c r="K322" s="1"/>
  <c r="K401" s="1"/>
  <c r="G469" i="17"/>
  <c r="G477"/>
  <c r="G288" i="7"/>
  <c r="G470" i="17"/>
  <c r="G475"/>
  <c r="G468"/>
  <c r="G479"/>
  <c r="G289" i="7"/>
  <c r="G476" i="17"/>
  <c r="G467"/>
  <c r="G478"/>
  <c r="G480"/>
  <c r="G204" i="12"/>
  <c r="G202"/>
  <c r="G203"/>
  <c r="G201"/>
  <c r="G173" i="18"/>
  <c r="G175"/>
  <c r="G172"/>
  <c r="G174"/>
  <c r="G967" i="4"/>
  <c r="G957"/>
  <c r="G966"/>
  <c r="G959"/>
  <c r="G960"/>
  <c r="G968"/>
  <c r="G970"/>
  <c r="G958"/>
  <c r="G969"/>
  <c r="G965"/>
  <c r="G350" i="13"/>
  <c r="G353"/>
  <c r="G469" i="34"/>
  <c r="G472"/>
  <c r="E133" i="63"/>
  <c r="L107" i="60"/>
  <c r="L119" s="1"/>
  <c r="L125" s="1"/>
  <c r="L131" s="1"/>
  <c r="L105" i="64" s="1"/>
  <c r="H288" i="7"/>
  <c r="H289"/>
  <c r="H204" i="12"/>
  <c r="H203"/>
  <c r="H202"/>
  <c r="H201"/>
  <c r="H175" i="18"/>
  <c r="H174"/>
  <c r="H172"/>
  <c r="H173"/>
  <c r="H479" i="17"/>
  <c r="H476"/>
  <c r="H469"/>
  <c r="H478"/>
  <c r="H480"/>
  <c r="H475"/>
  <c r="H467"/>
  <c r="H470"/>
  <c r="H477"/>
  <c r="H468"/>
  <c r="H353" i="13"/>
  <c r="H960" i="4"/>
  <c r="H968"/>
  <c r="H966"/>
  <c r="H350" i="13"/>
  <c r="H965" i="4"/>
  <c r="H970"/>
  <c r="H967"/>
  <c r="H959"/>
  <c r="H969"/>
  <c r="H957"/>
  <c r="H958"/>
  <c r="H469" i="34"/>
  <c r="H472"/>
  <c r="BL99" i="25"/>
  <c r="BL93" i="41"/>
  <c r="BL99" i="36"/>
  <c r="N459" i="46"/>
  <c r="G40" i="65"/>
  <c r="N458" i="46"/>
  <c r="W92" i="26"/>
  <c r="BA35" i="47"/>
  <c r="BB162"/>
  <c r="BB245"/>
  <c r="P62" i="59"/>
  <c r="F40" i="65"/>
  <c r="BF52" i="47"/>
  <c r="J11" i="45"/>
  <c r="BK24" i="3"/>
  <c r="BH92" i="26"/>
  <c r="L7" i="66"/>
  <c r="BB190" i="47"/>
  <c r="BF180"/>
  <c r="M17" i="51"/>
  <c r="H22" i="66"/>
  <c r="F24" i="63"/>
  <c r="AZ35" i="47"/>
  <c r="F97" i="63"/>
  <c r="BF164" i="47"/>
  <c r="Z102" i="1"/>
  <c r="CY96" i="40"/>
  <c r="N457" i="46"/>
  <c r="G97" i="63"/>
  <c r="CY96" i="39"/>
  <c r="P36" i="59"/>
  <c r="G24" i="63"/>
  <c r="N10" i="48" l="1"/>
  <c r="F10" a="1"/>
  <c r="AV12" i="60"/>
  <c r="AK51"/>
  <c r="AV51" s="1"/>
  <c r="BL99" i="38"/>
  <c r="W93" i="26"/>
  <c r="AK92"/>
  <c r="J64" i="45"/>
  <c r="N460" i="46"/>
  <c r="BM10" i="3" s="1"/>
  <c r="CY99" i="39"/>
  <c r="DH96"/>
  <c r="BJ92" i="26"/>
  <c r="BH93"/>
  <c r="F50" i="65"/>
  <c r="AZ36" i="47"/>
  <c r="F111" i="63"/>
  <c r="F122"/>
  <c r="BB255" i="47"/>
  <c r="BB263"/>
  <c r="BB266"/>
  <c r="G50" i="65"/>
  <c r="G111" i="63"/>
  <c r="G122"/>
  <c r="BA36" i="47"/>
  <c r="CY99" i="40"/>
  <c r="DH96"/>
  <c r="M80" i="51"/>
  <c r="Z103" i="1"/>
  <c r="Z104" s="1"/>
  <c r="AK102"/>
  <c r="BL102" s="1"/>
  <c r="BB149" i="47"/>
  <c r="H355" i="13"/>
  <c r="H464" s="1"/>
  <c r="H356"/>
  <c r="H465" s="1"/>
  <c r="H358"/>
  <c r="H467" s="1"/>
  <c r="H357"/>
  <c r="H466" s="1"/>
  <c r="H483" i="17"/>
  <c r="H484" s="1"/>
  <c r="H488"/>
  <c r="H773" s="1"/>
  <c r="H490"/>
  <c r="H775" s="1"/>
  <c r="H491"/>
  <c r="H776" s="1"/>
  <c r="H489"/>
  <c r="H774" s="1"/>
  <c r="H295" i="7"/>
  <c r="H327" s="1"/>
  <c r="H293"/>
  <c r="H325" s="1"/>
  <c r="H294"/>
  <c r="H326" s="1"/>
  <c r="H292"/>
  <c r="H324" s="1"/>
  <c r="BA273" i="47"/>
  <c r="BA275"/>
  <c r="BA276" s="1"/>
  <c r="M318" i="35"/>
  <c r="M322" a="1"/>
  <c r="M322" s="1"/>
  <c r="M401" s="1"/>
  <c r="K402"/>
  <c r="N412" i="46"/>
  <c r="AP109" i="38"/>
  <c r="AP106" i="37"/>
  <c r="BF99"/>
  <c r="AK99"/>
  <c r="W101"/>
  <c r="H980" i="4"/>
  <c r="H1273" s="1"/>
  <c r="H979"/>
  <c r="H1272" s="1"/>
  <c r="H978"/>
  <c r="H1271" s="1"/>
  <c r="H973"/>
  <c r="H974" s="1"/>
  <c r="H977"/>
  <c r="H1270" s="1"/>
  <c r="G474" i="34"/>
  <c r="G566" s="1"/>
  <c r="G476"/>
  <c r="G567" s="1"/>
  <c r="G478"/>
  <c r="G569" s="1"/>
  <c r="G477"/>
  <c r="G568" s="1"/>
  <c r="G973" i="4"/>
  <c r="G974" s="1"/>
  <c r="G978"/>
  <c r="G1271" s="1"/>
  <c r="G979"/>
  <c r="G1272" s="1"/>
  <c r="G977"/>
  <c r="G1270" s="1"/>
  <c r="G980"/>
  <c r="G1273" s="1"/>
  <c r="G489" i="17"/>
  <c r="G774" s="1"/>
  <c r="G488"/>
  <c r="G773" s="1"/>
  <c r="G490"/>
  <c r="G775" s="1"/>
  <c r="G483"/>
  <c r="G484" s="1"/>
  <c r="G491"/>
  <c r="G776" s="1"/>
  <c r="AZ273" i="47"/>
  <c r="AZ275"/>
  <c r="AZ276" s="1"/>
  <c r="L402" i="35"/>
  <c r="W106" i="1"/>
  <c r="H110" i="45"/>
  <c r="H78"/>
  <c r="H73"/>
  <c r="H123" s="1"/>
  <c r="H65"/>
  <c r="H114" s="1"/>
  <c r="N437" i="46"/>
  <c r="AY151" i="47"/>
  <c r="H474" i="34"/>
  <c r="H566" s="1"/>
  <c r="H476"/>
  <c r="H567" s="1"/>
  <c r="H477"/>
  <c r="H568" s="1"/>
  <c r="H478"/>
  <c r="H569" s="1"/>
  <c r="G358" i="13"/>
  <c r="G467" s="1"/>
  <c r="G355"/>
  <c r="G464" s="1"/>
  <c r="G357"/>
  <c r="G466" s="1"/>
  <c r="G356"/>
  <c r="G465" s="1"/>
  <c r="G292" i="7"/>
  <c r="G324" s="1"/>
  <c r="G295"/>
  <c r="G327" s="1"/>
  <c r="G293"/>
  <c r="G325" s="1"/>
  <c r="G294"/>
  <c r="G326" s="1"/>
  <c r="J204" i="12"/>
  <c r="J203"/>
  <c r="J202"/>
  <c r="J201"/>
  <c r="J172" i="18"/>
  <c r="J174"/>
  <c r="J173"/>
  <c r="J175"/>
  <c r="J353" i="13"/>
  <c r="J350"/>
  <c r="J468" i="17"/>
  <c r="J477"/>
  <c r="J478"/>
  <c r="J470"/>
  <c r="J472" i="34"/>
  <c r="J475" i="17"/>
  <c r="J476"/>
  <c r="J480"/>
  <c r="J467"/>
  <c r="J469"/>
  <c r="J469" i="34"/>
  <c r="J479" i="17"/>
  <c r="J960" i="4"/>
  <c r="J969"/>
  <c r="J967"/>
  <c r="J959"/>
  <c r="J965"/>
  <c r="J957"/>
  <c r="J970"/>
  <c r="J968"/>
  <c r="J966"/>
  <c r="J958"/>
  <c r="J289" i="7"/>
  <c r="J288"/>
  <c r="K109" i="51"/>
  <c r="K89"/>
  <c r="K128" s="1"/>
  <c r="K110"/>
  <c r="BC271" i="47"/>
  <c r="BC267"/>
  <c r="BJ104" i="1"/>
  <c r="BI106"/>
  <c r="G73" i="45"/>
  <c r="G123" s="1"/>
  <c r="G78"/>
  <c r="G110"/>
  <c r="G65"/>
  <c r="G114" s="1"/>
  <c r="F152"/>
  <c r="L109" i="51"/>
  <c r="L89"/>
  <c r="L128" s="1"/>
  <c r="L110"/>
  <c r="BL98" i="37"/>
  <c r="I24" i="63"/>
  <c r="BT102" i="36"/>
  <c r="BD222" i="47"/>
  <c r="W102" i="36"/>
  <c r="AP98" i="40"/>
  <c r="BI102" i="36"/>
  <c r="BT102" i="25"/>
  <c r="BQ92" i="26"/>
  <c r="AP98" i="39"/>
  <c r="F94" i="60"/>
  <c r="M55" i="59"/>
  <c r="N23"/>
  <c r="I40" i="65"/>
  <c r="W102" i="25"/>
  <c r="W98" i="40"/>
  <c r="BL24" i="3"/>
  <c r="N55" i="59"/>
  <c r="CY96" i="41"/>
  <c r="BO92" i="26"/>
  <c r="W98" i="39"/>
  <c r="BI102" i="25"/>
  <c r="G94" i="60"/>
  <c r="M23" i="59"/>
  <c r="BC35" i="47"/>
  <c r="I97" i="63"/>
  <c r="BP92" i="26"/>
  <c r="BE222" i="47"/>
  <c r="I11" i="45"/>
  <c r="F10" i="48" l="1"/>
  <c r="H10"/>
  <c r="G10"/>
  <c r="J10"/>
  <c r="I10"/>
  <c r="K10"/>
  <c r="L10"/>
  <c r="M10"/>
  <c r="BO93" i="26"/>
  <c r="BO106" s="1"/>
  <c r="BQ93"/>
  <c r="BQ106" s="1"/>
  <c r="BQ109" s="1"/>
  <c r="BP93"/>
  <c r="BP106" s="1"/>
  <c r="BP109" s="1"/>
  <c r="BL99" i="37"/>
  <c r="Z106" i="1"/>
  <c r="Z109" s="1"/>
  <c r="AK104"/>
  <c r="G66" i="45"/>
  <c r="G113" s="1"/>
  <c r="BL92" i="26"/>
  <c r="AP99" i="39"/>
  <c r="BF98"/>
  <c r="I64" i="45"/>
  <c r="BF98" i="40"/>
  <c r="AP99"/>
  <c r="W99" i="39"/>
  <c r="AK98"/>
  <c r="BD227" i="47"/>
  <c r="BI104" i="36"/>
  <c r="BJ102"/>
  <c r="AF35" i="60"/>
  <c r="W104" i="36"/>
  <c r="I50" i="65"/>
  <c r="BC36" i="47"/>
  <c r="I111" i="63"/>
  <c r="I122"/>
  <c r="W99" i="40"/>
  <c r="AK98"/>
  <c r="BE227" i="47"/>
  <c r="W104" i="25"/>
  <c r="BT104" i="36"/>
  <c r="DH102"/>
  <c r="BI104" i="25"/>
  <c r="BJ102"/>
  <c r="AE35" i="60"/>
  <c r="BT104" i="25"/>
  <c r="DH102"/>
  <c r="CY99" i="41"/>
  <c r="DH96"/>
  <c r="K111" i="51"/>
  <c r="J483" i="17"/>
  <c r="J484" s="1"/>
  <c r="J491"/>
  <c r="J776" s="1"/>
  <c r="J488"/>
  <c r="J773" s="1"/>
  <c r="J490"/>
  <c r="J775" s="1"/>
  <c r="J489"/>
  <c r="J774" s="1"/>
  <c r="BB204" i="47"/>
  <c r="BC204"/>
  <c r="L111" i="51"/>
  <c r="I79" i="45"/>
  <c r="H80"/>
  <c r="CY106" i="40"/>
  <c r="CY109" s="1"/>
  <c r="DH99"/>
  <c r="G115" i="45"/>
  <c r="J476" i="34"/>
  <c r="J567" s="1"/>
  <c r="J474"/>
  <c r="J566" s="1"/>
  <c r="J477"/>
  <c r="J568" s="1"/>
  <c r="J478"/>
  <c r="J569" s="1"/>
  <c r="H124" i="45"/>
  <c r="G124"/>
  <c r="J295" i="7"/>
  <c r="J327" s="1"/>
  <c r="J292"/>
  <c r="J324" s="1"/>
  <c r="J293"/>
  <c r="J325" s="1"/>
  <c r="J294"/>
  <c r="J326" s="1"/>
  <c r="J355" i="13"/>
  <c r="J464" s="1"/>
  <c r="J356"/>
  <c r="J465" s="1"/>
  <c r="J358"/>
  <c r="J467" s="1"/>
  <c r="J357"/>
  <c r="J466" s="1"/>
  <c r="W109" i="1"/>
  <c r="AU103"/>
  <c r="AK103"/>
  <c r="BH106" i="26"/>
  <c r="BJ93"/>
  <c r="J73" i="45"/>
  <c r="J123" s="1"/>
  <c r="J65"/>
  <c r="J114" s="1"/>
  <c r="J110"/>
  <c r="J78"/>
  <c r="H66"/>
  <c r="H113" s="1"/>
  <c r="H115" s="1"/>
  <c r="BC273" i="47"/>
  <c r="BC275"/>
  <c r="BC276" s="1"/>
  <c r="M402" i="35"/>
  <c r="M109" i="51"/>
  <c r="M110"/>
  <c r="M89"/>
  <c r="M128" s="1"/>
  <c r="AZ292" i="47"/>
  <c r="DH99" i="39"/>
  <c r="CY106"/>
  <c r="CY109" s="1"/>
  <c r="AK93" i="26"/>
  <c r="W95"/>
  <c r="G80" i="45"/>
  <c r="G81" s="1"/>
  <c r="H79"/>
  <c r="J978" i="4"/>
  <c r="J1271" s="1"/>
  <c r="J977"/>
  <c r="J1270" s="1"/>
  <c r="J973"/>
  <c r="J974" s="1"/>
  <c r="J980"/>
  <c r="J1273" s="1"/>
  <c r="J979"/>
  <c r="J1272" s="1"/>
  <c r="BA292" i="47"/>
  <c r="I201" i="12"/>
  <c r="I175" i="18"/>
  <c r="I173"/>
  <c r="I172"/>
  <c r="I204" i="12"/>
  <c r="I174" i="18"/>
  <c r="I203" i="12"/>
  <c r="I202"/>
  <c r="I350" i="13"/>
  <c r="I475" i="17"/>
  <c r="I469"/>
  <c r="I476"/>
  <c r="I470"/>
  <c r="I467"/>
  <c r="I353" i="13"/>
  <c r="I479" i="17"/>
  <c r="I477"/>
  <c r="I480"/>
  <c r="I468"/>
  <c r="I478"/>
  <c r="I968" i="4"/>
  <c r="I960"/>
  <c r="I966"/>
  <c r="I469" i="34"/>
  <c r="I965" i="4"/>
  <c r="I958"/>
  <c r="I959"/>
  <c r="I970"/>
  <c r="I472" i="34"/>
  <c r="I967" i="4"/>
  <c r="I957"/>
  <c r="I969"/>
  <c r="I289" i="7"/>
  <c r="I288"/>
  <c r="BI109" i="1"/>
  <c r="BJ106"/>
  <c r="AP109" i="37"/>
  <c r="G133" i="63"/>
  <c r="BB271" i="47"/>
  <c r="BB267"/>
  <c r="F133" i="63"/>
  <c r="M85" i="51"/>
  <c r="BT102" i="38"/>
  <c r="O55" i="59"/>
  <c r="J22" i="66"/>
  <c r="AY63" i="47"/>
  <c r="I94" i="60"/>
  <c r="N26" i="35"/>
  <c r="AY60" i="47"/>
  <c r="AY53"/>
  <c r="BD245"/>
  <c r="BE162"/>
  <c r="W98" i="41"/>
  <c r="BD162" i="47"/>
  <c r="BB35"/>
  <c r="BD190"/>
  <c r="H40" i="65"/>
  <c r="K22" i="66"/>
  <c r="Z102" i="25"/>
  <c r="BF222" i="47"/>
  <c r="AP98" i="41"/>
  <c r="BI102" i="38"/>
  <c r="BE190" i="47"/>
  <c r="H24" i="63"/>
  <c r="Z102" i="36"/>
  <c r="O23" i="59"/>
  <c r="BE245" i="47"/>
  <c r="W102" i="38"/>
  <c r="H97" i="63"/>
  <c r="DH93" i="26" l="1"/>
  <c r="AK102" i="25"/>
  <c r="BL102" s="1"/>
  <c r="Z103"/>
  <c r="AU103" s="1"/>
  <c r="AK106" i="1"/>
  <c r="J66" i="45"/>
  <c r="J113" s="1"/>
  <c r="J115" s="1"/>
  <c r="BL98" i="40"/>
  <c r="BF98" i="41"/>
  <c r="AP99"/>
  <c r="Z103" i="36"/>
  <c r="Z104" s="1"/>
  <c r="AK102"/>
  <c r="BL102" s="1"/>
  <c r="H50" i="65"/>
  <c r="H111" i="63"/>
  <c r="H122"/>
  <c r="BB36" i="47"/>
  <c r="W104" i="38"/>
  <c r="AY72" i="47"/>
  <c r="BD149"/>
  <c r="BT104" i="38"/>
  <c r="DH102"/>
  <c r="BF227" i="47"/>
  <c r="W99" i="41"/>
  <c r="AK98"/>
  <c r="BI104" i="38"/>
  <c r="BJ102"/>
  <c r="AH35" i="60"/>
  <c r="BE149" i="47"/>
  <c r="BE255"/>
  <c r="BE263"/>
  <c r="BE266"/>
  <c r="N313" i="35"/>
  <c r="AY299" i="47"/>
  <c r="BD263"/>
  <c r="BD255"/>
  <c r="BD266"/>
  <c r="BH109" i="26"/>
  <c r="AK109" i="1"/>
  <c r="DH104" i="36"/>
  <c r="BT106"/>
  <c r="W106"/>
  <c r="I978" i="4"/>
  <c r="I1271" s="1"/>
  <c r="I977"/>
  <c r="I1270" s="1"/>
  <c r="I979"/>
  <c r="I1272" s="1"/>
  <c r="I973"/>
  <c r="I974" s="1"/>
  <c r="I980"/>
  <c r="I1273" s="1"/>
  <c r="DH104" i="25"/>
  <c r="BT106"/>
  <c r="BJ104" i="36"/>
  <c r="BI106"/>
  <c r="BF99" i="39"/>
  <c r="AP106"/>
  <c r="I474" i="34"/>
  <c r="I566" s="1"/>
  <c r="I478"/>
  <c r="I569" s="1"/>
  <c r="I477"/>
  <c r="I568" s="1"/>
  <c r="I476"/>
  <c r="I567" s="1"/>
  <c r="J124" i="45"/>
  <c r="AU104" i="1"/>
  <c r="BF103"/>
  <c r="BL103" s="1"/>
  <c r="I355" i="13"/>
  <c r="I464" s="1"/>
  <c r="I356"/>
  <c r="I465" s="1"/>
  <c r="I358"/>
  <c r="I467" s="1"/>
  <c r="I357"/>
  <c r="I466" s="1"/>
  <c r="M111" i="51"/>
  <c r="BO109" i="26"/>
  <c r="AK99" i="40"/>
  <c r="W101"/>
  <c r="I78" i="45"/>
  <c r="I110"/>
  <c r="I65"/>
  <c r="I114" s="1"/>
  <c r="I73"/>
  <c r="I123" s="1"/>
  <c r="H81"/>
  <c r="BL93" i="26"/>
  <c r="BL98" i="39"/>
  <c r="BB275" i="47"/>
  <c r="BB276" s="1"/>
  <c r="BB273"/>
  <c r="I294" i="7"/>
  <c r="I326" s="1"/>
  <c r="I292"/>
  <c r="I324" s="1"/>
  <c r="I295"/>
  <c r="I327" s="1"/>
  <c r="I293"/>
  <c r="I325" s="1"/>
  <c r="I489" i="17"/>
  <c r="I774" s="1"/>
  <c r="I488"/>
  <c r="I773" s="1"/>
  <c r="I491"/>
  <c r="I776" s="1"/>
  <c r="I483"/>
  <c r="I484" s="1"/>
  <c r="I490"/>
  <c r="I775" s="1"/>
  <c r="W97" i="26"/>
  <c r="CY106" i="41"/>
  <c r="CY109" s="1"/>
  <c r="DH99"/>
  <c r="BC292" i="47"/>
  <c r="BJ109" i="1"/>
  <c r="K79" i="45"/>
  <c r="AP106" i="40"/>
  <c r="BF99"/>
  <c r="BJ104" i="25"/>
  <c r="BI106"/>
  <c r="W106"/>
  <c r="I133" i="63"/>
  <c r="AK99" i="39"/>
  <c r="W101"/>
  <c r="K11" i="45"/>
  <c r="L11"/>
  <c r="BG180" i="47"/>
  <c r="BF190"/>
  <c r="BG52"/>
  <c r="BF245"/>
  <c r="H94" i="60"/>
  <c r="BF162" i="47"/>
  <c r="BG164"/>
  <c r="BI102" i="37"/>
  <c r="BT102"/>
  <c r="Z102" i="38"/>
  <c r="L22" i="66"/>
  <c r="AZ173" i="47"/>
  <c r="BA173"/>
  <c r="M7" i="66"/>
  <c r="W102" i="37"/>
  <c r="N17" i="51"/>
  <c r="BL99" i="39" l="1"/>
  <c r="Z104" i="25"/>
  <c r="Z106" s="1"/>
  <c r="Z109" s="1"/>
  <c r="AK103"/>
  <c r="AK102" i="38"/>
  <c r="BL102" s="1"/>
  <c r="Z103"/>
  <c r="Z104" s="1"/>
  <c r="Z106" s="1"/>
  <c r="Z109" s="1"/>
  <c r="Z106" i="36"/>
  <c r="Z109" s="1"/>
  <c r="AK104"/>
  <c r="K64" i="45"/>
  <c r="N80" i="51"/>
  <c r="BA175" i="47"/>
  <c r="BT104" i="37"/>
  <c r="DH102"/>
  <c r="L64" i="45"/>
  <c r="AZ175" i="47"/>
  <c r="BF149"/>
  <c r="BI104" i="37"/>
  <c r="BJ102"/>
  <c r="AG35" i="60"/>
  <c r="BF266" i="47"/>
  <c r="BF263"/>
  <c r="BF255"/>
  <c r="W104" i="37"/>
  <c r="BE271" i="47"/>
  <c r="BE267"/>
  <c r="I124" i="45"/>
  <c r="I80"/>
  <c r="I81" s="1"/>
  <c r="J79"/>
  <c r="AU106" i="1"/>
  <c r="BF104"/>
  <c r="BL104" s="1"/>
  <c r="N318" i="35"/>
  <c r="N322" a="1"/>
  <c r="N322" s="1"/>
  <c r="N401" s="1"/>
  <c r="BF99" i="41"/>
  <c r="AP106"/>
  <c r="BI109" i="25"/>
  <c r="BJ106"/>
  <c r="AP109" i="40"/>
  <c r="AP109" i="39"/>
  <c r="BT109" i="25"/>
  <c r="DH106"/>
  <c r="AU104"/>
  <c r="BF103"/>
  <c r="BD271" i="47"/>
  <c r="BD267"/>
  <c r="L201" i="12"/>
  <c r="L204"/>
  <c r="L203"/>
  <c r="L202"/>
  <c r="L172" i="18"/>
  <c r="L174"/>
  <c r="L173"/>
  <c r="L175"/>
  <c r="L350" i="13"/>
  <c r="L353"/>
  <c r="L472" i="34"/>
  <c r="L469"/>
  <c r="L476" i="17"/>
  <c r="L469"/>
  <c r="L477"/>
  <c r="L479"/>
  <c r="L468"/>
  <c r="L470"/>
  <c r="L478"/>
  <c r="L475"/>
  <c r="L480"/>
  <c r="L467"/>
  <c r="L967" i="4"/>
  <c r="L970"/>
  <c r="L965"/>
  <c r="L960"/>
  <c r="L966"/>
  <c r="L968"/>
  <c r="L969"/>
  <c r="L959"/>
  <c r="L958"/>
  <c r="L957"/>
  <c r="L288" i="7"/>
  <c r="L289"/>
  <c r="BJ104" i="38"/>
  <c r="BI106"/>
  <c r="H133" i="63"/>
  <c r="AU103" i="36"/>
  <c r="AK103"/>
  <c r="J80" i="45"/>
  <c r="I66"/>
  <c r="I113" s="1"/>
  <c r="I115" s="1"/>
  <c r="W109" i="25"/>
  <c r="BT109" i="36"/>
  <c r="DH106"/>
  <c r="K203" i="12"/>
  <c r="K202"/>
  <c r="K201"/>
  <c r="K204"/>
  <c r="K174" i="18"/>
  <c r="K175"/>
  <c r="K172"/>
  <c r="K173"/>
  <c r="K353" i="13"/>
  <c r="K350"/>
  <c r="K469" i="34"/>
  <c r="K472"/>
  <c r="K480" i="17"/>
  <c r="K476"/>
  <c r="K469"/>
  <c r="K467"/>
  <c r="K477"/>
  <c r="K468"/>
  <c r="K475"/>
  <c r="K470"/>
  <c r="K479"/>
  <c r="K478"/>
  <c r="K966" i="4"/>
  <c r="K967"/>
  <c r="K970"/>
  <c r="K957"/>
  <c r="K968"/>
  <c r="K958"/>
  <c r="K959"/>
  <c r="K960"/>
  <c r="K969"/>
  <c r="K965"/>
  <c r="K289" i="7"/>
  <c r="K288"/>
  <c r="BB292" i="47"/>
  <c r="BI109" i="36"/>
  <c r="BJ106"/>
  <c r="AK99" i="41"/>
  <c r="W101"/>
  <c r="W109" i="36"/>
  <c r="BT106" i="38"/>
  <c r="DH104"/>
  <c r="W106"/>
  <c r="BL99" i="40"/>
  <c r="BL98" i="41"/>
  <c r="AZ181" i="47"/>
  <c r="K24" i="63"/>
  <c r="F8" i="66"/>
  <c r="M11" i="45"/>
  <c r="J40" i="65"/>
  <c r="BC173" i="47"/>
  <c r="K40" i="65"/>
  <c r="BA60" i="47"/>
  <c r="AZ63"/>
  <c r="BA181"/>
  <c r="BD35"/>
  <c r="AZ53"/>
  <c r="CY96" i="26"/>
  <c r="BC60" i="47"/>
  <c r="BE35"/>
  <c r="BA53"/>
  <c r="BA63"/>
  <c r="J97" i="63"/>
  <c r="Z102" i="37"/>
  <c r="J24" i="63"/>
  <c r="K97"/>
  <c r="G8" i="66"/>
  <c r="AZ60" i="47"/>
  <c r="AK106" i="25" l="1"/>
  <c r="AK104"/>
  <c r="BL103"/>
  <c r="AU103" i="38"/>
  <c r="BF103" s="1"/>
  <c r="AK106" i="36"/>
  <c r="BL99" i="41"/>
  <c r="AK104" i="38"/>
  <c r="AK103"/>
  <c r="M64" i="45"/>
  <c r="BC175" i="47"/>
  <c r="BA72"/>
  <c r="J50" i="65"/>
  <c r="J111" i="63"/>
  <c r="J122"/>
  <c r="BD36" i="47"/>
  <c r="BA182"/>
  <c r="G9" i="66"/>
  <c r="G14" s="1"/>
  <c r="G24" s="1"/>
  <c r="K50" i="65"/>
  <c r="K111" i="63"/>
  <c r="K122"/>
  <c r="BE36" i="47"/>
  <c r="AZ72"/>
  <c r="AZ299"/>
  <c r="Z103" i="37"/>
  <c r="Z104" s="1"/>
  <c r="Z106" s="1"/>
  <c r="Z109" s="1"/>
  <c r="AK102"/>
  <c r="BL102" s="1"/>
  <c r="CY99" i="26"/>
  <c r="DH96"/>
  <c r="BA299" i="47"/>
  <c r="F9" i="66"/>
  <c r="F14" s="1"/>
  <c r="F24" s="1"/>
  <c r="AZ182" i="47"/>
  <c r="AK109" i="36"/>
  <c r="K295" i="7"/>
  <c r="K327" s="1"/>
  <c r="K292"/>
  <c r="K324" s="1"/>
  <c r="K294"/>
  <c r="K326" s="1"/>
  <c r="K293"/>
  <c r="K325" s="1"/>
  <c r="K978" i="4"/>
  <c r="K1271" s="1"/>
  <c r="K980"/>
  <c r="K1273" s="1"/>
  <c r="K973"/>
  <c r="K974" s="1"/>
  <c r="K977"/>
  <c r="K1270" s="1"/>
  <c r="K979"/>
  <c r="K1272" s="1"/>
  <c r="K355" i="13"/>
  <c r="K464" s="1"/>
  <c r="K356"/>
  <c r="K465" s="1"/>
  <c r="K358"/>
  <c r="K467" s="1"/>
  <c r="K357"/>
  <c r="K466" s="1"/>
  <c r="L490" i="17"/>
  <c r="L775" s="1"/>
  <c r="L488"/>
  <c r="L773" s="1"/>
  <c r="L483"/>
  <c r="L484" s="1"/>
  <c r="L489"/>
  <c r="L774" s="1"/>
  <c r="L491"/>
  <c r="L776" s="1"/>
  <c r="K73" i="45"/>
  <c r="K123" s="1"/>
  <c r="K110"/>
  <c r="K78"/>
  <c r="K65"/>
  <c r="K114" s="1"/>
  <c r="K476" i="34"/>
  <c r="K567" s="1"/>
  <c r="K477"/>
  <c r="K568" s="1"/>
  <c r="K478"/>
  <c r="K569" s="1"/>
  <c r="K474"/>
  <c r="K566" s="1"/>
  <c r="DH109" i="36"/>
  <c r="AU104"/>
  <c r="BF103"/>
  <c r="BL103" s="1"/>
  <c r="W106" i="37"/>
  <c r="L78" i="45"/>
  <c r="L110"/>
  <c r="L65"/>
  <c r="L114" s="1"/>
  <c r="L152"/>
  <c r="L73"/>
  <c r="L123" s="1"/>
  <c r="N109" i="51"/>
  <c r="N110"/>
  <c r="N89"/>
  <c r="N128" s="1"/>
  <c r="BT109" i="38"/>
  <c r="DH106"/>
  <c r="K490" i="17"/>
  <c r="K775" s="1"/>
  <c r="K491"/>
  <c r="K776" s="1"/>
  <c r="K483"/>
  <c r="K484" s="1"/>
  <c r="K489"/>
  <c r="K774" s="1"/>
  <c r="K488"/>
  <c r="K773" s="1"/>
  <c r="L980" i="4"/>
  <c r="L1273" s="1"/>
  <c r="L979"/>
  <c r="L1272" s="1"/>
  <c r="L978"/>
  <c r="L1271" s="1"/>
  <c r="L977"/>
  <c r="L1270" s="1"/>
  <c r="L973"/>
  <c r="L974" s="1"/>
  <c r="L476" i="34"/>
  <c r="L567" s="1"/>
  <c r="L477"/>
  <c r="L568" s="1"/>
  <c r="L474"/>
  <c r="L566" s="1"/>
  <c r="L478"/>
  <c r="L569" s="1"/>
  <c r="BD275" i="47"/>
  <c r="BD276" s="1"/>
  <c r="BD273"/>
  <c r="AP109" i="41"/>
  <c r="AK109" i="25"/>
  <c r="L295" i="7"/>
  <c r="L327" s="1"/>
  <c r="L293"/>
  <c r="L325" s="1"/>
  <c r="L294"/>
  <c r="L326" s="1"/>
  <c r="L292"/>
  <c r="L324" s="1"/>
  <c r="L355" i="13"/>
  <c r="L464" s="1"/>
  <c r="L356"/>
  <c r="L465" s="1"/>
  <c r="L358"/>
  <c r="L467" s="1"/>
  <c r="L357"/>
  <c r="L466" s="1"/>
  <c r="AU106" i="25"/>
  <c r="BF104"/>
  <c r="BJ109"/>
  <c r="BF271" i="47"/>
  <c r="BF267"/>
  <c r="BA176"/>
  <c r="AZ176"/>
  <c r="AZ177" s="1"/>
  <c r="J81" i="45"/>
  <c r="N402" i="35"/>
  <c r="BE275" i="47"/>
  <c r="BE276" s="1"/>
  <c r="BE273"/>
  <c r="M202" i="12"/>
  <c r="M204"/>
  <c r="M201"/>
  <c r="M203"/>
  <c r="M172" i="18"/>
  <c r="M175"/>
  <c r="M174"/>
  <c r="M173"/>
  <c r="M350" i="13"/>
  <c r="M353"/>
  <c r="M469" i="34"/>
  <c r="M472"/>
  <c r="M477" i="17"/>
  <c r="M480"/>
  <c r="M478"/>
  <c r="M479"/>
  <c r="M475"/>
  <c r="M468"/>
  <c r="M469"/>
  <c r="M476"/>
  <c r="M470"/>
  <c r="M467"/>
  <c r="M965" i="4"/>
  <c r="M959"/>
  <c r="M960"/>
  <c r="M968"/>
  <c r="M969"/>
  <c r="M958"/>
  <c r="M966"/>
  <c r="M967"/>
  <c r="M970"/>
  <c r="M957"/>
  <c r="M289" i="7"/>
  <c r="M288"/>
  <c r="W109" i="38"/>
  <c r="AK106"/>
  <c r="BJ109" i="36"/>
  <c r="DH109" i="25"/>
  <c r="AU109" i="1"/>
  <c r="BF106"/>
  <c r="BL106" s="1"/>
  <c r="BT106" i="37"/>
  <c r="DH104"/>
  <c r="BI109" i="38"/>
  <c r="BJ106"/>
  <c r="BJ104" i="37"/>
  <c r="BI106"/>
  <c r="N85" i="51"/>
  <c r="BC181" i="47"/>
  <c r="BF35"/>
  <c r="W102" i="40"/>
  <c r="P23" i="59"/>
  <c r="BC53" i="47"/>
  <c r="BT102" i="40"/>
  <c r="BJ23" i="3"/>
  <c r="F11" i="44"/>
  <c r="W98" i="26"/>
  <c r="J94" i="60"/>
  <c r="E46" i="65"/>
  <c r="BB60" i="47"/>
  <c r="BT102" i="39"/>
  <c r="W102"/>
  <c r="AY44" i="47"/>
  <c r="P55" i="59"/>
  <c r="BI102" i="39"/>
  <c r="K94" i="60"/>
  <c r="L97" i="63"/>
  <c r="L24"/>
  <c r="E30"/>
  <c r="BC63" i="47"/>
  <c r="I8" i="66"/>
  <c r="BG222" i="47"/>
  <c r="L40" i="65"/>
  <c r="E103" i="63"/>
  <c r="BI102" i="40"/>
  <c r="AP98" i="26"/>
  <c r="BB173" i="47"/>
  <c r="E31" i="60"/>
  <c r="BL104" i="25" l="1"/>
  <c r="BL103" i="38"/>
  <c r="AU104"/>
  <c r="BF104" s="1"/>
  <c r="BL104" s="1"/>
  <c r="BA177" i="47"/>
  <c r="L66" i="45"/>
  <c r="L113" s="1"/>
  <c r="L115" s="1"/>
  <c r="AP99" i="26"/>
  <c r="BF98"/>
  <c r="BI104" i="39"/>
  <c r="BJ102"/>
  <c r="AI35" i="60"/>
  <c r="BC299" i="47"/>
  <c r="E60" i="65"/>
  <c r="E59"/>
  <c r="E53"/>
  <c r="E54" s="1"/>
  <c r="E47"/>
  <c r="E76" s="1"/>
  <c r="E114" i="63"/>
  <c r="E125"/>
  <c r="E104"/>
  <c r="E126" s="1"/>
  <c r="E31"/>
  <c r="E53" s="1"/>
  <c r="E77" s="1"/>
  <c r="AY46" i="47"/>
  <c r="AY297"/>
  <c r="S19" i="60"/>
  <c r="AD44"/>
  <c r="I9" i="66"/>
  <c r="I14" s="1"/>
  <c r="I24" s="1"/>
  <c r="BC182" i="47"/>
  <c r="BT104" i="40"/>
  <c r="DH102"/>
  <c r="W104"/>
  <c r="BI104"/>
  <c r="BJ102"/>
  <c r="AJ35" i="60"/>
  <c r="BB175" i="47"/>
  <c r="BC72"/>
  <c r="L50" i="65"/>
  <c r="BF36" i="47"/>
  <c r="L111" i="63"/>
  <c r="L122"/>
  <c r="BT104" i="39"/>
  <c r="DH102"/>
  <c r="W99" i="26"/>
  <c r="AK98"/>
  <c r="BG227" i="47"/>
  <c r="W104" i="39"/>
  <c r="BI109" i="37"/>
  <c r="BJ106"/>
  <c r="BJ109" i="38"/>
  <c r="BF109" i="1"/>
  <c r="BL109" s="1"/>
  <c r="M474" i="34"/>
  <c r="M566" s="1"/>
  <c r="M476"/>
  <c r="M567" s="1"/>
  <c r="M477"/>
  <c r="M568" s="1"/>
  <c r="M478"/>
  <c r="M569" s="1"/>
  <c r="DH109" i="38"/>
  <c r="L124" i="45"/>
  <c r="AU103" i="37"/>
  <c r="AK103"/>
  <c r="M979" i="4"/>
  <c r="M1272" s="1"/>
  <c r="M977"/>
  <c r="M1270" s="1"/>
  <c r="M973"/>
  <c r="M974" s="1"/>
  <c r="M980"/>
  <c r="M1273" s="1"/>
  <c r="M978"/>
  <c r="M1271" s="1"/>
  <c r="BT109" i="37"/>
  <c r="DH106"/>
  <c r="M358" i="13"/>
  <c r="M467" s="1"/>
  <c r="M357"/>
  <c r="M466" s="1"/>
  <c r="M355"/>
  <c r="M464" s="1"/>
  <c r="M356"/>
  <c r="M465" s="1"/>
  <c r="BF275" i="47"/>
  <c r="BF276" s="1"/>
  <c r="BF273"/>
  <c r="AU109" i="25"/>
  <c r="BF106"/>
  <c r="BL106" s="1"/>
  <c r="W109" i="37"/>
  <c r="AK106"/>
  <c r="L79" i="45"/>
  <c r="K80"/>
  <c r="K81" s="1"/>
  <c r="AZ192" i="47"/>
  <c r="AZ194" s="1"/>
  <c r="AZ153" s="1"/>
  <c r="AZ141"/>
  <c r="AZ151" s="1"/>
  <c r="DH99" i="26"/>
  <c r="CY106"/>
  <c r="CY109" s="1"/>
  <c r="K133" i="63"/>
  <c r="BA192" i="47"/>
  <c r="BA194" s="1"/>
  <c r="BA153" s="1"/>
  <c r="BA141"/>
  <c r="BA151" s="1"/>
  <c r="BE205" s="1"/>
  <c r="M78" i="45"/>
  <c r="M152"/>
  <c r="M73"/>
  <c r="M123" s="1"/>
  <c r="M110"/>
  <c r="M65"/>
  <c r="M114" s="1"/>
  <c r="K66"/>
  <c r="K113" s="1"/>
  <c r="AK104" i="37"/>
  <c r="M295" i="7"/>
  <c r="M327" s="1"/>
  <c r="M294"/>
  <c r="M326" s="1"/>
  <c r="M292"/>
  <c r="M324" s="1"/>
  <c r="M293"/>
  <c r="M325" s="1"/>
  <c r="M483" i="17"/>
  <c r="M484" s="1"/>
  <c r="M491"/>
  <c r="M776" s="1"/>
  <c r="M489"/>
  <c r="M774" s="1"/>
  <c r="M490"/>
  <c r="M775" s="1"/>
  <c r="M488"/>
  <c r="M773" s="1"/>
  <c r="M79" i="45"/>
  <c r="L80"/>
  <c r="AU106" i="36"/>
  <c r="BF104"/>
  <c r="BL104" s="1"/>
  <c r="AK109" i="38"/>
  <c r="AU106"/>
  <c r="K124" i="45"/>
  <c r="BD292" i="47"/>
  <c r="N111" i="51"/>
  <c r="BE292" i="47"/>
  <c r="J133" i="63"/>
  <c r="BG162" i="47"/>
  <c r="BG190"/>
  <c r="BI102" i="41"/>
  <c r="Z102" i="39"/>
  <c r="Z102" i="40"/>
  <c r="BT102" i="41"/>
  <c r="F103" i="63"/>
  <c r="E11" i="60"/>
  <c r="E115"/>
  <c r="BM33" i="3"/>
  <c r="M22" i="66"/>
  <c r="BG245" i="47"/>
  <c r="L94" i="60"/>
  <c r="AZ44" i="47"/>
  <c r="BB53"/>
  <c r="BB63"/>
  <c r="AY89"/>
  <c r="W102" i="41"/>
  <c r="H8" i="66"/>
  <c r="F46" i="65"/>
  <c r="F31" i="60"/>
  <c r="AY37" i="3"/>
  <c r="F30" i="63"/>
  <c r="G11" i="44"/>
  <c r="BB181" i="47"/>
  <c r="E21" i="60" l="1"/>
  <c r="S38" s="1"/>
  <c r="AD38"/>
  <c r="S20"/>
  <c r="Z103" i="40"/>
  <c r="Z104" s="1"/>
  <c r="Z106" s="1"/>
  <c r="Z109" s="1"/>
  <c r="AK102"/>
  <c r="BL102" s="1"/>
  <c r="Z103" i="39"/>
  <c r="Z104" s="1"/>
  <c r="Z106" s="1"/>
  <c r="Z109" s="1"/>
  <c r="AK102"/>
  <c r="BL102" s="1"/>
  <c r="BI104" i="41"/>
  <c r="BJ102"/>
  <c r="AK35" i="60"/>
  <c r="AZ37" i="3"/>
  <c r="F60" i="65"/>
  <c r="F59"/>
  <c r="F53"/>
  <c r="F54" s="1"/>
  <c r="F47"/>
  <c r="F76" s="1"/>
  <c r="AZ46" i="47"/>
  <c r="AZ297"/>
  <c r="F31" i="63"/>
  <c r="F114"/>
  <c r="F125"/>
  <c r="F104"/>
  <c r="F126" s="1"/>
  <c r="T19" i="60"/>
  <c r="AE44"/>
  <c r="H9" i="66"/>
  <c r="H14" s="1"/>
  <c r="H24" s="1"/>
  <c r="BB182" i="47"/>
  <c r="BT104" i="41"/>
  <c r="DH102"/>
  <c r="BG149" i="47"/>
  <c r="BG255"/>
  <c r="BG263"/>
  <c r="BG266"/>
  <c r="W104" i="41"/>
  <c r="BB72" i="47"/>
  <c r="BB299"/>
  <c r="DH104" i="39"/>
  <c r="BT106"/>
  <c r="BJ104" i="40"/>
  <c r="BI106"/>
  <c r="DH104"/>
  <c r="BT106"/>
  <c r="BF109" i="25"/>
  <c r="BL109" s="1"/>
  <c r="DH109" i="37"/>
  <c r="L133" i="63"/>
  <c r="AU103" i="40"/>
  <c r="M124" i="45"/>
  <c r="AK99" i="26"/>
  <c r="W101"/>
  <c r="N79" i="45"/>
  <c r="M80"/>
  <c r="M81" s="1"/>
  <c r="AK109" i="37"/>
  <c r="BJ109"/>
  <c r="BF292" i="47"/>
  <c r="BC176"/>
  <c r="BB176"/>
  <c r="BB177" s="1"/>
  <c r="BC141"/>
  <c r="BC151" s="1"/>
  <c r="BF205" s="1"/>
  <c r="BC192"/>
  <c r="BC194" s="1"/>
  <c r="BC153" s="1"/>
  <c r="AD19" i="60"/>
  <c r="AO19" s="1"/>
  <c r="L81" i="45"/>
  <c r="K115"/>
  <c r="BL98" i="26"/>
  <c r="E109" i="60"/>
  <c r="E121" s="1"/>
  <c r="E127" s="1"/>
  <c r="E133" s="1"/>
  <c r="E107" i="64" s="1"/>
  <c r="E108" s="1"/>
  <c r="E114" s="1"/>
  <c r="E115" s="1"/>
  <c r="E65" i="65"/>
  <c r="E66"/>
  <c r="BF99" i="26"/>
  <c r="AP106"/>
  <c r="AU109" i="38"/>
  <c r="BF106"/>
  <c r="BL106" s="1"/>
  <c r="AU109" i="36"/>
  <c r="BF106"/>
  <c r="BL106" s="1"/>
  <c r="W106" i="39"/>
  <c r="E54" i="63"/>
  <c r="E55" s="1"/>
  <c r="E46"/>
  <c r="E70" s="1"/>
  <c r="E41"/>
  <c r="E65" s="1"/>
  <c r="E36"/>
  <c r="E60" s="1"/>
  <c r="E52"/>
  <c r="E76" s="1"/>
  <c r="E42"/>
  <c r="E66" s="1"/>
  <c r="E38"/>
  <c r="E62" s="1"/>
  <c r="E37"/>
  <c r="E61" s="1"/>
  <c r="E39"/>
  <c r="E63" s="1"/>
  <c r="E45"/>
  <c r="E69" s="1"/>
  <c r="E50"/>
  <c r="E74" s="1"/>
  <c r="E48"/>
  <c r="E72" s="1"/>
  <c r="E40"/>
  <c r="E64" s="1"/>
  <c r="E44"/>
  <c r="E68" s="1"/>
  <c r="E51"/>
  <c r="E75" s="1"/>
  <c r="E43"/>
  <c r="E67" s="1"/>
  <c r="E49"/>
  <c r="E73" s="1"/>
  <c r="E47"/>
  <c r="E71" s="1"/>
  <c r="AU104" i="37"/>
  <c r="BF103"/>
  <c r="BL103" s="1"/>
  <c r="W106" i="40"/>
  <c r="AY295" i="47"/>
  <c r="AY47"/>
  <c r="E136" i="63"/>
  <c r="E115"/>
  <c r="E137" s="1"/>
  <c r="BJ104" i="39"/>
  <c r="BI106"/>
  <c r="M66" i="45"/>
  <c r="M113" s="1"/>
  <c r="M115" s="1"/>
  <c r="G46" i="65"/>
  <c r="BD173" i="47"/>
  <c r="F11" i="60"/>
  <c r="AZ89" i="47"/>
  <c r="I46" i="65"/>
  <c r="BE173" i="47"/>
  <c r="BA44"/>
  <c r="H11" i="44"/>
  <c r="BC44" i="47"/>
  <c r="N11" i="45"/>
  <c r="G31" i="60"/>
  <c r="BD60" i="47"/>
  <c r="F115" i="60"/>
  <c r="Z102" i="41"/>
  <c r="I30" i="63"/>
  <c r="I31" i="60"/>
  <c r="BE60" i="47"/>
  <c r="G30" i="63"/>
  <c r="J11" i="44"/>
  <c r="I103" i="63"/>
  <c r="G103"/>
  <c r="BK23" i="3"/>
  <c r="BL23"/>
  <c r="AO38" i="60" l="1"/>
  <c r="T20"/>
  <c r="AE38"/>
  <c r="F21"/>
  <c r="AE19" s="1"/>
  <c r="AP19" s="1"/>
  <c r="AK103" i="40"/>
  <c r="BC177" i="47"/>
  <c r="AK104" i="40"/>
  <c r="N64" i="45"/>
  <c r="BD175" i="47"/>
  <c r="I59" i="65"/>
  <c r="I60"/>
  <c r="I53"/>
  <c r="I54" s="1"/>
  <c r="I47"/>
  <c r="I76" s="1"/>
  <c r="I31" i="63"/>
  <c r="I53" s="1"/>
  <c r="I77" s="1"/>
  <c r="BC46" i="47"/>
  <c r="BC297"/>
  <c r="W19" i="60"/>
  <c r="AH44"/>
  <c r="I114" i="63"/>
  <c r="I125"/>
  <c r="I104"/>
  <c r="I126" s="1"/>
  <c r="Z103" i="41"/>
  <c r="Z104" s="1"/>
  <c r="Z106" s="1"/>
  <c r="Z109" s="1"/>
  <c r="AK102"/>
  <c r="BL102" s="1"/>
  <c r="BE175" i="47"/>
  <c r="G59" i="65"/>
  <c r="G60"/>
  <c r="G53"/>
  <c r="G54" s="1"/>
  <c r="G47"/>
  <c r="G76" s="1"/>
  <c r="U19" i="60"/>
  <c r="AF44"/>
  <c r="G114" i="63"/>
  <c r="G125"/>
  <c r="G104"/>
  <c r="G126" s="1"/>
  <c r="G31"/>
  <c r="G53" s="1"/>
  <c r="G77" s="1"/>
  <c r="BA46" i="47"/>
  <c r="BA297"/>
  <c r="AY20"/>
  <c r="AY296"/>
  <c r="AY298" s="1"/>
  <c r="AY54"/>
  <c r="AY74" s="1"/>
  <c r="AY91" s="1"/>
  <c r="AY49"/>
  <c r="BI109" i="40"/>
  <c r="BJ106"/>
  <c r="F54" i="63"/>
  <c r="F55" s="1"/>
  <c r="F40"/>
  <c r="F64" s="1"/>
  <c r="F42"/>
  <c r="F66" s="1"/>
  <c r="F41"/>
  <c r="F65" s="1"/>
  <c r="F46"/>
  <c r="F70" s="1"/>
  <c r="F37"/>
  <c r="F61" s="1"/>
  <c r="F50"/>
  <c r="F74" s="1"/>
  <c r="F39"/>
  <c r="F63" s="1"/>
  <c r="F48"/>
  <c r="F72" s="1"/>
  <c r="F52"/>
  <c r="F76" s="1"/>
  <c r="F45"/>
  <c r="F69" s="1"/>
  <c r="F38"/>
  <c r="F62" s="1"/>
  <c r="F44"/>
  <c r="F68" s="1"/>
  <c r="F36"/>
  <c r="F60" s="1"/>
  <c r="F51"/>
  <c r="F75" s="1"/>
  <c r="F43"/>
  <c r="F67" s="1"/>
  <c r="F49"/>
  <c r="F73" s="1"/>
  <c r="F47"/>
  <c r="F71" s="1"/>
  <c r="AZ295" i="47"/>
  <c r="AZ47"/>
  <c r="BT109" i="40"/>
  <c r="DH106"/>
  <c r="BT109" i="39"/>
  <c r="DH106"/>
  <c r="N202" i="12"/>
  <c r="N203"/>
  <c r="N204"/>
  <c r="N201"/>
  <c r="N172" i="18"/>
  <c r="N467" i="17"/>
  <c r="N475"/>
  <c r="N469"/>
  <c r="N477"/>
  <c r="N468"/>
  <c r="N173" i="18"/>
  <c r="N476" i="17"/>
  <c r="N479"/>
  <c r="N478"/>
  <c r="N174" i="18"/>
  <c r="N470" i="17"/>
  <c r="N175" i="18"/>
  <c r="N480" i="17"/>
  <c r="N353" i="13"/>
  <c r="N350"/>
  <c r="N469" i="34"/>
  <c r="N472"/>
  <c r="N959" i="4"/>
  <c r="N970"/>
  <c r="N960"/>
  <c r="N967"/>
  <c r="N966"/>
  <c r="N968"/>
  <c r="N965"/>
  <c r="N969"/>
  <c r="N957"/>
  <c r="N958"/>
  <c r="N288" i="7"/>
  <c r="N289"/>
  <c r="BB192" i="47"/>
  <c r="BB194" s="1"/>
  <c r="BB153" s="1"/>
  <c r="BB141"/>
  <c r="BB151" s="1"/>
  <c r="AU106" i="37"/>
  <c r="BF104"/>
  <c r="BL104" s="1"/>
  <c r="BF109" i="38"/>
  <c r="BL109" s="1"/>
  <c r="AU104" i="40"/>
  <c r="BF103"/>
  <c r="BG271" i="47"/>
  <c r="BG267"/>
  <c r="BT106" i="41"/>
  <c r="DH104"/>
  <c r="F109" i="60"/>
  <c r="F121" s="1"/>
  <c r="F127" s="1"/>
  <c r="F133" s="1"/>
  <c r="F107" i="64" s="1"/>
  <c r="F108" s="1"/>
  <c r="F114" s="1"/>
  <c r="F115" s="1"/>
  <c r="F66" i="65"/>
  <c r="F65"/>
  <c r="BJ104" i="41"/>
  <c r="BI106"/>
  <c r="BL99" i="26"/>
  <c r="AK104" i="39"/>
  <c r="F53" i="63"/>
  <c r="F77" s="1"/>
  <c r="BI109" i="39"/>
  <c r="BJ106"/>
  <c r="W109"/>
  <c r="AK106"/>
  <c r="BF109" i="36"/>
  <c r="BL109" s="1"/>
  <c r="W106" i="41"/>
  <c r="F136" i="63"/>
  <c r="F115"/>
  <c r="F137" s="1"/>
  <c r="AU103" i="39"/>
  <c r="AK103"/>
  <c r="W109" i="40"/>
  <c r="AK106"/>
  <c r="AP109" i="26"/>
  <c r="E78" i="63"/>
  <c r="BF173" i="47"/>
  <c r="BM24" i="3"/>
  <c r="I115" i="60"/>
  <c r="K8" i="66"/>
  <c r="BG35" i="47"/>
  <c r="G115" i="60"/>
  <c r="BE63" i="47"/>
  <c r="G11" i="60"/>
  <c r="BD181" i="47"/>
  <c r="M24" i="63"/>
  <c r="BE181" i="47"/>
  <c r="M40" i="65"/>
  <c r="M97" i="63"/>
  <c r="BD53" i="47"/>
  <c r="BA89"/>
  <c r="BF60"/>
  <c r="I11" i="60"/>
  <c r="BE53" i="47"/>
  <c r="BD63"/>
  <c r="BC89"/>
  <c r="J8" i="66"/>
  <c r="T38" i="60" l="1"/>
  <c r="AP38" s="1"/>
  <c r="AK104" i="41"/>
  <c r="BL103" i="40"/>
  <c r="U20" i="60"/>
  <c r="G21"/>
  <c r="AF19" s="1"/>
  <c r="AQ19" s="1"/>
  <c r="AF38"/>
  <c r="W20"/>
  <c r="I21"/>
  <c r="AH19" s="1"/>
  <c r="AS19" s="1"/>
  <c r="AH38"/>
  <c r="BD299" i="47"/>
  <c r="J9" i="66"/>
  <c r="J14" s="1"/>
  <c r="J24" s="1"/>
  <c r="BD182" i="47"/>
  <c r="M111" i="63"/>
  <c r="M122"/>
  <c r="BG36" i="47"/>
  <c r="M50" i="65"/>
  <c r="BE72" i="47"/>
  <c r="BF175"/>
  <c r="BF176" s="1"/>
  <c r="BD72"/>
  <c r="K9" i="66"/>
  <c r="K14" s="1"/>
  <c r="K24" s="1"/>
  <c r="BE182" i="47"/>
  <c r="BE299"/>
  <c r="BJ109" i="39"/>
  <c r="BI109" i="41"/>
  <c r="BJ106"/>
  <c r="BG275" i="47"/>
  <c r="BG276" s="1"/>
  <c r="BG273"/>
  <c r="DH109" i="39"/>
  <c r="BA295" i="47"/>
  <c r="BA47"/>
  <c r="BC295"/>
  <c r="BC47"/>
  <c r="AU104" i="39"/>
  <c r="BF103"/>
  <c r="BL103" s="1"/>
  <c r="AZ296" i="47"/>
  <c r="AZ298" s="1"/>
  <c r="AZ54"/>
  <c r="AZ74" s="1"/>
  <c r="AZ91" s="1"/>
  <c r="AZ20"/>
  <c r="AZ49"/>
  <c r="BE176"/>
  <c r="BD176"/>
  <c r="BD177" s="1"/>
  <c r="W109" i="41"/>
  <c r="AK106"/>
  <c r="AU109" i="37"/>
  <c r="BF106"/>
  <c r="BL106" s="1"/>
  <c r="N478" i="34"/>
  <c r="N569" s="1"/>
  <c r="N474"/>
  <c r="N566" s="1"/>
  <c r="N476"/>
  <c r="N567" s="1"/>
  <c r="N477"/>
  <c r="N568" s="1"/>
  <c r="AK109" i="40"/>
  <c r="N483" i="17"/>
  <c r="N484" s="1"/>
  <c r="N488"/>
  <c r="N773" s="1"/>
  <c r="N489"/>
  <c r="N774" s="1"/>
  <c r="N491"/>
  <c r="N776" s="1"/>
  <c r="N490"/>
  <c r="N775" s="1"/>
  <c r="G54" i="63"/>
  <c r="G55" s="1"/>
  <c r="G37"/>
  <c r="G61" s="1"/>
  <c r="G52"/>
  <c r="G76" s="1"/>
  <c r="G46"/>
  <c r="G70" s="1"/>
  <c r="G50"/>
  <c r="G74" s="1"/>
  <c r="G41"/>
  <c r="G65" s="1"/>
  <c r="G40"/>
  <c r="G64" s="1"/>
  <c r="G42"/>
  <c r="G66" s="1"/>
  <c r="G39"/>
  <c r="G63" s="1"/>
  <c r="G48"/>
  <c r="G72" s="1"/>
  <c r="G45"/>
  <c r="G69" s="1"/>
  <c r="G38"/>
  <c r="G62" s="1"/>
  <c r="G36"/>
  <c r="G60" s="1"/>
  <c r="G44"/>
  <c r="G68" s="1"/>
  <c r="G51"/>
  <c r="G75" s="1"/>
  <c r="G43"/>
  <c r="G67" s="1"/>
  <c r="G49"/>
  <c r="G73" s="1"/>
  <c r="G47"/>
  <c r="G71" s="1"/>
  <c r="G136"/>
  <c r="G115"/>
  <c r="G137" s="1"/>
  <c r="AU103" i="41"/>
  <c r="AK103"/>
  <c r="I54" i="63"/>
  <c r="I55" s="1"/>
  <c r="I50"/>
  <c r="I74" s="1"/>
  <c r="I40"/>
  <c r="I64" s="1"/>
  <c r="I42"/>
  <c r="I66" s="1"/>
  <c r="I39"/>
  <c r="I63" s="1"/>
  <c r="I46"/>
  <c r="I70" s="1"/>
  <c r="I37"/>
  <c r="I61" s="1"/>
  <c r="I41"/>
  <c r="I65" s="1"/>
  <c r="I52"/>
  <c r="I76" s="1"/>
  <c r="I48"/>
  <c r="I72" s="1"/>
  <c r="I45"/>
  <c r="I69" s="1"/>
  <c r="I38"/>
  <c r="I62" s="1"/>
  <c r="I36"/>
  <c r="I60" s="1"/>
  <c r="I44"/>
  <c r="I68" s="1"/>
  <c r="I51"/>
  <c r="I75" s="1"/>
  <c r="I43"/>
  <c r="I67" s="1"/>
  <c r="I49"/>
  <c r="I73" s="1"/>
  <c r="I47"/>
  <c r="I71" s="1"/>
  <c r="N73" i="45"/>
  <c r="N123" s="1"/>
  <c r="N110"/>
  <c r="N78"/>
  <c r="N80" s="1"/>
  <c r="N81" s="1"/>
  <c r="N65"/>
  <c r="N114" s="1"/>
  <c r="N152"/>
  <c r="F78" i="63"/>
  <c r="N980" i="4"/>
  <c r="N1273" s="1"/>
  <c r="N979"/>
  <c r="N1272" s="1"/>
  <c r="N977"/>
  <c r="N1270" s="1"/>
  <c r="N973"/>
  <c r="N974" s="1"/>
  <c r="N978"/>
  <c r="N1271" s="1"/>
  <c r="G66" i="65"/>
  <c r="G65"/>
  <c r="I136" i="63"/>
  <c r="I115"/>
  <c r="I137" s="1"/>
  <c r="I65" i="65"/>
  <c r="I66"/>
  <c r="BT109" i="41"/>
  <c r="DH106"/>
  <c r="AU106" i="40"/>
  <c r="BF104"/>
  <c r="BL104" s="1"/>
  <c r="N356" i="13"/>
  <c r="N465" s="1"/>
  <c r="N357"/>
  <c r="N466" s="1"/>
  <c r="N358"/>
  <c r="N467" s="1"/>
  <c r="N355"/>
  <c r="N464" s="1"/>
  <c r="AK109" i="39"/>
  <c r="N292" i="7"/>
  <c r="N324" s="1"/>
  <c r="N294"/>
  <c r="N326" s="1"/>
  <c r="N295"/>
  <c r="N327" s="1"/>
  <c r="N293"/>
  <c r="N325" s="1"/>
  <c r="DH109" i="40"/>
  <c r="BJ109"/>
  <c r="G109" i="60"/>
  <c r="G121" s="1"/>
  <c r="G127" s="1"/>
  <c r="G133" s="1"/>
  <c r="G107" i="64" s="1"/>
  <c r="G108" s="1"/>
  <c r="G114" s="1"/>
  <c r="G115" s="1"/>
  <c r="I109" i="60"/>
  <c r="I121" s="1"/>
  <c r="I127" s="1"/>
  <c r="I133" s="1"/>
  <c r="I107" i="64" s="1"/>
  <c r="I108" s="1"/>
  <c r="I114" s="1"/>
  <c r="I115" s="1"/>
  <c r="BF63" i="47"/>
  <c r="BF181"/>
  <c r="BF53"/>
  <c r="BB44"/>
  <c r="H31" i="60"/>
  <c r="H46" i="65"/>
  <c r="H103" i="63"/>
  <c r="W102" i="26"/>
  <c r="H30" i="63"/>
  <c r="L8" i="66"/>
  <c r="BI102" i="26"/>
  <c r="I11" i="44"/>
  <c r="M94" i="60"/>
  <c r="BT102" i="26"/>
  <c r="W38" i="60" l="1"/>
  <c r="AS38" s="1"/>
  <c r="N66" i="45"/>
  <c r="N113" s="1"/>
  <c r="N115" s="1"/>
  <c r="BE177" i="47"/>
  <c r="BF177" s="1"/>
  <c r="U38" i="60"/>
  <c r="AQ38" s="1"/>
  <c r="BT104" i="26"/>
  <c r="DH102"/>
  <c r="W104"/>
  <c r="BF72" i="47"/>
  <c r="BF299"/>
  <c r="L9" i="66"/>
  <c r="L14" s="1"/>
  <c r="L24" s="1"/>
  <c r="BF182" i="47"/>
  <c r="BI104" i="26"/>
  <c r="BJ102"/>
  <c r="AL35" i="60"/>
  <c r="H60" i="65"/>
  <c r="H59"/>
  <c r="H53"/>
  <c r="H54" s="1"/>
  <c r="H47"/>
  <c r="H76" s="1"/>
  <c r="BB46" i="47"/>
  <c r="BB297"/>
  <c r="H114" i="63"/>
  <c r="H125"/>
  <c r="H104"/>
  <c r="H126" s="1"/>
  <c r="V19" i="60"/>
  <c r="AG44"/>
  <c r="H31" i="63"/>
  <c r="N124" i="45"/>
  <c r="AU109" i="40"/>
  <c r="BF106"/>
  <c r="BL106" s="1"/>
  <c r="AK109" i="41"/>
  <c r="AU106" i="39"/>
  <c r="BF104"/>
  <c r="BL104" s="1"/>
  <c r="BJ109" i="41"/>
  <c r="BG292" i="47"/>
  <c r="I78" i="63"/>
  <c r="BE192" i="47"/>
  <c r="BE194" s="1"/>
  <c r="BE153" s="1"/>
  <c r="BE141"/>
  <c r="BE151" s="1"/>
  <c r="M133" i="63"/>
  <c r="DH109" i="41"/>
  <c r="AZ460" i="47"/>
  <c r="BG399" s="1"/>
  <c r="BH399" s="1"/>
  <c r="BI399" s="1"/>
  <c r="AU104" i="41"/>
  <c r="BF103"/>
  <c r="BL103" s="1"/>
  <c r="BF109" i="37"/>
  <c r="BL109" s="1"/>
  <c r="BC54" i="47"/>
  <c r="BC74" s="1"/>
  <c r="BC91" s="1"/>
  <c r="BC49"/>
  <c r="BC296"/>
  <c r="BC298" s="1"/>
  <c r="BC20"/>
  <c r="BA54"/>
  <c r="BA74" s="1"/>
  <c r="BA91" s="1"/>
  <c r="BA49"/>
  <c r="BA296"/>
  <c r="BA298" s="1"/>
  <c r="BA20"/>
  <c r="BD192"/>
  <c r="BD194" s="1"/>
  <c r="BD153" s="1"/>
  <c r="BD141"/>
  <c r="BD151" s="1"/>
  <c r="G78" i="63"/>
  <c r="K31" i="60"/>
  <c r="BE44" i="47"/>
  <c r="K103" i="63"/>
  <c r="H115" i="60"/>
  <c r="Z102" i="26"/>
  <c r="BB89" i="47"/>
  <c r="H11" i="60"/>
  <c r="K30" i="63"/>
  <c r="L11" i="44"/>
  <c r="K46" i="65"/>
  <c r="Z103" i="26" l="1"/>
  <c r="Z104" s="1"/>
  <c r="Z106" s="1"/>
  <c r="Z109" s="1"/>
  <c r="AK102"/>
  <c r="BL102" s="1"/>
  <c r="V20" i="60"/>
  <c r="H21"/>
  <c r="AG19" s="1"/>
  <c r="AR19" s="1"/>
  <c r="AG38"/>
  <c r="K114" i="63"/>
  <c r="K125"/>
  <c r="K104"/>
  <c r="K126" s="1"/>
  <c r="Y19" i="60"/>
  <c r="AJ44"/>
  <c r="BE46" i="47"/>
  <c r="BE297"/>
  <c r="K31" i="63"/>
  <c r="K53" s="1"/>
  <c r="K77" s="1"/>
  <c r="K59" i="65"/>
  <c r="K60"/>
  <c r="K53"/>
  <c r="K54" s="1"/>
  <c r="K47"/>
  <c r="K76" s="1"/>
  <c r="W106" i="26"/>
  <c r="AU106" i="41"/>
  <c r="BF104"/>
  <c r="BL104" s="1"/>
  <c r="H109" i="60"/>
  <c r="H121" s="1"/>
  <c r="H127" s="1"/>
  <c r="H133" s="1"/>
  <c r="H107" i="64" s="1"/>
  <c r="H108" s="1"/>
  <c r="H114" s="1"/>
  <c r="H115" s="1"/>
  <c r="BB295" i="47"/>
  <c r="BB47"/>
  <c r="BF141"/>
  <c r="BF151" s="1"/>
  <c r="BF192"/>
  <c r="BF194" s="1"/>
  <c r="BF153" s="1"/>
  <c r="AU109" i="39"/>
  <c r="BF106"/>
  <c r="BL106" s="1"/>
  <c r="BJ104" i="26"/>
  <c r="BI106"/>
  <c r="DH104"/>
  <c r="BT106"/>
  <c r="H54" i="63"/>
  <c r="H55" s="1"/>
  <c r="H37"/>
  <c r="H61" s="1"/>
  <c r="H41"/>
  <c r="H65" s="1"/>
  <c r="H40"/>
  <c r="H64" s="1"/>
  <c r="H46"/>
  <c r="H70" s="1"/>
  <c r="H39"/>
  <c r="H63" s="1"/>
  <c r="H52"/>
  <c r="H76" s="1"/>
  <c r="H42"/>
  <c r="H66" s="1"/>
  <c r="H50"/>
  <c r="H74" s="1"/>
  <c r="H48"/>
  <c r="H72" s="1"/>
  <c r="H45"/>
  <c r="H69" s="1"/>
  <c r="H38"/>
  <c r="H62" s="1"/>
  <c r="H36"/>
  <c r="H60" s="1"/>
  <c r="H44"/>
  <c r="H68" s="1"/>
  <c r="H51"/>
  <c r="H75" s="1"/>
  <c r="H43"/>
  <c r="H67" s="1"/>
  <c r="H49"/>
  <c r="H73" s="1"/>
  <c r="H47"/>
  <c r="H71" s="1"/>
  <c r="BF109" i="40"/>
  <c r="BL109" s="1"/>
  <c r="H136" i="63"/>
  <c r="H115"/>
  <c r="H137" s="1"/>
  <c r="H65" i="65"/>
  <c r="H66"/>
  <c r="H53" i="63"/>
  <c r="H77" s="1"/>
  <c r="K11" i="60"/>
  <c r="J46" i="65"/>
  <c r="J103" i="63"/>
  <c r="AY46" i="3"/>
  <c r="K115" i="60"/>
  <c r="J31"/>
  <c r="K11" i="44"/>
  <c r="BD44" i="47"/>
  <c r="J30" i="63"/>
  <c r="BG60" i="47"/>
  <c r="BG173"/>
  <c r="BE89"/>
  <c r="AK103" i="26" l="1"/>
  <c r="AK104"/>
  <c r="AU103"/>
  <c r="AU104" s="1"/>
  <c r="V38" i="60"/>
  <c r="AR38" s="1"/>
  <c r="K21"/>
  <c r="AJ19" s="1"/>
  <c r="AU19" s="1"/>
  <c r="AJ38"/>
  <c r="Y20"/>
  <c r="J60" i="65"/>
  <c r="J59"/>
  <c r="J53"/>
  <c r="J54" s="1"/>
  <c r="J47"/>
  <c r="J76" s="1"/>
  <c r="J114" i="63"/>
  <c r="J125"/>
  <c r="J104"/>
  <c r="J126" s="1"/>
  <c r="X19" i="60"/>
  <c r="AI44"/>
  <c r="J31" i="63"/>
  <c r="BD46" i="47"/>
  <c r="BD297"/>
  <c r="AZ46" i="3"/>
  <c r="AY47"/>
  <c r="AZ47" s="1"/>
  <c r="BG175" i="47"/>
  <c r="BG176" s="1"/>
  <c r="BG177" s="1"/>
  <c r="BF109" i="39"/>
  <c r="BL109" s="1"/>
  <c r="W109" i="26"/>
  <c r="AK106"/>
  <c r="AU109" i="41"/>
  <c r="BF106"/>
  <c r="BL106" s="1"/>
  <c r="K66" i="65"/>
  <c r="K65"/>
  <c r="BI109" i="26"/>
  <c r="BJ106"/>
  <c r="BB296" i="47"/>
  <c r="BB298" s="1"/>
  <c r="BB49"/>
  <c r="BB20"/>
  <c r="BB54"/>
  <c r="BB74" s="1"/>
  <c r="BB91" s="1"/>
  <c r="K54" i="63"/>
  <c r="K55" s="1"/>
  <c r="K50"/>
  <c r="K74" s="1"/>
  <c r="K37"/>
  <c r="K61" s="1"/>
  <c r="K52"/>
  <c r="K76" s="1"/>
  <c r="K42"/>
  <c r="K66" s="1"/>
  <c r="K40"/>
  <c r="K64" s="1"/>
  <c r="K41"/>
  <c r="K65" s="1"/>
  <c r="K46"/>
  <c r="K70" s="1"/>
  <c r="K39"/>
  <c r="K63" s="1"/>
  <c r="K48"/>
  <c r="K72" s="1"/>
  <c r="K45"/>
  <c r="K69" s="1"/>
  <c r="K38"/>
  <c r="K62" s="1"/>
  <c r="K44"/>
  <c r="K68" s="1"/>
  <c r="K36"/>
  <c r="K60" s="1"/>
  <c r="K51"/>
  <c r="K75" s="1"/>
  <c r="K43"/>
  <c r="K67" s="1"/>
  <c r="K49"/>
  <c r="K73" s="1"/>
  <c r="K47"/>
  <c r="K71" s="1"/>
  <c r="K109" i="60"/>
  <c r="K121" s="1"/>
  <c r="K127" s="1"/>
  <c r="K133" s="1"/>
  <c r="K107" i="64" s="1"/>
  <c r="K108" s="1"/>
  <c r="K114" s="1"/>
  <c r="K115" s="1"/>
  <c r="BE295" i="47"/>
  <c r="BE47"/>
  <c r="K136" i="63"/>
  <c r="K115"/>
  <c r="K137" s="1"/>
  <c r="BT109" i="26"/>
  <c r="DH106"/>
  <c r="H78" i="63"/>
  <c r="J11" i="60"/>
  <c r="L103" i="63"/>
  <c r="L46" i="65"/>
  <c r="L31" i="60"/>
  <c r="BG53" i="47"/>
  <c r="M11" i="44"/>
  <c r="BD89" i="47"/>
  <c r="L30" i="63"/>
  <c r="M8" i="66"/>
  <c r="J115" i="60"/>
  <c r="BG63" i="47"/>
  <c r="BF44"/>
  <c r="BG181"/>
  <c r="BF103" i="26" l="1"/>
  <c r="BL103" s="1"/>
  <c r="AI38" i="60"/>
  <c r="X20"/>
  <c r="J21"/>
  <c r="AI19" s="1"/>
  <c r="AT19" s="1"/>
  <c r="Y38"/>
  <c r="AU38" s="1"/>
  <c r="BG182" i="47"/>
  <c r="M9" i="66"/>
  <c r="M14" s="1"/>
  <c r="M24" s="1"/>
  <c r="E43" s="1"/>
  <c r="BG299" i="47"/>
  <c r="L114" i="63"/>
  <c r="L125"/>
  <c r="L104"/>
  <c r="L126" s="1"/>
  <c r="Z19" i="60"/>
  <c r="AK44"/>
  <c r="L31" i="63"/>
  <c r="L53" s="1"/>
  <c r="L77" s="1"/>
  <c r="BF46" i="47"/>
  <c r="BF297"/>
  <c r="L60" i="65"/>
  <c r="L59"/>
  <c r="L53"/>
  <c r="L54" s="1"/>
  <c r="L47"/>
  <c r="L76" s="1"/>
  <c r="BG72" i="47"/>
  <c r="DH109" i="26"/>
  <c r="J54" i="63"/>
  <c r="J55" s="1"/>
  <c r="J41"/>
  <c r="J65" s="1"/>
  <c r="J40"/>
  <c r="J64" s="1"/>
  <c r="J39"/>
  <c r="J63" s="1"/>
  <c r="J50"/>
  <c r="J74" s="1"/>
  <c r="J42"/>
  <c r="J66" s="1"/>
  <c r="J37"/>
  <c r="J61" s="1"/>
  <c r="J46"/>
  <c r="J70" s="1"/>
  <c r="J48"/>
  <c r="J72" s="1"/>
  <c r="J52"/>
  <c r="J76" s="1"/>
  <c r="J45"/>
  <c r="J69" s="1"/>
  <c r="J38"/>
  <c r="J62" s="1"/>
  <c r="J36"/>
  <c r="J60" s="1"/>
  <c r="J44"/>
  <c r="J68" s="1"/>
  <c r="J51"/>
  <c r="J75" s="1"/>
  <c r="J43"/>
  <c r="J67" s="1"/>
  <c r="J49"/>
  <c r="J73" s="1"/>
  <c r="J47"/>
  <c r="J71" s="1"/>
  <c r="BE296" i="47"/>
  <c r="BE298" s="1"/>
  <c r="BE49"/>
  <c r="BE54"/>
  <c r="BE74" s="1"/>
  <c r="BE91" s="1"/>
  <c r="BE20"/>
  <c r="BJ109" i="26"/>
  <c r="BF109" i="41"/>
  <c r="BL109" s="1"/>
  <c r="AK109" i="26"/>
  <c r="J136" i="63"/>
  <c r="J115"/>
  <c r="J137" s="1"/>
  <c r="K78"/>
  <c r="J53"/>
  <c r="J77" s="1"/>
  <c r="AU106" i="26"/>
  <c r="BF104"/>
  <c r="BL104" s="1"/>
  <c r="BD295" i="47"/>
  <c r="BD47"/>
  <c r="J109" i="60"/>
  <c r="J121" s="1"/>
  <c r="J127" s="1"/>
  <c r="J133" s="1"/>
  <c r="J107" i="64" s="1"/>
  <c r="J108" s="1"/>
  <c r="J114" s="1"/>
  <c r="J115" s="1"/>
  <c r="J66" i="65"/>
  <c r="J65"/>
  <c r="L115" i="60"/>
  <c r="BF89" i="47"/>
  <c r="L11" i="60"/>
  <c r="X38" l="1"/>
  <c r="AT38" s="1"/>
  <c r="Z20"/>
  <c r="AK38"/>
  <c r="L21"/>
  <c r="AK19" s="1"/>
  <c r="AV19" s="1"/>
  <c r="BD296" i="47"/>
  <c r="BD298" s="1"/>
  <c r="BD54"/>
  <c r="BD74" s="1"/>
  <c r="BD91" s="1"/>
  <c r="BD49"/>
  <c r="BD20"/>
  <c r="L66" i="65"/>
  <c r="L65"/>
  <c r="BF295" i="47"/>
  <c r="BF47"/>
  <c r="L109" i="60"/>
  <c r="L121" s="1"/>
  <c r="L127" s="1"/>
  <c r="L133" s="1"/>
  <c r="L107" i="64" s="1"/>
  <c r="L108" s="1"/>
  <c r="L114" s="1"/>
  <c r="L115" s="1"/>
  <c r="AU109" i="26"/>
  <c r="BF106"/>
  <c r="BL106" s="1"/>
  <c r="L54" i="63"/>
  <c r="L55" s="1"/>
  <c r="L52"/>
  <c r="L76" s="1"/>
  <c r="L40"/>
  <c r="L64" s="1"/>
  <c r="L39"/>
  <c r="L63" s="1"/>
  <c r="L46"/>
  <c r="L70" s="1"/>
  <c r="L42"/>
  <c r="L66" s="1"/>
  <c r="L50"/>
  <c r="L74" s="1"/>
  <c r="L41"/>
  <c r="L65" s="1"/>
  <c r="L37"/>
  <c r="L61" s="1"/>
  <c r="L48"/>
  <c r="L72" s="1"/>
  <c r="L45"/>
  <c r="L69" s="1"/>
  <c r="L38"/>
  <c r="L62" s="1"/>
  <c r="L36"/>
  <c r="L60" s="1"/>
  <c r="L44"/>
  <c r="L68" s="1"/>
  <c r="L51"/>
  <c r="L75" s="1"/>
  <c r="L43"/>
  <c r="L67" s="1"/>
  <c r="L49"/>
  <c r="L73" s="1"/>
  <c r="L47"/>
  <c r="L71" s="1"/>
  <c r="BG192" i="47"/>
  <c r="BG194" s="1"/>
  <c r="BG153" s="1"/>
  <c r="BG141"/>
  <c r="BG151" s="1"/>
  <c r="L136" i="63"/>
  <c r="L115"/>
  <c r="L137" s="1"/>
  <c r="J78"/>
  <c r="M46" i="65"/>
  <c r="BM23" i="3"/>
  <c r="BG44" i="47"/>
  <c r="M103" i="63"/>
  <c r="N11" i="44"/>
  <c r="M31" i="60"/>
  <c r="M30" i="63"/>
  <c r="Z38" i="60" l="1"/>
  <c r="AV38" s="1"/>
  <c r="AA19"/>
  <c r="AL44"/>
  <c r="M114" i="63"/>
  <c r="M125"/>
  <c r="M104"/>
  <c r="M126" s="1"/>
  <c r="M60" i="65"/>
  <c r="M59"/>
  <c r="M53"/>
  <c r="M54" s="1"/>
  <c r="M47"/>
  <c r="M76" s="1"/>
  <c r="M31" i="63"/>
  <c r="AZ375" i="47"/>
  <c r="BG46"/>
  <c r="AZ396"/>
  <c r="BG297"/>
  <c r="BF109" i="26"/>
  <c r="BL109" s="1"/>
  <c r="BG205" i="47"/>
  <c r="BG155"/>
  <c r="BF49"/>
  <c r="BF296"/>
  <c r="BF298" s="1"/>
  <c r="BF20"/>
  <c r="BF54"/>
  <c r="BF74" s="1"/>
  <c r="BF91" s="1"/>
  <c r="L78" i="63"/>
  <c r="BG89" i="47"/>
  <c r="M115" i="60"/>
  <c r="M11"/>
  <c r="AA20" l="1"/>
  <c r="AL38"/>
  <c r="M21"/>
  <c r="AA38" s="1"/>
  <c r="M54" i="63"/>
  <c r="M55" s="1"/>
  <c r="M42"/>
  <c r="M66" s="1"/>
  <c r="M50"/>
  <c r="M74" s="1"/>
  <c r="M40"/>
  <c r="M64" s="1"/>
  <c r="M41"/>
  <c r="M65" s="1"/>
  <c r="M52"/>
  <c r="M76" s="1"/>
  <c r="M37"/>
  <c r="M61" s="1"/>
  <c r="M46"/>
  <c r="M70" s="1"/>
  <c r="M48"/>
  <c r="M72" s="1"/>
  <c r="M39"/>
  <c r="M63" s="1"/>
  <c r="M45"/>
  <c r="M69" s="1"/>
  <c r="M38"/>
  <c r="M62" s="1"/>
  <c r="M36"/>
  <c r="M60" s="1"/>
  <c r="M44"/>
  <c r="M68" s="1"/>
  <c r="M51"/>
  <c r="M75" s="1"/>
  <c r="M43"/>
  <c r="M67" s="1"/>
  <c r="M49"/>
  <c r="M73" s="1"/>
  <c r="M47"/>
  <c r="M71" s="1"/>
  <c r="BF384" i="47"/>
  <c r="BH384" s="1"/>
  <c r="BI384" s="1"/>
  <c r="BG402"/>
  <c r="AZ385"/>
  <c r="M66" i="65"/>
  <c r="M65"/>
  <c r="AL19" i="60"/>
  <c r="AW19" s="1"/>
  <c r="M136" i="63"/>
  <c r="M115"/>
  <c r="M137" s="1"/>
  <c r="BG295" i="47"/>
  <c r="BG47"/>
  <c r="BF383"/>
  <c r="BG408"/>
  <c r="BH408" s="1"/>
  <c r="BI408" s="1"/>
  <c r="M109" i="60"/>
  <c r="M121" s="1"/>
  <c r="M127" s="1"/>
  <c r="M133" s="1"/>
  <c r="M107" i="64" s="1"/>
  <c r="M108" s="1"/>
  <c r="M114" s="1"/>
  <c r="M115" s="1"/>
  <c r="M53" i="63"/>
  <c r="M77" s="1"/>
  <c r="AW38" i="60" l="1"/>
  <c r="BG296" i="47"/>
  <c r="BG298" s="1"/>
  <c r="BG20"/>
  <c r="BG54"/>
  <c r="BG74" s="1"/>
  <c r="BG91" s="1"/>
  <c r="BG49"/>
  <c r="BF402"/>
  <c r="BH402" s="1"/>
  <c r="BI402" s="1"/>
  <c r="BG383"/>
  <c r="BH383" s="1"/>
  <c r="BI383" s="1"/>
  <c r="O78" i="63"/>
  <c r="M78"/>
</calcChain>
</file>

<file path=xl/comments1.xml><?xml version="1.0" encoding="utf-8"?>
<comments xmlns="http://schemas.openxmlformats.org/spreadsheetml/2006/main">
  <authors>
    <author>Sarah</author>
  </authors>
  <commentList>
    <comment ref="D255" authorId="0">
      <text>
        <r>
          <rPr>
            <b/>
            <sz val="9"/>
            <color indexed="81"/>
            <rFont val="Tahoma"/>
            <family val="2"/>
          </rPr>
          <t>Sarah:</t>
        </r>
        <r>
          <rPr>
            <sz val="9"/>
            <color indexed="81"/>
            <rFont val="Tahoma"/>
            <family val="2"/>
          </rPr>
          <t xml:space="preserve">
Multiplied by 0.82?
</t>
        </r>
      </text>
    </comment>
  </commentList>
</comments>
</file>

<file path=xl/sharedStrings.xml><?xml version="1.0" encoding="utf-8"?>
<sst xmlns="http://schemas.openxmlformats.org/spreadsheetml/2006/main" count="22393" uniqueCount="3505">
  <si>
    <t>IX</t>
  </si>
  <si>
    <t>Heating</t>
  </si>
  <si>
    <t>IX.a</t>
  </si>
  <si>
    <t>Domestic space heating and hot water</t>
  </si>
  <si>
    <t>http://2050-calculator-tool-wiki.decc.gov.uk/pages/31</t>
  </si>
  <si>
    <t xml:space="preserve"> </t>
  </si>
  <si>
    <t>Trajectory choice</t>
  </si>
  <si>
    <t>Component</t>
  </si>
  <si>
    <t>Trajectory</t>
  </si>
  <si>
    <t>(i) Behavioural change/HEMs</t>
  </si>
  <si>
    <t xml:space="preserve">(ii) BER rating/insulation </t>
  </si>
  <si>
    <t>(iii) Electrification level</t>
  </si>
  <si>
    <t>(iv) Non-electric fuel direction</t>
  </si>
  <si>
    <t>Lookup of technology pathway</t>
  </si>
  <si>
    <t>(iv) Primary non-electric source</t>
  </si>
  <si>
    <t>Gas</t>
  </si>
  <si>
    <t>Solid</t>
  </si>
  <si>
    <t>District</t>
  </si>
  <si>
    <t>Mixed / None</t>
  </si>
  <si>
    <t>Very low</t>
  </si>
  <si>
    <t>Low</t>
  </si>
  <si>
    <t>Medium</t>
  </si>
  <si>
    <t>High</t>
  </si>
  <si>
    <t>Pathway chosen is …</t>
  </si>
  <si>
    <t>Inputs</t>
  </si>
  <si>
    <t>IV.b</t>
  </si>
  <si>
    <t>Solar thermal</t>
  </si>
  <si>
    <t>TWh</t>
  </si>
  <si>
    <t>Vector</t>
  </si>
  <si>
    <t>Name</t>
  </si>
  <si>
    <t>Notes</t>
  </si>
  <si>
    <t>V.11</t>
  </si>
  <si>
    <t>Domestic solar thermal</t>
  </si>
  <si>
    <t>Trajectory assumptions</t>
  </si>
  <si>
    <t>Comment</t>
  </si>
  <si>
    <t>Chosen [FIXED AT 2]</t>
  </si>
  <si>
    <t>% savings</t>
  </si>
  <si>
    <t>Chosen</t>
  </si>
  <si>
    <t>(ib) Share of homes with gas meters</t>
  </si>
  <si>
    <t>% homes with gas meters</t>
  </si>
  <si>
    <t>Growth rate pa</t>
  </si>
  <si>
    <t>% of total households</t>
  </si>
  <si>
    <t>Existing, plus all new houses</t>
  </si>
  <si>
    <t>%</t>
  </si>
  <si>
    <t>Code</t>
  </si>
  <si>
    <t>Technology</t>
  </si>
  <si>
    <t>Gas boiler (old)</t>
  </si>
  <si>
    <t>Gas boiler (new)</t>
  </si>
  <si>
    <t>Resisitive heating</t>
  </si>
  <si>
    <t>Oil-fired boiler</t>
  </si>
  <si>
    <t>Solid-fuel boiler</t>
  </si>
  <si>
    <t>Stirling engine μCHP</t>
  </si>
  <si>
    <t>Fuel-cell μCHP</t>
  </si>
  <si>
    <t>Air-source heat pump</t>
  </si>
  <si>
    <t>Ground-source heat pump</t>
  </si>
  <si>
    <t>Geothermal</t>
  </si>
  <si>
    <t>Community scale gas CHP</t>
  </si>
  <si>
    <t>Community scale solid-fuel CHP</t>
  </si>
  <si>
    <t>District heating from power stations</t>
  </si>
  <si>
    <t>Total</t>
  </si>
  <si>
    <t>(iv) Target technology penetrations, cooling (must be less than maximum penetration) [2]</t>
  </si>
  <si>
    <t>Electric air conditioner (old)</t>
  </si>
  <si>
    <t>Electric air conditioner (new)</t>
  </si>
  <si>
    <t>Absorption chiller</t>
  </si>
  <si>
    <t>Notes:</t>
  </si>
  <si>
    <t>[1]</t>
  </si>
  <si>
    <t>Annual savings between 2.5% and 9% recorded in pilot trials in Ireland, peak savings up to 15% observed in Europe</t>
  </si>
  <si>
    <t>[2]</t>
  </si>
  <si>
    <t xml:space="preserve">Gas boiler (new) is 0.1% in all cases where it would otherwise be zero. This is a modelling trick to ensure that, in the short-term, </t>
  </si>
  <si>
    <t>new builds get something. Maximum combined heat pump penetration capped at 75%.</t>
  </si>
  <si>
    <t>Fixed assumptions</t>
  </si>
  <si>
    <t>°C</t>
  </si>
  <si>
    <t>Description</t>
  </si>
  <si>
    <t>Winter</t>
  </si>
  <si>
    <t>Spring</t>
  </si>
  <si>
    <t>Summer</t>
  </si>
  <si>
    <t>Autumn</t>
  </si>
  <si>
    <t>Annual mean</t>
  </si>
  <si>
    <t>Joules</t>
  </si>
  <si>
    <t>Solar</t>
  </si>
  <si>
    <t>[4]</t>
  </si>
  <si>
    <t>Metabolic</t>
  </si>
  <si>
    <t>Cooking</t>
  </si>
  <si>
    <t>Lighting and appliances</t>
  </si>
  <si>
    <t>Water heating</t>
  </si>
  <si>
    <t>% of input energy</t>
  </si>
  <si>
    <t>Electricity (delivered to end user)</t>
  </si>
  <si>
    <t>Electricity (supplied to grid)</t>
  </si>
  <si>
    <t>Solid hydrocarbons</t>
  </si>
  <si>
    <t>Liquid hydrocarbons</t>
  </si>
  <si>
    <t>Gaseous hydrocarbons</t>
  </si>
  <si>
    <t>Heat transport</t>
  </si>
  <si>
    <t>Environmental heat</t>
  </si>
  <si>
    <t>Heating and cooling</t>
  </si>
  <si>
    <t>Conversion losses</t>
  </si>
  <si>
    <t>Balance</t>
  </si>
  <si>
    <t>V.01</t>
  </si>
  <si>
    <t>V.02</t>
  </si>
  <si>
    <t>V.03</t>
  </si>
  <si>
    <t>V.04</t>
  </si>
  <si>
    <t>V.05</t>
  </si>
  <si>
    <t>V.07</t>
  </si>
  <si>
    <t>R.07</t>
  </si>
  <si>
    <t>H.01</t>
  </si>
  <si>
    <t>X.01</t>
  </si>
  <si>
    <t>[6]</t>
  </si>
  <si>
    <t>[3]</t>
  </si>
  <si>
    <t>Technology efficiencies -- space heating -- cold day in winter</t>
  </si>
  <si>
    <t>Technology efficiencies -- hot water -- cold day in winter</t>
  </si>
  <si>
    <t>Technology efficiencies -- cooling</t>
  </si>
  <si>
    <t>Technology package</t>
  </si>
  <si>
    <t>Max</t>
  </si>
  <si>
    <t>Start year</t>
  </si>
  <si>
    <t>Maximum installation rate (including new builds) [5]</t>
  </si>
  <si>
    <t>Installations per year, following period</t>
  </si>
  <si>
    <t>Heating systems</t>
  </si>
  <si>
    <t>Cooling systems</t>
  </si>
  <si>
    <t>As a percentage of total households</t>
  </si>
  <si>
    <t># households</t>
  </si>
  <si>
    <t>Technical Potential</t>
  </si>
  <si>
    <t xml:space="preserve">% hhs 2013 </t>
  </si>
  <si>
    <t>% hhs 2050</t>
  </si>
  <si>
    <t xml:space="preserve">Solid wall insulation </t>
  </si>
  <si>
    <t>Cavity wall insulation</t>
  </si>
  <si>
    <t xml:space="preserve">Floor insulation </t>
  </si>
  <si>
    <t>Superglazing</t>
  </si>
  <si>
    <t>Lofts</t>
  </si>
  <si>
    <t>Draughtproofing</t>
  </si>
  <si>
    <t># households with measure</t>
  </si>
  <si>
    <t>Retrofit measure</t>
  </si>
  <si>
    <t>PM10 Emission factors</t>
  </si>
  <si>
    <t>Module</t>
  </si>
  <si>
    <t>Fuel</t>
  </si>
  <si>
    <t>2015</t>
  </si>
  <si>
    <t>2020</t>
  </si>
  <si>
    <t>2025</t>
  </si>
  <si>
    <t>2030</t>
  </si>
  <si>
    <t>2035</t>
  </si>
  <si>
    <t>2040</t>
  </si>
  <si>
    <t>2045</t>
  </si>
  <si>
    <t>2050</t>
  </si>
  <si>
    <t>Gas Boiler (old)</t>
  </si>
  <si>
    <t>Natural gas</t>
  </si>
  <si>
    <t>Biogas</t>
  </si>
  <si>
    <t>Gas Boiler (new)</t>
  </si>
  <si>
    <t>Oil</t>
  </si>
  <si>
    <t>Biofuel</t>
  </si>
  <si>
    <t>Coal</t>
  </si>
  <si>
    <t>Biomass</t>
  </si>
  <si>
    <t>NOX Emission factors</t>
  </si>
  <si>
    <t>SO2 Emission factors</t>
  </si>
  <si>
    <t>NMVOC Emission factors</t>
  </si>
  <si>
    <t xml:space="preserve">Source: Dublin Airport 2013 mean temperature from Met Eireann </t>
  </si>
  <si>
    <t>Temperature projections based on 'Climate Change in Ireland: Refining the Impacts for Ireland' (EPA, 2008): Trajectory forecast a rise in mean winter / spring / summer / autumn  temperature of approx. 1.4 / 1.4 / 1.5 / 1.8 °C by 2050 compared to 1961-1990 average</t>
  </si>
  <si>
    <t>Includes solid biomass boilers, wood-burning stoves, biomass-fired community heating</t>
  </si>
  <si>
    <t>Includes community CHP</t>
  </si>
  <si>
    <t>[5]</t>
  </si>
  <si>
    <t>Assumed to grow at same rate as number of households</t>
  </si>
  <si>
    <t>[7]</t>
  </si>
  <si>
    <t>Capital cost of retrofit insulation</t>
  </si>
  <si>
    <t>Delta</t>
  </si>
  <si>
    <t>Point</t>
  </si>
  <si>
    <t>Capital cost of new build</t>
  </si>
  <si>
    <t>Point would be</t>
  </si>
  <si>
    <t>Is added in further down spreadsheet</t>
  </si>
  <si>
    <t>Building Regulations 2000</t>
  </si>
  <si>
    <t>Energy Saving Trust’s Advanced Practice Energy Efficiency standard, but with the air permeability standard relaxed to 3m3/m2.hr</t>
  </si>
  <si>
    <t>Passiv Haus</t>
  </si>
  <si>
    <t>Heating and cooling systems</t>
  </si>
  <si>
    <t>Capital costs</t>
  </si>
  <si>
    <t>HIGH</t>
  </si>
  <si>
    <t>POINT</t>
  </si>
  <si>
    <t>LOW</t>
  </si>
  <si>
    <t>Operating costs</t>
  </si>
  <si>
    <t>5 District Heating System (added as a cost per household)</t>
  </si>
  <si>
    <t xml:space="preserve">High </t>
  </si>
  <si>
    <t>Not currently wired here - is done further down sheet instead</t>
  </si>
  <si>
    <t>Sources:</t>
  </si>
  <si>
    <t>Derived assumptions</t>
  </si>
  <si>
    <t>1. Number of Households</t>
  </si>
  <si>
    <t>2. Retrofit measures</t>
  </si>
  <si>
    <t>3. Heating and Cooling systems</t>
  </si>
  <si>
    <t>Households</t>
  </si>
  <si>
    <t>Total households</t>
  </si>
  <si>
    <t>New households since last period</t>
  </si>
  <si>
    <t># households/yr</t>
  </si>
  <si>
    <t>a) Pathways chosen</t>
  </si>
  <si>
    <t>New replacement heating systems split</t>
  </si>
  <si>
    <t>b) Energy demand split by heating and cooling systems (for energy and emissions calculations)</t>
  </si>
  <si>
    <t>Technology penetration</t>
  </si>
  <si>
    <t>% of households</t>
  </si>
  <si>
    <t>Heating and hot water systems share, as a % of households</t>
  </si>
  <si>
    <t>New cooling systems, % by technology type</t>
  </si>
  <si>
    <t>c) Total number of heating systems for costs</t>
  </si>
  <si>
    <t>Number of heating systems</t>
  </si>
  <si>
    <t>Percentage of scrappage every 5 years</t>
  </si>
  <si>
    <t>Scrapped Heating systems</t>
  </si>
  <si>
    <t>Number of scrapped heating systems</t>
  </si>
  <si>
    <t>New Heating systems</t>
  </si>
  <si>
    <t>Number of new houses on district heating network</t>
  </si>
  <si>
    <t>District Heating network</t>
  </si>
  <si>
    <t>Cumulative</t>
  </si>
  <si>
    <t>Additional</t>
  </si>
  <si>
    <t>d) Total number of cooling systems for costs</t>
  </si>
  <si>
    <t>Cumulative Total Cooling systems</t>
  </si>
  <si>
    <t>Scrapped - Assume 10 year lifetime</t>
  </si>
  <si>
    <t>New Cooling systems</t>
  </si>
  <si>
    <t>Methodology</t>
  </si>
  <si>
    <t>Supply hot water with solar thermal (if any)</t>
  </si>
  <si>
    <t>Supply residual hot water with given technologies</t>
  </si>
  <si>
    <t>Compute seasonal space heating demand</t>
  </si>
  <si>
    <t>Supply space heating with given technologies</t>
  </si>
  <si>
    <t>Compute cooling demand</t>
  </si>
  <si>
    <t>Compute total energy demand by vector</t>
  </si>
  <si>
    <t>Compute emissions</t>
  </si>
  <si>
    <t>Compute peak winter energy demand</t>
  </si>
  <si>
    <t>Compute costs</t>
  </si>
  <si>
    <t>HOT WATER DEMAND</t>
  </si>
  <si>
    <t>Hot water demand per household</t>
  </si>
  <si>
    <t>×</t>
  </si>
  <si>
    <t>Number of households</t>
  </si>
  <si>
    <t>=</t>
  </si>
  <si>
    <t>Hot water demand</t>
  </si>
  <si>
    <t>−</t>
  </si>
  <si>
    <t>Used solar thermal heating</t>
  </si>
  <si>
    <t>Residual hot water demand</t>
  </si>
  <si>
    <t>SUPPLY HOT WATER DEMAND WITH GIVEN TECHNOLOGIES</t>
  </si>
  <si>
    <t>Convert to energy demand by vector</t>
  </si>
  <si>
    <t>SPACE HEATING DEMAND</t>
  </si>
  <si>
    <t>Total space heating demand</t>
  </si>
  <si>
    <t>Savings from change in BERs</t>
  </si>
  <si>
    <t>Energy demand (kwh) per m2 per yr</t>
  </si>
  <si>
    <t>% share</t>
  </si>
  <si>
    <t>A-B2</t>
  </si>
  <si>
    <t>B3-C3</t>
  </si>
  <si>
    <t>C2-C3</t>
  </si>
  <si>
    <t>D*</t>
  </si>
  <si>
    <t>E, F and G*</t>
  </si>
  <si>
    <t>*Lower categories multiplied by factor:</t>
  </si>
  <si>
    <t>D</t>
  </si>
  <si>
    <t>E,F,G</t>
  </si>
  <si>
    <t>User Choice Estimated demand (TWh)</t>
  </si>
  <si>
    <t>Estimated reduction in Demand (depends on user choice)</t>
  </si>
  <si>
    <t>Space heating demand after BER improvement</t>
  </si>
  <si>
    <t>SUPPLY SPACE HEATING DEMAND WITH GIVEN TECHNOLOGIES</t>
  </si>
  <si>
    <t>4a</t>
  </si>
  <si>
    <t>SPACE HEATING DEMAND AFTER SMART METER INSTALLATION</t>
  </si>
  <si>
    <t>COOLING DEMAND (left out)</t>
  </si>
  <si>
    <t>Total cooling demand, of which</t>
  </si>
  <si>
    <t>Convert to energy demand by physical vector</t>
  </si>
  <si>
    <t>Rewrite cooling demand as energy required as input to the cooling system</t>
  </si>
  <si>
    <t>TOTAL ENERGY DEMAND BY VECTOR</t>
  </si>
  <si>
    <t>EMISSIONS</t>
  </si>
  <si>
    <t>CO2</t>
  </si>
  <si>
    <t>Mt CO2e</t>
  </si>
  <si>
    <t>CH4</t>
  </si>
  <si>
    <t>N2O</t>
  </si>
  <si>
    <t>Use of fuels that trigger other emissions to air, by technology:</t>
  </si>
  <si>
    <t>Total of natural gas, oil, coal, biogas, bioliquid, biomass</t>
  </si>
  <si>
    <t>x-check against sum of solid, liquid, gas</t>
  </si>
  <si>
    <t>AQ.01</t>
  </si>
  <si>
    <t>PM10</t>
  </si>
  <si>
    <t>AQ.02</t>
  </si>
  <si>
    <t>NOX</t>
  </si>
  <si>
    <t>AQ.03</t>
  </si>
  <si>
    <t>SO2</t>
  </si>
  <si>
    <t>AQ.04</t>
  </si>
  <si>
    <t>NMVOC</t>
  </si>
  <si>
    <t>FOR INFORMATION: ENERGY DEMAND AND EMISSIONS FROM CHP</t>
  </si>
  <si>
    <t>CHP related heating sources</t>
  </si>
  <si>
    <t>Emissions from CHP</t>
  </si>
  <si>
    <t>WINTER PEAK ELECTRICITY DEMAND</t>
  </si>
  <si>
    <t>8a</t>
  </si>
  <si>
    <t>Fixed  component</t>
  </si>
  <si>
    <t>No air conditioning required in winter:</t>
  </si>
  <si>
    <t>Delta in electricity demand for cooling compared to annual average</t>
  </si>
  <si>
    <t>No solar hot water available in winter:</t>
  </si>
  <si>
    <t>Hot water demand without solar</t>
  </si>
  <si>
    <t>Extra hot water supplied by technology</t>
  </si>
  <si>
    <t>Convert to extra energy demand by vector</t>
  </si>
  <si>
    <t>GW</t>
  </si>
  <si>
    <t>Less existing energy demand by vector</t>
  </si>
  <si>
    <t>Space heating energy demand using winter efficiencies</t>
  </si>
  <si>
    <t>Extra space heating demand due to winter efficiencies</t>
  </si>
  <si>
    <t>Extra electricity required on peak day, independent of temperature</t>
  </si>
  <si>
    <t>Extra heat demand per degree drop in temperature</t>
  </si>
  <si>
    <t>Extra space heating supplied by technology</t>
  </si>
  <si>
    <t>Delta electricity per degree T drop</t>
  </si>
  <si>
    <t>Capital cost of insulation (high)</t>
  </si>
  <si>
    <t>Capital cost of insulation (point)</t>
  </si>
  <si>
    <t>Capital cost of insulation (low)</t>
  </si>
  <si>
    <t>New Build - Capital Cost</t>
  </si>
  <si>
    <t>Cost of heating systems</t>
  </si>
  <si>
    <t>High estimate of costs</t>
  </si>
  <si>
    <t>Total costs</t>
  </si>
  <si>
    <t>Point estimate of costs</t>
  </si>
  <si>
    <t>Low estimate of costs</t>
  </si>
  <si>
    <t>Cost of Cooling</t>
  </si>
  <si>
    <t>Cost of District Heating System</t>
  </si>
  <si>
    <t>Outputs</t>
  </si>
  <si>
    <t>For information: outputs excluding CHP</t>
  </si>
  <si>
    <t>For information: outputs from CHP ONLY</t>
  </si>
  <si>
    <t>Total energy produced and required</t>
  </si>
  <si>
    <t>Emissions</t>
  </si>
  <si>
    <t>For information: Greenhouse gas emissions excluding CHP</t>
  </si>
  <si>
    <t>GHG</t>
  </si>
  <si>
    <t>IPCC Sector</t>
  </si>
  <si>
    <t>1A</t>
  </si>
  <si>
    <t>Fuel Combustion</t>
  </si>
  <si>
    <t>For information: Greenhouse gas emissions from CHP ONLY</t>
  </si>
  <si>
    <t>Total greenhouse gas emissions produced</t>
  </si>
  <si>
    <t>Other emissions to atmosphere</t>
  </si>
  <si>
    <t>kt/yr</t>
  </si>
  <si>
    <t>Information</t>
  </si>
  <si>
    <t>Information summary</t>
  </si>
  <si>
    <t>Information type</t>
  </si>
  <si>
    <t>B.03</t>
  </si>
  <si>
    <t>Number of units</t>
  </si>
  <si>
    <t>B.09</t>
  </si>
  <si>
    <t>Additional electricity at peak</t>
  </si>
  <si>
    <t>B.10</t>
  </si>
  <si>
    <t>Temperature related additional electricity demand</t>
  </si>
  <si>
    <t>Costs</t>
  </si>
  <si>
    <t>Costs of insulation measures</t>
  </si>
  <si>
    <t>C1.High</t>
  </si>
  <si>
    <t>High estimate of capital costs</t>
  </si>
  <si>
    <t>C1.Point</t>
  </si>
  <si>
    <t>Point estimate of capital costs</t>
  </si>
  <si>
    <t>C1.Low</t>
  </si>
  <si>
    <t>Low estimate of capital costs</t>
  </si>
  <si>
    <t>Costs of heating and cooling systems</t>
  </si>
  <si>
    <t>C2.High</t>
  </si>
  <si>
    <t>High estimate of operating costs</t>
  </si>
  <si>
    <t>C2.Point</t>
  </si>
  <si>
    <t>Point estimate of operating costs</t>
  </si>
  <si>
    <t>C2.Low</t>
  </si>
  <si>
    <t>Low estimate of operating costs</t>
  </si>
  <si>
    <t>Residential Heating</t>
  </si>
  <si>
    <t>1 (or A)</t>
  </si>
  <si>
    <t>2 (or B)</t>
  </si>
  <si>
    <t>3 (or C)</t>
  </si>
  <si>
    <t>4 (or D)</t>
  </si>
  <si>
    <t>Behaviour change / smart meter roll-out</t>
  </si>
  <si>
    <t>No smart lever roll-out or behaviour change</t>
  </si>
  <si>
    <t>Smart meter roll-out leads to 3% reduction in energy demand for heating per household</t>
  </si>
  <si>
    <t>Smart meter roll-out and behaviour change leads to 8% reduction in energy demand for heating</t>
  </si>
  <si>
    <t>Share of homes with an A or B rated BER Certificate</t>
  </si>
  <si>
    <t>Existing A and B rated buildings, plus all new builds, 50% in 2050</t>
  </si>
  <si>
    <t>60% of homes have a B2 BER rating or higher by 2050</t>
  </si>
  <si>
    <t>75% of homes have B2 BER rating or higher</t>
  </si>
  <si>
    <t>90% of homes in Ireland have an A-B2 BER rating in 2050</t>
  </si>
  <si>
    <t>Home heating electrification</t>
  </si>
  <si>
    <t>The proportion of domestic heat supplied using electricity is 0-10%, as today</t>
  </si>
  <si>
    <t>The proportion of new domestic heating systems using electricity is 20%</t>
  </si>
  <si>
    <t>The proportion of new domestic heating systems supplied using electricity is 30-60%</t>
  </si>
  <si>
    <t>The proportion of new domestic heating systems supplied using electricity is 80-100%</t>
  </si>
  <si>
    <t>Home heating that isn't electric</t>
  </si>
  <si>
    <t>The dominant non-electric heat source is gas or gas CHP (biogas if available)</t>
  </si>
  <si>
    <t>The dominant non-electric heat source is coal or coal CHP (biomass if available)</t>
  </si>
  <si>
    <t>The dominant non-electric heat source is waste heat from power stations</t>
  </si>
  <si>
    <t>A mixture of gas/biogas; coal/biomass; and heat from power stations</t>
  </si>
  <si>
    <t>Choice of Trajectory</t>
  </si>
  <si>
    <t>Uses</t>
  </si>
  <si>
    <t>Secondary sources</t>
  </si>
  <si>
    <t>Primary Sources</t>
  </si>
  <si>
    <t>Adjustments</t>
  </si>
  <si>
    <t>Emissions (Mt CO2e)</t>
  </si>
  <si>
    <t>Lighting &amp; appliances</t>
  </si>
  <si>
    <t>Industry</t>
  </si>
  <si>
    <t>Road transport</t>
  </si>
  <si>
    <t>Rail transport</t>
  </si>
  <si>
    <t>Domestic aviation</t>
  </si>
  <si>
    <t>National navigation</t>
  </si>
  <si>
    <t>International aviation</t>
  </si>
  <si>
    <t>International shipping</t>
  </si>
  <si>
    <t>Food consumption [UNUSED]</t>
  </si>
  <si>
    <t>Total uses</t>
  </si>
  <si>
    <t>Oil and petroleum products</t>
  </si>
  <si>
    <t>Blast furnace gas</t>
  </si>
  <si>
    <t>Edible biomass</t>
  </si>
  <si>
    <t>Energy crops (second generation)</t>
  </si>
  <si>
    <t>Energy crops (first generation)</t>
  </si>
  <si>
    <t>Dry biomass and waste</t>
  </si>
  <si>
    <t>Wet biomass and waste</t>
  </si>
  <si>
    <t>Gaseous waste</t>
  </si>
  <si>
    <t>H2</t>
  </si>
  <si>
    <t>Total secondary sources</t>
  </si>
  <si>
    <t>Coal reserves</t>
  </si>
  <si>
    <t>Oil reserves</t>
  </si>
  <si>
    <t>Gas reserves</t>
  </si>
  <si>
    <t>Biomass oversupply (imports)</t>
  </si>
  <si>
    <t>Electricity oversupply (imports)</t>
  </si>
  <si>
    <t>Petroleum products oversupply</t>
  </si>
  <si>
    <t>Coal oversupply (imports)</t>
  </si>
  <si>
    <t>Oil and petroleum products oversupply (imports)</t>
  </si>
  <si>
    <t>Gas oversupply (imports)</t>
  </si>
  <si>
    <t>Nuclear fission</t>
  </si>
  <si>
    <t>Wind</t>
  </si>
  <si>
    <t>Tidal</t>
  </si>
  <si>
    <t>Wave</t>
  </si>
  <si>
    <t>Hydro</t>
  </si>
  <si>
    <t>Agriculture</t>
  </si>
  <si>
    <t>Waste</t>
  </si>
  <si>
    <t>Total primary sources</t>
  </si>
  <si>
    <t>Distribution losses and own use</t>
  </si>
  <si>
    <t>Total adjust.</t>
  </si>
  <si>
    <t>Unallocated</t>
  </si>
  <si>
    <t>Fugitive Emissions from Fuels</t>
  </si>
  <si>
    <t>Industrial Processes</t>
  </si>
  <si>
    <t>Solvent and Other Product Use</t>
  </si>
  <si>
    <t>Land Use, Land-Use Change and Forestry</t>
  </si>
  <si>
    <t>Other</t>
  </si>
  <si>
    <t>International Aviation and Shipping</t>
  </si>
  <si>
    <t>Bioenergy credit</t>
  </si>
  <si>
    <t>Carbon capture</t>
  </si>
  <si>
    <t>Sector</t>
  </si>
  <si>
    <t>L.01</t>
  </si>
  <si>
    <t>I.01</t>
  </si>
  <si>
    <t>T.01</t>
  </si>
  <si>
    <t>T.02</t>
  </si>
  <si>
    <t>T.03</t>
  </si>
  <si>
    <t>T.04</t>
  </si>
  <si>
    <t>T.05</t>
  </si>
  <si>
    <t>T.06</t>
  </si>
  <si>
    <t>F.01</t>
  </si>
  <si>
    <t>C.01</t>
  </si>
  <si>
    <t>C.02</t>
  </si>
  <si>
    <t>C.03</t>
  </si>
  <si>
    <t>V.06</t>
  </si>
  <si>
    <t>V.08</t>
  </si>
  <si>
    <t>V.13</t>
  </si>
  <si>
    <t>V.14</t>
  </si>
  <si>
    <t>V.09</t>
  </si>
  <si>
    <t>V.10</t>
  </si>
  <si>
    <t>V.15</t>
  </si>
  <si>
    <t>V.12</t>
  </si>
  <si>
    <t>Q.01</t>
  </si>
  <si>
    <t>Q.02</t>
  </si>
  <si>
    <t>Q.03</t>
  </si>
  <si>
    <t>Y.01</t>
  </si>
  <si>
    <t>Y.02</t>
  </si>
  <si>
    <t>Y.03</t>
  </si>
  <si>
    <t>Y.04</t>
  </si>
  <si>
    <t>Y.05</t>
  </si>
  <si>
    <t>Y.06</t>
  </si>
  <si>
    <t>N.01</t>
  </si>
  <si>
    <t>R.01</t>
  </si>
  <si>
    <t>R.02</t>
  </si>
  <si>
    <t>R.03</t>
  </si>
  <si>
    <t>R.04</t>
  </si>
  <si>
    <t>R.05</t>
  </si>
  <si>
    <t>R.06</t>
  </si>
  <si>
    <t>A.01</t>
  </si>
  <si>
    <t>W.01</t>
  </si>
  <si>
    <t>X.02</t>
  </si>
  <si>
    <t>Z.01</t>
  </si>
  <si>
    <t>1B</t>
  </si>
  <si>
    <t>X1</t>
  </si>
  <si>
    <t>X2</t>
  </si>
  <si>
    <t>X3</t>
  </si>
  <si>
    <t>F</t>
  </si>
  <si>
    <t>Consumption</t>
  </si>
  <si>
    <t>IX.b</t>
  </si>
  <si>
    <t>Domestic hot water [UNUSED - See IX.a]</t>
  </si>
  <si>
    <t>Total Domestic</t>
  </si>
  <si>
    <t>IX.c</t>
  </si>
  <si>
    <t>Commercial heating and cooling</t>
  </si>
  <si>
    <t>IX.d</t>
  </si>
  <si>
    <t>Commercial hot water [UNUSED - See IX.c]</t>
  </si>
  <si>
    <t>Total Commercial</t>
  </si>
  <si>
    <t>X.a</t>
  </si>
  <si>
    <t>Domestic lighting, appliances, and cooking</t>
  </si>
  <si>
    <t>X.b</t>
  </si>
  <si>
    <t>Commercial lighting, appliances, and catering</t>
  </si>
  <si>
    <t>X</t>
  </si>
  <si>
    <t>XI.a</t>
  </si>
  <si>
    <t>Industrial processes</t>
  </si>
  <si>
    <t>XI</t>
  </si>
  <si>
    <t>XII.a</t>
  </si>
  <si>
    <t>Domestic passenger transport</t>
  </si>
  <si>
    <t>XII.b</t>
  </si>
  <si>
    <t>Domestic freight</t>
  </si>
  <si>
    <t>XII.c</t>
  </si>
  <si>
    <t>XII.d</t>
  </si>
  <si>
    <t>Domestic aviation [UNUSED - see XII.a]</t>
  </si>
  <si>
    <t>Total Aviation</t>
  </si>
  <si>
    <t>XII.e</t>
  </si>
  <si>
    <t>XII.f</t>
  </si>
  <si>
    <t>National navigation [UNUSED - see XII.a]</t>
  </si>
  <si>
    <t>Total Shipping</t>
  </si>
  <si>
    <t>XII</t>
  </si>
  <si>
    <t>Transport</t>
  </si>
  <si>
    <t>XIII.a</t>
  </si>
  <si>
    <t>XIII</t>
  </si>
  <si>
    <t>XIV.a</t>
  </si>
  <si>
    <t>Geosequestration</t>
  </si>
  <si>
    <t>XIV</t>
  </si>
  <si>
    <t>Subtotal.Consumption</t>
  </si>
  <si>
    <t>Total consumption</t>
  </si>
  <si>
    <t>Supply</t>
  </si>
  <si>
    <t>Subtotal.VIII.a</t>
  </si>
  <si>
    <t>Total supply (demand) to this point</t>
  </si>
  <si>
    <t>VIII.a</t>
  </si>
  <si>
    <t>H2 Production for Transport</t>
  </si>
  <si>
    <t>VIII</t>
  </si>
  <si>
    <t>H2 Production</t>
  </si>
  <si>
    <t>VI.c</t>
  </si>
  <si>
    <t>Marine algae</t>
  </si>
  <si>
    <t>VI.b</t>
  </si>
  <si>
    <t>Volume of Waste &amp; Recycling</t>
  </si>
  <si>
    <t>VI.a</t>
  </si>
  <si>
    <t>Agriculture and land use</t>
  </si>
  <si>
    <t>VI</t>
  </si>
  <si>
    <t>Agriculture and waste</t>
  </si>
  <si>
    <t>XV.a</t>
  </si>
  <si>
    <t>Petroleum refineries</t>
  </si>
  <si>
    <t>XV.b</t>
  </si>
  <si>
    <t>Indigenous fossil-fuel production</t>
  </si>
  <si>
    <t>XV</t>
  </si>
  <si>
    <t>Fossil fuel production</t>
  </si>
  <si>
    <t>III.a.1</t>
  </si>
  <si>
    <t>Onshore wind</t>
  </si>
  <si>
    <t>III.a.2</t>
  </si>
  <si>
    <t>Offshore wind</t>
  </si>
  <si>
    <t>III.b</t>
  </si>
  <si>
    <t>Hydroelectric power stations</t>
  </si>
  <si>
    <t>III.c</t>
  </si>
  <si>
    <t>Tidal and Wave</t>
  </si>
  <si>
    <t>III.d</t>
  </si>
  <si>
    <t>Geothermal electricity</t>
  </si>
  <si>
    <t>III.e</t>
  </si>
  <si>
    <t>Tidal [UNUSED - See III.c]</t>
  </si>
  <si>
    <t>III</t>
  </si>
  <si>
    <t>National renewable power generation</t>
  </si>
  <si>
    <t>IV.a</t>
  </si>
  <si>
    <t>Solar PV</t>
  </si>
  <si>
    <t>IV.c</t>
  </si>
  <si>
    <t>Small-scale wind</t>
  </si>
  <si>
    <t>IV</t>
  </si>
  <si>
    <t>Distributed renewable power generation</t>
  </si>
  <si>
    <t>Subtotal.XVII.a</t>
  </si>
  <si>
    <t>Total heatsupply (demand) to this point</t>
  </si>
  <si>
    <t>XVII.a</t>
  </si>
  <si>
    <t>District heating effective demand</t>
  </si>
  <si>
    <t>XVII</t>
  </si>
  <si>
    <t>District heating</t>
  </si>
  <si>
    <t>Subtotal.II.a</t>
  </si>
  <si>
    <t>Total electricity supply (demand) to this point</t>
  </si>
  <si>
    <t>II.a</t>
  </si>
  <si>
    <t>Nuclear power</t>
  </si>
  <si>
    <t>II</t>
  </si>
  <si>
    <t>Nuclear power generation</t>
  </si>
  <si>
    <t>Subtotal.I.b</t>
  </si>
  <si>
    <t>I.b</t>
  </si>
  <si>
    <t>Carbon Capture Storage (CCS)</t>
  </si>
  <si>
    <t>Subtotal.I.a</t>
  </si>
  <si>
    <t>I.a</t>
  </si>
  <si>
    <t>Biomass/Coal power stations</t>
  </si>
  <si>
    <t>I</t>
  </si>
  <si>
    <t>Hydrocarbon fuel power generation</t>
  </si>
  <si>
    <t>Subtotal.Supply</t>
  </si>
  <si>
    <t>Total supply</t>
  </si>
  <si>
    <t>Distribution, storage, and balancing</t>
  </si>
  <si>
    <t>VII.a</t>
  </si>
  <si>
    <t>Electricity imports</t>
  </si>
  <si>
    <t>Subtotal.VII.b</t>
  </si>
  <si>
    <t>Total electricity supply (demand) prior to generation</t>
  </si>
  <si>
    <t>VII.b</t>
  </si>
  <si>
    <t>Electricity grid distribution</t>
  </si>
  <si>
    <t>VII.c</t>
  </si>
  <si>
    <t>Storage, demand shifting, interconnection</t>
  </si>
  <si>
    <t>VII</t>
  </si>
  <si>
    <t>Electricity distribution, storage, and balancing</t>
  </si>
  <si>
    <t>Subtotal.V.a</t>
  </si>
  <si>
    <t>Total supply / (demand) to this point</t>
  </si>
  <si>
    <t>V.a</t>
  </si>
  <si>
    <t>Types of fuel from Biomass</t>
  </si>
  <si>
    <t>Subtotal.V.b</t>
  </si>
  <si>
    <t>V.b</t>
  </si>
  <si>
    <t>Bioenergy imports</t>
  </si>
  <si>
    <t>V</t>
  </si>
  <si>
    <t>Bioenergy</t>
  </si>
  <si>
    <t>Subtotal.XVI.a</t>
  </si>
  <si>
    <t>XVI.a</t>
  </si>
  <si>
    <t>Fossil fuel transfers</t>
  </si>
  <si>
    <t>*</t>
  </si>
  <si>
    <t>XVI.b</t>
  </si>
  <si>
    <t>Balancing imports</t>
  </si>
  <si>
    <t>XVI</t>
  </si>
  <si>
    <t>Transfers</t>
  </si>
  <si>
    <t>Subtotal.Balancing</t>
  </si>
  <si>
    <t>Total Dist'n, storage, and balancing</t>
  </si>
  <si>
    <t>Net balance</t>
  </si>
  <si>
    <t>Used in electricity</t>
  </si>
  <si>
    <t>Computed within this worksheet</t>
  </si>
  <si>
    <t>Matching electricity</t>
  </si>
  <si>
    <t>emissions factor</t>
  </si>
  <si>
    <t>2013</t>
  </si>
  <si>
    <t>INSTRUCTIONS ARE AVAILABLE AT:</t>
  </si>
  <si>
    <t>Version 3.4.1</t>
  </si>
  <si>
    <t>Trajectory selection</t>
  </si>
  <si>
    <t>Trajectory Descriptions</t>
  </si>
  <si>
    <t>Energy supply and demand</t>
  </si>
  <si>
    <t>Energy Security Contextual Data</t>
  </si>
  <si>
    <t>Trajectory Descriptions (slightly longer for story tab)</t>
  </si>
  <si>
    <t>YOUR CHOICE</t>
  </si>
  <si>
    <t>LIMIT</t>
  </si>
  <si>
    <t>All at level 1</t>
  </si>
  <si>
    <t>Maximium demand, no supply</t>
  </si>
  <si>
    <t>Maximum supply, no demand</t>
  </si>
  <si>
    <t>Higher renewables, more energy efficiency</t>
  </si>
  <si>
    <t>Higher CCS, more bioenergy</t>
  </si>
  <si>
    <t>Analogous to MARKAL 3.26</t>
  </si>
  <si>
    <t>Electricity Generation</t>
  </si>
  <si>
    <t>Nuclear power stations</t>
  </si>
  <si>
    <t>In the event of a 5 day peak in heating and drop in wind</t>
  </si>
  <si>
    <t>CCS power stations</t>
  </si>
  <si>
    <t>CCS power station fuel mix</t>
  </si>
  <si>
    <t>100% coal/biomass, 0% gas/biogas CCS after demonstration plants</t>
  </si>
  <si>
    <t>66% coal/biomass, 33% gas/biogas CCS after demonstration plants</t>
  </si>
  <si>
    <t>33% coal/biomass, 66% gas/biogas CCS after demonstration plants</t>
  </si>
  <si>
    <t>0% coal/biomas, 100% gas/biogas CCS after demonstration plants</t>
  </si>
  <si>
    <t>Balancing capacity used</t>
  </si>
  <si>
    <t>Standby capacity required</t>
  </si>
  <si>
    <t>GWcapacity</t>
  </si>
  <si>
    <t>Probable annual emissions</t>
  </si>
  <si>
    <t>MtCO2e</t>
  </si>
  <si>
    <t>III.c.Wave</t>
  </si>
  <si>
    <t>None in 2050</t>
  </si>
  <si>
    <t>III.c.TidalStream</t>
  </si>
  <si>
    <t>Tidal Stream</t>
  </si>
  <si>
    <t>III.c.TidalRange</t>
  </si>
  <si>
    <t>Tidal Range</t>
  </si>
  <si>
    <t>Biomass power stations</t>
  </si>
  <si>
    <t xml:space="preserve">Please use the Storage, demand shifting and interconnection lever to choose balancing and </t>
  </si>
  <si>
    <t>Solar panels for electricity</t>
  </si>
  <si>
    <t>No significant solar PV capacity is installed</t>
  </si>
  <si>
    <t>storage options</t>
  </si>
  <si>
    <t>Solar panels for hot water</t>
  </si>
  <si>
    <t>As today, a negligible proportion of buildings have solar thermal in 2050</t>
  </si>
  <si>
    <t>~30% of suitable buildings get ~30% of their hot water from solar thermal</t>
  </si>
  <si>
    <t>All suitable buildings get ~30% of their hot water from solar thermal</t>
  </si>
  <si>
    <t>All suitable buildings get ~60% of their hot water from solar thermal</t>
  </si>
  <si>
    <t>Energy balancing and bio-energy</t>
  </si>
  <si>
    <t>As today, no discernable supply of electricity from micro-wind turbines</t>
  </si>
  <si>
    <t>Oversupply and Imports needed</t>
  </si>
  <si>
    <t>Imported Electricity</t>
  </si>
  <si>
    <t>Bioenergy Supply</t>
  </si>
  <si>
    <t>TWh / year</t>
  </si>
  <si>
    <t>Land dedicated to bioenergy</t>
  </si>
  <si>
    <t>Energy crops and food production similar to today</t>
  </si>
  <si>
    <t>Volume of waste and recycling</t>
  </si>
  <si>
    <t>No development of macro-algae cultivation</t>
  </si>
  <si>
    <t>Type of fuels from biomass</t>
  </si>
  <si>
    <t>Biomass converted to a mixture of solid, liquid and gas biofuels</t>
  </si>
  <si>
    <t>Biomass mainly converted to solid biofuel</t>
  </si>
  <si>
    <t>Biomass mainly converted to liquid biofuel</t>
  </si>
  <si>
    <t>Biomass mainly converted to biogas fuel</t>
  </si>
  <si>
    <t>Imported Bioenergy</t>
  </si>
  <si>
    <t>Demand</t>
  </si>
  <si>
    <t>Bioenergy contextual data</t>
  </si>
  <si>
    <t>Domestic transport behaviour</t>
  </si>
  <si>
    <t>Source / Use</t>
  </si>
  <si>
    <t>Shift to zero emission transport</t>
  </si>
  <si>
    <t>By 2050, 20% plug in hybrid electric cars; 2.5% zero emission cars.</t>
  </si>
  <si>
    <t>By 2050, 54% plug-in hybrid vehicles; 11%  zero emission vehicles, all buses hybrids.</t>
  </si>
  <si>
    <t>By 2050, 32% plug-in hybrid vehicles; 48% zero emission vehicles; 22% buses electric.</t>
  </si>
  <si>
    <t>Choice of fuel cells or batteries</t>
  </si>
  <si>
    <t>100% of zero emission cars use batteries by 2050</t>
  </si>
  <si>
    <t>Among zero emission cars, 80% use batteries and 20% use fuel cells by 2050</t>
  </si>
  <si>
    <t>Among zero emission cars, 20% use batteries and 80% use fuel cells by 2050</t>
  </si>
  <si>
    <t>100% of zero emission cars use fuel cells by 2050</t>
  </si>
  <si>
    <t>Consumption of gaseous hydrocarbons</t>
  </si>
  <si>
    <t>International Transport</t>
  </si>
  <si>
    <t>Supplied from biogas</t>
  </si>
  <si>
    <t>% of base yr</t>
  </si>
  <si>
    <t>Used in domestic heating</t>
  </si>
  <si>
    <t>Used in commercial heating</t>
  </si>
  <si>
    <t>Used in Industry</t>
  </si>
  <si>
    <t>Used in unabated power generation</t>
  </si>
  <si>
    <t>Used in CCS power generation</t>
  </si>
  <si>
    <t>Residential Lighting &amp; Appliances</t>
  </si>
  <si>
    <t>Consumption of liquid hydrocarbons</t>
  </si>
  <si>
    <t>Home lighting &amp; appliances</t>
  </si>
  <si>
    <t>Supplied from liquid biofuels</t>
  </si>
  <si>
    <t>Electrification of home cooking</t>
  </si>
  <si>
    <t>B</t>
  </si>
  <si>
    <t>Energy used for domestic cooking is entirely electric</t>
  </si>
  <si>
    <t>Same as B</t>
  </si>
  <si>
    <t>Used in transport</t>
  </si>
  <si>
    <t>Business</t>
  </si>
  <si>
    <t>Used in industry</t>
  </si>
  <si>
    <t>Growth in industry</t>
  </si>
  <si>
    <t>C</t>
  </si>
  <si>
    <t>Same as C</t>
  </si>
  <si>
    <t>Used in refineries</t>
  </si>
  <si>
    <t>Energy intensity of industry</t>
  </si>
  <si>
    <t>No electrification of processes, little improvement in energy intensity</t>
  </si>
  <si>
    <t>Some processes electrified; moderate improvements in process emissions and energy demand</t>
  </si>
  <si>
    <t>Same as 3</t>
  </si>
  <si>
    <t>Commercial Heating</t>
  </si>
  <si>
    <t>Consumption of solid hydrocarbons</t>
  </si>
  <si>
    <t>Commercial demand for heating and cooling</t>
  </si>
  <si>
    <t>Space heating demand increases by 30%, hot water demand by 50%, cooling demand by 60%</t>
  </si>
  <si>
    <t>Space heating demand stable, hot water demand increases by 25%, cooling demand stable</t>
  </si>
  <si>
    <t>Space heating demand drops by 25%, hot water demand by 10%, cooling demand by 60%</t>
  </si>
  <si>
    <t>% of actual</t>
  </si>
  <si>
    <t>Supplied from solid bioenergy</t>
  </si>
  <si>
    <t>Commercial heating electrification</t>
  </si>
  <si>
    <t>NB: Emissions (in blue) are modelled from energy consumption and may not agree precisely</t>
  </si>
  <si>
    <t>Used in CCS power plants</t>
  </si>
  <si>
    <t>Commercial heating that isn't electric</t>
  </si>
  <si>
    <t>The dominant non-electric heat source is heat from power stations</t>
  </si>
  <si>
    <t>A mixture of gas/biogas, coal/biomass, and heat from power stations</t>
  </si>
  <si>
    <t>Used in unabated power plants</t>
  </si>
  <si>
    <t>Commercial Lighting &amp; Appliances</t>
  </si>
  <si>
    <t>Commercial lighting &amp; appliances</t>
  </si>
  <si>
    <t>Used in heating</t>
  </si>
  <si>
    <t>Electrification of commercial cooking</t>
  </si>
  <si>
    <t>100% electric</t>
  </si>
  <si>
    <t>Electricity Balancing &amp; Other</t>
  </si>
  <si>
    <t>No geosequestration</t>
  </si>
  <si>
    <t>Balancing &amp; Storage</t>
  </si>
  <si>
    <t>Storage, demand shifting &amp; interconnection</t>
  </si>
  <si>
    <t>ONCE YOU'VE MADE YOUR CHOICES PRESS F9</t>
  </si>
  <si>
    <t>None</t>
  </si>
  <si>
    <t>1 nuclear power station in 2050 (1 GW capacity)</t>
  </si>
  <si>
    <t>Inputs (NOT USED)</t>
  </si>
  <si>
    <t>Electricity  required</t>
  </si>
  <si>
    <t>Nuclear, retirement of new build</t>
  </si>
  <si>
    <t>Own-use requirements (as percentage of generated electricity)</t>
  </si>
  <si>
    <t>Plant type</t>
  </si>
  <si>
    <t>Thermal efficiency (based on gross calorific values)</t>
  </si>
  <si>
    <t>Load factor</t>
  </si>
  <si>
    <t>Retirement of legacy capacity</t>
  </si>
  <si>
    <t>Implications</t>
  </si>
  <si>
    <t>Illustrative station lifetime</t>
  </si>
  <si>
    <t>Illustrative station size</t>
  </si>
  <si>
    <t>High estimate</t>
  </si>
  <si>
    <t>Point estimate</t>
  </si>
  <si>
    <t>Low estimate</t>
  </si>
  <si>
    <t>Cost of uranium</t>
  </si>
  <si>
    <t>Cost of uranium enrichment and disposal</t>
  </si>
  <si>
    <t>Transmission entry capacity</t>
  </si>
  <si>
    <t>Nuclear</t>
  </si>
  <si>
    <t>Capacity</t>
  </si>
  <si>
    <t>× Capacity factor</t>
  </si>
  <si>
    <t>= Available supply</t>
  </si>
  <si>
    <t>Available generation</t>
  </si>
  <si>
    <t>Requested generation</t>
  </si>
  <si>
    <t>Min. of requested and available, for reference</t>
  </si>
  <si>
    <t>Actual supplied (available generation)</t>
  </si>
  <si>
    <t xml:space="preserve">Used </t>
  </si>
  <si>
    <t>+ Own-use requirements</t>
  </si>
  <si>
    <t>= Total generation</t>
  </si>
  <si>
    <t>÷ Thermal efficiency</t>
  </si>
  <si>
    <t>= Total input energy required</t>
  </si>
  <si>
    <t>For information:</t>
  </si>
  <si>
    <t>New Build per year, previous 5 years</t>
  </si>
  <si>
    <t>Approximate total 1 GW locations</t>
  </si>
  <si>
    <t>#</t>
  </si>
  <si>
    <t>Approximate build rate of 1 GW locations</t>
  </si>
  <si>
    <t>#/yr</t>
  </si>
  <si>
    <t>Uranium</t>
  </si>
  <si>
    <t>Non-annualised</t>
  </si>
  <si>
    <t>Energy produced and required</t>
  </si>
  <si>
    <t>2007</t>
  </si>
  <si>
    <t>B.02</t>
  </si>
  <si>
    <t xml:space="preserve">Installed Capacity </t>
  </si>
  <si>
    <t>B.07</t>
  </si>
  <si>
    <t>Costs of this physical change</t>
  </si>
  <si>
    <t>C3.High</t>
  </si>
  <si>
    <t>High estimate of fuel costs</t>
  </si>
  <si>
    <t>C3.Point</t>
  </si>
  <si>
    <t>Point estimate of fuel costs</t>
  </si>
  <si>
    <t>C3.Low</t>
  </si>
  <si>
    <t>Low estimate of fuel costs</t>
  </si>
  <si>
    <t>No roll-out of CCS in Ireland</t>
  </si>
  <si>
    <t>Build rates</t>
  </si>
  <si>
    <t>Gas - Coal fuel mix</t>
  </si>
  <si>
    <t>Fuel Split</t>
  </si>
  <si>
    <t>Solid Hydrocarbon</t>
  </si>
  <si>
    <t>Gaseous Hydrocarbon</t>
  </si>
  <si>
    <t>Solid Hydrocarbon Pre and Post combustion Ratios</t>
  </si>
  <si>
    <t>Post</t>
  </si>
  <si>
    <t>Pre</t>
  </si>
  <si>
    <t>Demo baseline assumptions, installed gross capacity [1]</t>
  </si>
  <si>
    <t>V.O5</t>
  </si>
  <si>
    <t>Unabated thermal efficiency (based on gross calorific values) [2]</t>
  </si>
  <si>
    <t>% of fuel input</t>
  </si>
  <si>
    <t>For info: Base Plant - Own-use requirements [3]</t>
  </si>
  <si>
    <t>% of gross output</t>
  </si>
  <si>
    <t>Type</t>
  </si>
  <si>
    <t>Total parasitic load: CCS Equipment and Base Plant - Own-use requirements [4]</t>
  </si>
  <si>
    <t>Load factor [5]</t>
  </si>
  <si>
    <t>% of peak output</t>
  </si>
  <si>
    <t>Emissions reduction due to CCS</t>
  </si>
  <si>
    <t>Illustrative power station size</t>
  </si>
  <si>
    <t>PM10 emission factors</t>
  </si>
  <si>
    <t>Carbon capture storage (CCS)</t>
  </si>
  <si>
    <t>NOX emission factors</t>
  </si>
  <si>
    <t>SO2 emission factors</t>
  </si>
  <si>
    <t>NMVOC emission factors</t>
  </si>
  <si>
    <t xml:space="preserve">data until 2020 in line with internal DECC data relating to the demonstration plants; at 2020 ‘Nth of a kind’ data for unabated plants, </t>
  </si>
  <si>
    <t>followed by further 10% efficiency improvement by 2050 (DECC assumption).</t>
  </si>
  <si>
    <t xml:space="preserve">Total parasitic load is comprised of the base plant own use (above) plus the CCS equipment own use requirements. </t>
  </si>
  <si>
    <t xml:space="preserve">Up to 2020 the CCS equipment own use requirements are taken from Redpoint (2009) ‘Carbon Capture and Storage demonstration: analysis of policies on coal/CCS </t>
  </si>
  <si>
    <t>and financial incentive schemes report’ for coal demonstrations and a DECC assumption for the gas demonstration.</t>
  </si>
  <si>
    <t>‘Nth of a kind’ data at 2030, and a further 10% efficiency improvement by 2050 (DECC assumption).</t>
  </si>
  <si>
    <t>The load factors are as per DECC assumptions and remain constant across all technologies and over time.</t>
  </si>
  <si>
    <t>Cost assumptions</t>
  </si>
  <si>
    <t>Capital cost of a 1.2 GW power plant</t>
  </si>
  <si>
    <t>Coal CCS</t>
  </si>
  <si>
    <t>Gas CCS</t>
  </si>
  <si>
    <t>Operating cost of a 1.2 GW power plant</t>
  </si>
  <si>
    <t>New Build split between type of CCS plant</t>
  </si>
  <si>
    <t>Average load factor</t>
  </si>
  <si>
    <t>average of post, pre &amp; gas</t>
  </si>
  <si>
    <t>1. Post Combustion SH (Coal/Solid Biomass) CCS</t>
  </si>
  <si>
    <t>2. Pre Combustion SH (Coal/Solid Biomass) CCS</t>
  </si>
  <si>
    <t>3. Gaseous Hydrocarbon (Natural gas/Biogas) CCS</t>
  </si>
  <si>
    <t>4. Cost information</t>
  </si>
  <si>
    <t>5. Emissions</t>
  </si>
  <si>
    <t>1. Post Combustion Solid Hydrocarbon + CCS</t>
  </si>
  <si>
    <t>-</t>
  </si>
  <si>
    <t>CCS Equipment &amp; Base plant (parasitic load)</t>
  </si>
  <si>
    <t>Available capacity</t>
  </si>
  <si>
    <t>Available net generation</t>
  </si>
  <si>
    <t>+</t>
  </si>
  <si>
    <t>Gross generation</t>
  </si>
  <si>
    <t>Thermal efficiency</t>
  </si>
  <si>
    <t>Soild fuel input required</t>
  </si>
  <si>
    <t>2. Pre Combution Solid Hydrocarbon + CCS</t>
  </si>
  <si>
    <t>3. Gaseous Hydrocarbons + CCS</t>
  </si>
  <si>
    <t>CCS Equipment</t>
  </si>
  <si>
    <t>Gaseous hydrocarbon fuel input required</t>
  </si>
  <si>
    <t>Total CCS Installed Capacity</t>
  </si>
  <si>
    <t>Post Combustion Solid Hydrocarbon + CCS</t>
  </si>
  <si>
    <t>Retirement</t>
  </si>
  <si>
    <t>New build required</t>
  </si>
  <si>
    <t>Pre Combustion Solid Hydrocarbon + CCS</t>
  </si>
  <si>
    <t>Gaseous Hydrocarbons + CCS</t>
  </si>
  <si>
    <t>Solid Hydrocarbon Combustion emissions, unabated</t>
  </si>
  <si>
    <t>Gaseous Hydrocarbon Combustion emissions, unabated</t>
  </si>
  <si>
    <t>Combustion emissions, captured</t>
  </si>
  <si>
    <t>Fuel consumption</t>
  </si>
  <si>
    <t>of which:</t>
  </si>
  <si>
    <t>Natural Gas</t>
  </si>
  <si>
    <t>Biogass</t>
  </si>
  <si>
    <t>Other emissions to the atmosphere</t>
  </si>
  <si>
    <t>kte/yr</t>
  </si>
  <si>
    <t>Greenhouse gases</t>
  </si>
  <si>
    <t>Mt CO2e/yr</t>
  </si>
  <si>
    <t>Other emissions to air</t>
  </si>
  <si>
    <t>Offshore wind, retirement</t>
  </si>
  <si>
    <t>Fixed</t>
  </si>
  <si>
    <t>Floating</t>
  </si>
  <si>
    <t>Legacy capacity (built prior to end 2013)</t>
  </si>
  <si>
    <t>Capacity factor</t>
  </si>
  <si>
    <t>Assumed typical turbine size</t>
  </si>
  <si>
    <t>PeakCapacity/unit of area</t>
  </si>
  <si>
    <t>Capacity factor assumes no energy spilled</t>
  </si>
  <si>
    <t>Capacity factor in 2013 is from Arklow Bank Wind Park</t>
  </si>
  <si>
    <t>Average offshore wind capacity factor in Europe is 41% (EWEA, 2014). Assumption of increasing to 45% by 2030.</t>
  </si>
  <si>
    <t>Capital cost of a 0.0058 GW wind turbine</t>
  </si>
  <si>
    <t>Tranche 1</t>
  </si>
  <si>
    <t>Tranche 2</t>
  </si>
  <si>
    <t>Tranche 3</t>
  </si>
  <si>
    <t>Tranche 4</t>
  </si>
  <si>
    <t>Operating cost of a 0.0058 GW wind turbine</t>
  </si>
  <si>
    <t>Total wind capacity</t>
  </si>
  <si>
    <t>Installed capacity</t>
  </si>
  <si>
    <t>Available supply</t>
  </si>
  <si>
    <t>Generation</t>
  </si>
  <si>
    <t>Approximate total 5.8 MW turbines</t>
  </si>
  <si>
    <t>Approximate build rate of 5.8 MW turbines</t>
  </si>
  <si>
    <t>Approximate land area covered</t>
  </si>
  <si>
    <t>km^2</t>
  </si>
  <si>
    <t>B.04</t>
  </si>
  <si>
    <t>Installed peak capacity</t>
  </si>
  <si>
    <t>Onshore wind capacity stays the same (~2GW) up to 2020, decomissioned thereafter.</t>
  </si>
  <si>
    <t>Energy/unit of area</t>
  </si>
  <si>
    <t>Capacity factor from 2015 onwards is average capacity factor between 2000 and 2012 (on an unchanged configuration basis; taken from Renewable Energy in Ireland, SEAI 2014, Table 6, p. 24)</t>
  </si>
  <si>
    <t>Capital cost of a 0.0025 GW wind turbine</t>
  </si>
  <si>
    <t>Operating cost of a 0.0025 GW wind turbine</t>
  </si>
  <si>
    <t>Approximate total 2.5 MW turbines</t>
  </si>
  <si>
    <t>Approximate build rate of 2.5 MW turbines</t>
  </si>
  <si>
    <t>B.01</t>
  </si>
  <si>
    <t>Tidal range, Percentage of West coast sites (remainder for the east coast)</t>
  </si>
  <si>
    <t>Load factor [1]</t>
  </si>
  <si>
    <t>Tidal stream</t>
  </si>
  <si>
    <t>Tidal range - West</t>
  </si>
  <si>
    <t>Tidal range - East</t>
  </si>
  <si>
    <t>Availability</t>
  </si>
  <si>
    <t>Tidal range</t>
  </si>
  <si>
    <t>Unit</t>
  </si>
  <si>
    <t>Wave: Double the peak power of Pelamis P1 unit</t>
  </si>
  <si>
    <t>Wave: Extractable energy</t>
  </si>
  <si>
    <t xml:space="preserve">Tidal Range: Peak power </t>
  </si>
  <si>
    <t>Tidal Range: Enclosed sea area required</t>
  </si>
  <si>
    <t>Tidal Stream: A bit larger than a Seagen device in Stranford Lough</t>
  </si>
  <si>
    <t>Tidal Stream: Area of 1 m/s tidal stream</t>
  </si>
  <si>
    <t>Equivalent to 3.5W/m2 with a load factor of 25%</t>
  </si>
  <si>
    <t>Source: http://www.seageneration.co.uk/</t>
  </si>
  <si>
    <t>Capital cost of a 0.0015 GW wave turbine</t>
  </si>
  <si>
    <t>Point estimate - T1</t>
  </si>
  <si>
    <t>Point estimate - T2</t>
  </si>
  <si>
    <t>Point estimate - T3</t>
  </si>
  <si>
    <t>Operating cost of a 0.0015 GW wave turbine</t>
  </si>
  <si>
    <t>Point estimate - T1 &amp; T2</t>
  </si>
  <si>
    <t>Capital cost of a 0.24 GW tidal range project</t>
  </si>
  <si>
    <t>Operating cost of a 0.24 GW tidal range project</t>
  </si>
  <si>
    <t>Capital cost of a 0.002 GW tidal stream turbine</t>
  </si>
  <si>
    <t>Operating cost of a 0.002 GW tidal stream turbine</t>
  </si>
  <si>
    <t>Provide all available supply</t>
  </si>
  <si>
    <t>WAVE GENERATION</t>
  </si>
  <si>
    <t>TIDAL STREAM GENERATION</t>
  </si>
  <si>
    <t>TIDAL RANGE GENERATION</t>
  </si>
  <si>
    <t>Wave:</t>
  </si>
  <si>
    <t>Approximate number of machines twice as powerful as Pelamis P1</t>
  </si>
  <si>
    <t>Approximate length of wave front</t>
  </si>
  <si>
    <t>km</t>
  </si>
  <si>
    <t>Build Rate</t>
  </si>
  <si>
    <t>Annual</t>
  </si>
  <si>
    <t>Tidal stream:</t>
  </si>
  <si>
    <t>Approximate number of 1.2MW Seagen devices</t>
  </si>
  <si>
    <t>Approximate area of &gt;1m/s tides</t>
  </si>
  <si>
    <t>Tidal range:</t>
  </si>
  <si>
    <t>Approximate number of 240 MW La Rance tidal range sites</t>
  </si>
  <si>
    <t>Approximate area of tidal impoundment</t>
  </si>
  <si>
    <t>Energy produced and required - Total Wave &amp; Tidal</t>
  </si>
  <si>
    <t>Energy produced and required - Wave</t>
  </si>
  <si>
    <t>Energy produced and required - Tidal Stream</t>
  </si>
  <si>
    <t>Energy produced and required - Tidal Range</t>
  </si>
  <si>
    <t>Information summary - wave</t>
  </si>
  <si>
    <t>B.06</t>
  </si>
  <si>
    <t>wave energy convertors if 25% efficient</t>
  </si>
  <si>
    <t>Information summary - tidal stream</t>
  </si>
  <si>
    <t>tidal stream devices if &gt;1m/s tides</t>
  </si>
  <si>
    <t>approximate number if 2 MW devices</t>
  </si>
  <si>
    <t>Information summary - tidal range</t>
  </si>
  <si>
    <t>tidal impoundment if &gt;Xm tidal range</t>
  </si>
  <si>
    <t xml:space="preserve">approximate number if 1.2 MW, like Strangford Lough </t>
  </si>
  <si>
    <t>50 tidal stream turbines</t>
  </si>
  <si>
    <t>150 tidal stream turbines</t>
  </si>
  <si>
    <t>400 tidal stream turbines</t>
  </si>
  <si>
    <t>(i) Heat / cooling demand</t>
  </si>
  <si>
    <t>(ii) Electrification level</t>
  </si>
  <si>
    <t>(iii) Non-electric fuel direction</t>
  </si>
  <si>
    <t>Calculation of technology pathway</t>
  </si>
  <si>
    <t>Trajectory 1 No Longer Used</t>
  </si>
  <si>
    <t>Combined pathway</t>
  </si>
  <si>
    <t>Space heating</t>
  </si>
  <si>
    <t>Hot water</t>
  </si>
  <si>
    <t>Cooling</t>
  </si>
  <si>
    <t>Default increase in heat per degree drop</t>
  </si>
  <si>
    <t>Rate of replacement of commercial heating / cooling systems</t>
  </si>
  <si>
    <t>% of units per year, following period</t>
  </si>
  <si>
    <t>% replacements per year</t>
  </si>
  <si>
    <t>Technology efficiencies -- space heating</t>
  </si>
  <si>
    <t>Technology efficiencies -- hot water</t>
  </si>
  <si>
    <t>Technologies: 2013 penetrations; Max penetration; and start year for roll-out [1]</t>
  </si>
  <si>
    <t>See IX.a, Domestic Heating, for notes and comments</t>
  </si>
  <si>
    <t>Cost assumptions in rounded millions</t>
  </si>
  <si>
    <t>Convert to user preferences</t>
  </si>
  <si>
    <t>Capital cost</t>
  </si>
  <si>
    <t>Fixed operating cost</t>
  </si>
  <si>
    <t>Electric air conditioner</t>
  </si>
  <si>
    <t>District Heating</t>
  </si>
  <si>
    <t>Assumptions for investment costs</t>
  </si>
  <si>
    <t>Ratio of Average Demand to Peak Demand</t>
  </si>
  <si>
    <t>Scrappage Rate</t>
  </si>
  <si>
    <t>Years</t>
  </si>
  <si>
    <t>Technology penetration -- space heating and hot water</t>
  </si>
  <si>
    <t>% heat demand</t>
  </si>
  <si>
    <t>Technology penetration -- cooling</t>
  </si>
  <si>
    <t>% cooling demand</t>
  </si>
  <si>
    <t>Supply hot water demand</t>
  </si>
  <si>
    <t>Supple space heating demand</t>
  </si>
  <si>
    <t>Compute energy demand by vector</t>
  </si>
  <si>
    <t>Total hot water demand, of which</t>
  </si>
  <si>
    <t>Total space heating demand, of which</t>
  </si>
  <si>
    <t>COOLING DEMAND</t>
  </si>
  <si>
    <t>FOR INFORMATION: ENERGY AND EMISSIONS FROM CHP</t>
  </si>
  <si>
    <t>Energy demand by physical vector for CHP</t>
  </si>
  <si>
    <t>Hot water energy demand with winter efficiencies]</t>
  </si>
  <si>
    <t>Temperature dependent component</t>
  </si>
  <si>
    <t>COSTS</t>
  </si>
  <si>
    <t>Total space heating and hot water demand, of which</t>
  </si>
  <si>
    <t>New Build</t>
  </si>
  <si>
    <t>Cooling demand</t>
  </si>
  <si>
    <t>New build</t>
  </si>
  <si>
    <t>District Heating System - Investment Cost</t>
  </si>
  <si>
    <t>Cost of cooling</t>
  </si>
  <si>
    <t>kt</t>
  </si>
  <si>
    <t xml:space="preserve">  Air Quality</t>
  </si>
  <si>
    <t>Space heating demand increases by 50%, hot water demand by 60%, cooling demand by 190% as the share of commercial buildings with air conditioning rises from 23% to 46%</t>
  </si>
  <si>
    <t>The proportion of heat supplied using electricity is 20% (similar to today)</t>
  </si>
  <si>
    <t>The proportion of heat supplied using electricity is 30-60%</t>
  </si>
  <si>
    <t>The proportion of non-domestic heat supplied using electricity is 80-100% (primarily from heat pumps)</t>
  </si>
  <si>
    <t>(i) Demand</t>
  </si>
  <si>
    <t>(ii) Technology pathway</t>
  </si>
  <si>
    <t>Lighting and appliances, demand per household [1]</t>
  </si>
  <si>
    <t>% change</t>
  </si>
  <si>
    <t>Cooking, electrification pathway</t>
  </si>
  <si>
    <t>2050 split:</t>
  </si>
  <si>
    <t>As today</t>
  </si>
  <si>
    <t>Electric</t>
  </si>
  <si>
    <t>Cooking, current split by energy vector</t>
  </si>
  <si>
    <t>% of demand</t>
  </si>
  <si>
    <t>Mode</t>
  </si>
  <si>
    <t>Capital cost of an electric cooker</t>
  </si>
  <si>
    <t>Capital cost of a gas cooker</t>
  </si>
  <si>
    <t>Cooking, energy vector split</t>
  </si>
  <si>
    <t>Compute cooking demand by energy vector</t>
  </si>
  <si>
    <t>Select other lighting and appliances demand</t>
  </si>
  <si>
    <t>Compute total demand by vector</t>
  </si>
  <si>
    <t>COOKING DEMAND</t>
  </si>
  <si>
    <t>Cooking demand per household</t>
  </si>
  <si>
    <t>Total cooking demand, of which</t>
  </si>
  <si>
    <t>LIGHTING AND APPLIANCES</t>
  </si>
  <si>
    <t>Lighting and appliance demand per household</t>
  </si>
  <si>
    <t>Total lighting and appliance demand</t>
  </si>
  <si>
    <t>TOTAL DEMAND BY VECTOR</t>
  </si>
  <si>
    <t>UNITS</t>
  </si>
  <si>
    <t>Total Cookers</t>
  </si>
  <si>
    <t xml:space="preserve">Cookers scrapped </t>
  </si>
  <si>
    <t>New Cookers</t>
  </si>
  <si>
    <t>Greenhouse gas emissions</t>
  </si>
  <si>
    <t>2010</t>
  </si>
  <si>
    <t>Energy used for domestic cooking remains at 72% electricity and 28% gas</t>
  </si>
  <si>
    <t>(i) Industry Output Growth</t>
  </si>
  <si>
    <t>(ii) Energy intensity</t>
  </si>
  <si>
    <t>Growth in output index [1]</t>
  </si>
  <si>
    <t>2013–2025 (by Trajectory)</t>
  </si>
  <si>
    <t>% pa</t>
  </si>
  <si>
    <t>2025–2050 (by Trajectory)</t>
  </si>
  <si>
    <t>(i)</t>
  </si>
  <si>
    <t>(ii)</t>
  </si>
  <si>
    <t>Metals</t>
  </si>
  <si>
    <t>(iii)</t>
  </si>
  <si>
    <t>Minerals</t>
  </si>
  <si>
    <t>(iv)</t>
  </si>
  <si>
    <t>Growth in energy demand multiplier</t>
  </si>
  <si>
    <t>Fuel proportions by type</t>
  </si>
  <si>
    <t>2025 (by Trajectory)</t>
  </si>
  <si>
    <t>2035 (by Trajectory)</t>
  </si>
  <si>
    <t>2050 (by Trajectory)</t>
  </si>
  <si>
    <t>Growth in process emissions intensity</t>
  </si>
  <si>
    <t>% of emitted CO2 (process and combustion, excluding industry group "Other")</t>
  </si>
  <si>
    <t>Baseline energy consumption (2013) [1]</t>
  </si>
  <si>
    <t>Basline GHG emissions (2013) [2]</t>
  </si>
  <si>
    <t>Baseline AQ Process emissions (2013)</t>
  </si>
  <si>
    <t>Baseline AQ Process emissions (2015)</t>
  </si>
  <si>
    <t>Baseline AQ Process emissions (2020)</t>
  </si>
  <si>
    <t>Source: SEAI Energy Balance 2013</t>
  </si>
  <si>
    <t>Impact of choice of energy efficiency trajectory</t>
  </si>
  <si>
    <t>Cost of production by sector</t>
  </si>
  <si>
    <t>2050 % cost increase per unit production (low)</t>
  </si>
  <si>
    <t>2050 % cost increase per unit production (high)</t>
  </si>
  <si>
    <t>Net Capex</t>
  </si>
  <si>
    <t>Opex (ex fuel)</t>
  </si>
  <si>
    <t>Cost of industrial CCS capture</t>
  </si>
  <si>
    <t>Fixed costs of industrial CCS capture</t>
  </si>
  <si>
    <t>Infrastructure Costs</t>
  </si>
  <si>
    <t>Variable plant O&amp;M</t>
  </si>
  <si>
    <t>Distribution and capture</t>
  </si>
  <si>
    <t>Output index</t>
  </si>
  <si>
    <t>2013=100</t>
  </si>
  <si>
    <t>Energy demand multiplier</t>
  </si>
  <si>
    <t>Growth, pa</t>
  </si>
  <si>
    <t>Energy split by vector</t>
  </si>
  <si>
    <t>Process emissions intensity</t>
  </si>
  <si>
    <t>Multiple of 2013 emissions per unit output index</t>
  </si>
  <si>
    <t>4b</t>
  </si>
  <si>
    <t>Process emissions growth</t>
  </si>
  <si>
    <t>Multiple of 2013 emissions</t>
  </si>
  <si>
    <t>Compute process emissions</t>
  </si>
  <si>
    <t>Compute combustion emissions</t>
  </si>
  <si>
    <t>Compute CCS impact</t>
  </si>
  <si>
    <t>1. ENERGY DEMAND BY VECTOR</t>
  </si>
  <si>
    <t>Total energy use = output index × demand multiplier</t>
  </si>
  <si>
    <t>Demand by vector = Total × split by vector</t>
  </si>
  <si>
    <t>Of which, demand by vector from "Other"</t>
  </si>
  <si>
    <t>2. PROCESS EMISSIONS</t>
  </si>
  <si>
    <t>CO_2</t>
  </si>
  <si>
    <t>Total CO2</t>
  </si>
  <si>
    <t>CH_4</t>
  </si>
  <si>
    <t>Total CH4</t>
  </si>
  <si>
    <t>N_2O</t>
  </si>
  <si>
    <t>Total N2O</t>
  </si>
  <si>
    <t>HFCs, PFCs, and SF_6</t>
  </si>
  <si>
    <t>Total F-gases</t>
  </si>
  <si>
    <t>Total PM10</t>
  </si>
  <si>
    <t>Total NOX</t>
  </si>
  <si>
    <t>Total SO2</t>
  </si>
  <si>
    <t>Total NMVOC</t>
  </si>
  <si>
    <t>3. COMBUSTION EMISSIONS</t>
  </si>
  <si>
    <t>Of which, CO2 from "Other"</t>
  </si>
  <si>
    <t>Fuels used in combustion</t>
  </si>
  <si>
    <t>4.CCS</t>
  </si>
  <si>
    <t>Total CO2 emitted, process emissions</t>
  </si>
  <si>
    <t>fraction captured</t>
  </si>
  <si>
    <t>CO2 captured, process</t>
  </si>
  <si>
    <t>Total CO2 emitted, combustion, excl. "Other"</t>
  </si>
  <si>
    <t>CO2 captured, combustion</t>
  </si>
  <si>
    <t>For information</t>
  </si>
  <si>
    <t>Energy equiv. of total emissions captured</t>
  </si>
  <si>
    <t>H</t>
  </si>
  <si>
    <t>Capital cost of industrial CCS capture</t>
  </si>
  <si>
    <t>M</t>
  </si>
  <si>
    <t>L</t>
  </si>
  <si>
    <t>Operating cost of industrial CCS capture</t>
  </si>
  <si>
    <t>Cost of industrial processes by fuel type</t>
  </si>
  <si>
    <t>Capital</t>
  </si>
  <si>
    <t>Operating</t>
  </si>
  <si>
    <t>Other emissions to the atmosphere from combustion</t>
  </si>
  <si>
    <t>Other emissions to the atmosphere from process gases</t>
  </si>
  <si>
    <t>Direct</t>
  </si>
  <si>
    <t>From electricity</t>
  </si>
  <si>
    <t>L1</t>
  </si>
  <si>
    <t>Saving</t>
  </si>
  <si>
    <t>Cost</t>
  </si>
  <si>
    <t>L1 Low</t>
  </si>
  <si>
    <t>L1 High</t>
  </si>
  <si>
    <t>Extra Low</t>
  </si>
  <si>
    <t>Extra high</t>
  </si>
  <si>
    <t>(i) Behaviour</t>
  </si>
  <si>
    <t>(ii) Electrification</t>
  </si>
  <si>
    <t>(iii) Electric/Hydrogen</t>
  </si>
  <si>
    <t>Passenger-km per person per year</t>
  </si>
  <si>
    <t>% of passenger-km</t>
  </si>
  <si>
    <t>WALK</t>
  </si>
  <si>
    <t>Walking</t>
  </si>
  <si>
    <t>BIKE</t>
  </si>
  <si>
    <t>Pedal cycles</t>
  </si>
  <si>
    <t>CAR</t>
  </si>
  <si>
    <t>Cars, Vans, and Motorcycles</t>
  </si>
  <si>
    <t>BUS</t>
  </si>
  <si>
    <t>Buses</t>
  </si>
  <si>
    <t>RAIL</t>
  </si>
  <si>
    <t>Railways</t>
  </si>
  <si>
    <t>AIR</t>
  </si>
  <si>
    <t>Domestic air travel</t>
  </si>
  <si>
    <t>pax / vehicle-km</t>
  </si>
  <si>
    <t>(ii) Technology penetrations</t>
  </si>
  <si>
    <t>Trajectory 1</t>
  </si>
  <si>
    <t>% passenger-km</t>
  </si>
  <si>
    <t>ICE</t>
  </si>
  <si>
    <t>PHEV</t>
  </si>
  <si>
    <t>EV</t>
  </si>
  <si>
    <t>FCV</t>
  </si>
  <si>
    <t>HEV</t>
  </si>
  <si>
    <t>DIESEL</t>
  </si>
  <si>
    <t>ELECTRIC</t>
  </si>
  <si>
    <t>Trajectory 2</t>
  </si>
  <si>
    <t>Trajectory 3</t>
  </si>
  <si>
    <t>Trajectory 4</t>
  </si>
  <si>
    <t>iii) Electric/hydrogen split</t>
  </si>
  <si>
    <t>Railway and aircraft occupancies are pax / seat-km (not pax / vehicle-km)</t>
  </si>
  <si>
    <t>The above occupancy for rail is for whole trainsets.  The model now operates at a rail vehicle (carriage) unit.  The average occupancy per vehicle is 20.</t>
  </si>
  <si>
    <t>Typical distance travelled by mode</t>
  </si>
  <si>
    <t>km/vehicle</t>
  </si>
  <si>
    <t>Technology efficiences -- Liquid hydrocarbons [1]</t>
  </si>
  <si>
    <t>[1a]</t>
  </si>
  <si>
    <t>Technology efficiences -- Electricity [1]</t>
  </si>
  <si>
    <t>Technology efficiences -- Hydrogen [1]</t>
  </si>
  <si>
    <t>Railways -- non-traction electricity use [2]</t>
  </si>
  <si>
    <t>Non-traction electricity use</t>
  </si>
  <si>
    <t>Proportion of fuel used in Take off and landing stages</t>
  </si>
  <si>
    <t>percentage</t>
  </si>
  <si>
    <t>Train and aircraft efficiencies are given per seat-km, not per vehicle-km</t>
  </si>
  <si>
    <t>Lifespan</t>
  </si>
  <si>
    <t>Mode shares</t>
  </si>
  <si>
    <t>Technology penetrations by mode</t>
  </si>
  <si>
    <t>A Technology penetration (original)</t>
  </si>
  <si>
    <t>Technology penetration (addition)</t>
  </si>
  <si>
    <t>3a</t>
  </si>
  <si>
    <t>Occupancies</t>
  </si>
  <si>
    <t xml:space="preserve">High estimate of capital cost per vehicle </t>
  </si>
  <si>
    <t>Point estimate of capital cost per vehicle</t>
  </si>
  <si>
    <t xml:space="preserve">Low estimate of capital cost per vehicle </t>
  </si>
  <si>
    <t xml:space="preserve">High operating cost per vehicle </t>
  </si>
  <si>
    <t xml:space="preserve">Point operating cost per vehicle </t>
  </si>
  <si>
    <t>Low operating cost per vehicle</t>
  </si>
  <si>
    <t>http://decc-wiki.greenonblack.com/pages/348</t>
  </si>
  <si>
    <t>Lifespan from MARKAL</t>
  </si>
  <si>
    <t>High costs from MARKAL/Low costs from ESME (exceptions -  BUS EV which uses MARKAL for High and Low figures and Air where Markal opex&lt;ESME so Markal used)</t>
  </si>
  <si>
    <t>High cost for CAR FCV is from DfT assumption</t>
  </si>
  <si>
    <t>Bike cost assumptions are DECC estimates and include advice from DfT</t>
  </si>
  <si>
    <t>Passenger rail modelled in vehicle units using DfT veh/mile cost multiplied by average unit mileage</t>
  </si>
  <si>
    <t>[8]</t>
  </si>
  <si>
    <t>Low (future 2050) rail costs based on advice from DfT of 30% reduction by 2030 followed by a further 15% by 2050.  Applied to capex and opex.</t>
  </si>
  <si>
    <t>Compute passenger-km by mode</t>
  </si>
  <si>
    <t>Compute passenger-km by mode / technology</t>
  </si>
  <si>
    <t>Compute costs by mode and technology</t>
  </si>
  <si>
    <t>Compute energy use by mode and vector</t>
  </si>
  <si>
    <t>Compute transport demand and emissions</t>
  </si>
  <si>
    <t>PASSENGER-KM BY MODE</t>
  </si>
  <si>
    <t>Passenger-km per person</t>
  </si>
  <si>
    <t>Population</t>
  </si>
  <si>
    <t>million</t>
  </si>
  <si>
    <t>Total Passenger-km</t>
  </si>
  <si>
    <t>bn passenger-km</t>
  </si>
  <si>
    <t>Breakdown by mode</t>
  </si>
  <si>
    <t>Breakdown, passenger-km</t>
  </si>
  <si>
    <t>Passenger-km (bn)</t>
  </si>
  <si>
    <t>Level 1</t>
  </si>
  <si>
    <t>Level 2</t>
  </si>
  <si>
    <t>Level 3</t>
  </si>
  <si>
    <t>Level 4</t>
  </si>
  <si>
    <t>L2 change</t>
  </si>
  <si>
    <t>L3 change</t>
  </si>
  <si>
    <t>L4 change</t>
  </si>
  <si>
    <t>2a</t>
  </si>
  <si>
    <t>PASSENGER-KM BY MODE / TECHNOLOGY</t>
  </si>
  <si>
    <t>Breakdown, by mode and technology</t>
  </si>
  <si>
    <t>2b</t>
  </si>
  <si>
    <t>VEHICLE-KM BY MODE / TECHNOLOGY</t>
  </si>
  <si>
    <t>Vehicle-km (bn)</t>
  </si>
  <si>
    <t>2c</t>
  </si>
  <si>
    <t>TOTAL VEHICLE UNITS BY MODE / TECHNOLOGY BY YEAR</t>
  </si>
  <si>
    <t>Vehicle Units (000s)</t>
  </si>
  <si>
    <t>2d</t>
  </si>
  <si>
    <t>000s Vehicle Units/yr, period up to date</t>
  </si>
  <si>
    <t>2e</t>
  </si>
  <si>
    <t>NEW VEHICLE UNITS BY MODE / TECHNOLOGY</t>
  </si>
  <si>
    <t>000s Vehicle Units/yr, preceeding 5 years</t>
  </si>
  <si>
    <t>CAPITAL COST OF NEW VEHICLE UNITS (HIGH)</t>
  </si>
  <si>
    <t>TOTAL</t>
  </si>
  <si>
    <t>3b</t>
  </si>
  <si>
    <t>CAPITAL COST OF NEW VEHICLE UNITS (POINT)</t>
  </si>
  <si>
    <t>3c</t>
  </si>
  <si>
    <t>CAPITAL COST OF NEW VEHICLE UNITS (LOW)</t>
  </si>
  <si>
    <t>3d</t>
  </si>
  <si>
    <t>OPERATING COSTS OF ALL VEHICLES (HIGH)</t>
  </si>
  <si>
    <t>3e</t>
  </si>
  <si>
    <t>OPERATING COSTS OF ALL VEHICLES (POINT)</t>
  </si>
  <si>
    <t>3f</t>
  </si>
  <si>
    <t>OPERATING COSTS OF ALL VEHICLES (LOW)</t>
  </si>
  <si>
    <t>ENERGY DEMAND BY MODE AND VECTOR</t>
  </si>
  <si>
    <t>Petrol / Diesel</t>
  </si>
  <si>
    <t>Electricity</t>
  </si>
  <si>
    <t>Hydrogen</t>
  </si>
  <si>
    <t>SUMMARY BY TRANSPORT TYPE AND EMISSIONS</t>
  </si>
  <si>
    <t>Road</t>
  </si>
  <si>
    <t>Rail</t>
  </si>
  <si>
    <t>Air</t>
  </si>
  <si>
    <t>Combustion emissions</t>
  </si>
  <si>
    <t>Energy produced and required - Total Domestic passenger transport</t>
  </si>
  <si>
    <t>Energy produced and required - Road</t>
  </si>
  <si>
    <t>Energy produced and required - Rail</t>
  </si>
  <si>
    <t>Energy produced and required - Aviation</t>
  </si>
  <si>
    <t>Emissions produced - Total Domestic Passenger Transport</t>
  </si>
  <si>
    <t>Emissions produced - Road</t>
  </si>
  <si>
    <t>Emissions produced - Rail</t>
  </si>
  <si>
    <t>Emissions produced - Aviation</t>
  </si>
  <si>
    <t>Car PHEV</t>
  </si>
  <si>
    <t>B.08</t>
  </si>
  <si>
    <t>Shiftable electricity demand</t>
  </si>
  <si>
    <t>Car EV</t>
  </si>
  <si>
    <t>UK Land area</t>
  </si>
  <si>
    <t>Costs of ICE cars and buses</t>
  </si>
  <si>
    <t>Costs of HEV and PHEV cars and buses</t>
  </si>
  <si>
    <t>Costs of EV cars and buses</t>
  </si>
  <si>
    <t>Costs of FCV cars and buses</t>
  </si>
  <si>
    <t>Costs of bikes</t>
  </si>
  <si>
    <t>Costs of rail</t>
  </si>
  <si>
    <t>Costs of domestic aviation</t>
  </si>
  <si>
    <t>Overall Trajectory</t>
  </si>
  <si>
    <t>litres</t>
  </si>
  <si>
    <t>Diesel</t>
  </si>
  <si>
    <t>Rail freight, electricity use</t>
  </si>
  <si>
    <t>bn vehicle-km</t>
  </si>
  <si>
    <t>Diesel-fuelled</t>
  </si>
  <si>
    <t xml:space="preserve">Rail freight, distance, electric </t>
  </si>
  <si>
    <t>Road freight, distance (All goods vehicles, HGVs &amp; LGVs), diesel</t>
  </si>
  <si>
    <t>Road freight, distance, electric</t>
  </si>
  <si>
    <t>National navigation, energy use</t>
  </si>
  <si>
    <t>Road Freight</t>
  </si>
  <si>
    <t>Rail Freight</t>
  </si>
  <si>
    <t>HGV Internal Combustion Engine Efficiency</t>
  </si>
  <si>
    <t>NCV / GCV:</t>
  </si>
  <si>
    <t>ROAD</t>
  </si>
  <si>
    <t>NATIONAL NAVIGATION</t>
  </si>
  <si>
    <t>High estimate of capital cost per vehicle</t>
  </si>
  <si>
    <t>Rail freight</t>
  </si>
  <si>
    <t>Diesel fuel use</t>
  </si>
  <si>
    <t>Electricity use</t>
  </si>
  <si>
    <t>Road freight</t>
  </si>
  <si>
    <t>Distance (HGVs), diesel</t>
  </si>
  <si>
    <t>Distance (HGVs), electric</t>
  </si>
  <si>
    <t>Low estimate capital cost per vehicle</t>
  </si>
  <si>
    <t xml:space="preserve">High estimate of operating cost per vehicle </t>
  </si>
  <si>
    <t>Point estimate of operating cost per vehicle</t>
  </si>
  <si>
    <t>Low estimate of operating cost per vehicle</t>
  </si>
  <si>
    <t>High costs from ESME/Low costs from MARKAL for rail and road electric.</t>
  </si>
  <si>
    <t>High costs from MARKAL/Low costs from ESME for road ICE and opex for rail electric.  OPEX diesel high is insurance and o/head from RHA.</t>
  </si>
  <si>
    <t>Compute energy content of diesel rail</t>
  </si>
  <si>
    <t>Select electric rail scenario</t>
  </si>
  <si>
    <t>Compute energy content of diesel road</t>
  </si>
  <si>
    <t>Select marine energy scenario</t>
  </si>
  <si>
    <t>DIESEL RAIL</t>
  </si>
  <si>
    <t>GCV of diesel</t>
  </si>
  <si>
    <t>Energy content</t>
  </si>
  <si>
    <t>ELECTRIC RAIL</t>
  </si>
  <si>
    <t>DIESEL ROAD FREIGHT</t>
  </si>
  <si>
    <t>Efficiency</t>
  </si>
  <si>
    <t>ELECTRIC ROAD FREIGHT</t>
  </si>
  <si>
    <t>COMBUSTION EMISSIONS</t>
  </si>
  <si>
    <t>Liquid Hydrocarbon emissions</t>
  </si>
  <si>
    <t xml:space="preserve">VEHICLE UNITS BY MODE / TECHNOLOGY </t>
  </si>
  <si>
    <t>7a</t>
  </si>
  <si>
    <t xml:space="preserve">Vehicle Units </t>
  </si>
  <si>
    <t>7b</t>
  </si>
  <si>
    <t>SCRAPPED VEHICLE UNITS BY MODE / TECHNOLOGY</t>
  </si>
  <si>
    <t>Vehicle Units/yr, period up to date</t>
  </si>
  <si>
    <t>7c</t>
  </si>
  <si>
    <t>Vehicle Units/yr, preceeding 5 years</t>
  </si>
  <si>
    <t>HIGH CAPITAL COST BY MODE / TECHNOLOGY  - TOTAL COST/CASH FLOW CALCULATION</t>
  </si>
  <si>
    <t>POINT ESTIMATE CAPITAL COST BY MODE / TECHNOLOGY - TOTAL COST/  CASH FLOW CALCULATION</t>
  </si>
  <si>
    <t>LOW CAPITAL COST BY MODE / TECHNOLOGY  - TOTAL COST/CASH FLOW CALCULATION</t>
  </si>
  <si>
    <t>HIGH OPERATING COST BY MODE / TECHNOLOGY</t>
  </si>
  <si>
    <t>POINT OPERATING COST BY MODE / TECHNOLOGY</t>
  </si>
  <si>
    <t>LOW OPERATING COST BY MODE / TECHNOLOGY</t>
  </si>
  <si>
    <t>Energy produced and required - Total Domestic Freight</t>
  </si>
  <si>
    <t>Energy produced and required - Road freight</t>
  </si>
  <si>
    <t>Energy produced and required - Rail freight</t>
  </si>
  <si>
    <t>Energy produced and required - National Navigation</t>
  </si>
  <si>
    <t>Emissions produced - Domestic Freight Total</t>
  </si>
  <si>
    <t>Emissions produced - National Navigation</t>
  </si>
  <si>
    <t>Energy consumption</t>
  </si>
  <si>
    <t>25% increase in vehicle-kilometres. 20% increase in engine efficiency.</t>
  </si>
  <si>
    <t>10% increase in vehicle-kilometres. 40% increase in engine efficiency.</t>
  </si>
  <si>
    <t>Vehicle-kilometres travelled stays constant. 60% increase in engine efficiency. All rail freight is electric.</t>
  </si>
  <si>
    <t>Aviation Fuel</t>
  </si>
  <si>
    <t>Fuel use, aviation</t>
  </si>
  <si>
    <t>AF</t>
  </si>
  <si>
    <t>Evolution of marginal abatement cost</t>
  </si>
  <si>
    <t>Compute energy content of fuel</t>
  </si>
  <si>
    <t>1. Aviation fuel</t>
  </si>
  <si>
    <t>2. Combustion emissions</t>
  </si>
  <si>
    <t>Level 1 fuel use</t>
  </si>
  <si>
    <t>Fuel saved</t>
  </si>
  <si>
    <t>Value of fuel saved at point estimate</t>
  </si>
  <si>
    <t>Level 1 emissions</t>
  </si>
  <si>
    <t>Mt CO2</t>
  </si>
  <si>
    <t>Abatement</t>
  </si>
  <si>
    <t>We are putting this in the 'operating cost' bucket. It is more likely a capital cost, but we don't have the actual capital spend or the finance and amortisation rate to work that out. Abatement cost probably includes fuel savings, so separated that out as well.</t>
  </si>
  <si>
    <t>Emissions produced</t>
  </si>
  <si>
    <t>Air Quality</t>
  </si>
  <si>
    <t>IPCC</t>
  </si>
  <si>
    <t>Catering, current split by energy vector</t>
  </si>
  <si>
    <t>Energy form</t>
  </si>
  <si>
    <t>Commercial lighting, appliances, and cooking</t>
  </si>
  <si>
    <t>Small liquid hydrocarbons demand has been neglected</t>
  </si>
  <si>
    <t>Level</t>
  </si>
  <si>
    <t>Point values - not wired here, done further down spreadsheet</t>
  </si>
  <si>
    <t>http://decc-wiki.greenonblack.com/pages/xxx</t>
  </si>
  <si>
    <t>Demand Reduction from level 1, previous 5 years</t>
  </si>
  <si>
    <t>Demand Reduction</t>
  </si>
  <si>
    <t>Catering, split by energy vector</t>
  </si>
  <si>
    <t>CATERING</t>
  </si>
  <si>
    <t>Assumed retirement rate of lighting stock</t>
  </si>
  <si>
    <t>% in 5yr per</t>
  </si>
  <si>
    <t>Assumed retirement rate of catering stock</t>
  </si>
  <si>
    <t>New lighting stock needed in period</t>
  </si>
  <si>
    <t>New catering stock needed in period</t>
  </si>
  <si>
    <t>High estimate of costs (per annum)</t>
  </si>
  <si>
    <t>Point estimate of costs (per annum)</t>
  </si>
  <si>
    <t>Low estimate of costs (per annum)</t>
  </si>
  <si>
    <t>Point estimate of  operating</t>
  </si>
  <si>
    <t xml:space="preserve">2013                         Units = ktoe
</t>
  </si>
  <si>
    <t>NACE 
(Rev 2)</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</si>
  <si>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</si>
  <si>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</si>
  <si>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</si>
  <si>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</si>
  <si>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</si>
  <si>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</si>
  <si>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</si>
  <si>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</si>
  <si>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</si>
  <si>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</si>
  <si>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</si>
  <si>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</si>
  <si>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</si>
  <si>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</si>
  <si>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</si>
  <si>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</si>
  <si>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</si>
  <si>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</si>
  <si>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</si>
  <si>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</si>
  <si>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</si>
  <si>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</si>
  <si>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</si>
  <si>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</si>
  <si>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</si>
  <si>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</si>
  <si>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</si>
  <si>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</si>
  <si>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</si>
  <si>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</si>
  <si>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</si>
  <si>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</si>
  <si>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</si>
  <si>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</si>
  <si>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</si>
  <si>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</si>
  <si>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</si>
  <si>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Indigenous Production</t>
  </si>
  <si>
    <t>Imports</t>
  </si>
  <si>
    <t>Exports</t>
  </si>
  <si>
    <t>Mar. Bunkers</t>
  </si>
  <si>
    <t>Stock Change</t>
  </si>
  <si>
    <t>Primary Energy Supply (incl non-energy)</t>
  </si>
  <si>
    <t>ktoe</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</si>
  <si>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</si>
  <si>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</si>
  <si>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</si>
  <si>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</si>
  <si>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</si>
  <si>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</si>
  <si>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</si>
  <si>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</si>
  <si>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</si>
  <si>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</si>
  <si>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</si>
  <si>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</si>
  <si>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</si>
  <si>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</si>
  <si>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</si>
  <si>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</si>
  <si>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</si>
  <si>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</si>
  <si>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</si>
  <si>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</si>
  <si>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</si>
  <si>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</si>
  <si>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</si>
  <si>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</si>
  <si>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</si>
  <si>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</si>
  <si>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</si>
  <si>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</si>
  <si>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</si>
  <si>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</si>
  <si>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</si>
  <si>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</si>
  <si>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</si>
  <si>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</si>
  <si>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</si>
  <si>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Peat</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</si>
  <si>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</si>
  <si>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</si>
  <si>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</si>
  <si>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</si>
  <si>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</si>
  <si>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</si>
  <si>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</si>
  <si>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</si>
  <si>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</si>
  <si>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</si>
  <si>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</si>
  <si>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</si>
  <si>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Road Light Goods Vehicle</t>
  </si>
  <si>
    <t>Road Private Car</t>
  </si>
  <si>
    <t>Public Passenger Services</t>
  </si>
  <si>
    <t>Domestic Aviation</t>
  </si>
  <si>
    <t>International Aviation</t>
  </si>
  <si>
    <t>Fuel Tourism</t>
  </si>
  <si>
    <t>Navigation</t>
  </si>
  <si>
    <t>Unspecified</t>
  </si>
  <si>
    <t>Residential</t>
  </si>
  <si>
    <t>Commercial/Public Services</t>
  </si>
  <si>
    <t>Commercial Services</t>
  </si>
  <si>
    <t>Public Services</t>
  </si>
  <si>
    <t>Agricultural</t>
  </si>
  <si>
    <t>Fisheries</t>
  </si>
  <si>
    <t>Statistical Difference</t>
  </si>
  <si>
    <t>This sheet contains assumptions that are common to many sheets. In particular, lower down the page are assumptions about discount rates and costs of finance.</t>
  </si>
  <si>
    <t>Global assumptions for all sectors</t>
  </si>
  <si>
    <t>Year</t>
  </si>
  <si>
    <t>Sources</t>
  </si>
  <si>
    <t>Populations:</t>
  </si>
  <si>
    <t>Based on CSO projections under median migration scenario and low fertility assumption.</t>
  </si>
  <si>
    <t>Households:</t>
  </si>
  <si>
    <t>Based on assumption of 2.7 pax per household in 2013, declining to 2.4 in 2050</t>
  </si>
  <si>
    <t>Solar energy:</t>
  </si>
  <si>
    <t>Assumption</t>
  </si>
  <si>
    <t>Units</t>
  </si>
  <si>
    <t>Value</t>
  </si>
  <si>
    <r>
      <t>W / m</t>
    </r>
    <r>
      <rPr>
        <vertAlign val="superscript"/>
        <sz val="10"/>
        <color theme="1"/>
        <rFont val="Calibri"/>
        <family val="1"/>
        <scheme val="minor"/>
      </rPr>
      <t>2</t>
    </r>
  </si>
  <si>
    <t>Discount rate (User Defined)</t>
  </si>
  <si>
    <t>Discount factor</t>
  </si>
  <si>
    <t>Point Estimate</t>
  </si>
  <si>
    <t>Rate</t>
  </si>
  <si>
    <t>Note:</t>
  </si>
  <si>
    <t>Default, unless specified below</t>
  </si>
  <si>
    <t>To work properly, years should be a multiple of 5</t>
  </si>
  <si>
    <t>Conventional thermal plant</t>
  </si>
  <si>
    <t>Combustion + CCS</t>
  </si>
  <si>
    <t>Hydroelectric</t>
  </si>
  <si>
    <t>Wave and Tidal</t>
  </si>
  <si>
    <t>Distributed solar PV</t>
  </si>
  <si>
    <t>Distributed solar thermal</t>
  </si>
  <si>
    <t>Micro wind</t>
  </si>
  <si>
    <t>Biomatter to fuel conversion</t>
  </si>
  <si>
    <t>VI.b.Bioenergy</t>
  </si>
  <si>
    <t>Energy from waste</t>
  </si>
  <si>
    <t>VI.b.Waste</t>
  </si>
  <si>
    <t>Waste arising</t>
  </si>
  <si>
    <t>Storage, demand shifting, backup</t>
  </si>
  <si>
    <t>IX.a.Heating</t>
  </si>
  <si>
    <t>Domestic heating</t>
  </si>
  <si>
    <t>IX.a.Insulation</t>
  </si>
  <si>
    <t>Domestic insulation</t>
  </si>
  <si>
    <t>XII.a.ICE</t>
  </si>
  <si>
    <t>Conventional cars and buses</t>
  </si>
  <si>
    <t>XII.a.HEV</t>
  </si>
  <si>
    <t>Hybrid cars and buses</t>
  </si>
  <si>
    <t>XII.a.EV</t>
  </si>
  <si>
    <t>Electric cars and buses</t>
  </si>
  <si>
    <t>XII.a.FCV</t>
  </si>
  <si>
    <t>Fuel cell cars and buses</t>
  </si>
  <si>
    <t>XII.a.Bike</t>
  </si>
  <si>
    <t>Bikes</t>
  </si>
  <si>
    <t>XII.a.Rail</t>
  </si>
  <si>
    <t>XII.a.Air</t>
  </si>
  <si>
    <t>International shipping (maritime bunkers)</t>
  </si>
  <si>
    <t>XVIII.a</t>
  </si>
  <si>
    <t>Storage of captured CO2</t>
  </si>
  <si>
    <t>NB: Interest rates are REAL</t>
  </si>
  <si>
    <t>Energy conversions</t>
  </si>
  <si>
    <t>Conversion Calculator</t>
  </si>
  <si>
    <t>Name in formulae</t>
  </si>
  <si>
    <t>PJ</t>
  </si>
  <si>
    <t>is equivalent to</t>
  </si>
  <si>
    <t>GW y</t>
  </si>
  <si>
    <t>Petajoules</t>
  </si>
  <si>
    <t>Unit.PJ</t>
  </si>
  <si>
    <t>TJ</t>
  </si>
  <si>
    <t>Terajoules</t>
  </si>
  <si>
    <t>Unit.TJ</t>
  </si>
  <si>
    <t>GJ</t>
  </si>
  <si>
    <t>Gigajoules</t>
  </si>
  <si>
    <t>Unit.GJ</t>
  </si>
  <si>
    <t>J</t>
  </si>
  <si>
    <t>Unit.J</t>
  </si>
  <si>
    <t>MJ</t>
  </si>
  <si>
    <t>Megajoules</t>
  </si>
  <si>
    <t>Unit.MJ</t>
  </si>
  <si>
    <t>kWh</t>
  </si>
  <si>
    <t>Kilowatt-hours</t>
  </si>
  <si>
    <t>Unit.kWh</t>
  </si>
  <si>
    <t>Kilowatt-hours per person per day</t>
  </si>
  <si>
    <t>Unit.kWh.p.d</t>
  </si>
  <si>
    <t>Terawatt-hours</t>
  </si>
  <si>
    <t>Unit.TWh</t>
  </si>
  <si>
    <t>GWh</t>
  </si>
  <si>
    <t>Gigawatt-hours</t>
  </si>
  <si>
    <t>Unit.GWh</t>
  </si>
  <si>
    <t>MWh</t>
  </si>
  <si>
    <t>Megawatt-hours</t>
  </si>
  <si>
    <t>Unit.MWh</t>
  </si>
  <si>
    <t>boe</t>
  </si>
  <si>
    <t>Barrel of oil equivalent</t>
  </si>
  <si>
    <t>Unit.boe</t>
  </si>
  <si>
    <t>Mboe</t>
  </si>
  <si>
    <t>Million barrels of oil equivalent</t>
  </si>
  <si>
    <t>Unit.Mboe</t>
  </si>
  <si>
    <t>toe</t>
  </si>
  <si>
    <t>Tonnes of oil equivalent</t>
  </si>
  <si>
    <t>Unit.toe</t>
  </si>
  <si>
    <t>Kilotonnes of oil equivalent</t>
  </si>
  <si>
    <t>Unit.ktoe</t>
  </si>
  <si>
    <t>Mtoe</t>
  </si>
  <si>
    <t>Megatonnes of oil equivalent</t>
  </si>
  <si>
    <t>Unit.Mtoe</t>
  </si>
  <si>
    <t>therm</t>
  </si>
  <si>
    <t>Therms</t>
  </si>
  <si>
    <t>Unit.therm</t>
  </si>
  <si>
    <t>Btu</t>
  </si>
  <si>
    <t>British Thermal Unit</t>
  </si>
  <si>
    <t>Unit.Btu</t>
  </si>
  <si>
    <t>calorie</t>
  </si>
  <si>
    <t>Calorie (NOT food calorie)</t>
  </si>
  <si>
    <t>Unit.calorie</t>
  </si>
  <si>
    <t>Gigawatt-years</t>
  </si>
  <si>
    <t>Unit.GWyear</t>
  </si>
  <si>
    <t>bcm</t>
  </si>
  <si>
    <t>Billion Cubic Metres (Gas)</t>
  </si>
  <si>
    <t>unit.bcm</t>
  </si>
  <si>
    <t>Power conversions</t>
  </si>
  <si>
    <t>Watts</t>
  </si>
  <si>
    <t>Gigawatts</t>
  </si>
  <si>
    <t>Unit.GW</t>
  </si>
  <si>
    <t>MW</t>
  </si>
  <si>
    <t>Megawatts</t>
  </si>
  <si>
    <t>Unit.MW</t>
  </si>
  <si>
    <t>kW</t>
  </si>
  <si>
    <t>Kilowatts</t>
  </si>
  <si>
    <t>Unit.kW</t>
  </si>
  <si>
    <t>W</t>
  </si>
  <si>
    <t>Unit.W</t>
  </si>
  <si>
    <t>mcm/d</t>
  </si>
  <si>
    <t>mcm/d natural gas</t>
  </si>
  <si>
    <t>Unit.mcm.d</t>
  </si>
  <si>
    <t>Mtoe/y</t>
  </si>
  <si>
    <t>Mtoe per year</t>
  </si>
  <si>
    <t>Unit.Mtoe.y</t>
  </si>
  <si>
    <t>Time conversions</t>
  </si>
  <si>
    <t>Seconds</t>
  </si>
  <si>
    <t>y</t>
  </si>
  <si>
    <t>Unit.year</t>
  </si>
  <si>
    <t>d</t>
  </si>
  <si>
    <t>Days</t>
  </si>
  <si>
    <t>Unit.day</t>
  </si>
  <si>
    <t>h</t>
  </si>
  <si>
    <t>Hours</t>
  </si>
  <si>
    <t>Unit.hour</t>
  </si>
  <si>
    <t>m</t>
  </si>
  <si>
    <t>Minutes</t>
  </si>
  <si>
    <t>Unit.minute</t>
  </si>
  <si>
    <t>Area conversions</t>
  </si>
  <si>
    <t>m^2</t>
  </si>
  <si>
    <t>ha</t>
  </si>
  <si>
    <t>Hectares</t>
  </si>
  <si>
    <t>Unit.ha</t>
  </si>
  <si>
    <t>M ha</t>
  </si>
  <si>
    <t>Million hectares</t>
  </si>
  <si>
    <t>Unit.Mha</t>
  </si>
  <si>
    <t>acres</t>
  </si>
  <si>
    <t>Acres</t>
  </si>
  <si>
    <t>Unit.acre</t>
  </si>
  <si>
    <t>Square kilometres</t>
  </si>
  <si>
    <t>Unit.km2</t>
  </si>
  <si>
    <t>Square metres</t>
  </si>
  <si>
    <t>Unit.m2</t>
  </si>
  <si>
    <t>Power to energy conversion</t>
  </si>
  <si>
    <t>From unit</t>
  </si>
  <si>
    <t>Factor</t>
  </si>
  <si>
    <t>To unit</t>
  </si>
  <si>
    <t>Average power for given energy</t>
  </si>
  <si>
    <t>Conversion.to.average.power</t>
  </si>
  <si>
    <t>Annual energy for given power</t>
  </si>
  <si>
    <t>Conversion.to.annual.energy</t>
  </si>
  <si>
    <t>Energy per second for given power</t>
  </si>
  <si>
    <t>Conversion.to.energy.per.second</t>
  </si>
  <si>
    <t>Volume conversions</t>
  </si>
  <si>
    <t>Litres</t>
  </si>
  <si>
    <t>US Gallon</t>
  </si>
  <si>
    <t>Litres per US gallon</t>
  </si>
  <si>
    <t>Conversion.USgallons.to.litres</t>
  </si>
  <si>
    <t>Euro2002</t>
  </si>
  <si>
    <t>2002 Euros</t>
  </si>
  <si>
    <t>$2009</t>
  </si>
  <si>
    <t>2009 US dollars</t>
  </si>
  <si>
    <t>$2010</t>
  </si>
  <si>
    <t>2010 US dollars</t>
  </si>
  <si>
    <t>Calendar year 2010 = 100</t>
  </si>
  <si>
    <t>1990</t>
  </si>
  <si>
    <t>1991</t>
  </si>
  <si>
    <t>1992</t>
  </si>
  <si>
    <t>1993</t>
  </si>
  <si>
    <t>1994</t>
  </si>
  <si>
    <t>1995</t>
  </si>
  <si>
    <t>1996</t>
  </si>
  <si>
    <t>1997</t>
  </si>
  <si>
    <t>1998</t>
  </si>
  <si>
    <t>1999</t>
  </si>
  <si>
    <t>2000</t>
  </si>
  <si>
    <t>2001</t>
  </si>
  <si>
    <t>2002</t>
  </si>
  <si>
    <t>2003</t>
  </si>
  <si>
    <t>2004</t>
  </si>
  <si>
    <t>2005</t>
  </si>
  <si>
    <t>2006</t>
  </si>
  <si>
    <t>2008</t>
  </si>
  <si>
    <t>2009</t>
  </si>
  <si>
    <t>This page contains standard assuptions. In particular, lower down the page are the emissions per unit of energy from coal, natural gas and oil.</t>
  </si>
  <si>
    <t>Gross calorific values of selected fuels</t>
  </si>
  <si>
    <t>Combustion emissions factors</t>
  </si>
  <si>
    <t>Global warming potentials</t>
  </si>
  <si>
    <t>Solid fuels</t>
  </si>
  <si>
    <t>Commodity selected</t>
  </si>
  <si>
    <r>
      <t>CO</t>
    </r>
    <r>
      <rPr>
        <b/>
        <vertAlign val="subscript"/>
        <sz val="10"/>
        <color theme="1"/>
        <rFont val="Calibri"/>
        <family val="1"/>
        <scheme val="minor"/>
      </rPr>
      <t>2</t>
    </r>
    <r>
      <rPr>
        <b/>
        <sz val="10"/>
        <color theme="1"/>
        <rFont val="Calibri"/>
        <family val="1"/>
        <scheme val="minor"/>
      </rPr>
      <t xml:space="preserve"> (Mt)</t>
    </r>
  </si>
  <si>
    <r>
      <t>CH</t>
    </r>
    <r>
      <rPr>
        <b/>
        <vertAlign val="subscript"/>
        <sz val="10"/>
        <color theme="1"/>
        <rFont val="Calibri"/>
        <family val="1"/>
        <scheme val="minor"/>
      </rPr>
      <t>4</t>
    </r>
    <r>
      <rPr>
        <b/>
        <sz val="10"/>
        <color theme="1"/>
        <rFont val="Calibri"/>
        <family val="1"/>
        <scheme val="minor"/>
      </rPr>
      <t xml:space="preserve"> (Mt CO</t>
    </r>
    <r>
      <rPr>
        <b/>
        <vertAlign val="subscript"/>
        <sz val="10"/>
        <color theme="1"/>
        <rFont val="Calibri"/>
        <family val="1"/>
        <scheme val="minor"/>
      </rPr>
      <t>2</t>
    </r>
    <r>
      <rPr>
        <b/>
        <sz val="10"/>
        <color theme="1"/>
        <rFont val="Calibri"/>
        <family val="1"/>
        <scheme val="minor"/>
      </rPr>
      <t>e)</t>
    </r>
  </si>
  <si>
    <r>
      <t>N</t>
    </r>
    <r>
      <rPr>
        <b/>
        <vertAlign val="subscript"/>
        <sz val="10"/>
        <color theme="1"/>
        <rFont val="Calibri"/>
        <family val="1"/>
        <scheme val="minor"/>
      </rPr>
      <t>2</t>
    </r>
    <r>
      <rPr>
        <b/>
        <sz val="10"/>
        <color theme="1"/>
        <rFont val="Calibri"/>
        <family val="1"/>
        <scheme val="minor"/>
      </rPr>
      <t>O (Mt CO</t>
    </r>
    <r>
      <rPr>
        <b/>
        <vertAlign val="subscript"/>
        <sz val="10"/>
        <color theme="1"/>
        <rFont val="Calibri"/>
        <family val="1"/>
        <scheme val="minor"/>
      </rPr>
      <t>2</t>
    </r>
    <r>
      <rPr>
        <b/>
        <sz val="10"/>
        <color theme="1"/>
        <rFont val="Calibri"/>
        <family val="1"/>
        <scheme val="minor"/>
      </rPr>
      <t>e)</t>
    </r>
  </si>
  <si>
    <t>GWP</t>
  </si>
  <si>
    <t>Carbon dioxide</t>
  </si>
  <si>
    <t>Methane</t>
  </si>
  <si>
    <t>Nitrous oxide</t>
  </si>
  <si>
    <t>HFCs</t>
  </si>
  <si>
    <t>140 to 11,700</t>
  </si>
  <si>
    <t>PFCs</t>
  </si>
  <si>
    <t>6,500 to 9,200</t>
  </si>
  <si>
    <t>Liquids</t>
  </si>
  <si>
    <r>
      <t>SF</t>
    </r>
    <r>
      <rPr>
        <vertAlign val="subscript"/>
        <sz val="10"/>
        <color theme="1"/>
        <rFont val="Calibri"/>
        <family val="1"/>
        <scheme val="minor"/>
      </rPr>
      <t>6</t>
    </r>
  </si>
  <si>
    <t>Diesel (DERV)</t>
  </si>
  <si>
    <t>Gasses</t>
  </si>
  <si>
    <t xml:space="preserve">Sources: </t>
  </si>
  <si>
    <t>Source:</t>
  </si>
  <si>
    <t>Coke oven gas</t>
  </si>
  <si>
    <t>Landfill gas</t>
  </si>
  <si>
    <t>Sewage gas</t>
  </si>
  <si>
    <t>Densities of selected fuels</t>
  </si>
  <si>
    <t>Ratios of biomass combustion emissions to fossil fuel combustion emissions</t>
  </si>
  <si>
    <t>Liquid fuels</t>
  </si>
  <si>
    <t>kg / litre</t>
  </si>
  <si>
    <t>Fueltype</t>
  </si>
  <si>
    <t>Liquid</t>
  </si>
  <si>
    <t>Jet Fuel</t>
  </si>
  <si>
    <t>Assumed combustion emissions factors</t>
  </si>
  <si>
    <t>(Derived from data in "Constants")</t>
  </si>
  <si>
    <t>CO2e</t>
  </si>
  <si>
    <t>Comments</t>
  </si>
  <si>
    <t>Industrial coal EF</t>
  </si>
  <si>
    <t>Diesel EF</t>
  </si>
  <si>
    <t>Natural gas EF</t>
  </si>
  <si>
    <t>Own-use requirements (as percentage of supplied electricity)</t>
  </si>
  <si>
    <t>Coal/Peat/Biomass-fired</t>
  </si>
  <si>
    <t>Oil-fired</t>
  </si>
  <si>
    <t>Gas-fired</t>
  </si>
  <si>
    <t>CCGT</t>
  </si>
  <si>
    <t>Load Factors (constant)</t>
  </si>
  <si>
    <t>Coal and peat</t>
  </si>
  <si>
    <t xml:space="preserve">Coal / Gas supplied energy ratio </t>
  </si>
  <si>
    <t>Coal : Gas</t>
  </si>
  <si>
    <t>Solid hydrocarbons (coal)</t>
  </si>
  <si>
    <t>Solid hydrocarbons (biomass)</t>
  </si>
  <si>
    <t>Includes CCGT, gas turbines, and oil engines</t>
  </si>
  <si>
    <t>Capital cost of a power plant</t>
  </si>
  <si>
    <t xml:space="preserve">Gas </t>
  </si>
  <si>
    <t>Solid biomass</t>
  </si>
  <si>
    <t>0.5GW</t>
  </si>
  <si>
    <t>Operating cost of a powerplant</t>
  </si>
  <si>
    <t>Transmission entry capacity (GW)</t>
  </si>
  <si>
    <t>CCGT and turbines</t>
  </si>
  <si>
    <t>na</t>
  </si>
  <si>
    <t>Average implied load factor for solid hydrocarbons</t>
  </si>
  <si>
    <t>% of peak</t>
  </si>
  <si>
    <t>Supply all remaining demand with solid hydrocarbon then gaseous hydrocarbon thermal generation</t>
  </si>
  <si>
    <t>Oil capacity</t>
  </si>
  <si>
    <t>Actual supplied</t>
  </si>
  <si>
    <t>Own-use requirements</t>
  </si>
  <si>
    <t>Total generation</t>
  </si>
  <si>
    <t>÷</t>
  </si>
  <si>
    <t>Oil input required</t>
  </si>
  <si>
    <t>Remaining Electricity demand (Demand - Supply from non-hydrocarbons)</t>
  </si>
  <si>
    <t>Coal/peat/biomass capacity</t>
  </si>
  <si>
    <t>Actual supplied (min. of requested and available)</t>
  </si>
  <si>
    <t>Gas-fired electricity supplied</t>
  </si>
  <si>
    <t>Thermal efficiency (weighted av. of gas and dual-fired)</t>
  </si>
  <si>
    <t>Gas input required</t>
  </si>
  <si>
    <t>For other air pollutants, split solid fuel into coal and biomass</t>
  </si>
  <si>
    <t>Installed Capacity</t>
  </si>
  <si>
    <t>Coal/Biomass</t>
  </si>
  <si>
    <t>Gas new build</t>
  </si>
  <si>
    <t>Gas retirement</t>
  </si>
  <si>
    <t>Number of new builds required per 5 year period</t>
  </si>
  <si>
    <t>Biomass New Build</t>
  </si>
  <si>
    <t>Retirement of Biomass build</t>
  </si>
  <si>
    <t>Required new build</t>
  </si>
  <si>
    <t>Liquid fueled unabated generation</t>
  </si>
  <si>
    <t>Solid fueled unabated generation</t>
  </si>
  <si>
    <t>Gaseous fueled unabated generation</t>
  </si>
  <si>
    <t>Total unabated generation</t>
  </si>
  <si>
    <t xml:space="preserve">1,600 turbines in 2050 (4 GW capacity), delivering 11 TWh/yr. </t>
  </si>
  <si>
    <t>2,600 turbines in 2050, (6.6 GW) delivering 17.5 TWh/yr</t>
  </si>
  <si>
    <t>CCS, new build [1]</t>
  </si>
  <si>
    <t>No demo CCS planned</t>
  </si>
  <si>
    <t xml:space="preserve">This page contains the translations of the different codes used in the model (e.g., N.01 is energy from  uranium). </t>
  </si>
  <si>
    <t>To the right of this page are the emissions codes and the cost codes</t>
  </si>
  <si>
    <t>Workstreams</t>
  </si>
  <si>
    <t>Modules</t>
  </si>
  <si>
    <t>Energy vectors</t>
  </si>
  <si>
    <t>IPCC Emissions Sectors</t>
  </si>
  <si>
    <t>Workstream</t>
  </si>
  <si>
    <t>WS Code</t>
  </si>
  <si>
    <t>Category</t>
  </si>
  <si>
    <t>Subcategory</t>
  </si>
  <si>
    <t>Sector_code</t>
  </si>
  <si>
    <t>Sector_description</t>
  </si>
  <si>
    <t>Balancing</t>
  </si>
  <si>
    <t>Losses</t>
  </si>
  <si>
    <r>
      <t xml:space="preserve">In our model, </t>
    </r>
    <r>
      <rPr>
        <i/>
        <sz val="10"/>
        <color theme="1"/>
        <rFont val="Calibri"/>
        <family val="1"/>
        <scheme val="minor"/>
      </rPr>
      <t>includes</t>
    </r>
    <r>
      <rPr>
        <sz val="11"/>
        <color theme="1"/>
        <rFont val="Calibri"/>
        <family val="2"/>
        <scheme val="minor"/>
      </rPr>
      <t xml:space="preserve"> biofuel combustion emissions. See sector X2</t>
    </r>
  </si>
  <si>
    <t xml:space="preserve">Transport </t>
  </si>
  <si>
    <t>Sequestration due to bioenergy crops should be included under X2</t>
  </si>
  <si>
    <t>Natural flow hydro (ie, excludes pumped storage)</t>
  </si>
  <si>
    <t>X1 is not an IPCC sectoral code. Includes domestic aviation</t>
  </si>
  <si>
    <t>Includes use of energy in agriculture</t>
  </si>
  <si>
    <t>X2 is not an IPCC sectoral code. CO2 "credit" from bioenergy</t>
  </si>
  <si>
    <t>Heat energy demand (eg, for space heating, water heating) and cooling</t>
  </si>
  <si>
    <t>X3 is not an IPPC sectoral code. All CCS, including industry</t>
  </si>
  <si>
    <t>All built environment non-heating electricity demand plus cooking</t>
  </si>
  <si>
    <t>Food</t>
  </si>
  <si>
    <t>Total food consumption. Not presently used</t>
  </si>
  <si>
    <t>Air Quality vectors</t>
  </si>
  <si>
    <t>Primary source</t>
  </si>
  <si>
    <t>The energy content of the steam generated in the reactor</t>
  </si>
  <si>
    <t>Greenhouse gasses</t>
  </si>
  <si>
    <t>Renewables</t>
  </si>
  <si>
    <t>GHG_code</t>
  </si>
  <si>
    <t>GHG_description</t>
  </si>
  <si>
    <t>XVIII</t>
  </si>
  <si>
    <t>Heat as an energy source for heat pumps</t>
  </si>
  <si>
    <t>Food and biomatter production</t>
  </si>
  <si>
    <t>Emissions notes</t>
  </si>
  <si>
    <t>Eg, pumped storage</t>
  </si>
  <si>
    <t>All forms of waste</t>
  </si>
  <si>
    <t>Net imports</t>
  </si>
  <si>
    <t>Includes both food and biofuels. The sign convention is that imports are negative (think of it as the change in stock held abroad)</t>
  </si>
  <si>
    <t>Fugitive emissions from fuels</t>
  </si>
  <si>
    <t>IX.a.CHP</t>
  </si>
  <si>
    <t>CHP used for domestic space heating and hot water</t>
  </si>
  <si>
    <t>(Not used)</t>
  </si>
  <si>
    <t>1B1a</t>
  </si>
  <si>
    <t>Coal Mining and Handling</t>
  </si>
  <si>
    <t>Majority are methane emissions from coal mining</t>
  </si>
  <si>
    <t>Modelled driver is coal production</t>
  </si>
  <si>
    <t>IX.c.CHP</t>
  </si>
  <si>
    <t>CHP used for commercial heating and cooling</t>
  </si>
  <si>
    <t>1B1b</t>
  </si>
  <si>
    <t>Solid Fuel Transformation</t>
  </si>
  <si>
    <t>Small compared to 1B1a</t>
  </si>
  <si>
    <t>IX.a.insulation</t>
  </si>
  <si>
    <t>Domestic insulation measures</t>
  </si>
  <si>
    <t>Includes refined petroleums</t>
  </si>
  <si>
    <t>1B1c</t>
  </si>
  <si>
    <t>1B2a</t>
  </si>
  <si>
    <t>Small compared to 1B2b and 1B2c</t>
  </si>
  <si>
    <t>Reserves</t>
  </si>
  <si>
    <t>1B2b</t>
  </si>
  <si>
    <t>Majority are methane emissions from distributed gas</t>
  </si>
  <si>
    <t>Modelled driver is gas consumption</t>
  </si>
  <si>
    <t>1B2c</t>
  </si>
  <si>
    <t>Venting and Flaring</t>
  </si>
  <si>
    <t>Majority are CO2 emissions from flaring</t>
  </si>
  <si>
    <t>Modelled driver is oil production</t>
  </si>
  <si>
    <t>1B2d</t>
  </si>
  <si>
    <t>Fossil fuels</t>
  </si>
  <si>
    <t>Used as a holding vector for converting demand net production into imports</t>
  </si>
  <si>
    <t>Carbon-based fuels</t>
  </si>
  <si>
    <t>Includes solid manufactured fuels (eg, coke)</t>
  </si>
  <si>
    <t>Includes refined liquid biofuels</t>
  </si>
  <si>
    <t>Includes syngas (coke oven gas)</t>
  </si>
  <si>
    <t>Heat energy as an energy transport vector (Includes Heat Sold in DUKES terminology)</t>
  </si>
  <si>
    <t>Biomatter</t>
  </si>
  <si>
    <t>Includes plant and animal biomass</t>
  </si>
  <si>
    <t>Includes wood, straw, and other plant-based biomass, wood chips, garden waste, and MSW. Does not include energy crops, including SRC</t>
  </si>
  <si>
    <t>Includes distribution losses for gas</t>
  </si>
  <si>
    <t>Includes manure, sewage sludge, domestic food waste</t>
  </si>
  <si>
    <t>Methane from waste</t>
  </si>
  <si>
    <t>Converts heat demand to equivalent electric demand</t>
  </si>
  <si>
    <t>Solar thermal heat, used for hot water</t>
  </si>
  <si>
    <r>
      <t>H</t>
    </r>
    <r>
      <rPr>
        <vertAlign val="subscript"/>
        <sz val="10"/>
        <color theme="1"/>
        <rFont val="Calibri"/>
        <family val="1"/>
        <scheme val="minor"/>
      </rPr>
      <t>2</t>
    </r>
  </si>
  <si>
    <t>Second-generation crops grown for energy use</t>
  </si>
  <si>
    <t>First-generation crops grown for energy use</t>
  </si>
  <si>
    <t>Area</t>
  </si>
  <si>
    <t>B.05</t>
  </si>
  <si>
    <t>Land area overseas</t>
  </si>
  <si>
    <t>Length</t>
  </si>
  <si>
    <t>Length of wave front</t>
  </si>
  <si>
    <t>B.12</t>
  </si>
  <si>
    <t>% of available</t>
  </si>
  <si>
    <t>Power</t>
  </si>
  <si>
    <t>B.11</t>
  </si>
  <si>
    <t>Interconnector capacity</t>
  </si>
  <si>
    <t>Ireland Land Area</t>
  </si>
  <si>
    <t>Energy is measured in:</t>
  </si>
  <si>
    <t>Equivalent to</t>
  </si>
  <si>
    <t>Power is measured in:</t>
  </si>
  <si>
    <t>Area is measured in:</t>
  </si>
  <si>
    <t>Approximate total 500 MW locations</t>
  </si>
  <si>
    <t>Number of 500 MW locations per year</t>
  </si>
  <si>
    <t>1GW</t>
  </si>
  <si>
    <t>Eurostat transport statistics and National Transport Authority Survey, grossed up to include walking and cycling using percentage shares from the CSO's commuter survey 2009</t>
  </si>
  <si>
    <t xml:space="preserve">Typical distance travelled by mode </t>
  </si>
  <si>
    <t>2013 estimates from total passenger-km, vehicle-km and total sectoral energy usage</t>
  </si>
  <si>
    <t>Road freight, efficiencies, electric</t>
  </si>
  <si>
    <t>Road freight, efficiencies (HGV &amp; LGV average), diesel</t>
  </si>
  <si>
    <t xml:space="preserve">The unabated plant thermal efficiency is from Mott MacDonald (2013) ‘UK Electricity Generation Costs Update’ ‘First of a kind’ </t>
  </si>
  <si>
    <t>Base plant own use requirements are taken directly from Mott MacDonald (2013) ’ibid'; these remain constant across all technologies and over time.</t>
  </si>
  <si>
    <t xml:space="preserve">From 2020 onwards the CCS equipment own use requirements are taken from Mott MacDonald (2013) ‘ibid’, using ‘first of a kind’ data at 2020, </t>
  </si>
  <si>
    <t>Approximate build rate of 0.5 GW locations</t>
  </si>
  <si>
    <t>Linked to cells above</t>
  </si>
  <si>
    <t>Legacy plant capacities (built prior to 2013)</t>
  </si>
  <si>
    <t>Capital cost of a 1 GW power plant</t>
  </si>
  <si>
    <t>Operating cost of a 1 GW power plant</t>
  </si>
  <si>
    <t>years</t>
  </si>
  <si>
    <t>Hydroelectric capacity (natural flow) [1]</t>
  </si>
  <si>
    <t>PeakCapacity/unit of catchment area</t>
  </si>
  <si>
    <t>Hyrdroelectricity</t>
  </si>
  <si>
    <t>Approximate land area covered by resevoir</t>
  </si>
  <si>
    <t>Approximate cachment area required</t>
  </si>
  <si>
    <t>Retirement rate</t>
  </si>
  <si>
    <t>Build rate</t>
  </si>
  <si>
    <t>Capital cost of a 0.1 GW hydro plant</t>
  </si>
  <si>
    <t>Operating cost of a 0.1 GW hydro plant</t>
  </si>
  <si>
    <t>Size of Ardnacrusha hydro project</t>
  </si>
  <si>
    <t xml:space="preserve">Approximate number of sites the size of Ardnacrusha </t>
  </si>
  <si>
    <t>PeakCapacity/unit of land area</t>
  </si>
  <si>
    <t xml:space="preserve">hydroelectric resevoir </t>
  </si>
  <si>
    <t xml:space="preserve">Approximate number of sites </t>
  </si>
  <si>
    <t>Domestic solar PV installed capacity [1]</t>
  </si>
  <si>
    <t>Solar Plant size</t>
  </si>
  <si>
    <t>Capital cost of a 0.0000025 GW Solar source</t>
  </si>
  <si>
    <t>Operating cost of a 0.0000025 GW Solar source</t>
  </si>
  <si>
    <t>DISTRIBUTED SOLAR PV</t>
  </si>
  <si>
    <t>For reference</t>
  </si>
  <si>
    <t>Input solar power</t>
  </si>
  <si>
    <t>Incident solar intensity</t>
  </si>
  <si>
    <t>Total area</t>
  </si>
  <si>
    <t>m2</t>
  </si>
  <si>
    <t>Area / household</t>
  </si>
  <si>
    <t>Area / person</t>
  </si>
  <si>
    <t>Approximate number of 2.5KW Solar Panels</t>
  </si>
  <si>
    <t>Retirement (GW)</t>
  </si>
  <si>
    <t>Retirement of 2.5KW Solar Panels</t>
  </si>
  <si>
    <t>New 2.5KW Solar Panels over 5yrs</t>
  </si>
  <si>
    <t>solar PV if 20% efficient</t>
  </si>
  <si>
    <t>Micro wind, capacity [1]</t>
  </si>
  <si>
    <t>Capital cost of a 0.000005 GW wind turbine</t>
  </si>
  <si>
    <t>Operating cost of a 0.000005 GW wind turbine</t>
  </si>
  <si>
    <t>MICRO WIND GENERATION</t>
  </si>
  <si>
    <t>Approximate total 5kW turbines</t>
  </si>
  <si>
    <t>Replacement build</t>
  </si>
  <si>
    <t>Total build rate</t>
  </si>
  <si>
    <t>Land Management</t>
  </si>
  <si>
    <t>Trajectories are numbered in this worksheet. A=1, B=2, C=3, D=4</t>
  </si>
  <si>
    <t>Note also that the ordering of trajectories in the "Trajectory assumptions" data is A, C, B, D.</t>
  </si>
  <si>
    <t>Land use</t>
  </si>
  <si>
    <t>Arable, for food crops (grades 1–3)</t>
  </si>
  <si>
    <t>A</t>
  </si>
  <si>
    <t>Arable, for 1st gen energy crops  (grades 1–3)</t>
  </si>
  <si>
    <t>Arable, for 2nd gen energy crops  (grades 1–3)</t>
  </si>
  <si>
    <t>C1</t>
  </si>
  <si>
    <t>Grassland, for 2nd gen energy crops (grades 3–4)</t>
  </si>
  <si>
    <t>C2</t>
  </si>
  <si>
    <t>Grassland, for livestock and fallow (grades 3–5)</t>
  </si>
  <si>
    <t>Settlements</t>
  </si>
  <si>
    <t>E</t>
  </si>
  <si>
    <t>Forests</t>
  </si>
  <si>
    <t>G</t>
  </si>
  <si>
    <t>Dairy cows</t>
  </si>
  <si>
    <t>Poultry</t>
  </si>
  <si>
    <t>All other</t>
  </si>
  <si>
    <t>Yield growth</t>
  </si>
  <si>
    <t>Crop</t>
  </si>
  <si>
    <t>First-generation biocrops</t>
  </si>
  <si>
    <t>Second-generation biocrops</t>
  </si>
  <si>
    <t>Straw from food / biocrops</t>
  </si>
  <si>
    <t>Wood from managed forests</t>
  </si>
  <si>
    <t>Manure, (non-poultry livestock)</t>
  </si>
  <si>
    <t>Animal</t>
  </si>
  <si>
    <t>Meat (non-poultry livestock)</t>
  </si>
  <si>
    <t>Meat (poultry)</t>
  </si>
  <si>
    <t>Milk</t>
  </si>
  <si>
    <t>Eggs</t>
  </si>
  <si>
    <t>Emissions intensity growth, enteric and manure</t>
  </si>
  <si>
    <t>% pa (2013–2020)</t>
  </si>
  <si>
    <t>% pa (2020–2050)</t>
  </si>
  <si>
    <t>ENTERIC</t>
  </si>
  <si>
    <t>Enteric fermentation</t>
  </si>
  <si>
    <t>MANURE</t>
  </si>
  <si>
    <t>Manure management</t>
  </si>
  <si>
    <t>Total emissions growth, soil management</t>
  </si>
  <si>
    <t>SOIL</t>
  </si>
  <si>
    <t>Soil management</t>
  </si>
  <si>
    <t>Forestry emissions</t>
  </si>
  <si>
    <t>"Food production"</t>
  </si>
  <si>
    <t>"Carrying on"</t>
  </si>
  <si>
    <t>"Breakthrough"</t>
  </si>
  <si>
    <t>"Biomass"</t>
  </si>
  <si>
    <t>Straw collection</t>
  </si>
  <si>
    <t>% collected</t>
  </si>
  <si>
    <t>Manure collection</t>
  </si>
  <si>
    <t>% collected of manure deposited as slurry</t>
  </si>
  <si>
    <t>Forestry arisings collection, old forests</t>
  </si>
  <si>
    <t>M odt</t>
  </si>
  <si>
    <t>Livestock numbers, base year</t>
  </si>
  <si>
    <t>Thousand head</t>
  </si>
  <si>
    <t>Yields, base year</t>
  </si>
  <si>
    <t>odt / ha</t>
  </si>
  <si>
    <t>Manure (non-poultry livestock)</t>
  </si>
  <si>
    <t>odt / head</t>
  </si>
  <si>
    <t>kg / head</t>
  </si>
  <si>
    <t>kg / bird</t>
  </si>
  <si>
    <t>litres / cow</t>
  </si>
  <si>
    <t>eggs / chicken</t>
  </si>
  <si>
    <t>Emissions intensities, enteric and manure, base year</t>
  </si>
  <si>
    <t>kg CO2e / head</t>
  </si>
  <si>
    <t>kg CO2e / otd slurry</t>
  </si>
  <si>
    <t>Total emissions soil, base year</t>
  </si>
  <si>
    <t>Soil emissions</t>
  </si>
  <si>
    <t>LULUCF effective emissions factors</t>
  </si>
  <si>
    <t>5B</t>
  </si>
  <si>
    <t>Cropland</t>
  </si>
  <si>
    <t>5C</t>
  </si>
  <si>
    <t>Grassland</t>
  </si>
  <si>
    <t>LULUCF emissions</t>
  </si>
  <si>
    <t>5E</t>
  </si>
  <si>
    <t>5G</t>
  </si>
  <si>
    <t>Calorific values, base year</t>
  </si>
  <si>
    <t>Grain / beet crops</t>
  </si>
  <si>
    <t>Straw</t>
  </si>
  <si>
    <t>Wood</t>
  </si>
  <si>
    <t>Manure</t>
  </si>
  <si>
    <t>Manure, fraction deposited as slurry</t>
  </si>
  <si>
    <t>Fraction deposited as slurry</t>
  </si>
  <si>
    <t>Forests, exisiting, change per year</t>
  </si>
  <si>
    <t>Change in existing forests</t>
  </si>
  <si>
    <t>Conversion efficiency, first-generation biocrop to biofuel</t>
  </si>
  <si>
    <t>Energy use, total by area</t>
  </si>
  <si>
    <t>Livestock</t>
  </si>
  <si>
    <t>Horticulture</t>
  </si>
  <si>
    <t>Arable</t>
  </si>
  <si>
    <t>Energy use, breakdown by fuel</t>
  </si>
  <si>
    <t>High estimate cost of different bio-energy resources</t>
  </si>
  <si>
    <t>Energy (straw)</t>
  </si>
  <si>
    <t>Energy (wood waste)</t>
  </si>
  <si>
    <t>Energy (manure)</t>
  </si>
  <si>
    <t>High estimate cost of land use improvement</t>
  </si>
  <si>
    <t>Limit (MtCO2e/yr)</t>
  </si>
  <si>
    <t>Improved soil management level 1</t>
  </si>
  <si>
    <t>Improved soil management level 2</t>
  </si>
  <si>
    <t>Improved animal breeding and husbandry</t>
  </si>
  <si>
    <t>Improved manure management (excluding Anaerobic Digestion)</t>
  </si>
  <si>
    <t>Point estimate cost of different bio-energy resources</t>
  </si>
  <si>
    <t>Point estimate cost of land use improvement</t>
  </si>
  <si>
    <t>Low estimate cost of different bio-energy resources</t>
  </si>
  <si>
    <t>Low estimate cost of land use improvement</t>
  </si>
  <si>
    <t>http://decc-wiki.greenonblack.com/pages/358</t>
  </si>
  <si>
    <t>LAND USE AND LIVESTOCK NUMBERS</t>
  </si>
  <si>
    <t>Growth pa</t>
  </si>
  <si>
    <t>YIELDS</t>
  </si>
  <si>
    <t>Yield intensities</t>
  </si>
  <si>
    <t>Various units (output per unit of productive capacity)</t>
  </si>
  <si>
    <t>Emissions intensities growth, enteric and manure</t>
  </si>
  <si>
    <t>kg CO2e / unit</t>
  </si>
  <si>
    <t>Emissions intensities, enteric and manure</t>
  </si>
  <si>
    <t>Total emissions, soil management</t>
  </si>
  <si>
    <t>FORESTS</t>
  </si>
  <si>
    <t>Forest area</t>
  </si>
  <si>
    <t>Old</t>
  </si>
  <si>
    <t>Exisiting forest</t>
  </si>
  <si>
    <t>New</t>
  </si>
  <si>
    <t>New forest</t>
  </si>
  <si>
    <t>Compute production of first-generation biocrops</t>
  </si>
  <si>
    <t>Compute production of second-generation biocrops</t>
  </si>
  <si>
    <t>Compute production of waste</t>
  </si>
  <si>
    <t>Compute energy use</t>
  </si>
  <si>
    <t>Compute emissions credit from first-generation biocrops</t>
  </si>
  <si>
    <t>PRODUCTION OF FIRST-GENERATION BIOCROPS</t>
  </si>
  <si>
    <t>million  odt</t>
  </si>
  <si>
    <t>Energy (grain / beet biocrops)</t>
  </si>
  <si>
    <t>Energy available by energy vector</t>
  </si>
  <si>
    <t>PRODUCTION OF SECOND-GENERATION BIOCROPS</t>
  </si>
  <si>
    <t>million odt</t>
  </si>
  <si>
    <t>Energy (SRC biocrops)</t>
  </si>
  <si>
    <t>Total biocrops, for reference</t>
  </si>
  <si>
    <t>Effective efficiency</t>
  </si>
  <si>
    <t>PRODUCTION OF WASTE</t>
  </si>
  <si>
    <t>Straw arising</t>
  </si>
  <si>
    <t>Fraction collected</t>
  </si>
  <si>
    <t>Wood arising, old forest</t>
  </si>
  <si>
    <t>Wood arisings collected, new forest</t>
  </si>
  <si>
    <t>Manure arising</t>
  </si>
  <si>
    <t>ENERGY USE</t>
  </si>
  <si>
    <t>Livestock (scale with dairy cows)</t>
  </si>
  <si>
    <t>Horticulture (constant)</t>
  </si>
  <si>
    <t>Agriculture (scale with farmed land area)</t>
  </si>
  <si>
    <t>Total, of which, by fuel</t>
  </si>
  <si>
    <t>Agricultural emissions</t>
  </si>
  <si>
    <t>Soil use</t>
  </si>
  <si>
    <t>Total emissions</t>
  </si>
  <si>
    <t>LULUCF</t>
  </si>
  <si>
    <t>5A2</t>
  </si>
  <si>
    <t>Forestry</t>
  </si>
  <si>
    <t>Total LULUCF</t>
  </si>
  <si>
    <t>Air quality</t>
  </si>
  <si>
    <t>Livestock process emissions</t>
  </si>
  <si>
    <t>Total fuel cost</t>
  </si>
  <si>
    <t>Abatement of:</t>
  </si>
  <si>
    <t>MtCO2e saved/yr</t>
  </si>
  <si>
    <t>Enteric emissions</t>
  </si>
  <si>
    <t>tCO2e saved/head</t>
  </si>
  <si>
    <t>Manure emissions</t>
  </si>
  <si>
    <t>tCO2e saved/tManure</t>
  </si>
  <si>
    <t>This is adjusted for the shift in volume of manure that is not used for AD</t>
  </si>
  <si>
    <t>This is adjusted for the shift in animal numbers</t>
  </si>
  <si>
    <t>Biocrop information</t>
  </si>
  <si>
    <t>Area of biocrops</t>
  </si>
  <si>
    <t>Forestry information</t>
  </si>
  <si>
    <t>Area of forest</t>
  </si>
  <si>
    <t>Total cost of agricultural emissions abatement</t>
  </si>
  <si>
    <t>Total cost of bioenergy resources</t>
  </si>
  <si>
    <r>
      <t>Mt CO</t>
    </r>
    <r>
      <rPr>
        <vertAlign val="subscript"/>
        <sz val="10"/>
        <color theme="1"/>
        <rFont val="Calibri"/>
        <family val="1"/>
        <scheme val="minor"/>
      </rPr>
      <t>2</t>
    </r>
    <r>
      <rPr>
        <sz val="11"/>
        <color theme="1"/>
        <rFont val="Calibri"/>
        <family val="2"/>
        <scheme val="minor"/>
      </rPr>
      <t>e</t>
    </r>
  </si>
  <si>
    <t>Source: UNFCCC, http://unfccc.int/di/Indicators.do</t>
  </si>
  <si>
    <t>Source: UNFCCC (2012), http://unfccc.int/di/DetailedByParty.do</t>
  </si>
  <si>
    <t>Source: UNFCCC (2012), http://unfccc.int/di/DetailedByGas.do</t>
  </si>
  <si>
    <t>Source: CSO, Farm Animals in December 2013 (Thousand) by Type of Animal and Year</t>
  </si>
  <si>
    <t>Scenario</t>
  </si>
  <si>
    <t>Available biomatter</t>
  </si>
  <si>
    <t>Requested hydrocarbons</t>
  </si>
  <si>
    <t>Waste conversion scenarios</t>
  </si>
  <si>
    <t>Source</t>
  </si>
  <si>
    <t>From …</t>
  </si>
  <si>
    <t>To …</t>
  </si>
  <si>
    <t>Scenarios are roughly: (1) Mixed; (2) Mostly solids and gas; (3) Mostly liquids and gas; (4) Gas</t>
  </si>
  <si>
    <t>First-generation energy crops are always converted to liquids</t>
  </si>
  <si>
    <t>Landfill gas and gas from manure are included in the model as gas, not converted to another energy form</t>
  </si>
  <si>
    <t>% efficiency</t>
  </si>
  <si>
    <t>From:</t>
  </si>
  <si>
    <t>[1b]</t>
  </si>
  <si>
    <t>Dry to solids by pelletisation</t>
  </si>
  <si>
    <t>Dry to gas by gasification and methanation; Wet to gas by anaerobic digestion</t>
  </si>
  <si>
    <t>Conversion efficiencies 2020 - 2050</t>
  </si>
  <si>
    <t>Wet biomatter and waste</t>
  </si>
  <si>
    <t>Dry biomatter and waste</t>
  </si>
  <si>
    <t>Plant size</t>
  </si>
  <si>
    <t>Assumed technical life</t>
  </si>
  <si>
    <t>years, which is modelled as a replacement rate of</t>
  </si>
  <si>
    <t>of opening capital each year</t>
  </si>
  <si>
    <t>High estimate capital cost of a typical plant</t>
  </si>
  <si>
    <t>Point estimate capital cost of a typical plant</t>
  </si>
  <si>
    <t>Low estimate capital cost of a typical plant</t>
  </si>
  <si>
    <t>High estimate operating cost of a typical plant</t>
  </si>
  <si>
    <t>Point estimate operating cost of a typical plant</t>
  </si>
  <si>
    <t>Low estimate operating cost of a typical plant</t>
  </si>
  <si>
    <t>Convert dry biomatter</t>
  </si>
  <si>
    <t>Convert wet biomatter</t>
  </si>
  <si>
    <t>Convert energy crops</t>
  </si>
  <si>
    <t>Convert gasesous waste</t>
  </si>
  <si>
    <t>Compute total supplied</t>
  </si>
  <si>
    <t>Compute emissions credit</t>
  </si>
  <si>
    <t>DRY BIOMATTER</t>
  </si>
  <si>
    <t>% to…</t>
  </si>
  <si>
    <t>conversion efficiency</t>
  </si>
  <si>
    <t>WET BIOMATTER</t>
  </si>
  <si>
    <t>ENERGY CROPS</t>
  </si>
  <si>
    <t>GASESOUS WASTE</t>
  </si>
  <si>
    <t>TOTAL SUPPLIED</t>
  </si>
  <si>
    <t>Available bioenergy</t>
  </si>
  <si>
    <t>Total bioenergy actually supplied</t>
  </si>
  <si>
    <t>Exports of biomass (supply - available)</t>
  </si>
  <si>
    <t>Note</t>
  </si>
  <si>
    <t>EMISSIONS CREDIT (CO2 ONLY)</t>
  </si>
  <si>
    <t>Emissions credit</t>
  </si>
  <si>
    <t>NUMBER OF FACILITIES (ILLUSTRATIVE)</t>
  </si>
  <si>
    <t>6a.</t>
  </si>
  <si>
    <t># facilities</t>
  </si>
  <si>
    <t>6b</t>
  </si>
  <si>
    <t>Build rate, following period</t>
  </si>
  <si>
    <t>Conversion efficiencies 2013 - 2020 [1]</t>
  </si>
  <si>
    <t xml:space="preserve">2013                         Units = TWh
</t>
  </si>
  <si>
    <t>5% of land used for energy crops</t>
  </si>
  <si>
    <t>10% of land used for energy crops</t>
  </si>
  <si>
    <t>Coversion of Moneypoint (855 MW) and all peat stations in 2050 (1.2 GW capacity)</t>
  </si>
  <si>
    <t>M tonnes</t>
  </si>
  <si>
    <t>DECC</t>
  </si>
  <si>
    <t>% change 2015-2050</t>
  </si>
  <si>
    <t>HH</t>
  </si>
  <si>
    <t>Same as DECC</t>
  </si>
  <si>
    <t>C&amp;I</t>
  </si>
  <si>
    <t>CDW</t>
  </si>
  <si>
    <t>Sewage sludge</t>
  </si>
  <si>
    <t>M tonnes CH4</t>
  </si>
  <si>
    <t>WASTE DESTINATIONS, Household and C&amp;I</t>
  </si>
  <si>
    <t>% total waste arising</t>
  </si>
  <si>
    <t>Stream</t>
  </si>
  <si>
    <t>Landfill</t>
  </si>
  <si>
    <t>Wet waste segregated from recycling for energy</t>
  </si>
  <si>
    <t>% of recycled wet waste</t>
  </si>
  <si>
    <t>Wet waste from recycling for energy</t>
  </si>
  <si>
    <t>Waste capture for energy, CDW</t>
  </si>
  <si>
    <t>% of total wood waste arising</t>
  </si>
  <si>
    <t>CDW for energy</t>
  </si>
  <si>
    <t>% of sewage arising</t>
  </si>
  <si>
    <t>Sewage sludge for energy</t>
  </si>
  <si>
    <t>% of gas</t>
  </si>
  <si>
    <t>Landfill gas captured</t>
  </si>
  <si>
    <t>Landfill gas recovered</t>
  </si>
  <si>
    <t>Type of waste arising</t>
  </si>
  <si>
    <t>% of residual, by source</t>
  </si>
  <si>
    <t>Household</t>
  </si>
  <si>
    <t>DRY</t>
  </si>
  <si>
    <t>Biogenic, dry</t>
  </si>
  <si>
    <t>WET</t>
  </si>
  <si>
    <t>Biogenic, wet</t>
  </si>
  <si>
    <t>SOLID</t>
  </si>
  <si>
    <t>Non-biogenic, combustible</t>
  </si>
  <si>
    <t>INORG</t>
  </si>
  <si>
    <t>Non-biogenic, other</t>
  </si>
  <si>
    <t>Energy content of waste</t>
  </si>
  <si>
    <t>Energy</t>
  </si>
  <si>
    <t>SEWAGE</t>
  </si>
  <si>
    <t>Sewage. dry</t>
  </si>
  <si>
    <t>OTHER</t>
  </si>
  <si>
    <t>plant sizes based on fumulae not hard-wired</t>
  </si>
  <si>
    <t>Emissions factors [1]</t>
  </si>
  <si>
    <t>tonnes CO2e / odt waste</t>
  </si>
  <si>
    <t>EF</t>
  </si>
  <si>
    <t>Methane emissions from sewage</t>
  </si>
  <si>
    <t>Nitrous oxide emissions from sewage</t>
  </si>
  <si>
    <t>GCV of methane [2]</t>
  </si>
  <si>
    <t>GCV</t>
  </si>
  <si>
    <t>GCV of methane</t>
  </si>
  <si>
    <t>Assumed typical waste to energy facility size</t>
  </si>
  <si>
    <t>Mt waste/y</t>
  </si>
  <si>
    <t>Illustrative plant size</t>
  </si>
  <si>
    <t>Mt/yr</t>
  </si>
  <si>
    <t>Life</t>
  </si>
  <si>
    <t>Landfill site</t>
  </si>
  <si>
    <t>Cost of energy from landfill</t>
  </si>
  <si>
    <t>Illustrative size</t>
  </si>
  <si>
    <t>Mt CH4</t>
  </si>
  <si>
    <t>Capturing the landfill gas</t>
  </si>
  <si>
    <t>Recovering the landfill gas for energy</t>
  </si>
  <si>
    <t>Cost of using sewage sludge for energy</t>
  </si>
  <si>
    <t>Recovering sewage sludge for energy</t>
  </si>
  <si>
    <t>Volume of waste &amp; recycling</t>
  </si>
  <si>
    <t>NMVOC process emissions from Landfill</t>
  </si>
  <si>
    <t>High estimate capital costs</t>
  </si>
  <si>
    <t>Collection of Household, C&amp;I</t>
  </si>
  <si>
    <t>Preparing for use for energy</t>
  </si>
  <si>
    <t>Recycling Household, C&amp;I</t>
  </si>
  <si>
    <t>Separating wet waste from Household, C&amp;I</t>
  </si>
  <si>
    <t>Point estimate capital costs</t>
  </si>
  <si>
    <t>Low estimate capital costs</t>
  </si>
  <si>
    <t>High estimate operating costs</t>
  </si>
  <si>
    <t>Point estimate operating costs</t>
  </si>
  <si>
    <t>Low estimate operating costs</t>
  </si>
  <si>
    <t>Total waste arising</t>
  </si>
  <si>
    <t>odt, millions</t>
  </si>
  <si>
    <t>Municiple Solid Waste</t>
  </si>
  <si>
    <t>Commerical and Industrial</t>
  </si>
  <si>
    <t>Construction and Demolition Waste</t>
  </si>
  <si>
    <t>Wood only</t>
  </si>
  <si>
    <t>Sewage</t>
  </si>
  <si>
    <t>% of waste for energy</t>
  </si>
  <si>
    <t>% by weight</t>
  </si>
  <si>
    <t>Construction and Demolition</t>
  </si>
  <si>
    <t>% of waste for landfill</t>
  </si>
  <si>
    <t>% of waste to recycling</t>
  </si>
  <si>
    <t>Energy from unsegregated MDW, C&amp;I, and CDW</t>
  </si>
  <si>
    <t>Energy from segregated wet waste for recycling</t>
  </si>
  <si>
    <t>Methane from landfills</t>
  </si>
  <si>
    <t>Energy and emissions from sewage</t>
  </si>
  <si>
    <t>Emissions credit for injection of biogas into system</t>
  </si>
  <si>
    <t xml:space="preserve">UNSEGREGATED Household, C&amp;I, AND CDW </t>
  </si>
  <si>
    <t>Household for energy</t>
  </si>
  <si>
    <t>of which</t>
  </si>
  <si>
    <t>C&amp;I for energy</t>
  </si>
  <si>
    <t>Hence, total energy available by waste type</t>
  </si>
  <si>
    <t>Energy available by energy vector (note that both DRY and WET waste end up in the dry biomatter stream)</t>
  </si>
  <si>
    <t>SEGREGATED WET WASTE</t>
  </si>
  <si>
    <t>Household for recyling</t>
  </si>
  <si>
    <t>WET to AD</t>
  </si>
  <si>
    <t>C&amp;I for recyling</t>
  </si>
  <si>
    <t>METHANE FROM LANDFILLS</t>
  </si>
  <si>
    <t>Total landfill gas arising</t>
  </si>
  <si>
    <t>Fraction captured</t>
  </si>
  <si>
    <t>Fraction captured that is used for energy</t>
  </si>
  <si>
    <t>Landfill gas for energy</t>
  </si>
  <si>
    <t>Fraction lost</t>
  </si>
  <si>
    <t>Landfill gas emitted</t>
  </si>
  <si>
    <t>ENERGY AND EMISSIONS FROM SEWAGE</t>
  </si>
  <si>
    <t>Sewage sludge arising</t>
  </si>
  <si>
    <t>Emissions factor N2O</t>
  </si>
  <si>
    <t>CO2e / odt</t>
  </si>
  <si>
    <t>Emissions (N2O)</t>
  </si>
  <si>
    <t>Fraction recovered for energy</t>
  </si>
  <si>
    <t>Available for energy</t>
  </si>
  <si>
    <t>Residual</t>
  </si>
  <si>
    <t>Emissions factor CH4</t>
  </si>
  <si>
    <t>Emissions (CH4)</t>
  </si>
  <si>
    <t>NUMBER OF FACILITIES</t>
  </si>
  <si>
    <t>Total volume of waste collected</t>
  </si>
  <si>
    <t>Total volume of waste converted into energy</t>
  </si>
  <si>
    <t>Total volume of waste landfilled</t>
  </si>
  <si>
    <t>Total volume of waste recycled</t>
  </si>
  <si>
    <t>Total volume of wet waste separated</t>
  </si>
  <si>
    <t>Number of operating landfill sites</t>
  </si>
  <si>
    <t>...of which 0-5 years old</t>
  </si>
  <si>
    <t>...of which 5-10 years old</t>
  </si>
  <si>
    <t>...of which 10-15 years old</t>
  </si>
  <si>
    <t>landfill sites with gas capture</t>
  </si>
  <si>
    <t>landfill sites with gas recovery for energy</t>
  </si>
  <si>
    <t>Sewage works that recover for energy</t>
  </si>
  <si>
    <t>Number of Household, C&amp;I and CDW to energy facilities</t>
  </si>
  <si>
    <t>Capital - high</t>
  </si>
  <si>
    <t>Collection</t>
  </si>
  <si>
    <t>Landfill gas capture</t>
  </si>
  <si>
    <t>Landfill gas recovery</t>
  </si>
  <si>
    <t>Recycling</t>
  </si>
  <si>
    <t>Separating wet waste for AD</t>
  </si>
  <si>
    <t>Bioenergy Total</t>
  </si>
  <si>
    <t>Waste management Total</t>
  </si>
  <si>
    <t>Capital - point</t>
  </si>
  <si>
    <t>Capital - Low</t>
  </si>
  <si>
    <t>Operating - High</t>
  </si>
  <si>
    <t xml:space="preserve">                                                                                                                                                                                                                                                                                                                                                                                                                                        </t>
  </si>
  <si>
    <t>Operating - point</t>
  </si>
  <si>
    <t>Operating - low</t>
  </si>
  <si>
    <t>Costs of bioenergy</t>
  </si>
  <si>
    <t>Costs of recycling &amp; waste management</t>
  </si>
  <si>
    <t>Based on ESRI projections up to 2030</t>
  </si>
  <si>
    <t>Milk (fixed in accordance with Havest 2050)</t>
  </si>
  <si>
    <t>Waste (fixed)</t>
  </si>
  <si>
    <t>Animal (fixed)</t>
  </si>
  <si>
    <t>Quantity of waste increases 50%; Small increase in rates of recycling and EFW.</t>
  </si>
  <si>
    <t>Quantity of waste increases 20%; Increase in rates of recycling and EFW.</t>
  </si>
  <si>
    <t>Quantity of waste increases 33%; Significant increase in rates of recycling and EFW through innovation.</t>
  </si>
  <si>
    <t>Quantity of waste decreases 20%; Significant increase in rate of recycling.</t>
  </si>
  <si>
    <t>1.5 m2 of photovoltaic panels per person in 2050, supplying ~1.7 TWh/yr of electricity</t>
  </si>
  <si>
    <t>Central Case</t>
  </si>
  <si>
    <t>Low Production case</t>
  </si>
  <si>
    <t>Very low production case</t>
  </si>
  <si>
    <t>Natural Gas Gross</t>
  </si>
  <si>
    <t>% of production</t>
  </si>
  <si>
    <t>1B2</t>
  </si>
  <si>
    <t>Oil and Natural Gas</t>
  </si>
  <si>
    <t>Cost of coal</t>
  </si>
  <si>
    <t>$/tCoal</t>
  </si>
  <si>
    <t>Cost of oil</t>
  </si>
  <si>
    <t>$/bbl</t>
  </si>
  <si>
    <t>Cost of gas</t>
  </si>
  <si>
    <t>p/therm</t>
  </si>
  <si>
    <t>Compute oil and gas production</t>
  </si>
  <si>
    <t>Compute fugitive emissions from production</t>
  </si>
  <si>
    <t>Compute the cost of the fossil fuels</t>
  </si>
  <si>
    <t>Solid hydrocarbon use</t>
  </si>
  <si>
    <t>Gasesous hydrocarbon use</t>
  </si>
  <si>
    <t>OIL AND GAS PRODUCTION</t>
  </si>
  <si>
    <t>Oil production</t>
  </si>
  <si>
    <t>Gas production</t>
  </si>
  <si>
    <t>GREENHOUSE GAS EMISSIONS</t>
  </si>
  <si>
    <t>Fugitive CO2 from Oil and Gas production</t>
  </si>
  <si>
    <t>Combustion emissions from own use</t>
  </si>
  <si>
    <t>OTHER EMISSIONS</t>
  </si>
  <si>
    <t>Process emissions</t>
  </si>
  <si>
    <t>Base Years</t>
  </si>
  <si>
    <t>Positives numbers are costs to the country to pay for imports. Negative numbers are revenue to the country from selling exports</t>
  </si>
  <si>
    <t>Energy Balance</t>
  </si>
  <si>
    <t>Cost of Oil</t>
  </si>
  <si>
    <t>Cost of Gas</t>
  </si>
  <si>
    <t xml:space="preserve">Peat </t>
  </si>
  <si>
    <t>Hydrocarbon imports</t>
  </si>
  <si>
    <t>Nuclear Fission</t>
  </si>
  <si>
    <t>Positive numbers are exports. Negative numbers are imports</t>
  </si>
  <si>
    <t>Turn the imports into costs</t>
  </si>
  <si>
    <t>Multiply those units by a range of market prices</t>
  </si>
  <si>
    <t>Positive numbers are costs to the country to pay for imports. Negative numbers are revenue to the country from selling exports</t>
  </si>
  <si>
    <t>Energy balance</t>
  </si>
  <si>
    <t>Methane from peat mining</t>
  </si>
  <si>
    <t>Cost of peat</t>
  </si>
  <si>
    <t>$/tpeat</t>
  </si>
  <si>
    <t>Compute peat production</t>
  </si>
  <si>
    <t>peat production</t>
  </si>
  <si>
    <t>Fugitive methane from peat mining</t>
  </si>
  <si>
    <t>peat</t>
  </si>
  <si>
    <t>PEAT PRODUCTION</t>
  </si>
  <si>
    <t>Hydrocarbon requirements</t>
  </si>
  <si>
    <t>Process emissions from gas</t>
  </si>
  <si>
    <t>yrs</t>
  </si>
  <si>
    <t>Capital cost of gas distribution</t>
  </si>
  <si>
    <t>Operating cost of gas distribution</t>
  </si>
  <si>
    <t>Transfer coal, petroleum, and gas to V.03, V.04 and V.05 from C.01, C.02 and C.03 respectively</t>
  </si>
  <si>
    <t>COAL AND GAS TRANSFERS</t>
  </si>
  <si>
    <t>Coal required</t>
  </si>
  <si>
    <t>Petroleum products required</t>
  </si>
  <si>
    <t>Gasesous hydrocarbon required</t>
  </si>
  <si>
    <t>distribution losses</t>
  </si>
  <si>
    <t>Natural gas required</t>
  </si>
  <si>
    <t>CAPACITIES</t>
  </si>
  <si>
    <t>Gas grid</t>
  </si>
  <si>
    <t>Stock</t>
  </si>
  <si>
    <t>Replacement</t>
  </si>
  <si>
    <t>per year</t>
  </si>
  <si>
    <t>Expansion</t>
  </si>
  <si>
    <t>Total new build</t>
  </si>
  <si>
    <t>Approximate Regulated Asset Value</t>
  </si>
  <si>
    <t>Capital cost per year in procceeding 5 years</t>
  </si>
  <si>
    <t>Operating cost</t>
  </si>
  <si>
    <t>Total cost</t>
  </si>
  <si>
    <t>Central case</t>
  </si>
  <si>
    <t>Low production case</t>
  </si>
  <si>
    <t>Volatile electricity supply sectors</t>
  </si>
  <si>
    <t>Residential Heating &amp; Cooling</t>
  </si>
  <si>
    <t>Commercial Heating &amp; Cooling</t>
  </si>
  <si>
    <t>Seasonal external temperature</t>
  </si>
  <si>
    <t>Additional electricity at peak, that varies with outside temperature</t>
  </si>
  <si>
    <t>Balancing imports of electricity</t>
  </si>
  <si>
    <t>&lt;- FRAGILE LINK</t>
  </si>
  <si>
    <t>Boostable capacity</t>
  </si>
  <si>
    <t>I.a.Gas</t>
  </si>
  <si>
    <t>Gas CCGT</t>
  </si>
  <si>
    <t>I.a.Liquid</t>
  </si>
  <si>
    <t>I.a.Solid</t>
  </si>
  <si>
    <t>CCS</t>
  </si>
  <si>
    <t>Current load factors on boostable capacity</t>
  </si>
  <si>
    <t>Electricity demand that can be shifted</t>
  </si>
  <si>
    <t>XII.a.Car.PHEV</t>
  </si>
  <si>
    <t>XII.a.Car.EV</t>
  </si>
  <si>
    <t>Interconnection -- Peak power</t>
  </si>
  <si>
    <t>Interconnection -- Sustained power</t>
  </si>
  <si>
    <t>Sustained</t>
  </si>
  <si>
    <t>Electric cars -- shiftable demand</t>
  </si>
  <si>
    <t>% of average</t>
  </si>
  <si>
    <t>Pumped storage</t>
  </si>
  <si>
    <t>Assumes shock doesn’t cross years</t>
  </si>
  <si>
    <t>Energy shock assumptions</t>
  </si>
  <si>
    <t>Duration</t>
  </si>
  <si>
    <t>days</t>
  </si>
  <si>
    <t>Incidence</t>
  </si>
  <si>
    <t>times per year</t>
  </si>
  <si>
    <t>Shock external temperature</t>
  </si>
  <si>
    <t>% of mean annual output</t>
  </si>
  <si>
    <t>Assumptions about the relationship between commercial and residential heating</t>
  </si>
  <si>
    <t>d%GW/dTemperature</t>
  </si>
  <si>
    <t>Commercial</t>
  </si>
  <si>
    <t>Ratio</t>
  </si>
  <si>
    <t>d%Commercial/d%Residential</t>
  </si>
  <si>
    <t>Assumptions about standby generation</t>
  </si>
  <si>
    <t>electricity/capacity</t>
  </si>
  <si>
    <t>Conversion efficiency</t>
  </si>
  <si>
    <t>electric/thermal energy</t>
  </si>
  <si>
    <t>Fuel source</t>
  </si>
  <si>
    <t>NaturalGas</t>
  </si>
  <si>
    <t>Thermal plant - availability for winter peak</t>
  </si>
  <si>
    <t>Pumped Storage</t>
  </si>
  <si>
    <t>Interconnector</t>
  </si>
  <si>
    <t>Back-up CCGT</t>
  </si>
  <si>
    <t>Difference between annual average output of thermal power stations and the peak output available to meet the peak</t>
  </si>
  <si>
    <t>Compute available balancing power and energy under trajectory</t>
  </si>
  <si>
    <t>Compute size of shock</t>
  </si>
  <si>
    <t>Compute whether pathway has sufficient balancing to deal with peak power required</t>
  </si>
  <si>
    <t>Compute whether pathway has sufficient balancing to deal with total energy required</t>
  </si>
  <si>
    <t>Compute the total utilization of the balancing</t>
  </si>
  <si>
    <t>If there is any remaining power or energy required, compute standby gas capacity that would be required</t>
  </si>
  <si>
    <t>What are the consequences for greenhouse gas emissions</t>
  </si>
  <si>
    <t>AVAILALE BALANCING POWER</t>
  </si>
  <si>
    <t>Balancing power available under trajectory</t>
  </si>
  <si>
    <t>halt any export of electricity</t>
  </si>
  <si>
    <t>boosting thermal plant</t>
  </si>
  <si>
    <t>drawing from interconnection</t>
  </si>
  <si>
    <t>shifting demand from electric vehicles</t>
  </si>
  <si>
    <t>drawing from pumped storage</t>
  </si>
  <si>
    <t>Total balancing power</t>
  </si>
  <si>
    <t>Balancing energy available under trajectory</t>
  </si>
  <si>
    <t>Total balancing energy</t>
  </si>
  <si>
    <t>SIZE OF SHOCK</t>
  </si>
  <si>
    <t>EXTRA PEAK DEMAND (not temperature related)</t>
  </si>
  <si>
    <t>Total electric power</t>
  </si>
  <si>
    <t>DROP IN TEMPERATURE</t>
  </si>
  <si>
    <t>Annual mean temperature</t>
  </si>
  <si>
    <t>Stress test temperature</t>
  </si>
  <si>
    <t>Drop in temperature</t>
  </si>
  <si>
    <t>EXTRA PEAK DEMAND (temperature related)</t>
  </si>
  <si>
    <t>Excess (shortfall) in power supplied when shock occurs</t>
  </si>
  <si>
    <t>Total excess (shortfall) in power</t>
  </si>
  <si>
    <t>Excess (shortfall) in energy supplied when shock occurs</t>
  </si>
  <si>
    <t>WILL BALANCING PROVIDE SUFFICIENT POWER?</t>
  </si>
  <si>
    <t>Excess (shortfall) in power after application of balancing load</t>
  </si>
  <si>
    <t>Excess (shortfall) in power</t>
  </si>
  <si>
    <t>…after halting any exports of electricity</t>
  </si>
  <si>
    <t>…after boosting thermal plant</t>
  </si>
  <si>
    <t>…after drawing from interconnection</t>
  </si>
  <si>
    <t>…after shifting demand from electric vehicles</t>
  </si>
  <si>
    <t>…after drawing from pumped storage</t>
  </si>
  <si>
    <t>Remaining excess (shortfall) in power</t>
  </si>
  <si>
    <t>WILL BALANCING PROVIDE SUFFICIENT ENERGY?</t>
  </si>
  <si>
    <t>Excess (shortfall) in energy after application of balancing load</t>
  </si>
  <si>
    <t>Remaining excess (shortfall) in energy</t>
  </si>
  <si>
    <t>HOW MUCH BALANCING HAS BEEN USED?</t>
  </si>
  <si>
    <t>Balancing power used</t>
  </si>
  <si>
    <t>Total balancing power used</t>
  </si>
  <si>
    <t>Balancing energy used</t>
  </si>
  <si>
    <t>Total balancing energy used</t>
  </si>
  <si>
    <t>% capacity</t>
  </si>
  <si>
    <t>Maximum balancing capacity used</t>
  </si>
  <si>
    <t>Total balancing capacity used</t>
  </si>
  <si>
    <t>HOW MUCH STANDBY CAPACITY IS REQUIRED?</t>
  </si>
  <si>
    <t>After all balancing loads</t>
  </si>
  <si>
    <t>Excess (shortfall) in energy</t>
  </si>
  <si>
    <t>Power required to supply energy</t>
  </si>
  <si>
    <t>Maximum of A or B</t>
  </si>
  <si>
    <t>WHAT ARE THE CONSEQUENCES FOR GREENHOUSE GAS EMISSIONS?</t>
  </si>
  <si>
    <t>Emissions factor for standby fuel</t>
  </si>
  <si>
    <t xml:space="preserve">Heat required to produce </t>
  </si>
  <si>
    <t>Emissions from heat production</t>
  </si>
  <si>
    <t>8 Costs</t>
  </si>
  <si>
    <t>Back up capacity</t>
  </si>
  <si>
    <t>Annual build rates</t>
  </si>
  <si>
    <t>Standby generators</t>
  </si>
  <si>
    <t>Electricity exports (positive are exports from Ireland to Europe)</t>
  </si>
  <si>
    <t>Mean winter temperature differential</t>
  </si>
  <si>
    <t>Rate of heat loss per house</t>
  </si>
  <si>
    <t>Duration of winter (Dec-Feb)</t>
  </si>
  <si>
    <t>Winter losses / household</t>
  </si>
  <si>
    <t>Mean spring temperature differential</t>
  </si>
  <si>
    <t>Duration of  spring (Mar-May)</t>
  </si>
  <si>
    <t>Spring losses / household</t>
  </si>
  <si>
    <t>Mean summer temperature differential</t>
  </si>
  <si>
    <t>Duration of summer (Jun-Aug)</t>
  </si>
  <si>
    <t>Summer losses / household</t>
  </si>
  <si>
    <t>Mean autumn temperature differential</t>
  </si>
  <si>
    <t>Duration of autumn (Sep-Nov)</t>
  </si>
  <si>
    <t>Autumn losses / household</t>
  </si>
  <si>
    <t>Total per household losses</t>
  </si>
  <si>
    <t>Mean internal temperature</t>
  </si>
  <si>
    <t>Useful heat gains per household, estimated</t>
  </si>
  <si>
    <t>Total internal gains</t>
  </si>
  <si>
    <t>Fixed proportion of losses</t>
  </si>
  <si>
    <t>Household demand net of internal gains</t>
  </si>
  <si>
    <t>Total energy required</t>
  </si>
  <si>
    <t>Energy source / use charts</t>
  </si>
  <si>
    <t>2050 Calculator calculations</t>
  </si>
  <si>
    <t>Use</t>
  </si>
  <si>
    <t>Total Use</t>
  </si>
  <si>
    <t>Dummy for charting uses</t>
  </si>
  <si>
    <t>Primary electricity, solar, marine, and net imports</t>
  </si>
  <si>
    <t>Total Primary Supply</t>
  </si>
  <si>
    <t>Dummy for charting supply</t>
  </si>
  <si>
    <t>Conversion losses, distribution, and own use</t>
  </si>
  <si>
    <t>Supply net of losses</t>
  </si>
  <si>
    <t>Supply / demand not accounted for</t>
  </si>
  <si>
    <t>Total unnaccounted supply / demand</t>
  </si>
  <si>
    <t>Supply, Demand, and Unaccounted supply</t>
  </si>
  <si>
    <t>Electricity grid (net of distribution losses)</t>
  </si>
  <si>
    <t>Total electricity grid</t>
  </si>
  <si>
    <t>Demand (for charting)</t>
  </si>
  <si>
    <t>Dummy for charting</t>
  </si>
  <si>
    <t>Net balance (should be zero!)</t>
  </si>
  <si>
    <t>Unabated thermal generation</t>
  </si>
  <si>
    <t>Non-thermal renewable generation</t>
  </si>
  <si>
    <t>Total generation supplied to grid</t>
  </si>
  <si>
    <t>Electricity exports</t>
  </si>
  <si>
    <t xml:space="preserve">Unabated thermal generation </t>
  </si>
  <si>
    <t>Oil / Biofuel</t>
  </si>
  <si>
    <t>Gas / Biogas</t>
  </si>
  <si>
    <t>Standby / peaking gas</t>
  </si>
  <si>
    <t>Excluding international bunkers</t>
  </si>
  <si>
    <t>Adjustment factor:</t>
  </si>
  <si>
    <t>% reduction 1990-2050</t>
  </si>
  <si>
    <t>Emissions by sector</t>
  </si>
  <si>
    <t>Emissions in the time period (up to and including year above)</t>
  </si>
  <si>
    <t>Modelled emissions</t>
  </si>
  <si>
    <t>Cumulative emissions</t>
  </si>
  <si>
    <t xml:space="preserve">Please note: emissions by sector need to account for bio-energy, which is accounted for seperately (in V). </t>
  </si>
  <si>
    <t>Cumulative emissions are estimates based on a linear trajectory between the 5 year time periods</t>
  </si>
  <si>
    <t>Targets</t>
  </si>
  <si>
    <t>2050 target</t>
  </si>
  <si>
    <t>2020 target</t>
  </si>
  <si>
    <t>Base year (1990)</t>
  </si>
  <si>
    <t>(20% of base)</t>
  </si>
  <si>
    <t>Kyoto agreed sectors</t>
  </si>
  <si>
    <t>International bunkers (CO2 only)</t>
  </si>
  <si>
    <t>Target, for chart</t>
  </si>
  <si>
    <t>Dummy, for chart</t>
  </si>
  <si>
    <t>Bio-energy - Production and Use</t>
  </si>
  <si>
    <t>Production</t>
  </si>
  <si>
    <t>Domestic</t>
  </si>
  <si>
    <t>Hydro-carbon use by sector and Bio-energy share</t>
  </si>
  <si>
    <t>Please note: Bio-energy is not assigned to sectors but is assumed to replace fossil fuels up to maximum demand</t>
  </si>
  <si>
    <t>Solid Hydrocarbon consumption</t>
  </si>
  <si>
    <t>Share of solid biomass to total solid hydrocarbon consumption</t>
  </si>
  <si>
    <t>Liquid Hydrocarbon consumption</t>
  </si>
  <si>
    <t>Share of Bioliquids to total liquid hydrocarbon consumption</t>
  </si>
  <si>
    <t>Gaseous Hydrocarbon consumption</t>
  </si>
  <si>
    <t>Share of Biogas to total gaseous hydrocarbon consumption</t>
  </si>
  <si>
    <t>Bio type</t>
  </si>
  <si>
    <t>Column1</t>
  </si>
  <si>
    <t>Column2</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</si>
  <si>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</si>
  <si>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</si>
  <si>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</si>
  <si>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</si>
  <si>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</si>
  <si>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</si>
  <si>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</si>
  <si>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</si>
  <si>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</si>
  <si>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</si>
  <si>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</si>
  <si>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</si>
  <si>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</si>
  <si>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</si>
  <si>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</si>
  <si>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</si>
  <si>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</si>
  <si>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</si>
  <si>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</si>
  <si>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</si>
  <si>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</si>
  <si>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</si>
  <si>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</si>
  <si>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</si>
  <si>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</si>
  <si>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</si>
  <si>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</si>
  <si>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</si>
  <si>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</si>
  <si>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</si>
  <si>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</si>
  <si>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</si>
  <si>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</si>
  <si>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</si>
  <si>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</si>
  <si>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</si>
  <si>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</si>
  <si>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</si>
  <si>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</si>
  <si>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</si>
  <si>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Column612</t>
  </si>
  <si>
    <t>Column62</t>
  </si>
  <si>
    <t>Column63</t>
  </si>
  <si>
    <t>Column3</t>
  </si>
  <si>
    <t>Electricity Generation Emissions</t>
  </si>
  <si>
    <t>Emissions from Electricity Generation, exlcuding CHP</t>
  </si>
  <si>
    <t>Power Generation</t>
  </si>
  <si>
    <t>CCS in Power</t>
  </si>
  <si>
    <t>Bioenergy in Gas Power</t>
  </si>
  <si>
    <t>Bioenergy in Solid BM Power</t>
  </si>
  <si>
    <t>Bioenergy in Solid HC CCS Power</t>
  </si>
  <si>
    <t>Bioenergy in Gas CCS Power</t>
  </si>
  <si>
    <t>Total Emissions from Power</t>
  </si>
  <si>
    <t>Emissions reclassified</t>
  </si>
  <si>
    <t>Emissions intensity</t>
  </si>
  <si>
    <t>MtCO2e/TWh</t>
  </si>
  <si>
    <t>gCO2e/KWh</t>
  </si>
  <si>
    <t>Note: Emissions from CHP are excluded, while emissions from district heating are included.</t>
  </si>
  <si>
    <t>Primary supply, format for web-based interface</t>
  </si>
  <si>
    <t>Imported energy</t>
  </si>
  <si>
    <t>% imported</t>
  </si>
  <si>
    <t>Primary demand</t>
  </si>
  <si>
    <t>Electricity, format for web-based interface</t>
  </si>
  <si>
    <t>This is the data used for the sankey diagram in the web tool</t>
  </si>
  <si>
    <t>From</t>
  </si>
  <si>
    <t>To</t>
  </si>
  <si>
    <t>Box</t>
  </si>
  <si>
    <t>Out</t>
  </si>
  <si>
    <t>In</t>
  </si>
  <si>
    <t>Problem</t>
  </si>
  <si>
    <t>Agricultural 'waste'</t>
  </si>
  <si>
    <t>Coal imports</t>
  </si>
  <si>
    <t>Bio-conversion</t>
  </si>
  <si>
    <t>Oil imports</t>
  </si>
  <si>
    <t>Biofuel imports</t>
  </si>
  <si>
    <t>Ngas</t>
  </si>
  <si>
    <t>Biomass imports</t>
  </si>
  <si>
    <t>Gas imports</t>
  </si>
  <si>
    <t>CHP</t>
  </si>
  <si>
    <t>UK land based bioenergy</t>
  </si>
  <si>
    <t>Other waste</t>
  </si>
  <si>
    <t>Electricity grid</t>
  </si>
  <si>
    <t>Solar Thermal</t>
  </si>
  <si>
    <t>H2 conversion</t>
  </si>
  <si>
    <t>Heating and cooling - commercial</t>
  </si>
  <si>
    <t>Heating and cooling - homes</t>
  </si>
  <si>
    <t>Over generation / exports</t>
  </si>
  <si>
    <t>Lighting &amp; appliances - commercial</t>
  </si>
  <si>
    <t>Thermal generation</t>
  </si>
  <si>
    <t>Lighting &amp; appliances - homes</t>
  </si>
  <si>
    <t>Pumped heat</t>
  </si>
  <si>
    <t>Emissions as % of base year, adjusted so that 2013 matches actuals</t>
  </si>
  <si>
    <t>Actuals, as % of 2013, modelled</t>
  </si>
  <si>
    <t>% of 2013</t>
  </si>
  <si>
    <t>Electricity used in Ireland, before losses and district heating heat demand</t>
  </si>
  <si>
    <t>Storage (pumped hydro and compressed air) -- peak power</t>
  </si>
  <si>
    <t>2013 (Eirgrid capacity statement)</t>
  </si>
  <si>
    <t>Grid output</t>
  </si>
  <si>
    <t>Peak electriciy supply</t>
  </si>
  <si>
    <t>Grid distribution losses</t>
  </si>
  <si>
    <t>Transmission</t>
  </si>
  <si>
    <t>Distribution</t>
  </si>
  <si>
    <t xml:space="preserve">Capital cost of Transmission Grid </t>
  </si>
  <si>
    <t>Operating cost of Transmission Grid</t>
  </si>
  <si>
    <t>Capital cost of Distribution Grid</t>
  </si>
  <si>
    <t>Operating cost of Distribution grid</t>
  </si>
  <si>
    <t>Transfer electricity from V.02 to V.01 to match total V.01 required, accounting for conversion losses</t>
  </si>
  <si>
    <t>Electricity output from grid</t>
  </si>
  <si>
    <t>÷ (1−Losses)</t>
  </si>
  <si>
    <t>= Total electricity input to grid</t>
  </si>
  <si>
    <t>× Losses</t>
  </si>
  <si>
    <t>= Distribution losses</t>
  </si>
  <si>
    <t>Calculate the cost of the distribution grid</t>
  </si>
  <si>
    <t xml:space="preserve">Balancing </t>
  </si>
  <si>
    <t>Cable average load / peak load</t>
  </si>
  <si>
    <t>Proportion of energy lost on the way</t>
  </si>
  <si>
    <t>Interconnector Life</t>
  </si>
  <si>
    <t>Operating cost of Desertec per TWh</t>
  </si>
  <si>
    <t>Capital cost of Interconnector per GWe</t>
  </si>
  <si>
    <t>Operating cost of Interconnector per GWe</t>
  </si>
  <si>
    <t>Export earnings</t>
  </si>
  <si>
    <t>Additional cabling required for exports</t>
  </si>
  <si>
    <t>Export capacity required</t>
  </si>
  <si>
    <t>Less existing cable for imports</t>
  </si>
  <si>
    <t>Less existing cable for balancing</t>
  </si>
  <si>
    <t>Net new cable required</t>
  </si>
  <si>
    <t>IMPORTED ELECTRICITY</t>
  </si>
  <si>
    <t>Approximate capacity of cable required</t>
  </si>
  <si>
    <t>EXPORTED ELECTRICITY</t>
  </si>
  <si>
    <t>Extra cable required</t>
  </si>
  <si>
    <t>Cable that needs to be replaced</t>
  </si>
  <si>
    <t>GW/yr</t>
  </si>
  <si>
    <t>New cable that needs to be installed</t>
  </si>
  <si>
    <t>Total cable build rate</t>
  </si>
  <si>
    <t>Income from sales</t>
  </si>
  <si>
    <t>Less income from sales</t>
  </si>
  <si>
    <t>Cost of imports</t>
  </si>
  <si>
    <t>Cost of exports</t>
  </si>
  <si>
    <t>Capital cost per TWh</t>
  </si>
  <si>
    <t>Total capacity</t>
  </si>
  <si>
    <t xml:space="preserve">Build rate </t>
  </si>
  <si>
    <t xml:space="preserve">Coal </t>
  </si>
  <si>
    <t>Coal, Peat and Biomass</t>
  </si>
  <si>
    <t>Assumed solid Hydrocarbon split: Coal/Peat/Biomass, based on biomass new capacity trajectory</t>
  </si>
  <si>
    <t>Bioenergy imports, solid [1]</t>
  </si>
  <si>
    <t>Assumed fuel/unit area</t>
  </si>
  <si>
    <t>Cost of solid imported bioenergy</t>
  </si>
  <si>
    <t>Cost of liquid imported bioenergy</t>
  </si>
  <si>
    <t>Provide all available supply, up to requested amount</t>
  </si>
  <si>
    <t>Bio-energy balancing</t>
  </si>
  <si>
    <t>Area covered</t>
  </si>
  <si>
    <t>biocrops overseas if 0.6W/m2 productivity</t>
  </si>
  <si>
    <t>Domestic solar thermal installed area [1]</t>
  </si>
  <si>
    <t>m2 (average, per household)</t>
  </si>
  <si>
    <t>Electricity consumption (to run pump)</t>
  </si>
  <si>
    <t>% of heat supplied</t>
  </si>
  <si>
    <t>Capital cost of a 0.00000011 GW solar plant</t>
  </si>
  <si>
    <t>Operating cost of a 0.00000011 GW solar plant</t>
  </si>
  <si>
    <t>SOLAR THERMAL</t>
  </si>
  <si>
    <t>Installed area per household</t>
  </si>
  <si>
    <t>Installed area</t>
  </si>
  <si>
    <t>(For ref: area / person)</t>
  </si>
  <si>
    <t>Incident power</t>
  </si>
  <si>
    <t>Available solar energy</t>
  </si>
  <si>
    <t>Heat generation</t>
  </si>
  <si>
    <t xml:space="preserve">Electricity usage </t>
  </si>
  <si>
    <t>Electricity consumed</t>
  </si>
  <si>
    <t>Number of 0.11 kWaverage plant</t>
  </si>
  <si>
    <t>Total New Build</t>
  </si>
  <si>
    <t>Annual build rate</t>
  </si>
  <si>
    <t>solar thermal panels if 50% efficient</t>
  </si>
  <si>
    <r>
      <t>m</t>
    </r>
    <r>
      <rPr>
        <vertAlign val="superscript"/>
        <sz val="10"/>
        <color theme="1"/>
        <rFont val="Calibri"/>
        <family val="1"/>
        <scheme val="minor"/>
      </rPr>
      <t>2</t>
    </r>
  </si>
  <si>
    <r>
      <t>m</t>
    </r>
    <r>
      <rPr>
        <i/>
        <vertAlign val="superscript"/>
        <sz val="10"/>
        <color theme="1"/>
        <rFont val="Calibri"/>
        <family val="1"/>
        <scheme val="minor"/>
      </rPr>
      <t>2</t>
    </r>
  </si>
  <si>
    <t>In 2050, individuals travel the same distance as today, cars and vans are 78% of 2050 passenger mileage</t>
  </si>
  <si>
    <t>In 2050, individuals travel the same distance as today; cars and vans 74% of 2050 passenger mileage. Shift towards rail.</t>
  </si>
  <si>
    <t>In 2050, individuals travel 6% less than they do today. Signficant shift to public transport.</t>
  </si>
  <si>
    <t>33% increase in vehicle-kilometres. 16% in engine efficiency.</t>
  </si>
  <si>
    <t>Irish Transport</t>
  </si>
  <si>
    <t>Irish Bioenergy</t>
  </si>
  <si>
    <t xml:space="preserve">By 2050 100%  zero emission vehiclesl; 85% passenger trains electrified; 50% bus electrified </t>
  </si>
  <si>
    <t xml:space="preserve">Useful heat gains per household, estimated </t>
  </si>
  <si>
    <t xml:space="preserve">Other emissions to the atmosphere </t>
  </si>
  <si>
    <t>CSS emissions capture (not used)</t>
  </si>
  <si>
    <t>Ireland Land area</t>
  </si>
  <si>
    <t>Peat reserves</t>
  </si>
  <si>
    <t>Coal, peat and biomass</t>
  </si>
  <si>
    <t>Biomass/Peat/Coal power stations</t>
  </si>
  <si>
    <t>Coal, biomass and peat</t>
  </si>
  <si>
    <t>Coal/Peat/Biomass</t>
  </si>
  <si>
    <t>Coal/peat/biomass input required</t>
  </si>
  <si>
    <t>Solid hydrocarbons (coal/peat)</t>
  </si>
  <si>
    <t>Approximate total 100 MW locations</t>
  </si>
  <si>
    <t xml:space="preserve">Oil </t>
  </si>
  <si>
    <t>Imported biofuel declines from 0.2 TWh/yr currently to zero</t>
  </si>
  <si>
    <t>Up to 6 TWh/yr of imported bioenergy in 2050</t>
  </si>
  <si>
    <t>Up to 12 TWh/yr of imported bioenergy in 2050</t>
  </si>
  <si>
    <t>Outputs (not used - outputs calculated in year sheet)</t>
  </si>
  <si>
    <t>Approximate build rate of total 100MW locations</t>
  </si>
  <si>
    <t>Bio-energy used in Ireland</t>
  </si>
  <si>
    <t>Livestock Management</t>
  </si>
  <si>
    <t>Irish Fossil fuel production</t>
  </si>
  <si>
    <t>Irish Electricity Generation</t>
  </si>
  <si>
    <t>Note: Afforestation rates of 76 km^2 per year in scenario 2 and 3, consistent with current projections, Teagasc, 2014</t>
  </si>
  <si>
    <t>(incl wetlands)</t>
  </si>
  <si>
    <t>Total forestry arisings, new forests (not used - estimated in row 411)</t>
  </si>
  <si>
    <t>Note: Change in emissions under different trajectories based on UK Forestry Commission projections at present</t>
  </si>
  <si>
    <t>High electrification; process emissions reduced</t>
  </si>
  <si>
    <t>SEAI</t>
  </si>
  <si>
    <t>Discounting (not used in version 1)</t>
  </si>
  <si>
    <t>Cost conversions (not used in version 1)</t>
  </si>
  <si>
    <t>GDP Deflator (not used in version 1)</t>
  </si>
  <si>
    <t>Number of households with insulation measures retrofitted each year (not used in version 1)</t>
  </si>
  <si>
    <t>3. Heating and Cooling systems (not used)</t>
  </si>
  <si>
    <t>Total Installed heating systems under trajectories (not used in version 1)</t>
  </si>
  <si>
    <t>COSTS (not used in version 1)</t>
  </si>
  <si>
    <t>(ia) Space heating savings from smart meter installation and behaviour change [1]</t>
  </si>
  <si>
    <t>Estimated (total final) demand in 2013 (TWh)</t>
  </si>
  <si>
    <t>Cost assumptions (not used in version 1)</t>
  </si>
  <si>
    <t>Costs (not used in version 1)</t>
  </si>
  <si>
    <t>4. Cost information (not used in version 1)</t>
  </si>
  <si>
    <t>High estimate of costs (not used in version 1)</t>
  </si>
  <si>
    <t>Low estimate of costs (not used in version 1)</t>
  </si>
  <si>
    <t>Calculate the cost of the transmission grid (not used in version 1)</t>
  </si>
  <si>
    <t>High (not used in version 1)</t>
  </si>
  <si>
    <t>Insulation retrofit (not used in version 1)</t>
  </si>
  <si>
    <t>Incremental cost of abatement (not used in version 1)</t>
  </si>
  <si>
    <t>4. COSTS (not used in version 1)</t>
  </si>
  <si>
    <t>SCRAPPED VEHICLE UNITS BY MODE / TECHNOLOGY (not used in version 1)</t>
  </si>
  <si>
    <t>TOTAL VEHICLE UNITS BY MODE / TECHNOLOGY (for costs - not used in version 1)</t>
  </si>
  <si>
    <t>ABATEMENT COST (not used in version 1)</t>
  </si>
  <si>
    <t>Compute the cost of the fossil fuels (not used in version 1)</t>
  </si>
  <si>
    <t>Calculate the cost of imports (not used in version 1)</t>
  </si>
  <si>
    <t>€</t>
  </si>
  <si>
    <t>€trn</t>
  </si>
  <si>
    <t>€bn</t>
  </si>
  <si>
    <t>€m</t>
  </si>
  <si>
    <t>€k</t>
  </si>
  <si>
    <t>€m/ 1GW plant</t>
  </si>
  <si>
    <t>€m/ 0.5GW plant</t>
  </si>
  <si>
    <t>€m/ plant</t>
  </si>
  <si>
    <t>€m/plant</t>
  </si>
  <si>
    <t>€m/TWh</t>
  </si>
  <si>
    <t>€m/turbine</t>
  </si>
  <si>
    <t>€m/project</t>
  </si>
  <si>
    <t>€m/solar source</t>
  </si>
  <si>
    <t>€m/solar plant</t>
  </si>
  <si>
    <t>€m/MtCO2e</t>
  </si>
  <si>
    <t>€m/yr</t>
  </si>
  <si>
    <t>€m/odt. Millions</t>
  </si>
  <si>
    <t>€m/landfill site</t>
  </si>
  <si>
    <t>€m/sewage works</t>
  </si>
  <si>
    <t>€m/GWe</t>
  </si>
  <si>
    <t>€m/TWhe</t>
  </si>
  <si>
    <t>€m/GW</t>
  </si>
  <si>
    <t>€m/household</t>
  </si>
  <si>
    <t>€/household</t>
  </si>
  <si>
    <t>€m per TWh</t>
  </si>
  <si>
    <t>€(2000) 2116</t>
  </si>
  <si>
    <t>€m/yr proceeding 5 years</t>
  </si>
  <si>
    <t>€m/ cooking unit</t>
  </si>
  <si>
    <t>€m Cost of demand reduction packages/TWh</t>
  </si>
  <si>
    <t>2013 Starting point €m</t>
  </si>
  <si>
    <t>€m per % of 2013 production</t>
  </si>
  <si>
    <t>€m/MtCO2</t>
  </si>
  <si>
    <t>€m per thousand vehicle units</t>
  </si>
  <si>
    <t>EV and PHEV capital costs for car include an uplift for infrastructure required using DfT assumptions of €1750 and €625 for high and low capictal, respectively.</t>
  </si>
  <si>
    <t>€m/yr, preceeding 5 years</t>
  </si>
  <si>
    <t>Cost of heating and hot water (not used in version 1)</t>
  </si>
  <si>
    <t>Ireland industry output more than doubles by 2050</t>
  </si>
  <si>
    <t>Ireland industry output falls 30-40% by 2050</t>
  </si>
  <si>
    <t>kWh/p/d (Ireland)</t>
  </si>
  <si>
    <t>Ireland Gallon</t>
  </si>
  <si>
    <t>Litres per Ireland gallon</t>
  </si>
  <si>
    <t>Conversion.Irelandgallons.to.litres</t>
  </si>
  <si>
    <t>Ireland incident solar energy, annual average</t>
  </si>
  <si>
    <t>Ireland incident solar energy, south-facing roof</t>
  </si>
  <si>
    <t>Chemicals</t>
  </si>
  <si>
    <t>Coal / Peat / Biomass</t>
  </si>
  <si>
    <t xml:space="preserve">Excluding aviation </t>
  </si>
  <si>
    <t xml:space="preserve">International Aviation </t>
  </si>
  <si>
    <t>District heating demand</t>
  </si>
  <si>
    <t>z Factor</t>
  </si>
  <si>
    <t>z</t>
  </si>
  <si>
    <t>Heat take-off  z factor</t>
  </si>
  <si>
    <t>Annual energy flow through a 200MWp 15km pipe</t>
  </si>
  <si>
    <t xml:space="preserve">Proportion of pipes that need to be replaced </t>
  </si>
  <si>
    <t>per 5 year period</t>
  </si>
  <si>
    <t>z Factor converts district heating demand into an effective increase in demand for electricity</t>
  </si>
  <si>
    <t>Capital cost of a 200MWpeak 15km pipe</t>
  </si>
  <si>
    <t>Operating cost of a 200MWpeak 15km pipe</t>
  </si>
  <si>
    <t>Transfer heat demand from heat transport to increase in electricity demanded from thermal plant. Balancing term goes in "conversion losses"</t>
  </si>
  <si>
    <t>Heat transport required</t>
  </si>
  <si>
    <t>Effective electricity required</t>
  </si>
  <si>
    <t>"Conversion losses"</t>
  </si>
  <si>
    <t>Scale</t>
  </si>
  <si>
    <t>Illustrative number of 200MW 15km pipes</t>
  </si>
  <si>
    <t>Extra pipes</t>
  </si>
  <si>
    <t>per year, previous period</t>
  </si>
  <si>
    <t xml:space="preserve">Replacement pipes </t>
  </si>
  <si>
    <t>Total pipe construction</t>
  </si>
  <si>
    <t>€m/ unit</t>
  </si>
  <si>
    <t>Carbon captured</t>
  </si>
  <si>
    <t>GtCO2e</t>
  </si>
  <si>
    <t>Oil &amp; Gas &amp; Aquifers</t>
  </si>
  <si>
    <t>Capital cost of storage per unit of CO2 stored</t>
  </si>
  <si>
    <t>Operating cost of storage per unit of CO2 stored</t>
  </si>
  <si>
    <t>MtCO2</t>
  </si>
  <si>
    <t>Amount of additional CO2 injected each year</t>
  </si>
  <si>
    <t>Stock of CO2 that has been injected</t>
  </si>
  <si>
    <t>low estimate of capacity:</t>
  </si>
  <si>
    <t>% of capacity filled</t>
  </si>
  <si>
    <t>years of storage left, assuming constant capture at 2050 rate</t>
  </si>
  <si>
    <t>% of capacity filled (high estimate of storage capacity)</t>
  </si>
  <si>
    <t>% of capacity (low storage)</t>
  </si>
  <si>
    <t>% of capacity (high storage)</t>
  </si>
  <si>
    <t>years of storage left, assuming constant capture at 2050 rate (low storage)</t>
  </si>
  <si>
    <t>years of storage left, assuming constant capture at 2050 rate (high storage)</t>
  </si>
  <si>
    <t>Carbon storage costs</t>
  </si>
  <si>
    <t>SMR - Central</t>
  </si>
  <si>
    <t>SMR - Distributed</t>
  </si>
  <si>
    <t>DWE</t>
  </si>
  <si>
    <t>H2 production for transport</t>
  </si>
  <si>
    <t>Item</t>
  </si>
  <si>
    <t>Typical size TWh</t>
  </si>
  <si>
    <t>% replaced each 5 years</t>
  </si>
  <si>
    <t>% output that is piped</t>
  </si>
  <si>
    <t>Liquefaction</t>
  </si>
  <si>
    <t>Pipeline</t>
  </si>
  <si>
    <t>Transfer energy from electrical to H2</t>
  </si>
  <si>
    <t>Hydrogen required</t>
  </si>
  <si>
    <t>From SMR - Central</t>
  </si>
  <si>
    <t>From SMR - Distributed</t>
  </si>
  <si>
    <t>From Electrolysis</t>
  </si>
  <si>
    <t>Fuel required</t>
  </si>
  <si>
    <t>Gas required</t>
  </si>
  <si>
    <t>Electricity required</t>
  </si>
  <si>
    <t>NUMBERS</t>
  </si>
  <si>
    <t>Stock, end of period</t>
  </si>
  <si>
    <t>Annual build, proceeding period</t>
  </si>
  <si>
    <t>Capital - High</t>
  </si>
  <si>
    <t>Capital - Point</t>
  </si>
  <si>
    <t>Operating - Point</t>
  </si>
  <si>
    <t>Operating - Low</t>
  </si>
  <si>
    <t>SMR (steam methane reforming) - Central</t>
  </si>
  <si>
    <t>2010 trillion euro</t>
  </si>
  <si>
    <t>2010 billion euro</t>
  </si>
  <si>
    <t>2010 million euro</t>
  </si>
  <si>
    <t>2010 thousand euro</t>
  </si>
  <si>
    <t>2010 euro</t>
  </si>
  <si>
    <t>http://2050-calculator-tool-wiki.decc.gov.uk/pages/72</t>
  </si>
  <si>
    <t>% Share</t>
  </si>
  <si>
    <t>Peat and gas production 2013 from Irish Energy Balance</t>
  </si>
  <si>
    <t xml:space="preserve">Decline in future peat production taken from SEAI Energy Forecast. </t>
  </si>
  <si>
    <t>Increase in gas production due to Corrib Gas coming online from 2015 for a period of 10 years with output declining after the first five.</t>
  </si>
  <si>
    <t>Cost vectors (not used in version 1)</t>
  </si>
  <si>
    <t>Implications [3]</t>
  </si>
  <si>
    <t>0.2 Mt capacity in Indaver facility, County Meath. Circa 0.5 Mt waste capacity proposed in Poolbeg.</t>
  </si>
  <si>
    <t>Incineration or EFW (domestic)</t>
  </si>
  <si>
    <t>Incineration or EFW (export)</t>
  </si>
  <si>
    <t>Recycled or composted (domestic)</t>
  </si>
  <si>
    <t>Recycled or composted (export)</t>
  </si>
  <si>
    <t>Waste (all forms of biomass)</t>
  </si>
  <si>
    <t>[1][2]</t>
  </si>
  <si>
    <t xml:space="preserve">Implied efficiency </t>
  </si>
  <si>
    <t>Yield, macro algae</t>
  </si>
  <si>
    <t>Dry tonnes / hectare</t>
  </si>
  <si>
    <t>Algae</t>
  </si>
  <si>
    <t>Yield</t>
  </si>
  <si>
    <t>Energy content, macro algae</t>
  </si>
  <si>
    <t xml:space="preserve">Cost of macro algae </t>
  </si>
  <si>
    <t>GROW ALGAE</t>
  </si>
  <si>
    <t>Area farmed</t>
  </si>
  <si>
    <t>For information, implied efficiency of algae</t>
  </si>
  <si>
    <t>Fuel cost (low)</t>
  </si>
  <si>
    <t>Fuel cost (point)</t>
  </si>
  <si>
    <t>Fuel cost (high)</t>
  </si>
  <si>
    <t>algae if 0.9W/m2 efficient</t>
  </si>
  <si>
    <t>€m/ M dry tonnes</t>
  </si>
  <si>
    <t>COST OF MACROALGAE (not used in version 1)</t>
  </si>
  <si>
    <t>Area of sea farmed [1]</t>
  </si>
  <si>
    <t>Financing costs for different sectors (not used in version 1)</t>
  </si>
  <si>
    <t>Processing and distribution emissions from gas</t>
  </si>
  <si>
    <t>Source: UNFCCC, Greenhouse Gas Inventory Data, Ireland 2012</t>
  </si>
  <si>
    <t xml:space="preserve">Losses in gas distribution are made up of metering differences, leakage, own use, and theft </t>
  </si>
  <si>
    <t>We assume no emissions from metering differences. Own use and theft is a small proportion of the total losses and has been ignored</t>
  </si>
  <si>
    <t>We assume leakage is what is computed by the IPCC emissions sector 1B2b (processing and distribution emissions). These are assumed to be proportional to consumption</t>
  </si>
  <si>
    <t>% of total supply</t>
  </si>
  <si>
    <t>Coal, peat and solid fuels</t>
  </si>
  <si>
    <t>Source: EPA, 2014. National GHG Inventory: The inventory agency was informed by BGE in 2004 that natural gas losses from the distribution network were so small that they could not be measured.</t>
  </si>
  <si>
    <t>Food consumption (unused)</t>
  </si>
  <si>
    <t>Coal (electricity generation)</t>
  </si>
  <si>
    <t>Other Bituminous Coal</t>
  </si>
  <si>
    <t>Lignite/Brown Coal</t>
  </si>
  <si>
    <t>Milled Peat</t>
  </si>
  <si>
    <t xml:space="preserve">Crude oil </t>
  </si>
  <si>
    <t>Motor Gasoline</t>
  </si>
  <si>
    <t>Aviation Gasoline</t>
  </si>
  <si>
    <t>Fuel oil</t>
  </si>
  <si>
    <t>Natural gas indigenous</t>
  </si>
  <si>
    <t>Natural gas imported</t>
  </si>
  <si>
    <t>Heating and other Gasoil</t>
  </si>
  <si>
    <t>EPA 2014 (figures are for 2012)</t>
  </si>
  <si>
    <t>Peat EF</t>
  </si>
  <si>
    <t>EPA National GHG Inventory Report 2014, Annex C, Table C.3</t>
  </si>
  <si>
    <t>EPA National GHG Inventory Report 2014, Annex D, Table D.1</t>
  </si>
  <si>
    <t>EPA National GHG Inventory Report 2014, Table A.1</t>
  </si>
  <si>
    <t>Total Household waste arising [1]</t>
  </si>
  <si>
    <t>Total C&amp;I waste arising [1]</t>
  </si>
  <si>
    <t>Total CDW,  wood waste arising [1]</t>
  </si>
  <si>
    <t>Total sewage sludge arising [2]</t>
  </si>
  <si>
    <t>Landfill gas arising [3]</t>
  </si>
  <si>
    <t>Sewage used for energy [2]</t>
  </si>
  <si>
    <t>Landfill gas captured (Note: remainder is lost as methane emissions) [3]</t>
  </si>
  <si>
    <t>Captured landfill gas used for energy (Note: remainder is flared) [3]</t>
  </si>
  <si>
    <t>Source: SEAI, 2012. Bioenergy Supply Curves for Ireland (2010-2030)</t>
  </si>
  <si>
    <t>23 TWh/yr  from 7 CCS power stations; comparable to current total electricity demand</t>
  </si>
  <si>
    <t>No offshore wind, Arklow Bank Wind Park is decommissioned</t>
  </si>
  <si>
    <t>3,400 turbines in 2050, (8.6GW) delivering 23 TWh/yr (current total demand)</t>
  </si>
  <si>
    <t>Area same as lower estimate of total available resource used, delivering 7 TWh/yr</t>
  </si>
  <si>
    <t>Area same as upper estimate of total available resource used, delivering 16 TWh/yr</t>
  </si>
  <si>
    <t>Smart meter roll-out and behaviour change leads to 15% reduction in energy demand for electric heating</t>
  </si>
  <si>
    <t>60% electricity and 40% gas (no change from 2013)</t>
  </si>
  <si>
    <t>CO2 sequestered, chemical processes, domestic [1]</t>
  </si>
  <si>
    <t>Mt CO2 per year</t>
  </si>
  <si>
    <t>CO2 sequestered, mechanical air capture, domestic [1]</t>
  </si>
  <si>
    <t>CO2 sequestered, international [1]</t>
  </si>
  <si>
    <t>Energy required for sequestration</t>
  </si>
  <si>
    <t>MtCO2 captured per plant</t>
  </si>
  <si>
    <t>Chemical process</t>
  </si>
  <si>
    <t>Note: Carbon storage only for levels 3 &amp;4</t>
  </si>
  <si>
    <t>Plants</t>
  </si>
  <si>
    <t>International</t>
  </si>
  <si>
    <t>TCO2</t>
  </si>
  <si>
    <t>Carbon storage</t>
  </si>
  <si>
    <t>MTCO2</t>
  </si>
  <si>
    <t>Total sequestered</t>
  </si>
  <si>
    <t>Mechanical air capture</t>
  </si>
  <si>
    <t>Energy required for mechanical capture</t>
  </si>
  <si>
    <t>Build of Chemical Capture Plants</t>
  </si>
  <si>
    <t>Build per 5 year block</t>
  </si>
  <si>
    <t>Build of Mechincal Capture Plants</t>
  </si>
  <si>
    <t>Build of International Capture Plants</t>
  </si>
  <si>
    <t>Carbon dioxide sequestration rate of 0.3 Mt per annum by 2050 (chemical processes)</t>
  </si>
  <si>
    <t>Carbon dioxide sequestration rate of 0.4 Mt per annum by 2050 (chemical processes)</t>
  </si>
  <si>
    <t>Carbon dioxide sequestration rate of 5.4 Mt per annum by 2050 (chemical and mechanical)</t>
  </si>
  <si>
    <r>
      <t>Modelled emissions, net of capture, by sector (Mt CO</t>
    </r>
    <r>
      <rPr>
        <b/>
        <vertAlign val="subscript"/>
        <sz val="18"/>
        <color theme="1"/>
        <rFont val="Cambria"/>
        <family val="2"/>
        <scheme val="major"/>
      </rPr>
      <t>2</t>
    </r>
    <r>
      <rPr>
        <b/>
        <sz val="18"/>
        <color theme="1"/>
        <rFont val="Cambria"/>
        <family val="2"/>
        <scheme val="major"/>
      </rPr>
      <t>e)</t>
    </r>
  </si>
  <si>
    <t>NB: Modelled emissions adjusted to match 2013 actuals. See note below emission table.</t>
  </si>
  <si>
    <t>constant factor so that 2013 modelled emissions match 2013 actual emissions.</t>
  </si>
  <si>
    <t>with 2013 actuals.  However, % of base year figures (in black) have been adjusted  by a</t>
  </si>
  <si>
    <t>International shipping (not used in version 1)</t>
  </si>
  <si>
    <t>2013 net imports are actuals from SEAI Energy Balance; imports assumed to be zero thereafter</t>
  </si>
  <si>
    <t>Imports from Europe</t>
  </si>
  <si>
    <t>3 TWh/yr of electricity imported from Europe</t>
  </si>
  <si>
    <t>6 TWh/yr of electricity imported from Europe</t>
  </si>
  <si>
    <t>No electricity imports, other than for balancing (see VII.c)</t>
  </si>
  <si>
    <t>These are "known" exports for 2013. From 2015 onwards, exports are computed if there is excess domestic supply</t>
  </si>
  <si>
    <t xml:space="preserve">Additional electricity at peak, that is not dependent on temperature </t>
  </si>
  <si>
    <t xml:space="preserve">Net storage flows </t>
  </si>
  <si>
    <t>2013, actuals (Energy Balance)</t>
  </si>
  <si>
    <t>Example pathways (need to send to parties below)</t>
  </si>
  <si>
    <t>EPA</t>
  </si>
  <si>
    <t>Eirgrid</t>
  </si>
  <si>
    <t>Energy Institute</t>
  </si>
  <si>
    <t>Friends of the Earth</t>
  </si>
  <si>
    <t>Petroleum products oversupply (unused)</t>
  </si>
  <si>
    <t>Calculated from SEAI Energy Balance 2013</t>
  </si>
  <si>
    <t>Total [exlcuding solar, rounded up]</t>
  </si>
  <si>
    <t xml:space="preserve">Notes: </t>
  </si>
  <si>
    <t>Same technical potential (% hhs) as DECC at present, refine with SEAI, Jim</t>
  </si>
  <si>
    <t>2012 Actuals, UNFCCC</t>
  </si>
  <si>
    <t>Historic data:</t>
  </si>
  <si>
    <t>(incl agri)</t>
  </si>
  <si>
    <t xml:space="preserve">Source: </t>
  </si>
  <si>
    <t>SEAI Energy Balance</t>
  </si>
  <si>
    <t>Note: Request Industrial AQ emissions from EPA</t>
  </si>
  <si>
    <t>Note: Request air quality emissions from EPA</t>
  </si>
  <si>
    <t>Balancing imports (for costs - not used in version 1)</t>
  </si>
  <si>
    <t>UK National Grid, Operating the Electricity Networks in 2020, Initial Consultation assumes 80% summer availability and 60% winter availability for exisiting nuclear plants</t>
  </si>
  <si>
    <t>Level 4 - Fixed and floating turbine split (for costs)</t>
  </si>
  <si>
    <t>Source for 2013 data: SEAI Energy Forecast, 2014</t>
  </si>
  <si>
    <t xml:space="preserve"> Sources: Energy in Ireland 1990-2013, SEAI 2014. See: http://www.seai.ie/Publications/Statistics_Publications/Energy_in_Ireland/Energy-in-Ireland-1990-2013-report.pdf</t>
  </si>
  <si>
    <t xml:space="preserve">Estimated based on actual generation figures. </t>
  </si>
  <si>
    <t>Irish Energy Balance, SEAI 2014. See: http://www.seai.ie/Publications/Statistics_Publications/Energy_Balance/</t>
  </si>
  <si>
    <t>Supply oil generation at assumed load factor (oil is assumed to discontinue after 2013)</t>
  </si>
  <si>
    <t>Nuclear, new build [1]</t>
  </si>
  <si>
    <t>See: http://www.tara.tcd.ie/bitstream/handle/2262/63751/WP428.pdf;jsessionid=D886D5E1441D5C47CD611B72FD010230?sequence=1</t>
  </si>
  <si>
    <t>System demand in Ireland would only have use for one nuclear plant (~1 GW capacity). Source: Should Coal Replace Coal? Options for the Irish Electricity Market, ESRI 2012.</t>
  </si>
  <si>
    <t>Onshore wind, new build [1]</t>
  </si>
  <si>
    <t>Onshore wind, retirement [2]</t>
  </si>
  <si>
    <t>See: http://www.seai.ie/Publications/Statistics_Publications/Energy_Forecasts_for_Ireland/</t>
  </si>
  <si>
    <t>Source for onshore wind new build up to 2020: Energy Forecasts for Ireland to 2020, SEAI 2014</t>
  </si>
  <si>
    <t>Assumption that National Renewable Energy Action Plan (NREAP) 2020 targets are met in Trajectory 2, 3 and 4</t>
  </si>
  <si>
    <t>See trajectory description document for trajectory assumptions 2020-2050</t>
  </si>
  <si>
    <t>Source for 2013 onshore wind capacity: Energy in Ireland 1990 – 2013, SEAI 2014</t>
  </si>
  <si>
    <t>See: http://www.seai.ie/publications/statistics_publications/energy_in_ireland</t>
  </si>
  <si>
    <t>See: http://www.seai.ie/Publications/Statistics_Publications/Renewable_Energy_in_Ireland/Renewable-Energy-in-Ireland-2012.pdf</t>
  </si>
  <si>
    <t>Source: All-Island Generation Capacity Statement 2014-2024, Eirgrid 2014. See: http://www.eirgrid.com/media/Generation%20Capacity%20Statement%202014.pdf</t>
  </si>
  <si>
    <t>See trajectory description document for 2030-2050 assumptions</t>
  </si>
  <si>
    <t>No demo baseline planned in Trajectory 1. Note that CCS power plant capacity is stated in terms of gross capacity, i.e. including parasitic load;  of both the plant and the CCS equipment.</t>
  </si>
  <si>
    <t xml:space="preserve">This is not the convention in other sectors. Parasitic load comprises the own use requirements </t>
  </si>
  <si>
    <t>Assumption that onshore wind amitions are discontinued in Trajectory 1</t>
  </si>
  <si>
    <t>Offshore wind, new build [1]</t>
  </si>
  <si>
    <t>Source: Offshore Renewable Energy Development Plan, DCENR 2014. See: http://www.dcenr.gov.ie/nr/rdonlyres/836dd5d9-7152-4d76-9da0-81090633f0e0/0/20140204dcenroffshorerenewableenergydevelopmentplan.pdf</t>
  </si>
  <si>
    <t>Offshore wind in Ireland beyond 2020 is centred around the potential to export energy to the UK and participation in a future North West European energy market</t>
  </si>
  <si>
    <t>See SEAI's Wind Energy Roadmap for estimated offshore wind potential in 2050: http://www.seai.ie/Publications/Statistics_Publications/SEAI_2050_Energy_Roadmaps/Wind_Energy_Roadmap.pdf</t>
  </si>
  <si>
    <t>While this model is primarily concerned with Ireland's options for meeting domestic demand in 2050, a small proportion of the potential capacity for offshore wind is included for completeness</t>
  </si>
  <si>
    <t>Source for 2013 capacity: All-Island Generation Capacity Statement 2014-2024, Eirgrid 2014</t>
  </si>
  <si>
    <t>See: http://www.eirgrid.com/media/Generation%20Capacity%20Statement%202014.pdf</t>
  </si>
  <si>
    <t>Tidal range capacity factor taken from 'Ireland's Tidal Energy Resource; an Assessment of a Site in the Bulls Mouth and the Shannon Estuary Using Measured Data' (O'Rourke, Boyle &amp; Reynolds, 2014). Shannon Estuary capacity factor used</t>
  </si>
  <si>
    <t>Tidal stream, installed capacity [2]</t>
  </si>
  <si>
    <t>Assumes no energy spilled. Wave capacity factor is taken from 'Challenges posed by the integration of wave power onto the Irish power system' (Kavanagh, Keane &amp; Flynn, 2011)</t>
  </si>
  <si>
    <t>Wave generation, installed capacity [1]</t>
  </si>
  <si>
    <t>Potential for domestic system requirements rather than export. Used conservative Wave Energy Atlas estimates of between 0.14 and 2.4 GW of wave capacity off West coast. See: http://data.marine.ie/Dataset/Details/20929</t>
  </si>
  <si>
    <t>See trajectory description document for assumptions</t>
  </si>
  <si>
    <t>No significant PV in Ireland at present. See trajectory description document for 2050 assumptions</t>
  </si>
  <si>
    <t>5 m2 is a thermal unit sized for approximately 60% of annual demand</t>
  </si>
  <si>
    <t>No significant small scale wind in Ireland at present. See trajectory description document for 2050 assumptions</t>
  </si>
  <si>
    <t>As DECC. Source: Project 2050 estimates</t>
  </si>
  <si>
    <t>Bioenergy imports, liquid [2]</t>
  </si>
  <si>
    <t>Source for 2013: International Energy Agency. Energy Statistics, Ireland, 2012. See: https://www.iea.org/countries/membercountries/ireland/statistics/</t>
  </si>
  <si>
    <t>Up to 16 TWh/yr of imported bioenergy in 2050</t>
  </si>
  <si>
    <t xml:space="preserve">Source for 2013: SEAI Energy Balance. </t>
  </si>
  <si>
    <t>See trajectory description document for 2050 assumptions</t>
  </si>
  <si>
    <t>Note: Potential shares up to 2030 estimated from SEAI Bioenergy Supply Curves Report</t>
  </si>
  <si>
    <t>Estimates until better source becomes available</t>
  </si>
  <si>
    <t>2013 figures from EPA National Waste Report 2012. See: http://www.epa.ie/pubs/reports/waste/stats/nationalwastereport2012.html</t>
  </si>
  <si>
    <t>2013 figures from Urban Waste Water Treatment in 2013, EPA. See: http://www.epa.ie/pubs/reports/water/wastewater/30086%20Urban%20Waste%20Water%20Web.pdf</t>
  </si>
  <si>
    <t>2013 figures from EPA National GHG Inventory Report 2014. See: http://coe.epa.ie/ghg/</t>
  </si>
  <si>
    <t>Emissions factors and energy contents same as DECC assumptions, taken from the UK GHG inventory.</t>
  </si>
  <si>
    <t>Source: SEI, 2009. A Review of the Potential of Marine Algae as a Source of Biofuel in Ireland. See: http://www.seai.ie/Publications/Renewables_Publications_/Bioenergy/Algaereport.pdf</t>
  </si>
  <si>
    <t>Area derived from an estimated 3 million tonnes of standing kelp stock based on regional survey data in Galway Bay (margin of error of ±40%). Trajectory 3 lower bound; Trajectory 4 upper bound.</t>
  </si>
  <si>
    <t>Note: Assumes that half of standby is CCGT with an efficiency of 50% and the other haff is OCGT with an efficiency of 30% (same as DECC)</t>
  </si>
  <si>
    <t>Same assumptions as DECC</t>
  </si>
  <si>
    <t>Plant size assumptions [1]</t>
  </si>
  <si>
    <t>Conversion efficiency from electricity to H2 [1]</t>
  </si>
  <si>
    <t>Hydrogen Production method, share [1]</t>
  </si>
  <si>
    <t>(ic) Hot water demand per household [2]</t>
  </si>
  <si>
    <t>(ii) Share of homes with BER rating of B or higher (insulation) [3]</t>
  </si>
  <si>
    <t>(iii,iv) Proportion of replacement space heating and hot water systems (must be less than maximum penetration and technology &amp; must be available in any given year) [4]</t>
  </si>
  <si>
    <t>(iv) Target technology penetrations, cooling (must be less than maximum penetration) [4]</t>
  </si>
  <si>
    <t>Estimated from SEAI Energy Balance and shares from 'Energy in the Residential Sector', SEAI 2013. See: http://www.seai.ie/Publications/Statistics_Publications/Energy-in-the-Residential-Sector/Energy-in-the-Residential-Sector-2013.pdf</t>
  </si>
  <si>
    <t>SEAI 2014</t>
  </si>
  <si>
    <t>Seasonal external temperature [1]</t>
  </si>
  <si>
    <t>Taken from CSO Census 2011 and SEAI Heat Model 2014</t>
  </si>
  <si>
    <t>Technologies: 2013 penetrations; Max penetration; and start year for roll-out [4]</t>
  </si>
  <si>
    <t>Technology efficiencies -- space heating -- annual mean [6]</t>
  </si>
  <si>
    <t>Technology efficiencies -- hot water -- annual mean [7]</t>
  </si>
  <si>
    <t>DECC efficiencies at present. May convert to DEAP software efficiencies in second version to represent Irish case.</t>
  </si>
  <si>
    <t>Potential for heat pump in hot water generation same as DECC. May reduce in second version.</t>
  </si>
  <si>
    <t>(i) Total demand for space heating [1]</t>
  </si>
  <si>
    <t>(i) Total demand for hot water [1]</t>
  </si>
  <si>
    <t>(i) Total demand for cooling [2]</t>
  </si>
  <si>
    <t>(iv) Target technology penetrations, space heating and hot water (must be less than maximum penetration) [2]</t>
  </si>
  <si>
    <t>Source: SEAI Heat Model 2014.</t>
  </si>
  <si>
    <t>See: http://www.dcenr.gov.ie/NR/rdonlyres/8030AB78-5591-40C5-A470-C9E33D40B018/0/Annex1.pdf</t>
  </si>
  <si>
    <t>Share of gas heating reduced and electric increased in line with Element Energy/SEAI Commerical Building Stock Report 2014</t>
  </si>
  <si>
    <t>Note that cooling demand is given here as the heat energy removed by the cooling process. However, in the calculation below,  the final demand for energy for cooling is calculated as the energy required as input to the cooling system.</t>
  </si>
  <si>
    <t>Cooling demand estimated from Element Energy/SEAI Commercial Building Stock Report 2014. See: http://www.dcenr.gov.ie/NR/rdonlyres/8030AB78-5591-40C5-A470-C9E33D40B018/0/Annex1.pdf</t>
  </si>
  <si>
    <t>Source: SEAI Energy Balance 2013. Demand share for commercial space and water heating same as DECC. See trajectory description document for 2050 assumptions</t>
  </si>
  <si>
    <t>Trajectories 1-4 assume effect of more efficient stoves and smart meters generates savings between 15% and 30%</t>
  </si>
  <si>
    <t>See trajectory description document for assumptions and derivation</t>
  </si>
  <si>
    <t>Lighting and appliances (exlcuding catering), total demand [1]</t>
  </si>
  <si>
    <t>Catering, total demand [1]</t>
  </si>
  <si>
    <t>Catering, electrification pathway [1]</t>
  </si>
  <si>
    <t>Growth in output index in Trajectory 2 is based on Central Statistics Office (CSO) historical data on output by industry</t>
  </si>
  <si>
    <t>See: http://www.cso.ie/px/pxeirestat/Database/eirestat/Output%20and%20Value%20Added/Output%20and%20Value%20Added_statbank.asp?SP=Output%20and%20Value%20Added&amp;Planguage=0</t>
  </si>
  <si>
    <t>Source: National GHG Inventory Report, EPA 2014. See: http://erc.epa.ie/ghg/nirdownloads.php</t>
  </si>
  <si>
    <t>Occupancies were 105.8 pax/vehicle for trains, and 64.8 pax/vehicle for aeroplanes</t>
  </si>
  <si>
    <t>(i) Total travel demand / person [1]</t>
  </si>
  <si>
    <t>See: http://ec.europa.eu/eurostat/web/transport/data/database; http://www.nationaltransport.ie/wp-content/uploads/2013/10/Household-Travel-Survey-Full-Report-July-2013.pdf</t>
  </si>
  <si>
    <t>http://www.cso.ie/px/pxeirestat/Database/eirestat/Profile%2010%20Door%20to%20Door%20-%20Commuting%20in%20Ireland/Profile%2010%20Door%20to%20Door%20-%20Commuting%20in%20Ireland_statbank.asp</t>
  </si>
  <si>
    <t xml:space="preserve">About half of the electricty consumed by the rail network is used for non-traction purposes. We have assumed that this energy demand remains constant. </t>
  </si>
  <si>
    <t xml:space="preserve">Technology efficiences -- Hydrogen </t>
  </si>
  <si>
    <t>Technology efficiences -- Electricity</t>
  </si>
  <si>
    <t>Technology efficiences -- Liquid hydrocarbons</t>
  </si>
  <si>
    <t>(i) 2050 occupancies [2]</t>
  </si>
  <si>
    <t>(i) 2050 mode shares [1]</t>
  </si>
  <si>
    <t>Rail freight, diesel fuel use [1]</t>
  </si>
  <si>
    <t>See:  http://www.irishrail.ie/about-us/freight-1;  http://www.nationaltransport.ie/wp-content/uploads/2013/10/Rail-Statistical-Bulletin.pdf</t>
  </si>
  <si>
    <t>Rail freight, distance, diesel [2]</t>
  </si>
  <si>
    <t>2013 figures from Eurostat Transport Statistics. See: http://ec.europa.eu/eurostat/web/transport/data/database</t>
  </si>
  <si>
    <t>NCV / GCV: Conversion from Net Calorific Value to Gross Calorific Value</t>
  </si>
  <si>
    <t>Average of HGV and LGV efficiency, adjusted to total energy consumption in Irish Energy Balance and distance travelled.</t>
  </si>
  <si>
    <t xml:space="preserve">SEAI Energy Balance 2013; rail freight estimated as 1.2% of diesel use (based on veh-km). Source: Irish Rail and National Transport Authority. </t>
  </si>
  <si>
    <t>Indigenous production [1]</t>
  </si>
  <si>
    <t>Peat extraction requirements (% of production) [2]</t>
  </si>
  <si>
    <t>Oil and gas extraction requirements (% of production) [2]</t>
  </si>
  <si>
    <t>Fugitive emissions from production [4]</t>
  </si>
  <si>
    <t>Gas distribution losses [1]</t>
  </si>
  <si>
    <t>Available storage capacity [1]</t>
  </si>
  <si>
    <t>See: http://www.seai.ie/News_Events/Press_Releases/Storage%20of%20CO2%20Report%20Sept%2008.pdf</t>
  </si>
  <si>
    <t>Source: Assessment of the Potential for Geological Storage of CO2 for the Island of Ireland, SEI/EPA 2008.</t>
  </si>
  <si>
    <t>Note: Same ratios applied as DECC</t>
  </si>
  <si>
    <t>None in 2013</t>
  </si>
  <si>
    <t>Coal, peat, biomass, gas, and oil-fired; non-CCS</t>
  </si>
  <si>
    <t>Food consumption [unused]</t>
  </si>
  <si>
    <t>Not applicable to Ireland</t>
  </si>
  <si>
    <t>Ireland Sea area</t>
  </si>
  <si>
    <t>Land use implications</t>
  </si>
  <si>
    <t>micro wind if 2 Wpeak/m2</t>
  </si>
  <si>
    <t>VI.a.Biocrop</t>
  </si>
  <si>
    <t>VI.a.Forestry</t>
  </si>
  <si>
    <t>offshore wind area if 2.5 W/m2</t>
  </si>
  <si>
    <t>Number of thermal power stations</t>
  </si>
  <si>
    <t>Geothermal (N/A)</t>
  </si>
  <si>
    <t>Number of waste to energy facilities (0.25 Mt capacity)</t>
  </si>
  <si>
    <t>Flows through the energy system (for producing an energy flow diagram)</t>
  </si>
  <si>
    <t>Cross check of flows through the energy system (based on the idea that energy is transformed, but not destroyed)</t>
  </si>
  <si>
    <t>Values flowing from the transformation</t>
  </si>
  <si>
    <t>Values flowing to the transformation</t>
  </si>
  <si>
    <t>Check that flows in equal flows out</t>
  </si>
  <si>
    <t>Transformation</t>
  </si>
  <si>
    <t>Ireland land based bioenergy</t>
  </si>
  <si>
    <t>Heat required</t>
  </si>
  <si>
    <t xml:space="preserve">Industry </t>
  </si>
  <si>
    <t>Domestic production of crude oil</t>
  </si>
  <si>
    <t>Crude oil imports</t>
  </si>
  <si>
    <t>Crude oil exports</t>
  </si>
  <si>
    <t>Refinery losses [2]</t>
  </si>
  <si>
    <t>% of primary oil input</t>
  </si>
  <si>
    <t>Refinery own-use energy requirements [3]</t>
  </si>
  <si>
    <t>% of refined hydrocarbons</t>
  </si>
  <si>
    <t>Illustrative refinery size size</t>
  </si>
  <si>
    <t xml:space="preserve">Capital cost of an illustrative oil refinery </t>
  </si>
  <si>
    <t xml:space="preserve">Operating cost of an illustrative oil refinery </t>
  </si>
  <si>
    <t>Domestic production</t>
  </si>
  <si>
    <t>Crude oil exports [1]</t>
  </si>
  <si>
    <t>Assume imports of crude oil remain constant</t>
  </si>
  <si>
    <t>Assume exports of crude old decline in proportion to domestic production</t>
  </si>
  <si>
    <t>Refine imports+production-exports</t>
  </si>
  <si>
    <t>Import / Export as needed to make up demand in petroleum products</t>
  </si>
  <si>
    <t>Compute primary oil input to refinery</t>
  </si>
  <si>
    <t>Compute conversions and losses</t>
  </si>
  <si>
    <t>PRIMARY OIL INPUT</t>
  </si>
  <si>
    <t>Total refinery primary oil input</t>
  </si>
  <si>
    <t>CONVERSIONS AND LOSSES</t>
  </si>
  <si>
    <t>Primary oil</t>
  </si>
  <si>
    <t>Final liquid hydrocarbons produced</t>
  </si>
  <si>
    <t>Own use</t>
  </si>
  <si>
    <t>Liquid hydrocarbons own use</t>
  </si>
  <si>
    <t>Gasesous hydrocarbons required</t>
  </si>
  <si>
    <t>Emissions from own-use requirements</t>
  </si>
  <si>
    <t>IMPLICATIONS</t>
  </si>
  <si>
    <t>Stock of refineries</t>
  </si>
  <si>
    <t>Source: SEAI Energy Balance. 2013 levels assumed throughout</t>
  </si>
  <si>
    <t>None reported</t>
  </si>
  <si>
    <t>Based on DECC's ratio of 2013 losses to input primary oils in UK refineries</t>
  </si>
  <si>
    <t>Dependent upon imports, fixed at 2013 figures for now</t>
  </si>
  <si>
    <t>Approximate size of Whitegate refinery, County Cork</t>
  </si>
  <si>
    <t>International shipping (not in version 1)</t>
  </si>
  <si>
    <t>Peat and Coal</t>
  </si>
  <si>
    <t>Number of 500 MW standby generators</t>
  </si>
  <si>
    <t>Added losses from VII.c so "Gas" supply and use balanced</t>
  </si>
  <si>
    <t>See: Sustainable Energy Without the Hot Air, David MacKay. Chapter 8, Hydroelectricity: http://www.withouthotair.com/c8/page_55.shtml</t>
  </si>
  <si>
    <t>Source: Double the Pelamis device (as DECC): http://www.pelamiswave.com/wp-content/uploads/2010/08/pelamisbrochure.pdf</t>
  </si>
  <si>
    <t>As DECC. Source: Sustainable Energy Without the Hot Air. See: http://www.withouthotair.com/c14/page_81.shtml</t>
  </si>
  <si>
    <t>Equivalent to 6W/m2 with a load factor of 40% (as DECC - speculative)</t>
  </si>
  <si>
    <t>Slightly higher than UK. Conservative assumption of 45 kW/m of wave power that we can capture 25% of 90% of the time. See: Sustainable Energy Without the Hot Air; http://www.withouthotair.com/c12/page_73.shtml</t>
  </si>
  <si>
    <t>See Eurocontrol, 2013: https://www.eurocontrol.int/sites/default/files/article/content/documents/official-documents/reports/201306-challenges-of-growth-2013-task-7.pdf</t>
  </si>
  <si>
    <t>International passenger numbers</t>
  </si>
  <si>
    <t>Passenger numbers, million [1]</t>
  </si>
  <si>
    <t>2013 figures from CSO Aviation Statistics. See: http://cso.ie/en/releasesandpublications/er/as/aviationstatistics2013/#.VZ5sNvlViko</t>
  </si>
  <si>
    <t>Air traffic management and efficiency improvements [2]</t>
  </si>
  <si>
    <t xml:space="preserve">Passenger number trajectories up to 2050 follow growth projections for the European region under 4 scenarios ranging from global growth in Trajectory 1 to a fragmented world (and higher fuel price) in Trajectory 4. </t>
  </si>
  <si>
    <t>Aviation fuel use, growth</t>
  </si>
  <si>
    <t>Efficiency improvement per year</t>
  </si>
  <si>
    <t xml:space="preserve">See trajectory description document for 2050 module assumptions.  </t>
  </si>
  <si>
    <t>Source for 2013 figures: SEAI Energy Balance. International proportion remainder of domestic aviation energy use estimate.</t>
  </si>
  <si>
    <t>By 2050, 150% passengers increase; 55% more fuel use</t>
  </si>
  <si>
    <t>By 2050, 110% passengers increase; 30% more fuel use</t>
  </si>
  <si>
    <t>By 2050, 95% passengers increase; 20% more fuel use</t>
  </si>
  <si>
    <t>By 2050, 30% passengers increase; 20% less fuel use</t>
  </si>
  <si>
    <t>Storage -- energy storage [5]</t>
  </si>
  <si>
    <t>hydroelectric resevoir assuming a power per unit reservoir area of 11 W/m2</t>
  </si>
  <si>
    <t>Further development of Arklow Bank goes ahead (520 MW by 2030), 1.53 GW total offshore capacity by 2050</t>
  </si>
  <si>
    <t>Phase 2 of the Arklow Bank project aimed for 520 MW capacity, achieved by 2030 in Trajectory 3. See: http://www.esbi.ie/our-businesses/case-studies/ESBI-Arklow-Bank-Wind-Farm.pdf</t>
  </si>
  <si>
    <t>3km of wave farms</t>
  </si>
  <si>
    <t>Gas imports (exports in parenthesis)</t>
  </si>
  <si>
    <t>Coal imports (exports in paranthesis)</t>
  </si>
  <si>
    <t>Electricity imports (exports in paranthesis)</t>
  </si>
  <si>
    <t>Biomass imports (exports in parenthesis)</t>
  </si>
  <si>
    <t>Oil and petroleum products imports (exports in parenthesis)</t>
  </si>
  <si>
    <t>N/A</t>
  </si>
  <si>
    <t>Energy demand for domestic lights and appliances per house falls by 15% with more efficienct goods. Total demand rises by 20%.</t>
  </si>
  <si>
    <t xml:space="preserve">Demand per household falls by 30%. Total energy demand for domestic lights and appliances is relatively stable. </t>
  </si>
  <si>
    <t>Energy demand per household falls by 50%. Total demand falls by 30%.</t>
  </si>
  <si>
    <t>Energy demand per household falls by 60%. Significant gains in efficiency of appliances and lighting. Total demand falls by 45%</t>
  </si>
  <si>
    <t>2013 figures estimated from SEAI Energy Balance and 'Energy in the Residential Sector', SEAI 2013. See: http://www.seai.ie/Publications/Statistics_Publications/Energy-in-the-Residential-Sector/Energy-in-the-Residential-Sector-2013.pdf</t>
  </si>
  <si>
    <t>Cooking, demand per household [1][2]</t>
  </si>
  <si>
    <t>Energy demand for lights &amp; appliances increases by 20%. Energy for cooking is stable</t>
  </si>
  <si>
    <t>Energy demand for lights &amp; appliances increases by 10%; decreases by 5% for cooking</t>
  </si>
  <si>
    <t>Energy demand for lights &amp; appliances decreases by 10%; decreases by 20% for cooking</t>
  </si>
  <si>
    <t>Energy demand for lights &amp; appliances decreases by 25%; decreases by 25% for cooking</t>
  </si>
  <si>
    <t>2013 figures estimated from commercial electricity consumption in SEAI Energy Balance 2013 and share of electric heat. Split between L&amp;A and commercial catering, and electrification of catering, same as UK assumptions.</t>
  </si>
  <si>
    <t>Car, bus and train occupancies same as UK assumptions. Bus occupancies aligned with Irish energy balance</t>
  </si>
  <si>
    <t>Efficiency improvements set to follow similar fuel savings potential to DECC estimates for UK in Trajectory 1, 2 and 3. Assumption of lower growth in passenger numbers lead to reduction in total fuel use in Trajectory 4.</t>
  </si>
  <si>
    <t>Same requirement assumptions as UK</t>
  </si>
  <si>
    <t>Same as DECC assumptions for UK; MacKay, Sustainable Energy -- without the hot air; originally from NASA, Surface meteorology and Solar Energy</t>
  </si>
  <si>
    <t>As UK assumptions: Nuclear availability assumed to be 84.4% post-2013 (from DTI); load factor assumes some flexibility of nuclear plant used</t>
  </si>
  <si>
    <t>Same peak capacity/unit of catchement and land area assumptions as UK</t>
  </si>
  <si>
    <t>15% of land used for energy crops</t>
  </si>
  <si>
    <t>Livestock numbers same as today</t>
  </si>
  <si>
    <t>Livestock numbers decrease by 10%</t>
  </si>
  <si>
    <t>Livestock numbers decrease by 20%</t>
  </si>
  <si>
    <t xml:space="preserve">Livestock and their management </t>
  </si>
  <si>
    <t xml:space="preserve">Dairy cows </t>
  </si>
  <si>
    <t>Livestock numbers</t>
  </si>
  <si>
    <t>Livestock number growth rates</t>
  </si>
  <si>
    <t>Livestock numbers increase by 30%</t>
  </si>
  <si>
    <t>20% emissions target sample</t>
  </si>
  <si>
    <t xml:space="preserve">Area same as half of lower range of total estimated resource used, delivering 3 TWh/yr </t>
  </si>
  <si>
    <t>Ireland industry grows in line with current trends (~45% by 2050)</t>
  </si>
  <si>
    <t>See trajectory description document for explanation and assumptions</t>
  </si>
  <si>
    <t>Note that up to 29 GW of wave and tidal resource identified for export potential (not assessed here). See: http://www.seai.ie/Renewables/Ocean_Energy_Roadmap.pdf</t>
  </si>
  <si>
    <t>See: Offshore Renewable Energy Development Plan; http://www.dcenr.gov.ie/nr/rdonlyres/836dd5d9-7152-4d76-9da0-81090633f0e0/0/20140204dcenroffshorerenewableenergydevelopmentplan.pdf</t>
  </si>
  <si>
    <t>20km of wave farms</t>
  </si>
  <si>
    <t>In 2050, individuals travel 6% further than today. Same modal split as today</t>
  </si>
  <si>
    <t>[Edited]</t>
  </si>
  <si>
    <t>50km of wave farms (2.4 GW capacity)</t>
  </si>
  <si>
    <t>Supply of electricity is maintained at current levels of around 750 GWh/yr</t>
  </si>
  <si>
    <t>(after capacity factor)</t>
  </si>
  <si>
    <t>See: Carbon-Neutrality as a horizon point for Irish Agriculture, Teagasc, 2014</t>
  </si>
  <si>
    <t>NB: Dairy cow growth from Harvest 2020 Strategy:</t>
  </si>
  <si>
    <t>Exported electricity (for additional cable required)</t>
  </si>
  <si>
    <t>10 TWh/yr of electricity imported from Europe</t>
  </si>
  <si>
    <t>Current Grid 25 expansion plans</t>
  </si>
  <si>
    <t>Current storage capacity source: All-Island Generation Capacity Statement 2014-2024, Eirgrid 2014. See: http://www.eirgrid.com/media/Generation%20Capacity%20Statement%202014.pdf</t>
  </si>
  <si>
    <t>Energy storage does not increase to the required amount for an 80% RES-E scenario since the needed charging power (6.8 GW) is higher than the needed discharging power (4.8 GW). Curtailment advised</t>
  </si>
  <si>
    <t>To fully integrate all the wind energy output under a range of different scenarios. Source:  Does Ireland need more storage? www.store-project.eu</t>
  </si>
  <si>
    <t>Further interconnection to the UK and France under range of scenarios by multiples of 1 GW. Source: Eirgrid</t>
  </si>
  <si>
    <t xml:space="preserve">Up to 100 GWh of realisable pumped hydro storage in Ireland </t>
  </si>
  <si>
    <t>Source: Assessment of the European potential for pumped hydropower energy storage, JRC, 2014, p.52. See: https://ec.europa.eu/jrc/sites/default/files/jrc_20130503_assessment_european_phs_potential.pdf</t>
  </si>
  <si>
    <t>(Actual)</t>
  </si>
  <si>
    <t>Total land area</t>
  </si>
  <si>
    <t>Legacy Capacity</t>
  </si>
  <si>
    <t>Equivalent to a 9W/m2 actual energy output. Source: SEAI.</t>
  </si>
  <si>
    <t>onshore wind if 9 W/m2</t>
  </si>
  <si>
    <t>Change from 2.5 to 9W/m2 onshore wind</t>
  </si>
  <si>
    <t>Updated electricity generation chart in intermediate output sheet</t>
  </si>
  <si>
    <t>Updated Storage and interconnection description</t>
  </si>
  <si>
    <t>Change biomass for power gen</t>
  </si>
  <si>
    <t>50-80% co-firing in all peat stations by 2050 (~250 MW)</t>
  </si>
  <si>
    <t>1.8 GW (air or pumped) storage &amp; 1.8 GW interconnection with Europe for balancing</t>
  </si>
  <si>
    <t>3.5 GW storage, 2.8 GW interconnection &amp; some demand shifting (E.V.s)</t>
  </si>
  <si>
    <t>5 GW storage, 4.8 GW interconnection &amp; substantial demand shifting</t>
  </si>
  <si>
    <t>1.8 GW pumped storage &amp; 1.4 GW interconnection with UK for balancing</t>
  </si>
  <si>
    <t>One sentence description of pathway</t>
  </si>
  <si>
    <t>Imported natural gas for electricity and heat. Imported oil for vehicles.</t>
  </si>
  <si>
    <t>Renewables largest supply component. Very ambitious demand reduction. Lots of storage.</t>
  </si>
  <si>
    <t xml:space="preserve">Lots of CCS and biomass co-firing. Ambitious demand reduction. </t>
  </si>
  <si>
    <t>TBD</t>
  </si>
  <si>
    <t>Example pathway wiki page</t>
  </si>
  <si>
    <t>No</t>
  </si>
  <si>
    <t>Example pathway position in cost comparator</t>
  </si>
  <si>
    <t>Lots of storage, sequestration and domestic bioenergy production. Ambitious onshore wind.</t>
  </si>
  <si>
    <t>One page note</t>
  </si>
  <si>
    <t>19.pdf</t>
  </si>
  <si>
    <t>20.pdf</t>
  </si>
  <si>
    <t>21.pdf</t>
  </si>
  <si>
    <t>22.pdf</t>
  </si>
  <si>
    <t>23.pdf</t>
  </si>
  <si>
    <t>25.pdf</t>
  </si>
  <si>
    <t>26.pdf</t>
  </si>
  <si>
    <t>27.pdf</t>
  </si>
  <si>
    <t>28.pdf</t>
  </si>
  <si>
    <t>29.pdf</t>
  </si>
  <si>
    <t>30.pdf</t>
  </si>
  <si>
    <t>31.pdf</t>
  </si>
  <si>
    <t>32.pdf</t>
  </si>
  <si>
    <t>33.pdf</t>
  </si>
  <si>
    <t>34.pdf</t>
  </si>
  <si>
    <t>35.pdf</t>
  </si>
  <si>
    <t>36.pdf</t>
  </si>
  <si>
    <t>4.pdf</t>
  </si>
  <si>
    <t>5.pdf</t>
  </si>
  <si>
    <t>6.pdf</t>
  </si>
  <si>
    <t>7.pdf</t>
  </si>
  <si>
    <t>8.pdf</t>
  </si>
  <si>
    <t>10.pdf</t>
  </si>
  <si>
    <t>11.pdf</t>
  </si>
  <si>
    <t>12.pdf</t>
  </si>
  <si>
    <t>14.pdf</t>
  </si>
  <si>
    <t>15.pdf</t>
  </si>
  <si>
    <t>9.pdf</t>
  </si>
  <si>
    <t>37.pdf</t>
  </si>
  <si>
    <t>38.pdf</t>
  </si>
  <si>
    <t xml:space="preserve">Vector </t>
  </si>
  <si>
    <t>0.5 GW CCS power stations</t>
  </si>
  <si>
    <t>1 GW nuclear power station complexes</t>
  </si>
  <si>
    <t>For Webtool</t>
  </si>
  <si>
    <t>1. Diversity of energy sources used</t>
  </si>
  <si>
    <t>2. Dependence on imports</t>
  </si>
  <si>
    <t>3. Ability of electricity supply to meet demand, particularly a peak in electricity demand at a time when renewable resources are not available</t>
  </si>
  <si>
    <t>Energy diversity implications</t>
  </si>
  <si>
    <t>x-check</t>
  </si>
  <si>
    <t>p.ln(p)</t>
  </si>
  <si>
    <t>Maximum possible value</t>
  </si>
  <si>
    <t>Shannon-Weiner Index</t>
  </si>
  <si>
    <t>Energy imports implications</t>
  </si>
  <si>
    <t>Ability of electricity supply to meet demand</t>
  </si>
  <si>
    <t>1. Automatically built capacity</t>
  </si>
  <si>
    <t>GW installed capacity</t>
  </si>
  <si>
    <t>Automatically built CCGT gas</t>
  </si>
  <si>
    <t>Automatically built peaking gas</t>
  </si>
  <si>
    <t>Total produced or used in Ireland</t>
  </si>
  <si>
    <t>2. Proportion by fuel</t>
  </si>
  <si>
    <t>Total produced in Ireland</t>
  </si>
  <si>
    <t>1. Primary energy produced in Ireland</t>
  </si>
  <si>
    <t>3. Shannon-Weiner measure, as used in National Statistics</t>
  </si>
  <si>
    <t>Coal/peat reserves</t>
  </si>
  <si>
    <t xml:space="preserve">Three components of energy security </t>
  </si>
  <si>
    <t>1. Energy table</t>
  </si>
  <si>
    <t>Total primary energy used in Ireland</t>
  </si>
  <si>
    <t>2. Quantities that are imported</t>
  </si>
  <si>
    <t>2. Categories being imported against (total)</t>
  </si>
  <si>
    <t>3. Proportion of the vector that is imported</t>
  </si>
  <si>
    <t>Electricity demand</t>
  </si>
  <si>
    <t>Electricity supply</t>
  </si>
  <si>
    <t>Total conventional</t>
  </si>
  <si>
    <t>2. Then display the whole table</t>
  </si>
  <si>
    <t>Conventional</t>
  </si>
  <si>
    <t>CCS Power</t>
  </si>
  <si>
    <t>Tidal &amp; Wave</t>
  </si>
  <si>
    <t>Electricity capacity</t>
  </si>
  <si>
    <t>Coal / Biomass</t>
  </si>
  <si>
    <t>Fuels used in electricity generation</t>
  </si>
  <si>
    <t>Fuel combustion</t>
  </si>
  <si>
    <t xml:space="preserve">1. Electricity demand by detailed sector </t>
  </si>
  <si>
    <t>2. Summary by sector</t>
  </si>
  <si>
    <t>1. Sum CHP into conventional unabated generation</t>
  </si>
  <si>
    <t>Biomass/Coal/Peat power stations</t>
  </si>
  <si>
    <t>From the Flows table</t>
  </si>
  <si>
    <t>[Titles edited]</t>
  </si>
  <si>
    <t>Bioenergy flows</t>
  </si>
  <si>
    <t>All forms of bioenergy</t>
  </si>
  <si>
    <t>Total energy supplied</t>
  </si>
  <si>
    <t>Less exports</t>
  </si>
  <si>
    <t>Total energy consumed</t>
  </si>
  <si>
    <t>Fraction from bioenergy</t>
  </si>
  <si>
    <t>Credit from growing bioenergy</t>
  </si>
  <si>
    <t>Emissions sequestered in growing the bioenergy used in electricity generation</t>
  </si>
  <si>
    <t>Final energy demand</t>
  </si>
  <si>
    <t>Transport total</t>
  </si>
  <si>
    <t>Heating &amp; cooling</t>
  </si>
  <si>
    <t>Primary energy supply</t>
  </si>
  <si>
    <t xml:space="preserve">Total </t>
  </si>
  <si>
    <t>Calculated biomass imports</t>
  </si>
  <si>
    <t>Implied biomass exports</t>
  </si>
  <si>
    <t>Implied bioliquid exports</t>
  </si>
  <si>
    <t>Implied biogas exports</t>
  </si>
  <si>
    <t>Net biomass imports</t>
  </si>
  <si>
    <t>Imported Gas</t>
  </si>
  <si>
    <t>Imported Oil</t>
  </si>
  <si>
    <t>Imported Coal</t>
  </si>
  <si>
    <t>1. Transport</t>
  </si>
  <si>
    <t>2. Total final energy demand</t>
  </si>
  <si>
    <t>1. Total supply</t>
  </si>
  <si>
    <t>Coal/Peat reserves</t>
  </si>
  <si>
    <t>Total used in Ireland</t>
  </si>
  <si>
    <t>Irish Peat</t>
  </si>
  <si>
    <t>Irish Gas</t>
  </si>
  <si>
    <t xml:space="preserve">Irish Oil </t>
  </si>
  <si>
    <t>NB</t>
  </si>
  <si>
    <t>Coal, Oil and Gas oversupply vectors can include excess bioenergy that ends up being exported, reclassified below</t>
  </si>
  <si>
    <t>2. Totals for Bioenergy, Oil, Gas and Coal not displaying exports</t>
  </si>
  <si>
    <t>Total Fuel Combustion</t>
  </si>
  <si>
    <t>Int'l Aviation &amp; Shipping</t>
  </si>
  <si>
    <t>Note: the targets are not expressed in their legal form: up to 2025 they are 5 year budgets, whereas here they have been given for one year. For 2050 it is a percentage reduction on the base year</t>
  </si>
  <si>
    <t>Note; the targets up to 2027 currently exclude international aviation and shipping</t>
  </si>
  <si>
    <t>Emissions against target</t>
  </si>
  <si>
    <t>Actual emissions in 1990</t>
  </si>
  <si>
    <t>Total in base year</t>
  </si>
  <si>
    <t>Ratio of modelled to actual</t>
  </si>
  <si>
    <t>Adjusted base year</t>
  </si>
  <si>
    <t>1. Fuel combustion</t>
  </si>
  <si>
    <t>2. Other emissions types for  graphs</t>
  </si>
  <si>
    <t>Modelled emissions in 2013</t>
  </si>
  <si>
    <t>Actual emissions in 2012</t>
  </si>
  <si>
    <t>2050 Split of heating technology</t>
  </si>
  <si>
    <t>Resistive heating</t>
  </si>
  <si>
    <t>Stirling engine micro-CHP</t>
  </si>
  <si>
    <t>Fuel-cell micro-CHP</t>
  </si>
  <si>
    <t>Community scale gas CHP with local district heating</t>
  </si>
  <si>
    <t>Community scale solid-fuel CHP with local district heating</t>
  </si>
  <si>
    <t>Long distance district heating from large power stations</t>
  </si>
  <si>
    <t>Proportion of heat from different technologies (for webtool)</t>
  </si>
  <si>
    <t>County Cork</t>
  </si>
  <si>
    <t>Unit.Cork</t>
  </si>
  <si>
    <t>Cork</t>
  </si>
  <si>
    <t xml:space="preserve">2020 target </t>
  </si>
  <si>
    <t>(67% of base)</t>
  </si>
  <si>
    <t>(Source: UNFCCC)</t>
  </si>
  <si>
    <t>NB - EPA quotes 55.61 Mt baseline emissions</t>
  </si>
  <si>
    <t xml:space="preserve">Agriculture, waste, and biomatter </t>
  </si>
  <si>
    <t xml:space="preserve">5 TWh/yr from CCS power stations; comparable to current coal generation </t>
  </si>
  <si>
    <t>Biomass/Peat/Coal/Gas power stations</t>
  </si>
  <si>
    <t>Equivalent to a 9W/m2 actual energy output</t>
  </si>
  <si>
    <t>2013 actuals (SEAI)</t>
  </si>
  <si>
    <t>2013 model predicted</t>
  </si>
  <si>
    <t>2012 actuals (UNFCCC)</t>
  </si>
  <si>
    <t>2013 actuals (Eirgrid)</t>
  </si>
  <si>
    <t xml:space="preserve">15 TWh/yr from 5*0.5 GW CCS power stations; comparable to current coal and gas generation </t>
  </si>
  <si>
    <t>offshore wind area if 9 W/m2</t>
  </si>
  <si>
    <t>Tidal Range - N/A</t>
  </si>
  <si>
    <t>Tidal range, installed capacity [Not applicable in Ireland]</t>
  </si>
  <si>
    <t>Same as 1</t>
  </si>
  <si>
    <t>Maximum hydro potential utilised in Ireland at present. Insignificant potential for growth in micro sites.</t>
  </si>
  <si>
    <t xml:space="preserve">Hydroelectric power stations </t>
  </si>
  <si>
    <t>Installed in all suitable domestic and non-domestic sties (1-2% households);  0.4 TWh/year in 2050</t>
  </si>
  <si>
    <t>Installed in ~20,000 suitable domestic properties; supplies 0.2 TWh/year in 2050</t>
  </si>
  <si>
    <t xml:space="preserve">Supply increases to 0.1 TWh/yr by 2050 </t>
  </si>
  <si>
    <t>Capacity rises to 3.7 GW by 2050. 640 turbines  deliver ~15 TWh/yr</t>
  </si>
  <si>
    <t>Approximate sea area covered</t>
  </si>
  <si>
    <t>6 GW capacity delivers 23 TWh/yr (total current demand), sea area around double the size of Lough Derg</t>
  </si>
  <si>
    <t>Co-firing in all peat plants by 2025. Co-firing ceases in 2030 as all peat stations close</t>
  </si>
  <si>
    <t>Co-firing in Edenderry to 2030. All peat plants close post 2030.</t>
  </si>
  <si>
    <t>Biomass and peat co-firing discontinued in trajectory 1 and trajectory 2</t>
  </si>
  <si>
    <t xml:space="preserve">Assumption that coal generation in Moneypoint is gradually discontinued up to 2030. </t>
  </si>
  <si>
    <t>Tidal Range (Not applicable)</t>
  </si>
  <si>
    <t>[1] Expert consultation</t>
  </si>
  <si>
    <t>Conversion efficiency [1]</t>
  </si>
  <si>
    <t>solar PV if 20% efficient in 2050</t>
  </si>
  <si>
    <t xml:space="preserve">Conversion efficiency, incident sunlight to electricity </t>
  </si>
  <si>
    <t>4m2 of photovoltaic panels per person – all suitable roof space used</t>
  </si>
  <si>
    <t xml:space="preserve"> 3m2 of photovoltaic panels per person in 2050, supplying ~3 TWh/yr</t>
  </si>
  <si>
    <t>16.pdf</t>
  </si>
  <si>
    <t>17.pdf</t>
  </si>
  <si>
    <t>Emissions (as % of base year)</t>
  </si>
</sst>
</file>

<file path=xl/styles.xml><?xml version="1.0" encoding="utf-8"?>
<styleSheet xmlns="http://schemas.openxmlformats.org/spreadsheetml/2006/main">
  <numFmts count="38">
    <numFmt numFmtId="44" formatCode="_-&quot;€&quot;* #,##0.00_-;\-&quot;€&quot;* #,##0.00_-;_-&quot;€&quot;* &quot;-&quot;??_-;_-@_-"/>
    <numFmt numFmtId="43" formatCode="_-* #,##0.00_-;\-* #,##0.00_-;_-* &quot;-&quot;??_-;_-@_-"/>
    <numFmt numFmtId="164" formatCode="#,##0.0_);\(#,##0.0\);&quot;-&quot;_);@"/>
    <numFmt numFmtId="165" formatCode="#,##0_);\(#,##0\);&quot;-&quot;_);@"/>
    <numFmt numFmtId="166" formatCode="#,##0.00_);\(#,##0.00\);&quot;-&quot;_);@"/>
    <numFmt numFmtId="167" formatCode="#,##0.0000000_);\(#,##0.0000000\);&quot;-&quot;_);@"/>
    <numFmt numFmtId="168" formatCode="0%;\ \(0%\);\ \-"/>
    <numFmt numFmtId="169" formatCode="0.0E+00"/>
    <numFmt numFmtId="170" formatCode="0.0%"/>
    <numFmt numFmtId="171" formatCode="_-* #,##0_-;\-* #,##0_-;_-* &quot;-&quot;??_-;_-@_-"/>
    <numFmt numFmtId="172" formatCode="#,##0.000_);\(#,##0.000\);&quot;-&quot;_);@"/>
    <numFmt numFmtId="173" formatCode="#,##0.0_);\(#,##0.0\);&quot;-&quot;;@"/>
    <numFmt numFmtId="174" formatCode="0.000"/>
    <numFmt numFmtId="175" formatCode="0.0000"/>
    <numFmt numFmtId="176" formatCode="&quot;£&quot;#,##0;\-&quot;£&quot;#,##0"/>
    <numFmt numFmtId="177" formatCode="&quot;£&quot;#,##0"/>
    <numFmt numFmtId="178" formatCode="&quot;£&quot;#,##0.00"/>
    <numFmt numFmtId="179" formatCode="0.0"/>
    <numFmt numFmtId="180" formatCode="#,##0.0"/>
    <numFmt numFmtId="181" formatCode="#,##0.00&quot; : 1&quot;"/>
    <numFmt numFmtId="182" formatCode="0.0%;\ \(0.0%\);\ \-"/>
    <numFmt numFmtId="183" formatCode="0.0000%"/>
    <numFmt numFmtId="184" formatCode="#,##0.0000000000000"/>
    <numFmt numFmtId="185" formatCode="#,##0.000000000000"/>
    <numFmt numFmtId="186" formatCode="#,##0.00000_);\(#,##0.00000\);&quot;-&quot;_);@"/>
    <numFmt numFmtId="187" formatCode="0.000000000000000"/>
    <numFmt numFmtId="188" formatCode="#,##0.0000_);\(#,##0.0000\);&quot;-&quot;_);@"/>
    <numFmt numFmtId="189" formatCode="#,##0.000"/>
    <numFmt numFmtId="190" formatCode="0.000E+00"/>
    <numFmt numFmtId="191" formatCode="0.00%;\ \(0.00%\);\ \-"/>
    <numFmt numFmtId="192" formatCode="0.00000"/>
    <numFmt numFmtId="193" formatCode="0.000000"/>
    <numFmt numFmtId="194" formatCode="#,##0.000000"/>
    <numFmt numFmtId="195" formatCode="&quot;£&quot;#,##0.00;[Red]\-&quot;£&quot;#,##0.00"/>
    <numFmt numFmtId="196" formatCode="#,##0.000;[Red]\-#,##0.000"/>
    <numFmt numFmtId="197" formatCode="#,##0.0;[Red]\-#,##0.0"/>
    <numFmt numFmtId="198" formatCode="0.0000000000"/>
    <numFmt numFmtId="199" formatCode="0E+00"/>
  </numFmts>
  <fonts count="162">
    <font>
      <sz val="11"/>
      <color theme="1"/>
      <name val="Calibri"/>
      <family val="2"/>
      <scheme val="minor"/>
    </font>
    <font>
      <sz val="11"/>
      <color theme="1"/>
      <name val="Calibri"/>
      <family val="2"/>
      <scheme val="minor"/>
    </font>
    <font>
      <sz val="11"/>
      <color rgb="FF006100"/>
      <name val="Calibri"/>
      <family val="2"/>
      <scheme val="minor"/>
    </font>
    <font>
      <b/>
      <sz val="11"/>
      <color theme="1"/>
      <name val="Calibri"/>
      <family val="2"/>
      <scheme val="minor"/>
    </font>
    <font>
      <b/>
      <sz val="16"/>
      <color indexed="8"/>
      <name val="Calibri"/>
      <family val="1"/>
      <scheme val="minor"/>
    </font>
    <font>
      <sz val="12"/>
      <color theme="1"/>
      <name val="Calibri"/>
      <family val="1"/>
      <scheme val="minor"/>
    </font>
    <font>
      <u/>
      <sz val="8.5"/>
      <color theme="10"/>
      <name val="Cambria"/>
      <family val="1"/>
    </font>
    <font>
      <sz val="18"/>
      <color theme="1"/>
      <name val="Calibri"/>
      <family val="1"/>
      <scheme val="minor"/>
    </font>
    <font>
      <b/>
      <sz val="12"/>
      <color theme="1"/>
      <name val="Calibri"/>
      <family val="1"/>
      <scheme val="minor"/>
    </font>
    <font>
      <b/>
      <sz val="10"/>
      <color theme="1"/>
      <name val="Calibri"/>
      <family val="1"/>
      <scheme val="minor"/>
    </font>
    <font>
      <sz val="10"/>
      <color theme="1"/>
      <name val="Calibri"/>
      <family val="2"/>
      <scheme val="minor"/>
    </font>
    <font>
      <sz val="10"/>
      <name val="Calibri"/>
      <family val="1"/>
      <scheme val="minor"/>
    </font>
    <font>
      <sz val="9"/>
      <color theme="1"/>
      <name val="Calibri"/>
      <family val="2"/>
      <scheme val="minor"/>
    </font>
    <font>
      <b/>
      <sz val="10"/>
      <color theme="1"/>
      <name val="Cambria"/>
      <family val="2"/>
      <scheme val="major"/>
    </font>
    <font>
      <sz val="8"/>
      <color theme="1"/>
      <name val="Calibri"/>
      <family val="1"/>
      <scheme val="minor"/>
    </font>
    <font>
      <b/>
      <sz val="8"/>
      <color theme="1"/>
      <name val="Calibri"/>
      <family val="1"/>
      <scheme val="minor"/>
    </font>
    <font>
      <sz val="10"/>
      <color theme="1"/>
      <name val="Arial"/>
      <family val="2"/>
    </font>
    <font>
      <sz val="8"/>
      <name val="Calibri"/>
      <family val="1"/>
      <scheme val="minor"/>
    </font>
    <font>
      <b/>
      <sz val="14"/>
      <color theme="1"/>
      <name val="Calibri"/>
      <family val="1"/>
      <scheme val="minor"/>
    </font>
    <font>
      <b/>
      <u/>
      <sz val="10"/>
      <color theme="1"/>
      <name val="Calibri"/>
      <family val="1"/>
      <scheme val="minor"/>
    </font>
    <font>
      <i/>
      <sz val="10"/>
      <color theme="1"/>
      <name val="Calibri"/>
      <family val="1"/>
      <scheme val="minor"/>
    </font>
    <font>
      <u/>
      <sz val="8.5"/>
      <color theme="10"/>
      <name val="Calibri"/>
      <family val="1"/>
      <scheme val="minor"/>
    </font>
    <font>
      <sz val="14"/>
      <color theme="1"/>
      <name val="Calibri"/>
      <family val="1"/>
      <scheme val="minor"/>
    </font>
    <font>
      <b/>
      <sz val="10"/>
      <color theme="5"/>
      <name val="Calibri"/>
      <family val="1"/>
      <scheme val="minor"/>
    </font>
    <font>
      <sz val="10"/>
      <color theme="1"/>
      <name val="Calibri"/>
      <family val="1"/>
      <scheme val="minor"/>
    </font>
    <font>
      <b/>
      <sz val="10"/>
      <name val="Calibri"/>
      <family val="1"/>
      <scheme val="minor"/>
    </font>
    <font>
      <sz val="11"/>
      <color theme="1"/>
      <name val="Calibri"/>
      <family val="1"/>
      <scheme val="minor"/>
    </font>
    <font>
      <sz val="10"/>
      <name val="Arial"/>
      <family val="2"/>
    </font>
    <font>
      <sz val="8"/>
      <name val="Arial"/>
      <family val="2"/>
    </font>
    <font>
      <sz val="10"/>
      <name val="MS Sans Serif"/>
      <family val="2"/>
    </font>
    <font>
      <sz val="12"/>
      <color rgb="FF000000"/>
      <name val="Cambria"/>
      <family val="1"/>
    </font>
    <font>
      <b/>
      <sz val="12"/>
      <color theme="1"/>
      <name val="Cambria"/>
      <family val="2"/>
      <scheme val="major"/>
    </font>
    <font>
      <sz val="10"/>
      <color theme="1"/>
      <name val="Cambria"/>
      <family val="2"/>
      <scheme val="major"/>
    </font>
    <font>
      <b/>
      <sz val="18"/>
      <color theme="1"/>
      <name val="Cambria"/>
      <family val="2"/>
      <scheme val="major"/>
    </font>
    <font>
      <sz val="12"/>
      <color theme="1"/>
      <name val="Cambria"/>
      <family val="2"/>
      <scheme val="major"/>
    </font>
    <font>
      <b/>
      <sz val="18"/>
      <name val="Cambria"/>
      <family val="2"/>
      <scheme val="major"/>
    </font>
    <font>
      <sz val="8"/>
      <color theme="1"/>
      <name val="Cambria"/>
      <family val="2"/>
      <scheme val="major"/>
    </font>
    <font>
      <b/>
      <sz val="8"/>
      <color theme="1"/>
      <name val="Cambria"/>
      <family val="2"/>
      <scheme val="major"/>
    </font>
    <font>
      <sz val="10"/>
      <color theme="3" tint="0.79998168889431442"/>
      <name val="Calibri"/>
      <family val="1"/>
      <scheme val="minor"/>
    </font>
    <font>
      <sz val="10"/>
      <color theme="3" tint="0.79998168889431442"/>
      <name val="Cambria"/>
      <family val="2"/>
      <scheme val="major"/>
    </font>
    <font>
      <sz val="12"/>
      <name val="Cambria"/>
      <family val="2"/>
      <scheme val="major"/>
    </font>
    <font>
      <sz val="10"/>
      <name val="Cambria"/>
      <family val="2"/>
      <scheme val="major"/>
    </font>
    <font>
      <sz val="8"/>
      <color theme="4" tint="-0.249977111117893"/>
      <name val="Calibri"/>
      <family val="1"/>
      <scheme val="minor"/>
    </font>
    <font>
      <i/>
      <sz val="8"/>
      <name val="Calibri"/>
      <family val="1"/>
      <scheme val="minor"/>
    </font>
    <font>
      <i/>
      <sz val="12"/>
      <name val="Calibri"/>
      <family val="1"/>
      <scheme val="minor"/>
    </font>
    <font>
      <b/>
      <sz val="12"/>
      <name val="Cambria"/>
      <family val="2"/>
      <scheme val="major"/>
    </font>
    <font>
      <sz val="11"/>
      <name val="Calibri"/>
      <family val="2"/>
      <scheme val="minor"/>
    </font>
    <font>
      <b/>
      <sz val="18"/>
      <color theme="9" tint="-0.249977111117893"/>
      <name val="Calibri"/>
      <family val="1"/>
      <scheme val="minor"/>
    </font>
    <font>
      <sz val="14"/>
      <color theme="9" tint="-0.249977111117893"/>
      <name val="Calibri"/>
      <family val="1"/>
      <scheme val="minor"/>
    </font>
    <font>
      <b/>
      <sz val="18"/>
      <color theme="0"/>
      <name val="Cambria"/>
      <family val="2"/>
      <scheme val="major"/>
    </font>
    <font>
      <sz val="18"/>
      <color theme="0"/>
      <name val="Cambria"/>
      <family val="2"/>
      <scheme val="major"/>
    </font>
    <font>
      <sz val="10"/>
      <color theme="1"/>
      <name val="Cambria"/>
      <family val="1"/>
    </font>
    <font>
      <i/>
      <sz val="12"/>
      <color theme="1"/>
      <name val="Calibri"/>
      <family val="1"/>
      <scheme val="minor"/>
    </font>
    <font>
      <sz val="12"/>
      <color theme="1"/>
      <name val="Arial"/>
      <family val="2"/>
    </font>
    <font>
      <sz val="12"/>
      <color theme="1"/>
      <name val="Calibri"/>
      <family val="2"/>
      <scheme val="minor"/>
    </font>
    <font>
      <b/>
      <sz val="12"/>
      <color rgb="FF000000"/>
      <name val="Calibri"/>
      <family val="2"/>
    </font>
    <font>
      <sz val="11"/>
      <color rgb="FF1F497D"/>
      <name val="Arial"/>
      <family val="2"/>
    </font>
    <font>
      <b/>
      <sz val="12"/>
      <color theme="4" tint="-0.249977111117893"/>
      <name val="Calibri"/>
      <family val="1"/>
      <scheme val="minor"/>
    </font>
    <font>
      <b/>
      <sz val="12"/>
      <name val="Calibri"/>
      <family val="1"/>
      <scheme val="minor"/>
    </font>
    <font>
      <sz val="12"/>
      <color rgb="FF1F497D"/>
      <name val="Arial"/>
      <family val="2"/>
    </font>
    <font>
      <sz val="12"/>
      <color theme="4" tint="-0.249977111117893"/>
      <name val="Calibri"/>
      <family val="1"/>
      <scheme val="minor"/>
    </font>
    <font>
      <sz val="12"/>
      <name val="Calibri"/>
      <family val="1"/>
      <scheme val="minor"/>
    </font>
    <font>
      <i/>
      <sz val="10"/>
      <name val="Calibri"/>
      <family val="1"/>
      <scheme val="minor"/>
    </font>
    <font>
      <b/>
      <sz val="8"/>
      <color theme="4" tint="-0.249977111117893"/>
      <name val="Cambria"/>
      <family val="2"/>
      <scheme val="major"/>
    </font>
    <font>
      <b/>
      <sz val="16"/>
      <color theme="1"/>
      <name val="Cambria"/>
      <family val="2"/>
      <scheme val="major"/>
    </font>
    <font>
      <b/>
      <sz val="16"/>
      <color indexed="8"/>
      <name val="Cambria"/>
      <family val="2"/>
      <scheme val="major"/>
    </font>
    <font>
      <sz val="10"/>
      <color theme="0" tint="-0.499984740745262"/>
      <name val="Calibri"/>
      <family val="1"/>
      <scheme val="minor"/>
    </font>
    <font>
      <sz val="8"/>
      <color theme="1"/>
      <name val="Arial"/>
      <family val="2"/>
    </font>
    <font>
      <i/>
      <sz val="11"/>
      <color theme="1"/>
      <name val="Calibri"/>
      <family val="2"/>
      <scheme val="minor"/>
    </font>
    <font>
      <strike/>
      <sz val="11"/>
      <color theme="1"/>
      <name val="Calibri"/>
      <family val="2"/>
      <scheme val="minor"/>
    </font>
    <font>
      <b/>
      <strike/>
      <sz val="10"/>
      <color theme="1"/>
      <name val="Cambria"/>
      <family val="2"/>
      <scheme val="major"/>
    </font>
    <font>
      <sz val="10"/>
      <color rgb="FF333333"/>
      <name val="Calibri"/>
      <family val="1"/>
      <scheme val="minor"/>
    </font>
    <font>
      <b/>
      <sz val="10"/>
      <color theme="1"/>
      <name val="Arial"/>
      <family val="2"/>
    </font>
    <font>
      <b/>
      <sz val="10"/>
      <color theme="0" tint="-0.499984740745262"/>
      <name val="Cambria"/>
      <family val="2"/>
      <scheme val="major"/>
    </font>
    <font>
      <b/>
      <sz val="10"/>
      <name val="Cambria"/>
      <family val="2"/>
      <scheme val="major"/>
    </font>
    <font>
      <b/>
      <sz val="10"/>
      <color theme="0" tint="-0.34998626667073579"/>
      <name val="Cambria"/>
      <family val="2"/>
      <scheme val="major"/>
    </font>
    <font>
      <sz val="10"/>
      <color theme="0" tint="-0.34998626667073579"/>
      <name val="Calibri"/>
      <family val="1"/>
      <scheme val="minor"/>
    </font>
    <font>
      <u/>
      <sz val="10"/>
      <color theme="1"/>
      <name val="Calibri"/>
      <family val="1"/>
      <scheme val="minor"/>
    </font>
    <font>
      <b/>
      <i/>
      <sz val="10"/>
      <color theme="1"/>
      <name val="Calibri"/>
      <family val="1"/>
      <scheme val="minor"/>
    </font>
    <font>
      <sz val="10"/>
      <color theme="4"/>
      <name val="Calibri"/>
      <family val="1"/>
      <scheme val="minor"/>
    </font>
    <font>
      <sz val="10"/>
      <name val="Calibri"/>
      <family val="2"/>
      <scheme val="minor"/>
    </font>
    <font>
      <sz val="18"/>
      <name val="Calibri"/>
      <family val="1"/>
      <scheme val="minor"/>
    </font>
    <font>
      <b/>
      <sz val="18"/>
      <color indexed="8"/>
      <name val="Cambria"/>
      <family val="2"/>
      <scheme val="major"/>
    </font>
    <font>
      <sz val="10"/>
      <color theme="4" tint="-0.249977111117893"/>
      <name val="Calibri"/>
      <family val="1"/>
      <scheme val="minor"/>
    </font>
    <font>
      <i/>
      <sz val="10"/>
      <color theme="1"/>
      <name val="Cambria"/>
      <family val="2"/>
      <scheme val="major"/>
    </font>
    <font>
      <b/>
      <sz val="9"/>
      <color indexed="81"/>
      <name val="Tahoma"/>
      <family val="2"/>
    </font>
    <font>
      <sz val="9"/>
      <color indexed="81"/>
      <name val="Tahoma"/>
      <family val="2"/>
    </font>
    <font>
      <b/>
      <sz val="11"/>
      <name val="Myriad Pro"/>
      <family val="2"/>
    </font>
    <font>
      <b/>
      <sz val="10"/>
      <name val="Myriad Pro"/>
      <family val="2"/>
    </font>
    <font>
      <sz val="10"/>
      <name val="Myriad Pro"/>
      <family val="2"/>
    </font>
    <font>
      <sz val="14"/>
      <color theme="1"/>
      <name val="Cambria"/>
      <family val="2"/>
      <scheme val="major"/>
    </font>
    <font>
      <vertAlign val="superscript"/>
      <sz val="10"/>
      <color theme="1"/>
      <name val="Calibri"/>
      <family val="1"/>
      <scheme val="minor"/>
    </font>
    <font>
      <sz val="10"/>
      <color rgb="FF3F3F76"/>
      <name val="Arial"/>
      <family val="2"/>
    </font>
    <font>
      <sz val="8"/>
      <color theme="1"/>
      <name val="Consolas"/>
      <family val="3"/>
    </font>
    <font>
      <sz val="12"/>
      <color theme="1"/>
      <name val="Times New Roman"/>
      <family val="1"/>
    </font>
    <font>
      <i/>
      <sz val="10"/>
      <color theme="1"/>
      <name val="Arial"/>
      <family val="2"/>
    </font>
    <font>
      <b/>
      <sz val="8"/>
      <color rgb="FF000000"/>
      <name val="Arial"/>
      <family val="2"/>
    </font>
    <font>
      <sz val="8"/>
      <color rgb="FF000000"/>
      <name val="Arial"/>
      <family val="2"/>
    </font>
    <font>
      <sz val="10"/>
      <color rgb="FF000000"/>
      <name val="Calibri"/>
      <family val="1"/>
      <scheme val="minor"/>
    </font>
    <font>
      <sz val="10"/>
      <color indexed="8"/>
      <name val="Calibri"/>
      <family val="1"/>
    </font>
    <font>
      <u/>
      <sz val="10"/>
      <color theme="10"/>
      <name val="Calibri"/>
      <family val="1"/>
      <scheme val="minor"/>
    </font>
    <font>
      <b/>
      <vertAlign val="subscript"/>
      <sz val="10"/>
      <color theme="1"/>
      <name val="Calibri"/>
      <family val="1"/>
      <scheme val="minor"/>
    </font>
    <font>
      <vertAlign val="subscript"/>
      <sz val="10"/>
      <color theme="1"/>
      <name val="Calibri"/>
      <family val="1"/>
      <scheme val="minor"/>
    </font>
    <font>
      <sz val="8"/>
      <color rgb="FFFF0000"/>
      <name val="Calibri"/>
      <family val="1"/>
      <scheme val="minor"/>
    </font>
    <font>
      <u/>
      <sz val="8.5"/>
      <color theme="10"/>
      <name val="Calibri"/>
      <family val="2"/>
      <scheme val="minor"/>
    </font>
    <font>
      <sz val="18"/>
      <color theme="1"/>
      <name val="Calibri"/>
      <family val="2"/>
      <scheme val="minor"/>
    </font>
    <font>
      <b/>
      <sz val="12"/>
      <color theme="1"/>
      <name val="Calibri"/>
      <family val="2"/>
      <scheme val="minor"/>
    </font>
    <font>
      <b/>
      <sz val="10"/>
      <color theme="1"/>
      <name val="Calibri"/>
      <family val="2"/>
      <scheme val="minor"/>
    </font>
    <font>
      <i/>
      <sz val="10"/>
      <color theme="1"/>
      <name val="Calibri"/>
      <family val="2"/>
      <scheme val="minor"/>
    </font>
    <font>
      <sz val="8"/>
      <color theme="1"/>
      <name val="Calibri"/>
      <family val="2"/>
      <scheme val="minor"/>
    </font>
    <font>
      <sz val="10"/>
      <color rgb="FFFF0000"/>
      <name val="Calibri"/>
      <family val="2"/>
      <scheme val="minor"/>
    </font>
    <font>
      <sz val="8"/>
      <name val="Calibri"/>
      <family val="2"/>
      <scheme val="minor"/>
    </font>
    <font>
      <b/>
      <sz val="10"/>
      <name val="Calibri"/>
      <family val="2"/>
      <scheme val="minor"/>
    </font>
    <font>
      <sz val="10"/>
      <color theme="0" tint="-0.499984740745262"/>
      <name val="Calibri"/>
      <family val="2"/>
      <scheme val="minor"/>
    </font>
    <font>
      <sz val="14"/>
      <color theme="1"/>
      <name val="Calibri"/>
      <family val="2"/>
      <scheme val="minor"/>
    </font>
    <font>
      <b/>
      <sz val="16"/>
      <color indexed="8"/>
      <name val="Cambria"/>
      <family val="1"/>
      <scheme val="major"/>
    </font>
    <font>
      <sz val="12"/>
      <color theme="1"/>
      <name val="Cambria"/>
      <family val="1"/>
      <scheme val="major"/>
    </font>
    <font>
      <sz val="10"/>
      <color theme="1"/>
      <name val="Calibri"/>
      <family val="2"/>
      <scheme val="minor"/>
    </font>
    <font>
      <sz val="11"/>
      <color theme="1"/>
      <name val="Cambria"/>
      <family val="2"/>
      <scheme val="major"/>
    </font>
    <font>
      <b/>
      <sz val="11"/>
      <color theme="0"/>
      <name val="Cambria"/>
      <family val="2"/>
      <scheme val="major"/>
    </font>
    <font>
      <sz val="16"/>
      <color theme="1"/>
      <name val="Calibri"/>
      <family val="1"/>
      <scheme val="minor"/>
    </font>
    <font>
      <b/>
      <sz val="10"/>
      <color rgb="FF3F3F76"/>
      <name val="Calibri"/>
      <family val="1"/>
      <scheme val="minor"/>
    </font>
    <font>
      <sz val="11"/>
      <color theme="1"/>
      <name val="Calibri"/>
      <family val="2"/>
      <scheme val="minor"/>
    </font>
    <font>
      <b/>
      <u/>
      <sz val="14"/>
      <color theme="1"/>
      <name val="Calibri"/>
      <family val="1"/>
      <scheme val="minor"/>
    </font>
    <font>
      <sz val="11"/>
      <color theme="0"/>
      <name val="Calibri"/>
      <family val="2"/>
      <scheme val="minor"/>
    </font>
    <font>
      <sz val="10"/>
      <color theme="0"/>
      <name val="Arial"/>
      <family val="2"/>
    </font>
    <font>
      <sz val="10"/>
      <color rgb="FFFF0000"/>
      <name val="Calibri"/>
      <family val="1"/>
      <scheme val="minor"/>
    </font>
    <font>
      <b/>
      <sz val="10"/>
      <color rgb="FFFF0000"/>
      <name val="Cambria"/>
      <family val="2"/>
      <scheme val="major"/>
    </font>
    <font>
      <b/>
      <sz val="9"/>
      <color rgb="FF333333"/>
      <name val="Verdana"/>
      <family val="2"/>
    </font>
    <font>
      <b/>
      <sz val="10"/>
      <color indexed="8"/>
      <name val="Cambria"/>
      <family val="2"/>
      <scheme val="major"/>
    </font>
    <font>
      <sz val="10"/>
      <color rgb="FF000000"/>
      <name val="Cambria"/>
      <family val="1"/>
    </font>
    <font>
      <sz val="10"/>
      <name val="Cambria"/>
      <family val="1"/>
      <scheme val="major"/>
    </font>
    <font>
      <sz val="10"/>
      <color theme="4" tint="-0.249977111117893"/>
      <name val="Cambria"/>
      <family val="2"/>
      <scheme val="major"/>
    </font>
    <font>
      <sz val="8"/>
      <color theme="4" tint="-0.249977111117893"/>
      <name val="Cambria"/>
      <family val="2"/>
      <scheme val="major"/>
    </font>
    <font>
      <sz val="8"/>
      <color theme="2" tint="-0.499984740745262"/>
      <name val="Cambria"/>
      <family val="2"/>
      <scheme val="major"/>
    </font>
    <font>
      <b/>
      <sz val="10"/>
      <color theme="4" tint="-0.249977111117893"/>
      <name val="Cambria"/>
      <family val="2"/>
      <scheme val="major"/>
    </font>
    <font>
      <i/>
      <sz val="8"/>
      <color theme="1"/>
      <name val="Calibri"/>
      <family val="1"/>
      <scheme val="minor"/>
    </font>
    <font>
      <i/>
      <sz val="10"/>
      <color theme="4" tint="-0.249977111117893"/>
      <name val="Cambria"/>
      <family val="2"/>
      <scheme val="major"/>
    </font>
    <font>
      <b/>
      <sz val="10"/>
      <name val="Arial"/>
      <family val="2"/>
    </font>
    <font>
      <b/>
      <i/>
      <sz val="12"/>
      <color theme="1"/>
      <name val="Cambria"/>
      <family val="2"/>
      <scheme val="major"/>
    </font>
    <font>
      <sz val="9"/>
      <color rgb="FF0000FF"/>
      <name val="Verdana"/>
      <family val="2"/>
    </font>
    <font>
      <sz val="10"/>
      <color theme="1"/>
      <name val="Cambria"/>
      <family val="1"/>
      <scheme val="major"/>
    </font>
    <font>
      <b/>
      <sz val="10"/>
      <color theme="1"/>
      <name val="Cambria"/>
      <family val="1"/>
      <scheme val="major"/>
    </font>
    <font>
      <i/>
      <vertAlign val="superscript"/>
      <sz val="10"/>
      <color theme="1"/>
      <name val="Calibri"/>
      <family val="1"/>
      <scheme val="minor"/>
    </font>
    <font>
      <sz val="10"/>
      <color theme="1"/>
      <name val="Calibri"/>
      <family val="2"/>
      <scheme val="minor"/>
    </font>
    <font>
      <sz val="11"/>
      <name val="Calibri"/>
      <family val="1"/>
      <scheme val="minor"/>
    </font>
    <font>
      <b/>
      <sz val="11"/>
      <color theme="1"/>
      <name val="Calibri"/>
      <family val="2"/>
    </font>
    <font>
      <sz val="11"/>
      <color theme="1"/>
      <name val="Calibri"/>
      <family val="2"/>
    </font>
    <font>
      <b/>
      <sz val="10"/>
      <color theme="1"/>
      <name val="Cambria"/>
      <family val="1"/>
    </font>
    <font>
      <b/>
      <vertAlign val="subscript"/>
      <sz val="18"/>
      <color theme="1"/>
      <name val="Cambria"/>
      <family val="2"/>
      <scheme val="major"/>
    </font>
    <font>
      <b/>
      <sz val="11"/>
      <name val="Calibri"/>
      <family val="2"/>
      <scheme val="minor"/>
    </font>
    <font>
      <b/>
      <sz val="11"/>
      <color theme="1"/>
      <name val="Calibri"/>
      <family val="1"/>
      <scheme val="minor"/>
    </font>
    <font>
      <sz val="10"/>
      <color theme="0"/>
      <name val="Calibri"/>
      <family val="1"/>
      <scheme val="minor"/>
    </font>
    <font>
      <i/>
      <sz val="10"/>
      <name val="Arial"/>
      <family val="2"/>
    </font>
    <font>
      <sz val="11"/>
      <color theme="1"/>
      <name val="Calibri"/>
      <family val="2"/>
      <scheme val="minor"/>
    </font>
    <font>
      <b/>
      <sz val="10"/>
      <color rgb="FFFF0000"/>
      <name val="Calibri"/>
      <family val="1"/>
      <scheme val="minor"/>
    </font>
    <font>
      <sz val="11"/>
      <name val="Calibri"/>
      <family val="2"/>
      <scheme val="minor"/>
    </font>
    <font>
      <b/>
      <sz val="11"/>
      <color rgb="FF464646"/>
      <name val="Tahoma"/>
      <family val="2"/>
    </font>
    <font>
      <b/>
      <i/>
      <sz val="10"/>
      <color theme="1"/>
      <name val="Calibri"/>
      <family val="2"/>
      <scheme val="minor"/>
    </font>
    <font>
      <b/>
      <i/>
      <sz val="10"/>
      <name val="Arial"/>
      <family val="2"/>
    </font>
    <font>
      <b/>
      <i/>
      <sz val="11"/>
      <color theme="1"/>
      <name val="Calibri"/>
      <family val="2"/>
      <scheme val="minor"/>
    </font>
    <font>
      <sz val="11"/>
      <color theme="1"/>
      <name val="Arial"/>
      <family val="2"/>
    </font>
  </fonts>
  <fills count="65">
    <fill>
      <patternFill patternType="none"/>
    </fill>
    <fill>
      <patternFill patternType="gray125"/>
    </fill>
    <fill>
      <patternFill patternType="solid">
        <fgColor rgb="FFC6EFCE"/>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6" tint="0.39997558519241921"/>
        <bgColor indexed="64"/>
      </patternFill>
    </fill>
    <fill>
      <patternFill patternType="solid">
        <fgColor theme="6" tint="0.79998168889431442"/>
        <bgColor indexed="64"/>
      </patternFill>
    </fill>
    <fill>
      <patternFill patternType="solid">
        <fgColor rgb="FFFFFF0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rgb="FFE9EFF7"/>
        <bgColor rgb="FF000000"/>
      </patternFill>
    </fill>
    <fill>
      <patternFill patternType="solid">
        <fgColor theme="7" tint="0.3999755851924192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tint="-0.249977111117893"/>
        <bgColor indexed="64"/>
      </patternFill>
    </fill>
    <fill>
      <patternFill patternType="lightGray">
        <bgColor theme="6" tint="0.59999389629810485"/>
      </patternFill>
    </fill>
    <fill>
      <patternFill patternType="lightGray">
        <bgColor theme="6" tint="0.79998168889431442"/>
      </patternFill>
    </fill>
    <fill>
      <patternFill patternType="solid">
        <fgColor rgb="FFEBF1DE"/>
        <bgColor rgb="FF000000"/>
      </patternFill>
    </fill>
    <fill>
      <patternFill patternType="solid">
        <fgColor rgb="FFE9EFF7"/>
        <bgColor indexed="64"/>
      </patternFill>
    </fill>
    <fill>
      <patternFill patternType="solid">
        <fgColor theme="4" tint="0.79998168889431442"/>
        <bgColor theme="4" tint="0.79998168889431442"/>
      </patternFill>
    </fill>
    <fill>
      <patternFill patternType="lightGray">
        <bgColor theme="4" tint="0.39997558519241921"/>
      </patternFill>
    </fill>
    <fill>
      <patternFill patternType="solid">
        <fgColor rgb="FF95B3D7"/>
        <bgColor rgb="FF000000"/>
      </patternFill>
    </fill>
    <fill>
      <patternFill patternType="solid">
        <fgColor rgb="FF92D050"/>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rgb="FFFF0000"/>
        <bgColor indexed="64"/>
      </patternFill>
    </fill>
    <fill>
      <patternFill patternType="solid">
        <fgColor theme="6"/>
        <bgColor indexed="64"/>
      </patternFill>
    </fill>
    <fill>
      <patternFill patternType="solid">
        <fgColor theme="2" tint="-0.249977111117893"/>
        <bgColor indexed="64"/>
      </patternFill>
    </fill>
    <fill>
      <patternFill patternType="solid">
        <fgColor indexed="42"/>
        <bgColor indexed="64"/>
      </patternFill>
    </fill>
    <fill>
      <patternFill patternType="solid">
        <fgColor theme="0" tint="-0.34998626667073579"/>
        <bgColor indexed="64"/>
      </patternFill>
    </fill>
    <fill>
      <patternFill patternType="solid">
        <fgColor theme="8" tint="0.39997558519241921"/>
        <bgColor indexed="64"/>
      </patternFill>
    </fill>
    <fill>
      <patternFill patternType="solid">
        <fgColor theme="3" tint="0.39997558519241921"/>
        <bgColor theme="5"/>
      </patternFill>
    </fill>
    <fill>
      <patternFill patternType="solid">
        <fgColor theme="3" tint="0.79998168889431442"/>
        <bgColor theme="5" tint="0.59999389629810485"/>
      </patternFill>
    </fill>
    <fill>
      <patternFill patternType="solid">
        <fgColor indexed="23"/>
        <bgColor indexed="64"/>
      </patternFill>
    </fill>
    <fill>
      <patternFill patternType="solid">
        <fgColor theme="9"/>
      </patternFill>
    </fill>
    <fill>
      <patternFill patternType="solid">
        <fgColor theme="2"/>
        <bgColor indexed="64"/>
      </patternFill>
    </fill>
    <fill>
      <patternFill patternType="solid">
        <fgColor rgb="FFFDE9D9"/>
        <bgColor indexed="64"/>
      </patternFill>
    </fill>
    <fill>
      <patternFill patternType="solid">
        <fgColor theme="5" tint="0.39997558519241921"/>
        <bgColor indexed="64"/>
      </patternFill>
    </fill>
    <fill>
      <patternFill patternType="solid">
        <fgColor theme="0"/>
        <bgColor indexed="26"/>
      </patternFill>
    </fill>
    <fill>
      <patternFill patternType="solid">
        <fgColor rgb="FFC5D9F1"/>
        <bgColor rgb="FF000000"/>
      </patternFill>
    </fill>
    <fill>
      <patternFill patternType="solid">
        <fgColor rgb="FFF2DCDB"/>
        <bgColor rgb="FF000000"/>
      </patternFill>
    </fill>
  </fills>
  <borders count="28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diagonal/>
    </border>
    <border>
      <left/>
      <right style="thin">
        <color theme="0"/>
      </right>
      <top/>
      <bottom/>
      <diagonal/>
    </border>
    <border>
      <left/>
      <right/>
      <top style="thin">
        <color theme="1" tint="4.9989318521683403E-2"/>
      </top>
      <bottom style="thin">
        <color theme="0" tint="-0.34998626667073579"/>
      </bottom>
      <diagonal/>
    </border>
    <border>
      <left/>
      <right/>
      <top/>
      <bottom style="thin">
        <color theme="1" tint="4.9989318521683403E-2"/>
      </bottom>
      <diagonal/>
    </border>
    <border>
      <left/>
      <right/>
      <top style="thin">
        <color auto="1"/>
      </top>
      <bottom/>
      <diagonal/>
    </border>
    <border>
      <left/>
      <right/>
      <top style="thin">
        <color auto="1"/>
      </top>
      <bottom style="thin">
        <color auto="1"/>
      </bottom>
      <diagonal/>
    </border>
    <border>
      <left/>
      <right/>
      <top/>
      <bottom style="thin">
        <color theme="0" tint="-0.34998626667073579"/>
      </bottom>
      <diagonal/>
    </border>
    <border>
      <left/>
      <right/>
      <top/>
      <bottom style="thin">
        <color auto="1"/>
      </bottom>
      <diagonal/>
    </border>
    <border>
      <left/>
      <right/>
      <top style="thin">
        <color theme="1" tint="4.9989318521683403E-2"/>
      </top>
      <bottom style="thin">
        <color auto="1"/>
      </bottom>
      <diagonal/>
    </border>
    <border>
      <left style="thin">
        <color theme="0" tint="-0.34998626667073579"/>
      </left>
      <right/>
      <top/>
      <bottom/>
      <diagonal/>
    </border>
    <border>
      <left style="thin">
        <color theme="0" tint="-0.34998626667073579"/>
      </left>
      <right/>
      <top/>
      <bottom style="thin">
        <color theme="1" tint="4.9989318521683403E-2"/>
      </bottom>
      <diagonal/>
    </border>
    <border>
      <left/>
      <right/>
      <top/>
      <bottom style="thin">
        <color theme="0"/>
      </bottom>
      <diagonal/>
    </border>
    <border>
      <left style="thin">
        <color theme="0"/>
      </left>
      <right/>
      <top/>
      <bottom style="thin">
        <color theme="0"/>
      </bottom>
      <diagonal/>
    </border>
    <border>
      <left/>
      <right/>
      <top style="thin">
        <color theme="1" tint="4.9989318521683403E-2"/>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right style="thin">
        <color theme="0" tint="-0.34998626667073579"/>
      </right>
      <top/>
      <bottom/>
      <diagonal/>
    </border>
    <border>
      <left/>
      <right style="thin">
        <color theme="0" tint="-0.34998626667073579"/>
      </right>
      <top/>
      <bottom style="thin">
        <color auto="1"/>
      </bottom>
      <diagonal/>
    </border>
    <border>
      <left style="thin">
        <color theme="0" tint="-0.34998626667073579"/>
      </left>
      <right/>
      <top/>
      <bottom style="thin">
        <color auto="1"/>
      </bottom>
      <diagonal/>
    </border>
    <border>
      <left style="thin">
        <color theme="0" tint="-0.34998626667073579"/>
      </left>
      <right/>
      <top style="thin">
        <color theme="1" tint="4.9989318521683403E-2"/>
      </top>
      <bottom/>
      <diagonal/>
    </border>
    <border>
      <left style="thin">
        <color theme="0" tint="-0.34998626667073579"/>
      </left>
      <right/>
      <top/>
      <bottom style="thin">
        <color theme="0" tint="-0.34998626667073579"/>
      </bottom>
      <diagonal/>
    </border>
    <border>
      <left style="thin">
        <color theme="0" tint="-0.34998626667073579"/>
      </left>
      <right/>
      <top style="thin">
        <color theme="1" tint="4.9989318521683403E-2"/>
      </top>
      <bottom style="thin">
        <color theme="0" tint="-0.34998626667073579"/>
      </bottom>
      <diagonal/>
    </border>
    <border>
      <left/>
      <right style="thin">
        <color theme="0"/>
      </right>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right style="thin">
        <color theme="5" tint="0.59996337778862885"/>
      </right>
      <top/>
      <bottom/>
      <diagonal/>
    </border>
    <border>
      <left style="thin">
        <color theme="5" tint="0.59996337778862885"/>
      </left>
      <right style="thin">
        <color theme="5" tint="0.59996337778862885"/>
      </right>
      <top/>
      <bottom/>
      <diagonal/>
    </border>
    <border>
      <left/>
      <right/>
      <top style="thin">
        <color rgb="FFFFFFFF"/>
      </top>
      <bottom style="thin">
        <color rgb="FFFFFFFF"/>
      </bottom>
      <diagonal/>
    </border>
    <border>
      <left/>
      <right/>
      <top style="thin">
        <color theme="0" tint="-0.34998626667073579"/>
      </top>
      <bottom style="thin">
        <color theme="0" tint="-0.34998626667073579"/>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tint="-0.34998626667073579"/>
      </bottom>
      <diagonal/>
    </border>
    <border>
      <left style="thin">
        <color theme="0"/>
      </left>
      <right style="thin">
        <color theme="0"/>
      </right>
      <top style="thin">
        <color theme="0"/>
      </top>
      <bottom style="thin">
        <color theme="0" tint="-0.34998626667073579"/>
      </bottom>
      <diagonal/>
    </border>
    <border>
      <left/>
      <right/>
      <top style="thin">
        <color theme="1"/>
      </top>
      <bottom style="thin">
        <color theme="1"/>
      </bottom>
      <diagonal/>
    </border>
    <border>
      <left style="thin">
        <color theme="0"/>
      </left>
      <right style="thin">
        <color theme="0"/>
      </right>
      <top style="thin">
        <color theme="1"/>
      </top>
      <bottom style="thin">
        <color theme="1"/>
      </bottom>
      <diagonal/>
    </border>
    <border>
      <left style="thin">
        <color theme="0"/>
      </left>
      <right style="thin">
        <color theme="0"/>
      </right>
      <top style="thin">
        <color auto="1"/>
      </top>
      <bottom style="thin">
        <color auto="1"/>
      </bottom>
      <diagonal/>
    </border>
    <border>
      <left/>
      <right/>
      <top style="medium">
        <color theme="1"/>
      </top>
      <bottom style="medium">
        <color theme="1"/>
      </bottom>
      <diagonal/>
    </border>
    <border>
      <left style="thin">
        <color theme="0"/>
      </left>
      <right style="thin">
        <color theme="0"/>
      </right>
      <top style="medium">
        <color theme="1"/>
      </top>
      <bottom style="medium">
        <color theme="1"/>
      </bottom>
      <diagonal/>
    </border>
    <border>
      <left style="thin">
        <color theme="0"/>
      </left>
      <right style="thin">
        <color theme="0"/>
      </right>
      <top style="medium">
        <color auto="1"/>
      </top>
      <bottom style="medium">
        <color auto="1"/>
      </bottom>
      <diagonal/>
    </border>
    <border>
      <left style="medium">
        <color auto="1"/>
      </left>
      <right style="medium">
        <color auto="1"/>
      </right>
      <top style="medium">
        <color auto="1"/>
      </top>
      <bottom/>
      <diagonal/>
    </border>
    <border>
      <left style="thin">
        <color indexed="64"/>
      </left>
      <right style="thin">
        <color theme="0"/>
      </right>
      <top/>
      <bottom/>
      <diagonal/>
    </border>
    <border>
      <left style="thin">
        <color theme="0"/>
      </left>
      <right style="thin">
        <color indexed="64"/>
      </right>
      <top/>
      <bottom/>
      <diagonal/>
    </border>
    <border>
      <left style="thin">
        <color auto="1"/>
      </left>
      <right/>
      <top/>
      <bottom/>
      <diagonal/>
    </border>
    <border>
      <left/>
      <right style="thin">
        <color auto="1"/>
      </right>
      <top/>
      <bottom/>
      <diagonal/>
    </border>
    <border>
      <left style="thin">
        <color indexed="64"/>
      </left>
      <right style="thin">
        <color indexed="64"/>
      </right>
      <top/>
      <bottom/>
      <diagonal/>
    </border>
    <border>
      <left style="thin">
        <color rgb="FFFFFFFF"/>
      </left>
      <right style="thin">
        <color indexed="64"/>
      </right>
      <top/>
      <bottom/>
      <diagonal/>
    </border>
    <border>
      <left/>
      <right/>
      <top style="thin">
        <color auto="1"/>
      </top>
      <bottom style="thin">
        <color theme="0" tint="-0.34998626667073579"/>
      </bottom>
      <diagonal/>
    </border>
    <border>
      <left/>
      <right/>
      <top style="thin">
        <color theme="0" tint="-0.34998626667073579"/>
      </top>
      <bottom style="thin">
        <color auto="1"/>
      </bottom>
      <diagonal/>
    </border>
    <border>
      <left/>
      <right style="thin">
        <color theme="0" tint="-0.34998626667073579"/>
      </right>
      <top style="thin">
        <color theme="1" tint="4.9989318521683403E-2"/>
      </top>
      <bottom style="thin">
        <color theme="0" tint="-0.34998626667073579"/>
      </bottom>
      <diagonal/>
    </border>
    <border>
      <left/>
      <right style="thin">
        <color theme="0" tint="-0.34998626667073579"/>
      </right>
      <top/>
      <bottom style="thin">
        <color theme="1" tint="4.9989318521683403E-2"/>
      </bottom>
      <diagonal/>
    </border>
    <border>
      <left/>
      <right style="thin">
        <color theme="0" tint="-0.34998626667073579"/>
      </right>
      <top style="thin">
        <color theme="0" tint="-0.34998626667073579"/>
      </top>
      <bottom style="thin">
        <color auto="1"/>
      </bottom>
      <diagonal/>
    </border>
    <border>
      <left/>
      <right/>
      <top/>
      <bottom style="medium">
        <color auto="1"/>
      </bottom>
      <diagonal/>
    </border>
    <border>
      <left/>
      <right style="thin">
        <color theme="0" tint="-0.34998626667073579"/>
      </right>
      <top style="thin">
        <color indexed="64"/>
      </top>
      <bottom style="thin">
        <color theme="0" tint="-0.34998626667073579"/>
      </bottom>
      <diagonal/>
    </border>
    <border>
      <left/>
      <right/>
      <top style="thin">
        <color theme="1"/>
      </top>
      <bottom/>
      <diagonal/>
    </border>
    <border>
      <left style="thin">
        <color theme="0" tint="-0.34998626667073579"/>
      </left>
      <right/>
      <top style="thin">
        <color theme="1" tint="4.9989318521683403E-2"/>
      </top>
      <bottom style="thin">
        <color auto="1"/>
      </bottom>
      <diagonal/>
    </border>
    <border>
      <left/>
      <right/>
      <top style="thin">
        <color auto="1"/>
      </top>
      <bottom style="thin">
        <color theme="2" tint="-9.9948118533890809E-2"/>
      </bottom>
      <diagonal/>
    </border>
    <border>
      <left style="thin">
        <color theme="7" tint="0.79998168889431442"/>
      </left>
      <right style="thin">
        <color theme="7" tint="0.79998168889431442"/>
      </right>
      <top style="thin">
        <color theme="7" tint="0.79998168889431442"/>
      </top>
      <bottom style="thin">
        <color theme="7" tint="0.79998168889431442"/>
      </bottom>
      <diagonal/>
    </border>
    <border>
      <left style="thin">
        <color theme="7" tint="0.79998168889431442"/>
      </left>
      <right style="thin">
        <color theme="7" tint="0.79998168889431442"/>
      </right>
      <top style="thin">
        <color theme="0" tint="-0.34998626667073579"/>
      </top>
      <bottom style="thin">
        <color theme="7" tint="0.79998168889431442"/>
      </bottom>
      <diagonal/>
    </border>
    <border>
      <left style="thin">
        <color theme="8" tint="0.59996337778862885"/>
      </left>
      <right style="thin">
        <color theme="7" tint="0.79998168889431442"/>
      </right>
      <top style="thin">
        <color theme="7" tint="0.79998168889431442"/>
      </top>
      <bottom style="thin">
        <color theme="7" tint="0.79998168889431442"/>
      </bottom>
      <diagonal/>
    </border>
    <border>
      <left/>
      <right style="thin">
        <color theme="7" tint="0.79998168889431442"/>
      </right>
      <top style="thin">
        <color theme="7" tint="0.79998168889431442"/>
      </top>
      <bottom style="thin">
        <color auto="1"/>
      </bottom>
      <diagonal/>
    </border>
    <border>
      <left/>
      <right style="thin">
        <color theme="1" tint="0.499984740745262"/>
      </right>
      <top/>
      <bottom/>
      <diagonal/>
    </border>
    <border>
      <left style="thin">
        <color theme="0"/>
      </left>
      <right/>
      <top/>
      <bottom style="thin">
        <color auto="1"/>
      </bottom>
      <diagonal/>
    </border>
    <border>
      <left/>
      <right style="thin">
        <color theme="1" tint="0.499984740745262"/>
      </right>
      <top/>
      <bottom style="thin">
        <color auto="1"/>
      </bottom>
      <diagonal/>
    </border>
    <border>
      <left/>
      <right style="thin">
        <color theme="0"/>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theme="7" tint="0.79998168889431442"/>
      </right>
      <top/>
      <bottom style="thin">
        <color theme="0" tint="-0.34998626667073579"/>
      </bottom>
      <diagonal/>
    </border>
    <border>
      <left style="thin">
        <color theme="7" tint="0.79998168889431442"/>
      </left>
      <right style="thin">
        <color theme="7" tint="0.79998168889431442"/>
      </right>
      <top/>
      <bottom style="thin">
        <color theme="0" tint="-0.34998626667073579"/>
      </bottom>
      <diagonal/>
    </border>
    <border>
      <left style="thin">
        <color theme="7" tint="0.79998168889431442"/>
      </left>
      <right/>
      <top/>
      <bottom style="thin">
        <color theme="0" tint="-0.34998626667073579"/>
      </bottom>
      <diagonal/>
    </border>
    <border>
      <left/>
      <right style="thin">
        <color theme="7" tint="0.79998168889431442"/>
      </right>
      <top/>
      <bottom style="thin">
        <color theme="7" tint="0.79998168889431442"/>
      </bottom>
      <diagonal/>
    </border>
    <border>
      <left style="thin">
        <color theme="7" tint="0.79998168889431442"/>
      </left>
      <right style="thin">
        <color theme="7" tint="0.79998168889431442"/>
      </right>
      <top/>
      <bottom style="thin">
        <color theme="7" tint="0.79998168889431442"/>
      </bottom>
      <diagonal/>
    </border>
    <border>
      <left/>
      <right style="thin">
        <color theme="7" tint="0.79998168889431442"/>
      </right>
      <top style="thin">
        <color theme="7" tint="0.79998168889431442"/>
      </top>
      <bottom style="thin">
        <color theme="7" tint="0.79998168889431442"/>
      </bottom>
      <diagonal/>
    </border>
    <border>
      <left/>
      <right style="thin">
        <color theme="7" tint="0.79998168889431442"/>
      </right>
      <top style="thin">
        <color theme="7" tint="0.79998168889431442"/>
      </top>
      <bottom/>
      <diagonal/>
    </border>
    <border>
      <left style="thin">
        <color theme="7" tint="0.79998168889431442"/>
      </left>
      <right style="thin">
        <color theme="7" tint="0.79998168889431442"/>
      </right>
      <top style="thin">
        <color theme="7" tint="0.79998168889431442"/>
      </top>
      <bottom/>
      <diagonal/>
    </border>
    <border>
      <left/>
      <right style="thick">
        <color theme="9" tint="0.79998168889431442"/>
      </right>
      <top/>
      <bottom/>
      <diagonal/>
    </border>
    <border>
      <left style="thick">
        <color theme="9" tint="0.79998168889431442"/>
      </left>
      <right/>
      <top/>
      <bottom/>
      <diagonal/>
    </border>
    <border>
      <left/>
      <right style="thin">
        <color theme="0"/>
      </right>
      <top style="thin">
        <color theme="1" tint="4.9989318521683403E-2"/>
      </top>
      <bottom style="thin">
        <color theme="0" tint="-0.34998626667073579"/>
      </bottom>
      <diagonal/>
    </border>
    <border>
      <left/>
      <right style="thick">
        <color theme="9" tint="0.79998168889431442"/>
      </right>
      <top style="thin">
        <color theme="1" tint="4.9989318521683403E-2"/>
      </top>
      <bottom style="thin">
        <color theme="0" tint="-0.34998626667073579"/>
      </bottom>
      <diagonal/>
    </border>
    <border>
      <left/>
      <right style="thin">
        <color theme="0"/>
      </right>
      <top style="thin">
        <color theme="0" tint="-0.34998626667073579"/>
      </top>
      <bottom style="thin">
        <color auto="1"/>
      </bottom>
      <diagonal/>
    </border>
    <border>
      <left/>
      <right style="thick">
        <color theme="9" tint="0.79998168889431442"/>
      </right>
      <top style="thin">
        <color theme="0" tint="-0.34998626667073579"/>
      </top>
      <bottom style="thin">
        <color auto="1"/>
      </bottom>
      <diagonal/>
    </border>
    <border>
      <left style="thin">
        <color theme="5" tint="0.79998168889431442"/>
      </left>
      <right style="thin">
        <color theme="5" tint="0.79998168889431442"/>
      </right>
      <top style="thin">
        <color theme="5" tint="0.79998168889431442"/>
      </top>
      <bottom style="thin">
        <color theme="5" tint="0.79998168889431442"/>
      </bottom>
      <diagonal/>
    </border>
    <border>
      <left style="thin">
        <color theme="5" tint="0.79998168889431442"/>
      </left>
      <right style="thin">
        <color theme="5" tint="0.79998168889431442"/>
      </right>
      <top/>
      <bottom style="thin">
        <color theme="5" tint="0.79998168889431442"/>
      </bottom>
      <diagonal/>
    </border>
    <border>
      <left style="thin">
        <color theme="5" tint="0.79998168889431442"/>
      </left>
      <right style="thin">
        <color theme="5" tint="0.79998168889431442"/>
      </right>
      <top style="thin">
        <color theme="5" tint="0.79998168889431442"/>
      </top>
      <bottom style="thin">
        <color auto="1"/>
      </bottom>
      <diagonal/>
    </border>
    <border>
      <left style="thick">
        <color theme="9" tint="0.79998168889431442"/>
      </left>
      <right/>
      <top style="thin">
        <color theme="1" tint="4.9989318521683403E-2"/>
      </top>
      <bottom style="thin">
        <color theme="0" tint="-0.34998626667073579"/>
      </bottom>
      <diagonal/>
    </border>
    <border>
      <left/>
      <right style="thick">
        <color theme="9" tint="0.79998168889431442"/>
      </right>
      <top/>
      <bottom style="thin">
        <color auto="1"/>
      </bottom>
      <diagonal/>
    </border>
    <border>
      <left style="thick">
        <color theme="9" tint="0.79998168889431442"/>
      </left>
      <right/>
      <top/>
      <bottom style="thin">
        <color auto="1"/>
      </bottom>
      <diagonal/>
    </border>
    <border>
      <left/>
      <right style="thick">
        <color theme="9" tint="0.79998168889431442"/>
      </right>
      <top/>
      <bottom style="thin">
        <color theme="1" tint="4.9989318521683403E-2"/>
      </bottom>
      <diagonal/>
    </border>
    <border>
      <left style="thick">
        <color theme="9" tint="0.79998168889431442"/>
      </left>
      <right/>
      <top/>
      <bottom style="thin">
        <color theme="1" tint="4.9989318521683403E-2"/>
      </bottom>
      <diagonal/>
    </border>
    <border>
      <left/>
      <right style="thick">
        <color theme="9" tint="0.79998168889431442"/>
      </right>
      <top/>
      <bottom style="thin">
        <color theme="0"/>
      </bottom>
      <diagonal/>
    </border>
    <border>
      <left/>
      <right style="thin">
        <color theme="0"/>
      </right>
      <top style="thin">
        <color theme="0"/>
      </top>
      <bottom style="thin">
        <color auto="1"/>
      </bottom>
      <diagonal/>
    </border>
    <border>
      <left/>
      <right/>
      <top style="thin">
        <color theme="0"/>
      </top>
      <bottom style="thin">
        <color auto="1"/>
      </bottom>
      <diagonal/>
    </border>
    <border>
      <left style="thin">
        <color theme="5" tint="0.79998168889431442"/>
      </left>
      <right style="thin">
        <color theme="5" tint="0.79998168889431442"/>
      </right>
      <top style="thin">
        <color auto="1"/>
      </top>
      <bottom style="thin">
        <color theme="0" tint="-0.34998626667073579"/>
      </bottom>
      <diagonal/>
    </border>
    <border>
      <left style="thin">
        <color theme="5" tint="0.79998168889431442"/>
      </left>
      <right style="thin">
        <color theme="5" tint="0.79998168889431442"/>
      </right>
      <top style="thin">
        <color theme="0"/>
      </top>
      <bottom style="thin">
        <color theme="5" tint="0.79998168889431442"/>
      </bottom>
      <diagonal/>
    </border>
    <border>
      <left style="thin">
        <color theme="5" tint="0.79998168889431442"/>
      </left>
      <right style="thin">
        <color theme="5" tint="0.79998168889431442"/>
      </right>
      <top/>
      <bottom/>
      <diagonal/>
    </border>
    <border>
      <left style="thin">
        <color theme="5" tint="0.79998168889431442"/>
      </left>
      <right style="thin">
        <color theme="5" tint="0.79998168889431442"/>
      </right>
      <top/>
      <bottom style="thin">
        <color auto="1"/>
      </bottom>
      <diagonal/>
    </border>
    <border>
      <left style="thin">
        <color theme="0"/>
      </left>
      <right/>
      <top style="medium">
        <color theme="0"/>
      </top>
      <bottom/>
      <diagonal/>
    </border>
    <border>
      <left/>
      <right/>
      <top style="medium">
        <color theme="0"/>
      </top>
      <bottom/>
      <diagonal/>
    </border>
    <border>
      <left/>
      <right style="thin">
        <color theme="0"/>
      </right>
      <top style="medium">
        <color theme="0"/>
      </top>
      <bottom/>
      <diagonal/>
    </border>
    <border>
      <left/>
      <right/>
      <top style="thin">
        <color theme="0"/>
      </top>
      <bottom style="thin">
        <color theme="0" tint="-0.34998626667073579"/>
      </bottom>
      <diagonal/>
    </border>
    <border>
      <left/>
      <right style="thick">
        <color theme="9" tint="0.79998168889431442"/>
      </right>
      <top/>
      <bottom style="thin">
        <color theme="0" tint="-0.34998626667073579"/>
      </bottom>
      <diagonal/>
    </border>
    <border>
      <left/>
      <right style="thin">
        <color theme="5" tint="0.59996337778862885"/>
      </right>
      <top style="thin">
        <color theme="1"/>
      </top>
      <bottom style="thin">
        <color theme="5" tint="0.59996337778862885"/>
      </bottom>
      <diagonal/>
    </border>
    <border>
      <left style="thin">
        <color theme="5" tint="0.59996337778862885"/>
      </left>
      <right style="thin">
        <color theme="5" tint="0.59996337778862885"/>
      </right>
      <top style="thin">
        <color theme="1"/>
      </top>
      <bottom style="thin">
        <color theme="5" tint="0.59996337778862885"/>
      </bottom>
      <diagonal/>
    </border>
    <border>
      <left/>
      <right style="thin">
        <color theme="5" tint="0.59996337778862885"/>
      </right>
      <top style="thin">
        <color theme="5" tint="0.59996337778862885"/>
      </top>
      <bottom style="thin">
        <color theme="5" tint="0.59996337778862885"/>
      </bottom>
      <diagonal/>
    </border>
    <border>
      <left style="thin">
        <color theme="5" tint="0.59996337778862885"/>
      </left>
      <right style="thin">
        <color theme="5" tint="0.59996337778862885"/>
      </right>
      <top style="thin">
        <color theme="5" tint="0.59996337778862885"/>
      </top>
      <bottom style="thin">
        <color theme="5" tint="0.59996337778862885"/>
      </bottom>
      <diagonal/>
    </border>
    <border>
      <left/>
      <right style="thin">
        <color theme="5" tint="0.59996337778862885"/>
      </right>
      <top style="thin">
        <color theme="5" tint="0.59996337778862885"/>
      </top>
      <bottom/>
      <diagonal/>
    </border>
    <border>
      <left style="thin">
        <color theme="5" tint="0.59996337778862885"/>
      </left>
      <right style="thin">
        <color theme="5" tint="0.59996337778862885"/>
      </right>
      <top style="thin">
        <color theme="5" tint="0.59996337778862885"/>
      </top>
      <bottom/>
      <diagonal/>
    </border>
    <border>
      <left style="thin">
        <color theme="5" tint="0.59996337778862885"/>
      </left>
      <right style="thin">
        <color theme="5" tint="0.59996337778862885"/>
      </right>
      <top/>
      <bottom style="thin">
        <color theme="5" tint="0.59996337778862885"/>
      </bottom>
      <diagonal/>
    </border>
    <border>
      <left style="thin">
        <color theme="5" tint="0.59996337778862885"/>
      </left>
      <right/>
      <top/>
      <bottom style="thin">
        <color theme="5" tint="0.59996337778862885"/>
      </bottom>
      <diagonal/>
    </border>
    <border>
      <left/>
      <right style="thin">
        <color theme="5" tint="0.79998168889431442"/>
      </right>
      <top/>
      <bottom style="thin">
        <color theme="0" tint="-0.34998626667073579"/>
      </bottom>
      <diagonal/>
    </border>
    <border>
      <left style="thin">
        <color theme="5" tint="0.79998168889431442"/>
      </left>
      <right style="thin">
        <color theme="5" tint="0.79998168889431442"/>
      </right>
      <top/>
      <bottom style="thin">
        <color theme="0" tint="-0.34998626667073579"/>
      </bottom>
      <diagonal/>
    </border>
    <border>
      <left style="thin">
        <color theme="5" tint="0.79998168889431442"/>
      </left>
      <right/>
      <top/>
      <bottom style="thin">
        <color theme="0" tint="-0.34998626667073579"/>
      </bottom>
      <diagonal/>
    </border>
    <border>
      <left/>
      <right style="thin">
        <color theme="5" tint="0.79998168889431442"/>
      </right>
      <top/>
      <bottom style="thin">
        <color theme="5" tint="0.79998168889431442"/>
      </bottom>
      <diagonal/>
    </border>
    <border>
      <left/>
      <right style="thin">
        <color theme="5" tint="0.79998168889431442"/>
      </right>
      <top style="thin">
        <color theme="5" tint="0.79998168889431442"/>
      </top>
      <bottom style="thin">
        <color theme="5" tint="0.79998168889431442"/>
      </bottom>
      <diagonal/>
    </border>
    <border>
      <left/>
      <right style="thin">
        <color theme="5" tint="0.79998168889431442"/>
      </right>
      <top style="thin">
        <color theme="5" tint="0.79998168889431442"/>
      </top>
      <bottom/>
      <diagonal/>
    </border>
    <border>
      <left style="thin">
        <color theme="5" tint="0.79998168889431442"/>
      </left>
      <right style="thin">
        <color theme="5" tint="0.79998168889431442"/>
      </right>
      <top style="thin">
        <color theme="5" tint="0.79998168889431442"/>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medium">
        <color indexed="64"/>
      </left>
      <right/>
      <top style="hair">
        <color indexed="64"/>
      </top>
      <bottom style="medium">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right/>
      <top/>
      <bottom style="hair">
        <color indexed="64"/>
      </bottom>
      <diagonal/>
    </border>
    <border>
      <left style="thin">
        <color indexed="64"/>
      </left>
      <right style="medium">
        <color indexed="64"/>
      </right>
      <top/>
      <bottom style="hair">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style="thin">
        <color indexed="64"/>
      </left>
      <right style="thin">
        <color indexed="64"/>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medium">
        <color indexed="64"/>
      </left>
      <right style="thin">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style="hair">
        <color indexed="64"/>
      </right>
      <top style="hair">
        <color indexed="64"/>
      </top>
      <bottom/>
      <diagonal/>
    </border>
    <border>
      <left/>
      <right/>
      <top style="hair">
        <color indexed="64"/>
      </top>
      <bottom/>
      <diagonal/>
    </border>
    <border>
      <left style="thin">
        <color indexed="64"/>
      </left>
      <right/>
      <top style="hair">
        <color indexed="64"/>
      </top>
      <bottom/>
      <diagonal/>
    </border>
    <border>
      <left style="medium">
        <color indexed="64"/>
      </left>
      <right/>
      <top style="hair">
        <color indexed="64"/>
      </top>
      <bottom/>
      <diagonal/>
    </border>
    <border>
      <left style="medium">
        <color indexed="64"/>
      </left>
      <right style="thin">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style="thin">
        <color auto="1"/>
      </bottom>
      <diagonal/>
    </border>
    <border>
      <left/>
      <right/>
      <top style="thin">
        <color auto="1"/>
      </top>
      <bottom style="thin">
        <color theme="0" tint="-0.24994659260841701"/>
      </bottom>
      <diagonal/>
    </border>
    <border>
      <left/>
      <right/>
      <top/>
      <bottom style="thin">
        <color theme="1"/>
      </bottom>
      <diagonal/>
    </border>
    <border>
      <left/>
      <right style="thin">
        <color theme="5" tint="0.59996337778862885"/>
      </right>
      <top/>
      <bottom style="thin">
        <color theme="0" tint="-0.34998626667073579"/>
      </bottom>
      <diagonal/>
    </border>
    <border>
      <left style="thin">
        <color theme="5" tint="0.59996337778862885"/>
      </left>
      <right style="thin">
        <color theme="5" tint="0.59996337778862885"/>
      </right>
      <top/>
      <bottom style="thin">
        <color theme="0" tint="-0.34998626667073579"/>
      </bottom>
      <diagonal/>
    </border>
    <border>
      <left style="thin">
        <color theme="5" tint="0.59996337778862885"/>
      </left>
      <right/>
      <top/>
      <bottom style="thin">
        <color theme="0" tint="-0.34998626667073579"/>
      </bottom>
      <diagonal/>
    </border>
    <border>
      <left/>
      <right style="thin">
        <color theme="7" tint="0.79998168889431442"/>
      </right>
      <top style="thin">
        <color theme="0" tint="-0.34998626667073579"/>
      </top>
      <bottom style="thin">
        <color theme="7" tint="0.79998168889431442"/>
      </bottom>
      <diagonal/>
    </border>
    <border>
      <left/>
      <right style="thin">
        <color theme="0"/>
      </right>
      <top/>
      <bottom style="thick">
        <color theme="0"/>
      </bottom>
      <diagonal/>
    </border>
    <border>
      <left/>
      <right/>
      <top/>
      <bottom style="thick">
        <color theme="0"/>
      </bottom>
      <diagonal/>
    </border>
    <border>
      <left/>
      <right style="thin">
        <color theme="5" tint="0.59996337778862885"/>
      </right>
      <top/>
      <bottom style="thin">
        <color theme="5" tint="0.59996337778862885"/>
      </bottom>
      <diagonal/>
    </border>
    <border>
      <left style="thin">
        <color theme="0" tint="-0.34998626667073579"/>
      </left>
      <right/>
      <top style="thin">
        <color theme="0" tint="-0.34998626667073579"/>
      </top>
      <bottom style="thin">
        <color auto="1"/>
      </bottom>
      <diagonal/>
    </border>
    <border>
      <left/>
      <right style="thin">
        <color theme="0" tint="-0.34998626667073579"/>
      </right>
      <top style="thin">
        <color auto="1"/>
      </top>
      <bottom/>
      <diagonal/>
    </border>
    <border>
      <left style="thin">
        <color theme="7" tint="0.79998168889431442"/>
      </left>
      <right style="thin">
        <color theme="7" tint="0.79998168889431442"/>
      </right>
      <top style="thin">
        <color theme="0"/>
      </top>
      <bottom style="thin">
        <color theme="7" tint="0.79998168889431442"/>
      </bottom>
      <diagonal/>
    </border>
    <border>
      <left style="thin">
        <color theme="0" tint="-0.34998626667073579"/>
      </left>
      <right/>
      <top style="thin">
        <color auto="1"/>
      </top>
      <bottom/>
      <diagonal/>
    </border>
    <border>
      <left/>
      <right style="thin">
        <color theme="0" tint="-0.34998626667073579"/>
      </right>
      <top/>
      <bottom style="thin">
        <color theme="0" tint="-0.34998626667073579"/>
      </bottom>
      <diagonal/>
    </border>
    <border>
      <left/>
      <right style="medium">
        <color auto="1"/>
      </right>
      <top style="medium">
        <color auto="1"/>
      </top>
      <bottom/>
      <diagonal/>
    </border>
    <border>
      <left/>
      <right style="medium">
        <color auto="1"/>
      </right>
      <top/>
      <bottom style="medium">
        <color auto="1"/>
      </bottom>
      <diagonal/>
    </border>
    <border>
      <left style="thin">
        <color theme="0" tint="-0.34998626667073579"/>
      </left>
      <right/>
      <top style="thin">
        <color auto="1"/>
      </top>
      <bottom style="thin">
        <color auto="1"/>
      </bottom>
      <diagonal/>
    </border>
    <border>
      <left/>
      <right style="thin">
        <color theme="0" tint="-0.34998626667073579"/>
      </right>
      <top style="thin">
        <color theme="1" tint="4.9989318521683403E-2"/>
      </top>
      <bottom/>
      <diagonal/>
    </border>
    <border>
      <left/>
      <right style="thin">
        <color theme="0" tint="-0.34998626667073579"/>
      </right>
      <top style="thin">
        <color auto="1"/>
      </top>
      <bottom style="thin">
        <color auto="1"/>
      </bottom>
      <diagonal/>
    </border>
    <border>
      <left style="thin">
        <color theme="5" tint="0.59996337778862885"/>
      </left>
      <right style="thin">
        <color theme="5" tint="0.59996337778862885"/>
      </right>
      <top style="thin">
        <color theme="5" tint="0.59996337778862885"/>
      </top>
      <bottom style="thin">
        <color auto="1"/>
      </bottom>
      <diagonal/>
    </border>
    <border>
      <left/>
      <right/>
      <top style="thin">
        <color theme="0" tint="-0.34998626667073579"/>
      </top>
      <bottom style="thin">
        <color theme="8" tint="0.79998168889431442"/>
      </bottom>
      <diagonal/>
    </border>
    <border>
      <left/>
      <right/>
      <top style="thin">
        <color theme="8" tint="0.79998168889431442"/>
      </top>
      <bottom style="thin">
        <color theme="8" tint="0.79998168889431442"/>
      </bottom>
      <diagonal/>
    </border>
    <border>
      <left/>
      <right/>
      <top style="thin">
        <color theme="8" tint="0.79998168889431442"/>
      </top>
      <bottom/>
      <diagonal/>
    </border>
    <border>
      <left style="thin">
        <color theme="7" tint="0.79998168889431442"/>
      </left>
      <right/>
      <top style="thin">
        <color theme="7" tint="0.79998168889431442"/>
      </top>
      <bottom style="thin">
        <color theme="7" tint="0.79998168889431442"/>
      </bottom>
      <diagonal/>
    </border>
    <border>
      <left style="thin">
        <color theme="7" tint="0.79998168889431442"/>
      </left>
      <right/>
      <top style="thin">
        <color theme="7" tint="0.79998168889431442"/>
      </top>
      <bottom/>
      <diagonal/>
    </border>
    <border>
      <left style="thin">
        <color theme="5" tint="0.79998168889431442"/>
      </left>
      <right/>
      <top style="thin">
        <color indexed="64"/>
      </top>
      <bottom style="thin">
        <color theme="0" tint="-0.34998626667073579"/>
      </bottom>
      <diagonal/>
    </border>
    <border>
      <left style="thin">
        <color theme="5" tint="0.79998168889431442"/>
      </left>
      <right/>
      <top style="thin">
        <color theme="0"/>
      </top>
      <bottom style="thin">
        <color theme="5" tint="0.79998168889431442"/>
      </bottom>
      <diagonal/>
    </border>
    <border>
      <left style="thin">
        <color theme="5" tint="0.79998168889431442"/>
      </left>
      <right/>
      <top style="thin">
        <color theme="5" tint="0.79998168889431442"/>
      </top>
      <bottom style="thin">
        <color theme="5" tint="0.79998168889431442"/>
      </bottom>
      <diagonal/>
    </border>
    <border>
      <left style="thin">
        <color theme="5" tint="0.79998168889431442"/>
      </left>
      <right/>
      <top style="thin">
        <color theme="5" tint="0.79998168889431442"/>
      </top>
      <bottom/>
      <diagonal/>
    </border>
    <border>
      <left/>
      <right style="thin">
        <color theme="0"/>
      </right>
      <top/>
      <bottom style="thin">
        <color rgb="FFA5A5A5"/>
      </bottom>
      <diagonal/>
    </border>
    <border>
      <left/>
      <right/>
      <top style="thin">
        <color theme="0" tint="-0.24994659260841701"/>
      </top>
      <bottom/>
      <diagonal/>
    </border>
  </borders>
  <cellStyleXfs count="172">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1" fillId="15" borderId="0" applyNumberFormat="0" applyBorder="0" applyAlignment="0" applyProtection="0"/>
    <xf numFmtId="0" fontId="6" fillId="0" borderId="0" applyNumberFormat="0" applyFill="0" applyBorder="0" applyAlignment="0" applyProtection="0">
      <alignment vertical="top"/>
      <protection locked="0"/>
    </xf>
    <xf numFmtId="0" fontId="16" fillId="15" borderId="0" applyNumberFormat="0" applyBorder="0" applyAlignment="0" applyProtection="0"/>
    <xf numFmtId="173" fontId="17" fillId="0" borderId="0" applyNumberFormat="0" applyFill="0" applyBorder="0" applyAlignment="0" applyProtection="0"/>
    <xf numFmtId="43" fontId="27" fillId="0" borderId="0" applyFont="0" applyFill="0" applyBorder="0" applyAlignment="0" applyProtection="0"/>
    <xf numFmtId="0" fontId="28" fillId="0" borderId="0"/>
    <xf numFmtId="0" fontId="29" fillId="0" borderId="0"/>
    <xf numFmtId="0" fontId="27" fillId="0" borderId="0"/>
    <xf numFmtId="0" fontId="16" fillId="0" borderId="0"/>
    <xf numFmtId="0" fontId="16" fillId="0" borderId="0"/>
    <xf numFmtId="0" fontId="16" fillId="0" borderId="0"/>
    <xf numFmtId="0" fontId="16" fillId="0" borderId="0"/>
    <xf numFmtId="0" fontId="24" fillId="0" borderId="0"/>
    <xf numFmtId="0" fontId="92" fillId="3" borderId="1" applyNumberFormat="0" applyAlignment="0" applyProtection="0"/>
    <xf numFmtId="164" fontId="24" fillId="0" borderId="0" applyFont="0" applyFill="0" applyBorder="0" applyAlignment="0" applyProtection="0"/>
    <xf numFmtId="168" fontId="53" fillId="0" borderId="0" applyFont="0" applyFill="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99" fillId="0" borderId="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6" fillId="0" borderId="0"/>
    <xf numFmtId="0" fontId="16" fillId="0" borderId="0"/>
    <xf numFmtId="0" fontId="16" fillId="0" borderId="0"/>
    <xf numFmtId="0" fontId="1" fillId="0" borderId="0"/>
    <xf numFmtId="0" fontId="16" fillId="4" borderId="2" applyNumberFormat="0" applyFont="0" applyAlignment="0" applyProtection="0"/>
    <xf numFmtId="0" fontId="16" fillId="4" borderId="2" applyNumberFormat="0" applyFont="0" applyAlignment="0" applyProtection="0"/>
    <xf numFmtId="0" fontId="16" fillId="4" borderId="2" applyNumberFormat="0" applyFont="0" applyAlignment="0" applyProtection="0"/>
    <xf numFmtId="0" fontId="9" fillId="0" borderId="258" applyNumberFormat="0">
      <alignment horizontal="left" vertical="center"/>
    </xf>
    <xf numFmtId="0" fontId="27" fillId="57" borderId="74"/>
    <xf numFmtId="189" fontId="27" fillId="0" borderId="0"/>
    <xf numFmtId="0" fontId="124" fillId="58" borderId="0" applyNumberFormat="0" applyBorder="0" applyAlignment="0" applyProtection="0"/>
  </cellStyleXfs>
  <cellXfs count="4171">
    <xf numFmtId="0" fontId="0" fillId="0" borderId="0" xfId="0"/>
    <xf numFmtId="0" fontId="4" fillId="0" borderId="0" xfId="0" applyFont="1"/>
    <xf numFmtId="0" fontId="0" fillId="0" borderId="0" xfId="0" applyFont="1"/>
    <xf numFmtId="0" fontId="5" fillId="0" borderId="0" xfId="0" applyFont="1" applyAlignment="1">
      <alignment vertical="center"/>
    </xf>
    <xf numFmtId="0" fontId="0" fillId="0" borderId="0" xfId="0" applyFont="1" applyAlignment="1">
      <alignment vertical="center"/>
    </xf>
    <xf numFmtId="0" fontId="6" fillId="0" borderId="0" xfId="6" applyAlignment="1" applyProtection="1">
      <alignment vertical="center"/>
    </xf>
    <xf numFmtId="0" fontId="0" fillId="0" borderId="0" xfId="0" applyAlignment="1">
      <alignment vertical="center"/>
    </xf>
    <xf numFmtId="0" fontId="7" fillId="0" borderId="0" xfId="0" applyFont="1"/>
    <xf numFmtId="0" fontId="8" fillId="17" borderId="3" xfId="0" applyFont="1" applyFill="1" applyBorder="1" applyAlignment="1">
      <alignment horizontal="left" vertical="center" indent="1"/>
    </xf>
    <xf numFmtId="0" fontId="0" fillId="17" borderId="4" xfId="0" applyFont="1" applyFill="1" applyBorder="1"/>
    <xf numFmtId="0" fontId="0" fillId="17" borderId="5" xfId="0" applyFont="1" applyFill="1" applyBorder="1"/>
    <xf numFmtId="0" fontId="0" fillId="18" borderId="6" xfId="0" applyFont="1" applyFill="1" applyBorder="1"/>
    <xf numFmtId="0" fontId="0" fillId="18" borderId="0" xfId="0" applyFont="1" applyFill="1" applyBorder="1"/>
    <xf numFmtId="0" fontId="0" fillId="18" borderId="7" xfId="0" applyFont="1" applyFill="1" applyBorder="1"/>
    <xf numFmtId="0" fontId="0" fillId="18" borderId="0" xfId="0" applyFont="1" applyFill="1" applyBorder="1" applyAlignment="1">
      <alignment horizontal="right"/>
    </xf>
    <xf numFmtId="0" fontId="5" fillId="18" borderId="6" xfId="0" applyFont="1" applyFill="1" applyBorder="1"/>
    <xf numFmtId="0" fontId="9" fillId="18" borderId="8" xfId="0" applyFont="1" applyFill="1" applyBorder="1" applyAlignment="1">
      <alignment vertical="center"/>
    </xf>
    <xf numFmtId="0" fontId="0" fillId="18" borderId="0" xfId="0" applyFill="1" applyBorder="1" applyAlignment="1">
      <alignment vertical="center"/>
    </xf>
    <xf numFmtId="0" fontId="0" fillId="18" borderId="0" xfId="0" applyFont="1" applyFill="1" applyBorder="1" applyAlignment="1">
      <alignment vertical="center"/>
    </xf>
    <xf numFmtId="0" fontId="5" fillId="18" borderId="6" xfId="0" applyFont="1" applyFill="1" applyBorder="1" applyAlignment="1">
      <alignment vertical="center"/>
    </xf>
    <xf numFmtId="0" fontId="0" fillId="18" borderId="7" xfId="0" applyFont="1" applyFill="1" applyBorder="1" applyAlignment="1">
      <alignment vertical="center"/>
    </xf>
    <xf numFmtId="0" fontId="0" fillId="18" borderId="9" xfId="0" applyFont="1" applyFill="1" applyBorder="1" applyAlignment="1">
      <alignment vertical="center"/>
    </xf>
    <xf numFmtId="164" fontId="0" fillId="18" borderId="0" xfId="1" applyNumberFormat="1" applyFont="1" applyFill="1" applyBorder="1" applyAlignment="1">
      <alignment vertical="center"/>
    </xf>
    <xf numFmtId="0" fontId="9" fillId="18" borderId="0" xfId="0" applyFont="1" applyFill="1" applyBorder="1" applyAlignment="1">
      <alignment vertical="center"/>
    </xf>
    <xf numFmtId="0" fontId="0" fillId="18" borderId="10" xfId="0" applyFont="1" applyFill="1" applyBorder="1" applyAlignment="1">
      <alignment vertical="center"/>
    </xf>
    <xf numFmtId="0" fontId="0" fillId="18" borderId="11" xfId="0" applyFont="1" applyFill="1" applyBorder="1" applyAlignment="1">
      <alignment horizontal="centerContinuous" vertical="center"/>
    </xf>
    <xf numFmtId="164" fontId="0" fillId="18" borderId="11" xfId="1" applyNumberFormat="1" applyFont="1" applyFill="1" applyBorder="1" applyAlignment="1">
      <alignment horizontal="centerContinuous" vertical="center"/>
    </xf>
    <xf numFmtId="165" fontId="9" fillId="18" borderId="0" xfId="1" applyNumberFormat="1" applyFont="1" applyFill="1" applyBorder="1" applyAlignment="1">
      <alignment horizontal="centerContinuous" vertical="center"/>
    </xf>
    <xf numFmtId="0" fontId="0" fillId="18" borderId="12" xfId="0" applyFont="1" applyFill="1" applyBorder="1" applyAlignment="1">
      <alignment vertical="center"/>
    </xf>
    <xf numFmtId="0" fontId="0" fillId="18" borderId="12" xfId="0" applyFont="1" applyFill="1" applyBorder="1" applyAlignment="1">
      <alignment horizontal="center" vertical="center"/>
    </xf>
    <xf numFmtId="164" fontId="0" fillId="18" borderId="12" xfId="1" applyNumberFormat="1" applyFont="1" applyFill="1" applyBorder="1" applyAlignment="1">
      <alignment horizontal="center" vertical="center"/>
    </xf>
    <xf numFmtId="0" fontId="0" fillId="18" borderId="0" xfId="0" applyFont="1" applyFill="1" applyBorder="1" applyAlignment="1">
      <alignment horizontal="center" vertical="center"/>
    </xf>
    <xf numFmtId="0" fontId="0" fillId="18" borderId="13" xfId="0" applyFont="1" applyFill="1" applyBorder="1" applyAlignment="1">
      <alignment vertical="center"/>
    </xf>
    <xf numFmtId="0" fontId="0" fillId="18" borderId="13" xfId="0" applyFont="1" applyFill="1" applyBorder="1" applyAlignment="1">
      <alignment horizontal="center" vertical="center"/>
    </xf>
    <xf numFmtId="0" fontId="9" fillId="18" borderId="0" xfId="0" applyFont="1" applyFill="1" applyBorder="1"/>
    <xf numFmtId="0" fontId="5" fillId="18" borderId="0" xfId="0" applyFont="1" applyFill="1" applyBorder="1"/>
    <xf numFmtId="0" fontId="9" fillId="18" borderId="8" xfId="0" applyNumberFormat="1" applyFont="1" applyFill="1" applyBorder="1" applyAlignment="1">
      <alignment vertical="center"/>
    </xf>
    <xf numFmtId="166" fontId="0" fillId="18" borderId="9" xfId="1" applyNumberFormat="1" applyFont="1" applyFill="1" applyBorder="1" applyAlignment="1">
      <alignment vertical="center"/>
    </xf>
    <xf numFmtId="0" fontId="0" fillId="0" borderId="0" xfId="0" applyFont="1" applyFill="1"/>
    <xf numFmtId="0" fontId="0" fillId="0" borderId="0" xfId="0" applyFill="1"/>
    <xf numFmtId="0" fontId="7" fillId="0" borderId="0" xfId="0" applyFont="1" applyAlignment="1">
      <alignment vertical="center"/>
    </xf>
    <xf numFmtId="0" fontId="8" fillId="20" borderId="3" xfId="0" applyFont="1" applyFill="1" applyBorder="1" applyAlignment="1">
      <alignment horizontal="left" vertical="center" indent="1"/>
    </xf>
    <xf numFmtId="0" fontId="0" fillId="20" borderId="4" xfId="0" applyFont="1" applyFill="1" applyBorder="1" applyAlignment="1">
      <alignment vertical="center"/>
    </xf>
    <xf numFmtId="0" fontId="0" fillId="20" borderId="0" xfId="0" applyFill="1"/>
    <xf numFmtId="0" fontId="0" fillId="20" borderId="5" xfId="0" applyFont="1" applyFill="1" applyBorder="1" applyAlignment="1">
      <alignment vertical="center"/>
    </xf>
    <xf numFmtId="0" fontId="0" fillId="21" borderId="6" xfId="0" applyFont="1" applyFill="1" applyBorder="1"/>
    <xf numFmtId="0" fontId="0" fillId="21" borderId="0" xfId="0" applyFont="1" applyFill="1" applyBorder="1"/>
    <xf numFmtId="0" fontId="0" fillId="21" borderId="0" xfId="0" applyFill="1"/>
    <xf numFmtId="0" fontId="0" fillId="21" borderId="7" xfId="0" applyFont="1" applyFill="1" applyBorder="1"/>
    <xf numFmtId="0" fontId="9" fillId="21" borderId="0" xfId="0" applyFont="1" applyFill="1" applyBorder="1"/>
    <xf numFmtId="0" fontId="0" fillId="21" borderId="0" xfId="0" quotePrefix="1" applyFont="1" applyFill="1" applyBorder="1" applyAlignment="1">
      <alignment horizontal="right"/>
    </xf>
    <xf numFmtId="0" fontId="0" fillId="21" borderId="0" xfId="0" applyFill="1" applyBorder="1" applyAlignment="1">
      <alignment horizontal="right"/>
    </xf>
    <xf numFmtId="0" fontId="9" fillId="21" borderId="8" xfId="0" applyFont="1" applyFill="1" applyBorder="1" applyAlignment="1">
      <alignment vertical="center"/>
    </xf>
    <xf numFmtId="0" fontId="9" fillId="21" borderId="8" xfId="0" applyNumberFormat="1" applyFont="1" applyFill="1" applyBorder="1" applyAlignment="1">
      <alignment horizontal="right" vertical="center"/>
    </xf>
    <xf numFmtId="0" fontId="9" fillId="21" borderId="0" xfId="0" applyNumberFormat="1" applyFont="1" applyFill="1" applyBorder="1" applyAlignment="1">
      <alignment horizontal="right" vertical="center"/>
    </xf>
    <xf numFmtId="0" fontId="5" fillId="21" borderId="6" xfId="0" applyFont="1" applyFill="1" applyBorder="1"/>
    <xf numFmtId="0" fontId="0" fillId="21" borderId="0" xfId="0" applyNumberFormat="1" applyFont="1" applyFill="1" applyBorder="1" applyAlignment="1">
      <alignment vertical="center"/>
    </xf>
    <xf numFmtId="0" fontId="0" fillId="21" borderId="0" xfId="0" applyFont="1" applyFill="1" applyBorder="1" applyAlignment="1">
      <alignment vertical="center"/>
    </xf>
    <xf numFmtId="10" fontId="0" fillId="21" borderId="0" xfId="3" applyNumberFormat="1" applyFont="1" applyFill="1" applyBorder="1" applyAlignment="1">
      <alignment vertical="center"/>
    </xf>
    <xf numFmtId="164" fontId="0" fillId="21" borderId="0" xfId="1" applyNumberFormat="1" applyFont="1" applyFill="1" applyBorder="1" applyAlignment="1">
      <alignment vertical="center"/>
    </xf>
    <xf numFmtId="164" fontId="0" fillId="21" borderId="0" xfId="1" applyNumberFormat="1" applyFont="1" applyFill="1" applyBorder="1" applyAlignment="1">
      <alignment horizontal="right" vertical="center"/>
    </xf>
    <xf numFmtId="0" fontId="0" fillId="21" borderId="9" xfId="0" applyNumberFormat="1" applyFont="1" applyFill="1" applyBorder="1" applyAlignment="1">
      <alignment vertical="center"/>
    </xf>
    <xf numFmtId="0" fontId="0" fillId="21" borderId="9" xfId="0" applyFont="1" applyFill="1" applyBorder="1" applyAlignment="1">
      <alignment vertical="center"/>
    </xf>
    <xf numFmtId="0" fontId="0" fillId="21" borderId="14" xfId="0" applyNumberFormat="1" applyFill="1" applyBorder="1" applyAlignment="1">
      <alignment horizontal="left" vertical="center"/>
    </xf>
    <xf numFmtId="0" fontId="0" fillId="21" borderId="14" xfId="0" applyFont="1" applyFill="1" applyBorder="1" applyAlignment="1">
      <alignment vertical="center"/>
    </xf>
    <xf numFmtId="0" fontId="0" fillId="21" borderId="0" xfId="0" applyNumberFormat="1" applyFill="1" applyBorder="1" applyAlignment="1">
      <alignment vertical="center"/>
    </xf>
    <xf numFmtId="0" fontId="0" fillId="21" borderId="0" xfId="0" applyFont="1" applyFill="1" applyBorder="1" applyAlignment="1">
      <alignment horizontal="right" vertical="center"/>
    </xf>
    <xf numFmtId="0" fontId="0" fillId="21" borderId="0" xfId="0" applyFill="1" applyBorder="1"/>
    <xf numFmtId="168" fontId="10" fillId="21" borderId="0" xfId="3" applyNumberFormat="1" applyFont="1" applyFill="1" applyBorder="1" applyAlignment="1">
      <alignment vertical="center"/>
    </xf>
    <xf numFmtId="0" fontId="0" fillId="21" borderId="14" xfId="0" applyNumberFormat="1" applyFont="1" applyFill="1" applyBorder="1" applyAlignment="1">
      <alignment horizontal="center" vertical="center"/>
    </xf>
    <xf numFmtId="9" fontId="0" fillId="21" borderId="14" xfId="3" applyFont="1" applyFill="1" applyBorder="1" applyAlignment="1">
      <alignment vertical="center"/>
    </xf>
    <xf numFmtId="9" fontId="0" fillId="21" borderId="0" xfId="3" applyFont="1" applyFill="1" applyBorder="1" applyAlignment="1">
      <alignment horizontal="right" vertical="center"/>
    </xf>
    <xf numFmtId="0" fontId="9" fillId="21" borderId="8" xfId="0" applyFont="1" applyFill="1" applyBorder="1" applyAlignment="1">
      <alignment horizontal="right" vertical="center"/>
    </xf>
    <xf numFmtId="10" fontId="0" fillId="21" borderId="0" xfId="3" applyNumberFormat="1" applyFont="1" applyFill="1" applyBorder="1" applyAlignment="1">
      <alignment horizontal="right" vertical="center"/>
    </xf>
    <xf numFmtId="10" fontId="0" fillId="21" borderId="0" xfId="0" applyNumberFormat="1" applyFont="1" applyFill="1" applyBorder="1" applyAlignment="1">
      <alignment vertical="center"/>
    </xf>
    <xf numFmtId="169" fontId="0" fillId="21" borderId="15" xfId="1" applyNumberFormat="1" applyFont="1" applyFill="1" applyBorder="1" applyAlignment="1">
      <alignment vertical="center"/>
    </xf>
    <xf numFmtId="169" fontId="0" fillId="21" borderId="0" xfId="1" applyNumberFormat="1" applyFont="1" applyFill="1" applyBorder="1" applyAlignment="1">
      <alignment vertical="center"/>
    </xf>
    <xf numFmtId="9" fontId="0" fillId="21" borderId="0" xfId="3" applyFont="1" applyFill="1" applyBorder="1"/>
    <xf numFmtId="9" fontId="0" fillId="21" borderId="0" xfId="0" applyNumberFormat="1" applyFont="1" applyFill="1" applyBorder="1" applyAlignment="1">
      <alignment vertical="center"/>
    </xf>
    <xf numFmtId="169" fontId="0" fillId="21" borderId="15" xfId="1" applyNumberFormat="1" applyFont="1" applyFill="1" applyBorder="1" applyAlignment="1">
      <alignment horizontal="right" vertical="center"/>
    </xf>
    <xf numFmtId="169" fontId="0" fillId="21" borderId="0" xfId="1" applyNumberFormat="1" applyFont="1" applyFill="1" applyBorder="1" applyAlignment="1">
      <alignment horizontal="right" vertical="center"/>
    </xf>
    <xf numFmtId="10" fontId="0" fillId="21" borderId="9" xfId="3" applyNumberFormat="1" applyFont="1" applyFill="1" applyBorder="1" applyAlignment="1">
      <alignment horizontal="right" vertical="center"/>
    </xf>
    <xf numFmtId="169" fontId="0" fillId="21" borderId="16" xfId="1" applyNumberFormat="1" applyFont="1" applyFill="1" applyBorder="1" applyAlignment="1">
      <alignment horizontal="right" vertical="center"/>
    </xf>
    <xf numFmtId="169" fontId="0" fillId="21" borderId="9" xfId="1" applyNumberFormat="1" applyFont="1" applyFill="1" applyBorder="1" applyAlignment="1">
      <alignment horizontal="right" vertical="center"/>
    </xf>
    <xf numFmtId="164" fontId="0" fillId="21" borderId="14" xfId="1" applyNumberFormat="1" applyFont="1" applyFill="1" applyBorder="1" applyAlignment="1">
      <alignment vertical="center"/>
    </xf>
    <xf numFmtId="0" fontId="11" fillId="21" borderId="0" xfId="0" applyFont="1" applyFill="1" applyBorder="1"/>
    <xf numFmtId="0" fontId="0" fillId="0" borderId="0" xfId="0" applyFont="1" applyFill="1" applyBorder="1"/>
    <xf numFmtId="0" fontId="0" fillId="21" borderId="0" xfId="0" applyNumberFormat="1" applyFont="1" applyFill="1" applyBorder="1"/>
    <xf numFmtId="0" fontId="12" fillId="21" borderId="0" xfId="0" applyFont="1" applyFill="1" applyBorder="1" applyAlignment="1">
      <alignment vertical="center"/>
    </xf>
    <xf numFmtId="0" fontId="9" fillId="21" borderId="0" xfId="0" applyNumberFormat="1" applyFont="1" applyFill="1" applyBorder="1" applyAlignment="1">
      <alignment vertical="center"/>
    </xf>
    <xf numFmtId="0" fontId="0" fillId="21" borderId="0" xfId="0" quotePrefix="1" applyFont="1" applyFill="1" applyBorder="1" applyAlignment="1">
      <alignment horizontal="right" vertical="center"/>
    </xf>
    <xf numFmtId="0" fontId="9" fillId="21" borderId="7" xfId="0" applyNumberFormat="1" applyFont="1" applyFill="1" applyBorder="1" applyAlignment="1">
      <alignment horizontal="right" vertical="center"/>
    </xf>
    <xf numFmtId="0" fontId="13" fillId="21" borderId="8" xfId="0" applyNumberFormat="1" applyFont="1" applyFill="1" applyBorder="1" applyAlignment="1">
      <alignment horizontal="right" vertical="center"/>
    </xf>
    <xf numFmtId="168" fontId="0" fillId="21" borderId="0" xfId="3" applyNumberFormat="1" applyFont="1" applyFill="1" applyBorder="1" applyAlignment="1">
      <alignment vertical="center"/>
    </xf>
    <xf numFmtId="9" fontId="0" fillId="21" borderId="0" xfId="3" applyNumberFormat="1" applyFont="1" applyFill="1" applyBorder="1" applyAlignment="1">
      <alignment vertical="center"/>
    </xf>
    <xf numFmtId="9" fontId="0" fillId="21" borderId="7" xfId="3" applyNumberFormat="1" applyFont="1" applyFill="1" applyBorder="1" applyAlignment="1">
      <alignment vertical="center"/>
    </xf>
    <xf numFmtId="9" fontId="0" fillId="21" borderId="0" xfId="3" applyNumberFormat="1" applyFont="1" applyFill="1" applyBorder="1" applyAlignment="1">
      <alignment horizontal="right" vertical="center"/>
    </xf>
    <xf numFmtId="9" fontId="0" fillId="21" borderId="7" xfId="3" applyNumberFormat="1" applyFont="1" applyFill="1" applyBorder="1" applyAlignment="1">
      <alignment horizontal="right" vertical="center"/>
    </xf>
    <xf numFmtId="168" fontId="0" fillId="21" borderId="9" xfId="3" applyNumberFormat="1" applyFont="1" applyFill="1" applyBorder="1" applyAlignment="1">
      <alignment vertical="center"/>
    </xf>
    <xf numFmtId="9" fontId="0" fillId="21" borderId="9" xfId="3" applyNumberFormat="1" applyFont="1" applyFill="1" applyBorder="1" applyAlignment="1">
      <alignment vertical="center"/>
    </xf>
    <xf numFmtId="9" fontId="0" fillId="21" borderId="9" xfId="3" applyNumberFormat="1" applyFont="1" applyFill="1" applyBorder="1" applyAlignment="1">
      <alignment horizontal="right" vertical="center"/>
    </xf>
    <xf numFmtId="0" fontId="0" fillId="21" borderId="14" xfId="0" applyNumberFormat="1" applyFont="1" applyFill="1" applyBorder="1" applyAlignment="1">
      <alignment vertical="center"/>
    </xf>
    <xf numFmtId="168" fontId="0" fillId="21" borderId="14" xfId="3" applyNumberFormat="1" applyFont="1" applyFill="1" applyBorder="1" applyAlignment="1">
      <alignment vertical="center"/>
    </xf>
    <xf numFmtId="168" fontId="0" fillId="21" borderId="7" xfId="3" applyNumberFormat="1" applyFont="1" applyFill="1" applyBorder="1" applyAlignment="1">
      <alignment vertical="center"/>
    </xf>
    <xf numFmtId="0" fontId="0" fillId="21" borderId="0" xfId="0" applyFont="1" applyFill="1" applyBorder="1" applyAlignment="1">
      <alignment horizontal="right"/>
    </xf>
    <xf numFmtId="0" fontId="0" fillId="21" borderId="11" xfId="0" applyNumberFormat="1" applyFont="1" applyFill="1" applyBorder="1" applyAlignment="1">
      <alignment vertical="center"/>
    </xf>
    <xf numFmtId="0" fontId="0" fillId="21" borderId="11" xfId="0" applyFont="1" applyFill="1" applyBorder="1" applyAlignment="1">
      <alignment vertical="center"/>
    </xf>
    <xf numFmtId="168" fontId="0" fillId="21" borderId="11" xfId="0" applyNumberFormat="1" applyFont="1" applyFill="1" applyBorder="1" applyAlignment="1">
      <alignment vertical="center"/>
    </xf>
    <xf numFmtId="0" fontId="0" fillId="21" borderId="0" xfId="0" applyFill="1" applyBorder="1" applyAlignment="1">
      <alignment vertical="center"/>
    </xf>
    <xf numFmtId="0" fontId="0" fillId="21" borderId="0" xfId="0" applyNumberFormat="1" applyFill="1" applyBorder="1" applyAlignment="1">
      <alignment horizontal="right" vertical="center"/>
    </xf>
    <xf numFmtId="0" fontId="0" fillId="21" borderId="6" xfId="0" applyFill="1" applyBorder="1"/>
    <xf numFmtId="0" fontId="0" fillId="21" borderId="18" xfId="0" applyFont="1" applyFill="1" applyBorder="1"/>
    <xf numFmtId="0" fontId="0" fillId="21" borderId="17" xfId="0" applyFont="1" applyFill="1" applyBorder="1" applyAlignment="1">
      <alignment vertical="center"/>
    </xf>
    <xf numFmtId="164" fontId="0" fillId="21" borderId="17" xfId="1" applyNumberFormat="1" applyFont="1" applyFill="1" applyBorder="1" applyAlignment="1">
      <alignment vertical="center"/>
    </xf>
    <xf numFmtId="0" fontId="0" fillId="21" borderId="17" xfId="0" applyFont="1" applyFill="1" applyBorder="1" applyAlignment="1">
      <alignment horizontal="right" vertical="center"/>
    </xf>
    <xf numFmtId="0" fontId="0" fillId="21" borderId="17" xfId="0" applyFont="1" applyFill="1" applyBorder="1"/>
    <xf numFmtId="0" fontId="9" fillId="21" borderId="19" xfId="0" applyFont="1" applyFill="1" applyBorder="1" applyAlignment="1">
      <alignment vertical="center"/>
    </xf>
    <xf numFmtId="0" fontId="9" fillId="21" borderId="19" xfId="0" applyNumberFormat="1" applyFont="1" applyFill="1" applyBorder="1" applyAlignment="1">
      <alignment horizontal="right" vertical="center"/>
    </xf>
    <xf numFmtId="0" fontId="0" fillId="21" borderId="20" xfId="0" applyFont="1" applyFill="1" applyBorder="1" applyAlignment="1">
      <alignment vertical="center"/>
    </xf>
    <xf numFmtId="164" fontId="0" fillId="21" borderId="21" xfId="1" applyNumberFormat="1" applyFont="1" applyFill="1" applyBorder="1" applyAlignment="1">
      <alignment horizontal="right" vertical="center"/>
    </xf>
    <xf numFmtId="164" fontId="0" fillId="21" borderId="22" xfId="1" applyNumberFormat="1" applyFont="1" applyFill="1" applyBorder="1" applyAlignment="1">
      <alignment horizontal="right" vertical="center"/>
    </xf>
    <xf numFmtId="164" fontId="0" fillId="21" borderId="20" xfId="1" applyNumberFormat="1" applyFont="1" applyFill="1" applyBorder="1" applyAlignment="1">
      <alignment horizontal="right" vertical="center"/>
    </xf>
    <xf numFmtId="0" fontId="9" fillId="21" borderId="0" xfId="0" applyFont="1" applyFill="1" applyBorder="1" applyAlignment="1">
      <alignment vertical="center"/>
    </xf>
    <xf numFmtId="164" fontId="0" fillId="21" borderId="23" xfId="1" applyNumberFormat="1" applyFont="1" applyFill="1" applyBorder="1" applyAlignment="1">
      <alignment horizontal="right" vertical="center"/>
    </xf>
    <xf numFmtId="164" fontId="0" fillId="21" borderId="15" xfId="1" applyNumberFormat="1" applyFont="1" applyFill="1" applyBorder="1" applyAlignment="1">
      <alignment horizontal="right" vertical="center"/>
    </xf>
    <xf numFmtId="0" fontId="0" fillId="21" borderId="13" xfId="0" applyFont="1" applyFill="1" applyBorder="1" applyAlignment="1">
      <alignment vertical="center"/>
    </xf>
    <xf numFmtId="0" fontId="9" fillId="21" borderId="13" xfId="0" applyFont="1" applyFill="1" applyBorder="1" applyAlignment="1">
      <alignment vertical="center"/>
    </xf>
    <xf numFmtId="164" fontId="0" fillId="21" borderId="24" xfId="1" applyNumberFormat="1" applyFont="1" applyFill="1" applyBorder="1" applyAlignment="1">
      <alignment horizontal="right" vertical="center"/>
    </xf>
    <xf numFmtId="164" fontId="0" fillId="21" borderId="25" xfId="1" applyNumberFormat="1" applyFont="1" applyFill="1" applyBorder="1" applyAlignment="1">
      <alignment horizontal="right" vertical="center"/>
    </xf>
    <xf numFmtId="164" fontId="0" fillId="21" borderId="13" xfId="1" applyNumberFormat="1" applyFont="1" applyFill="1" applyBorder="1" applyAlignment="1">
      <alignment horizontal="right" vertical="center"/>
    </xf>
    <xf numFmtId="0" fontId="9" fillId="21" borderId="11" xfId="0" applyFont="1" applyFill="1" applyBorder="1" applyAlignment="1">
      <alignment vertical="center"/>
    </xf>
    <xf numFmtId="164" fontId="0" fillId="21" borderId="11" xfId="1" applyNumberFormat="1" applyFont="1" applyFill="1" applyBorder="1" applyAlignment="1">
      <alignment horizontal="right" vertical="center"/>
    </xf>
    <xf numFmtId="169" fontId="0" fillId="21" borderId="20" xfId="1" applyNumberFormat="1" applyFont="1" applyFill="1" applyBorder="1" applyAlignment="1">
      <alignment horizontal="right" vertical="center"/>
    </xf>
    <xf numFmtId="169" fontId="0" fillId="21" borderId="13" xfId="1" applyNumberFormat="1" applyFont="1" applyFill="1" applyBorder="1" applyAlignment="1">
      <alignment horizontal="right" vertical="center"/>
    </xf>
    <xf numFmtId="11" fontId="9" fillId="21" borderId="0" xfId="1" applyNumberFormat="1" applyFont="1" applyFill="1" applyBorder="1" applyAlignment="1">
      <alignment horizontal="right" vertical="center"/>
    </xf>
    <xf numFmtId="0" fontId="9" fillId="21" borderId="6" xfId="0" applyFont="1" applyFill="1" applyBorder="1"/>
    <xf numFmtId="0" fontId="14" fillId="21" borderId="19" xfId="0" applyFont="1" applyFill="1" applyBorder="1" applyAlignment="1">
      <alignment horizontal="center" vertical="center" wrapText="1"/>
    </xf>
    <xf numFmtId="0" fontId="9" fillId="21" borderId="26" xfId="0" applyFont="1" applyFill="1" applyBorder="1" applyAlignment="1">
      <alignment horizontal="right" vertical="center"/>
    </xf>
    <xf numFmtId="0" fontId="9" fillId="21" borderId="0" xfId="0" applyFont="1" applyFill="1" applyBorder="1" applyAlignment="1">
      <alignment horizontal="right" vertical="center"/>
    </xf>
    <xf numFmtId="0" fontId="9" fillId="21" borderId="12" xfId="0" applyFont="1" applyFill="1" applyBorder="1" applyAlignment="1">
      <alignment vertical="center"/>
    </xf>
    <xf numFmtId="0" fontId="15" fillId="21" borderId="12" xfId="0" applyFont="1" applyFill="1" applyBorder="1" applyAlignment="1">
      <alignment horizontal="center" vertical="center" wrapText="1"/>
    </xf>
    <xf numFmtId="0" fontId="14" fillId="21" borderId="27" xfId="0" applyFont="1" applyFill="1" applyBorder="1" applyAlignment="1">
      <alignment horizontal="center" vertical="center" wrapText="1"/>
    </xf>
    <xf numFmtId="0" fontId="14" fillId="21" borderId="0" xfId="0" applyFont="1" applyFill="1" applyBorder="1" applyAlignment="1">
      <alignment horizontal="center" vertical="center" wrapText="1"/>
    </xf>
    <xf numFmtId="164" fontId="0" fillId="21" borderId="15" xfId="1" applyNumberFormat="1" applyFont="1" applyFill="1" applyBorder="1" applyAlignment="1">
      <alignment vertical="center"/>
    </xf>
    <xf numFmtId="168" fontId="0" fillId="21" borderId="9" xfId="3" applyNumberFormat="1" applyFont="1" applyFill="1" applyBorder="1" applyAlignment="1">
      <alignment horizontal="right" vertical="center"/>
    </xf>
    <xf numFmtId="164" fontId="0" fillId="21" borderId="16" xfId="1" applyNumberFormat="1" applyFont="1" applyFill="1" applyBorder="1" applyAlignment="1">
      <alignment horizontal="right" vertical="center"/>
    </xf>
    <xf numFmtId="0" fontId="0" fillId="21" borderId="13" xfId="0" applyNumberFormat="1" applyFont="1" applyFill="1" applyBorder="1" applyAlignment="1">
      <alignment vertical="center"/>
    </xf>
    <xf numFmtId="168" fontId="0" fillId="21" borderId="13" xfId="3" applyNumberFormat="1" applyFont="1" applyFill="1" applyBorder="1" applyAlignment="1">
      <alignment vertical="center"/>
    </xf>
    <xf numFmtId="164" fontId="0" fillId="21" borderId="25" xfId="1" applyNumberFormat="1" applyFont="1" applyFill="1" applyBorder="1" applyAlignment="1">
      <alignment vertical="center"/>
    </xf>
    <xf numFmtId="0" fontId="9" fillId="21" borderId="28" xfId="0" applyNumberFormat="1" applyFont="1" applyFill="1" applyBorder="1" applyAlignment="1">
      <alignment horizontal="right" vertical="center"/>
    </xf>
    <xf numFmtId="0" fontId="9" fillId="21" borderId="28" xfId="0" applyNumberFormat="1" applyFont="1" applyFill="1" applyBorder="1" applyAlignment="1">
      <alignment horizontal="left" vertical="center"/>
    </xf>
    <xf numFmtId="0" fontId="9" fillId="21" borderId="0" xfId="0" applyNumberFormat="1" applyFont="1" applyFill="1" applyBorder="1" applyAlignment="1">
      <alignment horizontal="left" vertical="center"/>
    </xf>
    <xf numFmtId="9" fontId="0" fillId="21" borderId="15" xfId="3" applyNumberFormat="1" applyFont="1" applyFill="1" applyBorder="1" applyAlignment="1">
      <alignment vertical="center"/>
    </xf>
    <xf numFmtId="1" fontId="0" fillId="21" borderId="15" xfId="1" applyNumberFormat="1" applyFont="1" applyFill="1" applyBorder="1" applyAlignment="1">
      <alignment vertical="center"/>
    </xf>
    <xf numFmtId="170" fontId="0" fillId="21" borderId="0" xfId="0" applyNumberFormat="1" applyFont="1" applyFill="1" applyBorder="1"/>
    <xf numFmtId="9" fontId="0" fillId="21" borderId="15" xfId="3" applyNumberFormat="1" applyFont="1" applyFill="1" applyBorder="1" applyAlignment="1">
      <alignment horizontal="right" vertical="center"/>
    </xf>
    <xf numFmtId="9" fontId="0" fillId="21" borderId="16" xfId="3" applyNumberFormat="1" applyFont="1" applyFill="1" applyBorder="1" applyAlignment="1">
      <alignment horizontal="right" vertical="center"/>
    </xf>
    <xf numFmtId="1" fontId="0" fillId="21" borderId="25" xfId="1" applyNumberFormat="1" applyFont="1" applyFill="1" applyBorder="1" applyAlignment="1">
      <alignment vertical="center"/>
    </xf>
    <xf numFmtId="9" fontId="0" fillId="21" borderId="13" xfId="3" applyNumberFormat="1" applyFont="1" applyFill="1" applyBorder="1" applyAlignment="1">
      <alignment vertical="center"/>
    </xf>
    <xf numFmtId="9" fontId="0" fillId="21" borderId="25" xfId="3" applyNumberFormat="1" applyFont="1" applyFill="1" applyBorder="1" applyAlignment="1">
      <alignment vertical="center"/>
    </xf>
    <xf numFmtId="9" fontId="0" fillId="21" borderId="0" xfId="0" applyNumberFormat="1" applyFont="1" applyFill="1" applyBorder="1"/>
    <xf numFmtId="165" fontId="0" fillId="21" borderId="21" xfId="1" applyNumberFormat="1" applyFont="1" applyFill="1" applyBorder="1" applyAlignment="1">
      <alignment horizontal="right" vertical="center"/>
    </xf>
    <xf numFmtId="165" fontId="0" fillId="21" borderId="20" xfId="1" applyNumberFormat="1" applyFont="1" applyFill="1" applyBorder="1" applyAlignment="1">
      <alignment horizontal="right" vertical="center"/>
    </xf>
    <xf numFmtId="165" fontId="0" fillId="21" borderId="24" xfId="1" applyNumberFormat="1" applyFont="1" applyFill="1" applyBorder="1" applyAlignment="1">
      <alignment horizontal="right" vertical="center"/>
    </xf>
    <xf numFmtId="165" fontId="0" fillId="21" borderId="13" xfId="1" applyNumberFormat="1" applyFont="1" applyFill="1" applyBorder="1" applyAlignment="1">
      <alignment horizontal="right" vertical="center"/>
    </xf>
    <xf numFmtId="165" fontId="0" fillId="21" borderId="0" xfId="1" applyNumberFormat="1" applyFont="1" applyFill="1" applyBorder="1" applyAlignment="1">
      <alignment horizontal="right" vertical="center"/>
    </xf>
    <xf numFmtId="168" fontId="0" fillId="21" borderId="21" xfId="3" applyNumberFormat="1" applyFont="1" applyFill="1" applyBorder="1" applyAlignment="1">
      <alignment horizontal="right" vertical="center"/>
    </xf>
    <xf numFmtId="168" fontId="0" fillId="21" borderId="20" xfId="3" applyNumberFormat="1" applyFont="1" applyFill="1" applyBorder="1" applyAlignment="1">
      <alignment horizontal="right" vertical="center"/>
    </xf>
    <xf numFmtId="168" fontId="0" fillId="21" borderId="24" xfId="3" applyNumberFormat="1" applyFont="1" applyFill="1" applyBorder="1" applyAlignment="1">
      <alignment horizontal="right" vertical="center"/>
    </xf>
    <xf numFmtId="168" fontId="0" fillId="21" borderId="13" xfId="3" applyNumberFormat="1" applyFont="1" applyFill="1" applyBorder="1" applyAlignment="1">
      <alignment horizontal="right" vertical="center"/>
    </xf>
    <xf numFmtId="169" fontId="0" fillId="21" borderId="0" xfId="1" applyNumberFormat="1" applyFont="1" applyFill="1" applyBorder="1" applyAlignment="1">
      <alignment horizontal="left" vertical="center"/>
    </xf>
    <xf numFmtId="0" fontId="0" fillId="15" borderId="0" xfId="7" applyFont="1" applyBorder="1" applyAlignment="1">
      <alignment horizontal="left"/>
    </xf>
    <xf numFmtId="165" fontId="0" fillId="21" borderId="0" xfId="1" applyNumberFormat="1" applyFont="1" applyFill="1" applyBorder="1" applyAlignment="1">
      <alignment vertical="center"/>
    </xf>
    <xf numFmtId="0" fontId="9" fillId="21" borderId="9" xfId="0" applyFont="1" applyFill="1" applyBorder="1" applyAlignment="1">
      <alignment vertical="center"/>
    </xf>
    <xf numFmtId="0" fontId="9" fillId="21" borderId="26" xfId="0" applyNumberFormat="1" applyFont="1" applyFill="1" applyBorder="1" applyAlignment="1">
      <alignment horizontal="right" vertical="center"/>
    </xf>
    <xf numFmtId="169" fontId="0" fillId="21" borderId="21" xfId="1" applyNumberFormat="1" applyFont="1" applyFill="1" applyBorder="1" applyAlignment="1">
      <alignment horizontal="right" vertical="center"/>
    </xf>
    <xf numFmtId="168" fontId="0" fillId="21" borderId="22" xfId="3" applyNumberFormat="1" applyFont="1" applyFill="1" applyBorder="1" applyAlignment="1">
      <alignment horizontal="right" vertical="center"/>
    </xf>
    <xf numFmtId="0" fontId="0" fillId="21" borderId="0" xfId="0" applyFont="1" applyFill="1"/>
    <xf numFmtId="0" fontId="0" fillId="15" borderId="0" xfId="7" applyFont="1" applyAlignment="1">
      <alignment horizontal="left"/>
    </xf>
    <xf numFmtId="171" fontId="0" fillId="15" borderId="0" xfId="7" applyNumberFormat="1" applyFont="1" applyAlignment="1">
      <alignment horizontal="left"/>
    </xf>
    <xf numFmtId="168" fontId="0" fillId="21" borderId="15" xfId="3" applyNumberFormat="1" applyFont="1" applyFill="1" applyBorder="1" applyAlignment="1">
      <alignment horizontal="right" vertical="center"/>
    </xf>
    <xf numFmtId="0" fontId="0" fillId="21" borderId="13" xfId="0" applyFont="1" applyFill="1" applyBorder="1"/>
    <xf numFmtId="0" fontId="0" fillId="15" borderId="13" xfId="7" applyFont="1" applyBorder="1" applyAlignment="1">
      <alignment horizontal="left"/>
    </xf>
    <xf numFmtId="11" fontId="9" fillId="21" borderId="13" xfId="1" applyNumberFormat="1" applyFont="1" applyFill="1" applyBorder="1" applyAlignment="1">
      <alignment horizontal="right" vertical="center"/>
    </xf>
    <xf numFmtId="171" fontId="0" fillId="15" borderId="13" xfId="7" applyNumberFormat="1" applyFont="1" applyBorder="1" applyAlignment="1">
      <alignment horizontal="left"/>
    </xf>
    <xf numFmtId="168" fontId="0" fillId="21" borderId="25" xfId="3" applyNumberFormat="1" applyFont="1" applyFill="1" applyBorder="1" applyAlignment="1">
      <alignment horizontal="right" vertical="center"/>
    </xf>
    <xf numFmtId="0" fontId="0" fillId="15" borderId="0" xfId="7" applyFont="1" applyBorder="1" applyAlignment="1">
      <alignment horizontal="left" vertical="center"/>
    </xf>
    <xf numFmtId="11" fontId="0" fillId="15" borderId="0" xfId="7" applyNumberFormat="1" applyFont="1" applyBorder="1" applyAlignment="1">
      <alignment horizontal="left" vertical="center"/>
    </xf>
    <xf numFmtId="169" fontId="0" fillId="15" borderId="0" xfId="7" applyNumberFormat="1" applyFont="1" applyBorder="1" applyAlignment="1">
      <alignment horizontal="left" vertical="center"/>
    </xf>
    <xf numFmtId="171" fontId="0" fillId="15" borderId="0" xfId="7" applyNumberFormat="1" applyFont="1" applyBorder="1" applyAlignment="1">
      <alignment horizontal="left"/>
    </xf>
    <xf numFmtId="168" fontId="0" fillId="21" borderId="0" xfId="3" applyNumberFormat="1" applyFont="1" applyFill="1" applyBorder="1" applyAlignment="1">
      <alignment horizontal="right" vertical="center"/>
    </xf>
    <xf numFmtId="0" fontId="9" fillId="15" borderId="0" xfId="7" applyFont="1" applyBorder="1" applyAlignment="1">
      <alignment horizontal="left"/>
    </xf>
    <xf numFmtId="171" fontId="0" fillId="15" borderId="0" xfId="7" applyNumberFormat="1" applyFont="1" applyBorder="1" applyAlignment="1">
      <alignment horizontal="right"/>
    </xf>
    <xf numFmtId="0" fontId="11" fillId="15" borderId="0" xfId="7" applyFont="1" applyBorder="1" applyAlignment="1">
      <alignment horizontal="left"/>
    </xf>
    <xf numFmtId="0" fontId="11" fillId="21" borderId="0" xfId="0" applyFont="1" applyFill="1" applyBorder="1" applyAlignment="1">
      <alignment vertical="center"/>
    </xf>
    <xf numFmtId="172" fontId="11" fillId="21" borderId="0" xfId="1" applyNumberFormat="1" applyFont="1" applyFill="1" applyBorder="1" applyAlignment="1">
      <alignment vertical="center"/>
    </xf>
    <xf numFmtId="172" fontId="11" fillId="15" borderId="0" xfId="7" applyNumberFormat="1" applyFont="1" applyBorder="1" applyAlignment="1">
      <alignment vertical="center"/>
    </xf>
    <xf numFmtId="0" fontId="11" fillId="15" borderId="13" xfId="7" applyFont="1" applyBorder="1" applyAlignment="1">
      <alignment horizontal="left"/>
    </xf>
    <xf numFmtId="0" fontId="11" fillId="21" borderId="13" xfId="0" applyFont="1" applyFill="1" applyBorder="1" applyAlignment="1">
      <alignment vertical="center"/>
    </xf>
    <xf numFmtId="0" fontId="0" fillId="21" borderId="13" xfId="0" applyFill="1" applyBorder="1" applyAlignment="1">
      <alignment vertical="center"/>
    </xf>
    <xf numFmtId="0" fontId="0" fillId="21" borderId="0" xfId="0" applyNumberFormat="1" applyFill="1" applyBorder="1"/>
    <xf numFmtId="0" fontId="17" fillId="21" borderId="6" xfId="8" applyNumberFormat="1" applyFont="1" applyFill="1" applyBorder="1"/>
    <xf numFmtId="0" fontId="17" fillId="21" borderId="0" xfId="8" applyNumberFormat="1" applyFont="1" applyFill="1" applyBorder="1"/>
    <xf numFmtId="0" fontId="17" fillId="21" borderId="7" xfId="8" applyNumberFormat="1" applyFont="1" applyFill="1" applyBorder="1"/>
    <xf numFmtId="0" fontId="17" fillId="0" borderId="0" xfId="8" applyNumberFormat="1" applyFont="1"/>
    <xf numFmtId="0" fontId="0" fillId="21" borderId="29" xfId="0" applyFont="1" applyFill="1" applyBorder="1"/>
    <xf numFmtId="0" fontId="0" fillId="0" borderId="0" xfId="0" applyFont="1" applyFill="1" applyBorder="1" applyAlignment="1">
      <alignment vertical="center"/>
    </xf>
    <xf numFmtId="0" fontId="9" fillId="0" borderId="0" xfId="0" applyFont="1" applyFill="1" applyBorder="1"/>
    <xf numFmtId="0" fontId="0" fillId="0" borderId="0" xfId="0" applyFont="1" applyFill="1" applyBorder="1" applyAlignment="1">
      <alignment horizontal="right"/>
    </xf>
    <xf numFmtId="2" fontId="9" fillId="21" borderId="19" xfId="0" applyNumberFormat="1" applyFont="1" applyFill="1" applyBorder="1" applyAlignment="1">
      <alignment vertical="center"/>
    </xf>
    <xf numFmtId="1" fontId="9" fillId="21" borderId="19" xfId="0" applyNumberFormat="1" applyFont="1" applyFill="1" applyBorder="1" applyAlignment="1">
      <alignment horizontal="right" vertical="center"/>
    </xf>
    <xf numFmtId="1" fontId="9" fillId="21" borderId="10" xfId="0" applyNumberFormat="1" applyFont="1" applyFill="1" applyBorder="1" applyAlignment="1">
      <alignment horizontal="right" vertical="center"/>
    </xf>
    <xf numFmtId="0" fontId="9" fillId="0" borderId="0" xfId="0" applyNumberFormat="1" applyFont="1" applyFill="1" applyBorder="1" applyAlignment="1">
      <alignment horizontal="right" vertical="center"/>
    </xf>
    <xf numFmtId="2" fontId="0" fillId="21" borderId="10" xfId="0" applyNumberFormat="1" applyFont="1" applyFill="1" applyBorder="1" applyAlignment="1">
      <alignment vertical="center"/>
    </xf>
    <xf numFmtId="2" fontId="0" fillId="21" borderId="10" xfId="0" applyNumberFormat="1" applyFont="1" applyFill="1" applyBorder="1"/>
    <xf numFmtId="2" fontId="0" fillId="21" borderId="10" xfId="1" applyNumberFormat="1" applyFont="1" applyFill="1" applyBorder="1" applyAlignment="1">
      <alignment vertical="center"/>
    </xf>
    <xf numFmtId="174" fontId="0" fillId="21" borderId="10" xfId="1" applyNumberFormat="1" applyFont="1" applyFill="1" applyBorder="1" applyAlignment="1">
      <alignment vertical="center"/>
    </xf>
    <xf numFmtId="2" fontId="0" fillId="21" borderId="0" xfId="7" applyNumberFormat="1" applyFont="1" applyFill="1" applyBorder="1" applyAlignment="1">
      <alignment horizontal="left"/>
    </xf>
    <xf numFmtId="2" fontId="0" fillId="21" borderId="0" xfId="0" applyNumberFormat="1" applyFont="1" applyFill="1" applyBorder="1"/>
    <xf numFmtId="2" fontId="0" fillId="21" borderId="0" xfId="1" applyNumberFormat="1" applyFont="1" applyFill="1" applyBorder="1" applyAlignment="1"/>
    <xf numFmtId="174" fontId="0" fillId="21" borderId="0" xfId="1" applyNumberFormat="1" applyFont="1" applyFill="1" applyBorder="1" applyAlignment="1"/>
    <xf numFmtId="2" fontId="0" fillId="21" borderId="13" xfId="7" applyNumberFormat="1" applyFont="1" applyFill="1" applyBorder="1" applyAlignment="1">
      <alignment horizontal="left"/>
    </xf>
    <xf numFmtId="2" fontId="0" fillId="21" borderId="13" xfId="0" applyNumberFormat="1" applyFont="1" applyFill="1" applyBorder="1"/>
    <xf numFmtId="2" fontId="0" fillId="21" borderId="13" xfId="1" applyNumberFormat="1" applyFont="1" applyFill="1" applyBorder="1" applyAlignment="1"/>
    <xf numFmtId="174" fontId="0" fillId="21" borderId="13" xfId="1" applyNumberFormat="1" applyFont="1" applyFill="1" applyBorder="1" applyAlignment="1"/>
    <xf numFmtId="2" fontId="0" fillId="21" borderId="0" xfId="0" applyNumberFormat="1" applyFont="1" applyFill="1"/>
    <xf numFmtId="175" fontId="0" fillId="21" borderId="0" xfId="0" applyNumberFormat="1" applyFont="1" applyFill="1"/>
    <xf numFmtId="2" fontId="9" fillId="21" borderId="0" xfId="0" applyNumberFormat="1" applyFont="1" applyFill="1" applyBorder="1"/>
    <xf numFmtId="175" fontId="0" fillId="21" borderId="0" xfId="0" applyNumberFormat="1" applyFont="1" applyFill="1" applyBorder="1" applyAlignment="1">
      <alignment horizontal="right"/>
    </xf>
    <xf numFmtId="2" fontId="0" fillId="21" borderId="0" xfId="0" applyNumberFormat="1" applyFont="1" applyFill="1" applyBorder="1" applyAlignment="1">
      <alignment vertical="center"/>
    </xf>
    <xf numFmtId="2" fontId="0" fillId="21" borderId="0" xfId="2" applyNumberFormat="1" applyFont="1" applyFill="1" applyBorder="1" applyAlignment="1">
      <alignment horizontal="right" vertical="center"/>
    </xf>
    <xf numFmtId="2" fontId="0" fillId="21" borderId="0" xfId="2" applyNumberFormat="1" applyFont="1" applyFill="1" applyBorder="1" applyAlignment="1"/>
    <xf numFmtId="2" fontId="0" fillId="21" borderId="10" xfId="1" applyNumberFormat="1" applyFont="1" applyFill="1" applyBorder="1" applyAlignment="1"/>
    <xf numFmtId="174" fontId="0" fillId="21" borderId="10" xfId="1" applyNumberFormat="1" applyFont="1" applyFill="1" applyBorder="1" applyAlignment="1"/>
    <xf numFmtId="0" fontId="0" fillId="21" borderId="0" xfId="7" applyFont="1" applyFill="1" applyBorder="1" applyAlignment="1">
      <alignment horizontal="left"/>
    </xf>
    <xf numFmtId="176" fontId="0" fillId="21" borderId="0" xfId="2" applyNumberFormat="1" applyFont="1" applyFill="1" applyBorder="1" applyAlignment="1">
      <alignment horizontal="right" vertical="center"/>
    </xf>
    <xf numFmtId="176" fontId="0" fillId="21" borderId="0" xfId="2" applyNumberFormat="1" applyFont="1" applyFill="1" applyBorder="1" applyAlignment="1"/>
    <xf numFmtId="0" fontId="0" fillId="21" borderId="20" xfId="0" applyFont="1" applyFill="1" applyBorder="1" applyAlignment="1">
      <alignment horizontal="left" vertical="center"/>
    </xf>
    <xf numFmtId="176" fontId="0" fillId="21" borderId="22" xfId="2" applyNumberFormat="1" applyFont="1" applyFill="1" applyBorder="1" applyAlignment="1">
      <alignment horizontal="right" vertical="center"/>
    </xf>
    <xf numFmtId="176" fontId="0" fillId="21" borderId="20" xfId="2" applyNumberFormat="1" applyFont="1" applyFill="1" applyBorder="1" applyAlignment="1">
      <alignment horizontal="right" vertical="center"/>
    </xf>
    <xf numFmtId="176" fontId="0" fillId="21" borderId="20" xfId="2" applyNumberFormat="1" applyFont="1" applyFill="1" applyBorder="1" applyAlignment="1">
      <alignment vertical="center"/>
    </xf>
    <xf numFmtId="176" fontId="0" fillId="21" borderId="20" xfId="2" applyNumberFormat="1" applyFont="1" applyFill="1" applyBorder="1" applyAlignment="1"/>
    <xf numFmtId="177" fontId="0" fillId="21" borderId="0" xfId="1" applyNumberFormat="1" applyFont="1" applyFill="1" applyBorder="1" applyAlignment="1">
      <alignment horizontal="center" vertical="center"/>
    </xf>
    <xf numFmtId="176" fontId="0" fillId="21" borderId="15" xfId="2" applyNumberFormat="1" applyFont="1" applyFill="1" applyBorder="1" applyAlignment="1">
      <alignment horizontal="right" vertical="center"/>
    </xf>
    <xf numFmtId="176" fontId="0" fillId="21" borderId="27" xfId="2" applyNumberFormat="1" applyFont="1" applyFill="1" applyBorder="1" applyAlignment="1">
      <alignment horizontal="right" vertical="center"/>
    </xf>
    <xf numFmtId="176" fontId="0" fillId="21" borderId="12" xfId="2" applyNumberFormat="1" applyFont="1" applyFill="1" applyBorder="1" applyAlignment="1">
      <alignment horizontal="right" vertical="center"/>
    </xf>
    <xf numFmtId="176" fontId="0" fillId="15" borderId="12" xfId="2" applyNumberFormat="1" applyFont="1" applyFill="1" applyBorder="1" applyAlignment="1"/>
    <xf numFmtId="176" fontId="0" fillId="21" borderId="12" xfId="2" applyNumberFormat="1" applyFont="1" applyFill="1" applyBorder="1" applyAlignment="1"/>
    <xf numFmtId="0" fontId="18" fillId="21" borderId="0" xfId="0" applyFont="1" applyFill="1"/>
    <xf numFmtId="0" fontId="19" fillId="21" borderId="0" xfId="0" applyFont="1" applyFill="1" applyBorder="1"/>
    <xf numFmtId="0" fontId="0" fillId="21" borderId="11" xfId="0" applyFont="1" applyFill="1" applyBorder="1"/>
    <xf numFmtId="0" fontId="20" fillId="21" borderId="11" xfId="0" applyFont="1" applyFill="1" applyBorder="1" applyAlignment="1">
      <alignment horizontal="center"/>
    </xf>
    <xf numFmtId="0" fontId="9" fillId="21" borderId="11" xfId="0" applyNumberFormat="1" applyFont="1" applyFill="1" applyBorder="1" applyAlignment="1">
      <alignment horizontal="center" vertical="center"/>
    </xf>
    <xf numFmtId="1" fontId="9" fillId="21" borderId="11" xfId="0" applyNumberFormat="1" applyFont="1" applyFill="1" applyBorder="1" applyAlignment="1">
      <alignment horizontal="center" vertical="center"/>
    </xf>
    <xf numFmtId="2" fontId="0" fillId="21" borderId="0" xfId="0" applyNumberFormat="1" applyFont="1" applyFill="1" applyBorder="1" applyAlignment="1">
      <alignment horizontal="right"/>
    </xf>
    <xf numFmtId="2" fontId="0" fillId="21" borderId="0" xfId="0" applyNumberFormat="1" applyFill="1" applyBorder="1" applyAlignment="1">
      <alignment horizontal="center"/>
    </xf>
    <xf numFmtId="174" fontId="0" fillId="21" borderId="0" xfId="0" applyNumberFormat="1" applyFont="1" applyFill="1" applyBorder="1" applyAlignment="1">
      <alignment horizontal="center"/>
    </xf>
    <xf numFmtId="0" fontId="5" fillId="21" borderId="0" xfId="0" applyFont="1" applyFill="1" applyBorder="1"/>
    <xf numFmtId="2" fontId="0" fillId="21" borderId="13" xfId="0" applyNumberFormat="1" applyFont="1" applyFill="1" applyBorder="1" applyAlignment="1">
      <alignment horizontal="right"/>
    </xf>
    <xf numFmtId="2" fontId="0" fillId="21" borderId="13" xfId="0" applyNumberFormat="1" applyFill="1" applyBorder="1" applyAlignment="1">
      <alignment horizontal="center"/>
    </xf>
    <xf numFmtId="177" fontId="0" fillId="21" borderId="13" xfId="1" applyNumberFormat="1" applyFont="1" applyFill="1" applyBorder="1" applyAlignment="1">
      <alignment horizontal="center" vertical="center"/>
    </xf>
    <xf numFmtId="174" fontId="0" fillId="21" borderId="13" xfId="0" applyNumberFormat="1" applyFont="1" applyFill="1" applyBorder="1" applyAlignment="1">
      <alignment horizontal="center"/>
    </xf>
    <xf numFmtId="0" fontId="0" fillId="21" borderId="0" xfId="0" applyFill="1" applyAlignment="1">
      <alignment horizontal="center"/>
    </xf>
    <xf numFmtId="177" fontId="0" fillId="21" borderId="0" xfId="1" applyNumberFormat="1" applyFont="1" applyFill="1" applyBorder="1" applyAlignment="1">
      <alignment horizontal="center"/>
    </xf>
    <xf numFmtId="0" fontId="0" fillId="21" borderId="0" xfId="0" applyFont="1" applyFill="1" applyAlignment="1">
      <alignment horizontal="center"/>
    </xf>
    <xf numFmtId="0" fontId="0" fillId="21" borderId="10" xfId="0" applyFont="1" applyFill="1" applyBorder="1"/>
    <xf numFmtId="0" fontId="0" fillId="21" borderId="10" xfId="0" applyFill="1" applyBorder="1" applyAlignment="1">
      <alignment horizontal="center"/>
    </xf>
    <xf numFmtId="177" fontId="0" fillId="21" borderId="10" xfId="0" applyNumberFormat="1" applyFont="1" applyFill="1" applyBorder="1" applyAlignment="1">
      <alignment horizontal="center"/>
    </xf>
    <xf numFmtId="174" fontId="0" fillId="21" borderId="10" xfId="0" applyNumberFormat="1" applyFont="1" applyFill="1" applyBorder="1" applyAlignment="1">
      <alignment horizontal="center"/>
    </xf>
    <xf numFmtId="0" fontId="0" fillId="21" borderId="0" xfId="0" applyFill="1" applyBorder="1" applyAlignment="1">
      <alignment horizontal="center"/>
    </xf>
    <xf numFmtId="177" fontId="0" fillId="21" borderId="0" xfId="0" applyNumberFormat="1" applyFont="1" applyFill="1" applyBorder="1" applyAlignment="1">
      <alignment horizontal="center"/>
    </xf>
    <xf numFmtId="0" fontId="0" fillId="21" borderId="13" xfId="0" applyFill="1" applyBorder="1" applyAlignment="1">
      <alignment horizontal="center"/>
    </xf>
    <xf numFmtId="177" fontId="0" fillId="21" borderId="13" xfId="0" applyNumberFormat="1" applyFont="1" applyFill="1" applyBorder="1" applyAlignment="1">
      <alignment horizontal="center"/>
    </xf>
    <xf numFmtId="177" fontId="0" fillId="21" borderId="0" xfId="0" applyNumberFormat="1" applyFont="1" applyFill="1" applyAlignment="1">
      <alignment horizontal="center"/>
    </xf>
    <xf numFmtId="178" fontId="0" fillId="21" borderId="0" xfId="0" applyNumberFormat="1" applyFont="1" applyFill="1" applyAlignment="1">
      <alignment horizontal="center"/>
    </xf>
    <xf numFmtId="0" fontId="20" fillId="21" borderId="10" xfId="0" applyFont="1" applyFill="1" applyBorder="1" applyAlignment="1">
      <alignment horizontal="center"/>
    </xf>
    <xf numFmtId="0" fontId="9" fillId="21" borderId="10" xfId="0" applyNumberFormat="1" applyFont="1" applyFill="1" applyBorder="1" applyAlignment="1">
      <alignment horizontal="center" vertical="center"/>
    </xf>
    <xf numFmtId="1" fontId="9" fillId="21" borderId="10" xfId="0" applyNumberFormat="1" applyFont="1" applyFill="1" applyBorder="1" applyAlignment="1">
      <alignment horizontal="center" vertical="center"/>
    </xf>
    <xf numFmtId="0" fontId="0" fillId="21" borderId="10" xfId="0" applyNumberFormat="1" applyFont="1" applyFill="1" applyBorder="1" applyAlignment="1">
      <alignment vertical="center"/>
    </xf>
    <xf numFmtId="177" fontId="0" fillId="21" borderId="10" xfId="0" applyNumberFormat="1" applyFont="1" applyFill="1" applyBorder="1" applyAlignment="1">
      <alignment horizontal="right"/>
    </xf>
    <xf numFmtId="2" fontId="0" fillId="21" borderId="10" xfId="0" applyNumberFormat="1" applyFill="1" applyBorder="1" applyAlignment="1">
      <alignment horizontal="center"/>
    </xf>
    <xf numFmtId="177" fontId="0" fillId="21" borderId="10" xfId="1" applyNumberFormat="1" applyFont="1" applyFill="1" applyBorder="1" applyAlignment="1">
      <alignment horizontal="center" vertical="center"/>
    </xf>
    <xf numFmtId="177" fontId="0" fillId="21" borderId="0" xfId="0" applyNumberFormat="1" applyFont="1" applyFill="1" applyBorder="1" applyAlignment="1">
      <alignment horizontal="right"/>
    </xf>
    <xf numFmtId="177" fontId="0" fillId="21" borderId="13" xfId="0" applyNumberFormat="1" applyFont="1" applyFill="1" applyBorder="1" applyAlignment="1">
      <alignment horizontal="right"/>
    </xf>
    <xf numFmtId="177" fontId="0" fillId="21" borderId="13" xfId="1" applyNumberFormat="1" applyFont="1" applyFill="1" applyBorder="1" applyAlignment="1">
      <alignment horizontal="center"/>
    </xf>
    <xf numFmtId="0" fontId="18" fillId="21" borderId="0" xfId="0" applyFont="1" applyFill="1" applyBorder="1"/>
    <xf numFmtId="0" fontId="20" fillId="21" borderId="0" xfId="0" applyFont="1" applyFill="1" applyBorder="1"/>
    <xf numFmtId="2" fontId="0" fillId="21" borderId="10" xfId="0" applyNumberFormat="1" applyFont="1" applyFill="1" applyBorder="1" applyAlignment="1">
      <alignment horizontal="right"/>
    </xf>
    <xf numFmtId="177" fontId="0" fillId="21" borderId="0" xfId="0" applyNumberFormat="1" applyFont="1" applyFill="1"/>
    <xf numFmtId="177" fontId="0" fillId="21" borderId="0" xfId="1" applyNumberFormat="1" applyFont="1" applyFill="1" applyBorder="1" applyAlignment="1">
      <alignment horizontal="right" vertical="center"/>
    </xf>
    <xf numFmtId="0" fontId="21" fillId="21" borderId="0" xfId="6" applyFont="1" applyFill="1" applyAlignment="1" applyProtection="1">
      <alignment vertical="center"/>
    </xf>
    <xf numFmtId="0" fontId="0" fillId="20" borderId="4" xfId="0" applyFont="1" applyFill="1" applyBorder="1"/>
    <xf numFmtId="0" fontId="0" fillId="20" borderId="5" xfId="0" applyFont="1" applyFill="1" applyBorder="1"/>
    <xf numFmtId="0" fontId="9" fillId="21" borderId="14" xfId="0" applyFont="1" applyFill="1" applyBorder="1" applyAlignment="1">
      <alignment vertical="center"/>
    </xf>
    <xf numFmtId="1" fontId="9" fillId="21" borderId="19" xfId="1" applyNumberFormat="1" applyFont="1" applyFill="1" applyBorder="1" applyAlignment="1">
      <alignment horizontal="right" vertical="center"/>
    </xf>
    <xf numFmtId="171" fontId="0" fillId="21" borderId="10" xfId="1" applyNumberFormat="1" applyFont="1" applyFill="1" applyBorder="1"/>
    <xf numFmtId="165" fontId="0" fillId="21" borderId="0" xfId="0" applyNumberFormat="1" applyFont="1" applyFill="1" applyBorder="1"/>
    <xf numFmtId="165" fontId="0" fillId="21" borderId="22" xfId="1" applyNumberFormat="1" applyFont="1" applyFill="1" applyBorder="1" applyAlignment="1">
      <alignment horizontal="right" vertical="center"/>
    </xf>
    <xf numFmtId="165" fontId="0" fillId="21" borderId="15" xfId="1" applyNumberFormat="1" applyFont="1" applyFill="1" applyBorder="1" applyAlignment="1">
      <alignment horizontal="right" vertical="center"/>
    </xf>
    <xf numFmtId="165" fontId="0" fillId="21" borderId="25" xfId="1" applyNumberFormat="1" applyFont="1" applyFill="1" applyBorder="1" applyAlignment="1">
      <alignment horizontal="right" vertical="center"/>
    </xf>
    <xf numFmtId="9" fontId="0" fillId="21" borderId="20" xfId="3" applyNumberFormat="1" applyFont="1" applyFill="1" applyBorder="1" applyAlignment="1">
      <alignment vertical="center"/>
    </xf>
    <xf numFmtId="170" fontId="0" fillId="21" borderId="0" xfId="3" applyNumberFormat="1" applyFont="1" applyFill="1" applyBorder="1" applyAlignment="1">
      <alignment vertical="center"/>
    </xf>
    <xf numFmtId="0" fontId="0" fillId="0" borderId="0" xfId="0" applyFont="1" applyBorder="1"/>
    <xf numFmtId="0" fontId="20" fillId="21" borderId="0" xfId="0" applyNumberFormat="1" applyFont="1" applyFill="1" applyBorder="1" applyAlignment="1">
      <alignment vertical="center"/>
    </xf>
    <xf numFmtId="0" fontId="0" fillId="15" borderId="6" xfId="7" applyFont="1" applyBorder="1"/>
    <xf numFmtId="0" fontId="0" fillId="15" borderId="0" xfId="7" applyNumberFormat="1" applyFont="1" applyBorder="1" applyAlignment="1">
      <alignment vertical="center"/>
    </xf>
    <xf numFmtId="0" fontId="0" fillId="15" borderId="0" xfId="7" applyFont="1" applyBorder="1" applyAlignment="1">
      <alignment vertical="center"/>
    </xf>
    <xf numFmtId="168" fontId="0" fillId="15" borderId="0" xfId="7" applyNumberFormat="1" applyFont="1" applyBorder="1" applyAlignment="1">
      <alignment vertical="center"/>
    </xf>
    <xf numFmtId="0" fontId="0" fillId="15" borderId="0" xfId="7" applyFont="1" applyBorder="1"/>
    <xf numFmtId="0" fontId="0" fillId="15" borderId="7" xfId="7" applyFont="1" applyBorder="1"/>
    <xf numFmtId="0" fontId="9" fillId="15" borderId="0" xfId="7" applyNumberFormat="1" applyFont="1" applyBorder="1" applyAlignment="1">
      <alignment vertical="center"/>
    </xf>
    <xf numFmtId="0" fontId="0" fillId="15" borderId="0" xfId="7" quotePrefix="1" applyFont="1" applyBorder="1" applyAlignment="1">
      <alignment horizontal="right" vertical="center"/>
    </xf>
    <xf numFmtId="164" fontId="0" fillId="15" borderId="0" xfId="7" applyNumberFormat="1" applyFont="1" applyBorder="1" applyAlignment="1">
      <alignment vertical="center"/>
    </xf>
    <xf numFmtId="0" fontId="0" fillId="15" borderId="0" xfId="7" applyFont="1" applyBorder="1" applyAlignment="1">
      <alignment horizontal="right"/>
    </xf>
    <xf numFmtId="0" fontId="0" fillId="15" borderId="8" xfId="7" applyFont="1" applyBorder="1" applyAlignment="1">
      <alignment vertical="center"/>
    </xf>
    <xf numFmtId="0" fontId="0" fillId="15" borderId="8" xfId="7" applyNumberFormat="1" applyFont="1" applyBorder="1" applyAlignment="1">
      <alignment horizontal="right" vertical="center"/>
    </xf>
    <xf numFmtId="0" fontId="0" fillId="15" borderId="19" xfId="7" applyNumberFormat="1" applyFont="1" applyBorder="1" applyAlignment="1">
      <alignment horizontal="right" vertical="center"/>
    </xf>
    <xf numFmtId="9" fontId="0" fillId="15" borderId="21" xfId="7" applyNumberFormat="1" applyFont="1" applyBorder="1" applyAlignment="1">
      <alignment vertical="center"/>
    </xf>
    <xf numFmtId="168" fontId="0" fillId="21" borderId="22" xfId="7" applyNumberFormat="1" applyFont="1" applyFill="1" applyBorder="1" applyAlignment="1">
      <alignment horizontal="right" vertical="center"/>
    </xf>
    <xf numFmtId="168" fontId="0" fillId="15" borderId="20" xfId="7" applyNumberFormat="1" applyFont="1" applyBorder="1" applyAlignment="1">
      <alignment horizontal="right" vertical="center"/>
    </xf>
    <xf numFmtId="10" fontId="0" fillId="15" borderId="20" xfId="7" applyNumberFormat="1" applyFont="1" applyBorder="1" applyAlignment="1">
      <alignment horizontal="right" vertical="center"/>
    </xf>
    <xf numFmtId="9" fontId="0" fillId="15" borderId="0" xfId="7" applyNumberFormat="1" applyFont="1" applyBorder="1" applyAlignment="1">
      <alignment vertical="center"/>
    </xf>
    <xf numFmtId="168" fontId="0" fillId="21" borderId="15" xfId="7" applyNumberFormat="1" applyFont="1" applyFill="1" applyBorder="1" applyAlignment="1">
      <alignment vertical="center"/>
    </xf>
    <xf numFmtId="168" fontId="0" fillId="15" borderId="0" xfId="7" applyNumberFormat="1" applyFont="1" applyBorder="1" applyAlignment="1">
      <alignment horizontal="right" vertical="center"/>
    </xf>
    <xf numFmtId="10" fontId="0" fillId="15" borderId="0" xfId="7" applyNumberFormat="1" applyFont="1" applyBorder="1" applyAlignment="1">
      <alignment horizontal="right" vertical="center"/>
    </xf>
    <xf numFmtId="168" fontId="0" fillId="21" borderId="15" xfId="7" applyNumberFormat="1" applyFont="1" applyFill="1" applyBorder="1" applyAlignment="1">
      <alignment horizontal="right" vertical="center"/>
    </xf>
    <xf numFmtId="0" fontId="0" fillId="15" borderId="9" xfId="7" applyNumberFormat="1" applyFont="1" applyBorder="1" applyAlignment="1">
      <alignment vertical="center"/>
    </xf>
    <xf numFmtId="0" fontId="0" fillId="15" borderId="9" xfId="7" applyFont="1" applyBorder="1" applyAlignment="1">
      <alignment vertical="center"/>
    </xf>
    <xf numFmtId="9" fontId="0" fillId="15" borderId="9" xfId="7" applyNumberFormat="1" applyFont="1" applyBorder="1" applyAlignment="1">
      <alignment vertical="center"/>
    </xf>
    <xf numFmtId="168" fontId="0" fillId="21" borderId="25" xfId="7" applyNumberFormat="1" applyFont="1" applyFill="1" applyBorder="1" applyAlignment="1">
      <alignment horizontal="right" vertical="center"/>
    </xf>
    <xf numFmtId="168" fontId="0" fillId="15" borderId="13" xfId="7" applyNumberFormat="1" applyFont="1" applyBorder="1" applyAlignment="1">
      <alignment horizontal="right" vertical="center"/>
    </xf>
    <xf numFmtId="10" fontId="0" fillId="15" borderId="13" xfId="7" applyNumberFormat="1" applyFont="1" applyBorder="1" applyAlignment="1">
      <alignment horizontal="right" vertical="center"/>
    </xf>
    <xf numFmtId="168" fontId="0" fillId="15" borderId="0" xfId="7" applyNumberFormat="1" applyFont="1" applyBorder="1"/>
    <xf numFmtId="168" fontId="0" fillId="15" borderId="22" xfId="3" applyNumberFormat="1" applyFont="1" applyFill="1" applyBorder="1" applyAlignment="1">
      <alignment horizontal="right" vertical="center"/>
    </xf>
    <xf numFmtId="168" fontId="0" fillId="15" borderId="20" xfId="3" applyNumberFormat="1" applyFont="1" applyFill="1" applyBorder="1" applyAlignment="1">
      <alignment horizontal="right" vertical="center"/>
    </xf>
    <xf numFmtId="168" fontId="0" fillId="15" borderId="15" xfId="3" applyNumberFormat="1" applyFont="1" applyFill="1" applyBorder="1" applyAlignment="1">
      <alignment horizontal="right" vertical="center"/>
    </xf>
    <xf numFmtId="168" fontId="0" fillId="15" borderId="0" xfId="3" applyNumberFormat="1" applyFont="1" applyFill="1" applyBorder="1" applyAlignment="1">
      <alignment horizontal="right" vertical="center"/>
    </xf>
    <xf numFmtId="168" fontId="0" fillId="15" borderId="25" xfId="3" applyNumberFormat="1" applyFont="1" applyFill="1" applyBorder="1" applyAlignment="1">
      <alignment horizontal="right" vertical="center"/>
    </xf>
    <xf numFmtId="168" fontId="0" fillId="15" borderId="13" xfId="3" applyNumberFormat="1" applyFont="1" applyFill="1" applyBorder="1" applyAlignment="1">
      <alignment horizontal="right" vertical="center"/>
    </xf>
    <xf numFmtId="0" fontId="0" fillId="15" borderId="10" xfId="7" applyNumberFormat="1" applyFont="1" applyBorder="1" applyAlignment="1">
      <alignment vertical="center"/>
    </xf>
    <xf numFmtId="0" fontId="0" fillId="15" borderId="10" xfId="7" applyFont="1" applyBorder="1" applyAlignment="1">
      <alignment vertical="center"/>
    </xf>
    <xf numFmtId="9" fontId="0" fillId="15" borderId="10" xfId="7" applyNumberFormat="1" applyFont="1" applyBorder="1" applyAlignment="1">
      <alignment vertical="center"/>
    </xf>
    <xf numFmtId="0" fontId="20" fillId="15" borderId="0" xfId="7" applyNumberFormat="1" applyFont="1" applyBorder="1" applyAlignment="1">
      <alignment vertical="center"/>
    </xf>
    <xf numFmtId="165" fontId="0" fillId="15" borderId="20" xfId="7" applyNumberFormat="1" applyFont="1" applyBorder="1" applyAlignment="1">
      <alignment vertical="center"/>
    </xf>
    <xf numFmtId="165" fontId="0" fillId="15" borderId="0" xfId="7" applyNumberFormat="1" applyFont="1" applyBorder="1" applyAlignment="1">
      <alignment vertical="center"/>
    </xf>
    <xf numFmtId="165" fontId="0" fillId="15" borderId="24" xfId="7" applyNumberFormat="1" applyFont="1" applyBorder="1" applyAlignment="1">
      <alignment vertical="center"/>
    </xf>
    <xf numFmtId="165" fontId="0" fillId="15" borderId="13" xfId="7" applyNumberFormat="1" applyFont="1" applyBorder="1" applyAlignment="1">
      <alignment vertical="center"/>
    </xf>
    <xf numFmtId="0" fontId="9" fillId="15" borderId="0" xfId="7" applyFont="1" applyBorder="1" applyAlignment="1">
      <alignment vertical="center"/>
    </xf>
    <xf numFmtId="0" fontId="0" fillId="15" borderId="0" xfId="7" applyFont="1"/>
    <xf numFmtId="165" fontId="0" fillId="15" borderId="21" xfId="7" applyNumberFormat="1" applyFont="1" applyBorder="1" applyAlignment="1">
      <alignment vertical="center"/>
    </xf>
    <xf numFmtId="165" fontId="0" fillId="15" borderId="23" xfId="7" applyNumberFormat="1" applyFont="1" applyBorder="1" applyAlignment="1">
      <alignment vertical="center"/>
    </xf>
    <xf numFmtId="165" fontId="0" fillId="21" borderId="20" xfId="1" applyNumberFormat="1" applyFont="1" applyFill="1" applyBorder="1" applyAlignment="1">
      <alignment vertical="center"/>
    </xf>
    <xf numFmtId="165" fontId="0" fillId="21" borderId="13" xfId="1" applyNumberFormat="1" applyFont="1" applyFill="1" applyBorder="1" applyAlignment="1">
      <alignment vertical="center"/>
    </xf>
    <xf numFmtId="165" fontId="0" fillId="21" borderId="0" xfId="1" applyNumberFormat="1" applyFont="1" applyFill="1" applyBorder="1" applyAlignment="1">
      <alignment horizontal="left"/>
    </xf>
    <xf numFmtId="165" fontId="0" fillId="21" borderId="7" xfId="1" applyNumberFormat="1" applyFont="1" applyFill="1" applyBorder="1"/>
    <xf numFmtId="0" fontId="22" fillId="0" borderId="0" xfId="0" applyFont="1"/>
    <xf numFmtId="165" fontId="0" fillId="21" borderId="22" xfId="1" applyNumberFormat="1" applyFont="1" applyFill="1" applyBorder="1"/>
    <xf numFmtId="165" fontId="0" fillId="21" borderId="20" xfId="1" applyNumberFormat="1" applyFont="1" applyFill="1" applyBorder="1"/>
    <xf numFmtId="165" fontId="0" fillId="21" borderId="15" xfId="1" applyNumberFormat="1" applyFont="1" applyFill="1" applyBorder="1"/>
    <xf numFmtId="165" fontId="0" fillId="21" borderId="0" xfId="1" applyNumberFormat="1" applyFont="1" applyFill="1" applyBorder="1"/>
    <xf numFmtId="165" fontId="0" fillId="21" borderId="25" xfId="1" applyNumberFormat="1" applyFont="1" applyFill="1" applyBorder="1"/>
    <xf numFmtId="165" fontId="0" fillId="21" borderId="13" xfId="1" applyNumberFormat="1" applyFont="1" applyFill="1" applyBorder="1"/>
    <xf numFmtId="0" fontId="8" fillId="0" borderId="0" xfId="0" applyFont="1"/>
    <xf numFmtId="0" fontId="9" fillId="0" borderId="0" xfId="0" applyFont="1"/>
    <xf numFmtId="0" fontId="9" fillId="0" borderId="0" xfId="0" applyFont="1" applyAlignment="1">
      <alignment horizontal="right"/>
    </xf>
    <xf numFmtId="0" fontId="9" fillId="0" borderId="0" xfId="0" applyFont="1" applyAlignment="1">
      <alignment horizontal="center"/>
    </xf>
    <xf numFmtId="164" fontId="9" fillId="0" borderId="0" xfId="1" applyNumberFormat="1" applyFont="1"/>
    <xf numFmtId="0" fontId="0" fillId="0" borderId="0" xfId="0" applyFont="1" applyAlignment="1">
      <alignment horizontal="right"/>
    </xf>
    <xf numFmtId="11" fontId="0" fillId="0" borderId="0" xfId="1" applyNumberFormat="1" applyFont="1"/>
    <xf numFmtId="11" fontId="0" fillId="0" borderId="0" xfId="0" applyNumberFormat="1" applyFont="1"/>
    <xf numFmtId="0" fontId="9" fillId="0" borderId="0" xfId="0" quotePrefix="1" applyFont="1" applyAlignment="1">
      <alignment horizontal="right" vertical="center"/>
    </xf>
    <xf numFmtId="0" fontId="9" fillId="0" borderId="10" xfId="0" applyFont="1" applyBorder="1" applyAlignment="1">
      <alignment vertical="center"/>
    </xf>
    <xf numFmtId="0" fontId="9" fillId="0" borderId="10" xfId="0" applyFont="1" applyBorder="1" applyAlignment="1">
      <alignment horizontal="right" vertical="center"/>
    </xf>
    <xf numFmtId="164" fontId="9" fillId="0" borderId="10" xfId="1" applyNumberFormat="1" applyFont="1" applyBorder="1" applyAlignment="1">
      <alignment vertical="center"/>
    </xf>
    <xf numFmtId="164" fontId="0" fillId="0" borderId="0" xfId="1" applyNumberFormat="1" applyFont="1"/>
    <xf numFmtId="0" fontId="9" fillId="0" borderId="0" xfId="0" quotePrefix="1" applyFont="1" applyAlignment="1">
      <alignment horizontal="right"/>
    </xf>
    <xf numFmtId="0" fontId="0" fillId="0" borderId="0" xfId="0" applyFont="1" applyBorder="1" applyAlignment="1">
      <alignment horizontal="right" vertical="center"/>
    </xf>
    <xf numFmtId="0" fontId="9" fillId="0" borderId="11" xfId="0" applyFont="1" applyBorder="1" applyAlignment="1">
      <alignment vertical="center"/>
    </xf>
    <xf numFmtId="0" fontId="9" fillId="0" borderId="11" xfId="0" applyFont="1" applyBorder="1" applyAlignment="1">
      <alignment horizontal="right" vertical="center"/>
    </xf>
    <xf numFmtId="164" fontId="9" fillId="0" borderId="11" xfId="1" applyNumberFormat="1" applyFont="1" applyBorder="1" applyAlignment="1">
      <alignment vertical="center"/>
    </xf>
    <xf numFmtId="164" fontId="9" fillId="0" borderId="10" xfId="1" applyNumberFormat="1" applyFont="1" applyBorder="1"/>
    <xf numFmtId="0" fontId="9" fillId="0" borderId="0" xfId="0" applyFont="1" applyAlignment="1">
      <alignment vertical="center"/>
    </xf>
    <xf numFmtId="0" fontId="0" fillId="0" borderId="0" xfId="0" applyAlignment="1">
      <alignment horizontal="right"/>
    </xf>
    <xf numFmtId="165" fontId="0" fillId="0" borderId="0" xfId="1" applyNumberFormat="1" applyFont="1"/>
    <xf numFmtId="0" fontId="3" fillId="0" borderId="0" xfId="0" applyFont="1" applyFill="1"/>
    <xf numFmtId="0" fontId="3" fillId="0" borderId="0" xfId="1" applyNumberFormat="1" applyFont="1"/>
    <xf numFmtId="0" fontId="3" fillId="0" borderId="0" xfId="0" applyFont="1"/>
    <xf numFmtId="0" fontId="0" fillId="0" borderId="0" xfId="3" applyNumberFormat="1" applyFont="1" applyAlignment="1">
      <alignment horizontal="right"/>
    </xf>
    <xf numFmtId="0" fontId="3" fillId="0" borderId="0" xfId="0" applyFont="1" applyAlignment="1">
      <alignment horizontal="right"/>
    </xf>
    <xf numFmtId="11" fontId="0" fillId="0" borderId="0" xfId="0" applyNumberFormat="1"/>
    <xf numFmtId="1" fontId="0" fillId="0" borderId="0" xfId="3" applyNumberFormat="1" applyFont="1" applyAlignment="1">
      <alignment horizontal="right"/>
    </xf>
    <xf numFmtId="9" fontId="10" fillId="0" borderId="0" xfId="3" applyFont="1"/>
    <xf numFmtId="9" fontId="10" fillId="0" borderId="0" xfId="3" applyNumberFormat="1" applyFont="1"/>
    <xf numFmtId="9" fontId="0" fillId="0" borderId="0" xfId="0" applyNumberFormat="1" applyFont="1"/>
    <xf numFmtId="9" fontId="10" fillId="0" borderId="0" xfId="3" applyFont="1" applyFill="1"/>
    <xf numFmtId="9" fontId="10" fillId="0" borderId="0" xfId="3" applyNumberFormat="1" applyFont="1" applyFill="1"/>
    <xf numFmtId="9" fontId="9" fillId="0" borderId="0" xfId="0" applyNumberFormat="1" applyFont="1"/>
    <xf numFmtId="0" fontId="1" fillId="0" borderId="0" xfId="3" applyNumberFormat="1" applyFont="1"/>
    <xf numFmtId="0" fontId="0" fillId="0" borderId="0" xfId="0" applyBorder="1"/>
    <xf numFmtId="0" fontId="0" fillId="0" borderId="0" xfId="0" applyFont="1" applyAlignment="1">
      <alignment horizontal="right" vertical="center"/>
    </xf>
    <xf numFmtId="9" fontId="0" fillId="0" borderId="0" xfId="3" applyFont="1"/>
    <xf numFmtId="0" fontId="0" fillId="0" borderId="0" xfId="0" applyFont="1" applyFill="1" applyAlignment="1">
      <alignment vertical="center"/>
    </xf>
    <xf numFmtId="164" fontId="9" fillId="0" borderId="11" xfId="1" applyNumberFormat="1" applyFont="1" applyFill="1" applyBorder="1" applyAlignment="1">
      <alignment vertical="center"/>
    </xf>
    <xf numFmtId="179" fontId="10" fillId="0" borderId="0" xfId="0" applyNumberFormat="1" applyFont="1"/>
    <xf numFmtId="169" fontId="0" fillId="0" borderId="0" xfId="0" applyNumberFormat="1" applyFont="1"/>
    <xf numFmtId="169" fontId="0" fillId="0" borderId="0" xfId="0" applyNumberFormat="1" applyFont="1" applyAlignment="1">
      <alignment vertical="center"/>
    </xf>
    <xf numFmtId="164" fontId="9" fillId="0" borderId="0" xfId="1" applyNumberFormat="1" applyFont="1" applyBorder="1"/>
    <xf numFmtId="0" fontId="3" fillId="0" borderId="0" xfId="0" applyFont="1" applyAlignment="1">
      <alignment vertical="center"/>
    </xf>
    <xf numFmtId="0" fontId="9" fillId="0" borderId="0" xfId="0" applyFont="1" applyFill="1"/>
    <xf numFmtId="164" fontId="9" fillId="0" borderId="0" xfId="1" applyNumberFormat="1" applyFont="1" applyAlignment="1">
      <alignment horizontal="right"/>
    </xf>
    <xf numFmtId="164" fontId="0" fillId="0" borderId="0" xfId="1" applyNumberFormat="1" applyFont="1" applyAlignment="1">
      <alignment horizontal="right"/>
    </xf>
    <xf numFmtId="164" fontId="23" fillId="0" borderId="0" xfId="1" applyNumberFormat="1" applyFont="1"/>
    <xf numFmtId="0" fontId="9" fillId="0" borderId="0" xfId="0" applyFont="1" applyAlignment="1">
      <alignment horizontal="left"/>
    </xf>
    <xf numFmtId="164" fontId="0" fillId="0" borderId="0" xfId="1" applyNumberFormat="1" applyFont="1" applyAlignment="1">
      <alignment vertical="center"/>
    </xf>
    <xf numFmtId="0" fontId="20" fillId="0" borderId="0" xfId="0" applyFont="1"/>
    <xf numFmtId="165" fontId="24" fillId="0" borderId="10" xfId="1" applyNumberFormat="1" applyFont="1" applyBorder="1"/>
    <xf numFmtId="164" fontId="24" fillId="0" borderId="0" xfId="1" applyNumberFormat="1" applyFont="1" applyBorder="1" applyAlignment="1">
      <alignment horizontal="right"/>
    </xf>
    <xf numFmtId="164" fontId="0" fillId="0" borderId="0" xfId="1" applyNumberFormat="1" applyFont="1" applyFill="1" applyAlignment="1">
      <alignment vertical="center"/>
    </xf>
    <xf numFmtId="179" fontId="0" fillId="0" borderId="0" xfId="0" applyNumberFormat="1"/>
    <xf numFmtId="179" fontId="0" fillId="0" borderId="0" xfId="1" applyNumberFormat="1" applyFont="1" applyFill="1"/>
    <xf numFmtId="0" fontId="0" fillId="0" borderId="0" xfId="0" applyFont="1" applyAlignment="1">
      <alignment horizontal="left"/>
    </xf>
    <xf numFmtId="164" fontId="0" fillId="0" borderId="10" xfId="1" applyNumberFormat="1" applyFont="1" applyBorder="1"/>
    <xf numFmtId="168" fontId="0" fillId="0" borderId="0" xfId="3" applyNumberFormat="1" applyFont="1" applyAlignment="1">
      <alignment vertical="center"/>
    </xf>
    <xf numFmtId="164" fontId="0" fillId="0" borderId="0" xfId="1" applyNumberFormat="1" applyFont="1" applyAlignment="1">
      <alignment horizontal="right" vertical="center"/>
    </xf>
    <xf numFmtId="165" fontId="0" fillId="0" borderId="0" xfId="1" applyNumberFormat="1" applyFont="1" applyAlignment="1">
      <alignment vertical="center"/>
    </xf>
    <xf numFmtId="0" fontId="0" fillId="0" borderId="0" xfId="7" applyFont="1" applyFill="1" applyBorder="1" applyAlignment="1">
      <alignment horizontal="left"/>
    </xf>
    <xf numFmtId="164" fontId="0" fillId="0" borderId="0" xfId="1" applyNumberFormat="1" applyFont="1" applyBorder="1" applyAlignment="1">
      <alignment vertical="center"/>
    </xf>
    <xf numFmtId="0" fontId="0" fillId="0" borderId="10" xfId="7" applyFont="1" applyFill="1" applyBorder="1" applyAlignment="1">
      <alignment horizontal="left"/>
    </xf>
    <xf numFmtId="0" fontId="0" fillId="0" borderId="10" xfId="0" applyFont="1" applyBorder="1"/>
    <xf numFmtId="164" fontId="0" fillId="0" borderId="10" xfId="1" applyNumberFormat="1" applyFont="1" applyBorder="1" applyAlignment="1">
      <alignment vertical="center"/>
    </xf>
    <xf numFmtId="165" fontId="0" fillId="0" borderId="10" xfId="1" applyNumberFormat="1" applyFont="1" applyBorder="1" applyAlignment="1">
      <alignment vertical="center"/>
    </xf>
    <xf numFmtId="165" fontId="0" fillId="0" borderId="0" xfId="1" applyNumberFormat="1" applyFont="1" applyBorder="1" applyAlignment="1">
      <alignment vertical="center"/>
    </xf>
    <xf numFmtId="0" fontId="9" fillId="0" borderId="0" xfId="0" applyFont="1" applyBorder="1"/>
    <xf numFmtId="0" fontId="9" fillId="0" borderId="0" xfId="0" applyFont="1" applyBorder="1" applyAlignment="1">
      <alignment horizontal="right"/>
    </xf>
    <xf numFmtId="0" fontId="0" fillId="0" borderId="13" xfId="7" applyFont="1" applyFill="1" applyBorder="1" applyAlignment="1">
      <alignment horizontal="left"/>
    </xf>
    <xf numFmtId="0" fontId="0" fillId="0" borderId="13" xfId="0" applyFont="1" applyBorder="1"/>
    <xf numFmtId="164" fontId="0" fillId="0" borderId="13" xfId="1" applyNumberFormat="1" applyFont="1" applyBorder="1" applyAlignment="1">
      <alignment vertical="center"/>
    </xf>
    <xf numFmtId="165" fontId="0" fillId="0" borderId="13" xfId="1" applyNumberFormat="1" applyFont="1" applyBorder="1" applyAlignment="1">
      <alignment vertical="center"/>
    </xf>
    <xf numFmtId="0" fontId="9" fillId="0" borderId="0" xfId="7" applyFont="1" applyFill="1" applyBorder="1" applyAlignment="1">
      <alignment horizontal="left"/>
    </xf>
    <xf numFmtId="165" fontId="0" fillId="0" borderId="0" xfId="0" applyNumberFormat="1" applyFont="1"/>
    <xf numFmtId="177" fontId="0" fillId="0" borderId="0" xfId="1" applyNumberFormat="1" applyFont="1" applyFill="1" applyBorder="1" applyAlignment="1">
      <alignment horizontal="right" vertical="center"/>
    </xf>
    <xf numFmtId="165" fontId="0" fillId="0" borderId="0" xfId="0" applyNumberFormat="1" applyFont="1" applyFill="1"/>
    <xf numFmtId="165" fontId="0" fillId="0" borderId="0" xfId="1" applyNumberFormat="1" applyFont="1" applyFill="1"/>
    <xf numFmtId="0" fontId="5" fillId="0" borderId="0" xfId="0" applyFont="1"/>
    <xf numFmtId="177" fontId="0" fillId="0" borderId="0" xfId="1" applyNumberFormat="1" applyFont="1" applyFill="1" applyBorder="1" applyAlignment="1">
      <alignment horizontal="center" vertical="center"/>
    </xf>
    <xf numFmtId="0" fontId="0" fillId="17" borderId="3" xfId="0" applyFont="1" applyFill="1" applyBorder="1"/>
    <xf numFmtId="0" fontId="0" fillId="18" borderId="30" xfId="0" applyFont="1" applyFill="1" applyBorder="1"/>
    <xf numFmtId="0" fontId="0" fillId="18" borderId="31" xfId="0" applyFont="1" applyFill="1" applyBorder="1"/>
    <xf numFmtId="0" fontId="0" fillId="18" borderId="32" xfId="0" applyFont="1" applyFill="1" applyBorder="1"/>
    <xf numFmtId="164" fontId="0" fillId="18" borderId="0" xfId="0" applyNumberFormat="1" applyFont="1" applyFill="1" applyBorder="1" applyAlignment="1">
      <alignment vertical="center"/>
    </xf>
    <xf numFmtId="0" fontId="5" fillId="18" borderId="18" xfId="0" applyFont="1" applyFill="1" applyBorder="1"/>
    <xf numFmtId="0" fontId="0" fillId="18" borderId="17" xfId="0" applyFont="1" applyFill="1" applyBorder="1" applyAlignment="1">
      <alignment vertical="center"/>
    </xf>
    <xf numFmtId="0" fontId="0" fillId="18" borderId="17" xfId="0" applyFill="1" applyBorder="1" applyAlignment="1">
      <alignment vertical="center"/>
    </xf>
    <xf numFmtId="0" fontId="0" fillId="0" borderId="29" xfId="0" applyFont="1" applyFill="1" applyBorder="1"/>
    <xf numFmtId="0" fontId="8" fillId="23" borderId="3" xfId="0" applyFont="1" applyFill="1" applyBorder="1" applyAlignment="1">
      <alignment horizontal="left" vertical="center" indent="1"/>
    </xf>
    <xf numFmtId="0" fontId="8" fillId="23" borderId="4" xfId="0" applyFont="1" applyFill="1" applyBorder="1" applyAlignment="1">
      <alignment vertical="center"/>
    </xf>
    <xf numFmtId="0" fontId="0" fillId="23" borderId="4" xfId="0" applyFont="1" applyFill="1" applyBorder="1"/>
    <xf numFmtId="0" fontId="0" fillId="23" borderId="5" xfId="0" applyFont="1" applyFill="1" applyBorder="1"/>
    <xf numFmtId="0" fontId="0" fillId="24" borderId="30" xfId="0" applyFont="1" applyFill="1" applyBorder="1"/>
    <xf numFmtId="0" fontId="0" fillId="24" borderId="31" xfId="0" applyFont="1" applyFill="1" applyBorder="1"/>
    <xf numFmtId="0" fontId="0" fillId="24" borderId="32" xfId="0" applyFont="1" applyFill="1" applyBorder="1"/>
    <xf numFmtId="0" fontId="0" fillId="24" borderId="6" xfId="0" applyFont="1" applyFill="1" applyBorder="1"/>
    <xf numFmtId="0" fontId="9" fillId="24" borderId="0" xfId="0" applyFont="1" applyFill="1" applyBorder="1"/>
    <xf numFmtId="0" fontId="0" fillId="24" borderId="0" xfId="0" applyFont="1" applyFill="1" applyBorder="1"/>
    <xf numFmtId="0" fontId="0" fillId="24" borderId="0" xfId="0" applyFont="1" applyFill="1" applyBorder="1" applyAlignment="1">
      <alignment horizontal="right"/>
    </xf>
    <xf numFmtId="0" fontId="0" fillId="24" borderId="7" xfId="0" applyFont="1" applyFill="1" applyBorder="1"/>
    <xf numFmtId="0" fontId="9" fillId="24" borderId="12" xfId="0" applyFont="1" applyFill="1" applyBorder="1" applyAlignment="1">
      <alignment vertical="center"/>
    </xf>
    <xf numFmtId="0" fontId="5" fillId="24" borderId="6" xfId="0" applyFont="1" applyFill="1" applyBorder="1"/>
    <xf numFmtId="0" fontId="0" fillId="24" borderId="0" xfId="0" applyFont="1" applyFill="1" applyBorder="1" applyAlignment="1">
      <alignment vertical="center"/>
    </xf>
    <xf numFmtId="0" fontId="0" fillId="24" borderId="0" xfId="0" applyNumberFormat="1" applyFont="1" applyFill="1" applyBorder="1" applyAlignment="1">
      <alignment vertical="center"/>
    </xf>
    <xf numFmtId="164" fontId="0" fillId="24" borderId="0" xfId="1" applyNumberFormat="1" applyFont="1" applyFill="1" applyBorder="1" applyAlignment="1">
      <alignment vertical="center"/>
    </xf>
    <xf numFmtId="164" fontId="0" fillId="24" borderId="0" xfId="0" applyNumberFormat="1" applyFont="1" applyFill="1" applyBorder="1" applyAlignment="1">
      <alignment vertical="center"/>
    </xf>
    <xf numFmtId="0" fontId="0" fillId="25" borderId="0" xfId="0" applyFont="1" applyFill="1"/>
    <xf numFmtId="0" fontId="0" fillId="25" borderId="0" xfId="0" applyFont="1" applyFill="1" applyAlignment="1">
      <alignment vertical="center"/>
    </xf>
    <xf numFmtId="0" fontId="5" fillId="24" borderId="0" xfId="0" applyFont="1" applyFill="1" applyBorder="1"/>
    <xf numFmtId="0" fontId="9" fillId="24" borderId="0" xfId="0" applyFont="1" applyFill="1" applyBorder="1" applyAlignment="1">
      <alignment vertical="center"/>
    </xf>
    <xf numFmtId="164" fontId="0" fillId="24" borderId="0" xfId="0" applyNumberFormat="1" applyFill="1" applyBorder="1" applyAlignment="1">
      <alignment horizontal="right" vertical="center"/>
    </xf>
    <xf numFmtId="0" fontId="0" fillId="24" borderId="0" xfId="0" applyFill="1"/>
    <xf numFmtId="0" fontId="5" fillId="24" borderId="18" xfId="0" applyFont="1" applyFill="1" applyBorder="1"/>
    <xf numFmtId="0" fontId="0" fillId="24" borderId="17" xfId="0" applyFont="1" applyFill="1" applyBorder="1"/>
    <xf numFmtId="0" fontId="8" fillId="26" borderId="3" xfId="0" applyFont="1" applyFill="1" applyBorder="1" applyAlignment="1">
      <alignment horizontal="left" vertical="center" indent="1"/>
    </xf>
    <xf numFmtId="0" fontId="8" fillId="26" borderId="4" xfId="0" applyFont="1" applyFill="1" applyBorder="1" applyAlignment="1">
      <alignment vertical="center"/>
    </xf>
    <xf numFmtId="0" fontId="0" fillId="26" borderId="4" xfId="0" applyFont="1" applyFill="1" applyBorder="1"/>
    <xf numFmtId="0" fontId="0" fillId="26" borderId="5" xfId="0" applyFont="1" applyFill="1" applyBorder="1"/>
    <xf numFmtId="0" fontId="0" fillId="27" borderId="30" xfId="0" applyFont="1" applyFill="1" applyBorder="1"/>
    <xf numFmtId="0" fontId="0" fillId="27" borderId="31" xfId="0" applyFont="1" applyFill="1" applyBorder="1"/>
    <xf numFmtId="0" fontId="0" fillId="27" borderId="32" xfId="0" applyFont="1" applyFill="1" applyBorder="1"/>
    <xf numFmtId="0" fontId="0" fillId="27" borderId="6" xfId="0" applyFont="1" applyFill="1" applyBorder="1"/>
    <xf numFmtId="0" fontId="9" fillId="27" borderId="0" xfId="0" applyFont="1" applyFill="1" applyBorder="1"/>
    <xf numFmtId="0" fontId="0" fillId="27" borderId="0" xfId="0" applyFont="1" applyFill="1" applyBorder="1"/>
    <xf numFmtId="0" fontId="0" fillId="27" borderId="0" xfId="0" applyFont="1" applyFill="1" applyBorder="1" applyAlignment="1">
      <alignment horizontal="right"/>
    </xf>
    <xf numFmtId="0" fontId="0" fillId="27" borderId="7" xfId="0" applyFont="1" applyFill="1" applyBorder="1"/>
    <xf numFmtId="0" fontId="5" fillId="27" borderId="6" xfId="0" applyFont="1" applyFill="1" applyBorder="1"/>
    <xf numFmtId="0" fontId="9" fillId="27" borderId="12" xfId="0" applyFont="1" applyFill="1" applyBorder="1" applyAlignment="1">
      <alignment vertical="center"/>
    </xf>
    <xf numFmtId="0" fontId="0" fillId="27" borderId="0" xfId="0" applyFont="1" applyFill="1" applyBorder="1" applyAlignment="1">
      <alignment vertical="center"/>
    </xf>
    <xf numFmtId="165" fontId="0" fillId="27" borderId="0" xfId="1" applyNumberFormat="1" applyFont="1" applyFill="1" applyBorder="1" applyAlignment="1">
      <alignment vertical="center"/>
    </xf>
    <xf numFmtId="165" fontId="0" fillId="27" borderId="13" xfId="1" applyNumberFormat="1" applyFont="1" applyFill="1" applyBorder="1" applyAlignment="1">
      <alignment vertical="center"/>
    </xf>
    <xf numFmtId="0" fontId="5" fillId="27" borderId="18" xfId="0" applyFont="1" applyFill="1" applyBorder="1"/>
    <xf numFmtId="0" fontId="0" fillId="27" borderId="17" xfId="0" applyFont="1" applyFill="1" applyBorder="1"/>
    <xf numFmtId="0" fontId="0" fillId="27" borderId="29" xfId="0" applyFont="1" applyFill="1" applyBorder="1"/>
    <xf numFmtId="0" fontId="9" fillId="27" borderId="0" xfId="0" applyFont="1" applyFill="1"/>
    <xf numFmtId="0" fontId="0" fillId="27" borderId="0" xfId="0" applyFont="1" applyFill="1"/>
    <xf numFmtId="165" fontId="0" fillId="27" borderId="0" xfId="1" applyNumberFormat="1" applyFont="1" applyFill="1" applyAlignment="1">
      <alignment vertical="center"/>
    </xf>
    <xf numFmtId="0" fontId="26" fillId="27" borderId="6" xfId="0" applyFont="1" applyFill="1" applyBorder="1"/>
    <xf numFmtId="0" fontId="24" fillId="27" borderId="0" xfId="0" applyFont="1" applyFill="1" applyBorder="1" applyAlignment="1">
      <alignment vertical="center"/>
    </xf>
    <xf numFmtId="165" fontId="24" fillId="27" borderId="0" xfId="1" applyNumberFormat="1" applyFont="1" applyFill="1" applyAlignment="1">
      <alignment vertical="center"/>
    </xf>
    <xf numFmtId="165" fontId="24" fillId="27" borderId="0" xfId="1" applyNumberFormat="1" applyFont="1" applyFill="1" applyBorder="1" applyAlignment="1">
      <alignment vertical="center"/>
    </xf>
    <xf numFmtId="180" fontId="0" fillId="27" borderId="0" xfId="0" applyNumberFormat="1" applyFont="1" applyFill="1" applyBorder="1" applyAlignment="1">
      <alignment vertical="center"/>
    </xf>
    <xf numFmtId="0" fontId="30" fillId="30" borderId="35" xfId="0" applyFont="1" applyFill="1" applyBorder="1" applyAlignment="1">
      <alignment vertical="center" wrapText="1"/>
    </xf>
    <xf numFmtId="0" fontId="30" fillId="30" borderId="35" xfId="0" applyFont="1" applyFill="1" applyBorder="1" applyAlignment="1">
      <alignment vertical="center"/>
    </xf>
    <xf numFmtId="0" fontId="0" fillId="0" borderId="0" xfId="0" applyAlignment="1">
      <alignment wrapText="1"/>
    </xf>
    <xf numFmtId="0" fontId="31" fillId="17" borderId="3" xfId="0" applyFont="1" applyFill="1" applyBorder="1" applyAlignment="1">
      <alignment horizontal="left" vertical="center" indent="1"/>
    </xf>
    <xf numFmtId="0" fontId="0" fillId="17" borderId="4" xfId="0" applyFill="1" applyBorder="1"/>
    <xf numFmtId="0" fontId="0" fillId="17" borderId="4" xfId="0" applyFill="1" applyBorder="1" applyAlignment="1">
      <alignment horizontal="right"/>
    </xf>
    <xf numFmtId="0" fontId="0" fillId="18" borderId="6" xfId="0" applyFill="1" applyBorder="1"/>
    <xf numFmtId="0" fontId="0" fillId="18" borderId="0" xfId="0" applyFill="1" applyBorder="1"/>
    <xf numFmtId="0" fontId="0" fillId="18" borderId="0" xfId="0" applyFill="1" applyBorder="1" applyAlignment="1">
      <alignment horizontal="right"/>
    </xf>
    <xf numFmtId="0" fontId="0" fillId="18" borderId="13" xfId="0" applyFill="1" applyBorder="1" applyAlignment="1">
      <alignment vertical="center"/>
    </xf>
    <xf numFmtId="0" fontId="24" fillId="0" borderId="0" xfId="0" applyFont="1" applyFill="1" applyBorder="1" applyAlignment="1">
      <alignment horizontal="center" vertical="center"/>
    </xf>
    <xf numFmtId="0" fontId="24" fillId="0" borderId="0" xfId="0" applyFont="1" applyFill="1" applyBorder="1" applyAlignment="1">
      <alignment vertical="center"/>
    </xf>
    <xf numFmtId="0" fontId="24" fillId="0" borderId="0" xfId="0" applyFont="1" applyFill="1" applyBorder="1" applyAlignment="1">
      <alignment horizontal="center" vertical="center" wrapText="1"/>
    </xf>
    <xf numFmtId="0" fontId="32" fillId="0" borderId="0" xfId="0" applyFont="1" applyFill="1" applyBorder="1" applyAlignment="1">
      <alignment vertical="center"/>
    </xf>
    <xf numFmtId="0" fontId="33" fillId="0" borderId="0" xfId="0" applyFont="1" applyFill="1" applyBorder="1" applyAlignment="1">
      <alignment horizontal="left" vertical="center"/>
    </xf>
    <xf numFmtId="0" fontId="31" fillId="0" borderId="0" xfId="0" applyFont="1" applyFill="1" applyBorder="1" applyAlignment="1">
      <alignment horizontal="center" vertical="center"/>
    </xf>
    <xf numFmtId="0" fontId="32" fillId="0" borderId="0" xfId="0" applyFont="1" applyFill="1" applyBorder="1" applyAlignment="1">
      <alignment horizontal="center" vertical="center" wrapText="1"/>
    </xf>
    <xf numFmtId="0" fontId="34" fillId="0" borderId="0" xfId="0" applyFont="1" applyFill="1" applyBorder="1" applyAlignment="1">
      <alignment horizontal="left" vertical="center"/>
    </xf>
    <xf numFmtId="0" fontId="35" fillId="20" borderId="37" xfId="0" applyFont="1" applyFill="1" applyBorder="1" applyAlignment="1">
      <alignment horizontal="centerContinuous" vertical="center" wrapText="1"/>
    </xf>
    <xf numFmtId="0" fontId="33" fillId="29" borderId="3" xfId="0" applyFont="1" applyFill="1" applyBorder="1" applyAlignment="1">
      <alignment horizontal="centerContinuous" vertical="center" wrapText="1"/>
    </xf>
    <xf numFmtId="0" fontId="31" fillId="29" borderId="4" xfId="0" applyFont="1" applyFill="1" applyBorder="1" applyAlignment="1">
      <alignment horizontal="centerContinuous" vertical="center" wrapText="1"/>
    </xf>
    <xf numFmtId="0" fontId="33" fillId="29" borderId="4" xfId="0" applyFont="1" applyFill="1" applyBorder="1" applyAlignment="1">
      <alignment horizontal="centerContinuous" vertical="center" wrapText="1"/>
    </xf>
    <xf numFmtId="0" fontId="31" fillId="29" borderId="5" xfId="0" applyFont="1" applyFill="1" applyBorder="1" applyAlignment="1">
      <alignment horizontal="centerContinuous" vertical="center" wrapText="1"/>
    </xf>
    <xf numFmtId="0" fontId="33" fillId="17" borderId="4" xfId="0" applyFont="1" applyFill="1" applyBorder="1" applyAlignment="1">
      <alignment horizontal="centerContinuous" vertical="center" wrapText="1"/>
    </xf>
    <xf numFmtId="0" fontId="31" fillId="17" borderId="4" xfId="0" applyFont="1" applyFill="1" applyBorder="1" applyAlignment="1">
      <alignment horizontal="centerContinuous" vertical="center" wrapText="1"/>
    </xf>
    <xf numFmtId="0" fontId="31" fillId="17" borderId="3" xfId="0" applyFont="1" applyFill="1" applyBorder="1" applyAlignment="1">
      <alignment horizontal="centerContinuous" vertical="center" wrapText="1"/>
    </xf>
    <xf numFmtId="0" fontId="31" fillId="17" borderId="5" xfId="0" applyFont="1" applyFill="1" applyBorder="1" applyAlignment="1">
      <alignment horizontal="centerContinuous" vertical="center" wrapText="1"/>
    </xf>
    <xf numFmtId="0" fontId="33" fillId="31" borderId="37" xfId="0" applyFont="1" applyFill="1" applyBorder="1" applyAlignment="1">
      <alignment horizontal="centerContinuous" vertical="center" wrapText="1"/>
    </xf>
    <xf numFmtId="0" fontId="31" fillId="31" borderId="37" xfId="0" applyFont="1" applyFill="1" applyBorder="1" applyAlignment="1">
      <alignment horizontal="centerContinuous" vertical="center" wrapText="1"/>
    </xf>
    <xf numFmtId="0" fontId="13" fillId="0" borderId="0" xfId="0" applyFont="1" applyFill="1" applyBorder="1" applyAlignment="1">
      <alignment horizontal="center" vertical="center" wrapText="1"/>
    </xf>
    <xf numFmtId="0" fontId="33" fillId="32" borderId="3" xfId="0" applyFont="1" applyFill="1" applyBorder="1" applyAlignment="1">
      <alignment horizontal="centerContinuous" vertical="center" wrapText="1"/>
    </xf>
    <xf numFmtId="0" fontId="33" fillId="32" borderId="4" xfId="0" applyFont="1" applyFill="1" applyBorder="1" applyAlignment="1">
      <alignment horizontal="centerContinuous" vertical="center"/>
    </xf>
    <xf numFmtId="0" fontId="0" fillId="32" borderId="17" xfId="0" applyFill="1" applyBorder="1"/>
    <xf numFmtId="0" fontId="14" fillId="0" borderId="0" xfId="0" applyFont="1" applyFill="1" applyBorder="1" applyAlignment="1">
      <alignment horizontal="center" vertical="center" wrapText="1"/>
    </xf>
    <xf numFmtId="0" fontId="36" fillId="33" borderId="38" xfId="0" applyFont="1" applyFill="1" applyBorder="1" applyAlignment="1">
      <alignment horizontal="center" vertical="center" wrapText="1"/>
    </xf>
    <xf numFmtId="0" fontId="37" fillId="33" borderId="38" xfId="0" applyFont="1" applyFill="1" applyBorder="1" applyAlignment="1">
      <alignment horizontal="center" vertical="center" wrapText="1"/>
    </xf>
    <xf numFmtId="0" fontId="36" fillId="34" borderId="38" xfId="0" applyFont="1" applyFill="1" applyBorder="1" applyAlignment="1">
      <alignment horizontal="center" vertical="center" wrapText="1"/>
    </xf>
    <xf numFmtId="0" fontId="37" fillId="34" borderId="38" xfId="0" applyFont="1" applyFill="1" applyBorder="1" applyAlignment="1">
      <alignment horizontal="center" vertical="center" wrapText="1"/>
    </xf>
    <xf numFmtId="0" fontId="36" fillId="35" borderId="38" xfId="0" applyFont="1" applyFill="1" applyBorder="1" applyAlignment="1">
      <alignment horizontal="center" vertical="center" wrapText="1"/>
    </xf>
    <xf numFmtId="0" fontId="37" fillId="35" borderId="38" xfId="0" applyFont="1" applyFill="1" applyBorder="1" applyAlignment="1">
      <alignment horizontal="center" vertical="center" wrapText="1"/>
    </xf>
    <xf numFmtId="0" fontId="36" fillId="23" borderId="38" xfId="0" applyFont="1" applyFill="1" applyBorder="1" applyAlignment="1">
      <alignment horizontal="center" vertical="center" wrapText="1"/>
    </xf>
    <xf numFmtId="0" fontId="37" fillId="23" borderId="38" xfId="0" applyFont="1" applyFill="1" applyBorder="1" applyAlignment="1">
      <alignment horizontal="center" vertical="center" wrapText="1"/>
    </xf>
    <xf numFmtId="0" fontId="37" fillId="0" borderId="0" xfId="0" applyFont="1" applyFill="1" applyBorder="1" applyAlignment="1">
      <alignment horizontal="center" vertical="center" wrapText="1"/>
    </xf>
    <xf numFmtId="0" fontId="0" fillId="36" borderId="30" xfId="0" applyFont="1" applyFill="1" applyBorder="1" applyAlignment="1">
      <alignment horizontal="centerContinuous" vertical="center" wrapText="1"/>
    </xf>
    <xf numFmtId="0" fontId="0" fillId="36" borderId="31" xfId="0" applyFont="1" applyFill="1" applyBorder="1" applyAlignment="1">
      <alignment horizontal="centerContinuous" vertical="center" wrapText="1"/>
    </xf>
    <xf numFmtId="0" fontId="0" fillId="36" borderId="32" xfId="0" applyFont="1" applyFill="1" applyBorder="1" applyAlignment="1">
      <alignment horizontal="centerContinuous" vertical="center" wrapText="1"/>
    </xf>
    <xf numFmtId="0" fontId="9" fillId="0" borderId="0" xfId="0" applyFont="1" applyAlignment="1">
      <alignment horizontal="center" vertical="center"/>
    </xf>
    <xf numFmtId="0" fontId="32" fillId="0" borderId="0" xfId="0" applyFont="1" applyFill="1" applyBorder="1" applyAlignment="1">
      <alignment horizontal="left" vertical="center"/>
    </xf>
    <xf numFmtId="0" fontId="36" fillId="33" borderId="39" xfId="0" applyFont="1" applyFill="1" applyBorder="1" applyAlignment="1">
      <alignment horizontal="center" vertical="center" wrapText="1"/>
    </xf>
    <xf numFmtId="0" fontId="36" fillId="34" borderId="39" xfId="0" applyFont="1" applyFill="1" applyBorder="1" applyAlignment="1">
      <alignment horizontal="center" vertical="center" wrapText="1"/>
    </xf>
    <xf numFmtId="0" fontId="36" fillId="35" borderId="39" xfId="0" applyFont="1" applyFill="1" applyBorder="1" applyAlignment="1">
      <alignment horizontal="center" vertical="center" wrapText="1"/>
    </xf>
    <xf numFmtId="0" fontId="36" fillId="23" borderId="39" xfId="0" applyFont="1" applyFill="1" applyBorder="1" applyAlignment="1">
      <alignment horizontal="center" vertical="center" wrapText="1"/>
    </xf>
    <xf numFmtId="0" fontId="36" fillId="0" borderId="0" xfId="0" applyFont="1" applyFill="1" applyBorder="1" applyAlignment="1">
      <alignment horizontal="center" vertical="center" wrapText="1"/>
    </xf>
    <xf numFmtId="0" fontId="14" fillId="36" borderId="18" xfId="0" applyFont="1" applyFill="1" applyBorder="1" applyAlignment="1">
      <alignment horizontal="centerContinuous" vertical="center"/>
    </xf>
    <xf numFmtId="0" fontId="14" fillId="36" borderId="17" xfId="0" applyFont="1" applyFill="1" applyBorder="1" applyAlignment="1">
      <alignment horizontal="centerContinuous" vertical="center"/>
    </xf>
    <xf numFmtId="0" fontId="14" fillId="36" borderId="29" xfId="0" applyFont="1" applyFill="1" applyBorder="1" applyAlignment="1">
      <alignment horizontal="centerContinuous" vertical="center"/>
    </xf>
    <xf numFmtId="164" fontId="38" fillId="21" borderId="38" xfId="1" applyNumberFormat="1" applyFont="1" applyFill="1" applyBorder="1" applyAlignment="1">
      <alignment vertical="center"/>
    </xf>
    <xf numFmtId="164" fontId="39" fillId="21" borderId="38" xfId="1" applyNumberFormat="1" applyFont="1" applyFill="1" applyBorder="1" applyAlignment="1">
      <alignment horizontal="center" vertical="center" wrapText="1"/>
    </xf>
    <xf numFmtId="164" fontId="38" fillId="28" borderId="38" xfId="1" applyNumberFormat="1" applyFont="1" applyFill="1" applyBorder="1" applyAlignment="1">
      <alignment vertical="center"/>
    </xf>
    <xf numFmtId="164" fontId="38" fillId="18" borderId="38" xfId="1" applyNumberFormat="1" applyFont="1" applyFill="1" applyBorder="1" applyAlignment="1">
      <alignment vertical="center"/>
    </xf>
    <xf numFmtId="164" fontId="38" fillId="24" borderId="38" xfId="1" applyNumberFormat="1" applyFont="1" applyFill="1" applyBorder="1" applyAlignment="1">
      <alignment vertical="center"/>
    </xf>
    <xf numFmtId="164" fontId="38" fillId="0" borderId="0" xfId="1" applyNumberFormat="1" applyFont="1" applyFill="1" applyBorder="1" applyAlignment="1">
      <alignment vertical="center"/>
    </xf>
    <xf numFmtId="0" fontId="0" fillId="36" borderId="37" xfId="0" applyFill="1" applyBorder="1" applyAlignment="1">
      <alignment horizontal="center" vertical="center"/>
    </xf>
    <xf numFmtId="0" fontId="34" fillId="0" borderId="0" xfId="0" applyFont="1" applyFill="1" applyBorder="1" applyAlignment="1">
      <alignment vertical="center"/>
    </xf>
    <xf numFmtId="0" fontId="5" fillId="0" borderId="0" xfId="0" applyFont="1" applyFill="1" applyBorder="1" applyAlignment="1">
      <alignment vertical="center"/>
    </xf>
    <xf numFmtId="164" fontId="40" fillId="21" borderId="38" xfId="1" applyNumberFormat="1" applyFont="1" applyFill="1" applyBorder="1" applyAlignment="1">
      <alignment vertical="center"/>
    </xf>
    <xf numFmtId="164" fontId="40" fillId="28" borderId="38" xfId="1" applyNumberFormat="1" applyFont="1" applyFill="1" applyBorder="1" applyAlignment="1">
      <alignment vertical="center"/>
    </xf>
    <xf numFmtId="164" fontId="40" fillId="18" borderId="38" xfId="1" applyNumberFormat="1" applyFont="1" applyFill="1" applyBorder="1" applyAlignment="1">
      <alignment vertical="center"/>
    </xf>
    <xf numFmtId="164" fontId="40" fillId="24" borderId="38" xfId="1" applyNumberFormat="1" applyFont="1" applyFill="1" applyBorder="1" applyAlignment="1">
      <alignment vertical="center"/>
    </xf>
    <xf numFmtId="164" fontId="40" fillId="0" borderId="0" xfId="1" applyNumberFormat="1" applyFont="1" applyFill="1" applyBorder="1" applyAlignment="1">
      <alignment vertical="center"/>
    </xf>
    <xf numFmtId="0" fontId="0" fillId="37" borderId="40" xfId="0" applyFill="1" applyBorder="1"/>
    <xf numFmtId="164" fontId="11" fillId="21" borderId="38" xfId="1" applyNumberFormat="1" applyFont="1" applyFill="1" applyBorder="1" applyAlignment="1">
      <alignment vertical="center"/>
    </xf>
    <xf numFmtId="164" fontId="41" fillId="21" borderId="38" xfId="1" applyNumberFormat="1" applyFont="1" applyFill="1" applyBorder="1" applyAlignment="1">
      <alignment horizontal="center" vertical="center" wrapText="1"/>
    </xf>
    <xf numFmtId="164" fontId="11" fillId="28" borderId="38" xfId="1" applyNumberFormat="1" applyFont="1" applyFill="1" applyBorder="1" applyAlignment="1">
      <alignment vertical="center"/>
    </xf>
    <xf numFmtId="164" fontId="11" fillId="18" borderId="38" xfId="1" applyNumberFormat="1" applyFont="1" applyFill="1" applyBorder="1" applyAlignment="1">
      <alignment vertical="center"/>
    </xf>
    <xf numFmtId="164" fontId="11" fillId="24" borderId="38" xfId="1" applyNumberFormat="1" applyFont="1" applyFill="1" applyBorder="1" applyAlignment="1">
      <alignment vertical="center"/>
    </xf>
    <xf numFmtId="164" fontId="11" fillId="0" borderId="0" xfId="1" applyNumberFormat="1" applyFont="1" applyFill="1" applyBorder="1" applyAlignment="1">
      <alignment vertical="center"/>
    </xf>
    <xf numFmtId="0" fontId="0" fillId="37" borderId="38" xfId="0" applyFill="1" applyBorder="1"/>
    <xf numFmtId="0" fontId="17" fillId="0" borderId="0" xfId="8" applyNumberFormat="1" applyBorder="1" applyAlignment="1">
      <alignment vertical="center"/>
    </xf>
    <xf numFmtId="0" fontId="17" fillId="0" borderId="0" xfId="8" applyNumberFormat="1" applyFill="1" applyBorder="1" applyAlignment="1">
      <alignment horizontal="right" vertical="center"/>
    </xf>
    <xf numFmtId="0" fontId="17" fillId="0" borderId="0" xfId="8" applyNumberFormat="1" applyFill="1" applyBorder="1" applyAlignment="1">
      <alignment vertical="center"/>
    </xf>
    <xf numFmtId="164" fontId="42" fillId="21" borderId="38" xfId="1" applyNumberFormat="1" applyFont="1" applyFill="1" applyBorder="1" applyAlignment="1">
      <alignment horizontal="right" vertical="center"/>
    </xf>
    <xf numFmtId="164" fontId="17" fillId="21" borderId="38" xfId="1" applyNumberFormat="1" applyFont="1" applyFill="1" applyBorder="1" applyAlignment="1">
      <alignment horizontal="right" vertical="center"/>
    </xf>
    <xf numFmtId="164" fontId="42" fillId="28" borderId="38" xfId="1" applyNumberFormat="1" applyFont="1" applyFill="1" applyBorder="1" applyAlignment="1">
      <alignment vertical="center"/>
    </xf>
    <xf numFmtId="164" fontId="17" fillId="28" borderId="38" xfId="1" applyNumberFormat="1" applyFont="1" applyFill="1" applyBorder="1" applyAlignment="1">
      <alignment vertical="center"/>
    </xf>
    <xf numFmtId="164" fontId="42" fillId="18" borderId="38" xfId="1" applyNumberFormat="1" applyFont="1" applyFill="1" applyBorder="1" applyAlignment="1">
      <alignment vertical="center"/>
    </xf>
    <xf numFmtId="173" fontId="17" fillId="18" borderId="38" xfId="8" applyFill="1" applyBorder="1" applyAlignment="1">
      <alignment vertical="center"/>
    </xf>
    <xf numFmtId="173" fontId="17" fillId="0" borderId="0" xfId="8" applyFill="1" applyBorder="1" applyAlignment="1">
      <alignment vertical="center"/>
    </xf>
    <xf numFmtId="164" fontId="0" fillId="0" borderId="0" xfId="0" applyNumberFormat="1" applyAlignment="1">
      <alignment vertical="center"/>
    </xf>
    <xf numFmtId="0" fontId="17" fillId="0" borderId="17" xfId="8" applyNumberFormat="1" applyBorder="1" applyAlignment="1">
      <alignment vertical="center"/>
    </xf>
    <xf numFmtId="0" fontId="17" fillId="0" borderId="17" xfId="8" applyNumberFormat="1" applyFill="1" applyBorder="1" applyAlignment="1">
      <alignment horizontal="right" vertical="center"/>
    </xf>
    <xf numFmtId="0" fontId="17" fillId="0" borderId="17" xfId="8" applyNumberFormat="1" applyFill="1" applyBorder="1" applyAlignment="1">
      <alignment vertical="center"/>
    </xf>
    <xf numFmtId="164" fontId="42" fillId="21" borderId="39" xfId="1" applyNumberFormat="1" applyFont="1" applyFill="1" applyBorder="1" applyAlignment="1">
      <alignment horizontal="right" vertical="center"/>
    </xf>
    <xf numFmtId="164" fontId="17" fillId="21" borderId="39" xfId="1" applyNumberFormat="1" applyFont="1" applyFill="1" applyBorder="1" applyAlignment="1">
      <alignment horizontal="right" vertical="center"/>
    </xf>
    <xf numFmtId="164" fontId="42" fillId="28" borderId="39" xfId="1" applyNumberFormat="1" applyFont="1" applyFill="1" applyBorder="1" applyAlignment="1">
      <alignment vertical="center"/>
    </xf>
    <xf numFmtId="164" fontId="17" fillId="28" borderId="39" xfId="1" applyNumberFormat="1" applyFont="1" applyFill="1" applyBorder="1" applyAlignment="1">
      <alignment vertical="center"/>
    </xf>
    <xf numFmtId="164" fontId="42" fillId="18" borderId="39" xfId="1" applyNumberFormat="1" applyFont="1" applyFill="1" applyBorder="1" applyAlignment="1">
      <alignment vertical="center"/>
    </xf>
    <xf numFmtId="173" fontId="17" fillId="18" borderId="39" xfId="8" applyFill="1" applyBorder="1" applyAlignment="1">
      <alignment vertical="center"/>
    </xf>
    <xf numFmtId="173" fontId="17" fillId="0" borderId="17" xfId="8" applyFill="1" applyBorder="1" applyAlignment="1">
      <alignment vertical="center"/>
    </xf>
    <xf numFmtId="0" fontId="17" fillId="0" borderId="0" xfId="8" applyNumberFormat="1" applyAlignment="1">
      <alignment vertical="center"/>
    </xf>
    <xf numFmtId="164" fontId="17" fillId="18" borderId="38" xfId="1" applyNumberFormat="1" applyFont="1" applyFill="1" applyBorder="1" applyAlignment="1">
      <alignment vertical="center"/>
    </xf>
    <xf numFmtId="164" fontId="17" fillId="18" borderId="38" xfId="8" applyNumberFormat="1" applyFill="1" applyBorder="1" applyAlignment="1">
      <alignment vertical="center"/>
    </xf>
    <xf numFmtId="164" fontId="17" fillId="0" borderId="0" xfId="8" applyNumberFormat="1" applyFill="1" applyBorder="1" applyAlignment="1">
      <alignment vertical="center"/>
    </xf>
    <xf numFmtId="0" fontId="17" fillId="0" borderId="12" xfId="8" applyNumberFormat="1" applyFill="1" applyBorder="1" applyAlignment="1">
      <alignment vertical="center"/>
    </xf>
    <xf numFmtId="164" fontId="17" fillId="21" borderId="41" xfId="1" applyNumberFormat="1" applyFont="1" applyFill="1" applyBorder="1" applyAlignment="1">
      <alignment horizontal="right" vertical="center"/>
    </xf>
    <xf numFmtId="164" fontId="17" fillId="28" borderId="41" xfId="1" applyNumberFormat="1" applyFont="1" applyFill="1" applyBorder="1" applyAlignment="1">
      <alignment vertical="center"/>
    </xf>
    <xf numFmtId="164" fontId="17" fillId="18" borderId="41" xfId="1" applyNumberFormat="1" applyFont="1" applyFill="1" applyBorder="1" applyAlignment="1">
      <alignment vertical="center"/>
    </xf>
    <xf numFmtId="164" fontId="17" fillId="18" borderId="41" xfId="8" applyNumberFormat="1" applyFill="1" applyBorder="1" applyAlignment="1">
      <alignment vertical="center"/>
    </xf>
    <xf numFmtId="0" fontId="9" fillId="0" borderId="0" xfId="0" applyFont="1" applyFill="1" applyBorder="1" applyAlignment="1">
      <alignment horizontal="right" vertical="center"/>
    </xf>
    <xf numFmtId="0" fontId="9" fillId="0" borderId="0" xfId="0" applyFont="1" applyFill="1" applyBorder="1" applyAlignment="1">
      <alignment vertical="center"/>
    </xf>
    <xf numFmtId="164" fontId="11" fillId="21" borderId="38" xfId="1" applyNumberFormat="1" applyFont="1" applyFill="1" applyBorder="1" applyAlignment="1">
      <alignment horizontal="right" vertical="center"/>
    </xf>
    <xf numFmtId="164" fontId="42" fillId="21" borderId="41" xfId="1" applyNumberFormat="1" applyFont="1" applyFill="1" applyBorder="1" applyAlignment="1">
      <alignment horizontal="right" vertical="center"/>
    </xf>
    <xf numFmtId="164" fontId="42" fillId="28" borderId="41" xfId="1" applyNumberFormat="1" applyFont="1" applyFill="1" applyBorder="1" applyAlignment="1">
      <alignment vertical="center"/>
    </xf>
    <xf numFmtId="164" fontId="42" fillId="18" borderId="41" xfId="1" applyNumberFormat="1" applyFont="1" applyFill="1" applyBorder="1" applyAlignment="1">
      <alignment vertical="center"/>
    </xf>
    <xf numFmtId="0" fontId="0" fillId="0" borderId="0" xfId="0" applyFont="1" applyFill="1" applyBorder="1" applyAlignment="1">
      <alignment horizontal="right" vertical="center"/>
    </xf>
    <xf numFmtId="0" fontId="17" fillId="0" borderId="0" xfId="8" applyNumberFormat="1" applyFill="1" applyBorder="1" applyAlignment="1">
      <alignment horizontal="left" vertical="center"/>
    </xf>
    <xf numFmtId="0" fontId="17" fillId="0" borderId="17" xfId="8" applyNumberFormat="1" applyFill="1" applyBorder="1" applyAlignment="1">
      <alignment horizontal="left" vertical="center"/>
    </xf>
    <xf numFmtId="0" fontId="17" fillId="0" borderId="12" xfId="8" applyNumberFormat="1" applyFill="1" applyBorder="1" applyAlignment="1">
      <alignment horizontal="left" vertical="center"/>
    </xf>
    <xf numFmtId="164" fontId="17" fillId="28" borderId="42" xfId="1" applyNumberFormat="1" applyFont="1" applyFill="1" applyBorder="1" applyAlignment="1">
      <alignment vertical="center"/>
    </xf>
    <xf numFmtId="164" fontId="17" fillId="18" borderId="42" xfId="1" applyNumberFormat="1" applyFont="1" applyFill="1" applyBorder="1" applyAlignment="1">
      <alignment vertical="center"/>
    </xf>
    <xf numFmtId="173" fontId="17" fillId="18" borderId="41" xfId="8" applyFill="1" applyBorder="1" applyAlignment="1">
      <alignment vertical="center"/>
    </xf>
    <xf numFmtId="0" fontId="9" fillId="0" borderId="0" xfId="0" applyFont="1" applyFill="1" applyBorder="1" applyAlignment="1">
      <alignment horizontal="center" vertical="center"/>
    </xf>
    <xf numFmtId="0" fontId="20" fillId="0" borderId="0" xfId="0" applyFont="1" applyFill="1" applyBorder="1" applyAlignment="1">
      <alignment horizontal="right" vertical="center"/>
    </xf>
    <xf numFmtId="0" fontId="9" fillId="0" borderId="43" xfId="0" applyFont="1" applyFill="1" applyBorder="1" applyAlignment="1">
      <alignment vertical="center"/>
    </xf>
    <xf numFmtId="0" fontId="24" fillId="0" borderId="43" xfId="0" applyFont="1" applyFill="1" applyBorder="1" applyAlignment="1">
      <alignment vertical="center"/>
    </xf>
    <xf numFmtId="164" fontId="25" fillId="21" borderId="44" xfId="1" applyNumberFormat="1" applyFont="1" applyFill="1" applyBorder="1" applyAlignment="1">
      <alignment horizontal="right" vertical="center"/>
    </xf>
    <xf numFmtId="164" fontId="25" fillId="28" borderId="44" xfId="1" applyNumberFormat="1" applyFont="1" applyFill="1" applyBorder="1" applyAlignment="1">
      <alignment vertical="center"/>
    </xf>
    <xf numFmtId="164" fontId="25" fillId="18" borderId="44" xfId="1" applyNumberFormat="1" applyFont="1" applyFill="1" applyBorder="1" applyAlignment="1">
      <alignment vertical="center"/>
    </xf>
    <xf numFmtId="164" fontId="25" fillId="0" borderId="0" xfId="1" applyNumberFormat="1" applyFont="1" applyFill="1" applyBorder="1" applyAlignment="1">
      <alignment vertical="center"/>
    </xf>
    <xf numFmtId="164" fontId="9" fillId="0" borderId="0" xfId="0" applyNumberFormat="1" applyFont="1" applyAlignment="1">
      <alignment vertical="center"/>
    </xf>
    <xf numFmtId="164" fontId="11" fillId="21" borderId="38" xfId="1" applyNumberFormat="1" applyFont="1" applyFill="1" applyBorder="1" applyAlignment="1">
      <alignment horizontal="center" vertical="center" wrapText="1"/>
    </xf>
    <xf numFmtId="0" fontId="43" fillId="0" borderId="4" xfId="8" applyNumberFormat="1" applyFont="1" applyBorder="1" applyAlignment="1">
      <alignment vertical="center"/>
    </xf>
    <xf numFmtId="0" fontId="43" fillId="0" borderId="4" xfId="8" applyNumberFormat="1" applyFont="1" applyFill="1" applyBorder="1" applyAlignment="1">
      <alignment horizontal="right" vertical="center"/>
    </xf>
    <xf numFmtId="0" fontId="43" fillId="0" borderId="4" xfId="8" applyNumberFormat="1" applyFont="1" applyFill="1" applyBorder="1" applyAlignment="1">
      <alignment vertical="center"/>
    </xf>
    <xf numFmtId="0" fontId="0" fillId="0" borderId="4" xfId="0" applyBorder="1" applyAlignment="1">
      <alignment vertical="center"/>
    </xf>
    <xf numFmtId="164" fontId="43" fillId="21" borderId="37" xfId="8" applyNumberFormat="1" applyFont="1" applyFill="1" applyBorder="1" applyAlignment="1">
      <alignment vertical="center"/>
    </xf>
    <xf numFmtId="164" fontId="43" fillId="21" borderId="37" xfId="8" applyNumberFormat="1" applyFont="1" applyFill="1" applyBorder="1" applyAlignment="1">
      <alignment horizontal="center" vertical="center" wrapText="1"/>
    </xf>
    <xf numFmtId="164" fontId="43" fillId="28" borderId="37" xfId="8" applyNumberFormat="1" applyFont="1" applyFill="1" applyBorder="1" applyAlignment="1">
      <alignment vertical="center"/>
    </xf>
    <xf numFmtId="164" fontId="43" fillId="18" borderId="37" xfId="8" applyNumberFormat="1" applyFont="1" applyFill="1" applyBorder="1" applyAlignment="1">
      <alignment vertical="center"/>
    </xf>
    <xf numFmtId="164" fontId="43" fillId="24" borderId="37" xfId="8" applyNumberFormat="1" applyFont="1" applyFill="1" applyBorder="1" applyAlignment="1">
      <alignment vertical="center"/>
    </xf>
    <xf numFmtId="164" fontId="43" fillId="0" borderId="4" xfId="8" applyNumberFormat="1" applyFont="1" applyFill="1" applyBorder="1" applyAlignment="1">
      <alignment vertical="center"/>
    </xf>
    <xf numFmtId="164" fontId="0" fillId="0" borderId="4" xfId="0" applyNumberFormat="1" applyBorder="1" applyAlignment="1">
      <alignment vertical="center"/>
    </xf>
    <xf numFmtId="0" fontId="0" fillId="0" borderId="12" xfId="0" applyFont="1" applyFill="1" applyBorder="1" applyAlignment="1">
      <alignment vertical="center"/>
    </xf>
    <xf numFmtId="0" fontId="17" fillId="0" borderId="0" xfId="8" applyNumberFormat="1" applyFill="1" applyBorder="1" applyAlignment="1">
      <alignment horizontal="center" vertical="center"/>
    </xf>
    <xf numFmtId="0" fontId="43" fillId="0" borderId="0" xfId="8" applyNumberFormat="1" applyFont="1" applyAlignment="1">
      <alignment vertical="center"/>
    </xf>
    <xf numFmtId="0" fontId="44" fillId="0" borderId="0" xfId="8" applyNumberFormat="1" applyFont="1" applyAlignment="1">
      <alignment vertical="center"/>
    </xf>
    <xf numFmtId="164" fontId="43" fillId="0" borderId="0" xfId="8" applyNumberFormat="1" applyFont="1" applyFill="1" applyBorder="1" applyAlignment="1">
      <alignment vertical="center"/>
    </xf>
    <xf numFmtId="0" fontId="0" fillId="0" borderId="0" xfId="0" applyFill="1" applyBorder="1" applyAlignment="1">
      <alignment horizontal="center" vertical="center"/>
    </xf>
    <xf numFmtId="0" fontId="0" fillId="0" borderId="0" xfId="0" applyFill="1" applyBorder="1" applyAlignment="1">
      <alignment vertical="center"/>
    </xf>
    <xf numFmtId="164" fontId="42" fillId="21" borderId="38" xfId="8" applyNumberFormat="1" applyFont="1" applyFill="1" applyBorder="1" applyAlignment="1">
      <alignment horizontal="right" vertical="center"/>
    </xf>
    <xf numFmtId="164" fontId="42" fillId="21" borderId="38" xfId="8" applyNumberFormat="1" applyFont="1" applyFill="1" applyBorder="1" applyAlignment="1">
      <alignment horizontal="right" vertical="center" wrapText="1"/>
    </xf>
    <xf numFmtId="164" fontId="17" fillId="21" borderId="38" xfId="8" applyNumberFormat="1" applyFill="1" applyBorder="1" applyAlignment="1">
      <alignment vertical="center"/>
    </xf>
    <xf numFmtId="164" fontId="42" fillId="28" borderId="38" xfId="8" applyNumberFormat="1" applyFont="1" applyFill="1" applyBorder="1" applyAlignment="1">
      <alignment vertical="center"/>
    </xf>
    <xf numFmtId="164" fontId="17" fillId="28" borderId="38" xfId="8" applyNumberFormat="1" applyFill="1" applyBorder="1" applyAlignment="1">
      <alignment vertical="center"/>
    </xf>
    <xf numFmtId="164" fontId="42" fillId="18" borderId="38" xfId="8" applyNumberFormat="1" applyFont="1" applyFill="1" applyBorder="1" applyAlignment="1">
      <alignment vertical="center"/>
    </xf>
    <xf numFmtId="164" fontId="42" fillId="24" borderId="38" xfId="8" applyNumberFormat="1" applyFont="1" applyFill="1" applyBorder="1" applyAlignment="1">
      <alignment vertical="center"/>
    </xf>
    <xf numFmtId="164" fontId="17" fillId="24" borderId="38" xfId="8" applyNumberFormat="1" applyFill="1" applyBorder="1" applyAlignment="1">
      <alignment vertical="center"/>
    </xf>
    <xf numFmtId="164" fontId="17" fillId="37" borderId="38" xfId="8" applyNumberFormat="1" applyFill="1" applyBorder="1" applyAlignment="1">
      <alignment vertical="center"/>
    </xf>
    <xf numFmtId="164" fontId="17" fillId="0" borderId="0" xfId="8" applyNumberFormat="1" applyAlignment="1">
      <alignment vertical="center"/>
    </xf>
    <xf numFmtId="0" fontId="43" fillId="0" borderId="0" xfId="8" applyNumberFormat="1" applyFont="1" applyFill="1" applyBorder="1" applyAlignment="1">
      <alignment horizontal="right" vertical="center"/>
    </xf>
    <xf numFmtId="0" fontId="43" fillId="0" borderId="31" xfId="8" applyNumberFormat="1" applyFont="1" applyFill="1" applyBorder="1" applyAlignment="1">
      <alignment vertical="center"/>
    </xf>
    <xf numFmtId="164" fontId="43" fillId="21" borderId="40" xfId="8" applyNumberFormat="1" applyFont="1" applyFill="1" applyBorder="1" applyAlignment="1">
      <alignment vertical="center"/>
    </xf>
    <xf numFmtId="164" fontId="43" fillId="21" borderId="40" xfId="8" applyNumberFormat="1" applyFont="1" applyFill="1" applyBorder="1" applyAlignment="1">
      <alignment horizontal="center" vertical="center" wrapText="1"/>
    </xf>
    <xf numFmtId="164" fontId="43" fillId="28" borderId="40" xfId="8" applyNumberFormat="1" applyFont="1" applyFill="1" applyBorder="1" applyAlignment="1">
      <alignment vertical="center"/>
    </xf>
    <xf numFmtId="164" fontId="43" fillId="18" borderId="40" xfId="8" applyNumberFormat="1" applyFont="1" applyFill="1" applyBorder="1" applyAlignment="1">
      <alignment vertical="center"/>
    </xf>
    <xf numFmtId="164" fontId="43" fillId="24" borderId="40" xfId="8" applyNumberFormat="1" applyFont="1" applyFill="1" applyBorder="1" applyAlignment="1">
      <alignment vertical="center"/>
    </xf>
    <xf numFmtId="164" fontId="42" fillId="21" borderId="40" xfId="1" applyNumberFormat="1" applyFont="1" applyFill="1" applyBorder="1" applyAlignment="1">
      <alignment horizontal="right" vertical="center"/>
    </xf>
    <xf numFmtId="164" fontId="17" fillId="21" borderId="40" xfId="1" applyNumberFormat="1" applyFont="1" applyFill="1" applyBorder="1" applyAlignment="1">
      <alignment horizontal="right" vertical="center"/>
    </xf>
    <xf numFmtId="164" fontId="42" fillId="28" borderId="40" xfId="1" applyNumberFormat="1" applyFont="1" applyFill="1" applyBorder="1" applyAlignment="1">
      <alignment vertical="center"/>
    </xf>
    <xf numFmtId="164" fontId="17" fillId="28" borderId="40" xfId="1" applyNumberFormat="1" applyFont="1" applyFill="1" applyBorder="1" applyAlignment="1">
      <alignment vertical="center"/>
    </xf>
    <xf numFmtId="164" fontId="42" fillId="18" borderId="40" xfId="1" applyNumberFormat="1" applyFont="1" applyFill="1" applyBorder="1" applyAlignment="1">
      <alignment vertical="center"/>
    </xf>
    <xf numFmtId="164" fontId="17" fillId="18" borderId="40" xfId="8" applyNumberFormat="1" applyFill="1" applyBorder="1" applyAlignment="1">
      <alignment vertical="center"/>
    </xf>
    <xf numFmtId="164" fontId="25" fillId="21" borderId="44" xfId="1" applyNumberFormat="1" applyFont="1" applyFill="1" applyBorder="1" applyAlignment="1">
      <alignment vertical="center"/>
    </xf>
    <xf numFmtId="164" fontId="25" fillId="21" borderId="44" xfId="1" applyNumberFormat="1" applyFont="1" applyFill="1" applyBorder="1" applyAlignment="1">
      <alignment horizontal="center" vertical="center" wrapText="1"/>
    </xf>
    <xf numFmtId="164" fontId="45" fillId="28" borderId="38" xfId="1" applyNumberFormat="1" applyFont="1" applyFill="1" applyBorder="1" applyAlignment="1">
      <alignment vertical="center"/>
    </xf>
    <xf numFmtId="164" fontId="45" fillId="18" borderId="38" xfId="1" applyNumberFormat="1" applyFont="1" applyFill="1" applyBorder="1" applyAlignment="1">
      <alignment vertical="center"/>
    </xf>
    <xf numFmtId="0" fontId="43" fillId="0" borderId="0" xfId="8" applyNumberFormat="1" applyFont="1" applyFill="1" applyBorder="1" applyAlignment="1">
      <alignment horizontal="center" vertical="center"/>
    </xf>
    <xf numFmtId="0" fontId="43" fillId="0" borderId="0" xfId="8" applyNumberFormat="1" applyFont="1" applyFill="1" applyBorder="1" applyAlignment="1">
      <alignment vertical="center"/>
    </xf>
    <xf numFmtId="164" fontId="43" fillId="21" borderId="38" xfId="8" applyNumberFormat="1" applyFont="1" applyFill="1" applyBorder="1" applyAlignment="1">
      <alignment vertical="center"/>
    </xf>
    <xf numFmtId="164" fontId="43" fillId="21" borderId="38" xfId="8" applyNumberFormat="1" applyFont="1" applyFill="1" applyBorder="1" applyAlignment="1">
      <alignment horizontal="center" vertical="center" wrapText="1"/>
    </xf>
    <xf numFmtId="164" fontId="43" fillId="28" borderId="38" xfId="8" applyNumberFormat="1" applyFont="1" applyFill="1" applyBorder="1" applyAlignment="1">
      <alignment vertical="center"/>
    </xf>
    <xf numFmtId="164" fontId="43" fillId="18" borderId="38" xfId="8" applyNumberFormat="1" applyFont="1" applyFill="1" applyBorder="1" applyAlignment="1">
      <alignment vertical="center"/>
    </xf>
    <xf numFmtId="164" fontId="43" fillId="24" borderId="38" xfId="8" applyNumberFormat="1" applyFont="1" applyFill="1" applyBorder="1" applyAlignment="1">
      <alignment vertical="center"/>
    </xf>
    <xf numFmtId="164" fontId="43" fillId="0" borderId="4" xfId="8" applyNumberFormat="1" applyFont="1" applyBorder="1" applyAlignment="1">
      <alignment vertical="center"/>
    </xf>
    <xf numFmtId="164" fontId="43" fillId="37" borderId="37" xfId="8" applyNumberFormat="1" applyFont="1" applyFill="1" applyBorder="1" applyAlignment="1">
      <alignment vertical="center"/>
    </xf>
    <xf numFmtId="0" fontId="17" fillId="0" borderId="4" xfId="8" applyNumberFormat="1" applyBorder="1" applyAlignment="1">
      <alignment vertical="center"/>
    </xf>
    <xf numFmtId="0" fontId="17" fillId="0" borderId="4" xfId="8" applyNumberFormat="1" applyFill="1" applyBorder="1" applyAlignment="1">
      <alignment horizontal="right" vertical="center"/>
    </xf>
    <xf numFmtId="0" fontId="17" fillId="0" borderId="4" xfId="8" applyNumberFormat="1" applyFill="1" applyBorder="1" applyAlignment="1">
      <alignment vertical="center"/>
    </xf>
    <xf numFmtId="164" fontId="42" fillId="21" borderId="37" xfId="1" applyNumberFormat="1" applyFont="1" applyFill="1" applyBorder="1" applyAlignment="1">
      <alignment horizontal="right" vertical="center"/>
    </xf>
    <xf numFmtId="164" fontId="17" fillId="21" borderId="37" xfId="1" applyNumberFormat="1" applyFont="1" applyFill="1" applyBorder="1" applyAlignment="1">
      <alignment horizontal="right" vertical="center"/>
    </xf>
    <xf numFmtId="164" fontId="42" fillId="28" borderId="37" xfId="1" applyNumberFormat="1" applyFont="1" applyFill="1" applyBorder="1" applyAlignment="1">
      <alignment vertical="center"/>
    </xf>
    <xf numFmtId="164" fontId="17" fillId="28" borderId="37" xfId="1" applyNumberFormat="1" applyFont="1" applyFill="1" applyBorder="1" applyAlignment="1">
      <alignment vertical="center"/>
    </xf>
    <xf numFmtId="164" fontId="42" fillId="18" borderId="37" xfId="1" applyNumberFormat="1" applyFont="1" applyFill="1" applyBorder="1" applyAlignment="1">
      <alignment vertical="center"/>
    </xf>
    <xf numFmtId="164" fontId="17" fillId="18" borderId="37" xfId="8" applyNumberFormat="1" applyFill="1" applyBorder="1" applyAlignment="1">
      <alignment vertical="center"/>
    </xf>
    <xf numFmtId="164" fontId="17" fillId="0" borderId="4" xfId="8" applyNumberFormat="1" applyFill="1" applyBorder="1" applyAlignment="1">
      <alignment vertical="center"/>
    </xf>
    <xf numFmtId="164" fontId="0" fillId="0" borderId="4" xfId="1" applyNumberFormat="1" applyFont="1" applyBorder="1" applyAlignment="1">
      <alignment vertical="center"/>
    </xf>
    <xf numFmtId="164" fontId="43" fillId="21" borderId="37" xfId="8" applyNumberFormat="1" applyFont="1" applyFill="1" applyBorder="1" applyAlignment="1">
      <alignment horizontal="right" vertical="center"/>
    </xf>
    <xf numFmtId="0" fontId="11" fillId="0" borderId="0" xfId="8" applyNumberFormat="1" applyFont="1" applyAlignment="1">
      <alignment vertical="center"/>
    </xf>
    <xf numFmtId="164" fontId="17" fillId="21" borderId="38" xfId="8" applyNumberFormat="1" applyFill="1" applyBorder="1" applyAlignment="1">
      <alignment horizontal="center" vertical="center" wrapText="1"/>
    </xf>
    <xf numFmtId="164" fontId="17" fillId="21" borderId="38" xfId="8" applyNumberFormat="1" applyFill="1" applyBorder="1" applyAlignment="1">
      <alignment horizontal="right" vertical="center"/>
    </xf>
    <xf numFmtId="164" fontId="17" fillId="21" borderId="41" xfId="8" applyNumberFormat="1" applyFill="1" applyBorder="1" applyAlignment="1">
      <alignment vertical="center"/>
    </xf>
    <xf numFmtId="164" fontId="17" fillId="21" borderId="41" xfId="8" applyNumberFormat="1" applyFill="1" applyBorder="1" applyAlignment="1">
      <alignment horizontal="center" vertical="center" wrapText="1"/>
    </xf>
    <xf numFmtId="164" fontId="17" fillId="21" borderId="41" xfId="8" applyNumberFormat="1" applyFill="1" applyBorder="1" applyAlignment="1">
      <alignment horizontal="right" vertical="center"/>
    </xf>
    <xf numFmtId="164" fontId="17" fillId="28" borderId="41" xfId="8" applyNumberFormat="1" applyFill="1" applyBorder="1" applyAlignment="1">
      <alignment vertical="center"/>
    </xf>
    <xf numFmtId="164" fontId="17" fillId="24" borderId="41" xfId="8" applyNumberFormat="1" applyFill="1" applyBorder="1" applyAlignment="1">
      <alignment vertical="center"/>
    </xf>
    <xf numFmtId="0" fontId="34" fillId="0" borderId="46" xfId="0" applyFont="1" applyFill="1" applyBorder="1" applyAlignment="1">
      <alignment vertical="center"/>
    </xf>
    <xf numFmtId="164" fontId="40" fillId="21" borderId="47" xfId="1" applyNumberFormat="1" applyFont="1" applyFill="1" applyBorder="1" applyAlignment="1">
      <alignment vertical="center"/>
    </xf>
    <xf numFmtId="164" fontId="40" fillId="28" borderId="47" xfId="1" applyNumberFormat="1" applyFont="1" applyFill="1" applyBorder="1" applyAlignment="1">
      <alignment vertical="center"/>
    </xf>
    <xf numFmtId="164" fontId="40" fillId="18" borderId="47" xfId="1" applyNumberFormat="1" applyFont="1" applyFill="1" applyBorder="1" applyAlignment="1">
      <alignment vertical="center"/>
    </xf>
    <xf numFmtId="164" fontId="11" fillId="21" borderId="39" xfId="1" applyNumberFormat="1" applyFont="1" applyFill="1" applyBorder="1" applyAlignment="1">
      <alignment vertical="center"/>
    </xf>
    <xf numFmtId="164" fontId="11" fillId="21" borderId="39" xfId="1" applyNumberFormat="1" applyFont="1" applyFill="1" applyBorder="1" applyAlignment="1">
      <alignment horizontal="center" vertical="center" wrapText="1"/>
    </xf>
    <xf numFmtId="164" fontId="11" fillId="28" borderId="39" xfId="1" applyNumberFormat="1" applyFont="1" applyFill="1" applyBorder="1" applyAlignment="1">
      <alignment vertical="center"/>
    </xf>
    <xf numFmtId="164" fontId="11" fillId="18" borderId="39" xfId="1" applyNumberFormat="1" applyFont="1" applyFill="1" applyBorder="1" applyAlignment="1">
      <alignment vertical="center"/>
    </xf>
    <xf numFmtId="0" fontId="0" fillId="37" borderId="39" xfId="0" applyFill="1" applyBorder="1" applyAlignment="1">
      <alignment vertical="center"/>
    </xf>
    <xf numFmtId="164" fontId="11" fillId="0" borderId="0" xfId="1" applyNumberFormat="1" applyFont="1" applyFill="1" applyBorder="1" applyAlignment="1">
      <alignment horizontal="center" vertical="center" wrapText="1"/>
    </xf>
    <xf numFmtId="164" fontId="0" fillId="0" borderId="0" xfId="0" applyNumberFormat="1"/>
    <xf numFmtId="0" fontId="0" fillId="0" borderId="0" xfId="0" applyFill="1" applyBorder="1" applyAlignment="1">
      <alignment horizontal="left" vertical="center"/>
    </xf>
    <xf numFmtId="0" fontId="46" fillId="18" borderId="0" xfId="0" applyFont="1" applyFill="1" applyBorder="1" applyAlignment="1">
      <alignment vertical="center"/>
    </xf>
    <xf numFmtId="164" fontId="46" fillId="18" borderId="0" xfId="1" applyNumberFormat="1" applyFont="1" applyFill="1" applyBorder="1" applyAlignment="1">
      <alignment vertical="center"/>
    </xf>
    <xf numFmtId="0" fontId="47" fillId="0" borderId="0" xfId="0" applyFont="1" applyAlignment="1">
      <alignment horizontal="left" vertical="center"/>
    </xf>
    <xf numFmtId="0" fontId="47" fillId="0" borderId="0" xfId="0" applyFont="1" applyAlignment="1">
      <alignment vertical="center"/>
    </xf>
    <xf numFmtId="0" fontId="0" fillId="0" borderId="0" xfId="0" applyAlignment="1">
      <alignment horizontal="center"/>
    </xf>
    <xf numFmtId="0" fontId="22" fillId="0" borderId="0" xfId="0" applyFont="1" applyAlignment="1">
      <alignment vertical="center"/>
    </xf>
    <xf numFmtId="0" fontId="48" fillId="0" borderId="0" xfId="0" applyFont="1" applyAlignment="1">
      <alignment vertical="center"/>
    </xf>
    <xf numFmtId="0" fontId="27" fillId="0" borderId="0" xfId="12"/>
    <xf numFmtId="0" fontId="49" fillId="38" borderId="0" xfId="0" applyFont="1" applyFill="1" applyAlignment="1">
      <alignment vertical="center"/>
    </xf>
    <xf numFmtId="0" fontId="50" fillId="38" borderId="0" xfId="0" applyFont="1" applyFill="1" applyAlignment="1">
      <alignment vertical="center"/>
    </xf>
    <xf numFmtId="0" fontId="50" fillId="38" borderId="0" xfId="0" applyFont="1" applyFill="1" applyAlignment="1">
      <alignment horizontal="centerContinuous" vertical="center"/>
    </xf>
    <xf numFmtId="0" fontId="35" fillId="17" borderId="0" xfId="0" applyFont="1" applyFill="1" applyAlignment="1">
      <alignment vertical="center"/>
    </xf>
    <xf numFmtId="0" fontId="49" fillId="17" borderId="0" xfId="0" applyFont="1" applyFill="1" applyAlignment="1">
      <alignment vertical="center"/>
    </xf>
    <xf numFmtId="0" fontId="49" fillId="38" borderId="0" xfId="0" applyFont="1" applyFill="1" applyAlignment="1">
      <alignment horizontal="centerContinuous" vertical="center"/>
    </xf>
    <xf numFmtId="0" fontId="49" fillId="38" borderId="0" xfId="0" applyFont="1" applyFill="1" applyAlignment="1">
      <alignment horizontal="left" vertical="top"/>
    </xf>
    <xf numFmtId="0" fontId="27" fillId="0" borderId="0" xfId="12" applyAlignment="1">
      <alignment horizontal="left"/>
    </xf>
    <xf numFmtId="0" fontId="31" fillId="29" borderId="0" xfId="0" applyFont="1" applyFill="1" applyAlignment="1">
      <alignment horizontal="left"/>
    </xf>
    <xf numFmtId="0" fontId="13" fillId="29" borderId="0" xfId="0" applyFont="1" applyFill="1" applyAlignment="1"/>
    <xf numFmtId="0" fontId="9" fillId="35" borderId="49" xfId="0" applyFont="1" applyFill="1" applyBorder="1" applyAlignment="1">
      <alignment horizontal="center" textRotation="90"/>
    </xf>
    <xf numFmtId="0" fontId="9" fillId="29" borderId="0" xfId="0" applyFont="1" applyFill="1" applyAlignment="1">
      <alignment horizontal="center" textRotation="90"/>
    </xf>
    <xf numFmtId="0" fontId="0" fillId="0" borderId="0" xfId="0" applyAlignment="1"/>
    <xf numFmtId="0" fontId="13" fillId="29" borderId="0" xfId="0" applyFont="1" applyFill="1" applyAlignment="1">
      <alignment horizontal="center"/>
    </xf>
    <xf numFmtId="0" fontId="9" fillId="35" borderId="50" xfId="0" applyFont="1" applyFill="1" applyBorder="1" applyAlignment="1">
      <alignment horizontal="center" textRotation="90"/>
    </xf>
    <xf numFmtId="0" fontId="9" fillId="35" borderId="38" xfId="0" applyFont="1" applyFill="1" applyBorder="1" applyAlignment="1">
      <alignment horizontal="center" textRotation="90"/>
    </xf>
    <xf numFmtId="0" fontId="9" fillId="35" borderId="51" xfId="0" applyFont="1" applyFill="1" applyBorder="1" applyAlignment="1">
      <alignment horizontal="center" textRotation="90"/>
    </xf>
    <xf numFmtId="0" fontId="9" fillId="39" borderId="0" xfId="0" applyFont="1" applyFill="1" applyBorder="1" applyAlignment="1">
      <alignment horizontal="left" textRotation="90"/>
    </xf>
    <xf numFmtId="0" fontId="9" fillId="35" borderId="52" xfId="0" applyFont="1" applyFill="1" applyBorder="1" applyAlignment="1">
      <alignment horizontal="left" textRotation="90"/>
    </xf>
    <xf numFmtId="0" fontId="9" fillId="35" borderId="0" xfId="0" applyFont="1" applyFill="1" applyBorder="1" applyAlignment="1">
      <alignment horizontal="left" textRotation="90"/>
    </xf>
    <xf numFmtId="0" fontId="9" fillId="35" borderId="53" xfId="0" applyFont="1" applyFill="1" applyBorder="1" applyAlignment="1">
      <alignment horizontal="left" textRotation="90"/>
    </xf>
    <xf numFmtId="0" fontId="0" fillId="28" borderId="0" xfId="0" applyFill="1" applyAlignment="1"/>
    <xf numFmtId="0" fontId="27" fillId="0" borderId="0" xfId="12" applyAlignment="1"/>
    <xf numFmtId="0" fontId="33" fillId="28" borderId="0" xfId="0" applyFont="1" applyFill="1" applyAlignment="1"/>
    <xf numFmtId="0" fontId="13" fillId="29" borderId="52" xfId="0" applyFont="1" applyFill="1" applyBorder="1" applyAlignment="1">
      <alignment horizontal="center"/>
    </xf>
    <xf numFmtId="0" fontId="5" fillId="28" borderId="4" xfId="0" applyFont="1" applyFill="1" applyBorder="1" applyAlignment="1">
      <alignment vertical="center"/>
    </xf>
    <xf numFmtId="0" fontId="0" fillId="18" borderId="50" xfId="0" applyNumberFormat="1" applyFill="1" applyBorder="1" applyAlignment="1">
      <alignment horizontal="center" vertical="center"/>
    </xf>
    <xf numFmtId="0" fontId="0" fillId="28" borderId="0" xfId="0" applyFont="1" applyFill="1" applyBorder="1" applyAlignment="1">
      <alignment horizontal="center" vertical="center"/>
    </xf>
    <xf numFmtId="0" fontId="0" fillId="0" borderId="0" xfId="0" applyAlignment="1">
      <alignment vertical="center" wrapText="1"/>
    </xf>
    <xf numFmtId="0" fontId="0" fillId="18" borderId="38" xfId="0" applyNumberFormat="1" applyFill="1" applyBorder="1" applyAlignment="1">
      <alignment horizontal="center" vertical="center"/>
    </xf>
    <xf numFmtId="0" fontId="0" fillId="18" borderId="51" xfId="0" applyNumberFormat="1" applyFill="1" applyBorder="1" applyAlignment="1">
      <alignment horizontal="center" vertical="center"/>
    </xf>
    <xf numFmtId="0" fontId="0" fillId="40" borderId="0" xfId="0" applyNumberFormat="1" applyFill="1" applyBorder="1" applyAlignment="1">
      <alignment horizontal="center" vertical="center"/>
    </xf>
    <xf numFmtId="0" fontId="0" fillId="18" borderId="54" xfId="0" applyNumberFormat="1" applyFill="1" applyBorder="1" applyAlignment="1">
      <alignment horizontal="center" vertical="center"/>
    </xf>
    <xf numFmtId="0" fontId="51" fillId="41" borderId="55" xfId="0" applyFont="1" applyFill="1" applyBorder="1" applyAlignment="1">
      <alignment horizontal="center" vertical="center"/>
    </xf>
    <xf numFmtId="0" fontId="0" fillId="40" borderId="7" xfId="0" applyFill="1" applyBorder="1" applyAlignment="1">
      <alignment horizontal="center" vertical="center"/>
    </xf>
    <xf numFmtId="0" fontId="0" fillId="28" borderId="0" xfId="0" applyFill="1"/>
    <xf numFmtId="0" fontId="0" fillId="28" borderId="0" xfId="0" applyFill="1" applyAlignment="1">
      <alignment vertical="center"/>
    </xf>
    <xf numFmtId="0" fontId="5" fillId="28" borderId="0" xfId="0" applyFont="1" applyFill="1" applyBorder="1" applyAlignment="1">
      <alignment vertical="center"/>
    </xf>
    <xf numFmtId="0" fontId="22" fillId="28" borderId="0" xfId="0" applyFont="1" applyFill="1" applyAlignment="1">
      <alignment vertical="center"/>
    </xf>
    <xf numFmtId="0" fontId="5" fillId="28" borderId="0" xfId="0" applyFont="1" applyFill="1" applyAlignment="1">
      <alignment vertical="center"/>
    </xf>
    <xf numFmtId="0" fontId="0" fillId="0" borderId="52" xfId="0" applyBorder="1"/>
    <xf numFmtId="0" fontId="52" fillId="42" borderId="4" xfId="0" applyFont="1" applyFill="1" applyBorder="1" applyAlignment="1">
      <alignment vertical="center"/>
    </xf>
    <xf numFmtId="0" fontId="5" fillId="42" borderId="4" xfId="0" applyFont="1" applyFill="1" applyBorder="1" applyAlignment="1">
      <alignment vertical="center"/>
    </xf>
    <xf numFmtId="0" fontId="0" fillId="42" borderId="0" xfId="0" applyFont="1" applyFill="1" applyBorder="1" applyAlignment="1">
      <alignment horizontal="center" vertical="center"/>
    </xf>
    <xf numFmtId="0" fontId="5" fillId="28" borderId="0" xfId="0" applyFont="1" applyFill="1" applyBorder="1" applyAlignment="1">
      <alignment horizontal="left" vertical="center"/>
    </xf>
    <xf numFmtId="0" fontId="5" fillId="28" borderId="56" xfId="0" applyFont="1" applyFill="1" applyBorder="1" applyAlignment="1">
      <alignment vertical="center"/>
    </xf>
    <xf numFmtId="0" fontId="8" fillId="28" borderId="56" xfId="0" applyFont="1" applyFill="1" applyBorder="1" applyAlignment="1">
      <alignment vertical="center"/>
    </xf>
    <xf numFmtId="0" fontId="5" fillId="28" borderId="56" xfId="0" applyFont="1" applyFill="1" applyBorder="1"/>
    <xf numFmtId="0" fontId="0" fillId="28" borderId="56" xfId="0" applyFont="1" applyFill="1" applyBorder="1" applyAlignment="1">
      <alignment horizontal="right" vertical="center"/>
    </xf>
    <xf numFmtId="0" fontId="9" fillId="28" borderId="56" xfId="0" applyFont="1" applyFill="1" applyBorder="1" applyAlignment="1">
      <alignment vertical="center"/>
    </xf>
    <xf numFmtId="0" fontId="5" fillId="28" borderId="0" xfId="0" applyFont="1" applyFill="1" applyAlignment="1">
      <alignment horizontal="left" vertical="center"/>
    </xf>
    <xf numFmtId="168" fontId="54" fillId="28" borderId="0" xfId="3" applyNumberFormat="1" applyFont="1" applyFill="1"/>
    <xf numFmtId="2" fontId="5" fillId="28" borderId="0" xfId="3" applyNumberFormat="1" applyFont="1" applyFill="1"/>
    <xf numFmtId="0" fontId="0" fillId="28" borderId="0" xfId="0" applyFill="1" applyBorder="1" applyAlignment="1">
      <alignment vertical="center"/>
    </xf>
    <xf numFmtId="0" fontId="5" fillId="28" borderId="13" xfId="0" applyFont="1" applyFill="1" applyBorder="1" applyAlignment="1">
      <alignment horizontal="left" vertical="center"/>
    </xf>
    <xf numFmtId="0" fontId="0" fillId="28" borderId="13" xfId="0" applyFill="1" applyBorder="1"/>
    <xf numFmtId="2" fontId="5" fillId="28" borderId="13" xfId="3" applyNumberFormat="1" applyFont="1" applyFill="1" applyBorder="1"/>
    <xf numFmtId="0" fontId="0" fillId="43" borderId="5" xfId="0" applyFont="1" applyFill="1" applyBorder="1" applyAlignment="1">
      <alignment horizontal="left" vertical="center"/>
    </xf>
    <xf numFmtId="0" fontId="0" fillId="43" borderId="29" xfId="0" applyFont="1" applyFill="1" applyBorder="1" applyAlignment="1">
      <alignment horizontal="left" vertical="center"/>
    </xf>
    <xf numFmtId="0" fontId="26" fillId="28" borderId="0" xfId="0" applyFont="1" applyFill="1" applyAlignment="1">
      <alignment vertical="center"/>
    </xf>
    <xf numFmtId="0" fontId="0" fillId="18" borderId="6" xfId="0" applyNumberFormat="1" applyFill="1" applyBorder="1" applyAlignment="1">
      <alignment horizontal="center" vertical="center"/>
    </xf>
    <xf numFmtId="0" fontId="0" fillId="18" borderId="0" xfId="0" applyNumberFormat="1" applyFill="1" applyBorder="1" applyAlignment="1">
      <alignment horizontal="center" vertical="center"/>
    </xf>
    <xf numFmtId="0" fontId="0" fillId="18" borderId="7" xfId="0" applyNumberFormat="1" applyFill="1" applyBorder="1" applyAlignment="1">
      <alignment horizontal="center" vertical="center"/>
    </xf>
    <xf numFmtId="0" fontId="33" fillId="28" borderId="0" xfId="0" applyFont="1" applyFill="1" applyBorder="1" applyAlignment="1">
      <alignment vertical="center"/>
    </xf>
    <xf numFmtId="0" fontId="33" fillId="28" borderId="0" xfId="0" applyFont="1" applyFill="1" applyAlignment="1">
      <alignment vertical="center"/>
    </xf>
    <xf numFmtId="0" fontId="5" fillId="0" borderId="0" xfId="0" applyFont="1" applyAlignment="1">
      <alignment horizontal="left" vertical="center" wrapText="1"/>
    </xf>
    <xf numFmtId="0" fontId="0" fillId="18" borderId="0" xfId="0" applyNumberFormat="1" applyFill="1" applyAlignment="1">
      <alignment horizontal="center" vertical="center"/>
    </xf>
    <xf numFmtId="0" fontId="5" fillId="28" borderId="0" xfId="0" applyFont="1" applyFill="1" applyBorder="1" applyAlignment="1">
      <alignment horizontal="right" vertical="center"/>
    </xf>
    <xf numFmtId="0" fontId="5" fillId="28" borderId="0" xfId="0" applyFont="1" applyFill="1" applyAlignment="1">
      <alignment horizontal="right" vertical="center"/>
    </xf>
    <xf numFmtId="165" fontId="5" fillId="28" borderId="0" xfId="1" applyNumberFormat="1" applyFont="1" applyFill="1" applyAlignment="1">
      <alignment vertical="center"/>
    </xf>
    <xf numFmtId="0" fontId="0" fillId="28" borderId="0" xfId="0" applyFill="1" applyBorder="1" applyAlignment="1">
      <alignment horizontal="center" vertical="center"/>
    </xf>
    <xf numFmtId="0" fontId="5" fillId="28" borderId="13" xfId="0" applyFont="1" applyFill="1" applyBorder="1" applyAlignment="1">
      <alignment horizontal="right" vertical="center"/>
    </xf>
    <xf numFmtId="0" fontId="5" fillId="28" borderId="13" xfId="0" applyFont="1" applyFill="1" applyBorder="1" applyAlignment="1">
      <alignment vertical="center"/>
    </xf>
    <xf numFmtId="0" fontId="0" fillId="28" borderId="13" xfId="0" applyFill="1" applyBorder="1" applyAlignment="1">
      <alignment vertical="center"/>
    </xf>
    <xf numFmtId="0" fontId="31" fillId="29" borderId="0" xfId="0" applyFont="1" applyFill="1" applyAlignment="1">
      <alignment vertical="center" wrapText="1"/>
    </xf>
    <xf numFmtId="0" fontId="31" fillId="29" borderId="52" xfId="0" applyNumberFormat="1" applyFont="1" applyFill="1" applyBorder="1" applyAlignment="1">
      <alignment vertical="center" wrapText="1"/>
    </xf>
    <xf numFmtId="0" fontId="13" fillId="29" borderId="0" xfId="0" applyFont="1" applyFill="1" applyAlignment="1">
      <alignment horizontal="center" vertical="center" wrapText="1"/>
    </xf>
    <xf numFmtId="0" fontId="31" fillId="29" borderId="0" xfId="0" applyNumberFormat="1" applyFont="1" applyFill="1" applyBorder="1" applyAlignment="1">
      <alignment vertical="center" wrapText="1"/>
    </xf>
    <xf numFmtId="0" fontId="31" fillId="29" borderId="53" xfId="0" applyNumberFormat="1" applyFont="1" applyFill="1" applyBorder="1" applyAlignment="1">
      <alignment vertical="center" wrapText="1"/>
    </xf>
    <xf numFmtId="0" fontId="31" fillId="44" borderId="0" xfId="0" applyNumberFormat="1" applyFont="1" applyFill="1" applyAlignment="1">
      <alignment vertical="center" wrapText="1"/>
    </xf>
    <xf numFmtId="0" fontId="31" fillId="29" borderId="54" xfId="0" applyNumberFormat="1" applyFont="1" applyFill="1" applyBorder="1" applyAlignment="1">
      <alignment vertical="center" wrapText="1"/>
    </xf>
    <xf numFmtId="0" fontId="31" fillId="29" borderId="0" xfId="0" applyNumberFormat="1" applyFont="1" applyFill="1" applyAlignment="1">
      <alignment horizontal="center" vertical="center" wrapText="1"/>
    </xf>
    <xf numFmtId="0" fontId="55" fillId="45" borderId="53" xfId="0" applyFont="1" applyFill="1" applyBorder="1" applyAlignment="1">
      <alignment horizontal="center" vertical="center" wrapText="1"/>
    </xf>
    <xf numFmtId="0" fontId="31" fillId="44" borderId="0" xfId="0" applyFont="1" applyFill="1" applyAlignment="1">
      <alignment vertical="center" wrapText="1"/>
    </xf>
    <xf numFmtId="0" fontId="20" fillId="28" borderId="0" xfId="0" applyFont="1" applyFill="1" applyAlignment="1">
      <alignment vertical="center"/>
    </xf>
    <xf numFmtId="0" fontId="8" fillId="28" borderId="0" xfId="0" applyFont="1" applyFill="1" applyBorder="1" applyAlignment="1">
      <alignment vertical="center"/>
    </xf>
    <xf numFmtId="0" fontId="5" fillId="28" borderId="0" xfId="0" applyFont="1" applyFill="1" applyBorder="1"/>
    <xf numFmtId="0" fontId="0" fillId="28" borderId="0" xfId="0" applyFont="1" applyFill="1" applyBorder="1" applyAlignment="1">
      <alignment horizontal="right" vertical="center"/>
    </xf>
    <xf numFmtId="0" fontId="9" fillId="28" borderId="0" xfId="0" applyFont="1" applyFill="1" applyBorder="1" applyAlignment="1">
      <alignment vertical="center"/>
    </xf>
    <xf numFmtId="0" fontId="0" fillId="40" borderId="0" xfId="0" applyFill="1" applyBorder="1" applyAlignment="1">
      <alignment horizontal="center" vertical="center"/>
    </xf>
    <xf numFmtId="0" fontId="8" fillId="28" borderId="0" xfId="0" applyFont="1" applyFill="1" applyBorder="1" applyAlignment="1">
      <alignment horizontal="left" vertical="center"/>
    </xf>
    <xf numFmtId="0" fontId="8" fillId="28" borderId="0" xfId="0" applyFont="1" applyFill="1" applyAlignment="1">
      <alignment horizontal="left" vertical="center"/>
    </xf>
    <xf numFmtId="0" fontId="33" fillId="28" borderId="0" xfId="0" applyFont="1" applyFill="1" applyBorder="1" applyAlignment="1"/>
    <xf numFmtId="0" fontId="52" fillId="28" borderId="0" xfId="0" applyFont="1" applyFill="1" applyBorder="1" applyAlignment="1">
      <alignment horizontal="right" vertical="center"/>
    </xf>
    <xf numFmtId="0" fontId="52" fillId="28" borderId="0" xfId="0" applyFont="1" applyFill="1" applyBorder="1" applyAlignment="1">
      <alignment vertical="center"/>
    </xf>
    <xf numFmtId="0" fontId="20" fillId="28" borderId="0" xfId="0" applyFont="1" applyFill="1" applyBorder="1"/>
    <xf numFmtId="0" fontId="0" fillId="28" borderId="56" xfId="0" applyFill="1" applyBorder="1"/>
    <xf numFmtId="0" fontId="57" fillId="28" borderId="56" xfId="0" applyFont="1" applyFill="1" applyBorder="1" applyAlignment="1">
      <alignment vertical="center"/>
    </xf>
    <xf numFmtId="0" fontId="58" fillId="28" borderId="56" xfId="0" applyFont="1" applyFill="1" applyBorder="1" applyAlignment="1">
      <alignment vertical="center"/>
    </xf>
    <xf numFmtId="0" fontId="0" fillId="28" borderId="0" xfId="0" applyFill="1" applyBorder="1"/>
    <xf numFmtId="0" fontId="20" fillId="0" borderId="0" xfId="0" applyFont="1" applyAlignment="1">
      <alignment vertical="center"/>
    </xf>
    <xf numFmtId="0" fontId="0" fillId="18" borderId="50" xfId="0" applyNumberFormat="1" applyFont="1" applyFill="1" applyBorder="1" applyAlignment="1">
      <alignment horizontal="center" vertical="center"/>
    </xf>
    <xf numFmtId="0" fontId="0" fillId="18" borderId="38" xfId="0" applyNumberFormat="1" applyFont="1" applyFill="1" applyBorder="1" applyAlignment="1">
      <alignment horizontal="center" vertical="center"/>
    </xf>
    <xf numFmtId="0" fontId="0" fillId="18" borderId="51" xfId="0" applyNumberFormat="1" applyFont="1" applyFill="1" applyBorder="1" applyAlignment="1">
      <alignment horizontal="center" vertical="center"/>
    </xf>
    <xf numFmtId="0" fontId="0" fillId="40" borderId="0" xfId="0" applyNumberFormat="1" applyFont="1" applyFill="1" applyBorder="1" applyAlignment="1">
      <alignment horizontal="center" vertical="center"/>
    </xf>
    <xf numFmtId="0" fontId="0" fillId="40" borderId="7" xfId="0" applyFont="1" applyFill="1" applyBorder="1" applyAlignment="1">
      <alignment horizontal="center" vertical="center"/>
    </xf>
    <xf numFmtId="0" fontId="20" fillId="28" borderId="0" xfId="0" applyFont="1" applyFill="1" applyBorder="1" applyAlignment="1">
      <alignment vertical="center"/>
    </xf>
    <xf numFmtId="0" fontId="51" fillId="0" borderId="0" xfId="0" applyFont="1" applyAlignment="1">
      <alignment vertical="center"/>
    </xf>
    <xf numFmtId="165" fontId="52" fillId="28" borderId="0" xfId="1" applyNumberFormat="1" applyFont="1" applyFill="1" applyBorder="1" applyAlignment="1">
      <alignment vertical="center"/>
    </xf>
    <xf numFmtId="165" fontId="5" fillId="28" borderId="0" xfId="1" applyNumberFormat="1" applyFont="1" applyFill="1" applyBorder="1" applyAlignment="1">
      <alignment vertical="center"/>
    </xf>
    <xf numFmtId="0" fontId="0" fillId="28" borderId="20" xfId="0" applyFill="1" applyBorder="1" applyAlignment="1">
      <alignment vertical="center"/>
    </xf>
    <xf numFmtId="0" fontId="8" fillId="28" borderId="20" xfId="0" applyFont="1" applyFill="1" applyBorder="1" applyAlignment="1">
      <alignment vertical="center"/>
    </xf>
    <xf numFmtId="165" fontId="57" fillId="28" borderId="20" xfId="0" applyNumberFormat="1" applyFont="1" applyFill="1" applyBorder="1" applyAlignment="1">
      <alignment vertical="center"/>
    </xf>
    <xf numFmtId="0" fontId="0" fillId="28" borderId="13" xfId="0" applyFont="1" applyFill="1" applyBorder="1" applyAlignment="1">
      <alignment vertical="center"/>
    </xf>
    <xf numFmtId="0" fontId="20" fillId="28" borderId="13" xfId="0" applyFont="1" applyFill="1" applyBorder="1" applyAlignment="1">
      <alignment vertical="center"/>
    </xf>
    <xf numFmtId="0" fontId="62" fillId="28" borderId="13" xfId="0" applyFont="1" applyFill="1" applyBorder="1" applyAlignment="1">
      <alignment vertical="center"/>
    </xf>
    <xf numFmtId="0" fontId="26" fillId="28" borderId="0" xfId="0" applyFont="1" applyFill="1" applyBorder="1" applyAlignment="1"/>
    <xf numFmtId="0" fontId="26" fillId="28" borderId="0" xfId="0" applyFont="1" applyFill="1" applyAlignment="1"/>
    <xf numFmtId="0" fontId="31" fillId="29" borderId="0" xfId="0" applyFont="1" applyFill="1" applyAlignment="1">
      <alignment horizontal="left" vertical="center"/>
    </xf>
    <xf numFmtId="0" fontId="31" fillId="29" borderId="0" xfId="0" applyFont="1" applyFill="1" applyAlignment="1">
      <alignment horizontal="left" vertical="center" wrapText="1"/>
    </xf>
    <xf numFmtId="0" fontId="8" fillId="0" borderId="0" xfId="0" applyFont="1" applyAlignment="1">
      <alignment vertical="center"/>
    </xf>
    <xf numFmtId="0" fontId="8" fillId="0" borderId="7" xfId="0" applyFont="1" applyBorder="1" applyAlignment="1">
      <alignment vertical="center" wrapText="1"/>
    </xf>
    <xf numFmtId="0" fontId="8" fillId="0" borderId="0" xfId="0" applyFont="1" applyAlignment="1">
      <alignment vertical="center" wrapText="1"/>
    </xf>
    <xf numFmtId="0" fontId="63" fillId="0" borderId="0" xfId="0" applyFont="1" applyAlignment="1">
      <alignment horizontal="center" vertical="center"/>
    </xf>
    <xf numFmtId="0" fontId="0" fillId="0" borderId="0" xfId="0" applyAlignment="1">
      <alignment horizontal="center" vertical="center"/>
    </xf>
    <xf numFmtId="165" fontId="5" fillId="0" borderId="0" xfId="1" applyNumberFormat="1" applyFont="1" applyAlignment="1">
      <alignment vertical="center"/>
    </xf>
    <xf numFmtId="0" fontId="0" fillId="0" borderId="0" xfId="0" applyFill="1" applyAlignment="1">
      <alignment vertical="center"/>
    </xf>
    <xf numFmtId="0" fontId="0" fillId="0" borderId="4" xfId="0" applyFill="1" applyBorder="1" applyAlignment="1">
      <alignment vertical="center"/>
    </xf>
    <xf numFmtId="0" fontId="63" fillId="0" borderId="4" xfId="0" applyFont="1" applyFill="1" applyBorder="1" applyAlignment="1">
      <alignment horizontal="center" vertical="center"/>
    </xf>
    <xf numFmtId="0" fontId="0" fillId="0" borderId="0" xfId="0" applyFont="1" applyAlignment="1">
      <alignment horizontal="left" vertical="center"/>
    </xf>
    <xf numFmtId="0" fontId="64" fillId="0" borderId="0" xfId="0" applyFont="1"/>
    <xf numFmtId="0" fontId="34" fillId="0" borderId="0" xfId="0" applyFont="1" applyAlignment="1">
      <alignment vertical="center"/>
    </xf>
    <xf numFmtId="0" fontId="31" fillId="17" borderId="4" xfId="0" applyFont="1" applyFill="1" applyBorder="1" applyAlignment="1">
      <alignment vertical="center"/>
    </xf>
    <xf numFmtId="0" fontId="0" fillId="17" borderId="5" xfId="0" applyFill="1" applyBorder="1"/>
    <xf numFmtId="0" fontId="0" fillId="18" borderId="7" xfId="0" applyFill="1" applyBorder="1"/>
    <xf numFmtId="0" fontId="0" fillId="18" borderId="57" xfId="0" applyFill="1" applyBorder="1" applyAlignment="1">
      <alignment vertical="center"/>
    </xf>
    <xf numFmtId="0" fontId="0" fillId="18" borderId="17" xfId="0" applyFill="1" applyBorder="1"/>
    <xf numFmtId="0" fontId="0" fillId="18" borderId="29" xfId="0" applyFill="1" applyBorder="1"/>
    <xf numFmtId="0" fontId="0" fillId="18" borderId="6" xfId="0" applyFill="1" applyBorder="1" applyAlignment="1">
      <alignment horizontal="left" indent="1"/>
    </xf>
    <xf numFmtId="0" fontId="5" fillId="18" borderId="6" xfId="0" applyFont="1" applyFill="1" applyBorder="1" applyAlignment="1">
      <alignment horizontal="left" vertical="center" indent="1"/>
    </xf>
    <xf numFmtId="0" fontId="32" fillId="18" borderId="0" xfId="0" applyFont="1" applyFill="1" applyBorder="1" applyAlignment="1">
      <alignment vertical="center"/>
    </xf>
    <xf numFmtId="0" fontId="32" fillId="18" borderId="7" xfId="0" applyFont="1" applyFill="1" applyBorder="1" applyAlignment="1">
      <alignment vertical="center"/>
    </xf>
    <xf numFmtId="0" fontId="0" fillId="18" borderId="7" xfId="0" applyFill="1" applyBorder="1" applyAlignment="1">
      <alignment vertical="center"/>
    </xf>
    <xf numFmtId="0" fontId="0" fillId="18" borderId="18" xfId="0" applyFill="1" applyBorder="1" applyAlignment="1">
      <alignment horizontal="left" indent="1"/>
    </xf>
    <xf numFmtId="0" fontId="0" fillId="0" borderId="0" xfId="0" applyAlignment="1">
      <alignment horizontal="left" indent="1"/>
    </xf>
    <xf numFmtId="0" fontId="31" fillId="20" borderId="3" xfId="0" applyFont="1" applyFill="1" applyBorder="1" applyAlignment="1">
      <alignment horizontal="left" vertical="center" indent="1"/>
    </xf>
    <xf numFmtId="0" fontId="0" fillId="20" borderId="4" xfId="0" applyFill="1" applyBorder="1" applyAlignment="1">
      <alignment vertical="center"/>
    </xf>
    <xf numFmtId="0" fontId="0" fillId="20" borderId="5" xfId="0" applyFill="1" applyBorder="1" applyAlignment="1">
      <alignment vertical="center"/>
    </xf>
    <xf numFmtId="0" fontId="0" fillId="21" borderId="30" xfId="0" applyFill="1" applyBorder="1" applyAlignment="1">
      <alignment horizontal="left" indent="1"/>
    </xf>
    <xf numFmtId="0" fontId="0" fillId="21" borderId="31" xfId="0" applyFill="1" applyBorder="1"/>
    <xf numFmtId="0" fontId="0" fillId="21" borderId="32" xfId="0" applyFill="1" applyBorder="1"/>
    <xf numFmtId="0" fontId="0" fillId="21" borderId="6" xfId="0" applyFill="1" applyBorder="1" applyAlignment="1">
      <alignment horizontal="left" indent="1"/>
    </xf>
    <xf numFmtId="0" fontId="0" fillId="21" borderId="7" xfId="0" applyFill="1" applyBorder="1"/>
    <xf numFmtId="0" fontId="5" fillId="21" borderId="6" xfId="0" applyFont="1" applyFill="1" applyBorder="1" applyAlignment="1">
      <alignment horizontal="left" indent="1"/>
    </xf>
    <xf numFmtId="0" fontId="13" fillId="21" borderId="8" xfId="0" applyFont="1" applyFill="1" applyBorder="1" applyAlignment="1">
      <alignment vertical="center"/>
    </xf>
    <xf numFmtId="0" fontId="13" fillId="21" borderId="58" xfId="0" applyNumberFormat="1" applyFont="1" applyFill="1" applyBorder="1" applyAlignment="1">
      <alignment horizontal="right" vertical="center"/>
    </xf>
    <xf numFmtId="0" fontId="5" fillId="21" borderId="6" xfId="0" applyFont="1" applyFill="1" applyBorder="1" applyAlignment="1">
      <alignment horizontal="left" vertical="center" indent="1"/>
    </xf>
    <xf numFmtId="0" fontId="0" fillId="21" borderId="20" xfId="0" applyFill="1" applyBorder="1" applyAlignment="1">
      <alignment vertical="center"/>
    </xf>
    <xf numFmtId="166" fontId="0" fillId="21" borderId="23" xfId="1" applyNumberFormat="1" applyFont="1" applyFill="1" applyBorder="1" applyAlignment="1">
      <alignment vertical="center"/>
    </xf>
    <xf numFmtId="166" fontId="0" fillId="21" borderId="0" xfId="1" applyNumberFormat="1" applyFont="1" applyFill="1" applyBorder="1" applyAlignment="1">
      <alignment vertical="center"/>
    </xf>
    <xf numFmtId="0" fontId="0" fillId="21" borderId="7" xfId="0" applyFill="1" applyBorder="1" applyAlignment="1">
      <alignment vertical="center"/>
    </xf>
    <xf numFmtId="166" fontId="0" fillId="21" borderId="23" xfId="1" applyNumberFormat="1" applyFont="1" applyFill="1" applyBorder="1" applyAlignment="1">
      <alignment horizontal="right" vertical="center"/>
    </xf>
    <xf numFmtId="166" fontId="0" fillId="21" borderId="0" xfId="1" applyNumberFormat="1" applyFont="1" applyFill="1" applyBorder="1" applyAlignment="1">
      <alignment horizontal="right" vertical="center"/>
    </xf>
    <xf numFmtId="0" fontId="0" fillId="21" borderId="9" xfId="0" applyNumberFormat="1" applyFill="1" applyBorder="1" applyAlignment="1">
      <alignment vertical="center"/>
    </xf>
    <xf numFmtId="0" fontId="0" fillId="21" borderId="9" xfId="0" applyFill="1" applyBorder="1" applyAlignment="1">
      <alignment vertical="center"/>
    </xf>
    <xf numFmtId="166" fontId="0" fillId="21" borderId="59" xfId="1" applyNumberFormat="1" applyFont="1" applyFill="1" applyBorder="1" applyAlignment="1">
      <alignment horizontal="right" vertical="center"/>
    </xf>
    <xf numFmtId="166" fontId="0" fillId="21" borderId="9" xfId="1" applyNumberFormat="1" applyFont="1" applyFill="1" applyBorder="1" applyAlignment="1">
      <alignment horizontal="right" vertical="center"/>
    </xf>
    <xf numFmtId="0" fontId="0" fillId="21" borderId="14" xfId="0" applyNumberFormat="1" applyFill="1" applyBorder="1" applyAlignment="1">
      <alignment horizontal="right" vertical="center"/>
    </xf>
    <xf numFmtId="0" fontId="0" fillId="21" borderId="14" xfId="0" applyFill="1" applyBorder="1" applyAlignment="1">
      <alignment vertical="center"/>
    </xf>
    <xf numFmtId="166" fontId="0" fillId="21" borderId="14" xfId="1" applyNumberFormat="1" applyFont="1" applyFill="1" applyBorder="1" applyAlignment="1">
      <alignment vertical="center"/>
    </xf>
    <xf numFmtId="164" fontId="0" fillId="21" borderId="14" xfId="1" applyNumberFormat="1" applyFont="1" applyFill="1" applyBorder="1" applyAlignment="1">
      <alignment horizontal="right" vertical="center"/>
    </xf>
    <xf numFmtId="0" fontId="0" fillId="21" borderId="6" xfId="0" applyFont="1" applyFill="1" applyBorder="1" applyAlignment="1">
      <alignment horizontal="left" indent="1"/>
    </xf>
    <xf numFmtId="164" fontId="0" fillId="21" borderId="23" xfId="1" applyNumberFormat="1" applyFont="1" applyFill="1" applyBorder="1" applyAlignment="1">
      <alignment vertical="center"/>
    </xf>
    <xf numFmtId="164" fontId="0" fillId="21" borderId="59" xfId="1" applyNumberFormat="1" applyFont="1" applyFill="1" applyBorder="1" applyAlignment="1">
      <alignment horizontal="right" vertical="center"/>
    </xf>
    <xf numFmtId="164" fontId="0" fillId="21" borderId="9" xfId="1" applyNumberFormat="1" applyFont="1" applyFill="1" applyBorder="1" applyAlignment="1">
      <alignment horizontal="right" vertical="center"/>
    </xf>
    <xf numFmtId="0" fontId="13" fillId="21" borderId="58" xfId="0" applyFont="1" applyFill="1" applyBorder="1" applyAlignment="1">
      <alignment horizontal="right" vertical="center"/>
    </xf>
    <xf numFmtId="0" fontId="13" fillId="21" borderId="8" xfId="0" applyFont="1" applyFill="1" applyBorder="1" applyAlignment="1">
      <alignment horizontal="right" vertical="center"/>
    </xf>
    <xf numFmtId="0" fontId="32" fillId="21" borderId="57" xfId="0" applyFont="1" applyFill="1" applyBorder="1" applyAlignment="1">
      <alignment vertical="center"/>
    </xf>
    <xf numFmtId="0" fontId="13" fillId="21" borderId="57" xfId="0" applyFont="1" applyFill="1" applyBorder="1" applyAlignment="1">
      <alignment vertical="center"/>
    </xf>
    <xf numFmtId="170" fontId="32" fillId="21" borderId="60" xfId="3" applyNumberFormat="1" applyFont="1" applyFill="1" applyBorder="1" applyAlignment="1">
      <alignment horizontal="right" vertical="center"/>
    </xf>
    <xf numFmtId="170" fontId="32" fillId="21" borderId="57" xfId="3" applyNumberFormat="1" applyFont="1" applyFill="1" applyBorder="1" applyAlignment="1">
      <alignment horizontal="right" vertical="center"/>
    </xf>
    <xf numFmtId="0" fontId="9" fillId="21" borderId="6" xfId="0" applyFont="1" applyFill="1" applyBorder="1" applyAlignment="1">
      <alignment horizontal="left" indent="1"/>
    </xf>
    <xf numFmtId="170" fontId="0" fillId="21" borderId="0" xfId="3" applyNumberFormat="1" applyFont="1" applyFill="1" applyBorder="1" applyAlignment="1">
      <alignment horizontal="right" vertical="center"/>
    </xf>
    <xf numFmtId="0" fontId="0" fillId="21" borderId="57" xfId="0" applyNumberFormat="1" applyFill="1" applyBorder="1" applyAlignment="1">
      <alignment vertical="center"/>
    </xf>
    <xf numFmtId="0" fontId="0" fillId="21" borderId="57" xfId="0" applyFill="1" applyBorder="1" applyAlignment="1">
      <alignment vertical="center"/>
    </xf>
    <xf numFmtId="168" fontId="0" fillId="21" borderId="60" xfId="3" applyNumberFormat="1" applyFont="1" applyFill="1" applyBorder="1" applyAlignment="1">
      <alignment vertical="center"/>
    </xf>
    <xf numFmtId="168" fontId="0" fillId="21" borderId="57" xfId="3" applyNumberFormat="1" applyFont="1" applyFill="1" applyBorder="1" applyAlignment="1">
      <alignment vertical="center"/>
    </xf>
    <xf numFmtId="0" fontId="13" fillId="21" borderId="0" xfId="0" applyNumberFormat="1" applyFont="1" applyFill="1" applyBorder="1" applyAlignment="1">
      <alignment horizontal="right" vertical="center"/>
    </xf>
    <xf numFmtId="164" fontId="0" fillId="21" borderId="57" xfId="1" applyNumberFormat="1" applyFont="1" applyFill="1" applyBorder="1" applyAlignment="1">
      <alignment vertical="center"/>
    </xf>
    <xf numFmtId="0" fontId="13" fillId="21" borderId="19" xfId="0" applyNumberFormat="1" applyFont="1" applyFill="1" applyBorder="1" applyAlignment="1">
      <alignment horizontal="right" vertical="center"/>
    </xf>
    <xf numFmtId="0" fontId="13" fillId="21" borderId="0" xfId="0" applyFont="1" applyFill="1" applyBorder="1" applyAlignment="1">
      <alignment vertical="center"/>
    </xf>
    <xf numFmtId="0" fontId="32" fillId="21" borderId="0" xfId="0" applyFont="1" applyFill="1" applyBorder="1" applyAlignment="1">
      <alignment vertical="center"/>
    </xf>
    <xf numFmtId="0" fontId="0" fillId="21" borderId="20" xfId="0" applyFill="1" applyBorder="1"/>
    <xf numFmtId="0" fontId="0" fillId="21" borderId="13" xfId="0" applyNumberFormat="1" applyFill="1" applyBorder="1" applyAlignment="1">
      <alignment vertical="center"/>
    </xf>
    <xf numFmtId="0" fontId="17" fillId="0" borderId="0" xfId="8" applyNumberFormat="1"/>
    <xf numFmtId="0" fontId="17" fillId="21" borderId="6" xfId="8" applyNumberFormat="1" applyFill="1" applyBorder="1" applyAlignment="1">
      <alignment horizontal="left" indent="1"/>
    </xf>
    <xf numFmtId="0" fontId="11" fillId="21" borderId="0" xfId="8" applyNumberFormat="1" applyFont="1" applyFill="1" applyBorder="1" applyAlignment="1">
      <alignment horizontal="right"/>
    </xf>
    <xf numFmtId="0" fontId="11" fillId="21" borderId="0" xfId="8" applyNumberFormat="1" applyFont="1" applyFill="1" applyBorder="1" applyAlignment="1">
      <alignment horizontal="left"/>
    </xf>
    <xf numFmtId="0" fontId="17" fillId="21" borderId="0" xfId="8" applyNumberFormat="1" applyFill="1" applyBorder="1"/>
    <xf numFmtId="0" fontId="17" fillId="21" borderId="7" xfId="8" applyNumberFormat="1" applyFill="1" applyBorder="1"/>
    <xf numFmtId="0" fontId="11" fillId="21" borderId="0" xfId="8" applyNumberFormat="1" applyFont="1" applyFill="1" applyBorder="1"/>
    <xf numFmtId="0" fontId="31" fillId="20" borderId="18" xfId="0" applyFont="1" applyFill="1" applyBorder="1" applyAlignment="1">
      <alignment horizontal="left" vertical="center" indent="1"/>
    </xf>
    <xf numFmtId="0" fontId="0" fillId="20" borderId="17" xfId="0" applyFill="1" applyBorder="1" applyAlignment="1">
      <alignment vertical="center"/>
    </xf>
    <xf numFmtId="0" fontId="0" fillId="20" borderId="0" xfId="0" applyFill="1" applyBorder="1" applyAlignment="1">
      <alignment vertical="center"/>
    </xf>
    <xf numFmtId="0" fontId="24" fillId="15" borderId="0" xfId="5" applyFont="1" applyBorder="1" applyAlignment="1">
      <alignment horizontal="left" vertical="center" indent="1"/>
    </xf>
    <xf numFmtId="0" fontId="9" fillId="15" borderId="0" xfId="5" applyFont="1" applyBorder="1" applyAlignment="1">
      <alignment vertical="center"/>
    </xf>
    <xf numFmtId="0" fontId="24" fillId="15" borderId="0" xfId="5" applyFont="1" applyBorder="1" applyAlignment="1">
      <alignment vertical="center"/>
    </xf>
    <xf numFmtId="0" fontId="24" fillId="21" borderId="0" xfId="5" applyFont="1" applyFill="1" applyBorder="1" applyAlignment="1">
      <alignment vertical="center"/>
    </xf>
    <xf numFmtId="0" fontId="32" fillId="21" borderId="0" xfId="0" applyFont="1" applyFill="1" applyBorder="1" applyAlignment="1">
      <alignment horizontal="right" vertical="center"/>
    </xf>
    <xf numFmtId="165" fontId="32" fillId="21" borderId="0" xfId="1" applyNumberFormat="1" applyFont="1" applyFill="1" applyBorder="1" applyAlignment="1">
      <alignment horizontal="right" vertical="center"/>
    </xf>
    <xf numFmtId="0" fontId="0" fillId="21" borderId="0" xfId="0" applyFill="1" applyBorder="1" applyAlignment="1">
      <alignment horizontal="left"/>
    </xf>
    <xf numFmtId="0" fontId="9" fillId="21" borderId="0" xfId="0" applyFont="1" applyFill="1" applyBorder="1" applyAlignment="1">
      <alignment horizontal="right"/>
    </xf>
    <xf numFmtId="0" fontId="0" fillId="21" borderId="0" xfId="0" applyFill="1" applyAlignment="1">
      <alignment vertical="center"/>
    </xf>
    <xf numFmtId="0" fontId="0" fillId="21" borderId="0" xfId="0" applyNumberFormat="1" applyFill="1" applyBorder="1" applyAlignment="1">
      <alignment horizontal="center" vertical="center"/>
    </xf>
    <xf numFmtId="0" fontId="0" fillId="21" borderId="56" xfId="0" applyNumberFormat="1" applyFill="1" applyBorder="1" applyAlignment="1">
      <alignment vertical="center"/>
    </xf>
    <xf numFmtId="0" fontId="32" fillId="21" borderId="56" xfId="0" applyFont="1" applyFill="1" applyBorder="1" applyAlignment="1">
      <alignment vertical="center"/>
    </xf>
    <xf numFmtId="0" fontId="32" fillId="21" borderId="56" xfId="0" applyFont="1" applyFill="1" applyBorder="1" applyAlignment="1">
      <alignment horizontal="right" vertical="center"/>
    </xf>
    <xf numFmtId="0" fontId="13" fillId="21" borderId="56" xfId="0" applyNumberFormat="1" applyFont="1" applyFill="1" applyBorder="1" applyAlignment="1">
      <alignment horizontal="right" vertical="center"/>
    </xf>
    <xf numFmtId="1" fontId="13" fillId="21" borderId="56" xfId="0" applyNumberFormat="1" applyFont="1" applyFill="1" applyBorder="1" applyAlignment="1">
      <alignment horizontal="right" vertical="center"/>
    </xf>
    <xf numFmtId="0" fontId="0" fillId="21" borderId="0" xfId="0" applyNumberFormat="1" applyFill="1" applyBorder="1" applyAlignment="1">
      <alignment horizontal="left" vertical="center"/>
    </xf>
    <xf numFmtId="164" fontId="32" fillId="21" borderId="0" xfId="1" applyNumberFormat="1" applyFont="1" applyFill="1" applyBorder="1" applyAlignment="1">
      <alignment horizontal="right" vertical="center"/>
    </xf>
    <xf numFmtId="180" fontId="32" fillId="21" borderId="0" xfId="1" applyNumberFormat="1" applyFont="1" applyFill="1" applyBorder="1" applyAlignment="1">
      <alignment horizontal="right" vertical="center"/>
    </xf>
    <xf numFmtId="0" fontId="16" fillId="15" borderId="0" xfId="5" applyFont="1" applyBorder="1" applyAlignment="1">
      <alignment horizontal="left" vertical="center" indent="1"/>
    </xf>
    <xf numFmtId="0" fontId="0" fillId="21" borderId="13" xfId="0" applyNumberFormat="1" applyFill="1" applyBorder="1" applyAlignment="1">
      <alignment horizontal="left" vertical="center"/>
    </xf>
    <xf numFmtId="0" fontId="32" fillId="21" borderId="13" xfId="0" applyFont="1" applyFill="1" applyBorder="1" applyAlignment="1">
      <alignment vertical="center"/>
    </xf>
    <xf numFmtId="164" fontId="32" fillId="21" borderId="13" xfId="1" applyNumberFormat="1" applyFont="1" applyFill="1" applyBorder="1" applyAlignment="1">
      <alignment horizontal="right" vertical="center"/>
    </xf>
    <xf numFmtId="180" fontId="32" fillId="21" borderId="13" xfId="1" applyNumberFormat="1" applyFont="1" applyFill="1" applyBorder="1" applyAlignment="1">
      <alignment horizontal="right" vertical="center"/>
    </xf>
    <xf numFmtId="0" fontId="24" fillId="21" borderId="6" xfId="0" applyFont="1" applyFill="1" applyBorder="1"/>
    <xf numFmtId="0" fontId="0" fillId="21" borderId="11" xfId="0" applyNumberFormat="1" applyFill="1" applyBorder="1" applyAlignment="1">
      <alignment vertical="center"/>
    </xf>
    <xf numFmtId="0" fontId="32" fillId="21" borderId="11" xfId="0" applyFont="1" applyFill="1" applyBorder="1" applyAlignment="1">
      <alignment vertical="center"/>
    </xf>
    <xf numFmtId="0" fontId="32" fillId="21" borderId="11" xfId="0" applyFont="1" applyFill="1" applyBorder="1" applyAlignment="1">
      <alignment horizontal="right" vertical="center"/>
    </xf>
    <xf numFmtId="0" fontId="13" fillId="21" borderId="11" xfId="0" applyNumberFormat="1" applyFont="1" applyFill="1" applyBorder="1" applyAlignment="1">
      <alignment horizontal="right" vertical="center"/>
    </xf>
    <xf numFmtId="1" fontId="13" fillId="21" borderId="11" xfId="0" applyNumberFormat="1" applyFont="1" applyFill="1" applyBorder="1" applyAlignment="1">
      <alignment horizontal="right" vertical="center"/>
    </xf>
    <xf numFmtId="164" fontId="32" fillId="21" borderId="10" xfId="1" applyNumberFormat="1" applyFont="1" applyFill="1" applyBorder="1" applyAlignment="1">
      <alignment horizontal="right" vertical="center"/>
    </xf>
    <xf numFmtId="165" fontId="32" fillId="21" borderId="10" xfId="1" applyNumberFormat="1" applyFont="1" applyFill="1" applyBorder="1" applyAlignment="1">
      <alignment horizontal="right" vertical="center"/>
    </xf>
    <xf numFmtId="1" fontId="0" fillId="21" borderId="0" xfId="0" applyNumberFormat="1" applyFill="1"/>
    <xf numFmtId="165" fontId="32" fillId="21" borderId="13" xfId="1" applyNumberFormat="1" applyFont="1" applyFill="1" applyBorder="1" applyAlignment="1">
      <alignment horizontal="right" vertical="center"/>
    </xf>
    <xf numFmtId="0" fontId="9" fillId="21" borderId="0" xfId="0" applyFont="1" applyFill="1"/>
    <xf numFmtId="0" fontId="9" fillId="21" borderId="0" xfId="0" applyFont="1" applyFill="1" applyAlignment="1">
      <alignment horizontal="right"/>
    </xf>
    <xf numFmtId="0" fontId="9" fillId="21" borderId="10" xfId="0" applyFont="1" applyFill="1" applyBorder="1"/>
    <xf numFmtId="0" fontId="0" fillId="21" borderId="10" xfId="0" applyFill="1" applyBorder="1"/>
    <xf numFmtId="1" fontId="13" fillId="21" borderId="10" xfId="0" applyNumberFormat="1" applyFont="1" applyFill="1" applyBorder="1" applyAlignment="1">
      <alignment horizontal="right" vertical="center"/>
    </xf>
    <xf numFmtId="0" fontId="5" fillId="21" borderId="6" xfId="0" applyFont="1" applyFill="1" applyBorder="1" applyAlignment="1">
      <alignment vertical="center"/>
    </xf>
    <xf numFmtId="0" fontId="0" fillId="21" borderId="10" xfId="0" applyNumberFormat="1" applyFill="1" applyBorder="1" applyAlignment="1">
      <alignment horizontal="left" vertical="center"/>
    </xf>
    <xf numFmtId="0" fontId="0" fillId="21" borderId="10" xfId="0" applyFill="1" applyBorder="1" applyAlignment="1">
      <alignment vertical="center"/>
    </xf>
    <xf numFmtId="0" fontId="0" fillId="21" borderId="13" xfId="0" applyFill="1" applyBorder="1"/>
    <xf numFmtId="1" fontId="0" fillId="21" borderId="13" xfId="0" applyNumberFormat="1" applyFill="1" applyBorder="1"/>
    <xf numFmtId="0" fontId="32" fillId="21" borderId="10" xfId="0" applyFont="1" applyFill="1" applyBorder="1" applyAlignment="1">
      <alignment horizontal="right" vertical="center"/>
    </xf>
    <xf numFmtId="0" fontId="13" fillId="21" borderId="10" xfId="0" applyNumberFormat="1" applyFont="1" applyFill="1" applyBorder="1" applyAlignment="1">
      <alignment horizontal="right" vertical="center"/>
    </xf>
    <xf numFmtId="165" fontId="0" fillId="21" borderId="10" xfId="1" applyNumberFormat="1" applyFont="1" applyFill="1" applyBorder="1"/>
    <xf numFmtId="0" fontId="0" fillId="21" borderId="61" xfId="0" applyNumberFormat="1" applyFill="1" applyBorder="1" applyAlignment="1">
      <alignment horizontal="left" vertical="center"/>
    </xf>
    <xf numFmtId="0" fontId="0" fillId="21" borderId="61" xfId="0" applyFill="1" applyBorder="1"/>
    <xf numFmtId="0" fontId="13" fillId="21" borderId="56" xfId="0" applyFont="1" applyFill="1" applyBorder="1" applyAlignment="1">
      <alignment vertical="center"/>
    </xf>
    <xf numFmtId="0" fontId="13" fillId="21" borderId="62" xfId="0" applyNumberFormat="1" applyFont="1" applyFill="1" applyBorder="1" applyAlignment="1">
      <alignment horizontal="right" vertical="center"/>
    </xf>
    <xf numFmtId="164" fontId="0" fillId="21" borderId="60" xfId="1" applyNumberFormat="1" applyFont="1" applyFill="1" applyBorder="1" applyAlignment="1">
      <alignment vertical="center"/>
    </xf>
    <xf numFmtId="0" fontId="9" fillId="0" borderId="0" xfId="0" quotePrefix="1" applyFont="1"/>
    <xf numFmtId="168" fontId="0" fillId="0" borderId="0" xfId="3" applyNumberFormat="1" applyFont="1"/>
    <xf numFmtId="164" fontId="20" fillId="0" borderId="0" xfId="1" applyNumberFormat="1" applyFont="1"/>
    <xf numFmtId="0" fontId="0" fillId="0" borderId="0" xfId="0" quotePrefix="1"/>
    <xf numFmtId="164" fontId="24" fillId="0" borderId="0" xfId="1" applyNumberFormat="1" applyFont="1"/>
    <xf numFmtId="165" fontId="24" fillId="0" borderId="0" xfId="1" applyNumberFormat="1" applyFont="1"/>
    <xf numFmtId="165" fontId="0" fillId="0" borderId="0" xfId="0" applyNumberFormat="1"/>
    <xf numFmtId="0" fontId="31" fillId="26" borderId="3" xfId="0" applyFont="1" applyFill="1" applyBorder="1" applyAlignment="1">
      <alignment horizontal="left" vertical="center" indent="1"/>
    </xf>
    <xf numFmtId="0" fontId="31" fillId="26" borderId="4" xfId="0" applyFont="1" applyFill="1" applyBorder="1" applyAlignment="1">
      <alignment vertical="center"/>
    </xf>
    <xf numFmtId="0" fontId="0" fillId="26" borderId="4" xfId="0" applyFill="1" applyBorder="1"/>
    <xf numFmtId="0" fontId="0" fillId="26" borderId="5" xfId="0" applyFill="1" applyBorder="1"/>
    <xf numFmtId="0" fontId="0" fillId="27" borderId="30" xfId="0" applyFill="1" applyBorder="1"/>
    <xf numFmtId="0" fontId="0" fillId="27" borderId="31" xfId="0" applyFill="1" applyBorder="1"/>
    <xf numFmtId="0" fontId="0" fillId="27" borderId="32" xfId="0" applyFill="1" applyBorder="1"/>
    <xf numFmtId="0" fontId="0" fillId="27" borderId="6" xfId="0" applyFill="1" applyBorder="1"/>
    <xf numFmtId="0" fontId="0" fillId="27" borderId="0" xfId="0" applyFill="1" applyBorder="1"/>
    <xf numFmtId="0" fontId="0" fillId="27" borderId="0" xfId="0" applyFill="1" applyBorder="1" applyAlignment="1">
      <alignment horizontal="right"/>
    </xf>
    <xf numFmtId="0" fontId="0" fillId="27" borderId="7" xfId="0" applyFill="1" applyBorder="1"/>
    <xf numFmtId="0" fontId="13" fillId="27" borderId="12" xfId="0" applyFont="1" applyFill="1" applyBorder="1" applyAlignment="1">
      <alignment vertical="center"/>
    </xf>
    <xf numFmtId="0" fontId="0" fillId="27" borderId="0" xfId="0" applyFill="1" applyBorder="1" applyAlignment="1">
      <alignment vertical="center"/>
    </xf>
    <xf numFmtId="164" fontId="0" fillId="27" borderId="0" xfId="1" applyNumberFormat="1" applyFont="1" applyFill="1" applyBorder="1" applyAlignment="1">
      <alignment vertical="center"/>
    </xf>
    <xf numFmtId="168" fontId="0" fillId="27" borderId="0" xfId="3" applyNumberFormat="1" applyFont="1" applyFill="1" applyBorder="1" applyAlignment="1">
      <alignment vertical="center"/>
    </xf>
    <xf numFmtId="0" fontId="0" fillId="27" borderId="17" xfId="0" applyFill="1" applyBorder="1"/>
    <xf numFmtId="0" fontId="0" fillId="27" borderId="29" xfId="0" applyFill="1" applyBorder="1"/>
    <xf numFmtId="0" fontId="0" fillId="27" borderId="0" xfId="0" applyFill="1"/>
    <xf numFmtId="0" fontId="9" fillId="27" borderId="0" xfId="0" applyFont="1" applyFill="1" applyAlignment="1">
      <alignment horizontal="right"/>
    </xf>
    <xf numFmtId="0" fontId="26" fillId="27" borderId="18" xfId="0" applyFont="1" applyFill="1" applyBorder="1"/>
    <xf numFmtId="180" fontId="0" fillId="27" borderId="29" xfId="0" applyNumberFormat="1" applyFill="1" applyBorder="1" applyAlignment="1">
      <alignment vertical="center"/>
    </xf>
    <xf numFmtId="0" fontId="65" fillId="0" borderId="0" xfId="0" applyFont="1"/>
    <xf numFmtId="0" fontId="5" fillId="18" borderId="6" xfId="0" applyFont="1" applyFill="1" applyBorder="1" applyAlignment="1">
      <alignment horizontal="left" indent="1"/>
    </xf>
    <xf numFmtId="0" fontId="0" fillId="18" borderId="20" xfId="0" applyFill="1" applyBorder="1" applyAlignment="1">
      <alignment vertical="center"/>
    </xf>
    <xf numFmtId="0" fontId="0" fillId="18" borderId="20" xfId="0" applyFont="1" applyFill="1" applyBorder="1" applyAlignment="1">
      <alignment vertical="center"/>
    </xf>
    <xf numFmtId="0" fontId="5" fillId="18" borderId="18" xfId="0" applyFont="1" applyFill="1" applyBorder="1" applyAlignment="1">
      <alignment horizontal="left" indent="1"/>
    </xf>
    <xf numFmtId="0" fontId="31" fillId="20" borderId="4" xfId="0" applyFont="1" applyFill="1" applyBorder="1" applyAlignment="1">
      <alignment vertical="center"/>
    </xf>
    <xf numFmtId="164" fontId="0" fillId="21" borderId="24" xfId="1" applyNumberFormat="1" applyFont="1" applyFill="1" applyBorder="1" applyAlignment="1">
      <alignment vertical="center"/>
    </xf>
    <xf numFmtId="164" fontId="0" fillId="21" borderId="13" xfId="1" applyNumberFormat="1" applyFont="1" applyFill="1" applyBorder="1" applyAlignment="1">
      <alignment vertical="center"/>
    </xf>
    <xf numFmtId="0" fontId="0" fillId="21" borderId="14" xfId="0" applyNumberFormat="1" applyFill="1" applyBorder="1" applyAlignment="1">
      <alignment horizontal="center" vertical="center"/>
    </xf>
    <xf numFmtId="0" fontId="0" fillId="21" borderId="63" xfId="0" applyFill="1" applyBorder="1"/>
    <xf numFmtId="0" fontId="0" fillId="21" borderId="19" xfId="0" applyFont="1" applyFill="1" applyBorder="1" applyAlignment="1">
      <alignment horizontal="center" vertical="center" wrapText="1"/>
    </xf>
    <xf numFmtId="0" fontId="0" fillId="21" borderId="26" xfId="0" applyFont="1" applyFill="1" applyBorder="1" applyAlignment="1">
      <alignment horizontal="center" vertical="center" wrapText="1"/>
    </xf>
    <xf numFmtId="0" fontId="13" fillId="21" borderId="12" xfId="0" applyFont="1" applyFill="1" applyBorder="1" applyAlignment="1">
      <alignment vertical="center"/>
    </xf>
    <xf numFmtId="0" fontId="13" fillId="21" borderId="12" xfId="0" applyFont="1" applyFill="1" applyBorder="1" applyAlignment="1">
      <alignment horizontal="center" vertical="center" wrapText="1"/>
    </xf>
    <xf numFmtId="0" fontId="13" fillId="21" borderId="27" xfId="0" applyFont="1" applyFill="1" applyBorder="1" applyAlignment="1">
      <alignment horizontal="center" vertical="center" wrapText="1"/>
    </xf>
    <xf numFmtId="168" fontId="0" fillId="21" borderId="23" xfId="3" applyNumberFormat="1" applyFont="1" applyFill="1" applyBorder="1" applyAlignment="1">
      <alignment vertical="center"/>
    </xf>
    <xf numFmtId="168" fontId="0" fillId="21" borderId="59" xfId="3" applyNumberFormat="1" applyFont="1" applyFill="1" applyBorder="1" applyAlignment="1">
      <alignment vertical="center"/>
    </xf>
    <xf numFmtId="168" fontId="0" fillId="21" borderId="64" xfId="3" applyNumberFormat="1" applyFont="1" applyFill="1" applyBorder="1" applyAlignment="1">
      <alignment vertical="center"/>
    </xf>
    <xf numFmtId="164" fontId="0" fillId="21" borderId="20" xfId="1" applyNumberFormat="1" applyFont="1" applyFill="1" applyBorder="1" applyAlignment="1">
      <alignment vertical="center"/>
    </xf>
    <xf numFmtId="164" fontId="0" fillId="21" borderId="21" xfId="1" applyNumberFormat="1" applyFont="1" applyFill="1" applyBorder="1" applyAlignment="1">
      <alignment vertical="center"/>
    </xf>
    <xf numFmtId="0" fontId="0" fillId="0" borderId="0" xfId="0" applyBorder="1" applyAlignment="1">
      <alignment vertical="center"/>
    </xf>
    <xf numFmtId="170" fontId="0" fillId="21" borderId="9" xfId="3" applyNumberFormat="1" applyFont="1" applyFill="1" applyBorder="1" applyAlignment="1">
      <alignment vertical="center"/>
    </xf>
    <xf numFmtId="0" fontId="13" fillId="21" borderId="65" xfId="0" applyFont="1" applyFill="1" applyBorder="1"/>
    <xf numFmtId="0" fontId="13" fillId="15" borderId="65" xfId="5" applyFont="1" applyBorder="1"/>
    <xf numFmtId="0" fontId="32" fillId="21" borderId="0" xfId="0" applyFont="1" applyFill="1" applyBorder="1"/>
    <xf numFmtId="0" fontId="32" fillId="15" borderId="0" xfId="5" applyFont="1" applyBorder="1"/>
    <xf numFmtId="164" fontId="32" fillId="15" borderId="0" xfId="1" applyNumberFormat="1" applyFont="1" applyFill="1" applyBorder="1"/>
    <xf numFmtId="164" fontId="32" fillId="21" borderId="0" xfId="1" applyNumberFormat="1" applyFont="1" applyFill="1" applyBorder="1"/>
    <xf numFmtId="0" fontId="32" fillId="21" borderId="13" xfId="0" applyFont="1" applyFill="1" applyBorder="1"/>
    <xf numFmtId="0" fontId="32" fillId="15" borderId="13" xfId="5" applyFont="1" applyBorder="1"/>
    <xf numFmtId="164" fontId="32" fillId="15" borderId="13" xfId="1" applyNumberFormat="1" applyFont="1" applyFill="1" applyBorder="1"/>
    <xf numFmtId="164" fontId="32" fillId="21" borderId="13" xfId="1" applyNumberFormat="1" applyFont="1" applyFill="1" applyBorder="1"/>
    <xf numFmtId="182" fontId="0" fillId="21" borderId="0" xfId="3" applyNumberFormat="1" applyFont="1" applyFill="1" applyBorder="1" applyAlignment="1">
      <alignment horizontal="right" vertical="center"/>
    </xf>
    <xf numFmtId="0" fontId="16" fillId="15" borderId="8" xfId="5" applyFont="1" applyBorder="1" applyAlignment="1">
      <alignment vertical="center"/>
    </xf>
    <xf numFmtId="0" fontId="16" fillId="15" borderId="8" xfId="5" applyNumberFormat="1" applyFont="1" applyBorder="1" applyAlignment="1">
      <alignment horizontal="right" vertical="center"/>
    </xf>
    <xf numFmtId="0" fontId="16" fillId="15" borderId="20" xfId="5" applyNumberFormat="1" applyFont="1" applyBorder="1" applyAlignment="1">
      <alignment vertical="center"/>
    </xf>
    <xf numFmtId="0" fontId="16" fillId="15" borderId="20" xfId="5" applyFont="1" applyBorder="1"/>
    <xf numFmtId="0" fontId="16" fillId="15" borderId="20" xfId="5" applyFont="1" applyBorder="1" applyAlignment="1">
      <alignment vertical="center"/>
    </xf>
    <xf numFmtId="9" fontId="16" fillId="15" borderId="20" xfId="5" applyNumberFormat="1" applyFont="1" applyBorder="1" applyAlignment="1">
      <alignment vertical="center"/>
    </xf>
    <xf numFmtId="0" fontId="16" fillId="15" borderId="0" xfId="5" applyNumberFormat="1" applyFont="1" applyBorder="1" applyAlignment="1">
      <alignment vertical="center"/>
    </xf>
    <xf numFmtId="0" fontId="16" fillId="15" borderId="0" xfId="5" applyFont="1" applyBorder="1"/>
    <xf numFmtId="0" fontId="16" fillId="15" borderId="0" xfId="5" applyFont="1" applyBorder="1" applyAlignment="1">
      <alignment vertical="center"/>
    </xf>
    <xf numFmtId="9" fontId="16" fillId="15" borderId="0" xfId="5" applyNumberFormat="1" applyFont="1" applyBorder="1" applyAlignment="1">
      <alignment vertical="center"/>
    </xf>
    <xf numFmtId="0" fontId="16" fillId="15" borderId="13" xfId="5" applyNumberFormat="1" applyFont="1" applyBorder="1" applyAlignment="1">
      <alignment vertical="center"/>
    </xf>
    <xf numFmtId="0" fontId="16" fillId="15" borderId="13" xfId="5" applyFont="1" applyBorder="1"/>
    <xf numFmtId="0" fontId="16" fillId="15" borderId="13" xfId="5" applyFont="1" applyBorder="1" applyAlignment="1">
      <alignment vertical="center"/>
    </xf>
    <xf numFmtId="9" fontId="16" fillId="15" borderId="13" xfId="5" applyNumberFormat="1" applyFont="1" applyBorder="1" applyAlignment="1">
      <alignment vertical="center"/>
    </xf>
    <xf numFmtId="183" fontId="0" fillId="21" borderId="0" xfId="0" applyNumberFormat="1" applyFill="1" applyBorder="1"/>
    <xf numFmtId="183" fontId="0" fillId="21" borderId="0" xfId="0" applyNumberFormat="1" applyFill="1" applyBorder="1" applyAlignment="1">
      <alignment horizontal="right"/>
    </xf>
    <xf numFmtId="168" fontId="66" fillId="21" borderId="0" xfId="3" applyNumberFormat="1" applyFont="1" applyFill="1" applyBorder="1" applyAlignment="1">
      <alignment horizontal="right" vertical="center"/>
    </xf>
    <xf numFmtId="0" fontId="32" fillId="15" borderId="0" xfId="5" applyFont="1"/>
    <xf numFmtId="168" fontId="66" fillId="21" borderId="0" xfId="3" applyNumberFormat="1" applyFont="1" applyFill="1" applyBorder="1" applyAlignment="1">
      <alignment vertical="center"/>
    </xf>
    <xf numFmtId="182" fontId="66" fillId="21" borderId="0" xfId="3" applyNumberFormat="1" applyFont="1" applyFill="1" applyBorder="1" applyAlignment="1">
      <alignment vertical="center"/>
    </xf>
    <xf numFmtId="168" fontId="11" fillId="21" borderId="0" xfId="3" applyNumberFormat="1" applyFont="1" applyFill="1" applyBorder="1" applyAlignment="1">
      <alignment vertical="center"/>
    </xf>
    <xf numFmtId="164" fontId="9" fillId="21" borderId="0" xfId="1" applyNumberFormat="1" applyFont="1" applyFill="1" applyBorder="1" applyAlignment="1">
      <alignment horizontal="right" vertical="center"/>
    </xf>
    <xf numFmtId="172" fontId="0" fillId="21" borderId="0" xfId="1" applyNumberFormat="1" applyFont="1" applyFill="1" applyBorder="1" applyAlignment="1">
      <alignment vertical="center"/>
    </xf>
    <xf numFmtId="172" fontId="0" fillId="21" borderId="13" xfId="1" applyNumberFormat="1" applyFont="1" applyFill="1" applyBorder="1" applyAlignment="1">
      <alignment horizontal="right" vertical="center"/>
    </xf>
    <xf numFmtId="0" fontId="16" fillId="15" borderId="0" xfId="5" applyFont="1" applyAlignment="1">
      <alignment horizontal="right"/>
    </xf>
    <xf numFmtId="0" fontId="0" fillId="21" borderId="17" xfId="0" applyFill="1" applyBorder="1"/>
    <xf numFmtId="0" fontId="7" fillId="0" borderId="0" xfId="0" applyFont="1" applyFill="1" applyAlignment="1">
      <alignment vertical="center"/>
    </xf>
    <xf numFmtId="0" fontId="31" fillId="21" borderId="0" xfId="0" applyFont="1" applyFill="1" applyBorder="1" applyAlignment="1">
      <alignment horizontal="left" vertical="center" indent="1"/>
    </xf>
    <xf numFmtId="0" fontId="0" fillId="0" borderId="0" xfId="0" applyFill="1" applyBorder="1"/>
    <xf numFmtId="0" fontId="9" fillId="21" borderId="10" xfId="0" applyNumberFormat="1" applyFont="1" applyFill="1" applyBorder="1" applyAlignment="1">
      <alignment vertical="center"/>
    </xf>
    <xf numFmtId="0" fontId="32" fillId="21" borderId="10" xfId="0" applyFont="1" applyFill="1" applyBorder="1" applyAlignment="1">
      <alignment vertical="center"/>
    </xf>
    <xf numFmtId="180" fontId="32" fillId="21" borderId="10" xfId="1" applyNumberFormat="1" applyFont="1" applyFill="1" applyBorder="1" applyAlignment="1">
      <alignment horizontal="right" vertical="center"/>
    </xf>
    <xf numFmtId="0" fontId="24" fillId="21" borderId="0" xfId="0" applyFont="1" applyFill="1" applyBorder="1"/>
    <xf numFmtId="0" fontId="24" fillId="0" borderId="6" xfId="0" applyFont="1" applyFill="1" applyBorder="1"/>
    <xf numFmtId="0" fontId="24" fillId="0" borderId="0" xfId="0" applyFont="1" applyFill="1" applyBorder="1"/>
    <xf numFmtId="0" fontId="24" fillId="0" borderId="0" xfId="0" applyNumberFormat="1" applyFont="1" applyFill="1" applyBorder="1" applyAlignment="1">
      <alignment vertical="center"/>
    </xf>
    <xf numFmtId="0" fontId="24" fillId="0" borderId="0" xfId="0" applyFont="1" applyFill="1" applyBorder="1" applyAlignment="1">
      <alignment horizontal="right" vertical="center"/>
    </xf>
    <xf numFmtId="165" fontId="24" fillId="0" borderId="0" xfId="1" applyNumberFormat="1" applyFont="1" applyFill="1" applyBorder="1" applyAlignment="1">
      <alignment horizontal="right" vertical="center"/>
    </xf>
    <xf numFmtId="0" fontId="24" fillId="0" borderId="0" xfId="0" applyFont="1" applyFill="1" applyBorder="1" applyAlignment="1">
      <alignment horizontal="left"/>
    </xf>
    <xf numFmtId="0" fontId="9" fillId="0" borderId="0" xfId="5" applyFont="1" applyFill="1" applyBorder="1" applyAlignment="1">
      <alignment vertical="center"/>
    </xf>
    <xf numFmtId="0" fontId="16" fillId="15" borderId="6" xfId="5" applyFont="1" applyBorder="1" applyAlignment="1">
      <alignment horizontal="left" vertical="center" indent="1"/>
    </xf>
    <xf numFmtId="0" fontId="16" fillId="15" borderId="7" xfId="5" applyFont="1" applyBorder="1" applyAlignment="1">
      <alignment vertical="center"/>
    </xf>
    <xf numFmtId="1" fontId="9" fillId="0" borderId="0" xfId="0" applyNumberFormat="1" applyFont="1" applyFill="1" applyBorder="1" applyAlignment="1">
      <alignment horizontal="right" vertical="center"/>
    </xf>
    <xf numFmtId="0" fontId="0" fillId="21" borderId="20" xfId="0" applyNumberFormat="1" applyFill="1" applyBorder="1" applyAlignment="1">
      <alignment vertical="center"/>
    </xf>
    <xf numFmtId="0" fontId="32" fillId="15" borderId="20" xfId="5" applyFont="1" applyBorder="1"/>
    <xf numFmtId="168" fontId="0" fillId="21" borderId="20" xfId="3" applyNumberFormat="1" applyFont="1" applyFill="1" applyBorder="1"/>
    <xf numFmtId="168" fontId="0" fillId="21" borderId="0" xfId="3" applyNumberFormat="1" applyFont="1" applyFill="1" applyBorder="1"/>
    <xf numFmtId="168" fontId="0" fillId="21" borderId="13" xfId="3" applyNumberFormat="1" applyFont="1" applyFill="1" applyBorder="1"/>
    <xf numFmtId="0" fontId="24" fillId="0" borderId="0" xfId="0" applyNumberFormat="1" applyFont="1" applyFill="1" applyBorder="1" applyAlignment="1">
      <alignment horizontal="center" vertical="center"/>
    </xf>
    <xf numFmtId="168" fontId="0" fillId="21" borderId="0" xfId="0" applyNumberFormat="1" applyFill="1" applyBorder="1"/>
    <xf numFmtId="0" fontId="13" fillId="21" borderId="20" xfId="0" applyFont="1" applyFill="1" applyBorder="1" applyAlignment="1">
      <alignment vertical="center"/>
    </xf>
    <xf numFmtId="0" fontId="13" fillId="21" borderId="20" xfId="0" applyNumberFormat="1" applyFont="1" applyFill="1" applyBorder="1" applyAlignment="1">
      <alignment horizontal="right" vertical="center"/>
    </xf>
    <xf numFmtId="179" fontId="32" fillId="21" borderId="20" xfId="0" applyNumberFormat="1" applyFont="1" applyFill="1" applyBorder="1" applyAlignment="1">
      <alignment horizontal="right" vertical="center"/>
    </xf>
    <xf numFmtId="179" fontId="32" fillId="21" borderId="0" xfId="0" applyNumberFormat="1" applyFont="1" applyFill="1" applyBorder="1" applyAlignment="1">
      <alignment horizontal="right" vertical="center"/>
    </xf>
    <xf numFmtId="0" fontId="0" fillId="21" borderId="11" xfId="0" applyFill="1" applyBorder="1"/>
    <xf numFmtId="179" fontId="0" fillId="21" borderId="11" xfId="0" applyNumberFormat="1" applyFont="1" applyFill="1" applyBorder="1"/>
    <xf numFmtId="179" fontId="0" fillId="21" borderId="0" xfId="0" applyNumberFormat="1" applyFont="1" applyFill="1" applyBorder="1"/>
    <xf numFmtId="0" fontId="5" fillId="21" borderId="18" xfId="0" applyFont="1" applyFill="1" applyBorder="1"/>
    <xf numFmtId="0" fontId="0" fillId="21" borderId="17" xfId="0" applyNumberFormat="1" applyFill="1" applyBorder="1" applyAlignment="1">
      <alignment vertical="center"/>
    </xf>
    <xf numFmtId="179" fontId="0" fillId="21" borderId="17" xfId="0" applyNumberFormat="1" applyFont="1" applyFill="1" applyBorder="1"/>
    <xf numFmtId="0" fontId="0" fillId="21" borderId="29" xfId="0" applyFill="1" applyBorder="1"/>
    <xf numFmtId="0" fontId="31" fillId="0" borderId="0" xfId="0" applyFont="1"/>
    <xf numFmtId="164" fontId="0" fillId="0" borderId="0" xfId="0" applyNumberFormat="1" applyFont="1" applyAlignment="1">
      <alignment vertical="center"/>
    </xf>
    <xf numFmtId="179" fontId="0" fillId="0" borderId="0" xfId="3" applyNumberFormat="1" applyFont="1" applyAlignment="1">
      <alignment vertical="center"/>
    </xf>
    <xf numFmtId="0" fontId="0" fillId="0" borderId="0" xfId="0" quotePrefix="1" applyAlignment="1">
      <alignment vertical="center"/>
    </xf>
    <xf numFmtId="164" fontId="9" fillId="0" borderId="0" xfId="1" applyNumberFormat="1" applyFont="1" applyAlignment="1">
      <alignment vertical="center"/>
    </xf>
    <xf numFmtId="164" fontId="24" fillId="0" borderId="0" xfId="1" applyNumberFormat="1" applyFont="1" applyAlignment="1">
      <alignment vertical="center"/>
    </xf>
    <xf numFmtId="10" fontId="0" fillId="0" borderId="0" xfId="0" applyNumberFormat="1"/>
    <xf numFmtId="0" fontId="9" fillId="0" borderId="0" xfId="0" quotePrefix="1" applyFont="1" applyAlignment="1">
      <alignment vertical="center"/>
    </xf>
    <xf numFmtId="184" fontId="0" fillId="0" borderId="0" xfId="0" applyNumberFormat="1"/>
    <xf numFmtId="2" fontId="0" fillId="0" borderId="0" xfId="0" applyNumberFormat="1"/>
    <xf numFmtId="168" fontId="24" fillId="0" borderId="0" xfId="3" applyNumberFormat="1" applyFont="1" applyAlignment="1">
      <alignment vertical="center"/>
    </xf>
    <xf numFmtId="185" fontId="0" fillId="0" borderId="0" xfId="0" applyNumberFormat="1" applyAlignment="1">
      <alignment vertical="center"/>
    </xf>
    <xf numFmtId="164" fontId="9" fillId="0" borderId="0" xfId="1" applyNumberFormat="1" applyFont="1" applyBorder="1" applyAlignment="1">
      <alignment vertical="center"/>
    </xf>
    <xf numFmtId="164" fontId="24" fillId="0" borderId="0" xfId="1" applyNumberFormat="1" applyFont="1" applyBorder="1" applyAlignment="1">
      <alignment vertical="center"/>
    </xf>
    <xf numFmtId="186" fontId="0" fillId="0" borderId="0" xfId="0" applyNumberFormat="1" applyAlignment="1">
      <alignment vertical="center"/>
    </xf>
    <xf numFmtId="165" fontId="0" fillId="0" borderId="0" xfId="0" applyNumberFormat="1" applyAlignment="1">
      <alignment vertical="center"/>
    </xf>
    <xf numFmtId="0" fontId="9" fillId="18" borderId="0" xfId="0" applyFont="1" applyFill="1" applyBorder="1" applyAlignment="1">
      <alignment horizontal="right"/>
    </xf>
    <xf numFmtId="0" fontId="31" fillId="23" borderId="3" xfId="0" applyFont="1" applyFill="1" applyBorder="1" applyAlignment="1">
      <alignment horizontal="left" vertical="center" indent="1"/>
    </xf>
    <xf numFmtId="0" fontId="31" fillId="23" borderId="4" xfId="0" applyFont="1" applyFill="1" applyBorder="1" applyAlignment="1">
      <alignment vertical="center"/>
    </xf>
    <xf numFmtId="0" fontId="0" fillId="23" borderId="4" xfId="0" applyFill="1" applyBorder="1"/>
    <xf numFmtId="0" fontId="0" fillId="23" borderId="5" xfId="0" applyFill="1" applyBorder="1"/>
    <xf numFmtId="0" fontId="0" fillId="24" borderId="30" xfId="0" applyFill="1" applyBorder="1"/>
    <xf numFmtId="0" fontId="0" fillId="24" borderId="31" xfId="0" applyFill="1" applyBorder="1"/>
    <xf numFmtId="0" fontId="0" fillId="24" borderId="32" xfId="0" applyFill="1" applyBorder="1"/>
    <xf numFmtId="0" fontId="0" fillId="24" borderId="6" xfId="0" applyFill="1" applyBorder="1"/>
    <xf numFmtId="0" fontId="0" fillId="24" borderId="0" xfId="0" applyFill="1" applyBorder="1"/>
    <xf numFmtId="0" fontId="0" fillId="24" borderId="0" xfId="0" applyFill="1" applyBorder="1" applyAlignment="1">
      <alignment horizontal="right"/>
    </xf>
    <xf numFmtId="0" fontId="9" fillId="24" borderId="0" xfId="0" applyFont="1" applyFill="1" applyBorder="1" applyAlignment="1">
      <alignment horizontal="right"/>
    </xf>
    <xf numFmtId="0" fontId="0" fillId="24" borderId="7" xfId="0" applyFill="1" applyBorder="1"/>
    <xf numFmtId="0" fontId="32" fillId="24" borderId="0" xfId="0" applyFont="1" applyFill="1" applyBorder="1" applyAlignment="1">
      <alignment vertical="center"/>
    </xf>
    <xf numFmtId="0" fontId="0" fillId="24" borderId="0" xfId="0" applyFill="1" applyBorder="1" applyAlignment="1">
      <alignment vertical="center"/>
    </xf>
    <xf numFmtId="0" fontId="0" fillId="24" borderId="0" xfId="0" applyNumberFormat="1" applyFill="1" applyBorder="1" applyAlignment="1">
      <alignment vertical="center"/>
    </xf>
    <xf numFmtId="164" fontId="24" fillId="24" borderId="0" xfId="0" applyNumberFormat="1" applyFont="1" applyFill="1" applyBorder="1" applyAlignment="1">
      <alignment vertical="center"/>
    </xf>
    <xf numFmtId="164" fontId="9" fillId="24" borderId="0" xfId="0" applyNumberFormat="1" applyFont="1" applyFill="1" applyBorder="1" applyAlignment="1">
      <alignment horizontal="right" vertical="center"/>
    </xf>
    <xf numFmtId="0" fontId="0" fillId="24" borderId="66" xfId="0" applyNumberFormat="1" applyFill="1" applyBorder="1"/>
    <xf numFmtId="0" fontId="0" fillId="24" borderId="67" xfId="0" applyNumberFormat="1" applyFill="1" applyBorder="1"/>
    <xf numFmtId="0" fontId="0" fillId="24" borderId="67" xfId="0" applyFill="1" applyBorder="1"/>
    <xf numFmtId="187" fontId="0" fillId="0" borderId="0" xfId="0" applyNumberFormat="1"/>
    <xf numFmtId="0" fontId="0" fillId="24" borderId="66" xfId="0" applyFill="1" applyBorder="1"/>
    <xf numFmtId="0" fontId="0" fillId="24" borderId="17" xfId="0" applyFill="1" applyBorder="1"/>
    <xf numFmtId="0" fontId="32" fillId="27" borderId="7" xfId="0" applyFont="1" applyFill="1" applyBorder="1" applyAlignment="1">
      <alignment vertical="center"/>
    </xf>
    <xf numFmtId="180" fontId="0" fillId="27" borderId="7" xfId="0" applyNumberFormat="1" applyFill="1" applyBorder="1" applyAlignment="1">
      <alignment vertical="center"/>
    </xf>
    <xf numFmtId="0" fontId="0" fillId="25" borderId="0" xfId="0" applyFill="1"/>
    <xf numFmtId="0" fontId="0" fillId="25" borderId="0" xfId="0" applyFill="1" applyAlignment="1">
      <alignment vertical="center"/>
    </xf>
    <xf numFmtId="0" fontId="9" fillId="17" borderId="4" xfId="0" applyFont="1" applyFill="1" applyBorder="1"/>
    <xf numFmtId="4" fontId="0" fillId="0" borderId="0" xfId="0" applyNumberFormat="1"/>
    <xf numFmtId="166" fontId="0" fillId="21" borderId="9" xfId="1" applyNumberFormat="1" applyFont="1" applyFill="1" applyBorder="1" applyAlignment="1">
      <alignment vertical="center"/>
    </xf>
    <xf numFmtId="166" fontId="0" fillId="21" borderId="13" xfId="1" applyNumberFormat="1" applyFont="1" applyFill="1" applyBorder="1" applyAlignment="1">
      <alignment vertical="center"/>
    </xf>
    <xf numFmtId="166" fontId="0" fillId="21" borderId="13" xfId="1" applyNumberFormat="1" applyFont="1" applyFill="1" applyBorder="1" applyAlignment="1">
      <alignment horizontal="right" vertical="center"/>
    </xf>
    <xf numFmtId="0" fontId="0" fillId="21" borderId="17" xfId="0" applyNumberFormat="1" applyFill="1" applyBorder="1"/>
    <xf numFmtId="170" fontId="0" fillId="21" borderId="13" xfId="3" applyNumberFormat="1" applyFont="1" applyFill="1" applyBorder="1" applyAlignment="1">
      <alignment vertical="center"/>
    </xf>
    <xf numFmtId="0" fontId="13" fillId="21" borderId="8" xfId="0" applyNumberFormat="1" applyFont="1" applyFill="1" applyBorder="1" applyAlignment="1">
      <alignment horizontal="left" vertical="center"/>
    </xf>
    <xf numFmtId="0" fontId="32" fillId="21" borderId="0" xfId="0" applyNumberFormat="1" applyFont="1" applyFill="1" applyBorder="1" applyAlignment="1">
      <alignment horizontal="right" vertical="center"/>
    </xf>
    <xf numFmtId="0" fontId="13" fillId="21" borderId="20" xfId="0" applyNumberFormat="1" applyFont="1" applyFill="1" applyBorder="1" applyAlignment="1">
      <alignment horizontal="left" vertical="center"/>
    </xf>
    <xf numFmtId="172" fontId="0" fillId="21" borderId="13" xfId="1" applyNumberFormat="1" applyFont="1" applyFill="1" applyBorder="1" applyAlignment="1">
      <alignment vertical="center"/>
    </xf>
    <xf numFmtId="0" fontId="0" fillId="21" borderId="13" xfId="0" applyFill="1" applyBorder="1" applyAlignment="1">
      <alignment horizontal="left"/>
    </xf>
    <xf numFmtId="0" fontId="0" fillId="21" borderId="10" xfId="0" applyFill="1" applyBorder="1" applyAlignment="1">
      <alignment horizontal="center" vertical="center"/>
    </xf>
    <xf numFmtId="0" fontId="0" fillId="21" borderId="0" xfId="0" applyFill="1" applyBorder="1" applyAlignment="1">
      <alignment horizontal="center" vertical="center"/>
    </xf>
    <xf numFmtId="0" fontId="0" fillId="21" borderId="13" xfId="0" applyFill="1" applyBorder="1" applyAlignment="1">
      <alignment horizontal="center" vertical="center"/>
    </xf>
    <xf numFmtId="0" fontId="17" fillId="21" borderId="6" xfId="8" applyNumberFormat="1" applyFill="1" applyBorder="1"/>
    <xf numFmtId="0" fontId="17" fillId="21" borderId="0" xfId="8" applyNumberFormat="1" applyFill="1" applyBorder="1" applyAlignment="1">
      <alignment horizontal="right"/>
    </xf>
    <xf numFmtId="0" fontId="17" fillId="0" borderId="0" xfId="8" applyNumberFormat="1" applyFill="1" applyBorder="1"/>
    <xf numFmtId="0" fontId="0" fillId="21" borderId="18" xfId="0" applyFill="1" applyBorder="1"/>
    <xf numFmtId="0" fontId="0" fillId="0" borderId="0" xfId="0" applyFill="1" applyBorder="1" applyAlignment="1"/>
    <xf numFmtId="0" fontId="9" fillId="0" borderId="0" xfId="5" applyFont="1" applyFill="1" applyBorder="1" applyAlignment="1">
      <alignment horizontal="center" vertical="center"/>
    </xf>
    <xf numFmtId="0" fontId="24" fillId="0" borderId="0" xfId="5" applyFont="1" applyFill="1" applyBorder="1" applyAlignment="1">
      <alignment horizontal="center" vertical="center"/>
    </xf>
    <xf numFmtId="0" fontId="24" fillId="0" borderId="0" xfId="5" applyFont="1" applyFill="1" applyBorder="1" applyAlignment="1">
      <alignment vertical="center"/>
    </xf>
    <xf numFmtId="0" fontId="9" fillId="0" borderId="0" xfId="5" applyFont="1" applyFill="1" applyBorder="1" applyAlignment="1"/>
    <xf numFmtId="0" fontId="24" fillId="0" borderId="0" xfId="0" applyFont="1" applyFill="1" applyBorder="1" applyAlignment="1"/>
    <xf numFmtId="0" fontId="0" fillId="21" borderId="10" xfId="0" applyNumberFormat="1" applyFill="1" applyBorder="1" applyAlignment="1">
      <alignment vertical="center"/>
    </xf>
    <xf numFmtId="0" fontId="0" fillId="0" borderId="0" xfId="5" applyFont="1" applyFill="1" applyBorder="1" applyAlignment="1"/>
    <xf numFmtId="0" fontId="0" fillId="0" borderId="0" xfId="0" applyFont="1" applyFill="1" applyBorder="1" applyAlignment="1"/>
    <xf numFmtId="0" fontId="67" fillId="0" borderId="0" xfId="0" applyFont="1" applyFill="1" applyBorder="1"/>
    <xf numFmtId="2" fontId="7" fillId="0" borderId="0" xfId="0" applyNumberFormat="1" applyFont="1" applyFill="1" applyBorder="1" applyAlignment="1">
      <alignment horizontal="center" vertical="center"/>
    </xf>
    <xf numFmtId="2" fontId="7" fillId="0" borderId="0" xfId="0" applyNumberFormat="1" applyFont="1" applyFill="1" applyBorder="1" applyAlignment="1">
      <alignment horizontal="left" vertical="center"/>
    </xf>
    <xf numFmtId="166" fontId="32" fillId="15" borderId="0" xfId="1" applyNumberFormat="1" applyFont="1" applyFill="1" applyBorder="1"/>
    <xf numFmtId="0" fontId="0" fillId="0" borderId="6" xfId="0" applyFill="1" applyBorder="1"/>
    <xf numFmtId="164" fontId="0" fillId="21" borderId="9" xfId="1" applyNumberFormat="1" applyFont="1" applyFill="1" applyBorder="1" applyAlignment="1">
      <alignment vertical="center"/>
    </xf>
    <xf numFmtId="166" fontId="0" fillId="0" borderId="0" xfId="1" applyNumberFormat="1" applyFont="1"/>
    <xf numFmtId="0" fontId="0" fillId="19" borderId="0" xfId="0" applyFill="1"/>
    <xf numFmtId="166" fontId="9" fillId="0" borderId="0" xfId="1" applyNumberFormat="1" applyFont="1"/>
    <xf numFmtId="167" fontId="9" fillId="0" borderId="0" xfId="1" applyNumberFormat="1" applyFont="1"/>
    <xf numFmtId="164" fontId="24" fillId="18" borderId="0" xfId="0" applyNumberFormat="1" applyFont="1" applyFill="1" applyBorder="1" applyAlignment="1">
      <alignment vertical="center"/>
    </xf>
    <xf numFmtId="164" fontId="0" fillId="27" borderId="13" xfId="1" applyNumberFormat="1" applyFont="1" applyFill="1" applyBorder="1" applyAlignment="1">
      <alignment vertical="center"/>
    </xf>
    <xf numFmtId="164" fontId="0" fillId="27" borderId="9" xfId="1" applyNumberFormat="1" applyFont="1" applyFill="1" applyBorder="1" applyAlignment="1">
      <alignment vertical="center"/>
    </xf>
    <xf numFmtId="0" fontId="0" fillId="21" borderId="14" xfId="0" applyFill="1" applyBorder="1" applyAlignment="1">
      <alignment horizontal="center" vertical="center"/>
    </xf>
    <xf numFmtId="0" fontId="13" fillId="21" borderId="8" xfId="0" applyFont="1" applyFill="1" applyBorder="1" applyAlignment="1">
      <alignment horizontal="left" vertical="center"/>
    </xf>
    <xf numFmtId="0" fontId="13" fillId="21" borderId="0" xfId="0" applyFont="1" applyFill="1" applyBorder="1" applyAlignment="1">
      <alignment horizontal="right" vertical="center"/>
    </xf>
    <xf numFmtId="164" fontId="0" fillId="21" borderId="0" xfId="0" applyNumberFormat="1" applyFill="1" applyBorder="1" applyAlignment="1">
      <alignment horizontal="right"/>
    </xf>
    <xf numFmtId="0" fontId="0" fillId="21" borderId="0" xfId="1" applyNumberFormat="1" applyFont="1" applyFill="1" applyBorder="1" applyAlignment="1">
      <alignment vertical="center"/>
    </xf>
    <xf numFmtId="0" fontId="0" fillId="21" borderId="11" xfId="0" applyFill="1" applyBorder="1" applyAlignment="1">
      <alignment vertical="center"/>
    </xf>
    <xf numFmtId="0" fontId="13" fillId="21" borderId="10" xfId="0" applyFont="1" applyFill="1" applyBorder="1" applyAlignment="1">
      <alignment horizontal="right" vertical="center"/>
    </xf>
    <xf numFmtId="0" fontId="0" fillId="21" borderId="0" xfId="0" applyFill="1" applyBorder="1" applyAlignment="1">
      <alignment horizontal="left" vertical="center"/>
    </xf>
    <xf numFmtId="0" fontId="0" fillId="21" borderId="13" xfId="0" applyFill="1" applyBorder="1" applyAlignment="1">
      <alignment horizontal="left" vertical="center"/>
    </xf>
    <xf numFmtId="172" fontId="0" fillId="21" borderId="9" xfId="1" applyNumberFormat="1" applyFont="1" applyFill="1" applyBorder="1" applyAlignment="1">
      <alignment horizontal="right" vertical="center"/>
    </xf>
    <xf numFmtId="0" fontId="0" fillId="21" borderId="31" xfId="0" applyNumberFormat="1" applyFill="1" applyBorder="1" applyAlignment="1">
      <alignment vertical="center"/>
    </xf>
    <xf numFmtId="0" fontId="0" fillId="21" borderId="31" xfId="0" applyFill="1" applyBorder="1" applyAlignment="1">
      <alignment vertical="center"/>
    </xf>
    <xf numFmtId="172" fontId="0" fillId="21" borderId="0" xfId="1" applyNumberFormat="1" applyFont="1" applyFill="1" applyBorder="1" applyAlignment="1">
      <alignment horizontal="right" vertical="center"/>
    </xf>
    <xf numFmtId="172" fontId="0" fillId="21" borderId="14" xfId="1" applyNumberFormat="1" applyFont="1" applyFill="1" applyBorder="1" applyAlignment="1">
      <alignment vertical="center"/>
    </xf>
    <xf numFmtId="168" fontId="0" fillId="21" borderId="22" xfId="3" applyNumberFormat="1" applyFont="1" applyFill="1" applyBorder="1" applyAlignment="1">
      <alignment vertical="center"/>
    </xf>
    <xf numFmtId="168" fontId="0" fillId="21" borderId="20" xfId="3" applyNumberFormat="1" applyFont="1" applyFill="1" applyBorder="1" applyAlignment="1">
      <alignment vertical="center"/>
    </xf>
    <xf numFmtId="168" fontId="0" fillId="21" borderId="15" xfId="3" applyNumberFormat="1" applyFont="1" applyFill="1" applyBorder="1" applyAlignment="1">
      <alignment vertical="center"/>
    </xf>
    <xf numFmtId="168" fontId="0" fillId="21" borderId="25" xfId="3" applyNumberFormat="1" applyFont="1" applyFill="1" applyBorder="1" applyAlignment="1">
      <alignment vertical="center"/>
    </xf>
    <xf numFmtId="9" fontId="0" fillId="21" borderId="21" xfId="3" applyNumberFormat="1" applyFont="1" applyFill="1" applyBorder="1" applyAlignment="1">
      <alignment vertical="center"/>
    </xf>
    <xf numFmtId="9" fontId="0" fillId="21" borderId="23" xfId="3" applyNumberFormat="1" applyFont="1" applyFill="1" applyBorder="1" applyAlignment="1">
      <alignment vertical="center"/>
    </xf>
    <xf numFmtId="9" fontId="0" fillId="21" borderId="70" xfId="3" applyNumberFormat="1" applyFont="1" applyFill="1" applyBorder="1" applyAlignment="1">
      <alignment vertical="center"/>
    </xf>
    <xf numFmtId="0" fontId="0" fillId="21" borderId="71" xfId="0" applyNumberFormat="1" applyFill="1" applyBorder="1" applyAlignment="1">
      <alignment vertical="center"/>
    </xf>
    <xf numFmtId="9" fontId="0" fillId="21" borderId="72" xfId="3" applyNumberFormat="1" applyFont="1" applyFill="1" applyBorder="1" applyAlignment="1">
      <alignment vertical="center"/>
    </xf>
    <xf numFmtId="9" fontId="0" fillId="21" borderId="73" xfId="3" applyNumberFormat="1" applyFont="1" applyFill="1" applyBorder="1" applyAlignment="1">
      <alignment vertical="center"/>
    </xf>
    <xf numFmtId="0" fontId="61" fillId="21" borderId="6" xfId="8" applyNumberFormat="1" applyFont="1" applyFill="1" applyBorder="1"/>
    <xf numFmtId="168" fontId="0" fillId="21" borderId="21" xfId="3" applyNumberFormat="1" applyFont="1" applyFill="1" applyBorder="1" applyAlignment="1">
      <alignment vertical="center"/>
    </xf>
    <xf numFmtId="168" fontId="0" fillId="21" borderId="24" xfId="3" applyNumberFormat="1" applyFont="1" applyFill="1" applyBorder="1" applyAlignment="1">
      <alignment vertical="center"/>
    </xf>
    <xf numFmtId="0" fontId="32" fillId="21" borderId="20" xfId="0" applyNumberFormat="1" applyFont="1" applyFill="1" applyBorder="1" applyAlignment="1">
      <alignment horizontal="left" vertical="center"/>
    </xf>
    <xf numFmtId="2" fontId="0" fillId="21" borderId="0" xfId="3" applyNumberFormat="1" applyFont="1" applyFill="1" applyBorder="1" applyAlignment="1">
      <alignment vertical="center"/>
    </xf>
    <xf numFmtId="0" fontId="13" fillId="21" borderId="0" xfId="0" applyNumberFormat="1" applyFont="1" applyFill="1" applyBorder="1" applyAlignment="1">
      <alignment horizontal="left" vertical="center"/>
    </xf>
    <xf numFmtId="0" fontId="32" fillId="21" borderId="0" xfId="0" applyNumberFormat="1" applyFont="1" applyFill="1" applyBorder="1" applyAlignment="1">
      <alignment horizontal="left" vertical="center"/>
    </xf>
    <xf numFmtId="0" fontId="0" fillId="21" borderId="0" xfId="0" applyFill="1" applyBorder="1" applyAlignment="1">
      <alignment horizontal="right" vertical="center"/>
    </xf>
    <xf numFmtId="0" fontId="19" fillId="21" borderId="31" xfId="0" applyFont="1" applyFill="1" applyBorder="1"/>
    <xf numFmtId="0" fontId="0" fillId="0" borderId="0" xfId="0" applyFill="1" applyBorder="1" applyAlignment="1">
      <alignment horizontal="left"/>
    </xf>
    <xf numFmtId="189" fontId="32" fillId="21" borderId="0" xfId="1" applyNumberFormat="1" applyFont="1" applyFill="1" applyBorder="1" applyAlignment="1">
      <alignment horizontal="right" vertical="center"/>
    </xf>
    <xf numFmtId="1" fontId="13" fillId="0" borderId="0" xfId="0" applyNumberFormat="1" applyFont="1" applyFill="1" applyBorder="1" applyAlignment="1">
      <alignment horizontal="right" vertical="center"/>
    </xf>
    <xf numFmtId="179" fontId="32" fillId="0" borderId="0" xfId="1" applyNumberFormat="1" applyFont="1" applyFill="1" applyBorder="1" applyAlignment="1">
      <alignment horizontal="right" vertical="center"/>
    </xf>
    <xf numFmtId="189" fontId="32" fillId="21" borderId="13" xfId="1" applyNumberFormat="1" applyFont="1" applyFill="1" applyBorder="1" applyAlignment="1">
      <alignment horizontal="right" vertical="center"/>
    </xf>
    <xf numFmtId="0" fontId="19" fillId="21" borderId="0" xfId="0" applyFont="1" applyFill="1"/>
    <xf numFmtId="165" fontId="0" fillId="0" borderId="0" xfId="0" applyNumberFormat="1" applyFill="1" applyBorder="1"/>
    <xf numFmtId="164" fontId="19" fillId="21" borderId="0" xfId="1" applyNumberFormat="1" applyFont="1" applyFill="1" applyBorder="1" applyAlignment="1">
      <alignment vertical="center"/>
    </xf>
    <xf numFmtId="165" fontId="32" fillId="0" borderId="0" xfId="1" applyNumberFormat="1" applyFont="1" applyFill="1" applyBorder="1" applyAlignment="1">
      <alignment horizontal="right" vertical="center"/>
    </xf>
    <xf numFmtId="168" fontId="20" fillId="0" borderId="0" xfId="3" applyNumberFormat="1" applyFont="1"/>
    <xf numFmtId="188" fontId="9" fillId="0" borderId="0" xfId="1" applyNumberFormat="1" applyFont="1"/>
    <xf numFmtId="0" fontId="0" fillId="0" borderId="13" xfId="0" applyBorder="1"/>
    <xf numFmtId="0" fontId="32" fillId="27" borderId="0" xfId="0" applyFont="1" applyFill="1" applyBorder="1" applyAlignment="1">
      <alignment vertical="center"/>
    </xf>
    <xf numFmtId="180" fontId="0" fillId="27" borderId="0" xfId="0" applyNumberFormat="1" applyFill="1" applyBorder="1" applyAlignment="1">
      <alignment vertical="center"/>
    </xf>
    <xf numFmtId="180" fontId="0" fillId="27" borderId="17" xfId="0" applyNumberFormat="1" applyFill="1" applyBorder="1" applyAlignment="1">
      <alignment vertical="center"/>
    </xf>
    <xf numFmtId="0" fontId="6" fillId="0" borderId="0" xfId="6" applyAlignment="1" applyProtection="1"/>
    <xf numFmtId="0" fontId="0" fillId="18" borderId="10" xfId="0" applyFill="1" applyBorder="1" applyAlignment="1">
      <alignment vertical="center"/>
    </xf>
    <xf numFmtId="0" fontId="0" fillId="18" borderId="11" xfId="0" applyFill="1" applyBorder="1" applyAlignment="1">
      <alignment horizontal="centerContinuous" vertical="center"/>
    </xf>
    <xf numFmtId="0" fontId="0" fillId="18" borderId="12" xfId="0" applyFill="1" applyBorder="1" applyAlignment="1">
      <alignment vertical="center"/>
    </xf>
    <xf numFmtId="0" fontId="0" fillId="18" borderId="12" xfId="0" applyFill="1" applyBorder="1" applyAlignment="1">
      <alignment horizontal="center" vertical="center"/>
    </xf>
    <xf numFmtId="0" fontId="68" fillId="18" borderId="0" xfId="0" applyFont="1" applyFill="1" applyBorder="1" applyAlignment="1">
      <alignment vertical="center"/>
    </xf>
    <xf numFmtId="0" fontId="69" fillId="18" borderId="0" xfId="0" applyFont="1" applyFill="1" applyBorder="1" applyAlignment="1">
      <alignment horizontal="center" vertical="center"/>
    </xf>
    <xf numFmtId="0" fontId="0" fillId="18" borderId="0" xfId="0" applyFill="1" applyBorder="1" applyAlignment="1">
      <alignment horizontal="center" vertical="center"/>
    </xf>
    <xf numFmtId="0" fontId="0" fillId="18" borderId="13" xfId="0" applyFill="1" applyBorder="1" applyAlignment="1">
      <alignment horizontal="center" vertical="center"/>
    </xf>
    <xf numFmtId="0" fontId="0" fillId="18" borderId="18" xfId="0" applyFill="1" applyBorder="1"/>
    <xf numFmtId="170" fontId="0" fillId="21" borderId="0" xfId="3" applyNumberFormat="1" applyFont="1" applyFill="1" applyBorder="1" applyAlignment="1">
      <alignment horizontal="left" vertical="center"/>
    </xf>
    <xf numFmtId="179" fontId="0" fillId="21" borderId="0" xfId="1" applyNumberFormat="1" applyFont="1" applyFill="1" applyBorder="1" applyAlignment="1">
      <alignment vertical="center"/>
    </xf>
    <xf numFmtId="170" fontId="0" fillId="21" borderId="9" xfId="3" applyNumberFormat="1" applyFont="1" applyFill="1" applyBorder="1" applyAlignment="1">
      <alignment horizontal="left" vertical="center"/>
    </xf>
    <xf numFmtId="179" fontId="0" fillId="21" borderId="13" xfId="1" applyNumberFormat="1" applyFont="1" applyFill="1" applyBorder="1" applyAlignment="1">
      <alignment vertical="center"/>
    </xf>
    <xf numFmtId="0" fontId="0" fillId="21" borderId="0" xfId="0" quotePrefix="1" applyFont="1" applyFill="1" applyBorder="1" applyAlignment="1">
      <alignment horizontal="left"/>
    </xf>
    <xf numFmtId="0" fontId="0" fillId="21" borderId="32" xfId="0" quotePrefix="1" applyFill="1" applyBorder="1" applyAlignment="1">
      <alignment horizontal="right" vertical="center"/>
    </xf>
    <xf numFmtId="0" fontId="0" fillId="21" borderId="0" xfId="0" quotePrefix="1" applyFill="1" applyBorder="1" applyAlignment="1">
      <alignment horizontal="right" vertical="center"/>
    </xf>
    <xf numFmtId="0" fontId="0" fillId="21" borderId="7" xfId="0" quotePrefix="1" applyFill="1" applyBorder="1" applyAlignment="1">
      <alignment horizontal="right" vertical="center"/>
    </xf>
    <xf numFmtId="0" fontId="0" fillId="21" borderId="7" xfId="0" applyFill="1" applyBorder="1" applyAlignment="1">
      <alignment horizontal="right" vertical="center"/>
    </xf>
    <xf numFmtId="0" fontId="70" fillId="21" borderId="8" xfId="0" applyFont="1" applyFill="1" applyBorder="1" applyAlignment="1">
      <alignment vertical="center"/>
    </xf>
    <xf numFmtId="0" fontId="13" fillId="21" borderId="7" xfId="0" applyNumberFormat="1" applyFont="1" applyFill="1" applyBorder="1" applyAlignment="1">
      <alignment horizontal="right" vertical="center"/>
    </xf>
    <xf numFmtId="0" fontId="69" fillId="21" borderId="0" xfId="0" applyFont="1" applyFill="1" applyBorder="1" applyAlignment="1">
      <alignment vertical="center"/>
    </xf>
    <xf numFmtId="168" fontId="69" fillId="21" borderId="0" xfId="3" applyNumberFormat="1" applyFont="1" applyFill="1" applyBorder="1" applyAlignment="1">
      <alignment vertical="center"/>
    </xf>
    <xf numFmtId="168" fontId="69" fillId="21" borderId="9" xfId="3" applyNumberFormat="1" applyFont="1" applyFill="1" applyBorder="1" applyAlignment="1">
      <alignment vertical="center"/>
    </xf>
    <xf numFmtId="9" fontId="0" fillId="21" borderId="0" xfId="0" applyNumberFormat="1" applyFill="1" applyBorder="1" applyAlignment="1">
      <alignment vertical="center"/>
    </xf>
    <xf numFmtId="168" fontId="0" fillId="21" borderId="10" xfId="0" applyNumberFormat="1" applyFill="1" applyBorder="1" applyAlignment="1">
      <alignment vertical="center"/>
    </xf>
    <xf numFmtId="0" fontId="0" fillId="21" borderId="17" xfId="0" applyFill="1" applyBorder="1" applyAlignment="1">
      <alignment vertical="center"/>
    </xf>
    <xf numFmtId="0" fontId="0" fillId="21" borderId="17" xfId="0" applyFill="1" applyBorder="1" applyAlignment="1">
      <alignment horizontal="right" vertical="center"/>
    </xf>
    <xf numFmtId="0" fontId="13" fillId="21" borderId="19" xfId="0" applyFont="1" applyFill="1" applyBorder="1" applyAlignment="1">
      <alignment vertical="center"/>
    </xf>
    <xf numFmtId="0" fontId="36" fillId="21" borderId="19" xfId="0" applyFont="1" applyFill="1" applyBorder="1" applyAlignment="1">
      <alignment horizontal="center" vertical="center" wrapText="1"/>
    </xf>
    <xf numFmtId="0" fontId="13" fillId="21" borderId="26" xfId="0" applyFont="1" applyFill="1" applyBorder="1" applyAlignment="1">
      <alignment horizontal="right" vertical="center"/>
    </xf>
    <xf numFmtId="0" fontId="37" fillId="21" borderId="12" xfId="0" applyFont="1" applyFill="1" applyBorder="1" applyAlignment="1">
      <alignment horizontal="center" vertical="center" wrapText="1"/>
    </xf>
    <xf numFmtId="0" fontId="36" fillId="21" borderId="27" xfId="0" applyFont="1" applyFill="1" applyBorder="1" applyAlignment="1">
      <alignment horizontal="center" vertical="center" wrapText="1"/>
    </xf>
    <xf numFmtId="0" fontId="13" fillId="21" borderId="28" xfId="0" applyNumberFormat="1" applyFont="1" applyFill="1" applyBorder="1" applyAlignment="1">
      <alignment horizontal="right" vertical="center"/>
    </xf>
    <xf numFmtId="0" fontId="13" fillId="21" borderId="28" xfId="0" applyNumberFormat="1" applyFont="1" applyFill="1" applyBorder="1" applyAlignment="1">
      <alignment horizontal="left" vertical="center"/>
    </xf>
    <xf numFmtId="9" fontId="0" fillId="21" borderId="0" xfId="0" applyNumberFormat="1" applyFill="1" applyBorder="1"/>
    <xf numFmtId="0" fontId="17" fillId="21" borderId="18" xfId="8" applyNumberFormat="1" applyFill="1" applyBorder="1"/>
    <xf numFmtId="0" fontId="0" fillId="21" borderId="17" xfId="0" applyFill="1" applyBorder="1" applyAlignment="1">
      <alignment horizontal="right"/>
    </xf>
    <xf numFmtId="0" fontId="17" fillId="21" borderId="17" xfId="8" applyNumberFormat="1" applyFill="1" applyBorder="1"/>
    <xf numFmtId="0" fontId="17" fillId="21" borderId="29" xfId="8" applyNumberFormat="1" applyFill="1" applyBorder="1"/>
    <xf numFmtId="0" fontId="0" fillId="20" borderId="4" xfId="0" applyFill="1" applyBorder="1"/>
    <xf numFmtId="0" fontId="0" fillId="20" borderId="5" xfId="0" applyFill="1" applyBorder="1"/>
    <xf numFmtId="0" fontId="11" fillId="21" borderId="0" xfId="13" applyFont="1" applyFill="1" applyBorder="1" applyAlignment="1">
      <alignment vertical="center"/>
    </xf>
    <xf numFmtId="179" fontId="11" fillId="21" borderId="0" xfId="3" applyNumberFormat="1" applyFont="1" applyFill="1" applyBorder="1" applyAlignment="1">
      <alignment vertical="center"/>
    </xf>
    <xf numFmtId="0" fontId="25" fillId="21" borderId="0" xfId="13" applyFont="1" applyFill="1" applyBorder="1" applyAlignment="1">
      <alignment vertical="center"/>
    </xf>
    <xf numFmtId="0" fontId="25" fillId="21" borderId="0" xfId="0" applyFont="1" applyFill="1" applyBorder="1"/>
    <xf numFmtId="179" fontId="25" fillId="21" borderId="74" xfId="3" applyNumberFormat="1" applyFont="1" applyFill="1" applyBorder="1" applyAlignment="1">
      <alignment horizontal="center" vertical="center"/>
    </xf>
    <xf numFmtId="0" fontId="0" fillId="21" borderId="74" xfId="0" applyFill="1" applyBorder="1"/>
    <xf numFmtId="179" fontId="25" fillId="21" borderId="74" xfId="1" applyNumberFormat="1" applyFont="1" applyFill="1" applyBorder="1" applyAlignment="1">
      <alignment horizontal="center" vertical="center"/>
    </xf>
    <xf numFmtId="179" fontId="9" fillId="21" borderId="74" xfId="3" applyNumberFormat="1" applyFont="1" applyFill="1" applyBorder="1" applyAlignment="1">
      <alignment horizontal="center" vertical="center"/>
    </xf>
    <xf numFmtId="179" fontId="9" fillId="21" borderId="74" xfId="1" applyNumberFormat="1" applyFont="1" applyFill="1" applyBorder="1" applyAlignment="1">
      <alignment horizontal="center" vertical="center"/>
    </xf>
    <xf numFmtId="0" fontId="11" fillId="21" borderId="6" xfId="0" applyFont="1" applyFill="1" applyBorder="1"/>
    <xf numFmtId="0" fontId="11" fillId="21" borderId="75" xfId="0" applyNumberFormat="1" applyFont="1" applyFill="1" applyBorder="1" applyAlignment="1">
      <alignment vertical="center"/>
    </xf>
    <xf numFmtId="0" fontId="11" fillId="21" borderId="10" xfId="0" applyFont="1" applyFill="1" applyBorder="1" applyAlignment="1">
      <alignment vertical="center"/>
    </xf>
    <xf numFmtId="0" fontId="0" fillId="21" borderId="10" xfId="0" applyFont="1" applyFill="1" applyBorder="1" applyAlignment="1">
      <alignment vertical="center"/>
    </xf>
    <xf numFmtId="165" fontId="11" fillId="21" borderId="74" xfId="1" applyNumberFormat="1" applyFont="1" applyFill="1" applyBorder="1" applyAlignment="1">
      <alignment vertical="center"/>
    </xf>
    <xf numFmtId="165" fontId="0" fillId="21" borderId="74" xfId="1" applyNumberFormat="1" applyFont="1" applyFill="1" applyBorder="1" applyAlignment="1">
      <alignment vertical="center"/>
    </xf>
    <xf numFmtId="0" fontId="11" fillId="21" borderId="52" xfId="0" applyNumberFormat="1" applyFont="1" applyFill="1" applyBorder="1" applyAlignment="1">
      <alignment vertical="center"/>
    </xf>
    <xf numFmtId="165" fontId="71" fillId="21" borderId="74" xfId="1" applyNumberFormat="1" applyFont="1" applyFill="1" applyBorder="1"/>
    <xf numFmtId="165" fontId="11" fillId="21" borderId="74" xfId="1" applyNumberFormat="1" applyFont="1" applyFill="1" applyBorder="1"/>
    <xf numFmtId="165" fontId="0" fillId="21" borderId="74" xfId="1" applyNumberFormat="1" applyFont="1" applyFill="1" applyBorder="1"/>
    <xf numFmtId="0" fontId="0" fillId="21" borderId="76" xfId="0" applyFont="1" applyFill="1" applyBorder="1"/>
    <xf numFmtId="1" fontId="0" fillId="21" borderId="0" xfId="0" applyNumberFormat="1" applyFont="1" applyFill="1" applyBorder="1"/>
    <xf numFmtId="0" fontId="25" fillId="21" borderId="0" xfId="13" applyFont="1" applyFill="1" applyBorder="1"/>
    <xf numFmtId="0" fontId="11" fillId="21" borderId="0" xfId="13" applyFont="1" applyFill="1" applyBorder="1"/>
    <xf numFmtId="1" fontId="25" fillId="21" borderId="0" xfId="13" applyNumberFormat="1" applyFont="1" applyFill="1" applyBorder="1"/>
    <xf numFmtId="0" fontId="17" fillId="0" borderId="0" xfId="8" applyNumberFormat="1" applyFill="1"/>
    <xf numFmtId="168" fontId="9" fillId="21" borderId="0" xfId="3" applyNumberFormat="1" applyFont="1" applyFill="1" applyBorder="1" applyAlignment="1">
      <alignment vertical="center"/>
    </xf>
    <xf numFmtId="168" fontId="9" fillId="21" borderId="0" xfId="3" applyNumberFormat="1" applyFont="1" applyFill="1" applyBorder="1" applyAlignment="1">
      <alignment horizontal="right" vertical="center"/>
    </xf>
    <xf numFmtId="0" fontId="72" fillId="21" borderId="26" xfId="4" applyNumberFormat="1" applyFont="1" applyFill="1" applyBorder="1" applyAlignment="1">
      <alignment horizontal="right" vertical="center"/>
    </xf>
    <xf numFmtId="168" fontId="11" fillId="21" borderId="20" xfId="3" applyNumberFormat="1" applyFont="1" applyFill="1" applyBorder="1" applyAlignment="1">
      <alignment vertical="center"/>
    </xf>
    <xf numFmtId="168" fontId="11" fillId="21" borderId="13" xfId="3" applyNumberFormat="1" applyFont="1" applyFill="1" applyBorder="1" applyAlignment="1">
      <alignment vertical="center"/>
    </xf>
    <xf numFmtId="9" fontId="11" fillId="21" borderId="22" xfId="3" applyNumberFormat="1" applyFont="1" applyFill="1" applyBorder="1" applyAlignment="1">
      <alignment vertical="center"/>
    </xf>
    <xf numFmtId="9" fontId="11" fillId="21" borderId="20" xfId="3" applyNumberFormat="1" applyFont="1" applyFill="1" applyBorder="1" applyAlignment="1">
      <alignment vertical="center"/>
    </xf>
    <xf numFmtId="9" fontId="0" fillId="21" borderId="20" xfId="0" applyNumberFormat="1" applyFill="1" applyBorder="1" applyAlignment="1">
      <alignment vertical="center"/>
    </xf>
    <xf numFmtId="10" fontId="16" fillId="21" borderId="22" xfId="4" applyNumberFormat="1" applyFont="1" applyFill="1" applyBorder="1" applyAlignment="1">
      <alignment horizontal="right" vertical="center"/>
    </xf>
    <xf numFmtId="168" fontId="11" fillId="21" borderId="15" xfId="3" applyNumberFormat="1" applyFont="1" applyFill="1" applyBorder="1" applyAlignment="1">
      <alignment vertical="center"/>
    </xf>
    <xf numFmtId="10" fontId="16" fillId="21" borderId="15" xfId="4" applyNumberFormat="1" applyFont="1" applyFill="1" applyBorder="1" applyAlignment="1">
      <alignment horizontal="right" vertical="center"/>
    </xf>
    <xf numFmtId="168" fontId="11" fillId="21" borderId="25" xfId="3" applyNumberFormat="1" applyFont="1" applyFill="1" applyBorder="1" applyAlignment="1">
      <alignment vertical="center"/>
    </xf>
    <xf numFmtId="9" fontId="0" fillId="21" borderId="13" xfId="0" applyNumberFormat="1" applyFill="1" applyBorder="1" applyAlignment="1">
      <alignment vertical="center"/>
    </xf>
    <xf numFmtId="10" fontId="16" fillId="21" borderId="25" xfId="4" applyNumberFormat="1" applyFont="1" applyFill="1" applyBorder="1" applyAlignment="1">
      <alignment horizontal="right" vertical="center"/>
    </xf>
    <xf numFmtId="168" fontId="11" fillId="21" borderId="22" xfId="3" applyNumberFormat="1" applyFont="1" applyFill="1" applyBorder="1" applyAlignment="1">
      <alignment vertical="center"/>
    </xf>
    <xf numFmtId="0" fontId="13" fillId="0" borderId="0" xfId="0" applyFont="1" applyAlignment="1">
      <alignment horizontal="center"/>
    </xf>
    <xf numFmtId="164" fontId="32" fillId="0" borderId="0" xfId="1" applyNumberFormat="1" applyFont="1" applyAlignment="1">
      <alignment horizontal="right"/>
    </xf>
    <xf numFmtId="164" fontId="13" fillId="0" borderId="0" xfId="1" applyNumberFormat="1" applyFont="1" applyAlignment="1">
      <alignment horizontal="right"/>
    </xf>
    <xf numFmtId="164" fontId="73" fillId="0" borderId="20" xfId="1" applyNumberFormat="1" applyFont="1" applyBorder="1" applyAlignment="1">
      <alignment horizontal="right"/>
    </xf>
    <xf numFmtId="0" fontId="66" fillId="0" borderId="20" xfId="0" applyFont="1" applyBorder="1"/>
    <xf numFmtId="164" fontId="13" fillId="0" borderId="11" xfId="1" applyNumberFormat="1" applyFont="1" applyBorder="1" applyAlignment="1">
      <alignment horizontal="right"/>
    </xf>
    <xf numFmtId="174" fontId="0" fillId="0" borderId="0" xfId="0" applyNumberFormat="1" applyFont="1"/>
    <xf numFmtId="172" fontId="0" fillId="0" borderId="0" xfId="1" applyNumberFormat="1" applyFont="1"/>
    <xf numFmtId="0" fontId="13" fillId="0" borderId="0" xfId="0" applyFont="1" applyAlignment="1">
      <alignment horizontal="right"/>
    </xf>
    <xf numFmtId="0" fontId="0" fillId="0" borderId="0" xfId="0" applyAlignment="1">
      <alignment horizontal="left"/>
    </xf>
    <xf numFmtId="164" fontId="24" fillId="0" borderId="10" xfId="1" applyNumberFormat="1" applyFont="1" applyBorder="1"/>
    <xf numFmtId="164" fontId="32" fillId="18" borderId="0" xfId="1" applyNumberFormat="1" applyFont="1" applyFill="1" applyBorder="1" applyAlignment="1">
      <alignment vertical="center"/>
    </xf>
    <xf numFmtId="180" fontId="0" fillId="18" borderId="17" xfId="0" applyNumberFormat="1" applyFill="1" applyBorder="1" applyAlignment="1">
      <alignment vertical="center"/>
    </xf>
    <xf numFmtId="0" fontId="5" fillId="24" borderId="30" xfId="0" applyFont="1" applyFill="1" applyBorder="1"/>
    <xf numFmtId="0" fontId="13" fillId="24" borderId="12" xfId="0" applyFont="1" applyFill="1" applyBorder="1" applyAlignment="1">
      <alignment vertical="center"/>
    </xf>
    <xf numFmtId="0" fontId="25" fillId="24" borderId="77" xfId="0" applyFont="1" applyFill="1" applyBorder="1"/>
    <xf numFmtId="0" fontId="25" fillId="24" borderId="78" xfId="0" applyFont="1" applyFill="1" applyBorder="1"/>
    <xf numFmtId="0" fontId="25" fillId="24" borderId="79" xfId="0" applyFont="1" applyFill="1" applyBorder="1"/>
    <xf numFmtId="0" fontId="0" fillId="24" borderId="81" xfId="0" applyNumberFormat="1" applyFill="1" applyBorder="1"/>
    <xf numFmtId="0" fontId="0" fillId="24" borderId="81" xfId="0" applyFill="1" applyBorder="1"/>
    <xf numFmtId="164" fontId="0" fillId="24" borderId="81" xfId="0" applyNumberFormat="1" applyFill="1" applyBorder="1"/>
    <xf numFmtId="164" fontId="0" fillId="24" borderId="66" xfId="0" applyNumberFormat="1" applyFill="1" applyBorder="1"/>
    <xf numFmtId="0" fontId="0" fillId="24" borderId="84" xfId="0" applyNumberFormat="1" applyFill="1" applyBorder="1"/>
    <xf numFmtId="0" fontId="0" fillId="24" borderId="84" xfId="0" applyFill="1" applyBorder="1"/>
    <xf numFmtId="164" fontId="0" fillId="24" borderId="84" xfId="0" applyNumberFormat="1" applyFill="1" applyBorder="1"/>
    <xf numFmtId="0" fontId="0" fillId="24" borderId="29" xfId="0" applyFill="1" applyBorder="1"/>
    <xf numFmtId="0" fontId="74" fillId="27" borderId="10" xfId="0" applyFont="1" applyFill="1" applyBorder="1" applyAlignment="1">
      <alignment vertical="center"/>
    </xf>
    <xf numFmtId="0" fontId="0" fillId="27" borderId="10" xfId="0" applyFill="1" applyBorder="1" applyAlignment="1">
      <alignment vertical="center"/>
    </xf>
    <xf numFmtId="0" fontId="0" fillId="27" borderId="10" xfId="0" applyFont="1" applyFill="1" applyBorder="1" applyAlignment="1">
      <alignment vertical="center"/>
    </xf>
    <xf numFmtId="164" fontId="0" fillId="27" borderId="10" xfId="1" applyNumberFormat="1" applyFont="1" applyFill="1" applyBorder="1" applyAlignment="1">
      <alignment vertical="center"/>
    </xf>
    <xf numFmtId="0" fontId="0" fillId="27" borderId="13" xfId="0" applyFill="1" applyBorder="1" applyAlignment="1">
      <alignment vertical="center"/>
    </xf>
    <xf numFmtId="0" fontId="0" fillId="27" borderId="13" xfId="0" applyFont="1" applyFill="1" applyBorder="1" applyAlignment="1">
      <alignment vertical="center"/>
    </xf>
    <xf numFmtId="0" fontId="31" fillId="47" borderId="0" xfId="0" applyFont="1" applyFill="1"/>
    <xf numFmtId="0" fontId="0" fillId="48" borderId="0" xfId="0" applyFill="1"/>
    <xf numFmtId="0" fontId="3" fillId="21" borderId="0" xfId="0" applyFont="1" applyFill="1" applyBorder="1" applyAlignment="1">
      <alignment horizontal="right"/>
    </xf>
    <xf numFmtId="170" fontId="0" fillId="21" borderId="0" xfId="3" applyNumberFormat="1" applyFont="1" applyFill="1" applyBorder="1"/>
    <xf numFmtId="182" fontId="20" fillId="0" borderId="0" xfId="3" applyNumberFormat="1" applyFont="1" applyAlignment="1">
      <alignment vertical="center"/>
    </xf>
    <xf numFmtId="0" fontId="13" fillId="21" borderId="8" xfId="0" applyNumberFormat="1" applyFont="1" applyFill="1" applyBorder="1" applyAlignment="1">
      <alignment horizontal="center" vertical="center"/>
    </xf>
    <xf numFmtId="169" fontId="0" fillId="21" borderId="23" xfId="1" applyNumberFormat="1" applyFont="1" applyFill="1" applyBorder="1" applyAlignment="1">
      <alignment vertical="center"/>
    </xf>
    <xf numFmtId="0" fontId="0" fillId="21" borderId="85" xfId="0" applyFill="1" applyBorder="1"/>
    <xf numFmtId="0" fontId="0" fillId="21" borderId="86" xfId="0" applyFill="1" applyBorder="1"/>
    <xf numFmtId="0" fontId="74" fillId="21" borderId="87" xfId="0" applyFont="1" applyFill="1" applyBorder="1" applyAlignment="1">
      <alignment vertical="center"/>
    </xf>
    <xf numFmtId="0" fontId="74" fillId="21" borderId="88" xfId="0" applyFont="1" applyFill="1" applyBorder="1" applyAlignment="1">
      <alignment vertical="center"/>
    </xf>
    <xf numFmtId="0" fontId="74" fillId="21" borderId="87" xfId="0" applyNumberFormat="1" applyFont="1" applyFill="1" applyBorder="1" applyAlignment="1">
      <alignment horizontal="right" vertical="center"/>
    </xf>
    <xf numFmtId="0" fontId="74" fillId="21" borderId="8" xfId="0" applyNumberFormat="1" applyFont="1" applyFill="1" applyBorder="1" applyAlignment="1">
      <alignment horizontal="right" vertical="center"/>
    </xf>
    <xf numFmtId="0" fontId="11" fillId="21" borderId="89" xfId="0" applyNumberFormat="1" applyFont="1" applyFill="1" applyBorder="1" applyAlignment="1">
      <alignment vertical="center"/>
    </xf>
    <xf numFmtId="0" fontId="11" fillId="21" borderId="89" xfId="0" applyFont="1" applyFill="1" applyBorder="1" applyAlignment="1">
      <alignment vertical="center"/>
    </xf>
    <xf numFmtId="9" fontId="11" fillId="21" borderId="90" xfId="0" applyNumberFormat="1" applyFont="1" applyFill="1" applyBorder="1" applyAlignment="1">
      <alignment vertical="center"/>
    </xf>
    <xf numFmtId="172" fontId="11" fillId="21" borderId="57" xfId="1" applyNumberFormat="1" applyFont="1" applyFill="1" applyBorder="1" applyAlignment="1">
      <alignment vertical="center"/>
    </xf>
    <xf numFmtId="0" fontId="11" fillId="21" borderId="0" xfId="0" applyNumberFormat="1" applyFont="1" applyFill="1" applyBorder="1" applyAlignment="1">
      <alignment vertical="center"/>
    </xf>
    <xf numFmtId="1" fontId="0" fillId="0" borderId="0" xfId="0" applyNumberFormat="1" applyFill="1" applyBorder="1"/>
    <xf numFmtId="168" fontId="66" fillId="21" borderId="15" xfId="3" applyNumberFormat="1" applyFont="1" applyFill="1" applyBorder="1" applyAlignment="1">
      <alignment vertical="center"/>
    </xf>
    <xf numFmtId="168" fontId="66" fillId="21" borderId="25" xfId="3" applyNumberFormat="1" applyFont="1" applyFill="1" applyBorder="1" applyAlignment="1">
      <alignment horizontal="right" vertical="center"/>
    </xf>
    <xf numFmtId="168" fontId="66" fillId="21" borderId="13" xfId="3" applyNumberFormat="1" applyFont="1" applyFill="1" applyBorder="1" applyAlignment="1">
      <alignment horizontal="right" vertical="center"/>
    </xf>
    <xf numFmtId="1" fontId="0" fillId="21" borderId="20" xfId="1" applyNumberFormat="1" applyFont="1" applyFill="1" applyBorder="1" applyAlignment="1">
      <alignment vertical="center"/>
    </xf>
    <xf numFmtId="169" fontId="32" fillId="0" borderId="0" xfId="1" applyNumberFormat="1" applyFont="1" applyAlignment="1">
      <alignment horizontal="right"/>
    </xf>
    <xf numFmtId="0" fontId="20" fillId="0" borderId="0" xfId="0" applyFont="1" applyAlignment="1">
      <alignment horizontal="right"/>
    </xf>
    <xf numFmtId="166" fontId="13" fillId="0" borderId="0" xfId="1" applyNumberFormat="1" applyFont="1" applyAlignment="1">
      <alignment horizontal="right"/>
    </xf>
    <xf numFmtId="172" fontId="0" fillId="24" borderId="0" xfId="1" applyNumberFormat="1" applyFont="1" applyFill="1" applyBorder="1" applyAlignment="1">
      <alignment vertical="center"/>
    </xf>
    <xf numFmtId="0" fontId="0" fillId="24" borderId="0" xfId="0" applyFill="1" applyBorder="1" applyAlignment="1">
      <alignment horizontal="left" vertical="center"/>
    </xf>
    <xf numFmtId="0" fontId="0" fillId="24" borderId="91" xfId="0" applyFill="1" applyBorder="1"/>
    <xf numFmtId="0" fontId="0" fillId="24" borderId="92" xfId="0" applyFill="1" applyBorder="1"/>
    <xf numFmtId="0" fontId="0" fillId="24" borderId="92" xfId="0" applyNumberFormat="1" applyFill="1" applyBorder="1"/>
    <xf numFmtId="0" fontId="0" fillId="24" borderId="91" xfId="0" applyNumberFormat="1" applyFill="1" applyBorder="1"/>
    <xf numFmtId="0" fontId="13" fillId="27" borderId="0" xfId="0" applyFont="1" applyFill="1" applyBorder="1" applyAlignment="1">
      <alignment vertical="center"/>
    </xf>
    <xf numFmtId="0" fontId="0" fillId="49" borderId="0" xfId="0" applyFill="1"/>
    <xf numFmtId="0" fontId="0" fillId="21" borderId="0" xfId="0" applyFill="1" applyBorder="1" applyAlignment="1">
      <alignment horizontal="centerContinuous" vertical="center"/>
    </xf>
    <xf numFmtId="0" fontId="13" fillId="21" borderId="0" xfId="0" applyNumberFormat="1" applyFont="1" applyFill="1" applyBorder="1" applyAlignment="1">
      <alignment horizontal="center" vertical="center"/>
    </xf>
    <xf numFmtId="170" fontId="0" fillId="21" borderId="9" xfId="3" applyNumberFormat="1" applyFont="1" applyFill="1" applyBorder="1" applyAlignment="1">
      <alignment horizontal="right" vertical="center"/>
    </xf>
    <xf numFmtId="0" fontId="0" fillId="21" borderId="85" xfId="0" quotePrefix="1" applyFont="1" applyFill="1" applyBorder="1" applyAlignment="1">
      <alignment horizontal="right"/>
    </xf>
    <xf numFmtId="0" fontId="0" fillId="21" borderId="86" xfId="0" applyFill="1" applyBorder="1" applyAlignment="1">
      <alignment horizontal="centerContinuous"/>
    </xf>
    <xf numFmtId="0" fontId="0" fillId="21" borderId="0" xfId="0" applyFill="1" applyBorder="1" applyAlignment="1">
      <alignment horizontal="centerContinuous"/>
    </xf>
    <xf numFmtId="0" fontId="75" fillId="21" borderId="8" xfId="0" applyFont="1" applyFill="1" applyBorder="1" applyAlignment="1">
      <alignment vertical="center"/>
    </xf>
    <xf numFmtId="0" fontId="13" fillId="21" borderId="94" xfId="0" applyNumberFormat="1" applyFont="1" applyFill="1" applyBorder="1" applyAlignment="1">
      <alignment horizontal="center" vertical="center"/>
    </xf>
    <xf numFmtId="168" fontId="76" fillId="21" borderId="0" xfId="3" applyNumberFormat="1" applyFont="1" applyFill="1" applyBorder="1" applyAlignment="1">
      <alignment vertical="center"/>
    </xf>
    <xf numFmtId="168" fontId="0" fillId="0" borderId="0" xfId="3" applyNumberFormat="1" applyFont="1" applyFill="1" applyBorder="1"/>
    <xf numFmtId="168" fontId="76" fillId="21" borderId="9" xfId="3" applyNumberFormat="1" applyFont="1" applyFill="1" applyBorder="1" applyAlignment="1">
      <alignment vertical="center"/>
    </xf>
    <xf numFmtId="164" fontId="9" fillId="21" borderId="0" xfId="1" applyNumberFormat="1" applyFont="1" applyFill="1" applyBorder="1" applyAlignment="1">
      <alignment vertical="center"/>
    </xf>
    <xf numFmtId="164" fontId="9" fillId="21" borderId="85" xfId="1" applyNumberFormat="1" applyFont="1" applyFill="1" applyBorder="1" applyAlignment="1">
      <alignment vertical="center"/>
    </xf>
    <xf numFmtId="0" fontId="13" fillId="21" borderId="88" xfId="0" applyFont="1" applyFill="1" applyBorder="1" applyAlignment="1">
      <alignment vertical="center"/>
    </xf>
    <xf numFmtId="9" fontId="0" fillId="21" borderId="85" xfId="0" applyNumberFormat="1" applyFill="1" applyBorder="1" applyAlignment="1">
      <alignment vertical="center"/>
    </xf>
    <xf numFmtId="170" fontId="0" fillId="21" borderId="86" xfId="3" applyNumberFormat="1" applyFont="1" applyFill="1" applyBorder="1" applyAlignment="1">
      <alignment vertical="center"/>
    </xf>
    <xf numFmtId="182" fontId="0" fillId="21" borderId="0" xfId="3" applyNumberFormat="1" applyFont="1" applyFill="1" applyBorder="1"/>
    <xf numFmtId="9" fontId="0" fillId="21" borderId="95" xfId="0" applyNumberFormat="1" applyFill="1" applyBorder="1" applyAlignment="1">
      <alignment vertical="center"/>
    </xf>
    <xf numFmtId="170" fontId="0" fillId="21" borderId="96" xfId="3" applyNumberFormat="1" applyFont="1" applyFill="1" applyBorder="1" applyAlignment="1">
      <alignment vertical="center"/>
    </xf>
    <xf numFmtId="170" fontId="0" fillId="21" borderId="13" xfId="3" applyNumberFormat="1" applyFont="1" applyFill="1" applyBorder="1" applyAlignment="1">
      <alignment horizontal="right" vertical="center"/>
    </xf>
    <xf numFmtId="0" fontId="0" fillId="21" borderId="85" xfId="0" applyFill="1" applyBorder="1" applyAlignment="1">
      <alignment vertical="center"/>
    </xf>
    <xf numFmtId="10" fontId="0" fillId="21" borderId="86" xfId="3" applyNumberFormat="1" applyFont="1" applyFill="1" applyBorder="1" applyAlignment="1">
      <alignment vertical="center"/>
    </xf>
    <xf numFmtId="0" fontId="13" fillId="21" borderId="94" xfId="0" applyNumberFormat="1" applyFont="1" applyFill="1" applyBorder="1" applyAlignment="1">
      <alignment horizontal="right" vertical="center"/>
    </xf>
    <xf numFmtId="0" fontId="13" fillId="21" borderId="88" xfId="0" applyNumberFormat="1" applyFont="1" applyFill="1" applyBorder="1" applyAlignment="1">
      <alignment horizontal="right" vertical="center"/>
    </xf>
    <xf numFmtId="164" fontId="0" fillId="21" borderId="86" xfId="1" applyNumberFormat="1" applyFont="1" applyFill="1" applyBorder="1" applyAlignment="1">
      <alignment vertical="center"/>
    </xf>
    <xf numFmtId="164" fontId="0" fillId="21" borderId="86" xfId="1" applyNumberFormat="1" applyFont="1" applyFill="1" applyBorder="1" applyAlignment="1">
      <alignment horizontal="right" vertical="center"/>
    </xf>
    <xf numFmtId="0" fontId="0" fillId="21" borderId="97" xfId="0" applyFill="1" applyBorder="1" applyAlignment="1">
      <alignment vertical="center"/>
    </xf>
    <xf numFmtId="164" fontId="0" fillId="21" borderId="98" xfId="1" applyNumberFormat="1" applyFont="1" applyFill="1" applyBorder="1" applyAlignment="1">
      <alignment vertical="center"/>
    </xf>
    <xf numFmtId="164" fontId="0" fillId="21" borderId="97" xfId="1" applyNumberFormat="1" applyFont="1" applyFill="1" applyBorder="1" applyAlignment="1">
      <alignment horizontal="right" vertical="center"/>
    </xf>
    <xf numFmtId="164" fontId="0" fillId="21" borderId="98" xfId="1" applyNumberFormat="1" applyFont="1" applyFill="1" applyBorder="1" applyAlignment="1">
      <alignment horizontal="right" vertical="center"/>
    </xf>
    <xf numFmtId="0" fontId="9" fillId="21" borderId="85" xfId="0" applyFont="1" applyFill="1" applyBorder="1" applyAlignment="1">
      <alignment vertical="center"/>
    </xf>
    <xf numFmtId="0" fontId="0" fillId="0" borderId="0" xfId="0" applyFill="1" applyAlignment="1"/>
    <xf numFmtId="166" fontId="0" fillId="21" borderId="86" xfId="1" applyNumberFormat="1" applyFont="1" applyFill="1" applyBorder="1" applyAlignment="1">
      <alignment vertical="center"/>
    </xf>
    <xf numFmtId="0" fontId="0" fillId="21" borderId="95" xfId="0" applyFill="1" applyBorder="1" applyAlignment="1">
      <alignment vertical="center"/>
    </xf>
    <xf numFmtId="0" fontId="11" fillId="21" borderId="29" xfId="0" applyNumberFormat="1" applyFont="1" applyFill="1" applyBorder="1" applyAlignment="1">
      <alignment vertical="center"/>
    </xf>
    <xf numFmtId="0" fontId="11" fillId="21" borderId="29" xfId="0" applyFont="1" applyFill="1" applyBorder="1" applyAlignment="1">
      <alignment vertical="center"/>
    </xf>
    <xf numFmtId="9" fontId="11" fillId="21" borderId="99" xfId="0" applyNumberFormat="1" applyFont="1" applyFill="1" applyBorder="1" applyAlignment="1">
      <alignment vertical="center"/>
    </xf>
    <xf numFmtId="0" fontId="11" fillId="21" borderId="29" xfId="0" applyFont="1" applyFill="1" applyBorder="1"/>
    <xf numFmtId="0" fontId="11" fillId="21" borderId="100" xfId="0" applyFont="1" applyFill="1" applyBorder="1"/>
    <xf numFmtId="0" fontId="11" fillId="21" borderId="100" xfId="0" applyFont="1" applyFill="1" applyBorder="1" applyAlignment="1">
      <alignment vertical="center"/>
    </xf>
    <xf numFmtId="0" fontId="0" fillId="0" borderId="0" xfId="0" applyFill="1" applyBorder="1" applyAlignment="1">
      <alignment horizontal="right"/>
    </xf>
    <xf numFmtId="0" fontId="0" fillId="0" borderId="0" xfId="0" applyNumberFormat="1" applyFill="1" applyBorder="1"/>
    <xf numFmtId="165" fontId="0" fillId="21" borderId="86" xfId="1" applyNumberFormat="1" applyFont="1" applyFill="1" applyBorder="1" applyAlignment="1">
      <alignment vertical="center"/>
    </xf>
    <xf numFmtId="165" fontId="0" fillId="21" borderId="96" xfId="1" applyNumberFormat="1" applyFont="1" applyFill="1" applyBorder="1" applyAlignment="1">
      <alignment vertical="center"/>
    </xf>
    <xf numFmtId="164" fontId="0" fillId="21" borderId="96" xfId="1" applyNumberFormat="1" applyFont="1" applyFill="1" applyBorder="1" applyAlignment="1">
      <alignment vertical="center"/>
    </xf>
    <xf numFmtId="0" fontId="77" fillId="21" borderId="0" xfId="0" applyFont="1" applyFill="1" applyBorder="1"/>
    <xf numFmtId="0" fontId="16" fillId="21" borderId="0" xfId="14" applyFont="1" applyFill="1" applyBorder="1"/>
    <xf numFmtId="0" fontId="16" fillId="21" borderId="0" xfId="14" applyFont="1" applyFill="1" applyBorder="1" applyAlignment="1">
      <alignment horizontal="right"/>
    </xf>
    <xf numFmtId="0" fontId="32" fillId="21" borderId="13" xfId="0" applyFont="1" applyFill="1" applyBorder="1" applyAlignment="1">
      <alignment horizontal="right" vertical="center"/>
    </xf>
    <xf numFmtId="182" fontId="0" fillId="21" borderId="0" xfId="3" applyNumberFormat="1" applyFont="1" applyFill="1" applyBorder="1" applyAlignment="1">
      <alignment vertical="center"/>
    </xf>
    <xf numFmtId="165" fontId="0" fillId="21" borderId="22" xfId="1" applyNumberFormat="1" applyFont="1" applyFill="1" applyBorder="1" applyAlignment="1">
      <alignment vertical="center"/>
    </xf>
    <xf numFmtId="165" fontId="0" fillId="21" borderId="15" xfId="1" applyNumberFormat="1" applyFont="1" applyFill="1" applyBorder="1" applyAlignment="1">
      <alignment vertical="center"/>
    </xf>
    <xf numFmtId="182" fontId="0" fillId="21" borderId="9" xfId="3" applyNumberFormat="1" applyFont="1" applyFill="1" applyBorder="1" applyAlignment="1">
      <alignment vertical="center"/>
    </xf>
    <xf numFmtId="165" fontId="0" fillId="21" borderId="9" xfId="1" applyNumberFormat="1" applyFont="1" applyFill="1" applyBorder="1" applyAlignment="1">
      <alignment horizontal="right" vertical="center"/>
    </xf>
    <xf numFmtId="165" fontId="0" fillId="21" borderId="25" xfId="1" applyNumberFormat="1" applyFont="1" applyFill="1" applyBorder="1" applyAlignment="1">
      <alignment vertical="center"/>
    </xf>
    <xf numFmtId="165" fontId="0" fillId="21" borderId="7" xfId="0" applyNumberFormat="1" applyFill="1" applyBorder="1"/>
    <xf numFmtId="164" fontId="9" fillId="21" borderId="0" xfId="0" applyNumberFormat="1" applyFont="1" applyFill="1" applyBorder="1"/>
    <xf numFmtId="168" fontId="66" fillId="21" borderId="9" xfId="3" applyNumberFormat="1" applyFont="1" applyFill="1" applyBorder="1" applyAlignment="1">
      <alignment horizontal="right" vertical="center"/>
    </xf>
    <xf numFmtId="0" fontId="9" fillId="21" borderId="6" xfId="0" applyFont="1" applyFill="1" applyBorder="1" applyAlignment="1">
      <alignment horizontal="right"/>
    </xf>
    <xf numFmtId="10" fontId="0" fillId="0" borderId="0" xfId="3" applyNumberFormat="1" applyFont="1"/>
    <xf numFmtId="0" fontId="9" fillId="0" borderId="0" xfId="0" applyFont="1" applyAlignment="1">
      <alignment horizontal="right" vertical="center"/>
    </xf>
    <xf numFmtId="164" fontId="9" fillId="0" borderId="36" xfId="1" applyNumberFormat="1" applyFont="1" applyBorder="1" applyAlignment="1">
      <alignment vertical="center"/>
    </xf>
    <xf numFmtId="10" fontId="9" fillId="0" borderId="0" xfId="3" applyNumberFormat="1" applyFont="1"/>
    <xf numFmtId="164" fontId="9" fillId="0" borderId="36" xfId="1" applyNumberFormat="1" applyFont="1" applyBorder="1"/>
    <xf numFmtId="164" fontId="0" fillId="0" borderId="0" xfId="1" applyNumberFormat="1" applyFont="1" applyBorder="1"/>
    <xf numFmtId="179" fontId="0" fillId="0" borderId="0" xfId="0" applyNumberFormat="1" applyFont="1"/>
    <xf numFmtId="179" fontId="0" fillId="0" borderId="0" xfId="1" applyNumberFormat="1" applyFont="1"/>
    <xf numFmtId="10" fontId="24" fillId="0" borderId="0" xfId="3" applyNumberFormat="1" applyFont="1"/>
    <xf numFmtId="0" fontId="25" fillId="0" borderId="0" xfId="0" applyFont="1" applyFill="1" applyBorder="1"/>
    <xf numFmtId="179" fontId="11" fillId="0" borderId="0" xfId="0" applyNumberFormat="1" applyFont="1" applyFill="1" applyBorder="1" applyAlignment="1">
      <alignment horizontal="right"/>
    </xf>
    <xf numFmtId="0" fontId="78" fillId="0" borderId="0" xfId="0" applyFont="1" applyAlignment="1">
      <alignment horizontal="right"/>
    </xf>
    <xf numFmtId="10" fontId="20" fillId="0" borderId="0" xfId="3" applyNumberFormat="1" applyFont="1"/>
    <xf numFmtId="0" fontId="32" fillId="24" borderId="0" xfId="0" applyFont="1" applyFill="1" applyBorder="1" applyAlignment="1">
      <alignment horizontal="left" vertical="center"/>
    </xf>
    <xf numFmtId="164" fontId="32" fillId="24" borderId="0" xfId="0" applyNumberFormat="1" applyFont="1" applyFill="1" applyBorder="1" applyAlignment="1">
      <alignment vertical="center"/>
    </xf>
    <xf numFmtId="164" fontId="0" fillId="24" borderId="103" xfId="0" applyNumberFormat="1" applyFont="1" applyFill="1" applyBorder="1"/>
    <xf numFmtId="164" fontId="0" fillId="24" borderId="91" xfId="0" applyNumberFormat="1" applyFont="1" applyFill="1" applyBorder="1"/>
    <xf numFmtId="0" fontId="0" fillId="24" borderId="104" xfId="0" applyFill="1" applyBorder="1"/>
    <xf numFmtId="0" fontId="0" fillId="24" borderId="104" xfId="0" applyNumberFormat="1" applyFill="1" applyBorder="1"/>
    <xf numFmtId="164" fontId="0" fillId="24" borderId="104" xfId="0" applyNumberFormat="1" applyFill="1" applyBorder="1"/>
    <xf numFmtId="0" fontId="0" fillId="24" borderId="105" xfId="0" applyFill="1" applyBorder="1"/>
    <xf numFmtId="0" fontId="0" fillId="24" borderId="105" xfId="0" applyNumberFormat="1" applyFill="1" applyBorder="1"/>
    <xf numFmtId="164" fontId="0" fillId="24" borderId="105" xfId="0" applyNumberFormat="1" applyFill="1" applyBorder="1"/>
    <xf numFmtId="165" fontId="11" fillId="21" borderId="21" xfId="1" applyNumberFormat="1" applyFont="1" applyFill="1" applyBorder="1" applyAlignment="1">
      <alignment vertical="center"/>
    </xf>
    <xf numFmtId="165" fontId="11" fillId="21" borderId="23" xfId="1" applyNumberFormat="1" applyFont="1" applyFill="1" applyBorder="1" applyAlignment="1">
      <alignment vertical="center"/>
    </xf>
    <xf numFmtId="165" fontId="11" fillId="21" borderId="24" xfId="1" applyNumberFormat="1" applyFont="1" applyFill="1" applyBorder="1" applyAlignment="1">
      <alignment vertical="center"/>
    </xf>
    <xf numFmtId="0" fontId="9" fillId="21" borderId="0" xfId="0" applyFont="1" applyFill="1" applyBorder="1" applyAlignment="1">
      <alignment horizontal="left"/>
    </xf>
    <xf numFmtId="10" fontId="79" fillId="21" borderId="0" xfId="3" applyNumberFormat="1" applyFont="1" applyFill="1" applyBorder="1" applyAlignment="1">
      <alignment vertical="center"/>
    </xf>
    <xf numFmtId="10" fontId="11" fillId="21" borderId="15" xfId="3" applyNumberFormat="1" applyFont="1" applyFill="1" applyBorder="1" applyAlignment="1">
      <alignment vertical="center"/>
    </xf>
    <xf numFmtId="10" fontId="11" fillId="21" borderId="0" xfId="3" applyNumberFormat="1" applyFont="1" applyFill="1" applyBorder="1" applyAlignment="1">
      <alignment vertical="center"/>
    </xf>
    <xf numFmtId="10" fontId="11" fillId="21" borderId="15" xfId="3" applyNumberFormat="1" applyFont="1" applyFill="1" applyBorder="1" applyAlignment="1">
      <alignment horizontal="right" vertical="center"/>
    </xf>
    <xf numFmtId="10" fontId="11" fillId="21" borderId="0" xfId="3" applyNumberFormat="1" applyFont="1" applyFill="1" applyBorder="1" applyAlignment="1">
      <alignment horizontal="right" vertical="center"/>
    </xf>
    <xf numFmtId="0" fontId="0" fillId="21" borderId="9" xfId="0" applyNumberFormat="1" applyFill="1" applyBorder="1" applyAlignment="1">
      <alignment horizontal="right" vertical="center"/>
    </xf>
    <xf numFmtId="10" fontId="79" fillId="21" borderId="9" xfId="3" applyNumberFormat="1" applyFont="1" applyFill="1" applyBorder="1" applyAlignment="1">
      <alignment vertical="center"/>
    </xf>
    <xf numFmtId="10" fontId="11" fillId="21" borderId="16" xfId="3" applyNumberFormat="1" applyFont="1" applyFill="1" applyBorder="1" applyAlignment="1">
      <alignment horizontal="right" vertical="center"/>
    </xf>
    <xf numFmtId="10" fontId="11" fillId="21" borderId="9" xfId="3" applyNumberFormat="1" applyFont="1" applyFill="1" applyBorder="1" applyAlignment="1">
      <alignment horizontal="right" vertical="center"/>
    </xf>
    <xf numFmtId="191" fontId="9" fillId="21" borderId="0" xfId="3" applyNumberFormat="1" applyFont="1" applyFill="1" applyBorder="1" applyAlignment="1">
      <alignment vertical="center"/>
    </xf>
    <xf numFmtId="168" fontId="9" fillId="21" borderId="0" xfId="3" applyNumberFormat="1" applyFont="1" applyFill="1" applyBorder="1" applyAlignment="1">
      <alignment horizontal="left" vertical="center"/>
    </xf>
    <xf numFmtId="166" fontId="79" fillId="21" borderId="0" xfId="1" applyNumberFormat="1" applyFont="1" applyFill="1" applyBorder="1" applyAlignment="1">
      <alignment vertical="center"/>
    </xf>
    <xf numFmtId="166" fontId="11" fillId="21" borderId="15" xfId="1" applyNumberFormat="1" applyFont="1" applyFill="1" applyBorder="1" applyAlignment="1">
      <alignment vertical="center"/>
    </xf>
    <xf numFmtId="166" fontId="11" fillId="21" borderId="0" xfId="1" applyNumberFormat="1" applyFont="1" applyFill="1" applyBorder="1" applyAlignment="1">
      <alignment vertical="center"/>
    </xf>
    <xf numFmtId="166" fontId="11" fillId="21" borderId="15" xfId="1" applyNumberFormat="1" applyFont="1" applyFill="1" applyBorder="1" applyAlignment="1">
      <alignment horizontal="right" vertical="center"/>
    </xf>
    <xf numFmtId="164" fontId="11" fillId="21" borderId="0" xfId="1" applyNumberFormat="1" applyFont="1" applyFill="1" applyBorder="1" applyAlignment="1">
      <alignment horizontal="right" vertical="center"/>
    </xf>
    <xf numFmtId="164" fontId="11" fillId="21" borderId="0" xfId="1" applyNumberFormat="1" applyFont="1" applyFill="1" applyBorder="1" applyAlignment="1">
      <alignment vertical="center"/>
    </xf>
    <xf numFmtId="172" fontId="11" fillId="21" borderId="15" xfId="1" applyNumberFormat="1" applyFont="1" applyFill="1" applyBorder="1" applyAlignment="1">
      <alignment horizontal="right" vertical="center"/>
    </xf>
    <xf numFmtId="172" fontId="11" fillId="21" borderId="0" xfId="1" applyNumberFormat="1" applyFont="1" applyFill="1" applyBorder="1" applyAlignment="1">
      <alignment horizontal="right" vertical="center"/>
    </xf>
    <xf numFmtId="166" fontId="79" fillId="21" borderId="9" xfId="1" applyNumberFormat="1" applyFont="1" applyFill="1" applyBorder="1" applyAlignment="1">
      <alignment vertical="center"/>
    </xf>
    <xf numFmtId="166" fontId="11" fillId="21" borderId="16" xfId="1" applyNumberFormat="1" applyFont="1" applyFill="1" applyBorder="1" applyAlignment="1">
      <alignment horizontal="right" vertical="center"/>
    </xf>
    <xf numFmtId="166" fontId="11" fillId="21" borderId="9" xfId="1" applyNumberFormat="1" applyFont="1" applyFill="1" applyBorder="1" applyAlignment="1">
      <alignment horizontal="right" vertical="center"/>
    </xf>
    <xf numFmtId="0" fontId="61" fillId="21" borderId="106" xfId="8" applyNumberFormat="1" applyFont="1" applyFill="1" applyBorder="1"/>
    <xf numFmtId="0" fontId="0" fillId="21" borderId="107" xfId="0" applyNumberFormat="1" applyFill="1" applyBorder="1" applyAlignment="1">
      <alignment vertical="center"/>
    </xf>
    <xf numFmtId="0" fontId="9" fillId="21" borderId="107" xfId="0" applyFont="1" applyFill="1" applyBorder="1" applyAlignment="1">
      <alignment vertical="center"/>
    </xf>
    <xf numFmtId="0" fontId="0" fillId="21" borderId="107" xfId="0" applyFill="1" applyBorder="1" applyAlignment="1">
      <alignment vertical="center"/>
    </xf>
    <xf numFmtId="168" fontId="9" fillId="21" borderId="107" xfId="3" applyNumberFormat="1" applyFont="1" applyFill="1" applyBorder="1" applyAlignment="1">
      <alignment vertical="center"/>
    </xf>
    <xf numFmtId="168" fontId="9" fillId="21" borderId="107" xfId="3" applyNumberFormat="1" applyFont="1" applyFill="1" applyBorder="1" applyAlignment="1">
      <alignment horizontal="right" vertical="center"/>
    </xf>
    <xf numFmtId="169" fontId="0" fillId="21" borderId="107" xfId="1" applyNumberFormat="1" applyFont="1" applyFill="1" applyBorder="1" applyAlignment="1">
      <alignment horizontal="right" vertical="center"/>
    </xf>
    <xf numFmtId="0" fontId="17" fillId="21" borderId="108" xfId="8" applyNumberFormat="1" applyFill="1" applyBorder="1"/>
    <xf numFmtId="0" fontId="0" fillId="21" borderId="12" xfId="0" applyFill="1" applyBorder="1" applyAlignment="1">
      <alignment vertical="center"/>
    </xf>
    <xf numFmtId="9" fontId="0" fillId="21" borderId="12" xfId="0" applyNumberFormat="1" applyFill="1" applyBorder="1" applyAlignment="1">
      <alignment vertical="center"/>
    </xf>
    <xf numFmtId="168" fontId="11" fillId="21" borderId="12" xfId="3" applyNumberFormat="1" applyFont="1" applyFill="1" applyBorder="1" applyAlignment="1">
      <alignment vertical="center"/>
    </xf>
    <xf numFmtId="0" fontId="61" fillId="21" borderId="18" xfId="8" applyNumberFormat="1" applyFont="1" applyFill="1" applyBorder="1"/>
    <xf numFmtId="9" fontId="0" fillId="21" borderId="17" xfId="0" applyNumberFormat="1" applyFill="1" applyBorder="1" applyAlignment="1">
      <alignment vertical="center"/>
    </xf>
    <xf numFmtId="168" fontId="11" fillId="21" borderId="17" xfId="3" applyNumberFormat="1" applyFont="1" applyFill="1" applyBorder="1" applyAlignment="1">
      <alignment vertical="center"/>
    </xf>
    <xf numFmtId="0" fontId="61" fillId="21" borderId="30" xfId="8" applyNumberFormat="1" applyFont="1" applyFill="1" applyBorder="1"/>
    <xf numFmtId="0" fontId="0" fillId="21" borderId="109" xfId="0" applyFill="1" applyBorder="1" applyAlignment="1">
      <alignment vertical="center"/>
    </xf>
    <xf numFmtId="9" fontId="0" fillId="21" borderId="109" xfId="0" applyNumberFormat="1" applyFill="1" applyBorder="1" applyAlignment="1">
      <alignment vertical="center"/>
    </xf>
    <xf numFmtId="168" fontId="11" fillId="21" borderId="109" xfId="3" applyNumberFormat="1" applyFont="1" applyFill="1" applyBorder="1" applyAlignment="1">
      <alignment vertical="center"/>
    </xf>
    <xf numFmtId="168" fontId="11" fillId="21" borderId="31" xfId="3" applyNumberFormat="1" applyFont="1" applyFill="1" applyBorder="1" applyAlignment="1">
      <alignment vertical="center"/>
    </xf>
    <xf numFmtId="9" fontId="0" fillId="21" borderId="57" xfId="0" applyNumberFormat="1" applyFill="1" applyBorder="1" applyAlignment="1">
      <alignment vertical="center"/>
    </xf>
    <xf numFmtId="168" fontId="11" fillId="21" borderId="57" xfId="3" applyNumberFormat="1" applyFont="1" applyFill="1" applyBorder="1" applyAlignment="1">
      <alignment vertical="center"/>
    </xf>
    <xf numFmtId="168" fontId="80" fillId="21" borderId="20" xfId="3" applyNumberFormat="1" applyFont="1" applyFill="1" applyBorder="1" applyAlignment="1">
      <alignment vertical="center"/>
    </xf>
    <xf numFmtId="165" fontId="79" fillId="21" borderId="0" xfId="1" applyNumberFormat="1" applyFont="1" applyFill="1" applyBorder="1" applyAlignment="1">
      <alignment vertical="center"/>
    </xf>
    <xf numFmtId="165" fontId="11" fillId="21" borderId="0" xfId="1" applyNumberFormat="1" applyFont="1" applyFill="1" applyBorder="1" applyAlignment="1">
      <alignment vertical="center"/>
    </xf>
    <xf numFmtId="165" fontId="11" fillId="21" borderId="0" xfId="1" applyNumberFormat="1" applyFont="1" applyFill="1" applyBorder="1" applyAlignment="1">
      <alignment horizontal="right" vertical="center"/>
    </xf>
    <xf numFmtId="165" fontId="79" fillId="21" borderId="9" xfId="1" applyNumberFormat="1" applyFont="1" applyFill="1" applyBorder="1" applyAlignment="1">
      <alignment vertical="center"/>
    </xf>
    <xf numFmtId="165" fontId="32" fillId="21" borderId="0" xfId="0" applyNumberFormat="1" applyFont="1" applyFill="1" applyBorder="1" applyAlignment="1">
      <alignment horizontal="right" vertical="center"/>
    </xf>
    <xf numFmtId="165" fontId="66" fillId="21" borderId="0" xfId="1" applyNumberFormat="1" applyFont="1" applyFill="1" applyBorder="1" applyAlignment="1">
      <alignment vertical="center"/>
    </xf>
    <xf numFmtId="165" fontId="66" fillId="21" borderId="0" xfId="1" applyNumberFormat="1" applyFont="1" applyFill="1" applyBorder="1"/>
    <xf numFmtId="165" fontId="66" fillId="21" borderId="0" xfId="1" applyNumberFormat="1" applyFont="1" applyFill="1" applyBorder="1" applyAlignment="1">
      <alignment horizontal="right" vertical="center"/>
    </xf>
    <xf numFmtId="165" fontId="11" fillId="21" borderId="13" xfId="1" applyNumberFormat="1" applyFont="1" applyFill="1" applyBorder="1" applyAlignment="1">
      <alignment vertical="center"/>
    </xf>
    <xf numFmtId="165" fontId="66" fillId="21" borderId="13" xfId="1" applyNumberFormat="1" applyFont="1" applyFill="1" applyBorder="1" applyAlignment="1">
      <alignment horizontal="right" vertical="center"/>
    </xf>
    <xf numFmtId="165" fontId="66" fillId="21" borderId="13" xfId="1" applyNumberFormat="1" applyFont="1" applyFill="1" applyBorder="1"/>
    <xf numFmtId="166" fontId="11" fillId="21" borderId="20" xfId="1" applyNumberFormat="1" applyFont="1" applyFill="1" applyBorder="1" applyAlignment="1">
      <alignment vertical="center"/>
    </xf>
    <xf numFmtId="168" fontId="79" fillId="21" borderId="0" xfId="3" applyNumberFormat="1" applyFont="1" applyFill="1" applyBorder="1" applyAlignment="1">
      <alignment horizontal="right" vertical="center"/>
    </xf>
    <xf numFmtId="166" fontId="66" fillId="21" borderId="20" xfId="1" applyNumberFormat="1" applyFont="1" applyFill="1" applyBorder="1" applyAlignment="1">
      <alignment vertical="center"/>
    </xf>
    <xf numFmtId="166" fontId="66" fillId="21" borderId="0" xfId="1" applyNumberFormat="1" applyFont="1" applyFill="1" applyBorder="1" applyAlignment="1">
      <alignment vertical="center"/>
    </xf>
    <xf numFmtId="166" fontId="11" fillId="21" borderId="57" xfId="1" applyNumberFormat="1" applyFont="1" applyFill="1" applyBorder="1" applyAlignment="1">
      <alignment vertical="center"/>
    </xf>
    <xf numFmtId="170" fontId="79" fillId="21" borderId="0" xfId="3" applyNumberFormat="1" applyFont="1" applyFill="1" applyBorder="1" applyAlignment="1">
      <alignment vertical="center"/>
    </xf>
    <xf numFmtId="170" fontId="79" fillId="21" borderId="20" xfId="3" applyNumberFormat="1" applyFont="1" applyFill="1" applyBorder="1" applyAlignment="1">
      <alignment horizontal="right" vertical="center"/>
    </xf>
    <xf numFmtId="168" fontId="79" fillId="21" borderId="24" xfId="3" applyNumberFormat="1" applyFont="1" applyFill="1" applyBorder="1" applyAlignment="1">
      <alignment horizontal="right" vertical="center"/>
    </xf>
    <xf numFmtId="166" fontId="11" fillId="21" borderId="13" xfId="1" applyNumberFormat="1" applyFont="1" applyFill="1" applyBorder="1" applyAlignment="1">
      <alignment vertical="center"/>
    </xf>
    <xf numFmtId="0" fontId="74" fillId="21" borderId="12" xfId="0" applyFont="1" applyFill="1" applyBorder="1" applyAlignment="1">
      <alignment vertical="center"/>
    </xf>
    <xf numFmtId="0" fontId="74" fillId="21" borderId="110" xfId="0" applyFont="1" applyFill="1" applyBorder="1" applyAlignment="1">
      <alignment vertical="center"/>
    </xf>
    <xf numFmtId="0" fontId="74" fillId="21" borderId="12" xfId="0" applyNumberFormat="1" applyFont="1" applyFill="1" applyBorder="1" applyAlignment="1">
      <alignment horizontal="right" vertical="center"/>
    </xf>
    <xf numFmtId="9" fontId="11" fillId="21" borderId="85" xfId="0" applyNumberFormat="1" applyFont="1" applyFill="1" applyBorder="1" applyAlignment="1">
      <alignment vertical="center"/>
    </xf>
    <xf numFmtId="0" fontId="11" fillId="21" borderId="89" xfId="0" applyFont="1" applyFill="1" applyBorder="1"/>
    <xf numFmtId="191" fontId="11" fillId="21" borderId="89" xfId="3" applyNumberFormat="1" applyFont="1" applyFill="1" applyBorder="1" applyAlignment="1">
      <alignment vertical="center"/>
    </xf>
    <xf numFmtId="0" fontId="17" fillId="21" borderId="0" xfId="8" applyNumberFormat="1" applyFill="1"/>
    <xf numFmtId="0" fontId="13" fillId="21" borderId="10" xfId="0" applyFont="1" applyFill="1" applyBorder="1" applyAlignment="1">
      <alignment vertical="center"/>
    </xf>
    <xf numFmtId="0" fontId="32" fillId="21" borderId="19" xfId="0" applyNumberFormat="1" applyFont="1" applyFill="1" applyBorder="1" applyAlignment="1">
      <alignment horizontal="right" vertical="center"/>
    </xf>
    <xf numFmtId="0" fontId="0" fillId="21" borderId="11" xfId="0" applyFill="1" applyBorder="1" applyAlignment="1">
      <alignment horizontal="center" vertical="center"/>
    </xf>
    <xf numFmtId="165" fontId="0" fillId="21" borderId="11" xfId="1" applyNumberFormat="1" applyFont="1" applyFill="1" applyBorder="1" applyAlignment="1">
      <alignment vertical="center"/>
    </xf>
    <xf numFmtId="165" fontId="0" fillId="21" borderId="10" xfId="1" applyNumberFormat="1" applyFont="1" applyFill="1" applyBorder="1" applyAlignment="1">
      <alignment vertical="center"/>
    </xf>
    <xf numFmtId="0" fontId="81" fillId="0" borderId="0" xfId="8" applyNumberFormat="1" applyFont="1"/>
    <xf numFmtId="0" fontId="8" fillId="21" borderId="6" xfId="0" applyFont="1" applyFill="1" applyBorder="1"/>
    <xf numFmtId="170" fontId="11" fillId="21" borderId="0" xfId="3" applyNumberFormat="1" applyFont="1" applyFill="1" applyBorder="1" applyAlignment="1">
      <alignment vertical="center"/>
    </xf>
    <xf numFmtId="170" fontId="66" fillId="21" borderId="0" xfId="3" applyNumberFormat="1" applyFont="1" applyFill="1" applyBorder="1" applyAlignment="1">
      <alignment vertical="center"/>
    </xf>
    <xf numFmtId="170" fontId="66" fillId="21" borderId="0" xfId="3" applyNumberFormat="1" applyFont="1" applyFill="1" applyBorder="1"/>
    <xf numFmtId="170" fontId="11" fillId="21" borderId="0" xfId="3" applyNumberFormat="1" applyFont="1" applyFill="1" applyBorder="1"/>
    <xf numFmtId="170" fontId="66" fillId="21" borderId="0" xfId="3" applyNumberFormat="1" applyFont="1" applyFill="1" applyBorder="1" applyAlignment="1">
      <alignment horizontal="right" vertical="center"/>
    </xf>
    <xf numFmtId="170" fontId="11" fillId="21" borderId="9" xfId="3" applyNumberFormat="1" applyFont="1" applyFill="1" applyBorder="1" applyAlignment="1">
      <alignment vertical="center"/>
    </xf>
    <xf numFmtId="170" fontId="66" fillId="21" borderId="9" xfId="3" applyNumberFormat="1" applyFont="1" applyFill="1" applyBorder="1" applyAlignment="1">
      <alignment horizontal="right" vertical="center"/>
    </xf>
    <xf numFmtId="170" fontId="11" fillId="21" borderId="9" xfId="3" applyNumberFormat="1" applyFont="1" applyFill="1" applyBorder="1" applyAlignment="1">
      <alignment horizontal="right" vertical="center"/>
    </xf>
    <xf numFmtId="166" fontId="66" fillId="21" borderId="0" xfId="1" applyNumberFormat="1" applyFont="1" applyFill="1" applyBorder="1"/>
    <xf numFmtId="164" fontId="11" fillId="21" borderId="9" xfId="1" applyNumberFormat="1" applyFont="1" applyFill="1" applyBorder="1" applyAlignment="1">
      <alignment vertical="center"/>
    </xf>
    <xf numFmtId="164" fontId="11" fillId="21" borderId="13" xfId="1" applyNumberFormat="1" applyFont="1" applyFill="1" applyBorder="1" applyAlignment="1">
      <alignment vertical="center"/>
    </xf>
    <xf numFmtId="166" fontId="66" fillId="21" borderId="0" xfId="1" applyNumberFormat="1" applyFont="1" applyFill="1" applyBorder="1" applyAlignment="1">
      <alignment horizontal="right" vertical="center"/>
    </xf>
    <xf numFmtId="172" fontId="66" fillId="21" borderId="0" xfId="1" applyNumberFormat="1" applyFont="1" applyFill="1" applyBorder="1" applyAlignment="1">
      <alignment horizontal="right" vertical="center"/>
    </xf>
    <xf numFmtId="172" fontId="66" fillId="21" borderId="0" xfId="1" applyNumberFormat="1" applyFont="1" applyFill="1" applyBorder="1"/>
    <xf numFmtId="164" fontId="66" fillId="21" borderId="9" xfId="1" applyNumberFormat="1" applyFont="1" applyFill="1" applyBorder="1" applyAlignment="1">
      <alignment horizontal="right" vertical="center"/>
    </xf>
    <xf numFmtId="166" fontId="11" fillId="21" borderId="20" xfId="1" applyNumberFormat="1" applyFont="1" applyFill="1" applyBorder="1" applyAlignment="1">
      <alignment horizontal="right" vertical="center"/>
    </xf>
    <xf numFmtId="166" fontId="11" fillId="21" borderId="0" xfId="1" applyNumberFormat="1" applyFont="1" applyFill="1" applyBorder="1" applyAlignment="1">
      <alignment horizontal="right" vertical="center"/>
    </xf>
    <xf numFmtId="166" fontId="11" fillId="21" borderId="57" xfId="1" applyNumberFormat="1" applyFont="1" applyFill="1" applyBorder="1" applyAlignment="1">
      <alignment horizontal="right" vertical="center"/>
    </xf>
    <xf numFmtId="166" fontId="11" fillId="21" borderId="13" xfId="1" applyNumberFormat="1" applyFont="1" applyFill="1" applyBorder="1" applyAlignment="1">
      <alignment horizontal="right" vertical="center"/>
    </xf>
    <xf numFmtId="165" fontId="0" fillId="21" borderId="0" xfId="1" applyNumberFormat="1" applyFont="1" applyFill="1" applyBorder="1" applyAlignment="1">
      <alignment horizontal="right"/>
    </xf>
    <xf numFmtId="165" fontId="9" fillId="21" borderId="11" xfId="1" applyNumberFormat="1" applyFont="1" applyFill="1" applyBorder="1"/>
    <xf numFmtId="165" fontId="0" fillId="21" borderId="11" xfId="1" applyNumberFormat="1" applyFont="1" applyFill="1" applyBorder="1"/>
    <xf numFmtId="0" fontId="9" fillId="21" borderId="11" xfId="0" applyFont="1" applyFill="1" applyBorder="1" applyAlignment="1">
      <alignment horizontal="right"/>
    </xf>
    <xf numFmtId="0" fontId="13" fillId="21" borderId="11" xfId="0" applyFont="1" applyFill="1" applyBorder="1" applyAlignment="1">
      <alignment horizontal="right"/>
    </xf>
    <xf numFmtId="165" fontId="32" fillId="21" borderId="11" xfId="1" applyNumberFormat="1" applyFont="1" applyFill="1" applyBorder="1" applyAlignment="1">
      <alignment horizontal="right"/>
    </xf>
    <xf numFmtId="1" fontId="32" fillId="21" borderId="11" xfId="1" applyNumberFormat="1" applyFont="1" applyFill="1" applyBorder="1" applyAlignment="1">
      <alignment horizontal="right"/>
    </xf>
    <xf numFmtId="165" fontId="11" fillId="21" borderId="10" xfId="1" applyNumberFormat="1" applyFont="1" applyFill="1" applyBorder="1" applyAlignment="1">
      <alignment vertical="center"/>
    </xf>
    <xf numFmtId="165" fontId="32" fillId="21" borderId="10" xfId="1" applyNumberFormat="1" applyFont="1" applyFill="1" applyBorder="1" applyAlignment="1">
      <alignment horizontal="right"/>
    </xf>
    <xf numFmtId="1" fontId="11" fillId="21" borderId="10" xfId="1" applyNumberFormat="1" applyFont="1" applyFill="1" applyBorder="1" applyAlignment="1">
      <alignment vertical="center"/>
    </xf>
    <xf numFmtId="165" fontId="32" fillId="21" borderId="0" xfId="1" applyNumberFormat="1" applyFont="1" applyFill="1" applyBorder="1" applyAlignment="1">
      <alignment horizontal="right"/>
    </xf>
    <xf numFmtId="1" fontId="11" fillId="21" borderId="0" xfId="1" applyNumberFormat="1" applyFont="1" applyFill="1" applyBorder="1" applyAlignment="1">
      <alignment vertical="center"/>
    </xf>
    <xf numFmtId="165" fontId="32" fillId="21" borderId="13" xfId="1" applyNumberFormat="1" applyFont="1" applyFill="1" applyBorder="1" applyAlignment="1">
      <alignment horizontal="right"/>
    </xf>
    <xf numFmtId="1" fontId="11" fillId="21" borderId="13" xfId="1" applyNumberFormat="1" applyFont="1" applyFill="1" applyBorder="1" applyAlignment="1">
      <alignment vertical="center"/>
    </xf>
    <xf numFmtId="165" fontId="11" fillId="21" borderId="11" xfId="1" applyNumberFormat="1" applyFont="1" applyFill="1" applyBorder="1" applyAlignment="1">
      <alignment vertical="center"/>
    </xf>
    <xf numFmtId="1" fontId="11" fillId="21" borderId="11" xfId="1" applyNumberFormat="1" applyFont="1" applyFill="1" applyBorder="1" applyAlignment="1">
      <alignment vertical="center"/>
    </xf>
    <xf numFmtId="1" fontId="0" fillId="21" borderId="0" xfId="1" applyNumberFormat="1" applyFont="1" applyFill="1" applyBorder="1" applyAlignment="1">
      <alignment horizontal="right"/>
    </xf>
    <xf numFmtId="165" fontId="9" fillId="21" borderId="10" xfId="1" applyNumberFormat="1" applyFont="1" applyFill="1" applyBorder="1"/>
    <xf numFmtId="0" fontId="9" fillId="21" borderId="10" xfId="0" applyFont="1" applyFill="1" applyBorder="1" applyAlignment="1">
      <alignment horizontal="right"/>
    </xf>
    <xf numFmtId="0" fontId="13" fillId="21" borderId="10" xfId="0" applyFont="1" applyFill="1" applyBorder="1" applyAlignment="1">
      <alignment horizontal="right"/>
    </xf>
    <xf numFmtId="1" fontId="13" fillId="21" borderId="10" xfId="0" applyNumberFormat="1" applyFont="1" applyFill="1" applyBorder="1" applyAlignment="1">
      <alignment horizontal="right"/>
    </xf>
    <xf numFmtId="179" fontId="0" fillId="21" borderId="10" xfId="0" applyNumberFormat="1" applyFill="1" applyBorder="1"/>
    <xf numFmtId="1" fontId="32" fillId="21" borderId="10" xfId="1" applyNumberFormat="1" applyFont="1" applyFill="1" applyBorder="1" applyAlignment="1">
      <alignment horizontal="right"/>
    </xf>
    <xf numFmtId="179" fontId="0" fillId="21" borderId="0" xfId="0" applyNumberFormat="1" applyFill="1" applyBorder="1"/>
    <xf numFmtId="179" fontId="0" fillId="21" borderId="13" xfId="0" applyNumberFormat="1" applyFill="1" applyBorder="1"/>
    <xf numFmtId="165" fontId="41" fillId="21" borderId="10" xfId="1" applyNumberFormat="1" applyFont="1" applyFill="1" applyBorder="1" applyAlignment="1">
      <alignment horizontal="right"/>
    </xf>
    <xf numFmtId="165" fontId="41" fillId="21" borderId="0" xfId="1" applyNumberFormat="1" applyFont="1" applyFill="1" applyBorder="1" applyAlignment="1">
      <alignment horizontal="right"/>
    </xf>
    <xf numFmtId="179" fontId="0" fillId="21" borderId="11" xfId="0" applyNumberFormat="1" applyFill="1" applyBorder="1"/>
    <xf numFmtId="165" fontId="41" fillId="21" borderId="11" xfId="1" applyNumberFormat="1" applyFont="1" applyFill="1" applyBorder="1" applyAlignment="1">
      <alignment horizontal="right"/>
    </xf>
    <xf numFmtId="165" fontId="0" fillId="21" borderId="0" xfId="1" applyNumberFormat="1" applyFont="1" applyFill="1" applyBorder="1" applyAlignment="1">
      <alignment horizontal="center"/>
    </xf>
    <xf numFmtId="165" fontId="0" fillId="21" borderId="0" xfId="1" applyNumberFormat="1" applyFont="1" applyFill="1" applyBorder="1" applyAlignment="1"/>
    <xf numFmtId="1" fontId="13" fillId="21" borderId="11" xfId="0" applyNumberFormat="1" applyFont="1" applyFill="1" applyBorder="1" applyAlignment="1">
      <alignment horizontal="right"/>
    </xf>
    <xf numFmtId="1" fontId="0" fillId="21" borderId="10" xfId="0" applyNumberFormat="1" applyFill="1" applyBorder="1"/>
    <xf numFmtId="1" fontId="0" fillId="21" borderId="0" xfId="0" applyNumberFormat="1" applyFill="1" applyBorder="1"/>
    <xf numFmtId="1" fontId="0" fillId="21" borderId="11" xfId="0" applyNumberFormat="1" applyFill="1" applyBorder="1"/>
    <xf numFmtId="165" fontId="9" fillId="21" borderId="0" xfId="1" applyNumberFormat="1" applyFont="1" applyFill="1" applyBorder="1"/>
    <xf numFmtId="2" fontId="0" fillId="21" borderId="0" xfId="1" applyNumberFormat="1" applyFont="1" applyFill="1" applyBorder="1"/>
    <xf numFmtId="2" fontId="0" fillId="21" borderId="0" xfId="1" applyNumberFormat="1" applyFont="1" applyFill="1" applyBorder="1" applyAlignment="1">
      <alignment horizontal="right"/>
    </xf>
    <xf numFmtId="2" fontId="13" fillId="21" borderId="10" xfId="0" applyNumberFormat="1" applyFont="1" applyFill="1" applyBorder="1" applyAlignment="1">
      <alignment horizontal="right"/>
    </xf>
    <xf numFmtId="2" fontId="0" fillId="21" borderId="11" xfId="0" applyNumberFormat="1" applyFill="1" applyBorder="1"/>
    <xf numFmtId="2" fontId="0" fillId="21" borderId="10" xfId="0" applyNumberFormat="1" applyFill="1" applyBorder="1"/>
    <xf numFmtId="2" fontId="0" fillId="21" borderId="0" xfId="0" applyNumberFormat="1" applyFill="1" applyBorder="1"/>
    <xf numFmtId="2" fontId="0" fillId="21" borderId="13" xfId="0" applyNumberFormat="1" applyFill="1" applyBorder="1"/>
    <xf numFmtId="2" fontId="0" fillId="21" borderId="0" xfId="0" applyNumberFormat="1" applyFill="1"/>
    <xf numFmtId="0" fontId="6" fillId="21" borderId="0" xfId="6" applyFill="1" applyBorder="1" applyAlignment="1" applyProtection="1"/>
    <xf numFmtId="165" fontId="32" fillId="0" borderId="0" xfId="1" applyNumberFormat="1" applyFont="1" applyAlignment="1">
      <alignment horizontal="right"/>
    </xf>
    <xf numFmtId="0" fontId="0" fillId="0" borderId="0" xfId="0" applyFill="1" applyAlignment="1">
      <alignment horizontal="right"/>
    </xf>
    <xf numFmtId="165" fontId="13" fillId="0" borderId="0" xfId="1" applyNumberFormat="1" applyFont="1" applyAlignment="1">
      <alignment horizontal="right"/>
    </xf>
    <xf numFmtId="0" fontId="14" fillId="0" borderId="0" xfId="0" applyFont="1" applyAlignment="1">
      <alignment horizontal="right"/>
    </xf>
    <xf numFmtId="168" fontId="32" fillId="0" borderId="0" xfId="3" applyNumberFormat="1" applyFont="1" applyAlignment="1">
      <alignment horizontal="right"/>
    </xf>
    <xf numFmtId="0" fontId="0" fillId="0" borderId="0" xfId="0" quotePrefix="1" applyFont="1"/>
    <xf numFmtId="166" fontId="32" fillId="0" borderId="0" xfId="1" applyNumberFormat="1" applyFont="1" applyAlignment="1">
      <alignment horizontal="right"/>
    </xf>
    <xf numFmtId="9" fontId="0" fillId="0" borderId="0" xfId="0" applyNumberFormat="1"/>
    <xf numFmtId="165" fontId="73" fillId="0" borderId="20" xfId="1" applyNumberFormat="1" applyFont="1" applyBorder="1" applyAlignment="1">
      <alignment horizontal="right"/>
    </xf>
    <xf numFmtId="172" fontId="32" fillId="0" borderId="0" xfId="1" applyNumberFormat="1" applyFont="1" applyAlignment="1">
      <alignment horizontal="right"/>
    </xf>
    <xf numFmtId="0" fontId="13" fillId="0" borderId="0" xfId="0" applyFont="1" applyFill="1" applyAlignment="1">
      <alignment horizontal="center"/>
    </xf>
    <xf numFmtId="0" fontId="9" fillId="0" borderId="0" xfId="0" quotePrefix="1" applyFont="1" applyFill="1"/>
    <xf numFmtId="0" fontId="0" fillId="0" borderId="0" xfId="0" applyFont="1" applyFill="1" applyAlignment="1">
      <alignment horizontal="right"/>
    </xf>
    <xf numFmtId="0" fontId="0" fillId="0" borderId="0" xfId="0" applyFill="1" applyAlignment="1">
      <alignment horizontal="left"/>
    </xf>
    <xf numFmtId="164" fontId="13" fillId="0" borderId="0" xfId="1" applyNumberFormat="1" applyFont="1" applyFill="1" applyAlignment="1">
      <alignment horizontal="right"/>
    </xf>
    <xf numFmtId="17" fontId="13" fillId="0" borderId="0" xfId="0" applyNumberFormat="1" applyFont="1" applyFill="1" applyAlignment="1">
      <alignment horizontal="center"/>
    </xf>
    <xf numFmtId="0" fontId="0" fillId="0" borderId="0" xfId="0" applyFont="1" applyFill="1" applyAlignment="1">
      <alignment horizontal="left"/>
    </xf>
    <xf numFmtId="165" fontId="32" fillId="0" borderId="0" xfId="1" applyNumberFormat="1" applyFont="1" applyFill="1" applyAlignment="1">
      <alignment horizontal="right"/>
    </xf>
    <xf numFmtId="166" fontId="32" fillId="0" borderId="0" xfId="1" applyNumberFormat="1" applyFont="1" applyFill="1" applyAlignment="1">
      <alignment horizontal="right"/>
    </xf>
    <xf numFmtId="0" fontId="3" fillId="0" borderId="0" xfId="0" applyFont="1" applyFill="1" applyAlignment="1">
      <alignment horizontal="left"/>
    </xf>
    <xf numFmtId="164" fontId="13" fillId="0" borderId="0" xfId="1" applyNumberFormat="1" applyFont="1" applyAlignment="1">
      <alignment horizontal="left"/>
    </xf>
    <xf numFmtId="0" fontId="0" fillId="0" borderId="0" xfId="0" quotePrefix="1" applyFont="1" applyAlignment="1">
      <alignment horizontal="right"/>
    </xf>
    <xf numFmtId="164" fontId="13" fillId="0" borderId="0" xfId="1" applyNumberFormat="1" applyFont="1" applyBorder="1" applyAlignment="1">
      <alignment horizontal="right"/>
    </xf>
    <xf numFmtId="0" fontId="5" fillId="0" borderId="0" xfId="0" applyFont="1" applyFill="1"/>
    <xf numFmtId="165" fontId="0" fillId="27" borderId="10" xfId="1" applyNumberFormat="1" applyFont="1" applyFill="1" applyBorder="1" applyAlignment="1">
      <alignment vertical="center"/>
    </xf>
    <xf numFmtId="0" fontId="0" fillId="47" borderId="0" xfId="0" applyFill="1"/>
    <xf numFmtId="0" fontId="9" fillId="48" borderId="0" xfId="0" applyFont="1" applyFill="1"/>
    <xf numFmtId="0" fontId="11" fillId="48" borderId="111" xfId="0" applyFont="1" applyFill="1" applyBorder="1"/>
    <xf numFmtId="0" fontId="11" fillId="48" borderId="112" xfId="0" applyFont="1" applyFill="1" applyBorder="1"/>
    <xf numFmtId="0" fontId="0" fillId="48" borderId="113" xfId="0" applyFill="1" applyBorder="1"/>
    <xf numFmtId="0" fontId="0" fillId="48" borderId="114" xfId="0" applyNumberFormat="1" applyFill="1" applyBorder="1"/>
    <xf numFmtId="0" fontId="0" fillId="48" borderId="114" xfId="0" applyFill="1" applyBorder="1"/>
    <xf numFmtId="164" fontId="11" fillId="48" borderId="114" xfId="0" applyNumberFormat="1" applyFont="1" applyFill="1" applyBorder="1"/>
    <xf numFmtId="0" fontId="0" fillId="48" borderId="115" xfId="0" applyFill="1" applyBorder="1"/>
    <xf numFmtId="0" fontId="0" fillId="48" borderId="116" xfId="0" applyNumberFormat="1" applyFill="1" applyBorder="1"/>
    <xf numFmtId="0" fontId="11" fillId="48" borderId="0" xfId="0" applyFont="1" applyFill="1"/>
    <xf numFmtId="0" fontId="25" fillId="48" borderId="0" xfId="0" applyFont="1" applyFill="1"/>
    <xf numFmtId="0" fontId="11" fillId="48" borderId="113" xfId="0" applyFont="1" applyFill="1" applyBorder="1"/>
    <xf numFmtId="0" fontId="11" fillId="48" borderId="114" xfId="0" applyNumberFormat="1" applyFont="1" applyFill="1" applyBorder="1"/>
    <xf numFmtId="0" fontId="11" fillId="48" borderId="115" xfId="0" applyFont="1" applyFill="1" applyBorder="1"/>
    <xf numFmtId="0" fontId="11" fillId="48" borderId="116" xfId="0" applyNumberFormat="1" applyFont="1" applyFill="1" applyBorder="1"/>
    <xf numFmtId="0" fontId="11" fillId="48" borderId="114" xfId="0" applyFont="1" applyFill="1" applyBorder="1"/>
    <xf numFmtId="0" fontId="82" fillId="0" borderId="0" xfId="0" applyFont="1"/>
    <xf numFmtId="179" fontId="83" fillId="21" borderId="0" xfId="1" applyNumberFormat="1" applyFont="1" applyFill="1" applyBorder="1" applyAlignment="1">
      <alignment vertical="center"/>
    </xf>
    <xf numFmtId="179" fontId="83" fillId="21" borderId="13" xfId="1" applyNumberFormat="1" applyFont="1" applyFill="1" applyBorder="1" applyAlignment="1">
      <alignment vertical="center"/>
    </xf>
    <xf numFmtId="0" fontId="0" fillId="21" borderId="0" xfId="0" applyNumberFormat="1" applyFill="1" applyBorder="1" applyAlignment="1">
      <alignment horizontal="right"/>
    </xf>
    <xf numFmtId="0" fontId="83" fillId="21" borderId="0" xfId="1" applyNumberFormat="1" applyFont="1" applyFill="1" applyBorder="1" applyAlignment="1">
      <alignment vertical="center"/>
    </xf>
    <xf numFmtId="0" fontId="10" fillId="21" borderId="0" xfId="1" applyNumberFormat="1" applyFont="1" applyFill="1" applyBorder="1" applyAlignment="1">
      <alignment vertical="center"/>
    </xf>
    <xf numFmtId="0" fontId="10" fillId="21" borderId="0" xfId="1" applyNumberFormat="1" applyFont="1" applyFill="1" applyBorder="1" applyAlignment="1">
      <alignment horizontal="right" vertical="center"/>
    </xf>
    <xf numFmtId="0" fontId="83" fillId="21" borderId="13" xfId="1" applyNumberFormat="1" applyFont="1" applyFill="1" applyBorder="1" applyAlignment="1">
      <alignment vertical="center"/>
    </xf>
    <xf numFmtId="0" fontId="24" fillId="21" borderId="9" xfId="1" applyNumberFormat="1" applyFont="1" applyFill="1" applyBorder="1" applyAlignment="1">
      <alignment horizontal="right" vertical="center"/>
    </xf>
    <xf numFmtId="192" fontId="83" fillId="21" borderId="0" xfId="1" applyNumberFormat="1" applyFont="1" applyFill="1" applyBorder="1" applyAlignment="1">
      <alignment vertical="center"/>
    </xf>
    <xf numFmtId="192" fontId="83" fillId="21" borderId="13" xfId="1" applyNumberFormat="1" applyFont="1" applyFill="1" applyBorder="1" applyAlignment="1">
      <alignment vertical="center"/>
    </xf>
    <xf numFmtId="0" fontId="0" fillId="21" borderId="0" xfId="1" applyNumberFormat="1" applyFont="1" applyFill="1" applyBorder="1" applyAlignment="1">
      <alignment horizontal="right" vertical="center"/>
    </xf>
    <xf numFmtId="0" fontId="0" fillId="0" borderId="31" xfId="0" applyBorder="1"/>
    <xf numFmtId="0" fontId="5" fillId="21" borderId="30" xfId="0" applyFont="1" applyFill="1" applyBorder="1"/>
    <xf numFmtId="0" fontId="0" fillId="21" borderId="31" xfId="0" applyFill="1" applyBorder="1" applyAlignment="1">
      <alignment horizontal="right" vertical="center"/>
    </xf>
    <xf numFmtId="164" fontId="83" fillId="21" borderId="0" xfId="1" applyNumberFormat="1" applyFont="1" applyFill="1" applyBorder="1" applyAlignment="1">
      <alignment vertical="center"/>
    </xf>
    <xf numFmtId="164" fontId="83" fillId="21" borderId="0" xfId="1" applyNumberFormat="1" applyFont="1" applyFill="1" applyBorder="1" applyAlignment="1">
      <alignment horizontal="right" vertical="center"/>
    </xf>
    <xf numFmtId="164" fontId="83" fillId="21" borderId="9" xfId="1" applyNumberFormat="1" applyFont="1" applyFill="1" applyBorder="1" applyAlignment="1">
      <alignment horizontal="right" vertical="center"/>
    </xf>
    <xf numFmtId="166" fontId="83" fillId="21" borderId="0" xfId="1" applyNumberFormat="1" applyFont="1" applyFill="1" applyBorder="1" applyAlignment="1">
      <alignment vertical="center"/>
    </xf>
    <xf numFmtId="166" fontId="83" fillId="21" borderId="0" xfId="1" applyNumberFormat="1" applyFont="1" applyFill="1" applyBorder="1" applyAlignment="1">
      <alignment horizontal="right" vertical="center"/>
    </xf>
    <xf numFmtId="166" fontId="83" fillId="21" borderId="9" xfId="1" applyNumberFormat="1" applyFont="1" applyFill="1" applyBorder="1" applyAlignment="1">
      <alignment horizontal="right" vertical="center"/>
    </xf>
    <xf numFmtId="166" fontId="66" fillId="21" borderId="9" xfId="1" applyNumberFormat="1" applyFont="1" applyFill="1" applyBorder="1" applyAlignment="1">
      <alignment horizontal="right" vertical="center"/>
    </xf>
    <xf numFmtId="164" fontId="11" fillId="21" borderId="13" xfId="1" applyNumberFormat="1" applyFont="1" applyFill="1" applyBorder="1" applyAlignment="1">
      <alignment horizontal="right" vertical="center"/>
    </xf>
    <xf numFmtId="166" fontId="83" fillId="21" borderId="21" xfId="1" applyNumberFormat="1" applyFont="1" applyFill="1" applyBorder="1" applyAlignment="1">
      <alignment vertical="center"/>
    </xf>
    <xf numFmtId="166" fontId="0" fillId="21" borderId="20" xfId="1" applyNumberFormat="1" applyFont="1" applyFill="1" applyBorder="1" applyAlignment="1">
      <alignment vertical="center"/>
    </xf>
    <xf numFmtId="170" fontId="14" fillId="0" borderId="0" xfId="3" applyNumberFormat="1" applyFont="1"/>
    <xf numFmtId="164" fontId="83" fillId="21" borderId="24" xfId="1" applyNumberFormat="1" applyFont="1" applyFill="1" applyBorder="1" applyAlignment="1">
      <alignment vertical="center"/>
    </xf>
    <xf numFmtId="0" fontId="74" fillId="21" borderId="8" xfId="0" applyFont="1" applyFill="1" applyBorder="1" applyAlignment="1">
      <alignment vertical="center"/>
    </xf>
    <xf numFmtId="0" fontId="32" fillId="21" borderId="11" xfId="0" applyNumberFormat="1" applyFont="1" applyFill="1" applyBorder="1" applyAlignment="1">
      <alignment horizontal="left" vertical="center"/>
    </xf>
    <xf numFmtId="165" fontId="0" fillId="21" borderId="10" xfId="1" applyNumberFormat="1" applyFont="1" applyFill="1" applyBorder="1" applyAlignment="1">
      <alignment horizontal="left" vertical="center"/>
    </xf>
    <xf numFmtId="165" fontId="0" fillId="21" borderId="0" xfId="1" applyNumberFormat="1" applyFont="1" applyFill="1" applyBorder="1" applyAlignment="1">
      <alignment horizontal="left" vertical="center"/>
    </xf>
    <xf numFmtId="165" fontId="0" fillId="21" borderId="13" xfId="1" applyNumberFormat="1" applyFont="1" applyFill="1" applyBorder="1" applyAlignment="1">
      <alignment horizontal="left" vertical="center"/>
    </xf>
    <xf numFmtId="165" fontId="9" fillId="21" borderId="0" xfId="1" applyNumberFormat="1" applyFont="1" applyFill="1" applyBorder="1" applyAlignment="1">
      <alignment horizontal="right"/>
    </xf>
    <xf numFmtId="165" fontId="9" fillId="21" borderId="56" xfId="1" applyNumberFormat="1" applyFont="1" applyFill="1" applyBorder="1"/>
    <xf numFmtId="0" fontId="13" fillId="21" borderId="56" xfId="0" applyFont="1" applyFill="1" applyBorder="1" applyAlignment="1">
      <alignment horizontal="right"/>
    </xf>
    <xf numFmtId="165" fontId="0" fillId="21" borderId="56" xfId="1" applyNumberFormat="1" applyFont="1" applyFill="1" applyBorder="1"/>
    <xf numFmtId="0" fontId="0" fillId="0" borderId="0" xfId="0" applyFill="1" applyAlignment="1">
      <alignment horizontal="left" indent="1"/>
    </xf>
    <xf numFmtId="165" fontId="32" fillId="0" borderId="0" xfId="1" applyNumberFormat="1" applyFont="1" applyFill="1" applyBorder="1" applyAlignment="1">
      <alignment horizontal="right"/>
    </xf>
    <xf numFmtId="165" fontId="11" fillId="0" borderId="0" xfId="1" applyNumberFormat="1" applyFont="1" applyFill="1" applyBorder="1" applyAlignment="1">
      <alignment vertical="center"/>
    </xf>
    <xf numFmtId="165" fontId="0" fillId="0" borderId="0" xfId="1" applyNumberFormat="1" applyFont="1" applyFill="1" applyBorder="1"/>
    <xf numFmtId="165" fontId="0" fillId="0" borderId="0" xfId="1" applyNumberFormat="1" applyFont="1" applyFill="1" applyBorder="1" applyAlignment="1">
      <alignment horizontal="right"/>
    </xf>
    <xf numFmtId="0" fontId="13" fillId="0" borderId="0" xfId="0" applyFont="1" applyFill="1" applyBorder="1" applyAlignment="1">
      <alignment horizontal="right"/>
    </xf>
    <xf numFmtId="11" fontId="32" fillId="0" borderId="0" xfId="1" applyNumberFormat="1" applyFont="1" applyAlignment="1">
      <alignment horizontal="right"/>
    </xf>
    <xf numFmtId="169" fontId="84" fillId="0" borderId="0" xfId="1" applyNumberFormat="1" applyFont="1" applyAlignment="1">
      <alignment horizontal="right"/>
    </xf>
    <xf numFmtId="164" fontId="84" fillId="0" borderId="0" xfId="1" applyNumberFormat="1" applyFont="1" applyAlignment="1">
      <alignment horizontal="right"/>
    </xf>
    <xf numFmtId="0" fontId="20" fillId="0" borderId="0" xfId="0" applyFont="1" applyFill="1" applyBorder="1"/>
    <xf numFmtId="166" fontId="84" fillId="0" borderId="0" xfId="1" applyNumberFormat="1" applyFont="1" applyAlignment="1">
      <alignment horizontal="right"/>
    </xf>
    <xf numFmtId="0" fontId="20" fillId="0" borderId="0" xfId="0" applyFont="1" applyFill="1" applyBorder="1" applyAlignment="1">
      <alignment vertical="center"/>
    </xf>
    <xf numFmtId="0" fontId="0" fillId="0" borderId="20" xfId="0" applyFill="1" applyBorder="1" applyAlignment="1">
      <alignment vertical="center"/>
    </xf>
    <xf numFmtId="0" fontId="0" fillId="0" borderId="12" xfId="0" applyFill="1" applyBorder="1" applyAlignment="1">
      <alignment vertical="center"/>
    </xf>
    <xf numFmtId="2" fontId="32" fillId="0" borderId="0" xfId="0" applyNumberFormat="1" applyFont="1" applyFill="1" applyAlignment="1">
      <alignment horizontal="center"/>
    </xf>
    <xf numFmtId="2" fontId="32" fillId="0" borderId="0" xfId="1" applyNumberFormat="1" applyFont="1" applyAlignment="1">
      <alignment horizontal="right"/>
    </xf>
    <xf numFmtId="1" fontId="32" fillId="0" borderId="0" xfId="0" applyNumberFormat="1" applyFont="1" applyFill="1" applyAlignment="1">
      <alignment horizontal="center"/>
    </xf>
    <xf numFmtId="164" fontId="32" fillId="0" borderId="0" xfId="1" applyNumberFormat="1" applyFont="1" applyFill="1" applyAlignment="1">
      <alignment horizontal="right"/>
    </xf>
    <xf numFmtId="3" fontId="32" fillId="0" borderId="0" xfId="1" applyNumberFormat="1" applyFont="1" applyFill="1" applyAlignment="1">
      <alignment horizontal="right"/>
    </xf>
    <xf numFmtId="1" fontId="24" fillId="0" borderId="0" xfId="1" applyNumberFormat="1" applyFont="1"/>
    <xf numFmtId="1" fontId="0" fillId="0" borderId="0" xfId="0" applyNumberFormat="1" applyAlignment="1">
      <alignment vertical="center"/>
    </xf>
    <xf numFmtId="0" fontId="26" fillId="0" borderId="0" xfId="0" applyFont="1" applyFill="1" applyBorder="1"/>
    <xf numFmtId="166" fontId="0" fillId="0" borderId="0" xfId="0" applyNumberFormat="1"/>
    <xf numFmtId="0" fontId="0" fillId="0" borderId="0" xfId="0" applyBorder="1" applyAlignment="1">
      <alignment horizontal="right"/>
    </xf>
    <xf numFmtId="165" fontId="0" fillId="21" borderId="14" xfId="1" applyNumberFormat="1" applyFont="1" applyFill="1" applyBorder="1" applyAlignment="1">
      <alignment vertical="center"/>
    </xf>
    <xf numFmtId="11" fontId="0" fillId="21" borderId="0" xfId="1" applyNumberFormat="1" applyFont="1" applyFill="1" applyBorder="1" applyAlignment="1">
      <alignment vertical="center"/>
    </xf>
    <xf numFmtId="0" fontId="11" fillId="21" borderId="57" xfId="0" applyNumberFormat="1" applyFont="1" applyFill="1" applyBorder="1" applyAlignment="1">
      <alignment vertical="center"/>
    </xf>
    <xf numFmtId="0" fontId="11" fillId="21" borderId="57" xfId="0" applyFont="1" applyFill="1" applyBorder="1" applyAlignment="1">
      <alignment vertical="center"/>
    </xf>
    <xf numFmtId="0" fontId="0" fillId="0" borderId="11" xfId="0" applyBorder="1"/>
    <xf numFmtId="0" fontId="11" fillId="0" borderId="0" xfId="0" applyFont="1" applyFill="1" applyBorder="1"/>
    <xf numFmtId="0" fontId="32" fillId="20" borderId="4" xfId="0" applyFont="1" applyFill="1" applyBorder="1" applyAlignment="1">
      <alignment vertical="center"/>
    </xf>
    <xf numFmtId="0" fontId="9" fillId="21" borderId="0" xfId="0" applyFont="1" applyFill="1" applyBorder="1" applyAlignment="1">
      <alignment horizontal="center"/>
    </xf>
    <xf numFmtId="0" fontId="0" fillId="21" borderId="20" xfId="0" applyNumberFormat="1" applyFill="1" applyBorder="1" applyAlignment="1">
      <alignment horizontal="left" vertical="center"/>
    </xf>
    <xf numFmtId="11" fontId="13" fillId="0" borderId="0" xfId="1" applyNumberFormat="1" applyFont="1" applyAlignment="1">
      <alignment horizontal="right"/>
    </xf>
    <xf numFmtId="165" fontId="0" fillId="27" borderId="9" xfId="1" applyNumberFormat="1" applyFont="1" applyFill="1" applyBorder="1" applyAlignment="1">
      <alignment vertical="center"/>
    </xf>
    <xf numFmtId="0" fontId="0" fillId="48" borderId="0" xfId="0" applyFill="1" applyBorder="1" applyAlignment="1">
      <alignment horizontal="right"/>
    </xf>
    <xf numFmtId="0" fontId="11" fillId="48" borderId="34" xfId="0" applyFont="1" applyFill="1" applyBorder="1"/>
    <xf numFmtId="0" fontId="11" fillId="48" borderId="117" xfId="0" applyFont="1" applyFill="1" applyBorder="1"/>
    <xf numFmtId="0" fontId="11" fillId="48" borderId="118" xfId="0" applyFont="1" applyFill="1" applyBorder="1"/>
    <xf numFmtId="0" fontId="5" fillId="48" borderId="6" xfId="0" applyFont="1" applyFill="1" applyBorder="1"/>
    <xf numFmtId="0" fontId="0" fillId="48" borderId="0" xfId="0" applyFill="1" applyBorder="1" applyAlignment="1">
      <alignment vertical="center"/>
    </xf>
    <xf numFmtId="164" fontId="0" fillId="48" borderId="0" xfId="1" applyNumberFormat="1" applyFont="1" applyFill="1" applyBorder="1" applyAlignment="1">
      <alignment vertical="center"/>
    </xf>
    <xf numFmtId="0" fontId="0" fillId="48" borderId="7" xfId="0" applyFill="1" applyBorder="1"/>
    <xf numFmtId="164" fontId="0" fillId="48" borderId="0" xfId="0" applyNumberFormat="1" applyFont="1" applyFill="1" applyBorder="1" applyAlignment="1">
      <alignment vertical="center"/>
    </xf>
    <xf numFmtId="0" fontId="41" fillId="18" borderId="0" xfId="0" applyFont="1" applyFill="1" applyBorder="1" applyAlignment="1">
      <alignment vertical="center"/>
    </xf>
    <xf numFmtId="165" fontId="46" fillId="18" borderId="0" xfId="1" applyNumberFormat="1" applyFont="1" applyFill="1" applyBorder="1" applyAlignment="1">
      <alignment vertical="center"/>
    </xf>
    <xf numFmtId="166" fontId="46" fillId="18" borderId="0" xfId="1" applyNumberFormat="1" applyFont="1" applyFill="1" applyBorder="1" applyAlignment="1">
      <alignment vertical="center"/>
    </xf>
    <xf numFmtId="164" fontId="41" fillId="18" borderId="0" xfId="1" applyNumberFormat="1" applyFont="1" applyFill="1" applyBorder="1" applyAlignment="1">
      <alignment vertical="center"/>
    </xf>
    <xf numFmtId="166" fontId="41" fillId="18" borderId="0" xfId="1" applyNumberFormat="1" applyFont="1" applyFill="1" applyBorder="1" applyAlignment="1">
      <alignment vertical="center"/>
    </xf>
    <xf numFmtId="0" fontId="46" fillId="18" borderId="0" xfId="0" applyNumberFormat="1" applyFont="1" applyFill="1" applyBorder="1" applyAlignment="1">
      <alignment vertical="center"/>
    </xf>
    <xf numFmtId="0" fontId="46" fillId="18" borderId="0" xfId="0" applyFont="1" applyFill="1" applyBorder="1" applyAlignment="1">
      <alignment horizontal="right"/>
    </xf>
    <xf numFmtId="169" fontId="0" fillId="21" borderId="24" xfId="1" applyNumberFormat="1" applyFont="1" applyFill="1" applyBorder="1" applyAlignment="1">
      <alignment vertical="center"/>
    </xf>
    <xf numFmtId="0" fontId="22" fillId="21" borderId="6" xfId="0" applyFont="1" applyFill="1" applyBorder="1"/>
    <xf numFmtId="0" fontId="17" fillId="21" borderId="17" xfId="8" applyNumberFormat="1" applyFill="1" applyBorder="1" applyAlignment="1">
      <alignment horizontal="right"/>
    </xf>
    <xf numFmtId="0" fontId="9" fillId="21" borderId="11" xfId="0" applyFont="1" applyFill="1" applyBorder="1" applyAlignment="1">
      <alignment horizontal="center" vertical="center"/>
    </xf>
    <xf numFmtId="0" fontId="0" fillId="21" borderId="10" xfId="0" applyFont="1" applyFill="1" applyBorder="1" applyAlignment="1">
      <alignment horizontal="center" vertical="center"/>
    </xf>
    <xf numFmtId="165" fontId="0" fillId="21" borderId="10" xfId="1" applyNumberFormat="1" applyFont="1" applyFill="1" applyBorder="1" applyAlignment="1">
      <alignment horizontal="center" vertical="center"/>
    </xf>
    <xf numFmtId="1" fontId="32" fillId="15" borderId="10" xfId="5" applyNumberFormat="1" applyFont="1" applyBorder="1"/>
    <xf numFmtId="165" fontId="0" fillId="21" borderId="0" xfId="1" applyNumberFormat="1" applyFont="1" applyFill="1" applyBorder="1" applyAlignment="1">
      <alignment horizontal="center" vertical="center"/>
    </xf>
    <xf numFmtId="1" fontId="32" fillId="15" borderId="0" xfId="5" applyNumberFormat="1" applyFont="1" applyBorder="1"/>
    <xf numFmtId="0" fontId="0" fillId="21" borderId="13" xfId="0" quotePrefix="1" applyFill="1" applyBorder="1" applyAlignment="1">
      <alignment horizontal="center" vertical="center"/>
    </xf>
    <xf numFmtId="165" fontId="0" fillId="21" borderId="13" xfId="1" applyNumberFormat="1" applyFont="1" applyFill="1" applyBorder="1" applyAlignment="1">
      <alignment horizontal="center" vertical="center"/>
    </xf>
    <xf numFmtId="1" fontId="32" fillId="15" borderId="13" xfId="5" applyNumberFormat="1" applyFont="1" applyBorder="1"/>
    <xf numFmtId="2" fontId="0" fillId="21" borderId="57" xfId="3" applyNumberFormat="1" applyFont="1" applyFill="1" applyBorder="1" applyAlignment="1">
      <alignment vertical="center"/>
    </xf>
    <xf numFmtId="185" fontId="0" fillId="0" borderId="0" xfId="0" applyNumberFormat="1"/>
    <xf numFmtId="0" fontId="25" fillId="24" borderId="119" xfId="0" applyFont="1" applyFill="1" applyBorder="1"/>
    <xf numFmtId="0" fontId="25" fillId="24" borderId="120" xfId="0" applyFont="1" applyFill="1" applyBorder="1"/>
    <xf numFmtId="0" fontId="25" fillId="24" borderId="121" xfId="0" applyFont="1" applyFill="1" applyBorder="1"/>
    <xf numFmtId="0" fontId="0" fillId="24" borderId="125" xfId="0" applyNumberFormat="1" applyFill="1" applyBorder="1"/>
    <xf numFmtId="0" fontId="0" fillId="24" borderId="125" xfId="0" applyFill="1" applyBorder="1"/>
    <xf numFmtId="0" fontId="0" fillId="49" borderId="0" xfId="0" applyFill="1" applyAlignment="1">
      <alignment wrapText="1"/>
    </xf>
    <xf numFmtId="0" fontId="0" fillId="49" borderId="0" xfId="0" applyFill="1" applyBorder="1"/>
    <xf numFmtId="0" fontId="0" fillId="46" borderId="0" xfId="0" applyFill="1"/>
    <xf numFmtId="0" fontId="74" fillId="18" borderId="0" xfId="0" applyFont="1" applyFill="1" applyBorder="1" applyAlignment="1">
      <alignment vertical="center"/>
    </xf>
    <xf numFmtId="38" fontId="87" fillId="0" borderId="0" xfId="11" applyNumberFormat="1" applyFont="1" applyAlignment="1">
      <alignment horizontal="left" wrapText="1"/>
    </xf>
    <xf numFmtId="38" fontId="88" fillId="0" borderId="126" xfId="11" applyNumberFormat="1" applyFont="1" applyBorder="1" applyAlignment="1">
      <alignment horizontal="center" wrapText="1"/>
    </xf>
    <xf numFmtId="38" fontId="88" fillId="50" borderId="127" xfId="11" applyNumberFormat="1" applyFont="1" applyFill="1" applyBorder="1" applyAlignment="1">
      <alignment horizontal="center" textRotation="90" wrapText="1"/>
    </xf>
    <xf numFmtId="38" fontId="88" fillId="50" borderId="128" xfId="11" applyNumberFormat="1" applyFont="1" applyFill="1" applyBorder="1" applyAlignment="1">
      <alignment horizontal="center" textRotation="90" wrapText="1"/>
    </xf>
    <xf numFmtId="38" fontId="88" fillId="50" borderId="129" xfId="11" applyNumberFormat="1" applyFont="1" applyFill="1" applyBorder="1" applyAlignment="1">
      <alignment horizontal="center" textRotation="90" wrapText="1"/>
    </xf>
    <xf numFmtId="38" fontId="88" fillId="50" borderId="130" xfId="11" applyNumberFormat="1" applyFont="1" applyFill="1" applyBorder="1" applyAlignment="1">
      <alignment horizontal="center" textRotation="90" wrapText="1"/>
    </xf>
    <xf numFmtId="38" fontId="88" fillId="50" borderId="131" xfId="11" applyNumberFormat="1" applyFont="1" applyFill="1" applyBorder="1" applyAlignment="1">
      <alignment horizontal="center" textRotation="90" wrapText="1"/>
    </xf>
    <xf numFmtId="38" fontId="88" fillId="0" borderId="61" xfId="11" applyNumberFormat="1" applyFont="1" applyFill="1" applyBorder="1" applyAlignment="1">
      <alignment horizontal="center" textRotation="90" wrapText="1"/>
    </xf>
    <xf numFmtId="38" fontId="88" fillId="23" borderId="132" xfId="11" applyNumberFormat="1" applyFont="1" applyFill="1" applyBorder="1" applyAlignment="1">
      <alignment horizontal="center" textRotation="90" wrapText="1"/>
    </xf>
    <xf numFmtId="38" fontId="88" fillId="23" borderId="129" xfId="11" applyNumberFormat="1" applyFont="1" applyFill="1" applyBorder="1" applyAlignment="1">
      <alignment horizontal="center" textRotation="90" wrapText="1"/>
    </xf>
    <xf numFmtId="38" fontId="88" fillId="23" borderId="130" xfId="11" applyNumberFormat="1" applyFont="1" applyFill="1" applyBorder="1" applyAlignment="1">
      <alignment horizontal="center" textRotation="90" wrapText="1"/>
    </xf>
    <xf numFmtId="38" fontId="88" fillId="23" borderId="131" xfId="11" applyNumberFormat="1" applyFont="1" applyFill="1" applyBorder="1" applyAlignment="1">
      <alignment horizontal="center" textRotation="90" wrapText="1"/>
    </xf>
    <xf numFmtId="38" fontId="88" fillId="20" borderId="131" xfId="11" applyNumberFormat="1" applyFont="1" applyFill="1" applyBorder="1" applyAlignment="1">
      <alignment horizontal="center" textRotation="90" wrapText="1"/>
    </xf>
    <xf numFmtId="38" fontId="88" fillId="0" borderId="133" xfId="11" applyNumberFormat="1" applyFont="1" applyFill="1" applyBorder="1" applyAlignment="1">
      <alignment horizontal="center" textRotation="90" wrapText="1"/>
    </xf>
    <xf numFmtId="38" fontId="89" fillId="0" borderId="134" xfId="11" applyNumberFormat="1" applyFont="1" applyFill="1" applyBorder="1" applyAlignment="1">
      <alignment horizontal="left"/>
    </xf>
    <xf numFmtId="38" fontId="88" fillId="0" borderId="135" xfId="11" applyNumberFormat="1" applyFont="1" applyFill="1" applyBorder="1" applyAlignment="1">
      <alignment horizontal="center"/>
    </xf>
    <xf numFmtId="38" fontId="88" fillId="0" borderId="136" xfId="11" applyNumberFormat="1" applyFont="1" applyFill="1" applyBorder="1" applyAlignment="1">
      <alignment horizontal="center"/>
    </xf>
    <xf numFmtId="38" fontId="88" fillId="0" borderId="137" xfId="11" applyNumberFormat="1" applyFont="1" applyFill="1" applyBorder="1" applyAlignment="1">
      <alignment horizontal="center"/>
    </xf>
    <xf numFmtId="38" fontId="88" fillId="0" borderId="138" xfId="11" applyNumberFormat="1" applyFont="1" applyFill="1" applyBorder="1" applyAlignment="1">
      <alignment horizontal="center"/>
    </xf>
    <xf numFmtId="38" fontId="89" fillId="0" borderId="139" xfId="11" applyNumberFormat="1" applyFont="1" applyFill="1" applyBorder="1" applyAlignment="1">
      <alignment horizontal="center"/>
    </xf>
    <xf numFmtId="38" fontId="88" fillId="0" borderId="140" xfId="11" applyNumberFormat="1" applyFont="1" applyFill="1" applyBorder="1" applyAlignment="1">
      <alignment horizontal="center"/>
    </xf>
    <xf numFmtId="38" fontId="89" fillId="0" borderId="137" xfId="11" applyNumberFormat="1" applyFont="1" applyFill="1" applyBorder="1" applyAlignment="1">
      <alignment horizontal="center"/>
    </xf>
    <xf numFmtId="38" fontId="89" fillId="0" borderId="138" xfId="11" applyNumberFormat="1" applyFont="1" applyFill="1" applyBorder="1" applyAlignment="1">
      <alignment horizontal="center"/>
    </xf>
    <xf numFmtId="38" fontId="89" fillId="0" borderId="141" xfId="11" applyNumberFormat="1" applyFont="1" applyFill="1" applyBorder="1" applyAlignment="1">
      <alignment horizontal="center"/>
    </xf>
    <xf numFmtId="38" fontId="88" fillId="0" borderId="134" xfId="11" applyNumberFormat="1" applyFont="1" applyFill="1" applyBorder="1" applyAlignment="1">
      <alignment horizontal="center"/>
    </xf>
    <xf numFmtId="38" fontId="89" fillId="0" borderId="142" xfId="11" applyNumberFormat="1" applyFont="1" applyFill="1" applyBorder="1" applyAlignment="1">
      <alignment horizontal="center"/>
    </xf>
    <xf numFmtId="38" fontId="89" fillId="0" borderId="140" xfId="11" applyNumberFormat="1" applyFont="1" applyFill="1" applyBorder="1" applyAlignment="1">
      <alignment horizontal="center"/>
    </xf>
    <xf numFmtId="38" fontId="89" fillId="19" borderId="143" xfId="11" applyNumberFormat="1" applyFont="1" applyFill="1" applyBorder="1" applyAlignment="1">
      <alignment horizontal="center"/>
    </xf>
    <xf numFmtId="38" fontId="89" fillId="0" borderId="144" xfId="11" applyNumberFormat="1" applyFont="1" applyFill="1" applyBorder="1" applyAlignment="1">
      <alignment horizontal="left"/>
    </xf>
    <xf numFmtId="38" fontId="88" fillId="0" borderId="145" xfId="11" applyNumberFormat="1" applyFont="1" applyFill="1" applyBorder="1" applyAlignment="1">
      <alignment horizontal="center"/>
    </xf>
    <xf numFmtId="38" fontId="88" fillId="0" borderId="146" xfId="11" applyNumberFormat="1" applyFont="1" applyFill="1" applyBorder="1" applyAlignment="1">
      <alignment horizontal="center"/>
    </xf>
    <xf numFmtId="38" fontId="88" fillId="0" borderId="147" xfId="11" applyNumberFormat="1" applyFont="1" applyFill="1" applyBorder="1" applyAlignment="1">
      <alignment horizontal="center"/>
    </xf>
    <xf numFmtId="38" fontId="88" fillId="0" borderId="148" xfId="11" applyNumberFormat="1" applyFont="1" applyFill="1" applyBorder="1" applyAlignment="1">
      <alignment horizontal="center"/>
    </xf>
    <xf numFmtId="38" fontId="89" fillId="0" borderId="148" xfId="11" applyNumberFormat="1" applyFont="1" applyFill="1" applyBorder="1" applyAlignment="1">
      <alignment horizontal="center"/>
    </xf>
    <xf numFmtId="38" fontId="88" fillId="0" borderId="149" xfId="11" applyNumberFormat="1" applyFont="1" applyFill="1" applyBorder="1" applyAlignment="1">
      <alignment horizontal="center"/>
    </xf>
    <xf numFmtId="38" fontId="89" fillId="0" borderId="147" xfId="11" applyNumberFormat="1" applyFont="1" applyFill="1" applyBorder="1" applyAlignment="1">
      <alignment horizontal="center"/>
    </xf>
    <xf numFmtId="38" fontId="89" fillId="0" borderId="150" xfId="11" applyNumberFormat="1" applyFont="1" applyFill="1" applyBorder="1" applyAlignment="1">
      <alignment horizontal="center"/>
    </xf>
    <xf numFmtId="38" fontId="88" fillId="0" borderId="144" xfId="11" applyNumberFormat="1" applyFont="1" applyFill="1" applyBorder="1" applyAlignment="1">
      <alignment horizontal="center"/>
    </xf>
    <xf numFmtId="38" fontId="89" fillId="0" borderId="151" xfId="11" applyNumberFormat="1" applyFont="1" applyFill="1" applyBorder="1" applyAlignment="1">
      <alignment horizontal="center"/>
    </xf>
    <xf numFmtId="38" fontId="89" fillId="0" borderId="149" xfId="11" applyNumberFormat="1" applyFont="1" applyFill="1" applyBorder="1" applyAlignment="1">
      <alignment horizontal="center"/>
    </xf>
    <xf numFmtId="38" fontId="89" fillId="33" borderId="149" xfId="11" applyNumberFormat="1" applyFont="1" applyFill="1" applyBorder="1" applyAlignment="1">
      <alignment horizontal="center"/>
    </xf>
    <xf numFmtId="38" fontId="89" fillId="19" borderId="152" xfId="11" applyNumberFormat="1" applyFont="1" applyFill="1" applyBorder="1" applyAlignment="1">
      <alignment horizontal="center"/>
    </xf>
    <xf numFmtId="38" fontId="88" fillId="0" borderId="150" xfId="11" applyNumberFormat="1" applyFont="1" applyFill="1" applyBorder="1" applyAlignment="1">
      <alignment horizontal="center"/>
    </xf>
    <xf numFmtId="38" fontId="89" fillId="0" borderId="153" xfId="11" applyNumberFormat="1" applyFont="1" applyFill="1" applyBorder="1" applyAlignment="1">
      <alignment horizontal="left"/>
    </xf>
    <xf numFmtId="38" fontId="88" fillId="0" borderId="154" xfId="11" applyNumberFormat="1" applyFont="1" applyFill="1" applyBorder="1" applyAlignment="1">
      <alignment horizontal="center"/>
    </xf>
    <xf numFmtId="38" fontId="88" fillId="0" borderId="155" xfId="11" applyNumberFormat="1" applyFont="1" applyFill="1" applyBorder="1" applyAlignment="1">
      <alignment horizontal="center"/>
    </xf>
    <xf numFmtId="38" fontId="89" fillId="0" borderId="156" xfId="11" applyNumberFormat="1" applyFont="1" applyFill="1" applyBorder="1" applyAlignment="1">
      <alignment horizontal="center"/>
    </xf>
    <xf numFmtId="38" fontId="88" fillId="0" borderId="157" xfId="11" applyNumberFormat="1" applyFont="1" applyFill="1" applyBorder="1" applyAlignment="1">
      <alignment horizontal="center"/>
    </xf>
    <xf numFmtId="38" fontId="89" fillId="0" borderId="155" xfId="11" applyNumberFormat="1" applyFont="1" applyFill="1" applyBorder="1" applyAlignment="1">
      <alignment horizontal="center"/>
    </xf>
    <xf numFmtId="38" fontId="88" fillId="0" borderId="153" xfId="11" applyNumberFormat="1" applyFont="1" applyFill="1" applyBorder="1" applyAlignment="1">
      <alignment horizontal="center"/>
    </xf>
    <xf numFmtId="38" fontId="89" fillId="0" borderId="158" xfId="11" applyNumberFormat="1" applyFont="1" applyFill="1" applyBorder="1" applyAlignment="1">
      <alignment horizontal="center"/>
    </xf>
    <xf numFmtId="38" fontId="89" fillId="0" borderId="159" xfId="11" applyNumberFormat="1" applyFont="1" applyFill="1" applyBorder="1" applyAlignment="1">
      <alignment horizontal="center"/>
    </xf>
    <xf numFmtId="38" fontId="89" fillId="0" borderId="157" xfId="11" applyNumberFormat="1" applyFont="1" applyFill="1" applyBorder="1" applyAlignment="1">
      <alignment horizontal="center"/>
    </xf>
    <xf numFmtId="38" fontId="89" fillId="19" borderId="160" xfId="11" applyNumberFormat="1" applyFont="1" applyFill="1" applyBorder="1" applyAlignment="1">
      <alignment horizontal="center"/>
    </xf>
    <xf numFmtId="38" fontId="88" fillId="0" borderId="161" xfId="11" applyNumberFormat="1" applyFont="1" applyFill="1" applyBorder="1" applyAlignment="1">
      <alignment horizontal="left"/>
    </xf>
    <xf numFmtId="38" fontId="88" fillId="0" borderId="162" xfId="11" applyNumberFormat="1" applyFont="1" applyFill="1" applyBorder="1" applyAlignment="1">
      <alignment horizontal="center"/>
    </xf>
    <xf numFmtId="38" fontId="88" fillId="0" borderId="163" xfId="11" applyNumberFormat="1" applyFont="1" applyFill="1" applyBorder="1" applyAlignment="1">
      <alignment horizontal="center"/>
    </xf>
    <xf numFmtId="38" fontId="88" fillId="0" borderId="161" xfId="11" applyNumberFormat="1" applyFont="1" applyFill="1" applyBorder="1" applyAlignment="1">
      <alignment horizontal="center"/>
    </xf>
    <xf numFmtId="38" fontId="88" fillId="0" borderId="141" xfId="11" applyNumberFormat="1" applyFont="1" applyFill="1" applyBorder="1" applyAlignment="1">
      <alignment horizontal="center"/>
    </xf>
    <xf numFmtId="38" fontId="88" fillId="0" borderId="164" xfId="11" applyNumberFormat="1" applyFont="1" applyFill="1" applyBorder="1" applyAlignment="1">
      <alignment horizontal="center"/>
    </xf>
    <xf numFmtId="38" fontId="88" fillId="33" borderId="161" xfId="11" applyNumberFormat="1" applyFont="1" applyFill="1" applyBorder="1" applyAlignment="1">
      <alignment horizontal="center"/>
    </xf>
    <xf numFmtId="38" fontId="88" fillId="33" borderId="141" xfId="11" applyNumberFormat="1" applyFont="1" applyFill="1" applyBorder="1" applyAlignment="1">
      <alignment horizontal="center"/>
    </xf>
    <xf numFmtId="38" fontId="88" fillId="0" borderId="165" xfId="11" applyNumberFormat="1" applyFont="1" applyFill="1" applyBorder="1" applyAlignment="1">
      <alignment horizontal="center"/>
    </xf>
    <xf numFmtId="38" fontId="88" fillId="19" borderId="164" xfId="11" applyNumberFormat="1" applyFont="1" applyFill="1" applyBorder="1" applyAlignment="1">
      <alignment horizontal="center"/>
    </xf>
    <xf numFmtId="38" fontId="88" fillId="0" borderId="166" xfId="11" applyNumberFormat="1" applyFont="1" applyFill="1" applyBorder="1" applyAlignment="1">
      <alignment horizontal="center"/>
    </xf>
    <xf numFmtId="38" fontId="88" fillId="0" borderId="167" xfId="11" applyNumberFormat="1" applyFont="1" applyFill="1" applyBorder="1" applyAlignment="1">
      <alignment horizontal="center"/>
    </xf>
    <xf numFmtId="38" fontId="88" fillId="0" borderId="168" xfId="11" applyNumberFormat="1" applyFont="1" applyFill="1" applyBorder="1" applyAlignment="1">
      <alignment horizontal="left"/>
    </xf>
    <xf numFmtId="38" fontId="88" fillId="0" borderId="169" xfId="11" applyNumberFormat="1" applyFont="1" applyFill="1" applyBorder="1" applyAlignment="1">
      <alignment horizontal="center"/>
    </xf>
    <xf numFmtId="38" fontId="88" fillId="0" borderId="170" xfId="11" applyNumberFormat="1" applyFont="1" applyFill="1" applyBorder="1" applyAlignment="1">
      <alignment horizontal="center"/>
    </xf>
    <xf numFmtId="38" fontId="88" fillId="0" borderId="168" xfId="11" applyNumberFormat="1" applyFont="1" applyFill="1" applyBorder="1" applyAlignment="1">
      <alignment horizontal="center"/>
    </xf>
    <xf numFmtId="38" fontId="88" fillId="0" borderId="171" xfId="11" applyNumberFormat="1" applyFont="1" applyFill="1" applyBorder="1" applyAlignment="1">
      <alignment horizontal="center"/>
    </xf>
    <xf numFmtId="38" fontId="88" fillId="0" borderId="172" xfId="11" applyNumberFormat="1" applyFont="1" applyFill="1" applyBorder="1" applyAlignment="1">
      <alignment horizontal="center"/>
    </xf>
    <xf numFmtId="38" fontId="88" fillId="0" borderId="173" xfId="11" applyNumberFormat="1" applyFont="1" applyFill="1" applyBorder="1" applyAlignment="1">
      <alignment horizontal="center"/>
    </xf>
    <xf numFmtId="38" fontId="89" fillId="0" borderId="173" xfId="11" applyNumberFormat="1" applyFont="1" applyFill="1" applyBorder="1" applyAlignment="1">
      <alignment horizontal="center"/>
    </xf>
    <xf numFmtId="38" fontId="88" fillId="0" borderId="174" xfId="11" applyNumberFormat="1" applyFont="1" applyFill="1" applyBorder="1" applyAlignment="1">
      <alignment horizontal="center"/>
    </xf>
    <xf numFmtId="38" fontId="88" fillId="0" borderId="175" xfId="11" applyNumberFormat="1" applyFont="1" applyFill="1" applyBorder="1" applyAlignment="1">
      <alignment horizontal="center"/>
    </xf>
    <xf numFmtId="38" fontId="88" fillId="0" borderId="176" xfId="11" applyNumberFormat="1" applyFont="1" applyFill="1" applyBorder="1" applyAlignment="1">
      <alignment horizontal="center"/>
    </xf>
    <xf numFmtId="38" fontId="88" fillId="0" borderId="177" xfId="11" applyNumberFormat="1" applyFont="1" applyFill="1" applyBorder="1" applyAlignment="1">
      <alignment horizontal="center"/>
    </xf>
    <xf numFmtId="38" fontId="88" fillId="19" borderId="178" xfId="11" applyNumberFormat="1" applyFont="1" applyFill="1" applyBorder="1" applyAlignment="1">
      <alignment horizontal="center"/>
    </xf>
    <xf numFmtId="38" fontId="89" fillId="0" borderId="179" xfId="11" applyNumberFormat="1" applyFont="1" applyFill="1" applyBorder="1" applyAlignment="1">
      <alignment horizontal="left"/>
    </xf>
    <xf numFmtId="38" fontId="88" fillId="0" borderId="180" xfId="11" applyNumberFormat="1" applyFont="1" applyFill="1" applyBorder="1" applyAlignment="1">
      <alignment horizontal="center"/>
    </xf>
    <xf numFmtId="38" fontId="88" fillId="33" borderId="181" xfId="11" applyNumberFormat="1" applyFont="1" applyFill="1" applyBorder="1" applyAlignment="1">
      <alignment horizontal="center"/>
    </xf>
    <xf numFmtId="38" fontId="89" fillId="0" borderId="182" xfId="11" applyNumberFormat="1" applyFont="1" applyFill="1" applyBorder="1" applyAlignment="1">
      <alignment horizontal="center"/>
    </xf>
    <xf numFmtId="38" fontId="89" fillId="0" borderId="183" xfId="11" applyNumberFormat="1" applyFont="1" applyFill="1" applyBorder="1" applyAlignment="1">
      <alignment horizontal="center"/>
    </xf>
    <xf numFmtId="38" fontId="89" fillId="0" borderId="184" xfId="11" applyNumberFormat="1" applyFont="1" applyFill="1" applyBorder="1" applyAlignment="1">
      <alignment horizontal="center"/>
    </xf>
    <xf numFmtId="38" fontId="88" fillId="33" borderId="185" xfId="11" applyNumberFormat="1" applyFont="1" applyFill="1" applyBorder="1" applyAlignment="1">
      <alignment horizontal="center"/>
    </xf>
    <xf numFmtId="38" fontId="88" fillId="0" borderId="179" xfId="11" applyNumberFormat="1" applyFont="1" applyFill="1" applyBorder="1" applyAlignment="1">
      <alignment horizontal="center"/>
    </xf>
    <xf numFmtId="38" fontId="89" fillId="0" borderId="186" xfId="11" applyNumberFormat="1" applyFont="1" applyFill="1" applyBorder="1" applyAlignment="1">
      <alignment horizontal="center"/>
    </xf>
    <xf numFmtId="38" fontId="89" fillId="20" borderId="183" xfId="11" applyNumberFormat="1" applyFont="1" applyFill="1" applyBorder="1" applyAlignment="1">
      <alignment horizontal="center"/>
    </xf>
    <xf numFmtId="38" fontId="89" fillId="20" borderId="185" xfId="11" applyNumberFormat="1" applyFont="1" applyFill="1" applyBorder="1" applyAlignment="1">
      <alignment horizontal="center"/>
    </xf>
    <xf numFmtId="38" fontId="88" fillId="0" borderId="185" xfId="11" applyNumberFormat="1" applyFont="1" applyFill="1" applyBorder="1" applyAlignment="1">
      <alignment horizontal="center"/>
    </xf>
    <xf numFmtId="38" fontId="89" fillId="19" borderId="187" xfId="11" applyNumberFormat="1" applyFont="1" applyFill="1" applyBorder="1" applyAlignment="1">
      <alignment horizontal="center"/>
    </xf>
    <xf numFmtId="38" fontId="88" fillId="33" borderId="146" xfId="11" applyNumberFormat="1" applyFont="1" applyFill="1" applyBorder="1" applyAlignment="1">
      <alignment horizontal="center"/>
    </xf>
    <xf numFmtId="38" fontId="88" fillId="33" borderId="149" xfId="11" applyNumberFormat="1" applyFont="1" applyFill="1" applyBorder="1" applyAlignment="1">
      <alignment horizontal="center"/>
    </xf>
    <xf numFmtId="38" fontId="89" fillId="0" borderId="188" xfId="11" applyNumberFormat="1" applyFont="1" applyFill="1" applyBorder="1" applyAlignment="1">
      <alignment horizontal="center"/>
    </xf>
    <xf numFmtId="38" fontId="89" fillId="20" borderId="150" xfId="11" applyNumberFormat="1" applyFont="1" applyFill="1" applyBorder="1" applyAlignment="1">
      <alignment horizontal="center"/>
    </xf>
    <xf numFmtId="38" fontId="89" fillId="0" borderId="189" xfId="11" applyNumberFormat="1" applyFont="1" applyFill="1" applyBorder="1" applyAlignment="1">
      <alignment horizontal="left"/>
    </xf>
    <xf numFmtId="38" fontId="88" fillId="0" borderId="190" xfId="11" applyNumberFormat="1" applyFont="1" applyFill="1" applyBorder="1" applyAlignment="1">
      <alignment horizontal="center"/>
    </xf>
    <xf numFmtId="38" fontId="88" fillId="0" borderId="191" xfId="11" applyNumberFormat="1" applyFont="1" applyFill="1" applyBorder="1" applyAlignment="1">
      <alignment horizontal="center"/>
    </xf>
    <xf numFmtId="38" fontId="89" fillId="0" borderId="192" xfId="11" applyNumberFormat="1" applyFont="1" applyFill="1" applyBorder="1" applyAlignment="1">
      <alignment horizontal="center"/>
    </xf>
    <xf numFmtId="38" fontId="89" fillId="0" borderId="193" xfId="11" applyNumberFormat="1" applyFont="1" applyFill="1" applyBorder="1" applyAlignment="1">
      <alignment horizontal="center"/>
    </xf>
    <xf numFmtId="38" fontId="89" fillId="0" borderId="194" xfId="11" applyNumberFormat="1" applyFont="1" applyFill="1" applyBorder="1" applyAlignment="1">
      <alignment horizontal="center"/>
    </xf>
    <xf numFmtId="38" fontId="88" fillId="0" borderId="195" xfId="11" applyNumberFormat="1" applyFont="1" applyFill="1" applyBorder="1" applyAlignment="1">
      <alignment horizontal="center"/>
    </xf>
    <xf numFmtId="38" fontId="88" fillId="0" borderId="189" xfId="11" applyNumberFormat="1" applyFont="1" applyFill="1" applyBorder="1" applyAlignment="1">
      <alignment horizontal="center"/>
    </xf>
    <xf numFmtId="38" fontId="89" fillId="0" borderId="196" xfId="11" applyNumberFormat="1" applyFont="1" applyFill="1" applyBorder="1" applyAlignment="1">
      <alignment horizontal="center"/>
    </xf>
    <xf numFmtId="38" fontId="89" fillId="0" borderId="195" xfId="11" applyNumberFormat="1" applyFont="1" applyFill="1" applyBorder="1" applyAlignment="1">
      <alignment horizontal="center"/>
    </xf>
    <xf numFmtId="38" fontId="89" fillId="19" borderId="197" xfId="11" applyNumberFormat="1" applyFont="1" applyFill="1" applyBorder="1" applyAlignment="1">
      <alignment horizontal="center"/>
    </xf>
    <xf numFmtId="38" fontId="88" fillId="0" borderId="0" xfId="11" applyNumberFormat="1" applyFont="1" applyFill="1" applyBorder="1" applyAlignment="1">
      <alignment horizontal="left"/>
    </xf>
    <xf numFmtId="38" fontId="88" fillId="0" borderId="126" xfId="11" applyNumberFormat="1" applyFont="1" applyFill="1" applyBorder="1" applyAlignment="1">
      <alignment horizontal="center"/>
    </xf>
    <xf numFmtId="38" fontId="88" fillId="0" borderId="198" xfId="11" applyNumberFormat="1" applyFont="1" applyFill="1" applyBorder="1" applyAlignment="1">
      <alignment horizontal="center"/>
    </xf>
    <xf numFmtId="38" fontId="88" fillId="0" borderId="199" xfId="11" applyNumberFormat="1" applyFont="1" applyFill="1" applyBorder="1" applyAlignment="1">
      <alignment horizontal="center"/>
    </xf>
    <xf numFmtId="38" fontId="88" fillId="0" borderId="200" xfId="11" applyNumberFormat="1" applyFont="1" applyFill="1" applyBorder="1" applyAlignment="1">
      <alignment horizontal="center"/>
    </xf>
    <xf numFmtId="38" fontId="88" fillId="0" borderId="201" xfId="11" applyNumberFormat="1" applyFont="1" applyFill="1" applyBorder="1" applyAlignment="1">
      <alignment horizontal="center"/>
    </xf>
    <xf numFmtId="38" fontId="88" fillId="0" borderId="54" xfId="11" applyNumberFormat="1" applyFont="1" applyFill="1" applyBorder="1" applyAlignment="1">
      <alignment horizontal="center"/>
    </xf>
    <xf numFmtId="38" fontId="88" fillId="0" borderId="0" xfId="11" applyNumberFormat="1" applyFont="1" applyFill="1" applyBorder="1" applyAlignment="1">
      <alignment horizontal="center"/>
    </xf>
    <xf numFmtId="38" fontId="88" fillId="0" borderId="52" xfId="11" applyNumberFormat="1" applyFont="1" applyFill="1" applyBorder="1" applyAlignment="1">
      <alignment horizontal="center"/>
    </xf>
    <xf numFmtId="38" fontId="88" fillId="0" borderId="202" xfId="11" applyNumberFormat="1" applyFont="1" applyFill="1" applyBorder="1" applyAlignment="1">
      <alignment horizontal="center"/>
    </xf>
    <xf numFmtId="38" fontId="88" fillId="19" borderId="54" xfId="11" applyNumberFormat="1" applyFont="1" applyFill="1" applyBorder="1" applyAlignment="1">
      <alignment horizontal="center"/>
    </xf>
    <xf numFmtId="38" fontId="88" fillId="19" borderId="203" xfId="11" applyNumberFormat="1" applyFont="1" applyFill="1" applyBorder="1" applyAlignment="1">
      <alignment horizontal="center"/>
    </xf>
    <xf numFmtId="38" fontId="88" fillId="0" borderId="181" xfId="11" applyNumberFormat="1" applyFont="1" applyFill="1" applyBorder="1" applyAlignment="1">
      <alignment horizontal="center"/>
    </xf>
    <xf numFmtId="38" fontId="89" fillId="0" borderId="185" xfId="11" applyNumberFormat="1" applyFont="1" applyFill="1" applyBorder="1" applyAlignment="1">
      <alignment horizontal="center"/>
    </xf>
    <xf numFmtId="38" fontId="89" fillId="19" borderId="204" xfId="11" applyNumberFormat="1" applyFont="1" applyFill="1" applyBorder="1" applyAlignment="1">
      <alignment horizontal="center"/>
    </xf>
    <xf numFmtId="1" fontId="89" fillId="0" borderId="149" xfId="11" applyNumberFormat="1" applyFont="1" applyFill="1" applyBorder="1" applyAlignment="1">
      <alignment horizontal="center"/>
    </xf>
    <xf numFmtId="38" fontId="89" fillId="0" borderId="0" xfId="0" applyNumberFormat="1" applyFont="1" applyFill="1" applyBorder="1"/>
    <xf numFmtId="38" fontId="88" fillId="0" borderId="10" xfId="11" applyNumberFormat="1" applyFont="1" applyFill="1" applyBorder="1" applyAlignment="1">
      <alignment horizontal="left"/>
    </xf>
    <xf numFmtId="38" fontId="88" fillId="0" borderId="205" xfId="11" applyNumberFormat="1" applyFont="1" applyFill="1" applyBorder="1" applyAlignment="1">
      <alignment horizontal="center"/>
    </xf>
    <xf numFmtId="38" fontId="88" fillId="0" borderId="206" xfId="11" applyNumberFormat="1" applyFont="1" applyFill="1" applyBorder="1" applyAlignment="1">
      <alignment horizontal="center"/>
    </xf>
    <xf numFmtId="38" fontId="89" fillId="0" borderId="207" xfId="11" applyNumberFormat="1" applyFont="1" applyFill="1" applyBorder="1" applyAlignment="1">
      <alignment horizontal="center"/>
    </xf>
    <xf numFmtId="38" fontId="89" fillId="0" borderId="208" xfId="11" applyNumberFormat="1" applyFont="1" applyFill="1" applyBorder="1" applyAlignment="1">
      <alignment horizontal="center"/>
    </xf>
    <xf numFmtId="38" fontId="89" fillId="0" borderId="209" xfId="11" applyNumberFormat="1" applyFont="1" applyFill="1" applyBorder="1" applyAlignment="1">
      <alignment horizontal="center"/>
    </xf>
    <xf numFmtId="38" fontId="88" fillId="0" borderId="210" xfId="11" applyNumberFormat="1" applyFont="1" applyFill="1" applyBorder="1" applyAlignment="1">
      <alignment horizontal="center"/>
    </xf>
    <xf numFmtId="38" fontId="88" fillId="0" borderId="10" xfId="11" applyNumberFormat="1" applyFont="1" applyFill="1" applyBorder="1" applyAlignment="1">
      <alignment horizontal="center"/>
    </xf>
    <xf numFmtId="38" fontId="89" fillId="0" borderId="75" xfId="11" applyNumberFormat="1" applyFont="1" applyFill="1" applyBorder="1" applyAlignment="1">
      <alignment horizontal="center"/>
    </xf>
    <xf numFmtId="38" fontId="89" fillId="0" borderId="202" xfId="11" applyNumberFormat="1" applyFont="1" applyFill="1" applyBorder="1" applyAlignment="1">
      <alignment horizontal="center"/>
    </xf>
    <xf numFmtId="38" fontId="89" fillId="0" borderId="210" xfId="11" applyNumberFormat="1" applyFont="1" applyFill="1" applyBorder="1" applyAlignment="1">
      <alignment horizontal="center"/>
    </xf>
    <xf numFmtId="38" fontId="88" fillId="19" borderId="210" xfId="11" applyNumberFormat="1" applyFont="1" applyFill="1" applyBorder="1" applyAlignment="1">
      <alignment horizontal="center"/>
    </xf>
    <xf numFmtId="38" fontId="89" fillId="19" borderId="211" xfId="11" applyNumberFormat="1" applyFont="1" applyFill="1" applyBorder="1" applyAlignment="1">
      <alignment horizontal="center"/>
    </xf>
    <xf numFmtId="38" fontId="88" fillId="0" borderId="212" xfId="11" applyNumberFormat="1" applyFont="1" applyFill="1" applyBorder="1" applyAlignment="1">
      <alignment horizontal="center"/>
    </xf>
    <xf numFmtId="38" fontId="88" fillId="0" borderId="213" xfId="11" applyNumberFormat="1" applyFont="1" applyFill="1" applyBorder="1" applyAlignment="1">
      <alignment horizontal="center"/>
    </xf>
    <xf numFmtId="38" fontId="88" fillId="0" borderId="183" xfId="11" applyNumberFormat="1" applyFont="1" applyFill="1" applyBorder="1" applyAlignment="1">
      <alignment horizontal="center"/>
    </xf>
    <xf numFmtId="38" fontId="89" fillId="0" borderId="179" xfId="11" applyNumberFormat="1" applyFont="1" applyFill="1" applyBorder="1" applyAlignment="1">
      <alignment horizontal="center"/>
    </xf>
    <xf numFmtId="38" fontId="89" fillId="0" borderId="0" xfId="11" applyNumberFormat="1" applyFont="1" applyFill="1" applyBorder="1" applyAlignment="1">
      <alignment horizontal="left"/>
    </xf>
    <xf numFmtId="38" fontId="88" fillId="0" borderId="53" xfId="11" applyNumberFormat="1" applyFont="1" applyFill="1" applyBorder="1" applyAlignment="1">
      <alignment horizontal="center"/>
    </xf>
    <xf numFmtId="38" fontId="88" fillId="0" borderId="214" xfId="11" applyNumberFormat="1" applyFont="1" applyFill="1" applyBorder="1" applyAlignment="1">
      <alignment horizontal="center"/>
    </xf>
    <xf numFmtId="38" fontId="89" fillId="0" borderId="201" xfId="11" applyNumberFormat="1" applyFont="1" applyFill="1" applyBorder="1" applyAlignment="1">
      <alignment horizontal="center"/>
    </xf>
    <xf numFmtId="38" fontId="89" fillId="0" borderId="0" xfId="11" applyNumberFormat="1" applyFont="1" applyFill="1" applyBorder="1" applyAlignment="1">
      <alignment horizontal="center"/>
    </xf>
    <xf numFmtId="38" fontId="89" fillId="0" borderId="200" xfId="11" applyNumberFormat="1" applyFont="1" applyFill="1" applyBorder="1" applyAlignment="1">
      <alignment horizontal="center"/>
    </xf>
    <xf numFmtId="38" fontId="89" fillId="0" borderId="52" xfId="11" applyNumberFormat="1" applyFont="1" applyFill="1" applyBorder="1" applyAlignment="1">
      <alignment horizontal="center"/>
    </xf>
    <xf numFmtId="38" fontId="89" fillId="0" borderId="199" xfId="11" applyNumberFormat="1" applyFont="1" applyFill="1" applyBorder="1" applyAlignment="1">
      <alignment horizontal="center"/>
    </xf>
    <xf numFmtId="38" fontId="89" fillId="0" borderId="54" xfId="11" applyNumberFormat="1" applyFont="1" applyFill="1" applyBorder="1" applyAlignment="1">
      <alignment horizontal="center"/>
    </xf>
    <xf numFmtId="38" fontId="89" fillId="19" borderId="203" xfId="11" applyNumberFormat="1" applyFont="1" applyFill="1" applyBorder="1" applyAlignment="1">
      <alignment horizontal="center"/>
    </xf>
    <xf numFmtId="38" fontId="88" fillId="0" borderId="215" xfId="11" applyNumberFormat="1" applyFont="1" applyFill="1" applyBorder="1" applyAlignment="1">
      <alignment horizontal="center"/>
    </xf>
    <xf numFmtId="38" fontId="89" fillId="0" borderId="216" xfId="11" applyNumberFormat="1" applyFont="1" applyFill="1" applyBorder="1" applyAlignment="1">
      <alignment horizontal="center"/>
    </xf>
    <xf numFmtId="38" fontId="89" fillId="0" borderId="153" xfId="11" applyNumberFormat="1" applyFont="1" applyFill="1" applyBorder="1" applyAlignment="1">
      <alignment horizontal="center"/>
    </xf>
    <xf numFmtId="38" fontId="88" fillId="19" borderId="217" xfId="11" applyNumberFormat="1" applyFont="1" applyFill="1" applyBorder="1" applyAlignment="1">
      <alignment horizontal="left"/>
    </xf>
    <xf numFmtId="38" fontId="88" fillId="19" borderId="218" xfId="11" applyNumberFormat="1" applyFont="1" applyFill="1" applyBorder="1" applyAlignment="1">
      <alignment horizontal="center"/>
    </xf>
    <xf numFmtId="38" fontId="88" fillId="19" borderId="219" xfId="11" applyNumberFormat="1" applyFont="1" applyFill="1" applyBorder="1" applyAlignment="1">
      <alignment horizontal="center"/>
    </xf>
    <xf numFmtId="38" fontId="88" fillId="19" borderId="220" xfId="11" applyNumberFormat="1" applyFont="1" applyFill="1" applyBorder="1" applyAlignment="1">
      <alignment horizontal="center"/>
    </xf>
    <xf numFmtId="38" fontId="88" fillId="19" borderId="221" xfId="11" applyNumberFormat="1" applyFont="1" applyFill="1" applyBorder="1" applyAlignment="1">
      <alignment horizontal="center"/>
    </xf>
    <xf numFmtId="38" fontId="88" fillId="19" borderId="222" xfId="11" applyNumberFormat="1" applyFont="1" applyFill="1" applyBorder="1" applyAlignment="1">
      <alignment horizontal="center"/>
    </xf>
    <xf numFmtId="38" fontId="88" fillId="19" borderId="217" xfId="11" applyNumberFormat="1" applyFont="1" applyFill="1" applyBorder="1" applyAlignment="1">
      <alignment horizontal="center"/>
    </xf>
    <xf numFmtId="38" fontId="88" fillId="19" borderId="177" xfId="11" applyNumberFormat="1" applyFont="1" applyFill="1" applyBorder="1" applyAlignment="1">
      <alignment horizontal="center"/>
    </xf>
    <xf numFmtId="38" fontId="88" fillId="19" borderId="141" xfId="11" applyNumberFormat="1" applyFont="1" applyFill="1" applyBorder="1" applyAlignment="1">
      <alignment horizontal="center"/>
    </xf>
    <xf numFmtId="38" fontId="88" fillId="19" borderId="165" xfId="11" applyNumberFormat="1" applyFont="1" applyFill="1" applyBorder="1" applyAlignment="1">
      <alignment horizontal="center"/>
    </xf>
    <xf numFmtId="38" fontId="88" fillId="19" borderId="223" xfId="11" applyNumberFormat="1" applyFont="1" applyFill="1" applyBorder="1" applyAlignment="1">
      <alignment horizontal="center"/>
    </xf>
    <xf numFmtId="38" fontId="88" fillId="19" borderId="224" xfId="11" applyNumberFormat="1" applyFont="1" applyFill="1" applyBorder="1" applyAlignment="1">
      <alignment horizontal="center"/>
    </xf>
    <xf numFmtId="38" fontId="88" fillId="19" borderId="161" xfId="11" applyNumberFormat="1" applyFont="1" applyFill="1" applyBorder="1" applyAlignment="1">
      <alignment horizontal="left"/>
    </xf>
    <xf numFmtId="38" fontId="88" fillId="19" borderId="162" xfId="11" applyNumberFormat="1" applyFont="1" applyFill="1" applyBorder="1" applyAlignment="1">
      <alignment horizontal="center"/>
    </xf>
    <xf numFmtId="38" fontId="88" fillId="19" borderId="163" xfId="11" applyNumberFormat="1" applyFont="1" applyFill="1" applyBorder="1" applyAlignment="1">
      <alignment horizontal="center"/>
    </xf>
    <xf numFmtId="38" fontId="88" fillId="19" borderId="176" xfId="11" applyNumberFormat="1" applyFont="1" applyFill="1" applyBorder="1" applyAlignment="1">
      <alignment horizontal="center"/>
    </xf>
    <xf numFmtId="38" fontId="88" fillId="19" borderId="161" xfId="11" applyNumberFormat="1" applyFont="1" applyFill="1" applyBorder="1" applyAlignment="1">
      <alignment horizontal="center"/>
    </xf>
    <xf numFmtId="38" fontId="88" fillId="19" borderId="167" xfId="11" applyNumberFormat="1" applyFont="1" applyFill="1" applyBorder="1" applyAlignment="1">
      <alignment horizontal="center"/>
    </xf>
    <xf numFmtId="38" fontId="89" fillId="19" borderId="10" xfId="11" applyNumberFormat="1" applyFont="1" applyFill="1" applyBorder="1" applyAlignment="1">
      <alignment horizontal="left"/>
    </xf>
    <xf numFmtId="38" fontId="89" fillId="19" borderId="205" xfId="11" applyNumberFormat="1" applyFont="1" applyFill="1" applyBorder="1" applyAlignment="1">
      <alignment horizontal="center"/>
    </xf>
    <xf numFmtId="38" fontId="89" fillId="19" borderId="206" xfId="11" applyNumberFormat="1" applyFont="1" applyFill="1" applyBorder="1" applyAlignment="1">
      <alignment horizontal="center"/>
    </xf>
    <xf numFmtId="38" fontId="89" fillId="19" borderId="207" xfId="11" applyNumberFormat="1" applyFont="1" applyFill="1" applyBorder="1" applyAlignment="1">
      <alignment horizontal="center"/>
    </xf>
    <xf numFmtId="38" fontId="89" fillId="19" borderId="208" xfId="11" applyNumberFormat="1" applyFont="1" applyFill="1" applyBorder="1" applyAlignment="1">
      <alignment horizontal="center"/>
    </xf>
    <xf numFmtId="38" fontId="89" fillId="19" borderId="209" xfId="11" applyNumberFormat="1" applyFont="1" applyFill="1" applyBorder="1" applyAlignment="1">
      <alignment horizontal="center"/>
    </xf>
    <xf numFmtId="38" fontId="89" fillId="19" borderId="210" xfId="11" applyNumberFormat="1" applyFont="1" applyFill="1" applyBorder="1" applyAlignment="1">
      <alignment horizontal="center"/>
    </xf>
    <xf numFmtId="38" fontId="89" fillId="19" borderId="10" xfId="11" applyNumberFormat="1" applyFont="1" applyFill="1" applyBorder="1" applyAlignment="1">
      <alignment horizontal="center"/>
    </xf>
    <xf numFmtId="38" fontId="89" fillId="19" borderId="75" xfId="11" applyNumberFormat="1" applyFont="1" applyFill="1" applyBorder="1" applyAlignment="1">
      <alignment horizontal="center"/>
    </xf>
    <xf numFmtId="38" fontId="88" fillId="33" borderId="164" xfId="11" applyNumberFormat="1" applyFont="1" applyFill="1" applyBorder="1" applyAlignment="1">
      <alignment horizontal="center"/>
    </xf>
    <xf numFmtId="38" fontId="88" fillId="51" borderId="225" xfId="11" applyNumberFormat="1" applyFont="1" applyFill="1" applyBorder="1" applyAlignment="1">
      <alignment horizontal="left"/>
    </xf>
    <xf numFmtId="38" fontId="88" fillId="51" borderId="226" xfId="11" applyNumberFormat="1" applyFont="1" applyFill="1" applyBorder="1" applyAlignment="1">
      <alignment horizontal="center"/>
    </xf>
    <xf numFmtId="38" fontId="88" fillId="0" borderId="227" xfId="11" applyNumberFormat="1" applyFont="1" applyFill="1" applyBorder="1" applyAlignment="1">
      <alignment horizontal="center"/>
    </xf>
    <xf numFmtId="38" fontId="88" fillId="0" borderId="228" xfId="11" applyNumberFormat="1" applyFont="1" applyFill="1" applyBorder="1" applyAlignment="1">
      <alignment horizontal="center"/>
    </xf>
    <xf numFmtId="38" fontId="88" fillId="0" borderId="229" xfId="11" applyNumberFormat="1" applyFont="1" applyFill="1" applyBorder="1" applyAlignment="1">
      <alignment horizontal="center"/>
    </xf>
    <xf numFmtId="38" fontId="88" fillId="0" borderId="230" xfId="11" applyNumberFormat="1" applyFont="1" applyFill="1" applyBorder="1" applyAlignment="1">
      <alignment horizontal="center"/>
    </xf>
    <xf numFmtId="38" fontId="88" fillId="0" borderId="231" xfId="11" applyNumberFormat="1" applyFont="1" applyFill="1" applyBorder="1" applyAlignment="1">
      <alignment horizontal="center"/>
    </xf>
    <xf numFmtId="38" fontId="88" fillId="0" borderId="225" xfId="11" applyNumberFormat="1" applyFont="1" applyFill="1" applyBorder="1" applyAlignment="1">
      <alignment horizontal="center"/>
    </xf>
    <xf numFmtId="38" fontId="88" fillId="0" borderId="232" xfId="11" applyNumberFormat="1" applyFont="1" applyFill="1" applyBorder="1" applyAlignment="1">
      <alignment horizontal="center"/>
    </xf>
    <xf numFmtId="38" fontId="89" fillId="51" borderId="233" xfId="10" applyNumberFormat="1" applyFont="1" applyFill="1" applyBorder="1" applyAlignment="1">
      <alignment horizontal="left" vertical="top" wrapText="1"/>
    </xf>
    <xf numFmtId="38" fontId="89" fillId="51" borderId="234" xfId="10" applyNumberFormat="1" applyFont="1" applyFill="1" applyBorder="1" applyAlignment="1">
      <alignment vertical="top"/>
    </xf>
    <xf numFmtId="38" fontId="88" fillId="0" borderId="235" xfId="11" applyNumberFormat="1" applyFont="1" applyFill="1" applyBorder="1" applyAlignment="1">
      <alignment horizontal="center"/>
    </xf>
    <xf numFmtId="38" fontId="89" fillId="0" borderId="236" xfId="11" applyNumberFormat="1" applyFont="1" applyFill="1" applyBorder="1" applyAlignment="1">
      <alignment horizontal="center"/>
    </xf>
    <xf numFmtId="38" fontId="88" fillId="0" borderId="237" xfId="11" applyNumberFormat="1" applyFont="1" applyFill="1" applyBorder="1" applyAlignment="1">
      <alignment horizontal="center"/>
    </xf>
    <xf numFmtId="38" fontId="89" fillId="0" borderId="238" xfId="11" applyNumberFormat="1" applyFont="1" applyFill="1" applyBorder="1" applyAlignment="1">
      <alignment horizontal="center"/>
    </xf>
    <xf numFmtId="38" fontId="88" fillId="52" borderId="237" xfId="11" applyNumberFormat="1" applyFont="1" applyFill="1" applyBorder="1" applyAlignment="1">
      <alignment horizontal="center"/>
    </xf>
    <xf numFmtId="38" fontId="89" fillId="52" borderId="185" xfId="11" applyNumberFormat="1" applyFont="1" applyFill="1" applyBorder="1" applyAlignment="1">
      <alignment horizontal="center"/>
    </xf>
    <xf numFmtId="38" fontId="88" fillId="0" borderId="233" xfId="11" applyNumberFormat="1" applyFont="1" applyFill="1" applyBorder="1" applyAlignment="1">
      <alignment horizontal="center"/>
    </xf>
    <xf numFmtId="38" fontId="89" fillId="0" borderId="239" xfId="11" applyNumberFormat="1" applyFont="1" applyFill="1" applyBorder="1" applyAlignment="1">
      <alignment horizontal="center"/>
    </xf>
    <xf numFmtId="38" fontId="89" fillId="51" borderId="144" xfId="10" applyNumberFormat="1" applyFont="1" applyFill="1" applyBorder="1" applyAlignment="1">
      <alignment horizontal="left" vertical="top" wrapText="1"/>
    </xf>
    <xf numFmtId="38" fontId="89" fillId="51" borderId="145" xfId="10" applyNumberFormat="1" applyFont="1" applyFill="1" applyBorder="1" applyAlignment="1">
      <alignment horizontal="left" vertical="top"/>
    </xf>
    <xf numFmtId="38" fontId="88" fillId="52" borderId="149" xfId="11" applyNumberFormat="1" applyFont="1" applyFill="1" applyBorder="1" applyAlignment="1">
      <alignment horizontal="center"/>
    </xf>
    <xf numFmtId="38" fontId="89" fillId="52" borderId="149" xfId="11" applyNumberFormat="1" applyFont="1" applyFill="1" applyBorder="1" applyAlignment="1">
      <alignment horizontal="center"/>
    </xf>
    <xf numFmtId="38" fontId="89" fillId="0" borderId="144" xfId="11" applyNumberFormat="1" applyFont="1" applyFill="1" applyBorder="1" applyAlignment="1">
      <alignment horizontal="center"/>
    </xf>
    <xf numFmtId="38" fontId="89" fillId="51" borderId="145" xfId="10" applyNumberFormat="1" applyFont="1" applyFill="1" applyBorder="1" applyAlignment="1">
      <alignment vertical="top"/>
    </xf>
    <xf numFmtId="38" fontId="89" fillId="52" borderId="237" xfId="11" applyNumberFormat="1" applyFont="1" applyFill="1" applyBorder="1" applyAlignment="1">
      <alignment horizontal="center"/>
    </xf>
    <xf numFmtId="38" fontId="89" fillId="0" borderId="233" xfId="11" applyNumberFormat="1" applyFont="1" applyFill="1" applyBorder="1" applyAlignment="1">
      <alignment horizontal="center"/>
    </xf>
    <xf numFmtId="38" fontId="89" fillId="0" borderId="237" xfId="11" applyNumberFormat="1" applyFont="1" applyFill="1" applyBorder="1" applyAlignment="1">
      <alignment horizontal="center"/>
    </xf>
    <xf numFmtId="38" fontId="89" fillId="52" borderId="54" xfId="11" applyNumberFormat="1" applyFont="1" applyFill="1" applyBorder="1" applyAlignment="1">
      <alignment horizontal="center"/>
    </xf>
    <xf numFmtId="38" fontId="89" fillId="51" borderId="189" xfId="10" applyNumberFormat="1" applyFont="1" applyFill="1" applyBorder="1" applyAlignment="1">
      <alignment horizontal="left" vertical="top" wrapText="1"/>
    </xf>
    <xf numFmtId="38" fontId="89" fillId="51" borderId="190" xfId="10" applyNumberFormat="1" applyFont="1" applyFill="1" applyBorder="1" applyAlignment="1">
      <alignment vertical="top"/>
    </xf>
    <xf numFmtId="38" fontId="88" fillId="0" borderId="240" xfId="11" applyNumberFormat="1" applyFont="1" applyFill="1" applyBorder="1" applyAlignment="1">
      <alignment horizontal="center"/>
    </xf>
    <xf numFmtId="38" fontId="89" fillId="0" borderId="241" xfId="11" applyNumberFormat="1" applyFont="1" applyFill="1" applyBorder="1" applyAlignment="1">
      <alignment horizontal="center"/>
    </xf>
    <xf numFmtId="38" fontId="89" fillId="0" borderId="242" xfId="11" applyNumberFormat="1" applyFont="1" applyFill="1" applyBorder="1" applyAlignment="1">
      <alignment horizontal="center"/>
    </xf>
    <xf numFmtId="38" fontId="88" fillId="0" borderId="243" xfId="11" applyNumberFormat="1" applyFont="1" applyFill="1" applyBorder="1" applyAlignment="1">
      <alignment horizontal="center"/>
    </xf>
    <xf numFmtId="38" fontId="89" fillId="0" borderId="244" xfId="11" applyNumberFormat="1" applyFont="1" applyFill="1" applyBorder="1" applyAlignment="1">
      <alignment horizontal="center"/>
    </xf>
    <xf numFmtId="38" fontId="88" fillId="52" borderId="243" xfId="11" applyNumberFormat="1" applyFont="1" applyFill="1" applyBorder="1" applyAlignment="1">
      <alignment horizontal="center"/>
    </xf>
    <xf numFmtId="38" fontId="89" fillId="52" borderId="195" xfId="11" applyNumberFormat="1" applyFont="1" applyFill="1" applyBorder="1" applyAlignment="1">
      <alignment horizontal="center"/>
    </xf>
    <xf numFmtId="38" fontId="88" fillId="0" borderId="245" xfId="11" applyNumberFormat="1" applyFont="1" applyFill="1" applyBorder="1" applyAlignment="1">
      <alignment horizontal="center"/>
    </xf>
    <xf numFmtId="38" fontId="89" fillId="0" borderId="246" xfId="11" applyNumberFormat="1" applyFont="1" applyFill="1" applyBorder="1" applyAlignment="1">
      <alignment horizontal="center"/>
    </xf>
    <xf numFmtId="38" fontId="89" fillId="0" borderId="189" xfId="11" applyNumberFormat="1" applyFont="1" applyFill="1" applyBorder="1" applyAlignment="1">
      <alignment horizontal="center"/>
    </xf>
    <xf numFmtId="38" fontId="89" fillId="19" borderId="247" xfId="11" applyNumberFormat="1" applyFont="1" applyFill="1" applyBorder="1" applyAlignment="1">
      <alignment horizontal="center"/>
    </xf>
    <xf numFmtId="38" fontId="88" fillId="53" borderId="0" xfId="11" applyNumberFormat="1" applyFont="1" applyFill="1" applyBorder="1" applyAlignment="1">
      <alignment horizontal="left"/>
    </xf>
    <xf numFmtId="38" fontId="88" fillId="53" borderId="126" xfId="11" applyNumberFormat="1" applyFont="1" applyFill="1" applyBorder="1" applyAlignment="1">
      <alignment horizontal="center"/>
    </xf>
    <xf numFmtId="38" fontId="88" fillId="0" borderId="248" xfId="11" applyNumberFormat="1" applyFont="1" applyFill="1" applyBorder="1" applyAlignment="1">
      <alignment horizontal="center"/>
    </xf>
    <xf numFmtId="38" fontId="88" fillId="0" borderId="249" xfId="11" applyNumberFormat="1" applyFont="1" applyFill="1" applyBorder="1" applyAlignment="1">
      <alignment horizontal="center"/>
    </xf>
    <xf numFmtId="38" fontId="88" fillId="0" borderId="74" xfId="11" applyNumberFormat="1" applyFont="1" applyFill="1" applyBorder="1" applyAlignment="1">
      <alignment horizontal="center"/>
    </xf>
    <xf numFmtId="38" fontId="88" fillId="0" borderId="250" xfId="11" applyNumberFormat="1" applyFont="1" applyFill="1" applyBorder="1" applyAlignment="1">
      <alignment horizontal="center"/>
    </xf>
    <xf numFmtId="38" fontId="88" fillId="0" borderId="11" xfId="11" applyNumberFormat="1" applyFont="1" applyFill="1" applyBorder="1" applyAlignment="1">
      <alignment horizontal="center"/>
    </xf>
    <xf numFmtId="38" fontId="88" fillId="0" borderId="251" xfId="11" applyNumberFormat="1" applyFont="1" applyFill="1" applyBorder="1" applyAlignment="1">
      <alignment horizontal="center"/>
    </xf>
    <xf numFmtId="38" fontId="88" fillId="19" borderId="252" xfId="11" applyNumberFormat="1" applyFont="1" applyFill="1" applyBorder="1" applyAlignment="1">
      <alignment horizontal="center"/>
    </xf>
    <xf numFmtId="38" fontId="89" fillId="53" borderId="179" xfId="10" applyNumberFormat="1" applyFont="1" applyFill="1" applyBorder="1" applyAlignment="1">
      <alignment horizontal="left" vertical="top" wrapText="1"/>
    </xf>
    <xf numFmtId="38" fontId="88" fillId="53" borderId="180" xfId="11" applyNumberFormat="1" applyFont="1" applyFill="1" applyBorder="1" applyAlignment="1">
      <alignment horizontal="center"/>
    </xf>
    <xf numFmtId="38" fontId="88" fillId="0" borderId="182" xfId="11" applyNumberFormat="1" applyFont="1" applyFill="1" applyBorder="1" applyAlignment="1">
      <alignment horizontal="center"/>
    </xf>
    <xf numFmtId="38" fontId="89" fillId="53" borderId="233" xfId="10" applyNumberFormat="1" applyFont="1" applyFill="1" applyBorder="1" applyAlignment="1">
      <alignment horizontal="left" vertical="top" wrapText="1"/>
    </xf>
    <xf numFmtId="38" fontId="88" fillId="53" borderId="234" xfId="11" applyNumberFormat="1" applyFont="1" applyFill="1" applyBorder="1" applyAlignment="1">
      <alignment horizontal="center"/>
    </xf>
    <xf numFmtId="38" fontId="88" fillId="0" borderId="238" xfId="11" applyNumberFormat="1" applyFont="1" applyFill="1" applyBorder="1" applyAlignment="1">
      <alignment horizontal="center"/>
    </xf>
    <xf numFmtId="38" fontId="88" fillId="0" borderId="188" xfId="11" applyNumberFormat="1" applyFont="1" applyFill="1" applyBorder="1" applyAlignment="1">
      <alignment horizontal="center"/>
    </xf>
    <xf numFmtId="38" fontId="89" fillId="53" borderId="144" xfId="10" applyNumberFormat="1" applyFont="1" applyFill="1" applyBorder="1" applyAlignment="1">
      <alignment horizontal="left" vertical="top" wrapText="1"/>
    </xf>
    <xf numFmtId="38" fontId="88" fillId="53" borderId="145" xfId="11" applyNumberFormat="1" applyFont="1" applyFill="1" applyBorder="1" applyAlignment="1">
      <alignment horizontal="center"/>
    </xf>
    <xf numFmtId="38" fontId="89" fillId="53" borderId="145" xfId="10" applyNumberFormat="1" applyFont="1" applyFill="1" applyBorder="1" applyAlignment="1">
      <alignment vertical="top"/>
    </xf>
    <xf numFmtId="38" fontId="89" fillId="53" borderId="144" xfId="11" applyNumberFormat="1" applyFont="1" applyFill="1" applyBorder="1" applyAlignment="1">
      <alignment horizontal="left"/>
    </xf>
    <xf numFmtId="38" fontId="89" fillId="53" borderId="189" xfId="11" applyNumberFormat="1" applyFont="1" applyFill="1" applyBorder="1" applyAlignment="1">
      <alignment horizontal="left"/>
    </xf>
    <xf numFmtId="38" fontId="88" fillId="53" borderId="190" xfId="11" applyNumberFormat="1" applyFont="1" applyFill="1" applyBorder="1" applyAlignment="1">
      <alignment horizontal="center"/>
    </xf>
    <xf numFmtId="38" fontId="88" fillId="0" borderId="192" xfId="11" applyNumberFormat="1" applyFont="1" applyFill="1" applyBorder="1" applyAlignment="1">
      <alignment horizontal="center"/>
    </xf>
    <xf numFmtId="38" fontId="88" fillId="0" borderId="193" xfId="11" applyNumberFormat="1" applyFont="1" applyFill="1" applyBorder="1" applyAlignment="1">
      <alignment horizontal="center"/>
    </xf>
    <xf numFmtId="38" fontId="88" fillId="54" borderId="11" xfId="11" applyNumberFormat="1" applyFont="1" applyFill="1" applyBorder="1" applyAlignment="1">
      <alignment horizontal="left"/>
    </xf>
    <xf numFmtId="38" fontId="88" fillId="54" borderId="253" xfId="11" applyNumberFormat="1" applyFont="1" applyFill="1" applyBorder="1" applyAlignment="1">
      <alignment horizontal="center"/>
    </xf>
    <xf numFmtId="38" fontId="88" fillId="51" borderId="11" xfId="11" applyNumberFormat="1" applyFont="1" applyFill="1" applyBorder="1" applyAlignment="1">
      <alignment horizontal="left"/>
    </xf>
    <xf numFmtId="38" fontId="88" fillId="51" borderId="253" xfId="11" applyNumberFormat="1" applyFont="1" applyFill="1" applyBorder="1" applyAlignment="1">
      <alignment horizontal="center"/>
    </xf>
    <xf numFmtId="38" fontId="89" fillId="51" borderId="179" xfId="10" applyNumberFormat="1" applyFont="1" applyFill="1" applyBorder="1" applyAlignment="1">
      <alignment horizontal="left" vertical="top" wrapText="1"/>
    </xf>
    <xf numFmtId="38" fontId="88" fillId="51" borderId="180" xfId="11" applyNumberFormat="1" applyFont="1" applyFill="1" applyBorder="1" applyAlignment="1">
      <alignment horizontal="center"/>
    </xf>
    <xf numFmtId="38" fontId="88" fillId="51" borderId="190" xfId="11" applyNumberFormat="1" applyFont="1" applyFill="1" applyBorder="1" applyAlignment="1">
      <alignment horizontal="center"/>
    </xf>
    <xf numFmtId="38" fontId="88" fillId="51" borderId="10" xfId="11" applyNumberFormat="1" applyFont="1" applyFill="1" applyBorder="1" applyAlignment="1">
      <alignment horizontal="left"/>
    </xf>
    <xf numFmtId="38" fontId="88" fillId="51" borderId="205" xfId="11" applyNumberFormat="1" applyFont="1" applyFill="1" applyBorder="1" applyAlignment="1">
      <alignment horizontal="center"/>
    </xf>
    <xf numFmtId="38" fontId="88" fillId="0" borderId="207" xfId="11" applyNumberFormat="1" applyFont="1" applyFill="1" applyBorder="1" applyAlignment="1">
      <alignment horizontal="center"/>
    </xf>
    <xf numFmtId="38" fontId="88" fillId="0" borderId="208" xfId="11" applyNumberFormat="1" applyFont="1" applyFill="1" applyBorder="1" applyAlignment="1">
      <alignment horizontal="center"/>
    </xf>
    <xf numFmtId="38" fontId="88" fillId="0" borderId="209" xfId="11" applyNumberFormat="1" applyFont="1" applyFill="1" applyBorder="1" applyAlignment="1">
      <alignment horizontal="center"/>
    </xf>
    <xf numFmtId="38" fontId="88" fillId="0" borderId="75" xfId="11" applyNumberFormat="1" applyFont="1" applyFill="1" applyBorder="1" applyAlignment="1">
      <alignment horizontal="center"/>
    </xf>
    <xf numFmtId="38" fontId="88" fillId="51" borderId="189" xfId="10" applyNumberFormat="1" applyFont="1" applyFill="1" applyBorder="1" applyAlignment="1">
      <alignment horizontal="left" vertical="top" wrapText="1"/>
    </xf>
    <xf numFmtId="38" fontId="88" fillId="19" borderId="197" xfId="11" applyNumberFormat="1" applyFont="1" applyFill="1" applyBorder="1" applyAlignment="1">
      <alignment horizontal="center"/>
    </xf>
    <xf numFmtId="38" fontId="88" fillId="0" borderId="217" xfId="11" applyNumberFormat="1" applyFont="1" applyFill="1" applyBorder="1" applyAlignment="1">
      <alignment horizontal="left"/>
    </xf>
    <xf numFmtId="38" fontId="88" fillId="0" borderId="218" xfId="11" applyNumberFormat="1" applyFont="1" applyFill="1" applyBorder="1" applyAlignment="1">
      <alignment horizontal="center"/>
    </xf>
    <xf numFmtId="38" fontId="88" fillId="0" borderId="219" xfId="11" applyNumberFormat="1" applyFont="1" applyFill="1" applyBorder="1" applyAlignment="1">
      <alignment horizontal="center"/>
    </xf>
    <xf numFmtId="38" fontId="88" fillId="0" borderId="220" xfId="11" applyNumberFormat="1" applyFont="1" applyFill="1" applyBorder="1" applyAlignment="1">
      <alignment horizontal="center"/>
    </xf>
    <xf numFmtId="38" fontId="88" fillId="0" borderId="221" xfId="11" applyNumberFormat="1" applyFont="1" applyFill="1" applyBorder="1" applyAlignment="1">
      <alignment horizontal="center"/>
    </xf>
    <xf numFmtId="38" fontId="88" fillId="0" borderId="223" xfId="11" applyNumberFormat="1" applyFont="1" applyFill="1" applyBorder="1" applyAlignment="1">
      <alignment horizontal="center"/>
    </xf>
    <xf numFmtId="38" fontId="88" fillId="0" borderId="222" xfId="11" applyNumberFormat="1" applyFont="1" applyFill="1" applyBorder="1" applyAlignment="1">
      <alignment horizontal="center"/>
    </xf>
    <xf numFmtId="38" fontId="88" fillId="0" borderId="217" xfId="11" applyNumberFormat="1" applyFont="1" applyFill="1" applyBorder="1" applyAlignment="1">
      <alignment horizontal="center"/>
    </xf>
    <xf numFmtId="38" fontId="88" fillId="0" borderId="254" xfId="11" applyNumberFormat="1" applyFont="1" applyFill="1" applyBorder="1" applyAlignment="1">
      <alignment horizontal="center"/>
    </xf>
    <xf numFmtId="0" fontId="90" fillId="0" borderId="0" xfId="0" applyFont="1"/>
    <xf numFmtId="0" fontId="11" fillId="0" borderId="0" xfId="0" applyFont="1"/>
    <xf numFmtId="165" fontId="0" fillId="0" borderId="0" xfId="0" applyNumberFormat="1" applyFont="1" applyBorder="1" applyAlignment="1">
      <alignment vertical="center"/>
    </xf>
    <xf numFmtId="0" fontId="0" fillId="0" borderId="0" xfId="0" applyNumberFormat="1" applyBorder="1" applyAlignment="1">
      <alignment vertical="center"/>
    </xf>
    <xf numFmtId="0" fontId="9" fillId="0" borderId="8" xfId="0" applyFont="1" applyFill="1" applyBorder="1" applyAlignment="1">
      <alignment horizontal="center" vertical="center"/>
    </xf>
    <xf numFmtId="0" fontId="0" fillId="0" borderId="13" xfId="0" applyBorder="1" applyAlignment="1">
      <alignment horizontal="center"/>
    </xf>
    <xf numFmtId="0" fontId="0" fillId="0" borderId="75" xfId="0" applyBorder="1"/>
    <xf numFmtId="0" fontId="0" fillId="0" borderId="10" xfId="0" applyBorder="1"/>
    <xf numFmtId="0" fontId="0" fillId="0" borderId="52" xfId="0" applyFont="1" applyFill="1" applyBorder="1"/>
    <xf numFmtId="10" fontId="0" fillId="0" borderId="0" xfId="0" applyNumberFormat="1" applyFont="1" applyFill="1" applyBorder="1"/>
    <xf numFmtId="182" fontId="24" fillId="0" borderId="0" xfId="3" applyNumberFormat="1" applyFont="1" applyFill="1" applyBorder="1"/>
    <xf numFmtId="182" fontId="0" fillId="0" borderId="0" xfId="0" applyNumberFormat="1" applyFont="1" applyFill="1" applyBorder="1"/>
    <xf numFmtId="0" fontId="0" fillId="0" borderId="76" xfId="0" applyBorder="1"/>
    <xf numFmtId="166" fontId="0" fillId="0" borderId="13" xfId="1" applyNumberFormat="1" applyFont="1" applyBorder="1"/>
    <xf numFmtId="0" fontId="9" fillId="0" borderId="251" xfId="0" applyFont="1" applyBorder="1" applyAlignment="1">
      <alignment horizontal="left"/>
    </xf>
    <xf numFmtId="0" fontId="9" fillId="0" borderId="11" xfId="0" applyFont="1" applyBorder="1" applyAlignment="1">
      <alignment horizontal="right"/>
    </xf>
    <xf numFmtId="0" fontId="9" fillId="0" borderId="251" xfId="0" applyFont="1" applyBorder="1" applyAlignment="1">
      <alignment horizontal="right"/>
    </xf>
    <xf numFmtId="0" fontId="9" fillId="0" borderId="255" xfId="0" applyFont="1" applyBorder="1" applyAlignment="1">
      <alignment horizontal="right"/>
    </xf>
    <xf numFmtId="0" fontId="0" fillId="0" borderId="256" xfId="0" applyBorder="1"/>
    <xf numFmtId="9" fontId="0" fillId="0" borderId="52" xfId="0" applyNumberFormat="1" applyBorder="1"/>
    <xf numFmtId="0" fontId="0" fillId="0" borderId="53" xfId="0" applyBorder="1"/>
    <xf numFmtId="9" fontId="0" fillId="0" borderId="52" xfId="0" applyNumberFormat="1" applyFill="1" applyBorder="1"/>
    <xf numFmtId="0" fontId="0" fillId="0" borderId="53" xfId="0" applyFill="1" applyBorder="1"/>
    <xf numFmtId="0" fontId="0" fillId="0" borderId="76" xfId="0" applyFont="1" applyFill="1" applyBorder="1"/>
    <xf numFmtId="0" fontId="0" fillId="0" borderId="73" xfId="0" applyFont="1" applyFill="1" applyBorder="1"/>
    <xf numFmtId="9" fontId="0" fillId="0" borderId="76" xfId="0" applyNumberFormat="1" applyFill="1" applyBorder="1"/>
    <xf numFmtId="0" fontId="0" fillId="0" borderId="257" xfId="0" applyFill="1" applyBorder="1"/>
    <xf numFmtId="0" fontId="24" fillId="0" borderId="0" xfId="17"/>
    <xf numFmtId="0" fontId="90" fillId="0" borderId="0" xfId="17" applyFont="1"/>
    <xf numFmtId="0" fontId="24" fillId="0" borderId="0" xfId="17" applyAlignment="1">
      <alignment vertical="center"/>
    </xf>
    <xf numFmtId="0" fontId="9" fillId="0" borderId="258" xfId="17" applyFont="1" applyBorder="1" applyAlignment="1">
      <alignment horizontal="left" vertical="center"/>
    </xf>
    <xf numFmtId="0" fontId="9" fillId="0" borderId="258" xfId="17" applyFont="1" applyBorder="1" applyAlignment="1">
      <alignment horizontal="center" vertical="center"/>
    </xf>
    <xf numFmtId="0" fontId="24" fillId="19" borderId="0" xfId="17" applyFill="1" applyAlignment="1"/>
    <xf numFmtId="0" fontId="92" fillId="3" borderId="1" xfId="18" applyAlignment="1">
      <alignment horizontal="center" vertical="center"/>
    </xf>
    <xf numFmtId="190" fontId="0" fillId="0" borderId="0" xfId="19" applyNumberFormat="1" applyFont="1" applyAlignment="1">
      <alignment vertical="center"/>
    </xf>
    <xf numFmtId="0" fontId="5" fillId="0" borderId="0" xfId="17" applyFont="1" applyAlignment="1">
      <alignment vertical="center"/>
    </xf>
    <xf numFmtId="0" fontId="24" fillId="0" borderId="0" xfId="17" applyBorder="1" applyAlignment="1">
      <alignment vertical="center"/>
    </xf>
    <xf numFmtId="0" fontId="93" fillId="0" borderId="0" xfId="17" applyFont="1" applyBorder="1" applyAlignment="1">
      <alignment horizontal="left" vertical="center"/>
    </xf>
    <xf numFmtId="190" fontId="24" fillId="0" borderId="0" xfId="17" applyNumberFormat="1" applyBorder="1" applyAlignment="1">
      <alignment vertical="center"/>
    </xf>
    <xf numFmtId="0" fontId="24" fillId="0" borderId="0" xfId="17" applyFill="1" applyBorder="1" applyAlignment="1">
      <alignment vertical="center"/>
    </xf>
    <xf numFmtId="180" fontId="24" fillId="0" borderId="0" xfId="17" applyNumberFormat="1" applyFill="1" applyBorder="1" applyAlignment="1">
      <alignment vertical="center"/>
    </xf>
    <xf numFmtId="174" fontId="24" fillId="0" borderId="0" xfId="17" applyNumberFormat="1" applyFill="1" applyBorder="1" applyAlignment="1">
      <alignment vertical="center"/>
    </xf>
    <xf numFmtId="0" fontId="94" fillId="0" borderId="0" xfId="17" applyFont="1" applyFill="1" applyBorder="1"/>
    <xf numFmtId="0" fontId="95" fillId="0" borderId="0" xfId="17" applyFont="1" applyFill="1" applyBorder="1" applyAlignment="1">
      <alignment horizontal="left"/>
    </xf>
    <xf numFmtId="0" fontId="96" fillId="0" borderId="0" xfId="17" applyFont="1" applyFill="1" applyBorder="1" applyAlignment="1">
      <alignment horizontal="left"/>
    </xf>
    <xf numFmtId="0" fontId="94" fillId="0" borderId="0" xfId="17" quotePrefix="1" applyFont="1" applyFill="1" applyBorder="1"/>
    <xf numFmtId="0" fontId="97" fillId="0" borderId="0" xfId="17" applyFont="1" applyFill="1" applyBorder="1" applyAlignment="1">
      <alignment horizontal="left"/>
    </xf>
    <xf numFmtId="0" fontId="97" fillId="0" borderId="0" xfId="17" applyFont="1" applyFill="1" applyBorder="1" applyAlignment="1">
      <alignment horizontal="right"/>
    </xf>
    <xf numFmtId="193" fontId="24" fillId="0" borderId="0" xfId="17" applyNumberFormat="1" applyFill="1" applyBorder="1" applyAlignment="1">
      <alignment vertical="center"/>
    </xf>
    <xf numFmtId="0" fontId="24" fillId="0" borderId="0" xfId="17" applyFill="1" applyBorder="1"/>
    <xf numFmtId="194" fontId="97" fillId="0" borderId="0" xfId="17" applyNumberFormat="1" applyFont="1" applyFill="1" applyBorder="1" applyAlignment="1">
      <alignment horizontal="right"/>
    </xf>
    <xf numFmtId="179" fontId="97" fillId="0" borderId="0" xfId="17" applyNumberFormat="1" applyFont="1" applyFill="1" applyBorder="1" applyAlignment="1">
      <alignment horizontal="right"/>
    </xf>
    <xf numFmtId="0" fontId="11" fillId="0" borderId="0" xfId="17" applyFont="1" applyFill="1" applyBorder="1" applyAlignment="1">
      <alignment vertical="center"/>
    </xf>
    <xf numFmtId="2" fontId="24" fillId="0" borderId="0" xfId="17" applyNumberFormat="1" applyFill="1" applyBorder="1" applyAlignment="1">
      <alignment vertical="center"/>
    </xf>
    <xf numFmtId="179" fontId="0" fillId="0" borderId="0" xfId="20" applyNumberFormat="1" applyFont="1" applyFill="1" applyBorder="1" applyAlignment="1">
      <alignment vertical="center"/>
    </xf>
    <xf numFmtId="0" fontId="24" fillId="0" borderId="0" xfId="17" applyFont="1" applyFill="1" applyBorder="1"/>
    <xf numFmtId="0" fontId="24" fillId="0" borderId="0" xfId="17" applyNumberFormat="1" applyFont="1" applyFill="1" applyBorder="1" applyAlignment="1">
      <alignment vertical="center"/>
    </xf>
    <xf numFmtId="0" fontId="24" fillId="0" borderId="0" xfId="17" applyFont="1" applyFill="1" applyBorder="1" applyAlignment="1">
      <alignment vertical="center"/>
    </xf>
    <xf numFmtId="177" fontId="0" fillId="0" borderId="0" xfId="19" applyNumberFormat="1" applyFont="1" applyFill="1" applyBorder="1" applyAlignment="1">
      <alignment horizontal="center" vertical="center"/>
    </xf>
    <xf numFmtId="177" fontId="0" fillId="0" borderId="0" xfId="19" applyNumberFormat="1" applyFont="1" applyFill="1" applyBorder="1" applyAlignment="1">
      <alignment horizontal="center"/>
    </xf>
    <xf numFmtId="0" fontId="24" fillId="0" borderId="13" xfId="17" applyBorder="1" applyAlignment="1">
      <alignment vertical="center"/>
    </xf>
    <xf numFmtId="0" fontId="93" fillId="0" borderId="13" xfId="17" applyFont="1" applyBorder="1" applyAlignment="1">
      <alignment horizontal="left" vertical="center"/>
    </xf>
    <xf numFmtId="190" fontId="24" fillId="0" borderId="13" xfId="17" applyNumberFormat="1" applyBorder="1" applyAlignment="1">
      <alignment vertical="center"/>
    </xf>
    <xf numFmtId="174" fontId="24" fillId="0" borderId="0" xfId="17" applyNumberFormat="1" applyFill="1" applyBorder="1"/>
    <xf numFmtId="11" fontId="24" fillId="0" borderId="0" xfId="17" applyNumberFormat="1"/>
    <xf numFmtId="0" fontId="9" fillId="0" borderId="0" xfId="17" applyFont="1" applyFill="1" applyBorder="1"/>
    <xf numFmtId="0" fontId="13" fillId="0" borderId="0" xfId="17" applyNumberFormat="1" applyFont="1" applyFill="1" applyBorder="1" applyAlignment="1">
      <alignment horizontal="right" vertical="center"/>
    </xf>
    <xf numFmtId="0" fontId="5" fillId="0" borderId="0" xfId="17" applyFont="1"/>
    <xf numFmtId="164" fontId="0" fillId="0" borderId="0" xfId="19" applyFont="1" applyFill="1" applyBorder="1" applyAlignment="1">
      <alignment vertical="center"/>
    </xf>
    <xf numFmtId="0" fontId="24" fillId="0" borderId="259" xfId="17" applyBorder="1"/>
    <xf numFmtId="0" fontId="93" fillId="0" borderId="259" xfId="17" applyFont="1" applyFill="1" applyBorder="1" applyAlignment="1">
      <alignment horizontal="left" vertical="center"/>
    </xf>
    <xf numFmtId="190" fontId="24" fillId="0" borderId="259" xfId="17" applyNumberFormat="1" applyBorder="1"/>
    <xf numFmtId="195" fontId="97" fillId="0" borderId="0" xfId="17" applyNumberFormat="1" applyFont="1" applyFill="1" applyBorder="1" applyAlignment="1">
      <alignment horizontal="left"/>
    </xf>
    <xf numFmtId="0" fontId="24" fillId="0" borderId="0" xfId="17" applyFill="1" applyBorder="1" applyAlignment="1"/>
    <xf numFmtId="0" fontId="98" fillId="0" borderId="0" xfId="17" applyFont="1" applyFill="1" applyBorder="1" applyAlignment="1">
      <alignment horizontal="left"/>
    </xf>
    <xf numFmtId="0" fontId="24" fillId="0" borderId="0" xfId="17" applyBorder="1"/>
    <xf numFmtId="165" fontId="0" fillId="0" borderId="0" xfId="19" applyNumberFormat="1" applyFont="1" applyBorder="1" applyAlignment="1">
      <alignment vertical="center"/>
    </xf>
    <xf numFmtId="0" fontId="93" fillId="0" borderId="0" xfId="17" applyFont="1" applyFill="1" applyBorder="1" applyAlignment="1">
      <alignment horizontal="left" vertical="center"/>
    </xf>
    <xf numFmtId="165" fontId="0" fillId="0" borderId="0" xfId="19" applyNumberFormat="1" applyFont="1"/>
    <xf numFmtId="0" fontId="24" fillId="0" borderId="13" xfId="17" applyBorder="1"/>
    <xf numFmtId="0" fontId="93" fillId="0" borderId="13" xfId="17" applyFont="1" applyFill="1" applyBorder="1" applyAlignment="1">
      <alignment horizontal="left" vertical="center"/>
    </xf>
    <xf numFmtId="165" fontId="0" fillId="0" borderId="13" xfId="19" applyNumberFormat="1" applyFont="1" applyBorder="1" applyAlignment="1">
      <alignment vertical="center"/>
    </xf>
    <xf numFmtId="0" fontId="24" fillId="0" borderId="0" xfId="17" applyFill="1" applyBorder="1" applyAlignment="1">
      <alignment horizontal="left"/>
    </xf>
    <xf numFmtId="1" fontId="0" fillId="0" borderId="0" xfId="19" applyNumberFormat="1" applyFont="1" applyFill="1" applyBorder="1" applyAlignment="1">
      <alignment horizontal="right"/>
    </xf>
    <xf numFmtId="1" fontId="24" fillId="0" borderId="0" xfId="17" applyNumberFormat="1" applyFill="1" applyBorder="1" applyAlignment="1">
      <alignment horizontal="right"/>
    </xf>
    <xf numFmtId="0" fontId="24" fillId="0" borderId="0" xfId="17" applyFill="1" applyBorder="1" applyAlignment="1">
      <alignment horizontal="right"/>
    </xf>
    <xf numFmtId="190" fontId="24" fillId="0" borderId="0" xfId="17" applyNumberFormat="1" applyFill="1" applyBorder="1" applyAlignment="1">
      <alignment vertical="center"/>
    </xf>
    <xf numFmtId="190" fontId="24" fillId="0" borderId="0" xfId="17" applyNumberFormat="1" applyBorder="1"/>
    <xf numFmtId="11" fontId="0" fillId="0" borderId="0" xfId="19" applyNumberFormat="1" applyFont="1" applyBorder="1" applyAlignment="1">
      <alignment vertical="center"/>
    </xf>
    <xf numFmtId="165" fontId="0" fillId="0" borderId="0" xfId="19" applyNumberFormat="1" applyFont="1" applyBorder="1" applyAlignment="1">
      <alignment horizontal="left" vertical="center"/>
    </xf>
    <xf numFmtId="0" fontId="24" fillId="0" borderId="0" xfId="17" applyBorder="1" applyAlignment="1">
      <alignment horizontal="left" vertical="center"/>
    </xf>
    <xf numFmtId="165" fontId="0" fillId="0" borderId="13" xfId="19" applyNumberFormat="1" applyFont="1" applyBorder="1" applyAlignment="1">
      <alignment horizontal="left" vertical="center"/>
    </xf>
    <xf numFmtId="0" fontId="24" fillId="0" borderId="13" xfId="17" applyBorder="1" applyAlignment="1">
      <alignment horizontal="left" vertical="center"/>
    </xf>
    <xf numFmtId="0" fontId="9" fillId="0" borderId="75" xfId="17" applyFont="1" applyBorder="1" applyAlignment="1">
      <alignment horizontal="left" vertical="center"/>
    </xf>
    <xf numFmtId="0" fontId="9" fillId="0" borderId="10" xfId="17" applyFont="1" applyBorder="1" applyAlignment="1">
      <alignment horizontal="left" vertical="center"/>
    </xf>
    <xf numFmtId="0" fontId="9" fillId="0" borderId="10" xfId="17" applyFont="1" applyBorder="1" applyAlignment="1">
      <alignment horizontal="center" vertical="center"/>
    </xf>
    <xf numFmtId="0" fontId="9" fillId="0" borderId="256" xfId="17" applyFont="1" applyBorder="1" applyAlignment="1">
      <alignment horizontal="center" vertical="center"/>
    </xf>
    <xf numFmtId="0" fontId="24" fillId="0" borderId="52" xfId="17" applyBorder="1" applyAlignment="1">
      <alignment vertical="center"/>
    </xf>
    <xf numFmtId="11" fontId="0" fillId="0" borderId="53" xfId="19" applyNumberFormat="1" applyFont="1" applyBorder="1" applyAlignment="1">
      <alignment vertical="center"/>
    </xf>
    <xf numFmtId="0" fontId="24" fillId="0" borderId="76" xfId="17" applyBorder="1" applyAlignment="1">
      <alignment vertical="center"/>
    </xf>
    <xf numFmtId="11" fontId="0" fillId="0" borderId="257" xfId="19" applyNumberFormat="1" applyFont="1" applyBorder="1" applyAlignment="1">
      <alignment vertical="center"/>
    </xf>
    <xf numFmtId="0" fontId="9" fillId="0" borderId="75" xfId="17" applyFont="1" applyBorder="1"/>
    <xf numFmtId="0" fontId="24" fillId="0" borderId="10" xfId="17" applyBorder="1"/>
    <xf numFmtId="0" fontId="24" fillId="0" borderId="256" xfId="17" applyBorder="1"/>
    <xf numFmtId="0" fontId="24" fillId="0" borderId="52" xfId="17" applyBorder="1"/>
    <xf numFmtId="0" fontId="24" fillId="0" borderId="53" xfId="17" applyBorder="1"/>
    <xf numFmtId="0" fontId="24" fillId="0" borderId="76" xfId="17" applyBorder="1" applyAlignment="1">
      <alignment horizontal="left"/>
    </xf>
    <xf numFmtId="0" fontId="24" fillId="0" borderId="13" xfId="17" applyFill="1" applyBorder="1"/>
    <xf numFmtId="0" fontId="24" fillId="0" borderId="257" xfId="17" applyFill="1" applyBorder="1"/>
    <xf numFmtId="0" fontId="24" fillId="0" borderId="0" xfId="17" applyAlignment="1">
      <alignment horizontal="right"/>
    </xf>
    <xf numFmtId="0" fontId="20" fillId="0" borderId="0" xfId="17" applyFont="1"/>
    <xf numFmtId="0" fontId="9" fillId="0" borderId="258" xfId="17" applyFont="1" applyBorder="1" applyAlignment="1">
      <alignment horizontal="right" vertical="center"/>
    </xf>
    <xf numFmtId="11" fontId="24" fillId="0" borderId="0" xfId="17" applyNumberFormat="1" applyBorder="1" applyAlignment="1">
      <alignment vertical="center"/>
    </xf>
    <xf numFmtId="11" fontId="24" fillId="0" borderId="13" xfId="17" applyNumberFormat="1" applyBorder="1" applyAlignment="1">
      <alignment vertical="center"/>
    </xf>
    <xf numFmtId="0" fontId="24" fillId="0" borderId="0" xfId="17" applyBorder="1" applyAlignment="1">
      <alignment horizontal="right" vertical="center"/>
    </xf>
    <xf numFmtId="0" fontId="9" fillId="0" borderId="12" xfId="17" applyFont="1" applyBorder="1" applyAlignment="1">
      <alignment horizontal="left" vertical="center"/>
    </xf>
    <xf numFmtId="0" fontId="9" fillId="0" borderId="12" xfId="17" applyFont="1" applyBorder="1" applyAlignment="1">
      <alignment horizontal="right" vertical="center"/>
    </xf>
    <xf numFmtId="3" fontId="24" fillId="0" borderId="13" xfId="17" applyNumberFormat="1" applyBorder="1" applyAlignment="1">
      <alignment vertical="center"/>
    </xf>
    <xf numFmtId="0" fontId="24" fillId="0" borderId="20" xfId="17" applyFont="1" applyBorder="1" applyAlignment="1">
      <alignment horizontal="left" vertical="center"/>
    </xf>
    <xf numFmtId="3" fontId="24" fillId="0" borderId="0" xfId="17" applyNumberFormat="1" applyBorder="1" applyAlignment="1">
      <alignment vertical="center"/>
    </xf>
    <xf numFmtId="0" fontId="24" fillId="0" borderId="0" xfId="17" applyFont="1"/>
    <xf numFmtId="0" fontId="24" fillId="0" borderId="0" xfId="17" applyFont="1" applyBorder="1" applyAlignment="1">
      <alignment horizontal="left" vertical="center"/>
    </xf>
    <xf numFmtId="174" fontId="24" fillId="0" borderId="0" xfId="17" applyNumberFormat="1"/>
    <xf numFmtId="0" fontId="22" fillId="0" borderId="0" xfId="17" applyFont="1"/>
    <xf numFmtId="164" fontId="0" fillId="0" borderId="0" xfId="19" applyFont="1" applyAlignment="1">
      <alignment vertical="center"/>
    </xf>
    <xf numFmtId="164" fontId="0" fillId="0" borderId="0" xfId="19" applyFont="1" applyBorder="1" applyAlignment="1">
      <alignment vertical="center"/>
    </xf>
    <xf numFmtId="164" fontId="41" fillId="18" borderId="0" xfId="19" applyFont="1" applyFill="1" applyBorder="1" applyAlignment="1">
      <alignment vertical="center"/>
    </xf>
    <xf numFmtId="164" fontId="41" fillId="18" borderId="0" xfId="19" applyNumberFormat="1" applyFont="1" applyFill="1" applyBorder="1" applyAlignment="1">
      <alignment vertical="center"/>
    </xf>
    <xf numFmtId="1" fontId="13" fillId="21" borderId="8" xfId="0" applyNumberFormat="1" applyFont="1" applyFill="1" applyBorder="1" applyAlignment="1">
      <alignment horizontal="right" vertical="center"/>
    </xf>
    <xf numFmtId="166" fontId="0" fillId="21" borderId="14" xfId="1" applyNumberFormat="1" applyFont="1" applyFill="1" applyBorder="1" applyAlignment="1">
      <alignment horizontal="right" vertical="center"/>
    </xf>
    <xf numFmtId="0" fontId="0" fillId="21" borderId="30" xfId="0" applyFill="1" applyBorder="1"/>
    <xf numFmtId="0" fontId="0" fillId="21" borderId="57" xfId="0" applyNumberFormat="1" applyFont="1" applyFill="1" applyBorder="1" applyAlignment="1">
      <alignment vertical="center"/>
    </xf>
    <xf numFmtId="0" fontId="0" fillId="21" borderId="57" xfId="0" applyFont="1" applyFill="1" applyBorder="1" applyAlignment="1">
      <alignment vertical="center"/>
    </xf>
    <xf numFmtId="181" fontId="0" fillId="21" borderId="57" xfId="1" applyNumberFormat="1" applyFont="1" applyFill="1" applyBorder="1" applyAlignment="1">
      <alignment vertical="center"/>
    </xf>
    <xf numFmtId="0" fontId="9" fillId="21" borderId="10" xfId="0" applyFont="1" applyFill="1" applyBorder="1" applyAlignment="1">
      <alignment vertical="center"/>
    </xf>
    <xf numFmtId="172" fontId="0" fillId="21" borderId="10" xfId="1" applyNumberFormat="1" applyFont="1" applyFill="1" applyBorder="1" applyAlignment="1">
      <alignment horizontal="right" vertical="center"/>
    </xf>
    <xf numFmtId="172" fontId="11" fillId="21" borderId="0" xfId="0" applyNumberFormat="1" applyFont="1" applyFill="1" applyBorder="1" applyAlignment="1">
      <alignment horizontal="right" vertical="center"/>
    </xf>
    <xf numFmtId="0" fontId="11" fillId="21" borderId="13" xfId="0" applyNumberFormat="1" applyFont="1" applyFill="1" applyBorder="1" applyAlignment="1">
      <alignment vertical="center"/>
    </xf>
    <xf numFmtId="172" fontId="11" fillId="21" borderId="13" xfId="0" applyNumberFormat="1" applyFont="1" applyFill="1" applyBorder="1" applyAlignment="1">
      <alignment horizontal="right" vertical="center"/>
    </xf>
    <xf numFmtId="0" fontId="25" fillId="21" borderId="0" xfId="0" applyNumberFormat="1" applyFont="1" applyFill="1" applyBorder="1" applyAlignment="1">
      <alignment vertical="center"/>
    </xf>
    <xf numFmtId="0" fontId="25" fillId="21" borderId="0" xfId="0" applyFont="1" applyFill="1" applyBorder="1" applyAlignment="1">
      <alignment vertical="center"/>
    </xf>
    <xf numFmtId="165" fontId="25" fillId="21" borderId="0" xfId="0" applyNumberFormat="1" applyFont="1" applyFill="1" applyBorder="1" applyAlignment="1">
      <alignment vertical="center"/>
    </xf>
    <xf numFmtId="172" fontId="25" fillId="21" borderId="0" xfId="0" applyNumberFormat="1" applyFont="1" applyFill="1" applyBorder="1" applyAlignment="1">
      <alignment horizontal="right" vertical="center"/>
    </xf>
    <xf numFmtId="0" fontId="31" fillId="20" borderId="30" xfId="0" applyFont="1" applyFill="1" applyBorder="1" applyAlignment="1">
      <alignment horizontal="left" vertical="center" indent="1"/>
    </xf>
    <xf numFmtId="0" fontId="0" fillId="20" borderId="31" xfId="0" applyFill="1" applyBorder="1" applyAlignment="1">
      <alignment vertical="center"/>
    </xf>
    <xf numFmtId="0" fontId="0" fillId="20" borderId="32" xfId="0" applyFill="1" applyBorder="1" applyAlignment="1">
      <alignment vertical="center"/>
    </xf>
    <xf numFmtId="0" fontId="3" fillId="0" borderId="0" xfId="0" applyFont="1" applyFill="1" applyBorder="1" applyAlignment="1"/>
    <xf numFmtId="0" fontId="32" fillId="15" borderId="0" xfId="5" applyFont="1" applyBorder="1" applyAlignment="1">
      <alignment horizontal="left" vertical="center" indent="1"/>
    </xf>
    <xf numFmtId="0" fontId="16" fillId="0" borderId="0" xfId="5" applyFont="1" applyFill="1" applyBorder="1" applyAlignment="1">
      <alignment vertical="center"/>
    </xf>
    <xf numFmtId="0" fontId="32" fillId="21" borderId="6" xfId="0" applyFont="1" applyFill="1" applyBorder="1"/>
    <xf numFmtId="0" fontId="9" fillId="21" borderId="11" xfId="0" applyNumberFormat="1" applyFont="1" applyFill="1" applyBorder="1" applyAlignment="1">
      <alignment horizontal="left" vertical="center"/>
    </xf>
    <xf numFmtId="0" fontId="34" fillId="21" borderId="6" xfId="0" applyFont="1" applyFill="1" applyBorder="1"/>
    <xf numFmtId="0" fontId="34" fillId="21" borderId="6" xfId="0" applyFont="1" applyFill="1" applyBorder="1" applyAlignment="1">
      <alignment vertical="center"/>
    </xf>
    <xf numFmtId="0" fontId="24" fillId="21" borderId="0" xfId="0" applyNumberFormat="1" applyFont="1" applyFill="1" applyBorder="1" applyAlignment="1">
      <alignment horizontal="center" vertical="center"/>
    </xf>
    <xf numFmtId="0" fontId="24" fillId="21" borderId="0" xfId="0" applyFont="1" applyFill="1" applyBorder="1" applyAlignment="1">
      <alignment vertical="center"/>
    </xf>
    <xf numFmtId="0" fontId="24" fillId="21" borderId="0" xfId="0" applyFont="1" applyFill="1" applyBorder="1" applyAlignment="1">
      <alignment horizontal="right" vertical="center"/>
    </xf>
    <xf numFmtId="165" fontId="24" fillId="21" borderId="0" xfId="1" applyNumberFormat="1" applyFont="1" applyFill="1" applyBorder="1" applyAlignment="1">
      <alignment horizontal="right" vertical="center"/>
    </xf>
    <xf numFmtId="0" fontId="24" fillId="21" borderId="0" xfId="0" applyFont="1" applyFill="1" applyBorder="1" applyAlignment="1">
      <alignment horizontal="left"/>
    </xf>
    <xf numFmtId="0" fontId="13" fillId="0" borderId="11" xfId="0" applyFont="1" applyBorder="1" applyAlignment="1">
      <alignment vertical="center"/>
    </xf>
    <xf numFmtId="164" fontId="0" fillId="0" borderId="10" xfId="0" applyNumberFormat="1" applyBorder="1" applyAlignment="1">
      <alignment vertical="center"/>
    </xf>
    <xf numFmtId="164" fontId="9" fillId="0" borderId="0" xfId="1" applyNumberFormat="1" applyFont="1" applyFill="1" applyBorder="1" applyAlignment="1">
      <alignment vertical="center"/>
    </xf>
    <xf numFmtId="173" fontId="0" fillId="0" borderId="0" xfId="0" applyNumberFormat="1" applyAlignment="1">
      <alignment vertical="center"/>
    </xf>
    <xf numFmtId="173" fontId="9" fillId="0" borderId="0" xfId="0" applyNumberFormat="1" applyFont="1" applyAlignment="1">
      <alignment vertical="center"/>
    </xf>
    <xf numFmtId="1" fontId="0" fillId="0" borderId="0" xfId="0" applyNumberFormat="1"/>
    <xf numFmtId="165" fontId="103" fillId="0" borderId="0" xfId="1" applyNumberFormat="1" applyFont="1" applyAlignment="1">
      <alignment horizontal="right"/>
    </xf>
    <xf numFmtId="164" fontId="20" fillId="0" borderId="0" xfId="1" applyNumberFormat="1" applyFont="1" applyBorder="1" applyAlignment="1">
      <alignment vertical="center"/>
    </xf>
    <xf numFmtId="0" fontId="32" fillId="0" borderId="0" xfId="0" applyFont="1" applyBorder="1" applyAlignment="1">
      <alignment vertical="center"/>
    </xf>
    <xf numFmtId="178" fontId="0" fillId="0" borderId="0" xfId="0" applyNumberFormat="1"/>
    <xf numFmtId="0" fontId="26" fillId="18" borderId="6" xfId="0" applyFont="1" applyFill="1" applyBorder="1"/>
    <xf numFmtId="180" fontId="0" fillId="18" borderId="7" xfId="0" applyNumberFormat="1" applyFill="1" applyBorder="1" applyAlignment="1">
      <alignment vertical="center"/>
    </xf>
    <xf numFmtId="0" fontId="26" fillId="18" borderId="18" xfId="0" applyFont="1" applyFill="1" applyBorder="1"/>
    <xf numFmtId="180" fontId="0" fillId="18" borderId="29" xfId="0" applyNumberFormat="1" applyFill="1" applyBorder="1" applyAlignment="1">
      <alignment vertical="center"/>
    </xf>
    <xf numFmtId="0" fontId="25" fillId="24" borderId="260" xfId="0" applyFont="1" applyFill="1" applyBorder="1"/>
    <xf numFmtId="0" fontId="25" fillId="24" borderId="261" xfId="0" applyFont="1" applyFill="1" applyBorder="1"/>
    <xf numFmtId="0" fontId="25" fillId="24" borderId="262" xfId="0" applyFont="1" applyFill="1" applyBorder="1"/>
    <xf numFmtId="164" fontId="46" fillId="18" borderId="0" xfId="19" applyFont="1" applyFill="1" applyBorder="1" applyAlignment="1">
      <alignment vertical="center"/>
    </xf>
    <xf numFmtId="0" fontId="104" fillId="0" borderId="0" xfId="6" applyFont="1" applyAlignment="1" applyProtection="1"/>
    <xf numFmtId="0" fontId="104" fillId="0" borderId="0" xfId="6" applyFont="1" applyAlignment="1" applyProtection="1">
      <alignment vertical="center"/>
    </xf>
    <xf numFmtId="0" fontId="105" fillId="0" borderId="0" xfId="0" applyFont="1"/>
    <xf numFmtId="0" fontId="106" fillId="17" borderId="3" xfId="0" applyFont="1" applyFill="1" applyBorder="1" applyAlignment="1">
      <alignment horizontal="left" vertical="center" indent="1"/>
    </xf>
    <xf numFmtId="0" fontId="54" fillId="18" borderId="6" xfId="0" applyFont="1" applyFill="1" applyBorder="1"/>
    <xf numFmtId="0" fontId="107" fillId="18" borderId="8" xfId="0" applyFont="1" applyFill="1" applyBorder="1" applyAlignment="1">
      <alignment vertical="center"/>
    </xf>
    <xf numFmtId="0" fontId="0" fillId="18" borderId="18" xfId="0" applyFont="1" applyFill="1" applyBorder="1"/>
    <xf numFmtId="0" fontId="0" fillId="18" borderId="17" xfId="0" applyFont="1" applyFill="1" applyBorder="1"/>
    <xf numFmtId="0" fontId="0" fillId="18" borderId="29" xfId="0" applyFont="1" applyFill="1" applyBorder="1"/>
    <xf numFmtId="0" fontId="105" fillId="0" borderId="0" xfId="0" applyFont="1" applyAlignment="1">
      <alignment vertical="center"/>
    </xf>
    <xf numFmtId="0" fontId="106" fillId="20" borderId="3" xfId="0" applyFont="1" applyFill="1" applyBorder="1" applyAlignment="1">
      <alignment horizontal="left" vertical="center" indent="1"/>
    </xf>
    <xf numFmtId="0" fontId="107" fillId="21" borderId="0" xfId="0" applyFont="1" applyFill="1" applyBorder="1"/>
    <xf numFmtId="0" fontId="108" fillId="0" borderId="0" xfId="0" applyFont="1" applyAlignment="1">
      <alignment horizontal="center" vertical="center"/>
    </xf>
    <xf numFmtId="0" fontId="108" fillId="0" borderId="0" xfId="0" applyFont="1" applyAlignment="1">
      <alignment vertical="center"/>
    </xf>
    <xf numFmtId="0" fontId="54" fillId="21" borderId="6" xfId="0" applyFont="1" applyFill="1" applyBorder="1"/>
    <xf numFmtId="0" fontId="107" fillId="21" borderId="8" xfId="0" applyFont="1" applyFill="1" applyBorder="1" applyAlignment="1">
      <alignment vertical="center"/>
    </xf>
    <xf numFmtId="0" fontId="107" fillId="21" borderId="8" xfId="0" applyNumberFormat="1" applyFont="1" applyFill="1" applyBorder="1" applyAlignment="1">
      <alignment horizontal="right" vertical="center"/>
    </xf>
    <xf numFmtId="182" fontId="108" fillId="0" borderId="0" xfId="3" applyNumberFormat="1" applyFont="1" applyAlignment="1">
      <alignment vertical="center"/>
    </xf>
    <xf numFmtId="0" fontId="107" fillId="21" borderId="0" xfId="0" applyNumberFormat="1" applyFont="1" applyFill="1" applyBorder="1" applyAlignment="1">
      <alignment vertical="center"/>
    </xf>
    <xf numFmtId="0" fontId="109" fillId="21" borderId="19" xfId="0" applyFont="1" applyFill="1" applyBorder="1" applyAlignment="1">
      <alignment horizontal="center" vertical="center" wrapText="1"/>
    </xf>
    <xf numFmtId="0" fontId="107" fillId="21" borderId="58" xfId="0" applyNumberFormat="1" applyFont="1" applyFill="1" applyBorder="1" applyAlignment="1">
      <alignment horizontal="right" vertical="center"/>
    </xf>
    <xf numFmtId="0" fontId="107" fillId="21" borderId="8" xfId="0" applyNumberFormat="1" applyFont="1" applyFill="1" applyBorder="1" applyAlignment="1">
      <alignment horizontal="center" vertical="center"/>
    </xf>
    <xf numFmtId="0" fontId="80" fillId="21" borderId="0" xfId="8" applyNumberFormat="1" applyFont="1" applyFill="1" applyBorder="1" applyAlignment="1">
      <alignment horizontal="left"/>
    </xf>
    <xf numFmtId="0" fontId="110" fillId="0" borderId="0" xfId="0" applyFont="1" applyFill="1"/>
    <xf numFmtId="0" fontId="111" fillId="21" borderId="0" xfId="8" applyNumberFormat="1" applyFont="1" applyFill="1" applyBorder="1"/>
    <xf numFmtId="0" fontId="111" fillId="21" borderId="29" xfId="8" applyNumberFormat="1" applyFont="1" applyFill="1" applyBorder="1"/>
    <xf numFmtId="0" fontId="111" fillId="0" borderId="0" xfId="8" applyNumberFormat="1" applyFont="1"/>
    <xf numFmtId="0" fontId="107" fillId="21" borderId="0" xfId="0" applyFont="1" applyFill="1" applyBorder="1" applyAlignment="1">
      <alignment horizontal="right"/>
    </xf>
    <xf numFmtId="0" fontId="0" fillId="21" borderId="85" xfId="0" applyFont="1" applyFill="1" applyBorder="1"/>
    <xf numFmtId="0" fontId="0" fillId="21" borderId="86" xfId="0" applyFont="1" applyFill="1" applyBorder="1"/>
    <xf numFmtId="0" fontId="112" fillId="21" borderId="87" xfId="0" applyFont="1" applyFill="1" applyBorder="1" applyAlignment="1">
      <alignment vertical="center"/>
    </xf>
    <xf numFmtId="0" fontId="112" fillId="21" borderId="88" xfId="0" applyFont="1" applyFill="1" applyBorder="1" applyAlignment="1">
      <alignment vertical="center"/>
    </xf>
    <xf numFmtId="0" fontId="80" fillId="21" borderId="89" xfId="0" applyNumberFormat="1" applyFont="1" applyFill="1" applyBorder="1" applyAlignment="1">
      <alignment vertical="center"/>
    </xf>
    <xf numFmtId="0" fontId="80" fillId="21" borderId="89" xfId="0" applyFont="1" applyFill="1" applyBorder="1" applyAlignment="1">
      <alignment vertical="center"/>
    </xf>
    <xf numFmtId="9" fontId="80" fillId="21" borderId="90" xfId="0" applyNumberFormat="1" applyFont="1" applyFill="1" applyBorder="1" applyAlignment="1">
      <alignment vertical="center"/>
    </xf>
    <xf numFmtId="0" fontId="80" fillId="21" borderId="0" xfId="0" applyNumberFormat="1" applyFont="1" applyFill="1" applyBorder="1" applyAlignment="1">
      <alignment vertical="center"/>
    </xf>
    <xf numFmtId="0" fontId="80" fillId="21" borderId="0" xfId="0" applyFont="1" applyFill="1" applyBorder="1" applyAlignment="1">
      <alignment vertical="center"/>
    </xf>
    <xf numFmtId="9" fontId="80" fillId="21" borderId="0" xfId="0" applyNumberFormat="1" applyFont="1" applyFill="1" applyBorder="1" applyAlignment="1">
      <alignment vertical="center"/>
    </xf>
    <xf numFmtId="172" fontId="80" fillId="21" borderId="0" xfId="1" applyNumberFormat="1" applyFont="1" applyFill="1" applyBorder="1" applyAlignment="1">
      <alignment vertical="center"/>
    </xf>
    <xf numFmtId="0" fontId="80" fillId="0" borderId="0" xfId="12" applyFont="1"/>
    <xf numFmtId="0" fontId="80" fillId="21" borderId="0" xfId="12" applyFont="1" applyFill="1"/>
    <xf numFmtId="0" fontId="107" fillId="21" borderId="0" xfId="5" applyFont="1" applyFill="1" applyBorder="1" applyAlignment="1">
      <alignment vertical="center"/>
    </xf>
    <xf numFmtId="0" fontId="10" fillId="21" borderId="0" xfId="5" applyFont="1" applyFill="1" applyBorder="1" applyAlignment="1">
      <alignment vertical="center"/>
    </xf>
    <xf numFmtId="179" fontId="10" fillId="21" borderId="0" xfId="5" applyNumberFormat="1" applyFont="1" applyFill="1" applyBorder="1" applyAlignment="1">
      <alignment vertical="center"/>
    </xf>
    <xf numFmtId="0" fontId="80" fillId="0" borderId="0" xfId="12" applyFont="1" applyFill="1" applyBorder="1"/>
    <xf numFmtId="0" fontId="106" fillId="0" borderId="0" xfId="0" applyFont="1" applyFill="1" applyBorder="1" applyAlignment="1">
      <alignment horizontal="left" vertical="center" indent="1"/>
    </xf>
    <xf numFmtId="0" fontId="10" fillId="21" borderId="0" xfId="5" applyFont="1" applyFill="1"/>
    <xf numFmtId="168" fontId="10" fillId="21" borderId="0" xfId="5" applyNumberFormat="1" applyFont="1" applyFill="1" applyBorder="1" applyAlignment="1">
      <alignment vertical="center"/>
    </xf>
    <xf numFmtId="0" fontId="10" fillId="0" borderId="0" xfId="5" applyFont="1" applyFill="1" applyBorder="1"/>
    <xf numFmtId="0" fontId="107" fillId="0" borderId="0" xfId="5" applyFont="1" applyFill="1" applyBorder="1"/>
    <xf numFmtId="0" fontId="10" fillId="0" borderId="0" xfId="5" applyFont="1" applyFill="1" applyBorder="1" applyAlignment="1">
      <alignment horizontal="center"/>
    </xf>
    <xf numFmtId="2" fontId="10" fillId="0" borderId="0" xfId="5" applyNumberFormat="1" applyFont="1" applyFill="1" applyBorder="1"/>
    <xf numFmtId="1" fontId="10" fillId="0" borderId="0" xfId="5" applyNumberFormat="1" applyFont="1" applyFill="1" applyBorder="1"/>
    <xf numFmtId="0" fontId="10" fillId="0" borderId="0" xfId="5" applyFont="1" applyFill="1" applyBorder="1" applyAlignment="1">
      <alignment horizontal="right"/>
    </xf>
    <xf numFmtId="0" fontId="0" fillId="21" borderId="30" xfId="0" applyFont="1" applyFill="1" applyBorder="1" applyAlignment="1">
      <alignment horizontal="left" indent="1"/>
    </xf>
    <xf numFmtId="0" fontId="0" fillId="21" borderId="31" xfId="0" applyFont="1" applyFill="1" applyBorder="1"/>
    <xf numFmtId="0" fontId="0" fillId="21" borderId="32" xfId="0" applyFont="1" applyFill="1" applyBorder="1"/>
    <xf numFmtId="179" fontId="10" fillId="0" borderId="0" xfId="5" applyNumberFormat="1" applyFont="1" applyFill="1" applyBorder="1" applyAlignment="1">
      <alignment horizontal="center" vertical="center"/>
    </xf>
    <xf numFmtId="0" fontId="10" fillId="0" borderId="0" xfId="5" applyFont="1" applyFill="1" applyBorder="1" applyAlignment="1">
      <alignment horizontal="center" vertical="center"/>
    </xf>
    <xf numFmtId="0" fontId="10" fillId="21" borderId="0" xfId="0" applyFont="1" applyFill="1" applyBorder="1" applyAlignment="1">
      <alignment vertical="center"/>
    </xf>
    <xf numFmtId="0" fontId="10" fillId="21" borderId="0" xfId="0" applyFont="1" applyFill="1" applyBorder="1" applyAlignment="1">
      <alignment horizontal="right" vertical="center"/>
    </xf>
    <xf numFmtId="165" fontId="10" fillId="21" borderId="0" xfId="1" applyNumberFormat="1" applyFont="1" applyFill="1" applyBorder="1" applyAlignment="1">
      <alignment horizontal="right" vertical="center"/>
    </xf>
    <xf numFmtId="0" fontId="0" fillId="21" borderId="0" xfId="0" applyFont="1" applyFill="1" applyBorder="1" applyAlignment="1">
      <alignment horizontal="left"/>
    </xf>
    <xf numFmtId="179" fontId="10" fillId="0" borderId="0" xfId="5" applyNumberFormat="1" applyFont="1" applyFill="1" applyBorder="1" applyAlignment="1">
      <alignment vertical="center"/>
    </xf>
    <xf numFmtId="0" fontId="0" fillId="21" borderId="0" xfId="0" applyNumberFormat="1" applyFont="1" applyFill="1" applyBorder="1" applyAlignment="1">
      <alignment horizontal="center" vertical="center"/>
    </xf>
    <xf numFmtId="0" fontId="10" fillId="21" borderId="10" xfId="0" applyFont="1" applyFill="1" applyBorder="1" applyAlignment="1">
      <alignment vertical="center"/>
    </xf>
    <xf numFmtId="0" fontId="10" fillId="21" borderId="10" xfId="0" applyFont="1" applyFill="1" applyBorder="1" applyAlignment="1">
      <alignment horizontal="right" vertical="center"/>
    </xf>
    <xf numFmtId="0" fontId="107" fillId="21" borderId="10" xfId="0" applyNumberFormat="1" applyFont="1" applyFill="1" applyBorder="1" applyAlignment="1">
      <alignment horizontal="right" vertical="center"/>
    </xf>
    <xf numFmtId="1" fontId="107" fillId="21" borderId="10" xfId="0" applyNumberFormat="1" applyFont="1" applyFill="1" applyBorder="1" applyAlignment="1">
      <alignment horizontal="right" vertical="center"/>
    </xf>
    <xf numFmtId="0" fontId="0" fillId="21" borderId="10" xfId="0" applyNumberFormat="1" applyFont="1" applyFill="1" applyBorder="1" applyAlignment="1">
      <alignment horizontal="left" vertical="center"/>
    </xf>
    <xf numFmtId="164" fontId="10" fillId="21" borderId="10" xfId="1" applyNumberFormat="1" applyFont="1" applyFill="1" applyBorder="1" applyAlignment="1">
      <alignment horizontal="right" vertical="center"/>
    </xf>
    <xf numFmtId="179" fontId="10" fillId="15" borderId="10" xfId="5" applyNumberFormat="1" applyFont="1" applyBorder="1"/>
    <xf numFmtId="0" fontId="10" fillId="0" borderId="0" xfId="5" applyFont="1" applyFill="1" applyBorder="1" applyAlignment="1">
      <alignment vertical="center"/>
    </xf>
    <xf numFmtId="0" fontId="0" fillId="21" borderId="0" xfId="0" applyNumberFormat="1" applyFont="1" applyFill="1" applyBorder="1" applyAlignment="1">
      <alignment horizontal="left" vertical="center"/>
    </xf>
    <xf numFmtId="164" fontId="10" fillId="21" borderId="0" xfId="1" applyNumberFormat="1" applyFont="1" applyFill="1" applyBorder="1" applyAlignment="1">
      <alignment horizontal="right" vertical="center"/>
    </xf>
    <xf numFmtId="179" fontId="10" fillId="15" borderId="0" xfId="5" applyNumberFormat="1" applyFont="1" applyBorder="1"/>
    <xf numFmtId="179" fontId="10" fillId="21" borderId="0" xfId="1" applyNumberFormat="1" applyFont="1" applyFill="1" applyBorder="1" applyAlignment="1">
      <alignment horizontal="right" vertical="center"/>
    </xf>
    <xf numFmtId="1" fontId="0" fillId="0" borderId="0" xfId="0" applyNumberFormat="1" applyFont="1" applyFill="1" applyBorder="1"/>
    <xf numFmtId="0" fontId="0" fillId="21" borderId="13" xfId="0" applyNumberFormat="1" applyFont="1" applyFill="1" applyBorder="1" applyAlignment="1">
      <alignment horizontal="left" vertical="center"/>
    </xf>
    <xf numFmtId="0" fontId="10" fillId="21" borderId="13" xfId="0" applyFont="1" applyFill="1" applyBorder="1" applyAlignment="1">
      <alignment vertical="center"/>
    </xf>
    <xf numFmtId="164" fontId="10" fillId="21" borderId="13" xfId="1" applyNumberFormat="1" applyFont="1" applyFill="1" applyBorder="1" applyAlignment="1">
      <alignment horizontal="right" vertical="center"/>
    </xf>
    <xf numFmtId="179" fontId="10" fillId="15" borderId="13" xfId="5" applyNumberFormat="1" applyFont="1" applyBorder="1"/>
    <xf numFmtId="179" fontId="10" fillId="21" borderId="13" xfId="1" applyNumberFormat="1" applyFont="1" applyFill="1" applyBorder="1" applyAlignment="1">
      <alignment horizontal="right" vertical="center"/>
    </xf>
    <xf numFmtId="0" fontId="10" fillId="21" borderId="11" xfId="0" applyFont="1" applyFill="1" applyBorder="1" applyAlignment="1">
      <alignment vertical="center"/>
    </xf>
    <xf numFmtId="0" fontId="10" fillId="21" borderId="11" xfId="0" applyFont="1" applyFill="1" applyBorder="1" applyAlignment="1">
      <alignment horizontal="right" vertical="center"/>
    </xf>
    <xf numFmtId="0" fontId="107" fillId="21" borderId="11" xfId="0" applyNumberFormat="1" applyFont="1" applyFill="1" applyBorder="1" applyAlignment="1">
      <alignment horizontal="right" vertical="center"/>
    </xf>
    <xf numFmtId="1" fontId="107" fillId="21" borderId="11" xfId="0" applyNumberFormat="1" applyFont="1" applyFill="1" applyBorder="1" applyAlignment="1">
      <alignment horizontal="right" vertical="center"/>
    </xf>
    <xf numFmtId="179" fontId="10" fillId="21" borderId="10" xfId="1" applyNumberFormat="1" applyFont="1" applyFill="1" applyBorder="1" applyAlignment="1">
      <alignment horizontal="right" vertical="center"/>
    </xf>
    <xf numFmtId="166" fontId="10" fillId="15" borderId="0" xfId="1" applyNumberFormat="1" applyFont="1" applyFill="1" applyBorder="1"/>
    <xf numFmtId="168" fontId="113" fillId="21" borderId="15" xfId="3" applyNumberFormat="1" applyFont="1" applyFill="1" applyBorder="1" applyAlignment="1">
      <alignment vertical="center"/>
    </xf>
    <xf numFmtId="168" fontId="113" fillId="21" borderId="0" xfId="3" applyNumberFormat="1" applyFont="1" applyFill="1" applyBorder="1" applyAlignment="1">
      <alignment vertical="center"/>
    </xf>
    <xf numFmtId="0" fontId="10" fillId="0" borderId="0" xfId="5" applyNumberFormat="1" applyFont="1" applyFill="1" applyBorder="1" applyAlignment="1">
      <alignment vertical="center"/>
    </xf>
    <xf numFmtId="165" fontId="10" fillId="0" borderId="0" xfId="5" applyNumberFormat="1" applyFont="1" applyFill="1" applyBorder="1" applyAlignment="1">
      <alignment vertical="center"/>
    </xf>
    <xf numFmtId="168" fontId="113" fillId="21" borderId="25" xfId="3" applyNumberFormat="1" applyFont="1" applyFill="1" applyBorder="1" applyAlignment="1">
      <alignment horizontal="right" vertical="center"/>
    </xf>
    <xf numFmtId="168" fontId="113" fillId="21" borderId="13" xfId="3" applyNumberFormat="1" applyFont="1" applyFill="1" applyBorder="1" applyAlignment="1">
      <alignment horizontal="right" vertical="center"/>
    </xf>
    <xf numFmtId="0" fontId="111" fillId="0" borderId="0" xfId="8" applyNumberFormat="1" applyFont="1" applyFill="1" applyBorder="1"/>
    <xf numFmtId="168" fontId="113" fillId="21" borderId="0" xfId="3" applyNumberFormat="1" applyFont="1" applyFill="1" applyBorder="1" applyAlignment="1">
      <alignment horizontal="right" vertical="center"/>
    </xf>
    <xf numFmtId="1" fontId="107" fillId="21" borderId="8" xfId="1" applyNumberFormat="1" applyFont="1" applyFill="1" applyBorder="1" applyAlignment="1">
      <alignment horizontal="right" vertical="center"/>
    </xf>
    <xf numFmtId="1" fontId="107" fillId="21" borderId="19" xfId="1" applyNumberFormat="1" applyFont="1" applyFill="1" applyBorder="1" applyAlignment="1">
      <alignment horizontal="right" vertical="center"/>
    </xf>
    <xf numFmtId="0" fontId="0" fillId="21" borderId="20" xfId="0" applyNumberFormat="1" applyFont="1" applyFill="1" applyBorder="1" applyAlignment="1">
      <alignment vertical="center"/>
    </xf>
    <xf numFmtId="0" fontId="106" fillId="0" borderId="0" xfId="0" applyFont="1"/>
    <xf numFmtId="0" fontId="107" fillId="0" borderId="0" xfId="0" applyFont="1"/>
    <xf numFmtId="0" fontId="107" fillId="0" borderId="0" xfId="0" applyFont="1" applyAlignment="1">
      <alignment horizontal="center"/>
    </xf>
    <xf numFmtId="0" fontId="114" fillId="0" borderId="0" xfId="0" applyFont="1"/>
    <xf numFmtId="169" fontId="10" fillId="0" borderId="0" xfId="1" applyNumberFormat="1" applyFont="1" applyAlignment="1">
      <alignment horizontal="right"/>
    </xf>
    <xf numFmtId="0" fontId="108" fillId="0" borderId="0" xfId="0" applyFont="1" applyAlignment="1">
      <alignment horizontal="right"/>
    </xf>
    <xf numFmtId="0" fontId="108" fillId="0" borderId="0" xfId="0" applyFont="1"/>
    <xf numFmtId="11" fontId="108" fillId="0" borderId="0" xfId="0" applyNumberFormat="1" applyFont="1"/>
    <xf numFmtId="0" fontId="107" fillId="0" borderId="0" xfId="0" quotePrefix="1" applyFont="1" applyAlignment="1">
      <alignment horizontal="right"/>
    </xf>
    <xf numFmtId="166" fontId="107" fillId="0" borderId="0" xfId="1" applyNumberFormat="1" applyFont="1" applyAlignment="1">
      <alignment horizontal="right"/>
    </xf>
    <xf numFmtId="164" fontId="107" fillId="0" borderId="0" xfId="1" applyNumberFormat="1" applyFont="1" applyAlignment="1">
      <alignment horizontal="right"/>
    </xf>
    <xf numFmtId="164" fontId="10" fillId="0" borderId="0" xfId="1" applyNumberFormat="1" applyFont="1" applyAlignment="1">
      <alignment horizontal="right"/>
    </xf>
    <xf numFmtId="0" fontId="10" fillId="0" borderId="0" xfId="5" applyNumberFormat="1" applyFont="1" applyFill="1" applyBorder="1" applyAlignment="1">
      <alignment horizontal="right" vertical="center"/>
    </xf>
    <xf numFmtId="9" fontId="10" fillId="0" borderId="0" xfId="5" applyNumberFormat="1" applyFont="1" applyFill="1" applyBorder="1" applyAlignment="1">
      <alignment vertical="center"/>
    </xf>
    <xf numFmtId="165" fontId="10" fillId="0" borderId="0" xfId="1" applyNumberFormat="1" applyFont="1"/>
    <xf numFmtId="0" fontId="107" fillId="18" borderId="0" xfId="0" applyFont="1" applyFill="1" applyBorder="1"/>
    <xf numFmtId="0" fontId="80" fillId="18" borderId="0" xfId="0" applyFont="1" applyFill="1" applyBorder="1" applyAlignment="1">
      <alignment vertical="center"/>
    </xf>
    <xf numFmtId="0" fontId="106" fillId="23" borderId="3" xfId="0" applyFont="1" applyFill="1" applyBorder="1" applyAlignment="1">
      <alignment horizontal="left" vertical="center" indent="1"/>
    </xf>
    <xf numFmtId="0" fontId="106" fillId="23" borderId="4" xfId="0" applyFont="1" applyFill="1" applyBorder="1" applyAlignment="1">
      <alignment vertical="center"/>
    </xf>
    <xf numFmtId="0" fontId="54" fillId="0" borderId="0" xfId="0" applyFont="1"/>
    <xf numFmtId="0" fontId="107" fillId="24" borderId="0" xfId="0" applyFont="1" applyFill="1" applyBorder="1"/>
    <xf numFmtId="0" fontId="107" fillId="24" borderId="0" xfId="0" applyFont="1" applyFill="1" applyBorder="1" applyAlignment="1">
      <alignment horizontal="right"/>
    </xf>
    <xf numFmtId="0" fontId="54" fillId="24" borderId="6" xfId="0" applyFont="1" applyFill="1" applyBorder="1"/>
    <xf numFmtId="0" fontId="107" fillId="24" borderId="12" xfId="0" applyFont="1" applyFill="1" applyBorder="1" applyAlignment="1">
      <alignment vertical="center"/>
    </xf>
    <xf numFmtId="0" fontId="54" fillId="24" borderId="0" xfId="0" applyFont="1" applyFill="1" applyBorder="1"/>
    <xf numFmtId="0" fontId="107" fillId="24" borderId="0" xfId="0" applyFont="1" applyFill="1" applyBorder="1" applyAlignment="1">
      <alignment vertical="center"/>
    </xf>
    <xf numFmtId="0" fontId="0" fillId="24" borderId="0" xfId="0" applyFont="1" applyFill="1" applyBorder="1" applyAlignment="1">
      <alignment horizontal="left" vertical="center"/>
    </xf>
    <xf numFmtId="164" fontId="107" fillId="24" borderId="0" xfId="0" applyNumberFormat="1" applyFont="1" applyFill="1" applyBorder="1" applyAlignment="1">
      <alignment horizontal="right" vertical="center"/>
    </xf>
    <xf numFmtId="0" fontId="0" fillId="24" borderId="91" xfId="0" applyFont="1" applyFill="1" applyBorder="1"/>
    <xf numFmtId="0" fontId="0" fillId="24" borderId="92" xfId="0" applyFont="1" applyFill="1" applyBorder="1"/>
    <xf numFmtId="0" fontId="0" fillId="24" borderId="92" xfId="0" applyNumberFormat="1" applyFont="1" applyFill="1" applyBorder="1"/>
    <xf numFmtId="0" fontId="0" fillId="24" borderId="91" xfId="0" applyNumberFormat="1" applyFont="1" applyFill="1" applyBorder="1"/>
    <xf numFmtId="0" fontId="54" fillId="24" borderId="18" xfId="0" applyFont="1" applyFill="1" applyBorder="1"/>
    <xf numFmtId="0" fontId="106" fillId="26" borderId="3" xfId="0" applyFont="1" applyFill="1" applyBorder="1" applyAlignment="1">
      <alignment horizontal="left" vertical="center" indent="1"/>
    </xf>
    <xf numFmtId="0" fontId="106" fillId="26" borderId="4" xfId="0" applyFont="1" applyFill="1" applyBorder="1" applyAlignment="1">
      <alignment vertical="center"/>
    </xf>
    <xf numFmtId="0" fontId="107" fillId="27" borderId="0" xfId="0" applyFont="1" applyFill="1" applyBorder="1"/>
    <xf numFmtId="0" fontId="54" fillId="27" borderId="6" xfId="0" applyFont="1" applyFill="1" applyBorder="1"/>
    <xf numFmtId="0" fontId="107" fillId="27" borderId="12" xfId="0" applyFont="1" applyFill="1" applyBorder="1" applyAlignment="1">
      <alignment vertical="center"/>
    </xf>
    <xf numFmtId="0" fontId="54" fillId="27" borderId="18" xfId="0" applyFont="1" applyFill="1" applyBorder="1"/>
    <xf numFmtId="0" fontId="107" fillId="27" borderId="0" xfId="0" applyFont="1" applyFill="1"/>
    <xf numFmtId="0" fontId="107" fillId="27" borderId="0" xfId="0" applyFont="1" applyFill="1" applyAlignment="1">
      <alignment horizontal="right"/>
    </xf>
    <xf numFmtId="0" fontId="107" fillId="27" borderId="0" xfId="0" applyFont="1" applyFill="1" applyBorder="1" applyAlignment="1">
      <alignment vertical="center"/>
    </xf>
    <xf numFmtId="0" fontId="10" fillId="27" borderId="7" xfId="0" applyFont="1" applyFill="1" applyBorder="1" applyAlignment="1">
      <alignment vertical="center"/>
    </xf>
    <xf numFmtId="0" fontId="10" fillId="27" borderId="0" xfId="0" applyFont="1" applyFill="1" applyBorder="1" applyAlignment="1">
      <alignment vertical="center"/>
    </xf>
    <xf numFmtId="164" fontId="10" fillId="27" borderId="0" xfId="1" applyNumberFormat="1" applyFont="1" applyFill="1" applyBorder="1" applyAlignment="1">
      <alignment vertical="center"/>
    </xf>
    <xf numFmtId="180" fontId="0" fillId="0" borderId="7" xfId="0" applyNumberFormat="1" applyFont="1" applyFill="1" applyBorder="1" applyAlignment="1">
      <alignment vertical="center"/>
    </xf>
    <xf numFmtId="0" fontId="0" fillId="0" borderId="18" xfId="0" applyFont="1" applyFill="1" applyBorder="1"/>
    <xf numFmtId="0" fontId="0" fillId="0" borderId="17" xfId="0" applyFont="1" applyFill="1" applyBorder="1"/>
    <xf numFmtId="180" fontId="0" fillId="0" borderId="29" xfId="0" applyNumberFormat="1" applyFont="1" applyFill="1" applyBorder="1" applyAlignment="1">
      <alignment vertical="center"/>
    </xf>
    <xf numFmtId="0" fontId="0" fillId="49" borderId="0" xfId="0" applyFont="1" applyFill="1"/>
    <xf numFmtId="0" fontId="115" fillId="0" borderId="0" xfId="0" applyFont="1"/>
    <xf numFmtId="0" fontId="116" fillId="0" borderId="0" xfId="0" applyFont="1" applyAlignment="1">
      <alignment vertical="center"/>
    </xf>
    <xf numFmtId="0" fontId="3" fillId="18" borderId="17" xfId="0" applyFont="1" applyFill="1" applyBorder="1"/>
    <xf numFmtId="0" fontId="0" fillId="0" borderId="0" xfId="0"/>
    <xf numFmtId="166" fontId="73" fillId="0" borderId="20" xfId="1" applyNumberFormat="1" applyFont="1" applyBorder="1" applyAlignment="1">
      <alignment horizontal="right"/>
    </xf>
    <xf numFmtId="165" fontId="11" fillId="21" borderId="15" xfId="19" applyNumberFormat="1" applyFont="1" applyFill="1" applyBorder="1" applyAlignment="1">
      <alignment vertical="center"/>
    </xf>
    <xf numFmtId="165" fontId="11" fillId="21" borderId="15" xfId="19" applyNumberFormat="1" applyFont="1" applyFill="1" applyBorder="1" applyAlignment="1">
      <alignment horizontal="right" vertical="center"/>
    </xf>
    <xf numFmtId="165" fontId="11" fillId="21" borderId="27" xfId="19" applyNumberFormat="1" applyFont="1" applyFill="1" applyBorder="1" applyAlignment="1">
      <alignment horizontal="right" vertical="center"/>
    </xf>
    <xf numFmtId="0" fontId="0" fillId="42" borderId="0" xfId="0" applyFill="1" applyBorder="1" applyAlignment="1">
      <alignment horizontal="center" vertical="center"/>
    </xf>
    <xf numFmtId="0" fontId="0" fillId="0" borderId="0" xfId="0"/>
    <xf numFmtId="164" fontId="32" fillId="0" borderId="0" xfId="19" applyFont="1" applyAlignment="1">
      <alignment horizontal="right"/>
    </xf>
    <xf numFmtId="43" fontId="24" fillId="0" borderId="0" xfId="1" applyFont="1" applyAlignment="1">
      <alignment vertical="center"/>
    </xf>
    <xf numFmtId="11" fontId="117" fillId="0" borderId="0" xfId="1" applyNumberFormat="1" applyFont="1" applyAlignment="1">
      <alignment vertical="center"/>
    </xf>
    <xf numFmtId="0" fontId="14" fillId="0" borderId="0" xfId="17" applyFont="1"/>
    <xf numFmtId="0" fontId="5" fillId="0" borderId="0" xfId="17" applyFont="1" applyAlignment="1">
      <alignment horizontal="left" vertical="center" wrapText="1"/>
    </xf>
    <xf numFmtId="0" fontId="31" fillId="0" borderId="0" xfId="17" applyFont="1" applyAlignment="1">
      <alignment vertical="center"/>
    </xf>
    <xf numFmtId="0" fontId="14" fillId="0" borderId="0" xfId="17" applyFont="1" applyAlignment="1">
      <alignment vertical="center"/>
    </xf>
    <xf numFmtId="0" fontId="24" fillId="0" borderId="0" xfId="17" applyFont="1" applyAlignment="1">
      <alignment vertical="center"/>
    </xf>
    <xf numFmtId="0" fontId="24" fillId="0" borderId="0" xfId="17" applyFont="1" applyAlignment="1">
      <alignment horizontal="left" vertical="center" wrapText="1"/>
    </xf>
    <xf numFmtId="0" fontId="22" fillId="0" borderId="0" xfId="17" applyFont="1" applyAlignment="1">
      <alignment vertical="center"/>
    </xf>
    <xf numFmtId="0" fontId="31" fillId="0" borderId="0" xfId="17" applyFont="1"/>
    <xf numFmtId="0" fontId="34" fillId="0" borderId="0" xfId="17" applyFont="1" applyAlignment="1">
      <alignment vertical="center"/>
    </xf>
    <xf numFmtId="0" fontId="24" fillId="0" borderId="0" xfId="17" applyAlignment="1">
      <alignment horizontal="left" vertical="center" wrapText="1"/>
    </xf>
    <xf numFmtId="0" fontId="24" fillId="0" borderId="0" xfId="17" applyAlignment="1">
      <alignment horizontal="center" vertical="center" wrapText="1"/>
    </xf>
    <xf numFmtId="0" fontId="118" fillId="0" borderId="0" xfId="17" applyFont="1" applyAlignment="1">
      <alignment vertical="center"/>
    </xf>
    <xf numFmtId="0" fontId="118" fillId="0" borderId="0" xfId="17" applyFont="1" applyAlignment="1">
      <alignment horizontal="left" vertical="center" wrapText="1"/>
    </xf>
    <xf numFmtId="0" fontId="119" fillId="55" borderId="264" xfId="17" applyFont="1" applyFill="1" applyBorder="1" applyAlignment="1">
      <alignment vertical="center"/>
    </xf>
    <xf numFmtId="0" fontId="119" fillId="55" borderId="265" xfId="17" applyFont="1" applyFill="1" applyBorder="1" applyAlignment="1">
      <alignment horizontal="left" vertical="center" wrapText="1"/>
    </xf>
    <xf numFmtId="0" fontId="5" fillId="0" borderId="0" xfId="17" applyFont="1" applyAlignment="1">
      <alignment horizontal="left" vertical="center"/>
    </xf>
    <xf numFmtId="0" fontId="24" fillId="0" borderId="0" xfId="17" applyAlignment="1">
      <alignment horizontal="left" vertical="center"/>
    </xf>
    <xf numFmtId="0" fontId="26" fillId="0" borderId="0" xfId="17" applyFont="1" applyAlignment="1">
      <alignment vertical="center"/>
    </xf>
    <xf numFmtId="0" fontId="24" fillId="0" borderId="0" xfId="17" applyNumberFormat="1" applyAlignment="1">
      <alignment vertical="center"/>
    </xf>
    <xf numFmtId="0" fontId="24" fillId="0" borderId="0" xfId="17" applyAlignment="1">
      <alignment horizontal="right" vertical="center"/>
    </xf>
    <xf numFmtId="0" fontId="119" fillId="55" borderId="7" xfId="17" applyFont="1" applyFill="1" applyBorder="1" applyAlignment="1">
      <alignment vertical="center"/>
    </xf>
    <xf numFmtId="0" fontId="119" fillId="55" borderId="0" xfId="17" applyFont="1" applyFill="1" applyBorder="1" applyAlignment="1">
      <alignment horizontal="left" vertical="center" wrapText="1"/>
    </xf>
    <xf numFmtId="0" fontId="24" fillId="0" borderId="0" xfId="17" applyNumberFormat="1" applyBorder="1" applyAlignment="1">
      <alignment vertical="center"/>
    </xf>
    <xf numFmtId="0" fontId="24" fillId="56" borderId="7" xfId="17" applyFill="1" applyBorder="1"/>
    <xf numFmtId="0" fontId="24" fillId="56" borderId="7" xfId="17" applyFill="1" applyBorder="1" applyAlignment="1">
      <alignment vertical="center"/>
    </xf>
    <xf numFmtId="0" fontId="24" fillId="56" borderId="0" xfId="17" applyFont="1" applyFill="1" applyBorder="1" applyAlignment="1">
      <alignment horizontal="left" vertical="center" wrapText="1"/>
    </xf>
    <xf numFmtId="0" fontId="9" fillId="0" borderId="0" xfId="17" applyFont="1" applyAlignment="1">
      <alignment horizontal="left" vertical="center"/>
    </xf>
    <xf numFmtId="0" fontId="26" fillId="0" borderId="0" xfId="17" applyFont="1"/>
    <xf numFmtId="0" fontId="24" fillId="0" borderId="0" xfId="17" applyFont="1" applyBorder="1"/>
    <xf numFmtId="0" fontId="24" fillId="0" borderId="0" xfId="17" applyFont="1" applyBorder="1" applyAlignment="1">
      <alignment vertical="center"/>
    </xf>
    <xf numFmtId="0" fontId="24" fillId="0" borderId="0" xfId="17" applyFont="1" applyBorder="1" applyAlignment="1">
      <alignment horizontal="left" vertical="center" wrapText="1"/>
    </xf>
    <xf numFmtId="0" fontId="24" fillId="0" borderId="0" xfId="17" applyBorder="1" applyAlignment="1">
      <alignment horizontal="left" vertical="center" wrapText="1"/>
    </xf>
    <xf numFmtId="164" fontId="24" fillId="0" borderId="0" xfId="19" applyFont="1"/>
    <xf numFmtId="0" fontId="120" fillId="0" borderId="0" xfId="17" applyFont="1" applyAlignment="1">
      <alignment vertical="center"/>
    </xf>
    <xf numFmtId="0" fontId="121" fillId="3" borderId="1" xfId="18" applyFont="1" applyAlignment="1">
      <alignment horizontal="left" vertical="center" indent="1"/>
    </xf>
    <xf numFmtId="190" fontId="24" fillId="0" borderId="0" xfId="17" applyNumberFormat="1" applyAlignment="1">
      <alignment vertical="center"/>
    </xf>
    <xf numFmtId="0" fontId="120" fillId="0" borderId="0" xfId="17" applyFont="1"/>
    <xf numFmtId="0" fontId="0" fillId="21" borderId="20" xfId="1" applyNumberFormat="1" applyFont="1" applyFill="1" applyBorder="1" applyAlignment="1">
      <alignment vertical="center"/>
    </xf>
    <xf numFmtId="172" fontId="11" fillId="21" borderId="15" xfId="19" applyNumberFormat="1" applyFont="1" applyFill="1" applyBorder="1" applyAlignment="1">
      <alignment horizontal="right" vertical="center"/>
    </xf>
    <xf numFmtId="172" fontId="11" fillId="21" borderId="0" xfId="19" applyNumberFormat="1" applyFont="1" applyFill="1" applyBorder="1" applyAlignment="1">
      <alignment horizontal="right" vertical="center"/>
    </xf>
    <xf numFmtId="172" fontId="11" fillId="21" borderId="25" xfId="19" applyNumberFormat="1" applyFont="1" applyFill="1" applyBorder="1" applyAlignment="1">
      <alignment horizontal="right" vertical="center"/>
    </xf>
    <xf numFmtId="172" fontId="11" fillId="21" borderId="13" xfId="19" applyNumberFormat="1" applyFont="1" applyFill="1" applyBorder="1" applyAlignment="1">
      <alignment horizontal="right" vertical="center"/>
    </xf>
    <xf numFmtId="164" fontId="32" fillId="21" borderId="10" xfId="19" applyFont="1" applyFill="1" applyBorder="1" applyAlignment="1">
      <alignment horizontal="right" vertical="center"/>
    </xf>
    <xf numFmtId="164" fontId="32" fillId="21" borderId="0" xfId="19" applyFont="1" applyFill="1" applyBorder="1" applyAlignment="1">
      <alignment horizontal="right" vertical="center"/>
    </xf>
    <xf numFmtId="164" fontId="32" fillId="21" borderId="13" xfId="19" applyFont="1" applyFill="1" applyBorder="1" applyAlignment="1">
      <alignment horizontal="right" vertical="center"/>
    </xf>
    <xf numFmtId="180" fontId="32" fillId="21" borderId="10" xfId="19" applyNumberFormat="1" applyFont="1" applyFill="1" applyBorder="1" applyAlignment="1">
      <alignment horizontal="right" vertical="center"/>
    </xf>
    <xf numFmtId="180" fontId="32" fillId="21" borderId="0" xfId="19" applyNumberFormat="1" applyFont="1" applyFill="1" applyBorder="1" applyAlignment="1">
      <alignment horizontal="right" vertical="center"/>
    </xf>
    <xf numFmtId="180" fontId="32" fillId="21" borderId="13" xfId="19" applyNumberFormat="1" applyFont="1" applyFill="1" applyBorder="1" applyAlignment="1">
      <alignment horizontal="right" vertical="center"/>
    </xf>
    <xf numFmtId="164" fontId="0" fillId="18" borderId="13" xfId="1" applyNumberFormat="1" applyFont="1" applyFill="1" applyBorder="1" applyAlignment="1">
      <alignment vertical="center"/>
    </xf>
    <xf numFmtId="0" fontId="0" fillId="24" borderId="13" xfId="0" applyFill="1" applyBorder="1" applyAlignment="1">
      <alignment vertical="center"/>
    </xf>
    <xf numFmtId="164" fontId="9" fillId="24" borderId="11" xfId="0" applyNumberFormat="1" applyFont="1" applyFill="1" applyBorder="1" applyAlignment="1">
      <alignment vertical="center"/>
    </xf>
    <xf numFmtId="165" fontId="0" fillId="24" borderId="67" xfId="19" applyNumberFormat="1" applyFont="1" applyFill="1" applyBorder="1"/>
    <xf numFmtId="165" fontId="0" fillId="24" borderId="66" xfId="19" applyNumberFormat="1" applyFont="1" applyFill="1" applyBorder="1"/>
    <xf numFmtId="165" fontId="0" fillId="24" borderId="84" xfId="19" applyNumberFormat="1" applyFont="1" applyFill="1" applyBorder="1"/>
    <xf numFmtId="165" fontId="103" fillId="0" borderId="0" xfId="19" applyNumberFormat="1" applyFont="1" applyAlignment="1">
      <alignment horizontal="right"/>
    </xf>
    <xf numFmtId="166" fontId="0" fillId="0" borderId="0" xfId="19" applyNumberFormat="1" applyFont="1"/>
    <xf numFmtId="164" fontId="0" fillId="27" borderId="0" xfId="19" applyNumberFormat="1" applyFont="1" applyFill="1" applyBorder="1" applyAlignment="1">
      <alignment vertical="center"/>
    </xf>
    <xf numFmtId="168" fontId="0" fillId="27" borderId="0" xfId="20" applyFont="1" applyFill="1" applyBorder="1" applyAlignment="1">
      <alignment vertical="center"/>
    </xf>
    <xf numFmtId="165" fontId="0" fillId="27" borderId="0" xfId="19" applyNumberFormat="1" applyFont="1" applyFill="1" applyBorder="1" applyAlignment="1">
      <alignment vertical="center"/>
    </xf>
    <xf numFmtId="165" fontId="0" fillId="27" borderId="13" xfId="19" applyNumberFormat="1" applyFont="1" applyFill="1" applyBorder="1" applyAlignment="1">
      <alignment vertical="center"/>
    </xf>
    <xf numFmtId="172" fontId="0" fillId="21" borderId="0" xfId="19" applyNumberFormat="1" applyFont="1" applyFill="1" applyBorder="1" applyAlignment="1">
      <alignment vertical="center"/>
    </xf>
    <xf numFmtId="172" fontId="0" fillId="21" borderId="13" xfId="19" applyNumberFormat="1" applyFont="1" applyFill="1" applyBorder="1" applyAlignment="1">
      <alignment horizontal="right" vertical="center"/>
    </xf>
    <xf numFmtId="164" fontId="24" fillId="0" borderId="0" xfId="19" applyFont="1" applyBorder="1" applyAlignment="1">
      <alignment vertical="center"/>
    </xf>
    <xf numFmtId="165" fontId="0" fillId="0" borderId="0" xfId="19" applyNumberFormat="1" applyFont="1" applyAlignment="1">
      <alignment vertical="center"/>
    </xf>
    <xf numFmtId="0" fontId="0" fillId="0" borderId="0" xfId="0"/>
    <xf numFmtId="1" fontId="0" fillId="21" borderId="0" xfId="3" applyNumberFormat="1" applyFont="1" applyFill="1" applyBorder="1" applyAlignment="1">
      <alignment vertical="center"/>
    </xf>
    <xf numFmtId="166" fontId="11" fillId="21" borderId="20" xfId="19" applyNumberFormat="1" applyFont="1" applyFill="1" applyBorder="1" applyAlignment="1">
      <alignment vertical="center"/>
    </xf>
    <xf numFmtId="166" fontId="11" fillId="21" borderId="0" xfId="19" applyNumberFormat="1" applyFont="1" applyFill="1" applyBorder="1" applyAlignment="1">
      <alignment vertical="center"/>
    </xf>
    <xf numFmtId="166" fontId="66" fillId="21" borderId="0" xfId="19" applyNumberFormat="1" applyFont="1" applyFill="1" applyBorder="1" applyAlignment="1">
      <alignment vertical="center"/>
    </xf>
    <xf numFmtId="172" fontId="79" fillId="21" borderId="20" xfId="19" applyNumberFormat="1" applyFont="1" applyFill="1" applyBorder="1" applyAlignment="1">
      <alignment horizontal="right" vertical="center"/>
    </xf>
    <xf numFmtId="166" fontId="79" fillId="21" borderId="57" xfId="19" applyNumberFormat="1" applyFont="1" applyFill="1" applyBorder="1" applyAlignment="1">
      <alignment horizontal="right" vertical="center"/>
    </xf>
    <xf numFmtId="166" fontId="11" fillId="21" borderId="57" xfId="19" applyNumberFormat="1" applyFont="1" applyFill="1" applyBorder="1" applyAlignment="1">
      <alignment vertical="center"/>
    </xf>
    <xf numFmtId="166" fontId="66" fillId="21" borderId="20" xfId="19" applyNumberFormat="1" applyFont="1" applyFill="1" applyBorder="1" applyAlignment="1">
      <alignment vertical="center"/>
    </xf>
    <xf numFmtId="166" fontId="11" fillId="21" borderId="22" xfId="19" applyNumberFormat="1" applyFont="1" applyFill="1" applyBorder="1" applyAlignment="1">
      <alignment vertical="center"/>
    </xf>
    <xf numFmtId="172" fontId="79" fillId="21" borderId="57" xfId="19" applyNumberFormat="1" applyFont="1" applyFill="1" applyBorder="1" applyAlignment="1">
      <alignment horizontal="right" vertical="center"/>
    </xf>
    <xf numFmtId="172" fontId="11" fillId="21" borderId="57" xfId="19" applyNumberFormat="1" applyFont="1" applyFill="1" applyBorder="1" applyAlignment="1">
      <alignment vertical="center"/>
    </xf>
    <xf numFmtId="166" fontId="11" fillId="21" borderId="13" xfId="19" applyNumberFormat="1" applyFont="1" applyFill="1" applyBorder="1" applyAlignment="1">
      <alignment vertical="center"/>
    </xf>
    <xf numFmtId="188" fontId="13" fillId="0" borderId="0" xfId="1" applyNumberFormat="1" applyFont="1" applyAlignment="1">
      <alignment horizontal="right"/>
    </xf>
    <xf numFmtId="172" fontId="11" fillId="21" borderId="0" xfId="19" applyNumberFormat="1" applyFont="1" applyFill="1" applyBorder="1" applyAlignment="1">
      <alignment vertical="center"/>
    </xf>
    <xf numFmtId="164" fontId="0" fillId="18" borderId="0" xfId="0" applyNumberFormat="1" applyFill="1" applyBorder="1" applyAlignment="1">
      <alignment vertical="center"/>
    </xf>
    <xf numFmtId="0" fontId="0" fillId="18" borderId="0" xfId="0" applyFill="1" applyAlignment="1">
      <alignment vertical="center"/>
    </xf>
    <xf numFmtId="0" fontId="46" fillId="18" borderId="0" xfId="0" applyFont="1" applyFill="1" applyAlignment="1">
      <alignment vertical="center"/>
    </xf>
    <xf numFmtId="164" fontId="46" fillId="18" borderId="0" xfId="0" applyNumberFormat="1" applyFont="1" applyFill="1" applyAlignment="1">
      <alignment vertical="center"/>
    </xf>
    <xf numFmtId="164" fontId="0" fillId="18" borderId="0" xfId="0" applyNumberFormat="1" applyFont="1" applyFill="1" applyAlignment="1">
      <alignment vertical="center"/>
    </xf>
    <xf numFmtId="0" fontId="0" fillId="24" borderId="0" xfId="0" applyFill="1" applyAlignment="1">
      <alignment vertical="center"/>
    </xf>
    <xf numFmtId="164" fontId="0" fillId="24" borderId="0" xfId="0" applyNumberFormat="1" applyFont="1" applyFill="1" applyAlignment="1">
      <alignment vertical="center"/>
    </xf>
    <xf numFmtId="172" fontId="0" fillId="24" borderId="0" xfId="0" applyNumberFormat="1" applyFont="1" applyFill="1" applyAlignment="1">
      <alignment vertical="center"/>
    </xf>
    <xf numFmtId="0" fontId="5" fillId="27" borderId="0" xfId="0" applyFont="1" applyFill="1" applyBorder="1"/>
    <xf numFmtId="0" fontId="11" fillId="48" borderId="266" xfId="0" applyFont="1" applyFill="1" applyBorder="1"/>
    <xf numFmtId="9" fontId="11" fillId="21" borderId="0" xfId="0" applyNumberFormat="1" applyFont="1" applyFill="1" applyBorder="1" applyAlignment="1">
      <alignment vertical="center"/>
    </xf>
    <xf numFmtId="164" fontId="0" fillId="18" borderId="17" xfId="0" applyNumberFormat="1" applyFill="1" applyBorder="1" applyAlignment="1">
      <alignment vertical="center"/>
    </xf>
    <xf numFmtId="164" fontId="0" fillId="24" borderId="0" xfId="19" applyFont="1" applyFill="1" applyBorder="1" applyAlignment="1">
      <alignment vertical="center"/>
    </xf>
    <xf numFmtId="0" fontId="0" fillId="48" borderId="33" xfId="0" applyFill="1" applyBorder="1"/>
    <xf numFmtId="0" fontId="0" fillId="48" borderId="34" xfId="0" applyFill="1" applyBorder="1"/>
    <xf numFmtId="0" fontId="0" fillId="48" borderId="0" xfId="0" applyFill="1" applyAlignment="1">
      <alignment vertical="center"/>
    </xf>
    <xf numFmtId="164" fontId="0" fillId="48" borderId="0" xfId="0" applyNumberFormat="1" applyFont="1" applyFill="1" applyAlignment="1">
      <alignment vertical="center"/>
    </xf>
    <xf numFmtId="164" fontId="0" fillId="21" borderId="0" xfId="19" applyNumberFormat="1" applyFont="1" applyFill="1" applyBorder="1" applyAlignment="1">
      <alignment vertical="center"/>
    </xf>
    <xf numFmtId="164" fontId="9" fillId="21" borderId="0" xfId="19" applyNumberFormat="1" applyFont="1" applyFill="1" applyBorder="1" applyAlignment="1">
      <alignment horizontal="right" vertical="center"/>
    </xf>
    <xf numFmtId="164" fontId="9" fillId="0" borderId="0" xfId="19" applyFont="1" applyAlignment="1">
      <alignment vertical="center"/>
    </xf>
    <xf numFmtId="164" fontId="24" fillId="0" borderId="0" xfId="19" applyFont="1" applyAlignment="1">
      <alignment vertical="center"/>
    </xf>
    <xf numFmtId="166" fontId="0" fillId="24" borderId="67" xfId="19" applyNumberFormat="1" applyFont="1" applyFill="1" applyBorder="1"/>
    <xf numFmtId="166" fontId="0" fillId="24" borderId="66" xfId="19" applyNumberFormat="1" applyFont="1" applyFill="1" applyBorder="1"/>
    <xf numFmtId="166" fontId="0" fillId="24" borderId="84" xfId="19" applyNumberFormat="1" applyFont="1" applyFill="1" applyBorder="1"/>
    <xf numFmtId="0" fontId="0" fillId="24" borderId="68" xfId="0" applyNumberFormat="1" applyFill="1" applyBorder="1"/>
    <xf numFmtId="0" fontId="0" fillId="24" borderId="69" xfId="0" applyNumberFormat="1" applyFill="1" applyBorder="1"/>
    <xf numFmtId="0" fontId="0" fillId="18" borderId="0" xfId="0" applyNumberFormat="1" applyFill="1" applyBorder="1" applyAlignment="1">
      <alignment vertical="center"/>
    </xf>
    <xf numFmtId="164" fontId="32" fillId="21" borderId="20" xfId="1" applyNumberFormat="1" applyFont="1" applyFill="1" applyBorder="1" applyAlignment="1">
      <alignment horizontal="right" vertical="center"/>
    </xf>
    <xf numFmtId="180" fontId="32" fillId="21" borderId="20" xfId="1" applyNumberFormat="1" applyFont="1" applyFill="1" applyBorder="1" applyAlignment="1">
      <alignment horizontal="right" vertical="center"/>
    </xf>
    <xf numFmtId="164" fontId="9" fillId="0" borderId="0" xfId="19" applyFont="1"/>
    <xf numFmtId="172" fontId="0" fillId="21" borderId="13" xfId="19" applyNumberFormat="1" applyFont="1" applyFill="1" applyBorder="1" applyAlignment="1">
      <alignment vertical="center"/>
    </xf>
    <xf numFmtId="166" fontId="0" fillId="21" borderId="64" xfId="1" applyNumberFormat="1" applyFont="1" applyFill="1" applyBorder="1" applyAlignment="1">
      <alignment vertical="center"/>
    </xf>
    <xf numFmtId="9" fontId="0" fillId="21" borderId="57" xfId="3" applyNumberFormat="1" applyFont="1" applyFill="1" applyBorder="1" applyAlignment="1">
      <alignment vertical="center"/>
    </xf>
    <xf numFmtId="0" fontId="0" fillId="0" borderId="0" xfId="0" applyFill="1" applyBorder="1" applyAlignment="1">
      <alignment horizontal="justify" textRotation="180"/>
    </xf>
    <xf numFmtId="0" fontId="0" fillId="0" borderId="0" xfId="5" applyFont="1" applyFill="1" applyBorder="1" applyAlignment="1">
      <alignment horizontal="center"/>
    </xf>
    <xf numFmtId="0" fontId="9" fillId="0" borderId="0" xfId="0" applyFont="1" applyFill="1" applyBorder="1" applyAlignment="1"/>
    <xf numFmtId="0" fontId="0" fillId="0" borderId="7" xfId="0" applyFill="1" applyBorder="1"/>
    <xf numFmtId="165" fontId="0" fillId="21" borderId="17" xfId="1" applyNumberFormat="1" applyFont="1" applyFill="1" applyBorder="1" applyAlignment="1">
      <alignment vertical="center"/>
    </xf>
    <xf numFmtId="165" fontId="0" fillId="21" borderId="17" xfId="1" applyNumberFormat="1" applyFont="1" applyFill="1" applyBorder="1" applyAlignment="1">
      <alignment horizontal="right" vertical="center"/>
    </xf>
    <xf numFmtId="0" fontId="0" fillId="0" borderId="0" xfId="0" applyFill="1" applyBorder="1" applyAlignment="1">
      <alignment horizontal="left" indent="1"/>
    </xf>
    <xf numFmtId="0" fontId="24" fillId="0" borderId="0" xfId="5" applyFont="1" applyFill="1" applyBorder="1" applyAlignment="1">
      <alignment horizontal="left" vertical="center" indent="1"/>
    </xf>
    <xf numFmtId="0" fontId="0" fillId="0" borderId="0" xfId="5" applyFont="1" applyFill="1" applyBorder="1"/>
    <xf numFmtId="0" fontId="0" fillId="0" borderId="0" xfId="0"/>
    <xf numFmtId="0" fontId="24" fillId="0" borderId="0" xfId="0" applyNumberFormat="1" applyFont="1" applyFill="1" applyBorder="1" applyAlignment="1">
      <alignment horizontal="center" vertical="center"/>
    </xf>
    <xf numFmtId="0" fontId="9" fillId="0" borderId="0" xfId="5" applyFont="1" applyFill="1" applyBorder="1" applyAlignment="1">
      <alignment horizontal="center" vertical="center"/>
    </xf>
    <xf numFmtId="0" fontId="0" fillId="0" borderId="0" xfId="0"/>
    <xf numFmtId="0" fontId="9" fillId="21" borderId="0" xfId="0" applyFont="1" applyFill="1" applyBorder="1" applyAlignment="1">
      <alignment horizontal="center"/>
    </xf>
    <xf numFmtId="164" fontId="0" fillId="21" borderId="57" xfId="19" applyNumberFormat="1" applyFont="1" applyFill="1" applyBorder="1" applyAlignment="1">
      <alignment vertical="center"/>
    </xf>
    <xf numFmtId="164" fontId="0" fillId="21" borderId="267" xfId="19" applyNumberFormat="1" applyFont="1" applyFill="1" applyBorder="1" applyAlignment="1">
      <alignment vertical="center"/>
    </xf>
    <xf numFmtId="164" fontId="0" fillId="0" borderId="0" xfId="19" applyFont="1"/>
    <xf numFmtId="168" fontId="0" fillId="0" borderId="0" xfId="20" applyFont="1"/>
    <xf numFmtId="196" fontId="88" fillId="33" borderId="161" xfId="11" applyNumberFormat="1" applyFont="1" applyFill="1" applyBorder="1" applyAlignment="1">
      <alignment horizontal="center"/>
    </xf>
    <xf numFmtId="196" fontId="89" fillId="0" borderId="142" xfId="11" applyNumberFormat="1" applyFont="1" applyFill="1" applyBorder="1" applyAlignment="1">
      <alignment horizontal="center"/>
    </xf>
    <xf numFmtId="166" fontId="9" fillId="0" borderId="0" xfId="19" applyNumberFormat="1" applyFont="1"/>
    <xf numFmtId="165" fontId="24" fillId="0" borderId="0" xfId="19" applyNumberFormat="1" applyFont="1"/>
    <xf numFmtId="164" fontId="24" fillId="0" borderId="0" xfId="19" applyNumberFormat="1" applyFont="1"/>
    <xf numFmtId="166" fontId="24" fillId="0" borderId="0" xfId="19" applyNumberFormat="1" applyFont="1"/>
    <xf numFmtId="164" fontId="122" fillId="18" borderId="0" xfId="0" applyNumberFormat="1" applyFont="1" applyFill="1" applyAlignment="1">
      <alignment vertical="center"/>
    </xf>
    <xf numFmtId="165" fontId="32" fillId="21" borderId="0" xfId="19" applyNumberFormat="1" applyFont="1" applyFill="1" applyBorder="1" applyAlignment="1">
      <alignment horizontal="right" vertical="center"/>
    </xf>
    <xf numFmtId="165" fontId="0" fillId="21" borderId="13" xfId="19" applyNumberFormat="1" applyFont="1" applyFill="1" applyBorder="1" applyAlignment="1">
      <alignment vertical="center"/>
    </xf>
    <xf numFmtId="164" fontId="0" fillId="18" borderId="0" xfId="19" applyFont="1" applyFill="1" applyBorder="1" applyAlignment="1">
      <alignment vertical="center"/>
    </xf>
    <xf numFmtId="166" fontId="32" fillId="21" borderId="0" xfId="19" applyNumberFormat="1" applyFont="1" applyFill="1" applyBorder="1" applyAlignment="1">
      <alignment horizontal="right" vertical="center"/>
    </xf>
    <xf numFmtId="165" fontId="0" fillId="21" borderId="0" xfId="19" applyNumberFormat="1" applyFont="1" applyFill="1" applyBorder="1" applyAlignment="1">
      <alignment vertical="center"/>
    </xf>
    <xf numFmtId="0" fontId="10" fillId="21" borderId="0" xfId="0" applyFont="1" applyFill="1" applyBorder="1" applyAlignment="1">
      <alignment horizontal="left"/>
    </xf>
    <xf numFmtId="0" fontId="10" fillId="21" borderId="13" xfId="0" applyFont="1" applyFill="1" applyBorder="1" applyAlignment="1">
      <alignment horizontal="left"/>
    </xf>
    <xf numFmtId="172" fontId="46" fillId="18" borderId="0" xfId="1" applyNumberFormat="1" applyFont="1" applyFill="1" applyBorder="1" applyAlignment="1">
      <alignment vertical="center"/>
    </xf>
    <xf numFmtId="172" fontId="0" fillId="18" borderId="0" xfId="1" applyNumberFormat="1" applyFont="1" applyFill="1" applyBorder="1" applyAlignment="1">
      <alignment vertical="center"/>
    </xf>
    <xf numFmtId="188" fontId="9" fillId="0" borderId="0" xfId="19" applyNumberFormat="1" applyFont="1"/>
    <xf numFmtId="0" fontId="26" fillId="27" borderId="0" xfId="0" applyFont="1" applyFill="1" applyBorder="1"/>
    <xf numFmtId="0" fontId="31" fillId="0" borderId="0" xfId="0" applyFont="1" applyFill="1" applyBorder="1" applyAlignment="1">
      <alignment horizontal="left" vertical="center" indent="1"/>
    </xf>
    <xf numFmtId="0" fontId="0" fillId="0" borderId="0" xfId="5" applyFont="1" applyFill="1" applyBorder="1" applyAlignment="1">
      <alignment vertical="center"/>
    </xf>
    <xf numFmtId="0" fontId="24" fillId="0" borderId="0" xfId="5" applyFont="1" applyFill="1" applyBorder="1"/>
    <xf numFmtId="165" fontId="24" fillId="0" borderId="0" xfId="1" applyNumberFormat="1" applyFont="1" applyFill="1" applyBorder="1"/>
    <xf numFmtId="165" fontId="24" fillId="0" borderId="0" xfId="5" applyNumberFormat="1" applyFont="1" applyFill="1" applyBorder="1"/>
    <xf numFmtId="1" fontId="24" fillId="0" borderId="0" xfId="5" applyNumberFormat="1" applyFont="1" applyFill="1" applyBorder="1"/>
    <xf numFmtId="0" fontId="16" fillId="0" borderId="0" xfId="5" applyFont="1" applyFill="1" applyBorder="1"/>
    <xf numFmtId="0" fontId="24" fillId="0" borderId="0" xfId="5" applyFont="1" applyFill="1"/>
    <xf numFmtId="0" fontId="16" fillId="0" borderId="0" xfId="5" applyFont="1" applyFill="1"/>
    <xf numFmtId="0" fontId="9" fillId="0" borderId="0" xfId="0" applyNumberFormat="1" applyFont="1" applyFill="1" applyBorder="1" applyAlignment="1">
      <alignment horizontal="left" vertical="center"/>
    </xf>
    <xf numFmtId="164" fontId="0" fillId="21" borderId="267" xfId="1" applyNumberFormat="1" applyFont="1" applyFill="1" applyBorder="1" applyAlignment="1">
      <alignment vertical="center"/>
    </xf>
    <xf numFmtId="0" fontId="9" fillId="0" borderId="0" xfId="0" applyNumberFormat="1" applyFont="1" applyFill="1" applyBorder="1" applyAlignment="1">
      <alignment horizontal="center" vertical="center"/>
    </xf>
    <xf numFmtId="1" fontId="9" fillId="0" borderId="0" xfId="0" applyNumberFormat="1" applyFont="1" applyFill="1" applyBorder="1" applyAlignment="1">
      <alignment horizontal="center" vertical="center"/>
    </xf>
    <xf numFmtId="0" fontId="24" fillId="0" borderId="0" xfId="5" applyFont="1" applyFill="1" applyBorder="1" applyAlignment="1">
      <alignment horizontal="center"/>
    </xf>
    <xf numFmtId="1" fontId="24" fillId="0" borderId="0" xfId="1" applyNumberFormat="1" applyFont="1" applyFill="1" applyBorder="1" applyAlignment="1">
      <alignment horizontal="center" vertical="center"/>
    </xf>
    <xf numFmtId="1" fontId="24" fillId="0" borderId="0" xfId="0" applyNumberFormat="1" applyFont="1" applyFill="1" applyBorder="1" applyAlignment="1">
      <alignment horizontal="center"/>
    </xf>
    <xf numFmtId="165" fontId="24" fillId="0" borderId="0" xfId="1" applyNumberFormat="1" applyFont="1" applyFill="1" applyBorder="1" applyAlignment="1">
      <alignment horizontal="center" vertical="center"/>
    </xf>
    <xf numFmtId="0" fontId="24" fillId="0" borderId="0" xfId="0" applyFont="1" applyFill="1" applyBorder="1" applyAlignment="1">
      <alignment horizontal="center"/>
    </xf>
    <xf numFmtId="166" fontId="32" fillId="0" borderId="0" xfId="1" applyNumberFormat="1" applyFont="1" applyFill="1" applyBorder="1"/>
    <xf numFmtId="0" fontId="6" fillId="0" borderId="0" xfId="6" applyFill="1" applyBorder="1" applyAlignment="1" applyProtection="1"/>
    <xf numFmtId="0" fontId="51" fillId="0" borderId="0" xfId="0" quotePrefix="1" applyFont="1"/>
    <xf numFmtId="169" fontId="0" fillId="0" borderId="0" xfId="1" applyNumberFormat="1" applyFont="1"/>
    <xf numFmtId="0" fontId="32" fillId="0" borderId="0" xfId="0" applyFont="1" applyFill="1" applyBorder="1" applyAlignment="1">
      <alignment horizontal="right" vertical="center"/>
    </xf>
    <xf numFmtId="0" fontId="9" fillId="0" borderId="0" xfId="0" applyFont="1" applyFill="1" applyBorder="1" applyAlignment="1">
      <alignment horizontal="right"/>
    </xf>
    <xf numFmtId="0" fontId="0" fillId="0" borderId="0" xfId="0" applyNumberFormat="1" applyFill="1" applyBorder="1" applyAlignment="1">
      <alignment horizontal="center" vertical="center"/>
    </xf>
    <xf numFmtId="0" fontId="0" fillId="0" borderId="0" xfId="0" applyNumberFormat="1" applyFill="1" applyBorder="1" applyAlignment="1">
      <alignment vertical="center"/>
    </xf>
    <xf numFmtId="0" fontId="13" fillId="0" borderId="0" xfId="0" applyNumberFormat="1" applyFont="1" applyFill="1" applyBorder="1" applyAlignment="1">
      <alignment horizontal="right" vertical="center"/>
    </xf>
    <xf numFmtId="0" fontId="0" fillId="0" borderId="0" xfId="0" applyNumberFormat="1" applyFill="1" applyBorder="1" applyAlignment="1">
      <alignment horizontal="left" vertical="center"/>
    </xf>
    <xf numFmtId="164" fontId="32" fillId="0" borderId="0" xfId="1" applyNumberFormat="1" applyFont="1" applyFill="1" applyBorder="1" applyAlignment="1">
      <alignment horizontal="right" vertical="center"/>
    </xf>
    <xf numFmtId="180" fontId="32" fillId="0" borderId="0" xfId="1" applyNumberFormat="1" applyFont="1" applyFill="1" applyBorder="1" applyAlignment="1">
      <alignment horizontal="right" vertical="center"/>
    </xf>
    <xf numFmtId="11" fontId="0" fillId="0" borderId="0" xfId="19" applyNumberFormat="1" applyFont="1"/>
    <xf numFmtId="164" fontId="20" fillId="0" borderId="0" xfId="19" applyFont="1"/>
    <xf numFmtId="164" fontId="11" fillId="21" borderId="15" xfId="1" applyNumberFormat="1" applyFont="1" applyFill="1" applyBorder="1" applyAlignment="1">
      <alignment vertical="center"/>
    </xf>
    <xf numFmtId="168" fontId="0" fillId="21" borderId="267" xfId="3" applyNumberFormat="1" applyFont="1" applyFill="1" applyBorder="1" applyAlignment="1">
      <alignment vertical="center"/>
    </xf>
    <xf numFmtId="0" fontId="0" fillId="0" borderId="0" xfId="5" applyFont="1" applyFill="1" applyBorder="1" applyAlignment="1">
      <alignment horizontal="left" vertical="center" indent="1"/>
    </xf>
    <xf numFmtId="0" fontId="1" fillId="0" borderId="0" xfId="164" applyFill="1" applyBorder="1"/>
    <xf numFmtId="0" fontId="16" fillId="0" borderId="0" xfId="5" applyFont="1" applyFill="1" applyBorder="1" applyAlignment="1">
      <alignment horizontal="right"/>
    </xf>
    <xf numFmtId="165" fontId="16" fillId="0" borderId="0" xfId="1" applyNumberFormat="1" applyFont="1" applyFill="1" applyBorder="1"/>
    <xf numFmtId="165" fontId="16" fillId="15" borderId="0" xfId="1" applyNumberFormat="1" applyFont="1" applyFill="1" applyBorder="1"/>
    <xf numFmtId="0" fontId="0" fillId="0" borderId="0" xfId="0" applyFont="1" applyFill="1" applyBorder="1" applyAlignment="1">
      <alignment horizontal="center"/>
    </xf>
    <xf numFmtId="165" fontId="0" fillId="0" borderId="0" xfId="1" applyNumberFormat="1" applyFont="1" applyFill="1" applyBorder="1" applyAlignment="1">
      <alignment horizontal="center"/>
    </xf>
    <xf numFmtId="0" fontId="5" fillId="0" borderId="0" xfId="0" applyFont="1" applyFill="1" applyBorder="1"/>
    <xf numFmtId="0" fontId="13" fillId="0" borderId="0" xfId="0" applyFont="1" applyFill="1" applyBorder="1" applyAlignment="1">
      <alignment vertical="center"/>
    </xf>
    <xf numFmtId="164" fontId="0" fillId="0" borderId="0" xfId="1" applyNumberFormat="1" applyFont="1" applyFill="1" applyBorder="1" applyAlignment="1">
      <alignment vertical="center"/>
    </xf>
    <xf numFmtId="180" fontId="0" fillId="0" borderId="0" xfId="0" applyNumberFormat="1" applyFill="1" applyBorder="1" applyAlignment="1">
      <alignment vertical="center"/>
    </xf>
    <xf numFmtId="170" fontId="0" fillId="21" borderId="15" xfId="3" applyNumberFormat="1" applyFont="1" applyFill="1" applyBorder="1" applyAlignment="1">
      <alignment vertical="center"/>
    </xf>
    <xf numFmtId="0" fontId="0" fillId="21" borderId="23" xfId="0" applyFill="1" applyBorder="1"/>
    <xf numFmtId="0" fontId="13" fillId="21" borderId="23" xfId="0" applyFont="1" applyFill="1" applyBorder="1" applyAlignment="1">
      <alignment horizontal="right" vertical="center"/>
    </xf>
    <xf numFmtId="170" fontId="32" fillId="21" borderId="0" xfId="3" applyNumberFormat="1" applyFont="1" applyFill="1" applyBorder="1" applyAlignment="1">
      <alignment horizontal="right" vertical="center"/>
    </xf>
    <xf numFmtId="0" fontId="0" fillId="21" borderId="9" xfId="0" applyFill="1" applyBorder="1"/>
    <xf numFmtId="9" fontId="0" fillId="21" borderId="9" xfId="0" applyNumberFormat="1" applyFill="1" applyBorder="1" applyAlignment="1">
      <alignment vertical="center"/>
    </xf>
    <xf numFmtId="164" fontId="0" fillId="21" borderId="59" xfId="1" applyNumberFormat="1" applyFont="1" applyFill="1" applyBorder="1" applyAlignment="1">
      <alignment vertical="center"/>
    </xf>
    <xf numFmtId="170" fontId="0" fillId="21" borderId="25" xfId="3" applyNumberFormat="1" applyFont="1" applyFill="1" applyBorder="1" applyAlignment="1">
      <alignment vertical="center"/>
    </xf>
    <xf numFmtId="170" fontId="0" fillId="21" borderId="22" xfId="3" applyNumberFormat="1" applyFont="1" applyFill="1" applyBorder="1" applyAlignment="1">
      <alignment horizontal="right" vertical="center"/>
    </xf>
    <xf numFmtId="170" fontId="0" fillId="21" borderId="20" xfId="3" applyNumberFormat="1" applyFont="1" applyFill="1" applyBorder="1" applyAlignment="1">
      <alignment horizontal="right" vertical="center"/>
    </xf>
    <xf numFmtId="170" fontId="0" fillId="21" borderId="20" xfId="3" applyNumberFormat="1" applyFont="1" applyFill="1" applyBorder="1" applyAlignment="1">
      <alignment vertical="center"/>
    </xf>
    <xf numFmtId="170" fontId="0" fillId="21" borderId="22" xfId="3" applyNumberFormat="1" applyFont="1" applyFill="1" applyBorder="1" applyAlignment="1">
      <alignment vertical="center"/>
    </xf>
    <xf numFmtId="170" fontId="0" fillId="21" borderId="25" xfId="3" applyNumberFormat="1" applyFont="1" applyFill="1" applyBorder="1" applyAlignment="1">
      <alignment horizontal="right" vertical="center"/>
    </xf>
    <xf numFmtId="165" fontId="0" fillId="21" borderId="57" xfId="1" applyNumberFormat="1" applyFont="1" applyFill="1" applyBorder="1" applyAlignment="1">
      <alignment vertical="center"/>
    </xf>
    <xf numFmtId="170" fontId="0" fillId="21" borderId="267" xfId="3" applyNumberFormat="1" applyFont="1" applyFill="1" applyBorder="1" applyAlignment="1">
      <alignment vertical="center"/>
    </xf>
    <xf numFmtId="170" fontId="0" fillId="21" borderId="57" xfId="3" applyNumberFormat="1" applyFont="1" applyFill="1" applyBorder="1" applyAlignment="1">
      <alignment vertical="center"/>
    </xf>
    <xf numFmtId="10" fontId="0" fillId="21" borderId="0" xfId="0" applyNumberFormat="1" applyFill="1" applyBorder="1" applyAlignment="1">
      <alignment vertical="center"/>
    </xf>
    <xf numFmtId="9" fontId="0" fillId="21" borderId="59" xfId="3" applyNumberFormat="1" applyFont="1" applyFill="1" applyBorder="1" applyAlignment="1">
      <alignment vertical="center"/>
    </xf>
    <xf numFmtId="166" fontId="0" fillId="21" borderId="21" xfId="1" applyNumberFormat="1" applyFont="1" applyFill="1" applyBorder="1" applyAlignment="1">
      <alignment vertical="center"/>
    </xf>
    <xf numFmtId="166" fontId="0" fillId="21" borderId="59" xfId="1" applyNumberFormat="1" applyFont="1" applyFill="1" applyBorder="1" applyAlignment="1">
      <alignment vertical="center"/>
    </xf>
    <xf numFmtId="165" fontId="0" fillId="21" borderId="9" xfId="1" applyNumberFormat="1" applyFont="1" applyFill="1" applyBorder="1" applyAlignment="1">
      <alignment vertical="center"/>
    </xf>
    <xf numFmtId="164" fontId="0" fillId="21" borderId="0" xfId="1" applyNumberFormat="1" applyFont="1" applyFill="1" applyBorder="1"/>
    <xf numFmtId="164" fontId="0" fillId="21" borderId="20" xfId="1" applyNumberFormat="1" applyFont="1" applyFill="1" applyBorder="1"/>
    <xf numFmtId="164" fontId="0" fillId="21" borderId="13" xfId="1" applyNumberFormat="1" applyFont="1" applyFill="1" applyBorder="1"/>
    <xf numFmtId="172" fontId="0" fillId="21" borderId="57" xfId="1" applyNumberFormat="1" applyFont="1" applyFill="1" applyBorder="1" applyAlignment="1">
      <alignment vertical="center"/>
    </xf>
    <xf numFmtId="168" fontId="0" fillId="21" borderId="0" xfId="20" applyFont="1" applyFill="1" applyBorder="1" applyAlignment="1">
      <alignment vertical="center"/>
    </xf>
    <xf numFmtId="0" fontId="0" fillId="0" borderId="0" xfId="0" applyFont="1" applyFill="1" applyBorder="1" applyAlignment="1">
      <alignment horizontal="left" indent="1"/>
    </xf>
    <xf numFmtId="0" fontId="9" fillId="0" borderId="0" xfId="0" applyFont="1" applyFill="1" applyBorder="1" applyAlignment="1">
      <alignment horizontal="center"/>
    </xf>
    <xf numFmtId="0" fontId="5" fillId="0" borderId="0" xfId="0" applyFont="1" applyFill="1" applyBorder="1" applyAlignment="1">
      <alignment horizontal="left" indent="1"/>
    </xf>
    <xf numFmtId="0" fontId="13" fillId="0" borderId="0" xfId="0" applyFont="1" applyFill="1" applyBorder="1" applyAlignment="1">
      <alignment horizontal="right" vertical="center"/>
    </xf>
    <xf numFmtId="0" fontId="24" fillId="21" borderId="0" xfId="12" applyFont="1" applyFill="1" applyBorder="1"/>
    <xf numFmtId="0" fontId="9" fillId="21" borderId="13" xfId="0" applyFont="1" applyFill="1" applyBorder="1" applyAlignment="1">
      <alignment horizontal="center"/>
    </xf>
    <xf numFmtId="9" fontId="0" fillId="0" borderId="0" xfId="0" applyNumberFormat="1" applyFill="1" applyBorder="1" applyAlignment="1">
      <alignment vertical="center"/>
    </xf>
    <xf numFmtId="165" fontId="0" fillId="0" borderId="0" xfId="1" applyNumberFormat="1" applyFont="1" applyFill="1" applyBorder="1" applyAlignment="1">
      <alignment vertical="center"/>
    </xf>
    <xf numFmtId="0" fontId="13" fillId="21" borderId="11" xfId="0" applyFont="1" applyFill="1" applyBorder="1" applyAlignment="1">
      <alignment vertical="center"/>
    </xf>
    <xf numFmtId="1" fontId="13" fillId="21" borderId="0" xfId="0" applyNumberFormat="1" applyFont="1" applyFill="1" applyBorder="1" applyAlignment="1">
      <alignment horizontal="right" vertical="center"/>
    </xf>
    <xf numFmtId="0" fontId="0" fillId="21" borderId="10" xfId="0" applyNumberFormat="1" applyFill="1" applyBorder="1" applyAlignment="1">
      <alignment horizontal="right" vertical="center"/>
    </xf>
    <xf numFmtId="0" fontId="0" fillId="0" borderId="7" xfId="0" applyBorder="1"/>
    <xf numFmtId="0" fontId="0" fillId="21" borderId="13" xfId="0" applyNumberFormat="1" applyFill="1" applyBorder="1" applyAlignment="1">
      <alignment horizontal="right" vertical="center"/>
    </xf>
    <xf numFmtId="164" fontId="0" fillId="21" borderId="10" xfId="1" applyNumberFormat="1" applyFont="1" applyFill="1" applyBorder="1" applyAlignment="1">
      <alignment vertical="center"/>
    </xf>
    <xf numFmtId="164" fontId="0" fillId="0" borderId="0" xfId="1" applyNumberFormat="1" applyFont="1" applyFill="1" applyBorder="1"/>
    <xf numFmtId="170" fontId="32" fillId="0" borderId="0" xfId="20" applyNumberFormat="1" applyFont="1" applyFill="1" applyBorder="1" applyAlignment="1">
      <alignment horizontal="right" vertical="center"/>
    </xf>
    <xf numFmtId="170" fontId="32" fillId="0" borderId="0" xfId="12" applyNumberFormat="1" applyFont="1" applyFill="1" applyBorder="1" applyAlignment="1">
      <alignment horizontal="right" vertical="center"/>
    </xf>
    <xf numFmtId="170" fontId="32" fillId="0" borderId="0" xfId="34" applyNumberFormat="1" applyFont="1" applyFill="1" applyBorder="1" applyAlignment="1">
      <alignment horizontal="right" vertical="center"/>
    </xf>
    <xf numFmtId="0" fontId="16" fillId="0" borderId="0" xfId="34" applyFont="1" applyFill="1" applyBorder="1"/>
    <xf numFmtId="174" fontId="0" fillId="21" borderId="10" xfId="1" applyNumberFormat="1" applyFont="1" applyFill="1" applyBorder="1"/>
    <xf numFmtId="174" fontId="0" fillId="21" borderId="0" xfId="1" applyNumberFormat="1" applyFont="1" applyFill="1" applyBorder="1"/>
    <xf numFmtId="174" fontId="0" fillId="21" borderId="13" xfId="1" applyNumberFormat="1" applyFont="1" applyFill="1" applyBorder="1"/>
    <xf numFmtId="0" fontId="32" fillId="0" borderId="0" xfId="0" applyNumberFormat="1" applyFont="1" applyFill="1" applyBorder="1" applyAlignment="1">
      <alignment horizontal="right" vertical="center"/>
    </xf>
    <xf numFmtId="1" fontId="32" fillId="0" borderId="0" xfId="0" applyNumberFormat="1" applyFont="1" applyFill="1" applyBorder="1" applyAlignment="1">
      <alignment horizontal="right" vertical="center"/>
    </xf>
    <xf numFmtId="165" fontId="24" fillId="0" borderId="0" xfId="1" applyNumberFormat="1" applyFont="1" applyFill="1" applyBorder="1" applyAlignment="1">
      <alignment vertical="center"/>
    </xf>
    <xf numFmtId="0" fontId="32" fillId="21" borderId="0" xfId="12" applyFont="1" applyFill="1" applyBorder="1" applyAlignment="1">
      <alignment vertical="center"/>
    </xf>
    <xf numFmtId="0" fontId="6" fillId="21" borderId="0" xfId="6" applyFill="1" applyBorder="1" applyAlignment="1" applyProtection="1">
      <alignment vertical="center"/>
    </xf>
    <xf numFmtId="170" fontId="32" fillId="21" borderId="0" xfId="12" applyNumberFormat="1" applyFont="1" applyFill="1" applyBorder="1" applyAlignment="1">
      <alignment horizontal="right" vertical="center"/>
    </xf>
    <xf numFmtId="170" fontId="32" fillId="21" borderId="0" xfId="34" applyNumberFormat="1" applyFont="1" applyFill="1" applyBorder="1" applyAlignment="1">
      <alignment horizontal="right" vertical="center"/>
    </xf>
    <xf numFmtId="165" fontId="0" fillId="21" borderId="0" xfId="0" applyNumberFormat="1" applyFill="1" applyBorder="1"/>
    <xf numFmtId="165" fontId="0" fillId="21" borderId="13" xfId="0" applyNumberFormat="1" applyFill="1" applyBorder="1"/>
    <xf numFmtId="164" fontId="0" fillId="21" borderId="22" xfId="1" applyNumberFormat="1" applyFont="1" applyFill="1" applyBorder="1" applyAlignment="1">
      <alignment vertical="center"/>
    </xf>
    <xf numFmtId="182" fontId="0" fillId="21" borderId="20" xfId="20" applyNumberFormat="1" applyFont="1" applyFill="1" applyBorder="1" applyAlignment="1">
      <alignment vertical="center"/>
    </xf>
    <xf numFmtId="182" fontId="0" fillId="21" borderId="22" xfId="20" applyNumberFormat="1" applyFont="1" applyFill="1" applyBorder="1" applyAlignment="1">
      <alignment vertical="center"/>
    </xf>
    <xf numFmtId="182" fontId="0" fillId="21" borderId="23" xfId="20" applyNumberFormat="1" applyFont="1" applyFill="1" applyBorder="1"/>
    <xf numFmtId="182" fontId="0" fillId="21" borderId="0" xfId="20" applyNumberFormat="1" applyFont="1" applyFill="1" applyBorder="1"/>
    <xf numFmtId="182" fontId="0" fillId="21" borderId="13" xfId="20" applyNumberFormat="1" applyFont="1" applyFill="1" applyBorder="1" applyAlignment="1">
      <alignment vertical="center"/>
    </xf>
    <xf numFmtId="182" fontId="0" fillId="21" borderId="25" xfId="20" applyNumberFormat="1" applyFont="1" applyFill="1" applyBorder="1" applyAlignment="1">
      <alignment vertical="center"/>
    </xf>
    <xf numFmtId="182" fontId="0" fillId="21" borderId="24" xfId="20" applyNumberFormat="1" applyFont="1" applyFill="1" applyBorder="1"/>
    <xf numFmtId="182" fontId="0" fillId="21" borderId="13" xfId="20" applyNumberFormat="1" applyFont="1" applyFill="1" applyBorder="1"/>
    <xf numFmtId="182" fontId="0" fillId="21" borderId="57" xfId="20" applyNumberFormat="1" applyFont="1" applyFill="1" applyBorder="1" applyAlignment="1">
      <alignment vertical="center"/>
    </xf>
    <xf numFmtId="182" fontId="0" fillId="21" borderId="267" xfId="20" applyNumberFormat="1" applyFont="1" applyFill="1" applyBorder="1" applyAlignment="1">
      <alignment vertical="center"/>
    </xf>
    <xf numFmtId="182" fontId="0" fillId="21" borderId="60" xfId="20" applyNumberFormat="1" applyFont="1" applyFill="1" applyBorder="1" applyAlignment="1">
      <alignment vertical="center"/>
    </xf>
    <xf numFmtId="164" fontId="0" fillId="21" borderId="57" xfId="0" applyNumberFormat="1" applyFill="1" applyBorder="1" applyAlignment="1">
      <alignment vertical="center"/>
    </xf>
    <xf numFmtId="0" fontId="0" fillId="0" borderId="0" xfId="0" quotePrefix="1" applyAlignment="1">
      <alignment horizontal="right"/>
    </xf>
    <xf numFmtId="0" fontId="9" fillId="0" borderId="10" xfId="0" applyFont="1" applyBorder="1"/>
    <xf numFmtId="0" fontId="0" fillId="0" borderId="13" xfId="0" applyBorder="1" applyAlignment="1">
      <alignment horizontal="right"/>
    </xf>
    <xf numFmtId="164" fontId="0" fillId="0" borderId="13" xfId="1" applyNumberFormat="1" applyFont="1" applyBorder="1"/>
    <xf numFmtId="10" fontId="84" fillId="0" borderId="0" xfId="20" applyNumberFormat="1" applyFont="1" applyAlignment="1">
      <alignment horizontal="right"/>
    </xf>
    <xf numFmtId="168" fontId="84" fillId="0" borderId="0" xfId="20" applyFont="1" applyAlignment="1">
      <alignment horizontal="right"/>
    </xf>
    <xf numFmtId="0" fontId="25" fillId="0" borderId="0" xfId="0" applyFont="1" applyFill="1" applyBorder="1" applyAlignment="1">
      <alignment horizontal="right"/>
    </xf>
    <xf numFmtId="164" fontId="11" fillId="0" borderId="0" xfId="0" applyNumberFormat="1" applyFont="1" applyFill="1" applyBorder="1" applyAlignment="1">
      <alignment horizontal="right"/>
    </xf>
    <xf numFmtId="0" fontId="0" fillId="0" borderId="0" xfId="0" applyNumberFormat="1" applyFont="1" applyFill="1" applyBorder="1"/>
    <xf numFmtId="164" fontId="0" fillId="0" borderId="0" xfId="0" applyNumberFormat="1" applyFont="1" applyFill="1" applyBorder="1"/>
    <xf numFmtId="164" fontId="0" fillId="0" borderId="0" xfId="0" applyNumberFormat="1" applyFill="1" applyBorder="1"/>
    <xf numFmtId="0" fontId="13" fillId="0" borderId="0" xfId="0" applyFont="1" applyBorder="1" applyAlignment="1">
      <alignment horizontal="right"/>
    </xf>
    <xf numFmtId="165" fontId="32" fillId="0" borderId="0" xfId="1" applyNumberFormat="1" applyFont="1" applyBorder="1" applyAlignment="1">
      <alignment horizontal="right"/>
    </xf>
    <xf numFmtId="180" fontId="0" fillId="0" borderId="0" xfId="0" applyNumberFormat="1" applyBorder="1"/>
    <xf numFmtId="189" fontId="0" fillId="0" borderId="0" xfId="0" applyNumberFormat="1" applyBorder="1"/>
    <xf numFmtId="164" fontId="32" fillId="0" borderId="0" xfId="1" applyNumberFormat="1" applyFont="1" applyBorder="1" applyAlignment="1">
      <alignment horizontal="right"/>
    </xf>
    <xf numFmtId="0" fontId="31" fillId="17" borderId="18" xfId="0" applyFont="1" applyFill="1" applyBorder="1" applyAlignment="1">
      <alignment horizontal="left" vertical="center" indent="1"/>
    </xf>
    <xf numFmtId="0" fontId="0" fillId="17" borderId="17" xfId="0" applyFill="1" applyBorder="1"/>
    <xf numFmtId="0" fontId="0" fillId="17" borderId="29" xfId="0" applyFill="1" applyBorder="1"/>
    <xf numFmtId="164" fontId="32" fillId="18" borderId="0" xfId="0" applyNumberFormat="1" applyFont="1" applyFill="1" applyBorder="1" applyAlignment="1">
      <alignment vertical="center"/>
    </xf>
    <xf numFmtId="0" fontId="0" fillId="24" borderId="0" xfId="0" applyNumberFormat="1" applyFill="1" applyBorder="1" applyAlignment="1">
      <alignment horizontal="left" vertical="center"/>
    </xf>
    <xf numFmtId="0" fontId="25" fillId="24" borderId="12" xfId="0" applyFont="1" applyFill="1" applyBorder="1"/>
    <xf numFmtId="164" fontId="0" fillId="24" borderId="269" xfId="0" applyNumberFormat="1" applyFont="1" applyFill="1" applyBorder="1"/>
    <xf numFmtId="164" fontId="0" fillId="24" borderId="66" xfId="0" applyNumberFormat="1" applyFont="1" applyFill="1" applyBorder="1"/>
    <xf numFmtId="0" fontId="24" fillId="27" borderId="0" xfId="0" applyFont="1" applyFill="1" applyAlignment="1">
      <alignment vertical="center"/>
    </xf>
    <xf numFmtId="164" fontId="0" fillId="21" borderId="0" xfId="19" applyFont="1" applyFill="1" applyBorder="1" applyAlignment="1">
      <alignment vertical="center"/>
    </xf>
    <xf numFmtId="164" fontId="0" fillId="21" borderId="9" xfId="19" applyFont="1" applyFill="1" applyBorder="1" applyAlignment="1">
      <alignment vertical="center"/>
    </xf>
    <xf numFmtId="164" fontId="0" fillId="21" borderId="20" xfId="19" applyFont="1" applyFill="1" applyBorder="1" applyAlignment="1">
      <alignment vertical="center"/>
    </xf>
    <xf numFmtId="164" fontId="0" fillId="21" borderId="22" xfId="19" applyFont="1" applyFill="1" applyBorder="1" applyAlignment="1">
      <alignment vertical="center"/>
    </xf>
    <xf numFmtId="164" fontId="0" fillId="21" borderId="0" xfId="19" applyFont="1" applyFill="1" applyBorder="1"/>
    <xf numFmtId="164" fontId="0" fillId="21" borderId="15" xfId="19" applyFont="1" applyFill="1" applyBorder="1" applyAlignment="1">
      <alignment vertical="center"/>
    </xf>
    <xf numFmtId="164" fontId="0" fillId="21" borderId="13" xfId="19" applyFont="1" applyFill="1" applyBorder="1" applyAlignment="1">
      <alignment vertical="center"/>
    </xf>
    <xf numFmtId="164" fontId="0" fillId="21" borderId="25" xfId="19" applyFont="1" applyFill="1" applyBorder="1" applyAlignment="1">
      <alignment vertical="center"/>
    </xf>
    <xf numFmtId="164" fontId="0" fillId="21" borderId="13" xfId="19" applyFont="1" applyFill="1" applyBorder="1"/>
    <xf numFmtId="170" fontId="0" fillId="21" borderId="0" xfId="20" applyNumberFormat="1" applyFont="1" applyFill="1" applyBorder="1" applyAlignment="1">
      <alignment vertical="center"/>
    </xf>
    <xf numFmtId="170" fontId="0" fillId="21" borderId="9" xfId="20" applyNumberFormat="1" applyFont="1" applyFill="1" applyBorder="1" applyAlignment="1">
      <alignment vertical="center"/>
    </xf>
    <xf numFmtId="170" fontId="0" fillId="21" borderId="13" xfId="20" applyNumberFormat="1" applyFont="1" applyFill="1" applyBorder="1" applyAlignment="1">
      <alignment vertical="center"/>
    </xf>
    <xf numFmtId="0" fontId="0" fillId="24" borderId="0" xfId="0" applyFill="1" applyAlignment="1">
      <alignment horizontal="left" vertical="center"/>
    </xf>
    <xf numFmtId="164" fontId="0" fillId="24" borderId="84" xfId="0" applyNumberFormat="1" applyFont="1" applyFill="1" applyBorder="1"/>
    <xf numFmtId="0" fontId="0" fillId="0" borderId="0" xfId="0" applyAlignment="1">
      <alignment horizontal="center"/>
    </xf>
    <xf numFmtId="0" fontId="0" fillId="0" borderId="0" xfId="0"/>
    <xf numFmtId="0" fontId="9" fillId="21" borderId="0" xfId="0" applyFont="1" applyFill="1" applyBorder="1" applyAlignment="1">
      <alignment horizontal="center"/>
    </xf>
    <xf numFmtId="188" fontId="32" fillId="0" borderId="0" xfId="1" applyNumberFormat="1" applyFont="1" applyAlignment="1">
      <alignment horizontal="right"/>
    </xf>
    <xf numFmtId="0" fontId="0" fillId="0" borderId="0" xfId="0"/>
    <xf numFmtId="0" fontId="5" fillId="18" borderId="0" xfId="0" applyFont="1" applyFill="1" applyBorder="1" applyAlignment="1">
      <alignment horizontal="left" vertical="center" indent="1"/>
    </xf>
    <xf numFmtId="0" fontId="13" fillId="21" borderId="8" xfId="0" applyFont="1" applyFill="1" applyBorder="1" applyAlignment="1">
      <alignment horizontal="center" vertical="center"/>
    </xf>
    <xf numFmtId="0" fontId="0" fillId="21" borderId="20" xfId="0" applyNumberFormat="1" applyFill="1" applyBorder="1" applyAlignment="1">
      <alignment horizontal="right" vertical="center"/>
    </xf>
    <xf numFmtId="0" fontId="0" fillId="21" borderId="12" xfId="0" applyNumberFormat="1" applyFill="1" applyBorder="1" applyAlignment="1">
      <alignment horizontal="right" vertical="center"/>
    </xf>
    <xf numFmtId="168" fontId="0" fillId="21" borderId="12" xfId="3" applyNumberFormat="1" applyFont="1" applyFill="1" applyBorder="1"/>
    <xf numFmtId="0" fontId="13" fillId="21" borderId="0" xfId="0" applyFont="1" applyFill="1" applyBorder="1" applyAlignment="1">
      <alignment horizontal="center" vertical="center"/>
    </xf>
    <xf numFmtId="0" fontId="0" fillId="21" borderId="268" xfId="0" applyFont="1" applyFill="1" applyBorder="1"/>
    <xf numFmtId="0" fontId="0" fillId="21" borderId="270" xfId="0" applyFont="1" applyFill="1" applyBorder="1" applyAlignment="1">
      <alignment horizontal="center" vertical="center" wrapText="1"/>
    </xf>
    <xf numFmtId="0" fontId="0" fillId="21" borderId="10" xfId="0" applyFont="1" applyFill="1" applyBorder="1" applyAlignment="1">
      <alignment horizontal="center" vertical="center" wrapText="1"/>
    </xf>
    <xf numFmtId="0" fontId="0" fillId="21" borderId="0" xfId="0" applyNumberFormat="1" applyFont="1" applyFill="1" applyBorder="1" applyAlignment="1">
      <alignment horizontal="right" vertical="center"/>
    </xf>
    <xf numFmtId="0" fontId="13" fillId="21" borderId="271" xfId="0" applyFont="1" applyFill="1" applyBorder="1" applyAlignment="1">
      <alignment horizontal="right" vertical="center"/>
    </xf>
    <xf numFmtId="0" fontId="13" fillId="21" borderId="27" xfId="0" applyFont="1" applyFill="1" applyBorder="1" applyAlignment="1">
      <alignment horizontal="right" vertical="center"/>
    </xf>
    <xf numFmtId="0" fontId="13" fillId="21" borderId="12" xfId="0" applyFont="1" applyFill="1" applyBorder="1" applyAlignment="1">
      <alignment horizontal="right" vertical="center"/>
    </xf>
    <xf numFmtId="0" fontId="32" fillId="21" borderId="20" xfId="0" applyFont="1" applyFill="1" applyBorder="1" applyAlignment="1">
      <alignment vertical="center"/>
    </xf>
    <xf numFmtId="170" fontId="32" fillId="21" borderId="21" xfId="3" applyNumberFormat="1" applyFont="1" applyFill="1" applyBorder="1" applyAlignment="1">
      <alignment horizontal="right" vertical="center"/>
    </xf>
    <xf numFmtId="170" fontId="32" fillId="15" borderId="20" xfId="34" applyNumberFormat="1" applyFont="1" applyBorder="1" applyAlignment="1">
      <alignment horizontal="right" vertical="center"/>
    </xf>
    <xf numFmtId="170" fontId="32" fillId="15" borderId="0" xfId="34" applyNumberFormat="1" applyFont="1" applyBorder="1" applyAlignment="1">
      <alignment horizontal="right" vertical="center"/>
    </xf>
    <xf numFmtId="170" fontId="32" fillId="21" borderId="20" xfId="20" applyNumberFormat="1" applyFont="1" applyFill="1" applyBorder="1" applyAlignment="1">
      <alignment horizontal="right" vertical="center"/>
    </xf>
    <xf numFmtId="170" fontId="32" fillId="21" borderId="23" xfId="3" applyNumberFormat="1" applyFont="1" applyFill="1" applyBorder="1" applyAlignment="1">
      <alignment horizontal="right" vertical="center"/>
    </xf>
    <xf numFmtId="170" fontId="32" fillId="21" borderId="0" xfId="20" applyNumberFormat="1" applyFont="1" applyFill="1" applyBorder="1" applyAlignment="1">
      <alignment horizontal="right" vertical="center"/>
    </xf>
    <xf numFmtId="164" fontId="0" fillId="21" borderId="0" xfId="1" applyNumberFormat="1" applyFont="1" applyFill="1" applyBorder="1" applyAlignment="1"/>
    <xf numFmtId="0" fontId="13" fillId="21" borderId="13" xfId="0" applyFont="1" applyFill="1" applyBorder="1" applyAlignment="1">
      <alignment vertical="center"/>
    </xf>
    <xf numFmtId="170" fontId="32" fillId="21" borderId="24" xfId="3" applyNumberFormat="1" applyFont="1" applyFill="1" applyBorder="1" applyAlignment="1">
      <alignment horizontal="right" vertical="center"/>
    </xf>
    <xf numFmtId="170" fontId="32" fillId="15" borderId="13" xfId="34" applyNumberFormat="1" applyFont="1" applyBorder="1" applyAlignment="1">
      <alignment horizontal="right" vertical="center"/>
    </xf>
    <xf numFmtId="170" fontId="32" fillId="21" borderId="13" xfId="20" applyNumberFormat="1" applyFont="1" applyFill="1" applyBorder="1" applyAlignment="1">
      <alignment horizontal="right" vertical="center"/>
    </xf>
    <xf numFmtId="170" fontId="32" fillId="21" borderId="0" xfId="0" applyNumberFormat="1" applyFont="1" applyFill="1" applyBorder="1" applyAlignment="1">
      <alignment horizontal="right" vertical="center"/>
    </xf>
    <xf numFmtId="0" fontId="24" fillId="21" borderId="6" xfId="12" applyFont="1" applyFill="1" applyBorder="1" applyAlignment="1">
      <alignment horizontal="left" indent="1"/>
    </xf>
    <xf numFmtId="0" fontId="9" fillId="21" borderId="0" xfId="12" applyFont="1" applyFill="1" applyBorder="1"/>
    <xf numFmtId="0" fontId="24" fillId="21" borderId="0" xfId="12" applyFont="1" applyFill="1" applyBorder="1" applyAlignment="1">
      <alignment horizontal="right"/>
    </xf>
    <xf numFmtId="0" fontId="24" fillId="21" borderId="0" xfId="12" applyFont="1" applyFill="1" applyBorder="1" applyAlignment="1">
      <alignment horizontal="right" vertical="center"/>
    </xf>
    <xf numFmtId="0" fontId="24" fillId="0" borderId="0" xfId="12" applyFont="1" applyFill="1"/>
    <xf numFmtId="0" fontId="24" fillId="0" borderId="0" xfId="12" applyFont="1"/>
    <xf numFmtId="0" fontId="24" fillId="21" borderId="10" xfId="12" applyFont="1" applyFill="1" applyBorder="1"/>
    <xf numFmtId="0" fontId="24" fillId="21" borderId="268" xfId="12" applyFont="1" applyFill="1" applyBorder="1"/>
    <xf numFmtId="0" fontId="24" fillId="21" borderId="270" xfId="12" applyFont="1" applyFill="1" applyBorder="1" applyAlignment="1">
      <alignment horizontal="center" vertical="center" wrapText="1"/>
    </xf>
    <xf numFmtId="0" fontId="24" fillId="21" borderId="10" xfId="12" applyFont="1" applyFill="1" applyBorder="1" applyAlignment="1">
      <alignment horizontal="center" vertical="center" wrapText="1"/>
    </xf>
    <xf numFmtId="0" fontId="24" fillId="21" borderId="0" xfId="0" applyNumberFormat="1" applyFont="1" applyFill="1" applyBorder="1" applyAlignment="1">
      <alignment horizontal="right" vertical="center"/>
    </xf>
    <xf numFmtId="164" fontId="24" fillId="21" borderId="0" xfId="1" applyNumberFormat="1" applyFont="1" applyFill="1" applyBorder="1"/>
    <xf numFmtId="0" fontId="5" fillId="21" borderId="6" xfId="12" applyFont="1" applyFill="1" applyBorder="1" applyAlignment="1">
      <alignment horizontal="left" indent="1"/>
    </xf>
    <xf numFmtId="0" fontId="13" fillId="21" borderId="12" xfId="12" applyFont="1" applyFill="1" applyBorder="1" applyAlignment="1">
      <alignment vertical="center"/>
    </xf>
    <xf numFmtId="0" fontId="13" fillId="21" borderId="271" xfId="12" applyFont="1" applyFill="1" applyBorder="1" applyAlignment="1">
      <alignment horizontal="right" vertical="center"/>
    </xf>
    <xf numFmtId="0" fontId="13" fillId="21" borderId="27" xfId="12" applyFont="1" applyFill="1" applyBorder="1" applyAlignment="1">
      <alignment horizontal="right" vertical="center"/>
    </xf>
    <xf numFmtId="0" fontId="13" fillId="21" borderId="12" xfId="12" applyFont="1" applyFill="1" applyBorder="1" applyAlignment="1">
      <alignment horizontal="right" vertical="center"/>
    </xf>
    <xf numFmtId="0" fontId="13" fillId="21" borderId="0" xfId="12" applyFont="1" applyFill="1" applyBorder="1" applyAlignment="1">
      <alignment horizontal="right" vertical="center"/>
    </xf>
    <xf numFmtId="0" fontId="32" fillId="21" borderId="20" xfId="12" applyFont="1" applyFill="1" applyBorder="1" applyAlignment="1">
      <alignment vertical="center"/>
    </xf>
    <xf numFmtId="0" fontId="13" fillId="21" borderId="20" xfId="12" applyFont="1" applyFill="1" applyBorder="1" applyAlignment="1">
      <alignment vertical="center"/>
    </xf>
    <xf numFmtId="170" fontId="32" fillId="21" borderId="21" xfId="20" applyNumberFormat="1" applyFont="1" applyFill="1" applyBorder="1" applyAlignment="1">
      <alignment horizontal="right" vertical="center"/>
    </xf>
    <xf numFmtId="170" fontId="32" fillId="21" borderId="20" xfId="12" applyNumberFormat="1" applyFont="1" applyFill="1" applyBorder="1" applyAlignment="1">
      <alignment horizontal="right" vertical="center"/>
    </xf>
    <xf numFmtId="0" fontId="13" fillId="21" borderId="0" xfId="12" applyFont="1" applyFill="1" applyBorder="1" applyAlignment="1">
      <alignment vertical="center"/>
    </xf>
    <xf numFmtId="170" fontId="32" fillId="21" borderId="23" xfId="20" applyNumberFormat="1" applyFont="1" applyFill="1" applyBorder="1" applyAlignment="1">
      <alignment horizontal="right" vertical="center"/>
    </xf>
    <xf numFmtId="0" fontId="32" fillId="21" borderId="13" xfId="12" applyFont="1" applyFill="1" applyBorder="1" applyAlignment="1">
      <alignment vertical="center"/>
    </xf>
    <xf numFmtId="0" fontId="13" fillId="21" borderId="13" xfId="12" applyFont="1" applyFill="1" applyBorder="1" applyAlignment="1">
      <alignment vertical="center"/>
    </xf>
    <xf numFmtId="170" fontId="32" fillId="21" borderId="24" xfId="20" applyNumberFormat="1" applyFont="1" applyFill="1" applyBorder="1" applyAlignment="1">
      <alignment horizontal="right" vertical="center"/>
    </xf>
    <xf numFmtId="170" fontId="32" fillId="21" borderId="13" xfId="12" applyNumberFormat="1" applyFont="1" applyFill="1" applyBorder="1" applyAlignment="1">
      <alignment horizontal="right" vertical="center"/>
    </xf>
    <xf numFmtId="0" fontId="24" fillId="21" borderId="0" xfId="12" applyNumberFormat="1" applyFont="1" applyFill="1" applyBorder="1"/>
    <xf numFmtId="0" fontId="24" fillId="21" borderId="0" xfId="12" applyNumberFormat="1" applyFont="1" applyFill="1" applyBorder="1" applyAlignment="1">
      <alignment horizontal="right" vertical="center"/>
    </xf>
    <xf numFmtId="0" fontId="24" fillId="21" borderId="18" xfId="12" applyFont="1" applyFill="1" applyBorder="1" applyAlignment="1">
      <alignment horizontal="left" indent="1"/>
    </xf>
    <xf numFmtId="0" fontId="24" fillId="21" borderId="17" xfId="12" applyFont="1" applyFill="1" applyBorder="1"/>
    <xf numFmtId="164" fontId="0" fillId="21" borderId="10" xfId="1" applyNumberFormat="1" applyFont="1" applyFill="1" applyBorder="1"/>
    <xf numFmtId="164" fontId="0" fillId="21" borderId="10" xfId="1" applyNumberFormat="1" applyFont="1" applyFill="1" applyBorder="1" applyAlignment="1"/>
    <xf numFmtId="2" fontId="17" fillId="21" borderId="0" xfId="8" applyNumberFormat="1" applyFill="1" applyBorder="1"/>
    <xf numFmtId="2" fontId="17" fillId="21" borderId="13" xfId="8" applyNumberFormat="1" applyFill="1" applyBorder="1"/>
    <xf numFmtId="2" fontId="17" fillId="21" borderId="10" xfId="8" applyNumberFormat="1" applyFill="1" applyBorder="1"/>
    <xf numFmtId="2" fontId="24" fillId="21" borderId="13" xfId="12" applyNumberFormat="1" applyFont="1" applyFill="1" applyBorder="1"/>
    <xf numFmtId="2" fontId="24" fillId="21" borderId="10" xfId="12" applyNumberFormat="1" applyFont="1" applyFill="1" applyBorder="1"/>
    <xf numFmtId="0" fontId="24" fillId="21" borderId="0" xfId="12" applyFont="1" applyFill="1"/>
    <xf numFmtId="2" fontId="24" fillId="21" borderId="0" xfId="12" applyNumberFormat="1" applyFont="1" applyFill="1" applyBorder="1"/>
    <xf numFmtId="0" fontId="24" fillId="21" borderId="13" xfId="12" applyFont="1" applyFill="1" applyBorder="1"/>
    <xf numFmtId="170" fontId="32" fillId="21" borderId="0" xfId="20" applyNumberFormat="1" applyFont="1" applyFill="1" applyBorder="1" applyAlignment="1">
      <alignment horizontal="center" vertical="center"/>
    </xf>
    <xf numFmtId="0" fontId="0" fillId="21" borderId="251" xfId="0" applyFill="1" applyBorder="1" applyAlignment="1">
      <alignment horizontal="left"/>
    </xf>
    <xf numFmtId="0" fontId="0" fillId="21" borderId="11" xfId="0" applyFill="1" applyBorder="1" applyAlignment="1">
      <alignment horizontal="center"/>
    </xf>
    <xf numFmtId="0" fontId="0" fillId="21" borderId="11" xfId="0" applyFill="1" applyBorder="1" applyAlignment="1">
      <alignment horizontal="left"/>
    </xf>
    <xf numFmtId="168" fontId="0" fillId="21" borderId="11" xfId="3" applyNumberFormat="1" applyFont="1" applyFill="1" applyBorder="1" applyAlignment="1">
      <alignment horizontal="center"/>
    </xf>
    <xf numFmtId="0" fontId="0" fillId="21" borderId="255" xfId="0" applyFill="1" applyBorder="1"/>
    <xf numFmtId="0" fontId="24" fillId="0" borderId="0" xfId="12" applyFont="1" applyFill="1" applyBorder="1"/>
    <xf numFmtId="0" fontId="24" fillId="0" borderId="0" xfId="12" applyFont="1" applyBorder="1"/>
    <xf numFmtId="0" fontId="31" fillId="20" borderId="6" xfId="0" applyFont="1" applyFill="1" applyBorder="1" applyAlignment="1">
      <alignment horizontal="left" vertical="center" indent="1"/>
    </xf>
    <xf numFmtId="0" fontId="0" fillId="20" borderId="0" xfId="0" applyFill="1" applyBorder="1"/>
    <xf numFmtId="0" fontId="19" fillId="21" borderId="0" xfId="0" applyFont="1" applyFill="1" applyBorder="1" applyAlignment="1">
      <alignment vertical="center"/>
    </xf>
    <xf numFmtId="179" fontId="0" fillId="21" borderId="10" xfId="1" applyNumberFormat="1" applyFont="1" applyFill="1" applyBorder="1"/>
    <xf numFmtId="179" fontId="32" fillId="21" borderId="10" xfId="1" applyNumberFormat="1" applyFont="1" applyFill="1" applyBorder="1" applyAlignment="1">
      <alignment horizontal="right" vertical="center"/>
    </xf>
    <xf numFmtId="179" fontId="0" fillId="21" borderId="0" xfId="1" applyNumberFormat="1" applyFont="1" applyFill="1" applyBorder="1"/>
    <xf numFmtId="179" fontId="32" fillId="21" borderId="0" xfId="1" applyNumberFormat="1" applyFont="1" applyFill="1" applyBorder="1" applyAlignment="1">
      <alignment horizontal="right" vertical="center"/>
    </xf>
    <xf numFmtId="179" fontId="0" fillId="21" borderId="13" xfId="1" applyNumberFormat="1" applyFont="1" applyFill="1" applyBorder="1"/>
    <xf numFmtId="179" fontId="32" fillId="21" borderId="13" xfId="1" applyNumberFormat="1" applyFont="1" applyFill="1" applyBorder="1" applyAlignment="1">
      <alignment horizontal="right" vertical="center"/>
    </xf>
    <xf numFmtId="179" fontId="0" fillId="21" borderId="10" xfId="1" applyNumberFormat="1" applyFont="1" applyFill="1" applyBorder="1" applyAlignment="1"/>
    <xf numFmtId="0" fontId="0" fillId="0" borderId="0" xfId="0" applyNumberFormat="1" applyFill="1" applyBorder="1" applyAlignment="1">
      <alignment horizontal="right" vertical="center"/>
    </xf>
    <xf numFmtId="0" fontId="3" fillId="0" borderId="0" xfId="0" applyFont="1" applyFill="1" applyBorder="1" applyAlignment="1">
      <alignment horizontal="left"/>
    </xf>
    <xf numFmtId="0" fontId="20" fillId="21" borderId="0" xfId="0" applyFont="1" applyFill="1"/>
    <xf numFmtId="0" fontId="32" fillId="0" borderId="0" xfId="12" applyFont="1" applyFill="1" applyBorder="1" applyAlignment="1">
      <alignment vertical="center"/>
    </xf>
    <xf numFmtId="0" fontId="123" fillId="21" borderId="0" xfId="0" applyNumberFormat="1" applyFont="1" applyFill="1" applyBorder="1" applyAlignment="1">
      <alignment vertical="center"/>
    </xf>
    <xf numFmtId="179" fontId="0" fillId="21" borderId="10" xfId="1" applyNumberFormat="1" applyFont="1" applyFill="1" applyBorder="1" applyAlignment="1">
      <alignment horizontal="right"/>
    </xf>
    <xf numFmtId="179" fontId="0" fillId="21" borderId="0" xfId="1" applyNumberFormat="1" applyFont="1" applyFill="1" applyBorder="1" applyAlignment="1">
      <alignment horizontal="right"/>
    </xf>
    <xf numFmtId="179" fontId="0" fillId="21" borderId="13" xfId="1" applyNumberFormat="1" applyFont="1" applyFill="1" applyBorder="1" applyAlignment="1">
      <alignment horizontal="right"/>
    </xf>
    <xf numFmtId="0" fontId="31" fillId="0" borderId="0" xfId="0" applyFont="1" applyAlignment="1">
      <alignment horizontal="left" indent="1"/>
    </xf>
    <xf numFmtId="168" fontId="20" fillId="0" borderId="0" xfId="20" applyFont="1"/>
    <xf numFmtId="164" fontId="24" fillId="0" borderId="0" xfId="1" applyNumberFormat="1" applyFont="1" applyBorder="1"/>
    <xf numFmtId="165" fontId="32" fillId="24" borderId="0" xfId="1" applyNumberFormat="1" applyFont="1" applyFill="1" applyBorder="1" applyAlignment="1">
      <alignment vertical="center"/>
    </xf>
    <xf numFmtId="3" fontId="0" fillId="27" borderId="0" xfId="1" applyNumberFormat="1" applyFont="1" applyFill="1" applyBorder="1" applyAlignment="1">
      <alignment vertical="center"/>
    </xf>
    <xf numFmtId="3" fontId="0" fillId="27" borderId="9" xfId="1" applyNumberFormat="1" applyFont="1" applyFill="1" applyBorder="1" applyAlignment="1">
      <alignment vertical="center"/>
    </xf>
    <xf numFmtId="164" fontId="17" fillId="37" borderId="38" xfId="19" applyFont="1" applyFill="1" applyBorder="1" applyAlignment="1">
      <alignment vertical="center"/>
    </xf>
    <xf numFmtId="164" fontId="0" fillId="37" borderId="38" xfId="19" applyFont="1" applyFill="1" applyBorder="1" applyAlignment="1">
      <alignment vertical="center"/>
    </xf>
    <xf numFmtId="164" fontId="17" fillId="37" borderId="41" xfId="19" applyFont="1" applyFill="1" applyBorder="1" applyAlignment="1">
      <alignment vertical="center"/>
    </xf>
    <xf numFmtId="164" fontId="0" fillId="37" borderId="41" xfId="19" applyFont="1" applyFill="1" applyBorder="1" applyAlignment="1">
      <alignment vertical="center"/>
    </xf>
    <xf numFmtId="164" fontId="9" fillId="37" borderId="45" xfId="19" applyFont="1" applyFill="1" applyBorder="1" applyAlignment="1">
      <alignment vertical="center"/>
    </xf>
    <xf numFmtId="164" fontId="43" fillId="37" borderId="37" xfId="19" applyFont="1" applyFill="1" applyBorder="1" applyAlignment="1">
      <alignment vertical="center"/>
    </xf>
    <xf numFmtId="164" fontId="43" fillId="37" borderId="38" xfId="19" applyFont="1" applyFill="1" applyBorder="1" applyAlignment="1">
      <alignment vertical="center"/>
    </xf>
    <xf numFmtId="164" fontId="17" fillId="37" borderId="37" xfId="19" applyFont="1" applyFill="1" applyBorder="1" applyAlignment="1">
      <alignment vertical="center"/>
    </xf>
    <xf numFmtId="164" fontId="0" fillId="37" borderId="37" xfId="19" applyFont="1" applyFill="1" applyBorder="1" applyAlignment="1">
      <alignment vertical="center"/>
    </xf>
    <xf numFmtId="164" fontId="34" fillId="37" borderId="48" xfId="19" applyFont="1" applyFill="1" applyBorder="1" applyAlignment="1">
      <alignment vertical="center"/>
    </xf>
    <xf numFmtId="164" fontId="0" fillId="24" borderId="0" xfId="19" applyNumberFormat="1" applyFont="1" applyFill="1" applyBorder="1" applyAlignment="1">
      <alignment vertical="center"/>
    </xf>
    <xf numFmtId="164" fontId="32" fillId="18" borderId="0" xfId="19" applyFont="1" applyFill="1" applyBorder="1" applyAlignment="1">
      <alignment vertical="center"/>
    </xf>
    <xf numFmtId="0" fontId="5" fillId="0" borderId="0" xfId="0" applyFont="1" applyFill="1" applyAlignment="1">
      <alignment vertical="center"/>
    </xf>
    <xf numFmtId="164" fontId="0" fillId="0" borderId="0" xfId="1" applyNumberFormat="1" applyFont="1" applyFill="1"/>
    <xf numFmtId="164" fontId="0" fillId="21" borderId="10" xfId="19" applyFont="1" applyFill="1" applyBorder="1"/>
    <xf numFmtId="164" fontId="0" fillId="21" borderId="10" xfId="19" applyFont="1" applyFill="1" applyBorder="1" applyAlignment="1"/>
    <xf numFmtId="164" fontId="0" fillId="21" borderId="13" xfId="19" applyNumberFormat="1" applyFont="1" applyFill="1" applyBorder="1"/>
    <xf numFmtId="172" fontId="9" fillId="0" borderId="0" xfId="19" applyNumberFormat="1" applyFont="1"/>
    <xf numFmtId="0" fontId="0" fillId="0" borderId="0" xfId="0"/>
    <xf numFmtId="0" fontId="9" fillId="21" borderId="0" xfId="0" applyFont="1" applyFill="1" applyBorder="1" applyAlignment="1">
      <alignment horizontal="center"/>
    </xf>
    <xf numFmtId="0" fontId="9" fillId="0" borderId="0" xfId="0" applyFont="1" applyFill="1" applyBorder="1" applyAlignment="1">
      <alignment horizontal="center"/>
    </xf>
    <xf numFmtId="0" fontId="0" fillId="0" borderId="0" xfId="0"/>
    <xf numFmtId="0" fontId="9" fillId="18" borderId="8" xfId="0" applyFont="1" applyFill="1" applyBorder="1" applyAlignment="1">
      <alignment horizontal="right" vertical="center"/>
    </xf>
    <xf numFmtId="166" fontId="32" fillId="21" borderId="21" xfId="1" applyNumberFormat="1" applyFont="1" applyFill="1" applyBorder="1" applyAlignment="1">
      <alignment horizontal="right" vertical="center"/>
    </xf>
    <xf numFmtId="166" fontId="32" fillId="21" borderId="0" xfId="1" applyNumberFormat="1" applyFont="1" applyFill="1" applyBorder="1" applyAlignment="1">
      <alignment horizontal="right" vertical="center"/>
    </xf>
    <xf numFmtId="166" fontId="32" fillId="21" borderId="23" xfId="1" applyNumberFormat="1" applyFont="1" applyFill="1" applyBorder="1" applyAlignment="1">
      <alignment horizontal="right" vertical="center"/>
    </xf>
    <xf numFmtId="166" fontId="32" fillId="21" borderId="24" xfId="1" applyNumberFormat="1" applyFont="1" applyFill="1" applyBorder="1" applyAlignment="1">
      <alignment horizontal="right" vertical="center"/>
    </xf>
    <xf numFmtId="166" fontId="32" fillId="21" borderId="13" xfId="1" applyNumberFormat="1" applyFont="1" applyFill="1" applyBorder="1" applyAlignment="1">
      <alignment horizontal="right" vertical="center"/>
    </xf>
    <xf numFmtId="165" fontId="0" fillId="21" borderId="64" xfId="1" applyNumberFormat="1" applyFont="1" applyFill="1" applyBorder="1" applyAlignment="1">
      <alignment vertical="center"/>
    </xf>
    <xf numFmtId="2" fontId="32" fillId="21" borderId="0" xfId="1" applyNumberFormat="1" applyFont="1" applyFill="1" applyBorder="1" applyAlignment="1">
      <alignment horizontal="right" vertical="center"/>
    </xf>
    <xf numFmtId="2" fontId="32" fillId="21" borderId="13" xfId="1" applyNumberFormat="1" applyFont="1" applyFill="1" applyBorder="1" applyAlignment="1">
      <alignment horizontal="right" vertical="center"/>
    </xf>
    <xf numFmtId="164" fontId="0" fillId="21" borderId="64" xfId="1" applyNumberFormat="1" applyFont="1" applyFill="1" applyBorder="1" applyAlignment="1">
      <alignment vertical="center"/>
    </xf>
    <xf numFmtId="0" fontId="22" fillId="21" borderId="6" xfId="0" applyFont="1" applyFill="1" applyBorder="1" applyAlignment="1">
      <alignment horizontal="left" indent="1"/>
    </xf>
    <xf numFmtId="164" fontId="32" fillId="21" borderId="21" xfId="1" applyNumberFormat="1" applyFont="1" applyFill="1" applyBorder="1" applyAlignment="1">
      <alignment horizontal="right" vertical="center"/>
    </xf>
    <xf numFmtId="164" fontId="32" fillId="21" borderId="23" xfId="1" applyNumberFormat="1" applyFont="1" applyFill="1" applyBorder="1" applyAlignment="1">
      <alignment horizontal="right" vertical="center"/>
    </xf>
    <xf numFmtId="164" fontId="32" fillId="21" borderId="24" xfId="1" applyNumberFormat="1" applyFont="1" applyFill="1" applyBorder="1" applyAlignment="1">
      <alignment horizontal="right" vertical="center"/>
    </xf>
    <xf numFmtId="0" fontId="0" fillId="21" borderId="31" xfId="0" applyNumberFormat="1" applyFill="1" applyBorder="1"/>
    <xf numFmtId="168" fontId="32" fillId="21" borderId="21" xfId="3" applyNumberFormat="1" applyFont="1" applyFill="1" applyBorder="1" applyAlignment="1">
      <alignment horizontal="right" vertical="center"/>
    </xf>
    <xf numFmtId="168" fontId="32" fillId="21" borderId="0" xfId="3" applyNumberFormat="1" applyFont="1" applyFill="1" applyBorder="1" applyAlignment="1">
      <alignment horizontal="right" vertical="center"/>
    </xf>
    <xf numFmtId="168" fontId="32" fillId="21" borderId="23" xfId="3" applyNumberFormat="1" applyFont="1" applyFill="1" applyBorder="1" applyAlignment="1">
      <alignment horizontal="right" vertical="center"/>
    </xf>
    <xf numFmtId="168" fontId="32" fillId="21" borderId="24" xfId="3" applyNumberFormat="1" applyFont="1" applyFill="1" applyBorder="1" applyAlignment="1">
      <alignment horizontal="right" vertical="center"/>
    </xf>
    <xf numFmtId="168" fontId="32" fillId="21" borderId="13" xfId="3" applyNumberFormat="1" applyFont="1" applyFill="1" applyBorder="1" applyAlignment="1">
      <alignment horizontal="right" vertical="center"/>
    </xf>
    <xf numFmtId="0" fontId="0" fillId="21" borderId="18" xfId="0" applyFont="1" applyFill="1" applyBorder="1" applyAlignment="1">
      <alignment horizontal="left" indent="1"/>
    </xf>
    <xf numFmtId="0" fontId="13" fillId="21" borderId="28" xfId="0" applyFont="1" applyFill="1" applyBorder="1" applyAlignment="1">
      <alignment horizontal="center" vertical="center"/>
    </xf>
    <xf numFmtId="0" fontId="5" fillId="21" borderId="6" xfId="0" applyFont="1" applyFill="1" applyBorder="1" applyAlignment="1">
      <alignment horizontal="left" vertical="center"/>
    </xf>
    <xf numFmtId="168" fontId="32" fillId="21" borderId="20" xfId="3" applyNumberFormat="1" applyFont="1" applyFill="1" applyBorder="1" applyAlignment="1">
      <alignment horizontal="right" vertical="center"/>
    </xf>
    <xf numFmtId="0" fontId="0" fillId="21" borderId="23" xfId="0" applyFill="1" applyBorder="1" applyAlignment="1">
      <alignment vertical="center"/>
    </xf>
    <xf numFmtId="0" fontId="0" fillId="21" borderId="24" xfId="0" applyFill="1" applyBorder="1" applyAlignment="1">
      <alignment vertical="center"/>
    </xf>
    <xf numFmtId="0" fontId="0" fillId="21" borderId="6" xfId="0" applyFill="1" applyBorder="1" applyAlignment="1">
      <alignment horizontal="left" vertical="center"/>
    </xf>
    <xf numFmtId="0" fontId="0" fillId="19" borderId="167" xfId="0" applyFill="1" applyBorder="1"/>
    <xf numFmtId="0" fontId="0" fillId="19" borderId="161" xfId="0" applyFill="1" applyBorder="1"/>
    <xf numFmtId="0" fontId="0" fillId="19" borderId="272" xfId="0" applyFill="1" applyBorder="1"/>
    <xf numFmtId="0" fontId="0" fillId="19" borderId="133" xfId="0" applyFill="1" applyBorder="1"/>
    <xf numFmtId="0" fontId="0" fillId="19" borderId="61" xfId="0" applyFill="1" applyBorder="1"/>
    <xf numFmtId="0" fontId="0" fillId="19" borderId="273" xfId="0" applyFill="1" applyBorder="1"/>
    <xf numFmtId="0" fontId="32" fillId="21" borderId="57" xfId="0" applyNumberFormat="1" applyFont="1" applyFill="1" applyBorder="1" applyAlignment="1">
      <alignment horizontal="right" vertical="center"/>
    </xf>
    <xf numFmtId="0" fontId="32" fillId="21" borderId="57" xfId="0" applyNumberFormat="1" applyFont="1" applyFill="1" applyBorder="1" applyAlignment="1">
      <alignment horizontal="left" vertical="center"/>
    </xf>
    <xf numFmtId="0" fontId="13" fillId="21" borderId="57" xfId="0" applyNumberFormat="1" applyFont="1" applyFill="1" applyBorder="1" applyAlignment="1">
      <alignment horizontal="left" vertical="center"/>
    </xf>
    <xf numFmtId="0" fontId="0" fillId="21" borderId="0" xfId="0" applyFont="1" applyFill="1" applyBorder="1" applyAlignment="1">
      <alignment horizontal="left" indent="1"/>
    </xf>
    <xf numFmtId="0" fontId="0" fillId="21" borderId="0" xfId="0" applyFill="1" applyBorder="1" applyAlignment="1">
      <alignment horizontal="left" indent="1"/>
    </xf>
    <xf numFmtId="0" fontId="13" fillId="21" borderId="274" xfId="0" applyFont="1" applyFill="1" applyBorder="1" applyAlignment="1">
      <alignment horizontal="center" vertical="center"/>
    </xf>
    <xf numFmtId="0" fontId="13" fillId="21" borderId="11" xfId="0" applyFont="1" applyFill="1" applyBorder="1" applyAlignment="1">
      <alignment horizontal="center" vertical="center"/>
    </xf>
    <xf numFmtId="0" fontId="13" fillId="21" borderId="270" xfId="0" applyFont="1" applyFill="1" applyBorder="1" applyAlignment="1">
      <alignment horizontal="center" vertical="center"/>
    </xf>
    <xf numFmtId="0" fontId="13" fillId="21" borderId="10" xfId="0" applyFont="1" applyFill="1" applyBorder="1" applyAlignment="1">
      <alignment horizontal="center" vertical="center"/>
    </xf>
    <xf numFmtId="0" fontId="32" fillId="21" borderId="10" xfId="0" applyFont="1" applyFill="1" applyBorder="1" applyAlignment="1">
      <alignment horizontal="center" vertical="center"/>
    </xf>
    <xf numFmtId="172" fontId="0" fillId="21" borderId="13" xfId="1" applyNumberFormat="1" applyFont="1" applyFill="1" applyBorder="1"/>
    <xf numFmtId="172" fontId="0" fillId="21" borderId="0" xfId="1" applyNumberFormat="1" applyFont="1" applyFill="1" applyBorder="1"/>
    <xf numFmtId="0" fontId="13" fillId="0" borderId="0" xfId="0" applyFont="1" applyFill="1" applyBorder="1" applyAlignment="1">
      <alignment horizontal="center" vertical="center"/>
    </xf>
    <xf numFmtId="179" fontId="32" fillId="21" borderId="11" xfId="1" applyNumberFormat="1" applyFont="1" applyFill="1" applyBorder="1" applyAlignment="1">
      <alignment horizontal="right" vertical="center"/>
    </xf>
    <xf numFmtId="164" fontId="32" fillId="21" borderId="11" xfId="1" applyNumberFormat="1" applyFont="1" applyFill="1" applyBorder="1" applyAlignment="1">
      <alignment horizontal="right" vertical="center"/>
    </xf>
    <xf numFmtId="180" fontId="32" fillId="21" borderId="11" xfId="1" applyNumberFormat="1" applyFont="1" applyFill="1" applyBorder="1" applyAlignment="1">
      <alignment horizontal="right" vertical="center"/>
    </xf>
    <xf numFmtId="0" fontId="5" fillId="21" borderId="0" xfId="0" applyFont="1" applyFill="1" applyBorder="1" applyAlignment="1">
      <alignment horizontal="left" indent="1"/>
    </xf>
    <xf numFmtId="166" fontId="0" fillId="0" borderId="0" xfId="1" applyNumberFormat="1" applyFont="1" applyFill="1" applyBorder="1" applyAlignment="1">
      <alignment vertical="center"/>
    </xf>
    <xf numFmtId="0" fontId="0" fillId="0" borderId="0" xfId="0" applyFill="1" applyBorder="1" applyAlignment="1">
      <alignment horizontal="center" vertical="center" textRotation="90"/>
    </xf>
    <xf numFmtId="2" fontId="0" fillId="0" borderId="0" xfId="0" applyNumberFormat="1" applyFill="1" applyBorder="1"/>
    <xf numFmtId="0" fontId="32" fillId="0" borderId="0" xfId="0" applyFont="1" applyFill="1" applyBorder="1" applyAlignment="1">
      <alignment horizontal="center" vertical="center"/>
    </xf>
    <xf numFmtId="165" fontId="0" fillId="0" borderId="0" xfId="1" applyNumberFormat="1" applyFont="1" applyFill="1" applyBorder="1" applyAlignment="1">
      <alignment horizontal="center" vertical="center"/>
    </xf>
    <xf numFmtId="172" fontId="0" fillId="0" borderId="0" xfId="1" applyNumberFormat="1" applyFont="1" applyFill="1" applyBorder="1" applyAlignment="1">
      <alignment vertical="center"/>
    </xf>
    <xf numFmtId="2" fontId="0" fillId="0" borderId="0" xfId="0" applyNumberFormat="1" applyFill="1"/>
    <xf numFmtId="168" fontId="125" fillId="49" borderId="24" xfId="171" applyNumberFormat="1" applyFont="1" applyFill="1" applyBorder="1" applyAlignment="1">
      <alignment horizontal="right" vertical="center"/>
    </xf>
    <xf numFmtId="168" fontId="125" fillId="49" borderId="13" xfId="171" applyNumberFormat="1" applyFont="1" applyFill="1" applyBorder="1" applyAlignment="1">
      <alignment horizontal="right" vertical="center"/>
    </xf>
    <xf numFmtId="0" fontId="0" fillId="21" borderId="73" xfId="0" applyFill="1" applyBorder="1" applyAlignment="1">
      <alignment vertical="center"/>
    </xf>
    <xf numFmtId="0" fontId="13" fillId="0" borderId="0" xfId="0" applyFont="1" applyAlignment="1">
      <alignment horizontal="left" indent="1"/>
    </xf>
    <xf numFmtId="164" fontId="9" fillId="0" borderId="0" xfId="0" applyNumberFormat="1" applyFont="1"/>
    <xf numFmtId="0" fontId="0" fillId="0" borderId="0" xfId="0" applyFont="1" applyBorder="1" applyAlignment="1">
      <alignment horizontal="right"/>
    </xf>
    <xf numFmtId="164" fontId="0" fillId="0" borderId="0" xfId="0" applyNumberFormat="1" applyFont="1" applyBorder="1"/>
    <xf numFmtId="0" fontId="0" fillId="0" borderId="13" xfId="0" applyFont="1" applyBorder="1" applyAlignment="1">
      <alignment horizontal="right"/>
    </xf>
    <xf numFmtId="164" fontId="0" fillId="0" borderId="13" xfId="0" applyNumberFormat="1" applyFont="1" applyBorder="1"/>
    <xf numFmtId="0" fontId="13" fillId="0" borderId="0" xfId="0" quotePrefix="1" applyFont="1" applyAlignment="1">
      <alignment horizontal="right"/>
    </xf>
    <xf numFmtId="0" fontId="20" fillId="0" borderId="0" xfId="0" applyFont="1" applyAlignment="1">
      <alignment horizontal="right" vertical="center"/>
    </xf>
    <xf numFmtId="0" fontId="78" fillId="0" borderId="0" xfId="0" applyFont="1"/>
    <xf numFmtId="188" fontId="20" fillId="0" borderId="0" xfId="1" applyNumberFormat="1" applyFont="1"/>
    <xf numFmtId="166" fontId="20" fillId="0" borderId="0" xfId="1" applyNumberFormat="1" applyFont="1"/>
    <xf numFmtId="165" fontId="24" fillId="0" borderId="0" xfId="1" applyNumberFormat="1" applyFont="1" applyBorder="1"/>
    <xf numFmtId="0" fontId="0" fillId="0" borderId="0" xfId="0" applyBorder="1" applyAlignment="1">
      <alignment horizontal="left"/>
    </xf>
    <xf numFmtId="165" fontId="0" fillId="0" borderId="0" xfId="1" applyNumberFormat="1" applyFont="1" applyBorder="1"/>
    <xf numFmtId="166" fontId="0" fillId="24" borderId="81" xfId="0" applyNumberFormat="1" applyFill="1" applyBorder="1"/>
    <xf numFmtId="166" fontId="0" fillId="24" borderId="66" xfId="0" applyNumberFormat="1" applyFill="1" applyBorder="1"/>
    <xf numFmtId="166" fontId="0" fillId="24" borderId="84" xfId="0" applyNumberFormat="1" applyFill="1" applyBorder="1"/>
    <xf numFmtId="0" fontId="0" fillId="27" borderId="0" xfId="0" applyFont="1" applyFill="1" applyAlignment="1">
      <alignment vertical="center"/>
    </xf>
    <xf numFmtId="0" fontId="0" fillId="0" borderId="0" xfId="0"/>
    <xf numFmtId="0" fontId="0" fillId="0" borderId="0" xfId="0"/>
    <xf numFmtId="0" fontId="0" fillId="0" borderId="0" xfId="0" applyFill="1" applyBorder="1" applyAlignment="1">
      <alignment horizontal="center" vertical="center" textRotation="90"/>
    </xf>
    <xf numFmtId="164" fontId="32" fillId="21" borderId="20" xfId="19" applyFont="1" applyFill="1" applyBorder="1" applyAlignment="1">
      <alignment horizontal="right" vertical="center"/>
    </xf>
    <xf numFmtId="164" fontId="32" fillId="21" borderId="57" xfId="19" applyFont="1" applyFill="1" applyBorder="1" applyAlignment="1">
      <alignment horizontal="right" vertical="center"/>
    </xf>
    <xf numFmtId="172" fontId="32" fillId="21" borderId="10" xfId="19" applyNumberFormat="1" applyFont="1" applyFill="1" applyBorder="1" applyAlignment="1">
      <alignment horizontal="right" vertical="center"/>
    </xf>
    <xf numFmtId="172" fontId="0" fillId="21" borderId="25" xfId="19" applyNumberFormat="1" applyFont="1" applyFill="1" applyBorder="1" applyAlignment="1">
      <alignment vertical="center"/>
    </xf>
    <xf numFmtId="172" fontId="0" fillId="21" borderId="13" xfId="19" applyNumberFormat="1" applyFont="1" applyFill="1" applyBorder="1"/>
    <xf numFmtId="0" fontId="0" fillId="0" borderId="0" xfId="0"/>
    <xf numFmtId="0" fontId="17" fillId="21" borderId="0" xfId="8" applyNumberFormat="1" applyFill="1" applyBorder="1" applyAlignment="1">
      <alignment horizontal="left"/>
    </xf>
    <xf numFmtId="0" fontId="0" fillId="21" borderId="10" xfId="0" applyFill="1" applyBorder="1" applyAlignment="1">
      <alignment horizontal="left"/>
    </xf>
    <xf numFmtId="1" fontId="0" fillId="21" borderId="10" xfId="1" applyNumberFormat="1" applyFont="1" applyFill="1" applyBorder="1" applyAlignment="1">
      <alignment horizontal="right"/>
    </xf>
    <xf numFmtId="1" fontId="0" fillId="21" borderId="10" xfId="0" applyNumberFormat="1" applyFill="1" applyBorder="1" applyAlignment="1">
      <alignment horizontal="right"/>
    </xf>
    <xf numFmtId="0" fontId="0" fillId="21" borderId="10" xfId="0" applyFill="1" applyBorder="1" applyAlignment="1">
      <alignment horizontal="right"/>
    </xf>
    <xf numFmtId="1" fontId="0" fillId="21" borderId="0" xfId="0" applyNumberFormat="1" applyFill="1" applyBorder="1" applyAlignment="1">
      <alignment horizontal="right"/>
    </xf>
    <xf numFmtId="165" fontId="0" fillId="0" borderId="0" xfId="1" applyNumberFormat="1" applyFont="1" applyFill="1" applyBorder="1" applyAlignment="1"/>
    <xf numFmtId="179" fontId="0" fillId="21" borderId="0" xfId="0" applyNumberFormat="1" applyFill="1" applyBorder="1" applyAlignment="1">
      <alignment horizontal="left"/>
    </xf>
    <xf numFmtId="1" fontId="0" fillId="21" borderId="0" xfId="1" applyNumberFormat="1" applyFont="1" applyFill="1" applyBorder="1"/>
    <xf numFmtId="179" fontId="0" fillId="21" borderId="13" xfId="0" applyNumberFormat="1" applyFill="1" applyBorder="1" applyAlignment="1">
      <alignment horizontal="left"/>
    </xf>
    <xf numFmtId="1" fontId="0" fillId="21" borderId="13" xfId="1" applyNumberFormat="1" applyFont="1" applyFill="1" applyBorder="1"/>
    <xf numFmtId="1" fontId="0" fillId="21" borderId="13" xfId="0" applyNumberFormat="1" applyFill="1" applyBorder="1" applyAlignment="1">
      <alignment horizontal="right"/>
    </xf>
    <xf numFmtId="0" fontId="0" fillId="21" borderId="0" xfId="0" applyFill="1" applyAlignment="1">
      <alignment horizontal="left"/>
    </xf>
    <xf numFmtId="0" fontId="9" fillId="21" borderId="10" xfId="0" applyFont="1" applyFill="1" applyBorder="1" applyAlignment="1">
      <alignment horizontal="left"/>
    </xf>
    <xf numFmtId="179" fontId="0" fillId="21" borderId="10" xfId="0" applyNumberFormat="1" applyFill="1" applyBorder="1" applyAlignment="1">
      <alignment horizontal="left"/>
    </xf>
    <xf numFmtId="0" fontId="13" fillId="0" borderId="0" xfId="0" applyFont="1"/>
    <xf numFmtId="170" fontId="24" fillId="0" borderId="0" xfId="3" applyNumberFormat="1" applyFont="1"/>
    <xf numFmtId="0" fontId="9" fillId="0" borderId="0" xfId="1" applyNumberFormat="1" applyFont="1"/>
    <xf numFmtId="0" fontId="74" fillId="0" borderId="0" xfId="0" applyFont="1"/>
    <xf numFmtId="174" fontId="11" fillId="0" borderId="0" xfId="0" applyNumberFormat="1" applyFont="1"/>
    <xf numFmtId="0" fontId="127" fillId="0" borderId="0" xfId="0" applyFont="1"/>
    <xf numFmtId="174" fontId="0" fillId="0" borderId="0" xfId="0" applyNumberFormat="1"/>
    <xf numFmtId="0" fontId="17" fillId="18" borderId="17" xfId="8" applyNumberFormat="1" applyFill="1" applyBorder="1" applyAlignment="1">
      <alignment horizontal="right" vertical="center"/>
    </xf>
    <xf numFmtId="0" fontId="17" fillId="18" borderId="17" xfId="8" applyNumberFormat="1" applyFill="1" applyBorder="1" applyAlignment="1">
      <alignment vertical="center"/>
    </xf>
    <xf numFmtId="165" fontId="0" fillId="27" borderId="0" xfId="0" applyNumberFormat="1" applyFont="1" applyFill="1" applyAlignment="1">
      <alignment vertical="center"/>
    </xf>
    <xf numFmtId="165" fontId="0" fillId="27" borderId="0" xfId="0" applyNumberFormat="1" applyFont="1" applyFill="1" applyBorder="1" applyAlignment="1">
      <alignment vertical="center"/>
    </xf>
    <xf numFmtId="165" fontId="24" fillId="27" borderId="13" xfId="0" applyNumberFormat="1" applyFont="1" applyFill="1" applyBorder="1" applyAlignment="1">
      <alignment vertical="center"/>
    </xf>
    <xf numFmtId="165" fontId="24" fillId="27" borderId="13" xfId="1" applyNumberFormat="1" applyFont="1" applyFill="1" applyBorder="1" applyAlignment="1">
      <alignment vertical="center"/>
    </xf>
    <xf numFmtId="0" fontId="25" fillId="48" borderId="266" xfId="0" applyFont="1" applyFill="1" applyBorder="1"/>
    <xf numFmtId="0" fontId="25" fillId="48" borderId="117" xfId="0" applyFont="1" applyFill="1" applyBorder="1"/>
    <xf numFmtId="0" fontId="25" fillId="48" borderId="118" xfId="0" applyFont="1" applyFill="1" applyBorder="1"/>
    <xf numFmtId="0" fontId="0" fillId="48" borderId="0" xfId="0" applyFill="1" applyBorder="1"/>
    <xf numFmtId="0" fontId="0" fillId="48" borderId="0" xfId="0" applyNumberFormat="1" applyFill="1" applyBorder="1"/>
    <xf numFmtId="164" fontId="0" fillId="48" borderId="0" xfId="0" applyNumberFormat="1" applyFill="1" applyBorder="1"/>
    <xf numFmtId="0" fontId="32" fillId="18" borderId="23" xfId="0" applyFont="1" applyFill="1" applyBorder="1" applyAlignment="1">
      <alignment vertical="center"/>
    </xf>
    <xf numFmtId="164" fontId="17" fillId="18" borderId="23" xfId="8" applyNumberFormat="1" applyFill="1" applyBorder="1"/>
    <xf numFmtId="164" fontId="17" fillId="18" borderId="0" xfId="8" applyNumberFormat="1" applyFill="1" applyBorder="1"/>
    <xf numFmtId="0" fontId="13" fillId="18" borderId="12" xfId="0" applyFont="1" applyFill="1" applyBorder="1" applyAlignment="1">
      <alignment vertical="center"/>
    </xf>
    <xf numFmtId="0" fontId="13" fillId="18" borderId="271" xfId="0" applyFont="1" applyFill="1" applyBorder="1" applyAlignment="1">
      <alignment vertical="center"/>
    </xf>
    <xf numFmtId="164" fontId="17" fillId="18" borderId="23" xfId="8" applyNumberFormat="1" applyFont="1" applyFill="1" applyBorder="1"/>
    <xf numFmtId="164" fontId="17" fillId="18" borderId="0" xfId="8" applyNumberFormat="1" applyFont="1" applyFill="1" applyBorder="1"/>
    <xf numFmtId="0" fontId="20" fillId="18" borderId="0" xfId="0" applyFont="1" applyFill="1" applyBorder="1" applyAlignment="1">
      <alignment vertical="center"/>
    </xf>
    <xf numFmtId="0" fontId="13" fillId="21" borderId="268" xfId="0" applyNumberFormat="1" applyFont="1" applyFill="1" applyBorder="1" applyAlignment="1">
      <alignment horizontal="right" vertical="center"/>
    </xf>
    <xf numFmtId="0" fontId="0" fillId="0" borderId="0" xfId="0" applyFill="1" applyAlignment="1">
      <alignment horizontal="center" vertical="center" textRotation="90"/>
    </xf>
    <xf numFmtId="1" fontId="0" fillId="21" borderId="268" xfId="1" applyNumberFormat="1" applyFont="1" applyFill="1" applyBorder="1" applyAlignment="1">
      <alignment horizontal="right"/>
    </xf>
    <xf numFmtId="1" fontId="0" fillId="21" borderId="23" xfId="1" applyNumberFormat="1" applyFont="1" applyFill="1" applyBorder="1" applyAlignment="1">
      <alignment horizontal="right"/>
    </xf>
    <xf numFmtId="1" fontId="0" fillId="21" borderId="23" xfId="1" applyNumberFormat="1" applyFont="1" applyFill="1" applyBorder="1"/>
    <xf numFmtId="1" fontId="0" fillId="21" borderId="24" xfId="1" applyNumberFormat="1" applyFont="1" applyFill="1" applyBorder="1"/>
    <xf numFmtId="1" fontId="0" fillId="21" borderId="268" xfId="0" applyNumberFormat="1" applyFill="1" applyBorder="1" applyAlignment="1">
      <alignment horizontal="right"/>
    </xf>
    <xf numFmtId="1" fontId="0" fillId="21" borderId="23" xfId="0" applyNumberFormat="1" applyFill="1" applyBorder="1" applyAlignment="1">
      <alignment horizontal="right"/>
    </xf>
    <xf numFmtId="1" fontId="0" fillId="21" borderId="23" xfId="0" applyNumberFormat="1" applyFill="1" applyBorder="1"/>
    <xf numFmtId="0" fontId="24" fillId="27" borderId="13" xfId="0" applyFont="1" applyFill="1" applyBorder="1" applyAlignment="1">
      <alignment vertical="center"/>
    </xf>
    <xf numFmtId="164" fontId="0" fillId="21" borderId="0" xfId="19" applyFont="1" applyFill="1" applyBorder="1" applyAlignment="1">
      <alignment horizontal="right" vertical="center"/>
    </xf>
    <xf numFmtId="164" fontId="0" fillId="21" borderId="15" xfId="19" applyFont="1" applyFill="1" applyBorder="1" applyAlignment="1">
      <alignment horizontal="right" vertical="center"/>
    </xf>
    <xf numFmtId="164" fontId="0" fillId="21" borderId="16" xfId="19" applyFont="1" applyFill="1" applyBorder="1" applyAlignment="1">
      <alignment vertical="center"/>
    </xf>
    <xf numFmtId="0" fontId="32" fillId="18" borderId="0" xfId="0" applyNumberFormat="1" applyFont="1" applyFill="1" applyBorder="1" applyAlignment="1">
      <alignment vertical="center"/>
    </xf>
    <xf numFmtId="0" fontId="0" fillId="18" borderId="0" xfId="0" applyNumberFormat="1" applyFont="1" applyFill="1" applyBorder="1" applyAlignment="1">
      <alignment vertical="center"/>
    </xf>
    <xf numFmtId="164" fontId="0" fillId="48" borderId="114" xfId="0" applyNumberFormat="1" applyFont="1" applyFill="1" applyBorder="1"/>
    <xf numFmtId="164" fontId="32" fillId="18" borderId="23" xfId="1" applyNumberFormat="1" applyFont="1" applyFill="1" applyBorder="1" applyAlignment="1">
      <alignment vertical="center"/>
    </xf>
    <xf numFmtId="0" fontId="13" fillId="21" borderId="275" xfId="0" applyNumberFormat="1" applyFont="1" applyFill="1" applyBorder="1" applyAlignment="1">
      <alignment horizontal="right" vertical="center"/>
    </xf>
    <xf numFmtId="0" fontId="9" fillId="21" borderId="11" xfId="0" applyFont="1" applyFill="1" applyBorder="1"/>
    <xf numFmtId="168" fontId="0" fillId="21" borderId="11" xfId="3" applyNumberFormat="1" applyFont="1" applyFill="1" applyBorder="1"/>
    <xf numFmtId="0" fontId="0" fillId="0" borderId="18" xfId="0" applyFill="1" applyBorder="1"/>
    <xf numFmtId="0" fontId="0" fillId="0" borderId="17" xfId="0" applyFill="1" applyBorder="1"/>
    <xf numFmtId="0" fontId="0" fillId="0" borderId="29" xfId="0" applyFill="1" applyBorder="1"/>
    <xf numFmtId="0" fontId="9" fillId="21" borderId="11" xfId="0" applyNumberFormat="1" applyFont="1" applyFill="1" applyBorder="1" applyAlignment="1">
      <alignment vertical="center"/>
    </xf>
    <xf numFmtId="0" fontId="13" fillId="21" borderId="11" xfId="0" applyFont="1" applyFill="1" applyBorder="1" applyAlignment="1">
      <alignment horizontal="right" vertical="center"/>
    </xf>
    <xf numFmtId="0" fontId="9" fillId="21" borderId="276" xfId="0" applyFont="1" applyFill="1" applyBorder="1"/>
    <xf numFmtId="1" fontId="32" fillId="21" borderId="10" xfId="1" applyNumberFormat="1" applyFont="1" applyFill="1" applyBorder="1" applyAlignment="1">
      <alignment horizontal="right" vertical="center"/>
    </xf>
    <xf numFmtId="1" fontId="0" fillId="21" borderId="268" xfId="1" applyNumberFormat="1" applyFont="1" applyFill="1" applyBorder="1"/>
    <xf numFmtId="1" fontId="0" fillId="21" borderId="10" xfId="1" applyNumberFormat="1" applyFont="1" applyFill="1" applyBorder="1"/>
    <xf numFmtId="1" fontId="32" fillId="21" borderId="0" xfId="1" applyNumberFormat="1" applyFont="1" applyFill="1" applyBorder="1" applyAlignment="1">
      <alignment horizontal="right" vertical="center"/>
    </xf>
    <xf numFmtId="1" fontId="0" fillId="21" borderId="23" xfId="19" applyNumberFormat="1" applyFont="1" applyFill="1" applyBorder="1"/>
    <xf numFmtId="1" fontId="0" fillId="21" borderId="0" xfId="19" applyNumberFormat="1" applyFont="1" applyFill="1" applyBorder="1"/>
    <xf numFmtId="1" fontId="32" fillId="21" borderId="13" xfId="1" applyNumberFormat="1" applyFont="1" applyFill="1" applyBorder="1" applyAlignment="1">
      <alignment horizontal="right" vertical="center"/>
    </xf>
    <xf numFmtId="168" fontId="0" fillId="0" borderId="0" xfId="3" applyNumberFormat="1" applyFont="1" applyFill="1" applyBorder="1" applyAlignment="1"/>
    <xf numFmtId="0" fontId="9" fillId="21" borderId="268" xfId="0" applyFont="1" applyFill="1" applyBorder="1"/>
    <xf numFmtId="0" fontId="51" fillId="0" borderId="0" xfId="0" applyFont="1"/>
    <xf numFmtId="0" fontId="128" fillId="0" borderId="0" xfId="0" applyFont="1"/>
    <xf numFmtId="164" fontId="0" fillId="48" borderId="277" xfId="0" applyNumberFormat="1" applyFill="1" applyBorder="1"/>
    <xf numFmtId="0" fontId="0" fillId="48" borderId="116" xfId="0" applyFill="1" applyBorder="1"/>
    <xf numFmtId="0" fontId="9" fillId="18" borderId="8" xfId="0" applyFont="1" applyFill="1" applyBorder="1" applyAlignment="1">
      <alignment horizontal="left" vertical="center"/>
    </xf>
    <xf numFmtId="164" fontId="0" fillId="18" borderId="0" xfId="1" applyNumberFormat="1" applyFont="1" applyFill="1" applyBorder="1" applyAlignment="1">
      <alignment horizontal="right" vertical="center"/>
    </xf>
    <xf numFmtId="0" fontId="54" fillId="0" borderId="0" xfId="0" applyFont="1" applyAlignment="1">
      <alignment vertical="center"/>
    </xf>
    <xf numFmtId="0" fontId="54" fillId="18" borderId="6" xfId="0" applyFont="1" applyFill="1" applyBorder="1" applyAlignment="1">
      <alignment vertical="center"/>
    </xf>
    <xf numFmtId="0" fontId="13" fillId="18" borderId="14" xfId="0" applyFont="1" applyFill="1" applyBorder="1" applyAlignment="1">
      <alignment vertical="center"/>
    </xf>
    <xf numFmtId="0" fontId="13" fillId="18" borderId="14" xfId="0" applyFont="1" applyFill="1" applyBorder="1" applyAlignment="1">
      <alignment horizontal="right" vertical="center"/>
    </xf>
    <xf numFmtId="164" fontId="0" fillId="18" borderId="0" xfId="1" applyNumberFormat="1" applyFont="1" applyFill="1" applyBorder="1"/>
    <xf numFmtId="165" fontId="32" fillId="18" borderId="0" xfId="1" applyNumberFormat="1" applyFont="1" applyFill="1" applyBorder="1" applyAlignment="1">
      <alignment horizontal="left" vertical="center"/>
    </xf>
    <xf numFmtId="165" fontId="32" fillId="18" borderId="13" xfId="1" applyNumberFormat="1" applyFont="1" applyFill="1" applyBorder="1" applyAlignment="1">
      <alignment horizontal="left" vertical="center"/>
    </xf>
    <xf numFmtId="164" fontId="0" fillId="18" borderId="13" xfId="1" applyNumberFormat="1" applyFont="1" applyFill="1" applyBorder="1"/>
    <xf numFmtId="0" fontId="13" fillId="18" borderId="0" xfId="0" applyFont="1" applyFill="1" applyBorder="1" applyAlignment="1">
      <alignment vertical="center"/>
    </xf>
    <xf numFmtId="0" fontId="13" fillId="18" borderId="8" xfId="0" applyFont="1" applyFill="1" applyBorder="1" applyAlignment="1">
      <alignment vertical="center"/>
    </xf>
    <xf numFmtId="0" fontId="13" fillId="18" borderId="8" xfId="0" applyNumberFormat="1" applyFont="1" applyFill="1" applyBorder="1" applyAlignment="1">
      <alignment vertical="center"/>
    </xf>
    <xf numFmtId="164" fontId="0" fillId="18" borderId="20" xfId="1" applyNumberFormat="1" applyFont="1" applyFill="1" applyBorder="1"/>
    <xf numFmtId="0" fontId="32" fillId="18" borderId="13" xfId="0" applyFont="1" applyFill="1" applyBorder="1" applyAlignment="1">
      <alignment vertical="center"/>
    </xf>
    <xf numFmtId="0" fontId="32" fillId="18" borderId="13" xfId="0" applyNumberFormat="1" applyFont="1" applyFill="1" applyBorder="1" applyAlignment="1">
      <alignment vertical="center"/>
    </xf>
    <xf numFmtId="0" fontId="0" fillId="18" borderId="0" xfId="0" quotePrefix="1" applyFont="1" applyFill="1" applyBorder="1" applyAlignment="1">
      <alignment horizontal="right"/>
    </xf>
    <xf numFmtId="0" fontId="13" fillId="18" borderId="19" xfId="0" applyFont="1" applyFill="1" applyBorder="1" applyAlignment="1">
      <alignment vertical="center"/>
    </xf>
    <xf numFmtId="0" fontId="13" fillId="18" borderId="19" xfId="0" applyNumberFormat="1" applyFont="1" applyFill="1" applyBorder="1" applyAlignment="1">
      <alignment horizontal="right" vertical="center"/>
    </xf>
    <xf numFmtId="0" fontId="32" fillId="18" borderId="57" xfId="0" applyFont="1" applyFill="1" applyBorder="1" applyAlignment="1">
      <alignment vertical="center"/>
    </xf>
    <xf numFmtId="164" fontId="32" fillId="18" borderId="0" xfId="1" applyNumberFormat="1" applyFont="1" applyFill="1" applyBorder="1" applyAlignment="1">
      <alignment horizontal="right" vertical="center"/>
    </xf>
    <xf numFmtId="0" fontId="13" fillId="18" borderId="8" xfId="0" applyNumberFormat="1" applyFont="1" applyFill="1" applyBorder="1" applyAlignment="1">
      <alignment horizontal="right" vertical="center"/>
    </xf>
    <xf numFmtId="0" fontId="0" fillId="18" borderId="57" xfId="0" applyNumberFormat="1" applyFill="1" applyBorder="1" applyAlignment="1">
      <alignment vertical="center"/>
    </xf>
    <xf numFmtId="165" fontId="0" fillId="18" borderId="57" xfId="1" applyNumberFormat="1" applyFont="1" applyFill="1" applyBorder="1" applyAlignment="1">
      <alignment vertical="center"/>
    </xf>
    <xf numFmtId="165" fontId="0" fillId="18" borderId="0" xfId="1" applyNumberFormat="1" applyFont="1" applyFill="1" applyBorder="1"/>
    <xf numFmtId="0" fontId="0" fillId="18" borderId="13" xfId="0" applyNumberFormat="1" applyFill="1" applyBorder="1" applyAlignment="1">
      <alignment vertical="center"/>
    </xf>
    <xf numFmtId="165" fontId="0" fillId="59" borderId="13" xfId="1" applyNumberFormat="1" applyFont="1" applyFill="1" applyBorder="1" applyAlignment="1">
      <alignment vertical="center"/>
    </xf>
    <xf numFmtId="0" fontId="0" fillId="18" borderId="11" xfId="0" applyNumberFormat="1" applyFill="1" applyBorder="1" applyAlignment="1">
      <alignment vertical="center"/>
    </xf>
    <xf numFmtId="0" fontId="0" fillId="18" borderId="11" xfId="0" applyFill="1" applyBorder="1" applyAlignment="1">
      <alignment vertical="center"/>
    </xf>
    <xf numFmtId="165" fontId="0" fillId="18" borderId="0" xfId="1" applyNumberFormat="1" applyFont="1" applyFill="1" applyBorder="1" applyAlignment="1">
      <alignment vertical="center"/>
    </xf>
    <xf numFmtId="0" fontId="126" fillId="0" borderId="0" xfId="0" applyFont="1"/>
    <xf numFmtId="0" fontId="54" fillId="21" borderId="6" xfId="0" applyFont="1" applyFill="1" applyBorder="1" applyAlignment="1">
      <alignment vertical="center"/>
    </xf>
    <xf numFmtId="164" fontId="32" fillId="21" borderId="57" xfId="1" applyNumberFormat="1" applyFont="1" applyFill="1" applyBorder="1" applyAlignment="1">
      <alignment horizontal="right" vertical="center"/>
    </xf>
    <xf numFmtId="0" fontId="0" fillId="25" borderId="0" xfId="0" applyFill="1" applyBorder="1" applyAlignment="1">
      <alignment horizontal="left"/>
    </xf>
    <xf numFmtId="0" fontId="0" fillId="25" borderId="0" xfId="0" applyFill="1" applyBorder="1"/>
    <xf numFmtId="0" fontId="13" fillId="21" borderId="0" xfId="0" applyNumberFormat="1" applyFont="1" applyFill="1" applyBorder="1" applyAlignment="1">
      <alignment horizontal="center" vertical="center" wrapText="1"/>
    </xf>
    <xf numFmtId="0" fontId="32" fillId="21" borderId="0" xfId="0" applyNumberFormat="1" applyFont="1" applyFill="1" applyBorder="1" applyAlignment="1">
      <alignment horizontal="left" vertical="center" wrapText="1"/>
    </xf>
    <xf numFmtId="0" fontId="9" fillId="21" borderId="0" xfId="0" applyFont="1" applyFill="1" applyBorder="1" applyAlignment="1"/>
    <xf numFmtId="0" fontId="0" fillId="21" borderId="0" xfId="0" applyFill="1" applyBorder="1" applyAlignment="1"/>
    <xf numFmtId="0" fontId="0" fillId="21" borderId="0" xfId="0" quotePrefix="1" applyFill="1" applyBorder="1" applyAlignment="1">
      <alignment horizontal="left"/>
    </xf>
    <xf numFmtId="179" fontId="9" fillId="21" borderId="0" xfId="0" applyNumberFormat="1" applyFont="1" applyFill="1" applyBorder="1"/>
    <xf numFmtId="0" fontId="32" fillId="15" borderId="0" xfId="5" applyNumberFormat="1" applyFont="1" applyBorder="1" applyAlignment="1">
      <alignment vertical="center"/>
    </xf>
    <xf numFmtId="164" fontId="13" fillId="21" borderId="0" xfId="1" applyNumberFormat="1" applyFont="1" applyFill="1" applyBorder="1" applyAlignment="1">
      <alignment horizontal="right" vertical="center"/>
    </xf>
    <xf numFmtId="0" fontId="32" fillId="15" borderId="0" xfId="5" applyFont="1" applyBorder="1" applyAlignment="1">
      <alignment vertical="center"/>
    </xf>
    <xf numFmtId="0" fontId="32" fillId="15" borderId="0" xfId="5" applyNumberFormat="1" applyFont="1" applyBorder="1" applyAlignment="1">
      <alignment horizontal="left" vertical="center" wrapText="1"/>
    </xf>
    <xf numFmtId="164" fontId="9" fillId="21" borderId="0" xfId="1" applyNumberFormat="1" applyFont="1" applyFill="1" applyBorder="1"/>
    <xf numFmtId="0" fontId="32" fillId="15" borderId="13" xfId="5" applyFont="1" applyBorder="1" applyAlignment="1">
      <alignment vertical="center"/>
    </xf>
    <xf numFmtId="0" fontId="32" fillId="15" borderId="13" xfId="5" applyNumberFormat="1" applyFont="1" applyBorder="1" applyAlignment="1">
      <alignment vertical="center"/>
    </xf>
    <xf numFmtId="0" fontId="32" fillId="15" borderId="13" xfId="5" applyNumberFormat="1" applyFont="1" applyBorder="1" applyAlignment="1">
      <alignment horizontal="right" vertical="center" wrapText="1"/>
    </xf>
    <xf numFmtId="0" fontId="129" fillId="21" borderId="0" xfId="0" applyFont="1" applyFill="1" applyBorder="1" applyAlignment="1">
      <alignment vertical="center"/>
    </xf>
    <xf numFmtId="164" fontId="0" fillId="21" borderId="0" xfId="1" applyNumberFormat="1" applyFont="1" applyFill="1"/>
    <xf numFmtId="0" fontId="0" fillId="21" borderId="13" xfId="0" applyNumberFormat="1" applyFill="1" applyBorder="1"/>
    <xf numFmtId="168" fontId="0" fillId="21" borderId="13" xfId="3" applyNumberFormat="1" applyFont="1" applyFill="1" applyBorder="1" applyAlignment="1">
      <alignment horizontal="right"/>
    </xf>
    <xf numFmtId="0" fontId="0" fillId="21" borderId="13" xfId="0" applyFill="1" applyBorder="1" applyAlignment="1"/>
    <xf numFmtId="0" fontId="0" fillId="21" borderId="13" xfId="0" applyFill="1" applyBorder="1" applyAlignment="1">
      <alignment horizontal="right"/>
    </xf>
    <xf numFmtId="9" fontId="0" fillId="21" borderId="0" xfId="0" applyNumberFormat="1" applyFill="1" applyBorder="1" applyAlignment="1">
      <alignment horizontal="right"/>
    </xf>
    <xf numFmtId="0" fontId="14" fillId="21" borderId="0" xfId="0" applyNumberFormat="1" applyFont="1" applyFill="1" applyBorder="1"/>
    <xf numFmtId="9" fontId="0" fillId="21" borderId="13" xfId="0" applyNumberFormat="1" applyFill="1" applyBorder="1" applyAlignment="1">
      <alignment horizontal="right"/>
    </xf>
    <xf numFmtId="0" fontId="31" fillId="0" borderId="0" xfId="0" applyFont="1" applyFill="1" applyBorder="1" applyAlignment="1">
      <alignment vertical="center"/>
    </xf>
    <xf numFmtId="9" fontId="130" fillId="60" borderId="0" xfId="0" applyNumberFormat="1" applyFont="1" applyFill="1" applyAlignment="1">
      <alignment horizontal="right"/>
    </xf>
    <xf numFmtId="0" fontId="9" fillId="21" borderId="0" xfId="0" applyNumberFormat="1" applyFont="1" applyFill="1" applyBorder="1" applyAlignment="1">
      <alignment horizontal="center" vertical="center"/>
    </xf>
    <xf numFmtId="0" fontId="13" fillId="21" borderId="10" xfId="0" applyNumberFormat="1" applyFont="1" applyFill="1" applyBorder="1" applyAlignment="1">
      <alignment vertical="center"/>
    </xf>
    <xf numFmtId="165" fontId="0" fillId="21" borderId="10" xfId="1" applyNumberFormat="1" applyFont="1" applyFill="1" applyBorder="1" applyAlignment="1">
      <alignment horizontal="right" vertical="center"/>
    </xf>
    <xf numFmtId="0" fontId="53" fillId="0" borderId="0" xfId="0" applyFont="1" applyFill="1"/>
    <xf numFmtId="0" fontId="13" fillId="0" borderId="0" xfId="0" applyNumberFormat="1" applyFont="1" applyFill="1" applyBorder="1" applyAlignment="1">
      <alignment vertical="center"/>
    </xf>
    <xf numFmtId="1" fontId="0" fillId="0" borderId="0" xfId="1" applyNumberFormat="1" applyFont="1" applyFill="1" applyBorder="1"/>
    <xf numFmtId="0" fontId="13" fillId="21" borderId="11" xfId="0" applyNumberFormat="1" applyFont="1" applyFill="1" applyBorder="1" applyAlignment="1">
      <alignment vertical="center"/>
    </xf>
    <xf numFmtId="0" fontId="31" fillId="20" borderId="31" xfId="0" applyFont="1" applyFill="1" applyBorder="1" applyAlignment="1">
      <alignment vertical="center"/>
    </xf>
    <xf numFmtId="164" fontId="0" fillId="21" borderId="11" xfId="0" applyNumberFormat="1" applyFill="1" applyBorder="1"/>
    <xf numFmtId="0" fontId="13" fillId="0" borderId="8" xfId="0" applyFont="1" applyFill="1" applyBorder="1" applyAlignment="1">
      <alignment vertical="center"/>
    </xf>
    <xf numFmtId="0" fontId="13" fillId="25" borderId="8" xfId="0" applyNumberFormat="1" applyFont="1" applyFill="1" applyBorder="1" applyAlignment="1">
      <alignment horizontal="right" vertical="center"/>
    </xf>
    <xf numFmtId="0" fontId="32" fillId="0" borderId="0" xfId="0" applyNumberFormat="1" applyFont="1" applyFill="1" applyBorder="1" applyAlignment="1">
      <alignment vertical="center"/>
    </xf>
    <xf numFmtId="0" fontId="32" fillId="0" borderId="9" xfId="0" applyFont="1" applyFill="1" applyBorder="1" applyAlignment="1">
      <alignment vertical="center"/>
    </xf>
    <xf numFmtId="0" fontId="32" fillId="0" borderId="9" xfId="0" applyNumberFormat="1" applyFont="1" applyFill="1" applyBorder="1" applyAlignment="1">
      <alignment vertical="center"/>
    </xf>
    <xf numFmtId="164" fontId="0" fillId="0" borderId="11" xfId="0" applyNumberFormat="1" applyFill="1" applyBorder="1"/>
    <xf numFmtId="0" fontId="13" fillId="0" borderId="8" xfId="0" applyNumberFormat="1" applyFont="1" applyFill="1" applyBorder="1" applyAlignment="1">
      <alignment horizontal="right" vertical="center"/>
    </xf>
    <xf numFmtId="164" fontId="0" fillId="0" borderId="11" xfId="0" applyNumberFormat="1" applyBorder="1"/>
    <xf numFmtId="168" fontId="0" fillId="0" borderId="0" xfId="3" applyNumberFormat="1" applyFont="1" applyAlignment="1">
      <alignment horizontal="right"/>
    </xf>
    <xf numFmtId="0" fontId="13" fillId="25" borderId="0" xfId="0" applyNumberFormat="1" applyFont="1" applyFill="1" applyBorder="1" applyAlignment="1">
      <alignment horizontal="right" vertical="center"/>
    </xf>
    <xf numFmtId="164" fontId="0" fillId="0" borderId="0" xfId="0" applyNumberFormat="1" applyBorder="1"/>
    <xf numFmtId="0" fontId="0" fillId="0" borderId="13" xfId="0" applyFill="1" applyBorder="1" applyAlignment="1">
      <alignment horizontal="left"/>
    </xf>
    <xf numFmtId="0" fontId="0" fillId="0" borderId="13" xfId="0" applyBorder="1" applyAlignment="1">
      <alignment horizontal="left"/>
    </xf>
    <xf numFmtId="164" fontId="0" fillId="0" borderId="13" xfId="0" applyNumberFormat="1" applyBorder="1"/>
    <xf numFmtId="0" fontId="0" fillId="0" borderId="11" xfId="0" applyFill="1" applyBorder="1" applyAlignment="1">
      <alignment horizontal="left"/>
    </xf>
    <xf numFmtId="0" fontId="0" fillId="0" borderId="11" xfId="0" applyBorder="1" applyAlignment="1">
      <alignment horizontal="left"/>
    </xf>
    <xf numFmtId="0" fontId="0" fillId="27" borderId="0" xfId="0" applyNumberFormat="1" applyFont="1" applyFill="1" applyBorder="1" applyAlignment="1">
      <alignment vertical="center"/>
    </xf>
    <xf numFmtId="164" fontId="32" fillId="18" borderId="57" xfId="19" applyFont="1" applyFill="1" applyBorder="1" applyAlignment="1">
      <alignment horizontal="right" vertical="center"/>
    </xf>
    <xf numFmtId="0" fontId="0" fillId="0" borderId="0" xfId="0"/>
    <xf numFmtId="164" fontId="32" fillId="18" borderId="60" xfId="19" applyFont="1" applyFill="1" applyBorder="1" applyAlignment="1">
      <alignment horizontal="right" vertical="center"/>
    </xf>
    <xf numFmtId="169" fontId="9" fillId="0" borderId="0" xfId="0" applyNumberFormat="1" applyFont="1"/>
    <xf numFmtId="169" fontId="9" fillId="0" borderId="10" xfId="0" applyNumberFormat="1" applyFont="1" applyBorder="1" applyAlignment="1">
      <alignment vertical="center"/>
    </xf>
    <xf numFmtId="11" fontId="3" fillId="0" borderId="0" xfId="1" applyNumberFormat="1" applyFont="1"/>
    <xf numFmtId="0" fontId="0" fillId="0" borderId="10" xfId="0" applyFont="1" applyBorder="1" applyAlignment="1">
      <alignment vertical="center"/>
    </xf>
    <xf numFmtId="0" fontId="78" fillId="0" borderId="10" xfId="0" applyFont="1" applyBorder="1" applyAlignment="1">
      <alignment horizontal="right" vertical="center"/>
    </xf>
    <xf numFmtId="11" fontId="3" fillId="0" borderId="10" xfId="1" applyNumberFormat="1" applyFont="1" applyBorder="1"/>
    <xf numFmtId="164" fontId="9" fillId="0" borderId="11" xfId="19" applyFont="1" applyBorder="1" applyAlignment="1">
      <alignment vertical="center"/>
    </xf>
    <xf numFmtId="164" fontId="9" fillId="0" borderId="11" xfId="19" applyFont="1" applyBorder="1" applyAlignment="1">
      <alignment horizontal="right" vertical="center"/>
    </xf>
    <xf numFmtId="0" fontId="0" fillId="0" borderId="11" xfId="0" applyFont="1" applyBorder="1"/>
    <xf numFmtId="164" fontId="0" fillId="0" borderId="11" xfId="1" applyNumberFormat="1" applyFont="1" applyBorder="1"/>
    <xf numFmtId="164" fontId="131" fillId="18" borderId="0" xfId="0" applyNumberFormat="1" applyFont="1" applyFill="1" applyAlignment="1">
      <alignment vertical="center"/>
    </xf>
    <xf numFmtId="0" fontId="41" fillId="18" borderId="0" xfId="0" applyNumberFormat="1" applyFont="1" applyFill="1" applyBorder="1" applyAlignment="1">
      <alignment vertical="center"/>
    </xf>
    <xf numFmtId="166" fontId="0" fillId="19" borderId="0" xfId="1" applyNumberFormat="1" applyFont="1" applyFill="1" applyBorder="1" applyAlignment="1">
      <alignment vertical="center"/>
    </xf>
    <xf numFmtId="166" fontId="0" fillId="19" borderId="13" xfId="1" applyNumberFormat="1" applyFont="1" applyFill="1" applyBorder="1" applyAlignment="1">
      <alignment vertical="center"/>
    </xf>
    <xf numFmtId="166" fontId="0" fillId="19" borderId="86" xfId="1" applyNumberFormat="1" applyFont="1" applyFill="1" applyBorder="1" applyAlignment="1">
      <alignment vertical="center"/>
    </xf>
    <xf numFmtId="166" fontId="0" fillId="19" borderId="96" xfId="1" applyNumberFormat="1" applyFont="1" applyFill="1" applyBorder="1" applyAlignment="1">
      <alignment vertical="center"/>
    </xf>
    <xf numFmtId="0" fontId="0" fillId="0" borderId="0" xfId="0"/>
    <xf numFmtId="0" fontId="0" fillId="24" borderId="0" xfId="0" applyFont="1" applyFill="1" applyAlignment="1">
      <alignment vertical="center"/>
    </xf>
    <xf numFmtId="0" fontId="25" fillId="24" borderId="0" xfId="0" applyFont="1" applyFill="1" applyBorder="1"/>
    <xf numFmtId="0" fontId="0" fillId="24" borderId="0" xfId="0" applyNumberFormat="1" applyFill="1" applyBorder="1"/>
    <xf numFmtId="164" fontId="0" fillId="24" borderId="0" xfId="0" applyNumberFormat="1" applyFill="1" applyBorder="1"/>
    <xf numFmtId="0" fontId="132" fillId="18" borderId="0" xfId="0" applyFont="1" applyFill="1" applyBorder="1"/>
    <xf numFmtId="0" fontId="0" fillId="18" borderId="101" xfId="0" applyFill="1" applyBorder="1"/>
    <xf numFmtId="0" fontId="0" fillId="18" borderId="56" xfId="0" applyFill="1" applyBorder="1" applyAlignment="1">
      <alignment horizontal="left" vertical="center"/>
    </xf>
    <xf numFmtId="0" fontId="0" fillId="18" borderId="0" xfId="0" applyFill="1" applyBorder="1" applyAlignment="1">
      <alignment horizontal="right" vertical="center"/>
    </xf>
    <xf numFmtId="0" fontId="132" fillId="18" borderId="0" xfId="0" applyFont="1" applyFill="1" applyBorder="1" applyAlignment="1">
      <alignment horizontal="right" vertical="center"/>
    </xf>
    <xf numFmtId="0" fontId="132" fillId="18" borderId="0" xfId="0" applyFont="1" applyFill="1" applyBorder="1" applyAlignment="1">
      <alignment horizontal="left" vertical="center"/>
    </xf>
    <xf numFmtId="0" fontId="13" fillId="18" borderId="56" xfId="0" applyFont="1" applyFill="1" applyBorder="1" applyAlignment="1">
      <alignment vertical="center"/>
    </xf>
    <xf numFmtId="0" fontId="17" fillId="18" borderId="6" xfId="8" applyNumberFormat="1" applyFill="1" applyBorder="1"/>
    <xf numFmtId="0" fontId="25" fillId="18" borderId="0" xfId="8" applyNumberFormat="1" applyFont="1" applyFill="1" applyBorder="1"/>
    <xf numFmtId="0" fontId="17" fillId="18" borderId="0" xfId="8" applyNumberFormat="1" applyFill="1" applyBorder="1"/>
    <xf numFmtId="164" fontId="133" fillId="18" borderId="0" xfId="8" applyNumberFormat="1" applyFont="1" applyFill="1" applyBorder="1"/>
    <xf numFmtId="164" fontId="17" fillId="18" borderId="7" xfId="8" applyNumberFormat="1" applyFill="1" applyBorder="1"/>
    <xf numFmtId="164" fontId="134" fillId="18" borderId="0" xfId="8" applyNumberFormat="1" applyFont="1" applyFill="1" applyBorder="1"/>
    <xf numFmtId="0" fontId="133" fillId="18" borderId="0" xfId="8" applyNumberFormat="1" applyFont="1" applyFill="1" applyBorder="1"/>
    <xf numFmtId="164" fontId="0" fillId="18" borderId="0" xfId="19" applyFont="1" applyFill="1" applyBorder="1"/>
    <xf numFmtId="164" fontId="132" fillId="18" borderId="0" xfId="19" applyFont="1" applyFill="1" applyBorder="1"/>
    <xf numFmtId="164" fontId="0" fillId="18" borderId="7" xfId="19" applyFont="1" applyFill="1" applyBorder="1"/>
    <xf numFmtId="0" fontId="14" fillId="18" borderId="0" xfId="0" applyFont="1" applyFill="1" applyBorder="1"/>
    <xf numFmtId="164" fontId="135" fillId="18" borderId="0" xfId="19" applyFont="1" applyFill="1" applyBorder="1" applyAlignment="1">
      <alignment vertical="center"/>
    </xf>
    <xf numFmtId="0" fontId="18" fillId="18" borderId="6" xfId="0" applyFont="1" applyFill="1" applyBorder="1" applyAlignment="1">
      <alignment vertical="center"/>
    </xf>
    <xf numFmtId="0" fontId="15" fillId="18" borderId="0" xfId="0" applyFont="1" applyFill="1" applyBorder="1" applyAlignment="1">
      <alignment vertical="center"/>
    </xf>
    <xf numFmtId="0" fontId="9" fillId="18" borderId="20" xfId="0" applyFont="1" applyFill="1" applyBorder="1" applyAlignment="1">
      <alignment vertical="center"/>
    </xf>
    <xf numFmtId="164" fontId="9" fillId="18" borderId="20" xfId="19" applyFont="1" applyFill="1" applyBorder="1" applyAlignment="1">
      <alignment vertical="center"/>
    </xf>
    <xf numFmtId="164" fontId="9" fillId="18" borderId="0" xfId="19" applyFont="1" applyFill="1" applyBorder="1" applyAlignment="1">
      <alignment vertical="center"/>
    </xf>
    <xf numFmtId="164" fontId="9" fillId="18" borderId="7" xfId="19" applyFont="1" applyFill="1" applyBorder="1" applyAlignment="1">
      <alignment vertical="center"/>
    </xf>
    <xf numFmtId="0" fontId="9" fillId="18" borderId="6" xfId="0" applyFont="1" applyFill="1" applyBorder="1"/>
    <xf numFmtId="0" fontId="15" fillId="18" borderId="0" xfId="0" applyFont="1" applyFill="1" applyBorder="1"/>
    <xf numFmtId="164" fontId="9" fillId="18" borderId="0" xfId="19" applyFont="1" applyFill="1" applyBorder="1"/>
    <xf numFmtId="164" fontId="135" fillId="18" borderId="0" xfId="19" applyFont="1" applyFill="1" applyBorder="1"/>
    <xf numFmtId="164" fontId="9" fillId="18" borderId="7" xfId="19" applyFont="1" applyFill="1" applyBorder="1"/>
    <xf numFmtId="0" fontId="20" fillId="18" borderId="6" xfId="0" applyFont="1" applyFill="1" applyBorder="1"/>
    <xf numFmtId="0" fontId="136" fillId="18" borderId="0" xfId="0" applyFont="1" applyFill="1" applyBorder="1"/>
    <xf numFmtId="0" fontId="20" fillId="18" borderId="0" xfId="0" applyFont="1" applyFill="1" applyBorder="1"/>
    <xf numFmtId="164" fontId="20" fillId="18" borderId="0" xfId="19" applyFont="1" applyFill="1" applyBorder="1"/>
    <xf numFmtId="164" fontId="137" fillId="18" borderId="0" xfId="19" applyFont="1" applyFill="1" applyBorder="1"/>
    <xf numFmtId="164" fontId="20" fillId="18" borderId="7" xfId="19" applyFont="1" applyFill="1" applyBorder="1"/>
    <xf numFmtId="0" fontId="17" fillId="18" borderId="0" xfId="8" applyNumberFormat="1" applyFont="1" applyFill="1" applyBorder="1"/>
    <xf numFmtId="0" fontId="137" fillId="18" borderId="0" xfId="0" applyFont="1" applyFill="1" applyBorder="1"/>
    <xf numFmtId="0" fontId="22" fillId="18" borderId="6" xfId="0" applyFont="1" applyFill="1" applyBorder="1" applyAlignment="1">
      <alignment vertical="center"/>
    </xf>
    <xf numFmtId="164" fontId="0" fillId="18" borderId="7" xfId="19" applyFont="1" applyFill="1" applyBorder="1" applyAlignment="1">
      <alignment vertical="center"/>
    </xf>
    <xf numFmtId="0" fontId="18" fillId="18" borderId="18" xfId="0" applyFont="1" applyFill="1" applyBorder="1" applyAlignment="1">
      <alignment vertical="center"/>
    </xf>
    <xf numFmtId="0" fontId="9" fillId="18" borderId="17" xfId="0" applyFont="1" applyFill="1" applyBorder="1" applyAlignment="1">
      <alignment vertical="center"/>
    </xf>
    <xf numFmtId="164" fontId="9" fillId="18" borderId="17" xfId="19" applyFont="1" applyFill="1" applyBorder="1" applyAlignment="1">
      <alignment vertical="center"/>
    </xf>
    <xf numFmtId="164" fontId="135" fillId="18" borderId="17" xfId="19" applyFont="1" applyFill="1" applyBorder="1" applyAlignment="1">
      <alignment vertical="center"/>
    </xf>
    <xf numFmtId="164" fontId="9" fillId="18" borderId="29" xfId="19" applyFont="1" applyFill="1" applyBorder="1" applyAlignment="1">
      <alignment vertical="center"/>
    </xf>
    <xf numFmtId="0" fontId="18" fillId="0" borderId="0" xfId="0" applyFont="1" applyAlignment="1">
      <alignment vertical="center"/>
    </xf>
    <xf numFmtId="0" fontId="9" fillId="0" borderId="0" xfId="0" applyFont="1" applyBorder="1" applyAlignment="1">
      <alignment vertical="center"/>
    </xf>
    <xf numFmtId="164" fontId="9" fillId="0" borderId="0" xfId="19" applyFont="1" applyBorder="1" applyAlignment="1">
      <alignment vertical="center"/>
    </xf>
    <xf numFmtId="164" fontId="135" fillId="0" borderId="0" xfId="19" applyFont="1" applyBorder="1" applyAlignment="1">
      <alignment vertical="center"/>
    </xf>
    <xf numFmtId="0" fontId="31" fillId="29" borderId="3" xfId="0" applyFont="1" applyFill="1" applyBorder="1" applyAlignment="1">
      <alignment horizontal="left" vertical="center" indent="1"/>
    </xf>
    <xf numFmtId="0" fontId="0" fillId="29" borderId="4" xfId="0" applyFill="1" applyBorder="1"/>
    <xf numFmtId="0" fontId="132" fillId="29" borderId="4" xfId="0" applyFont="1" applyFill="1" applyBorder="1"/>
    <xf numFmtId="164" fontId="0" fillId="29" borderId="4" xfId="19" applyFont="1" applyFill="1" applyBorder="1"/>
    <xf numFmtId="164" fontId="0" fillId="29" borderId="5" xfId="19" applyFont="1" applyFill="1" applyBorder="1"/>
    <xf numFmtId="0" fontId="0" fillId="28" borderId="30" xfId="0" applyFill="1" applyBorder="1"/>
    <xf numFmtId="0" fontId="0" fillId="28" borderId="31" xfId="0" applyFill="1" applyBorder="1"/>
    <xf numFmtId="0" fontId="132" fillId="28" borderId="31" xfId="0" applyFont="1" applyFill="1" applyBorder="1"/>
    <xf numFmtId="164" fontId="0" fillId="28" borderId="31" xfId="19" applyFont="1" applyFill="1" applyBorder="1"/>
    <xf numFmtId="164" fontId="0" fillId="28" borderId="32" xfId="19" applyFont="1" applyFill="1" applyBorder="1"/>
    <xf numFmtId="0" fontId="0" fillId="28" borderId="6" xfId="0" applyFill="1" applyBorder="1"/>
    <xf numFmtId="164" fontId="17" fillId="28" borderId="0" xfId="8" applyNumberFormat="1" applyFill="1" applyBorder="1"/>
    <xf numFmtId="164" fontId="133" fillId="28" borderId="0" xfId="8" applyNumberFormat="1" applyFont="1" applyFill="1" applyBorder="1"/>
    <xf numFmtId="164" fontId="0" fillId="28" borderId="0" xfId="19" applyFont="1" applyFill="1" applyBorder="1"/>
    <xf numFmtId="164" fontId="0" fillId="28" borderId="7" xfId="19" applyFont="1" applyFill="1" applyBorder="1"/>
    <xf numFmtId="0" fontId="22" fillId="28" borderId="6" xfId="0" applyFont="1" applyFill="1" applyBorder="1" applyAlignment="1">
      <alignment vertical="center"/>
    </xf>
    <xf numFmtId="0" fontId="9" fillId="28" borderId="20" xfId="0" applyFont="1" applyFill="1" applyBorder="1" applyAlignment="1">
      <alignment vertical="center"/>
    </xf>
    <xf numFmtId="164" fontId="9" fillId="28" borderId="20" xfId="19" applyFont="1" applyFill="1" applyBorder="1" applyAlignment="1">
      <alignment vertical="center"/>
    </xf>
    <xf numFmtId="164" fontId="9" fillId="28" borderId="0" xfId="19" applyFont="1" applyFill="1" applyBorder="1" applyAlignment="1">
      <alignment vertical="center"/>
    </xf>
    <xf numFmtId="164" fontId="135" fillId="28" borderId="0" xfId="19" applyFont="1" applyFill="1" applyBorder="1" applyAlignment="1">
      <alignment vertical="center"/>
    </xf>
    <xf numFmtId="164" fontId="0" fillId="28" borderId="7" xfId="19" applyFont="1" applyFill="1" applyBorder="1" applyAlignment="1">
      <alignment vertical="center"/>
    </xf>
    <xf numFmtId="0" fontId="132" fillId="28" borderId="0" xfId="0" applyFont="1" applyFill="1" applyBorder="1"/>
    <xf numFmtId="0" fontId="20" fillId="28" borderId="6" xfId="0" applyFont="1" applyFill="1" applyBorder="1"/>
    <xf numFmtId="0" fontId="137" fillId="28" borderId="0" xfId="0" applyFont="1" applyFill="1" applyBorder="1"/>
    <xf numFmtId="164" fontId="20" fillId="28" borderId="0" xfId="19" applyFont="1" applyFill="1" applyBorder="1"/>
    <xf numFmtId="164" fontId="20" fillId="28" borderId="7" xfId="19" applyFont="1" applyFill="1" applyBorder="1"/>
    <xf numFmtId="0" fontId="20" fillId="28" borderId="6" xfId="0" applyFont="1" applyFill="1" applyBorder="1" applyAlignment="1">
      <alignment vertical="center"/>
    </xf>
    <xf numFmtId="164" fontId="20" fillId="28" borderId="0" xfId="19" applyFont="1" applyFill="1" applyBorder="1" applyAlignment="1">
      <alignment vertical="center"/>
    </xf>
    <xf numFmtId="164" fontId="137" fillId="28" borderId="0" xfId="19" applyFont="1" applyFill="1" applyBorder="1" applyAlignment="1">
      <alignment vertical="center"/>
    </xf>
    <xf numFmtId="0" fontId="20" fillId="28" borderId="7" xfId="0" applyFont="1" applyFill="1" applyBorder="1" applyAlignment="1">
      <alignment vertical="center"/>
    </xf>
    <xf numFmtId="0" fontId="0" fillId="28" borderId="6" xfId="0" applyFont="1" applyFill="1" applyBorder="1"/>
    <xf numFmtId="0" fontId="0" fillId="28" borderId="7" xfId="0" applyFill="1" applyBorder="1"/>
    <xf numFmtId="0" fontId="132" fillId="0" borderId="0" xfId="0" applyFont="1" applyFill="1" applyBorder="1"/>
    <xf numFmtId="164" fontId="0" fillId="0" borderId="0" xfId="19" applyFont="1" applyFill="1" applyBorder="1"/>
    <xf numFmtId="164" fontId="132" fillId="0" borderId="0" xfId="19" applyFont="1" applyFill="1" applyBorder="1"/>
    <xf numFmtId="164" fontId="0" fillId="0" borderId="7" xfId="19" applyFont="1" applyFill="1" applyBorder="1"/>
    <xf numFmtId="164" fontId="17" fillId="0" borderId="0" xfId="8" applyNumberFormat="1" applyFill="1" applyBorder="1"/>
    <xf numFmtId="164" fontId="133" fillId="0" borderId="0" xfId="8" applyNumberFormat="1" applyFont="1" applyFill="1" applyBorder="1"/>
    <xf numFmtId="0" fontId="22" fillId="0" borderId="6" xfId="0" applyFont="1" applyFill="1" applyBorder="1" applyAlignment="1">
      <alignment vertical="center"/>
    </xf>
    <xf numFmtId="0" fontId="9" fillId="0" borderId="20" xfId="0" applyFont="1" applyFill="1" applyBorder="1" applyAlignment="1">
      <alignment vertical="center"/>
    </xf>
    <xf numFmtId="164" fontId="9" fillId="0" borderId="20" xfId="19" applyFont="1" applyFill="1" applyBorder="1" applyAlignment="1">
      <alignment vertical="center"/>
    </xf>
    <xf numFmtId="164" fontId="9" fillId="0" borderId="0" xfId="19" applyFont="1" applyFill="1" applyBorder="1" applyAlignment="1">
      <alignment vertical="center"/>
    </xf>
    <xf numFmtId="164" fontId="135" fillId="0" borderId="0" xfId="19" applyFont="1" applyFill="1" applyBorder="1" applyAlignment="1">
      <alignment vertical="center"/>
    </xf>
    <xf numFmtId="0" fontId="31" fillId="28" borderId="6" xfId="0" applyFont="1" applyFill="1" applyBorder="1" applyAlignment="1">
      <alignment horizontal="left" vertical="center" indent="1"/>
    </xf>
    <xf numFmtId="0" fontId="13" fillId="28" borderId="56" xfId="0" applyFont="1" applyFill="1" applyBorder="1" applyAlignment="1">
      <alignment horizontal="center" vertical="center"/>
    </xf>
    <xf numFmtId="0" fontId="0" fillId="28" borderId="0" xfId="0" applyFont="1" applyFill="1" applyBorder="1"/>
    <xf numFmtId="164" fontId="132" fillId="28" borderId="0" xfId="19" applyFont="1" applyFill="1" applyBorder="1"/>
    <xf numFmtId="0" fontId="17" fillId="28" borderId="6" xfId="8" applyNumberFormat="1" applyFill="1" applyBorder="1"/>
    <xf numFmtId="0" fontId="11" fillId="28" borderId="0" xfId="8" applyNumberFormat="1" applyFont="1" applyFill="1" applyBorder="1"/>
    <xf numFmtId="164" fontId="11" fillId="28" borderId="0" xfId="8" applyNumberFormat="1" applyFont="1" applyFill="1" applyBorder="1"/>
    <xf numFmtId="164" fontId="132" fillId="28" borderId="0" xfId="8" applyNumberFormat="1" applyFont="1" applyFill="1" applyBorder="1"/>
    <xf numFmtId="0" fontId="17" fillId="28" borderId="7" xfId="8" applyNumberFormat="1" applyFill="1" applyBorder="1"/>
    <xf numFmtId="0" fontId="9" fillId="28" borderId="20" xfId="0" applyFont="1" applyFill="1" applyBorder="1"/>
    <xf numFmtId="164" fontId="9" fillId="28" borderId="20" xfId="19" applyFont="1" applyFill="1" applyBorder="1"/>
    <xf numFmtId="164" fontId="9" fillId="28" borderId="0" xfId="19" applyFont="1" applyFill="1" applyBorder="1"/>
    <xf numFmtId="164" fontId="135" fillId="28" borderId="0" xfId="19" applyFont="1" applyFill="1" applyBorder="1"/>
    <xf numFmtId="0" fontId="9" fillId="28" borderId="0" xfId="0" applyFont="1" applyFill="1" applyBorder="1"/>
    <xf numFmtId="164" fontId="24" fillId="28" borderId="0" xfId="19" applyFont="1" applyFill="1" applyBorder="1"/>
    <xf numFmtId="0" fontId="132" fillId="28" borderId="56" xfId="0" applyFont="1" applyFill="1" applyBorder="1"/>
    <xf numFmtId="164" fontId="0" fillId="28" borderId="38" xfId="19" applyFont="1" applyFill="1" applyBorder="1" applyAlignment="1">
      <alignment vertical="center"/>
    </xf>
    <xf numFmtId="0" fontId="132" fillId="28" borderId="0" xfId="8" applyNumberFormat="1" applyFont="1" applyFill="1" applyBorder="1"/>
    <xf numFmtId="0" fontId="135" fillId="28" borderId="20" xfId="0" applyFont="1" applyFill="1" applyBorder="1"/>
    <xf numFmtId="179" fontId="135" fillId="28" borderId="20" xfId="0" applyNumberFormat="1" applyFont="1" applyFill="1" applyBorder="1"/>
    <xf numFmtId="0" fontId="132" fillId="0" borderId="0" xfId="0" applyFont="1"/>
    <xf numFmtId="0" fontId="31" fillId="32" borderId="3" xfId="0" applyFont="1" applyFill="1" applyBorder="1" applyAlignment="1">
      <alignment horizontal="left" vertical="center" indent="1"/>
    </xf>
    <xf numFmtId="0" fontId="0" fillId="32" borderId="4" xfId="0" applyFill="1" applyBorder="1"/>
    <xf numFmtId="0" fontId="132" fillId="32" borderId="4" xfId="0" applyFont="1" applyFill="1" applyBorder="1"/>
    <xf numFmtId="0" fontId="0" fillId="32" borderId="4" xfId="0" applyFill="1" applyBorder="1" applyAlignment="1">
      <alignment horizontal="right"/>
    </xf>
    <xf numFmtId="0" fontId="0" fillId="32" borderId="5" xfId="0" applyFill="1" applyBorder="1"/>
    <xf numFmtId="0" fontId="5" fillId="37" borderId="6" xfId="0" applyFont="1" applyFill="1" applyBorder="1"/>
    <xf numFmtId="0" fontId="0" fillId="37" borderId="0" xfId="0" applyFill="1" applyBorder="1"/>
    <xf numFmtId="0" fontId="132" fillId="37" borderId="0" xfId="0" applyFont="1" applyFill="1" applyBorder="1"/>
    <xf numFmtId="0" fontId="0" fillId="37" borderId="0" xfId="0" applyFill="1" applyBorder="1" applyAlignment="1">
      <alignment horizontal="right"/>
    </xf>
    <xf numFmtId="0" fontId="0" fillId="37" borderId="7" xfId="0" applyFill="1" applyBorder="1"/>
    <xf numFmtId="0" fontId="5" fillId="37" borderId="0" xfId="0" applyFont="1" applyFill="1" applyBorder="1"/>
    <xf numFmtId="0" fontId="0" fillId="37" borderId="6" xfId="0" applyFill="1" applyBorder="1"/>
    <xf numFmtId="0" fontId="9" fillId="37" borderId="0" xfId="0" applyFont="1" applyFill="1" applyBorder="1"/>
    <xf numFmtId="0" fontId="17" fillId="37" borderId="6" xfId="8" applyNumberFormat="1" applyFill="1" applyBorder="1"/>
    <xf numFmtId="0" fontId="17" fillId="37" borderId="0" xfId="8" applyNumberFormat="1" applyFill="1" applyBorder="1" applyAlignment="1">
      <alignment horizontal="right"/>
    </xf>
    <xf numFmtId="0" fontId="17" fillId="37" borderId="0" xfId="8" applyNumberFormat="1" applyFill="1" applyBorder="1"/>
    <xf numFmtId="165" fontId="17" fillId="37" borderId="0" xfId="8" applyNumberFormat="1" applyFill="1" applyBorder="1"/>
    <xf numFmtId="165" fontId="133" fillId="37" borderId="0" xfId="8" applyNumberFormat="1" applyFont="1" applyFill="1" applyBorder="1"/>
    <xf numFmtId="165" fontId="0" fillId="37" borderId="0" xfId="0" applyNumberFormat="1" applyFill="1" applyBorder="1"/>
    <xf numFmtId="0" fontId="17" fillId="37" borderId="7" xfId="8" applyNumberFormat="1" applyFill="1" applyBorder="1"/>
    <xf numFmtId="168" fontId="0" fillId="37" borderId="0" xfId="20" applyNumberFormat="1" applyFont="1" applyFill="1" applyBorder="1"/>
    <xf numFmtId="168" fontId="132" fillId="37" borderId="0" xfId="20" applyNumberFormat="1" applyFont="1" applyFill="1" applyBorder="1"/>
    <xf numFmtId="168" fontId="0" fillId="37" borderId="0" xfId="0" applyNumberFormat="1" applyFill="1" applyBorder="1"/>
    <xf numFmtId="168" fontId="9" fillId="37" borderId="0" xfId="20" applyNumberFormat="1" applyFont="1" applyFill="1" applyBorder="1"/>
    <xf numFmtId="168" fontId="135" fillId="37" borderId="0" xfId="20" applyNumberFormat="1" applyFont="1" applyFill="1" applyBorder="1"/>
    <xf numFmtId="168" fontId="132" fillId="37" borderId="0" xfId="0" applyNumberFormat="1" applyFont="1" applyFill="1" applyBorder="1"/>
    <xf numFmtId="0" fontId="20" fillId="37" borderId="6" xfId="0" applyFont="1" applyFill="1" applyBorder="1"/>
    <xf numFmtId="0" fontId="20" fillId="37" borderId="0" xfId="0" applyFont="1" applyFill="1" applyBorder="1"/>
    <xf numFmtId="168" fontId="20" fillId="37" borderId="0" xfId="20" applyNumberFormat="1" applyFont="1" applyFill="1" applyBorder="1"/>
    <xf numFmtId="168" fontId="137" fillId="37" borderId="0" xfId="20" applyNumberFormat="1" applyFont="1" applyFill="1" applyBorder="1"/>
    <xf numFmtId="0" fontId="20" fillId="37" borderId="7" xfId="0" applyFont="1" applyFill="1" applyBorder="1"/>
    <xf numFmtId="0" fontId="0" fillId="37" borderId="6" xfId="0" applyFill="1" applyBorder="1" applyAlignment="1">
      <alignment vertical="center"/>
    </xf>
    <xf numFmtId="0" fontId="0" fillId="37" borderId="0" xfId="0" applyFill="1" applyBorder="1" applyAlignment="1">
      <alignment vertical="center"/>
    </xf>
    <xf numFmtId="0" fontId="9" fillId="37" borderId="0" xfId="0" applyFont="1" applyFill="1" applyBorder="1" applyAlignment="1">
      <alignment horizontal="right" vertical="center"/>
    </xf>
    <xf numFmtId="0" fontId="76" fillId="37" borderId="0" xfId="0" applyFont="1" applyFill="1" applyAlignment="1">
      <alignment vertical="center"/>
    </xf>
    <xf numFmtId="0" fontId="132" fillId="37" borderId="0" xfId="0" applyFont="1" applyFill="1" applyAlignment="1">
      <alignment vertical="center"/>
    </xf>
    <xf numFmtId="172" fontId="9" fillId="37" borderId="0" xfId="19" applyNumberFormat="1" applyFont="1" applyFill="1" applyBorder="1" applyAlignment="1">
      <alignment vertical="center"/>
    </xf>
    <xf numFmtId="0" fontId="0" fillId="37" borderId="0" xfId="0" applyFill="1" applyBorder="1" applyAlignment="1">
      <alignment horizontal="right" vertical="center"/>
    </xf>
    <xf numFmtId="168" fontId="0" fillId="37" borderId="0" xfId="0" applyNumberFormat="1" applyFill="1" applyBorder="1" applyAlignment="1">
      <alignment vertical="center"/>
    </xf>
    <xf numFmtId="0" fontId="0" fillId="37" borderId="7" xfId="0" applyFill="1" applyBorder="1" applyAlignment="1">
      <alignment vertical="center"/>
    </xf>
    <xf numFmtId="0" fontId="135" fillId="37" borderId="0" xfId="0" applyFont="1" applyFill="1" applyBorder="1" applyAlignment="1">
      <alignment horizontal="right" vertical="center"/>
    </xf>
    <xf numFmtId="0" fontId="0" fillId="37" borderId="0" xfId="0" applyFont="1" applyFill="1" applyBorder="1" applyAlignment="1">
      <alignment horizontal="right" vertical="center"/>
    </xf>
    <xf numFmtId="0" fontId="132" fillId="37" borderId="0" xfId="0" applyFont="1" applyFill="1" applyBorder="1" applyAlignment="1">
      <alignment horizontal="right" vertical="center"/>
    </xf>
    <xf numFmtId="1" fontId="27" fillId="37" borderId="0" xfId="21" applyNumberFormat="1" applyFont="1" applyFill="1" applyAlignment="1">
      <alignment vertical="center"/>
    </xf>
    <xf numFmtId="1" fontId="27" fillId="37" borderId="0" xfId="21" applyNumberFormat="1" applyFont="1" applyFill="1" applyBorder="1" applyAlignment="1">
      <alignment vertical="center"/>
    </xf>
    <xf numFmtId="0" fontId="137" fillId="37" borderId="0" xfId="0" applyFont="1" applyFill="1" applyBorder="1"/>
    <xf numFmtId="1" fontId="20" fillId="37" borderId="0" xfId="0" applyNumberFormat="1" applyFont="1" applyFill="1" applyBorder="1"/>
    <xf numFmtId="1" fontId="0" fillId="37" borderId="0" xfId="0" applyNumberFormat="1" applyFill="1" applyBorder="1"/>
    <xf numFmtId="165" fontId="132" fillId="37" borderId="0" xfId="19" applyNumberFormat="1" applyFont="1" applyFill="1" applyBorder="1"/>
    <xf numFmtId="165" fontId="0" fillId="37" borderId="0" xfId="19" applyNumberFormat="1" applyFont="1" applyFill="1" applyBorder="1"/>
    <xf numFmtId="165" fontId="132" fillId="37" borderId="0" xfId="0" applyNumberFormat="1" applyFont="1" applyFill="1" applyBorder="1"/>
    <xf numFmtId="165" fontId="9" fillId="37" borderId="0" xfId="0" applyNumberFormat="1" applyFont="1" applyFill="1" applyBorder="1"/>
    <xf numFmtId="165" fontId="135" fillId="37" borderId="0" xfId="0" applyNumberFormat="1" applyFont="1" applyFill="1" applyBorder="1"/>
    <xf numFmtId="165" fontId="20" fillId="37" borderId="0" xfId="19" applyNumberFormat="1" applyFont="1" applyFill="1" applyBorder="1"/>
    <xf numFmtId="165" fontId="137" fillId="37" borderId="0" xfId="19" applyNumberFormat="1" applyFont="1" applyFill="1" applyBorder="1"/>
    <xf numFmtId="165" fontId="20" fillId="37" borderId="0" xfId="0" applyNumberFormat="1" applyFont="1" applyFill="1" applyBorder="1"/>
    <xf numFmtId="0" fontId="78" fillId="37" borderId="0" xfId="0" applyFont="1" applyFill="1" applyBorder="1"/>
    <xf numFmtId="165" fontId="0" fillId="37" borderId="7" xfId="0" applyNumberFormat="1" applyFill="1" applyBorder="1"/>
    <xf numFmtId="0" fontId="0" fillId="37" borderId="0" xfId="0" applyFill="1" applyBorder="1" applyAlignment="1">
      <alignment horizontal="center"/>
    </xf>
    <xf numFmtId="0" fontId="132" fillId="37" borderId="0" xfId="0" applyFont="1" applyFill="1" applyBorder="1" applyAlignment="1">
      <alignment horizontal="center"/>
    </xf>
    <xf numFmtId="9" fontId="0" fillId="37" borderId="0" xfId="0" quotePrefix="1" applyNumberFormat="1" applyFill="1" applyBorder="1"/>
    <xf numFmtId="0" fontId="9" fillId="37" borderId="6" xfId="0" applyFont="1" applyFill="1" applyBorder="1"/>
    <xf numFmtId="0" fontId="9" fillId="37" borderId="7" xfId="0" applyFont="1" applyFill="1" applyBorder="1"/>
    <xf numFmtId="0" fontId="0" fillId="37" borderId="18" xfId="0" applyFill="1" applyBorder="1"/>
    <xf numFmtId="0" fontId="0" fillId="37" borderId="17" xfId="0" applyFill="1" applyBorder="1"/>
    <xf numFmtId="0" fontId="132" fillId="37" borderId="17" xfId="0" applyFont="1" applyFill="1" applyBorder="1"/>
    <xf numFmtId="0" fontId="0" fillId="37" borderId="29" xfId="0" applyFill="1" applyBorder="1"/>
    <xf numFmtId="0" fontId="138" fillId="37" borderId="0" xfId="12" applyFont="1" applyFill="1" applyBorder="1" applyAlignment="1">
      <alignment horizontal="center" vertical="center"/>
    </xf>
    <xf numFmtId="0" fontId="27" fillId="37" borderId="0" xfId="12" applyFont="1" applyFill="1"/>
    <xf numFmtId="0" fontId="0" fillId="37" borderId="0" xfId="0" applyFill="1"/>
    <xf numFmtId="0" fontId="132" fillId="37" borderId="0" xfId="0" applyFont="1" applyFill="1"/>
    <xf numFmtId="0" fontId="11" fillId="37" borderId="0" xfId="0" applyFont="1" applyFill="1" applyBorder="1"/>
    <xf numFmtId="165" fontId="27" fillId="37" borderId="0" xfId="19" applyNumberFormat="1" applyFont="1" applyFill="1"/>
    <xf numFmtId="0" fontId="62" fillId="37" borderId="0" xfId="0" applyFont="1" applyFill="1" applyBorder="1"/>
    <xf numFmtId="0" fontId="25" fillId="37" borderId="0" xfId="0" applyFont="1" applyFill="1" applyBorder="1"/>
    <xf numFmtId="0" fontId="25" fillId="37" borderId="0" xfId="0" applyFont="1" applyFill="1" applyBorder="1" applyAlignment="1">
      <alignment horizontal="left" vertical="center"/>
    </xf>
    <xf numFmtId="165" fontId="25" fillId="37" borderId="0" xfId="19" applyNumberFormat="1" applyFont="1" applyFill="1" applyBorder="1" applyAlignment="1">
      <alignment vertical="center"/>
    </xf>
    <xf numFmtId="0" fontId="62" fillId="37" borderId="0" xfId="0" applyFont="1" applyFill="1" applyBorder="1" applyAlignment="1">
      <alignment horizontal="right" vertical="center"/>
    </xf>
    <xf numFmtId="168" fontId="62" fillId="37" borderId="0" xfId="20" applyFont="1" applyFill="1" applyBorder="1" applyAlignment="1">
      <alignment vertical="center"/>
    </xf>
    <xf numFmtId="0" fontId="11" fillId="37" borderId="0" xfId="0" applyFont="1" applyFill="1" applyBorder="1" applyAlignment="1">
      <alignment horizontal="right" vertical="center"/>
    </xf>
    <xf numFmtId="0" fontId="11" fillId="37" borderId="0" xfId="0" applyFont="1" applyFill="1" applyBorder="1" applyAlignment="1">
      <alignment vertical="center"/>
    </xf>
    <xf numFmtId="1" fontId="62" fillId="37" borderId="0" xfId="20" applyNumberFormat="1" applyFont="1" applyFill="1" applyBorder="1" applyAlignment="1">
      <alignment vertical="center"/>
    </xf>
    <xf numFmtId="0" fontId="62" fillId="37" borderId="0" xfId="0" applyFont="1" applyFill="1" applyBorder="1" applyAlignment="1">
      <alignment vertical="center"/>
    </xf>
    <xf numFmtId="1" fontId="62" fillId="37" borderId="0" xfId="20" applyNumberFormat="1" applyFont="1" applyFill="1" applyBorder="1" applyAlignment="1">
      <alignment horizontal="right" vertical="center"/>
    </xf>
    <xf numFmtId="0" fontId="9" fillId="37" borderId="0" xfId="0" applyFont="1" applyFill="1" applyBorder="1" applyAlignment="1">
      <alignment vertical="center"/>
    </xf>
    <xf numFmtId="0" fontId="138" fillId="37" borderId="0" xfId="12" applyFont="1" applyFill="1" applyBorder="1" applyAlignment="1">
      <alignment horizontal="right" vertical="center"/>
    </xf>
    <xf numFmtId="0" fontId="0" fillId="37" borderId="0" xfId="0" applyFont="1" applyFill="1" applyBorder="1" applyAlignment="1">
      <alignment horizontal="left" vertical="center"/>
    </xf>
    <xf numFmtId="0" fontId="9" fillId="37" borderId="0" xfId="0" applyFont="1" applyFill="1" applyBorder="1" applyAlignment="1">
      <alignment horizontal="left" vertical="center"/>
    </xf>
    <xf numFmtId="0" fontId="11" fillId="37" borderId="0" xfId="8" applyNumberFormat="1" applyFont="1" applyFill="1" applyBorder="1"/>
    <xf numFmtId="0" fontId="25" fillId="37" borderId="0" xfId="0" applyFont="1" applyFill="1" applyAlignment="1">
      <alignment horizontal="left" vertical="center"/>
    </xf>
    <xf numFmtId="0" fontId="25" fillId="37" borderId="0" xfId="0" applyFont="1" applyFill="1" applyAlignment="1">
      <alignment vertical="center"/>
    </xf>
    <xf numFmtId="0" fontId="11" fillId="37" borderId="0" xfId="0" applyFont="1" applyFill="1" applyAlignment="1">
      <alignment vertical="center"/>
    </xf>
    <xf numFmtId="165" fontId="24" fillId="37" borderId="0" xfId="19" applyNumberFormat="1" applyFont="1" applyFill="1" applyBorder="1" applyAlignment="1">
      <alignment vertical="center"/>
    </xf>
    <xf numFmtId="0" fontId="139" fillId="61" borderId="3" xfId="0" applyFont="1" applyFill="1" applyBorder="1" applyAlignment="1">
      <alignment horizontal="left" vertical="center" indent="1"/>
    </xf>
    <xf numFmtId="0" fontId="20" fillId="61" borderId="4" xfId="0" applyFont="1" applyFill="1" applyBorder="1"/>
    <xf numFmtId="164" fontId="20" fillId="61" borderId="4" xfId="19" applyFont="1" applyFill="1" applyBorder="1"/>
    <xf numFmtId="164" fontId="20" fillId="61" borderId="5" xfId="19" applyFont="1" applyFill="1" applyBorder="1"/>
    <xf numFmtId="0" fontId="139" fillId="22" borderId="30" xfId="0" applyFont="1" applyFill="1" applyBorder="1" applyAlignment="1">
      <alignment horizontal="left" vertical="center" indent="1"/>
    </xf>
    <xf numFmtId="0" fontId="20" fillId="22" borderId="31" xfId="0" applyFont="1" applyFill="1" applyBorder="1"/>
    <xf numFmtId="164" fontId="20" fillId="22" borderId="31" xfId="19" applyFont="1" applyFill="1" applyBorder="1"/>
    <xf numFmtId="164" fontId="20" fillId="22" borderId="32" xfId="19" applyFont="1" applyFill="1" applyBorder="1"/>
    <xf numFmtId="0" fontId="20" fillId="22" borderId="6" xfId="0" applyFont="1" applyFill="1" applyBorder="1"/>
    <xf numFmtId="0" fontId="20" fillId="22" borderId="0" xfId="0" applyFont="1" applyFill="1" applyBorder="1"/>
    <xf numFmtId="165" fontId="20" fillId="22" borderId="0" xfId="19" applyNumberFormat="1" applyFont="1" applyFill="1" applyBorder="1"/>
    <xf numFmtId="0" fontId="20" fillId="22" borderId="7" xfId="0" applyFont="1" applyFill="1" applyBorder="1"/>
    <xf numFmtId="0" fontId="78" fillId="22" borderId="0" xfId="0" applyFont="1" applyFill="1" applyBorder="1"/>
    <xf numFmtId="165" fontId="78" fillId="22" borderId="0" xfId="19" applyNumberFormat="1" applyFont="1" applyFill="1" applyBorder="1"/>
    <xf numFmtId="164" fontId="20" fillId="22" borderId="0" xfId="0" applyNumberFormat="1" applyFont="1" applyFill="1" applyBorder="1"/>
    <xf numFmtId="168" fontId="20" fillId="22" borderId="0" xfId="20" applyFont="1" applyFill="1" applyBorder="1"/>
    <xf numFmtId="0" fontId="138" fillId="22" borderId="0" xfId="12" applyFont="1" applyFill="1"/>
    <xf numFmtId="0" fontId="138" fillId="22" borderId="0" xfId="12" applyNumberFormat="1" applyFont="1" applyFill="1"/>
    <xf numFmtId="0" fontId="9" fillId="22" borderId="0" xfId="0" applyFont="1" applyFill="1" applyBorder="1"/>
    <xf numFmtId="0" fontId="9" fillId="22" borderId="0" xfId="0" applyFont="1" applyFill="1" applyBorder="1" applyAlignment="1">
      <alignment horizontal="right"/>
    </xf>
    <xf numFmtId="0" fontId="27" fillId="22" borderId="0" xfId="12" applyFont="1" applyFill="1"/>
    <xf numFmtId="0" fontId="0" fillId="22" borderId="0" xfId="0" applyFill="1"/>
    <xf numFmtId="0" fontId="27" fillId="22" borderId="0" xfId="12" applyNumberFormat="1" applyFont="1" applyFill="1"/>
    <xf numFmtId="165" fontId="27" fillId="22" borderId="0" xfId="19" applyNumberFormat="1" applyFont="1" applyFill="1"/>
    <xf numFmtId="0" fontId="0" fillId="22" borderId="0" xfId="0" applyFill="1" applyBorder="1"/>
    <xf numFmtId="0" fontId="0" fillId="25" borderId="0" xfId="0" applyFill="1" applyBorder="1" applyAlignment="1">
      <alignment horizontal="center"/>
    </xf>
    <xf numFmtId="0" fontId="9" fillId="25" borderId="0" xfId="0" applyFont="1" applyFill="1" applyBorder="1" applyAlignment="1">
      <alignment horizontal="right"/>
    </xf>
    <xf numFmtId="0" fontId="9" fillId="25" borderId="0" xfId="0" applyFont="1" applyFill="1" applyBorder="1"/>
    <xf numFmtId="0" fontId="0" fillId="25" borderId="0" xfId="0" applyFill="1" applyBorder="1" applyAlignment="1">
      <alignment horizontal="right"/>
    </xf>
    <xf numFmtId="165" fontId="0" fillId="25" borderId="0" xfId="0" applyNumberFormat="1" applyFill="1" applyBorder="1" applyAlignment="1">
      <alignment horizontal="center"/>
    </xf>
    <xf numFmtId="0" fontId="99" fillId="62" borderId="0" xfId="50" applyFont="1" applyFill="1" applyBorder="1" applyAlignment="1">
      <alignment horizontal="left"/>
    </xf>
    <xf numFmtId="165" fontId="0" fillId="25" borderId="0" xfId="0" applyNumberFormat="1" applyFill="1" applyBorder="1" applyAlignment="1">
      <alignment horizontal="right"/>
    </xf>
    <xf numFmtId="165" fontId="0" fillId="0" borderId="0" xfId="19" applyNumberFormat="1" applyFont="1" applyFill="1"/>
    <xf numFmtId="165" fontId="0" fillId="0" borderId="0" xfId="0" applyNumberFormat="1" applyFill="1"/>
    <xf numFmtId="0" fontId="99" fillId="0" borderId="0" xfId="50" applyFont="1" applyFill="1" applyBorder="1" applyAlignment="1">
      <alignment horizontal="right"/>
    </xf>
    <xf numFmtId="166" fontId="0" fillId="0" borderId="0" xfId="19" applyNumberFormat="1" applyFont="1" applyFill="1"/>
    <xf numFmtId="166" fontId="0" fillId="0" borderId="0" xfId="0" applyNumberFormat="1" applyFill="1"/>
    <xf numFmtId="0" fontId="99" fillId="62" borderId="0" xfId="50" applyFont="1" applyFill="1" applyBorder="1" applyAlignment="1">
      <alignment horizontal="right"/>
    </xf>
    <xf numFmtId="0" fontId="3" fillId="18" borderId="0" xfId="0" applyFont="1" applyFill="1" applyBorder="1"/>
    <xf numFmtId="164" fontId="3" fillId="18" borderId="0" xfId="19" applyFont="1" applyFill="1" applyBorder="1"/>
    <xf numFmtId="0" fontId="0" fillId="0" borderId="0" xfId="0"/>
    <xf numFmtId="164" fontId="0" fillId="24" borderId="281" xfId="0" applyNumberFormat="1" applyFill="1" applyBorder="1"/>
    <xf numFmtId="164" fontId="0" fillId="24" borderId="282" xfId="0" applyNumberFormat="1" applyFill="1" applyBorder="1"/>
    <xf numFmtId="0" fontId="0" fillId="24" borderId="80" xfId="0" applyNumberFormat="1" applyFill="1" applyBorder="1"/>
    <xf numFmtId="0" fontId="0" fillId="24" borderId="82" xfId="0" applyNumberFormat="1" applyFill="1" applyBorder="1"/>
    <xf numFmtId="0" fontId="0" fillId="24" borderId="83" xfId="0" applyNumberFormat="1" applyFill="1" applyBorder="1"/>
    <xf numFmtId="0" fontId="0" fillId="24" borderId="278" xfId="0" applyNumberFormat="1" applyFill="1" applyBorder="1"/>
    <xf numFmtId="0" fontId="0" fillId="24" borderId="279" xfId="0" applyNumberFormat="1" applyFill="1" applyBorder="1"/>
    <xf numFmtId="0" fontId="0" fillId="24" borderId="280" xfId="0" applyNumberFormat="1" applyFill="1" applyBorder="1"/>
    <xf numFmtId="165" fontId="0" fillId="18" borderId="11" xfId="19" applyNumberFormat="1" applyFont="1" applyFill="1" applyBorder="1" applyAlignment="1">
      <alignment vertical="center"/>
    </xf>
    <xf numFmtId="164" fontId="0" fillId="59" borderId="13" xfId="1" applyNumberFormat="1" applyFont="1" applyFill="1" applyBorder="1" applyAlignment="1">
      <alignment vertical="center"/>
    </xf>
    <xf numFmtId="164" fontId="3" fillId="21" borderId="0" xfId="1" applyNumberFormat="1" applyFont="1" applyFill="1" applyBorder="1" applyAlignment="1">
      <alignment horizontal="left" vertical="center"/>
    </xf>
    <xf numFmtId="164" fontId="0" fillId="21" borderId="14" xfId="19" applyNumberFormat="1" applyFont="1" applyFill="1" applyBorder="1" applyAlignment="1">
      <alignment vertical="center"/>
    </xf>
    <xf numFmtId="164" fontId="0" fillId="21" borderId="64" xfId="19" applyNumberFormat="1" applyFont="1" applyFill="1" applyBorder="1" applyAlignment="1">
      <alignment vertical="center"/>
    </xf>
    <xf numFmtId="164" fontId="0" fillId="28" borderId="38" xfId="19" applyNumberFormat="1" applyFont="1" applyFill="1" applyBorder="1" applyAlignment="1">
      <alignment vertical="center"/>
    </xf>
    <xf numFmtId="166" fontId="0" fillId="21" borderId="14" xfId="19" applyNumberFormat="1" applyFont="1" applyFill="1" applyBorder="1" applyAlignment="1">
      <alignment vertical="center"/>
    </xf>
    <xf numFmtId="166" fontId="0" fillId="21" borderId="64" xfId="19" applyNumberFormat="1" applyFont="1" applyFill="1" applyBorder="1" applyAlignment="1">
      <alignment vertical="center"/>
    </xf>
    <xf numFmtId="168" fontId="0" fillId="21" borderId="15" xfId="20" applyFont="1" applyFill="1" applyBorder="1" applyAlignment="1">
      <alignment vertical="center"/>
    </xf>
    <xf numFmtId="168" fontId="0" fillId="21" borderId="15" xfId="20" applyFont="1" applyFill="1" applyBorder="1" applyAlignment="1">
      <alignment horizontal="right" vertical="center"/>
    </xf>
    <xf numFmtId="168" fontId="0" fillId="21" borderId="0" xfId="20" applyFont="1" applyFill="1" applyBorder="1" applyAlignment="1">
      <alignment horizontal="right" vertical="center"/>
    </xf>
    <xf numFmtId="168" fontId="0" fillId="21" borderId="16" xfId="20" applyFont="1" applyFill="1" applyBorder="1" applyAlignment="1">
      <alignment horizontal="right" vertical="center"/>
    </xf>
    <xf numFmtId="168" fontId="0" fillId="21" borderId="13" xfId="20" applyFont="1" applyFill="1" applyBorder="1" applyAlignment="1">
      <alignment horizontal="right" vertical="center"/>
    </xf>
    <xf numFmtId="168" fontId="0" fillId="21" borderId="14" xfId="20" applyFont="1" applyFill="1" applyBorder="1" applyAlignment="1">
      <alignment vertical="center"/>
    </xf>
    <xf numFmtId="168" fontId="0" fillId="21" borderId="20" xfId="20" applyFont="1" applyFill="1" applyBorder="1" applyAlignment="1">
      <alignment vertical="center"/>
    </xf>
    <xf numFmtId="164" fontId="32" fillId="0" borderId="0" xfId="19" applyFont="1" applyFill="1" applyBorder="1" applyAlignment="1">
      <alignment horizontal="right" vertical="center"/>
    </xf>
    <xf numFmtId="164" fontId="0" fillId="0" borderId="0" xfId="19" applyNumberFormat="1" applyFont="1" applyFill="1" applyBorder="1" applyAlignment="1">
      <alignment vertical="center"/>
    </xf>
    <xf numFmtId="164" fontId="0" fillId="0" borderId="9" xfId="19" applyNumberFormat="1" applyFont="1" applyFill="1" applyBorder="1" applyAlignment="1">
      <alignment vertical="center"/>
    </xf>
    <xf numFmtId="164" fontId="0" fillId="0" borderId="274" xfId="0" applyNumberFormat="1" applyFill="1" applyBorder="1"/>
    <xf numFmtId="164" fontId="32" fillId="0" borderId="22" xfId="19" applyFont="1" applyFill="1" applyBorder="1" applyAlignment="1">
      <alignment horizontal="right" vertical="center"/>
    </xf>
    <xf numFmtId="164" fontId="0" fillId="0" borderId="15" xfId="20" applyNumberFormat="1" applyFont="1" applyFill="1" applyBorder="1" applyAlignment="1">
      <alignment vertical="center"/>
    </xf>
    <xf numFmtId="164" fontId="0" fillId="0" borderId="274" xfId="0" applyNumberFormat="1" applyBorder="1"/>
    <xf numFmtId="164" fontId="0" fillId="0" borderId="25" xfId="20" applyNumberFormat="1" applyFont="1" applyFill="1" applyBorder="1" applyAlignment="1">
      <alignment vertical="center"/>
    </xf>
    <xf numFmtId="164" fontId="0" fillId="0" borderId="22" xfId="19" applyNumberFormat="1" applyFont="1" applyFill="1" applyBorder="1" applyAlignment="1">
      <alignment vertical="center"/>
    </xf>
    <xf numFmtId="164" fontId="0" fillId="0" borderId="15" xfId="19" applyNumberFormat="1" applyFont="1" applyFill="1" applyBorder="1" applyAlignment="1">
      <alignment vertical="center"/>
    </xf>
    <xf numFmtId="168" fontId="0" fillId="0" borderId="0" xfId="20" applyFont="1" applyFill="1" applyBorder="1" applyAlignment="1">
      <alignment vertical="center"/>
    </xf>
    <xf numFmtId="168" fontId="0" fillId="0" borderId="22" xfId="20" applyFont="1" applyFill="1" applyBorder="1" applyAlignment="1">
      <alignment vertical="center"/>
    </xf>
    <xf numFmtId="168" fontId="0" fillId="0" borderId="15" xfId="20" applyFont="1" applyFill="1" applyBorder="1" applyAlignment="1">
      <alignment vertical="center"/>
    </xf>
    <xf numFmtId="168" fontId="0" fillId="0" borderId="11" xfId="20" applyFont="1" applyBorder="1"/>
    <xf numFmtId="168" fontId="0" fillId="0" borderId="274" xfId="20" applyFont="1" applyBorder="1"/>
    <xf numFmtId="0" fontId="0" fillId="18" borderId="0" xfId="0" applyFont="1" applyFill="1" applyAlignment="1">
      <alignment vertical="center"/>
    </xf>
    <xf numFmtId="0" fontId="0" fillId="18" borderId="0" xfId="0" applyFill="1"/>
    <xf numFmtId="164" fontId="24" fillId="27" borderId="0" xfId="19" applyFill="1" applyBorder="1" applyAlignment="1">
      <alignment vertical="center"/>
    </xf>
    <xf numFmtId="168" fontId="24" fillId="27" borderId="0" xfId="20" applyFont="1" applyFill="1" applyBorder="1" applyAlignment="1">
      <alignment vertical="center"/>
    </xf>
    <xf numFmtId="164" fontId="24" fillId="27" borderId="0" xfId="19" applyFont="1" applyFill="1" applyBorder="1" applyAlignment="1">
      <alignment vertical="center"/>
    </xf>
    <xf numFmtId="0" fontId="0" fillId="0" borderId="10" xfId="0" applyFont="1" applyBorder="1" applyAlignment="1">
      <alignment horizontal="left"/>
    </xf>
    <xf numFmtId="0" fontId="0" fillId="0" borderId="0" xfId="0"/>
    <xf numFmtId="40" fontId="89" fillId="19" borderId="152" xfId="11" applyNumberFormat="1" applyFont="1" applyFill="1" applyBorder="1" applyAlignment="1">
      <alignment horizontal="center"/>
    </xf>
    <xf numFmtId="164" fontId="32" fillId="18" borderId="13" xfId="19" applyFont="1" applyFill="1" applyBorder="1" applyAlignment="1">
      <alignment vertical="center"/>
    </xf>
    <xf numFmtId="0" fontId="0" fillId="21" borderId="10" xfId="0" applyNumberFormat="1" applyFill="1" applyBorder="1" applyAlignment="1">
      <alignment horizontal="right"/>
    </xf>
    <xf numFmtId="0" fontId="0" fillId="21" borderId="13" xfId="0" applyNumberFormat="1" applyFill="1" applyBorder="1" applyAlignment="1">
      <alignment horizontal="right"/>
    </xf>
    <xf numFmtId="165" fontId="0" fillId="0" borderId="0" xfId="19" applyNumberFormat="1" applyFont="1" applyFill="1" applyBorder="1"/>
    <xf numFmtId="165" fontId="0" fillId="21" borderId="10" xfId="19" applyNumberFormat="1" applyFont="1" applyFill="1" applyBorder="1" applyAlignment="1">
      <alignment vertical="center"/>
    </xf>
    <xf numFmtId="165" fontId="0" fillId="21" borderId="13" xfId="19" applyNumberFormat="1" applyFont="1" applyFill="1" applyBorder="1"/>
    <xf numFmtId="165" fontId="32" fillId="21" borderId="0" xfId="19" applyNumberFormat="1" applyFont="1" applyFill="1" applyBorder="1" applyAlignment="1">
      <alignment vertical="center"/>
    </xf>
    <xf numFmtId="179" fontId="0" fillId="21" borderId="10" xfId="19" applyNumberFormat="1" applyFont="1" applyFill="1" applyBorder="1"/>
    <xf numFmtId="179" fontId="32" fillId="21" borderId="10" xfId="19" applyNumberFormat="1" applyFont="1" applyFill="1" applyBorder="1" applyAlignment="1">
      <alignment horizontal="right" vertical="center"/>
    </xf>
    <xf numFmtId="165" fontId="32" fillId="0" borderId="0" xfId="19" applyNumberFormat="1" applyFont="1" applyFill="1" applyBorder="1" applyAlignment="1">
      <alignment vertical="center"/>
    </xf>
    <xf numFmtId="179" fontId="0" fillId="21" borderId="0" xfId="19" applyNumberFormat="1" applyFont="1" applyFill="1" applyBorder="1"/>
    <xf numFmtId="1" fontId="13" fillId="0" borderId="0" xfId="0" applyNumberFormat="1" applyFont="1" applyFill="1" applyBorder="1" applyAlignment="1">
      <alignment vertical="center"/>
    </xf>
    <xf numFmtId="180" fontId="0" fillId="21" borderId="13" xfId="19" applyNumberFormat="1" applyFont="1" applyFill="1" applyBorder="1"/>
    <xf numFmtId="179" fontId="0" fillId="0" borderId="0" xfId="19" applyNumberFormat="1" applyFont="1" applyFill="1" applyBorder="1"/>
    <xf numFmtId="179" fontId="32" fillId="0" borderId="0" xfId="19" applyNumberFormat="1" applyFont="1" applyFill="1" applyBorder="1" applyAlignment="1">
      <alignment horizontal="right" vertical="center"/>
    </xf>
    <xf numFmtId="165" fontId="0" fillId="21" borderId="0" xfId="19" applyNumberFormat="1" applyFont="1" applyFill="1" applyBorder="1" applyAlignment="1">
      <alignment horizontal="center" vertical="center"/>
    </xf>
    <xf numFmtId="180" fontId="0" fillId="0" borderId="0" xfId="19" applyNumberFormat="1" applyFont="1" applyFill="1" applyBorder="1"/>
    <xf numFmtId="180" fontId="32" fillId="0" borderId="0" xfId="19" applyNumberFormat="1" applyFont="1" applyFill="1" applyBorder="1" applyAlignment="1">
      <alignment horizontal="right" vertical="center"/>
    </xf>
    <xf numFmtId="165" fontId="0" fillId="21" borderId="10" xfId="19" applyNumberFormat="1" applyFont="1" applyFill="1" applyBorder="1"/>
    <xf numFmtId="165" fontId="32" fillId="21" borderId="10" xfId="19" applyNumberFormat="1" applyFont="1" applyFill="1" applyBorder="1" applyAlignment="1">
      <alignment horizontal="right" vertical="center"/>
    </xf>
    <xf numFmtId="165" fontId="0" fillId="21" borderId="0" xfId="19" applyNumberFormat="1" applyFont="1" applyFill="1" applyBorder="1"/>
    <xf numFmtId="165" fontId="32" fillId="21" borderId="13" xfId="19" applyNumberFormat="1" applyFont="1" applyFill="1" applyBorder="1" applyAlignment="1">
      <alignment horizontal="right" vertical="center"/>
    </xf>
    <xf numFmtId="1" fontId="0" fillId="21" borderId="10" xfId="19" applyNumberFormat="1" applyFont="1" applyFill="1" applyBorder="1"/>
    <xf numFmtId="1" fontId="32" fillId="21" borderId="10" xfId="19" applyNumberFormat="1" applyFont="1" applyFill="1" applyBorder="1" applyAlignment="1">
      <alignment horizontal="right" vertical="center"/>
    </xf>
    <xf numFmtId="1" fontId="0" fillId="21" borderId="13" xfId="19" applyNumberFormat="1" applyFont="1" applyFill="1" applyBorder="1"/>
    <xf numFmtId="1" fontId="32" fillId="21" borderId="13" xfId="19" applyNumberFormat="1" applyFont="1" applyFill="1" applyBorder="1" applyAlignment="1">
      <alignment horizontal="right" vertical="center"/>
    </xf>
    <xf numFmtId="165" fontId="0" fillId="21" borderId="0" xfId="19" applyNumberFormat="1" applyFont="1" applyFill="1" applyBorder="1" applyAlignment="1">
      <alignment horizontal="right" vertical="center"/>
    </xf>
    <xf numFmtId="0" fontId="6" fillId="21" borderId="0" xfId="6" applyFill="1" applyAlignment="1" applyProtection="1">
      <alignment vertical="center"/>
    </xf>
    <xf numFmtId="170" fontId="0" fillId="0" borderId="0" xfId="20" applyNumberFormat="1" applyFont="1"/>
    <xf numFmtId="170" fontId="24" fillId="0" borderId="0" xfId="20" applyNumberFormat="1" applyFont="1"/>
    <xf numFmtId="165" fontId="0" fillId="27" borderId="0" xfId="19" applyNumberFormat="1" applyFont="1" applyFill="1" applyAlignment="1">
      <alignment vertical="center"/>
    </xf>
    <xf numFmtId="0" fontId="0" fillId="0" borderId="0" xfId="0" applyNumberFormat="1"/>
    <xf numFmtId="165" fontId="0" fillId="18" borderId="13" xfId="1" applyNumberFormat="1" applyFont="1" applyFill="1" applyBorder="1" applyAlignment="1">
      <alignment vertical="center"/>
    </xf>
    <xf numFmtId="0" fontId="0" fillId="0" borderId="0" xfId="0"/>
    <xf numFmtId="38" fontId="89" fillId="33" borderId="183" xfId="11" applyNumberFormat="1" applyFont="1" applyFill="1" applyBorder="1" applyAlignment="1">
      <alignment horizontal="center"/>
    </xf>
    <xf numFmtId="38" fontId="89" fillId="33" borderId="150" xfId="11" applyNumberFormat="1" applyFont="1" applyFill="1" applyBorder="1" applyAlignment="1">
      <alignment horizontal="center"/>
    </xf>
    <xf numFmtId="164" fontId="13" fillId="18" borderId="0" xfId="19" applyFont="1" applyFill="1" applyBorder="1" applyAlignment="1">
      <alignment horizontal="right" vertical="center"/>
    </xf>
    <xf numFmtId="164" fontId="0" fillId="18" borderId="0" xfId="19" applyNumberFormat="1" applyFont="1" applyFill="1" applyBorder="1" applyAlignment="1">
      <alignment horizontal="right" vertical="center"/>
    </xf>
    <xf numFmtId="164" fontId="32" fillId="18" borderId="0" xfId="19" applyFont="1" applyFill="1" applyBorder="1" applyAlignment="1">
      <alignment horizontal="right" vertical="center"/>
    </xf>
    <xf numFmtId="165" fontId="0" fillId="18" borderId="57" xfId="19" applyNumberFormat="1" applyFont="1" applyFill="1" applyBorder="1"/>
    <xf numFmtId="165" fontId="32" fillId="21" borderId="21" xfId="19" applyNumberFormat="1" applyFont="1" applyFill="1" applyBorder="1" applyAlignment="1">
      <alignment horizontal="right" vertical="center"/>
    </xf>
    <xf numFmtId="165" fontId="32" fillId="21" borderId="23" xfId="19" applyNumberFormat="1" applyFont="1" applyFill="1" applyBorder="1" applyAlignment="1">
      <alignment horizontal="right" vertical="center"/>
    </xf>
    <xf numFmtId="165" fontId="32" fillId="21" borderId="24" xfId="19" applyNumberFormat="1" applyFont="1" applyFill="1" applyBorder="1" applyAlignment="1">
      <alignment horizontal="right" vertical="center"/>
    </xf>
    <xf numFmtId="9" fontId="32" fillId="21" borderId="0" xfId="0" applyNumberFormat="1" applyFont="1" applyFill="1" applyBorder="1" applyAlignment="1">
      <alignment horizontal="right" vertical="center"/>
    </xf>
    <xf numFmtId="0" fontId="0" fillId="21" borderId="11" xfId="0" applyFont="1" applyFill="1" applyBorder="1" applyAlignment="1">
      <alignment horizontal="right"/>
    </xf>
    <xf numFmtId="0" fontId="0" fillId="0" borderId="0" xfId="33" applyFont="1" applyFill="1" applyBorder="1" applyAlignment="1">
      <alignment horizontal="left" vertical="center" indent="1"/>
    </xf>
    <xf numFmtId="0" fontId="9" fillId="0" borderId="0" xfId="33" applyFont="1" applyFill="1" applyBorder="1" applyAlignment="1">
      <alignment vertical="center"/>
    </xf>
    <xf numFmtId="0" fontId="0" fillId="0" borderId="0" xfId="33" applyFont="1" applyFill="1" applyBorder="1" applyAlignment="1">
      <alignment vertical="center"/>
    </xf>
    <xf numFmtId="165" fontId="0" fillId="21" borderId="10" xfId="19" applyNumberFormat="1" applyFont="1" applyFill="1" applyBorder="1" applyAlignment="1">
      <alignment horizontal="right" vertical="center"/>
    </xf>
    <xf numFmtId="165" fontId="0" fillId="21" borderId="13" xfId="19" applyNumberFormat="1" applyFont="1" applyFill="1" applyBorder="1" applyAlignment="1">
      <alignment horizontal="right" vertical="center"/>
    </xf>
    <xf numFmtId="0" fontId="0" fillId="0" borderId="0" xfId="33" applyFont="1" applyFill="1" applyBorder="1"/>
    <xf numFmtId="165" fontId="0" fillId="0" borderId="0" xfId="19" applyNumberFormat="1" applyFont="1" applyFill="1" applyBorder="1" applyAlignment="1">
      <alignment horizontal="right" vertical="center"/>
    </xf>
    <xf numFmtId="0" fontId="0" fillId="0" borderId="0" xfId="0" applyNumberFormat="1" applyFont="1" applyFill="1" applyBorder="1" applyAlignment="1">
      <alignment vertical="center"/>
    </xf>
    <xf numFmtId="0" fontId="0" fillId="0" borderId="0" xfId="0" applyFont="1" applyFill="1" applyBorder="1" applyAlignment="1">
      <alignment horizontal="left"/>
    </xf>
    <xf numFmtId="166" fontId="32" fillId="15" borderId="0" xfId="19" applyNumberFormat="1" applyFont="1" applyFill="1" applyBorder="1"/>
    <xf numFmtId="0" fontId="0" fillId="0" borderId="0" xfId="0" applyFont="1" applyFill="1" applyBorder="1" applyAlignment="1">
      <alignment horizontal="center" vertical="center"/>
    </xf>
    <xf numFmtId="165" fontId="0" fillId="0" borderId="0" xfId="19" applyNumberFormat="1" applyFont="1" applyFill="1" applyBorder="1" applyAlignment="1">
      <alignment horizontal="center" vertical="center"/>
    </xf>
    <xf numFmtId="165" fontId="0" fillId="0" borderId="0" xfId="19" applyNumberFormat="1" applyFont="1" applyFill="1" applyBorder="1" applyAlignment="1">
      <alignment horizontal="center"/>
    </xf>
    <xf numFmtId="2" fontId="0" fillId="21" borderId="10" xfId="19" applyNumberFormat="1" applyFont="1" applyFill="1" applyBorder="1" applyAlignment="1">
      <alignment horizontal="right" vertical="center"/>
    </xf>
    <xf numFmtId="2" fontId="32" fillId="21" borderId="10" xfId="19" applyNumberFormat="1" applyFont="1" applyFill="1" applyBorder="1" applyAlignment="1">
      <alignment horizontal="right" vertical="center"/>
    </xf>
    <xf numFmtId="2" fontId="0" fillId="21" borderId="0" xfId="19" applyNumberFormat="1" applyFont="1" applyFill="1" applyBorder="1"/>
    <xf numFmtId="2" fontId="32" fillId="21" borderId="0" xfId="19" applyNumberFormat="1" applyFont="1" applyFill="1" applyBorder="1" applyAlignment="1">
      <alignment horizontal="right" vertical="center"/>
    </xf>
    <xf numFmtId="2" fontId="0" fillId="21" borderId="13" xfId="19" applyNumberFormat="1" applyFont="1" applyFill="1" applyBorder="1" applyAlignment="1">
      <alignment horizontal="right" vertical="center"/>
    </xf>
    <xf numFmtId="2" fontId="32" fillId="21" borderId="13" xfId="19" applyNumberFormat="1" applyFont="1" applyFill="1" applyBorder="1" applyAlignment="1">
      <alignment horizontal="right" vertical="center"/>
    </xf>
    <xf numFmtId="0" fontId="9" fillId="15" borderId="0" xfId="33" applyFont="1" applyBorder="1" applyAlignment="1">
      <alignment vertical="center"/>
    </xf>
    <xf numFmtId="165" fontId="9" fillId="21" borderId="0" xfId="19" applyNumberFormat="1" applyFont="1" applyFill="1" applyBorder="1" applyAlignment="1">
      <alignment horizontal="right" vertical="center"/>
    </xf>
    <xf numFmtId="166" fontId="32" fillId="15" borderId="0" xfId="19" applyNumberFormat="1" applyFont="1" applyFill="1" applyBorder="1" applyAlignment="1">
      <alignment horizontal="right"/>
    </xf>
    <xf numFmtId="0" fontId="0" fillId="21" borderId="0" xfId="0" applyFill="1" applyAlignment="1">
      <alignment horizontal="right"/>
    </xf>
    <xf numFmtId="0" fontId="9" fillId="15" borderId="10" xfId="33" applyFont="1" applyBorder="1" applyAlignment="1">
      <alignment vertical="center"/>
    </xf>
    <xf numFmtId="165" fontId="32" fillId="21" borderId="10" xfId="19" applyNumberFormat="1" applyFont="1" applyFill="1" applyBorder="1" applyAlignment="1">
      <alignment vertical="center"/>
    </xf>
    <xf numFmtId="165" fontId="0" fillId="21" borderId="13" xfId="19" applyNumberFormat="1" applyFont="1" applyFill="1" applyBorder="1" applyAlignment="1"/>
    <xf numFmtId="165" fontId="32" fillId="21" borderId="13" xfId="19" applyNumberFormat="1" applyFont="1" applyFill="1" applyBorder="1" applyAlignment="1">
      <alignment vertical="center"/>
    </xf>
    <xf numFmtId="164" fontId="0" fillId="21" borderId="57" xfId="19" applyFont="1" applyFill="1" applyBorder="1" applyAlignment="1">
      <alignment vertical="center"/>
    </xf>
    <xf numFmtId="165" fontId="0" fillId="21" borderId="57" xfId="19" applyNumberFormat="1" applyFont="1" applyFill="1" applyBorder="1" applyAlignment="1">
      <alignment vertical="center"/>
    </xf>
    <xf numFmtId="164" fontId="0" fillId="27" borderId="0" xfId="19" applyFont="1" applyFill="1" applyBorder="1" applyAlignment="1">
      <alignment vertical="center"/>
    </xf>
    <xf numFmtId="0" fontId="26" fillId="0" borderId="6" xfId="0" applyFont="1" applyFill="1" applyBorder="1"/>
    <xf numFmtId="165" fontId="0" fillId="27" borderId="0" xfId="0" applyNumberFormat="1" applyFill="1"/>
    <xf numFmtId="197" fontId="89" fillId="33" borderId="149" xfId="11" applyNumberFormat="1" applyFont="1" applyFill="1" applyBorder="1" applyAlignment="1">
      <alignment horizontal="center"/>
    </xf>
    <xf numFmtId="164" fontId="17" fillId="24" borderId="38" xfId="19" applyFont="1" applyFill="1" applyBorder="1" applyAlignment="1">
      <alignment vertical="center"/>
    </xf>
    <xf numFmtId="164" fontId="17" fillId="24" borderId="39" xfId="19" applyFont="1" applyFill="1" applyBorder="1" applyAlignment="1">
      <alignment vertical="center"/>
    </xf>
    <xf numFmtId="164" fontId="17" fillId="24" borderId="41" xfId="19" applyFont="1" applyFill="1" applyBorder="1" applyAlignment="1">
      <alignment vertical="center"/>
    </xf>
    <xf numFmtId="164" fontId="11" fillId="24" borderId="38" xfId="19" applyFont="1" applyFill="1" applyBorder="1" applyAlignment="1">
      <alignment vertical="center"/>
    </xf>
    <xf numFmtId="164" fontId="25" fillId="24" borderId="44" xfId="19" applyFont="1" applyFill="1" applyBorder="1" applyAlignment="1">
      <alignment vertical="center"/>
    </xf>
    <xf numFmtId="164" fontId="40" fillId="24" borderId="38" xfId="19" applyFont="1" applyFill="1" applyBorder="1" applyAlignment="1">
      <alignment vertical="center"/>
    </xf>
    <xf numFmtId="164" fontId="17" fillId="24" borderId="40" xfId="19" applyFont="1" applyFill="1" applyBorder="1" applyAlignment="1">
      <alignment vertical="center"/>
    </xf>
    <xf numFmtId="164" fontId="45" fillId="24" borderId="38" xfId="19" applyFont="1" applyFill="1" applyBorder="1" applyAlignment="1">
      <alignment vertical="center"/>
    </xf>
    <xf numFmtId="164" fontId="17" fillId="24" borderId="37" xfId="19" applyFont="1" applyFill="1" applyBorder="1" applyAlignment="1">
      <alignment vertical="center"/>
    </xf>
    <xf numFmtId="164" fontId="40" fillId="24" borderId="47" xfId="19" applyFont="1" applyFill="1" applyBorder="1" applyAlignment="1">
      <alignment vertical="center"/>
    </xf>
    <xf numFmtId="164" fontId="11" fillId="24" borderId="39" xfId="19" applyFont="1" applyFill="1" applyBorder="1" applyAlignment="1">
      <alignment vertical="center"/>
    </xf>
    <xf numFmtId="164" fontId="42" fillId="24" borderId="38" xfId="19" applyFont="1" applyFill="1" applyBorder="1" applyAlignment="1">
      <alignment vertical="center"/>
    </xf>
    <xf numFmtId="164" fontId="42" fillId="24" borderId="39" xfId="19" applyFont="1" applyFill="1" applyBorder="1" applyAlignment="1">
      <alignment vertical="center"/>
    </xf>
    <xf numFmtId="164" fontId="42" fillId="24" borderId="41" xfId="19" applyFont="1" applyFill="1" applyBorder="1" applyAlignment="1">
      <alignment vertical="center"/>
    </xf>
    <xf numFmtId="164" fontId="17" fillId="24" borderId="42" xfId="19" applyFont="1" applyFill="1" applyBorder="1" applyAlignment="1">
      <alignment vertical="center"/>
    </xf>
    <xf numFmtId="164" fontId="42" fillId="24" borderId="40" xfId="19" applyFont="1" applyFill="1" applyBorder="1" applyAlignment="1">
      <alignment vertical="center"/>
    </xf>
    <xf numFmtId="164" fontId="42" fillId="24" borderId="37" xfId="19" applyFont="1" applyFill="1" applyBorder="1" applyAlignment="1">
      <alignment vertical="center"/>
    </xf>
    <xf numFmtId="164" fontId="11" fillId="0" borderId="0" xfId="19" applyFont="1" applyFill="1" applyBorder="1" applyAlignment="1">
      <alignment vertical="center"/>
    </xf>
    <xf numFmtId="164" fontId="25" fillId="0" borderId="0" xfId="19" applyFont="1" applyFill="1" applyBorder="1" applyAlignment="1">
      <alignment vertical="center"/>
    </xf>
    <xf numFmtId="164" fontId="40" fillId="0" borderId="0" xfId="19" applyFont="1" applyFill="1" applyBorder="1" applyAlignment="1">
      <alignment vertical="center"/>
    </xf>
    <xf numFmtId="40" fontId="88" fillId="33" borderId="141" xfId="11" applyNumberFormat="1" applyFont="1" applyFill="1" applyBorder="1" applyAlignment="1">
      <alignment horizontal="center"/>
    </xf>
    <xf numFmtId="40" fontId="88" fillId="0" borderId="165" xfId="11" applyNumberFormat="1" applyFont="1" applyFill="1" applyBorder="1" applyAlignment="1">
      <alignment horizontal="center"/>
    </xf>
    <xf numFmtId="0" fontId="0" fillId="0" borderId="0" xfId="0"/>
    <xf numFmtId="197" fontId="89" fillId="19" borderId="204" xfId="11" applyNumberFormat="1" applyFont="1" applyFill="1" applyBorder="1" applyAlignment="1">
      <alignment horizontal="center"/>
    </xf>
    <xf numFmtId="197" fontId="89" fillId="19" borderId="187" xfId="11" applyNumberFormat="1" applyFont="1" applyFill="1" applyBorder="1" applyAlignment="1">
      <alignment horizontal="center"/>
    </xf>
    <xf numFmtId="197" fontId="89" fillId="19" borderId="152" xfId="11" applyNumberFormat="1" applyFont="1" applyFill="1" applyBorder="1" applyAlignment="1">
      <alignment horizontal="center"/>
    </xf>
    <xf numFmtId="164" fontId="0" fillId="21" borderId="0" xfId="19" applyNumberFormat="1" applyFont="1" applyFill="1" applyBorder="1" applyAlignment="1">
      <alignment horizontal="right" vertical="center"/>
    </xf>
    <xf numFmtId="164" fontId="66" fillId="21" borderId="0" xfId="19" applyFont="1" applyFill="1" applyBorder="1" applyAlignment="1">
      <alignment vertical="center"/>
    </xf>
    <xf numFmtId="164" fontId="66" fillId="21" borderId="0" xfId="19" applyFont="1" applyFill="1" applyBorder="1" applyAlignment="1">
      <alignment horizontal="right" vertical="center"/>
    </xf>
    <xf numFmtId="164" fontId="66" fillId="21" borderId="9" xfId="19" applyFont="1" applyFill="1" applyBorder="1" applyAlignment="1">
      <alignment horizontal="right" vertical="center"/>
    </xf>
    <xf numFmtId="0" fontId="25" fillId="21" borderId="0" xfId="8" applyNumberFormat="1" applyFont="1" applyFill="1" applyBorder="1" applyAlignment="1">
      <alignment horizontal="right"/>
    </xf>
    <xf numFmtId="0" fontId="11" fillId="21" borderId="6" xfId="8" applyNumberFormat="1" applyFont="1" applyFill="1" applyBorder="1"/>
    <xf numFmtId="0" fontId="11" fillId="0" borderId="0" xfId="8" applyNumberFormat="1" applyFont="1" applyFill="1" applyBorder="1"/>
    <xf numFmtId="0" fontId="11" fillId="0" borderId="0" xfId="8" applyNumberFormat="1" applyFont="1"/>
    <xf numFmtId="165" fontId="0" fillId="0" borderId="0" xfId="19" applyNumberFormat="1" applyFont="1" applyFill="1" applyBorder="1" applyAlignment="1">
      <alignment horizontal="right"/>
    </xf>
    <xf numFmtId="179" fontId="0" fillId="21" borderId="0" xfId="19" applyNumberFormat="1" applyFont="1" applyFill="1" applyBorder="1" applyAlignment="1">
      <alignment horizontal="right"/>
    </xf>
    <xf numFmtId="179" fontId="32" fillId="21" borderId="0" xfId="19" applyNumberFormat="1" applyFont="1" applyFill="1" applyBorder="1" applyAlignment="1">
      <alignment horizontal="right" vertical="center"/>
    </xf>
    <xf numFmtId="179" fontId="0" fillId="21" borderId="13" xfId="19" applyNumberFormat="1" applyFont="1" applyFill="1" applyBorder="1" applyAlignment="1">
      <alignment horizontal="right"/>
    </xf>
    <xf numFmtId="179" fontId="32" fillId="21" borderId="13" xfId="19" applyNumberFormat="1" applyFont="1" applyFill="1" applyBorder="1" applyAlignment="1">
      <alignment horizontal="right" vertical="center"/>
    </xf>
    <xf numFmtId="0" fontId="140" fillId="0" borderId="0" xfId="0" applyFont="1" applyFill="1" applyBorder="1"/>
    <xf numFmtId="0" fontId="6" fillId="0" borderId="0" xfId="6" applyFill="1" applyBorder="1" applyAlignment="1" applyProtection="1">
      <alignment vertical="center"/>
    </xf>
    <xf numFmtId="164" fontId="13" fillId="24" borderId="0" xfId="0" applyNumberFormat="1" applyFont="1" applyFill="1" applyBorder="1" applyAlignment="1">
      <alignment vertical="center"/>
    </xf>
    <xf numFmtId="165" fontId="24" fillId="27" borderId="0" xfId="19" applyNumberFormat="1" applyFont="1" applyFill="1" applyBorder="1" applyAlignment="1">
      <alignment vertical="center"/>
    </xf>
    <xf numFmtId="0" fontId="0" fillId="27" borderId="13" xfId="0" applyNumberFormat="1" applyFont="1" applyFill="1" applyBorder="1" applyAlignment="1">
      <alignment vertical="center"/>
    </xf>
    <xf numFmtId="165" fontId="24" fillId="27" borderId="13" xfId="19" applyNumberFormat="1" applyFont="1" applyFill="1" applyBorder="1" applyAlignment="1">
      <alignment vertical="center"/>
    </xf>
    <xf numFmtId="0" fontId="141" fillId="24" borderId="0" xfId="0" applyFont="1" applyFill="1" applyAlignment="1">
      <alignment vertical="center"/>
    </xf>
    <xf numFmtId="164" fontId="142" fillId="24" borderId="0" xfId="0" applyNumberFormat="1" applyFont="1" applyFill="1" applyAlignment="1">
      <alignment vertical="center"/>
    </xf>
    <xf numFmtId="0" fontId="141" fillId="24" borderId="0" xfId="0" applyNumberFormat="1" applyFont="1" applyFill="1" applyAlignment="1">
      <alignment vertical="center"/>
    </xf>
    <xf numFmtId="165" fontId="141" fillId="24" borderId="0" xfId="0" applyNumberFormat="1" applyFont="1" applyFill="1" applyAlignment="1">
      <alignment vertical="center"/>
    </xf>
    <xf numFmtId="164" fontId="0" fillId="21" borderId="9" xfId="19" applyFont="1" applyFill="1" applyBorder="1" applyAlignment="1">
      <alignment horizontal="right" vertical="center"/>
    </xf>
    <xf numFmtId="168" fontId="0" fillId="21" borderId="60" xfId="20" applyFont="1" applyFill="1" applyBorder="1" applyAlignment="1">
      <alignment vertical="center"/>
    </xf>
    <xf numFmtId="168" fontId="66" fillId="21" borderId="57" xfId="20" applyFont="1" applyFill="1" applyBorder="1" applyAlignment="1">
      <alignment vertical="center"/>
    </xf>
    <xf numFmtId="168" fontId="0" fillId="21" borderId="57" xfId="20" applyFont="1" applyFill="1" applyBorder="1" applyAlignment="1">
      <alignment vertical="center"/>
    </xf>
    <xf numFmtId="165" fontId="32" fillId="0" borderId="0" xfId="19" applyNumberFormat="1" applyFont="1" applyFill="1" applyBorder="1" applyAlignment="1">
      <alignment horizontal="right" vertical="center"/>
    </xf>
    <xf numFmtId="166" fontId="32" fillId="0" borderId="0" xfId="19" applyNumberFormat="1" applyFont="1" applyFill="1" applyBorder="1"/>
    <xf numFmtId="169" fontId="0" fillId="0" borderId="0" xfId="19" applyNumberFormat="1" applyFont="1"/>
    <xf numFmtId="168" fontId="24" fillId="0" borderId="0" xfId="20" applyFont="1"/>
    <xf numFmtId="0" fontId="9" fillId="0" borderId="0" xfId="33" applyFont="1" applyFill="1" applyBorder="1" applyAlignment="1">
      <alignment horizontal="center" vertical="center"/>
    </xf>
    <xf numFmtId="0" fontId="0" fillId="0" borderId="0" xfId="33" applyFont="1" applyFill="1" applyBorder="1" applyAlignment="1">
      <alignment horizontal="center" vertical="center"/>
    </xf>
    <xf numFmtId="0" fontId="9" fillId="0" borderId="0" xfId="33" applyFont="1" applyFill="1" applyBorder="1" applyAlignment="1"/>
    <xf numFmtId="0" fontId="0" fillId="0" borderId="0" xfId="33" applyFont="1" applyFill="1" applyBorder="1" applyAlignment="1"/>
    <xf numFmtId="165" fontId="0" fillId="0" borderId="0" xfId="19" applyNumberFormat="1" applyFont="1" applyFill="1" applyBorder="1" applyAlignment="1"/>
    <xf numFmtId="165" fontId="0" fillId="0" borderId="0" xfId="33" applyNumberFormat="1" applyFont="1" applyFill="1" applyBorder="1"/>
    <xf numFmtId="165" fontId="9" fillId="0" borderId="0" xfId="33" applyNumberFormat="1" applyFont="1" applyFill="1" applyBorder="1"/>
    <xf numFmtId="0" fontId="0" fillId="0" borderId="0" xfId="0" applyNumberFormat="1" applyFont="1" applyFill="1" applyBorder="1" applyAlignment="1">
      <alignment horizontal="center" vertical="center"/>
    </xf>
    <xf numFmtId="1" fontId="0" fillId="0" borderId="0" xfId="0" applyNumberFormat="1" applyFont="1" applyFill="1" applyBorder="1" applyAlignment="1">
      <alignment horizontal="left"/>
    </xf>
    <xf numFmtId="165" fontId="0" fillId="0" borderId="0" xfId="0" applyNumberFormat="1" applyFont="1" applyFill="1" applyBorder="1"/>
    <xf numFmtId="166" fontId="0" fillId="0" borderId="0" xfId="19" applyNumberFormat="1" applyFont="1" applyFill="1" applyBorder="1"/>
    <xf numFmtId="0" fontId="21" fillId="0" borderId="0" xfId="6" applyFont="1" applyFill="1" applyBorder="1" applyAlignment="1" applyProtection="1"/>
    <xf numFmtId="40" fontId="88" fillId="19" borderId="165" xfId="11" applyNumberFormat="1" applyFont="1" applyFill="1" applyBorder="1" applyAlignment="1">
      <alignment horizontal="center"/>
    </xf>
    <xf numFmtId="40" fontId="89" fillId="19" borderId="207" xfId="11" applyNumberFormat="1" applyFont="1" applyFill="1" applyBorder="1" applyAlignment="1">
      <alignment horizontal="center"/>
    </xf>
    <xf numFmtId="40" fontId="88" fillId="19" borderId="161" xfId="11" applyNumberFormat="1" applyFont="1" applyFill="1" applyBorder="1" applyAlignment="1">
      <alignment horizontal="center"/>
    </xf>
    <xf numFmtId="40" fontId="88" fillId="0" borderId="225" xfId="11" applyNumberFormat="1" applyFont="1" applyFill="1" applyBorder="1" applyAlignment="1">
      <alignment horizontal="center"/>
    </xf>
    <xf numFmtId="40" fontId="89" fillId="0" borderId="179" xfId="11" applyNumberFormat="1" applyFont="1" applyFill="1" applyBorder="1" applyAlignment="1">
      <alignment horizontal="center"/>
    </xf>
    <xf numFmtId="40" fontId="89" fillId="0" borderId="144" xfId="11" applyNumberFormat="1" applyFont="1" applyFill="1" applyBorder="1" applyAlignment="1">
      <alignment horizontal="center"/>
    </xf>
    <xf numFmtId="40" fontId="89" fillId="0" borderId="233" xfId="11" applyNumberFormat="1" applyFont="1" applyFill="1" applyBorder="1" applyAlignment="1">
      <alignment horizontal="center"/>
    </xf>
    <xf numFmtId="40" fontId="89" fillId="0" borderId="0" xfId="11" applyNumberFormat="1" applyFont="1" applyFill="1" applyBorder="1" applyAlignment="1">
      <alignment horizontal="center"/>
    </xf>
    <xf numFmtId="40" fontId="89" fillId="0" borderId="189" xfId="11" applyNumberFormat="1" applyFont="1" applyFill="1" applyBorder="1" applyAlignment="1">
      <alignment horizontal="center"/>
    </xf>
    <xf numFmtId="40" fontId="88" fillId="0" borderId="11" xfId="11" applyNumberFormat="1" applyFont="1" applyFill="1" applyBorder="1" applyAlignment="1">
      <alignment horizontal="center"/>
    </xf>
    <xf numFmtId="40" fontId="89" fillId="0" borderId="241" xfId="11" applyNumberFormat="1" applyFont="1" applyFill="1" applyBorder="1" applyAlignment="1">
      <alignment horizontal="center"/>
    </xf>
    <xf numFmtId="40" fontId="88" fillId="0" borderId="202" xfId="11" applyNumberFormat="1" applyFont="1" applyFill="1" applyBorder="1" applyAlignment="1">
      <alignment horizontal="center"/>
    </xf>
    <xf numFmtId="40" fontId="88" fillId="0" borderId="10" xfId="11" applyNumberFormat="1" applyFont="1" applyFill="1" applyBorder="1" applyAlignment="1">
      <alignment horizontal="center"/>
    </xf>
    <xf numFmtId="40" fontId="88" fillId="0" borderId="217" xfId="11" applyNumberFormat="1" applyFont="1" applyFill="1" applyBorder="1" applyAlignment="1">
      <alignment horizontal="center"/>
    </xf>
    <xf numFmtId="164" fontId="20" fillId="0" borderId="0" xfId="1" applyNumberFormat="1" applyFont="1" applyFill="1"/>
    <xf numFmtId="164" fontId="46" fillId="18" borderId="0" xfId="0" applyNumberFormat="1" applyFont="1" applyFill="1"/>
    <xf numFmtId="0" fontId="54" fillId="18" borderId="0" xfId="0" applyFont="1" applyFill="1" applyBorder="1"/>
    <xf numFmtId="164" fontId="0" fillId="24" borderId="0" xfId="0" applyNumberFormat="1" applyFill="1"/>
    <xf numFmtId="0" fontId="0" fillId="24" borderId="122" xfId="0" applyFont="1" applyFill="1" applyBorder="1"/>
    <xf numFmtId="0" fontId="0" fillId="24" borderId="123" xfId="0" applyFont="1" applyFill="1" applyBorder="1"/>
    <xf numFmtId="0" fontId="0" fillId="24" borderId="124" xfId="0" applyFont="1" applyFill="1" applyBorder="1"/>
    <xf numFmtId="0" fontId="0" fillId="24" borderId="125" xfId="0" applyNumberFormat="1" applyFont="1" applyFill="1" applyBorder="1"/>
    <xf numFmtId="0" fontId="0" fillId="24" borderId="125" xfId="0" applyFont="1" applyFill="1" applyBorder="1"/>
    <xf numFmtId="164" fontId="0" fillId="24" borderId="92" xfId="0" applyNumberFormat="1" applyFill="1" applyBorder="1"/>
    <xf numFmtId="164" fontId="0" fillId="24" borderId="91" xfId="0" applyNumberFormat="1" applyFill="1" applyBorder="1"/>
    <xf numFmtId="164" fontId="0" fillId="24" borderId="93" xfId="0" applyNumberFormat="1" applyFill="1" applyBorder="1"/>
    <xf numFmtId="0" fontId="112" fillId="24" borderId="102" xfId="0" applyFont="1" applyFill="1" applyBorder="1"/>
    <xf numFmtId="0" fontId="112" fillId="24" borderId="283" xfId="0" applyFont="1" applyFill="1" applyBorder="1"/>
    <xf numFmtId="0" fontId="131" fillId="18" borderId="0" xfId="0" applyFont="1" applyFill="1" applyAlignment="1">
      <alignment vertical="center"/>
    </xf>
    <xf numFmtId="0" fontId="1" fillId="24" borderId="0" xfId="0" applyNumberFormat="1" applyFont="1" applyFill="1" applyAlignment="1">
      <alignment vertical="center"/>
    </xf>
    <xf numFmtId="164" fontId="1" fillId="24" borderId="0" xfId="0" applyNumberFormat="1" applyFont="1" applyFill="1" applyAlignment="1">
      <alignment vertical="center"/>
    </xf>
    <xf numFmtId="0" fontId="0" fillId="24" borderId="63" xfId="0" applyFill="1" applyBorder="1"/>
    <xf numFmtId="164" fontId="0" fillId="24" borderId="125" xfId="0" applyNumberFormat="1" applyFill="1" applyBorder="1"/>
    <xf numFmtId="0" fontId="20" fillId="0" borderId="0" xfId="0" applyFont="1" applyFill="1"/>
    <xf numFmtId="168" fontId="11" fillId="37" borderId="39" xfId="20" applyNumberFormat="1" applyFont="1" applyFill="1" applyBorder="1" applyAlignment="1">
      <alignment vertical="center"/>
    </xf>
    <xf numFmtId="168" fontId="11" fillId="37" borderId="29" xfId="20" applyNumberFormat="1" applyFont="1" applyFill="1" applyBorder="1" applyAlignment="1">
      <alignment vertical="center"/>
    </xf>
    <xf numFmtId="168" fontId="11" fillId="37" borderId="38" xfId="20" applyNumberFormat="1" applyFont="1" applyFill="1" applyBorder="1" applyAlignment="1">
      <alignment vertical="center"/>
    </xf>
    <xf numFmtId="168" fontId="11" fillId="37" borderId="7" xfId="20" applyNumberFormat="1" applyFont="1" applyFill="1" applyBorder="1" applyAlignment="1">
      <alignment vertical="center"/>
    </xf>
    <xf numFmtId="168" fontId="11" fillId="37" borderId="37" xfId="20" applyNumberFormat="1" applyFont="1" applyFill="1" applyBorder="1" applyAlignment="1">
      <alignment vertical="center"/>
    </xf>
    <xf numFmtId="168" fontId="11" fillId="37" borderId="5" xfId="20" applyNumberFormat="1" applyFont="1" applyFill="1" applyBorder="1" applyAlignment="1">
      <alignment vertical="center"/>
    </xf>
    <xf numFmtId="0" fontId="7" fillId="0" borderId="0" xfId="0" applyFont="1" applyFill="1"/>
    <xf numFmtId="9" fontId="0" fillId="37" borderId="0" xfId="3" applyFont="1" applyFill="1" applyBorder="1"/>
    <xf numFmtId="9" fontId="132" fillId="37" borderId="0" xfId="3" applyFont="1" applyFill="1" applyBorder="1"/>
    <xf numFmtId="9" fontId="3" fillId="37" borderId="0" xfId="3" applyFont="1" applyFill="1" applyBorder="1"/>
    <xf numFmtId="2" fontId="0" fillId="37" borderId="0" xfId="0" applyNumberFormat="1" applyFill="1" applyBorder="1"/>
    <xf numFmtId="2" fontId="132" fillId="37" borderId="0" xfId="0" applyNumberFormat="1" applyFont="1" applyFill="1" applyBorder="1"/>
    <xf numFmtId="2" fontId="3" fillId="37" borderId="0" xfId="0" applyNumberFormat="1" applyFont="1" applyFill="1" applyBorder="1"/>
    <xf numFmtId="2" fontId="135" fillId="37" borderId="0" xfId="0" applyNumberFormat="1" applyFont="1" applyFill="1" applyBorder="1"/>
    <xf numFmtId="0" fontId="0" fillId="0" borderId="0" xfId="0"/>
    <xf numFmtId="166" fontId="9" fillId="0" borderId="0" xfId="19" applyNumberFormat="1" applyFont="1" applyFill="1"/>
    <xf numFmtId="0" fontId="0" fillId="0" borderId="0" xfId="0"/>
    <xf numFmtId="0" fontId="0" fillId="0" borderId="0" xfId="0"/>
    <xf numFmtId="0" fontId="144" fillId="0" borderId="0" xfId="17" applyFont="1" applyAlignment="1">
      <alignment vertical="center"/>
    </xf>
    <xf numFmtId="172" fontId="10" fillId="21" borderId="22" xfId="19" applyNumberFormat="1" applyFont="1" applyFill="1" applyBorder="1" applyAlignment="1">
      <alignment horizontal="right" vertical="center"/>
    </xf>
    <xf numFmtId="172" fontId="10" fillId="21" borderId="0" xfId="19" applyNumberFormat="1" applyFont="1" applyFill="1" applyBorder="1" applyAlignment="1">
      <alignment horizontal="right" vertical="center"/>
    </xf>
    <xf numFmtId="168" fontId="0" fillId="21" borderId="11" xfId="3" applyNumberFormat="1" applyFont="1" applyFill="1" applyBorder="1" applyAlignment="1">
      <alignment vertical="center"/>
    </xf>
    <xf numFmtId="164" fontId="0" fillId="0" borderId="0" xfId="19" applyNumberFormat="1" applyFont="1"/>
    <xf numFmtId="0" fontId="20" fillId="0" borderId="0" xfId="0" applyFont="1" applyFill="1" applyAlignment="1">
      <alignment vertical="center"/>
    </xf>
    <xf numFmtId="164" fontId="20" fillId="0" borderId="0" xfId="1" applyNumberFormat="1" applyFont="1" applyFill="1" applyAlignment="1">
      <alignment vertical="center"/>
    </xf>
    <xf numFmtId="164" fontId="0" fillId="0" borderId="0" xfId="0" applyNumberFormat="1" applyFill="1"/>
    <xf numFmtId="173" fontId="20" fillId="0" borderId="0" xfId="0" applyNumberFormat="1" applyFont="1" applyFill="1" applyAlignment="1">
      <alignment vertical="center"/>
    </xf>
    <xf numFmtId="0" fontId="0" fillId="0" borderId="0" xfId="0"/>
    <xf numFmtId="174" fontId="126" fillId="19" borderId="0" xfId="0" applyNumberFormat="1" applyFont="1" applyFill="1"/>
    <xf numFmtId="164" fontId="9" fillId="0" borderId="0" xfId="1" applyNumberFormat="1" applyFont="1" applyFill="1" applyAlignment="1">
      <alignment vertical="center"/>
    </xf>
    <xf numFmtId="0" fontId="109" fillId="18" borderId="0" xfId="0" applyFont="1" applyFill="1" applyBorder="1"/>
    <xf numFmtId="166" fontId="9" fillId="0" borderId="0" xfId="1" applyNumberFormat="1" applyFont="1" applyBorder="1" applyAlignment="1">
      <alignment vertical="center"/>
    </xf>
    <xf numFmtId="164" fontId="20" fillId="0" borderId="0" xfId="19" applyNumberFormat="1" applyFont="1"/>
    <xf numFmtId="0" fontId="0" fillId="0" borderId="0" xfId="0"/>
    <xf numFmtId="0" fontId="0" fillId="0" borderId="0" xfId="0"/>
    <xf numFmtId="0" fontId="0" fillId="0" borderId="0" xfId="0"/>
    <xf numFmtId="164" fontId="0" fillId="21" borderId="0" xfId="0" applyNumberFormat="1" applyFill="1"/>
    <xf numFmtId="0" fontId="3" fillId="21" borderId="0" xfId="0" applyNumberFormat="1" applyFont="1" applyFill="1" applyBorder="1" applyAlignment="1">
      <alignment vertical="center"/>
    </xf>
    <xf numFmtId="0" fontId="3" fillId="21" borderId="0" xfId="0" applyFont="1" applyFill="1" applyBorder="1" applyAlignment="1">
      <alignment vertical="center"/>
    </xf>
    <xf numFmtId="164" fontId="3" fillId="21" borderId="0" xfId="1" applyNumberFormat="1" applyFont="1" applyFill="1" applyBorder="1" applyAlignment="1">
      <alignment vertical="center"/>
    </xf>
    <xf numFmtId="164" fontId="3" fillId="21" borderId="0" xfId="1" applyNumberFormat="1" applyFont="1" applyFill="1" applyBorder="1" applyAlignment="1">
      <alignment horizontal="right" vertical="center"/>
    </xf>
    <xf numFmtId="188" fontId="32" fillId="0" borderId="0" xfId="1" applyNumberFormat="1" applyFont="1" applyFill="1" applyAlignment="1">
      <alignment horizontal="right"/>
    </xf>
    <xf numFmtId="172" fontId="32" fillId="21" borderId="0" xfId="19" applyNumberFormat="1" applyFont="1" applyFill="1" applyBorder="1" applyAlignment="1">
      <alignment horizontal="right" vertical="center"/>
    </xf>
    <xf numFmtId="172" fontId="32" fillId="21" borderId="13" xfId="19" applyNumberFormat="1" applyFont="1" applyFill="1" applyBorder="1" applyAlignment="1">
      <alignment horizontal="right" vertical="center"/>
    </xf>
    <xf numFmtId="166" fontId="0" fillId="21" borderId="25" xfId="1" applyNumberFormat="1" applyFont="1" applyFill="1" applyBorder="1" applyAlignment="1">
      <alignment vertical="center"/>
    </xf>
    <xf numFmtId="164" fontId="24" fillId="0" borderId="0" xfId="1" applyNumberFormat="1" applyFont="1" applyFill="1"/>
    <xf numFmtId="168" fontId="0" fillId="18" borderId="0" xfId="3" applyNumberFormat="1" applyFont="1" applyFill="1" applyBorder="1"/>
    <xf numFmtId="168" fontId="0" fillId="18" borderId="13" xfId="3" applyNumberFormat="1" applyFont="1" applyFill="1" applyBorder="1"/>
    <xf numFmtId="0" fontId="0" fillId="0" borderId="0" xfId="0"/>
    <xf numFmtId="0" fontId="9" fillId="21" borderId="0" xfId="0" applyFont="1" applyFill="1" applyBorder="1" applyAlignment="1">
      <alignment horizontal="center"/>
    </xf>
    <xf numFmtId="0" fontId="0" fillId="0" borderId="0" xfId="0"/>
    <xf numFmtId="0" fontId="9" fillId="0" borderId="0" xfId="0" applyFont="1" applyFill="1" applyAlignment="1">
      <alignment horizontal="right"/>
    </xf>
    <xf numFmtId="0" fontId="9" fillId="0" borderId="0" xfId="0" applyFont="1" applyFill="1" applyAlignment="1">
      <alignment horizontal="right" vertical="center"/>
    </xf>
    <xf numFmtId="164" fontId="9" fillId="0" borderId="10" xfId="19" applyFont="1" applyBorder="1"/>
    <xf numFmtId="164" fontId="24" fillId="0" borderId="10" xfId="19" applyFont="1" applyBorder="1"/>
    <xf numFmtId="164" fontId="13" fillId="0" borderId="0" xfId="19" applyFont="1" applyAlignment="1">
      <alignment horizontal="right"/>
    </xf>
    <xf numFmtId="164" fontId="73" fillId="0" borderId="20" xfId="19" applyFont="1" applyBorder="1" applyAlignment="1">
      <alignment horizontal="right"/>
    </xf>
    <xf numFmtId="164" fontId="73" fillId="0" borderId="0" xfId="19" applyFont="1" applyBorder="1" applyAlignment="1">
      <alignment horizontal="right"/>
    </xf>
    <xf numFmtId="1" fontId="0" fillId="0" borderId="0" xfId="19" applyNumberFormat="1" applyFont="1" applyAlignment="1">
      <alignment vertical="center"/>
    </xf>
    <xf numFmtId="0" fontId="141" fillId="24" borderId="0" xfId="0" applyFont="1" applyFill="1" applyAlignment="1">
      <alignment horizontal="left" vertical="center"/>
    </xf>
    <xf numFmtId="164" fontId="141" fillId="24" borderId="0" xfId="0" applyNumberFormat="1" applyFont="1" applyFill="1" applyAlignment="1">
      <alignment vertical="center"/>
    </xf>
    <xf numFmtId="164" fontId="0" fillId="24" borderId="284" xfId="0" applyNumberFormat="1" applyFont="1" applyFill="1" applyBorder="1"/>
    <xf numFmtId="164" fontId="0" fillId="24" borderId="285" xfId="0" applyNumberFormat="1" applyFont="1" applyFill="1" applyBorder="1"/>
    <xf numFmtId="0" fontId="11" fillId="24" borderId="119" xfId="0" applyFont="1" applyFill="1" applyBorder="1"/>
    <xf numFmtId="0" fontId="11" fillId="24" borderId="120" xfId="0" applyFont="1" applyFill="1" applyBorder="1"/>
    <xf numFmtId="0" fontId="11" fillId="24" borderId="121" xfId="0" applyFont="1" applyFill="1" applyBorder="1"/>
    <xf numFmtId="164" fontId="0" fillId="24" borderId="125" xfId="0" applyNumberFormat="1" applyFont="1" applyFill="1" applyBorder="1"/>
    <xf numFmtId="164" fontId="0" fillId="24" borderId="286" xfId="0" applyNumberFormat="1" applyFont="1" applyFill="1" applyBorder="1"/>
    <xf numFmtId="0" fontId="0" fillId="24" borderId="122" xfId="0" applyNumberFormat="1" applyFill="1" applyBorder="1"/>
    <xf numFmtId="0" fontId="0" fillId="24" borderId="123" xfId="0" applyNumberFormat="1" applyFill="1" applyBorder="1"/>
    <xf numFmtId="0" fontId="0" fillId="24" borderId="124" xfId="0" applyNumberFormat="1" applyFill="1" applyBorder="1"/>
    <xf numFmtId="0" fontId="0" fillId="0" borderId="0" xfId="0"/>
    <xf numFmtId="0" fontId="9" fillId="0" borderId="0" xfId="0" applyFont="1" applyFill="1" applyBorder="1" applyAlignment="1">
      <alignment horizontal="center"/>
    </xf>
    <xf numFmtId="170" fontId="0" fillId="21" borderId="0" xfId="20" applyNumberFormat="1" applyFont="1" applyFill="1" applyBorder="1" applyAlignment="1">
      <alignment horizontal="right" vertical="center"/>
    </xf>
    <xf numFmtId="170" fontId="0" fillId="21" borderId="9" xfId="20" applyNumberFormat="1" applyFont="1" applyFill="1" applyBorder="1" applyAlignment="1">
      <alignment horizontal="right" vertical="center"/>
    </xf>
    <xf numFmtId="10" fontId="0" fillId="21" borderId="0" xfId="20" applyNumberFormat="1" applyFont="1" applyFill="1" applyBorder="1" applyAlignment="1">
      <alignment vertical="center"/>
    </xf>
    <xf numFmtId="10" fontId="0" fillId="21" borderId="0" xfId="20" applyNumberFormat="1" applyFont="1" applyFill="1" applyBorder="1" applyAlignment="1">
      <alignment horizontal="right" vertical="center"/>
    </xf>
    <xf numFmtId="166" fontId="0" fillId="21" borderId="96" xfId="1" applyNumberFormat="1" applyFont="1" applyFill="1" applyBorder="1" applyAlignment="1">
      <alignment vertical="center"/>
    </xf>
    <xf numFmtId="0" fontId="0" fillId="0" borderId="0" xfId="0"/>
    <xf numFmtId="164" fontId="145" fillId="18" borderId="0" xfId="8" applyNumberFormat="1" applyFont="1" applyFill="1" applyBorder="1"/>
    <xf numFmtId="0" fontId="0" fillId="18" borderId="56" xfId="0" applyFill="1" applyBorder="1" applyAlignment="1">
      <alignment horizontal="center" vertical="center"/>
    </xf>
    <xf numFmtId="165" fontId="46" fillId="37" borderId="0" xfId="8" applyNumberFormat="1" applyFont="1" applyFill="1" applyBorder="1"/>
    <xf numFmtId="165" fontId="111" fillId="37" borderId="0" xfId="8" applyNumberFormat="1" applyFont="1" applyFill="1" applyBorder="1"/>
    <xf numFmtId="168" fontId="0" fillId="21" borderId="0" xfId="20" applyFont="1" applyFill="1" applyBorder="1"/>
    <xf numFmtId="0" fontId="0" fillId="0" borderId="0" xfId="0" applyFill="1" applyBorder="1" applyAlignment="1">
      <alignment horizontal="right" vertical="center"/>
    </xf>
    <xf numFmtId="179" fontId="0" fillId="21" borderId="13" xfId="19" applyNumberFormat="1" applyFont="1" applyFill="1" applyBorder="1"/>
    <xf numFmtId="179" fontId="0" fillId="21" borderId="0" xfId="19" applyNumberFormat="1" applyFont="1" applyFill="1" applyBorder="1" applyAlignment="1">
      <alignment horizontal="right" vertical="center"/>
    </xf>
    <xf numFmtId="179" fontId="0" fillId="21" borderId="13" xfId="19" applyNumberFormat="1" applyFont="1" applyFill="1" applyBorder="1" applyAlignment="1">
      <alignment horizontal="right" vertical="center"/>
    </xf>
    <xf numFmtId="0" fontId="16" fillId="0" borderId="0" xfId="0" applyFont="1"/>
    <xf numFmtId="0" fontId="9" fillId="27" borderId="0" xfId="0" applyFont="1" applyFill="1" applyBorder="1" applyAlignment="1">
      <alignment horizontal="right"/>
    </xf>
    <xf numFmtId="165" fontId="32" fillId="18" borderId="23" xfId="8" applyNumberFormat="1" applyFont="1" applyFill="1" applyBorder="1" applyAlignment="1">
      <alignment vertical="center"/>
    </xf>
    <xf numFmtId="165" fontId="32" fillId="18" borderId="0" xfId="8" applyNumberFormat="1" applyFont="1" applyFill="1" applyBorder="1" applyAlignment="1">
      <alignment vertical="center"/>
    </xf>
    <xf numFmtId="0" fontId="5" fillId="18" borderId="0" xfId="0" applyFont="1" applyFill="1" applyBorder="1" applyAlignment="1">
      <alignment vertical="center"/>
    </xf>
    <xf numFmtId="0" fontId="9" fillId="21" borderId="0" xfId="0" applyFont="1" applyFill="1" applyBorder="1" applyAlignment="1">
      <alignment horizontal="left" vertical="center"/>
    </xf>
    <xf numFmtId="0" fontId="24" fillId="21" borderId="0" xfId="0" applyFont="1" applyFill="1" applyBorder="1" applyAlignment="1">
      <alignment horizontal="right"/>
    </xf>
    <xf numFmtId="0" fontId="24" fillId="21" borderId="57" xfId="0" applyFont="1" applyFill="1" applyBorder="1" applyAlignment="1">
      <alignment horizontal="right" vertical="center"/>
    </xf>
    <xf numFmtId="0" fontId="7" fillId="0" borderId="0" xfId="0" applyFont="1" applyBorder="1" applyAlignment="1">
      <alignment vertical="center"/>
    </xf>
    <xf numFmtId="0" fontId="31" fillId="20" borderId="4" xfId="0" applyFont="1" applyFill="1" applyBorder="1" applyAlignment="1">
      <alignment horizontal="left" vertical="center" indent="1"/>
    </xf>
    <xf numFmtId="164" fontId="24" fillId="21" borderId="268" xfId="19" applyFont="1" applyFill="1" applyBorder="1" applyAlignment="1">
      <alignment horizontal="right" vertical="center"/>
    </xf>
    <xf numFmtId="164" fontId="24" fillId="21" borderId="10" xfId="19" applyFont="1" applyFill="1" applyBorder="1" applyAlignment="1">
      <alignment horizontal="right" vertical="center"/>
    </xf>
    <xf numFmtId="180" fontId="32" fillId="21" borderId="23" xfId="19" applyNumberFormat="1" applyFont="1" applyFill="1" applyBorder="1" applyAlignment="1">
      <alignment horizontal="right" vertical="center"/>
    </xf>
    <xf numFmtId="164" fontId="24" fillId="21" borderId="24" xfId="19" applyFont="1" applyFill="1" applyBorder="1" applyAlignment="1">
      <alignment horizontal="right" vertical="center"/>
    </xf>
    <xf numFmtId="164" fontId="24" fillId="21" borderId="13" xfId="19" applyFont="1" applyFill="1" applyBorder="1" applyAlignment="1">
      <alignment horizontal="right" vertical="center"/>
    </xf>
    <xf numFmtId="0" fontId="13" fillId="27" borderId="13" xfId="0" applyFont="1" applyFill="1" applyBorder="1" applyAlignment="1">
      <alignment vertical="center"/>
    </xf>
    <xf numFmtId="0" fontId="0" fillId="27" borderId="0" xfId="0" applyNumberFormat="1" applyFill="1" applyBorder="1" applyAlignment="1">
      <alignment vertical="center"/>
    </xf>
    <xf numFmtId="0" fontId="13" fillId="27" borderId="287" xfId="0" applyFont="1" applyFill="1" applyBorder="1" applyAlignment="1">
      <alignment vertical="center"/>
    </xf>
    <xf numFmtId="164" fontId="0" fillId="27" borderId="10" xfId="19" applyNumberFormat="1" applyFont="1" applyFill="1" applyBorder="1" applyAlignment="1">
      <alignment vertical="center"/>
    </xf>
    <xf numFmtId="164" fontId="130" fillId="63" borderId="7" xfId="19" applyNumberFormat="1" applyFont="1" applyFill="1" applyBorder="1" applyAlignment="1">
      <alignment vertical="center"/>
    </xf>
    <xf numFmtId="164" fontId="130" fillId="63" borderId="13" xfId="19" applyNumberFormat="1" applyFont="1" applyFill="1" applyBorder="1" applyAlignment="1">
      <alignment vertical="center"/>
    </xf>
    <xf numFmtId="0" fontId="0" fillId="27" borderId="17" xfId="0" applyFill="1" applyBorder="1" applyAlignment="1">
      <alignment vertical="center"/>
    </xf>
    <xf numFmtId="0" fontId="0" fillId="27" borderId="17" xfId="0" applyFont="1" applyFill="1" applyBorder="1" applyAlignment="1">
      <alignment vertical="center"/>
    </xf>
    <xf numFmtId="164" fontId="0" fillId="27" borderId="17" xfId="19" applyFont="1" applyFill="1" applyBorder="1" applyAlignment="1">
      <alignment vertical="center"/>
    </xf>
    <xf numFmtId="170" fontId="0" fillId="21" borderId="20" xfId="20" applyNumberFormat="1" applyFont="1" applyFill="1" applyBorder="1" applyAlignment="1">
      <alignment vertical="center"/>
    </xf>
    <xf numFmtId="0" fontId="146" fillId="0" borderId="0" xfId="0" applyFont="1" applyBorder="1" applyAlignment="1">
      <alignment vertical="top" wrapText="1"/>
    </xf>
    <xf numFmtId="168" fontId="118" fillId="21" borderId="0" xfId="20" applyFont="1" applyFill="1" applyBorder="1" applyAlignment="1">
      <alignment vertical="top" wrapText="1"/>
    </xf>
    <xf numFmtId="0" fontId="147" fillId="0" borderId="0" xfId="0" applyFont="1" applyBorder="1" applyAlignment="1">
      <alignment vertical="top" wrapText="1"/>
    </xf>
    <xf numFmtId="172" fontId="11" fillId="21" borderId="89" xfId="19" applyNumberFormat="1" applyFont="1" applyFill="1" applyBorder="1" applyAlignment="1">
      <alignment vertical="center"/>
    </xf>
    <xf numFmtId="0" fontId="0" fillId="0" borderId="5" xfId="0" applyFill="1" applyBorder="1" applyAlignment="1">
      <alignment vertical="center"/>
    </xf>
    <xf numFmtId="0" fontId="13" fillId="21" borderId="8" xfId="0" applyFont="1" applyFill="1" applyBorder="1" applyAlignment="1">
      <alignment horizontal="right" vertical="center" wrapText="1"/>
    </xf>
    <xf numFmtId="0" fontId="13" fillId="21" borderId="28" xfId="0" applyFont="1" applyFill="1" applyBorder="1" applyAlignment="1">
      <alignment horizontal="center" vertical="center" wrapText="1"/>
    </xf>
    <xf numFmtId="168" fontId="0" fillId="21" borderId="20" xfId="20" applyFont="1" applyFill="1" applyBorder="1"/>
    <xf numFmtId="168" fontId="0" fillId="21" borderId="22" xfId="20" applyFont="1" applyFill="1" applyBorder="1"/>
    <xf numFmtId="166" fontId="0" fillId="21" borderId="0" xfId="19" applyNumberFormat="1" applyFont="1" applyFill="1" applyBorder="1" applyAlignment="1">
      <alignment vertical="center"/>
    </xf>
    <xf numFmtId="168" fontId="0" fillId="21" borderId="15" xfId="20" applyFont="1" applyFill="1" applyBorder="1"/>
    <xf numFmtId="166" fontId="0" fillId="21" borderId="12" xfId="19" applyNumberFormat="1" applyFont="1" applyFill="1" applyBorder="1" applyAlignment="1">
      <alignment vertical="center"/>
    </xf>
    <xf numFmtId="168" fontId="0" fillId="21" borderId="12" xfId="20" applyFont="1" applyFill="1" applyBorder="1"/>
    <xf numFmtId="168" fontId="0" fillId="21" borderId="27" xfId="20" applyFont="1" applyFill="1" applyBorder="1"/>
    <xf numFmtId="168" fontId="0" fillId="21" borderId="15" xfId="20" applyFont="1" applyFill="1" applyBorder="1" applyAlignment="1">
      <alignment horizontal="right"/>
    </xf>
    <xf numFmtId="166" fontId="0" fillId="21" borderId="13" xfId="19" applyNumberFormat="1" applyFont="1" applyFill="1" applyBorder="1" applyAlignment="1">
      <alignment vertical="center"/>
    </xf>
    <xf numFmtId="168" fontId="0" fillId="21" borderId="13" xfId="20" applyFont="1" applyFill="1" applyBorder="1"/>
    <xf numFmtId="168" fontId="0" fillId="21" borderId="25" xfId="20" applyFont="1" applyFill="1" applyBorder="1" applyAlignment="1">
      <alignment horizontal="right"/>
    </xf>
    <xf numFmtId="0" fontId="11" fillId="0" borderId="0" xfId="0" applyFont="1" applyFill="1"/>
    <xf numFmtId="0" fontId="41" fillId="21" borderId="13" xfId="0" applyFont="1" applyFill="1" applyBorder="1" applyAlignment="1">
      <alignment vertical="center"/>
    </xf>
    <xf numFmtId="0" fontId="11" fillId="21" borderId="0" xfId="0" applyNumberFormat="1" applyFont="1" applyFill="1" applyBorder="1" applyAlignment="1">
      <alignment horizontal="left" vertical="center"/>
    </xf>
    <xf numFmtId="0" fontId="41" fillId="21" borderId="0" xfId="0" applyFont="1" applyFill="1" applyBorder="1" applyAlignment="1">
      <alignment vertical="center"/>
    </xf>
    <xf numFmtId="164" fontId="41" fillId="21" borderId="0" xfId="19" applyFont="1" applyFill="1" applyBorder="1" applyAlignment="1">
      <alignment horizontal="right" vertical="center"/>
    </xf>
    <xf numFmtId="165" fontId="11" fillId="21" borderId="0" xfId="19" applyNumberFormat="1" applyFont="1" applyFill="1" applyBorder="1"/>
    <xf numFmtId="180" fontId="41" fillId="21" borderId="0" xfId="19" applyNumberFormat="1" applyFont="1" applyFill="1" applyBorder="1" applyAlignment="1">
      <alignment horizontal="right" vertical="center"/>
    </xf>
    <xf numFmtId="0" fontId="16" fillId="0" borderId="0" xfId="0" quotePrefix="1" applyFont="1"/>
    <xf numFmtId="0" fontId="148" fillId="0" borderId="0" xfId="0" applyFont="1"/>
    <xf numFmtId="164" fontId="0" fillId="0" borderId="0" xfId="19" applyNumberFormat="1" applyFont="1" applyFill="1" applyBorder="1"/>
    <xf numFmtId="2" fontId="0" fillId="0" borderId="0" xfId="20" applyNumberFormat="1" applyFont="1"/>
    <xf numFmtId="2" fontId="24" fillId="0" borderId="0" xfId="20" applyNumberFormat="1" applyFont="1"/>
    <xf numFmtId="0" fontId="0" fillId="27" borderId="0" xfId="0" applyFill="1" applyAlignment="1">
      <alignment horizontal="right"/>
    </xf>
    <xf numFmtId="1" fontId="0" fillId="27" borderId="0" xfId="19" applyNumberFormat="1" applyFont="1" applyFill="1" applyBorder="1" applyAlignment="1">
      <alignment vertical="center"/>
    </xf>
    <xf numFmtId="1" fontId="0" fillId="27" borderId="0" xfId="19" applyNumberFormat="1" applyFont="1" applyFill="1" applyBorder="1" applyAlignment="1">
      <alignment horizontal="center"/>
    </xf>
    <xf numFmtId="1" fontId="24" fillId="27" borderId="0" xfId="19" applyNumberFormat="1" applyFont="1" applyFill="1" applyBorder="1" applyAlignment="1">
      <alignment vertical="center"/>
    </xf>
    <xf numFmtId="1" fontId="24" fillId="27" borderId="0" xfId="19" applyNumberFormat="1" applyFont="1" applyFill="1" applyBorder="1" applyAlignment="1">
      <alignment horizontal="center"/>
    </xf>
    <xf numFmtId="1" fontId="32" fillId="27" borderId="7" xfId="0" applyNumberFormat="1" applyFont="1" applyFill="1" applyBorder="1" applyAlignment="1">
      <alignment horizontal="right" vertical="center"/>
    </xf>
    <xf numFmtId="1" fontId="0" fillId="0" borderId="0" xfId="0" applyNumberFormat="1" applyFill="1" applyAlignment="1">
      <alignment horizontal="right"/>
    </xf>
    <xf numFmtId="0" fontId="0" fillId="24" borderId="0" xfId="0" applyNumberFormat="1" applyFont="1" applyFill="1" applyAlignment="1">
      <alignment vertical="center"/>
    </xf>
    <xf numFmtId="164" fontId="0" fillId="27" borderId="13" xfId="19" applyNumberFormat="1" applyFont="1" applyFill="1" applyBorder="1" applyAlignment="1">
      <alignment vertical="center"/>
    </xf>
    <xf numFmtId="166" fontId="0" fillId="21" borderId="20" xfId="19" applyNumberFormat="1" applyFont="1" applyFill="1" applyBorder="1" applyAlignment="1">
      <alignment vertical="center"/>
    </xf>
    <xf numFmtId="167" fontId="10" fillId="0" borderId="0" xfId="19" applyNumberFormat="1" applyFont="1"/>
    <xf numFmtId="165" fontId="10" fillId="0" borderId="0" xfId="19" applyNumberFormat="1" applyFont="1"/>
    <xf numFmtId="168" fontId="10" fillId="0" borderId="0" xfId="20" applyFont="1"/>
    <xf numFmtId="164" fontId="24" fillId="21" borderId="57" xfId="19" applyFont="1" applyFill="1" applyBorder="1" applyAlignment="1">
      <alignment horizontal="right" vertical="center"/>
    </xf>
    <xf numFmtId="9" fontId="0" fillId="21" borderId="86" xfId="3" applyFont="1" applyFill="1" applyBorder="1" applyAlignment="1">
      <alignment vertical="center"/>
    </xf>
    <xf numFmtId="9" fontId="0" fillId="21" borderId="86" xfId="3" applyFont="1" applyFill="1" applyBorder="1" applyAlignment="1">
      <alignment horizontal="right" vertical="center"/>
    </xf>
    <xf numFmtId="9" fontId="88" fillId="0" borderId="145" xfId="3" applyFont="1" applyFill="1" applyBorder="1" applyAlignment="1">
      <alignment horizontal="center"/>
    </xf>
    <xf numFmtId="164" fontId="24" fillId="0" borderId="0" xfId="19" applyFont="1" applyFill="1"/>
    <xf numFmtId="0" fontId="24" fillId="0" borderId="0" xfId="17" applyAlignment="1">
      <alignment vertical="center" wrapText="1"/>
    </xf>
    <xf numFmtId="0" fontId="0" fillId="0" borderId="0" xfId="0"/>
    <xf numFmtId="0" fontId="0" fillId="0" borderId="0" xfId="0" applyFill="1" applyBorder="1" applyAlignment="1">
      <alignment horizontal="center" vertical="center" textRotation="90"/>
    </xf>
    <xf numFmtId="198" fontId="0" fillId="21" borderId="0" xfId="0" applyNumberFormat="1" applyFill="1" applyBorder="1"/>
    <xf numFmtId="168" fontId="0" fillId="21" borderId="13" xfId="0" applyNumberFormat="1" applyFill="1" applyBorder="1"/>
    <xf numFmtId="166" fontId="0" fillId="0" borderId="13" xfId="0" applyNumberFormat="1" applyFont="1" applyBorder="1"/>
    <xf numFmtId="0" fontId="3" fillId="0" borderId="10" xfId="0" applyFont="1" applyFill="1" applyBorder="1"/>
    <xf numFmtId="179" fontId="3" fillId="18" borderId="0" xfId="0" applyNumberFormat="1" applyFont="1" applyFill="1" applyBorder="1"/>
    <xf numFmtId="179" fontId="109" fillId="18" borderId="0" xfId="0" applyNumberFormat="1" applyFont="1" applyFill="1" applyBorder="1"/>
    <xf numFmtId="164" fontId="17" fillId="18" borderId="0" xfId="8" applyNumberFormat="1" applyFill="1" applyBorder="1" applyAlignment="1">
      <alignment horizontal="right"/>
    </xf>
    <xf numFmtId="0" fontId="3" fillId="0" borderId="0" xfId="0" applyFont="1" applyFill="1" applyBorder="1"/>
    <xf numFmtId="0" fontId="68" fillId="0" borderId="0" xfId="0" applyFont="1" applyBorder="1"/>
    <xf numFmtId="10" fontId="109" fillId="0" borderId="0" xfId="0" applyNumberFormat="1" applyFont="1" applyFill="1" applyBorder="1"/>
    <xf numFmtId="0" fontId="68" fillId="0" borderId="0" xfId="0" applyFont="1"/>
    <xf numFmtId="166" fontId="24" fillId="0" borderId="0" xfId="1" applyNumberFormat="1" applyFont="1"/>
    <xf numFmtId="9" fontId="68" fillId="0" borderId="0" xfId="3" applyFont="1"/>
    <xf numFmtId="9" fontId="68" fillId="0" borderId="0" xfId="0" applyNumberFormat="1" applyFont="1" applyBorder="1"/>
    <xf numFmtId="0" fontId="31" fillId="0" borderId="0" xfId="0" applyFont="1" applyFill="1" applyBorder="1" applyAlignment="1">
      <alignment horizontal="left" vertical="center"/>
    </xf>
    <xf numFmtId="1" fontId="0" fillId="0" borderId="0" xfId="0" applyNumberFormat="1" applyFill="1" applyBorder="1" applyAlignment="1">
      <alignment horizontal="right"/>
    </xf>
    <xf numFmtId="0" fontId="0" fillId="21" borderId="73" xfId="0" applyFill="1" applyBorder="1"/>
    <xf numFmtId="0" fontId="6" fillId="0" borderId="0" xfId="6" applyFill="1" applyAlignment="1" applyProtection="1">
      <alignment vertical="center"/>
    </xf>
    <xf numFmtId="182" fontId="24" fillId="0" borderId="0" xfId="20" applyNumberFormat="1" applyFont="1"/>
    <xf numFmtId="0" fontId="0" fillId="27" borderId="0" xfId="0" applyFill="1" applyAlignment="1">
      <alignment vertical="center"/>
    </xf>
    <xf numFmtId="165" fontId="0" fillId="21" borderId="9" xfId="19" applyNumberFormat="1" applyFont="1" applyFill="1" applyBorder="1" applyAlignment="1">
      <alignment horizontal="right" vertical="center"/>
    </xf>
    <xf numFmtId="172" fontId="20" fillId="0" borderId="0" xfId="19" applyNumberFormat="1" applyFont="1"/>
    <xf numFmtId="0" fontId="0" fillId="21" borderId="0" xfId="0" applyNumberFormat="1" applyFill="1" applyBorder="1" applyAlignment="1"/>
    <xf numFmtId="165" fontId="0" fillId="21" borderId="14" xfId="19" applyNumberFormat="1" applyFont="1" applyFill="1" applyBorder="1" applyAlignment="1">
      <alignment vertical="center"/>
    </xf>
    <xf numFmtId="0" fontId="0" fillId="28" borderId="0" xfId="0" applyFill="1" applyBorder="1" applyAlignment="1">
      <alignment horizontal="left" vertical="center"/>
    </xf>
    <xf numFmtId="0" fontId="0" fillId="0" borderId="0" xfId="0"/>
    <xf numFmtId="170" fontId="0" fillId="21" borderId="60" xfId="3" applyNumberFormat="1" applyFont="1" applyFill="1" applyBorder="1" applyAlignment="1">
      <alignment vertical="center"/>
    </xf>
    <xf numFmtId="164" fontId="9" fillId="0" borderId="0" xfId="19" applyFont="1" applyFill="1"/>
    <xf numFmtId="166" fontId="0" fillId="24" borderId="0" xfId="1" applyNumberFormat="1" applyFont="1" applyFill="1" applyBorder="1" applyAlignment="1">
      <alignment vertical="center"/>
    </xf>
    <xf numFmtId="166" fontId="0" fillId="24" borderId="0" xfId="0" applyNumberFormat="1" applyFont="1" applyFill="1" applyAlignment="1">
      <alignment vertical="center"/>
    </xf>
    <xf numFmtId="0" fontId="24" fillId="0" borderId="0" xfId="17" applyFill="1"/>
    <xf numFmtId="0" fontId="108" fillId="0" borderId="0" xfId="17" applyFont="1" applyFill="1"/>
    <xf numFmtId="0" fontId="0" fillId="0" borderId="0" xfId="0"/>
    <xf numFmtId="192" fontId="24" fillId="0" borderId="0" xfId="17" applyNumberFormat="1" applyFill="1"/>
    <xf numFmtId="192" fontId="24" fillId="0" borderId="0" xfId="17" applyNumberFormat="1"/>
    <xf numFmtId="192" fontId="24" fillId="0" borderId="13" xfId="17" applyNumberFormat="1" applyFill="1" applyBorder="1"/>
    <xf numFmtId="11" fontId="24" fillId="0" borderId="13" xfId="17" applyNumberFormat="1" applyBorder="1"/>
    <xf numFmtId="164" fontId="0" fillId="0" borderId="0" xfId="19" applyNumberFormat="1" applyFont="1" applyAlignment="1">
      <alignment vertical="center"/>
    </xf>
    <xf numFmtId="11" fontId="24" fillId="0" borderId="288" xfId="17" applyNumberFormat="1" applyBorder="1"/>
    <xf numFmtId="11" fontId="24" fillId="0" borderId="0" xfId="17" applyNumberFormat="1" applyBorder="1"/>
    <xf numFmtId="166" fontId="0" fillId="37" borderId="0" xfId="0" applyNumberFormat="1" applyFont="1" applyFill="1" applyBorder="1"/>
    <xf numFmtId="166" fontId="0" fillId="37" borderId="0" xfId="0" applyNumberFormat="1" applyFill="1" applyBorder="1"/>
    <xf numFmtId="166" fontId="109" fillId="37" borderId="0" xfId="0" applyNumberFormat="1" applyFont="1" applyFill="1" applyBorder="1"/>
    <xf numFmtId="0" fontId="17" fillId="21" borderId="11" xfId="8" applyNumberFormat="1" applyFill="1" applyBorder="1"/>
    <xf numFmtId="0" fontId="31" fillId="21" borderId="6" xfId="0" applyFont="1" applyFill="1" applyBorder="1" applyAlignment="1">
      <alignment horizontal="left" vertical="center" indent="1"/>
    </xf>
    <xf numFmtId="0" fontId="24" fillId="0" borderId="0" xfId="33" applyFont="1" applyFill="1" applyBorder="1" applyAlignment="1">
      <alignment vertical="center"/>
    </xf>
    <xf numFmtId="0" fontId="18" fillId="21" borderId="0" xfId="0" applyFont="1" applyFill="1" applyBorder="1" applyAlignment="1">
      <alignment vertical="center"/>
    </xf>
    <xf numFmtId="0" fontId="24" fillId="15" borderId="0" xfId="33" applyFont="1" applyBorder="1" applyAlignment="1">
      <alignment horizontal="left" vertical="center" indent="1"/>
    </xf>
    <xf numFmtId="0" fontId="24" fillId="15" borderId="0" xfId="33" applyFont="1" applyBorder="1" applyAlignment="1">
      <alignment vertical="center"/>
    </xf>
    <xf numFmtId="1" fontId="32" fillId="21" borderId="268" xfId="19" applyNumberFormat="1" applyFont="1" applyFill="1" applyBorder="1" applyAlignment="1">
      <alignment horizontal="right" vertical="center"/>
    </xf>
    <xf numFmtId="1" fontId="32" fillId="21" borderId="0" xfId="19" applyNumberFormat="1" applyFont="1" applyFill="1" applyBorder="1" applyAlignment="1">
      <alignment horizontal="right" vertical="center"/>
    </xf>
    <xf numFmtId="1" fontId="0" fillId="21" borderId="23" xfId="0" applyNumberFormat="1" applyFill="1" applyBorder="1" applyAlignment="1">
      <alignment vertical="center"/>
    </xf>
    <xf numFmtId="1" fontId="32" fillId="21" borderId="0" xfId="19" applyNumberFormat="1" applyFont="1" applyFill="1" applyBorder="1"/>
    <xf numFmtId="0" fontId="18" fillId="0" borderId="0" xfId="0" applyFont="1" applyFill="1" applyBorder="1" applyAlignment="1">
      <alignment horizontal="center" vertical="center" textRotation="90"/>
    </xf>
    <xf numFmtId="0" fontId="32" fillId="21" borderId="13" xfId="0" applyNumberFormat="1" applyFont="1" applyFill="1" applyBorder="1" applyAlignment="1">
      <alignment horizontal="left" vertical="center"/>
    </xf>
    <xf numFmtId="1" fontId="32" fillId="21" borderId="24" xfId="19" applyNumberFormat="1" applyFont="1" applyFill="1" applyBorder="1" applyAlignment="1">
      <alignment horizontal="right" vertical="center"/>
    </xf>
    <xf numFmtId="0" fontId="32" fillId="0" borderId="0" xfId="0" applyFont="1" applyFill="1" applyBorder="1" applyAlignment="1"/>
    <xf numFmtId="0" fontId="32" fillId="0" borderId="0" xfId="0" applyFont="1" applyFill="1" applyBorder="1" applyAlignment="1">
      <alignment horizontal="center"/>
    </xf>
    <xf numFmtId="1" fontId="0" fillId="21" borderId="268" xfId="19" applyNumberFormat="1" applyFont="1" applyFill="1" applyBorder="1"/>
    <xf numFmtId="0" fontId="13" fillId="0" borderId="0" xfId="0" applyFont="1" applyFill="1" applyBorder="1" applyAlignment="1"/>
    <xf numFmtId="0" fontId="32" fillId="0" borderId="0" xfId="0" applyNumberFormat="1" applyFont="1" applyFill="1" applyBorder="1" applyAlignment="1"/>
    <xf numFmtId="0" fontId="13" fillId="0" borderId="0" xfId="0" applyFont="1" applyFill="1" applyBorder="1" applyAlignment="1">
      <alignment horizontal="center"/>
    </xf>
    <xf numFmtId="1" fontId="32" fillId="21" borderId="23" xfId="19" applyNumberFormat="1" applyFont="1" applyFill="1" applyBorder="1" applyAlignment="1">
      <alignment horizontal="right" vertical="center"/>
    </xf>
    <xf numFmtId="1" fontId="0" fillId="21" borderId="24" xfId="19" applyNumberFormat="1" applyFont="1" applyFill="1" applyBorder="1"/>
    <xf numFmtId="164" fontId="32" fillId="0" borderId="0" xfId="19" applyFont="1" applyFill="1" applyBorder="1" applyAlignment="1"/>
    <xf numFmtId="165" fontId="32" fillId="0" borderId="0" xfId="19" applyNumberFormat="1" applyFont="1" applyFill="1" applyBorder="1" applyAlignment="1"/>
    <xf numFmtId="1" fontId="32" fillId="21" borderId="23" xfId="19" applyNumberFormat="1" applyFont="1" applyFill="1" applyBorder="1"/>
    <xf numFmtId="0" fontId="20" fillId="0" borderId="0" xfId="0" applyFont="1" applyFill="1" applyBorder="1" applyAlignment="1"/>
    <xf numFmtId="0" fontId="24" fillId="0" borderId="0" xfId="0" applyFont="1" applyFill="1" applyBorder="1" applyAlignment="1">
      <alignment horizontal="right"/>
    </xf>
    <xf numFmtId="165" fontId="24" fillId="0" borderId="0" xfId="19" applyNumberFormat="1" applyFont="1" applyFill="1" applyBorder="1" applyAlignment="1">
      <alignment horizontal="right" vertical="center"/>
    </xf>
    <xf numFmtId="0" fontId="13" fillId="0" borderId="0" xfId="0" applyNumberFormat="1" applyFont="1" applyFill="1" applyBorder="1" applyAlignment="1">
      <alignment horizontal="left" vertical="center"/>
    </xf>
    <xf numFmtId="0" fontId="13" fillId="0" borderId="0" xfId="0" applyNumberFormat="1" applyFont="1" applyFill="1" applyBorder="1" applyAlignment="1">
      <alignment horizontal="center" vertical="center"/>
    </xf>
    <xf numFmtId="1" fontId="13" fillId="0" borderId="0" xfId="0" applyNumberFormat="1" applyFont="1" applyFill="1" applyBorder="1" applyAlignment="1">
      <alignment horizontal="center" vertical="center"/>
    </xf>
    <xf numFmtId="0" fontId="32" fillId="0" borderId="0" xfId="0" applyNumberFormat="1" applyFont="1" applyFill="1" applyBorder="1" applyAlignment="1">
      <alignment horizontal="center" vertical="center"/>
    </xf>
    <xf numFmtId="177" fontId="32" fillId="0" borderId="0" xfId="19" applyNumberFormat="1" applyFont="1" applyFill="1" applyBorder="1" applyAlignment="1">
      <alignment horizontal="center" vertical="center"/>
    </xf>
    <xf numFmtId="177" fontId="32" fillId="0" borderId="0" xfId="0" applyNumberFormat="1" applyFont="1" applyFill="1" applyBorder="1" applyAlignment="1">
      <alignment horizontal="center"/>
    </xf>
    <xf numFmtId="0" fontId="32" fillId="0" borderId="0" xfId="0" applyNumberFormat="1" applyFont="1" applyFill="1" applyBorder="1" applyAlignment="1">
      <alignment horizontal="left" vertical="center"/>
    </xf>
    <xf numFmtId="0" fontId="22" fillId="0" borderId="0" xfId="0" applyFont="1" applyFill="1"/>
    <xf numFmtId="0" fontId="0" fillId="0" borderId="0" xfId="0" applyAlignment="1">
      <alignment horizontal="right" vertical="center"/>
    </xf>
    <xf numFmtId="164" fontId="32" fillId="0" borderId="0" xfId="19" applyFont="1" applyAlignment="1">
      <alignment horizontal="center"/>
    </xf>
    <xf numFmtId="164" fontId="13" fillId="0" borderId="0" xfId="19" applyFont="1" applyAlignment="1">
      <alignment horizontal="center"/>
    </xf>
    <xf numFmtId="179" fontId="32" fillId="0" borderId="0" xfId="19" applyNumberFormat="1" applyFont="1" applyAlignment="1">
      <alignment horizontal="right"/>
    </xf>
    <xf numFmtId="179" fontId="13" fillId="0" borderId="0" xfId="19" applyNumberFormat="1" applyFont="1" applyAlignment="1">
      <alignment horizontal="right"/>
    </xf>
    <xf numFmtId="180" fontId="0" fillId="18" borderId="0" xfId="0" applyNumberFormat="1" applyFill="1" applyBorder="1" applyAlignment="1">
      <alignment vertical="center"/>
    </xf>
    <xf numFmtId="164" fontId="0" fillId="21" borderId="13" xfId="19" applyFont="1" applyFill="1" applyBorder="1" applyAlignment="1">
      <alignment horizontal="right" vertical="center"/>
    </xf>
    <xf numFmtId="180" fontId="0" fillId="18" borderId="0" xfId="0" applyNumberFormat="1" applyFill="1" applyAlignment="1">
      <alignment vertical="center"/>
    </xf>
    <xf numFmtId="165" fontId="5" fillId="28" borderId="0" xfId="19" applyNumberFormat="1" applyFont="1" applyFill="1" applyAlignment="1">
      <alignment vertical="center"/>
    </xf>
    <xf numFmtId="165" fontId="60" fillId="28" borderId="0" xfId="19" applyNumberFormat="1" applyFont="1" applyFill="1" applyAlignment="1">
      <alignment vertical="center"/>
    </xf>
    <xf numFmtId="168" fontId="61" fillId="28" borderId="0" xfId="20" applyFont="1" applyFill="1" applyAlignment="1">
      <alignment vertical="center"/>
    </xf>
    <xf numFmtId="168" fontId="58" fillId="28" borderId="20" xfId="20" applyNumberFormat="1" applyFont="1" applyFill="1" applyBorder="1" applyAlignment="1">
      <alignment vertical="center"/>
    </xf>
    <xf numFmtId="168" fontId="60" fillId="28" borderId="13" xfId="20" applyFont="1" applyFill="1" applyBorder="1" applyAlignment="1">
      <alignment vertical="center"/>
    </xf>
    <xf numFmtId="0" fontId="26" fillId="28" borderId="0" xfId="0" applyFont="1" applyFill="1" applyAlignment="1">
      <alignment vertical="top"/>
    </xf>
    <xf numFmtId="165" fontId="5" fillId="28" borderId="13" xfId="19" applyNumberFormat="1" applyFont="1" applyFill="1" applyBorder="1" applyAlignment="1">
      <alignment vertical="center"/>
    </xf>
    <xf numFmtId="0" fontId="0" fillId="0" borderId="0" xfId="0"/>
    <xf numFmtId="0" fontId="0" fillId="0" borderId="0" xfId="0"/>
    <xf numFmtId="172" fontId="0" fillId="18" borderId="57" xfId="19" applyNumberFormat="1" applyFont="1" applyFill="1" applyBorder="1" applyAlignment="1">
      <alignment vertical="center"/>
    </xf>
    <xf numFmtId="166" fontId="0" fillId="18" borderId="57" xfId="1" applyNumberFormat="1" applyFont="1" applyFill="1" applyBorder="1" applyAlignment="1">
      <alignment vertical="center"/>
    </xf>
    <xf numFmtId="164" fontId="0" fillId="21" borderId="0" xfId="1" applyNumberFormat="1" applyFont="1" applyFill="1" applyBorder="1" applyAlignment="1">
      <alignment horizontal="left" vertical="center"/>
    </xf>
    <xf numFmtId="164" fontId="9" fillId="28" borderId="0" xfId="19" applyNumberFormat="1" applyFont="1" applyFill="1" applyBorder="1"/>
    <xf numFmtId="40" fontId="89" fillId="0" borderId="149" xfId="11" applyNumberFormat="1" applyFont="1" applyFill="1" applyBorder="1" applyAlignment="1">
      <alignment horizontal="center"/>
    </xf>
    <xf numFmtId="168" fontId="5" fillId="28" borderId="0" xfId="20" applyFont="1" applyFill="1" applyAlignment="1">
      <alignment horizontal="right"/>
    </xf>
    <xf numFmtId="168" fontId="5" fillId="28" borderId="0" xfId="20" applyFont="1" applyFill="1"/>
    <xf numFmtId="165" fontId="5" fillId="28" borderId="0" xfId="19" applyNumberFormat="1" applyFont="1" applyFill="1" applyAlignment="1">
      <alignment horizontal="right"/>
    </xf>
    <xf numFmtId="165" fontId="8" fillId="28" borderId="0" xfId="1" applyNumberFormat="1" applyFont="1" applyFill="1" applyAlignment="1">
      <alignment vertical="center"/>
    </xf>
    <xf numFmtId="168" fontId="52" fillId="28" borderId="0" xfId="3" applyNumberFormat="1" applyFont="1" applyFill="1" applyBorder="1" applyAlignment="1">
      <alignment vertical="center"/>
    </xf>
    <xf numFmtId="168" fontId="54" fillId="28" borderId="0" xfId="3" applyNumberFormat="1" applyFont="1" applyFill="1" applyBorder="1" applyAlignment="1">
      <alignment vertical="center"/>
    </xf>
    <xf numFmtId="168" fontId="5" fillId="28" borderId="0" xfId="3" applyNumberFormat="1" applyFont="1" applyFill="1" applyBorder="1" applyAlignment="1">
      <alignment vertical="center"/>
    </xf>
    <xf numFmtId="0" fontId="0" fillId="0" borderId="0" xfId="0"/>
    <xf numFmtId="0" fontId="0" fillId="0" borderId="0" xfId="0"/>
    <xf numFmtId="170" fontId="0" fillId="21" borderId="57" xfId="20" applyNumberFormat="1" applyFont="1" applyFill="1" applyBorder="1" applyAlignment="1">
      <alignment vertical="center"/>
    </xf>
    <xf numFmtId="168" fontId="0" fillId="21" borderId="10" xfId="3" applyNumberFormat="1" applyFont="1" applyFill="1" applyBorder="1" applyAlignment="1">
      <alignment vertical="center"/>
    </xf>
    <xf numFmtId="0" fontId="3" fillId="21" borderId="0" xfId="7" applyFont="1" applyFill="1" applyBorder="1" applyAlignment="1">
      <alignment horizontal="left"/>
    </xf>
    <xf numFmtId="0" fontId="0" fillId="21" borderId="0" xfId="7" applyFont="1" applyFill="1" applyAlignment="1">
      <alignment horizontal="left"/>
    </xf>
    <xf numFmtId="0" fontId="0" fillId="21" borderId="13" xfId="7" applyFont="1" applyFill="1" applyBorder="1" applyAlignment="1">
      <alignment horizontal="left"/>
    </xf>
    <xf numFmtId="169" fontId="3" fillId="21" borderId="0" xfId="1" applyNumberFormat="1" applyFont="1" applyFill="1" applyBorder="1" applyAlignment="1">
      <alignment horizontal="right" vertical="center"/>
    </xf>
    <xf numFmtId="172" fontId="11" fillId="21" borderId="13" xfId="19" applyNumberFormat="1" applyFont="1" applyFill="1" applyBorder="1" applyAlignment="1">
      <alignment vertical="center"/>
    </xf>
    <xf numFmtId="164" fontId="9" fillId="0" borderId="0" xfId="19" applyFont="1" applyBorder="1" applyAlignment="1">
      <alignment horizontal="right" vertical="center"/>
    </xf>
    <xf numFmtId="172" fontId="11" fillId="21" borderId="29" xfId="19" applyNumberFormat="1" applyFont="1" applyFill="1" applyBorder="1" applyAlignment="1">
      <alignment vertical="center"/>
    </xf>
    <xf numFmtId="172" fontId="11" fillId="21" borderId="17" xfId="19" applyNumberFormat="1" applyFont="1" applyFill="1" applyBorder="1" applyAlignment="1">
      <alignment vertical="center"/>
    </xf>
    <xf numFmtId="172" fontId="0" fillId="21" borderId="29" xfId="19" applyNumberFormat="1" applyFont="1" applyFill="1" applyBorder="1" applyAlignment="1">
      <alignment vertical="center"/>
    </xf>
    <xf numFmtId="172" fontId="0" fillId="21" borderId="17" xfId="19" applyNumberFormat="1" applyFont="1" applyFill="1" applyBorder="1" applyAlignment="1">
      <alignment vertical="center"/>
    </xf>
    <xf numFmtId="172" fontId="0" fillId="21" borderId="100" xfId="19" applyNumberFormat="1" applyFont="1" applyFill="1" applyBorder="1" applyAlignment="1">
      <alignment vertical="center"/>
    </xf>
    <xf numFmtId="172" fontId="0" fillId="21" borderId="101" xfId="19" applyNumberFormat="1" applyFont="1" applyFill="1" applyBorder="1" applyAlignment="1">
      <alignment vertical="center"/>
    </xf>
    <xf numFmtId="10" fontId="0" fillId="0" borderId="0" xfId="20" applyNumberFormat="1" applyFont="1"/>
    <xf numFmtId="169" fontId="0" fillId="21" borderId="0" xfId="19" applyNumberFormat="1" applyFont="1" applyFill="1" applyBorder="1" applyAlignment="1">
      <alignment horizontal="right" vertical="center"/>
    </xf>
    <xf numFmtId="168" fontId="9" fillId="21" borderId="0" xfId="20" applyFont="1" applyFill="1" applyBorder="1" applyAlignment="1">
      <alignment horizontal="right" vertical="center"/>
    </xf>
    <xf numFmtId="0" fontId="150" fillId="0" borderId="0" xfId="8" applyNumberFormat="1" applyFont="1"/>
    <xf numFmtId="0" fontId="0" fillId="0" borderId="0" xfId="0"/>
    <xf numFmtId="166" fontId="83" fillId="21" borderId="13" xfId="1" applyNumberFormat="1" applyFont="1" applyFill="1" applyBorder="1" applyAlignment="1">
      <alignment vertical="center"/>
    </xf>
    <xf numFmtId="166" fontId="10" fillId="21" borderId="0" xfId="1" applyNumberFormat="1" applyFont="1" applyFill="1" applyBorder="1" applyAlignment="1">
      <alignment vertical="center"/>
    </xf>
    <xf numFmtId="166" fontId="10" fillId="21" borderId="0" xfId="1" applyNumberFormat="1" applyFont="1" applyFill="1" applyBorder="1" applyAlignment="1">
      <alignment horizontal="right" vertical="center"/>
    </xf>
    <xf numFmtId="166" fontId="10" fillId="21" borderId="9" xfId="1" applyNumberFormat="1" applyFont="1" applyFill="1" applyBorder="1" applyAlignment="1">
      <alignment horizontal="right" vertical="center"/>
    </xf>
    <xf numFmtId="0" fontId="0" fillId="0" borderId="0" xfId="0"/>
    <xf numFmtId="0" fontId="0" fillId="24" borderId="263" xfId="0" applyNumberFormat="1" applyFill="1" applyBorder="1"/>
    <xf numFmtId="0" fontId="145" fillId="21" borderId="0" xfId="8" applyNumberFormat="1" applyFont="1" applyFill="1" applyBorder="1"/>
    <xf numFmtId="0" fontId="3" fillId="21" borderId="0" xfId="0" applyFont="1" applyFill="1" applyBorder="1"/>
    <xf numFmtId="0" fontId="10" fillId="21" borderId="0" xfId="0" applyFont="1" applyFill="1" applyBorder="1" applyAlignment="1">
      <alignment horizontal="right"/>
    </xf>
    <xf numFmtId="0" fontId="10" fillId="21" borderId="0" xfId="0" applyFont="1" applyFill="1" applyBorder="1"/>
    <xf numFmtId="0" fontId="10" fillId="15" borderId="0" xfId="5" applyFont="1"/>
    <xf numFmtId="0" fontId="10" fillId="21" borderId="0" xfId="0" applyNumberFormat="1" applyFont="1" applyFill="1" applyBorder="1"/>
    <xf numFmtId="0" fontId="10" fillId="15" borderId="0" xfId="5" applyNumberFormat="1" applyFont="1"/>
    <xf numFmtId="0" fontId="80" fillId="21" borderId="0" xfId="8" applyNumberFormat="1" applyFont="1" applyFill="1" applyBorder="1" applyAlignment="1">
      <alignment horizontal="right"/>
    </xf>
    <xf numFmtId="0" fontId="80" fillId="21" borderId="0" xfId="0" applyFont="1" applyFill="1" applyBorder="1"/>
    <xf numFmtId="0" fontId="10" fillId="21" borderId="0" xfId="0" applyNumberFormat="1" applyFont="1" applyFill="1" applyBorder="1" applyAlignment="1">
      <alignment horizontal="right" vertical="center"/>
    </xf>
    <xf numFmtId="0" fontId="3" fillId="21" borderId="0" xfId="0" applyNumberFormat="1" applyFont="1" applyFill="1" applyBorder="1" applyAlignment="1">
      <alignment horizontal="left" vertical="center"/>
    </xf>
    <xf numFmtId="0" fontId="10" fillId="21" borderId="0" xfId="0" applyNumberFormat="1" applyFont="1" applyFill="1" applyBorder="1" applyAlignment="1">
      <alignment vertical="center"/>
    </xf>
    <xf numFmtId="168" fontId="10" fillId="21" borderId="0" xfId="20" applyFont="1" applyFill="1" applyBorder="1" applyAlignment="1">
      <alignment vertical="center"/>
    </xf>
    <xf numFmtId="0" fontId="107" fillId="21" borderId="0" xfId="0" applyFont="1" applyFill="1" applyBorder="1" applyAlignment="1">
      <alignment horizontal="right" vertical="center"/>
    </xf>
    <xf numFmtId="193" fontId="10" fillId="21" borderId="0" xfId="0" applyNumberFormat="1" applyFont="1" applyFill="1" applyBorder="1" applyAlignment="1">
      <alignment horizontal="right" vertical="center"/>
    </xf>
    <xf numFmtId="0" fontId="10" fillId="21" borderId="17" xfId="0" applyFont="1" applyFill="1" applyBorder="1"/>
    <xf numFmtId="197" fontId="89" fillId="0" borderId="150" xfId="11" applyNumberFormat="1" applyFont="1" applyFill="1" applyBorder="1" applyAlignment="1">
      <alignment horizontal="center"/>
    </xf>
    <xf numFmtId="0" fontId="108" fillId="21" borderId="0" xfId="0" applyFont="1" applyFill="1" applyBorder="1"/>
    <xf numFmtId="0" fontId="10" fillId="21" borderId="0" xfId="0" applyFont="1" applyFill="1" applyBorder="1" applyAlignment="1"/>
    <xf numFmtId="0" fontId="151" fillId="21" borderId="0" xfId="0" applyNumberFormat="1" applyFont="1" applyFill="1" applyBorder="1" applyAlignment="1">
      <alignment horizontal="right" vertical="center"/>
    </xf>
    <xf numFmtId="0" fontId="10" fillId="21" borderId="17" xfId="0" applyNumberFormat="1" applyFont="1" applyFill="1" applyBorder="1" applyAlignment="1">
      <alignment horizontal="right"/>
    </xf>
    <xf numFmtId="0" fontId="10" fillId="21" borderId="0" xfId="0" applyNumberFormat="1" applyFont="1" applyFill="1" applyBorder="1" applyAlignment="1"/>
    <xf numFmtId="164" fontId="10" fillId="21" borderId="0" xfId="1" applyNumberFormat="1" applyFont="1" applyFill="1" applyBorder="1" applyAlignment="1">
      <alignment horizontal="left" vertical="center"/>
    </xf>
    <xf numFmtId="0" fontId="24" fillId="21" borderId="0" xfId="0" applyNumberFormat="1" applyFont="1" applyFill="1" applyBorder="1"/>
    <xf numFmtId="0" fontId="3" fillId="21" borderId="0" xfId="0" applyFont="1" applyFill="1"/>
    <xf numFmtId="0" fontId="150" fillId="21" borderId="0" xfId="8" applyNumberFormat="1" applyFont="1" applyFill="1" applyBorder="1" applyAlignment="1">
      <alignment horizontal="left"/>
    </xf>
    <xf numFmtId="0" fontId="10" fillId="21" borderId="17" xfId="0" applyNumberFormat="1" applyFont="1" applyFill="1" applyBorder="1"/>
    <xf numFmtId="0" fontId="10" fillId="21" borderId="0" xfId="0" applyFont="1" applyFill="1"/>
    <xf numFmtId="0" fontId="0" fillId="0" borderId="0" xfId="0"/>
    <xf numFmtId="0" fontId="10" fillId="21" borderId="17" xfId="0" applyFont="1" applyFill="1" applyBorder="1" applyAlignment="1">
      <alignment horizontal="right"/>
    </xf>
    <xf numFmtId="0" fontId="141" fillId="21" borderId="0" xfId="0" applyNumberFormat="1" applyFont="1" applyFill="1" applyBorder="1" applyAlignment="1">
      <alignment horizontal="right" vertical="center"/>
    </xf>
    <xf numFmtId="0" fontId="141" fillId="21" borderId="0" xfId="0" applyNumberFormat="1" applyFont="1" applyFill="1" applyBorder="1" applyAlignment="1">
      <alignment horizontal="left" vertical="center"/>
    </xf>
    <xf numFmtId="164" fontId="10" fillId="21" borderId="0" xfId="19" applyFont="1" applyFill="1" applyBorder="1" applyAlignment="1">
      <alignment vertical="center"/>
    </xf>
    <xf numFmtId="174" fontId="24" fillId="0" borderId="0" xfId="17" applyNumberFormat="1" applyBorder="1"/>
    <xf numFmtId="0" fontId="24" fillId="0" borderId="0" xfId="17" applyFont="1" applyFill="1"/>
    <xf numFmtId="0" fontId="20" fillId="0" borderId="0" xfId="17" applyFont="1" applyFill="1"/>
    <xf numFmtId="0" fontId="108" fillId="0" borderId="0" xfId="17" applyFont="1"/>
    <xf numFmtId="0" fontId="0" fillId="61" borderId="4" xfId="0" applyFont="1" applyFill="1" applyBorder="1"/>
    <xf numFmtId="164" fontId="24" fillId="61" borderId="4" xfId="19" applyFont="1" applyFill="1" applyBorder="1"/>
    <xf numFmtId="0" fontId="0" fillId="22" borderId="31" xfId="0" applyFont="1" applyFill="1" applyBorder="1"/>
    <xf numFmtId="164" fontId="24" fillId="22" borderId="31" xfId="19" applyFont="1" applyFill="1" applyBorder="1"/>
    <xf numFmtId="0" fontId="139" fillId="22" borderId="6" xfId="0" applyFont="1" applyFill="1" applyBorder="1" applyAlignment="1">
      <alignment horizontal="left" vertical="center" indent="1"/>
    </xf>
    <xf numFmtId="164" fontId="20" fillId="22" borderId="0" xfId="19" applyFont="1" applyFill="1" applyBorder="1"/>
    <xf numFmtId="164" fontId="9" fillId="22" borderId="0" xfId="19" applyFont="1" applyFill="1" applyBorder="1" applyAlignment="1">
      <alignment horizontal="right"/>
    </xf>
    <xf numFmtId="164" fontId="20" fillId="22" borderId="7" xfId="19" applyFont="1" applyFill="1" applyBorder="1"/>
    <xf numFmtId="0" fontId="0" fillId="22" borderId="0" xfId="0" applyFont="1" applyFill="1" applyBorder="1"/>
    <xf numFmtId="164" fontId="24" fillId="22" borderId="0" xfId="19" applyFont="1" applyFill="1" applyBorder="1"/>
    <xf numFmtId="165" fontId="0" fillId="22" borderId="0" xfId="19" applyNumberFormat="1" applyFont="1" applyFill="1" applyBorder="1"/>
    <xf numFmtId="165" fontId="24" fillId="22" borderId="0" xfId="19" applyNumberFormat="1" applyFont="1" applyFill="1" applyBorder="1"/>
    <xf numFmtId="165" fontId="152" fillId="49" borderId="0" xfId="19" applyNumberFormat="1" applyFont="1" applyFill="1" applyBorder="1"/>
    <xf numFmtId="170" fontId="32" fillId="21" borderId="57" xfId="20" applyNumberFormat="1" applyFont="1" applyFill="1" applyBorder="1" applyAlignment="1">
      <alignment horizontal="right" vertical="center"/>
    </xf>
    <xf numFmtId="168" fontId="9" fillId="21" borderId="0" xfId="20" applyFont="1" applyFill="1" applyBorder="1"/>
    <xf numFmtId="0" fontId="0" fillId="0" borderId="0" xfId="0" applyFill="1" applyAlignment="1">
      <alignment textRotation="90"/>
    </xf>
    <xf numFmtId="1" fontId="0" fillId="21" borderId="10" xfId="19" applyNumberFormat="1" applyFont="1" applyFill="1" applyBorder="1" applyAlignment="1">
      <alignment horizontal="right"/>
    </xf>
    <xf numFmtId="166" fontId="152" fillId="49" borderId="0" xfId="19" applyNumberFormat="1" applyFont="1" applyFill="1" applyBorder="1"/>
    <xf numFmtId="166" fontId="0" fillId="0" borderId="13" xfId="0" applyNumberFormat="1" applyBorder="1"/>
    <xf numFmtId="164" fontId="0" fillId="22" borderId="0" xfId="19" applyNumberFormat="1" applyFont="1" applyFill="1" applyBorder="1"/>
    <xf numFmtId="0" fontId="10" fillId="22" borderId="6" xfId="0" applyFont="1" applyFill="1" applyBorder="1"/>
    <xf numFmtId="0" fontId="68" fillId="0" borderId="0" xfId="0" applyFont="1" applyFill="1" applyBorder="1"/>
    <xf numFmtId="0" fontId="153" fillId="0" borderId="0" xfId="12" applyFont="1" applyFill="1"/>
    <xf numFmtId="164" fontId="20" fillId="37" borderId="0" xfId="19" applyNumberFormat="1" applyFont="1" applyFill="1" applyBorder="1"/>
    <xf numFmtId="164" fontId="137" fillId="37" borderId="0" xfId="19" applyNumberFormat="1" applyFont="1" applyFill="1" applyBorder="1"/>
    <xf numFmtId="164" fontId="20" fillId="37" borderId="0" xfId="0" applyNumberFormat="1" applyFont="1" applyFill="1" applyBorder="1"/>
    <xf numFmtId="164" fontId="0" fillId="25" borderId="0" xfId="0" applyNumberFormat="1" applyFill="1" applyBorder="1" applyAlignment="1">
      <alignment horizontal="center"/>
    </xf>
    <xf numFmtId="165" fontId="0" fillId="0" borderId="0" xfId="0" applyNumberFormat="1" applyFill="1" applyBorder="1" applyAlignment="1">
      <alignment horizontal="center"/>
    </xf>
    <xf numFmtId="186" fontId="0" fillId="21" borderId="13" xfId="19" applyNumberFormat="1" applyFont="1" applyFill="1" applyBorder="1" applyAlignment="1">
      <alignment vertical="center"/>
    </xf>
    <xf numFmtId="0" fontId="0" fillId="21" borderId="20" xfId="0" applyNumberFormat="1" applyFont="1" applyFill="1" applyBorder="1" applyAlignment="1">
      <alignment horizontal="left" vertical="center"/>
    </xf>
    <xf numFmtId="186" fontId="0" fillId="21" borderId="0" xfId="19" applyNumberFormat="1" applyFont="1" applyFill="1" applyBorder="1" applyAlignment="1">
      <alignment horizontal="right" vertical="center"/>
    </xf>
    <xf numFmtId="0" fontId="0" fillId="0" borderId="0" xfId="0"/>
    <xf numFmtId="164" fontId="9" fillId="28" borderId="20" xfId="0" applyNumberFormat="1" applyFont="1" applyFill="1" applyBorder="1"/>
    <xf numFmtId="0" fontId="10" fillId="21" borderId="20" xfId="0" applyNumberFormat="1" applyFont="1" applyFill="1" applyBorder="1" applyAlignment="1">
      <alignment horizontal="left" vertical="center"/>
    </xf>
    <xf numFmtId="1" fontId="0" fillId="21" borderId="14" xfId="3" applyNumberFormat="1" applyFont="1" applyFill="1" applyBorder="1" applyAlignment="1">
      <alignment vertical="center"/>
    </xf>
    <xf numFmtId="164" fontId="10" fillId="21" borderId="0" xfId="1" applyNumberFormat="1" applyFont="1" applyFill="1" applyBorder="1" applyAlignment="1">
      <alignment horizontal="left" vertical="top"/>
    </xf>
    <xf numFmtId="9" fontId="9" fillId="0" borderId="0" xfId="3" applyFont="1" applyFill="1" applyBorder="1"/>
    <xf numFmtId="0" fontId="0" fillId="0" borderId="0" xfId="0" applyFill="1" applyAlignment="1">
      <alignment vertical="center" wrapText="1"/>
    </xf>
    <xf numFmtId="0" fontId="0" fillId="0" borderId="0" xfId="0"/>
    <xf numFmtId="9" fontId="11" fillId="21" borderId="21" xfId="3" applyFont="1" applyFill="1" applyBorder="1" applyAlignment="1">
      <alignment vertical="center"/>
    </xf>
    <xf numFmtId="9" fontId="11" fillId="21" borderId="23" xfId="3" applyFont="1" applyFill="1" applyBorder="1" applyAlignment="1">
      <alignment vertical="center"/>
    </xf>
    <xf numFmtId="9" fontId="11" fillId="21" borderId="24" xfId="3" applyFont="1" applyFill="1" applyBorder="1" applyAlignment="1">
      <alignment vertical="center"/>
    </xf>
    <xf numFmtId="190" fontId="10" fillId="21" borderId="23" xfId="1" applyNumberFormat="1" applyFont="1" applyFill="1" applyBorder="1" applyAlignment="1">
      <alignment vertical="center"/>
    </xf>
    <xf numFmtId="190" fontId="10" fillId="21" borderId="0" xfId="1" applyNumberFormat="1" applyFont="1" applyFill="1" applyBorder="1" applyAlignment="1">
      <alignment vertical="center"/>
    </xf>
    <xf numFmtId="190" fontId="10" fillId="21" borderId="24" xfId="1" applyNumberFormat="1" applyFont="1" applyFill="1" applyBorder="1" applyAlignment="1">
      <alignment vertical="center"/>
    </xf>
    <xf numFmtId="190" fontId="10" fillId="21" borderId="13" xfId="1" applyNumberFormat="1" applyFont="1" applyFill="1" applyBorder="1" applyAlignment="1">
      <alignment vertical="center"/>
    </xf>
    <xf numFmtId="11" fontId="10" fillId="21" borderId="23" xfId="1" applyNumberFormat="1" applyFont="1" applyFill="1" applyBorder="1" applyAlignment="1">
      <alignment vertical="center"/>
    </xf>
    <xf numFmtId="11" fontId="10" fillId="21" borderId="0" xfId="1" applyNumberFormat="1" applyFont="1" applyFill="1" applyBorder="1" applyAlignment="1">
      <alignment vertical="center"/>
    </xf>
    <xf numFmtId="11" fontId="10" fillId="21" borderId="24" xfId="1" applyNumberFormat="1" applyFont="1" applyFill="1" applyBorder="1" applyAlignment="1">
      <alignment vertical="center"/>
    </xf>
    <xf numFmtId="11" fontId="10" fillId="21" borderId="13" xfId="1" applyNumberFormat="1" applyFont="1" applyFill="1" applyBorder="1" applyAlignment="1">
      <alignment vertical="center"/>
    </xf>
    <xf numFmtId="0" fontId="0" fillId="21" borderId="0" xfId="3" applyNumberFormat="1" applyFont="1" applyFill="1" applyBorder="1"/>
    <xf numFmtId="0" fontId="0" fillId="0" borderId="0" xfId="0"/>
    <xf numFmtId="164" fontId="154" fillId="18" borderId="0" xfId="0" applyNumberFormat="1" applyFont="1" applyFill="1" applyAlignment="1">
      <alignment vertical="center"/>
    </xf>
    <xf numFmtId="0" fontId="0" fillId="19" borderId="0" xfId="0" applyFill="1" applyAlignment="1">
      <alignment horizontal="right"/>
    </xf>
    <xf numFmtId="0" fontId="9" fillId="19" borderId="0" xfId="0" applyFont="1" applyFill="1"/>
    <xf numFmtId="0" fontId="0" fillId="19" borderId="0" xfId="0" applyFont="1" applyFill="1"/>
    <xf numFmtId="0" fontId="0" fillId="19" borderId="0" xfId="0" applyFont="1" applyFill="1" applyAlignment="1">
      <alignment horizontal="right"/>
    </xf>
    <xf numFmtId="164" fontId="0" fillId="19" borderId="0" xfId="1" applyNumberFormat="1" applyFont="1" applyFill="1"/>
    <xf numFmtId="164" fontId="42" fillId="28" borderId="37" xfId="19" applyFont="1" applyFill="1" applyBorder="1" applyAlignment="1">
      <alignment vertical="center"/>
    </xf>
    <xf numFmtId="164" fontId="42" fillId="28" borderId="41" xfId="19" applyFont="1" applyFill="1" applyBorder="1" applyAlignment="1">
      <alignment vertical="center"/>
    </xf>
    <xf numFmtId="164" fontId="11" fillId="28" borderId="38" xfId="19" applyFont="1" applyFill="1" applyBorder="1" applyAlignment="1">
      <alignment vertical="center"/>
    </xf>
    <xf numFmtId="164" fontId="25" fillId="28" borderId="44" xfId="19" applyFont="1" applyFill="1" applyBorder="1" applyAlignment="1">
      <alignment vertical="center"/>
    </xf>
    <xf numFmtId="165" fontId="0" fillId="0" borderId="0" xfId="0" applyNumberFormat="1" applyFill="1" applyBorder="1" applyAlignment="1">
      <alignment horizontal="left"/>
    </xf>
    <xf numFmtId="165" fontId="0" fillId="0" borderId="0" xfId="0" applyNumberFormat="1" applyFill="1" applyBorder="1" applyAlignment="1">
      <alignment horizontal="right"/>
    </xf>
    <xf numFmtId="165" fontId="0" fillId="21" borderId="22" xfId="19" applyNumberFormat="1" applyFont="1" applyFill="1" applyBorder="1" applyAlignment="1">
      <alignment vertical="center"/>
    </xf>
    <xf numFmtId="165" fontId="10" fillId="21" borderId="0" xfId="1" applyNumberFormat="1" applyFont="1" applyFill="1" applyBorder="1" applyAlignment="1">
      <alignment vertical="center"/>
    </xf>
    <xf numFmtId="165" fontId="10" fillId="21" borderId="0" xfId="0" applyNumberFormat="1" applyFont="1" applyFill="1" applyBorder="1"/>
    <xf numFmtId="0" fontId="155" fillId="35" borderId="0" xfId="0" applyFont="1" applyFill="1" applyBorder="1" applyAlignment="1">
      <alignment horizontal="left" textRotation="90"/>
    </xf>
    <xf numFmtId="0" fontId="0" fillId="0" borderId="0" xfId="0"/>
    <xf numFmtId="0" fontId="156" fillId="18" borderId="0" xfId="0" applyFont="1" applyFill="1" applyAlignment="1">
      <alignment vertical="center"/>
    </xf>
    <xf numFmtId="164" fontId="156" fillId="18" borderId="0" xfId="0" applyNumberFormat="1" applyFont="1" applyFill="1" applyAlignment="1">
      <alignment vertical="center"/>
    </xf>
    <xf numFmtId="164" fontId="5" fillId="28" borderId="13" xfId="1" applyNumberFormat="1" applyFont="1" applyFill="1" applyBorder="1" applyAlignment="1">
      <alignment horizontal="right" vertical="center"/>
    </xf>
    <xf numFmtId="0" fontId="68" fillId="0" borderId="0" xfId="0" applyFont="1" applyFill="1"/>
    <xf numFmtId="165" fontId="68" fillId="0" borderId="0" xfId="0" applyNumberFormat="1" applyFont="1"/>
    <xf numFmtId="9" fontId="0" fillId="21" borderId="57" xfId="20" applyNumberFormat="1" applyFont="1" applyFill="1" applyBorder="1" applyAlignment="1">
      <alignment vertical="center"/>
    </xf>
    <xf numFmtId="168" fontId="0" fillId="21" borderId="267" xfId="20" applyFont="1" applyFill="1" applyBorder="1" applyAlignment="1">
      <alignment vertical="center"/>
    </xf>
    <xf numFmtId="11" fontId="0" fillId="21" borderId="0" xfId="0" applyNumberFormat="1" applyFont="1" applyFill="1" applyBorder="1"/>
    <xf numFmtId="0" fontId="157" fillId="0" borderId="0" xfId="0" applyFont="1"/>
    <xf numFmtId="11" fontId="80" fillId="21" borderId="0" xfId="1" applyNumberFormat="1" applyFont="1" applyFill="1" applyBorder="1" applyAlignment="1">
      <alignment vertical="center"/>
    </xf>
    <xf numFmtId="11" fontId="11" fillId="21" borderId="0" xfId="1" applyNumberFormat="1" applyFont="1" applyFill="1" applyBorder="1" applyAlignment="1">
      <alignment vertical="center"/>
    </xf>
    <xf numFmtId="0" fontId="107" fillId="0" borderId="0" xfId="17" applyFont="1"/>
    <xf numFmtId="1" fontId="0" fillId="21" borderId="0" xfId="3" applyNumberFormat="1" applyFont="1" applyFill="1" applyBorder="1"/>
    <xf numFmtId="166" fontId="0" fillId="18" borderId="0" xfId="1" applyNumberFormat="1" applyFont="1" applyFill="1" applyBorder="1" applyAlignment="1">
      <alignment vertical="center"/>
    </xf>
    <xf numFmtId="0" fontId="0" fillId="0" borderId="0" xfId="0"/>
    <xf numFmtId="164" fontId="5" fillId="28" borderId="0" xfId="19" applyNumberFormat="1" applyFont="1" applyFill="1" applyAlignment="1">
      <alignment horizontal="right"/>
    </xf>
    <xf numFmtId="0" fontId="0" fillId="0" borderId="0" xfId="0"/>
    <xf numFmtId="0" fontId="107" fillId="37" borderId="0" xfId="0" applyFont="1" applyFill="1" applyBorder="1" applyAlignment="1">
      <alignment vertical="center"/>
    </xf>
    <xf numFmtId="0" fontId="107" fillId="37" borderId="0" xfId="0" applyFont="1" applyFill="1" applyBorder="1" applyAlignment="1">
      <alignment horizontal="right" vertical="center"/>
    </xf>
    <xf numFmtId="168" fontId="158" fillId="37" borderId="0" xfId="0" applyNumberFormat="1" applyFont="1" applyFill="1" applyBorder="1" applyAlignment="1">
      <alignment vertical="center"/>
    </xf>
    <xf numFmtId="164" fontId="40" fillId="28" borderId="47" xfId="19" applyFont="1" applyFill="1" applyBorder="1" applyAlignment="1">
      <alignment vertical="center"/>
    </xf>
    <xf numFmtId="164" fontId="27" fillId="22" borderId="0" xfId="19" applyNumberFormat="1" applyFont="1" applyFill="1"/>
    <xf numFmtId="165" fontId="10" fillId="21" borderId="21" xfId="1" applyNumberFormat="1" applyFont="1" applyFill="1" applyBorder="1" applyAlignment="1">
      <alignment vertical="center"/>
    </xf>
    <xf numFmtId="165" fontId="80" fillId="21" borderId="20" xfId="1" applyNumberFormat="1" applyFont="1" applyFill="1" applyBorder="1" applyAlignment="1">
      <alignment vertical="center"/>
    </xf>
    <xf numFmtId="165" fontId="10" fillId="21" borderId="23" xfId="1" applyNumberFormat="1" applyFont="1" applyFill="1" applyBorder="1" applyAlignment="1">
      <alignment vertical="center"/>
    </xf>
    <xf numFmtId="165" fontId="80" fillId="21" borderId="0" xfId="1" applyNumberFormat="1" applyFont="1" applyFill="1" applyBorder="1" applyAlignment="1">
      <alignment vertical="center"/>
    </xf>
    <xf numFmtId="165" fontId="10" fillId="21" borderId="13" xfId="1" applyNumberFormat="1" applyFont="1" applyFill="1" applyBorder="1" applyAlignment="1">
      <alignment vertical="center"/>
    </xf>
    <xf numFmtId="165" fontId="10" fillId="21" borderId="268" xfId="1" applyNumberFormat="1" applyFont="1" applyFill="1" applyBorder="1" applyAlignment="1">
      <alignment vertical="center"/>
    </xf>
    <xf numFmtId="165" fontId="10" fillId="21" borderId="24" xfId="1" applyNumberFormat="1" applyFont="1" applyFill="1" applyBorder="1" applyAlignment="1">
      <alignment vertical="center"/>
    </xf>
    <xf numFmtId="1" fontId="10" fillId="21" borderId="10" xfId="3" applyNumberFormat="1" applyFont="1" applyFill="1" applyBorder="1" applyAlignment="1">
      <alignment vertical="center"/>
    </xf>
    <xf numFmtId="165" fontId="10" fillId="21" borderId="10" xfId="1" applyNumberFormat="1" applyFont="1" applyFill="1" applyBorder="1" applyAlignment="1">
      <alignment vertical="center"/>
    </xf>
    <xf numFmtId="1" fontId="10" fillId="21" borderId="270" xfId="3" applyNumberFormat="1" applyFont="1" applyFill="1" applyBorder="1" applyAlignment="1">
      <alignment vertical="center"/>
    </xf>
    <xf numFmtId="165" fontId="80" fillId="21" borderId="15" xfId="1" applyNumberFormat="1" applyFont="1" applyFill="1" applyBorder="1" applyAlignment="1">
      <alignment vertical="center"/>
    </xf>
    <xf numFmtId="0" fontId="0" fillId="18" borderId="0" xfId="0" applyFill="1" applyBorder="1" applyAlignment="1">
      <alignment horizontal="left" vertical="center"/>
    </xf>
    <xf numFmtId="0" fontId="0" fillId="18" borderId="31" xfId="0" applyFill="1" applyBorder="1" applyAlignment="1">
      <alignment vertical="center"/>
    </xf>
    <xf numFmtId="164" fontId="9" fillId="28" borderId="0" xfId="0" applyNumberFormat="1" applyFont="1" applyFill="1" applyBorder="1"/>
    <xf numFmtId="0" fontId="135" fillId="28" borderId="0" xfId="0" applyFont="1" applyFill="1" applyBorder="1"/>
    <xf numFmtId="9" fontId="20" fillId="22" borderId="0" xfId="3" applyFont="1" applyFill="1" applyBorder="1"/>
    <xf numFmtId="164" fontId="158" fillId="22" borderId="0" xfId="0" applyNumberFormat="1" applyFont="1" applyFill="1" applyBorder="1"/>
    <xf numFmtId="0" fontId="153" fillId="22" borderId="0" xfId="12" applyFont="1" applyFill="1"/>
    <xf numFmtId="165" fontId="153" fillId="22" borderId="0" xfId="19" applyNumberFormat="1" applyFont="1" applyFill="1"/>
    <xf numFmtId="0" fontId="10" fillId="22" borderId="0" xfId="0" applyFont="1" applyFill="1"/>
    <xf numFmtId="0" fontId="0" fillId="0" borderId="0" xfId="0"/>
    <xf numFmtId="0" fontId="0" fillId="0" borderId="0" xfId="0" applyAlignment="1">
      <alignment horizontal="center"/>
    </xf>
    <xf numFmtId="0" fontId="0" fillId="0" borderId="0" xfId="0"/>
    <xf numFmtId="0" fontId="0" fillId="0" borderId="0" xfId="0"/>
    <xf numFmtId="0" fontId="0" fillId="0" borderId="0" xfId="0"/>
    <xf numFmtId="165" fontId="138" fillId="22" borderId="0" xfId="19" applyNumberFormat="1" applyFont="1" applyFill="1"/>
    <xf numFmtId="0" fontId="159" fillId="22" borderId="0" xfId="12" applyNumberFormat="1" applyFont="1" applyFill="1"/>
    <xf numFmtId="0" fontId="160" fillId="61" borderId="4" xfId="0" applyFont="1" applyFill="1" applyBorder="1"/>
    <xf numFmtId="0" fontId="27" fillId="22" borderId="0" xfId="12" applyFont="1" applyFill="1" applyAlignment="1">
      <alignment horizontal="right"/>
    </xf>
    <xf numFmtId="1" fontId="0" fillId="22" borderId="0" xfId="0" applyNumberFormat="1" applyFill="1"/>
    <xf numFmtId="165" fontId="138" fillId="22" borderId="0" xfId="19" applyNumberFormat="1" applyFont="1" applyFill="1" applyAlignment="1">
      <alignment horizontal="right"/>
    </xf>
    <xf numFmtId="168" fontId="0" fillId="22" borderId="0" xfId="20" applyFont="1" applyFill="1"/>
    <xf numFmtId="0" fontId="0" fillId="22" borderId="0" xfId="0" applyFill="1" applyAlignment="1">
      <alignment horizontal="right"/>
    </xf>
    <xf numFmtId="165" fontId="27" fillId="22" borderId="0" xfId="19" applyNumberFormat="1" applyFont="1" applyFill="1" applyAlignment="1">
      <alignment horizontal="right"/>
    </xf>
    <xf numFmtId="164" fontId="0" fillId="22" borderId="0" xfId="19" applyFont="1" applyFill="1"/>
    <xf numFmtId="164" fontId="9" fillId="22" borderId="0" xfId="19" applyFont="1" applyFill="1"/>
    <xf numFmtId="172" fontId="27" fillId="22" borderId="0" xfId="19" applyNumberFormat="1" applyFont="1" applyFill="1"/>
    <xf numFmtId="0" fontId="95" fillId="22" borderId="0" xfId="0" applyFont="1" applyFill="1" applyBorder="1"/>
    <xf numFmtId="9" fontId="0" fillId="22" borderId="0" xfId="3" applyFont="1" applyFill="1"/>
    <xf numFmtId="0" fontId="20" fillId="22" borderId="0" xfId="0" applyFont="1" applyFill="1" applyBorder="1" applyAlignment="1"/>
    <xf numFmtId="0" fontId="0" fillId="18" borderId="31" xfId="0" applyFill="1" applyBorder="1"/>
    <xf numFmtId="0" fontId="0" fillId="0" borderId="0" xfId="0" applyFont="1" applyBorder="1" applyAlignment="1">
      <alignment vertical="center"/>
    </xf>
    <xf numFmtId="0" fontId="9" fillId="18" borderId="56" xfId="0" applyFont="1" applyFill="1" applyBorder="1" applyAlignment="1">
      <alignment horizontal="left" vertical="center"/>
    </xf>
    <xf numFmtId="0" fontId="17" fillId="0" borderId="0" xfId="8" applyNumberFormat="1" applyFont="1" applyBorder="1"/>
    <xf numFmtId="164" fontId="17" fillId="0" borderId="0" xfId="8" applyNumberFormat="1" applyFont="1" applyBorder="1"/>
    <xf numFmtId="0" fontId="22" fillId="18" borderId="0" xfId="0" applyFont="1" applyFill="1" applyBorder="1" applyAlignment="1">
      <alignment vertical="center"/>
    </xf>
    <xf numFmtId="0" fontId="14" fillId="18" borderId="0" xfId="0" applyFont="1" applyFill="1" applyBorder="1" applyAlignment="1">
      <alignment vertical="center"/>
    </xf>
    <xf numFmtId="165" fontId="24" fillId="18" borderId="0" xfId="19" applyNumberFormat="1" applyFont="1" applyFill="1" applyBorder="1" applyAlignment="1">
      <alignment vertical="center"/>
    </xf>
    <xf numFmtId="164" fontId="24" fillId="18" borderId="0" xfId="19" applyFont="1" applyFill="1" applyBorder="1" applyAlignment="1">
      <alignment vertical="center"/>
    </xf>
    <xf numFmtId="0" fontId="31" fillId="17" borderId="30" xfId="0" applyFont="1" applyFill="1" applyBorder="1" applyAlignment="1">
      <alignment horizontal="left" vertical="center" indent="1"/>
    </xf>
    <xf numFmtId="0" fontId="0" fillId="17" borderId="31" xfId="0" applyFill="1" applyBorder="1"/>
    <xf numFmtId="0" fontId="0" fillId="17" borderId="32" xfId="0" applyFill="1" applyBorder="1"/>
    <xf numFmtId="0" fontId="139" fillId="18" borderId="0" xfId="0" applyFont="1" applyFill="1" applyBorder="1" applyAlignment="1">
      <alignment horizontal="left" vertical="center" indent="1"/>
    </xf>
    <xf numFmtId="0" fontId="27" fillId="18" borderId="0" xfId="12" applyFont="1" applyFill="1" applyBorder="1"/>
    <xf numFmtId="165" fontId="27" fillId="18" borderId="0" xfId="19" applyNumberFormat="1" applyFont="1" applyFill="1" applyBorder="1"/>
    <xf numFmtId="1" fontId="0" fillId="18" borderId="0" xfId="0" applyNumberFormat="1" applyFill="1" applyBorder="1"/>
    <xf numFmtId="165" fontId="27" fillId="18" borderId="13" xfId="19" applyNumberFormat="1" applyFont="1" applyFill="1" applyBorder="1"/>
    <xf numFmtId="1" fontId="0" fillId="18" borderId="13" xfId="0" applyNumberFormat="1" applyFill="1" applyBorder="1"/>
    <xf numFmtId="0" fontId="27" fillId="18" borderId="0" xfId="12" applyFont="1" applyFill="1"/>
    <xf numFmtId="165" fontId="27" fillId="18" borderId="0" xfId="19" applyNumberFormat="1" applyFont="1" applyFill="1"/>
    <xf numFmtId="0" fontId="16" fillId="18" borderId="0" xfId="0" applyFont="1" applyFill="1" applyBorder="1"/>
    <xf numFmtId="0" fontId="72" fillId="18" borderId="56" xfId="0" applyFont="1" applyFill="1" applyBorder="1" applyAlignment="1">
      <alignment horizontal="left" vertical="center"/>
    </xf>
    <xf numFmtId="0" fontId="72" fillId="18" borderId="56" xfId="0" applyFont="1" applyFill="1" applyBorder="1" applyAlignment="1">
      <alignment vertical="center"/>
    </xf>
    <xf numFmtId="1" fontId="16" fillId="18" borderId="0" xfId="0" applyNumberFormat="1" applyFont="1" applyFill="1" applyBorder="1"/>
    <xf numFmtId="1" fontId="16" fillId="18" borderId="0" xfId="0" applyNumberFormat="1" applyFont="1" applyFill="1" applyBorder="1" applyAlignment="1">
      <alignment horizontal="right" vertical="center"/>
    </xf>
    <xf numFmtId="1" fontId="16" fillId="18" borderId="0" xfId="0" applyNumberFormat="1" applyFont="1" applyFill="1" applyBorder="1" applyAlignment="1">
      <alignment vertical="center"/>
    </xf>
    <xf numFmtId="0" fontId="16" fillId="18" borderId="0" xfId="0" applyFont="1" applyFill="1" applyBorder="1" applyAlignment="1">
      <alignment horizontal="left" vertical="center"/>
    </xf>
    <xf numFmtId="1" fontId="16" fillId="18" borderId="13" xfId="0" applyNumberFormat="1" applyFont="1" applyFill="1" applyBorder="1"/>
    <xf numFmtId="0" fontId="27" fillId="18" borderId="13" xfId="12" applyFont="1" applyFill="1" applyBorder="1"/>
    <xf numFmtId="0" fontId="16" fillId="18" borderId="13" xfId="0" applyFont="1" applyFill="1" applyBorder="1"/>
    <xf numFmtId="0" fontId="95" fillId="18" borderId="0" xfId="0" applyFont="1" applyFill="1" applyBorder="1"/>
    <xf numFmtId="0" fontId="161" fillId="18" borderId="0" xfId="0" applyFont="1" applyFill="1" applyBorder="1"/>
    <xf numFmtId="0" fontId="161" fillId="18" borderId="0" xfId="0" applyFont="1" applyFill="1" applyBorder="1" applyAlignment="1">
      <alignment horizontal="right" vertical="center"/>
    </xf>
    <xf numFmtId="0" fontId="161" fillId="18" borderId="0" xfId="0" applyFont="1" applyFill="1" applyBorder="1" applyAlignment="1">
      <alignment vertical="center"/>
    </xf>
    <xf numFmtId="0" fontId="27" fillId="18" borderId="0" xfId="8" applyNumberFormat="1" applyFont="1" applyFill="1" applyBorder="1"/>
    <xf numFmtId="0" fontId="27" fillId="18" borderId="13" xfId="8" applyNumberFormat="1" applyFont="1" applyFill="1" applyBorder="1"/>
    <xf numFmtId="1" fontId="16" fillId="18" borderId="13" xfId="0" applyNumberFormat="1" applyFont="1" applyFill="1" applyBorder="1" applyAlignment="1">
      <alignment vertical="center"/>
    </xf>
    <xf numFmtId="165" fontId="27" fillId="18" borderId="0" xfId="8" applyNumberFormat="1" applyFont="1" applyFill="1" applyBorder="1"/>
    <xf numFmtId="0" fontId="153" fillId="18" borderId="0" xfId="8" applyNumberFormat="1" applyFont="1" applyFill="1" applyBorder="1"/>
    <xf numFmtId="165" fontId="27" fillId="18" borderId="13" xfId="8" applyNumberFormat="1" applyFont="1" applyFill="1" applyBorder="1"/>
    <xf numFmtId="0" fontId="27" fillId="18" borderId="0" xfId="12" applyFont="1" applyFill="1" applyBorder="1" applyAlignment="1">
      <alignment horizontal="right"/>
    </xf>
    <xf numFmtId="0" fontId="16" fillId="18" borderId="0" xfId="0" applyFont="1" applyFill="1" applyBorder="1" applyAlignment="1">
      <alignment horizontal="right"/>
    </xf>
    <xf numFmtId="1" fontId="16" fillId="18" borderId="20" xfId="0" applyNumberFormat="1" applyFont="1" applyFill="1" applyBorder="1"/>
    <xf numFmtId="180" fontId="98" fillId="64" borderId="0" xfId="0" applyNumberFormat="1" applyFont="1" applyFill="1"/>
    <xf numFmtId="168" fontId="24" fillId="22" borderId="0" xfId="20" applyFont="1" applyFill="1" applyBorder="1"/>
    <xf numFmtId="168" fontId="24" fillId="22" borderId="0" xfId="20" applyFont="1" applyFill="1" applyBorder="1" applyAlignment="1">
      <alignment horizontal="right"/>
    </xf>
    <xf numFmtId="199" fontId="0" fillId="22" borderId="0" xfId="19" applyNumberFormat="1" applyFont="1" applyFill="1" applyBorder="1"/>
    <xf numFmtId="0" fontId="9" fillId="22" borderId="0" xfId="0" applyFont="1" applyFill="1" applyBorder="1" applyAlignment="1">
      <alignment horizontal="left"/>
    </xf>
    <xf numFmtId="0" fontId="24" fillId="18" borderId="56" xfId="0" applyFont="1" applyFill="1" applyBorder="1" applyAlignment="1">
      <alignment horizontal="left" vertical="center"/>
    </xf>
    <xf numFmtId="164" fontId="17" fillId="0" borderId="0" xfId="8" applyNumberFormat="1"/>
    <xf numFmtId="0" fontId="11" fillId="18" borderId="0" xfId="8" applyNumberFormat="1" applyFont="1" applyFill="1" applyBorder="1"/>
    <xf numFmtId="165" fontId="11" fillId="18" borderId="0" xfId="8" applyNumberFormat="1" applyFont="1" applyFill="1" applyBorder="1"/>
    <xf numFmtId="165" fontId="17" fillId="18" borderId="0" xfId="8" applyNumberFormat="1" applyFill="1" applyBorder="1"/>
    <xf numFmtId="0" fontId="62" fillId="18" borderId="0" xfId="8" applyNumberFormat="1" applyFont="1" applyFill="1" applyBorder="1"/>
    <xf numFmtId="49" fontId="25" fillId="18" borderId="0" xfId="8" applyNumberFormat="1" applyFont="1" applyFill="1" applyBorder="1" applyAlignment="1">
      <alignment horizontal="right"/>
    </xf>
    <xf numFmtId="0" fontId="24" fillId="18" borderId="0" xfId="0" applyFont="1" applyFill="1" applyBorder="1"/>
    <xf numFmtId="165" fontId="24" fillId="18" borderId="0" xfId="19" applyNumberFormat="1" applyFont="1" applyFill="1" applyBorder="1"/>
    <xf numFmtId="165" fontId="9" fillId="18" borderId="20" xfId="19" applyNumberFormat="1" applyFont="1" applyFill="1" applyBorder="1" applyAlignment="1">
      <alignment vertical="center"/>
    </xf>
    <xf numFmtId="0" fontId="139" fillId="18" borderId="6" xfId="0" applyFont="1" applyFill="1" applyBorder="1" applyAlignment="1">
      <alignment horizontal="left" vertical="center" indent="1"/>
    </xf>
    <xf numFmtId="0" fontId="138" fillId="18" borderId="0" xfId="12" applyFont="1" applyFill="1"/>
    <xf numFmtId="0" fontId="138" fillId="18" borderId="0" xfId="12" applyNumberFormat="1" applyFont="1" applyFill="1"/>
    <xf numFmtId="1" fontId="0" fillId="18" borderId="0" xfId="0" applyNumberFormat="1" applyFill="1"/>
    <xf numFmtId="0" fontId="78" fillId="18" borderId="6" xfId="0" applyFont="1" applyFill="1" applyBorder="1"/>
    <xf numFmtId="165" fontId="138" fillId="18" borderId="0" xfId="19" applyNumberFormat="1" applyFont="1" applyFill="1"/>
    <xf numFmtId="1" fontId="9" fillId="18" borderId="0" xfId="0" applyNumberFormat="1" applyFont="1" applyFill="1"/>
    <xf numFmtId="0" fontId="9" fillId="18" borderId="7" xfId="0" applyFont="1" applyFill="1" applyBorder="1" applyAlignment="1">
      <alignment vertical="center"/>
    </xf>
    <xf numFmtId="0" fontId="153" fillId="18" borderId="0" xfId="12" applyFont="1" applyFill="1"/>
    <xf numFmtId="165" fontId="153" fillId="18" borderId="0" xfId="19" applyNumberFormat="1" applyFont="1" applyFill="1"/>
    <xf numFmtId="0" fontId="0" fillId="18" borderId="56" xfId="0" applyFont="1" applyFill="1" applyBorder="1" applyAlignment="1">
      <alignment horizontal="left" vertical="center"/>
    </xf>
    <xf numFmtId="164" fontId="17" fillId="0" borderId="0" xfId="8" applyNumberFormat="1" applyFill="1"/>
    <xf numFmtId="0" fontId="11" fillId="18" borderId="13" xfId="8" applyNumberFormat="1" applyFont="1" applyFill="1" applyBorder="1"/>
    <xf numFmtId="165" fontId="11" fillId="18" borderId="13" xfId="8" applyNumberFormat="1" applyFont="1" applyFill="1" applyBorder="1"/>
    <xf numFmtId="0" fontId="11" fillId="18" borderId="0" xfId="8" applyNumberFormat="1" applyFont="1" applyFill="1" applyBorder="1" applyAlignment="1">
      <alignment horizontal="left"/>
    </xf>
    <xf numFmtId="165" fontId="132" fillId="0" borderId="0" xfId="19" applyNumberFormat="1" applyFont="1" applyFill="1" applyBorder="1"/>
    <xf numFmtId="165" fontId="17" fillId="0" borderId="0" xfId="8" applyNumberFormat="1" applyFill="1" applyBorder="1"/>
    <xf numFmtId="165" fontId="132" fillId="0" borderId="0" xfId="0" applyNumberFormat="1" applyFont="1" applyFill="1" applyBorder="1"/>
    <xf numFmtId="0" fontId="17" fillId="0" borderId="7" xfId="8" applyNumberFormat="1" applyFill="1" applyBorder="1"/>
    <xf numFmtId="165" fontId="9" fillId="18" borderId="0" xfId="19" applyNumberFormat="1" applyFont="1" applyFill="1" applyBorder="1" applyAlignment="1">
      <alignment vertical="center"/>
    </xf>
    <xf numFmtId="164" fontId="9" fillId="0" borderId="0" xfId="19" applyFont="1" applyFill="1" applyAlignment="1">
      <alignment vertical="center"/>
    </xf>
    <xf numFmtId="0" fontId="9" fillId="0" borderId="0" xfId="0" applyFont="1" applyFill="1" applyAlignment="1">
      <alignment vertical="center"/>
    </xf>
    <xf numFmtId="168" fontId="0" fillId="18" borderId="0" xfId="20" applyFont="1" applyFill="1" applyBorder="1"/>
    <xf numFmtId="168" fontId="11" fillId="18" borderId="0" xfId="20" applyFont="1" applyFill="1" applyBorder="1"/>
    <xf numFmtId="0" fontId="11" fillId="37" borderId="0" xfId="8" applyNumberFormat="1" applyFont="1" applyFill="1" applyBorder="1" applyAlignment="1">
      <alignment horizontal="right"/>
    </xf>
    <xf numFmtId="9" fontId="0" fillId="22" borderId="0" xfId="0" applyNumberFormat="1" applyFont="1" applyFill="1" applyBorder="1" applyAlignment="1">
      <alignment horizontal="right"/>
    </xf>
    <xf numFmtId="0" fontId="11" fillId="22" borderId="0" xfId="12" applyNumberFormat="1" applyFont="1" applyFill="1"/>
    <xf numFmtId="0" fontId="11" fillId="22" borderId="0" xfId="12" applyFont="1" applyFill="1"/>
    <xf numFmtId="9" fontId="0" fillId="22" borderId="0" xfId="0" applyNumberFormat="1" applyFont="1" applyFill="1" applyAlignment="1">
      <alignment horizontal="right"/>
    </xf>
    <xf numFmtId="165" fontId="9" fillId="37" borderId="0" xfId="19" applyNumberFormat="1" applyFont="1" applyFill="1" applyBorder="1"/>
    <xf numFmtId="0" fontId="0" fillId="37" borderId="0" xfId="0" quotePrefix="1" applyFill="1" applyBorder="1"/>
    <xf numFmtId="164" fontId="9" fillId="37" borderId="0" xfId="19" applyNumberFormat="1" applyFont="1" applyFill="1" applyBorder="1"/>
    <xf numFmtId="0" fontId="68" fillId="37" borderId="0" xfId="0" applyFont="1" applyFill="1" applyBorder="1"/>
    <xf numFmtId="0" fontId="0" fillId="0" borderId="0" xfId="0"/>
    <xf numFmtId="166" fontId="0" fillId="27" borderId="0" xfId="19" applyNumberFormat="1" applyFont="1" applyFill="1" applyBorder="1" applyAlignment="1">
      <alignment vertical="center"/>
    </xf>
    <xf numFmtId="0" fontId="0" fillId="0" borderId="0" xfId="0"/>
    <xf numFmtId="166" fontId="0" fillId="18" borderId="13" xfId="1" applyNumberFormat="1" applyFont="1" applyFill="1" applyBorder="1"/>
    <xf numFmtId="166" fontId="0" fillId="18" borderId="20" xfId="1" applyNumberFormat="1" applyFont="1" applyFill="1" applyBorder="1"/>
    <xf numFmtId="166" fontId="0" fillId="27" borderId="0" xfId="1" applyNumberFormat="1" applyFont="1" applyFill="1" applyBorder="1" applyAlignment="1">
      <alignment vertical="center"/>
    </xf>
    <xf numFmtId="166" fontId="0" fillId="27" borderId="13" xfId="1" applyNumberFormat="1" applyFont="1" applyFill="1" applyBorder="1" applyAlignment="1">
      <alignment vertical="center"/>
    </xf>
    <xf numFmtId="172" fontId="0" fillId="0" borderId="10" xfId="1" applyNumberFormat="1" applyFont="1" applyBorder="1"/>
    <xf numFmtId="0" fontId="0" fillId="0" borderId="52" xfId="0" applyBorder="1" applyAlignment="1">
      <alignment vertical="center" wrapText="1"/>
    </xf>
    <xf numFmtId="0" fontId="0" fillId="0" borderId="52" xfId="0" applyBorder="1" applyAlignment="1">
      <alignment wrapText="1"/>
    </xf>
    <xf numFmtId="0" fontId="0" fillId="0" borderId="52" xfId="0" applyBorder="1" applyAlignment="1">
      <alignment horizontal="left" vertical="center" wrapText="1"/>
    </xf>
    <xf numFmtId="0" fontId="0" fillId="0" borderId="0" xfId="0" applyAlignment="1">
      <alignment horizontal="left" vertical="center" wrapText="1"/>
    </xf>
    <xf numFmtId="0" fontId="56" fillId="0" borderId="0" xfId="0" applyFont="1" applyAlignment="1">
      <alignment wrapText="1"/>
    </xf>
    <xf numFmtId="0" fontId="59" fillId="0" borderId="0" xfId="0" applyFont="1" applyAlignment="1">
      <alignment wrapText="1"/>
    </xf>
    <xf numFmtId="0" fontId="51" fillId="0" borderId="0" xfId="0" applyFont="1" applyAlignment="1">
      <alignment vertical="center" wrapText="1"/>
    </xf>
    <xf numFmtId="0" fontId="20" fillId="0" borderId="52" xfId="0" applyFont="1" applyBorder="1" applyAlignment="1">
      <alignment vertical="center" wrapText="1"/>
    </xf>
    <xf numFmtId="0" fontId="20" fillId="0" borderId="0" xfId="0" applyFont="1" applyAlignment="1">
      <alignment vertical="center" wrapText="1"/>
    </xf>
    <xf numFmtId="0" fontId="0" fillId="0" borderId="0" xfId="0"/>
    <xf numFmtId="0" fontId="0" fillId="0" borderId="0" xfId="0"/>
    <xf numFmtId="0" fontId="124" fillId="50" borderId="0" xfId="0" applyFont="1" applyFill="1" applyAlignment="1">
      <alignment wrapText="1"/>
    </xf>
    <xf numFmtId="0" fontId="0" fillId="0" borderId="0" xfId="0"/>
    <xf numFmtId="0" fontId="49" fillId="38" borderId="0" xfId="0" applyFont="1" applyFill="1" applyAlignment="1">
      <alignment horizontal="center" vertical="center"/>
    </xf>
    <xf numFmtId="0" fontId="8" fillId="0" borderId="0" xfId="0" applyFont="1" applyAlignment="1">
      <alignment horizontal="left" vertical="center" wrapText="1"/>
    </xf>
    <xf numFmtId="0" fontId="5" fillId="0" borderId="0" xfId="0" applyFont="1" applyAlignment="1">
      <alignment horizontal="left" vertical="center" wrapText="1"/>
    </xf>
    <xf numFmtId="0" fontId="5" fillId="0" borderId="7" xfId="0" applyFont="1" applyBorder="1" applyAlignment="1">
      <alignment horizontal="left" vertical="center" wrapText="1"/>
    </xf>
    <xf numFmtId="164" fontId="132" fillId="18" borderId="0" xfId="19" applyFont="1" applyFill="1" applyBorder="1" applyAlignment="1">
      <alignment horizontal="right"/>
    </xf>
    <xf numFmtId="164" fontId="0" fillId="18" borderId="0" xfId="19" applyFont="1" applyFill="1" applyBorder="1" applyAlignment="1">
      <alignment horizontal="right" vertical="center"/>
    </xf>
    <xf numFmtId="179" fontId="9" fillId="0" borderId="0" xfId="17" applyNumberFormat="1" applyFont="1" applyFill="1" applyBorder="1" applyAlignment="1">
      <alignment horizontal="center" vertical="center"/>
    </xf>
    <xf numFmtId="0" fontId="24" fillId="0" borderId="0" xfId="17" applyFont="1" applyFill="1" applyBorder="1" applyAlignment="1">
      <alignment horizontal="center" vertical="center"/>
    </xf>
    <xf numFmtId="1" fontId="0" fillId="0" borderId="0" xfId="20" applyNumberFormat="1" applyFont="1" applyFill="1" applyBorder="1" applyAlignment="1">
      <alignment horizontal="center" vertical="center"/>
    </xf>
    <xf numFmtId="0" fontId="0" fillId="0" borderId="0" xfId="0" applyAlignment="1">
      <alignment horizontal="center"/>
    </xf>
    <xf numFmtId="0" fontId="0" fillId="0" borderId="0" xfId="0"/>
    <xf numFmtId="0" fontId="24" fillId="0" borderId="0" xfId="0" applyNumberFormat="1" applyFont="1" applyFill="1" applyBorder="1" applyAlignment="1">
      <alignment horizontal="center" vertical="center"/>
    </xf>
    <xf numFmtId="0" fontId="9" fillId="0" borderId="0" xfId="5" applyFont="1" applyFill="1" applyBorder="1" applyAlignment="1">
      <alignment horizontal="center" vertical="center"/>
    </xf>
    <xf numFmtId="0" fontId="9" fillId="0" borderId="0" xfId="5" applyFont="1" applyFill="1" applyBorder="1" applyAlignment="1">
      <alignment horizontal="left" vertical="center"/>
    </xf>
    <xf numFmtId="0" fontId="9" fillId="0" borderId="0" xfId="33" applyFont="1" applyFill="1" applyBorder="1" applyAlignment="1">
      <alignment horizontal="center" vertical="center"/>
    </xf>
    <xf numFmtId="0" fontId="9" fillId="21" borderId="0" xfId="0" applyFont="1" applyFill="1" applyBorder="1" applyAlignment="1">
      <alignment horizontal="center"/>
    </xf>
    <xf numFmtId="0" fontId="9" fillId="0" borderId="0" xfId="0" applyFont="1" applyFill="1" applyBorder="1" applyAlignment="1">
      <alignment horizontal="center"/>
    </xf>
    <xf numFmtId="0" fontId="0" fillId="0" borderId="0" xfId="0" applyFill="1" applyBorder="1" applyAlignment="1">
      <alignment horizontal="center" vertical="center" textRotation="90"/>
    </xf>
    <xf numFmtId="0" fontId="0" fillId="0" borderId="0" xfId="0" applyFont="1" applyFill="1" applyBorder="1" applyAlignment="1">
      <alignment horizontal="center" vertical="center"/>
    </xf>
    <xf numFmtId="0" fontId="13" fillId="21" borderId="8" xfId="0" applyFont="1" applyFill="1" applyBorder="1" applyAlignment="1">
      <alignment horizontal="left" vertical="center"/>
    </xf>
    <xf numFmtId="0" fontId="32" fillId="21" borderId="20" xfId="0" applyNumberFormat="1" applyFont="1" applyFill="1" applyBorder="1" applyAlignment="1">
      <alignment horizontal="left" vertical="center" wrapText="1"/>
    </xf>
    <xf numFmtId="0" fontId="32" fillId="21" borderId="0" xfId="0" applyNumberFormat="1" applyFont="1" applyFill="1" applyBorder="1" applyAlignment="1">
      <alignment horizontal="left" vertical="center" wrapText="1"/>
    </xf>
    <xf numFmtId="179" fontId="25" fillId="21" borderId="74" xfId="0" applyNumberFormat="1" applyFont="1" applyFill="1" applyBorder="1" applyAlignment="1">
      <alignment horizontal="center" vertical="center"/>
    </xf>
    <xf numFmtId="0" fontId="0" fillId="21" borderId="74" xfId="0" applyFill="1" applyBorder="1" applyAlignment="1"/>
    <xf numFmtId="179" fontId="10" fillId="0" borderId="0" xfId="5" applyNumberFormat="1" applyFont="1" applyFill="1" applyBorder="1" applyAlignment="1">
      <alignment horizontal="center" vertical="center"/>
    </xf>
    <xf numFmtId="0" fontId="10" fillId="0" borderId="0" xfId="5" applyFont="1" applyFill="1" applyBorder="1" applyAlignment="1">
      <alignment horizontal="center" vertical="center"/>
    </xf>
    <xf numFmtId="0" fontId="0" fillId="21" borderId="86" xfId="0" applyFill="1" applyBorder="1" applyAlignment="1">
      <alignment horizontal="center"/>
    </xf>
    <xf numFmtId="0" fontId="0" fillId="21" borderId="85" xfId="0" applyFill="1" applyBorder="1" applyAlignment="1">
      <alignment horizontal="center"/>
    </xf>
    <xf numFmtId="0" fontId="0" fillId="21" borderId="0" xfId="0" applyFill="1" applyBorder="1" applyAlignment="1">
      <alignment horizontal="center"/>
    </xf>
    <xf numFmtId="0" fontId="126" fillId="0" borderId="0" xfId="0" applyFont="1" applyAlignment="1">
      <alignment horizontal="center"/>
    </xf>
  </cellXfs>
  <cellStyles count="172">
    <cellStyle name="20% - Accent1 2" xfId="21"/>
    <cellStyle name="20% - Accent1 3" xfId="22"/>
    <cellStyle name="20% - Accent1 4" xfId="23"/>
    <cellStyle name="20% - Accent1 5" xfId="24"/>
    <cellStyle name="20% - Accent2 2" xfId="25"/>
    <cellStyle name="20% - Accent2 3" xfId="26"/>
    <cellStyle name="20% - Accent3 2" xfId="27"/>
    <cellStyle name="20% - Accent3 3" xfId="28"/>
    <cellStyle name="20% - Accent4 2" xfId="29"/>
    <cellStyle name="20% - Accent4 3" xfId="30"/>
    <cellStyle name="20% - Accent5 2" xfId="31"/>
    <cellStyle name="20% - Accent5 3" xfId="32"/>
    <cellStyle name="20% - Accent6" xfId="5" builtinId="50"/>
    <cellStyle name="20% - Accent6 2" xfId="33"/>
    <cellStyle name="20% - Accent6 3" xfId="7"/>
    <cellStyle name="20% - Accent6 4" xfId="34"/>
    <cellStyle name="20% - Accent6 5" xfId="35"/>
    <cellStyle name="20% - Accent6 6" xfId="36"/>
    <cellStyle name="20% - Accent6 7" xfId="37"/>
    <cellStyle name="40% - Accent1 2" xfId="38"/>
    <cellStyle name="40% - Accent1 3" xfId="39"/>
    <cellStyle name="40% - Accent2 2" xfId="40"/>
    <cellStyle name="40% - Accent2 3" xfId="41"/>
    <cellStyle name="40% - Accent3 2" xfId="42"/>
    <cellStyle name="40% - Accent3 3" xfId="43"/>
    <cellStyle name="40% - Accent4 2" xfId="44"/>
    <cellStyle name="40% - Accent4 3" xfId="45"/>
    <cellStyle name="40% - Accent5 2" xfId="46"/>
    <cellStyle name="40% - Accent5 3" xfId="47"/>
    <cellStyle name="40% - Accent6 2" xfId="48"/>
    <cellStyle name="40% - Accent6 3" xfId="49"/>
    <cellStyle name="Accent6" xfId="171" builtinId="49"/>
    <cellStyle name="Comma" xfId="1" builtinId="3"/>
    <cellStyle name="Comma 2" xfId="9"/>
    <cellStyle name="Comma 3" xfId="19"/>
    <cellStyle name="Currency" xfId="2" builtinId="4"/>
    <cellStyle name="Excel Built-in Normal" xfId="50"/>
    <cellStyle name="Good" xfId="4" builtinId="26"/>
    <cellStyle name="Hyperlink" xfId="6" builtinId="8"/>
    <cellStyle name="Hyperlink 10" xfId="51"/>
    <cellStyle name="Hyperlink 100" xfId="52"/>
    <cellStyle name="Hyperlink 101" xfId="53"/>
    <cellStyle name="Hyperlink 102" xfId="54"/>
    <cellStyle name="Hyperlink 103" xfId="55"/>
    <cellStyle name="Hyperlink 104" xfId="56"/>
    <cellStyle name="Hyperlink 105" xfId="57"/>
    <cellStyle name="Hyperlink 106" xfId="58"/>
    <cellStyle name="Hyperlink 107" xfId="59"/>
    <cellStyle name="Hyperlink 108" xfId="60"/>
    <cellStyle name="Hyperlink 109" xfId="61"/>
    <cellStyle name="Hyperlink 11" xfId="62"/>
    <cellStyle name="Hyperlink 110" xfId="63"/>
    <cellStyle name="Hyperlink 111" xfId="64"/>
    <cellStyle name="Hyperlink 12" xfId="65"/>
    <cellStyle name="Hyperlink 13" xfId="66"/>
    <cellStyle name="Hyperlink 14" xfId="67"/>
    <cellStyle name="Hyperlink 15" xfId="68"/>
    <cellStyle name="Hyperlink 16" xfId="69"/>
    <cellStyle name="Hyperlink 17" xfId="70"/>
    <cellStyle name="Hyperlink 18" xfId="71"/>
    <cellStyle name="Hyperlink 19" xfId="72"/>
    <cellStyle name="Hyperlink 2" xfId="73"/>
    <cellStyle name="Hyperlink 20" xfId="74"/>
    <cellStyle name="Hyperlink 21" xfId="75"/>
    <cellStyle name="Hyperlink 22" xfId="76"/>
    <cellStyle name="Hyperlink 23" xfId="77"/>
    <cellStyle name="Hyperlink 24" xfId="78"/>
    <cellStyle name="Hyperlink 25" xfId="79"/>
    <cellStyle name="Hyperlink 26" xfId="80"/>
    <cellStyle name="Hyperlink 27" xfId="81"/>
    <cellStyle name="Hyperlink 28" xfId="82"/>
    <cellStyle name="Hyperlink 29" xfId="83"/>
    <cellStyle name="Hyperlink 3" xfId="84"/>
    <cellStyle name="Hyperlink 30" xfId="85"/>
    <cellStyle name="Hyperlink 31" xfId="86"/>
    <cellStyle name="Hyperlink 32" xfId="87"/>
    <cellStyle name="Hyperlink 33" xfId="88"/>
    <cellStyle name="Hyperlink 34" xfId="89"/>
    <cellStyle name="Hyperlink 35" xfId="90"/>
    <cellStyle name="Hyperlink 36" xfId="91"/>
    <cellStyle name="Hyperlink 37" xfId="92"/>
    <cellStyle name="Hyperlink 38" xfId="93"/>
    <cellStyle name="Hyperlink 39" xfId="94"/>
    <cellStyle name="Hyperlink 4" xfId="95"/>
    <cellStyle name="Hyperlink 40" xfId="96"/>
    <cellStyle name="Hyperlink 41" xfId="97"/>
    <cellStyle name="Hyperlink 42" xfId="98"/>
    <cellStyle name="Hyperlink 43" xfId="99"/>
    <cellStyle name="Hyperlink 44" xfId="100"/>
    <cellStyle name="Hyperlink 45" xfId="101"/>
    <cellStyle name="Hyperlink 46" xfId="102"/>
    <cellStyle name="Hyperlink 47" xfId="103"/>
    <cellStyle name="Hyperlink 48" xfId="104"/>
    <cellStyle name="Hyperlink 49" xfId="105"/>
    <cellStyle name="Hyperlink 5" xfId="106"/>
    <cellStyle name="Hyperlink 50" xfId="107"/>
    <cellStyle name="Hyperlink 51" xfId="108"/>
    <cellStyle name="Hyperlink 52" xfId="109"/>
    <cellStyle name="Hyperlink 53" xfId="110"/>
    <cellStyle name="Hyperlink 54" xfId="111"/>
    <cellStyle name="Hyperlink 55" xfId="112"/>
    <cellStyle name="Hyperlink 56" xfId="113"/>
    <cellStyle name="Hyperlink 57" xfId="114"/>
    <cellStyle name="Hyperlink 58" xfId="115"/>
    <cellStyle name="Hyperlink 59" xfId="116"/>
    <cellStyle name="Hyperlink 6" xfId="117"/>
    <cellStyle name="Hyperlink 60" xfId="118"/>
    <cellStyle name="Hyperlink 61" xfId="119"/>
    <cellStyle name="Hyperlink 62" xfId="120"/>
    <cellStyle name="Hyperlink 63" xfId="121"/>
    <cellStyle name="Hyperlink 64" xfId="122"/>
    <cellStyle name="Hyperlink 65" xfId="123"/>
    <cellStyle name="Hyperlink 66" xfId="124"/>
    <cellStyle name="Hyperlink 67" xfId="125"/>
    <cellStyle name="Hyperlink 68" xfId="126"/>
    <cellStyle name="Hyperlink 69" xfId="127"/>
    <cellStyle name="Hyperlink 7" xfId="128"/>
    <cellStyle name="Hyperlink 70" xfId="129"/>
    <cellStyle name="Hyperlink 71" xfId="130"/>
    <cellStyle name="Hyperlink 72" xfId="131"/>
    <cellStyle name="Hyperlink 73" xfId="132"/>
    <cellStyle name="Hyperlink 74" xfId="133"/>
    <cellStyle name="Hyperlink 75" xfId="134"/>
    <cellStyle name="Hyperlink 76" xfId="135"/>
    <cellStyle name="Hyperlink 77" xfId="136"/>
    <cellStyle name="Hyperlink 78" xfId="137"/>
    <cellStyle name="Hyperlink 79" xfId="138"/>
    <cellStyle name="Hyperlink 8" xfId="139"/>
    <cellStyle name="Hyperlink 80" xfId="140"/>
    <cellStyle name="Hyperlink 81" xfId="141"/>
    <cellStyle name="Hyperlink 82" xfId="142"/>
    <cellStyle name="Hyperlink 83" xfId="143"/>
    <cellStyle name="Hyperlink 84" xfId="144"/>
    <cellStyle name="Hyperlink 85" xfId="145"/>
    <cellStyle name="Hyperlink 86" xfId="146"/>
    <cellStyle name="Hyperlink 87" xfId="147"/>
    <cellStyle name="Hyperlink 88" xfId="148"/>
    <cellStyle name="Hyperlink 89" xfId="149"/>
    <cellStyle name="Hyperlink 9" xfId="150"/>
    <cellStyle name="Hyperlink 90" xfId="151"/>
    <cellStyle name="Hyperlink 91" xfId="152"/>
    <cellStyle name="Hyperlink 92" xfId="153"/>
    <cellStyle name="Hyperlink 93" xfId="154"/>
    <cellStyle name="Hyperlink 94" xfId="155"/>
    <cellStyle name="Hyperlink 95" xfId="156"/>
    <cellStyle name="Hyperlink 96" xfId="157"/>
    <cellStyle name="Hyperlink 97" xfId="158"/>
    <cellStyle name="Hyperlink 98" xfId="159"/>
    <cellStyle name="Hyperlink 99" xfId="160"/>
    <cellStyle name="Input 2" xfId="18"/>
    <cellStyle name="KP_thin_border_dark_grey" xfId="169"/>
    <cellStyle name="Normal" xfId="0" builtinId="0"/>
    <cellStyle name="Normal 2" xfId="12"/>
    <cellStyle name="Normal 2 2" xfId="161"/>
    <cellStyle name="Normal 2 2 2" xfId="13"/>
    <cellStyle name="Normal 3" xfId="14"/>
    <cellStyle name="Normal 3 2" xfId="162"/>
    <cellStyle name="Normal 4" xfId="15"/>
    <cellStyle name="Normal 4 2" xfId="16"/>
    <cellStyle name="Normal 5" xfId="17"/>
    <cellStyle name="Normal 6" xfId="163"/>
    <cellStyle name="Normal 7" xfId="164"/>
    <cellStyle name="Normal_1990 and 1998 CIP - Prices Quantity and CO2(MH)" xfId="10"/>
    <cellStyle name="Normal_2000balx" xfId="11"/>
    <cellStyle name="Normál_Munka1" xfId="170"/>
    <cellStyle name="Note 2" xfId="165"/>
    <cellStyle name="Note 3" xfId="166"/>
    <cellStyle name="Note 4" xfId="167"/>
    <cellStyle name="ofwhich" xfId="8"/>
    <cellStyle name="Percent" xfId="3" builtinId="5"/>
    <cellStyle name="Percent 2" xfId="20"/>
    <cellStyle name="Table_HeaderRow" xfId="168"/>
  </cellStyles>
  <dxfs count="3158">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auto="1"/>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vertical/>
        <horizontal/>
      </border>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numFmt numFmtId="0" formatCode="General"/>
    </dxf>
    <dxf>
      <fill>
        <patternFill patternType="solid">
          <fgColor indexed="64"/>
          <bgColor theme="6" tint="0.79998168889431442"/>
        </patternFill>
      </fill>
    </dxf>
    <dxf>
      <fill>
        <patternFill patternType="solid">
          <fgColor indexed="64"/>
          <bgColor theme="6" tint="0.79998168889431442"/>
        </patternFill>
      </fill>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border diagonalUp="0" diagonalDown="0">
        <left/>
        <right style="thin">
          <color theme="0" tint="-0.34998626667073579"/>
        </right>
        <top/>
        <bottom/>
        <vertical/>
        <horizontal/>
      </border>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8"/>
        <color auto="1"/>
        <name val="Calibri"/>
        <scheme val="minor"/>
      </font>
      <fill>
        <patternFill patternType="solid">
          <fgColor indexed="64"/>
          <bgColor theme="6" tint="0.79998168889431442"/>
        </patternFill>
      </fill>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border diagonalUp="0" diagonalDown="0">
        <left/>
        <right style="thin">
          <color theme="0" tint="-0.34998626667073579"/>
        </right>
        <top/>
        <bottom/>
        <vertical/>
        <horizontal/>
      </border>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vertical/>
        <horizontal/>
      </border>
    </dxf>
    <dxf>
      <border outline="0">
        <top style="thin">
          <color theme="5" tint="0.59996337778862885"/>
        </top>
      </border>
    </dxf>
    <dxf>
      <border outline="0">
        <bottom style="thin">
          <color auto="1"/>
        </bottom>
      </border>
    </dxf>
    <dxf>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style="thin">
          <color theme="0" tint="-0.34998626667073579"/>
        </right>
        <top/>
        <bottom/>
      </border>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outline="0">
        <left style="thin">
          <color theme="5" tint="0.59996337778862885"/>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mergeCell="0" readingOrder="0"/>
    </dxf>
    <dxf>
      <fill>
        <patternFill patternType="solid">
          <fgColor indexed="64"/>
          <bgColor theme="5" tint="0.59999389629810485"/>
        </patternFill>
      </fill>
      <alignment horizontal="general" vertical="center" textRotation="0" wrapText="0" indent="0" relativeIndent="0" justifyLastLine="0" shrinkToFit="0" mergeCell="0" readingOrder="0"/>
    </dxf>
    <dxf>
      <fill>
        <patternFill patternType="solid">
          <fgColor indexed="64"/>
          <bgColor theme="5" tint="0.59999389629810485"/>
        </patternFill>
      </fill>
      <alignment horizontal="general" vertical="center" textRotation="0" wrapText="0" indent="0" relativeIndent="0" justifyLastLine="0" shrinkToFit="0" mergeCell="0" readingOrder="0"/>
    </dxf>
    <dxf>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outline="0">
        <left/>
        <right style="thin">
          <color theme="5" tint="0.59996337778862885"/>
        </right>
        <top/>
        <bottom/>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style="thin">
          <color theme="0"/>
        </bottom>
      </border>
    </dxf>
    <dxf>
      <font>
        <strike val="0"/>
        <outline val="0"/>
        <shadow val="0"/>
        <u val="none"/>
        <vertAlign val="baseline"/>
        <color auto="1"/>
      </font>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border outline="0">
        <top style="thin">
          <color theme="1" tint="4.9989318521683403E-2"/>
        </top>
      </border>
    </dxf>
    <dxf>
      <font>
        <b val="0"/>
        <i val="0"/>
        <strike val="0"/>
        <condense val="0"/>
        <extend val="0"/>
        <outline val="0"/>
        <shadow val="0"/>
        <u val="none"/>
        <vertAlign val="baseline"/>
        <sz val="10"/>
        <color auto="1"/>
        <name val="Cambria"/>
        <scheme val="none"/>
      </font>
      <fill>
        <patternFill patternType="solid">
          <fgColor rgb="FF000000"/>
          <bgColor rgb="FFFDE9D9"/>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i val="0"/>
      </font>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right style="thin">
          <color theme="5" tint="0.79998168889431442"/>
        </right>
        <top style="thin">
          <color theme="5" tint="0.79998168889431442"/>
        </top>
        <bottom style="thin">
          <color theme="5" tint="0.79998168889431442"/>
        </bottom>
        <vertical/>
        <horizontal/>
      </border>
    </dxf>
    <dxf>
      <border outline="0">
        <left style="thin">
          <color theme="5" tint="0.79998168889431442"/>
        </left>
        <right style="thin">
          <color theme="5" tint="0.79998168889431442"/>
        </right>
        <top style="thin">
          <color indexed="64"/>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5" tint="0.79998168889431442"/>
        </right>
        <top style="thin">
          <color theme="5" tint="0.79998168889431442"/>
        </top>
        <bottom style="thin">
          <color theme="5" tint="0.79998168889431442"/>
        </bottom>
      </border>
    </dxf>
    <dxf>
      <border outline="0">
        <left style="thin">
          <color theme="5" tint="0.79998168889431442"/>
        </left>
        <right style="thin">
          <color theme="5" tint="0.79998168889431442"/>
        </right>
        <top style="thin">
          <color indexed="64"/>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val="0"/>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left"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left"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5" tint="0.79998168889431442"/>
        </right>
        <top style="thin">
          <color theme="5" tint="0.79998168889431442"/>
        </top>
        <bottom style="thin">
          <color theme="5" tint="0.79998168889431442"/>
        </bottom>
      </border>
    </dxf>
    <dxf>
      <border outline="0">
        <top style="thin">
          <color auto="1"/>
        </top>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border diagonalUp="0" diagonalDown="0">
        <left/>
        <right style="thin">
          <color theme="5" tint="0.79998168889431442"/>
        </right>
        <top style="thin">
          <color theme="5" tint="0.79998168889431442"/>
        </top>
        <bottom style="thin">
          <color theme="5" tint="0.79998168889431442"/>
        </bottom>
        <vertical/>
        <horizontal/>
      </border>
    </dxf>
    <dxf>
      <border outline="0">
        <left style="thin">
          <color theme="5" tint="0.79998168889431442"/>
        </left>
        <right style="thin">
          <color theme="5" tint="0.79998168889431442"/>
        </right>
        <top style="thin">
          <color theme="5" tint="0.79998168889431442"/>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bottom style="thin">
          <color theme="0" tint="-0.34998626667073579"/>
        </bottom>
        <vertical/>
        <horizontal/>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left style="thin">
          <color theme="5" tint="0.79998168889431442"/>
        </left>
        <right style="thin">
          <color theme="5" tint="0.79998168889431442"/>
        </right>
        <top/>
        <bottom/>
      </border>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7" tint="0.79998168889431442"/>
        </right>
        <top style="thin">
          <color theme="7" tint="0.79998168889431442"/>
        </top>
        <bottom style="thin">
          <color theme="7" tint="0.79998168889431442"/>
        </bottom>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7" tint="0.79998168889431442"/>
        </left>
        <right style="thin">
          <color theme="7" tint="0.79998168889431442"/>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fill>
        <patternFill patternType="solid">
          <fgColor indexed="64"/>
          <bgColor theme="7" tint="0.79998168889431442"/>
        </patternFill>
      </fill>
    </dxf>
    <dxf>
      <numFmt numFmtId="0" formatCode="General"/>
      <fill>
        <patternFill patternType="solid">
          <fgColor indexed="64"/>
          <bgColor theme="7" tint="0.79998168889431442"/>
        </patternFill>
      </fill>
    </dxf>
    <dxf>
      <numFmt numFmtId="0" formatCode="General"/>
      <fill>
        <patternFill patternType="solid">
          <fgColor indexed="64"/>
          <bgColor theme="7" tint="0.79998168889431442"/>
        </patternFill>
      </fill>
      <border diagonalUp="0" diagonalDown="0" outline="0">
        <left/>
        <right style="thin">
          <color theme="8" tint="0.79998168889431442"/>
        </right>
        <top style="thin">
          <color theme="8" tint="0.79998168889431442"/>
        </top>
        <bottom style="thin">
          <color theme="8" tint="0.79998168889431442"/>
        </bottom>
      </border>
    </dxf>
    <dxf>
      <border outline="0">
        <bottom style="thin">
          <color theme="1"/>
        </bottom>
      </border>
    </dxf>
    <dxf>
      <fill>
        <patternFill patternType="solid">
          <fgColor indexed="64"/>
          <bgColor theme="7" tint="0.79998168889431442"/>
        </patternFill>
      </fill>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style="thin">
          <color theme="5" tint="0.79998168889431442"/>
        </left>
        <right style="thin">
          <color theme="5" tint="0.79998168889431442"/>
        </right>
        <top style="thin">
          <color theme="5" tint="0.79998168889431442"/>
        </top>
        <bottom style="thin">
          <color theme="5" tint="0.79998168889431442"/>
        </bottom>
      </border>
    </dxf>
    <dxf>
      <border outline="0">
        <bottom style="thin">
          <color auto="1"/>
        </bottom>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border outline="0">
        <top style="thin">
          <color auto="1"/>
        </top>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left"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left"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style="thin">
          <color theme="7" tint="0.79998168889431442"/>
        </left>
        <right style="thin">
          <color theme="7" tint="0.79998168889431442"/>
        </right>
        <top style="thin">
          <color theme="7" tint="0.79998168889431442"/>
        </top>
        <bottom style="thin">
          <color theme="7" tint="0.79998168889431442"/>
        </bottom>
      </border>
    </dxf>
    <dxf>
      <border outline="0">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left"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left"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left"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left"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numFmt numFmtId="164" formatCode="#,##0.0_);\(#,##0.0\);&quot;-&quot;_);@"/>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left"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left"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fill>
        <patternFill patternType="solid">
          <fgColor indexed="64"/>
          <bgColor rgb="FFFFFF00"/>
        </patternFill>
      </fill>
      <alignment horizontal="right" vertical="bottom" textRotation="0" wrapText="0" indent="0" relativeIndent="0" justifyLastLine="0" shrinkToFit="0" mergeCell="0" readingOrder="0"/>
    </dxf>
    <dxf>
      <fill>
        <patternFill patternType="solid">
          <fgColor indexed="64"/>
          <bgColor rgb="FFFFFF00"/>
        </patternFill>
      </fill>
    </dxf>
    <dxf>
      <font>
        <b val="0"/>
        <i val="0"/>
        <strike val="0"/>
        <condense val="0"/>
        <extend val="0"/>
        <outline val="0"/>
        <shadow val="0"/>
        <u val="none"/>
        <vertAlign val="baseline"/>
        <sz val="11"/>
        <color theme="1"/>
        <name val="Calibri"/>
        <scheme val="minor"/>
      </font>
      <fill>
        <patternFill patternType="solid">
          <fgColor indexed="64"/>
          <bgColor rgb="FFFFFF00"/>
        </patternFill>
      </fill>
    </dxf>
    <dxf>
      <fill>
        <patternFill patternType="solid">
          <fgColor indexed="64"/>
          <bgColor rgb="FFFFFF00"/>
        </patternFill>
      </fill>
      <alignment horizontal="right" vertical="bottom"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rgb="FFFFFF00"/>
        </patternFill>
      </fill>
    </dxf>
    <dxf>
      <font>
        <b/>
        <i val="0"/>
        <strike val="0"/>
        <condense val="0"/>
        <extend val="0"/>
        <outline val="0"/>
        <shadow val="0"/>
        <u val="none"/>
        <vertAlign val="baseline"/>
        <sz val="10"/>
        <color theme="1"/>
        <name val="Calibri"/>
        <scheme val="minor"/>
      </font>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numFmt numFmtId="164" formatCode="#,##0.0_);\(#,##0.0\);&quot;-&quot;_);@"/>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strike val="0"/>
        <outline val="0"/>
        <shadow val="0"/>
        <u val="none"/>
        <vertAlign val="baseline"/>
        <color auto="1"/>
      </font>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style="thin">
          <color theme="8" tint="0.59996337778862885"/>
        </left>
        <right style="thin">
          <color theme="7" tint="0.79998168889431442"/>
        </right>
        <top style="thin">
          <color theme="7" tint="0.79998168889431442"/>
        </top>
        <bottom style="thin">
          <color theme="7" tint="0.79998168889431442"/>
        </bottom>
      </border>
    </dxf>
    <dxf>
      <border outline="0">
        <top style="thin">
          <color auto="1"/>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mergeCell="0" readingOrder="0"/>
    </dxf>
    <dxf>
      <border diagonalUp="0" diagonalDown="0">
        <left/>
        <right/>
        <top style="thin">
          <color auto="1"/>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mergeCell="0" readingOrder="0"/>
    </dxf>
    <dxf>
      <fill>
        <patternFill patternType="solid">
          <fgColor indexed="64"/>
          <bgColor theme="3"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7" tint="0.79998168889431442"/>
        </right>
        <top style="thin">
          <color theme="7" tint="0.79998168889431442"/>
        </top>
        <bottom style="thin">
          <color theme="7" tint="0.79998168889431442"/>
        </bottom>
      </border>
    </dxf>
    <dxf>
      <border outline="0">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mergeCell="0" readingOrder="0"/>
    </dxf>
    <dxf>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mergeCell="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font>
        <b val="0"/>
        <i val="0"/>
        <strike val="0"/>
        <condense val="0"/>
        <extend val="0"/>
        <outline val="0"/>
        <shadow val="0"/>
        <u val="none"/>
        <vertAlign val="baseline"/>
        <sz val="10"/>
        <color theme="1"/>
        <name val="Calibri"/>
        <scheme val="minor"/>
      </font>
      <fill>
        <patternFill patternType="solid">
          <fgColor theme="5" tint="0.59999389629810485"/>
          <bgColor theme="3" tint="0.79998168889431442"/>
        </patternFill>
      </fill>
      <alignment horizontal="left" vertical="center" textRotation="0" wrapText="1" indent="0" relativeIndent="0" justifyLastLine="0" shrinkToFit="0" readingOrder="0"/>
    </dxf>
    <dxf>
      <fill>
        <patternFill patternType="solid">
          <fgColor theme="5" tint="0.59999389629810485"/>
          <bgColor theme="3" tint="0.79998168889431442"/>
        </patternFill>
      </fill>
      <alignment horizontal="general" vertical="center" textRotation="0" wrapText="0" indent="0" relativeIndent="0" justifyLastLine="0" shrinkToFit="0" readingOrder="0"/>
      <border diagonalUp="0" diagonalDown="0">
        <left/>
        <right style="thin">
          <color theme="0"/>
        </right>
        <top/>
        <bottom/>
        <vertical/>
        <horizontal/>
      </border>
    </dxf>
    <dxf>
      <fill>
        <patternFill patternType="solid">
          <fgColor theme="5" tint="0.59999389629810485"/>
          <bgColor theme="3" tint="0.79998168889431442"/>
        </patternFill>
      </fill>
      <border diagonalUp="0" diagonalDown="0">
        <left/>
        <right style="thin">
          <color theme="0"/>
        </right>
        <top/>
        <bottom/>
        <vertical/>
        <horizontal/>
      </border>
    </dxf>
    <dxf>
      <border outline="0">
        <left style="thin">
          <color theme="0"/>
        </left>
        <bottom style="thin">
          <color theme="0"/>
        </bottom>
      </border>
    </dxf>
    <dxf>
      <border outline="0">
        <bottom style="thick">
          <color theme="0"/>
        </bottom>
      </border>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libri"/>
        <scheme val="minor"/>
      </font>
      <alignment horizontal="left" vertical="center" textRotation="0" wrapText="1" indent="0" relativeIndent="0" justifyLastLine="0" shrinkToFit="0" readingOrder="0"/>
    </dxf>
    <dxf>
      <font>
        <b val="0"/>
        <i val="0"/>
        <strike val="0"/>
        <condense val="0"/>
        <extend val="0"/>
        <outline val="0"/>
        <shadow val="0"/>
        <u val="none"/>
        <vertAlign val="baseline"/>
        <sz val="10"/>
        <color theme="1"/>
        <name val="Calibri"/>
        <scheme val="minor"/>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strike val="0"/>
        <outline val="0"/>
        <shadow val="0"/>
        <u val="none"/>
        <vertAlign val="baseline"/>
        <sz val="11"/>
        <color theme="1"/>
        <name val="Cambria"/>
        <scheme val="major"/>
      </font>
      <alignment horizontal="general" vertical="center" textRotation="0" wrapText="0" indent="0" relativeIndent="0" justifyLastLine="0" shrinkToFit="0" readingOrder="0"/>
    </dxf>
    <dxf>
      <alignment horizontal="general" vertical="center" textRotation="0" wrapText="0" indent="0" relativeIndent="255" justifyLastLine="0" shrinkToFit="0" readingOrder="0"/>
    </dxf>
    <dxf>
      <numFmt numFmtId="0" formatCode="General"/>
      <alignment horizontal="general" vertical="center" textRotation="0" wrapText="0" indent="0" relativeIndent="0" justifyLastLine="0" shrinkToFit="0" readingOrder="0"/>
    </dxf>
    <dxf>
      <numFmt numFmtId="0" formatCode="General"/>
      <alignment horizontal="general" vertical="center" textRotation="0" wrapText="0" indent="0" relativeIndent="0" justifyLastLine="0" shrinkToFit="0" readingOrder="0"/>
    </dxf>
    <dxf>
      <alignment horizontal="general" vertical="center" textRotation="0" wrapText="0" indent="0" relativeIndent="255" justifyLastLine="0" shrinkToFit="0" readingOrder="0"/>
    </dxf>
    <dxf>
      <alignment horizontal="left"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center" vertical="center" textRotation="0" wrapText="1" indent="0" relativeIndent="255" justifyLastLine="0" shrinkToFit="0" readingOrder="0"/>
    </dxf>
    <dxf>
      <alignment horizontal="left" vertical="center" textRotation="0" wrapText="0" indent="0" relativeIndent="255" justifyLastLine="0" shrinkToFit="0" readingOrder="0"/>
    </dxf>
    <dxf>
      <alignment horizontal="left" vertical="center" textRotation="0" wrapText="0" indent="0" relativeIndent="255" justifyLastLine="0" shrinkToFit="0" readingOrder="0"/>
    </dxf>
    <dxf>
      <alignment horizontal="left" vertical="center" textRotation="0" wrapText="0" indent="0" relativeIndent="255" justifyLastLine="0" shrinkToFit="0" readingOrder="0"/>
    </dxf>
    <dxf>
      <alignment horizontal="center" vertical="center" textRotation="0" wrapText="1" indent="0" relativeIndent="255" justifyLastLine="0" shrinkToFit="0" readingOrder="0"/>
    </dxf>
    <dxf>
      <numFmt numFmtId="174" formatCode="0.000"/>
    </dxf>
    <dxf>
      <numFmt numFmtId="174" formatCode="0.000"/>
    </dxf>
    <dxf>
      <numFmt numFmtId="174" formatCode="0.000"/>
    </dxf>
    <dxf>
      <numFmt numFmtId="174" formatCode="0.000"/>
    </dxf>
    <dxf>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libri"/>
        <scheme val="minor"/>
      </font>
      <numFmt numFmtId="15" formatCode="0.00E+00"/>
      <alignment horizontal="general" vertical="center" textRotation="0" wrapText="0" indent="0" relativeIndent="0"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0" justifyLastLine="0" shrinkToFit="0" mergeCell="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font>
        <b val="0"/>
        <i val="0"/>
        <strike val="0"/>
        <condense val="0"/>
        <extend val="0"/>
        <outline val="0"/>
        <shadow val="0"/>
        <u val="none"/>
        <vertAlign val="baseline"/>
        <sz val="11"/>
        <color theme="1"/>
        <name val="Calibri"/>
        <scheme val="minor"/>
      </font>
      <numFmt numFmtId="165" formatCode="#,##0_);\(#,##0\);&quot;-&quot;_);@"/>
      <alignment horizontal="general" vertical="center" textRotation="0" wrapText="0" indent="0" relativeIndent="0" justifyLastLine="0" shrinkToFit="0" mergeCell="0" readingOrder="0"/>
      <border diagonalUp="0" diagonalDown="0" outline="0">
        <left/>
        <right/>
        <top/>
        <bottom/>
      </border>
    </dxf>
    <dxf>
      <numFmt numFmtId="165" formatCode="#,##0_);\(#,##0\);&quot;-&quot;_);@"/>
      <alignment horizontal="general" vertical="center" textRotation="0" wrapText="0" indent="0" relativeIndent="255" justifyLastLine="0" shrinkToFit="0" readingOrder="0"/>
    </dxf>
    <dxf>
      <font>
        <b val="0"/>
        <i val="0"/>
        <strike val="0"/>
        <condense val="0"/>
        <extend val="0"/>
        <outline val="0"/>
        <shadow val="0"/>
        <u val="none"/>
        <vertAlign val="baseline"/>
        <sz val="11"/>
        <color theme="1"/>
        <name val="Calibri"/>
        <scheme val="minor"/>
      </font>
      <numFmt numFmtId="165" formatCode="#,##0_);\(#,##0\);&quot;-&quot;_);@"/>
      <alignment horizontal="general" vertical="center" textRotation="0" wrapText="0" indent="0" relativeIndent="0" justifyLastLine="0" shrinkToFit="0" mergeCell="0" readingOrder="0"/>
      <border diagonalUp="0" diagonalDown="0" outline="0">
        <left/>
        <right/>
        <top/>
        <bottom/>
      </border>
    </dxf>
    <dxf>
      <numFmt numFmtId="165" formatCode="#,##0_);\(#,##0\);&quot;-&quot;_);@"/>
      <alignment horizontal="general" vertical="center" textRotation="0" wrapText="0" indent="0" relativeIndent="255" justifyLastLine="0" shrinkToFit="0" readingOrder="0"/>
    </dxf>
    <dxf>
      <alignment horizontal="general" vertical="center" textRotation="0" wrapText="0" indent="0" relativeIndent="0" justifyLastLine="0" shrinkToFit="0" mergeCell="0" readingOrder="0"/>
      <border diagonalUp="0" diagonalDown="0" outline="0">
        <left/>
        <right/>
        <top/>
        <bottom/>
      </border>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i val="0"/>
        <strike val="0"/>
        <condense val="0"/>
        <extend val="0"/>
        <outline val="0"/>
        <shadow val="0"/>
        <u val="none"/>
        <vertAlign val="baseline"/>
        <sz val="10"/>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fill>
        <patternFill patternType="solid">
          <fgColor indexed="64"/>
          <bgColor theme="5" tint="0.79998168889431442"/>
        </patternFill>
      </fill>
    </dxf>
    <dxf>
      <font>
        <b/>
        <i val="0"/>
        <strike val="0"/>
        <condense val="0"/>
        <extend val="0"/>
        <outline val="0"/>
        <shadow val="0"/>
        <u val="none"/>
        <vertAlign val="baseline"/>
        <sz val="10"/>
        <color theme="1"/>
        <name val="Calibri"/>
        <scheme val="minor"/>
      </font>
      <fill>
        <patternFill patternType="solid">
          <fgColor indexed="64"/>
          <bgColor theme="5" tint="0.79998168889431442"/>
        </patternFill>
      </fill>
    </dxf>
    <dxf>
      <font>
        <color theme="1"/>
      </font>
      <fill>
        <patternFill>
          <bgColor theme="5" tint="0.79998168889431442"/>
        </patternFill>
      </fill>
    </dxf>
    <dxf>
      <fill>
        <patternFill>
          <bgColor rgb="FFC00000"/>
        </patternFill>
      </fill>
    </dxf>
    <dxf>
      <fill>
        <patternFill>
          <bgColor rgb="FFC00000"/>
        </patternFill>
      </fill>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mergeCell="0" readingOrder="0"/>
      <border diagonalUp="0" diagonalDown="0">
        <left style="thin">
          <color theme="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alignment horizontal="general" vertical="center" textRotation="0" wrapText="0" indent="0" relativeIndent="0" justifyLastLine="0" shrinkToFit="0" mergeCell="0" readingOrder="0"/>
    </dxf>
    <dxf>
      <font>
        <b val="0"/>
        <i/>
        <strike val="0"/>
        <condense val="0"/>
        <extend val="0"/>
        <outline val="0"/>
        <shadow val="0"/>
        <u val="none"/>
        <vertAlign val="baseline"/>
        <sz val="10"/>
        <color auto="1"/>
        <name val="Calibri"/>
        <scheme val="minor"/>
      </font>
      <numFmt numFmtId="1" formatCode="0"/>
      <fill>
        <patternFill patternType="solid">
          <fgColor indexed="64"/>
          <bgColor theme="0" tint="-4.9989318521683403E-2"/>
        </patternFill>
      </fill>
      <alignment horizontal="right" vertical="center" textRotation="0" wrapText="0" indent="0" relativeIndent="0" justifyLastLine="0" shrinkToFit="0" mergeCell="0" readingOrder="0"/>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ill>
        <patternFill>
          <bgColor theme="4" tint="0.79998168889431442"/>
        </patternFill>
      </fill>
    </dxf>
    <dxf>
      <font>
        <b/>
        <i val="0"/>
      </font>
      <border>
        <top style="thin">
          <color auto="1"/>
        </top>
      </border>
    </dxf>
    <dxf>
      <font>
        <b/>
        <i val="0"/>
      </font>
      <fill>
        <patternFill patternType="none">
          <bgColor auto="1"/>
        </patternFill>
      </fill>
      <border>
        <bottom style="thin">
          <color theme="0" tint="-0.34998626667073579"/>
        </bottom>
      </border>
    </dxf>
    <dxf>
      <border>
        <top style="thin">
          <color theme="1" tint="4.9989318521683403E-2"/>
        </top>
        <bottom style="thin">
          <color theme="1" tint="4.9989318521683403E-2"/>
        </bottom>
      </border>
    </dxf>
  </dxfs>
  <tableStyles count="1" defaultTableStyle="TableStyleMedium9" defaultPivotStyle="PivotStyleLight16">
    <tableStyle name="EnergyCalcTables" pivot="0" count="4">
      <tableStyleElement type="wholeTable" dxfId="3157"/>
      <tableStyleElement type="headerRow" dxfId="3156"/>
      <tableStyleElement type="totalRow" dxfId="3155"/>
      <tableStyleElement type="secondRowStripe" dxfId="3154"/>
    </tableStyle>
  </tableStyles>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charts/chart1.xml><?xml version="1.0" encoding="utf-8"?>
<c:chartSpace xmlns:c="http://schemas.openxmlformats.org/drawingml/2006/chart" xmlns:a="http://schemas.openxmlformats.org/drawingml/2006/main" xmlns:r="http://schemas.openxmlformats.org/officeDocument/2006/relationships">
  <c:lang val="en-IE"/>
  <c:style val="10"/>
  <c:chart>
    <c:title>
      <c:tx>
        <c:rich>
          <a:bodyPr/>
          <a:lstStyle/>
          <a:p>
            <a:pPr>
              <a:defRPr lang="en-US"/>
            </a:pPr>
            <a:r>
              <a:rPr lang="en-GB"/>
              <a:t>Demand</a:t>
            </a:r>
          </a:p>
        </c:rich>
      </c:tx>
      <c:layout>
        <c:manualLayout>
          <c:xMode val="edge"/>
          <c:yMode val="edge"/>
          <c:x val="0.29752610155508291"/>
          <c:y val="2.0382168331031968E-2"/>
        </c:manualLayout>
      </c:layout>
    </c:title>
    <c:plotArea>
      <c:layout>
        <c:manualLayout>
          <c:layoutTarget val="inner"/>
          <c:xMode val="edge"/>
          <c:yMode val="edge"/>
          <c:x val="0.12626947672973801"/>
          <c:y val="0.123391816889359"/>
          <c:w val="0.6025432238520475"/>
          <c:h val="0.7813586404359455"/>
        </c:manualLayout>
      </c:layout>
      <c:areaChart>
        <c:grouping val="stacked"/>
        <c:ser>
          <c:idx val="0"/>
          <c:order val="0"/>
          <c:tx>
            <c:strRef>
              <c:f>'Intermediate output'!$D$7</c:f>
              <c:strCache>
                <c:ptCount val="1"/>
                <c:pt idx="0">
                  <c:v>Road transport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output'!$AY$7:$BG$7</c:f>
              <c:numCache>
                <c:formatCode>#,##0.0_);\(#,##0.0\);"-"_);@</c:formatCode>
                <c:ptCount val="9"/>
                <c:pt idx="0">
                  <c:v>38.777720899243057</c:v>
                </c:pt>
                <c:pt idx="1">
                  <c:v>37.89730059516333</c:v>
                </c:pt>
                <c:pt idx="2">
                  <c:v>36.134435164573652</c:v>
                </c:pt>
                <c:pt idx="3">
                  <c:v>33.951749508261884</c:v>
                </c:pt>
                <c:pt idx="4">
                  <c:v>33.687114265346466</c:v>
                </c:pt>
                <c:pt idx="5">
                  <c:v>33.315436625723152</c:v>
                </c:pt>
                <c:pt idx="6">
                  <c:v>33.083990769818584</c:v>
                </c:pt>
                <c:pt idx="7">
                  <c:v>32.880652873663266</c:v>
                </c:pt>
                <c:pt idx="8">
                  <c:v>32.690001720662984</c:v>
                </c:pt>
              </c:numCache>
            </c:numRef>
          </c:val>
        </c:ser>
        <c:ser>
          <c:idx val="1"/>
          <c:order val="1"/>
          <c:tx>
            <c:strRef>
              <c:f>'Intermediate output'!$D$8</c:f>
              <c:strCache>
                <c:ptCount val="1"/>
                <c:pt idx="0">
                  <c:v>Rail transport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output'!$AY$8:$BG$8</c:f>
              <c:numCache>
                <c:formatCode>#,##0.0_);\(#,##0.0\);"-"_);@</c:formatCode>
                <c:ptCount val="9"/>
                <c:pt idx="0">
                  <c:v>0.3939854936866376</c:v>
                </c:pt>
                <c:pt idx="1">
                  <c:v>0.45199457636929957</c:v>
                </c:pt>
                <c:pt idx="2">
                  <c:v>0.43876387038956832</c:v>
                </c:pt>
                <c:pt idx="3">
                  <c:v>0.42264386044609314</c:v>
                </c:pt>
                <c:pt idx="4">
                  <c:v>0.40591861207029195</c:v>
                </c:pt>
                <c:pt idx="5">
                  <c:v>0.3884627680202104</c:v>
                </c:pt>
                <c:pt idx="6">
                  <c:v>0.36938892884152924</c:v>
                </c:pt>
                <c:pt idx="7">
                  <c:v>0.34962764034052646</c:v>
                </c:pt>
                <c:pt idx="8">
                  <c:v>0.32657111326878496</c:v>
                </c:pt>
              </c:numCache>
            </c:numRef>
          </c:val>
        </c:ser>
        <c:ser>
          <c:idx val="2"/>
          <c:order val="2"/>
          <c:tx>
            <c:strRef>
              <c:f>'Intermediate output'!$D$9</c:f>
              <c:strCache>
                <c:ptCount val="1"/>
                <c:pt idx="0">
                  <c:v>Domestic aviation</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output'!$AY$9:$BG$9</c:f>
              <c:numCache>
                <c:formatCode>#,##0.0_);\(#,##0.0\);"-"_);@</c:formatCode>
                <c:ptCount val="9"/>
                <c:pt idx="0">
                  <c:v>2.7179785187540276E-2</c:v>
                </c:pt>
                <c:pt idx="1">
                  <c:v>2.6979176745363341E-2</c:v>
                </c:pt>
                <c:pt idx="2">
                  <c:v>2.6748583502616049E-2</c:v>
                </c:pt>
                <c:pt idx="3">
                  <c:v>2.6377315657889075E-2</c:v>
                </c:pt>
                <c:pt idx="4">
                  <c:v>2.6013627209398826E-2</c:v>
                </c:pt>
                <c:pt idx="5">
                  <c:v>2.5651802953474499E-2</c:v>
                </c:pt>
                <c:pt idx="6">
                  <c:v>2.5228818186920948E-2</c:v>
                </c:pt>
                <c:pt idx="7">
                  <c:v>2.4811333961622644E-2</c:v>
                </c:pt>
                <c:pt idx="8">
                  <c:v>2.4811333961622644E-2</c:v>
                </c:pt>
              </c:numCache>
            </c:numRef>
          </c:val>
        </c:ser>
        <c:ser>
          <c:idx val="3"/>
          <c:order val="3"/>
          <c:tx>
            <c:strRef>
              <c:f>'Intermediate output'!$D$10</c:f>
              <c:strCache>
                <c:ptCount val="1"/>
                <c:pt idx="0">
                  <c:v>National navigation</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output'!$AY$10:$BG$10</c:f>
              <c:numCache>
                <c:formatCode>#,##0.0_);\(#,##0.0\);"-"_);@</c:formatCode>
                <c:ptCount val="9"/>
                <c:pt idx="0">
                  <c:v>0.66</c:v>
                </c:pt>
                <c:pt idx="1">
                  <c:v>0.66</c:v>
                </c:pt>
                <c:pt idx="2">
                  <c:v>0.66</c:v>
                </c:pt>
                <c:pt idx="3">
                  <c:v>0.66</c:v>
                </c:pt>
                <c:pt idx="4">
                  <c:v>0.66</c:v>
                </c:pt>
                <c:pt idx="5">
                  <c:v>0.66</c:v>
                </c:pt>
                <c:pt idx="6">
                  <c:v>0.66</c:v>
                </c:pt>
                <c:pt idx="7">
                  <c:v>0.66</c:v>
                </c:pt>
                <c:pt idx="8">
                  <c:v>0.66</c:v>
                </c:pt>
              </c:numCache>
            </c:numRef>
          </c:val>
        </c:ser>
        <c:ser>
          <c:idx val="4"/>
          <c:order val="4"/>
          <c:tx>
            <c:strRef>
              <c:f>'Intermediate output'!$D$11</c:f>
              <c:strCache>
                <c:ptCount val="1"/>
                <c:pt idx="0">
                  <c:v>International aviation</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output'!$AY$11:$BG$11</c:f>
              <c:numCache>
                <c:formatCode>#,##0.0_);\(#,##0.0\);"-"_);@</c:formatCode>
                <c:ptCount val="9"/>
                <c:pt idx="0">
                  <c:v>7.02</c:v>
                </c:pt>
                <c:pt idx="1">
                  <c:v>6.8942086199999997</c:v>
                </c:pt>
                <c:pt idx="2">
                  <c:v>7.4554183878892841</c:v>
                </c:pt>
                <c:pt idx="3">
                  <c:v>8.0623123555082739</c:v>
                </c:pt>
                <c:pt idx="4">
                  <c:v>8.7186093571046239</c:v>
                </c:pt>
                <c:pt idx="5">
                  <c:v>9.4283309514618914</c:v>
                </c:pt>
                <c:pt idx="6">
                  <c:v>10.195826064607054</c:v>
                </c:pt>
                <c:pt idx="7">
                  <c:v>11.025797638510145</c:v>
                </c:pt>
                <c:pt idx="8">
                  <c:v>11.923331449069897</c:v>
                </c:pt>
              </c:numCache>
            </c:numRef>
          </c:val>
        </c:ser>
        <c:ser>
          <c:idx val="7"/>
          <c:order val="5"/>
          <c:tx>
            <c:strRef>
              <c:f>'Intermediate output'!$D$14</c:f>
              <c:strCache>
                <c:ptCount val="1"/>
                <c:pt idx="0">
                  <c:v>Industry</c:v>
                </c:pt>
              </c:strCache>
            </c:strRef>
          </c:tx>
          <c:spPr>
            <a:solidFill>
              <a:schemeClr val="bg1">
                <a:lumMod val="50000"/>
              </a:schemeClr>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output'!$AY$14:$BG$14</c:f>
              <c:numCache>
                <c:formatCode>#,##0.0_);\(#,##0.0\);"-"_);@</c:formatCode>
                <c:ptCount val="9"/>
                <c:pt idx="0">
                  <c:v>28.675543224779016</c:v>
                </c:pt>
                <c:pt idx="1">
                  <c:v>29.002786937023085</c:v>
                </c:pt>
                <c:pt idx="2">
                  <c:v>31.815835036785352</c:v>
                </c:pt>
                <c:pt idx="3">
                  <c:v>30.936448881734712</c:v>
                </c:pt>
                <c:pt idx="4">
                  <c:v>31.162226634125272</c:v>
                </c:pt>
                <c:pt idx="5">
                  <c:v>32.196575836673233</c:v>
                </c:pt>
                <c:pt idx="6">
                  <c:v>33.358518857203755</c:v>
                </c:pt>
                <c:pt idx="7">
                  <c:v>34.650458118468507</c:v>
                </c:pt>
                <c:pt idx="8">
                  <c:v>36.076262680025728</c:v>
                </c:pt>
              </c:numCache>
            </c:numRef>
          </c:val>
        </c:ser>
        <c:ser>
          <c:idx val="8"/>
          <c:order val="6"/>
          <c:tx>
            <c:strRef>
              <c:f>'Intermediate output'!$D$15</c:f>
              <c:strCache>
                <c:ptCount val="1"/>
                <c:pt idx="0">
                  <c:v>Heating and cooling</c:v>
                </c:pt>
              </c:strCache>
            </c:strRef>
          </c:tx>
          <c:spPr>
            <a:solidFill>
              <a:schemeClr val="accent6"/>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output'!$AY$15:$BG$15</c:f>
              <c:numCache>
                <c:formatCode>#,##0.0_);\(#,##0.0\);"-"_);@</c:formatCode>
                <c:ptCount val="9"/>
                <c:pt idx="0">
                  <c:v>36.980937210387133</c:v>
                </c:pt>
                <c:pt idx="1">
                  <c:v>35.698527384815208</c:v>
                </c:pt>
                <c:pt idx="2">
                  <c:v>35.606421512563799</c:v>
                </c:pt>
                <c:pt idx="3">
                  <c:v>36.831258141442504</c:v>
                </c:pt>
                <c:pt idx="4">
                  <c:v>37.793072269825217</c:v>
                </c:pt>
                <c:pt idx="5">
                  <c:v>38.883640112521043</c:v>
                </c:pt>
                <c:pt idx="6">
                  <c:v>40.107798280097512</c:v>
                </c:pt>
                <c:pt idx="7">
                  <c:v>41.5263129319206</c:v>
                </c:pt>
                <c:pt idx="8">
                  <c:v>42.9684946640851</c:v>
                </c:pt>
              </c:numCache>
            </c:numRef>
          </c:val>
        </c:ser>
        <c:ser>
          <c:idx val="9"/>
          <c:order val="7"/>
          <c:tx>
            <c:strRef>
              <c:f>'Intermediate output'!$D$16</c:f>
              <c:strCache>
                <c:ptCount val="1"/>
                <c:pt idx="0">
                  <c:v>Lighting &amp; appliances</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output'!$AY$16:$BG$16</c:f>
              <c:numCache>
                <c:formatCode>#,##0.0_);\(#,##0.0\);"-"_);@</c:formatCode>
                <c:ptCount val="9"/>
                <c:pt idx="0">
                  <c:v>9.9881098435378739</c:v>
                </c:pt>
                <c:pt idx="1">
                  <c:v>10.094711107570451</c:v>
                </c:pt>
                <c:pt idx="2">
                  <c:v>10.378401122896985</c:v>
                </c:pt>
                <c:pt idx="3">
                  <c:v>10.679268973988956</c:v>
                </c:pt>
                <c:pt idx="4">
                  <c:v>11.004615111074104</c:v>
                </c:pt>
                <c:pt idx="5">
                  <c:v>11.3150669434942</c:v>
                </c:pt>
                <c:pt idx="6">
                  <c:v>11.588405997071563</c:v>
                </c:pt>
                <c:pt idx="7">
                  <c:v>11.826083554413207</c:v>
                </c:pt>
                <c:pt idx="8">
                  <c:v>12.034872571628442</c:v>
                </c:pt>
              </c:numCache>
            </c:numRef>
          </c:val>
        </c:ser>
        <c:ser>
          <c:idx val="11"/>
          <c:order val="8"/>
          <c:tx>
            <c:strRef>
              <c:f>'Intermediate output'!$D$20</c:f>
              <c:strCache>
                <c:ptCount val="1"/>
                <c:pt idx="0">
                  <c:v>Dummy for charting uses</c:v>
                </c:pt>
              </c:strCache>
            </c:strRef>
          </c:tx>
          <c:spPr>
            <a:noFill/>
            <a:ln>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output'!$AY$20:$BG$20</c:f>
              <c:numCache>
                <c:formatCode>#,##0.0_);\(#,##0.0\);"-"_);@</c:formatCode>
                <c:ptCount val="9"/>
                <c:pt idx="0">
                  <c:v>33.439206368354291</c:v>
                </c:pt>
                <c:pt idx="1">
                  <c:v>32.84210381150487</c:v>
                </c:pt>
                <c:pt idx="2">
                  <c:v>25.459016080512967</c:v>
                </c:pt>
                <c:pt idx="3">
                  <c:v>17.722250934371047</c:v>
                </c:pt>
                <c:pt idx="4">
                  <c:v>26.68021193918932</c:v>
                </c:pt>
                <c:pt idx="5">
                  <c:v>42.640838177821337</c:v>
                </c:pt>
                <c:pt idx="6">
                  <c:v>50.931240517348357</c:v>
                </c:pt>
                <c:pt idx="7">
                  <c:v>57.619111388391019</c:v>
                </c:pt>
                <c:pt idx="8">
                  <c:v>63.757098421835423</c:v>
                </c:pt>
              </c:numCache>
            </c:numRef>
          </c:val>
        </c:ser>
        <c:axId val="137860224"/>
        <c:axId val="137861760"/>
      </c:areaChart>
      <c:catAx>
        <c:axId val="137860224"/>
        <c:scaling>
          <c:orientation val="minMax"/>
        </c:scaling>
        <c:axPos val="b"/>
        <c:numFmt formatCode="General" sourceLinked="1"/>
        <c:tickLblPos val="nextTo"/>
        <c:txPr>
          <a:bodyPr/>
          <a:lstStyle/>
          <a:p>
            <a:pPr>
              <a:defRPr lang="en-US" sz="1200"/>
            </a:pPr>
            <a:endParaRPr lang="en-US"/>
          </a:p>
        </c:txPr>
        <c:crossAx val="137861760"/>
        <c:crosses val="autoZero"/>
        <c:auto val="1"/>
        <c:lblAlgn val="ctr"/>
        <c:lblOffset val="100"/>
      </c:catAx>
      <c:valAx>
        <c:axId val="137861760"/>
        <c:scaling>
          <c:orientation val="minMax"/>
        </c:scaling>
        <c:axPos val="l"/>
        <c:majorGridlines>
          <c:spPr>
            <a:ln>
              <a:solidFill>
                <a:schemeClr val="accent1">
                  <a:lumMod val="20000"/>
                  <a:lumOff val="80000"/>
                </a:schemeClr>
              </a:solidFill>
            </a:ln>
          </c:spPr>
        </c:majorGridlines>
        <c:title>
          <c:tx>
            <c:strRef>
              <c:f>'Intermediate output'!$D$4</c:f>
              <c:strCache>
                <c:ptCount val="1"/>
                <c:pt idx="0">
                  <c:v>TWh / year</c:v>
                </c:pt>
              </c:strCache>
            </c:strRef>
          </c:tx>
          <c:layout/>
          <c:txPr>
            <a:bodyPr rot="-5400000" vert="horz"/>
            <a:lstStyle/>
            <a:p>
              <a:pPr>
                <a:defRPr lang="en-US" sz="1200"/>
              </a:pPr>
              <a:endParaRPr lang="en-US"/>
            </a:p>
          </c:txPr>
        </c:title>
        <c:numFmt formatCode="#,##0" sourceLinked="0"/>
        <c:tickLblPos val="nextTo"/>
        <c:spPr>
          <a:ln>
            <a:noFill/>
          </a:ln>
        </c:spPr>
        <c:txPr>
          <a:bodyPr/>
          <a:lstStyle/>
          <a:p>
            <a:pPr>
              <a:defRPr lang="en-US" sz="1200"/>
            </a:pPr>
            <a:endParaRPr lang="en-US"/>
          </a:p>
        </c:txPr>
        <c:crossAx val="137860224"/>
        <c:crosses val="autoZero"/>
        <c:crossBetween val="midCat"/>
      </c:valAx>
      <c:spPr>
        <a:noFill/>
      </c:spPr>
    </c:plotArea>
    <c:legend>
      <c:legendPos val="r"/>
      <c:legendEntry>
        <c:idx val="0"/>
        <c:delete val="1"/>
      </c:legendEntry>
      <c:layout>
        <c:manualLayout>
          <c:xMode val="edge"/>
          <c:yMode val="edge"/>
          <c:x val="0.76700786061242265"/>
          <c:y val="8.3007396208808246E-2"/>
          <c:w val="0.22724554573735944"/>
          <c:h val="0.84159373833744699"/>
        </c:manualLayout>
      </c:layout>
      <c:txPr>
        <a:bodyPr/>
        <a:lstStyle/>
        <a:p>
          <a:pPr>
            <a:defRPr lang="en-US" sz="1200"/>
          </a:pPr>
          <a:endParaRPr lang="en-US"/>
        </a:p>
      </c:txPr>
    </c:legend>
    <c:plotVisOnly val="1"/>
    <c:dispBlanksAs val="zero"/>
  </c:chart>
  <c:spPr>
    <a:noFill/>
    <a:ln>
      <a:noFill/>
    </a:ln>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IE"/>
  <c:style val="10"/>
  <c:chart>
    <c:title>
      <c:tx>
        <c:rich>
          <a:bodyPr/>
          <a:lstStyle/>
          <a:p>
            <a:pPr>
              <a:defRPr lang="en-US"/>
            </a:pPr>
            <a:r>
              <a:rPr lang="en-GB"/>
              <a:t>Primary supply</a:t>
            </a:r>
          </a:p>
        </c:rich>
      </c:tx>
      <c:layout>
        <c:manualLayout>
          <c:xMode val="edge"/>
          <c:yMode val="edge"/>
          <c:x val="0.28384883677570238"/>
          <c:y val="4.0551399279578806E-2"/>
        </c:manualLayout>
      </c:layout>
    </c:title>
    <c:plotArea>
      <c:layout>
        <c:manualLayout>
          <c:layoutTarget val="inner"/>
          <c:xMode val="edge"/>
          <c:yMode val="edge"/>
          <c:x val="0.11514510324896422"/>
          <c:y val="0.14293864860339744"/>
          <c:w val="0.615028124877673"/>
          <c:h val="0.74672293785685762"/>
        </c:manualLayout>
      </c:layout>
      <c:areaChart>
        <c:grouping val="stacked"/>
        <c:ser>
          <c:idx val="6"/>
          <c:order val="0"/>
          <c:tx>
            <c:strRef>
              <c:f>'Intermediate output'!$D$31</c:f>
              <c:strCache>
                <c:ptCount val="1"/>
                <c:pt idx="0">
                  <c:v>Primary electricity, solar, marine, and net imports</c:v>
                </c:pt>
              </c:strCache>
            </c:strRef>
          </c:tx>
          <c:spPr>
            <a:solidFill>
              <a:schemeClr val="accent1">
                <a:lumMod val="60000"/>
                <a:lumOff val="40000"/>
              </a:schemeClr>
            </a:solidFill>
            <a:effectLst/>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output'!$AY$31:$BG$31</c:f>
              <c:numCache>
                <c:formatCode>#,##0.0_);\(#,##0.0\);"-"_);@</c:formatCode>
                <c:ptCount val="9"/>
                <c:pt idx="0">
                  <c:v>7.790311007428989</c:v>
                </c:pt>
                <c:pt idx="1">
                  <c:v>9.1644705217588136</c:v>
                </c:pt>
                <c:pt idx="2">
                  <c:v>13.567131413644724</c:v>
                </c:pt>
                <c:pt idx="3">
                  <c:v>19.315732662313394</c:v>
                </c:pt>
                <c:pt idx="4">
                  <c:v>39.848777581687578</c:v>
                </c:pt>
                <c:pt idx="5">
                  <c:v>29.942717026593343</c:v>
                </c:pt>
                <c:pt idx="6">
                  <c:v>22.107098707725775</c:v>
                </c:pt>
                <c:pt idx="7">
                  <c:v>15.005982273608822</c:v>
                </c:pt>
                <c:pt idx="8">
                  <c:v>7.5997243448034055</c:v>
                </c:pt>
              </c:numCache>
            </c:numRef>
          </c:val>
        </c:ser>
        <c:ser>
          <c:idx val="7"/>
          <c:order val="1"/>
          <c:tx>
            <c:strRef>
              <c:f>'Intermediate output'!$D$32</c:f>
              <c:strCache>
                <c:ptCount val="1"/>
                <c:pt idx="0">
                  <c:v>Environmental heat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output'!$AY$32:$BG$32</c:f>
              <c:numCache>
                <c:formatCode>#,##0.0_);\(#,##0.0\);"-"_);@</c:formatCode>
                <c:ptCount val="9"/>
                <c:pt idx="0">
                  <c:v>0.11119904983501781</c:v>
                </c:pt>
                <c:pt idx="1">
                  <c:v>0.23024787332134827</c:v>
                </c:pt>
                <c:pt idx="2">
                  <c:v>0.19215404904246119</c:v>
                </c:pt>
                <c:pt idx="3">
                  <c:v>0.16256755073206205</c:v>
                </c:pt>
                <c:pt idx="4">
                  <c:v>0.13025315807559751</c:v>
                </c:pt>
                <c:pt idx="5">
                  <c:v>9.8473923807210109E-2</c:v>
                </c:pt>
                <c:pt idx="6">
                  <c:v>6.6374144344193087E-2</c:v>
                </c:pt>
                <c:pt idx="7">
                  <c:v>3.3366237861707504E-2</c:v>
                </c:pt>
                <c:pt idx="8">
                  <c:v>0</c:v>
                </c:pt>
              </c:numCache>
            </c:numRef>
          </c:val>
        </c:ser>
        <c:ser>
          <c:idx val="8"/>
          <c:order val="2"/>
          <c:tx>
            <c:strRef>
              <c:f>'Intermediate output'!$D$36</c:f>
              <c:strCache>
                <c:ptCount val="1"/>
                <c:pt idx="0">
                  <c:v>Agriculture, waste, and biomatter </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output'!$AY$36:$BG$36</c:f>
              <c:numCache>
                <c:formatCode>#,##0.0_);\(#,##0.0\);"-"_);@</c:formatCode>
                <c:ptCount val="9"/>
                <c:pt idx="0" formatCode="0.0">
                  <c:v>2.1701692424588424</c:v>
                </c:pt>
                <c:pt idx="1">
                  <c:v>5.9772574581939466</c:v>
                </c:pt>
                <c:pt idx="2">
                  <c:v>19.124319444842083</c:v>
                </c:pt>
                <c:pt idx="3">
                  <c:v>18.605920854058258</c:v>
                </c:pt>
                <c:pt idx="4">
                  <c:v>21.817285797963891</c:v>
                </c:pt>
                <c:pt idx="5">
                  <c:v>45.407033821038908</c:v>
                </c:pt>
                <c:pt idx="6">
                  <c:v>55.194938143571299</c:v>
                </c:pt>
                <c:pt idx="7">
                  <c:v>62.616483548103908</c:v>
                </c:pt>
                <c:pt idx="8">
                  <c:v>69.436475569063489</c:v>
                </c:pt>
              </c:numCache>
            </c:numRef>
          </c:val>
        </c:ser>
        <c:ser>
          <c:idx val="9"/>
          <c:order val="3"/>
          <c:tx>
            <c:strRef>
              <c:f>'Intermediate output'!$D$39</c:f>
              <c:strCache>
                <c:ptCount val="1"/>
                <c:pt idx="0">
                  <c:v>Coal and peat</c:v>
                </c:pt>
              </c:strCache>
            </c:strRef>
          </c:tx>
          <c:spPr>
            <a:solidFill>
              <a:schemeClr val="bg2">
                <a:lumMod val="25000"/>
              </a:schemeClr>
            </a:solidFill>
            <a:effectLst/>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output'!$AY$39:$BG$39</c:f>
              <c:numCache>
                <c:formatCode>#,##0.0_);\(#,##0.0\);"-"_);@</c:formatCode>
                <c:ptCount val="9"/>
                <c:pt idx="0">
                  <c:v>23.0022810672098</c:v>
                </c:pt>
                <c:pt idx="1">
                  <c:v>20.367884225892759</c:v>
                </c:pt>
                <c:pt idx="2">
                  <c:v>2.4957584511413287</c:v>
                </c:pt>
                <c:pt idx="3">
                  <c:v>-0.24021866884806453</c:v>
                </c:pt>
                <c:pt idx="4">
                  <c:v>-0.22914024705997099</c:v>
                </c:pt>
                <c:pt idx="5">
                  <c:v>-0.22533488167895965</c:v>
                </c:pt>
                <c:pt idx="6">
                  <c:v>-0.22186590218798416</c:v>
                </c:pt>
                <c:pt idx="7">
                  <c:v>-0.21811357288438121</c:v>
                </c:pt>
                <c:pt idx="8">
                  <c:v>-0.2136046021465092</c:v>
                </c:pt>
              </c:numCache>
            </c:numRef>
          </c:val>
        </c:ser>
        <c:ser>
          <c:idx val="10"/>
          <c:order val="4"/>
          <c:tx>
            <c:strRef>
              <c:f>'Intermediate output'!$D$43</c:f>
              <c:strCache>
                <c:ptCount val="1"/>
                <c:pt idx="0">
                  <c:v>Oil and petroleum products</c:v>
                </c:pt>
              </c:strCache>
            </c:strRef>
          </c:tx>
          <c:spPr>
            <a:solidFill>
              <a:schemeClr val="bg2">
                <a:lumMod val="50000"/>
              </a:schemeClr>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output'!$AY$43:$BG$43</c:f>
              <c:numCache>
                <c:formatCode>#,##0.0_);\(#,##0.0\);"-"_);@</c:formatCode>
                <c:ptCount val="9"/>
                <c:pt idx="0">
                  <c:v>76.341107777431446</c:v>
                </c:pt>
                <c:pt idx="1">
                  <c:v>70.428965076712089</c:v>
                </c:pt>
                <c:pt idx="2">
                  <c:v>66.132600914927124</c:v>
                </c:pt>
                <c:pt idx="3">
                  <c:v>61.70681606299398</c:v>
                </c:pt>
                <c:pt idx="4">
                  <c:v>58.853734589724091</c:v>
                </c:pt>
                <c:pt idx="5">
                  <c:v>56.055550717287325</c:v>
                </c:pt>
                <c:pt idx="6">
                  <c:v>53.466242556904533</c:v>
                </c:pt>
                <c:pt idx="7">
                  <c:v>50.942465881243002</c:v>
                </c:pt>
                <c:pt idx="8">
                  <c:v>48.624578735681354</c:v>
                </c:pt>
              </c:numCache>
            </c:numRef>
          </c:val>
        </c:ser>
        <c:ser>
          <c:idx val="11"/>
          <c:order val="5"/>
          <c:tx>
            <c:strRef>
              <c:f>'Intermediate output'!$D$46</c:f>
              <c:strCache>
                <c:ptCount val="1"/>
                <c:pt idx="0">
                  <c:v>Natural gas</c:v>
                </c:pt>
              </c:strCache>
            </c:strRef>
          </c:tx>
          <c:spPr>
            <a:solidFill>
              <a:schemeClr val="bg2">
                <a:lumMod val="90000"/>
              </a:schemeClr>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output'!$AY$46:$BG$46</c:f>
              <c:numCache>
                <c:formatCode>#,##0.0_);\(#,##0.0\);"-"_);@</c:formatCode>
                <c:ptCount val="9"/>
                <c:pt idx="0">
                  <c:v>46.547614680811428</c:v>
                </c:pt>
                <c:pt idx="1">
                  <c:v>47.39978705331265</c:v>
                </c:pt>
                <c:pt idx="2">
                  <c:v>46.463075485516505</c:v>
                </c:pt>
                <c:pt idx="3">
                  <c:v>39.741491510161715</c:v>
                </c:pt>
                <c:pt idx="4">
                  <c:v>29.716870935553509</c:v>
                </c:pt>
                <c:pt idx="5">
                  <c:v>37.575562611620718</c:v>
                </c:pt>
                <c:pt idx="6">
                  <c:v>49.707610582817466</c:v>
                </c:pt>
                <c:pt idx="7">
                  <c:v>62.182671111735829</c:v>
                </c:pt>
                <c:pt idx="8">
                  <c:v>75.014269907136224</c:v>
                </c:pt>
              </c:numCache>
            </c:numRef>
          </c:val>
        </c:ser>
        <c:ser>
          <c:idx val="12"/>
          <c:order val="6"/>
          <c:tx>
            <c:strRef>
              <c:f>'Intermediate output'!$D$49</c:f>
              <c:strCache>
                <c:ptCount val="1"/>
                <c:pt idx="0">
                  <c:v>Dummy for charting supply</c:v>
                </c:pt>
              </c:strCache>
            </c:strRef>
          </c:tx>
          <c:spPr>
            <a:noFill/>
            <a:ln>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output'!$AY$49:$BH$49</c:f>
              <c:numCache>
                <c:formatCode>#,##0.0_);\(#,##0.0\);"-"_);@</c:formatCode>
                <c:ptCount val="10"/>
                <c:pt idx="0">
                  <c:v>0</c:v>
                </c:pt>
                <c:pt idx="1">
                  <c:v>0</c:v>
                </c:pt>
                <c:pt idx="2">
                  <c:v>0</c:v>
                </c:pt>
                <c:pt idx="3">
                  <c:v>0</c:v>
                </c:pt>
                <c:pt idx="4">
                  <c:v>0</c:v>
                </c:pt>
                <c:pt idx="5">
                  <c:v>0</c:v>
                </c:pt>
                <c:pt idx="6">
                  <c:v>0</c:v>
                </c:pt>
                <c:pt idx="7">
                  <c:v>0</c:v>
                </c:pt>
                <c:pt idx="8">
                  <c:v>0</c:v>
                </c:pt>
              </c:numCache>
            </c:numRef>
          </c:val>
        </c:ser>
        <c:axId val="138842496"/>
        <c:axId val="138844032"/>
      </c:areaChart>
      <c:catAx>
        <c:axId val="138842496"/>
        <c:scaling>
          <c:orientation val="minMax"/>
        </c:scaling>
        <c:axPos val="b"/>
        <c:numFmt formatCode="General" sourceLinked="1"/>
        <c:tickLblPos val="nextTo"/>
        <c:txPr>
          <a:bodyPr/>
          <a:lstStyle/>
          <a:p>
            <a:pPr>
              <a:defRPr lang="en-US" sz="1200"/>
            </a:pPr>
            <a:endParaRPr lang="en-US"/>
          </a:p>
        </c:txPr>
        <c:crossAx val="138844032"/>
        <c:crosses val="autoZero"/>
        <c:auto val="1"/>
        <c:lblAlgn val="ctr"/>
        <c:lblOffset val="100"/>
      </c:catAx>
      <c:valAx>
        <c:axId val="138844032"/>
        <c:scaling>
          <c:orientation val="minMax"/>
        </c:scaling>
        <c:axPos val="l"/>
        <c:majorGridlines>
          <c:spPr>
            <a:ln>
              <a:solidFill>
                <a:schemeClr val="accent1">
                  <a:lumMod val="20000"/>
                  <a:lumOff val="80000"/>
                </a:schemeClr>
              </a:solidFill>
            </a:ln>
          </c:spPr>
        </c:majorGridlines>
        <c:title>
          <c:tx>
            <c:strRef>
              <c:f>'Intermediate output'!$D$4</c:f>
              <c:strCache>
                <c:ptCount val="1"/>
                <c:pt idx="0">
                  <c:v>TWh / year</c:v>
                </c:pt>
              </c:strCache>
            </c:strRef>
          </c:tx>
          <c:layout/>
          <c:txPr>
            <a:bodyPr rot="-5400000" vert="horz"/>
            <a:lstStyle/>
            <a:p>
              <a:pPr>
                <a:defRPr lang="en-US" sz="1200"/>
              </a:pPr>
              <a:endParaRPr lang="en-US"/>
            </a:p>
          </c:txPr>
        </c:title>
        <c:numFmt formatCode="#,##0" sourceLinked="0"/>
        <c:tickLblPos val="nextTo"/>
        <c:spPr>
          <a:ln>
            <a:noFill/>
          </a:ln>
        </c:spPr>
        <c:txPr>
          <a:bodyPr/>
          <a:lstStyle/>
          <a:p>
            <a:pPr>
              <a:defRPr lang="en-US" sz="1200"/>
            </a:pPr>
            <a:endParaRPr lang="en-US"/>
          </a:p>
        </c:txPr>
        <c:crossAx val="138842496"/>
        <c:crosses val="autoZero"/>
        <c:crossBetween val="midCat"/>
      </c:valAx>
      <c:spPr>
        <a:noFill/>
      </c:spPr>
    </c:plotArea>
    <c:legend>
      <c:legendPos val="r"/>
      <c:legendEntry>
        <c:idx val="0"/>
        <c:delete val="1"/>
      </c:legendEntry>
      <c:layout>
        <c:manualLayout>
          <c:xMode val="edge"/>
          <c:yMode val="edge"/>
          <c:x val="0.7482012022771074"/>
          <c:y val="0.102083910593886"/>
          <c:w val="0.25179879772295238"/>
          <c:h val="0.77136787660492445"/>
        </c:manualLayout>
      </c:layout>
      <c:txPr>
        <a:bodyPr/>
        <a:lstStyle/>
        <a:p>
          <a:pPr>
            <a:defRPr lang="en-US" sz="1200"/>
          </a:pPr>
          <a:endParaRPr lang="en-US"/>
        </a:p>
      </c:txPr>
    </c:legend>
    <c:plotVisOnly val="1"/>
    <c:dispBlanksAs val="zero"/>
  </c:chart>
  <c:spPr>
    <a:noFill/>
    <a:ln>
      <a:noFill/>
    </a:ln>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IE"/>
  <c:style val="10"/>
  <c:chart>
    <c:title>
      <c:tx>
        <c:rich>
          <a:bodyPr/>
          <a:lstStyle/>
          <a:p>
            <a:pPr>
              <a:defRPr lang="en-US"/>
            </a:pPr>
            <a:r>
              <a:rPr lang="en-GB"/>
              <a:t>Electricity generation</a:t>
            </a:r>
          </a:p>
        </c:rich>
      </c:tx>
      <c:layout>
        <c:manualLayout>
          <c:xMode val="edge"/>
          <c:yMode val="edge"/>
          <c:x val="0.19056903184723981"/>
          <c:y val="2.37598231827112E-2"/>
        </c:manualLayout>
      </c:layout>
    </c:title>
    <c:plotArea>
      <c:layout>
        <c:manualLayout>
          <c:layoutTarget val="inner"/>
          <c:xMode val="edge"/>
          <c:yMode val="edge"/>
          <c:x val="0.11860834942565412"/>
          <c:y val="0.14293864860339744"/>
          <c:w val="0.63933857577989761"/>
          <c:h val="0.74672293785685762"/>
        </c:manualLayout>
      </c:layout>
      <c:areaChart>
        <c:grouping val="stacked"/>
        <c:ser>
          <c:idx val="6"/>
          <c:order val="0"/>
          <c:tx>
            <c:strRef>
              <c:f>'Intermediate output'!$D$99</c:f>
              <c:strCache>
                <c:ptCount val="1"/>
                <c:pt idx="0">
                  <c:v>Unabated thermal generation</c:v>
                </c:pt>
              </c:strCache>
            </c:strRef>
          </c:tx>
          <c:spPr>
            <a:solidFill>
              <a:schemeClr val="bg1">
                <a:lumMod val="50000"/>
              </a:schemeClr>
            </a:solidFill>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output'!$AY$99:$BG$99</c:f>
              <c:numCache>
                <c:formatCode>#,##0.0_);\(#,##0.0\);"-"_);@</c:formatCode>
                <c:ptCount val="9"/>
                <c:pt idx="0">
                  <c:v>19.080008949093042</c:v>
                </c:pt>
                <c:pt idx="1">
                  <c:v>18.970335288333835</c:v>
                </c:pt>
                <c:pt idx="2">
                  <c:v>15.415395683190502</c:v>
                </c:pt>
                <c:pt idx="3">
                  <c:v>10.593321727732546</c:v>
                </c:pt>
                <c:pt idx="4">
                  <c:v>5.7265971428571429</c:v>
                </c:pt>
                <c:pt idx="5">
                  <c:v>13.492969714285715</c:v>
                </c:pt>
                <c:pt idx="6">
                  <c:v>15.889615714285716</c:v>
                </c:pt>
                <c:pt idx="7">
                  <c:v>17.930687142857145</c:v>
                </c:pt>
                <c:pt idx="8">
                  <c:v>20.10708</c:v>
                </c:pt>
              </c:numCache>
            </c:numRef>
          </c:val>
        </c:ser>
        <c:ser>
          <c:idx val="7"/>
          <c:order val="1"/>
          <c:tx>
            <c:strRef>
              <c:f>'Intermediate output'!$D$100</c:f>
              <c:strCache>
                <c:ptCount val="1"/>
                <c:pt idx="0">
                  <c:v>Carbon Capture Storage (CCS)</c:v>
                </c:pt>
              </c:strCache>
            </c:strRef>
          </c:tx>
          <c:spPr>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output'!$AY$100:$BG$100</c:f>
              <c:numCache>
                <c:formatCode>#,##0.0_);\(#,##0.0\);"-"_);@</c:formatCode>
                <c:ptCount val="9"/>
                <c:pt idx="0">
                  <c:v>0</c:v>
                </c:pt>
                <c:pt idx="1">
                  <c:v>0</c:v>
                </c:pt>
                <c:pt idx="2">
                  <c:v>0</c:v>
                </c:pt>
                <c:pt idx="3">
                  <c:v>0</c:v>
                </c:pt>
                <c:pt idx="4">
                  <c:v>0</c:v>
                </c:pt>
                <c:pt idx="5">
                  <c:v>3.3269161499999997</c:v>
                </c:pt>
                <c:pt idx="6">
                  <c:v>9.9919251000000013</c:v>
                </c:pt>
                <c:pt idx="7">
                  <c:v>16.671836249999998</c:v>
                </c:pt>
                <c:pt idx="8">
                  <c:v>23.470965</c:v>
                </c:pt>
              </c:numCache>
            </c:numRef>
          </c:val>
        </c:ser>
        <c:ser>
          <c:idx val="8"/>
          <c:order val="2"/>
          <c:tx>
            <c:strRef>
              <c:f>'Intermediate output'!$D$101</c:f>
              <c:strCache>
                <c:ptCount val="1"/>
                <c:pt idx="0">
                  <c:v>Nuclear power</c:v>
                </c:pt>
              </c:strCache>
            </c:strRef>
          </c:tx>
          <c:spPr>
            <a:solidFill>
              <a:schemeClr val="accent4">
                <a:lumMod val="60000"/>
                <a:lumOff val="40000"/>
              </a:schemeClr>
            </a:solidFill>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output'!$AY$101:$BG$101</c:f>
              <c:numCache>
                <c:formatCode>#,##0.0_);\(#,##0.0\);"-"_);@</c:formatCode>
                <c:ptCount val="9"/>
                <c:pt idx="0">
                  <c:v>0</c:v>
                </c:pt>
                <c:pt idx="1">
                  <c:v>0</c:v>
                </c:pt>
                <c:pt idx="2">
                  <c:v>0</c:v>
                </c:pt>
                <c:pt idx="3">
                  <c:v>0</c:v>
                </c:pt>
                <c:pt idx="4">
                  <c:v>7.0128000000000013</c:v>
                </c:pt>
                <c:pt idx="5">
                  <c:v>7.0128000000000013</c:v>
                </c:pt>
                <c:pt idx="6">
                  <c:v>7.0128000000000013</c:v>
                </c:pt>
                <c:pt idx="7">
                  <c:v>7.0128000000000013</c:v>
                </c:pt>
                <c:pt idx="8">
                  <c:v>7.0128000000000013</c:v>
                </c:pt>
              </c:numCache>
            </c:numRef>
          </c:val>
        </c:ser>
        <c:ser>
          <c:idx val="9"/>
          <c:order val="3"/>
          <c:tx>
            <c:strRef>
              <c:f>'Intermediate output'!$D$109</c:f>
              <c:strCache>
                <c:ptCount val="1"/>
                <c:pt idx="0">
                  <c:v>Non-thermal renewable generation</c:v>
                </c:pt>
              </c:strCache>
            </c:strRef>
          </c:tx>
          <c:spPr>
            <a:solidFill>
              <a:schemeClr val="accent3"/>
            </a:solidFill>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output'!$AY$109:$BG$109</c:f>
              <c:numCache>
                <c:formatCode>#,##0.0_);\(#,##0.0\);"-"_);@</c:formatCode>
                <c:ptCount val="9"/>
                <c:pt idx="0">
                  <c:v>5.249256120000001</c:v>
                </c:pt>
                <c:pt idx="1">
                  <c:v>6.3691306323287664</c:v>
                </c:pt>
                <c:pt idx="2">
                  <c:v>10.298778929999999</c:v>
                </c:pt>
                <c:pt idx="3">
                  <c:v>15.725415059999998</c:v>
                </c:pt>
                <c:pt idx="4">
                  <c:v>27.460459259999997</c:v>
                </c:pt>
                <c:pt idx="5">
                  <c:v>36.393013260000004</c:v>
                </c:pt>
                <c:pt idx="6">
                  <c:v>42.489766259999996</c:v>
                </c:pt>
                <c:pt idx="7">
                  <c:v>50.764870259999995</c:v>
                </c:pt>
                <c:pt idx="8">
                  <c:v>59.134647060000006</c:v>
                </c:pt>
              </c:numCache>
            </c:numRef>
          </c:val>
        </c:ser>
        <c:ser>
          <c:idx val="12"/>
          <c:order val="6"/>
          <c:tx>
            <c:strRef>
              <c:f>'Intermediate output'!$D$110</c:f>
              <c:strCache>
                <c:ptCount val="1"/>
                <c:pt idx="0">
                  <c:v>Electricity imports</c:v>
                </c:pt>
              </c:strCache>
            </c:strRef>
          </c:tx>
          <c:spPr>
            <a:solidFill>
              <a:schemeClr val="accent6">
                <a:lumMod val="60000"/>
                <a:lumOff val="40000"/>
              </a:schemeClr>
            </a:solidFill>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output'!$AY$110:$BG$110</c:f>
              <c:numCache>
                <c:formatCode>#,##0.0_);\(#,##0.0\);"-"_);@</c:formatCode>
                <c:ptCount val="9"/>
                <c:pt idx="0">
                  <c:v>2.5</c:v>
                </c:pt>
                <c:pt idx="1">
                  <c:v>2.5</c:v>
                </c:pt>
                <c:pt idx="2">
                  <c:v>2.5</c:v>
                </c:pt>
                <c:pt idx="3">
                  <c:v>2.5</c:v>
                </c:pt>
                <c:pt idx="4">
                  <c:v>3.9</c:v>
                </c:pt>
                <c:pt idx="5">
                  <c:v>4.5999999999999996</c:v>
                </c:pt>
                <c:pt idx="6">
                  <c:v>7</c:v>
                </c:pt>
                <c:pt idx="7">
                  <c:v>9</c:v>
                </c:pt>
                <c:pt idx="8">
                  <c:v>10</c:v>
                </c:pt>
              </c:numCache>
            </c:numRef>
          </c:val>
        </c:ser>
        <c:axId val="150319872"/>
        <c:axId val="150321408"/>
      </c:areaChart>
      <c:lineChart>
        <c:grouping val="standard"/>
        <c:ser>
          <c:idx val="10"/>
          <c:order val="4"/>
          <c:tx>
            <c:v>Domestic demand</c:v>
          </c:tx>
          <c:spPr>
            <a:ln w="57150">
              <a:solidFill>
                <a:srgbClr val="000000">
                  <a:alpha val="50196"/>
                </a:srgbClr>
              </a:solidFill>
            </a:ln>
          </c:spPr>
          <c:marker>
            <c:symbol val="none"/>
          </c:marker>
          <c:cat>
            <c:numRef>
              <c:f>'Intermediate output'!$AY$95:$BH$95</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output'!$AY$85:$BG$85</c:f>
              <c:numCache>
                <c:formatCode>#,##0.0_);\(#,##0.0\);"-"_);@</c:formatCode>
                <c:ptCount val="9"/>
                <c:pt idx="0">
                  <c:v>26.825473926275269</c:v>
                </c:pt>
                <c:pt idx="1">
                  <c:v>27.835674777844829</c:v>
                </c:pt>
                <c:pt idx="2">
                  <c:v>28.420767470372727</c:v>
                </c:pt>
                <c:pt idx="3">
                  <c:v>29.025329644914773</c:v>
                </c:pt>
                <c:pt idx="4">
                  <c:v>29.753784830370691</c:v>
                </c:pt>
                <c:pt idx="5">
                  <c:v>30.508820764039129</c:v>
                </c:pt>
                <c:pt idx="6">
                  <c:v>31.264965235907304</c:v>
                </c:pt>
                <c:pt idx="7">
                  <c:v>31.980194729251497</c:v>
                </c:pt>
                <c:pt idx="8">
                  <c:v>32.567734879061163</c:v>
                </c:pt>
              </c:numCache>
            </c:numRef>
          </c:val>
        </c:ser>
        <c:ser>
          <c:idx val="11"/>
          <c:order val="5"/>
          <c:tx>
            <c:v>Dummy</c:v>
          </c:tx>
          <c:spPr>
            <a:ln>
              <a:noFill/>
            </a:ln>
          </c:spPr>
          <c:marker>
            <c:symbol val="none"/>
          </c:marker>
          <c:cat>
            <c:numRef>
              <c:f>'Intermediate output'!$AY$95:$BH$95</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output'!$AY$86:$BG$86</c:f>
              <c:numCache>
                <c:formatCode>#,##0.0_);\(#,##0.0\);"-"_);@</c:formatCode>
                <c:ptCount val="9"/>
                <c:pt idx="0">
                  <c:v>26.829265069093044</c:v>
                </c:pt>
                <c:pt idx="1">
                  <c:v>27.839465920662601</c:v>
                </c:pt>
                <c:pt idx="2">
                  <c:v>28.214174613190501</c:v>
                </c:pt>
                <c:pt idx="3">
                  <c:v>28.818736787732544</c:v>
                </c:pt>
                <c:pt idx="4">
                  <c:v>44.099856402857135</c:v>
                </c:pt>
                <c:pt idx="5">
                  <c:v>64.82569912428572</c:v>
                </c:pt>
                <c:pt idx="6">
                  <c:v>82.384107074285708</c:v>
                </c:pt>
                <c:pt idx="7">
                  <c:v>101.38019365285714</c:v>
                </c:pt>
                <c:pt idx="8">
                  <c:v>119.72549206000001</c:v>
                </c:pt>
              </c:numCache>
            </c:numRef>
          </c:val>
        </c:ser>
        <c:marker val="1"/>
        <c:axId val="150337408"/>
        <c:axId val="150335872"/>
      </c:lineChart>
      <c:catAx>
        <c:axId val="150319872"/>
        <c:scaling>
          <c:orientation val="minMax"/>
        </c:scaling>
        <c:axPos val="b"/>
        <c:numFmt formatCode="General" sourceLinked="1"/>
        <c:tickLblPos val="nextTo"/>
        <c:txPr>
          <a:bodyPr/>
          <a:lstStyle/>
          <a:p>
            <a:pPr>
              <a:defRPr lang="en-US" sz="1200"/>
            </a:pPr>
            <a:endParaRPr lang="en-US"/>
          </a:p>
        </c:txPr>
        <c:crossAx val="150321408"/>
        <c:crosses val="autoZero"/>
        <c:auto val="1"/>
        <c:lblAlgn val="ctr"/>
        <c:lblOffset val="100"/>
      </c:catAx>
      <c:valAx>
        <c:axId val="150321408"/>
        <c:scaling>
          <c:orientation val="minMax"/>
        </c:scaling>
        <c:axPos val="l"/>
        <c:majorGridlines>
          <c:spPr>
            <a:ln>
              <a:solidFill>
                <a:schemeClr val="accent1">
                  <a:lumMod val="20000"/>
                  <a:lumOff val="80000"/>
                </a:schemeClr>
              </a:solidFill>
            </a:ln>
          </c:spPr>
        </c:majorGridlines>
        <c:title>
          <c:tx>
            <c:strRef>
              <c:f>'Intermediate output'!$D$4</c:f>
              <c:strCache>
                <c:ptCount val="1"/>
                <c:pt idx="0">
                  <c:v>TWh / year</c:v>
                </c:pt>
              </c:strCache>
            </c:strRef>
          </c:tx>
          <c:layout>
            <c:manualLayout>
              <c:xMode val="edge"/>
              <c:yMode val="edge"/>
              <c:x val="0"/>
              <c:y val="0.3865459610028455"/>
            </c:manualLayout>
          </c:layout>
          <c:txPr>
            <a:bodyPr rot="-5400000" vert="horz"/>
            <a:lstStyle/>
            <a:p>
              <a:pPr>
                <a:defRPr lang="en-US" sz="1200"/>
              </a:pPr>
              <a:endParaRPr lang="en-US"/>
            </a:p>
          </c:txPr>
        </c:title>
        <c:numFmt formatCode="#,##0" sourceLinked="0"/>
        <c:tickLblPos val="nextTo"/>
        <c:spPr>
          <a:ln>
            <a:noFill/>
          </a:ln>
        </c:spPr>
        <c:txPr>
          <a:bodyPr/>
          <a:lstStyle/>
          <a:p>
            <a:pPr>
              <a:defRPr lang="en-US" sz="1200"/>
            </a:pPr>
            <a:endParaRPr lang="en-US"/>
          </a:p>
        </c:txPr>
        <c:crossAx val="150319872"/>
        <c:crosses val="autoZero"/>
        <c:crossBetween val="midCat"/>
      </c:valAx>
      <c:valAx>
        <c:axId val="150335872"/>
        <c:scaling>
          <c:orientation val="minMax"/>
        </c:scaling>
        <c:delete val="1"/>
        <c:axPos val="r"/>
        <c:numFmt formatCode="#,##0.0_);\(#,##0.0\);&quot;-&quot;_);@" sourceLinked="1"/>
        <c:tickLblPos val="none"/>
        <c:crossAx val="150337408"/>
        <c:crosses val="max"/>
        <c:crossBetween val="between"/>
      </c:valAx>
      <c:catAx>
        <c:axId val="150337408"/>
        <c:scaling>
          <c:orientation val="minMax"/>
        </c:scaling>
        <c:delete val="1"/>
        <c:axPos val="b"/>
        <c:numFmt formatCode="General" sourceLinked="1"/>
        <c:tickLblPos val="none"/>
        <c:crossAx val="150335872"/>
        <c:crosses val="autoZero"/>
        <c:auto val="1"/>
        <c:lblAlgn val="ctr"/>
        <c:lblOffset val="100"/>
      </c:catAx>
      <c:spPr>
        <a:noFill/>
        <a:effectLst/>
      </c:spPr>
    </c:plotArea>
    <c:legend>
      <c:legendPos val="r"/>
      <c:legendEntry>
        <c:idx val="6"/>
        <c:delete val="1"/>
      </c:legendEntry>
      <c:layout>
        <c:manualLayout>
          <c:xMode val="edge"/>
          <c:yMode val="edge"/>
          <c:x val="0.75215875866160165"/>
          <c:y val="0.102083910593886"/>
          <c:w val="0.24784122011871901"/>
          <c:h val="0.83997089797101165"/>
        </c:manualLayout>
      </c:layout>
      <c:txPr>
        <a:bodyPr/>
        <a:lstStyle/>
        <a:p>
          <a:pPr>
            <a:defRPr lang="en-US" sz="1200"/>
          </a:pPr>
          <a:endParaRPr lang="en-US"/>
        </a:p>
      </c:txPr>
    </c:legend>
    <c:plotVisOnly val="1"/>
    <c:dispBlanksAs val="zero"/>
  </c:chart>
  <c:spPr>
    <a:noFill/>
    <a:ln>
      <a:noFill/>
    </a:ln>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IE"/>
  <c:style val="10"/>
  <c:chart>
    <c:title>
      <c:tx>
        <c:rich>
          <a:bodyPr/>
          <a:lstStyle/>
          <a:p>
            <a:pPr>
              <a:defRPr lang="en-US"/>
            </a:pPr>
            <a:r>
              <a:rPr lang="en-GB"/>
              <a:t>Emissions (% of base year)</a:t>
            </a:r>
          </a:p>
        </c:rich>
      </c:tx>
      <c:layout>
        <c:manualLayout>
          <c:xMode val="edge"/>
          <c:yMode val="edge"/>
          <c:x val="0.26909292368401438"/>
          <c:y val="3.7817639846480712E-2"/>
        </c:manualLayout>
      </c:layout>
    </c:title>
    <c:plotArea>
      <c:layout>
        <c:manualLayout>
          <c:layoutTarget val="inner"/>
          <c:xMode val="edge"/>
          <c:yMode val="edge"/>
          <c:x val="0.109388716961062"/>
          <c:y val="0.1233917521012467"/>
          <c:w val="0.6214333029614405"/>
          <c:h val="0.7813586404359455"/>
        </c:manualLayout>
      </c:layout>
      <c:areaChart>
        <c:grouping val="stacked"/>
        <c:ser>
          <c:idx val="6"/>
          <c:order val="2"/>
          <c:tx>
            <c:strRef>
              <c:f>'Intermediate output'!$D$141</c:f>
              <c:strCache>
                <c:ptCount val="1"/>
                <c:pt idx="0">
                  <c:v>Fuel Combustion</c:v>
                </c:pt>
              </c:strCache>
            </c:strRef>
          </c:tx>
          <c:spPr>
            <a:solidFill>
              <a:schemeClr val="bg1">
                <a:lumMod val="75000"/>
              </a:schemeClr>
            </a:solidFill>
            <a:ln>
              <a:noFill/>
            </a:ln>
            <a:effectLst/>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output'!$AY$141:$BG$141</c:f>
              <c:numCache>
                <c:formatCode>0%;\ \(0%\);\ \-</c:formatCode>
                <c:ptCount val="9"/>
                <c:pt idx="0">
                  <c:v>0.70068236090035441</c:v>
                </c:pt>
                <c:pt idx="1">
                  <c:v>0.67936715242504031</c:v>
                </c:pt>
                <c:pt idx="2">
                  <c:v>0.60620845358954367</c:v>
                </c:pt>
                <c:pt idx="3">
                  <c:v>0.52542084983815085</c:v>
                </c:pt>
                <c:pt idx="4">
                  <c:v>0.46643028532645431</c:v>
                </c:pt>
                <c:pt idx="5">
                  <c:v>0.61889567646422883</c:v>
                </c:pt>
                <c:pt idx="6">
                  <c:v>0.6860508573218117</c:v>
                </c:pt>
                <c:pt idx="7">
                  <c:v>0.74215419476269362</c:v>
                </c:pt>
                <c:pt idx="8">
                  <c:v>0.7982711313259474</c:v>
                </c:pt>
              </c:numCache>
            </c:numRef>
          </c:val>
        </c:ser>
        <c:ser>
          <c:idx val="7"/>
          <c:order val="3"/>
          <c:tx>
            <c:strRef>
              <c:f>'Intermediate output'!$D$142</c:f>
              <c:strCache>
                <c:ptCount val="1"/>
                <c:pt idx="0">
                  <c:v>Industrial Processes</c:v>
                </c:pt>
              </c:strCache>
            </c:strRef>
          </c:tx>
          <c:spPr>
            <a:solidFill>
              <a:schemeClr val="accent4"/>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output'!$AY$142:$BG$142</c:f>
              <c:numCache>
                <c:formatCode>0%;\ \(0%\);\ \-</c:formatCode>
                <c:ptCount val="9"/>
                <c:pt idx="0">
                  <c:v>4.6332129690538154E-2</c:v>
                </c:pt>
                <c:pt idx="1">
                  <c:v>4.4368679822722003E-2</c:v>
                </c:pt>
                <c:pt idx="2">
                  <c:v>3.982897874684499E-2</c:v>
                </c:pt>
                <c:pt idx="3">
                  <c:v>3.5769962257996731E-2</c:v>
                </c:pt>
                <c:pt idx="4">
                  <c:v>3.2139221902221966E-2</c:v>
                </c:pt>
                <c:pt idx="5">
                  <c:v>2.8890199563131203E-2</c:v>
                </c:pt>
                <c:pt idx="6">
                  <c:v>2.5981522451681258E-2</c:v>
                </c:pt>
                <c:pt idx="7">
                  <c:v>2.3376414709300422E-2</c:v>
                </c:pt>
                <c:pt idx="8">
                  <c:v>2.104217671221334E-2</c:v>
                </c:pt>
              </c:numCache>
            </c:numRef>
          </c:val>
        </c:ser>
        <c:ser>
          <c:idx val="8"/>
          <c:order val="4"/>
          <c:tx>
            <c:strRef>
              <c:f>'Intermediate output'!$D$144</c:f>
              <c:strCache>
                <c:ptCount val="1"/>
                <c:pt idx="0">
                  <c:v>Agriculture</c:v>
                </c:pt>
              </c:strCache>
            </c:strRef>
          </c:tx>
          <c:spPr>
            <a:solidFill>
              <a:schemeClr val="accent3"/>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output'!$AY$144:$BG$144</c:f>
              <c:numCache>
                <c:formatCode>0%;\ \(0%\);\ \-</c:formatCode>
                <c:ptCount val="9"/>
                <c:pt idx="0">
                  <c:v>0.3346115098311358</c:v>
                </c:pt>
                <c:pt idx="1">
                  <c:v>0.32990215309633181</c:v>
                </c:pt>
                <c:pt idx="2">
                  <c:v>0.3161004385725032</c:v>
                </c:pt>
                <c:pt idx="3">
                  <c:v>0.30193449445079229</c:v>
                </c:pt>
                <c:pt idx="4">
                  <c:v>0.28338587501517193</c:v>
                </c:pt>
                <c:pt idx="5">
                  <c:v>0.27339993786749706</c:v>
                </c:pt>
                <c:pt idx="6">
                  <c:v>0.26374542614627072</c:v>
                </c:pt>
                <c:pt idx="7">
                  <c:v>0.25441205948171602</c:v>
                </c:pt>
                <c:pt idx="8">
                  <c:v>0.24915764238061339</c:v>
                </c:pt>
              </c:numCache>
            </c:numRef>
          </c:val>
        </c:ser>
        <c:ser>
          <c:idx val="9"/>
          <c:order val="5"/>
          <c:tx>
            <c:strRef>
              <c:f>'Intermediate output'!$D$145</c:f>
              <c:strCache>
                <c:ptCount val="1"/>
                <c:pt idx="0">
                  <c:v>Land Use, Land-Use Change and Forestry</c:v>
                </c:pt>
              </c:strCache>
            </c:strRef>
          </c:tx>
          <c:spPr>
            <a:solidFill>
              <a:schemeClr val="accent3">
                <a:lumMod val="50000"/>
              </a:schemeClr>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output'!$AY$145:$BG$145</c:f>
              <c:numCache>
                <c:formatCode>0%;\ \(0%\);\ \-</c:formatCode>
                <c:ptCount val="9"/>
                <c:pt idx="0">
                  <c:v>-6.0997588923163037E-2</c:v>
                </c:pt>
                <c:pt idx="1">
                  <c:v>-3.9094242464228199E-2</c:v>
                </c:pt>
                <c:pt idx="2">
                  <c:v>-2.2625551771304712E-2</c:v>
                </c:pt>
                <c:pt idx="3">
                  <c:v>-1.2542749213370431E-2</c:v>
                </c:pt>
                <c:pt idx="4">
                  <c:v>-1.7964719639900789E-2</c:v>
                </c:pt>
                <c:pt idx="5">
                  <c:v>-2.8055247057724431E-2</c:v>
                </c:pt>
                <c:pt idx="6">
                  <c:v>-4.7577642745559798E-2</c:v>
                </c:pt>
                <c:pt idx="7">
                  <c:v>-6.9139072206383517E-2</c:v>
                </c:pt>
                <c:pt idx="8">
                  <c:v>-8.5797231898305987E-2</c:v>
                </c:pt>
              </c:numCache>
            </c:numRef>
          </c:val>
        </c:ser>
        <c:ser>
          <c:idx val="10"/>
          <c:order val="6"/>
          <c:tx>
            <c:strRef>
              <c:f>'Intermediate output'!$D$146</c:f>
              <c:strCache>
                <c:ptCount val="1"/>
                <c:pt idx="0">
                  <c:v>Waste</c:v>
                </c:pt>
              </c:strCache>
            </c:strRef>
          </c:tx>
          <c:spPr>
            <a:solidFill>
              <a:schemeClr val="accent6">
                <a:lumMod val="75000"/>
              </a:schemeClr>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output'!$AY$146:$BG$146</c:f>
              <c:numCache>
                <c:formatCode>0%;\ \(0%\);\ \-</c:formatCode>
                <c:ptCount val="9"/>
                <c:pt idx="0">
                  <c:v>1.8555279476589234E-2</c:v>
                </c:pt>
                <c:pt idx="1">
                  <c:v>1.6012388689546086E-2</c:v>
                </c:pt>
                <c:pt idx="2">
                  <c:v>1.4027911377303389E-2</c:v>
                </c:pt>
                <c:pt idx="3">
                  <c:v>1.2762523836153523E-2</c:v>
                </c:pt>
                <c:pt idx="4">
                  <c:v>1.1531679693182443E-2</c:v>
                </c:pt>
                <c:pt idx="5">
                  <c:v>1.033537894839015E-2</c:v>
                </c:pt>
                <c:pt idx="6">
                  <c:v>9.1736216017766457E-3</c:v>
                </c:pt>
                <c:pt idx="7">
                  <c:v>8.0464076533419259E-3</c:v>
                </c:pt>
                <c:pt idx="8">
                  <c:v>6.9537371030859944E-3</c:v>
                </c:pt>
              </c:numCache>
            </c:numRef>
          </c:val>
        </c:ser>
        <c:ser>
          <c:idx val="12"/>
          <c:order val="7"/>
          <c:tx>
            <c:strRef>
              <c:f>'Intermediate output'!$D$148</c:f>
              <c:strCache>
                <c:ptCount val="1"/>
                <c:pt idx="0">
                  <c:v>International Aviation and Shipping</c:v>
                </c:pt>
              </c:strCache>
            </c:strRef>
          </c:tx>
          <c:spPr>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output'!$AY$148:$BG$148</c:f>
              <c:numCache>
                <c:formatCode>0%;\ \(0%\);\ \-</c:formatCode>
                <c:ptCount val="9"/>
                <c:pt idx="0">
                  <c:v>3.5586336618443182E-2</c:v>
                </c:pt>
                <c:pt idx="1">
                  <c:v>3.4948665052577293E-2</c:v>
                </c:pt>
                <c:pt idx="2">
                  <c:v>3.7793593786717809E-2</c:v>
                </c:pt>
                <c:pt idx="3">
                  <c:v>4.0870108462414671E-2</c:v>
                </c:pt>
                <c:pt idx="4">
                  <c:v>4.4197060886984843E-2</c:v>
                </c:pt>
                <c:pt idx="5">
                  <c:v>4.779483746279338E-2</c:v>
                </c:pt>
                <c:pt idx="6">
                  <c:v>5.1685484108006191E-2</c:v>
                </c:pt>
                <c:pt idx="7">
                  <c:v>5.5892841346276069E-2</c:v>
                </c:pt>
                <c:pt idx="8">
                  <c:v>6.0442690393144059E-2</c:v>
                </c:pt>
              </c:numCache>
            </c:numRef>
          </c:val>
        </c:ser>
        <c:axId val="152513920"/>
        <c:axId val="152523904"/>
      </c:areaChart>
      <c:areaChart>
        <c:grouping val="stacked"/>
        <c:ser>
          <c:idx val="13"/>
          <c:order val="0"/>
          <c:tx>
            <c:strRef>
              <c:f>'Intermediate output'!$D$149</c:f>
              <c:strCache>
                <c:ptCount val="1"/>
                <c:pt idx="0">
                  <c:v>Bioenergy credit</c:v>
                </c:pt>
              </c:strCache>
            </c:strRef>
          </c:tx>
          <c:spPr>
            <a:ln w="9525">
              <a:noFill/>
            </a:ln>
            <a:effectLst/>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output'!$AY$149:$BG$149</c:f>
              <c:numCache>
                <c:formatCode>0%;\ \(0%\);\ \-</c:formatCode>
                <c:ptCount val="9"/>
                <c:pt idx="0">
                  <c:v>-1.0409014092880788E-2</c:v>
                </c:pt>
                <c:pt idx="1">
                  <c:v>-3.1868943020705719E-2</c:v>
                </c:pt>
                <c:pt idx="2">
                  <c:v>-0.10376808574031317</c:v>
                </c:pt>
                <c:pt idx="3">
                  <c:v>-9.4545056011594381E-2</c:v>
                </c:pt>
                <c:pt idx="4">
                  <c:v>-9.3667720291314635E-2</c:v>
                </c:pt>
                <c:pt idx="5">
                  <c:v>-0.22685066195112005</c:v>
                </c:pt>
                <c:pt idx="6">
                  <c:v>-0.2624831493070196</c:v>
                </c:pt>
                <c:pt idx="7">
                  <c:v>-0.28622746945987726</c:v>
                </c:pt>
                <c:pt idx="8">
                  <c:v>-0.30791681218189543</c:v>
                </c:pt>
              </c:numCache>
            </c:numRef>
          </c:val>
        </c:ser>
        <c:ser>
          <c:idx val="11"/>
          <c:order val="1"/>
          <c:tx>
            <c:strRef>
              <c:f>'Intermediate output'!$D$150</c:f>
              <c:strCache>
                <c:ptCount val="1"/>
                <c:pt idx="0">
                  <c:v>Carbon capture</c:v>
                </c:pt>
              </c:strCache>
            </c:strRef>
          </c:tx>
          <c:spPr>
            <a:solidFill>
              <a:schemeClr val="accent2"/>
            </a:solidFill>
            <a:ln w="9525">
              <a:noFill/>
            </a:ln>
            <a:effectLst/>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output'!$AY$150:$BG$150</c:f>
              <c:numCache>
                <c:formatCode>0%;\ \(0%\);\ \-</c:formatCode>
                <c:ptCount val="9"/>
                <c:pt idx="0">
                  <c:v>0</c:v>
                </c:pt>
                <c:pt idx="1">
                  <c:v>0</c:v>
                </c:pt>
                <c:pt idx="2">
                  <c:v>0</c:v>
                </c:pt>
                <c:pt idx="3">
                  <c:v>0</c:v>
                </c:pt>
                <c:pt idx="4">
                  <c:v>0</c:v>
                </c:pt>
                <c:pt idx="5">
                  <c:v>-2.1196830754604885E-2</c:v>
                </c:pt>
                <c:pt idx="6">
                  <c:v>-6.2581119370738236E-2</c:v>
                </c:pt>
                <c:pt idx="7">
                  <c:v>-0.10267214896761742</c:v>
                </c:pt>
                <c:pt idx="8">
                  <c:v>-0.14152960842305415</c:v>
                </c:pt>
              </c:numCache>
            </c:numRef>
          </c:val>
        </c:ser>
        <c:axId val="152535808"/>
        <c:axId val="152525824"/>
      </c:areaChart>
      <c:lineChart>
        <c:grouping val="standard"/>
        <c:ser>
          <c:idx val="0"/>
          <c:order val="8"/>
          <c:tx>
            <c:strRef>
              <c:f>'Intermediate output'!$D$151</c:f>
              <c:strCache>
                <c:ptCount val="1"/>
                <c:pt idx="0">
                  <c:v>Total</c:v>
                </c:pt>
              </c:strCache>
            </c:strRef>
          </c:tx>
          <c:spPr>
            <a:ln w="57150">
              <a:solidFill>
                <a:srgbClr val="000000">
                  <a:alpha val="80000"/>
                </a:srgbClr>
              </a:solidFill>
            </a:ln>
          </c:spPr>
          <c:marker>
            <c:symbol val="none"/>
          </c:marke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output'!$AY$151:$BG$151</c:f>
              <c:numCache>
                <c:formatCode>0%;\ \(0%\);\ \-</c:formatCode>
                <c:ptCount val="9"/>
                <c:pt idx="0">
                  <c:v>1.0643610135010171</c:v>
                </c:pt>
                <c:pt idx="1">
                  <c:v>1.0336358536012833</c:v>
                </c:pt>
                <c:pt idx="2">
                  <c:v>0.88756573856129517</c:v>
                </c:pt>
                <c:pt idx="3">
                  <c:v>0.80967013362054341</c:v>
                </c:pt>
                <c:pt idx="4">
                  <c:v>0.72605168289280009</c:v>
                </c:pt>
                <c:pt idx="5">
                  <c:v>0.70321329054259119</c:v>
                </c:pt>
                <c:pt idx="6">
                  <c:v>0.66399500020622892</c:v>
                </c:pt>
                <c:pt idx="7">
                  <c:v>0.62584322731945008</c:v>
                </c:pt>
                <c:pt idx="8">
                  <c:v>0.60062372541174858</c:v>
                </c:pt>
              </c:numCache>
            </c:numRef>
          </c:val>
        </c:ser>
        <c:ser>
          <c:idx val="1"/>
          <c:order val="9"/>
          <c:tx>
            <c:strRef>
              <c:f>'Intermediate output'!$D$206</c:f>
              <c:strCache>
                <c:ptCount val="1"/>
                <c:pt idx="0">
                  <c:v>Target, for chart</c:v>
                </c:pt>
              </c:strCache>
            </c:strRef>
          </c:tx>
          <c:spPr>
            <a:ln w="12700">
              <a:solidFill>
                <a:schemeClr val="bg1"/>
              </a:solidFill>
              <a:prstDash val="dash"/>
            </a:ln>
          </c:spPr>
          <c:marker>
            <c:symbol val="none"/>
          </c:marke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output'!$AY$206:$BG$206</c:f>
              <c:numCache>
                <c:formatCode>0%</c:formatCode>
                <c:ptCount val="9"/>
                <c:pt idx="0">
                  <c:v>0.2</c:v>
                </c:pt>
                <c:pt idx="1">
                  <c:v>0.2</c:v>
                </c:pt>
                <c:pt idx="2">
                  <c:v>0.2</c:v>
                </c:pt>
                <c:pt idx="3">
                  <c:v>0.2</c:v>
                </c:pt>
                <c:pt idx="4">
                  <c:v>0.2</c:v>
                </c:pt>
                <c:pt idx="5">
                  <c:v>0.2</c:v>
                </c:pt>
                <c:pt idx="6">
                  <c:v>0.2</c:v>
                </c:pt>
                <c:pt idx="7">
                  <c:v>0.2</c:v>
                </c:pt>
                <c:pt idx="8">
                  <c:v>0.2</c:v>
                </c:pt>
              </c:numCache>
            </c:numRef>
          </c:val>
        </c:ser>
        <c:ser>
          <c:idx val="2"/>
          <c:order val="10"/>
          <c:tx>
            <c:strRef>
              <c:f>'Intermediate output'!$D$207</c:f>
              <c:strCache>
                <c:ptCount val="1"/>
                <c:pt idx="0">
                  <c:v>Dummy, for chart</c:v>
                </c:pt>
              </c:strCache>
            </c:strRef>
          </c:tx>
          <c:spPr>
            <a:ln w="12700">
              <a:solidFill>
                <a:schemeClr val="tx1"/>
              </a:solidFill>
            </a:ln>
          </c:spPr>
          <c:marker>
            <c:symbol val="none"/>
          </c:marke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output'!$AY$207:$BG$207</c:f>
              <c:numCache>
                <c:formatCode>0%</c:formatCode>
                <c:ptCount val="9"/>
                <c:pt idx="0">
                  <c:v>0</c:v>
                </c:pt>
                <c:pt idx="1">
                  <c:v>0</c:v>
                </c:pt>
                <c:pt idx="2">
                  <c:v>0</c:v>
                </c:pt>
                <c:pt idx="3">
                  <c:v>0</c:v>
                </c:pt>
                <c:pt idx="4">
                  <c:v>0</c:v>
                </c:pt>
                <c:pt idx="5">
                  <c:v>0</c:v>
                </c:pt>
                <c:pt idx="6">
                  <c:v>0</c:v>
                </c:pt>
                <c:pt idx="7">
                  <c:v>0</c:v>
                </c:pt>
                <c:pt idx="8">
                  <c:v>0</c:v>
                </c:pt>
              </c:numCache>
            </c:numRef>
          </c:val>
        </c:ser>
        <c:marker val="1"/>
        <c:axId val="152535808"/>
        <c:axId val="152525824"/>
      </c:lineChart>
      <c:catAx>
        <c:axId val="152513920"/>
        <c:scaling>
          <c:orientation val="minMax"/>
        </c:scaling>
        <c:axPos val="b"/>
        <c:numFmt formatCode="General" sourceLinked="1"/>
        <c:tickLblPos val="nextTo"/>
        <c:txPr>
          <a:bodyPr/>
          <a:lstStyle/>
          <a:p>
            <a:pPr>
              <a:defRPr lang="en-US" sz="1200"/>
            </a:pPr>
            <a:endParaRPr lang="en-US"/>
          </a:p>
        </c:txPr>
        <c:crossAx val="152523904"/>
        <c:crossesAt val="-0.60000000000000064"/>
        <c:auto val="1"/>
        <c:lblAlgn val="ctr"/>
        <c:lblOffset val="100"/>
      </c:catAx>
      <c:valAx>
        <c:axId val="152523904"/>
        <c:scaling>
          <c:orientation val="minMax"/>
          <c:min val="-0.60000000000000064"/>
        </c:scaling>
        <c:axPos val="l"/>
        <c:majorGridlines>
          <c:spPr>
            <a:ln>
              <a:solidFill>
                <a:schemeClr val="accent1">
                  <a:lumMod val="20000"/>
                  <a:lumOff val="80000"/>
                </a:schemeClr>
              </a:solidFill>
            </a:ln>
          </c:spPr>
        </c:majorGridlines>
        <c:title>
          <c:tx>
            <c:rich>
              <a:bodyPr rot="-5400000" vert="horz"/>
              <a:lstStyle/>
              <a:p>
                <a:pPr>
                  <a:defRPr lang="en-US" sz="1200"/>
                </a:pPr>
                <a:r>
                  <a:rPr lang="en-US" sz="1200"/>
                  <a:t>CO</a:t>
                </a:r>
                <a:r>
                  <a:rPr lang="en-US" sz="1200" baseline="-25000"/>
                  <a:t>2</a:t>
                </a:r>
                <a:r>
                  <a:rPr lang="en-US" sz="1200"/>
                  <a:t>e / year (% of 1990)</a:t>
                </a:r>
              </a:p>
            </c:rich>
          </c:tx>
          <c:layout>
            <c:manualLayout>
              <c:xMode val="edge"/>
              <c:yMode val="edge"/>
              <c:x val="0"/>
              <c:y val="0.384137580878326"/>
            </c:manualLayout>
          </c:layout>
        </c:title>
        <c:numFmt formatCode="0%" sourceLinked="0"/>
        <c:tickLblPos val="nextTo"/>
        <c:spPr>
          <a:ln>
            <a:noFill/>
          </a:ln>
        </c:spPr>
        <c:txPr>
          <a:bodyPr/>
          <a:lstStyle/>
          <a:p>
            <a:pPr>
              <a:defRPr lang="en-US" sz="1200"/>
            </a:pPr>
            <a:endParaRPr lang="en-US"/>
          </a:p>
        </c:txPr>
        <c:crossAx val="152513920"/>
        <c:crosses val="autoZero"/>
        <c:crossBetween val="midCat"/>
      </c:valAx>
      <c:valAx>
        <c:axId val="152525824"/>
        <c:scaling>
          <c:orientation val="minMax"/>
          <c:min val="-0.60000000000000064"/>
        </c:scaling>
        <c:axPos val="r"/>
        <c:numFmt formatCode="0%;\ \(0%\);\ \-" sourceLinked="1"/>
        <c:majorTickMark val="none"/>
        <c:tickLblPos val="none"/>
        <c:spPr>
          <a:ln>
            <a:noFill/>
          </a:ln>
        </c:spPr>
        <c:txPr>
          <a:bodyPr/>
          <a:lstStyle/>
          <a:p>
            <a:pPr>
              <a:defRPr lang="en-US"/>
            </a:pPr>
            <a:endParaRPr lang="en-US"/>
          </a:p>
        </c:txPr>
        <c:crossAx val="152535808"/>
        <c:crosses val="max"/>
        <c:crossBetween val="between"/>
      </c:valAx>
      <c:catAx>
        <c:axId val="152535808"/>
        <c:scaling>
          <c:orientation val="minMax"/>
        </c:scaling>
        <c:delete val="1"/>
        <c:axPos val="b"/>
        <c:numFmt formatCode="General" sourceLinked="1"/>
        <c:tickLblPos val="none"/>
        <c:crossAx val="152525824"/>
        <c:crossesAt val="0"/>
        <c:auto val="1"/>
        <c:lblAlgn val="ctr"/>
        <c:lblOffset val="100"/>
      </c:catAx>
      <c:spPr>
        <a:noFill/>
      </c:spPr>
    </c:plotArea>
    <c:legend>
      <c:legendPos val="r"/>
      <c:legendEntry>
        <c:idx val="9"/>
        <c:delete val="1"/>
      </c:legendEntry>
      <c:legendEntry>
        <c:idx val="10"/>
        <c:delete val="1"/>
      </c:legendEntry>
      <c:layout>
        <c:manualLayout>
          <c:xMode val="edge"/>
          <c:yMode val="edge"/>
          <c:x val="0.73249970163530065"/>
          <c:y val="0.17657784398102241"/>
          <c:w val="0.26750029836472738"/>
          <c:h val="0.72940816604061398"/>
        </c:manualLayout>
      </c:layout>
      <c:txPr>
        <a:bodyPr/>
        <a:lstStyle/>
        <a:p>
          <a:pPr>
            <a:defRPr lang="en-US" sz="1200"/>
          </a:pPr>
          <a:endParaRPr lang="en-US"/>
        </a:p>
      </c:txPr>
    </c:legend>
    <c:plotVisOnly val="1"/>
    <c:dispBlanksAs val="zero"/>
  </c:chart>
  <c:spPr>
    <a:noFill/>
    <a:ln>
      <a:noFill/>
    </a:ln>
    <a:effectLst/>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Final</a:t>
            </a:r>
            <a:r>
              <a:rPr lang="en-US" sz="1100" baseline="0"/>
              <a:t> </a:t>
            </a:r>
            <a:r>
              <a:rPr lang="en-US" sz="1100"/>
              <a:t>Demand</a:t>
            </a:r>
          </a:p>
        </c:rich>
      </c:tx>
      <c:layout/>
    </c:title>
    <c:plotArea>
      <c:layout/>
      <c:areaChart>
        <c:grouping val="stacked"/>
        <c:ser>
          <c:idx val="0"/>
          <c:order val="0"/>
          <c:tx>
            <c:strRef>
              <c:f>'Intermediate output'!$D$13</c:f>
              <c:strCache>
                <c:ptCount val="1"/>
                <c:pt idx="0">
                  <c:v>Transport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output'!$AY$13:$BG$13</c:f>
              <c:numCache>
                <c:formatCode>#,##0.0_);\(#,##0.0\);"-"_);@</c:formatCode>
                <c:ptCount val="9"/>
                <c:pt idx="0">
                  <c:v>46.878886178117227</c:v>
                </c:pt>
                <c:pt idx="1">
                  <c:v>45.930482968277992</c:v>
                </c:pt>
                <c:pt idx="2">
                  <c:v>44.715366006355119</c:v>
                </c:pt>
                <c:pt idx="3">
                  <c:v>43.123083039874139</c:v>
                </c:pt>
                <c:pt idx="4">
                  <c:v>43.497655861730784</c:v>
                </c:pt>
                <c:pt idx="5">
                  <c:v>43.817882148158731</c:v>
                </c:pt>
                <c:pt idx="6">
                  <c:v>44.334434581454083</c:v>
                </c:pt>
                <c:pt idx="7">
                  <c:v>44.940889486475555</c:v>
                </c:pt>
                <c:pt idx="8">
                  <c:v>45.624715616963286</c:v>
                </c:pt>
              </c:numCache>
            </c:numRef>
          </c:val>
        </c:ser>
        <c:ser>
          <c:idx val="1"/>
          <c:order val="1"/>
          <c:tx>
            <c:strRef>
              <c:f>'Intermediate output'!$D$14</c:f>
              <c:strCache>
                <c:ptCount val="1"/>
                <c:pt idx="0">
                  <c:v>Industry</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output'!$AY$14:$BG$14</c:f>
              <c:numCache>
                <c:formatCode>#,##0.0_);\(#,##0.0\);"-"_);@</c:formatCode>
                <c:ptCount val="9"/>
                <c:pt idx="0">
                  <c:v>28.675543224779016</c:v>
                </c:pt>
                <c:pt idx="1">
                  <c:v>29.002786937023085</c:v>
                </c:pt>
                <c:pt idx="2">
                  <c:v>31.815835036785352</c:v>
                </c:pt>
                <c:pt idx="3">
                  <c:v>30.936448881734712</c:v>
                </c:pt>
                <c:pt idx="4">
                  <c:v>31.162226634125272</c:v>
                </c:pt>
                <c:pt idx="5">
                  <c:v>32.196575836673233</c:v>
                </c:pt>
                <c:pt idx="6">
                  <c:v>33.358518857203755</c:v>
                </c:pt>
                <c:pt idx="7">
                  <c:v>34.650458118468507</c:v>
                </c:pt>
                <c:pt idx="8">
                  <c:v>36.076262680025728</c:v>
                </c:pt>
              </c:numCache>
            </c:numRef>
          </c:val>
        </c:ser>
        <c:ser>
          <c:idx val="2"/>
          <c:order val="2"/>
          <c:tx>
            <c:strRef>
              <c:f>'Intermediate output'!$D$15</c:f>
              <c:strCache>
                <c:ptCount val="1"/>
                <c:pt idx="0">
                  <c:v>Heating and cooling</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output'!$AY$15:$BG$15</c:f>
              <c:numCache>
                <c:formatCode>#,##0.0_);\(#,##0.0\);"-"_);@</c:formatCode>
                <c:ptCount val="9"/>
                <c:pt idx="0">
                  <c:v>36.980937210387133</c:v>
                </c:pt>
                <c:pt idx="1">
                  <c:v>35.698527384815208</c:v>
                </c:pt>
                <c:pt idx="2">
                  <c:v>35.606421512563799</c:v>
                </c:pt>
                <c:pt idx="3">
                  <c:v>36.831258141442504</c:v>
                </c:pt>
                <c:pt idx="4">
                  <c:v>37.793072269825217</c:v>
                </c:pt>
                <c:pt idx="5">
                  <c:v>38.883640112521043</c:v>
                </c:pt>
                <c:pt idx="6">
                  <c:v>40.107798280097512</c:v>
                </c:pt>
                <c:pt idx="7">
                  <c:v>41.5263129319206</c:v>
                </c:pt>
                <c:pt idx="8">
                  <c:v>42.9684946640851</c:v>
                </c:pt>
              </c:numCache>
            </c:numRef>
          </c:val>
        </c:ser>
        <c:ser>
          <c:idx val="3"/>
          <c:order val="3"/>
          <c:tx>
            <c:strRef>
              <c:f>'Intermediate output'!$D$16</c:f>
              <c:strCache>
                <c:ptCount val="1"/>
                <c:pt idx="0">
                  <c:v>Lighting &amp; appliances</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output'!$AY$16:$BG$16</c:f>
              <c:numCache>
                <c:formatCode>#,##0.0_);\(#,##0.0\);"-"_);@</c:formatCode>
                <c:ptCount val="9"/>
                <c:pt idx="0">
                  <c:v>9.9881098435378739</c:v>
                </c:pt>
                <c:pt idx="1">
                  <c:v>10.094711107570451</c:v>
                </c:pt>
                <c:pt idx="2">
                  <c:v>10.378401122896985</c:v>
                </c:pt>
                <c:pt idx="3">
                  <c:v>10.679268973988956</c:v>
                </c:pt>
                <c:pt idx="4">
                  <c:v>11.004615111074104</c:v>
                </c:pt>
                <c:pt idx="5">
                  <c:v>11.3150669434942</c:v>
                </c:pt>
                <c:pt idx="6">
                  <c:v>11.588405997071563</c:v>
                </c:pt>
                <c:pt idx="7">
                  <c:v>11.826083554413207</c:v>
                </c:pt>
                <c:pt idx="8">
                  <c:v>12.034872571628442</c:v>
                </c:pt>
              </c:numCache>
            </c:numRef>
          </c:val>
        </c:ser>
        <c:axId val="154034176"/>
        <c:axId val="154035712"/>
      </c:areaChart>
      <c:catAx>
        <c:axId val="154034176"/>
        <c:scaling>
          <c:orientation val="minMax"/>
        </c:scaling>
        <c:axPos val="b"/>
        <c:numFmt formatCode="General" sourceLinked="1"/>
        <c:tickLblPos val="nextTo"/>
        <c:crossAx val="154035712"/>
        <c:crosses val="autoZero"/>
        <c:auto val="1"/>
        <c:lblAlgn val="ctr"/>
        <c:lblOffset val="100"/>
      </c:catAx>
      <c:valAx>
        <c:axId val="154035712"/>
        <c:scaling>
          <c:orientation val="minMax"/>
        </c:scaling>
        <c:axPos val="l"/>
        <c:title>
          <c:tx>
            <c:strRef>
              <c:f>'Intermediate output'!$D$4</c:f>
              <c:strCache>
                <c:ptCount val="1"/>
                <c:pt idx="0">
                  <c:v>TWh / year</c:v>
                </c:pt>
              </c:strCache>
            </c:strRef>
          </c:tx>
          <c:layout/>
          <c:txPr>
            <a:bodyPr rot="-5400000" vert="horz"/>
            <a:lstStyle/>
            <a:p>
              <a:pPr>
                <a:defRPr/>
              </a:pPr>
              <a:endParaRPr lang="en-US"/>
            </a:p>
          </c:txPr>
        </c:title>
        <c:numFmt formatCode="#,##0" sourceLinked="0"/>
        <c:tickLblPos val="nextTo"/>
        <c:crossAx val="154034176"/>
        <c:crosses val="autoZero"/>
        <c:crossBetween val="midCat"/>
      </c:valAx>
      <c:spPr>
        <a:noFill/>
      </c:spPr>
    </c:plotArea>
    <c:legend>
      <c:legendPos val="r"/>
      <c:layout>
        <c:manualLayout>
          <c:xMode val="edge"/>
          <c:yMode val="edge"/>
          <c:x val="0.77420599457625994"/>
          <c:y val="0.33778225850982513"/>
          <c:w val="0.21341489466952701"/>
          <c:h val="0.33709493953046438"/>
        </c:manualLayout>
      </c:layout>
    </c:legend>
    <c:plotVisOnly val="1"/>
  </c:chart>
  <c:spPr>
    <a:noFill/>
    <a:ln>
      <a:noFill/>
    </a:ln>
  </c:spPr>
  <c:printSettings>
    <c:headerFooter/>
    <c:pageMargins b="0.750000000000004" l="0.70000000000000062" r="0.70000000000000062" t="0.750000000000004"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baseline="0"/>
              <a:t>Primary Supply</a:t>
            </a:r>
            <a:endParaRPr lang="en-IE" sz="1100"/>
          </a:p>
        </c:rich>
      </c:tx>
      <c:layout/>
    </c:title>
    <c:plotArea>
      <c:layout>
        <c:manualLayout>
          <c:layoutTarget val="inner"/>
          <c:xMode val="edge"/>
          <c:yMode val="edge"/>
          <c:x val="0.10726446043463611"/>
          <c:y val="0.12728830241713499"/>
          <c:w val="0.62455933833753263"/>
          <c:h val="0.77761647413348978"/>
        </c:manualLayout>
      </c:layout>
      <c:areaChart>
        <c:grouping val="stacked"/>
        <c:ser>
          <c:idx val="0"/>
          <c:order val="0"/>
          <c:tx>
            <c:v>Nuclear, renewable and imports of electricity</c:v>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output'!$AY$31:$BG$31</c:f>
              <c:numCache>
                <c:formatCode>#,##0.0_);\(#,##0.0\);"-"_);@</c:formatCode>
                <c:ptCount val="9"/>
                <c:pt idx="0">
                  <c:v>7.790311007428989</c:v>
                </c:pt>
                <c:pt idx="1">
                  <c:v>9.1644705217588136</c:v>
                </c:pt>
                <c:pt idx="2">
                  <c:v>13.567131413644724</c:v>
                </c:pt>
                <c:pt idx="3">
                  <c:v>19.315732662313394</c:v>
                </c:pt>
                <c:pt idx="4">
                  <c:v>39.848777581687578</c:v>
                </c:pt>
                <c:pt idx="5">
                  <c:v>29.942717026593343</c:v>
                </c:pt>
                <c:pt idx="6">
                  <c:v>22.107098707725775</c:v>
                </c:pt>
                <c:pt idx="7">
                  <c:v>15.005982273608822</c:v>
                </c:pt>
                <c:pt idx="8">
                  <c:v>7.5997243448034055</c:v>
                </c:pt>
              </c:numCache>
            </c:numRef>
          </c:val>
        </c:ser>
        <c:ser>
          <c:idx val="1"/>
          <c:order val="1"/>
          <c:tx>
            <c:v>Agriculture and biomass</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output'!$AY$36:$BG$36</c:f>
              <c:numCache>
                <c:formatCode>#,##0.0_);\(#,##0.0\);"-"_);@</c:formatCode>
                <c:ptCount val="9"/>
                <c:pt idx="0" formatCode="0.0">
                  <c:v>2.1701692424588424</c:v>
                </c:pt>
                <c:pt idx="1">
                  <c:v>5.9772574581939466</c:v>
                </c:pt>
                <c:pt idx="2">
                  <c:v>19.124319444842083</c:v>
                </c:pt>
                <c:pt idx="3">
                  <c:v>18.605920854058258</c:v>
                </c:pt>
                <c:pt idx="4">
                  <c:v>21.817285797963891</c:v>
                </c:pt>
                <c:pt idx="5">
                  <c:v>45.407033821038908</c:v>
                </c:pt>
                <c:pt idx="6">
                  <c:v>55.194938143571299</c:v>
                </c:pt>
                <c:pt idx="7">
                  <c:v>62.616483548103908</c:v>
                </c:pt>
                <c:pt idx="8">
                  <c:v>69.436475569063489</c:v>
                </c:pt>
              </c:numCache>
            </c:numRef>
          </c:val>
        </c:ser>
        <c:ser>
          <c:idx val="2"/>
          <c:order val="2"/>
          <c:tx>
            <c:v>Coal and peat</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output'!$AY$39:$BG$39</c:f>
              <c:numCache>
                <c:formatCode>#,##0.0_);\(#,##0.0\);"-"_);@</c:formatCode>
                <c:ptCount val="9"/>
                <c:pt idx="0">
                  <c:v>23.0022810672098</c:v>
                </c:pt>
                <c:pt idx="1">
                  <c:v>20.367884225892759</c:v>
                </c:pt>
                <c:pt idx="2">
                  <c:v>2.4957584511413287</c:v>
                </c:pt>
                <c:pt idx="3">
                  <c:v>-0.24021866884806453</c:v>
                </c:pt>
                <c:pt idx="4">
                  <c:v>-0.22914024705997099</c:v>
                </c:pt>
                <c:pt idx="5">
                  <c:v>-0.22533488167895965</c:v>
                </c:pt>
                <c:pt idx="6">
                  <c:v>-0.22186590218798416</c:v>
                </c:pt>
                <c:pt idx="7">
                  <c:v>-0.21811357288438121</c:v>
                </c:pt>
                <c:pt idx="8">
                  <c:v>-0.2136046021465092</c:v>
                </c:pt>
              </c:numCache>
            </c:numRef>
          </c:val>
        </c:ser>
        <c:ser>
          <c:idx val="3"/>
          <c:order val="3"/>
          <c:tx>
            <c:v>Oil and petroleum products</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output'!$AY$43:$BG$43</c:f>
              <c:numCache>
                <c:formatCode>#,##0.0_);\(#,##0.0\);"-"_);@</c:formatCode>
                <c:ptCount val="9"/>
                <c:pt idx="0">
                  <c:v>76.341107777431446</c:v>
                </c:pt>
                <c:pt idx="1">
                  <c:v>70.428965076712089</c:v>
                </c:pt>
                <c:pt idx="2">
                  <c:v>66.132600914927124</c:v>
                </c:pt>
                <c:pt idx="3">
                  <c:v>61.70681606299398</c:v>
                </c:pt>
                <c:pt idx="4">
                  <c:v>58.853734589724091</c:v>
                </c:pt>
                <c:pt idx="5">
                  <c:v>56.055550717287325</c:v>
                </c:pt>
                <c:pt idx="6">
                  <c:v>53.466242556904533</c:v>
                </c:pt>
                <c:pt idx="7">
                  <c:v>50.942465881243002</c:v>
                </c:pt>
                <c:pt idx="8">
                  <c:v>48.624578735681354</c:v>
                </c:pt>
              </c:numCache>
            </c:numRef>
          </c:val>
        </c:ser>
        <c:ser>
          <c:idx val="4"/>
          <c:order val="4"/>
          <c:tx>
            <c:v>Natural gas</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output'!$AY$46:$BG$46</c:f>
              <c:numCache>
                <c:formatCode>#,##0.0_);\(#,##0.0\);"-"_);@</c:formatCode>
                <c:ptCount val="9"/>
                <c:pt idx="0">
                  <c:v>46.547614680811428</c:v>
                </c:pt>
                <c:pt idx="1">
                  <c:v>47.39978705331265</c:v>
                </c:pt>
                <c:pt idx="2">
                  <c:v>46.463075485516505</c:v>
                </c:pt>
                <c:pt idx="3">
                  <c:v>39.741491510161715</c:v>
                </c:pt>
                <c:pt idx="4">
                  <c:v>29.716870935553509</c:v>
                </c:pt>
                <c:pt idx="5">
                  <c:v>37.575562611620718</c:v>
                </c:pt>
                <c:pt idx="6">
                  <c:v>49.707610582817466</c:v>
                </c:pt>
                <c:pt idx="7">
                  <c:v>62.182671111735829</c:v>
                </c:pt>
                <c:pt idx="8">
                  <c:v>75.014269907136224</c:v>
                </c:pt>
              </c:numCache>
            </c:numRef>
          </c:val>
        </c:ser>
        <c:axId val="154059520"/>
        <c:axId val="154061056"/>
      </c:areaChart>
      <c:catAx>
        <c:axId val="154059520"/>
        <c:scaling>
          <c:orientation val="minMax"/>
        </c:scaling>
        <c:axPos val="b"/>
        <c:numFmt formatCode="General" sourceLinked="1"/>
        <c:tickLblPos val="nextTo"/>
        <c:crossAx val="154061056"/>
        <c:crosses val="autoZero"/>
        <c:auto val="1"/>
        <c:lblAlgn val="ctr"/>
        <c:lblOffset val="100"/>
      </c:catAx>
      <c:valAx>
        <c:axId val="154061056"/>
        <c:scaling>
          <c:orientation val="minMax"/>
        </c:scaling>
        <c:axPos val="l"/>
        <c:title>
          <c:tx>
            <c:strRef>
              <c:f>'Intermediate output'!$D$4</c:f>
              <c:strCache>
                <c:ptCount val="1"/>
                <c:pt idx="0">
                  <c:v>TWh / year</c:v>
                </c:pt>
              </c:strCache>
            </c:strRef>
          </c:tx>
          <c:layout/>
          <c:txPr>
            <a:bodyPr rot="-5400000" vert="horz"/>
            <a:lstStyle/>
            <a:p>
              <a:pPr>
                <a:defRPr/>
              </a:pPr>
              <a:endParaRPr lang="en-US"/>
            </a:p>
          </c:txPr>
        </c:title>
        <c:numFmt formatCode="#,##0" sourceLinked="0"/>
        <c:tickLblPos val="nextTo"/>
        <c:crossAx val="154059520"/>
        <c:crosses val="autoZero"/>
        <c:crossBetween val="midCat"/>
      </c:valAx>
      <c:spPr>
        <a:noFill/>
      </c:spPr>
    </c:plotArea>
    <c:legend>
      <c:legendPos val="r"/>
      <c:layout>
        <c:manualLayout>
          <c:xMode val="edge"/>
          <c:yMode val="edge"/>
          <c:x val="0.7917133274988416"/>
          <c:y val="0.24111676719998493"/>
          <c:w val="0.19595526644899541"/>
          <c:h val="0.62948174304777804"/>
        </c:manualLayout>
      </c:layout>
    </c:legend>
    <c:plotVisOnly val="1"/>
  </c:chart>
  <c:spPr>
    <a:noFill/>
    <a:ln>
      <a:noFill/>
    </a:ln>
  </c:spPr>
  <c:printSettings>
    <c:headerFooter/>
    <c:pageMargins b="0.75000000000000422" l="0.70000000000000062" r="0.70000000000000062" t="0.75000000000000422"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IE"/>
  <c:chart>
    <c:autoTitleDeleted val="1"/>
    <c:plotArea>
      <c:layout/>
      <c:areaChart>
        <c:grouping val="stacked"/>
        <c:ser>
          <c:idx val="0"/>
          <c:order val="0"/>
          <c:tx>
            <c:strRef>
              <c:f>'Intermediate output'!$D$81</c:f>
              <c:strCache>
                <c:ptCount val="1"/>
                <c:pt idx="0">
                  <c:v>Electricity (supplied to grid)</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output'!$AY$81:$BG$81</c:f>
              <c:numCache>
                <c:formatCode>#,##0.0_);\(#,##0.0\);"-"_);@</c:formatCode>
                <c:ptCount val="9"/>
                <c:pt idx="0">
                  <c:v>23.472851618681876</c:v>
                </c:pt>
                <c:pt idx="1">
                  <c:v>24.359054991474284</c:v>
                </c:pt>
                <c:pt idx="2">
                  <c:v>24.873360120694059</c:v>
                </c:pt>
                <c:pt idx="3">
                  <c:v>25.40523094801479</c:v>
                </c:pt>
                <c:pt idx="4">
                  <c:v>26.047300922442304</c:v>
                </c:pt>
                <c:pt idx="5">
                  <c:v>26.711821498340939</c:v>
                </c:pt>
                <c:pt idx="6">
                  <c:v>27.377648640111907</c:v>
                </c:pt>
                <c:pt idx="7">
                  <c:v>28.011556298716883</c:v>
                </c:pt>
                <c:pt idx="8">
                  <c:v>28.534423087242345</c:v>
                </c:pt>
              </c:numCache>
            </c:numRef>
          </c:val>
        </c:ser>
        <c:axId val="154101632"/>
        <c:axId val="154103168"/>
      </c:areaChart>
      <c:catAx>
        <c:axId val="154101632"/>
        <c:scaling>
          <c:orientation val="minMax"/>
        </c:scaling>
        <c:axPos val="b"/>
        <c:numFmt formatCode="General" sourceLinked="1"/>
        <c:tickLblPos val="nextTo"/>
        <c:crossAx val="154103168"/>
        <c:crosses val="autoZero"/>
        <c:auto val="1"/>
        <c:lblAlgn val="ctr"/>
        <c:lblOffset val="100"/>
      </c:catAx>
      <c:valAx>
        <c:axId val="154103168"/>
        <c:scaling>
          <c:orientation val="minMax"/>
        </c:scaling>
        <c:axPos val="l"/>
        <c:title>
          <c:tx>
            <c:strRef>
              <c:f>'Intermediate output'!$D$4</c:f>
              <c:strCache>
                <c:ptCount val="1"/>
                <c:pt idx="0">
                  <c:v>TWh / year</c:v>
                </c:pt>
              </c:strCache>
            </c:strRef>
          </c:tx>
          <c:layout/>
          <c:txPr>
            <a:bodyPr rot="-5400000" vert="horz"/>
            <a:lstStyle/>
            <a:p>
              <a:pPr>
                <a:defRPr/>
              </a:pPr>
              <a:endParaRPr lang="en-US"/>
            </a:p>
          </c:txPr>
        </c:title>
        <c:numFmt formatCode="#,##0" sourceLinked="0"/>
        <c:tickLblPos val="nextTo"/>
        <c:crossAx val="154101632"/>
        <c:crosses val="autoZero"/>
        <c:crossBetween val="midCat"/>
      </c:valAx>
      <c:spPr>
        <a:noFill/>
      </c:spPr>
    </c:plotArea>
    <c:legend>
      <c:legendPos val="r"/>
      <c:layout/>
    </c:legend>
    <c:plotVisOnly val="1"/>
  </c:chart>
  <c:spPr>
    <a:noFill/>
    <a:ln>
      <a:noFill/>
    </a:ln>
  </c:spPr>
  <c:printSettings>
    <c:headerFooter/>
    <c:pageMargins b="0.75000000000000422" l="0.70000000000000062" r="0.70000000000000062" t="0.75000000000000422"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Electricity</a:t>
            </a:r>
            <a:r>
              <a:rPr lang="en-US" sz="1100" baseline="0"/>
              <a:t> Generation (pre losses)</a:t>
            </a:r>
            <a:endParaRPr lang="en-US" sz="1100"/>
          </a:p>
        </c:rich>
      </c:tx>
      <c:layout/>
    </c:title>
    <c:plotArea>
      <c:layout/>
      <c:areaChart>
        <c:grouping val="stacked"/>
        <c:ser>
          <c:idx val="0"/>
          <c:order val="0"/>
          <c:tx>
            <c:strRef>
              <c:f>'Intermediate output'!$D$99</c:f>
              <c:strCache>
                <c:ptCount val="1"/>
                <c:pt idx="0">
                  <c:v>Unabated thermal generation</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output'!$AY$99:$BG$99</c:f>
              <c:numCache>
                <c:formatCode>#,##0.0_);\(#,##0.0\);"-"_);@</c:formatCode>
                <c:ptCount val="9"/>
                <c:pt idx="0">
                  <c:v>19.080008949093042</c:v>
                </c:pt>
                <c:pt idx="1">
                  <c:v>18.970335288333835</c:v>
                </c:pt>
                <c:pt idx="2">
                  <c:v>15.415395683190502</c:v>
                </c:pt>
                <c:pt idx="3">
                  <c:v>10.593321727732546</c:v>
                </c:pt>
                <c:pt idx="4">
                  <c:v>5.7265971428571429</c:v>
                </c:pt>
                <c:pt idx="5">
                  <c:v>13.492969714285715</c:v>
                </c:pt>
                <c:pt idx="6">
                  <c:v>15.889615714285716</c:v>
                </c:pt>
                <c:pt idx="7">
                  <c:v>17.930687142857145</c:v>
                </c:pt>
                <c:pt idx="8">
                  <c:v>20.10708</c:v>
                </c:pt>
              </c:numCache>
            </c:numRef>
          </c:val>
        </c:ser>
        <c:ser>
          <c:idx val="1"/>
          <c:order val="1"/>
          <c:tx>
            <c:strRef>
              <c:f>'Intermediate output'!$D$100</c:f>
              <c:strCache>
                <c:ptCount val="1"/>
                <c:pt idx="0">
                  <c:v>Carbon Capture Storage (CCS)</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output'!$AY$100:$BG$100</c:f>
              <c:numCache>
                <c:formatCode>#,##0.0_);\(#,##0.0\);"-"_);@</c:formatCode>
                <c:ptCount val="9"/>
                <c:pt idx="0">
                  <c:v>0</c:v>
                </c:pt>
                <c:pt idx="1">
                  <c:v>0</c:v>
                </c:pt>
                <c:pt idx="2">
                  <c:v>0</c:v>
                </c:pt>
                <c:pt idx="3">
                  <c:v>0</c:v>
                </c:pt>
                <c:pt idx="4">
                  <c:v>0</c:v>
                </c:pt>
                <c:pt idx="5">
                  <c:v>3.3269161499999997</c:v>
                </c:pt>
                <c:pt idx="6">
                  <c:v>9.9919251000000013</c:v>
                </c:pt>
                <c:pt idx="7">
                  <c:v>16.671836249999998</c:v>
                </c:pt>
                <c:pt idx="8">
                  <c:v>23.470965</c:v>
                </c:pt>
              </c:numCache>
            </c:numRef>
          </c:val>
        </c:ser>
        <c:ser>
          <c:idx val="2"/>
          <c:order val="2"/>
          <c:tx>
            <c:strRef>
              <c:f>'Intermediate output'!$D$101</c:f>
              <c:strCache>
                <c:ptCount val="1"/>
                <c:pt idx="0">
                  <c:v>Nuclear power</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output'!$AY$101:$BG$101</c:f>
              <c:numCache>
                <c:formatCode>#,##0.0_);\(#,##0.0\);"-"_);@</c:formatCode>
                <c:ptCount val="9"/>
                <c:pt idx="0">
                  <c:v>0</c:v>
                </c:pt>
                <c:pt idx="1">
                  <c:v>0</c:v>
                </c:pt>
                <c:pt idx="2">
                  <c:v>0</c:v>
                </c:pt>
                <c:pt idx="3">
                  <c:v>0</c:v>
                </c:pt>
                <c:pt idx="4">
                  <c:v>7.0128000000000013</c:v>
                </c:pt>
                <c:pt idx="5">
                  <c:v>7.0128000000000013</c:v>
                </c:pt>
                <c:pt idx="6">
                  <c:v>7.0128000000000013</c:v>
                </c:pt>
                <c:pt idx="7">
                  <c:v>7.0128000000000013</c:v>
                </c:pt>
                <c:pt idx="8">
                  <c:v>7.0128000000000013</c:v>
                </c:pt>
              </c:numCache>
            </c:numRef>
          </c:val>
        </c:ser>
        <c:ser>
          <c:idx val="3"/>
          <c:order val="3"/>
          <c:tx>
            <c:strRef>
              <c:f>'Intermediate output'!$D$102</c:f>
              <c:strCache>
                <c:ptCount val="1"/>
                <c:pt idx="0">
                  <c:v>Onshore wind</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output'!$AY$102:$BG$102</c:f>
              <c:numCache>
                <c:formatCode>#,##0.0_);\(#,##0.0\);"-"_);@</c:formatCode>
                <c:ptCount val="9"/>
                <c:pt idx="0">
                  <c:v>4.4180640000000011</c:v>
                </c:pt>
                <c:pt idx="1">
                  <c:v>5.5339757999999994</c:v>
                </c:pt>
                <c:pt idx="2">
                  <c:v>9.0250353000000008</c:v>
                </c:pt>
                <c:pt idx="3">
                  <c:v>13.291885799999999</c:v>
                </c:pt>
                <c:pt idx="4">
                  <c:v>19.756810799999997</c:v>
                </c:pt>
                <c:pt idx="5">
                  <c:v>22.3427808</c:v>
                </c:pt>
                <c:pt idx="6">
                  <c:v>22.3427808</c:v>
                </c:pt>
                <c:pt idx="7">
                  <c:v>22.3427808</c:v>
                </c:pt>
                <c:pt idx="8">
                  <c:v>22.3427808</c:v>
                </c:pt>
              </c:numCache>
            </c:numRef>
          </c:val>
        </c:ser>
        <c:ser>
          <c:idx val="4"/>
          <c:order val="4"/>
          <c:tx>
            <c:strRef>
              <c:f>'Intermediate output'!$D$103</c:f>
              <c:strCache>
                <c:ptCount val="1"/>
                <c:pt idx="0">
                  <c:v>Offshore wind</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output'!$AY$103:$BG$103</c:f>
              <c:numCache>
                <c:formatCode>#,##0.0_);\(#,##0.0\);"-"_);@</c:formatCode>
                <c:ptCount val="9"/>
                <c:pt idx="0">
                  <c:v>8.3277000000000018E-2</c:v>
                </c:pt>
                <c:pt idx="1">
                  <c:v>8.3277000000000018E-2</c:v>
                </c:pt>
                <c:pt idx="2">
                  <c:v>8.7660000000000016E-2</c:v>
                </c:pt>
                <c:pt idx="3">
                  <c:v>8.7660000000000016E-2</c:v>
                </c:pt>
                <c:pt idx="4">
                  <c:v>1.9789245</c:v>
                </c:pt>
                <c:pt idx="5">
                  <c:v>5.2267275000000009</c:v>
                </c:pt>
                <c:pt idx="6">
                  <c:v>9.1714275000000018</c:v>
                </c:pt>
                <c:pt idx="7">
                  <c:v>16.074652500000003</c:v>
                </c:pt>
                <c:pt idx="8">
                  <c:v>22.977877500000002</c:v>
                </c:pt>
              </c:numCache>
            </c:numRef>
          </c:val>
        </c:ser>
        <c:ser>
          <c:idx val="5"/>
          <c:order val="5"/>
          <c:tx>
            <c:strRef>
              <c:f>'Intermediate output'!$D$104</c:f>
              <c:strCache>
                <c:ptCount val="1"/>
                <c:pt idx="0">
                  <c:v>Hydroelectric power stations</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output'!$AY$104:$BG$104</c:f>
              <c:numCache>
                <c:formatCode>#,##0.0_);\(#,##0.0\);"-"_);@</c:formatCode>
                <c:ptCount val="9"/>
                <c:pt idx="0">
                  <c:v>0.74791511999999993</c:v>
                </c:pt>
                <c:pt idx="1">
                  <c:v>0.74791511999999993</c:v>
                </c:pt>
                <c:pt idx="2">
                  <c:v>0.74791511999999993</c:v>
                </c:pt>
                <c:pt idx="3">
                  <c:v>0.78946596000000002</c:v>
                </c:pt>
                <c:pt idx="4">
                  <c:v>0.78946596000000002</c:v>
                </c:pt>
                <c:pt idx="5">
                  <c:v>0.78946596000000002</c:v>
                </c:pt>
                <c:pt idx="6">
                  <c:v>0.78946596000000002</c:v>
                </c:pt>
                <c:pt idx="7">
                  <c:v>0.78946596000000002</c:v>
                </c:pt>
                <c:pt idx="8">
                  <c:v>0.78946596000000002</c:v>
                </c:pt>
              </c:numCache>
            </c:numRef>
          </c:val>
        </c:ser>
        <c:ser>
          <c:idx val="6"/>
          <c:order val="6"/>
          <c:tx>
            <c:strRef>
              <c:f>'Intermediate output'!$D$105</c:f>
              <c:strCache>
                <c:ptCount val="1"/>
                <c:pt idx="0">
                  <c:v>Tidal and Wave</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output'!$AY$105:$BG$105</c:f>
              <c:numCache>
                <c:formatCode>#,##0.0_);\(#,##0.0\);"-"_);@</c:formatCode>
                <c:ptCount val="9"/>
                <c:pt idx="0">
                  <c:v>0</c:v>
                </c:pt>
                <c:pt idx="1">
                  <c:v>3.9627123287671231E-3</c:v>
                </c:pt>
                <c:pt idx="2">
                  <c:v>1.3017510000000001E-2</c:v>
                </c:pt>
                <c:pt idx="3">
                  <c:v>0.70610130000000026</c:v>
                </c:pt>
                <c:pt idx="4">
                  <c:v>3.2346540000000004</c:v>
                </c:pt>
                <c:pt idx="5">
                  <c:v>5.4831330000000005</c:v>
                </c:pt>
                <c:pt idx="6">
                  <c:v>6.7848840000000008</c:v>
                </c:pt>
                <c:pt idx="7">
                  <c:v>7.7316120000000019</c:v>
                </c:pt>
                <c:pt idx="8">
                  <c:v>8.7730128000000018</c:v>
                </c:pt>
              </c:numCache>
            </c:numRef>
          </c:val>
        </c:ser>
        <c:ser>
          <c:idx val="7"/>
          <c:order val="7"/>
          <c:tx>
            <c:strRef>
              <c:f>'Intermediate output'!$D$108</c:f>
              <c:strCache>
                <c:ptCount val="1"/>
                <c:pt idx="0">
                  <c:v>Solar PV</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output'!$AY$108:$BG$108</c:f>
              <c:numCache>
                <c:formatCode>#,##0.0_);\(#,##0.0\);"-"_);@</c:formatCode>
                <c:ptCount val="9"/>
                <c:pt idx="0">
                  <c:v>0</c:v>
                </c:pt>
                <c:pt idx="1">
                  <c:v>0</c:v>
                </c:pt>
                <c:pt idx="2">
                  <c:v>0.425151</c:v>
                </c:pt>
                <c:pt idx="3">
                  <c:v>0.850302</c:v>
                </c:pt>
                <c:pt idx="4">
                  <c:v>1.700604</c:v>
                </c:pt>
                <c:pt idx="5">
                  <c:v>2.5509060000000003</c:v>
                </c:pt>
                <c:pt idx="6">
                  <c:v>3.401208</c:v>
                </c:pt>
                <c:pt idx="7">
                  <c:v>3.8263590000000001</c:v>
                </c:pt>
                <c:pt idx="8">
                  <c:v>4.2515099999999997</c:v>
                </c:pt>
              </c:numCache>
            </c:numRef>
          </c:val>
        </c:ser>
        <c:ser>
          <c:idx val="8"/>
          <c:order val="8"/>
          <c:tx>
            <c:strRef>
              <c:f>'Intermediate output'!$D$110</c:f>
              <c:strCache>
                <c:ptCount val="1"/>
                <c:pt idx="0">
                  <c:v>Electricity imports</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output'!$AY$110:$BG$110</c:f>
              <c:numCache>
                <c:formatCode>#,##0.0_);\(#,##0.0\);"-"_);@</c:formatCode>
                <c:ptCount val="9"/>
                <c:pt idx="0">
                  <c:v>2.5</c:v>
                </c:pt>
                <c:pt idx="1">
                  <c:v>2.5</c:v>
                </c:pt>
                <c:pt idx="2">
                  <c:v>2.5</c:v>
                </c:pt>
                <c:pt idx="3">
                  <c:v>2.5</c:v>
                </c:pt>
                <c:pt idx="4">
                  <c:v>3.9</c:v>
                </c:pt>
                <c:pt idx="5">
                  <c:v>4.5999999999999996</c:v>
                </c:pt>
                <c:pt idx="6">
                  <c:v>7</c:v>
                </c:pt>
                <c:pt idx="7">
                  <c:v>9</c:v>
                </c:pt>
                <c:pt idx="8">
                  <c:v>10</c:v>
                </c:pt>
              </c:numCache>
            </c:numRef>
          </c:val>
        </c:ser>
        <c:axId val="154252416"/>
        <c:axId val="154253952"/>
      </c:areaChart>
      <c:catAx>
        <c:axId val="154252416"/>
        <c:scaling>
          <c:orientation val="minMax"/>
        </c:scaling>
        <c:axPos val="b"/>
        <c:numFmt formatCode="General" sourceLinked="1"/>
        <c:tickLblPos val="nextTo"/>
        <c:crossAx val="154253952"/>
        <c:crosses val="autoZero"/>
        <c:auto val="1"/>
        <c:lblAlgn val="ctr"/>
        <c:lblOffset val="100"/>
      </c:catAx>
      <c:valAx>
        <c:axId val="154253952"/>
        <c:scaling>
          <c:orientation val="minMax"/>
        </c:scaling>
        <c:axPos val="l"/>
        <c:title>
          <c:tx>
            <c:strRef>
              <c:f>'Intermediate output'!$D$4</c:f>
              <c:strCache>
                <c:ptCount val="1"/>
                <c:pt idx="0">
                  <c:v>TWh / year</c:v>
                </c:pt>
              </c:strCache>
            </c:strRef>
          </c:tx>
          <c:layout/>
          <c:txPr>
            <a:bodyPr rot="-5400000" vert="horz"/>
            <a:lstStyle/>
            <a:p>
              <a:pPr>
                <a:defRPr/>
              </a:pPr>
              <a:endParaRPr lang="en-US"/>
            </a:p>
          </c:txPr>
        </c:title>
        <c:numFmt formatCode="#,##0" sourceLinked="0"/>
        <c:tickLblPos val="nextTo"/>
        <c:crossAx val="154252416"/>
        <c:crosses val="autoZero"/>
        <c:crossBetween val="midCat"/>
      </c:valAx>
      <c:spPr>
        <a:noFill/>
      </c:spPr>
    </c:plotArea>
    <c:legend>
      <c:legendPos val="r"/>
      <c:layout>
        <c:manualLayout>
          <c:xMode val="edge"/>
          <c:yMode val="edge"/>
          <c:x val="0.66025098425196849"/>
          <c:y val="0.18187061654516284"/>
          <c:w val="0.3272490157480315"/>
          <c:h val="0.71713871552660713"/>
        </c:manualLayout>
      </c:layout>
    </c:legend>
    <c:plotVisOnly val="1"/>
  </c:chart>
  <c:spPr>
    <a:noFill/>
    <a:ln>
      <a:noFill/>
    </a:ln>
  </c:spPr>
  <c:printSettings>
    <c:headerFooter/>
    <c:pageMargins b="0.75000000000000422" l="0.70000000000000062" r="0.70000000000000062" t="0.75000000000000422"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Installed</a:t>
            </a:r>
            <a:r>
              <a:rPr lang="en-US" sz="1100" baseline="0"/>
              <a:t> Capacity</a:t>
            </a:r>
            <a:endParaRPr lang="en-US" sz="1100"/>
          </a:p>
        </c:rich>
      </c:tx>
      <c:layout/>
    </c:title>
    <c:plotArea>
      <c:layout/>
      <c:areaChart>
        <c:grouping val="stacked"/>
        <c:ser>
          <c:idx val="0"/>
          <c:order val="0"/>
          <c:tx>
            <c:strRef>
              <c:f>'Intermediate output'!$D$118</c:f>
              <c:strCache>
                <c:ptCount val="1"/>
                <c:pt idx="0">
                  <c:v>Oil / Biofuel</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output'!$AY$118:$BG$118</c:f>
              <c:numCache>
                <c:formatCode>#,##0.0_);\(#,##0.0\);"-"_);@</c:formatCode>
                <c:ptCount val="9"/>
                <c:pt idx="0">
                  <c:v>1.1000000000000001</c:v>
                </c:pt>
                <c:pt idx="1">
                  <c:v>0.91600000000000004</c:v>
                </c:pt>
                <c:pt idx="2">
                  <c:v>0.32400000000000001</c:v>
                </c:pt>
                <c:pt idx="3">
                  <c:v>0.32400000000000001</c:v>
                </c:pt>
                <c:pt idx="4">
                  <c:v>0.32400000000000001</c:v>
                </c:pt>
                <c:pt idx="5">
                  <c:v>0</c:v>
                </c:pt>
                <c:pt idx="6">
                  <c:v>0</c:v>
                </c:pt>
                <c:pt idx="7">
                  <c:v>0</c:v>
                </c:pt>
                <c:pt idx="8">
                  <c:v>0</c:v>
                </c:pt>
              </c:numCache>
            </c:numRef>
          </c:val>
        </c:ser>
        <c:ser>
          <c:idx val="1"/>
          <c:order val="1"/>
          <c:tx>
            <c:strRef>
              <c:f>'Intermediate output'!$D$119</c:f>
              <c:strCache>
                <c:ptCount val="1"/>
                <c:pt idx="0">
                  <c:v>Coal / Peat / Biomass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output'!$AY$119:$BG$119</c:f>
              <c:numCache>
                <c:formatCode>#,##0.0_);\(#,##0.0\);"-"_);@</c:formatCode>
                <c:ptCount val="9"/>
                <c:pt idx="0">
                  <c:v>1.216</c:v>
                </c:pt>
                <c:pt idx="1">
                  <c:v>1.2009999999999998</c:v>
                </c:pt>
                <c:pt idx="2">
                  <c:v>0.91600000000000004</c:v>
                </c:pt>
                <c:pt idx="3">
                  <c:v>0.91600000000000004</c:v>
                </c:pt>
                <c:pt idx="4">
                  <c:v>0.63100000000000001</c:v>
                </c:pt>
                <c:pt idx="5">
                  <c:v>1.2010000000000001</c:v>
                </c:pt>
                <c:pt idx="6">
                  <c:v>1.2010000000000001</c:v>
                </c:pt>
                <c:pt idx="7">
                  <c:v>1.2010000000000001</c:v>
                </c:pt>
                <c:pt idx="8">
                  <c:v>1.2010000000000001</c:v>
                </c:pt>
              </c:numCache>
            </c:numRef>
          </c:val>
        </c:ser>
        <c:ser>
          <c:idx val="2"/>
          <c:order val="2"/>
          <c:tx>
            <c:strRef>
              <c:f>'Intermediate output'!$D$120</c:f>
              <c:strCache>
                <c:ptCount val="1"/>
                <c:pt idx="0">
                  <c:v>Gas / Biogas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output'!$AY$120:$BG$120</c:f>
              <c:numCache>
                <c:formatCode>#,##0.0_);\(#,##0.0\);"-"_);@</c:formatCode>
                <c:ptCount val="9"/>
                <c:pt idx="0">
                  <c:v>3.5934362101223432</c:v>
                </c:pt>
                <c:pt idx="1">
                  <c:v>3.7038082004340493</c:v>
                </c:pt>
                <c:pt idx="2">
                  <c:v>2.7433334278341852</c:v>
                </c:pt>
                <c:pt idx="3">
                  <c:v>1.50904023633802</c:v>
                </c:pt>
                <c:pt idx="4">
                  <c:v>0</c:v>
                </c:pt>
                <c:pt idx="5">
                  <c:v>0</c:v>
                </c:pt>
                <c:pt idx="6">
                  <c:v>0</c:v>
                </c:pt>
                <c:pt idx="7">
                  <c:v>0</c:v>
                </c:pt>
                <c:pt idx="8">
                  <c:v>0</c:v>
                </c:pt>
              </c:numCache>
            </c:numRef>
          </c:val>
        </c:ser>
        <c:ser>
          <c:idx val="3"/>
          <c:order val="3"/>
          <c:tx>
            <c:strRef>
              <c:f>'Intermediate output'!$D$121</c:f>
              <c:strCache>
                <c:ptCount val="1"/>
                <c:pt idx="0">
                  <c:v>Carbon Capture Storage (CCS)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output'!$AY$121:$BG$121</c:f>
              <c:numCache>
                <c:formatCode>#,##0.0_);\(#,##0.0\);"-"_);@</c:formatCode>
                <c:ptCount val="9"/>
                <c:pt idx="0">
                  <c:v>0</c:v>
                </c:pt>
                <c:pt idx="1">
                  <c:v>0</c:v>
                </c:pt>
                <c:pt idx="2">
                  <c:v>0</c:v>
                </c:pt>
                <c:pt idx="3">
                  <c:v>0</c:v>
                </c:pt>
                <c:pt idx="4">
                  <c:v>0</c:v>
                </c:pt>
                <c:pt idx="5">
                  <c:v>0.5</c:v>
                </c:pt>
                <c:pt idx="6">
                  <c:v>1.5</c:v>
                </c:pt>
                <c:pt idx="7">
                  <c:v>2.5</c:v>
                </c:pt>
                <c:pt idx="8">
                  <c:v>3.5</c:v>
                </c:pt>
              </c:numCache>
            </c:numRef>
          </c:val>
        </c:ser>
        <c:ser>
          <c:idx val="4"/>
          <c:order val="4"/>
          <c:tx>
            <c:strRef>
              <c:f>'Intermediate output'!$D$122</c:f>
              <c:strCache>
                <c:ptCount val="1"/>
                <c:pt idx="0">
                  <c:v>Nuclear power</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output'!$AY$122:$BG$122</c:f>
              <c:numCache>
                <c:formatCode>#,##0.0_);\(#,##0.0\);"-"_);@</c:formatCode>
                <c:ptCount val="9"/>
                <c:pt idx="0">
                  <c:v>0</c:v>
                </c:pt>
                <c:pt idx="1">
                  <c:v>0</c:v>
                </c:pt>
                <c:pt idx="2">
                  <c:v>0</c:v>
                </c:pt>
                <c:pt idx="3">
                  <c:v>0</c:v>
                </c:pt>
                <c:pt idx="4">
                  <c:v>1</c:v>
                </c:pt>
                <c:pt idx="5">
                  <c:v>1</c:v>
                </c:pt>
                <c:pt idx="6">
                  <c:v>1</c:v>
                </c:pt>
                <c:pt idx="7">
                  <c:v>1</c:v>
                </c:pt>
                <c:pt idx="8">
                  <c:v>1</c:v>
                </c:pt>
              </c:numCache>
            </c:numRef>
          </c:val>
        </c:ser>
        <c:ser>
          <c:idx val="5"/>
          <c:order val="5"/>
          <c:tx>
            <c:strRef>
              <c:f>'Intermediate output'!$D$123</c:f>
              <c:strCache>
                <c:ptCount val="1"/>
                <c:pt idx="0">
                  <c:v>Onshore wind</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output'!$AY$123:$BG$123</c:f>
              <c:numCache>
                <c:formatCode>#,##0.0_);\(#,##0.0\);"-"_);@</c:formatCode>
                <c:ptCount val="9"/>
                <c:pt idx="0">
                  <c:v>1.8</c:v>
                </c:pt>
                <c:pt idx="1">
                  <c:v>2.14</c:v>
                </c:pt>
                <c:pt idx="2">
                  <c:v>3.49</c:v>
                </c:pt>
                <c:pt idx="3">
                  <c:v>5.1400000000000006</c:v>
                </c:pt>
                <c:pt idx="4">
                  <c:v>7.6400000000000006</c:v>
                </c:pt>
                <c:pt idx="5">
                  <c:v>8.64</c:v>
                </c:pt>
                <c:pt idx="6">
                  <c:v>8.64</c:v>
                </c:pt>
                <c:pt idx="7">
                  <c:v>8.64</c:v>
                </c:pt>
                <c:pt idx="8">
                  <c:v>8.64</c:v>
                </c:pt>
              </c:numCache>
            </c:numRef>
          </c:val>
        </c:ser>
        <c:ser>
          <c:idx val="6"/>
          <c:order val="6"/>
          <c:tx>
            <c:strRef>
              <c:f>'Intermediate output'!$D$124</c:f>
              <c:strCache>
                <c:ptCount val="1"/>
                <c:pt idx="0">
                  <c:v>Offshore wind</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output'!$AY$124:$BG$124</c:f>
              <c:numCache>
                <c:formatCode>#,##0.0_);\(#,##0.0\);"-"_);@</c:formatCode>
                <c:ptCount val="9"/>
                <c:pt idx="0">
                  <c:v>2.5000000000000001E-2</c:v>
                </c:pt>
                <c:pt idx="1">
                  <c:v>2.5000000000000001E-2</c:v>
                </c:pt>
                <c:pt idx="2">
                  <c:v>2.5000000000000001E-2</c:v>
                </c:pt>
                <c:pt idx="3">
                  <c:v>2.5000000000000001E-2</c:v>
                </c:pt>
                <c:pt idx="4">
                  <c:v>0.52500000000000002</c:v>
                </c:pt>
                <c:pt idx="5">
                  <c:v>1.3250000000000002</c:v>
                </c:pt>
                <c:pt idx="6">
                  <c:v>2.3250000000000002</c:v>
                </c:pt>
                <c:pt idx="7">
                  <c:v>4.0750000000000002</c:v>
                </c:pt>
                <c:pt idx="8">
                  <c:v>5.8250000000000002</c:v>
                </c:pt>
              </c:numCache>
            </c:numRef>
          </c:val>
        </c:ser>
        <c:ser>
          <c:idx val="7"/>
          <c:order val="7"/>
          <c:tx>
            <c:strRef>
              <c:f>'Intermediate output'!$D$125</c:f>
              <c:strCache>
                <c:ptCount val="1"/>
                <c:pt idx="0">
                  <c:v>Hydroelectric power stations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output'!$AY$125:$BG$125</c:f>
              <c:numCache>
                <c:formatCode>#,##0.0_);\(#,##0.0\);"-"_);@</c:formatCode>
                <c:ptCount val="9"/>
                <c:pt idx="0">
                  <c:v>0.23699999999999999</c:v>
                </c:pt>
                <c:pt idx="1">
                  <c:v>0.23699999999999999</c:v>
                </c:pt>
                <c:pt idx="2">
                  <c:v>0.23699999999999999</c:v>
                </c:pt>
                <c:pt idx="3">
                  <c:v>0.23699999999999999</c:v>
                </c:pt>
                <c:pt idx="4">
                  <c:v>0.23699999999999999</c:v>
                </c:pt>
                <c:pt idx="5">
                  <c:v>0.23699999999999999</c:v>
                </c:pt>
                <c:pt idx="6">
                  <c:v>0.23699999999999999</c:v>
                </c:pt>
                <c:pt idx="7">
                  <c:v>0.23699999999999999</c:v>
                </c:pt>
                <c:pt idx="8">
                  <c:v>0.23699999999999999</c:v>
                </c:pt>
              </c:numCache>
            </c:numRef>
          </c:val>
        </c:ser>
        <c:ser>
          <c:idx val="8"/>
          <c:order val="8"/>
          <c:tx>
            <c:strRef>
              <c:f>'Intermediate output'!$D$126</c:f>
              <c:strCache>
                <c:ptCount val="1"/>
                <c:pt idx="0">
                  <c:v>Wave</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output'!$AY$126:$BG$126</c:f>
              <c:numCache>
                <c:formatCode>#,##0.0_);\(#,##0.0\);"-"_);@</c:formatCode>
                <c:ptCount val="9"/>
                <c:pt idx="0">
                  <c:v>0</c:v>
                </c:pt>
                <c:pt idx="1">
                  <c:v>1.5220700152207001E-3</c:v>
                </c:pt>
                <c:pt idx="2">
                  <c:v>5.0000000000000001E-3</c:v>
                </c:pt>
                <c:pt idx="3">
                  <c:v>0.15</c:v>
                </c:pt>
                <c:pt idx="4">
                  <c:v>1</c:v>
                </c:pt>
                <c:pt idx="5">
                  <c:v>1.5</c:v>
                </c:pt>
                <c:pt idx="6">
                  <c:v>2</c:v>
                </c:pt>
                <c:pt idx="7">
                  <c:v>2</c:v>
                </c:pt>
                <c:pt idx="8">
                  <c:v>2.4</c:v>
                </c:pt>
              </c:numCache>
            </c:numRef>
          </c:val>
        </c:ser>
        <c:ser>
          <c:idx val="9"/>
          <c:order val="9"/>
          <c:tx>
            <c:strRef>
              <c:f>'Intermediate output'!$D$127</c:f>
              <c:strCache>
                <c:ptCount val="1"/>
                <c:pt idx="0">
                  <c:v>Tidal Stream</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output'!$AY$127:$BG$127</c:f>
              <c:numCache>
                <c:formatCode>#,##0.0_);\(#,##0.0\);"-"_);@</c:formatCode>
                <c:ptCount val="9"/>
                <c:pt idx="0">
                  <c:v>0</c:v>
                </c:pt>
                <c:pt idx="1">
                  <c:v>0</c:v>
                </c:pt>
                <c:pt idx="2">
                  <c:v>0</c:v>
                </c:pt>
                <c:pt idx="3">
                  <c:v>0.1</c:v>
                </c:pt>
                <c:pt idx="4">
                  <c:v>0.2</c:v>
                </c:pt>
                <c:pt idx="5">
                  <c:v>0.5</c:v>
                </c:pt>
                <c:pt idx="6">
                  <c:v>0.5</c:v>
                </c:pt>
                <c:pt idx="7">
                  <c:v>0.8</c:v>
                </c:pt>
                <c:pt idx="8">
                  <c:v>0.8</c:v>
                </c:pt>
              </c:numCache>
            </c:numRef>
          </c:val>
        </c:ser>
        <c:ser>
          <c:idx val="10"/>
          <c:order val="10"/>
          <c:tx>
            <c:strRef>
              <c:f>'Intermediate output'!$D$128</c:f>
              <c:strCache>
                <c:ptCount val="1"/>
                <c:pt idx="0">
                  <c:v>Tidal Range</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output'!$AY$128:$BG$128</c:f>
              <c:numCache>
                <c:formatCode>#,##0.0_);\(#,##0.0\);"-"_);@</c:formatCode>
                <c:ptCount val="9"/>
                <c:pt idx="0">
                  <c:v>0</c:v>
                </c:pt>
                <c:pt idx="1">
                  <c:v>0</c:v>
                </c:pt>
                <c:pt idx="2">
                  <c:v>0</c:v>
                </c:pt>
                <c:pt idx="3">
                  <c:v>0</c:v>
                </c:pt>
                <c:pt idx="4">
                  <c:v>0</c:v>
                </c:pt>
                <c:pt idx="5">
                  <c:v>0</c:v>
                </c:pt>
                <c:pt idx="6">
                  <c:v>0</c:v>
                </c:pt>
                <c:pt idx="7">
                  <c:v>0</c:v>
                </c:pt>
                <c:pt idx="8">
                  <c:v>0</c:v>
                </c:pt>
              </c:numCache>
            </c:numRef>
          </c:val>
        </c:ser>
        <c:ser>
          <c:idx val="12"/>
          <c:order val="11"/>
          <c:tx>
            <c:strRef>
              <c:f>'Intermediate output'!$D$130</c:f>
              <c:strCache>
                <c:ptCount val="1"/>
                <c:pt idx="0">
                  <c:v>Solar PV</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output'!$AY$130:$BG$130</c:f>
              <c:numCache>
                <c:formatCode>#,##0.0_);\(#,##0.0\);"-"_);@</c:formatCode>
                <c:ptCount val="9"/>
                <c:pt idx="0">
                  <c:v>0</c:v>
                </c:pt>
                <c:pt idx="1">
                  <c:v>0</c:v>
                </c:pt>
                <c:pt idx="2">
                  <c:v>0.5</c:v>
                </c:pt>
                <c:pt idx="3">
                  <c:v>1</c:v>
                </c:pt>
                <c:pt idx="4">
                  <c:v>2</c:v>
                </c:pt>
                <c:pt idx="5">
                  <c:v>3</c:v>
                </c:pt>
                <c:pt idx="6">
                  <c:v>4</c:v>
                </c:pt>
                <c:pt idx="7">
                  <c:v>4.5</c:v>
                </c:pt>
                <c:pt idx="8">
                  <c:v>5</c:v>
                </c:pt>
              </c:numCache>
            </c:numRef>
          </c:val>
        </c:ser>
        <c:ser>
          <c:idx val="13"/>
          <c:order val="12"/>
          <c:tx>
            <c:strRef>
              <c:f>'Intermediate output'!$D$131</c:f>
              <c:strCache>
                <c:ptCount val="1"/>
                <c:pt idx="0">
                  <c:v>Standby / peaking gas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output'!$AY$131:$BG$131</c:f>
              <c:numCache>
                <c:formatCode>#,##0.0_);\(#,##0.0\);"-"_);@</c:formatCode>
                <c:ptCount val="9"/>
                <c:pt idx="0">
                  <c:v>0.41994376780032372</c:v>
                </c:pt>
                <c:pt idx="1">
                  <c:v>0.81620440698264951</c:v>
                </c:pt>
                <c:pt idx="2">
                  <c:v>0.87652592247498262</c:v>
                </c:pt>
                <c:pt idx="3">
                  <c:v>0</c:v>
                </c:pt>
                <c:pt idx="4">
                  <c:v>0</c:v>
                </c:pt>
                <c:pt idx="5">
                  <c:v>0</c:v>
                </c:pt>
                <c:pt idx="6">
                  <c:v>0</c:v>
                </c:pt>
                <c:pt idx="7">
                  <c:v>0</c:v>
                </c:pt>
                <c:pt idx="8">
                  <c:v>0</c:v>
                </c:pt>
              </c:numCache>
            </c:numRef>
          </c:val>
        </c:ser>
        <c:axId val="154272512"/>
        <c:axId val="154274048"/>
      </c:areaChart>
      <c:catAx>
        <c:axId val="154272512"/>
        <c:scaling>
          <c:orientation val="minMax"/>
        </c:scaling>
        <c:axPos val="b"/>
        <c:numFmt formatCode="General" sourceLinked="1"/>
        <c:tickLblPos val="nextTo"/>
        <c:crossAx val="154274048"/>
        <c:crosses val="autoZero"/>
        <c:auto val="1"/>
        <c:lblAlgn val="ctr"/>
        <c:lblOffset val="100"/>
      </c:catAx>
      <c:valAx>
        <c:axId val="154274048"/>
        <c:scaling>
          <c:orientation val="minMax"/>
        </c:scaling>
        <c:axPos val="l"/>
        <c:title>
          <c:tx>
            <c:strRef>
              <c:f>'Intermediate output'!$D$116</c:f>
              <c:strCache>
                <c:ptCount val="1"/>
                <c:pt idx="0">
                  <c:v>GW installed capacity</c:v>
                </c:pt>
              </c:strCache>
            </c:strRef>
          </c:tx>
          <c:layout/>
          <c:txPr>
            <a:bodyPr rot="-5400000" vert="horz"/>
            <a:lstStyle/>
            <a:p>
              <a:pPr>
                <a:defRPr/>
              </a:pPr>
              <a:endParaRPr lang="en-US"/>
            </a:p>
          </c:txPr>
        </c:title>
        <c:numFmt formatCode="#,##0" sourceLinked="0"/>
        <c:tickLblPos val="nextTo"/>
        <c:crossAx val="154272512"/>
        <c:crosses val="autoZero"/>
        <c:crossBetween val="midCat"/>
      </c:valAx>
      <c:spPr>
        <a:noFill/>
      </c:spPr>
    </c:plotArea>
    <c:legend>
      <c:legendPos val="r"/>
      <c:layout/>
    </c:legend>
    <c:plotVisOnly val="1"/>
  </c:chart>
  <c:spPr>
    <a:noFill/>
    <a:ln>
      <a:noFill/>
    </a:ln>
  </c:spPr>
  <c:printSettings>
    <c:headerFooter/>
    <c:pageMargins b="0.75000000000000444" l="0.70000000000000062" r="0.70000000000000062" t="0.75000000000000444"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Emissions, as % of</a:t>
            </a:r>
            <a:r>
              <a:rPr lang="en-US" sz="1100" baseline="0"/>
              <a:t> base year</a:t>
            </a:r>
            <a:endParaRPr lang="en-US" sz="1100"/>
          </a:p>
        </c:rich>
      </c:tx>
      <c:layout/>
    </c:title>
    <c:plotArea>
      <c:layout>
        <c:manualLayout>
          <c:layoutTarget val="inner"/>
          <c:xMode val="edge"/>
          <c:yMode val="edge"/>
          <c:x val="7.9449639107612033E-2"/>
          <c:y val="6.9050227987699594E-2"/>
          <c:w val="0.6230190288713916"/>
          <c:h val="0.87936335963166556"/>
        </c:manualLayout>
      </c:layout>
      <c:barChart>
        <c:barDir val="col"/>
        <c:grouping val="stacked"/>
        <c:ser>
          <c:idx val="0"/>
          <c:order val="0"/>
          <c:tx>
            <c:strRef>
              <c:f>'Intermediate output'!$D$141</c:f>
              <c:strCache>
                <c:ptCount val="1"/>
                <c:pt idx="0">
                  <c:v>Fuel Combustion</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output'!$AY$141:$BG$141</c:f>
              <c:numCache>
                <c:formatCode>0%;\ \(0%\);\ \-</c:formatCode>
                <c:ptCount val="9"/>
                <c:pt idx="0">
                  <c:v>0.70068236090035441</c:v>
                </c:pt>
                <c:pt idx="1">
                  <c:v>0.67936715242504031</c:v>
                </c:pt>
                <c:pt idx="2">
                  <c:v>0.60620845358954367</c:v>
                </c:pt>
                <c:pt idx="3">
                  <c:v>0.52542084983815085</c:v>
                </c:pt>
                <c:pt idx="4">
                  <c:v>0.46643028532645431</c:v>
                </c:pt>
                <c:pt idx="5">
                  <c:v>0.61889567646422883</c:v>
                </c:pt>
                <c:pt idx="6">
                  <c:v>0.6860508573218117</c:v>
                </c:pt>
                <c:pt idx="7">
                  <c:v>0.74215419476269362</c:v>
                </c:pt>
                <c:pt idx="8">
                  <c:v>0.7982711313259474</c:v>
                </c:pt>
              </c:numCache>
            </c:numRef>
          </c:val>
        </c:ser>
        <c:ser>
          <c:idx val="1"/>
          <c:order val="1"/>
          <c:tx>
            <c:strRef>
              <c:f>'Intermediate output'!$D$142</c:f>
              <c:strCache>
                <c:ptCount val="1"/>
                <c:pt idx="0">
                  <c:v>Industrial Processes</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output'!$AY$142:$BG$142</c:f>
              <c:numCache>
                <c:formatCode>0%;\ \(0%\);\ \-</c:formatCode>
                <c:ptCount val="9"/>
                <c:pt idx="0">
                  <c:v>4.6332129690538154E-2</c:v>
                </c:pt>
                <c:pt idx="1">
                  <c:v>4.4368679822722003E-2</c:v>
                </c:pt>
                <c:pt idx="2">
                  <c:v>3.982897874684499E-2</c:v>
                </c:pt>
                <c:pt idx="3">
                  <c:v>3.5769962257996731E-2</c:v>
                </c:pt>
                <c:pt idx="4">
                  <c:v>3.2139221902221966E-2</c:v>
                </c:pt>
                <c:pt idx="5">
                  <c:v>2.8890199563131203E-2</c:v>
                </c:pt>
                <c:pt idx="6">
                  <c:v>2.5981522451681258E-2</c:v>
                </c:pt>
                <c:pt idx="7">
                  <c:v>2.3376414709300422E-2</c:v>
                </c:pt>
                <c:pt idx="8">
                  <c:v>2.104217671221334E-2</c:v>
                </c:pt>
              </c:numCache>
            </c:numRef>
          </c:val>
        </c:ser>
        <c:ser>
          <c:idx val="2"/>
          <c:order val="2"/>
          <c:tx>
            <c:strRef>
              <c:f>'Intermediate output'!$D$143</c:f>
              <c:strCache>
                <c:ptCount val="1"/>
                <c:pt idx="0">
                  <c:v>Solvent and Other Product Use</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output'!$AY$143:$BG$143</c:f>
              <c:numCache>
                <c:formatCode>0%;\ \(0%\);\ \-</c:formatCode>
                <c:ptCount val="9"/>
                <c:pt idx="0">
                  <c:v>0</c:v>
                </c:pt>
                <c:pt idx="1">
                  <c:v>0</c:v>
                </c:pt>
                <c:pt idx="2">
                  <c:v>0</c:v>
                </c:pt>
                <c:pt idx="3">
                  <c:v>0</c:v>
                </c:pt>
                <c:pt idx="4">
                  <c:v>0</c:v>
                </c:pt>
                <c:pt idx="5">
                  <c:v>0</c:v>
                </c:pt>
                <c:pt idx="6">
                  <c:v>0</c:v>
                </c:pt>
                <c:pt idx="7">
                  <c:v>0</c:v>
                </c:pt>
                <c:pt idx="8">
                  <c:v>0</c:v>
                </c:pt>
              </c:numCache>
            </c:numRef>
          </c:val>
        </c:ser>
        <c:ser>
          <c:idx val="3"/>
          <c:order val="3"/>
          <c:tx>
            <c:strRef>
              <c:f>'Intermediate output'!$D$144</c:f>
              <c:strCache>
                <c:ptCount val="1"/>
                <c:pt idx="0">
                  <c:v>Agriculture</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output'!$AY$144:$BG$144</c:f>
              <c:numCache>
                <c:formatCode>0%;\ \(0%\);\ \-</c:formatCode>
                <c:ptCount val="9"/>
                <c:pt idx="0">
                  <c:v>0.3346115098311358</c:v>
                </c:pt>
                <c:pt idx="1">
                  <c:v>0.32990215309633181</c:v>
                </c:pt>
                <c:pt idx="2">
                  <c:v>0.3161004385725032</c:v>
                </c:pt>
                <c:pt idx="3">
                  <c:v>0.30193449445079229</c:v>
                </c:pt>
                <c:pt idx="4">
                  <c:v>0.28338587501517193</c:v>
                </c:pt>
                <c:pt idx="5">
                  <c:v>0.27339993786749706</c:v>
                </c:pt>
                <c:pt idx="6">
                  <c:v>0.26374542614627072</c:v>
                </c:pt>
                <c:pt idx="7">
                  <c:v>0.25441205948171602</c:v>
                </c:pt>
                <c:pt idx="8">
                  <c:v>0.24915764238061339</c:v>
                </c:pt>
              </c:numCache>
            </c:numRef>
          </c:val>
        </c:ser>
        <c:ser>
          <c:idx val="4"/>
          <c:order val="4"/>
          <c:tx>
            <c:strRef>
              <c:f>'Intermediate output'!$D$145</c:f>
              <c:strCache>
                <c:ptCount val="1"/>
                <c:pt idx="0">
                  <c:v>Land Use, Land-Use Change and Forestry</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output'!$AY$145:$BG$145</c:f>
              <c:numCache>
                <c:formatCode>0%;\ \(0%\);\ \-</c:formatCode>
                <c:ptCount val="9"/>
                <c:pt idx="0">
                  <c:v>-6.0997588923163037E-2</c:v>
                </c:pt>
                <c:pt idx="1">
                  <c:v>-3.9094242464228199E-2</c:v>
                </c:pt>
                <c:pt idx="2">
                  <c:v>-2.2625551771304712E-2</c:v>
                </c:pt>
                <c:pt idx="3">
                  <c:v>-1.2542749213370431E-2</c:v>
                </c:pt>
                <c:pt idx="4">
                  <c:v>-1.7964719639900789E-2</c:v>
                </c:pt>
                <c:pt idx="5">
                  <c:v>-2.8055247057724431E-2</c:v>
                </c:pt>
                <c:pt idx="6">
                  <c:v>-4.7577642745559798E-2</c:v>
                </c:pt>
                <c:pt idx="7">
                  <c:v>-6.9139072206383517E-2</c:v>
                </c:pt>
                <c:pt idx="8">
                  <c:v>-8.5797231898305987E-2</c:v>
                </c:pt>
              </c:numCache>
            </c:numRef>
          </c:val>
        </c:ser>
        <c:ser>
          <c:idx val="5"/>
          <c:order val="5"/>
          <c:tx>
            <c:strRef>
              <c:f>'Intermediate output'!$D$146</c:f>
              <c:strCache>
                <c:ptCount val="1"/>
                <c:pt idx="0">
                  <c:v>Waste</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output'!$AY$146:$BG$146</c:f>
              <c:numCache>
                <c:formatCode>0%;\ \(0%\);\ \-</c:formatCode>
                <c:ptCount val="9"/>
                <c:pt idx="0">
                  <c:v>1.8555279476589234E-2</c:v>
                </c:pt>
                <c:pt idx="1">
                  <c:v>1.6012388689546086E-2</c:v>
                </c:pt>
                <c:pt idx="2">
                  <c:v>1.4027911377303389E-2</c:v>
                </c:pt>
                <c:pt idx="3">
                  <c:v>1.2762523836153523E-2</c:v>
                </c:pt>
                <c:pt idx="4">
                  <c:v>1.1531679693182443E-2</c:v>
                </c:pt>
                <c:pt idx="5">
                  <c:v>1.033537894839015E-2</c:v>
                </c:pt>
                <c:pt idx="6">
                  <c:v>9.1736216017766457E-3</c:v>
                </c:pt>
                <c:pt idx="7">
                  <c:v>8.0464076533419259E-3</c:v>
                </c:pt>
                <c:pt idx="8">
                  <c:v>6.9537371030859944E-3</c:v>
                </c:pt>
              </c:numCache>
            </c:numRef>
          </c:val>
        </c:ser>
        <c:ser>
          <c:idx val="6"/>
          <c:order val="6"/>
          <c:tx>
            <c:strRef>
              <c:f>'Intermediate output'!$D$147</c:f>
              <c:strCache>
                <c:ptCount val="1"/>
                <c:pt idx="0">
                  <c:v>Other</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output'!$AY$147:$BG$147</c:f>
              <c:numCache>
                <c:formatCode>0%;\ \(0%\);\ \-</c:formatCode>
                <c:ptCount val="9"/>
                <c:pt idx="0">
                  <c:v>0</c:v>
                </c:pt>
                <c:pt idx="1">
                  <c:v>0</c:v>
                </c:pt>
                <c:pt idx="2">
                  <c:v>0</c:v>
                </c:pt>
                <c:pt idx="3">
                  <c:v>0</c:v>
                </c:pt>
                <c:pt idx="4">
                  <c:v>0</c:v>
                </c:pt>
                <c:pt idx="5">
                  <c:v>0</c:v>
                </c:pt>
                <c:pt idx="6">
                  <c:v>0</c:v>
                </c:pt>
                <c:pt idx="7">
                  <c:v>0</c:v>
                </c:pt>
                <c:pt idx="8">
                  <c:v>0</c:v>
                </c:pt>
              </c:numCache>
            </c:numRef>
          </c:val>
        </c:ser>
        <c:ser>
          <c:idx val="7"/>
          <c:order val="7"/>
          <c:tx>
            <c:strRef>
              <c:f>'Intermediate output'!$D$148</c:f>
              <c:strCache>
                <c:ptCount val="1"/>
                <c:pt idx="0">
                  <c:v>International Aviation and Shipping</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output'!$AY$148:$BG$148</c:f>
              <c:numCache>
                <c:formatCode>0%;\ \(0%\);\ \-</c:formatCode>
                <c:ptCount val="9"/>
                <c:pt idx="0">
                  <c:v>3.5586336618443182E-2</c:v>
                </c:pt>
                <c:pt idx="1">
                  <c:v>3.4948665052577293E-2</c:v>
                </c:pt>
                <c:pt idx="2">
                  <c:v>3.7793593786717809E-2</c:v>
                </c:pt>
                <c:pt idx="3">
                  <c:v>4.0870108462414671E-2</c:v>
                </c:pt>
                <c:pt idx="4">
                  <c:v>4.4197060886984843E-2</c:v>
                </c:pt>
                <c:pt idx="5">
                  <c:v>4.779483746279338E-2</c:v>
                </c:pt>
                <c:pt idx="6">
                  <c:v>5.1685484108006191E-2</c:v>
                </c:pt>
                <c:pt idx="7">
                  <c:v>5.5892841346276069E-2</c:v>
                </c:pt>
                <c:pt idx="8">
                  <c:v>6.0442690393144059E-2</c:v>
                </c:pt>
              </c:numCache>
            </c:numRef>
          </c:val>
        </c:ser>
        <c:ser>
          <c:idx val="8"/>
          <c:order val="8"/>
          <c:tx>
            <c:strRef>
              <c:f>'Intermediate output'!$D$149</c:f>
              <c:strCache>
                <c:ptCount val="1"/>
                <c:pt idx="0">
                  <c:v>Bioenergy credit</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output'!$AY$149:$BG$149</c:f>
              <c:numCache>
                <c:formatCode>0%;\ \(0%\);\ \-</c:formatCode>
                <c:ptCount val="9"/>
                <c:pt idx="0">
                  <c:v>-1.0409014092880788E-2</c:v>
                </c:pt>
                <c:pt idx="1">
                  <c:v>-3.1868943020705719E-2</c:v>
                </c:pt>
                <c:pt idx="2">
                  <c:v>-0.10376808574031317</c:v>
                </c:pt>
                <c:pt idx="3">
                  <c:v>-9.4545056011594381E-2</c:v>
                </c:pt>
                <c:pt idx="4">
                  <c:v>-9.3667720291314635E-2</c:v>
                </c:pt>
                <c:pt idx="5">
                  <c:v>-0.22685066195112005</c:v>
                </c:pt>
                <c:pt idx="6">
                  <c:v>-0.2624831493070196</c:v>
                </c:pt>
                <c:pt idx="7">
                  <c:v>-0.28622746945987726</c:v>
                </c:pt>
                <c:pt idx="8">
                  <c:v>-0.30791681218189543</c:v>
                </c:pt>
              </c:numCache>
            </c:numRef>
          </c:val>
        </c:ser>
        <c:ser>
          <c:idx val="9"/>
          <c:order val="9"/>
          <c:tx>
            <c:strRef>
              <c:f>'Intermediate output'!$D$150</c:f>
              <c:strCache>
                <c:ptCount val="1"/>
                <c:pt idx="0">
                  <c:v>Carbon capture</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output'!$AY$150:$BG$150</c:f>
              <c:numCache>
                <c:formatCode>0%;\ \(0%\);\ \-</c:formatCode>
                <c:ptCount val="9"/>
                <c:pt idx="0">
                  <c:v>0</c:v>
                </c:pt>
                <c:pt idx="1">
                  <c:v>0</c:v>
                </c:pt>
                <c:pt idx="2">
                  <c:v>0</c:v>
                </c:pt>
                <c:pt idx="3">
                  <c:v>0</c:v>
                </c:pt>
                <c:pt idx="4">
                  <c:v>0</c:v>
                </c:pt>
                <c:pt idx="5">
                  <c:v>-2.1196830754604885E-2</c:v>
                </c:pt>
                <c:pt idx="6">
                  <c:v>-6.2581119370738236E-2</c:v>
                </c:pt>
                <c:pt idx="7">
                  <c:v>-0.10267214896761742</c:v>
                </c:pt>
                <c:pt idx="8">
                  <c:v>-0.14152960842305415</c:v>
                </c:pt>
              </c:numCache>
            </c:numRef>
          </c:val>
        </c:ser>
        <c:gapWidth val="59"/>
        <c:overlap val="100"/>
        <c:axId val="154344448"/>
        <c:axId val="154362624"/>
      </c:barChart>
      <c:lineChart>
        <c:grouping val="standard"/>
        <c:ser>
          <c:idx val="10"/>
          <c:order val="10"/>
          <c:tx>
            <c:strRef>
              <c:f>'Intermediate output'!$D$151</c:f>
              <c:strCache>
                <c:ptCount val="1"/>
                <c:pt idx="0">
                  <c:v>Total</c:v>
                </c:pt>
              </c:strCache>
            </c:strRef>
          </c:tx>
          <c:spPr>
            <a:ln>
              <a:solidFill>
                <a:schemeClr val="accent5"/>
              </a:solidFill>
            </a:ln>
          </c:spPr>
          <c:marker>
            <c:symbol val="none"/>
          </c:marker>
          <c:val>
            <c:numRef>
              <c:f>'Intermediate output'!$AY$151:$BG$151</c:f>
              <c:numCache>
                <c:formatCode>0%;\ \(0%\);\ \-</c:formatCode>
                <c:ptCount val="9"/>
                <c:pt idx="0">
                  <c:v>1.0643610135010171</c:v>
                </c:pt>
                <c:pt idx="1">
                  <c:v>1.0336358536012833</c:v>
                </c:pt>
                <c:pt idx="2">
                  <c:v>0.88756573856129517</c:v>
                </c:pt>
                <c:pt idx="3">
                  <c:v>0.80967013362054341</c:v>
                </c:pt>
                <c:pt idx="4">
                  <c:v>0.72605168289280009</c:v>
                </c:pt>
                <c:pt idx="5">
                  <c:v>0.70321329054259119</c:v>
                </c:pt>
                <c:pt idx="6">
                  <c:v>0.66399500020622892</c:v>
                </c:pt>
                <c:pt idx="7">
                  <c:v>0.62584322731945008</c:v>
                </c:pt>
                <c:pt idx="8">
                  <c:v>0.60062372541174858</c:v>
                </c:pt>
              </c:numCache>
            </c:numRef>
          </c:val>
        </c:ser>
        <c:marker val="1"/>
        <c:axId val="154370048"/>
        <c:axId val="154364160"/>
      </c:lineChart>
      <c:catAx>
        <c:axId val="154344448"/>
        <c:scaling>
          <c:orientation val="minMax"/>
        </c:scaling>
        <c:axPos val="b"/>
        <c:numFmt formatCode="General" sourceLinked="1"/>
        <c:tickLblPos val="low"/>
        <c:crossAx val="154362624"/>
        <c:crosses val="autoZero"/>
        <c:auto val="1"/>
        <c:lblAlgn val="ctr"/>
        <c:lblOffset val="100"/>
      </c:catAx>
      <c:valAx>
        <c:axId val="154362624"/>
        <c:scaling>
          <c:orientation val="minMax"/>
          <c:max val="1.4"/>
          <c:min val="-0.8"/>
        </c:scaling>
        <c:axPos val="l"/>
        <c:numFmt formatCode="0%" sourceLinked="0"/>
        <c:tickLblPos val="nextTo"/>
        <c:crossAx val="154344448"/>
        <c:crosses val="autoZero"/>
        <c:crossBetween val="between"/>
        <c:minorUnit val="4.0000000000000022E-2"/>
      </c:valAx>
      <c:valAx>
        <c:axId val="154364160"/>
        <c:scaling>
          <c:orientation val="minMax"/>
          <c:max val="1.2"/>
          <c:min val="-0.8"/>
        </c:scaling>
        <c:delete val="1"/>
        <c:axPos val="r"/>
        <c:numFmt formatCode="0%" sourceLinked="0"/>
        <c:tickLblPos val="none"/>
        <c:crossAx val="154370048"/>
        <c:crosses val="max"/>
        <c:crossBetween val="between"/>
      </c:valAx>
      <c:catAx>
        <c:axId val="154370048"/>
        <c:scaling>
          <c:orientation val="minMax"/>
        </c:scaling>
        <c:delete val="1"/>
        <c:axPos val="b"/>
        <c:tickLblPos val="none"/>
        <c:crossAx val="154364160"/>
        <c:crosses val="autoZero"/>
        <c:auto val="1"/>
        <c:lblAlgn val="ctr"/>
        <c:lblOffset val="100"/>
      </c:catAx>
      <c:spPr>
        <a:noFill/>
      </c:spPr>
    </c:plotArea>
    <c:legend>
      <c:legendPos val="r"/>
      <c:layout>
        <c:manualLayout>
          <c:xMode val="edge"/>
          <c:yMode val="edge"/>
          <c:x val="0.72746866797900267"/>
          <c:y val="0.18144746651689372"/>
          <c:w val="0.26003133202099521"/>
          <c:h val="0.68329280326774267"/>
        </c:manualLayout>
      </c:layout>
    </c:legend>
    <c:plotVisOnly val="1"/>
    <c:dispBlanksAs val="zero"/>
  </c:chart>
  <c:spPr>
    <a:noFill/>
    <a:ln>
      <a:noFill/>
    </a:ln>
  </c:spPr>
  <c:printSettings>
    <c:headerFooter/>
    <c:pageMargins b="0.75000000000000466" l="0.70000000000000062" r="0.70000000000000062" t="0.75000000000000466"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Emissions</a:t>
            </a:r>
            <a:r>
              <a:rPr lang="en-US" sz="1100" baseline="0"/>
              <a:t> (Mt CO2e)</a:t>
            </a:r>
            <a:endParaRPr lang="en-US" sz="1100"/>
          </a:p>
        </c:rich>
      </c:tx>
      <c:layout/>
    </c:title>
    <c:plotArea>
      <c:layout>
        <c:manualLayout>
          <c:layoutTarget val="inner"/>
          <c:xMode val="edge"/>
          <c:yMode val="edge"/>
          <c:x val="6.0366305774278213E-2"/>
          <c:y val="6.7871004880953323E-2"/>
          <c:w val="0.66963369422572672"/>
          <c:h val="0.8814235630225592"/>
        </c:manualLayout>
      </c:layout>
      <c:barChart>
        <c:barDir val="col"/>
        <c:grouping val="stacked"/>
        <c:ser>
          <c:idx val="0"/>
          <c:order val="0"/>
          <c:tx>
            <c:strRef>
              <c:f>'Intermediate output'!$D$182</c:f>
              <c:strCache>
                <c:ptCount val="1"/>
                <c:pt idx="0">
                  <c:v>Fuel Combustion</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output'!$AY$182:$BG$182</c:f>
              <c:numCache>
                <c:formatCode>#,##0_);\(#,##0\);"-"_);@</c:formatCode>
                <c:ptCount val="9"/>
                <c:pt idx="0" formatCode="#,##0.00_);\(#,##0.00\);&quot;-&quot;_);@">
                  <c:v>36.597741668782817</c:v>
                </c:pt>
                <c:pt idx="1">
                  <c:v>35.484414807816307</c:v>
                </c:pt>
                <c:pt idx="2">
                  <c:v>31.663220911390312</c:v>
                </c:pt>
                <c:pt idx="3">
                  <c:v>27.443557313273946</c:v>
                </c:pt>
                <c:pt idx="4">
                  <c:v>24.362387354720124</c:v>
                </c:pt>
                <c:pt idx="5">
                  <c:v>32.325894515254639</c:v>
                </c:pt>
                <c:pt idx="6">
                  <c:v>35.833515225997388</c:v>
                </c:pt>
                <c:pt idx="7">
                  <c:v>38.763880773917812</c:v>
                </c:pt>
                <c:pt idx="8">
                  <c:v>41.694956625386979</c:v>
                </c:pt>
              </c:numCache>
            </c:numRef>
          </c:val>
        </c:ser>
        <c:ser>
          <c:idx val="1"/>
          <c:order val="1"/>
          <c:tx>
            <c:strRef>
              <c:f>'Intermediate output'!$D$183</c:f>
              <c:strCache>
                <c:ptCount val="1"/>
                <c:pt idx="0">
                  <c:v>Industrial Processes</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output'!$AY$183:$BG$183</c:f>
              <c:numCache>
                <c:formatCode>#,##0_);\(#,##0\);"-"_);@</c:formatCode>
                <c:ptCount val="9"/>
                <c:pt idx="0" formatCode="#,##0.00_);\(#,##0.00\);&quot;-&quot;_);@">
                  <c:v>2.42</c:v>
                </c:pt>
                <c:pt idx="1">
                  <c:v>2.317445925498101</c:v>
                </c:pt>
                <c:pt idx="2">
                  <c:v>2.0803301987443206</c:v>
                </c:pt>
                <c:pt idx="3">
                  <c:v>1.8683213839408266</c:v>
                </c:pt>
                <c:pt idx="4">
                  <c:v>1.6786821051150729</c:v>
                </c:pt>
                <c:pt idx="5">
                  <c:v>1.5089805586263663</c:v>
                </c:pt>
                <c:pt idx="6">
                  <c:v>1.3570557786362432</c:v>
                </c:pt>
                <c:pt idx="7">
                  <c:v>1.22098690421433</c:v>
                </c:pt>
                <c:pt idx="8">
                  <c:v>1.0990659825843379</c:v>
                </c:pt>
              </c:numCache>
            </c:numRef>
          </c:val>
        </c:ser>
        <c:ser>
          <c:idx val="2"/>
          <c:order val="2"/>
          <c:tx>
            <c:strRef>
              <c:f>'Intermediate output'!$D$184</c:f>
              <c:strCache>
                <c:ptCount val="1"/>
                <c:pt idx="0">
                  <c:v>Solvent and Other Product Use</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output'!$AY$184:$BG$184</c:f>
              <c:numCache>
                <c:formatCode>#,##0_);\(#,##0\);"-"_);@</c:formatCode>
                <c:ptCount val="9"/>
                <c:pt idx="0" formatCode="#,##0.00_);\(#,##0.00\);&quot;-&quot;_);@">
                  <c:v>0</c:v>
                </c:pt>
                <c:pt idx="1">
                  <c:v>0</c:v>
                </c:pt>
                <c:pt idx="2">
                  <c:v>0</c:v>
                </c:pt>
                <c:pt idx="3">
                  <c:v>0</c:v>
                </c:pt>
                <c:pt idx="4">
                  <c:v>0</c:v>
                </c:pt>
                <c:pt idx="5">
                  <c:v>0</c:v>
                </c:pt>
                <c:pt idx="6">
                  <c:v>0</c:v>
                </c:pt>
                <c:pt idx="7">
                  <c:v>0</c:v>
                </c:pt>
                <c:pt idx="8">
                  <c:v>0</c:v>
                </c:pt>
              </c:numCache>
            </c:numRef>
          </c:val>
        </c:ser>
        <c:ser>
          <c:idx val="3"/>
          <c:order val="3"/>
          <c:tx>
            <c:strRef>
              <c:f>'Intermediate output'!$D$185</c:f>
              <c:strCache>
                <c:ptCount val="1"/>
                <c:pt idx="0">
                  <c:v>Agriculture</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output'!$AY$185:$BG$185</c:f>
              <c:numCache>
                <c:formatCode>#,##0_);\(#,##0\);"-"_);@</c:formatCode>
                <c:ptCount val="9"/>
                <c:pt idx="0" formatCode="#,##0.00_);\(#,##0.00\);&quot;-&quot;_);@">
                  <c:v>17.477285399999996</c:v>
                </c:pt>
                <c:pt idx="1">
                  <c:v>17.231308291364016</c:v>
                </c:pt>
                <c:pt idx="2">
                  <c:v>16.510423035910584</c:v>
                </c:pt>
                <c:pt idx="3">
                  <c:v>15.770513495738047</c:v>
                </c:pt>
                <c:pt idx="4">
                  <c:v>14.801689931312772</c:v>
                </c:pt>
                <c:pt idx="5">
                  <c:v>14.280108729266098</c:v>
                </c:pt>
                <c:pt idx="6">
                  <c:v>13.775838398473621</c:v>
                </c:pt>
                <c:pt idx="7">
                  <c:v>13.28834197905401</c:v>
                </c:pt>
                <c:pt idx="8">
                  <c:v>13.013895510273077</c:v>
                </c:pt>
              </c:numCache>
            </c:numRef>
          </c:val>
        </c:ser>
        <c:ser>
          <c:idx val="4"/>
          <c:order val="4"/>
          <c:tx>
            <c:v>Land Use and Forestry</c:v>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output'!$AY$186:$BG$186</c:f>
              <c:numCache>
                <c:formatCode>#,##0_);\(#,##0\);"-"_);@</c:formatCode>
                <c:ptCount val="9"/>
                <c:pt idx="0" formatCode="#,##0.00_);\(#,##0.00\);&quot;-&quot;_);@">
                  <c:v>-3.1859999999999999</c:v>
                </c:pt>
                <c:pt idx="1">
                  <c:v>-2.0419537671878891</c:v>
                </c:pt>
                <c:pt idx="2">
                  <c:v>-1.1817681520851633</c:v>
                </c:pt>
                <c:pt idx="3">
                  <c:v>-0.65512751732099117</c:v>
                </c:pt>
                <c:pt idx="4">
                  <c:v>-0.9383255597991258</c:v>
                </c:pt>
                <c:pt idx="5">
                  <c:v>-1.4653696761441601</c:v>
                </c:pt>
                <c:pt idx="6">
                  <c:v>-2.4850551056747112</c:v>
                </c:pt>
                <c:pt idx="7">
                  <c:v>-3.6112424759446609</c:v>
                </c:pt>
                <c:pt idx="8">
                  <c:v>-4.4813243548418651</c:v>
                </c:pt>
              </c:numCache>
            </c:numRef>
          </c:val>
        </c:ser>
        <c:ser>
          <c:idx val="5"/>
          <c:order val="5"/>
          <c:tx>
            <c:strRef>
              <c:f>'Intermediate output'!$D$187</c:f>
              <c:strCache>
                <c:ptCount val="1"/>
                <c:pt idx="0">
                  <c:v>Waste</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output'!$AY$187:$BG$187</c:f>
              <c:numCache>
                <c:formatCode>#,##0_);\(#,##0\);"-"_);@</c:formatCode>
                <c:ptCount val="9"/>
                <c:pt idx="0" formatCode="#,##0.00_);\(#,##0.00\);&quot;-&quot;_);@">
                  <c:v>0.96917142883928564</c:v>
                </c:pt>
                <c:pt idx="1">
                  <c:v>0.83635224384289342</c:v>
                </c:pt>
                <c:pt idx="2">
                  <c:v>0.73269987284886018</c:v>
                </c:pt>
                <c:pt idx="3">
                  <c:v>0.66660669150718665</c:v>
                </c:pt>
                <c:pt idx="4">
                  <c:v>0.60231776617858668</c:v>
                </c:pt>
                <c:pt idx="5">
                  <c:v>0.53983309686306047</c:v>
                </c:pt>
                <c:pt idx="6">
                  <c:v>0.47915268356060814</c:v>
                </c:pt>
                <c:pt idx="7">
                  <c:v>0.4202765262712293</c:v>
                </c:pt>
                <c:pt idx="8">
                  <c:v>0.36320462499492429</c:v>
                </c:pt>
              </c:numCache>
            </c:numRef>
          </c:val>
        </c:ser>
        <c:ser>
          <c:idx val="6"/>
          <c:order val="6"/>
          <c:tx>
            <c:strRef>
              <c:f>'Intermediate output'!$D$188</c:f>
              <c:strCache>
                <c:ptCount val="1"/>
                <c:pt idx="0">
                  <c:v>Other</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output'!$AY$188:$BG$188</c:f>
              <c:numCache>
                <c:formatCode>#,##0_);\(#,##0\);"-"_);@</c:formatCode>
                <c:ptCount val="9"/>
                <c:pt idx="0" formatCode="#,##0.00_);\(#,##0.00\);&quot;-&quot;_);@">
                  <c:v>0</c:v>
                </c:pt>
                <c:pt idx="1">
                  <c:v>0</c:v>
                </c:pt>
                <c:pt idx="2">
                  <c:v>0</c:v>
                </c:pt>
                <c:pt idx="3">
                  <c:v>0</c:v>
                </c:pt>
                <c:pt idx="4">
                  <c:v>0</c:v>
                </c:pt>
                <c:pt idx="5">
                  <c:v>0</c:v>
                </c:pt>
                <c:pt idx="6">
                  <c:v>0</c:v>
                </c:pt>
                <c:pt idx="7">
                  <c:v>0</c:v>
                </c:pt>
                <c:pt idx="8">
                  <c:v>0</c:v>
                </c:pt>
              </c:numCache>
            </c:numRef>
          </c:val>
        </c:ser>
        <c:ser>
          <c:idx val="7"/>
          <c:order val="7"/>
          <c:tx>
            <c:strRef>
              <c:f>'Intermediate output'!$D$189</c:f>
              <c:strCache>
                <c:ptCount val="1"/>
                <c:pt idx="0">
                  <c:v>International Aviation </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output'!$AY$189:$BG$189</c:f>
              <c:numCache>
                <c:formatCode>#,##0_);\(#,##0\);"-"_);@</c:formatCode>
                <c:ptCount val="9"/>
                <c:pt idx="0" formatCode="#,##0.00_);\(#,##0.00\);&quot;-&quot;_);@">
                  <c:v>1.8587303279999996</c:v>
                </c:pt>
                <c:pt idx="1">
                  <c:v>1.8254237392525674</c:v>
                </c:pt>
                <c:pt idx="2">
                  <c:v>1.9740188412391277</c:v>
                </c:pt>
                <c:pt idx="3">
                  <c:v>2.1347100411670006</c:v>
                </c:pt>
                <c:pt idx="4">
                  <c:v>2.3084819985804761</c:v>
                </c:pt>
                <c:pt idx="5">
                  <c:v>2.4963995273366537</c:v>
                </c:pt>
                <c:pt idx="6">
                  <c:v>2.6996141204128228</c:v>
                </c:pt>
                <c:pt idx="7">
                  <c:v>2.9193710058532174</c:v>
                </c:pt>
                <c:pt idx="8">
                  <c:v>3.1570167770915103</c:v>
                </c:pt>
              </c:numCache>
            </c:numRef>
          </c:val>
        </c:ser>
        <c:ser>
          <c:idx val="8"/>
          <c:order val="8"/>
          <c:tx>
            <c:strRef>
              <c:f>'Intermediate output'!$D$190</c:f>
              <c:strCache>
                <c:ptCount val="1"/>
                <c:pt idx="0">
                  <c:v>Bioenergy credit</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output'!$AY$190:$BG$190</c:f>
              <c:numCache>
                <c:formatCode>#,##0_);\(#,##0\);"-"_);@</c:formatCode>
                <c:ptCount val="9"/>
                <c:pt idx="0" formatCode="#,##0.00_);\(#,##0.00\);&quot;-&quot;_);@">
                  <c:v>-0.54367917626535778</c:v>
                </c:pt>
                <c:pt idx="1">
                  <c:v>-1.6645650140674992</c:v>
                </c:pt>
                <c:pt idx="2">
                  <c:v>-5.4199703136642308</c:v>
                </c:pt>
                <c:pt idx="3">
                  <c:v>-4.9382369659295682</c:v>
                </c:pt>
                <c:pt idx="4">
                  <c:v>-4.8924123414787193</c:v>
                </c:pt>
                <c:pt idx="5">
                  <c:v>-11.848766840385965</c:v>
                </c:pt>
                <c:pt idx="6">
                  <c:v>-13.709907693984301</c:v>
                </c:pt>
                <c:pt idx="7">
                  <c:v>-14.950110878118315</c:v>
                </c:pt>
                <c:pt idx="8">
                  <c:v>-16.082979359188872</c:v>
                </c:pt>
              </c:numCache>
            </c:numRef>
          </c:val>
        </c:ser>
        <c:ser>
          <c:idx val="9"/>
          <c:order val="9"/>
          <c:tx>
            <c:strRef>
              <c:f>'Intermediate output'!$D$191</c:f>
              <c:strCache>
                <c:ptCount val="1"/>
                <c:pt idx="0">
                  <c:v>Carbon capture</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output'!$AY$191:$BG$191</c:f>
              <c:numCache>
                <c:formatCode>#,##0_);\(#,##0\);"-"_);@</c:formatCode>
                <c:ptCount val="9"/>
                <c:pt idx="0" formatCode="#,##0.00_);\(#,##0.00\);&quot;-&quot;_);@">
                  <c:v>0</c:v>
                </c:pt>
                <c:pt idx="1">
                  <c:v>0</c:v>
                </c:pt>
                <c:pt idx="2">
                  <c:v>0</c:v>
                </c:pt>
                <c:pt idx="3">
                  <c:v>0</c:v>
                </c:pt>
                <c:pt idx="4">
                  <c:v>0</c:v>
                </c:pt>
                <c:pt idx="5">
                  <c:v>-1.1071438064419354</c:v>
                </c:pt>
                <c:pt idx="6">
                  <c:v>-3.2687102856857142</c:v>
                </c:pt>
                <c:pt idx="7">
                  <c:v>-5.3627278124531248</c:v>
                </c:pt>
                <c:pt idx="8">
                  <c:v>-7.3923140307046147</c:v>
                </c:pt>
              </c:numCache>
            </c:numRef>
          </c:val>
        </c:ser>
        <c:gapWidth val="59"/>
        <c:overlap val="100"/>
        <c:axId val="154510464"/>
        <c:axId val="154512000"/>
      </c:barChart>
      <c:lineChart>
        <c:grouping val="standard"/>
        <c:ser>
          <c:idx val="10"/>
          <c:order val="10"/>
          <c:tx>
            <c:v>Total</c:v>
          </c:tx>
          <c:spPr>
            <a:ln>
              <a:solidFill>
                <a:schemeClr val="accent5"/>
              </a:solidFill>
            </a:ln>
          </c:spPr>
          <c:marker>
            <c:symbol val="none"/>
          </c:marker>
          <c:val>
            <c:numRef>
              <c:f>'Intermediate output'!$AY$192:$BG$192</c:f>
              <c:numCache>
                <c:formatCode>#,##0_);\(#,##0\);"-"_);@</c:formatCode>
                <c:ptCount val="9"/>
                <c:pt idx="0" formatCode="#,##0.00_);\(#,##0.00\);&quot;-&quot;_);@">
                  <c:v>55.59324964935675</c:v>
                </c:pt>
                <c:pt idx="1">
                  <c:v>53.988426226518492</c:v>
                </c:pt>
                <c:pt idx="2">
                  <c:v>46.358954394383815</c:v>
                </c:pt>
                <c:pt idx="3">
                  <c:v>42.290344442376444</c:v>
                </c:pt>
                <c:pt idx="4">
                  <c:v>37.922821254629184</c:v>
                </c:pt>
                <c:pt idx="5">
                  <c:v>36.729936104374772</c:v>
                </c:pt>
                <c:pt idx="6">
                  <c:v>34.681503121735958</c:v>
                </c:pt>
                <c:pt idx="7">
                  <c:v>32.688776022794492</c:v>
                </c:pt>
                <c:pt idx="8">
                  <c:v>31.371521775595465</c:v>
                </c:pt>
              </c:numCache>
            </c:numRef>
          </c:val>
        </c:ser>
        <c:marker val="1"/>
        <c:axId val="154519424"/>
        <c:axId val="154517888"/>
      </c:lineChart>
      <c:catAx>
        <c:axId val="154510464"/>
        <c:scaling>
          <c:orientation val="minMax"/>
        </c:scaling>
        <c:axPos val="b"/>
        <c:numFmt formatCode="General" sourceLinked="1"/>
        <c:tickLblPos val="low"/>
        <c:crossAx val="154512000"/>
        <c:crosses val="autoZero"/>
        <c:auto val="1"/>
        <c:lblAlgn val="ctr"/>
        <c:lblOffset val="100"/>
      </c:catAx>
      <c:valAx>
        <c:axId val="154512000"/>
        <c:scaling>
          <c:orientation val="minMax"/>
        </c:scaling>
        <c:axPos val="l"/>
        <c:numFmt formatCode="#,##0" sourceLinked="0"/>
        <c:tickLblPos val="nextTo"/>
        <c:crossAx val="154510464"/>
        <c:crosses val="autoZero"/>
        <c:crossBetween val="between"/>
        <c:minorUnit val="4.0000000000000022E-2"/>
      </c:valAx>
      <c:valAx>
        <c:axId val="154517888"/>
        <c:scaling>
          <c:orientation val="minMax"/>
          <c:max val="80"/>
          <c:min val="-60"/>
        </c:scaling>
        <c:delete val="1"/>
        <c:axPos val="r"/>
        <c:numFmt formatCode="#,##0.00_);\(#,##0.00\);&quot;-&quot;_);@" sourceLinked="1"/>
        <c:tickLblPos val="none"/>
        <c:crossAx val="154519424"/>
        <c:crosses val="max"/>
        <c:crossBetween val="between"/>
      </c:valAx>
      <c:catAx>
        <c:axId val="154519424"/>
        <c:scaling>
          <c:orientation val="minMax"/>
        </c:scaling>
        <c:delete val="1"/>
        <c:axPos val="b"/>
        <c:tickLblPos val="none"/>
        <c:crossAx val="154517888"/>
        <c:crosses val="autoZero"/>
        <c:auto val="1"/>
        <c:lblAlgn val="ctr"/>
        <c:lblOffset val="100"/>
      </c:catAx>
      <c:spPr>
        <a:noFill/>
      </c:spPr>
    </c:plotArea>
    <c:legend>
      <c:legendPos val="r"/>
      <c:layout>
        <c:manualLayout>
          <c:xMode val="edge"/>
          <c:yMode val="edge"/>
          <c:x val="0.75500000000000433"/>
          <c:y val="0.23031545945443024"/>
          <c:w val="0.23250000000000001"/>
          <c:h val="0.55643169900713896"/>
        </c:manualLayout>
      </c:layout>
    </c:legend>
    <c:plotVisOnly val="1"/>
    <c:dispBlanksAs val="zero"/>
  </c:chart>
  <c:spPr>
    <a:noFill/>
    <a:ln>
      <a:noFill/>
    </a:ln>
  </c:spPr>
  <c:printSettings>
    <c:headerFooter/>
    <c:pageMargins b="0.75000000000000488" l="0.70000000000000062" r="0.70000000000000062" t="0.75000000000000488"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Bioenergy</a:t>
            </a:r>
            <a:r>
              <a:rPr lang="en-US" sz="1100" baseline="0"/>
              <a:t> production (negative are exports)</a:t>
            </a:r>
          </a:p>
        </c:rich>
      </c:tx>
      <c:layout/>
    </c:title>
    <c:plotArea>
      <c:layout/>
      <c:barChart>
        <c:barDir val="col"/>
        <c:grouping val="stacked"/>
        <c:ser>
          <c:idx val="0"/>
          <c:order val="0"/>
          <c:tx>
            <c:v>Solid domestic</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output'!$AY$215:$BG$215</c:f>
              <c:numCache>
                <c:formatCode>#,##0_);\(#,##0\);"-"_);@</c:formatCode>
                <c:ptCount val="9"/>
                <c:pt idx="0">
                  <c:v>0.54269113815300019</c:v>
                </c:pt>
                <c:pt idx="1">
                  <c:v>3.5997577180337856</c:v>
                </c:pt>
                <c:pt idx="2">
                  <c:v>12.629791105809554</c:v>
                </c:pt>
                <c:pt idx="3">
                  <c:v>26.304701876768743</c:v>
                </c:pt>
                <c:pt idx="4">
                  <c:v>38.956916202526862</c:v>
                </c:pt>
                <c:pt idx="5">
                  <c:v>53.077575694119567</c:v>
                </c:pt>
                <c:pt idx="6">
                  <c:v>71.9469181755818</c:v>
                </c:pt>
                <c:pt idx="7">
                  <c:v>87.895402623048938</c:v>
                </c:pt>
                <c:pt idx="8">
                  <c:v>104.20790982088215</c:v>
                </c:pt>
              </c:numCache>
            </c:numRef>
          </c:val>
        </c:ser>
        <c:ser>
          <c:idx val="1"/>
          <c:order val="1"/>
          <c:tx>
            <c:v>Liquid domestic</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output'!$AY$216:$BG$216</c:f>
              <c:numCache>
                <c:formatCode>#,##0_);\(#,##0\);"-"_);@</c:formatCode>
                <c:ptCount val="9"/>
                <c:pt idx="0">
                  <c:v>4.4485000000000004E-2</c:v>
                </c:pt>
                <c:pt idx="1">
                  <c:v>5.5028044762011015E-2</c:v>
                </c:pt>
                <c:pt idx="2">
                  <c:v>8.3407241799860629E-2</c:v>
                </c:pt>
                <c:pt idx="3">
                  <c:v>0.117093819831379</c:v>
                </c:pt>
                <c:pt idx="4">
                  <c:v>0.1525758671279841</c:v>
                </c:pt>
                <c:pt idx="5">
                  <c:v>0.19175395542692011</c:v>
                </c:pt>
                <c:pt idx="6">
                  <c:v>0.23493597507424119</c:v>
                </c:pt>
                <c:pt idx="7">
                  <c:v>0.28245301287517371</c:v>
                </c:pt>
                <c:pt idx="8">
                  <c:v>0.3346610022486472</c:v>
                </c:pt>
              </c:numCache>
            </c:numRef>
          </c:val>
        </c:ser>
        <c:ser>
          <c:idx val="2"/>
          <c:order val="2"/>
          <c:tx>
            <c:v>Gaseous domestic</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output'!$AY$217:$BG$217</c:f>
              <c:numCache>
                <c:formatCode>#,##0_);\(#,##0\);"-"_);@</c:formatCode>
                <c:ptCount val="9"/>
                <c:pt idx="0">
                  <c:v>0.22774455378050898</c:v>
                </c:pt>
                <c:pt idx="1">
                  <c:v>0.36184126233438352</c:v>
                </c:pt>
                <c:pt idx="2">
                  <c:v>1.2809073708829677</c:v>
                </c:pt>
                <c:pt idx="3">
                  <c:v>2.7367354408428457</c:v>
                </c:pt>
                <c:pt idx="4">
                  <c:v>6.8882063731063781</c:v>
                </c:pt>
                <c:pt idx="5">
                  <c:v>10.241779129231292</c:v>
                </c:pt>
                <c:pt idx="6">
                  <c:v>15.401266021886139</c:v>
                </c:pt>
                <c:pt idx="7">
                  <c:v>19.887599646208944</c:v>
                </c:pt>
                <c:pt idx="8">
                  <c:v>23.824090611859152</c:v>
                </c:pt>
              </c:numCache>
            </c:numRef>
          </c:val>
        </c:ser>
        <c:ser>
          <c:idx val="3"/>
          <c:order val="3"/>
          <c:tx>
            <c:v>Solid imports</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output'!$AY$220:$BG$220</c:f>
              <c:numCache>
                <c:formatCode>#,##0_);\(#,##0\);"-"_);@</c:formatCode>
                <c:ptCount val="9"/>
                <c:pt idx="0">
                  <c:v>0.17666666666666667</c:v>
                </c:pt>
                <c:pt idx="1">
                  <c:v>0.25</c:v>
                </c:pt>
                <c:pt idx="2">
                  <c:v>1.4</c:v>
                </c:pt>
                <c:pt idx="3">
                  <c:v>-15.380254786704254</c:v>
                </c:pt>
                <c:pt idx="4">
                  <c:v>-31.573535256502545</c:v>
                </c:pt>
                <c:pt idx="5">
                  <c:v>-28.014659166197479</c:v>
                </c:pt>
                <c:pt idx="6">
                  <c:v>-45.394088294146343</c:v>
                </c:pt>
                <c:pt idx="7">
                  <c:v>-61.287021708780983</c:v>
                </c:pt>
                <c:pt idx="8">
                  <c:v>-77.532154317257508</c:v>
                </c:pt>
              </c:numCache>
            </c:numRef>
          </c:val>
        </c:ser>
        <c:ser>
          <c:idx val="4"/>
          <c:order val="4"/>
          <c:tx>
            <c:v>Liquid imports</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output'!$AY$221:$BG$221</c:f>
              <c:numCache>
                <c:formatCode>#,##0_);\(#,##0\);"-"_);@</c:formatCode>
                <c:ptCount val="9"/>
                <c:pt idx="0">
                  <c:v>0.91876999999999998</c:v>
                </c:pt>
                <c:pt idx="1">
                  <c:v>1.0467</c:v>
                </c:pt>
                <c:pt idx="2">
                  <c:v>1.5119</c:v>
                </c:pt>
                <c:pt idx="3">
                  <c:v>2.4963333333333302</c:v>
                </c:pt>
                <c:pt idx="4">
                  <c:v>3.5970666666666702</c:v>
                </c:pt>
                <c:pt idx="5">
                  <c:v>4.6978</c:v>
                </c:pt>
                <c:pt idx="6">
                  <c:v>5.7985333333333298</c:v>
                </c:pt>
                <c:pt idx="7">
                  <c:v>6.8992666666666702</c:v>
                </c:pt>
                <c:pt idx="8">
                  <c:v>8</c:v>
                </c:pt>
              </c:numCache>
            </c:numRef>
          </c:val>
        </c:ser>
        <c:ser>
          <c:idx val="5"/>
          <c:order val="5"/>
          <c:tx>
            <c:v>Gaseous imports</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output'!$AY$222:$BG$222</c:f>
              <c:numCache>
                <c:formatCode>#,##0_);\(#,##0\);"-"_);@</c:formatCode>
                <c:ptCount val="9"/>
                <c:pt idx="0">
                  <c:v>0</c:v>
                </c:pt>
                <c:pt idx="1">
                  <c:v>0</c:v>
                </c:pt>
                <c:pt idx="2">
                  <c:v>0</c:v>
                </c:pt>
                <c:pt idx="3">
                  <c:v>0</c:v>
                </c:pt>
                <c:pt idx="4">
                  <c:v>0</c:v>
                </c:pt>
                <c:pt idx="5">
                  <c:v>0</c:v>
                </c:pt>
                <c:pt idx="6">
                  <c:v>0</c:v>
                </c:pt>
                <c:pt idx="7">
                  <c:v>0</c:v>
                </c:pt>
                <c:pt idx="8">
                  <c:v>0</c:v>
                </c:pt>
              </c:numCache>
            </c:numRef>
          </c:val>
        </c:ser>
        <c:overlap val="100"/>
        <c:axId val="155613440"/>
        <c:axId val="155627520"/>
      </c:barChart>
      <c:catAx>
        <c:axId val="155613440"/>
        <c:scaling>
          <c:orientation val="minMax"/>
        </c:scaling>
        <c:axPos val="b"/>
        <c:numFmt formatCode="General" sourceLinked="1"/>
        <c:tickLblPos val="low"/>
        <c:crossAx val="155627520"/>
        <c:crosses val="autoZero"/>
        <c:auto val="1"/>
        <c:lblAlgn val="ctr"/>
        <c:lblOffset val="100"/>
      </c:catAx>
      <c:valAx>
        <c:axId val="155627520"/>
        <c:scaling>
          <c:orientation val="minMax"/>
        </c:scaling>
        <c:axPos val="l"/>
        <c:title>
          <c:tx>
            <c:strRef>
              <c:f>'Intermediate output'!$D$4</c:f>
              <c:strCache>
                <c:ptCount val="1"/>
                <c:pt idx="0">
                  <c:v>TWh / year</c:v>
                </c:pt>
              </c:strCache>
            </c:strRef>
          </c:tx>
          <c:layout/>
          <c:txPr>
            <a:bodyPr rot="-5400000" vert="horz"/>
            <a:lstStyle/>
            <a:p>
              <a:pPr>
                <a:defRPr/>
              </a:pPr>
              <a:endParaRPr lang="en-US"/>
            </a:p>
          </c:txPr>
        </c:title>
        <c:numFmt formatCode="#,##0" sourceLinked="0"/>
        <c:tickLblPos val="nextTo"/>
        <c:crossAx val="155613440"/>
        <c:crosses val="autoZero"/>
        <c:crossBetween val="between"/>
      </c:valAx>
      <c:spPr>
        <a:noFill/>
      </c:spPr>
    </c:plotArea>
    <c:legend>
      <c:legendPos val="r"/>
      <c:layout/>
    </c:legend>
    <c:plotVisOnly val="1"/>
  </c:chart>
  <c:spPr>
    <a:noFill/>
    <a:ln>
      <a:noFill/>
    </a:ln>
  </c:spPr>
  <c:printSettings>
    <c:headerFooter/>
    <c:pageMargins b="0.75000000000000466" l="0.70000000000000062" r="0.70000000000000062" t="0.75000000000000466"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Solid Hydrocarbon Consumption</a:t>
            </a:r>
            <a:endParaRPr lang="en-US" sz="1100" baseline="0"/>
          </a:p>
        </c:rich>
      </c:tx>
      <c:layout/>
    </c:title>
    <c:plotArea>
      <c:layout>
        <c:manualLayout>
          <c:layoutTarget val="inner"/>
          <c:xMode val="edge"/>
          <c:yMode val="edge"/>
          <c:x val="9.8168471128609991E-2"/>
          <c:y val="0.19071498038178991"/>
          <c:w val="0.50988188976377968"/>
          <c:h val="0.58615808863013386"/>
        </c:manualLayout>
      </c:layout>
      <c:barChart>
        <c:barDir val="col"/>
        <c:grouping val="stacked"/>
        <c:ser>
          <c:idx val="0"/>
          <c:order val="0"/>
          <c:tx>
            <c:strRef>
              <c:f>'Intermediate output'!$D$233</c:f>
              <c:strCache>
                <c:ptCount val="1"/>
                <c:pt idx="0">
                  <c:v>Carbon Capture Storage (CCS)</c:v>
                </c:pt>
              </c:strCache>
            </c:strRef>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output'!$AY$233:$BG$233</c:f>
              <c:numCache>
                <c:formatCode>0</c:formatCode>
                <c:ptCount val="9"/>
                <c:pt idx="0">
                  <c:v>0</c:v>
                </c:pt>
                <c:pt idx="1">
                  <c:v>0</c:v>
                </c:pt>
                <c:pt idx="2">
                  <c:v>0</c:v>
                </c:pt>
                <c:pt idx="3">
                  <c:v>0</c:v>
                </c:pt>
                <c:pt idx="4">
                  <c:v>0</c:v>
                </c:pt>
                <c:pt idx="5">
                  <c:v>0</c:v>
                </c:pt>
                <c:pt idx="6">
                  <c:v>0</c:v>
                </c:pt>
                <c:pt idx="7">
                  <c:v>0</c:v>
                </c:pt>
                <c:pt idx="8">
                  <c:v>0</c:v>
                </c:pt>
              </c:numCache>
            </c:numRef>
          </c:val>
        </c:ser>
        <c:ser>
          <c:idx val="1"/>
          <c:order val="1"/>
          <c:tx>
            <c:strRef>
              <c:f>'Intermediate output'!$D$234</c:f>
              <c:strCache>
                <c:ptCount val="1"/>
                <c:pt idx="0">
                  <c:v>Biomass/Coal power stations</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output'!$AY$234:$BG$234</c:f>
              <c:numCache>
                <c:formatCode>0</c:formatCode>
                <c:ptCount val="9"/>
                <c:pt idx="0">
                  <c:v>19.930507628592196</c:v>
                </c:pt>
                <c:pt idx="1">
                  <c:v>20.542670935872795</c:v>
                </c:pt>
                <c:pt idx="2">
                  <c:v>13.041880794577088</c:v>
                </c:pt>
                <c:pt idx="3">
                  <c:v>7.1740178123657694</c:v>
                </c:pt>
                <c:pt idx="4">
                  <c:v>3.6115919999999999</c:v>
                </c:pt>
                <c:pt idx="5">
                  <c:v>21.256798628571431</c:v>
                </c:pt>
                <c:pt idx="6">
                  <c:v>22.701435428571433</c:v>
                </c:pt>
                <c:pt idx="7">
                  <c:v>22.701435428571433</c:v>
                </c:pt>
                <c:pt idx="8">
                  <c:v>22.701435428571433</c:v>
                </c:pt>
              </c:numCache>
            </c:numRef>
          </c:val>
        </c:ser>
        <c:ser>
          <c:idx val="2"/>
          <c:order val="2"/>
          <c:tx>
            <c:strRef>
              <c:f>'Intermediate output'!$D$235</c:f>
              <c:strCache>
                <c:ptCount val="1"/>
                <c:pt idx="0">
                  <c:v>Industry</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output'!$AY$235:$BG$235</c:f>
              <c:numCache>
                <c:formatCode>0</c:formatCode>
                <c:ptCount val="9"/>
                <c:pt idx="0">
                  <c:v>3.11</c:v>
                </c:pt>
                <c:pt idx="1">
                  <c:v>3.1353066860586312</c:v>
                </c:pt>
                <c:pt idx="2">
                  <c:v>3.2095436426878838</c:v>
                </c:pt>
                <c:pt idx="3">
                  <c:v>3.299108940040071</c:v>
                </c:pt>
                <c:pt idx="4">
                  <c:v>3.4037434904107453</c:v>
                </c:pt>
                <c:pt idx="5">
                  <c:v>3.5233789277701968</c:v>
                </c:pt>
                <c:pt idx="6">
                  <c:v>3.6581296053538592</c:v>
                </c:pt>
                <c:pt idx="7">
                  <c:v>3.8082875302383297</c:v>
                </c:pt>
                <c:pt idx="8">
                  <c:v>3.9743200750532086</c:v>
                </c:pt>
              </c:numCache>
            </c:numRef>
          </c:val>
        </c:ser>
        <c:ser>
          <c:idx val="3"/>
          <c:order val="3"/>
          <c:tx>
            <c:strRef>
              <c:f>'Intermediate output'!$D$236</c:f>
              <c:strCache>
                <c:ptCount val="1"/>
                <c:pt idx="0">
                  <c:v>Heating</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output'!$AY$236:$BG$236</c:f>
              <c:numCache>
                <c:formatCode>0</c:formatCode>
                <c:ptCount val="9"/>
                <c:pt idx="0">
                  <c:v>0.74186270023003087</c:v>
                </c:pt>
                <c:pt idx="1">
                  <c:v>0.60283738532241449</c:v>
                </c:pt>
                <c:pt idx="2">
                  <c:v>0.5251076752906112</c:v>
                </c:pt>
                <c:pt idx="3">
                  <c:v>0.45060178432359033</c:v>
                </c:pt>
                <c:pt idx="4">
                  <c:v>0.36804545561356983</c:v>
                </c:pt>
                <c:pt idx="5">
                  <c:v>0.28273897158046063</c:v>
                </c:pt>
                <c:pt idx="6">
                  <c:v>0.19326484751016687</c:v>
                </c:pt>
                <c:pt idx="7">
                  <c:v>9.865795545819156E-2</c:v>
                </c:pt>
                <c:pt idx="8">
                  <c:v>0</c:v>
                </c:pt>
              </c:numCache>
            </c:numRef>
          </c:val>
        </c:ser>
        <c:overlap val="100"/>
        <c:axId val="155742592"/>
        <c:axId val="155744128"/>
      </c:barChart>
      <c:lineChart>
        <c:grouping val="standard"/>
        <c:ser>
          <c:idx val="4"/>
          <c:order val="4"/>
          <c:tx>
            <c:v>Solid biomass share</c:v>
          </c:tx>
          <c:marker>
            <c:symbol val="none"/>
          </c:marker>
          <c:val>
            <c:numRef>
              <c:f>'Intermediate output'!$AY$232:$BG$232</c:f>
              <c:numCache>
                <c:formatCode>0%;\ \(0%\);\ \-</c:formatCode>
                <c:ptCount val="9"/>
                <c:pt idx="0">
                  <c:v>3.0243685626367416E-2</c:v>
                </c:pt>
                <c:pt idx="1">
                  <c:v>0.158535000221279</c:v>
                </c:pt>
                <c:pt idx="2">
                  <c:v>0.8362389872574969</c:v>
                </c:pt>
                <c:pt idx="3">
                  <c:v>1</c:v>
                </c:pt>
                <c:pt idx="4">
                  <c:v>1.0000000000000002</c:v>
                </c:pt>
                <c:pt idx="5">
                  <c:v>1</c:v>
                </c:pt>
                <c:pt idx="6">
                  <c:v>1</c:v>
                </c:pt>
                <c:pt idx="7">
                  <c:v>1</c:v>
                </c:pt>
                <c:pt idx="8">
                  <c:v>1</c:v>
                </c:pt>
              </c:numCache>
            </c:numRef>
          </c:val>
        </c:ser>
        <c:marker val="1"/>
        <c:axId val="155756032"/>
        <c:axId val="155754496"/>
      </c:lineChart>
      <c:catAx>
        <c:axId val="155742592"/>
        <c:scaling>
          <c:orientation val="minMax"/>
        </c:scaling>
        <c:axPos val="b"/>
        <c:numFmt formatCode="General" sourceLinked="1"/>
        <c:tickLblPos val="low"/>
        <c:crossAx val="155744128"/>
        <c:crosses val="autoZero"/>
        <c:auto val="1"/>
        <c:lblAlgn val="ctr"/>
        <c:lblOffset val="100"/>
      </c:catAx>
      <c:valAx>
        <c:axId val="155744128"/>
        <c:scaling>
          <c:orientation val="minMax"/>
        </c:scaling>
        <c:axPos val="l"/>
        <c:title>
          <c:tx>
            <c:strRef>
              <c:f>'Intermediate output'!$D$4</c:f>
              <c:strCache>
                <c:ptCount val="1"/>
                <c:pt idx="0">
                  <c:v>TWh / year</c:v>
                </c:pt>
              </c:strCache>
            </c:strRef>
          </c:tx>
          <c:layout/>
          <c:txPr>
            <a:bodyPr rot="-5400000" vert="horz"/>
            <a:lstStyle/>
            <a:p>
              <a:pPr>
                <a:defRPr/>
              </a:pPr>
              <a:endParaRPr lang="en-US"/>
            </a:p>
          </c:txPr>
        </c:title>
        <c:numFmt formatCode="#,##0" sourceLinked="0"/>
        <c:tickLblPos val="nextTo"/>
        <c:crossAx val="155742592"/>
        <c:crosses val="autoZero"/>
        <c:crossBetween val="between"/>
      </c:valAx>
      <c:valAx>
        <c:axId val="155754496"/>
        <c:scaling>
          <c:orientation val="minMax"/>
          <c:max val="1"/>
        </c:scaling>
        <c:axPos val="r"/>
        <c:numFmt formatCode="0%;\ \(0%\);\ \-" sourceLinked="1"/>
        <c:tickLblPos val="nextTo"/>
        <c:crossAx val="155756032"/>
        <c:crosses val="max"/>
        <c:crossBetween val="between"/>
      </c:valAx>
      <c:catAx>
        <c:axId val="155756032"/>
        <c:scaling>
          <c:orientation val="minMax"/>
        </c:scaling>
        <c:delete val="1"/>
        <c:axPos val="b"/>
        <c:tickLblPos val="none"/>
        <c:crossAx val="155754496"/>
        <c:crosses val="autoZero"/>
        <c:auto val="1"/>
        <c:lblAlgn val="ctr"/>
        <c:lblOffset val="100"/>
      </c:catAx>
      <c:spPr>
        <a:noFill/>
      </c:spPr>
    </c:plotArea>
    <c:legend>
      <c:legendPos val="r"/>
      <c:layout/>
    </c:legend>
    <c:plotVisOnly val="1"/>
    <c:dispBlanksAs val="gap"/>
  </c:chart>
  <c:spPr>
    <a:noFill/>
    <a:ln>
      <a:noFill/>
    </a:ln>
  </c:spPr>
  <c:printSettings>
    <c:headerFooter/>
    <c:pageMargins b="0.75000000000000488" l="0.70000000000000062" r="0.70000000000000062" t="0.75000000000000488"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Liquid Hydrocarbon Consumption</a:t>
            </a:r>
            <a:endParaRPr lang="en-US" sz="1100" baseline="0"/>
          </a:p>
        </c:rich>
      </c:tx>
      <c:layout/>
    </c:title>
    <c:plotArea>
      <c:layout>
        <c:manualLayout>
          <c:layoutTarget val="inner"/>
          <c:xMode val="edge"/>
          <c:yMode val="edge"/>
          <c:x val="9.8168471128609991E-2"/>
          <c:y val="0.19019747971827233"/>
          <c:w val="0.4932152230971128"/>
          <c:h val="0.58615808863013386"/>
        </c:manualLayout>
      </c:layout>
      <c:barChart>
        <c:barDir val="col"/>
        <c:grouping val="stacked"/>
        <c:ser>
          <c:idx val="0"/>
          <c:order val="0"/>
          <c:tx>
            <c:strRef>
              <c:f>'Intermediate output'!$D$240</c:f>
              <c:strCache>
                <c:ptCount val="1"/>
                <c:pt idx="0">
                  <c:v>Transport</c:v>
                </c:pt>
              </c:strCache>
            </c:strRef>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output'!$AY$240:$BG$240</c:f>
              <c:numCache>
                <c:formatCode>0</c:formatCode>
                <c:ptCount val="9"/>
                <c:pt idx="0">
                  <c:v>46.816666836359516</c:v>
                </c:pt>
                <c:pt idx="1">
                  <c:v>45.872558391569598</c:v>
                </c:pt>
                <c:pt idx="2">
                  <c:v>44.639975727949931</c:v>
                </c:pt>
                <c:pt idx="3">
                  <c:v>43.030480669536395</c:v>
                </c:pt>
                <c:pt idx="4">
                  <c:v>43.256961392952434</c:v>
                </c:pt>
                <c:pt idx="5">
                  <c:v>43.42592165702483</c:v>
                </c:pt>
                <c:pt idx="6">
                  <c:v>43.761369170645644</c:v>
                </c:pt>
                <c:pt idx="7">
                  <c:v>44.16733414053364</c:v>
                </c:pt>
                <c:pt idx="8">
                  <c:v>44.730244907574864</c:v>
                </c:pt>
              </c:numCache>
            </c:numRef>
          </c:val>
        </c:ser>
        <c:ser>
          <c:idx val="1"/>
          <c:order val="1"/>
          <c:tx>
            <c:strRef>
              <c:f>'Intermediate output'!$D$241</c:f>
              <c:strCache>
                <c:ptCount val="1"/>
                <c:pt idx="0">
                  <c:v>Industry</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output'!$AY$241:$BG$241</c:f>
              <c:numCache>
                <c:formatCode>0</c:formatCode>
                <c:ptCount val="9"/>
                <c:pt idx="0">
                  <c:v>6.35</c:v>
                </c:pt>
                <c:pt idx="1">
                  <c:v>6.4016712078689091</c:v>
                </c:pt>
                <c:pt idx="2">
                  <c:v>6.553248273655325</c:v>
                </c:pt>
                <c:pt idx="3">
                  <c:v>6.7361227553872833</c:v>
                </c:pt>
                <c:pt idx="4">
                  <c:v>6.9497656476232264</c:v>
                </c:pt>
                <c:pt idx="5">
                  <c:v>7.1940373605597259</c:v>
                </c:pt>
                <c:pt idx="6">
                  <c:v>7.4691713807064319</c:v>
                </c:pt>
                <c:pt idx="7">
                  <c:v>7.7757639283001261</c:v>
                </c:pt>
                <c:pt idx="8">
                  <c:v>8.1147692850764876</c:v>
                </c:pt>
              </c:numCache>
            </c:numRef>
          </c:val>
        </c:ser>
        <c:ser>
          <c:idx val="2"/>
          <c:order val="2"/>
          <c:tx>
            <c:strRef>
              <c:f>'Intermediate output'!$D$242</c:f>
              <c:strCache>
                <c:ptCount val="1"/>
                <c:pt idx="0">
                  <c:v>Petroleum refineries</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output'!$AY$242:$BG$242</c:f>
              <c:numCache>
                <c:formatCode>0</c:formatCode>
                <c:ptCount val="9"/>
                <c:pt idx="0">
                  <c:v>1.8522858135888711</c:v>
                </c:pt>
                <c:pt idx="1">
                  <c:v>1.8522858135888711</c:v>
                </c:pt>
                <c:pt idx="2">
                  <c:v>1.8522858135888711</c:v>
                </c:pt>
                <c:pt idx="3">
                  <c:v>1.8522858135888711</c:v>
                </c:pt>
                <c:pt idx="4">
                  <c:v>1.8522858135888711</c:v>
                </c:pt>
                <c:pt idx="5">
                  <c:v>1.8522858135888711</c:v>
                </c:pt>
                <c:pt idx="6">
                  <c:v>1.8522858135888711</c:v>
                </c:pt>
                <c:pt idx="7">
                  <c:v>1.8522858135888711</c:v>
                </c:pt>
                <c:pt idx="8">
                  <c:v>1.8522858135888711</c:v>
                </c:pt>
              </c:numCache>
            </c:numRef>
          </c:val>
        </c:ser>
        <c:overlap val="100"/>
        <c:axId val="155799936"/>
        <c:axId val="155801472"/>
      </c:barChart>
      <c:lineChart>
        <c:grouping val="standard"/>
        <c:ser>
          <c:idx val="3"/>
          <c:order val="3"/>
          <c:tx>
            <c:v>Liquid biofuel share</c:v>
          </c:tx>
          <c:marker>
            <c:symbol val="none"/>
          </c:marke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output'!$AY$239:$BG$239</c:f>
              <c:numCache>
                <c:formatCode>0%;\ \(0%\);\ \-</c:formatCode>
                <c:ptCount val="9"/>
                <c:pt idx="0">
                  <c:v>1.2460551583269974E-2</c:v>
                </c:pt>
                <c:pt idx="1">
                  <c:v>1.540217208424146E-2</c:v>
                </c:pt>
                <c:pt idx="2">
                  <c:v>2.3554651032602559E-2</c:v>
                </c:pt>
                <c:pt idx="3">
                  <c:v>4.0631487421181854E-2</c:v>
                </c:pt>
                <c:pt idx="4">
                  <c:v>5.9895211825337677E-2</c:v>
                </c:pt>
                <c:pt idx="5">
                  <c:v>8.0228822014248247E-2</c:v>
                </c:pt>
                <c:pt idx="6">
                  <c:v>0.10140333657523205</c:v>
                </c:pt>
                <c:pt idx="7">
                  <c:v>0.12355819888489239</c:v>
                </c:pt>
                <c:pt idx="8">
                  <c:v>0.14632675998830921</c:v>
                </c:pt>
              </c:numCache>
            </c:numRef>
          </c:val>
        </c:ser>
        <c:marker val="1"/>
        <c:axId val="155809280"/>
        <c:axId val="155807744"/>
      </c:lineChart>
      <c:catAx>
        <c:axId val="155799936"/>
        <c:scaling>
          <c:orientation val="minMax"/>
        </c:scaling>
        <c:axPos val="b"/>
        <c:numFmt formatCode="General" sourceLinked="1"/>
        <c:tickLblPos val="low"/>
        <c:crossAx val="155801472"/>
        <c:crosses val="autoZero"/>
        <c:auto val="1"/>
        <c:lblAlgn val="ctr"/>
        <c:lblOffset val="100"/>
      </c:catAx>
      <c:valAx>
        <c:axId val="155801472"/>
        <c:scaling>
          <c:orientation val="minMax"/>
        </c:scaling>
        <c:axPos val="l"/>
        <c:title>
          <c:tx>
            <c:strRef>
              <c:f>'Intermediate output'!$D$4</c:f>
              <c:strCache>
                <c:ptCount val="1"/>
                <c:pt idx="0">
                  <c:v>TWh / year</c:v>
                </c:pt>
              </c:strCache>
            </c:strRef>
          </c:tx>
          <c:layout/>
          <c:txPr>
            <a:bodyPr rot="-5400000" vert="horz"/>
            <a:lstStyle/>
            <a:p>
              <a:pPr>
                <a:defRPr/>
              </a:pPr>
              <a:endParaRPr lang="en-US"/>
            </a:p>
          </c:txPr>
        </c:title>
        <c:numFmt formatCode="#,##0" sourceLinked="0"/>
        <c:tickLblPos val="nextTo"/>
        <c:crossAx val="155799936"/>
        <c:crosses val="autoZero"/>
        <c:crossBetween val="between"/>
      </c:valAx>
      <c:valAx>
        <c:axId val="155807744"/>
        <c:scaling>
          <c:orientation val="minMax"/>
          <c:max val="1"/>
        </c:scaling>
        <c:axPos val="r"/>
        <c:numFmt formatCode="0%;\ \(0%\);\ \-" sourceLinked="1"/>
        <c:tickLblPos val="nextTo"/>
        <c:crossAx val="155809280"/>
        <c:crosses val="max"/>
        <c:crossBetween val="between"/>
      </c:valAx>
      <c:catAx>
        <c:axId val="155809280"/>
        <c:scaling>
          <c:orientation val="minMax"/>
        </c:scaling>
        <c:delete val="1"/>
        <c:axPos val="b"/>
        <c:tickLblPos val="none"/>
        <c:crossAx val="155807744"/>
        <c:crosses val="autoZero"/>
        <c:auto val="1"/>
        <c:lblAlgn val="ctr"/>
        <c:lblOffset val="100"/>
      </c:catAx>
      <c:spPr>
        <a:noFill/>
      </c:spPr>
    </c:plotArea>
    <c:legend>
      <c:legendPos val="r"/>
      <c:layout>
        <c:manualLayout>
          <c:xMode val="edge"/>
          <c:yMode val="edge"/>
          <c:x val="0.67270839320268028"/>
          <c:y val="0.19828080289769306"/>
          <c:w val="0.3147916666666668"/>
          <c:h val="0.53037278147454958"/>
        </c:manualLayout>
      </c:layout>
    </c:legend>
    <c:plotVisOnly val="1"/>
    <c:dispBlanksAs val="gap"/>
  </c:chart>
  <c:spPr>
    <a:noFill/>
    <a:ln>
      <a:noFill/>
    </a:ln>
  </c:spPr>
  <c:printSettings>
    <c:headerFooter/>
    <c:pageMargins b="0.75000000000000511" l="0.70000000000000062" r="0.70000000000000062" t="0.75000000000000511"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Gaseous Hydrocarbon Consumption</a:t>
            </a:r>
            <a:endParaRPr lang="en-US" sz="1100" baseline="0"/>
          </a:p>
        </c:rich>
      </c:tx>
      <c:layout/>
    </c:title>
    <c:plotArea>
      <c:layout>
        <c:manualLayout>
          <c:layoutTarget val="inner"/>
          <c:xMode val="edge"/>
          <c:yMode val="edge"/>
          <c:x val="9.0108933463609028E-2"/>
          <c:y val="0.24069058263872189"/>
          <c:w val="0.49946522309711472"/>
          <c:h val="0.58615808863013386"/>
        </c:manualLayout>
      </c:layout>
      <c:barChart>
        <c:barDir val="col"/>
        <c:grouping val="stacked"/>
        <c:ser>
          <c:idx val="1"/>
          <c:order val="0"/>
          <c:tx>
            <c:v>Domestic heating</c:v>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output'!$AY$246:$BG$246</c:f>
              <c:numCache>
                <c:formatCode>0</c:formatCode>
                <c:ptCount val="9"/>
                <c:pt idx="0">
                  <c:v>9.4463708573767775</c:v>
                </c:pt>
                <c:pt idx="1">
                  <c:v>9.2556061660433429</c:v>
                </c:pt>
                <c:pt idx="2">
                  <c:v>10.45827972318421</c:v>
                </c:pt>
                <c:pt idx="3">
                  <c:v>12.256242010620332</c:v>
                </c:pt>
                <c:pt idx="4">
                  <c:v>13.771647618705204</c:v>
                </c:pt>
                <c:pt idx="5">
                  <c:v>15.370245545423987</c:v>
                </c:pt>
                <c:pt idx="6">
                  <c:v>17.008084093270114</c:v>
                </c:pt>
                <c:pt idx="7">
                  <c:v>18.42610368749196</c:v>
                </c:pt>
                <c:pt idx="8">
                  <c:v>19.742167028986774</c:v>
                </c:pt>
              </c:numCache>
            </c:numRef>
          </c:val>
        </c:ser>
        <c:ser>
          <c:idx val="2"/>
          <c:order val="1"/>
          <c:tx>
            <c:strRef>
              <c:f>'Intermediate output'!$D$247</c:f>
              <c:strCache>
                <c:ptCount val="1"/>
                <c:pt idx="0">
                  <c:v>Commercial heating and cooling</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output'!$AY$247:$BG$247</c:f>
              <c:numCache>
                <c:formatCode>0</c:formatCode>
                <c:ptCount val="9"/>
                <c:pt idx="0">
                  <c:v>4.9320532099479477</c:v>
                </c:pt>
                <c:pt idx="1">
                  <c:v>5.0765066512434931</c:v>
                </c:pt>
                <c:pt idx="2">
                  <c:v>7.726703193423119</c:v>
                </c:pt>
                <c:pt idx="3">
                  <c:v>10.473167582417583</c:v>
                </c:pt>
                <c:pt idx="4">
                  <c:v>13.442941460794843</c:v>
                </c:pt>
                <c:pt idx="5">
                  <c:v>16.636024828554905</c:v>
                </c:pt>
                <c:pt idx="6">
                  <c:v>20.052417685697762</c:v>
                </c:pt>
                <c:pt idx="7">
                  <c:v>23.692120032223414</c:v>
                </c:pt>
                <c:pt idx="8">
                  <c:v>27.555131868131866</c:v>
                </c:pt>
              </c:numCache>
            </c:numRef>
          </c:val>
        </c:ser>
        <c:ser>
          <c:idx val="3"/>
          <c:order val="2"/>
          <c:tx>
            <c:strRef>
              <c:f>'Intermediate output'!$D$248</c:f>
              <c:strCache>
                <c:ptCount val="1"/>
                <c:pt idx="0">
                  <c:v>Industry</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output'!$AY$248:$BG$248</c:f>
              <c:numCache>
                <c:formatCode>0</c:formatCode>
                <c:ptCount val="9"/>
                <c:pt idx="0">
                  <c:v>7.2399999999999993</c:v>
                </c:pt>
                <c:pt idx="1">
                  <c:v>7.2989133141686455</c:v>
                </c:pt>
                <c:pt idx="2">
                  <c:v>7.4717350395692215</c:v>
                </c:pt>
                <c:pt idx="3">
                  <c:v>7.6802407478746355</c:v>
                </c:pt>
                <c:pt idx="4">
                  <c:v>7.9238272895735689</c:v>
                </c:pt>
                <c:pt idx="5">
                  <c:v>8.2023355103074671</c:v>
                </c:pt>
                <c:pt idx="6">
                  <c:v>8.5160316214668619</c:v>
                </c:pt>
                <c:pt idx="7">
                  <c:v>8.8655954080146326</c:v>
                </c:pt>
                <c:pt idx="8">
                  <c:v>9.2521149014100423</c:v>
                </c:pt>
              </c:numCache>
            </c:numRef>
          </c:val>
        </c:ser>
        <c:ser>
          <c:idx val="4"/>
          <c:order val="3"/>
          <c:tx>
            <c:strRef>
              <c:f>'Intermediate output'!$D$249</c:f>
              <c:strCache>
                <c:ptCount val="1"/>
                <c:pt idx="0">
                  <c:v>Biomass/Coal power stations</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output'!$AY$249:$BG$249</c:f>
              <c:numCache>
                <c:formatCode>0</c:formatCode>
                <c:ptCount val="9"/>
                <c:pt idx="0">
                  <c:v>23.361847793789565</c:v>
                </c:pt>
                <c:pt idx="1">
                  <c:v>24.085043155421804</c:v>
                </c:pt>
                <c:pt idx="2">
                  <c:v>17.839288759972622</c:v>
                </c:pt>
                <c:pt idx="3">
                  <c:v>9.8129539243446295</c:v>
                </c:pt>
                <c:pt idx="4">
                  <c:v>0</c:v>
                </c:pt>
                <c:pt idx="5">
                  <c:v>0</c:v>
                </c:pt>
                <c:pt idx="6">
                  <c:v>0</c:v>
                </c:pt>
                <c:pt idx="7">
                  <c:v>0</c:v>
                </c:pt>
                <c:pt idx="8">
                  <c:v>0</c:v>
                </c:pt>
              </c:numCache>
            </c:numRef>
          </c:val>
        </c:ser>
        <c:ser>
          <c:idx val="5"/>
          <c:order val="4"/>
          <c:tx>
            <c:strRef>
              <c:f>'Intermediate output'!$D$250</c:f>
              <c:strCache>
                <c:ptCount val="1"/>
                <c:pt idx="0">
                  <c:v>Carbon Capture Storage (CCS)</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output'!$AY$250:$BG$250</c:f>
              <c:numCache>
                <c:formatCode>0</c:formatCode>
                <c:ptCount val="9"/>
                <c:pt idx="0">
                  <c:v>0</c:v>
                </c:pt>
                <c:pt idx="1">
                  <c:v>0</c:v>
                </c:pt>
                <c:pt idx="2">
                  <c:v>0</c:v>
                </c:pt>
                <c:pt idx="3">
                  <c:v>0</c:v>
                </c:pt>
                <c:pt idx="4">
                  <c:v>0</c:v>
                </c:pt>
                <c:pt idx="5">
                  <c:v>6.0089516129032257</c:v>
                </c:pt>
                <c:pt idx="6">
                  <c:v>17.740714285714287</c:v>
                </c:pt>
                <c:pt idx="7">
                  <c:v>29.105859374999998</c:v>
                </c:pt>
                <c:pt idx="8">
                  <c:v>40.121307692307688</c:v>
                </c:pt>
              </c:numCache>
            </c:numRef>
          </c:val>
        </c:ser>
        <c:overlap val="100"/>
        <c:axId val="155658880"/>
        <c:axId val="155677056"/>
      </c:barChart>
      <c:lineChart>
        <c:grouping val="standard"/>
        <c:ser>
          <c:idx val="0"/>
          <c:order val="5"/>
          <c:tx>
            <c:v>Biogas share</c:v>
          </c:tx>
          <c:marker>
            <c:symbol val="none"/>
          </c:marker>
          <c:val>
            <c:numRef>
              <c:f>'Intermediate output'!$AY$245:$BG$245</c:f>
              <c:numCache>
                <c:formatCode>0%;\ \(0%\);\ \-</c:formatCode>
                <c:ptCount val="9"/>
                <c:pt idx="0">
                  <c:v>4.9551178985304412E-3</c:v>
                </c:pt>
                <c:pt idx="1">
                  <c:v>7.7289626904820585E-3</c:v>
                </c:pt>
                <c:pt idx="2">
                  <c:v>2.7373103522332125E-2</c:v>
                </c:pt>
                <c:pt idx="3">
                  <c:v>6.5330048021772794E-2</c:v>
                </c:pt>
                <c:pt idx="4">
                  <c:v>0.19046129473656603</c:v>
                </c:pt>
                <c:pt idx="5">
                  <c:v>0.21670202117803208</c:v>
                </c:pt>
                <c:pt idx="6">
                  <c:v>0.23924563805704993</c:v>
                </c:pt>
                <c:pt idx="7">
                  <c:v>0.24506811306182619</c:v>
                </c:pt>
                <c:pt idx="8">
                  <c:v>0.24377514990752697</c:v>
                </c:pt>
              </c:numCache>
            </c:numRef>
          </c:val>
        </c:ser>
        <c:marker val="1"/>
        <c:axId val="155680768"/>
        <c:axId val="155678976"/>
      </c:lineChart>
      <c:catAx>
        <c:axId val="155658880"/>
        <c:scaling>
          <c:orientation val="minMax"/>
        </c:scaling>
        <c:axPos val="b"/>
        <c:numFmt formatCode="General" sourceLinked="1"/>
        <c:tickLblPos val="low"/>
        <c:crossAx val="155677056"/>
        <c:crosses val="autoZero"/>
        <c:auto val="1"/>
        <c:lblAlgn val="ctr"/>
        <c:lblOffset val="100"/>
      </c:catAx>
      <c:valAx>
        <c:axId val="155677056"/>
        <c:scaling>
          <c:orientation val="minMax"/>
        </c:scaling>
        <c:axPos val="l"/>
        <c:title>
          <c:tx>
            <c:strRef>
              <c:f>'Intermediate output'!$D$4</c:f>
              <c:strCache>
                <c:ptCount val="1"/>
                <c:pt idx="0">
                  <c:v>TWh / year</c:v>
                </c:pt>
              </c:strCache>
            </c:strRef>
          </c:tx>
          <c:layout/>
          <c:txPr>
            <a:bodyPr rot="-5400000" vert="horz"/>
            <a:lstStyle/>
            <a:p>
              <a:pPr>
                <a:defRPr/>
              </a:pPr>
              <a:endParaRPr lang="en-US"/>
            </a:p>
          </c:txPr>
        </c:title>
        <c:numFmt formatCode="#,##0" sourceLinked="0"/>
        <c:tickLblPos val="nextTo"/>
        <c:crossAx val="155658880"/>
        <c:crosses val="autoZero"/>
        <c:crossBetween val="between"/>
      </c:valAx>
      <c:valAx>
        <c:axId val="155678976"/>
        <c:scaling>
          <c:orientation val="minMax"/>
          <c:max val="1"/>
        </c:scaling>
        <c:axPos val="r"/>
        <c:numFmt formatCode="0%;\ \(0%\);\ \-" sourceLinked="1"/>
        <c:tickLblPos val="nextTo"/>
        <c:crossAx val="155680768"/>
        <c:crosses val="max"/>
        <c:crossBetween val="between"/>
      </c:valAx>
      <c:catAx>
        <c:axId val="155680768"/>
        <c:scaling>
          <c:orientation val="minMax"/>
        </c:scaling>
        <c:delete val="1"/>
        <c:axPos val="b"/>
        <c:tickLblPos val="none"/>
        <c:crossAx val="155678976"/>
        <c:crosses val="autoZero"/>
        <c:auto val="1"/>
        <c:lblAlgn val="ctr"/>
        <c:lblOffset val="100"/>
      </c:catAx>
      <c:spPr>
        <a:noFill/>
      </c:spPr>
    </c:plotArea>
    <c:legend>
      <c:legendPos val="r"/>
      <c:layout>
        <c:manualLayout>
          <c:xMode val="edge"/>
          <c:yMode val="edge"/>
          <c:x val="0.65124187213825424"/>
          <c:y val="0.16474666974131241"/>
          <c:w val="0.3370792957449712"/>
          <c:h val="0.82469947658134735"/>
        </c:manualLayout>
      </c:layout>
    </c:legend>
    <c:plotVisOnly val="1"/>
    <c:dispBlanksAs val="gap"/>
  </c:chart>
  <c:spPr>
    <a:noFill/>
    <a:ln>
      <a:noFill/>
    </a:ln>
  </c:spPr>
  <c:printSettings>
    <c:headerFooter/>
    <c:pageMargins b="0.75000000000000533" l="0.70000000000000062" r="0.70000000000000062" t="0.75000000000000533"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baseline="0"/>
              <a:t>Primary Supply and % imported</a:t>
            </a:r>
            <a:endParaRPr lang="en-IE" sz="1100"/>
          </a:p>
        </c:rich>
      </c:tx>
      <c:layout/>
    </c:title>
    <c:plotArea>
      <c:layout>
        <c:manualLayout>
          <c:layoutTarget val="inner"/>
          <c:xMode val="edge"/>
          <c:yMode val="edge"/>
          <c:x val="0.10726446043463617"/>
          <c:y val="0.12728830241713504"/>
          <c:w val="0.55461399243941789"/>
          <c:h val="0.77761647413349022"/>
        </c:manualLayout>
      </c:layout>
      <c:areaChart>
        <c:grouping val="stacked"/>
        <c:ser>
          <c:idx val="0"/>
          <c:order val="0"/>
          <c:tx>
            <c:strRef>
              <c:f>'Intermediate output'!$D$283</c:f>
              <c:strCache>
                <c:ptCount val="1"/>
                <c:pt idx="0">
                  <c:v>Nuclear fission</c:v>
                </c:pt>
              </c:strCache>
            </c:strRef>
          </c:tx>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output'!$AY$283:$BG$283</c:f>
              <c:numCache>
                <c:formatCode>#,##0_);\(#,##0\);"-"_);@</c:formatCode>
                <c:ptCount val="9"/>
                <c:pt idx="0">
                  <c:v>0</c:v>
                </c:pt>
                <c:pt idx="1">
                  <c:v>0</c:v>
                </c:pt>
                <c:pt idx="2">
                  <c:v>0</c:v>
                </c:pt>
                <c:pt idx="3">
                  <c:v>0</c:v>
                </c:pt>
                <c:pt idx="4">
                  <c:v>21.428000000000004</c:v>
                </c:pt>
                <c:pt idx="5">
                  <c:v>21.428000000000004</c:v>
                </c:pt>
                <c:pt idx="6">
                  <c:v>21.428000000000004</c:v>
                </c:pt>
                <c:pt idx="7">
                  <c:v>21.428000000000004</c:v>
                </c:pt>
                <c:pt idx="8">
                  <c:v>21.428000000000004</c:v>
                </c:pt>
              </c:numCache>
            </c:numRef>
          </c:val>
        </c:ser>
        <c:ser>
          <c:idx val="1"/>
          <c:order val="1"/>
          <c:tx>
            <c:strRef>
              <c:f>'Intermediate output'!$D$284</c:f>
              <c:strCache>
                <c:ptCount val="1"/>
                <c:pt idx="0">
                  <c:v>Solar</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output'!$AY$284:$BG$284</c:f>
              <c:numCache>
                <c:formatCode>#,##0_);\(#,##0\);"-"_);@</c:formatCode>
                <c:ptCount val="9"/>
                <c:pt idx="0">
                  <c:v>4.1054887428987621E-2</c:v>
                </c:pt>
                <c:pt idx="1">
                  <c:v>0.29533988943004724</c:v>
                </c:pt>
                <c:pt idx="2">
                  <c:v>0.98311948364472168</c:v>
                </c:pt>
                <c:pt idx="3">
                  <c:v>1.7302356023133905</c:v>
                </c:pt>
                <c:pt idx="4">
                  <c:v>3.1032027513562515</c:v>
                </c:pt>
                <c:pt idx="5">
                  <c:v>4.3856969840221529</c:v>
                </c:pt>
                <c:pt idx="6">
                  <c:v>5.7058911432863937</c:v>
                </c:pt>
                <c:pt idx="7">
                  <c:v>7.0356787943966701</c:v>
                </c:pt>
                <c:pt idx="8">
                  <c:v>8.4425533229244625</c:v>
                </c:pt>
              </c:numCache>
            </c:numRef>
          </c:val>
        </c:ser>
        <c:ser>
          <c:idx val="2"/>
          <c:order val="2"/>
          <c:tx>
            <c:strRef>
              <c:f>'Intermediate output'!$D$285</c:f>
              <c:strCache>
                <c:ptCount val="1"/>
                <c:pt idx="0">
                  <c:v>Wind</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output'!$AY$285:$BG$285</c:f>
              <c:numCache>
                <c:formatCode>#,##0_);\(#,##0\);"-"_);@</c:formatCode>
                <c:ptCount val="9"/>
                <c:pt idx="0">
                  <c:v>4.5013410000000009</c:v>
                </c:pt>
                <c:pt idx="1">
                  <c:v>5.6172527999999993</c:v>
                </c:pt>
                <c:pt idx="2">
                  <c:v>9.3230792999999998</c:v>
                </c:pt>
                <c:pt idx="3">
                  <c:v>13.589929799999998</c:v>
                </c:pt>
                <c:pt idx="4">
                  <c:v>21.946119299999999</c:v>
                </c:pt>
                <c:pt idx="5">
                  <c:v>27.955212300000003</c:v>
                </c:pt>
                <c:pt idx="6">
                  <c:v>31.8999123</c:v>
                </c:pt>
                <c:pt idx="7">
                  <c:v>38.838201300000001</c:v>
                </c:pt>
                <c:pt idx="8">
                  <c:v>45.741426300000008</c:v>
                </c:pt>
              </c:numCache>
            </c:numRef>
          </c:val>
        </c:ser>
        <c:ser>
          <c:idx val="3"/>
          <c:order val="3"/>
          <c:tx>
            <c:strRef>
              <c:f>'Intermediate output'!$D$286</c:f>
              <c:strCache>
                <c:ptCount val="1"/>
                <c:pt idx="0">
                  <c:v>Tidal</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output'!$AY$286:$BG$286</c:f>
              <c:numCache>
                <c:formatCode>#,##0_);\(#,##0\);"-"_);@</c:formatCode>
                <c:ptCount val="9"/>
                <c:pt idx="0">
                  <c:v>0</c:v>
                </c:pt>
                <c:pt idx="1">
                  <c:v>0</c:v>
                </c:pt>
                <c:pt idx="2">
                  <c:v>0</c:v>
                </c:pt>
                <c:pt idx="3">
                  <c:v>0.31557600000000013</c:v>
                </c:pt>
                <c:pt idx="4">
                  <c:v>0.63115200000000027</c:v>
                </c:pt>
                <c:pt idx="5">
                  <c:v>1.5778800000000002</c:v>
                </c:pt>
                <c:pt idx="6">
                  <c:v>1.5778800000000002</c:v>
                </c:pt>
                <c:pt idx="7">
                  <c:v>2.5246080000000011</c:v>
                </c:pt>
                <c:pt idx="8">
                  <c:v>2.5246080000000011</c:v>
                </c:pt>
              </c:numCache>
            </c:numRef>
          </c:val>
        </c:ser>
        <c:ser>
          <c:idx val="4"/>
          <c:order val="4"/>
          <c:tx>
            <c:strRef>
              <c:f>'Intermediate output'!$D$287</c:f>
              <c:strCache>
                <c:ptCount val="1"/>
                <c:pt idx="0">
                  <c:v>Wave</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output'!$AY$287:$BG$287</c:f>
              <c:numCache>
                <c:formatCode>#,##0_);\(#,##0\);"-"_);@</c:formatCode>
                <c:ptCount val="9"/>
                <c:pt idx="0">
                  <c:v>0</c:v>
                </c:pt>
                <c:pt idx="1">
                  <c:v>3.9627123287671231E-3</c:v>
                </c:pt>
                <c:pt idx="2">
                  <c:v>1.3017510000000001E-2</c:v>
                </c:pt>
                <c:pt idx="3">
                  <c:v>0.39052530000000008</c:v>
                </c:pt>
                <c:pt idx="4">
                  <c:v>2.6035020000000002</c:v>
                </c:pt>
                <c:pt idx="5">
                  <c:v>3.9052530000000001</c:v>
                </c:pt>
                <c:pt idx="6">
                  <c:v>5.2070040000000004</c:v>
                </c:pt>
                <c:pt idx="7">
                  <c:v>5.2070040000000004</c:v>
                </c:pt>
                <c:pt idx="8">
                  <c:v>6.2484048000000012</c:v>
                </c:pt>
              </c:numCache>
            </c:numRef>
          </c:val>
        </c:ser>
        <c:ser>
          <c:idx val="6"/>
          <c:order val="5"/>
          <c:tx>
            <c:strRef>
              <c:f>'Intermediate output'!$D$289</c:f>
              <c:strCache>
                <c:ptCount val="1"/>
                <c:pt idx="0">
                  <c:v>Hydro</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output'!$AY$289:$BG$289</c:f>
              <c:numCache>
                <c:formatCode>#,##0_);\(#,##0\);"-"_);@</c:formatCode>
                <c:ptCount val="9"/>
                <c:pt idx="0">
                  <c:v>0.74791511999999993</c:v>
                </c:pt>
                <c:pt idx="1">
                  <c:v>0.74791511999999993</c:v>
                </c:pt>
                <c:pt idx="2">
                  <c:v>0.74791511999999993</c:v>
                </c:pt>
                <c:pt idx="3">
                  <c:v>0.78946596000000002</c:v>
                </c:pt>
                <c:pt idx="4">
                  <c:v>0.78946596000000002</c:v>
                </c:pt>
                <c:pt idx="5">
                  <c:v>0.78946596000000002</c:v>
                </c:pt>
                <c:pt idx="6">
                  <c:v>0.78946596000000002</c:v>
                </c:pt>
                <c:pt idx="7">
                  <c:v>0.78946596000000002</c:v>
                </c:pt>
                <c:pt idx="8">
                  <c:v>0.78946596000000002</c:v>
                </c:pt>
              </c:numCache>
            </c:numRef>
          </c:val>
        </c:ser>
        <c:ser>
          <c:idx val="7"/>
          <c:order val="6"/>
          <c:tx>
            <c:v>Electricity imports</c:v>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output'!$AY$290:$BG$290</c:f>
              <c:numCache>
                <c:formatCode>#,##0_);\(#,##0\);"-"_);@</c:formatCode>
                <c:ptCount val="9"/>
                <c:pt idx="0">
                  <c:v>2.5</c:v>
                </c:pt>
                <c:pt idx="1">
                  <c:v>2.5</c:v>
                </c:pt>
                <c:pt idx="2">
                  <c:v>2.5000000000000036</c:v>
                </c:pt>
                <c:pt idx="3">
                  <c:v>2.5000000000000036</c:v>
                </c:pt>
                <c:pt idx="4">
                  <c:v>0</c:v>
                </c:pt>
                <c:pt idx="5">
                  <c:v>0</c:v>
                </c:pt>
                <c:pt idx="6">
                  <c:v>0</c:v>
                </c:pt>
                <c:pt idx="7">
                  <c:v>0</c:v>
                </c:pt>
                <c:pt idx="8">
                  <c:v>0</c:v>
                </c:pt>
              </c:numCache>
            </c:numRef>
          </c:val>
        </c:ser>
        <c:ser>
          <c:idx val="8"/>
          <c:order val="7"/>
          <c:tx>
            <c:strRef>
              <c:f>'Intermediate output'!$D$291</c:f>
              <c:strCache>
                <c:ptCount val="1"/>
                <c:pt idx="0">
                  <c:v>Environmental heat</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output'!$AY$291:$BG$291</c:f>
              <c:numCache>
                <c:formatCode>#,##0_);\(#,##0\);"-"_);@</c:formatCode>
                <c:ptCount val="9"/>
                <c:pt idx="0">
                  <c:v>0.11119904983501781</c:v>
                </c:pt>
                <c:pt idx="1">
                  <c:v>0.23024787332134827</c:v>
                </c:pt>
                <c:pt idx="2">
                  <c:v>0.19215404904246119</c:v>
                </c:pt>
                <c:pt idx="3">
                  <c:v>0.16256755073206205</c:v>
                </c:pt>
                <c:pt idx="4">
                  <c:v>0.13025315807559751</c:v>
                </c:pt>
                <c:pt idx="5">
                  <c:v>9.8473923807210109E-2</c:v>
                </c:pt>
                <c:pt idx="6">
                  <c:v>6.6374144344193087E-2</c:v>
                </c:pt>
                <c:pt idx="7">
                  <c:v>3.3366237861707504E-2</c:v>
                </c:pt>
                <c:pt idx="8">
                  <c:v>0</c:v>
                </c:pt>
              </c:numCache>
            </c:numRef>
          </c:val>
        </c:ser>
        <c:ser>
          <c:idx val="9"/>
          <c:order val="8"/>
          <c:tx>
            <c:strRef>
              <c:f>'Intermediate output'!$D$292</c:f>
              <c:strCache>
                <c:ptCount val="1"/>
                <c:pt idx="0">
                  <c:v>Bioenergy</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output'!$AY$292:$BG$292</c:f>
              <c:numCache>
                <c:formatCode>#,##0_);\(#,##0\);"-"_);@</c:formatCode>
                <c:ptCount val="9"/>
                <c:pt idx="0">
                  <c:v>2.1701692424588424</c:v>
                </c:pt>
                <c:pt idx="1">
                  <c:v>5.9772574581939466</c:v>
                </c:pt>
                <c:pt idx="2">
                  <c:v>19.124319444842083</c:v>
                </c:pt>
                <c:pt idx="3">
                  <c:v>18.605920854058258</c:v>
                </c:pt>
                <c:pt idx="4">
                  <c:v>21.817285797963891</c:v>
                </c:pt>
                <c:pt idx="5">
                  <c:v>45.407033821038908</c:v>
                </c:pt>
                <c:pt idx="6">
                  <c:v>55.194938143571299</c:v>
                </c:pt>
                <c:pt idx="7">
                  <c:v>62.616483548103908</c:v>
                </c:pt>
                <c:pt idx="8">
                  <c:v>69.436475569063489</c:v>
                </c:pt>
              </c:numCache>
            </c:numRef>
          </c:val>
        </c:ser>
        <c:ser>
          <c:idx val="10"/>
          <c:order val="9"/>
          <c:tx>
            <c:strRef>
              <c:f>'Intermediate output'!$D$293</c:f>
              <c:strCache>
                <c:ptCount val="1"/>
                <c:pt idx="0">
                  <c:v>Coal</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output'!$AY$293:$BG$293</c:f>
              <c:numCache>
                <c:formatCode>#,##0_);\(#,##0\);"-"_);@</c:formatCode>
                <c:ptCount val="9"/>
                <c:pt idx="0">
                  <c:v>23.0022810672098</c:v>
                </c:pt>
                <c:pt idx="1">
                  <c:v>20.367884225892759</c:v>
                </c:pt>
                <c:pt idx="2">
                  <c:v>2.4957584511413287</c:v>
                </c:pt>
                <c:pt idx="3">
                  <c:v>0</c:v>
                </c:pt>
                <c:pt idx="4">
                  <c:v>0</c:v>
                </c:pt>
                <c:pt idx="5">
                  <c:v>0</c:v>
                </c:pt>
                <c:pt idx="6">
                  <c:v>0</c:v>
                </c:pt>
                <c:pt idx="7">
                  <c:v>0</c:v>
                </c:pt>
                <c:pt idx="8">
                  <c:v>0</c:v>
                </c:pt>
              </c:numCache>
            </c:numRef>
          </c:val>
        </c:ser>
        <c:ser>
          <c:idx val="11"/>
          <c:order val="10"/>
          <c:tx>
            <c:strRef>
              <c:f>'Intermediate output'!$D$294</c:f>
              <c:strCache>
                <c:ptCount val="1"/>
                <c:pt idx="0">
                  <c:v>Oil</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output'!$AY$294:$BG$294</c:f>
              <c:numCache>
                <c:formatCode>#,##0_);\(#,##0\);"-"_);@</c:formatCode>
                <c:ptCount val="9"/>
                <c:pt idx="0">
                  <c:v>76.341107777431446</c:v>
                </c:pt>
                <c:pt idx="1">
                  <c:v>70.428965076712089</c:v>
                </c:pt>
                <c:pt idx="2">
                  <c:v>66.132600914927124</c:v>
                </c:pt>
                <c:pt idx="3">
                  <c:v>61.70681606299398</c:v>
                </c:pt>
                <c:pt idx="4">
                  <c:v>58.853734589724091</c:v>
                </c:pt>
                <c:pt idx="5">
                  <c:v>56.055550717287325</c:v>
                </c:pt>
                <c:pt idx="6">
                  <c:v>53.466242556904533</c:v>
                </c:pt>
                <c:pt idx="7">
                  <c:v>50.942465881243002</c:v>
                </c:pt>
                <c:pt idx="8">
                  <c:v>48.624578735681354</c:v>
                </c:pt>
              </c:numCache>
            </c:numRef>
          </c:val>
        </c:ser>
        <c:ser>
          <c:idx val="12"/>
          <c:order val="11"/>
          <c:tx>
            <c:strRef>
              <c:f>'Intermediate output'!$D$295</c:f>
              <c:strCache>
                <c:ptCount val="1"/>
                <c:pt idx="0">
                  <c:v>Natural gas</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output'!$AY$295:$BG$295</c:f>
              <c:numCache>
                <c:formatCode>#,##0_);\(#,##0\);"-"_);@</c:formatCode>
                <c:ptCount val="9"/>
                <c:pt idx="0">
                  <c:v>46.547614680811428</c:v>
                </c:pt>
                <c:pt idx="1">
                  <c:v>47.39978705331265</c:v>
                </c:pt>
                <c:pt idx="2">
                  <c:v>46.463075485516505</c:v>
                </c:pt>
                <c:pt idx="3">
                  <c:v>39.741491510161715</c:v>
                </c:pt>
                <c:pt idx="4">
                  <c:v>29.716870935553509</c:v>
                </c:pt>
                <c:pt idx="5">
                  <c:v>37.575562611620718</c:v>
                </c:pt>
                <c:pt idx="6">
                  <c:v>49.707610582817466</c:v>
                </c:pt>
                <c:pt idx="7">
                  <c:v>62.182671111735829</c:v>
                </c:pt>
                <c:pt idx="8">
                  <c:v>75.014269907136224</c:v>
                </c:pt>
              </c:numCache>
            </c:numRef>
          </c:val>
        </c:ser>
        <c:axId val="155969792"/>
        <c:axId val="155860992"/>
      </c:areaChart>
      <c:lineChart>
        <c:grouping val="standard"/>
        <c:ser>
          <c:idx val="5"/>
          <c:order val="12"/>
          <c:tx>
            <c:strRef>
              <c:f>'Intermediate output'!$D$298</c:f>
              <c:strCache>
                <c:ptCount val="1"/>
                <c:pt idx="0">
                  <c:v>% imported</c:v>
                </c:pt>
              </c:strCache>
            </c:strRef>
          </c:tx>
          <c:spPr>
            <a:ln>
              <a:solidFill>
                <a:schemeClr val="accent5"/>
              </a:solidFill>
            </a:ln>
          </c:spPr>
          <c:marker>
            <c:symbol val="none"/>
          </c:marker>
          <c:val>
            <c:numRef>
              <c:f>'Intermediate output'!$AY$298:$BG$298</c:f>
              <c:numCache>
                <c:formatCode>0%</c:formatCode>
                <c:ptCount val="9"/>
                <c:pt idx="0">
                  <c:v>0.90461665339694408</c:v>
                </c:pt>
                <c:pt idx="1">
                  <c:v>0.86761094072405598</c:v>
                </c:pt>
                <c:pt idx="2">
                  <c:v>0.56430689248347865</c:v>
                </c:pt>
                <c:pt idx="3">
                  <c:v>0.67446873120589235</c:v>
                </c:pt>
                <c:pt idx="4">
                  <c:v>0.73265106354192666</c:v>
                </c:pt>
                <c:pt idx="5">
                  <c:v>0.68141181811309925</c:v>
                </c:pt>
                <c:pt idx="6">
                  <c:v>0.69100253970489411</c:v>
                </c:pt>
                <c:pt idx="7">
                  <c:v>0.70608270774644377</c:v>
                </c:pt>
                <c:pt idx="8">
                  <c:v>0.72366458996332894</c:v>
                </c:pt>
              </c:numCache>
            </c:numRef>
          </c:val>
        </c:ser>
        <c:marker val="1"/>
        <c:axId val="155864448"/>
        <c:axId val="155862912"/>
      </c:lineChart>
      <c:catAx>
        <c:axId val="155969792"/>
        <c:scaling>
          <c:orientation val="minMax"/>
        </c:scaling>
        <c:axPos val="b"/>
        <c:numFmt formatCode="General" sourceLinked="1"/>
        <c:tickLblPos val="nextTo"/>
        <c:crossAx val="155860992"/>
        <c:crosses val="autoZero"/>
        <c:auto val="1"/>
        <c:lblAlgn val="ctr"/>
        <c:lblOffset val="100"/>
      </c:catAx>
      <c:valAx>
        <c:axId val="155860992"/>
        <c:scaling>
          <c:orientation val="minMax"/>
        </c:scaling>
        <c:axPos val="l"/>
        <c:title>
          <c:tx>
            <c:strRef>
              <c:f>'Intermediate output'!$D$4</c:f>
              <c:strCache>
                <c:ptCount val="1"/>
                <c:pt idx="0">
                  <c:v>TWh / year</c:v>
                </c:pt>
              </c:strCache>
            </c:strRef>
          </c:tx>
          <c:layout/>
          <c:txPr>
            <a:bodyPr rot="-5400000" vert="horz"/>
            <a:lstStyle/>
            <a:p>
              <a:pPr>
                <a:defRPr/>
              </a:pPr>
              <a:endParaRPr lang="en-US"/>
            </a:p>
          </c:txPr>
        </c:title>
        <c:numFmt formatCode="#,##0" sourceLinked="0"/>
        <c:tickLblPos val="nextTo"/>
        <c:crossAx val="155969792"/>
        <c:crosses val="autoZero"/>
        <c:crossBetween val="between"/>
      </c:valAx>
      <c:valAx>
        <c:axId val="155862912"/>
        <c:scaling>
          <c:orientation val="minMax"/>
        </c:scaling>
        <c:axPos val="r"/>
        <c:numFmt formatCode="0%" sourceLinked="1"/>
        <c:tickLblPos val="nextTo"/>
        <c:crossAx val="155864448"/>
        <c:crosses val="max"/>
        <c:crossBetween val="between"/>
      </c:valAx>
      <c:catAx>
        <c:axId val="155864448"/>
        <c:scaling>
          <c:orientation val="minMax"/>
        </c:scaling>
        <c:delete val="1"/>
        <c:axPos val="b"/>
        <c:tickLblPos val="none"/>
        <c:crossAx val="155862912"/>
        <c:crosses val="autoZero"/>
        <c:auto val="1"/>
        <c:lblAlgn val="ctr"/>
        <c:lblOffset val="100"/>
      </c:catAx>
      <c:spPr>
        <a:noFill/>
      </c:spPr>
    </c:plotArea>
    <c:legend>
      <c:legendPos val="r"/>
      <c:layout>
        <c:manualLayout>
          <c:xMode val="edge"/>
          <c:yMode val="edge"/>
          <c:x val="0.72953967930997365"/>
          <c:y val="2.0950743008025092E-2"/>
          <c:w val="0.27046032069002984"/>
          <c:h val="0.97145732512328653"/>
        </c:manualLayout>
      </c:layout>
    </c:legend>
    <c:plotVisOnly val="1"/>
    <c:dispBlanksAs val="zero"/>
  </c:chart>
  <c:spPr>
    <a:noFill/>
    <a:ln>
      <a:noFill/>
    </a:ln>
  </c:spPr>
  <c:printSettings>
    <c:headerFooter/>
    <c:pageMargins b="0.75000000000000444" l="0.70000000000000062" r="0.70000000000000062" t="0.75000000000000444"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Emissions from electicity generation</a:t>
            </a:r>
            <a:r>
              <a:rPr lang="en-US" sz="1100" baseline="0"/>
              <a:t> (Mt CO2e)</a:t>
            </a:r>
            <a:endParaRPr lang="en-US" sz="1100"/>
          </a:p>
        </c:rich>
      </c:tx>
      <c:layout/>
    </c:title>
    <c:plotArea>
      <c:layout>
        <c:manualLayout>
          <c:layoutTarget val="inner"/>
          <c:xMode val="edge"/>
          <c:yMode val="edge"/>
          <c:x val="6.0366305774278213E-2"/>
          <c:y val="9.0417595829273847E-2"/>
          <c:w val="0.69561477553564377"/>
          <c:h val="0.83945639788004756"/>
        </c:manualLayout>
      </c:layout>
      <c:barChart>
        <c:barDir val="col"/>
        <c:grouping val="stacked"/>
        <c:ser>
          <c:idx val="0"/>
          <c:order val="0"/>
          <c:tx>
            <c:strRef>
              <c:f>'Intermediate output'!$C$261</c:f>
              <c:strCache>
                <c:ptCount val="1"/>
                <c:pt idx="0">
                  <c:v>Power Generation</c:v>
                </c:pt>
              </c:strCache>
            </c:strRef>
          </c:tx>
          <c:spPr>
            <a:ln w="25400">
              <a:noFill/>
            </a:ln>
          </c:spPr>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output'!$AY$261:$BG$261</c:f>
              <c:numCache>
                <c:formatCode>0</c:formatCode>
                <c:ptCount val="9"/>
                <c:pt idx="0">
                  <c:v>12.653745820569476</c:v>
                </c:pt>
                <c:pt idx="1">
                  <c:v>12.306742678110057</c:v>
                </c:pt>
                <c:pt idx="2">
                  <c:v>8.3433212759556366</c:v>
                </c:pt>
                <c:pt idx="3">
                  <c:v>4.5894557994184604</c:v>
                </c:pt>
                <c:pt idx="4">
                  <c:v>1.2827491099669441</c:v>
                </c:pt>
                <c:pt idx="5">
                  <c:v>8.7999561941971489</c:v>
                </c:pt>
                <c:pt idx="6">
                  <c:v>11.753651968649367</c:v>
                </c:pt>
                <c:pt idx="7">
                  <c:v>14.117979470037758</c:v>
                </c:pt>
                <c:pt idx="8">
                  <c:v>16.409558432921891</c:v>
                </c:pt>
              </c:numCache>
            </c:numRef>
          </c:val>
        </c:ser>
        <c:ser>
          <c:idx val="1"/>
          <c:order val="1"/>
          <c:tx>
            <c:strRef>
              <c:f>'Intermediate output'!$C$262</c:f>
              <c:strCache>
                <c:ptCount val="1"/>
                <c:pt idx="0">
                  <c:v>CCS in Power</c:v>
                </c:pt>
              </c:strCache>
            </c:strRef>
          </c:tx>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output'!$AY$262:$BG$262</c:f>
              <c:numCache>
                <c:formatCode>0</c:formatCode>
                <c:ptCount val="9"/>
                <c:pt idx="0">
                  <c:v>0</c:v>
                </c:pt>
                <c:pt idx="1">
                  <c:v>0</c:v>
                </c:pt>
                <c:pt idx="2">
                  <c:v>0</c:v>
                </c:pt>
                <c:pt idx="3">
                  <c:v>0</c:v>
                </c:pt>
                <c:pt idx="4">
                  <c:v>0</c:v>
                </c:pt>
                <c:pt idx="5">
                  <c:v>-1.1071438064419354</c:v>
                </c:pt>
                <c:pt idx="6">
                  <c:v>-3.2687102856857142</c:v>
                </c:pt>
                <c:pt idx="7">
                  <c:v>-5.3627278124531248</c:v>
                </c:pt>
                <c:pt idx="8">
                  <c:v>-7.3923140307046147</c:v>
                </c:pt>
              </c:numCache>
            </c:numRef>
          </c:val>
        </c:ser>
        <c:ser>
          <c:idx val="2"/>
          <c:order val="2"/>
          <c:tx>
            <c:strRef>
              <c:f>'Intermediate output'!$C$263</c:f>
              <c:strCache>
                <c:ptCount val="1"/>
                <c:pt idx="0">
                  <c:v>Bioenergy in Gas Power</c:v>
                </c:pt>
              </c:strCache>
            </c:strRef>
          </c:tx>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output'!$AY$263:$BG$263</c:f>
              <c:numCache>
                <c:formatCode>0</c:formatCode>
                <c:ptCount val="9"/>
                <c:pt idx="0">
                  <c:v>-2.4082070965892956E-2</c:v>
                </c:pt>
                <c:pt idx="1">
                  <c:v>-3.8725879448634558E-2</c:v>
                </c:pt>
                <c:pt idx="2">
                  <c:v>-0.10158608529660666</c:v>
                </c:pt>
                <c:pt idx="3">
                  <c:v>-0.13336608011241566</c:v>
                </c:pt>
                <c:pt idx="4">
                  <c:v>0</c:v>
                </c:pt>
                <c:pt idx="5">
                  <c:v>0</c:v>
                </c:pt>
                <c:pt idx="6">
                  <c:v>0</c:v>
                </c:pt>
                <c:pt idx="7">
                  <c:v>0</c:v>
                </c:pt>
                <c:pt idx="8">
                  <c:v>0</c:v>
                </c:pt>
              </c:numCache>
            </c:numRef>
          </c:val>
        </c:ser>
        <c:ser>
          <c:idx val="3"/>
          <c:order val="3"/>
          <c:tx>
            <c:strRef>
              <c:f>'Intermediate output'!$C$264</c:f>
              <c:strCache>
                <c:ptCount val="1"/>
                <c:pt idx="0">
                  <c:v>Bioenergy in Solid BM Power</c:v>
                </c:pt>
              </c:strCache>
            </c:strRef>
          </c:tx>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output'!$AY$264:$BG$264</c:f>
              <c:numCache>
                <c:formatCode>0</c:formatCode>
                <c:ptCount val="9"/>
                <c:pt idx="0">
                  <c:v>-0.20387757716214924</c:v>
                </c:pt>
                <c:pt idx="1">
                  <c:v>-1.1015353921710056</c:v>
                </c:pt>
                <c:pt idx="2">
                  <c:v>-3.6888162834675176</c:v>
                </c:pt>
                <c:pt idx="3">
                  <c:v>-2.4264918624156118</c:v>
                </c:pt>
                <c:pt idx="4">
                  <c:v>-1.2215607526454404</c:v>
                </c:pt>
                <c:pt idx="5">
                  <c:v>-7.1897575727131633</c:v>
                </c:pt>
                <c:pt idx="6">
                  <c:v>-7.6783818737713396</c:v>
                </c:pt>
                <c:pt idx="7">
                  <c:v>-7.6783818737713396</c:v>
                </c:pt>
                <c:pt idx="8">
                  <c:v>-7.6783818737713396</c:v>
                </c:pt>
              </c:numCache>
            </c:numRef>
          </c:val>
        </c:ser>
        <c:ser>
          <c:idx val="4"/>
          <c:order val="4"/>
          <c:tx>
            <c:strRef>
              <c:f>'Intermediate output'!$C$265</c:f>
              <c:strCache>
                <c:ptCount val="1"/>
                <c:pt idx="0">
                  <c:v>Bioenergy in Solid HC CCS Power</c:v>
                </c:pt>
              </c:strCache>
            </c:strRef>
          </c:tx>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output'!$AY$265:$BG$265</c:f>
              <c:numCache>
                <c:formatCode>0</c:formatCode>
                <c:ptCount val="9"/>
                <c:pt idx="0">
                  <c:v>0</c:v>
                </c:pt>
                <c:pt idx="1">
                  <c:v>0</c:v>
                </c:pt>
                <c:pt idx="2">
                  <c:v>0</c:v>
                </c:pt>
                <c:pt idx="3">
                  <c:v>0</c:v>
                </c:pt>
                <c:pt idx="4">
                  <c:v>0</c:v>
                </c:pt>
                <c:pt idx="5">
                  <c:v>0</c:v>
                </c:pt>
                <c:pt idx="6">
                  <c:v>0</c:v>
                </c:pt>
                <c:pt idx="7">
                  <c:v>0</c:v>
                </c:pt>
                <c:pt idx="8">
                  <c:v>0</c:v>
                </c:pt>
              </c:numCache>
            </c:numRef>
          </c:val>
        </c:ser>
        <c:ser>
          <c:idx val="5"/>
          <c:order val="5"/>
          <c:tx>
            <c:strRef>
              <c:f>'Intermediate output'!$C$266</c:f>
              <c:strCache>
                <c:ptCount val="1"/>
                <c:pt idx="0">
                  <c:v>Bioenergy in Gas CCS Power</c:v>
                </c:pt>
              </c:strCache>
            </c:strRef>
          </c:tx>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output'!$AY$266:$BG$266</c:f>
              <c:numCache>
                <c:formatCode>0</c:formatCode>
                <c:ptCount val="9"/>
                <c:pt idx="0">
                  <c:v>0</c:v>
                </c:pt>
                <c:pt idx="1">
                  <c:v>0</c:v>
                </c:pt>
                <c:pt idx="2">
                  <c:v>0</c:v>
                </c:pt>
                <c:pt idx="3">
                  <c:v>0</c:v>
                </c:pt>
                <c:pt idx="4">
                  <c:v>0</c:v>
                </c:pt>
                <c:pt idx="5">
                  <c:v>-0.27089083905790329</c:v>
                </c:pt>
                <c:pt idx="6">
                  <c:v>-0.8829737235441899</c:v>
                </c:pt>
                <c:pt idx="7">
                  <c:v>-1.4838837643822134</c:v>
                </c:pt>
                <c:pt idx="8">
                  <c:v>-2.034684896995957</c:v>
                </c:pt>
              </c:numCache>
            </c:numRef>
          </c:val>
        </c:ser>
        <c:gapWidth val="59"/>
        <c:overlap val="100"/>
        <c:axId val="155904256"/>
        <c:axId val="155975680"/>
      </c:barChart>
      <c:catAx>
        <c:axId val="155904256"/>
        <c:scaling>
          <c:orientation val="minMax"/>
        </c:scaling>
        <c:axPos val="b"/>
        <c:numFmt formatCode="General" sourceLinked="1"/>
        <c:tickLblPos val="low"/>
        <c:crossAx val="155975680"/>
        <c:crosses val="autoZero"/>
        <c:auto val="1"/>
        <c:lblAlgn val="ctr"/>
        <c:lblOffset val="100"/>
      </c:catAx>
      <c:valAx>
        <c:axId val="155975680"/>
        <c:scaling>
          <c:orientation val="minMax"/>
        </c:scaling>
        <c:axPos val="l"/>
        <c:numFmt formatCode="#,##0" sourceLinked="0"/>
        <c:tickLblPos val="nextTo"/>
        <c:crossAx val="155904256"/>
        <c:crosses val="autoZero"/>
        <c:crossBetween val="between"/>
        <c:minorUnit val="4.0000000000000022E-2"/>
      </c:valAx>
      <c:spPr>
        <a:noFill/>
      </c:spPr>
    </c:plotArea>
    <c:legend>
      <c:legendPos val="r"/>
      <c:layout>
        <c:manualLayout>
          <c:xMode val="edge"/>
          <c:yMode val="edge"/>
          <c:x val="0.76813256979640043"/>
          <c:y val="0.14288377559545809"/>
          <c:w val="0.2009794018196859"/>
          <c:h val="0.71867976205360362"/>
        </c:manualLayout>
      </c:layout>
    </c:legend>
    <c:plotVisOnly val="1"/>
    <c:dispBlanksAs val="zero"/>
  </c:chart>
  <c:spPr>
    <a:noFill/>
    <a:ln>
      <a:noFill/>
    </a:ln>
  </c:spPr>
  <c:printSettings>
    <c:headerFooter/>
    <c:pageMargins b="0.75000000000000511" l="0.70000000000000062" r="0.70000000000000062" t="0.75000000000000511"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baseline="0"/>
              <a:t>Electricity Use</a:t>
            </a:r>
            <a:endParaRPr lang="en-IE" sz="1100"/>
          </a:p>
        </c:rich>
      </c:tx>
      <c:layout/>
    </c:title>
    <c:plotArea>
      <c:layout>
        <c:manualLayout>
          <c:layoutTarget val="inner"/>
          <c:xMode val="edge"/>
          <c:yMode val="edge"/>
          <c:x val="0.10726446043463621"/>
          <c:y val="0.12728830241713512"/>
          <c:w val="0.55461399243941811"/>
          <c:h val="0.77761647413349066"/>
        </c:manualLayout>
      </c:layout>
      <c:areaChart>
        <c:grouping val="stacked"/>
        <c:ser>
          <c:idx val="0"/>
          <c:order val="0"/>
          <c:tx>
            <c:strRef>
              <c:f>'Intermediate output'!$D$306</c:f>
              <c:strCache>
                <c:ptCount val="1"/>
                <c:pt idx="0">
                  <c:v>H2 Production for Transport</c:v>
                </c:pt>
              </c:strCache>
            </c:strRef>
          </c:tx>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output'!$AY$306:$BG$306</c:f>
              <c:numCache>
                <c:formatCode>#,##0_);\(#,##0\);"-"_);@</c:formatCode>
                <c:ptCount val="9"/>
                <c:pt idx="0">
                  <c:v>0</c:v>
                </c:pt>
                <c:pt idx="1">
                  <c:v>1.7733187096733852E-5</c:v>
                </c:pt>
                <c:pt idx="2">
                  <c:v>6.9162652051603802E-4</c:v>
                </c:pt>
                <c:pt idx="3">
                  <c:v>1.7037611386626409E-3</c:v>
                </c:pt>
                <c:pt idx="4">
                  <c:v>5.5554276646316691E-3</c:v>
                </c:pt>
                <c:pt idx="5">
                  <c:v>1.1099896063998645E-2</c:v>
                </c:pt>
                <c:pt idx="6">
                  <c:v>1.9443774880473393E-2</c:v>
                </c:pt>
                <c:pt idx="7">
                  <c:v>3.1021346596490303E-2</c:v>
                </c:pt>
                <c:pt idx="8">
                  <c:v>4.1184243088541655E-2</c:v>
                </c:pt>
              </c:numCache>
            </c:numRef>
          </c:val>
        </c:ser>
        <c:ser>
          <c:idx val="1"/>
          <c:order val="1"/>
          <c:tx>
            <c:strRef>
              <c:f>'Intermediate output'!$D$307</c:f>
              <c:strCache>
                <c:ptCount val="1"/>
                <c:pt idx="0">
                  <c:v>Agriculture and land use</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output'!$AY$307:$BG$307</c:f>
              <c:numCache>
                <c:formatCode>#,##0_);\(#,##0\);"-"_);@</c:formatCode>
                <c:ptCount val="9"/>
                <c:pt idx="0">
                  <c:v>0.54810000000000003</c:v>
                </c:pt>
                <c:pt idx="1">
                  <c:v>0.55057749288570401</c:v>
                </c:pt>
                <c:pt idx="2">
                  <c:v>0.55698168734508124</c:v>
                </c:pt>
                <c:pt idx="3">
                  <c:v>0.56367940163241814</c:v>
                </c:pt>
                <c:pt idx="4">
                  <c:v>0.57066193518791219</c:v>
                </c:pt>
                <c:pt idx="5">
                  <c:v>0.57792084535509036</c:v>
                </c:pt>
                <c:pt idx="6">
                  <c:v>0.58544793973599496</c:v>
                </c:pt>
                <c:pt idx="7">
                  <c:v>0.5932352687729916</c:v>
                </c:pt>
                <c:pt idx="8">
                  <c:v>0.60127511855044857</c:v>
                </c:pt>
              </c:numCache>
            </c:numRef>
          </c:val>
        </c:ser>
        <c:ser>
          <c:idx val="2"/>
          <c:order val="2"/>
          <c:tx>
            <c:strRef>
              <c:f>'Intermediate output'!$D$308</c:f>
              <c:strCache>
                <c:ptCount val="1"/>
                <c:pt idx="0">
                  <c:v>Solar thermal</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output'!$AY$308:$BG$308</c:f>
              <c:numCache>
                <c:formatCode>#,##0_);\(#,##0\);"-"_);@</c:formatCode>
                <c:ptCount val="9"/>
                <c:pt idx="0">
                  <c:v>2.9324919592134012E-3</c:v>
                </c:pt>
                <c:pt idx="1">
                  <c:v>2.1095706387860517E-2</c:v>
                </c:pt>
                <c:pt idx="2">
                  <c:v>3.9854891688908684E-2</c:v>
                </c:pt>
                <c:pt idx="3">
                  <c:v>6.285240016524217E-2</c:v>
                </c:pt>
                <c:pt idx="4">
                  <c:v>0.10018562509687508</c:v>
                </c:pt>
                <c:pt idx="5">
                  <c:v>0.13105649885872517</c:v>
                </c:pt>
                <c:pt idx="6">
                  <c:v>0.16462022452045666</c:v>
                </c:pt>
                <c:pt idx="7">
                  <c:v>0.22923712817119068</c:v>
                </c:pt>
                <c:pt idx="8">
                  <c:v>0.29936023735174733</c:v>
                </c:pt>
              </c:numCache>
            </c:numRef>
          </c:val>
        </c:ser>
        <c:ser>
          <c:idx val="3"/>
          <c:order val="3"/>
          <c:tx>
            <c:strRef>
              <c:f>'Intermediate output'!$D$309</c:f>
              <c:strCache>
                <c:ptCount val="1"/>
                <c:pt idx="0">
                  <c:v>Domestic space heating and hot water</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output'!$AY$309:$BG$309</c:f>
              <c:numCache>
                <c:formatCode>#,##0_);\(#,##0\);"-"_);@</c:formatCode>
                <c:ptCount val="9"/>
                <c:pt idx="0">
                  <c:v>0.88256437808531207</c:v>
                </c:pt>
                <c:pt idx="1">
                  <c:v>1.4377484699588226</c:v>
                </c:pt>
                <c:pt idx="2">
                  <c:v>1.460457822648747</c:v>
                </c:pt>
                <c:pt idx="3">
                  <c:v>1.5751825966732684</c:v>
                </c:pt>
                <c:pt idx="4">
                  <c:v>1.6558259787752996</c:v>
                </c:pt>
                <c:pt idx="5">
                  <c:v>1.7495624120225663</c:v>
                </c:pt>
                <c:pt idx="6">
                  <c:v>1.8492049246245645</c:v>
                </c:pt>
                <c:pt idx="7">
                  <c:v>1.9266970572248459</c:v>
                </c:pt>
                <c:pt idx="8">
                  <c:v>1.9961524440419962</c:v>
                </c:pt>
              </c:numCache>
            </c:numRef>
          </c:val>
        </c:ser>
        <c:ser>
          <c:idx val="4"/>
          <c:order val="4"/>
          <c:tx>
            <c:strRef>
              <c:f>'Intermediate output'!$D$310</c:f>
              <c:strCache>
                <c:ptCount val="1"/>
                <c:pt idx="0">
                  <c:v>Commercial heating and cooling</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output'!$AY$310:$BG$310</c:f>
              <c:numCache>
                <c:formatCode>#,##0_);\(#,##0\);"-"_);@</c:formatCode>
                <c:ptCount val="9"/>
                <c:pt idx="0">
                  <c:v>3.3022499999999999</c:v>
                </c:pt>
                <c:pt idx="1">
                  <c:v>3.4672833333333331</c:v>
                </c:pt>
                <c:pt idx="2">
                  <c:v>3.4631285714285713</c:v>
                </c:pt>
                <c:pt idx="3">
                  <c:v>3.3169672619047619</c:v>
                </c:pt>
                <c:pt idx="4">
                  <c:v>3.1235285714285705</c:v>
                </c:pt>
                <c:pt idx="5">
                  <c:v>2.8828124999999996</c:v>
                </c:pt>
                <c:pt idx="6">
                  <c:v>2.5948190476190471</c:v>
                </c:pt>
                <c:pt idx="7">
                  <c:v>2.2595482142857137</c:v>
                </c:pt>
                <c:pt idx="8">
                  <c:v>1.877</c:v>
                </c:pt>
              </c:numCache>
            </c:numRef>
          </c:val>
        </c:ser>
        <c:ser>
          <c:idx val="5"/>
          <c:order val="5"/>
          <c:tx>
            <c:strRef>
              <c:f>'Intermediate output'!$D$311</c:f>
              <c:strCache>
                <c:ptCount val="1"/>
                <c:pt idx="0">
                  <c:v>Domestic lighting, appliances, and cooking</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output'!$AY$311:$BG$311</c:f>
              <c:numCache>
                <c:formatCode>#,##0_);\(#,##0\);"-"_);@</c:formatCode>
                <c:ptCount val="9"/>
                <c:pt idx="0">
                  <c:v>5.0505157520193107</c:v>
                </c:pt>
                <c:pt idx="1">
                  <c:v>5.0984970927343829</c:v>
                </c:pt>
                <c:pt idx="2">
                  <c:v>5.260733820060393</c:v>
                </c:pt>
                <c:pt idx="3">
                  <c:v>5.4342724758055327</c:v>
                </c:pt>
                <c:pt idx="4">
                  <c:v>5.6170229262762756</c:v>
                </c:pt>
                <c:pt idx="5">
                  <c:v>5.7917665756453065</c:v>
                </c:pt>
                <c:pt idx="6">
                  <c:v>5.929434432399237</c:v>
                </c:pt>
                <c:pt idx="7">
                  <c:v>6.0051027329882114</c:v>
                </c:pt>
                <c:pt idx="8">
                  <c:v>6.0488605289299739</c:v>
                </c:pt>
              </c:numCache>
            </c:numRef>
          </c:val>
        </c:ser>
        <c:ser>
          <c:idx val="6"/>
          <c:order val="6"/>
          <c:tx>
            <c:strRef>
              <c:f>'Intermediate output'!$D$312</c:f>
              <c:strCache>
                <c:ptCount val="1"/>
                <c:pt idx="0">
                  <c:v>Commercial lighting, appliances, and catering</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output'!$AY$312:$BG$312</c:f>
              <c:numCache>
                <c:formatCode>#,##0_);\(#,##0\);"-"_);@</c:formatCode>
                <c:ptCount val="9"/>
                <c:pt idx="0">
                  <c:v>4.0419999999999998</c:v>
                </c:pt>
                <c:pt idx="1">
                  <c:v>4.0781081081081041</c:v>
                </c:pt>
                <c:pt idx="2">
                  <c:v>4.1683783783783737</c:v>
                </c:pt>
                <c:pt idx="3">
                  <c:v>4.2586486486486441</c:v>
                </c:pt>
                <c:pt idx="4">
                  <c:v>4.3489189189189137</c:v>
                </c:pt>
                <c:pt idx="5">
                  <c:v>4.4391891891891904</c:v>
                </c:pt>
                <c:pt idx="6">
                  <c:v>4.5294594594594599</c:v>
                </c:pt>
                <c:pt idx="7">
                  <c:v>4.6197297297297304</c:v>
                </c:pt>
                <c:pt idx="8">
                  <c:v>4.71</c:v>
                </c:pt>
              </c:numCache>
            </c:numRef>
          </c:val>
        </c:ser>
        <c:ser>
          <c:idx val="7"/>
          <c:order val="7"/>
          <c:tx>
            <c:strRef>
              <c:f>'Intermediate output'!$D$313</c:f>
              <c:strCache>
                <c:ptCount val="1"/>
                <c:pt idx="0">
                  <c:v>Industrial processes</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output'!$AY$313:$BG$313</c:f>
              <c:numCache>
                <c:formatCode>#,##0_);\(#,##0\);"-"_);@</c:formatCode>
                <c:ptCount val="9"/>
                <c:pt idx="0">
                  <c:v>9.2899999999999991</c:v>
                </c:pt>
                <c:pt idx="1">
                  <c:v>9.3655945702523091</c:v>
                </c:pt>
                <c:pt idx="2">
                  <c:v>9.5873506239776329</c:v>
                </c:pt>
                <c:pt idx="3">
                  <c:v>9.8548945507949384</c:v>
                </c:pt>
                <c:pt idx="4">
                  <c:v>10.167452419908624</c:v>
                </c:pt>
                <c:pt idx="5">
                  <c:v>10.524820012535409</c:v>
                </c:pt>
                <c:pt idx="6">
                  <c:v>10.927338917600434</c:v>
                </c:pt>
                <c:pt idx="7">
                  <c:v>11.375881400615459</c:v>
                </c:pt>
                <c:pt idx="8">
                  <c:v>11.871843568245758</c:v>
                </c:pt>
              </c:numCache>
            </c:numRef>
          </c:val>
        </c:ser>
        <c:ser>
          <c:idx val="8"/>
          <c:order val="8"/>
          <c:tx>
            <c:strRef>
              <c:f>'Intermediate output'!$D$314</c:f>
              <c:strCache>
                <c:ptCount val="1"/>
                <c:pt idx="0">
                  <c:v>Domestic passenger transport</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output'!$AY$314:$BG$314</c:f>
              <c:numCache>
                <c:formatCode>#,##0_);\(#,##0\);"-"_);@</c:formatCode>
                <c:ptCount val="9"/>
                <c:pt idx="0">
                  <c:v>6.2120497891874918E-2</c:v>
                </c:pt>
                <c:pt idx="1">
                  <c:v>5.7819311214212923E-2</c:v>
                </c:pt>
                <c:pt idx="2">
                  <c:v>7.3891754277403451E-2</c:v>
                </c:pt>
                <c:pt idx="3">
                  <c:v>8.9494609635553585E-2</c:v>
                </c:pt>
                <c:pt idx="4" formatCode="#,##0.0_);\(#,##0.0\);&quot;-&quot;_);@">
                  <c:v>0.23216101436158487</c:v>
                </c:pt>
                <c:pt idx="5" formatCode="#,##0.0_);\(#,##0.0\);&quot;-&quot;_);@">
                  <c:v>0.37760546384703331</c:v>
                </c:pt>
                <c:pt idx="6" formatCode="#,##0.0_);\(#,##0.0\);&quot;-&quot;_);@">
                  <c:v>0.55189181444861812</c:v>
                </c:pt>
                <c:pt idx="7" formatCode="#,##0.0_);\(#,##0.0\);&quot;-&quot;_);@">
                  <c:v>0.74511531550862542</c:v>
                </c:pt>
                <c:pt idx="8" formatCode="#,##0.0_);\(#,##0.0\);&quot;-&quot;_);@">
                  <c:v>0.86275884221025234</c:v>
                </c:pt>
              </c:numCache>
            </c:numRef>
          </c:val>
        </c:ser>
        <c:ser>
          <c:idx val="9"/>
          <c:order val="9"/>
          <c:tx>
            <c:strRef>
              <c:f>'Intermediate output'!$D$315</c:f>
              <c:strCache>
                <c:ptCount val="1"/>
                <c:pt idx="0">
                  <c:v>Domestic freight</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output'!$AY$315:$BG$315</c:f>
              <c:numCache>
                <c:formatCode>#,##0_);\(#,##0\);"-"_);@</c:formatCode>
                <c:ptCount val="9"/>
                <c:pt idx="0">
                  <c:v>0</c:v>
                </c:pt>
                <c:pt idx="1">
                  <c:v>0</c:v>
                </c:pt>
                <c:pt idx="2">
                  <c:v>0</c:v>
                </c:pt>
                <c:pt idx="3">
                  <c:v>0</c:v>
                </c:pt>
                <c:pt idx="4">
                  <c:v>0</c:v>
                </c:pt>
                <c:pt idx="5">
                  <c:v>0</c:v>
                </c:pt>
                <c:pt idx="6">
                  <c:v>0</c:v>
                </c:pt>
                <c:pt idx="7">
                  <c:v>0</c:v>
                </c:pt>
                <c:pt idx="8">
                  <c:v>0</c:v>
                </c:pt>
              </c:numCache>
            </c:numRef>
          </c:val>
        </c:ser>
        <c:ser>
          <c:idx val="10"/>
          <c:order val="10"/>
          <c:tx>
            <c:strRef>
              <c:f>'Intermediate output'!$D$316</c:f>
              <c:strCache>
                <c:ptCount val="1"/>
                <c:pt idx="0">
                  <c:v>Geosequestration</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output'!$AY$316:$BG$316</c:f>
              <c:numCache>
                <c:formatCode>#,##0_);\(#,##0\);"-"_);@</c:formatCode>
                <c:ptCount val="9"/>
                <c:pt idx="0">
                  <c:v>0</c:v>
                </c:pt>
                <c:pt idx="1">
                  <c:v>0</c:v>
                </c:pt>
                <c:pt idx="2">
                  <c:v>0</c:v>
                </c:pt>
                <c:pt idx="3">
                  <c:v>0</c:v>
                </c:pt>
                <c:pt idx="4">
                  <c:v>0</c:v>
                </c:pt>
                <c:pt idx="5">
                  <c:v>0</c:v>
                </c:pt>
                <c:pt idx="6">
                  <c:v>0</c:v>
                </c:pt>
                <c:pt idx="7">
                  <c:v>0</c:v>
                </c:pt>
                <c:pt idx="8">
                  <c:v>0</c:v>
                </c:pt>
              </c:numCache>
            </c:numRef>
          </c:val>
        </c:ser>
        <c:ser>
          <c:idx val="11"/>
          <c:order val="11"/>
          <c:tx>
            <c:strRef>
              <c:f>'Intermediate output'!$D$317</c:f>
              <c:strCache>
                <c:ptCount val="1"/>
                <c:pt idx="0">
                  <c:v>Petroleum refineries</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output'!$AY$317:$BG$317</c:f>
              <c:numCache>
                <c:formatCode>#,##0_);\(#,##0\);"-"_);@</c:formatCode>
                <c:ptCount val="9"/>
                <c:pt idx="0">
                  <c:v>0.22598810482362028</c:v>
                </c:pt>
                <c:pt idx="1">
                  <c:v>0.22598810482362028</c:v>
                </c:pt>
                <c:pt idx="2">
                  <c:v>0.22598810482362028</c:v>
                </c:pt>
                <c:pt idx="3">
                  <c:v>0.22598810482362028</c:v>
                </c:pt>
                <c:pt idx="4">
                  <c:v>0.22598810482362028</c:v>
                </c:pt>
                <c:pt idx="5">
                  <c:v>0.22598810482362028</c:v>
                </c:pt>
                <c:pt idx="6">
                  <c:v>0.22598810482362028</c:v>
                </c:pt>
                <c:pt idx="7">
                  <c:v>0.22598810482362028</c:v>
                </c:pt>
                <c:pt idx="8">
                  <c:v>0.22598810482362028</c:v>
                </c:pt>
              </c:numCache>
            </c:numRef>
          </c:val>
        </c:ser>
        <c:ser>
          <c:idx val="12"/>
          <c:order val="12"/>
          <c:tx>
            <c:strRef>
              <c:f>'Intermediate output'!$D$318</c:f>
              <c:strCache>
                <c:ptCount val="1"/>
                <c:pt idx="0">
                  <c:v>Indigenous fossil-fuel production</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output'!$AY$318:$BG$318</c:f>
              <c:numCache>
                <c:formatCode>#,##0_);\(#,##0\);"-"_);@</c:formatCode>
                <c:ptCount val="9"/>
                <c:pt idx="0">
                  <c:v>6.6380393902542884E-2</c:v>
                </c:pt>
                <c:pt idx="1">
                  <c:v>5.632506858883312E-2</c:v>
                </c:pt>
                <c:pt idx="2">
                  <c:v>3.5902839544807497E-2</c:v>
                </c:pt>
                <c:pt idx="3">
                  <c:v>2.154713679214617E-2</c:v>
                </c:pt>
                <c:pt idx="4">
                  <c:v>0</c:v>
                </c:pt>
                <c:pt idx="5">
                  <c:v>0</c:v>
                </c:pt>
                <c:pt idx="6">
                  <c:v>0</c:v>
                </c:pt>
                <c:pt idx="7">
                  <c:v>0</c:v>
                </c:pt>
                <c:pt idx="8">
                  <c:v>0</c:v>
                </c:pt>
              </c:numCache>
            </c:numRef>
          </c:val>
        </c:ser>
        <c:ser>
          <c:idx val="13"/>
          <c:order val="13"/>
          <c:tx>
            <c:strRef>
              <c:f>'Intermediate output'!$D$319</c:f>
              <c:strCache>
                <c:ptCount val="1"/>
                <c:pt idx="0">
                  <c:v>District heating effective demand</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output'!$AY$319:$BG$319</c:f>
              <c:numCache>
                <c:formatCode>#,##0_);\(#,##0\);"-"_);@</c:formatCode>
                <c:ptCount val="9"/>
                <c:pt idx="0">
                  <c:v>3.7911428177742012E-3</c:v>
                </c:pt>
                <c:pt idx="1">
                  <c:v>3.7911428177742012E-3</c:v>
                </c:pt>
                <c:pt idx="2">
                  <c:v>3.7911428177742012E-3</c:v>
                </c:pt>
                <c:pt idx="3">
                  <c:v>3.7911428177742012E-3</c:v>
                </c:pt>
                <c:pt idx="4">
                  <c:v>3.7911428177742012E-3</c:v>
                </c:pt>
                <c:pt idx="5">
                  <c:v>3.7911428177742012E-3</c:v>
                </c:pt>
                <c:pt idx="6">
                  <c:v>3.7911428177742012E-3</c:v>
                </c:pt>
                <c:pt idx="7">
                  <c:v>3.7911428177742012E-3</c:v>
                </c:pt>
                <c:pt idx="8">
                  <c:v>3.7911428177742012E-3</c:v>
                </c:pt>
              </c:numCache>
            </c:numRef>
          </c:val>
        </c:ser>
        <c:axId val="156052480"/>
        <c:axId val="156078848"/>
      </c:areaChart>
      <c:catAx>
        <c:axId val="156052480"/>
        <c:scaling>
          <c:orientation val="minMax"/>
        </c:scaling>
        <c:axPos val="b"/>
        <c:numFmt formatCode="General" sourceLinked="1"/>
        <c:tickLblPos val="nextTo"/>
        <c:crossAx val="156078848"/>
        <c:crosses val="autoZero"/>
        <c:auto val="1"/>
        <c:lblAlgn val="ctr"/>
        <c:lblOffset val="100"/>
      </c:catAx>
      <c:valAx>
        <c:axId val="156078848"/>
        <c:scaling>
          <c:orientation val="minMax"/>
        </c:scaling>
        <c:axPos val="l"/>
        <c:title>
          <c:tx>
            <c:strRef>
              <c:f>'Intermediate output'!$D$4</c:f>
              <c:strCache>
                <c:ptCount val="1"/>
                <c:pt idx="0">
                  <c:v>TWh / year</c:v>
                </c:pt>
              </c:strCache>
            </c:strRef>
          </c:tx>
          <c:layout/>
          <c:txPr>
            <a:bodyPr rot="-5400000" vert="horz"/>
            <a:lstStyle/>
            <a:p>
              <a:pPr>
                <a:defRPr/>
              </a:pPr>
              <a:endParaRPr lang="en-US"/>
            </a:p>
          </c:txPr>
        </c:title>
        <c:numFmt formatCode="#,##0" sourceLinked="0"/>
        <c:tickLblPos val="nextTo"/>
        <c:crossAx val="156052480"/>
        <c:crosses val="autoZero"/>
        <c:crossBetween val="between"/>
      </c:valAx>
      <c:spPr>
        <a:noFill/>
      </c:spPr>
    </c:plotArea>
    <c:legend>
      <c:legendPos val="r"/>
      <c:layout>
        <c:manualLayout>
          <c:xMode val="edge"/>
          <c:yMode val="edge"/>
          <c:x val="0.69262406812177535"/>
          <c:y val="4.7522504548434034E-2"/>
          <c:w val="0.28400634587465046"/>
          <c:h val="0.93441796334770333"/>
        </c:manualLayout>
      </c:layout>
    </c:legend>
    <c:plotVisOnly val="1"/>
    <c:dispBlanksAs val="zero"/>
  </c:chart>
  <c:spPr>
    <a:noFill/>
    <a:ln>
      <a:noFill/>
    </a:ln>
  </c:spPr>
  <c:printSettings>
    <c:headerFooter/>
    <c:pageMargins b="0.75000000000000466" l="0.70000000000000062" r="0.70000000000000062" t="0.75000000000000466"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400"/>
            </a:pPr>
            <a:r>
              <a:rPr lang="en-IE" sz="1400"/>
              <a:t>Energy</a:t>
            </a:r>
            <a:r>
              <a:rPr lang="en-IE" sz="1400" baseline="0"/>
              <a:t> Demand (TWh)</a:t>
            </a:r>
            <a:endParaRPr lang="en-IE" sz="1400"/>
          </a:p>
        </c:rich>
      </c:tx>
      <c:layout/>
    </c:title>
    <c:plotArea>
      <c:layout/>
      <c:barChart>
        <c:barDir val="col"/>
        <c:grouping val="stacked"/>
        <c:ser>
          <c:idx val="0"/>
          <c:order val="0"/>
          <c:tx>
            <c:strRef>
              <c:f>'Intermediate output'!$D$7</c:f>
              <c:strCache>
                <c:ptCount val="1"/>
                <c:pt idx="0">
                  <c:v>Road transport</c:v>
                </c:pt>
              </c:strCache>
            </c:strRef>
          </c:tx>
          <c:dLbls>
            <c:dLblPos val="ctr"/>
            <c:showVal val="1"/>
          </c:dLbls>
          <c:cat>
            <c:strRef>
              <c:f>'Intermediate output'!$CE$8:$CE$9</c:f>
              <c:strCache>
                <c:ptCount val="2"/>
                <c:pt idx="0">
                  <c:v>2013 actuals (SEAI)</c:v>
                </c:pt>
                <c:pt idx="1">
                  <c:v>2013 model predicted</c:v>
                </c:pt>
              </c:strCache>
            </c:strRef>
          </c:cat>
          <c:val>
            <c:numRef>
              <c:f>('Intermediate output'!$F$7,'Intermediate output'!$AY$7)</c:f>
              <c:numCache>
                <c:formatCode>#,##0.0_);\(#,##0.0\);"-"_);@</c:formatCode>
                <c:ptCount val="2"/>
                <c:pt idx="0">
                  <c:v>38.645185944884147</c:v>
                </c:pt>
                <c:pt idx="1">
                  <c:v>38.777720899243057</c:v>
                </c:pt>
              </c:numCache>
            </c:numRef>
          </c:val>
        </c:ser>
        <c:ser>
          <c:idx val="1"/>
          <c:order val="1"/>
          <c:tx>
            <c:strRef>
              <c:f>'Intermediate output'!$D$8</c:f>
              <c:strCache>
                <c:ptCount val="1"/>
                <c:pt idx="0">
                  <c:v>Rail transport</c:v>
                </c:pt>
              </c:strCache>
            </c:strRef>
          </c:tx>
          <c:cat>
            <c:strRef>
              <c:f>'Intermediate output'!$CE$8:$CE$9</c:f>
              <c:strCache>
                <c:ptCount val="2"/>
                <c:pt idx="0">
                  <c:v>2013 actuals (SEAI)</c:v>
                </c:pt>
                <c:pt idx="1">
                  <c:v>2013 model predicted</c:v>
                </c:pt>
              </c:strCache>
            </c:strRef>
          </c:cat>
          <c:val>
            <c:numRef>
              <c:f>('Intermediate output'!$F$8,'Intermediate output'!$AY$8)</c:f>
              <c:numCache>
                <c:formatCode>#,##0.0_);\(#,##0.0\);"-"_);@</c:formatCode>
                <c:ptCount val="2"/>
                <c:pt idx="0">
                  <c:v>0.4876719932322367</c:v>
                </c:pt>
                <c:pt idx="1">
                  <c:v>0.3939854936866376</c:v>
                </c:pt>
              </c:numCache>
            </c:numRef>
          </c:val>
        </c:ser>
        <c:ser>
          <c:idx val="2"/>
          <c:order val="2"/>
          <c:tx>
            <c:strRef>
              <c:f>'Intermediate output'!$D$9</c:f>
              <c:strCache>
                <c:ptCount val="1"/>
                <c:pt idx="0">
                  <c:v>Domestic aviation</c:v>
                </c:pt>
              </c:strCache>
            </c:strRef>
          </c:tx>
          <c:cat>
            <c:strRef>
              <c:f>'Intermediate output'!$CE$8:$CE$9</c:f>
              <c:strCache>
                <c:ptCount val="2"/>
                <c:pt idx="0">
                  <c:v>2013 actuals (SEAI)</c:v>
                </c:pt>
                <c:pt idx="1">
                  <c:v>2013 model predicted</c:v>
                </c:pt>
              </c:strCache>
            </c:strRef>
          </c:cat>
          <c:val>
            <c:numRef>
              <c:f>('Intermediate output'!$F$9,'Intermediate output'!$AY$9)</c:f>
              <c:numCache>
                <c:formatCode>#,##0.0_);\(#,##0.0\);"-"_);@</c:formatCode>
                <c:ptCount val="2"/>
                <c:pt idx="1">
                  <c:v>2.7179785187540276E-2</c:v>
                </c:pt>
              </c:numCache>
            </c:numRef>
          </c:val>
        </c:ser>
        <c:ser>
          <c:idx val="3"/>
          <c:order val="3"/>
          <c:tx>
            <c:strRef>
              <c:f>'Intermediate output'!$D$10</c:f>
              <c:strCache>
                <c:ptCount val="1"/>
                <c:pt idx="0">
                  <c:v>National navigation</c:v>
                </c:pt>
              </c:strCache>
            </c:strRef>
          </c:tx>
          <c:cat>
            <c:strRef>
              <c:f>'Intermediate output'!$CE$8:$CE$9</c:f>
              <c:strCache>
                <c:ptCount val="2"/>
                <c:pt idx="0">
                  <c:v>2013 actuals (SEAI)</c:v>
                </c:pt>
                <c:pt idx="1">
                  <c:v>2013 model predicted</c:v>
                </c:pt>
              </c:strCache>
            </c:strRef>
          </c:cat>
          <c:val>
            <c:numRef>
              <c:f>('Intermediate output'!$F$10,'Intermediate output'!$AY$10)</c:f>
              <c:numCache>
                <c:formatCode>#,##0.0_);\(#,##0.0\);"-"_);@</c:formatCode>
                <c:ptCount val="2"/>
                <c:pt idx="0">
                  <c:v>0.66524901180549467</c:v>
                </c:pt>
                <c:pt idx="1">
                  <c:v>0.66</c:v>
                </c:pt>
              </c:numCache>
            </c:numRef>
          </c:val>
        </c:ser>
        <c:ser>
          <c:idx val="4"/>
          <c:order val="4"/>
          <c:tx>
            <c:strRef>
              <c:f>'Intermediate output'!$D$14</c:f>
              <c:strCache>
                <c:ptCount val="1"/>
                <c:pt idx="0">
                  <c:v>Industry</c:v>
                </c:pt>
              </c:strCache>
            </c:strRef>
          </c:tx>
          <c:dLbls>
            <c:dLblPos val="ctr"/>
            <c:showVal val="1"/>
          </c:dLbls>
          <c:cat>
            <c:strRef>
              <c:f>'Intermediate output'!$CE$8:$CE$9</c:f>
              <c:strCache>
                <c:ptCount val="2"/>
                <c:pt idx="0">
                  <c:v>2013 actuals (SEAI)</c:v>
                </c:pt>
                <c:pt idx="1">
                  <c:v>2013 model predicted</c:v>
                </c:pt>
              </c:strCache>
            </c:strRef>
          </c:cat>
          <c:val>
            <c:numRef>
              <c:f>('Intermediate output'!$F$14,'Intermediate output'!$AY$14)</c:f>
              <c:numCache>
                <c:formatCode>#,##0.0_);\(#,##0.0\);"-"_);@</c:formatCode>
                <c:ptCount val="2"/>
                <c:pt idx="0">
                  <c:v>28.598401010584517</c:v>
                </c:pt>
                <c:pt idx="1">
                  <c:v>28.675543224779016</c:v>
                </c:pt>
              </c:numCache>
            </c:numRef>
          </c:val>
        </c:ser>
        <c:ser>
          <c:idx val="5"/>
          <c:order val="5"/>
          <c:tx>
            <c:v>Heating, lighting and appliances</c:v>
          </c:tx>
          <c:dLbls>
            <c:dLblPos val="ctr"/>
            <c:showVal val="1"/>
          </c:dLbls>
          <c:cat>
            <c:strRef>
              <c:f>'Intermediate output'!$CE$8:$CE$9</c:f>
              <c:strCache>
                <c:ptCount val="2"/>
                <c:pt idx="0">
                  <c:v>2013 actuals (SEAI)</c:v>
                </c:pt>
                <c:pt idx="1">
                  <c:v>2013 model predicted</c:v>
                </c:pt>
              </c:strCache>
            </c:strRef>
          </c:cat>
          <c:val>
            <c:numLit>
              <c:formatCode>General</c:formatCode>
              <c:ptCount val="2"/>
              <c:pt idx="0">
                <c:v>47.2</c:v>
              </c:pt>
              <c:pt idx="1">
                <c:v>47</c:v>
              </c:pt>
            </c:numLit>
          </c:val>
        </c:ser>
        <c:overlap val="100"/>
        <c:axId val="156104192"/>
        <c:axId val="156105728"/>
      </c:barChart>
      <c:catAx>
        <c:axId val="156104192"/>
        <c:scaling>
          <c:orientation val="minMax"/>
        </c:scaling>
        <c:axPos val="b"/>
        <c:tickLblPos val="nextTo"/>
        <c:crossAx val="156105728"/>
        <c:crosses val="autoZero"/>
        <c:auto val="1"/>
        <c:lblAlgn val="ctr"/>
        <c:lblOffset val="100"/>
      </c:catAx>
      <c:valAx>
        <c:axId val="156105728"/>
        <c:scaling>
          <c:orientation val="minMax"/>
        </c:scaling>
        <c:axPos val="l"/>
        <c:numFmt formatCode="#,##0" sourceLinked="0"/>
        <c:tickLblPos val="nextTo"/>
        <c:crossAx val="156104192"/>
        <c:crosses val="autoZero"/>
        <c:crossBetween val="between"/>
      </c:valAx>
    </c:plotArea>
    <c:legend>
      <c:legendPos val="r"/>
      <c:layout/>
    </c:legend>
    <c:plotVisOnly val="1"/>
  </c:chart>
  <c:printSettings>
    <c:headerFooter/>
    <c:pageMargins b="0.75000000000000155" l="0.70000000000000062" r="0.70000000000000062" t="0.75000000000000155"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400"/>
            </a:pPr>
            <a:r>
              <a:rPr lang="en-IE" sz="1400"/>
              <a:t>Energy</a:t>
            </a:r>
            <a:r>
              <a:rPr lang="en-IE" sz="1400" baseline="0"/>
              <a:t> Supply (TWh)</a:t>
            </a:r>
            <a:endParaRPr lang="en-IE" sz="1400"/>
          </a:p>
        </c:rich>
      </c:tx>
      <c:layout/>
    </c:title>
    <c:plotArea>
      <c:layout/>
      <c:barChart>
        <c:barDir val="col"/>
        <c:grouping val="stacked"/>
        <c:ser>
          <c:idx val="0"/>
          <c:order val="0"/>
          <c:tx>
            <c:strRef>
              <c:f>'Intermediate output'!$D$24</c:f>
              <c:strCache>
                <c:ptCount val="1"/>
                <c:pt idx="0">
                  <c:v>Solar</c:v>
                </c:pt>
              </c:strCache>
            </c:strRef>
          </c:tx>
          <c:cat>
            <c:strRef>
              <c:f>'Intermediate output'!$CE$32:$CE$33</c:f>
              <c:strCache>
                <c:ptCount val="2"/>
                <c:pt idx="0">
                  <c:v>2013 actuals (SEAI)</c:v>
                </c:pt>
                <c:pt idx="1">
                  <c:v>2013 model predicted</c:v>
                </c:pt>
              </c:strCache>
            </c:strRef>
          </c:cat>
          <c:val>
            <c:numRef>
              <c:f>('Intermediate output'!$F$24,'Intermediate output'!$AY$24)</c:f>
              <c:numCache>
                <c:formatCode>#,##0.0_);\(#,##0.0\);"-"_);@</c:formatCode>
                <c:ptCount val="2"/>
                <c:pt idx="0">
                  <c:v>0.13</c:v>
                </c:pt>
                <c:pt idx="1">
                  <c:v>4.1054887428987621E-2</c:v>
                </c:pt>
              </c:numCache>
            </c:numRef>
          </c:val>
        </c:ser>
        <c:ser>
          <c:idx val="1"/>
          <c:order val="1"/>
          <c:tx>
            <c:strRef>
              <c:f>'Intermediate output'!$D$25</c:f>
              <c:strCache>
                <c:ptCount val="1"/>
                <c:pt idx="0">
                  <c:v>Wind</c:v>
                </c:pt>
              </c:strCache>
            </c:strRef>
          </c:tx>
          <c:cat>
            <c:strRef>
              <c:f>'Intermediate output'!$CE$32:$CE$33</c:f>
              <c:strCache>
                <c:ptCount val="2"/>
                <c:pt idx="0">
                  <c:v>2013 actuals (SEAI)</c:v>
                </c:pt>
                <c:pt idx="1">
                  <c:v>2013 model predicted</c:v>
                </c:pt>
              </c:strCache>
            </c:strRef>
          </c:cat>
          <c:val>
            <c:numRef>
              <c:f>('Intermediate output'!$F$25,'Intermediate output'!$AY$25)</c:f>
              <c:numCache>
                <c:formatCode>#,##0.0_);\(#,##0.0\);"-"_);@</c:formatCode>
                <c:ptCount val="2"/>
                <c:pt idx="0">
                  <c:v>4.54</c:v>
                </c:pt>
                <c:pt idx="1">
                  <c:v>4.5013410000000009</c:v>
                </c:pt>
              </c:numCache>
            </c:numRef>
          </c:val>
        </c:ser>
        <c:ser>
          <c:idx val="2"/>
          <c:order val="2"/>
          <c:tx>
            <c:strRef>
              <c:f>'Intermediate output'!$D$29</c:f>
              <c:strCache>
                <c:ptCount val="1"/>
                <c:pt idx="0">
                  <c:v>Hydro</c:v>
                </c:pt>
              </c:strCache>
            </c:strRef>
          </c:tx>
          <c:cat>
            <c:strRef>
              <c:f>'Intermediate output'!$CE$32:$CE$33</c:f>
              <c:strCache>
                <c:ptCount val="2"/>
                <c:pt idx="0">
                  <c:v>2013 actuals (SEAI)</c:v>
                </c:pt>
                <c:pt idx="1">
                  <c:v>2013 model predicted</c:v>
                </c:pt>
              </c:strCache>
            </c:strRef>
          </c:cat>
          <c:val>
            <c:numRef>
              <c:f>('Intermediate output'!$F$29,'Intermediate output'!$AY$29)</c:f>
              <c:numCache>
                <c:formatCode>#,##0.0_);\(#,##0.0\);"-"_);@</c:formatCode>
                <c:ptCount val="2"/>
                <c:pt idx="0">
                  <c:v>0.6</c:v>
                </c:pt>
                <c:pt idx="1">
                  <c:v>0.74791511999999993</c:v>
                </c:pt>
              </c:numCache>
            </c:numRef>
          </c:val>
        </c:ser>
        <c:ser>
          <c:idx val="3"/>
          <c:order val="3"/>
          <c:tx>
            <c:v>Electricity imports</c:v>
          </c:tx>
          <c:cat>
            <c:strRef>
              <c:f>'Intermediate output'!$CE$32:$CE$33</c:f>
              <c:strCache>
                <c:ptCount val="2"/>
                <c:pt idx="0">
                  <c:v>2013 actuals (SEAI)</c:v>
                </c:pt>
                <c:pt idx="1">
                  <c:v>2013 model predicted</c:v>
                </c:pt>
              </c:strCache>
            </c:strRef>
          </c:cat>
          <c:val>
            <c:numRef>
              <c:f>'Intermediate output'!$AY$30</c:f>
              <c:numCache>
                <c:formatCode>#,##0.0_);\(#,##0.0\);"-"_);@</c:formatCode>
                <c:ptCount val="1"/>
                <c:pt idx="0">
                  <c:v>2.5</c:v>
                </c:pt>
              </c:numCache>
            </c:numRef>
          </c:val>
        </c:ser>
        <c:ser>
          <c:idx val="4"/>
          <c:order val="4"/>
          <c:tx>
            <c:strRef>
              <c:f>'Intermediate output'!$D$33</c:f>
              <c:strCache>
                <c:ptCount val="1"/>
                <c:pt idx="0">
                  <c:v>Waste (all forms of biomass)</c:v>
                </c:pt>
              </c:strCache>
            </c:strRef>
          </c:tx>
          <c:cat>
            <c:strRef>
              <c:f>'Intermediate output'!$CE$32:$CE$33</c:f>
              <c:strCache>
                <c:ptCount val="2"/>
                <c:pt idx="0">
                  <c:v>2013 actuals (SEAI)</c:v>
                </c:pt>
                <c:pt idx="1">
                  <c:v>2013 model predicted</c:v>
                </c:pt>
              </c:strCache>
            </c:strRef>
          </c:cat>
          <c:val>
            <c:numRef>
              <c:f>('Intermediate output'!$F$33,'Intermediate output'!$AY$33)</c:f>
              <c:numCache>
                <c:formatCode>0.0</c:formatCode>
                <c:ptCount val="2"/>
                <c:pt idx="0" formatCode="#,##0.0_);\(#,##0.0\);&quot;-&quot;_);@">
                  <c:v>0.7</c:v>
                </c:pt>
                <c:pt idx="1">
                  <c:v>0.76164924245884236</c:v>
                </c:pt>
              </c:numCache>
            </c:numRef>
          </c:val>
        </c:ser>
        <c:ser>
          <c:idx val="5"/>
          <c:order val="5"/>
          <c:tx>
            <c:strRef>
              <c:f>'Intermediate output'!$D$32</c:f>
              <c:strCache>
                <c:ptCount val="1"/>
                <c:pt idx="0">
                  <c:v>Environmental heat</c:v>
                </c:pt>
              </c:strCache>
            </c:strRef>
          </c:tx>
          <c:cat>
            <c:strRef>
              <c:f>'Intermediate output'!$CE$32:$CE$33</c:f>
              <c:strCache>
                <c:ptCount val="2"/>
                <c:pt idx="0">
                  <c:v>2013 actuals (SEAI)</c:v>
                </c:pt>
                <c:pt idx="1">
                  <c:v>2013 model predicted</c:v>
                </c:pt>
              </c:strCache>
            </c:strRef>
          </c:cat>
          <c:val>
            <c:numRef>
              <c:f>('Intermediate output'!$F$32,'Intermediate output'!$AY$32)</c:f>
              <c:numCache>
                <c:formatCode>#,##0.0_);\(#,##0.0\);"-"_);@</c:formatCode>
                <c:ptCount val="2"/>
                <c:pt idx="0">
                  <c:v>0</c:v>
                </c:pt>
                <c:pt idx="1">
                  <c:v>0.11119904983501781</c:v>
                </c:pt>
              </c:numCache>
            </c:numRef>
          </c:val>
        </c:ser>
        <c:ser>
          <c:idx val="6"/>
          <c:order val="6"/>
          <c:tx>
            <c:strRef>
              <c:f>'Intermediate output'!$D$34</c:f>
              <c:strCache>
                <c:ptCount val="1"/>
                <c:pt idx="0">
                  <c:v>Agriculture</c:v>
                </c:pt>
              </c:strCache>
            </c:strRef>
          </c:tx>
          <c:cat>
            <c:strRef>
              <c:f>'Intermediate output'!$CE$32:$CE$33</c:f>
              <c:strCache>
                <c:ptCount val="2"/>
                <c:pt idx="0">
                  <c:v>2013 actuals (SEAI)</c:v>
                </c:pt>
                <c:pt idx="1">
                  <c:v>2013 model predicted</c:v>
                </c:pt>
              </c:strCache>
            </c:strRef>
          </c:cat>
          <c:val>
            <c:numRef>
              <c:f>('Intermediate output'!$F$34,'Intermediate output'!$AY$34)</c:f>
              <c:numCache>
                <c:formatCode>0.0</c:formatCode>
                <c:ptCount val="2"/>
                <c:pt idx="1">
                  <c:v>0.31308333333333338</c:v>
                </c:pt>
              </c:numCache>
            </c:numRef>
          </c:val>
        </c:ser>
        <c:ser>
          <c:idx val="7"/>
          <c:order val="7"/>
          <c:tx>
            <c:v>Biomass imports</c:v>
          </c:tx>
          <c:cat>
            <c:strRef>
              <c:f>'Intermediate output'!$CE$32:$CE$33</c:f>
              <c:strCache>
                <c:ptCount val="2"/>
                <c:pt idx="0">
                  <c:v>2013 actuals (SEAI)</c:v>
                </c:pt>
                <c:pt idx="1">
                  <c:v>2013 model predicted</c:v>
                </c:pt>
              </c:strCache>
            </c:strRef>
          </c:cat>
          <c:val>
            <c:numRef>
              <c:f>('Intermediate output'!$F$35,'Intermediate output'!$AY$35)</c:f>
              <c:numCache>
                <c:formatCode>0.0</c:formatCode>
                <c:ptCount val="2"/>
                <c:pt idx="0" formatCode="#,##0.0_);\(#,##0.0\);&quot;-&quot;_);@">
                  <c:v>0.2</c:v>
                </c:pt>
                <c:pt idx="1">
                  <c:v>1.0954366666666666</c:v>
                </c:pt>
              </c:numCache>
            </c:numRef>
          </c:val>
        </c:ser>
        <c:ser>
          <c:idx val="8"/>
          <c:order val="8"/>
          <c:tx>
            <c:v>Coal imports</c:v>
          </c:tx>
          <c:dLbls>
            <c:showVal val="1"/>
          </c:dLbls>
          <c:cat>
            <c:strRef>
              <c:f>'Intermediate output'!$CE$32:$CE$33</c:f>
              <c:strCache>
                <c:ptCount val="2"/>
                <c:pt idx="0">
                  <c:v>2013 actuals (SEAI)</c:v>
                </c:pt>
                <c:pt idx="1">
                  <c:v>2013 model predicted</c:v>
                </c:pt>
              </c:strCache>
            </c:strRef>
          </c:cat>
          <c:val>
            <c:numRef>
              <c:f>('Intermediate output'!$F$37,'Intermediate output'!$AY$37)</c:f>
              <c:numCache>
                <c:formatCode>0.0</c:formatCode>
                <c:ptCount val="2"/>
                <c:pt idx="0" formatCode="#,##0.0_);\(#,##0.0\);&quot;-&quot;_);@">
                  <c:v>14.656822134585569</c:v>
                </c:pt>
                <c:pt idx="1">
                  <c:v>14.602281067209798</c:v>
                </c:pt>
              </c:numCache>
            </c:numRef>
          </c:val>
        </c:ser>
        <c:ser>
          <c:idx val="9"/>
          <c:order val="9"/>
          <c:tx>
            <c:strRef>
              <c:f>'Intermediate output'!$D$38</c:f>
              <c:strCache>
                <c:ptCount val="1"/>
                <c:pt idx="0">
                  <c:v>Peat reserves</c:v>
                </c:pt>
              </c:strCache>
            </c:strRef>
          </c:tx>
          <c:cat>
            <c:strRef>
              <c:f>'Intermediate output'!$CE$32:$CE$33</c:f>
              <c:strCache>
                <c:ptCount val="2"/>
                <c:pt idx="0">
                  <c:v>2013 actuals (SEAI)</c:v>
                </c:pt>
                <c:pt idx="1">
                  <c:v>2013 model predicted</c:v>
                </c:pt>
              </c:strCache>
            </c:strRef>
          </c:cat>
          <c:val>
            <c:numRef>
              <c:f>('Intermediate output'!$F$38,'Intermediate output'!$AY$38)</c:f>
              <c:numCache>
                <c:formatCode>#,##0.0_);\(#,##0.0\);"-"_);@</c:formatCode>
                <c:ptCount val="2"/>
                <c:pt idx="0">
                  <c:v>8.4099484316203554</c:v>
                </c:pt>
                <c:pt idx="1">
                  <c:v>8.4</c:v>
                </c:pt>
              </c:numCache>
            </c:numRef>
          </c:val>
        </c:ser>
        <c:ser>
          <c:idx val="10"/>
          <c:order val="10"/>
          <c:tx>
            <c:v>Oil imports</c:v>
          </c:tx>
          <c:dLbls>
            <c:showVal val="1"/>
          </c:dLbls>
          <c:cat>
            <c:strRef>
              <c:f>'Intermediate output'!$CE$32:$CE$33</c:f>
              <c:strCache>
                <c:ptCount val="2"/>
                <c:pt idx="0">
                  <c:v>2013 actuals (SEAI)</c:v>
                </c:pt>
                <c:pt idx="1">
                  <c:v>2013 model predicted</c:v>
                </c:pt>
              </c:strCache>
            </c:strRef>
          </c:cat>
          <c:val>
            <c:numRef>
              <c:f>('Intermediate output'!$F$41,'Intermediate output'!$AY$41)</c:f>
              <c:numCache>
                <c:formatCode>#,##0.0_);\(#,##0.0\);"-"_);@</c:formatCode>
                <c:ptCount val="2"/>
                <c:pt idx="0">
                  <c:v>76.116012246733362</c:v>
                </c:pt>
                <c:pt idx="1">
                  <c:v>76.341107777431446</c:v>
                </c:pt>
              </c:numCache>
            </c:numRef>
          </c:val>
        </c:ser>
        <c:ser>
          <c:idx val="11"/>
          <c:order val="11"/>
          <c:tx>
            <c:v>Gas imports</c:v>
          </c:tx>
          <c:dLbls>
            <c:showVal val="1"/>
          </c:dLbls>
          <c:cat>
            <c:strRef>
              <c:f>'Intermediate output'!$CE$32:$CE$33</c:f>
              <c:strCache>
                <c:ptCount val="2"/>
                <c:pt idx="0">
                  <c:v>2013 actuals (SEAI)</c:v>
                </c:pt>
                <c:pt idx="1">
                  <c:v>2013 model predicted</c:v>
                </c:pt>
              </c:strCache>
            </c:strRef>
          </c:cat>
          <c:val>
            <c:numRef>
              <c:f>('Intermediate output'!$F$44,'Intermediate output'!$AY$44)</c:f>
              <c:numCache>
                <c:formatCode>#,##0.0_);\(#,##0.0\);"-"_);@</c:formatCode>
                <c:ptCount val="2"/>
                <c:pt idx="0">
                  <c:v>43.232993583303433</c:v>
                </c:pt>
                <c:pt idx="1">
                  <c:v>46.547614680811428</c:v>
                </c:pt>
              </c:numCache>
            </c:numRef>
          </c:val>
        </c:ser>
        <c:ser>
          <c:idx val="12"/>
          <c:order val="12"/>
          <c:tx>
            <c:v>Gas reserves</c:v>
          </c:tx>
          <c:cat>
            <c:strRef>
              <c:f>'Intermediate output'!$CE$32:$CE$33</c:f>
              <c:strCache>
                <c:ptCount val="2"/>
                <c:pt idx="0">
                  <c:v>2013 actuals (SEAI)</c:v>
                </c:pt>
                <c:pt idx="1">
                  <c:v>2013 model predicted</c:v>
                </c:pt>
              </c:strCache>
            </c:strRef>
          </c:cat>
          <c:val>
            <c:numRef>
              <c:f>('Intermediate output'!$F$45,'Intermediate output'!$AY$45)</c:f>
              <c:numCache>
                <c:formatCode>#,##0.0_);\(#,##0.0\);"-"_);@</c:formatCode>
                <c:ptCount val="2"/>
                <c:pt idx="0">
                  <c:v>1.7555282514130177</c:v>
                </c:pt>
                <c:pt idx="1">
                  <c:v>0</c:v>
                </c:pt>
              </c:numCache>
            </c:numRef>
          </c:val>
        </c:ser>
        <c:overlap val="100"/>
        <c:axId val="162514816"/>
        <c:axId val="162516352"/>
      </c:barChart>
      <c:catAx>
        <c:axId val="162514816"/>
        <c:scaling>
          <c:orientation val="minMax"/>
        </c:scaling>
        <c:axPos val="b"/>
        <c:tickLblPos val="nextTo"/>
        <c:crossAx val="162516352"/>
        <c:crosses val="autoZero"/>
        <c:auto val="1"/>
        <c:lblAlgn val="ctr"/>
        <c:lblOffset val="100"/>
      </c:catAx>
      <c:valAx>
        <c:axId val="162516352"/>
        <c:scaling>
          <c:orientation val="minMax"/>
        </c:scaling>
        <c:axPos val="l"/>
        <c:numFmt formatCode="#,##0.0_);\(#,##0.0\);&quot;-&quot;_);@" sourceLinked="1"/>
        <c:tickLblPos val="nextTo"/>
        <c:crossAx val="162514816"/>
        <c:crosses val="autoZero"/>
        <c:crossBetween val="between"/>
      </c:valAx>
    </c:plotArea>
    <c:legend>
      <c:legendPos val="r"/>
      <c:layout/>
    </c:legend>
    <c:plotVisOnly val="1"/>
  </c:chart>
  <c:printSettings>
    <c:headerFooter/>
    <c:pageMargins b="0.75000000000000178" l="0.70000000000000062" r="0.70000000000000062" t="0.75000000000000178"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400"/>
            </a:pPr>
            <a:r>
              <a:rPr lang="en-IE" sz="1400"/>
              <a:t>Emissions</a:t>
            </a:r>
            <a:r>
              <a:rPr lang="en-IE" sz="1400" baseline="0"/>
              <a:t> (Mt CO2e)</a:t>
            </a:r>
            <a:endParaRPr lang="en-IE" sz="1400"/>
          </a:p>
        </c:rich>
      </c:tx>
      <c:layout/>
    </c:title>
    <c:plotArea>
      <c:layout/>
      <c:barChart>
        <c:barDir val="col"/>
        <c:grouping val="stacked"/>
        <c:ser>
          <c:idx val="0"/>
          <c:order val="0"/>
          <c:tx>
            <c:strRef>
              <c:f>'Intermediate output'!$D$180</c:f>
              <c:strCache>
                <c:ptCount val="1"/>
                <c:pt idx="0">
                  <c:v>Fuel Combustion</c:v>
                </c:pt>
              </c:strCache>
            </c:strRef>
          </c:tx>
          <c:dLbls>
            <c:dLblPos val="ctr"/>
            <c:showVal val="1"/>
          </c:dLbls>
          <c:cat>
            <c:strRef>
              <c:f>'Intermediate output'!$CD$185:$CD$186</c:f>
              <c:strCache>
                <c:ptCount val="2"/>
                <c:pt idx="0">
                  <c:v>2012 actuals (UNFCCC)</c:v>
                </c:pt>
                <c:pt idx="1">
                  <c:v>2013 model predicted</c:v>
                </c:pt>
              </c:strCache>
            </c:strRef>
          </c:cat>
          <c:val>
            <c:numRef>
              <c:f>('Intermediate output'!$F$180,'Intermediate output'!$AY$180)</c:f>
              <c:numCache>
                <c:formatCode>#,##0.00_);\(#,##0.00\);"-"_);@</c:formatCode>
                <c:ptCount val="2"/>
                <c:pt idx="0">
                  <c:v>37.04</c:v>
                </c:pt>
                <c:pt idx="1">
                  <c:v>36.577741668782814</c:v>
                </c:pt>
              </c:numCache>
            </c:numRef>
          </c:val>
        </c:ser>
        <c:ser>
          <c:idx val="1"/>
          <c:order val="1"/>
          <c:tx>
            <c:strRef>
              <c:f>'Intermediate output'!$D$181</c:f>
              <c:strCache>
                <c:ptCount val="1"/>
                <c:pt idx="0">
                  <c:v>Fugitive Emissions from Fuels</c:v>
                </c:pt>
              </c:strCache>
            </c:strRef>
          </c:tx>
          <c:cat>
            <c:strRef>
              <c:f>'Intermediate output'!$CD$185:$CD$186</c:f>
              <c:strCache>
                <c:ptCount val="2"/>
                <c:pt idx="0">
                  <c:v>2012 actuals (UNFCCC)</c:v>
                </c:pt>
                <c:pt idx="1">
                  <c:v>2013 model predicted</c:v>
                </c:pt>
              </c:strCache>
            </c:strRef>
          </c:cat>
          <c:val>
            <c:numRef>
              <c:f>('Intermediate output'!$F$181,'Intermediate output'!$AY$181)</c:f>
              <c:numCache>
                <c:formatCode>#,##0.00_);\(#,##0.00\);"-"_);@</c:formatCode>
                <c:ptCount val="2"/>
                <c:pt idx="0">
                  <c:v>0.02</c:v>
                </c:pt>
                <c:pt idx="1">
                  <c:v>0.02</c:v>
                </c:pt>
              </c:numCache>
            </c:numRef>
          </c:val>
        </c:ser>
        <c:ser>
          <c:idx val="2"/>
          <c:order val="2"/>
          <c:tx>
            <c:strRef>
              <c:f>'Intermediate output'!$D$183</c:f>
              <c:strCache>
                <c:ptCount val="1"/>
                <c:pt idx="0">
                  <c:v>Industrial Processes</c:v>
                </c:pt>
              </c:strCache>
            </c:strRef>
          </c:tx>
          <c:cat>
            <c:strRef>
              <c:f>'Intermediate output'!$CD$185:$CD$186</c:f>
              <c:strCache>
                <c:ptCount val="2"/>
                <c:pt idx="0">
                  <c:v>2012 actuals (UNFCCC)</c:v>
                </c:pt>
                <c:pt idx="1">
                  <c:v>2013 model predicted</c:v>
                </c:pt>
              </c:strCache>
            </c:strRef>
          </c:cat>
          <c:val>
            <c:numRef>
              <c:f>('Intermediate output'!$F$183,'Intermediate output'!$AY$183)</c:f>
              <c:numCache>
                <c:formatCode>#,##0.00_);\(#,##0.00\);"-"_);@</c:formatCode>
                <c:ptCount val="2"/>
                <c:pt idx="0">
                  <c:v>2.42</c:v>
                </c:pt>
                <c:pt idx="1">
                  <c:v>2.42</c:v>
                </c:pt>
              </c:numCache>
            </c:numRef>
          </c:val>
        </c:ser>
        <c:ser>
          <c:idx val="3"/>
          <c:order val="3"/>
          <c:tx>
            <c:strRef>
              <c:f>'Intermediate output'!$D$184</c:f>
              <c:strCache>
                <c:ptCount val="1"/>
                <c:pt idx="0">
                  <c:v>Solvent and Other Product Use</c:v>
                </c:pt>
              </c:strCache>
            </c:strRef>
          </c:tx>
          <c:cat>
            <c:strRef>
              <c:f>'Intermediate output'!$CD$185:$CD$186</c:f>
              <c:strCache>
                <c:ptCount val="2"/>
                <c:pt idx="0">
                  <c:v>2012 actuals (UNFCCC)</c:v>
                </c:pt>
                <c:pt idx="1">
                  <c:v>2013 model predicted</c:v>
                </c:pt>
              </c:strCache>
            </c:strRef>
          </c:cat>
          <c:val>
            <c:numRef>
              <c:f>('Intermediate output'!$F$184,'Intermediate output'!$AY$184)</c:f>
              <c:numCache>
                <c:formatCode>#,##0.00_);\(#,##0.00\);"-"_);@</c:formatCode>
                <c:ptCount val="2"/>
                <c:pt idx="0">
                  <c:v>7.0000000000000007E-2</c:v>
                </c:pt>
                <c:pt idx="1">
                  <c:v>0</c:v>
                </c:pt>
              </c:numCache>
            </c:numRef>
          </c:val>
        </c:ser>
        <c:ser>
          <c:idx val="4"/>
          <c:order val="4"/>
          <c:tx>
            <c:strRef>
              <c:f>'Intermediate output'!$D$185</c:f>
              <c:strCache>
                <c:ptCount val="1"/>
                <c:pt idx="0">
                  <c:v>Agriculture</c:v>
                </c:pt>
              </c:strCache>
            </c:strRef>
          </c:tx>
          <c:dLbls>
            <c:dLblPos val="ctr"/>
            <c:showVal val="1"/>
          </c:dLbls>
          <c:cat>
            <c:strRef>
              <c:f>'Intermediate output'!$CD$185:$CD$186</c:f>
              <c:strCache>
                <c:ptCount val="2"/>
                <c:pt idx="0">
                  <c:v>2012 actuals (UNFCCC)</c:v>
                </c:pt>
                <c:pt idx="1">
                  <c:v>2013 model predicted</c:v>
                </c:pt>
              </c:strCache>
            </c:strRef>
          </c:cat>
          <c:val>
            <c:numRef>
              <c:f>('Intermediate output'!$F$185,'Intermediate output'!$AY$185)</c:f>
              <c:numCache>
                <c:formatCode>#,##0.00_);\(#,##0.00\);"-"_);@</c:formatCode>
                <c:ptCount val="2"/>
                <c:pt idx="0">
                  <c:v>17.97</c:v>
                </c:pt>
                <c:pt idx="1">
                  <c:v>17.477285399999996</c:v>
                </c:pt>
              </c:numCache>
            </c:numRef>
          </c:val>
        </c:ser>
        <c:ser>
          <c:idx val="5"/>
          <c:order val="5"/>
          <c:tx>
            <c:strRef>
              <c:f>'Intermediate output'!$D$186</c:f>
              <c:strCache>
                <c:ptCount val="1"/>
                <c:pt idx="0">
                  <c:v>Land Use, Land-Use Change and Forestry</c:v>
                </c:pt>
              </c:strCache>
            </c:strRef>
          </c:tx>
          <c:cat>
            <c:strRef>
              <c:f>'Intermediate output'!$CD$185:$CD$186</c:f>
              <c:strCache>
                <c:ptCount val="2"/>
                <c:pt idx="0">
                  <c:v>2012 actuals (UNFCCC)</c:v>
                </c:pt>
                <c:pt idx="1">
                  <c:v>2013 model predicted</c:v>
                </c:pt>
              </c:strCache>
            </c:strRef>
          </c:cat>
          <c:val>
            <c:numRef>
              <c:f>('Intermediate output'!$F$186,'Intermediate output'!$AY$186)</c:f>
              <c:numCache>
                <c:formatCode>#,##0.00_);\(#,##0.00\);"-"_);@</c:formatCode>
                <c:ptCount val="2"/>
                <c:pt idx="0">
                  <c:v>-3.14</c:v>
                </c:pt>
                <c:pt idx="1">
                  <c:v>-3.1859999999999999</c:v>
                </c:pt>
              </c:numCache>
            </c:numRef>
          </c:val>
        </c:ser>
        <c:ser>
          <c:idx val="6"/>
          <c:order val="6"/>
          <c:tx>
            <c:strRef>
              <c:f>'Intermediate output'!$D$187</c:f>
              <c:strCache>
                <c:ptCount val="1"/>
                <c:pt idx="0">
                  <c:v>Waste</c:v>
                </c:pt>
              </c:strCache>
            </c:strRef>
          </c:tx>
          <c:cat>
            <c:strRef>
              <c:f>'Intermediate output'!$CD$185:$CD$186</c:f>
              <c:strCache>
                <c:ptCount val="2"/>
                <c:pt idx="0">
                  <c:v>2012 actuals (UNFCCC)</c:v>
                </c:pt>
                <c:pt idx="1">
                  <c:v>2013 model predicted</c:v>
                </c:pt>
              </c:strCache>
            </c:strRef>
          </c:cat>
          <c:val>
            <c:numRef>
              <c:f>('Intermediate output'!$F$187,'Intermediate output'!$AY$187)</c:f>
              <c:numCache>
                <c:formatCode>#,##0.00_);\(#,##0.00\);"-"_);@</c:formatCode>
                <c:ptCount val="2"/>
                <c:pt idx="0">
                  <c:v>1.01</c:v>
                </c:pt>
                <c:pt idx="1">
                  <c:v>0.96917142883928564</c:v>
                </c:pt>
              </c:numCache>
            </c:numRef>
          </c:val>
        </c:ser>
        <c:ser>
          <c:idx val="7"/>
          <c:order val="7"/>
          <c:tx>
            <c:strRef>
              <c:f>'Intermediate output'!$D$189</c:f>
              <c:strCache>
                <c:ptCount val="1"/>
                <c:pt idx="0">
                  <c:v>International Aviation </c:v>
                </c:pt>
              </c:strCache>
            </c:strRef>
          </c:tx>
          <c:cat>
            <c:strRef>
              <c:f>'Intermediate output'!$CD$185:$CD$186</c:f>
              <c:strCache>
                <c:ptCount val="2"/>
                <c:pt idx="0">
                  <c:v>2012 actuals (UNFCCC)</c:v>
                </c:pt>
                <c:pt idx="1">
                  <c:v>2013 model predicted</c:v>
                </c:pt>
              </c:strCache>
            </c:strRef>
          </c:cat>
          <c:val>
            <c:numRef>
              <c:f>('Intermediate output'!$F$189,'Intermediate output'!$AY$189)</c:f>
              <c:numCache>
                <c:formatCode>#,##0.00_);\(#,##0.00\);"-"_);@</c:formatCode>
                <c:ptCount val="2"/>
                <c:pt idx="0">
                  <c:v>2.16</c:v>
                </c:pt>
                <c:pt idx="1">
                  <c:v>1.8587303279999996</c:v>
                </c:pt>
              </c:numCache>
            </c:numRef>
          </c:val>
        </c:ser>
        <c:ser>
          <c:idx val="8"/>
          <c:order val="8"/>
          <c:tx>
            <c:strRef>
              <c:f>'Intermediate output'!$D$190</c:f>
              <c:strCache>
                <c:ptCount val="1"/>
                <c:pt idx="0">
                  <c:v>Bioenergy credit</c:v>
                </c:pt>
              </c:strCache>
            </c:strRef>
          </c:tx>
          <c:cat>
            <c:strRef>
              <c:f>'Intermediate output'!$CD$185:$CD$186</c:f>
              <c:strCache>
                <c:ptCount val="2"/>
                <c:pt idx="0">
                  <c:v>2012 actuals (UNFCCC)</c:v>
                </c:pt>
                <c:pt idx="1">
                  <c:v>2013 model predicted</c:v>
                </c:pt>
              </c:strCache>
            </c:strRef>
          </c:cat>
          <c:val>
            <c:numRef>
              <c:f>('Intermediate output'!$F$190,'Intermediate output'!$AY$190)</c:f>
              <c:numCache>
                <c:formatCode>#,##0.00_);\(#,##0.00\);"-"_);@</c:formatCode>
                <c:ptCount val="2"/>
                <c:pt idx="0">
                  <c:v>0</c:v>
                </c:pt>
                <c:pt idx="1">
                  <c:v>-0.54367917626535778</c:v>
                </c:pt>
              </c:numCache>
            </c:numRef>
          </c:val>
        </c:ser>
        <c:overlap val="100"/>
        <c:axId val="162585216"/>
        <c:axId val="162591104"/>
      </c:barChart>
      <c:catAx>
        <c:axId val="162585216"/>
        <c:scaling>
          <c:orientation val="minMax"/>
        </c:scaling>
        <c:axPos val="b"/>
        <c:tickLblPos val="low"/>
        <c:crossAx val="162591104"/>
        <c:crosses val="autoZero"/>
        <c:auto val="1"/>
        <c:lblAlgn val="ctr"/>
        <c:lblOffset val="100"/>
      </c:catAx>
      <c:valAx>
        <c:axId val="162591104"/>
        <c:scaling>
          <c:orientation val="minMax"/>
        </c:scaling>
        <c:axPos val="l"/>
        <c:numFmt formatCode="#,##0" sourceLinked="0"/>
        <c:tickLblPos val="nextTo"/>
        <c:crossAx val="162585216"/>
        <c:crosses val="autoZero"/>
        <c:crossBetween val="between"/>
      </c:valAx>
    </c:plotArea>
    <c:legend>
      <c:legendPos val="r"/>
      <c:layout>
        <c:manualLayout>
          <c:xMode val="edge"/>
          <c:yMode val="edge"/>
          <c:x val="0.6375758387116317"/>
          <c:y val="0.14351775506420594"/>
          <c:w val="0.34303021942641776"/>
          <c:h val="0.84333815077746443"/>
        </c:manualLayout>
      </c:layout>
    </c:legend>
    <c:plotVisOnly val="1"/>
  </c:chart>
  <c:printSettings>
    <c:headerFooter/>
    <c:pageMargins b="0.750000000000002" l="0.70000000000000062" r="0.70000000000000062" t="0.750000000000002"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400"/>
            </a:pPr>
            <a:r>
              <a:rPr lang="en-IE" sz="1400" baseline="0"/>
              <a:t>Installed Capacity (Republic of Ireland only) (GW)</a:t>
            </a:r>
            <a:endParaRPr lang="en-IE" sz="1400"/>
          </a:p>
        </c:rich>
      </c:tx>
    </c:title>
    <c:plotArea>
      <c:layout/>
      <c:barChart>
        <c:barDir val="col"/>
        <c:grouping val="stacked"/>
        <c:ser>
          <c:idx val="0"/>
          <c:order val="0"/>
          <c:tx>
            <c:strRef>
              <c:f>'Intermediate output'!$D$118</c:f>
              <c:strCache>
                <c:ptCount val="1"/>
                <c:pt idx="0">
                  <c:v>Oil / Biofuel</c:v>
                </c:pt>
              </c:strCache>
            </c:strRef>
          </c:tx>
          <c:cat>
            <c:strRef>
              <c:f>'Intermediate output'!$CE$124:$CE$125</c:f>
              <c:strCache>
                <c:ptCount val="2"/>
                <c:pt idx="0">
                  <c:v>2013 actuals (Eirgrid)</c:v>
                </c:pt>
                <c:pt idx="1">
                  <c:v>2013 model predicted</c:v>
                </c:pt>
              </c:strCache>
            </c:strRef>
          </c:cat>
          <c:val>
            <c:numRef>
              <c:f>('Intermediate output'!$F$118,'Intermediate output'!$AY$118)</c:f>
              <c:numCache>
                <c:formatCode>#,##0.0_);\(#,##0.0\);"-"_);@</c:formatCode>
                <c:ptCount val="2"/>
                <c:pt idx="0">
                  <c:v>1.1000000000000001</c:v>
                </c:pt>
                <c:pt idx="1">
                  <c:v>1.1000000000000001</c:v>
                </c:pt>
              </c:numCache>
            </c:numRef>
          </c:val>
        </c:ser>
        <c:ser>
          <c:idx val="1"/>
          <c:order val="1"/>
          <c:tx>
            <c:strRef>
              <c:f>'Intermediate output'!$D$119</c:f>
              <c:strCache>
                <c:ptCount val="1"/>
                <c:pt idx="0">
                  <c:v>Coal / Peat / Biomass</c:v>
                </c:pt>
              </c:strCache>
            </c:strRef>
          </c:tx>
          <c:cat>
            <c:strRef>
              <c:f>'Intermediate output'!$CE$124:$CE$125</c:f>
              <c:strCache>
                <c:ptCount val="2"/>
                <c:pt idx="0">
                  <c:v>2013 actuals (Eirgrid)</c:v>
                </c:pt>
                <c:pt idx="1">
                  <c:v>2013 model predicted</c:v>
                </c:pt>
              </c:strCache>
            </c:strRef>
          </c:cat>
          <c:val>
            <c:numRef>
              <c:f>('Intermediate output'!$F$119,'Intermediate output'!$AY$119)</c:f>
              <c:numCache>
                <c:formatCode>#,##0.0_);\(#,##0.0\);"-"_);@</c:formatCode>
                <c:ptCount val="2"/>
                <c:pt idx="0">
                  <c:v>1.2</c:v>
                </c:pt>
                <c:pt idx="1">
                  <c:v>1.216</c:v>
                </c:pt>
              </c:numCache>
            </c:numRef>
          </c:val>
        </c:ser>
        <c:ser>
          <c:idx val="2"/>
          <c:order val="2"/>
          <c:tx>
            <c:strRef>
              <c:f>'Intermediate output'!$D$120</c:f>
              <c:strCache>
                <c:ptCount val="1"/>
                <c:pt idx="0">
                  <c:v>Gas / Biogas</c:v>
                </c:pt>
              </c:strCache>
            </c:strRef>
          </c:tx>
          <c:cat>
            <c:strRef>
              <c:f>'Intermediate output'!$CE$124:$CE$125</c:f>
              <c:strCache>
                <c:ptCount val="2"/>
                <c:pt idx="0">
                  <c:v>2013 actuals (Eirgrid)</c:v>
                </c:pt>
                <c:pt idx="1">
                  <c:v>2013 model predicted</c:v>
                </c:pt>
              </c:strCache>
            </c:strRef>
          </c:cat>
          <c:val>
            <c:numRef>
              <c:f>('Intermediate output'!$F$120,'Intermediate output'!$AY$120)</c:f>
              <c:numCache>
                <c:formatCode>#,##0.0_);\(#,##0.0\);"-"_);@</c:formatCode>
                <c:ptCount val="2"/>
                <c:pt idx="0">
                  <c:v>3.75</c:v>
                </c:pt>
                <c:pt idx="1">
                  <c:v>3.5934362101223432</c:v>
                </c:pt>
              </c:numCache>
            </c:numRef>
          </c:val>
        </c:ser>
        <c:ser>
          <c:idx val="3"/>
          <c:order val="3"/>
          <c:tx>
            <c:strRef>
              <c:f>'Intermediate output'!$D$123</c:f>
              <c:strCache>
                <c:ptCount val="1"/>
                <c:pt idx="0">
                  <c:v>Onshore wind</c:v>
                </c:pt>
              </c:strCache>
            </c:strRef>
          </c:tx>
          <c:cat>
            <c:strRef>
              <c:f>'Intermediate output'!$CE$124:$CE$125</c:f>
              <c:strCache>
                <c:ptCount val="2"/>
                <c:pt idx="0">
                  <c:v>2013 actuals (Eirgrid)</c:v>
                </c:pt>
                <c:pt idx="1">
                  <c:v>2013 model predicted</c:v>
                </c:pt>
              </c:strCache>
            </c:strRef>
          </c:cat>
          <c:val>
            <c:numRef>
              <c:f>('Intermediate output'!$F$123,'Intermediate output'!$AY$123)</c:f>
              <c:numCache>
                <c:formatCode>#,##0.0_);\(#,##0.0\);"-"_);@</c:formatCode>
                <c:ptCount val="2"/>
                <c:pt idx="0">
                  <c:v>1.8169999999999999</c:v>
                </c:pt>
                <c:pt idx="1">
                  <c:v>1.8</c:v>
                </c:pt>
              </c:numCache>
            </c:numRef>
          </c:val>
        </c:ser>
        <c:ser>
          <c:idx val="4"/>
          <c:order val="4"/>
          <c:tx>
            <c:strRef>
              <c:f>'Intermediate output'!$D$124</c:f>
              <c:strCache>
                <c:ptCount val="1"/>
                <c:pt idx="0">
                  <c:v>Offshore wind</c:v>
                </c:pt>
              </c:strCache>
            </c:strRef>
          </c:tx>
          <c:cat>
            <c:strRef>
              <c:f>'Intermediate output'!$CE$124:$CE$125</c:f>
              <c:strCache>
                <c:ptCount val="2"/>
                <c:pt idx="0">
                  <c:v>2013 actuals (Eirgrid)</c:v>
                </c:pt>
                <c:pt idx="1">
                  <c:v>2013 model predicted</c:v>
                </c:pt>
              </c:strCache>
            </c:strRef>
          </c:cat>
          <c:val>
            <c:numRef>
              <c:f>('Intermediate output'!$F$124,'Intermediate output'!$AY$124)</c:f>
              <c:numCache>
                <c:formatCode>#,##0.0_);\(#,##0.0\);"-"_);@</c:formatCode>
                <c:ptCount val="2"/>
                <c:pt idx="0">
                  <c:v>2.5000000000000001E-2</c:v>
                </c:pt>
                <c:pt idx="1">
                  <c:v>2.5000000000000001E-2</c:v>
                </c:pt>
              </c:numCache>
            </c:numRef>
          </c:val>
        </c:ser>
        <c:ser>
          <c:idx val="5"/>
          <c:order val="5"/>
          <c:tx>
            <c:strRef>
              <c:f>'Intermediate output'!$D$125</c:f>
              <c:strCache>
                <c:ptCount val="1"/>
                <c:pt idx="0">
                  <c:v>Hydroelectric power stations</c:v>
                </c:pt>
              </c:strCache>
            </c:strRef>
          </c:tx>
          <c:cat>
            <c:strRef>
              <c:f>'Intermediate output'!$CE$124:$CE$125</c:f>
              <c:strCache>
                <c:ptCount val="2"/>
                <c:pt idx="0">
                  <c:v>2013 actuals (Eirgrid)</c:v>
                </c:pt>
                <c:pt idx="1">
                  <c:v>2013 model predicted</c:v>
                </c:pt>
              </c:strCache>
            </c:strRef>
          </c:cat>
          <c:val>
            <c:numRef>
              <c:f>('Intermediate output'!$F$125,'Intermediate output'!$AY$125)</c:f>
              <c:numCache>
                <c:formatCode>#,##0.0_);\(#,##0.0\);"-"_);@</c:formatCode>
                <c:ptCount val="2"/>
                <c:pt idx="0">
                  <c:v>0.216</c:v>
                </c:pt>
                <c:pt idx="1">
                  <c:v>0.23699999999999999</c:v>
                </c:pt>
              </c:numCache>
            </c:numRef>
          </c:val>
        </c:ser>
        <c:ser>
          <c:idx val="6"/>
          <c:order val="6"/>
          <c:tx>
            <c:strRef>
              <c:f>'Intermediate output'!$D$131</c:f>
              <c:strCache>
                <c:ptCount val="1"/>
                <c:pt idx="0">
                  <c:v>Standby / peaking gas</c:v>
                </c:pt>
              </c:strCache>
            </c:strRef>
          </c:tx>
          <c:cat>
            <c:strRef>
              <c:f>'Intermediate output'!$CE$124:$CE$125</c:f>
              <c:strCache>
                <c:ptCount val="2"/>
                <c:pt idx="0">
                  <c:v>2013 actuals (Eirgrid)</c:v>
                </c:pt>
                <c:pt idx="1">
                  <c:v>2013 model predicted</c:v>
                </c:pt>
              </c:strCache>
            </c:strRef>
          </c:cat>
          <c:val>
            <c:numRef>
              <c:f>('Intermediate output'!$F$131,'Intermediate output'!$AY$131)</c:f>
              <c:numCache>
                <c:formatCode>#,##0.0_);\(#,##0.0\);"-"_);@</c:formatCode>
                <c:ptCount val="2"/>
                <c:pt idx="1">
                  <c:v>0.41994376780032372</c:v>
                </c:pt>
              </c:numCache>
            </c:numRef>
          </c:val>
        </c:ser>
        <c:overlap val="100"/>
        <c:axId val="162644736"/>
        <c:axId val="162646272"/>
      </c:barChart>
      <c:catAx>
        <c:axId val="162644736"/>
        <c:scaling>
          <c:orientation val="minMax"/>
        </c:scaling>
        <c:axPos val="b"/>
        <c:tickLblPos val="nextTo"/>
        <c:crossAx val="162646272"/>
        <c:crosses val="autoZero"/>
        <c:auto val="1"/>
        <c:lblAlgn val="ctr"/>
        <c:lblOffset val="100"/>
      </c:catAx>
      <c:valAx>
        <c:axId val="162646272"/>
        <c:scaling>
          <c:orientation val="minMax"/>
        </c:scaling>
        <c:axPos val="l"/>
        <c:numFmt formatCode="#,##0" sourceLinked="0"/>
        <c:tickLblPos val="nextTo"/>
        <c:crossAx val="162644736"/>
        <c:crosses val="autoZero"/>
        <c:crossBetween val="between"/>
      </c:valAx>
    </c:plotArea>
    <c:legend>
      <c:legendPos val="r"/>
    </c:legend>
    <c:plotVisOnly val="1"/>
  </c:chart>
  <c:printSettings>
    <c:headerFooter/>
    <c:pageMargins b="0.750000000000002" l="0.70000000000000062" r="0.70000000000000062" t="0.750000000000002"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400"/>
            </a:pPr>
            <a:r>
              <a:rPr lang="en-IE" sz="1400" baseline="0"/>
              <a:t>Electricity Generation - pre losses (Republic of Ireland only) (TWh)</a:t>
            </a:r>
            <a:endParaRPr lang="en-IE" sz="1400"/>
          </a:p>
        </c:rich>
      </c:tx>
      <c:layout/>
    </c:title>
    <c:plotArea>
      <c:layout/>
      <c:barChart>
        <c:barDir val="col"/>
        <c:grouping val="stacked"/>
        <c:ser>
          <c:idx val="0"/>
          <c:order val="0"/>
          <c:tx>
            <c:strRef>
              <c:f>'Intermediate output'!$D$96</c:f>
              <c:strCache>
                <c:ptCount val="1"/>
                <c:pt idx="0">
                  <c:v>Biomass/Peat/Coal/Gas power stations</c:v>
                </c:pt>
              </c:strCache>
            </c:strRef>
          </c:tx>
          <c:cat>
            <c:strRef>
              <c:f>'Intermediate output'!$CE$105:$CE$106</c:f>
              <c:strCache>
                <c:ptCount val="2"/>
                <c:pt idx="0">
                  <c:v>2013 actuals (SEAI)</c:v>
                </c:pt>
                <c:pt idx="1">
                  <c:v>2013 model predicted</c:v>
                </c:pt>
              </c:strCache>
            </c:strRef>
          </c:cat>
          <c:val>
            <c:numRef>
              <c:f>('Intermediate output'!$F$96,'Intermediate output'!$AY$96)</c:f>
              <c:numCache>
                <c:formatCode>#,##0.0_);\(#,##0.0\);"-"_);@</c:formatCode>
                <c:ptCount val="2"/>
                <c:pt idx="0">
                  <c:v>21.003910878328096</c:v>
                </c:pt>
                <c:pt idx="1">
                  <c:v>19.080008949093042</c:v>
                </c:pt>
              </c:numCache>
            </c:numRef>
          </c:val>
        </c:ser>
        <c:ser>
          <c:idx val="1"/>
          <c:order val="1"/>
          <c:tx>
            <c:strRef>
              <c:f>'Intermediate output'!$D$109</c:f>
              <c:strCache>
                <c:ptCount val="1"/>
                <c:pt idx="0">
                  <c:v>Non-thermal renewable generation</c:v>
                </c:pt>
              </c:strCache>
            </c:strRef>
          </c:tx>
          <c:cat>
            <c:strRef>
              <c:f>'Intermediate output'!$CE$105:$CE$106</c:f>
              <c:strCache>
                <c:ptCount val="2"/>
                <c:pt idx="0">
                  <c:v>2013 actuals (SEAI)</c:v>
                </c:pt>
                <c:pt idx="1">
                  <c:v>2013 model predicted</c:v>
                </c:pt>
              </c:strCache>
            </c:strRef>
          </c:cat>
          <c:val>
            <c:numRef>
              <c:f>('Intermediate output'!$F$109,'Intermediate output'!$AY$109)</c:f>
              <c:numCache>
                <c:formatCode>#,##0.0_);\(#,##0.0\);"-"_);@</c:formatCode>
                <c:ptCount val="2"/>
                <c:pt idx="0">
                  <c:v>5.1209235764676979</c:v>
                </c:pt>
                <c:pt idx="1">
                  <c:v>5.249256120000001</c:v>
                </c:pt>
              </c:numCache>
            </c:numRef>
          </c:val>
        </c:ser>
        <c:ser>
          <c:idx val="2"/>
          <c:order val="2"/>
          <c:tx>
            <c:strRef>
              <c:f>'Intermediate output'!$D$110</c:f>
              <c:strCache>
                <c:ptCount val="1"/>
                <c:pt idx="0">
                  <c:v>Electricity imports</c:v>
                </c:pt>
              </c:strCache>
            </c:strRef>
          </c:tx>
          <c:cat>
            <c:strRef>
              <c:f>'Intermediate output'!$CE$105:$CE$106</c:f>
              <c:strCache>
                <c:ptCount val="2"/>
                <c:pt idx="0">
                  <c:v>2013 actuals (SEAI)</c:v>
                </c:pt>
                <c:pt idx="1">
                  <c:v>2013 model predicted</c:v>
                </c:pt>
              </c:strCache>
            </c:strRef>
          </c:cat>
          <c:val>
            <c:numRef>
              <c:f>('Intermediate output'!$F$110,'Intermediate output'!$AY$110)</c:f>
              <c:numCache>
                <c:formatCode>#,##0.0_);\(#,##0.0\);"-"_);@</c:formatCode>
                <c:ptCount val="2"/>
                <c:pt idx="0">
                  <c:v>2.5079796250885993</c:v>
                </c:pt>
                <c:pt idx="1">
                  <c:v>2.5</c:v>
                </c:pt>
              </c:numCache>
            </c:numRef>
          </c:val>
        </c:ser>
        <c:overlap val="100"/>
        <c:axId val="162667904"/>
        <c:axId val="162673792"/>
      </c:barChart>
      <c:catAx>
        <c:axId val="162667904"/>
        <c:scaling>
          <c:orientation val="minMax"/>
        </c:scaling>
        <c:axPos val="b"/>
        <c:tickLblPos val="nextTo"/>
        <c:crossAx val="162673792"/>
        <c:crosses val="autoZero"/>
        <c:auto val="1"/>
        <c:lblAlgn val="ctr"/>
        <c:lblOffset val="100"/>
      </c:catAx>
      <c:valAx>
        <c:axId val="162673792"/>
        <c:scaling>
          <c:orientation val="minMax"/>
        </c:scaling>
        <c:axPos val="l"/>
        <c:numFmt formatCode="#,##0" sourceLinked="0"/>
        <c:tickLblPos val="nextTo"/>
        <c:crossAx val="162667904"/>
        <c:crosses val="autoZero"/>
        <c:crossBetween val="between"/>
      </c:valAx>
    </c:plotArea>
    <c:legend>
      <c:legendPos val="r"/>
      <c:layout/>
    </c:legend>
    <c:plotVisOnly val="1"/>
  </c:chart>
  <c:printSettings>
    <c:headerFooter/>
    <c:pageMargins b="0.75000000000000222" l="0.70000000000000062" r="0.70000000000000062" t="0.75000000000000222"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a:t>Land</a:t>
            </a:r>
            <a:r>
              <a:rPr lang="en-IE" sz="1100" baseline="0"/>
              <a:t> Area</a:t>
            </a:r>
            <a:endParaRPr lang="en-IE" sz="1100"/>
          </a:p>
        </c:rich>
      </c:tx>
    </c:title>
    <c:plotArea>
      <c:layout/>
      <c:areaChart>
        <c:grouping val="stacked"/>
        <c:ser>
          <c:idx val="0"/>
          <c:order val="0"/>
          <c:tx>
            <c:v>Onshore wind</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Use'!$H$6:$P$6</c:f>
              <c:numCache>
                <c:formatCode>#,##0_);\(#,##0\);"-"_);@</c:formatCode>
                <c:ptCount val="9"/>
                <c:pt idx="0">
                  <c:v>56.000000000000007</c:v>
                </c:pt>
                <c:pt idx="1">
                  <c:v>70.144444444444431</c:v>
                </c:pt>
                <c:pt idx="2">
                  <c:v>114.39444444444445</c:v>
                </c:pt>
                <c:pt idx="3">
                  <c:v>168.47777777777776</c:v>
                </c:pt>
                <c:pt idx="4">
                  <c:v>250.42222222222216</c:v>
                </c:pt>
                <c:pt idx="5">
                  <c:v>283.2</c:v>
                </c:pt>
                <c:pt idx="6">
                  <c:v>283.2</c:v>
                </c:pt>
                <c:pt idx="7">
                  <c:v>283.2</c:v>
                </c:pt>
                <c:pt idx="8">
                  <c:v>283.2</c:v>
                </c:pt>
              </c:numCache>
            </c:numRef>
          </c:val>
        </c:ser>
        <c:ser>
          <c:idx val="1"/>
          <c:order val="1"/>
          <c:tx>
            <c:v>Hydroelectric resevoir</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Use'!$H$7:$P$7</c:f>
              <c:numCache>
                <c:formatCode>#,##0_);\(#,##0\);"-"_);@</c:formatCode>
                <c:ptCount val="9"/>
                <c:pt idx="0">
                  <c:v>7.5409090909090883</c:v>
                </c:pt>
                <c:pt idx="1">
                  <c:v>7.5409090909090883</c:v>
                </c:pt>
                <c:pt idx="2">
                  <c:v>7.5409090909090883</c:v>
                </c:pt>
                <c:pt idx="3">
                  <c:v>7.5409090909090883</c:v>
                </c:pt>
                <c:pt idx="4">
                  <c:v>7.5409090909090883</c:v>
                </c:pt>
                <c:pt idx="5">
                  <c:v>7.5409090909090883</c:v>
                </c:pt>
                <c:pt idx="6">
                  <c:v>7.5409090909090883</c:v>
                </c:pt>
                <c:pt idx="7">
                  <c:v>7.5409090909090883</c:v>
                </c:pt>
                <c:pt idx="8">
                  <c:v>7.5409090909090883</c:v>
                </c:pt>
              </c:numCache>
            </c:numRef>
          </c:val>
        </c:ser>
        <c:ser>
          <c:idx val="2"/>
          <c:order val="2"/>
          <c:tx>
            <c:v>Solar PV</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Use'!$H$8:$P$8</c:f>
              <c:numCache>
                <c:formatCode>#,##0_);\(#,##0\);"-"_);@</c:formatCode>
                <c:ptCount val="9"/>
                <c:pt idx="0">
                  <c:v>0</c:v>
                </c:pt>
                <c:pt idx="1">
                  <c:v>0</c:v>
                </c:pt>
                <c:pt idx="2">
                  <c:v>4.0416666666666661</c:v>
                </c:pt>
                <c:pt idx="3">
                  <c:v>6.4666666666666668</c:v>
                </c:pt>
                <c:pt idx="4">
                  <c:v>9.6999999999999975</c:v>
                </c:pt>
                <c:pt idx="5">
                  <c:v>14.549999999999999</c:v>
                </c:pt>
                <c:pt idx="6">
                  <c:v>19.399999999999995</c:v>
                </c:pt>
                <c:pt idx="7">
                  <c:v>21.824999999999996</c:v>
                </c:pt>
                <c:pt idx="8">
                  <c:v>24.249999999999996</c:v>
                </c:pt>
              </c:numCache>
            </c:numRef>
          </c:val>
        </c:ser>
        <c:ser>
          <c:idx val="3"/>
          <c:order val="3"/>
          <c:tx>
            <c:v>Solar thermal</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Use'!$H$9:$P$9</c:f>
              <c:numCache>
                <c:formatCode>#,##0_);\(#,##0\);"-"_);@</c:formatCode>
                <c:ptCount val="9"/>
                <c:pt idx="0">
                  <c:v>0.13381209031318281</c:v>
                </c:pt>
                <c:pt idx="1">
                  <c:v>0.96261493898519346</c:v>
                </c:pt>
                <c:pt idx="2">
                  <c:v>1.8186124430257216</c:v>
                </c:pt>
                <c:pt idx="3">
                  <c:v>2.8680082210925013</c:v>
                </c:pt>
                <c:pt idx="4">
                  <c:v>4.0001105160741819</c:v>
                </c:pt>
                <c:pt idx="5">
                  <c:v>5.2326916039874289</c:v>
                </c:pt>
                <c:pt idx="6">
                  <c:v>6.5727901645174329</c:v>
                </c:pt>
                <c:pt idx="7">
                  <c:v>9.1527486721328675</c:v>
                </c:pt>
                <c:pt idx="8">
                  <c:v>11.952553396430703</c:v>
                </c:pt>
              </c:numCache>
            </c:numRef>
          </c:val>
        </c:ser>
        <c:ser>
          <c:idx val="4"/>
          <c:order val="4"/>
          <c:tx>
            <c:v>Micro wind</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Use'!$H$10:$P$10</c:f>
              <c:numCache>
                <c:formatCode>#,##0_);\(#,##0\);"-"_);@</c:formatCode>
                <c:ptCount val="9"/>
                <c:pt idx="0">
                  <c:v>0</c:v>
                </c:pt>
                <c:pt idx="1">
                  <c:v>0</c:v>
                </c:pt>
                <c:pt idx="2">
                  <c:v>47.999999999999993</c:v>
                </c:pt>
                <c:pt idx="3">
                  <c:v>47.999999999999993</c:v>
                </c:pt>
                <c:pt idx="4">
                  <c:v>47.999999999999993</c:v>
                </c:pt>
                <c:pt idx="5">
                  <c:v>87.999999999999815</c:v>
                </c:pt>
                <c:pt idx="6">
                  <c:v>87.999999999999815</c:v>
                </c:pt>
                <c:pt idx="7">
                  <c:v>95.999999999999986</c:v>
                </c:pt>
                <c:pt idx="8">
                  <c:v>95.999999999999986</c:v>
                </c:pt>
              </c:numCache>
            </c:numRef>
          </c:val>
        </c:ser>
        <c:ser>
          <c:idx val="5"/>
          <c:order val="5"/>
          <c:tx>
            <c:v>Area of biocrops</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Use'!$H$11:$P$11</c:f>
              <c:numCache>
                <c:formatCode>#,##0_);\(#,##0\);"-"_);@</c:formatCode>
                <c:ptCount val="9"/>
                <c:pt idx="0">
                  <c:v>156</c:v>
                </c:pt>
                <c:pt idx="1">
                  <c:v>701.36694198511827</c:v>
                </c:pt>
                <c:pt idx="2">
                  <c:v>2064.7842969479088</c:v>
                </c:pt>
                <c:pt idx="3">
                  <c:v>3428.2016519107051</c:v>
                </c:pt>
                <c:pt idx="4">
                  <c:v>4791.6190068734986</c:v>
                </c:pt>
                <c:pt idx="5">
                  <c:v>6155.0363618362953</c:v>
                </c:pt>
                <c:pt idx="6">
                  <c:v>7518.4537167990902</c:v>
                </c:pt>
                <c:pt idx="7">
                  <c:v>8881.8710717618851</c:v>
                </c:pt>
                <c:pt idx="8">
                  <c:v>10245.288426724681</c:v>
                </c:pt>
              </c:numCache>
            </c:numRef>
          </c:val>
        </c:ser>
        <c:ser>
          <c:idx val="6"/>
          <c:order val="6"/>
          <c:tx>
            <c:v>Area of forestry</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Use'!$H$12:$P$12</c:f>
              <c:numCache>
                <c:formatCode>#,##0_);\(#,##0\);"-"_);@</c:formatCode>
                <c:ptCount val="9"/>
                <c:pt idx="0">
                  <c:v>7566</c:v>
                </c:pt>
                <c:pt idx="1">
                  <c:v>7712.1161544525003</c:v>
                </c:pt>
                <c:pt idx="2">
                  <c:v>8077.40654058376</c:v>
                </c:pt>
                <c:pt idx="3">
                  <c:v>8442.6969267150198</c:v>
                </c:pt>
                <c:pt idx="4">
                  <c:v>8807.9873128462696</c:v>
                </c:pt>
                <c:pt idx="5">
                  <c:v>9173.2776989775302</c:v>
                </c:pt>
                <c:pt idx="6">
                  <c:v>9538.5680851087891</c:v>
                </c:pt>
                <c:pt idx="7">
                  <c:v>9903.8584712400407</c:v>
                </c:pt>
                <c:pt idx="8">
                  <c:v>10269.1488573713</c:v>
                </c:pt>
              </c:numCache>
            </c:numRef>
          </c:val>
        </c:ser>
        <c:axId val="162900608"/>
        <c:axId val="162910592"/>
      </c:areaChart>
      <c:catAx>
        <c:axId val="162900608"/>
        <c:scaling>
          <c:orientation val="minMax"/>
        </c:scaling>
        <c:axPos val="b"/>
        <c:numFmt formatCode="General" sourceLinked="1"/>
        <c:tickLblPos val="nextTo"/>
        <c:crossAx val="162910592"/>
        <c:crosses val="autoZero"/>
        <c:auto val="1"/>
        <c:lblAlgn val="ctr"/>
        <c:lblOffset val="100"/>
      </c:catAx>
      <c:valAx>
        <c:axId val="162910592"/>
        <c:scaling>
          <c:orientation val="minMax"/>
        </c:scaling>
        <c:axPos val="l"/>
        <c:title>
          <c:tx>
            <c:strRef>
              <c:f>'Land Use'!$Q$3</c:f>
              <c:strCache>
                <c:ptCount val="1"/>
                <c:pt idx="0">
                  <c:v>km^2</c:v>
                </c:pt>
              </c:strCache>
            </c:strRef>
          </c:tx>
          <c:txPr>
            <a:bodyPr rot="-5400000" vert="horz"/>
            <a:lstStyle/>
            <a:p>
              <a:pPr>
                <a:defRPr/>
              </a:pPr>
              <a:endParaRPr lang="en-US"/>
            </a:p>
          </c:txPr>
        </c:title>
        <c:numFmt formatCode="#,##0_);\(#,##0\);&quot;-&quot;_);@" sourceLinked="1"/>
        <c:tickLblPos val="nextTo"/>
        <c:crossAx val="162900608"/>
        <c:crosses val="autoZero"/>
        <c:crossBetween val="midCat"/>
      </c:valAx>
      <c:spPr>
        <a:noFill/>
      </c:spPr>
    </c:plotArea>
    <c:legend>
      <c:legendPos val="r"/>
    </c:legend>
    <c:plotVisOnly val="1"/>
  </c:chart>
  <c:spPr>
    <a:noFill/>
    <a:ln>
      <a:noFill/>
    </a:ln>
  </c:spPr>
  <c:printSettings>
    <c:headerFooter/>
    <c:pageMargins b="0.75000000000000377" l="0.70000000000000062" r="0.70000000000000062" t="0.75000000000000377"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a:t>Sea</a:t>
            </a:r>
            <a:r>
              <a:rPr lang="en-IE" sz="1100" baseline="0"/>
              <a:t> Area</a:t>
            </a:r>
            <a:endParaRPr lang="en-IE" sz="1100"/>
          </a:p>
        </c:rich>
      </c:tx>
    </c:title>
    <c:plotArea>
      <c:layout/>
      <c:areaChart>
        <c:grouping val="stacked"/>
        <c:ser>
          <c:idx val="0"/>
          <c:order val="0"/>
          <c:tx>
            <c:v>Offshore wind</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Use'!$H$16:$P$16</c:f>
              <c:numCache>
                <c:formatCode>#,##0_);\(#,##0\);"-"_);@</c:formatCode>
                <c:ptCount val="9"/>
                <c:pt idx="0">
                  <c:v>1.0555555555555558</c:v>
                </c:pt>
                <c:pt idx="1">
                  <c:v>1.0555555555555558</c:v>
                </c:pt>
                <c:pt idx="2">
                  <c:v>1.1111111111111112</c:v>
                </c:pt>
                <c:pt idx="3">
                  <c:v>1.1111111111111112</c:v>
                </c:pt>
                <c:pt idx="4">
                  <c:v>25.083333333333332</c:v>
                </c:pt>
                <c:pt idx="5">
                  <c:v>66.25</c:v>
                </c:pt>
                <c:pt idx="6">
                  <c:v>116.25000000000001</c:v>
                </c:pt>
                <c:pt idx="7">
                  <c:v>203.75000000000003</c:v>
                </c:pt>
                <c:pt idx="8">
                  <c:v>291.25</c:v>
                </c:pt>
              </c:numCache>
            </c:numRef>
          </c:val>
        </c:ser>
        <c:ser>
          <c:idx val="1"/>
          <c:order val="1"/>
          <c:tx>
            <c:v>Tidal stream</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Use'!$H$17:$P$17</c:f>
              <c:numCache>
                <c:formatCode>#,##0_);\(#,##0\);"-"_);@</c:formatCode>
                <c:ptCount val="9"/>
                <c:pt idx="0">
                  <c:v>0</c:v>
                </c:pt>
                <c:pt idx="1">
                  <c:v>0</c:v>
                </c:pt>
                <c:pt idx="2">
                  <c:v>0</c:v>
                </c:pt>
                <c:pt idx="3">
                  <c:v>6.6666666666666661</c:v>
                </c:pt>
                <c:pt idx="4">
                  <c:v>13.333333333333332</c:v>
                </c:pt>
                <c:pt idx="5">
                  <c:v>33.333333333333329</c:v>
                </c:pt>
                <c:pt idx="6">
                  <c:v>33.333333333333329</c:v>
                </c:pt>
                <c:pt idx="7">
                  <c:v>53.333333333333329</c:v>
                </c:pt>
                <c:pt idx="8">
                  <c:v>53.333333333333329</c:v>
                </c:pt>
              </c:numCache>
            </c:numRef>
          </c:val>
        </c:ser>
        <c:ser>
          <c:idx val="2"/>
          <c:order val="2"/>
          <c:tx>
            <c:v>Tidal range</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Use'!$H$18:$P$18</c:f>
              <c:numCache>
                <c:formatCode>#,##0_);\(#,##0\);"-"_);@</c:formatCode>
                <c:ptCount val="9"/>
                <c:pt idx="0">
                  <c:v>0</c:v>
                </c:pt>
                <c:pt idx="1">
                  <c:v>0</c:v>
                </c:pt>
                <c:pt idx="2">
                  <c:v>0</c:v>
                </c:pt>
                <c:pt idx="3">
                  <c:v>0</c:v>
                </c:pt>
                <c:pt idx="4">
                  <c:v>0</c:v>
                </c:pt>
                <c:pt idx="5">
                  <c:v>0</c:v>
                </c:pt>
                <c:pt idx="6">
                  <c:v>0</c:v>
                </c:pt>
                <c:pt idx="7">
                  <c:v>0</c:v>
                </c:pt>
                <c:pt idx="8">
                  <c:v>0</c:v>
                </c:pt>
              </c:numCache>
            </c:numRef>
          </c:val>
        </c:ser>
        <c:ser>
          <c:idx val="3"/>
          <c:order val="3"/>
          <c:tx>
            <c:v>Marine Algae</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Use'!$H$19:$P$19</c:f>
              <c:numCache>
                <c:formatCode>#,##0_);\(#,##0\);"-"_);@</c:formatCode>
                <c:ptCount val="9"/>
                <c:pt idx="0">
                  <c:v>0</c:v>
                </c:pt>
                <c:pt idx="1">
                  <c:v>0</c:v>
                </c:pt>
                <c:pt idx="2">
                  <c:v>0</c:v>
                </c:pt>
                <c:pt idx="3">
                  <c:v>10</c:v>
                </c:pt>
                <c:pt idx="4">
                  <c:v>100</c:v>
                </c:pt>
                <c:pt idx="5">
                  <c:v>400</c:v>
                </c:pt>
                <c:pt idx="6">
                  <c:v>1000</c:v>
                </c:pt>
                <c:pt idx="7">
                  <c:v>1500</c:v>
                </c:pt>
                <c:pt idx="8">
                  <c:v>2100</c:v>
                </c:pt>
              </c:numCache>
            </c:numRef>
          </c:val>
        </c:ser>
        <c:axId val="162945664"/>
        <c:axId val="162959744"/>
      </c:areaChart>
      <c:catAx>
        <c:axId val="162945664"/>
        <c:scaling>
          <c:orientation val="minMax"/>
        </c:scaling>
        <c:axPos val="b"/>
        <c:numFmt formatCode="General" sourceLinked="1"/>
        <c:tickLblPos val="nextTo"/>
        <c:crossAx val="162959744"/>
        <c:crosses val="autoZero"/>
        <c:auto val="1"/>
        <c:lblAlgn val="ctr"/>
        <c:lblOffset val="100"/>
      </c:catAx>
      <c:valAx>
        <c:axId val="162959744"/>
        <c:scaling>
          <c:orientation val="minMax"/>
        </c:scaling>
        <c:axPos val="l"/>
        <c:title>
          <c:tx>
            <c:strRef>
              <c:f>'Land Use'!$Q$3</c:f>
              <c:strCache>
                <c:ptCount val="1"/>
                <c:pt idx="0">
                  <c:v>km^2</c:v>
                </c:pt>
              </c:strCache>
            </c:strRef>
          </c:tx>
          <c:txPr>
            <a:bodyPr rot="-5400000" vert="horz"/>
            <a:lstStyle/>
            <a:p>
              <a:pPr>
                <a:defRPr/>
              </a:pPr>
              <a:endParaRPr lang="en-US"/>
            </a:p>
          </c:txPr>
        </c:title>
        <c:numFmt formatCode="#,##0_);\(#,##0\);&quot;-&quot;_);@" sourceLinked="1"/>
        <c:tickLblPos val="nextTo"/>
        <c:crossAx val="162945664"/>
        <c:crosses val="autoZero"/>
        <c:crossBetween val="midCat"/>
      </c:valAx>
      <c:spPr>
        <a:noFill/>
      </c:spPr>
    </c:plotArea>
    <c:legend>
      <c:legendPos val="r"/>
    </c:legend>
    <c:plotVisOnly val="1"/>
  </c:chart>
  <c:spPr>
    <a:noFill/>
    <a:ln>
      <a:noFill/>
    </a:ln>
  </c:spPr>
  <c:printSettings>
    <c:headerFooter/>
    <c:pageMargins b="0.750000000000004" l="0.70000000000000062" r="0.70000000000000062" t="0.750000000000004"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a:t>Number</a:t>
            </a:r>
            <a:r>
              <a:rPr lang="en-IE" sz="1100" baseline="0"/>
              <a:t> of units</a:t>
            </a:r>
            <a:endParaRPr lang="en-IE" sz="1100"/>
          </a:p>
        </c:rich>
      </c:tx>
    </c:title>
    <c:plotArea>
      <c:layout>
        <c:manualLayout>
          <c:layoutTarget val="inner"/>
          <c:xMode val="edge"/>
          <c:yMode val="edge"/>
          <c:x val="6.6491626599772383E-2"/>
          <c:y val="0.13810045597539874"/>
          <c:w val="0.60792715954753462"/>
          <c:h val="0.75872671926333513"/>
        </c:manualLayout>
      </c:layout>
      <c:lineChart>
        <c:grouping val="standard"/>
        <c:ser>
          <c:idx val="0"/>
          <c:order val="0"/>
          <c:tx>
            <c:strRef>
              <c:f>'Land Use'!$D$32</c:f>
              <c:strCache>
                <c:ptCount val="1"/>
                <c:pt idx="0">
                  <c:v>Number of thermal power stations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Use'!$H$32:$P$32</c:f>
              <c:numCache>
                <c:formatCode>#,##0_);\(#,##0\);"-"_);@</c:formatCode>
                <c:ptCount val="9"/>
                <c:pt idx="0">
                  <c:v>11.818872420244686</c:v>
                </c:pt>
                <c:pt idx="1">
                  <c:v>11.641616400868099</c:v>
                </c:pt>
                <c:pt idx="2">
                  <c:v>7.96666685566837</c:v>
                </c:pt>
                <c:pt idx="3">
                  <c:v>5.4980804726760404</c:v>
                </c:pt>
                <c:pt idx="4">
                  <c:v>1.9100000000000001</c:v>
                </c:pt>
                <c:pt idx="5">
                  <c:v>2.4020000000000001</c:v>
                </c:pt>
                <c:pt idx="6">
                  <c:v>2.4020000000000001</c:v>
                </c:pt>
                <c:pt idx="7">
                  <c:v>2.4020000000000001</c:v>
                </c:pt>
                <c:pt idx="8">
                  <c:v>2.4020000000000001</c:v>
                </c:pt>
              </c:numCache>
            </c:numRef>
          </c:val>
        </c:ser>
        <c:ser>
          <c:idx val="1"/>
          <c:order val="1"/>
          <c:tx>
            <c:strRef>
              <c:f>'Land Use'!$D$33</c:f>
              <c:strCache>
                <c:ptCount val="1"/>
                <c:pt idx="0">
                  <c:v>0.5 GW CCS power stations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Use'!$H$33:$P$33</c:f>
              <c:numCache>
                <c:formatCode>#,##0_);\(#,##0\);"-"_);@</c:formatCode>
                <c:ptCount val="9"/>
                <c:pt idx="0">
                  <c:v>0</c:v>
                </c:pt>
                <c:pt idx="1">
                  <c:v>0</c:v>
                </c:pt>
                <c:pt idx="2">
                  <c:v>0</c:v>
                </c:pt>
                <c:pt idx="3">
                  <c:v>0</c:v>
                </c:pt>
                <c:pt idx="4">
                  <c:v>0</c:v>
                </c:pt>
                <c:pt idx="5">
                  <c:v>1</c:v>
                </c:pt>
                <c:pt idx="6">
                  <c:v>3</c:v>
                </c:pt>
                <c:pt idx="7">
                  <c:v>5</c:v>
                </c:pt>
                <c:pt idx="8">
                  <c:v>7</c:v>
                </c:pt>
              </c:numCache>
            </c:numRef>
          </c:val>
        </c:ser>
        <c:ser>
          <c:idx val="2"/>
          <c:order val="2"/>
          <c:tx>
            <c:strRef>
              <c:f>'Land Use'!$D$34</c:f>
              <c:strCache>
                <c:ptCount val="1"/>
                <c:pt idx="0">
                  <c:v>1 GW nuclear power station complexes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Use'!$H$34:$P$34</c:f>
              <c:numCache>
                <c:formatCode>#,##0_);\(#,##0\);"-"_);@</c:formatCode>
                <c:ptCount val="9"/>
                <c:pt idx="0">
                  <c:v>0</c:v>
                </c:pt>
                <c:pt idx="1">
                  <c:v>0</c:v>
                </c:pt>
                <c:pt idx="2">
                  <c:v>0</c:v>
                </c:pt>
                <c:pt idx="3">
                  <c:v>0</c:v>
                </c:pt>
                <c:pt idx="4">
                  <c:v>1</c:v>
                </c:pt>
                <c:pt idx="5">
                  <c:v>1</c:v>
                </c:pt>
                <c:pt idx="6">
                  <c:v>1</c:v>
                </c:pt>
                <c:pt idx="7">
                  <c:v>1</c:v>
                </c:pt>
                <c:pt idx="8">
                  <c:v>1</c:v>
                </c:pt>
              </c:numCache>
            </c:numRef>
          </c:val>
        </c:ser>
        <c:ser>
          <c:idx val="4"/>
          <c:order val="3"/>
          <c:tx>
            <c:strRef>
              <c:f>'Land Use'!$D$36</c:f>
              <c:strCache>
                <c:ptCount val="1"/>
                <c:pt idx="0">
                  <c:v>Number of 500 MW standby generators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Use'!$H$36:$P$36</c:f>
              <c:numCache>
                <c:formatCode>#,##0_);\(#,##0\);"-"_);@</c:formatCode>
                <c:ptCount val="9"/>
                <c:pt idx="0">
                  <c:v>0.83988753560064744</c:v>
                </c:pt>
                <c:pt idx="1">
                  <c:v>1.632408813965299</c:v>
                </c:pt>
                <c:pt idx="2">
                  <c:v>1.7530518449499652</c:v>
                </c:pt>
                <c:pt idx="3">
                  <c:v>0</c:v>
                </c:pt>
                <c:pt idx="4">
                  <c:v>0</c:v>
                </c:pt>
                <c:pt idx="5">
                  <c:v>0</c:v>
                </c:pt>
                <c:pt idx="6">
                  <c:v>0</c:v>
                </c:pt>
                <c:pt idx="7">
                  <c:v>0</c:v>
                </c:pt>
                <c:pt idx="8">
                  <c:v>0</c:v>
                </c:pt>
              </c:numCache>
            </c:numRef>
          </c:val>
        </c:ser>
        <c:ser>
          <c:idx val="5"/>
          <c:order val="4"/>
          <c:tx>
            <c:strRef>
              <c:f>'Land Use'!$D$37</c:f>
              <c:strCache>
                <c:ptCount val="1"/>
                <c:pt idx="0">
                  <c:v>Number of waste to energy facilities (0.25 Mt capacity)</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Use'!$H$37:$P$37</c:f>
              <c:numCache>
                <c:formatCode>#,##0_);\(#,##0\);"-"_);@</c:formatCode>
                <c:ptCount val="9"/>
                <c:pt idx="0">
                  <c:v>0.69393436000000008</c:v>
                </c:pt>
                <c:pt idx="1">
                  <c:v>0.754344448</c:v>
                </c:pt>
                <c:pt idx="2">
                  <c:v>2.9229970673625103</c:v>
                </c:pt>
                <c:pt idx="3">
                  <c:v>2.836473511223963</c:v>
                </c:pt>
                <c:pt idx="4">
                  <c:v>2.7522736344777217</c:v>
                </c:pt>
                <c:pt idx="5">
                  <c:v>2.7235746188709729</c:v>
                </c:pt>
                <c:pt idx="6">
                  <c:v>2.6973290280266586</c:v>
                </c:pt>
                <c:pt idx="7">
                  <c:v>2.6666126360314557</c:v>
                </c:pt>
                <c:pt idx="8">
                  <c:v>2.6260325485003251</c:v>
                </c:pt>
              </c:numCache>
            </c:numRef>
          </c:val>
        </c:ser>
        <c:marker val="1"/>
        <c:axId val="162986240"/>
        <c:axId val="162729984"/>
      </c:lineChart>
      <c:catAx>
        <c:axId val="162986240"/>
        <c:scaling>
          <c:orientation val="minMax"/>
        </c:scaling>
        <c:axPos val="b"/>
        <c:numFmt formatCode="General" sourceLinked="1"/>
        <c:tickLblPos val="nextTo"/>
        <c:crossAx val="162729984"/>
        <c:crosses val="autoZero"/>
        <c:auto val="1"/>
        <c:lblAlgn val="ctr"/>
        <c:lblOffset val="100"/>
      </c:catAx>
      <c:valAx>
        <c:axId val="162729984"/>
        <c:scaling>
          <c:orientation val="minMax"/>
        </c:scaling>
        <c:axPos val="l"/>
        <c:numFmt formatCode="#,##0_);\(#,##0\);&quot;-&quot;_);@" sourceLinked="1"/>
        <c:tickLblPos val="nextTo"/>
        <c:crossAx val="162986240"/>
        <c:crosses val="autoZero"/>
        <c:crossBetween val="between"/>
      </c:valAx>
      <c:spPr>
        <a:noFill/>
      </c:spPr>
    </c:plotArea>
    <c:legend>
      <c:legendPos val="r"/>
      <c:layout>
        <c:manualLayout>
          <c:xMode val="edge"/>
          <c:yMode val="edge"/>
          <c:x val="0.69093796018860476"/>
          <c:y val="0.15323218490400814"/>
          <c:w val="0.29490274777599906"/>
          <c:h val="0.79002983086332212"/>
        </c:manualLayout>
      </c:layout>
    </c:legend>
    <c:plotVisOnly val="1"/>
  </c:chart>
  <c:spPr>
    <a:noFill/>
    <a:ln>
      <a:noFill/>
    </a:ln>
  </c:spPr>
  <c:printSettings>
    <c:headerFooter/>
    <c:pageMargins b="0.75000000000000422" l="0.70000000000000062" r="0.70000000000000062" t="0.75000000000000422" header="0.30000000000000032" footer="0.3000000000000003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18" Type="http://schemas.openxmlformats.org/officeDocument/2006/relationships/chart" Target="../charts/chart22.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17" Type="http://schemas.openxmlformats.org/officeDocument/2006/relationships/chart" Target="../charts/chart21.xml"/><Relationship Id="rId2" Type="http://schemas.openxmlformats.org/officeDocument/2006/relationships/chart" Target="../charts/chart6.xml"/><Relationship Id="rId16" Type="http://schemas.openxmlformats.org/officeDocument/2006/relationships/chart" Target="../charts/chart20.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5" Type="http://schemas.openxmlformats.org/officeDocument/2006/relationships/chart" Target="../charts/chart19.xml"/><Relationship Id="rId10" Type="http://schemas.openxmlformats.org/officeDocument/2006/relationships/chart" Target="../charts/chart14.xml"/><Relationship Id="rId19" Type="http://schemas.openxmlformats.org/officeDocument/2006/relationships/chart" Target="../charts/chart23.xml"/><Relationship Id="rId4" Type="http://schemas.openxmlformats.org/officeDocument/2006/relationships/chart" Target="../charts/chart8.xml"/><Relationship Id="rId9" Type="http://schemas.openxmlformats.org/officeDocument/2006/relationships/chart" Target="../charts/chart13.xml"/><Relationship Id="rId14" Type="http://schemas.openxmlformats.org/officeDocument/2006/relationships/chart" Target="../charts/chart1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31</xdr:col>
      <xdr:colOff>34636</xdr:colOff>
      <xdr:row>24</xdr:row>
      <xdr:rowOff>49950</xdr:rowOff>
    </xdr:from>
    <xdr:to>
      <xdr:col>41</xdr:col>
      <xdr:colOff>519545</xdr:colOff>
      <xdr:row>37</xdr:row>
      <xdr:rowOff>36601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0</xdr:colOff>
      <xdr:row>3</xdr:row>
      <xdr:rowOff>0</xdr:rowOff>
    </xdr:from>
    <xdr:to>
      <xdr:col>42</xdr:col>
      <xdr:colOff>0</xdr:colOff>
      <xdr:row>21</xdr:row>
      <xdr:rowOff>158099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69273</xdr:colOff>
      <xdr:row>40</xdr:row>
      <xdr:rowOff>173181</xdr:rowOff>
    </xdr:from>
    <xdr:to>
      <xdr:col>41</xdr:col>
      <xdr:colOff>615830</xdr:colOff>
      <xdr:row>53</xdr:row>
      <xdr:rowOff>173180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242453</xdr:colOff>
      <xdr:row>3</xdr:row>
      <xdr:rowOff>69273</xdr:rowOff>
    </xdr:from>
    <xdr:to>
      <xdr:col>53</xdr:col>
      <xdr:colOff>492847</xdr:colOff>
      <xdr:row>27</xdr:row>
      <xdr:rowOff>51955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44</xdr:col>
      <xdr:colOff>421984</xdr:colOff>
      <xdr:row>15</xdr:row>
      <xdr:rowOff>177991</xdr:rowOff>
    </xdr:from>
    <xdr:ext cx="663771" cy="311496"/>
    <xdr:sp macro="" textlink="">
      <xdr:nvSpPr>
        <xdr:cNvPr id="6" name="TextBox 5"/>
        <xdr:cNvSpPr txBox="1"/>
      </xdr:nvSpPr>
      <xdr:spPr>
        <a:xfrm>
          <a:off x="31797334" y="6521641"/>
          <a:ext cx="663771" cy="311496"/>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GB" sz="1400" b="1">
              <a:solidFill>
                <a:schemeClr val="bg1"/>
              </a:solidFill>
              <a:latin typeface="+mj-lt"/>
            </a:rPr>
            <a:t>Target</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61</xdr:col>
      <xdr:colOff>452438</xdr:colOff>
      <xdr:row>2</xdr:row>
      <xdr:rowOff>238125</xdr:rowOff>
    </xdr:from>
    <xdr:to>
      <xdr:col>71</xdr:col>
      <xdr:colOff>214313</xdr:colOff>
      <xdr:row>20</xdr:row>
      <xdr:rowOff>59531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476250</xdr:colOff>
      <xdr:row>22</xdr:row>
      <xdr:rowOff>119062</xdr:rowOff>
    </xdr:from>
    <xdr:to>
      <xdr:col>71</xdr:col>
      <xdr:colOff>261938</xdr:colOff>
      <xdr:row>40</xdr:row>
      <xdr:rowOff>35719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559593</xdr:colOff>
      <xdr:row>78</xdr:row>
      <xdr:rowOff>166688</xdr:rowOff>
    </xdr:from>
    <xdr:to>
      <xdr:col>72</xdr:col>
      <xdr:colOff>71436</xdr:colOff>
      <xdr:row>86</xdr:row>
      <xdr:rowOff>178594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642938</xdr:colOff>
      <xdr:row>93</xdr:row>
      <xdr:rowOff>178592</xdr:rowOff>
    </xdr:from>
    <xdr:to>
      <xdr:col>71</xdr:col>
      <xdr:colOff>345282</xdr:colOff>
      <xdr:row>113</xdr:row>
      <xdr:rowOff>35719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61</xdr:col>
      <xdr:colOff>714376</xdr:colOff>
      <xdr:row>113</xdr:row>
      <xdr:rowOff>119064</xdr:rowOff>
    </xdr:from>
    <xdr:to>
      <xdr:col>72</xdr:col>
      <xdr:colOff>59532</xdr:colOff>
      <xdr:row>132</xdr:row>
      <xdr:rowOff>130970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61</xdr:col>
      <xdr:colOff>464344</xdr:colOff>
      <xdr:row>136</xdr:row>
      <xdr:rowOff>142875</xdr:rowOff>
    </xdr:from>
    <xdr:to>
      <xdr:col>71</xdr:col>
      <xdr:colOff>166688</xdr:colOff>
      <xdr:row>169</xdr:row>
      <xdr:rowOff>35719</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61</xdr:col>
      <xdr:colOff>511969</xdr:colOff>
      <xdr:row>171</xdr:row>
      <xdr:rowOff>130969</xdr:rowOff>
    </xdr:from>
    <xdr:to>
      <xdr:col>71</xdr:col>
      <xdr:colOff>214313</xdr:colOff>
      <xdr:row>204</xdr:row>
      <xdr:rowOff>130970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61</xdr:col>
      <xdr:colOff>523876</xdr:colOff>
      <xdr:row>210</xdr:row>
      <xdr:rowOff>23813</xdr:rowOff>
    </xdr:from>
    <xdr:to>
      <xdr:col>71</xdr:col>
      <xdr:colOff>226220</xdr:colOff>
      <xdr:row>220</xdr:row>
      <xdr:rowOff>178593</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61</xdr:col>
      <xdr:colOff>500061</xdr:colOff>
      <xdr:row>222</xdr:row>
      <xdr:rowOff>1</xdr:rowOff>
    </xdr:from>
    <xdr:to>
      <xdr:col>72</xdr:col>
      <xdr:colOff>261936</xdr:colOff>
      <xdr:row>232</xdr:row>
      <xdr:rowOff>95250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61</xdr:col>
      <xdr:colOff>511968</xdr:colOff>
      <xdr:row>233</xdr:row>
      <xdr:rowOff>23813</xdr:rowOff>
    </xdr:from>
    <xdr:to>
      <xdr:col>72</xdr:col>
      <xdr:colOff>285749</xdr:colOff>
      <xdr:row>243</xdr:row>
      <xdr:rowOff>11906</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61</xdr:col>
      <xdr:colOff>559593</xdr:colOff>
      <xdr:row>243</xdr:row>
      <xdr:rowOff>83344</xdr:rowOff>
    </xdr:from>
    <xdr:to>
      <xdr:col>72</xdr:col>
      <xdr:colOff>333374</xdr:colOff>
      <xdr:row>254</xdr:row>
      <xdr:rowOff>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61</xdr:col>
      <xdr:colOff>428626</xdr:colOff>
      <xdr:row>281</xdr:row>
      <xdr:rowOff>142875</xdr:rowOff>
    </xdr:from>
    <xdr:to>
      <xdr:col>72</xdr:col>
      <xdr:colOff>214312</xdr:colOff>
      <xdr:row>299</xdr:row>
      <xdr:rowOff>47626</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61</xdr:col>
      <xdr:colOff>500063</xdr:colOff>
      <xdr:row>258</xdr:row>
      <xdr:rowOff>59531</xdr:rowOff>
    </xdr:from>
    <xdr:to>
      <xdr:col>71</xdr:col>
      <xdr:colOff>273845</xdr:colOff>
      <xdr:row>277</xdr:row>
      <xdr:rowOff>71437</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61</xdr:col>
      <xdr:colOff>333375</xdr:colOff>
      <xdr:row>303</xdr:row>
      <xdr:rowOff>59531</xdr:rowOff>
    </xdr:from>
    <xdr:to>
      <xdr:col>72</xdr:col>
      <xdr:colOff>119061</xdr:colOff>
      <xdr:row>324</xdr:row>
      <xdr:rowOff>154781</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74</xdr:col>
      <xdr:colOff>0</xdr:colOff>
      <xdr:row>2</xdr:row>
      <xdr:rowOff>142873</xdr:rowOff>
    </xdr:from>
    <xdr:to>
      <xdr:col>80</xdr:col>
      <xdr:colOff>250031</xdr:colOff>
      <xdr:row>22</xdr:row>
      <xdr:rowOff>47625</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74</xdr:col>
      <xdr:colOff>1</xdr:colOff>
      <xdr:row>23</xdr:row>
      <xdr:rowOff>142875</xdr:rowOff>
    </xdr:from>
    <xdr:to>
      <xdr:col>80</xdr:col>
      <xdr:colOff>285750</xdr:colOff>
      <xdr:row>44</xdr:row>
      <xdr:rowOff>47627</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73</xdr:col>
      <xdr:colOff>452438</xdr:colOff>
      <xdr:row>176</xdr:row>
      <xdr:rowOff>95250</xdr:rowOff>
    </xdr:from>
    <xdr:to>
      <xdr:col>80</xdr:col>
      <xdr:colOff>130968</xdr:colOff>
      <xdr:row>197</xdr:row>
      <xdr:rowOff>35721</xdr:rowOff>
    </xdr:to>
    <xdr:graphicFrame macro="">
      <xdr:nvGraphicFramePr>
        <xdr:cNvPr id="22" name="Chart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74</xdr:col>
      <xdr:colOff>59532</xdr:colOff>
      <xdr:row>114</xdr:row>
      <xdr:rowOff>166687</xdr:rowOff>
    </xdr:from>
    <xdr:to>
      <xdr:col>80</xdr:col>
      <xdr:colOff>345281</xdr:colOff>
      <xdr:row>134</xdr:row>
      <xdr:rowOff>261939</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73</xdr:col>
      <xdr:colOff>559594</xdr:colOff>
      <xdr:row>93</xdr:row>
      <xdr:rowOff>71437</xdr:rowOff>
    </xdr:from>
    <xdr:to>
      <xdr:col>80</xdr:col>
      <xdr:colOff>238124</xdr:colOff>
      <xdr:row>113</xdr:row>
      <xdr:rowOff>154783</xdr:rowOff>
    </xdr:to>
    <xdr:graphicFrame macro="">
      <xdr:nvGraphicFramePr>
        <xdr:cNvPr id="24" name="Chart 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xdr:col>
      <xdr:colOff>297656</xdr:colOff>
      <xdr:row>3</xdr:row>
      <xdr:rowOff>71437</xdr:rowOff>
    </xdr:from>
    <xdr:to>
      <xdr:col>27</xdr:col>
      <xdr:colOff>440530</xdr:colOff>
      <xdr:row>20</xdr:row>
      <xdr:rowOff>166688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464344</xdr:colOff>
      <xdr:row>21</xdr:row>
      <xdr:rowOff>142875</xdr:rowOff>
    </xdr:from>
    <xdr:to>
      <xdr:col>27</xdr:col>
      <xdr:colOff>142875</xdr:colOff>
      <xdr:row>37</xdr:row>
      <xdr:rowOff>178594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71436</xdr:colOff>
      <xdr:row>39</xdr:row>
      <xdr:rowOff>59531</xdr:rowOff>
    </xdr:from>
    <xdr:to>
      <xdr:col>27</xdr:col>
      <xdr:colOff>595311</xdr:colOff>
      <xdr:row>55</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arah/Dropbox/Public/DECC%20Excel%20version.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ntrol"/>
      <sheetName val="Preferences"/>
      <sheetName val="Intermediate output"/>
      <sheetName val="Land Use"/>
      <sheetName val="Flows"/>
      <sheetName val="CostPerCapita"/>
      <sheetName val="CostAbsolute"/>
      <sheetName val="AQ Outputs"/>
      <sheetName val="AQImpactHInv"/>
      <sheetName val="AQImpactLInv"/>
      <sheetName val="Other AQ Sources"/>
      <sheetName val="Conversions"/>
      <sheetName val="Global assumptions"/>
      <sheetName val="Constants"/>
      <sheetName val="Structure of the model"/>
      <sheetName val="I.a"/>
      <sheetName val="I.b"/>
      <sheetName val="II.a"/>
      <sheetName val="III.a.1"/>
      <sheetName val="III.a.2"/>
      <sheetName val="III.b"/>
      <sheetName val="III.c"/>
      <sheetName val="III.d"/>
      <sheetName val="IV.a"/>
      <sheetName val="IV.b"/>
      <sheetName val="IV.c"/>
      <sheetName val="V.a"/>
      <sheetName val="V.b"/>
      <sheetName val="VI.a"/>
      <sheetName val="VI.b"/>
      <sheetName val="VI.c"/>
      <sheetName val="VII.a"/>
      <sheetName val="VII.b"/>
      <sheetName val="VII.c"/>
      <sheetName val="VIII.a"/>
      <sheetName val="IX.a"/>
      <sheetName val="IX.c"/>
      <sheetName val="X.a"/>
      <sheetName val="X.b"/>
      <sheetName val="XI.a"/>
      <sheetName val="XII.a"/>
      <sheetName val="XII.b"/>
      <sheetName val="XII.c"/>
      <sheetName val="XII.e"/>
      <sheetName val="XIV.a"/>
      <sheetName val="XV.a"/>
      <sheetName val="XV.b"/>
      <sheetName val="XVI.a"/>
      <sheetName val="XVI.b"/>
      <sheetName val="XVII.a"/>
      <sheetName val="XVIII.a"/>
      <sheetName val="2007 (Actual, frozen)"/>
      <sheetName val="2007 (Consistent)"/>
      <sheetName val="2007"/>
      <sheetName val="2010"/>
      <sheetName val="2015"/>
      <sheetName val="2020"/>
      <sheetName val="2025"/>
      <sheetName val="2030"/>
      <sheetName val="2035"/>
      <sheetName val="2040"/>
      <sheetName val="2045"/>
      <sheetName val="2050"/>
      <sheetName val="DUKES 09 (1.2)"/>
      <sheetName val="DUKES 09 (1.9)"/>
      <sheetName val="DUKES 09 (2.5)"/>
      <sheetName val="DUKES 09 (5.1)"/>
      <sheetName val="DUKES 09 (5.6)"/>
      <sheetName val="DUKES 09 (7.2)"/>
      <sheetName val="DUKES 09 (7.4)"/>
      <sheetName val="DUKES 09 (A.1)"/>
      <sheetName val="DECC Energy Cons. (1.14)"/>
      <sheetName val="DECC Energy Cons. (4.1)"/>
      <sheetName val="DECC Excel version"/>
    </sheetNames>
    <sheetDataSet>
      <sheetData sheetId="0" refreshError="1"/>
      <sheetData sheetId="1">
        <row r="3">
          <cell r="F3">
            <v>3599999999999999.5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3">
          <cell r="F33">
            <v>1.0000000000000001E-9</v>
          </cell>
        </row>
      </sheetData>
      <sheetData sheetId="12">
        <row r="21">
          <cell r="D21">
            <v>110</v>
          </cell>
        </row>
      </sheetData>
      <sheetData sheetId="13">
        <row r="9">
          <cell r="K9">
            <v>21</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tables/table1.xml><?xml version="1.0" encoding="utf-8"?>
<table xmlns="http://schemas.openxmlformats.org/spreadsheetml/2006/main" id="138" name="Bioshare" displayName="Bioshare" ref="D252:BG255" totalsRowShown="0" headerRowDxfId="3066" dataDxfId="3065" headerRowCellStyle="Percent 2" dataCellStyle="Percent 2">
  <autoFilter ref="D252:BG255"/>
  <tableColumns count="56">
    <tableColumn id="1" name="Bio type" dataDxfId="3064"/>
    <tableColumn id="2" name="Column1" dataDxfId="3063"/>
    <tableColumn id="3" name="Column2" dataDxfId="3062"/>
    <tableColumn id="4" name="Column22" dataDxfId="3061"/>
    <tableColumn id="5" name="Column23" dataDxfId="3060"/>
    <tableColumn id="6" name="Column24" dataDxfId="3059"/>
    <tableColumn id="7" name="Column25" dataDxfId="3058"/>
    <tableColumn id="8" name="Column26" dataDxfId="3057"/>
    <tableColumn id="9" name="Column27" dataDxfId="3056"/>
    <tableColumn id="10" name="Column28" dataDxfId="3055"/>
    <tableColumn id="11" name="Column29" dataDxfId="3054"/>
    <tableColumn id="12" name="Column30" dataDxfId="3053"/>
    <tableColumn id="13" name="Column31" dataDxfId="3052"/>
    <tableColumn id="14" name="Column32" dataDxfId="3051"/>
    <tableColumn id="15" name="Column33" dataDxfId="3050"/>
    <tableColumn id="16" name="Column34" dataDxfId="3049"/>
    <tableColumn id="17" name="Column35" dataDxfId="3048"/>
    <tableColumn id="18" name="Column36" dataDxfId="3047"/>
    <tableColumn id="19" name="Column37" dataDxfId="3046"/>
    <tableColumn id="20" name="Column38" dataDxfId="3045"/>
    <tableColumn id="21" name="Column39" dataDxfId="3044"/>
    <tableColumn id="22" name="Column40" dataDxfId="3043"/>
    <tableColumn id="23" name="Column41" dataDxfId="3042"/>
    <tableColumn id="24" name="Column42" dataDxfId="3041"/>
    <tableColumn id="25" name="Column43" dataDxfId="3040"/>
    <tableColumn id="26" name="Column44" dataDxfId="3039"/>
    <tableColumn id="27" name="Column45" dataDxfId="3038"/>
    <tableColumn id="28" name="Column46" dataDxfId="3037"/>
    <tableColumn id="29" name="Column47" dataDxfId="3036"/>
    <tableColumn id="30" name="Column48" dataDxfId="3035"/>
    <tableColumn id="31" name="Column49" dataDxfId="3034"/>
    <tableColumn id="32" name="Column50" dataDxfId="3033"/>
    <tableColumn id="33" name="Column51" dataDxfId="3032"/>
    <tableColumn id="34" name="Column52" dataDxfId="3031"/>
    <tableColumn id="35" name="Column53" dataDxfId="3030"/>
    <tableColumn id="36" name="Column54" dataDxfId="3029"/>
    <tableColumn id="37" name="Column55" dataDxfId="3028"/>
    <tableColumn id="38" name="Column56" dataDxfId="3027"/>
    <tableColumn id="39" name="Column57" dataDxfId="3026"/>
    <tableColumn id="40" name="Column58" dataDxfId="3025"/>
    <tableColumn id="41" name="Column59" dataDxfId="3024"/>
    <tableColumn id="42" name="Column60" dataDxfId="3023"/>
    <tableColumn id="43" name="Column61" dataDxfId="3022"/>
    <tableColumn id="44" name="Column612" dataDxfId="3021"/>
    <tableColumn id="45" name="Column62" dataDxfId="3020"/>
    <tableColumn id="46" name="Column63" dataDxfId="3019"/>
    <tableColumn id="47" name="Column3" dataDxfId="3018"/>
    <tableColumn id="48" name="2013" dataDxfId="3017" dataCellStyle="Percent 2"/>
    <tableColumn id="49" name="2015" dataDxfId="3016" dataCellStyle="Percent 2"/>
    <tableColumn id="50" name="2020" dataDxfId="3015" dataCellStyle="Percent 2"/>
    <tableColumn id="51" name="2025" dataDxfId="3014" dataCellStyle="Percent 2"/>
    <tableColumn id="52" name="2030" dataDxfId="3013" dataCellStyle="Percent 2"/>
    <tableColumn id="53" name="2035" dataDxfId="3012" dataCellStyle="Percent 2"/>
    <tableColumn id="54" name="2040" dataDxfId="3011" dataCellStyle="Percent 2"/>
    <tableColumn id="55" name="2045" dataDxfId="3010" dataCellStyle="Percent 2"/>
    <tableColumn id="56" name="2050" dataDxfId="3009" dataCellStyle="Percent 2"/>
  </tableColumns>
  <tableStyleInfo name="TableStyleMedium9" showFirstColumn="0" showLastColumn="0" showRowStripes="1" showColumnStripes="0"/>
</table>
</file>

<file path=xl/tables/table2.xml><?xml version="1.0" encoding="utf-8"?>
<table xmlns="http://schemas.openxmlformats.org/spreadsheetml/2006/main" id="159" name="FlowsTable" displayName="FlowsTable" ref="C5:M94" totalsRowShown="0" headerRowDxfId="3005" dataDxfId="3004" dataCellStyle="Comma 3">
  <autoFilter ref="C5:M94"/>
  <tableColumns count="11">
    <tableColumn id="1" name="From" dataDxfId="3003" dataCellStyle="Normal 2"/>
    <tableColumn id="2" name="To" dataDxfId="3002" dataCellStyle="Comma 3"/>
    <tableColumn id="3" name="2013" dataDxfId="3001" dataCellStyle="Comma 3"/>
    <tableColumn id="4" name="2015" dataDxfId="3000" dataCellStyle="Comma 3"/>
    <tableColumn id="5" name="2020" dataDxfId="2999" dataCellStyle="Comma 3"/>
    <tableColumn id="6" name="2025" dataDxfId="2998" dataCellStyle="Comma 3"/>
    <tableColumn id="7" name="2030" dataDxfId="2997" dataCellStyle="Comma 3"/>
    <tableColumn id="8" name="2035" dataDxfId="2996" dataCellStyle="Comma 3"/>
    <tableColumn id="9" name="2040" dataDxfId="2995" dataCellStyle="Comma 3"/>
    <tableColumn id="10" name="2045" dataDxfId="2994" dataCellStyle="Comma 3"/>
    <tableColumn id="11" name="2050" dataDxfId="2993" dataCellStyle="Comma 3"/>
  </tableColumns>
  <tableStyleInfo name="EnergyCalcTables" showFirstColumn="0" showLastColumn="0" showRowStripes="1" showColumnStripes="0"/>
</table>
</file>

<file path=xl/tables/table3.xml><?xml version="1.0" encoding="utf-8"?>
<table xmlns="http://schemas.openxmlformats.org/spreadsheetml/2006/main" id="160" name="bioenergy.credit.factors" displayName="bioenergy.credit.factors" ref="C130:M133" totalsRowShown="0" headerRowDxfId="2992" dataDxfId="2991" dataCellStyle="Comma 3">
  <autoFilter ref="C130:M133"/>
  <tableColumns count="11">
    <tableColumn id="1" name="Vector" dataDxfId="2990"/>
    <tableColumn id="2" name="Credit from growing bioenergy" dataDxfId="2989"/>
    <tableColumn id="3" name="2013" dataDxfId="2988" dataCellStyle="Comma 3">
      <calculatedColumnFormula>INDEX(EF[CO2e], MATCH($C131, EF[Vector], 0))*(E125)</calculatedColumnFormula>
    </tableColumn>
    <tableColumn id="4" name="2015" dataDxfId="2987" dataCellStyle="Comma 3">
      <calculatedColumnFormula>INDEX(EF[CO2e], MATCH($C131, EF[Vector], 0))*(F125)</calculatedColumnFormula>
    </tableColumn>
    <tableColumn id="5" name="2020" dataDxfId="2986" dataCellStyle="Comma 3">
      <calculatedColumnFormula>INDEX(EF[CO2e], MATCH($C131, EF[Vector], 0))*(G125)</calculatedColumnFormula>
    </tableColumn>
    <tableColumn id="6" name="2025" dataDxfId="2985" dataCellStyle="Comma 3">
      <calculatedColumnFormula>INDEX(EF[CO2e], MATCH($C131, EF[Vector], 0))*(H125)</calculatedColumnFormula>
    </tableColumn>
    <tableColumn id="7" name="2030" dataDxfId="2984" dataCellStyle="Comma 3">
      <calculatedColumnFormula>INDEX(EF[CO2e], MATCH($C131, EF[Vector], 0))*(I125)</calculatedColumnFormula>
    </tableColumn>
    <tableColumn id="8" name="2035" dataDxfId="2983" dataCellStyle="Comma 3">
      <calculatedColumnFormula>INDEX(EF[CO2e], MATCH($C131, EF[Vector], 0))*(J125)</calculatedColumnFormula>
    </tableColumn>
    <tableColumn id="9" name="2040" dataDxfId="2982" dataCellStyle="Comma 3">
      <calculatedColumnFormula>INDEX(EF[CO2e], MATCH($C131, EF[Vector], 0))*(K125)</calculatedColumnFormula>
    </tableColumn>
    <tableColumn id="10" name="2045" dataDxfId="2981" dataCellStyle="Comma 3">
      <calculatedColumnFormula>INDEX(EF[CO2e], MATCH($C131, EF[Vector], 0))*(L125)</calculatedColumnFormula>
    </tableColumn>
    <tableColumn id="11" name="2050" dataDxfId="2980" dataCellStyle="Comma 3">
      <calculatedColumnFormula>INDEX(EF[CO2e], MATCH($C131, EF[Vector], 0))*(M125)</calculatedColumnFormula>
    </tableColumn>
  </tableColumns>
  <tableStyleInfo name="EnergyCalcTables" showFirstColumn="0" showLastColumn="0" showRowStripes="1" showColumnStripes="0"/>
</table>
</file>

<file path=xl/tables/table4.xml><?xml version="1.0" encoding="utf-8"?>
<table xmlns="http://schemas.openxmlformats.org/spreadsheetml/2006/main" id="24" name="Global.Assumptions" displayName="Global.Assumptions" ref="B5:D15" totalsRowCount="1" headerRowDxfId="2979" dataDxfId="2978">
  <autoFilter ref="B5:D14"/>
  <tableColumns count="3">
    <tableColumn id="1" name="Year" dataDxfId="2977" totalsRowDxfId="2976"/>
    <tableColumn id="2" name="Population" totalsRowFunction="average" dataDxfId="2975" totalsRowDxfId="2974" dataCellStyle="Comma"/>
    <tableColumn id="3" name="Households" dataDxfId="2973" totalsRowDxfId="2972" dataCellStyle="Comma"/>
  </tableColumns>
  <tableStyleInfo name="EnergyCalcTables" showFirstColumn="0" showLastColumn="0" showRowStripes="0" showColumnStripes="0"/>
</table>
</file>

<file path=xl/tables/table5.xml><?xml version="1.0" encoding="utf-8"?>
<table xmlns="http://schemas.openxmlformats.org/spreadsheetml/2006/main" id="25" name="EF" displayName="EF" ref="B45:H92" totalsRowShown="0" headerRowDxfId="2971" dataDxfId="2970">
  <autoFilter ref="B45:H92"/>
  <tableColumns count="7">
    <tableColumn id="1" name="Vector" dataDxfId="2969"/>
    <tableColumn id="6" name="Description" dataDxfId="2968"/>
    <tableColumn id="2" name="CO2" dataDxfId="2967" dataCellStyle="Comma"/>
    <tableColumn id="3" name="CH4" dataDxfId="2966" dataCellStyle="Comma"/>
    <tableColumn id="4" name="N2O" dataDxfId="2965" dataCellStyle="Comma"/>
    <tableColumn id="7" name="CO2e" dataDxfId="2964" dataCellStyle="Comma">
      <calculatedColumnFormula>SUM(EF[[#This Row],[CO2]:[N2O]])</calculatedColumnFormula>
    </tableColumn>
    <tableColumn id="5" name="Comments" dataDxfId="2963"/>
  </tableColumns>
  <tableStyleInfo name="TableStyleMedium12" showFirstColumn="0" showLastColumn="0" showRowStripes="1" showColumnStripes="0"/>
</table>
</file>

<file path=xl/tables/table6.xml><?xml version="1.0" encoding="utf-8"?>
<table xmlns="http://schemas.openxmlformats.org/spreadsheetml/2006/main" id="26" name="Constants.BM_AQ_Emis" displayName="Constants.BM_AQ_Emis" ref="E34:I38" totalsRowShown="0">
  <autoFilter ref="E34:I38"/>
  <tableColumns count="5">
    <tableColumn id="1" name="Fueltype"/>
    <tableColumn id="2" name="PM10" dataDxfId="2962"/>
    <tableColumn id="3" name="NOX" dataDxfId="2961"/>
    <tableColumn id="4" name="SO2" dataDxfId="2960"/>
    <tableColumn id="5" name="NMVOC" dataDxfId="2959"/>
  </tableColumns>
  <tableStyleInfo name="TableStyleMedium9" showFirstColumn="0" showLastColumn="0" showRowStripes="1" showColumnStripes="0"/>
</table>
</file>

<file path=xl/tables/table7.xml><?xml version="1.0" encoding="utf-8"?>
<table xmlns="http://schemas.openxmlformats.org/spreadsheetml/2006/main" id="8" name="Workstreams" displayName="Workstreams" ref="B6:C24" totalsRowShown="0" headerRowDxfId="2958" dataDxfId="2957">
  <autoFilter ref="B6:C24"/>
  <tableColumns count="2">
    <tableColumn id="1" name="Code" dataDxfId="2956"/>
    <tableColumn id="2" name="Workstream" dataDxfId="2955"/>
  </tableColumns>
  <tableStyleInfo name="TableStyleMedium9" showFirstColumn="0" showLastColumn="0" showRowStripes="1" showColumnStripes="0"/>
</table>
</file>

<file path=xl/tables/table8.xml><?xml version="1.0" encoding="utf-8"?>
<table xmlns="http://schemas.openxmlformats.org/spreadsheetml/2006/main" id="10" name="Modules" displayName="Modules" ref="F6:J49" totalsRowShown="0" headerRowDxfId="2954" dataDxfId="2953">
  <autoFilter ref="F6:J49"/>
  <sortState ref="F7:M22">
    <sortCondition ref="F3:F19"/>
  </sortState>
  <tableColumns count="5">
    <tableColumn id="1" name="Code" dataDxfId="2952"/>
    <tableColumn id="2" name="Module" dataDxfId="2951"/>
    <tableColumn id="7" name="WS Code" dataDxfId="2950">
      <calculatedColumnFormula>LEFT([Code], FIND(".", [Code])-1)</calculatedColumnFormula>
    </tableColumn>
    <tableColumn id="6" name="Workstream" dataDxfId="2949">
      <calculatedColumnFormula>INDEX([1]!Workstreams[Workstream], MATCH([WS Code], [1]!Workstreams[Code], 0))</calculatedColumnFormula>
    </tableColumn>
    <tableColumn id="3" name="Comments" dataDxfId="2948"/>
  </tableColumns>
  <tableStyleInfo name="TableStyleMedium9" showFirstColumn="0" showLastColumn="0" showRowStripes="1" showColumnStripes="0"/>
</table>
</file>

<file path=xl/tables/table9.xml><?xml version="1.0" encoding="utf-8"?>
<table xmlns="http://schemas.openxmlformats.org/spreadsheetml/2006/main" id="22" name="Vectors" displayName="Vectors" ref="M6:Q68" totalsRowShown="0" headerRowDxfId="2947" dataDxfId="2946">
  <autoFilter ref="M6:Q68"/>
  <tableColumns count="5">
    <tableColumn id="1" name="Category" dataDxfId="2945"/>
    <tableColumn id="2" name="Subcategory" dataDxfId="2944"/>
    <tableColumn id="3" name="Code" dataDxfId="2943"/>
    <tableColumn id="4" name="Description" dataDxfId="2942"/>
    <tableColumn id="5" name="Comment" dataDxfId="2941"/>
  </tableColumns>
  <tableStyleInfo name="TableStyleMedium10" showFirstColumn="0" showLastColumn="0" showRowStripes="1" showColumnStripes="0"/>
</table>
</file>

<file path=xl/tables/table10.xml><?xml version="1.0" encoding="utf-8"?>
<table xmlns="http://schemas.openxmlformats.org/spreadsheetml/2006/main" id="29" name="IPCC" displayName="IPCC" ref="T6:V17" totalsRowShown="0" headerRowDxfId="2940" dataDxfId="2939">
  <autoFilter ref="T6:V17"/>
  <tableColumns count="3">
    <tableColumn id="1" name="Sector_code" dataDxfId="2938"/>
    <tableColumn id="2" name="Sector_description" dataDxfId="2937"/>
    <tableColumn id="3" name="Comment" dataDxfId="2936"/>
  </tableColumns>
  <tableStyleInfo name="TableStyleMedium11" showFirstColumn="0" showLastColumn="0" showRowStripes="1" showColumnStripes="0"/>
</table>
</file>

<file path=xl/tables/table11.xml><?xml version="1.0" encoding="utf-8"?>
<table xmlns="http://schemas.openxmlformats.org/spreadsheetml/2006/main" id="30" name="GHG" displayName="GHG" ref="T22:V26" totalsRowShown="0" headerRowDxfId="2935" dataDxfId="2934">
  <autoFilter ref="T22:V26"/>
  <tableColumns count="3">
    <tableColumn id="1" name="GHG_code" dataDxfId="2933"/>
    <tableColumn id="2" name="GHG_description" dataDxfId="2932"/>
    <tableColumn id="3" name="Comment" dataDxfId="2931"/>
  </tableColumns>
  <tableStyleInfo name="TableStyleMedium11" showFirstColumn="0" showLastColumn="0" showRowStripes="1" showColumnStripes="0"/>
</table>
</file>

<file path=xl/tables/table12.xml><?xml version="1.0" encoding="utf-8"?>
<table xmlns="http://schemas.openxmlformats.org/spreadsheetml/2006/main" id="31" name="CostVectors" displayName="CostVectors" ref="X6:Z17" totalsRowShown="0" headerRowBorderDxfId="2930" tableBorderDxfId="2929">
  <autoFilter ref="X6:Z17"/>
  <sortState ref="X7:Z12">
    <sortCondition ref="X4:X10"/>
  </sortState>
  <tableColumns count="3">
    <tableColumn id="1" name="Code" dataDxfId="2928"/>
    <tableColumn id="2" name="Description" dataDxfId="2927"/>
    <tableColumn id="3" name="Comment" dataDxfId="2926"/>
  </tableColumns>
  <tableStyleInfo name="EnergyCalcTables" showFirstColumn="0" showLastColumn="0" showRowStripes="1" showColumnStripes="0"/>
</table>
</file>

<file path=xl/tables/table13.xml><?xml version="1.0" encoding="utf-8"?>
<table xmlns="http://schemas.openxmlformats.org/spreadsheetml/2006/main" id="32" name="AirQualityVectors" displayName="AirQualityVectors" ref="X21:Z25" totalsRowShown="0" headerRowDxfId="2925" dataDxfId="2924">
  <autoFilter ref="X21:Z25"/>
  <tableColumns count="3">
    <tableColumn id="1" name="Code" dataDxfId="2923"/>
    <tableColumn id="2" name="Description" dataDxfId="2922"/>
    <tableColumn id="3" name="Comments" dataDxfId="2921"/>
  </tableColumns>
  <tableStyleInfo name="TableStyleMedium9" showFirstColumn="0" showLastColumn="0" showRowStripes="1" showColumnStripes="0"/>
</table>
</file>

<file path=xl/tables/table14.xml><?xml version="1.0" encoding="utf-8"?>
<table xmlns="http://schemas.openxmlformats.org/spreadsheetml/2006/main" id="28" name="I.a.Outputs" displayName="I.a.Outputs" ref="C335:N341" totalsRowShown="0" headerRowDxfId="2920" dataDxfId="2919" tableBorderDxfId="2918" dataCellStyle="Comma 3">
  <autoFilter ref="C335:N341"/>
  <tableColumns count="12">
    <tableColumn id="1" name="Vector" dataDxfId="2917"/>
    <tableColumn id="2" name="Name" dataDxfId="2916">
      <calculatedColumnFormula>INDEX(Vectors[Description], MATCH([Vector], Vectors[Code], 0))</calculatedColumnFormula>
    </tableColumn>
    <tableColumn id="3" name="Notes" dataDxfId="2915"/>
    <tableColumn id="4" name="2013" dataDxfId="2914" dataCellStyle="Comma 3"/>
    <tableColumn id="5" name="2015" dataDxfId="2913" dataCellStyle="Comma 3"/>
    <tableColumn id="6" name="2020" dataDxfId="2912" dataCellStyle="Comma 3"/>
    <tableColumn id="7" name="2025" dataDxfId="2911" dataCellStyle="Comma 3"/>
    <tableColumn id="8" name="2030" dataDxfId="2910" dataCellStyle="Comma 3"/>
    <tableColumn id="9" name="2035" dataDxfId="2909" dataCellStyle="Comma 3"/>
    <tableColumn id="10" name="2040" dataDxfId="2908" dataCellStyle="Comma 3"/>
    <tableColumn id="11" name="2045" dataDxfId="2907" dataCellStyle="Comma 3"/>
    <tableColumn id="12" name="2050" dataDxfId="2906" dataCellStyle="Comma 3"/>
  </tableColumns>
  <tableStyleInfo name="EnergyCalcTables" showFirstColumn="0" showLastColumn="0" showRowStripes="1" showColumnStripes="0"/>
</table>
</file>

<file path=xl/tables/table15.xml><?xml version="1.0" encoding="utf-8"?>
<table xmlns="http://schemas.openxmlformats.org/spreadsheetml/2006/main" id="34" name="I.a.Inputs" displayName="I.a.Inputs" ref="C14:N16" totalsRowShown="0" headerRowDxfId="2905" dataDxfId="2904" dataCellStyle="Comma">
  <autoFilter ref="C14:N16"/>
  <tableColumns count="12">
    <tableColumn id="1" name="Vector"/>
    <tableColumn id="2" name="Name"/>
    <tableColumn id="3" name="Notes"/>
    <tableColumn id="4" name="2013" dataDxfId="2903" dataCellStyle="Comma"/>
    <tableColumn id="5" name="2015" dataDxfId="2902" dataCellStyle="Comma"/>
    <tableColumn id="6" name="2020" dataDxfId="2901" dataCellStyle="Comma"/>
    <tableColumn id="7" name="2025" dataDxfId="2900" dataCellStyle="Comma"/>
    <tableColumn id="8" name="2030" dataDxfId="2899" dataCellStyle="Comma"/>
    <tableColumn id="9" name="2035" dataDxfId="2898" dataCellStyle="Comma"/>
    <tableColumn id="10" name="2040" dataDxfId="2897" dataCellStyle="Comma"/>
    <tableColumn id="11" name="2045" dataDxfId="2896" dataCellStyle="Comma"/>
    <tableColumn id="12" name="2050" dataDxfId="2895" dataCellStyle="Comma"/>
  </tableColumns>
  <tableStyleInfo name="EnergyCalcTables" showFirstColumn="0" showLastColumn="0" showRowStripes="1" showColumnStripes="0"/>
</table>
</file>

<file path=xl/tables/table16.xml><?xml version="1.0" encoding="utf-8"?>
<table xmlns="http://schemas.openxmlformats.org/spreadsheetml/2006/main" id="35" name="I.a.Emissions" displayName="I.a.Emissions" ref="C349:N352" totalsRowShown="0" headerRowDxfId="2894" dataDxfId="2892" headerRowBorderDxfId="2893" dataCellStyle="Comma">
  <autoFilter ref="C349:N352"/>
  <tableColumns count="12">
    <tableColumn id="1" name="GHG" dataDxfId="2891"/>
    <tableColumn id="2" name="IPCC Sector" dataDxfId="2890"/>
    <tableColumn id="3" name="Notes" dataDxfId="2889"/>
    <tableColumn id="4" name="2013" dataDxfId="2888" dataCellStyle="Comma 3"/>
    <tableColumn id="5" name="2015" dataDxfId="2887" dataCellStyle="Comma 3"/>
    <tableColumn id="6" name="2020" dataDxfId="2886" dataCellStyle="Comma 3"/>
    <tableColumn id="7" name="2025" dataDxfId="2885" dataCellStyle="Comma 3"/>
    <tableColumn id="8" name="2030" dataDxfId="2884" dataCellStyle="Comma 3"/>
    <tableColumn id="9" name="2035" dataDxfId="2883" dataCellStyle="Comma 3"/>
    <tableColumn id="10" name="2040" dataDxfId="2882" dataCellStyle="Comma 3"/>
    <tableColumn id="11" name="2045" dataDxfId="2881" dataCellStyle="Comma 3"/>
    <tableColumn id="12" name="2050" dataDxfId="2880" dataCellStyle="Comma 3"/>
  </tableColumns>
  <tableStyleInfo name="EnergyCalcTables" showFirstColumn="0" showLastColumn="0" showRowStripes="1" showColumnStripes="0"/>
</table>
</file>

<file path=xl/tables/table17.xml><?xml version="1.0" encoding="utf-8"?>
<table xmlns="http://schemas.openxmlformats.org/spreadsheetml/2006/main" id="37" name="I.a.AQ" displayName="I.a.AQ" ref="C357:N361" totalsRowShown="0" headerRowDxfId="2879" dataDxfId="2877" headerRowBorderDxfId="2878" tableBorderDxfId="2876" dataCellStyle="Comma 3">
  <autoFilter ref="C357:N361"/>
  <tableColumns count="12">
    <tableColumn id="1" name="Vector" dataDxfId="2875">
      <calculatedColumnFormula>INDEX(AirQualityVectors[Code],MATCH(D358,AirQualityVectors[Description],0))</calculatedColumnFormula>
    </tableColumn>
    <tableColumn id="2" name="Name" dataDxfId="2874"/>
    <tableColumn id="3" name="IPCC Sector" dataDxfId="2873"/>
    <tableColumn id="4" name="2013" dataDxfId="2872" dataCellStyle="Comma 3">
      <calculatedColumnFormula>F283</calculatedColumnFormula>
    </tableColumn>
    <tableColumn id="5" name="2015" dataDxfId="2871" dataCellStyle="Comma 3">
      <calculatedColumnFormula>G283</calculatedColumnFormula>
    </tableColumn>
    <tableColumn id="6" name="2020" dataDxfId="2870" dataCellStyle="Comma 3">
      <calculatedColumnFormula>H283</calculatedColumnFormula>
    </tableColumn>
    <tableColumn id="7" name="2025" dataDxfId="2869" dataCellStyle="Comma 3">
      <calculatedColumnFormula>I283</calculatedColumnFormula>
    </tableColumn>
    <tableColumn id="8" name="2030" dataDxfId="2868" dataCellStyle="Comma 3">
      <calculatedColumnFormula>J283</calculatedColumnFormula>
    </tableColumn>
    <tableColumn id="9" name="2035" dataDxfId="2867" dataCellStyle="Comma 3">
      <calculatedColumnFormula>K283</calculatedColumnFormula>
    </tableColumn>
    <tableColumn id="10" name="2040" dataDxfId="2866" dataCellStyle="Comma 3">
      <calculatedColumnFormula>L283</calculatedColumnFormula>
    </tableColumn>
    <tableColumn id="11" name="2045" dataDxfId="2865" dataCellStyle="Comma 3">
      <calculatedColumnFormula>M283</calculatedColumnFormula>
    </tableColumn>
    <tableColumn id="12" name="2050" dataDxfId="2864" dataCellStyle="Comma 3">
      <calculatedColumnFormula>N283</calculatedColumnFormula>
    </tableColumn>
  </tableColumns>
  <tableStyleInfo name="EnergyCalcTables" showFirstColumn="0" showLastColumn="0" showRowStripes="1" showColumnStripes="0"/>
</table>
</file>

<file path=xl/tables/table18.xml><?xml version="1.0" encoding="utf-8"?>
<table xmlns="http://schemas.openxmlformats.org/spreadsheetml/2006/main" id="38" name="I.a.Liquid.Info" displayName="I.a.Liquid.Info" ref="C368:N371" totalsRowShown="0" headerRowDxfId="2863" headerRowBorderDxfId="2862">
  <autoFilter ref="C368:N371"/>
  <tableColumns count="12">
    <tableColumn id="1" name="Vector" dataDxfId="2861"/>
    <tableColumn id="2" name="Information type" dataDxfId="2860">
      <calculatedColumnFormula>INDEX(Vectors[Description], MATCH([Vector],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19.xml><?xml version="1.0" encoding="utf-8"?>
<table xmlns="http://schemas.openxmlformats.org/spreadsheetml/2006/main" id="39" name="I.a.Solid.Info" displayName="I.a.Solid.Info" ref="C375:N378" totalsRowShown="0" headerRowDxfId="2859" headerRowBorderDxfId="2858">
  <autoFilter ref="C375:N378"/>
  <tableColumns count="12">
    <tableColumn id="1" name="Vector" dataDxfId="2857"/>
    <tableColumn id="2" name="Information type" dataDxfId="2856">
      <calculatedColumnFormula>INDEX(Vectors[Description], MATCH([Vector],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0.xml><?xml version="1.0" encoding="utf-8"?>
<table xmlns="http://schemas.openxmlformats.org/spreadsheetml/2006/main" id="40" name="I.a.Gas.Info" displayName="I.a.Gas.Info" ref="C382:N385" totalsRowShown="0" headerRowDxfId="2855" headerRowBorderDxfId="2854">
  <autoFilter ref="C382:N385"/>
  <tableColumns count="12">
    <tableColumn id="1" name="Vector" dataDxfId="2853"/>
    <tableColumn id="2" name="Information type" dataDxfId="2852">
      <calculatedColumnFormula>INDEX(Vectors[Description], MATCH([Vector],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1.xml><?xml version="1.0" encoding="utf-8"?>
<table xmlns="http://schemas.openxmlformats.org/spreadsheetml/2006/main" id="41" name="I.a.Info" displayName="I.a.Info" ref="C389:N391" totalsRowShown="0" headerRowDxfId="2851" headerRowBorderDxfId="2850">
  <autoFilter ref="C389:N391"/>
  <tableColumns count="12">
    <tableColumn id="1" name="Vector" dataDxfId="2849"/>
    <tableColumn id="2" name="Information type" dataDxfId="2848">
      <calculatedColumnFormula>INDEX(Vectors[Description], MATCH([Vector], Vectors[Code], 0))</calculatedColumnFormula>
    </tableColumn>
    <tableColumn id="3" name="Notes"/>
    <tableColumn id="4" name="2013">
      <calculatedColumnFormula>F389/$F$97</calculatedColumnFormula>
    </tableColumn>
    <tableColumn id="5" name="2015">
      <calculatedColumnFormula>G389/$F$97</calculatedColumnFormula>
    </tableColumn>
    <tableColumn id="6" name="2020">
      <calculatedColumnFormula>H389/$F$97</calculatedColumnFormula>
    </tableColumn>
    <tableColumn id="7" name="2025">
      <calculatedColumnFormula>I389/$F$97</calculatedColumnFormula>
    </tableColumn>
    <tableColumn id="8" name="2030">
      <calculatedColumnFormula>J389/$F$97</calculatedColumnFormula>
    </tableColumn>
    <tableColumn id="9" name="2035">
      <calculatedColumnFormula>K389/$F$97</calculatedColumnFormula>
    </tableColumn>
    <tableColumn id="10" name="2040">
      <calculatedColumnFormula>L389/$F$97</calculatedColumnFormula>
    </tableColumn>
    <tableColumn id="11" name="2045">
      <calculatedColumnFormula>M389/$F$97</calculatedColumnFormula>
    </tableColumn>
    <tableColumn id="12" name="2050">
      <calculatedColumnFormula>N389/$F$97</calculatedColumnFormula>
    </tableColumn>
  </tableColumns>
  <tableStyleInfo name="EnergyCalcTables" showFirstColumn="0" showLastColumn="0" showRowStripes="1" showColumnStripes="0"/>
</table>
</file>

<file path=xl/tables/table22.xml><?xml version="1.0" encoding="utf-8"?>
<table xmlns="http://schemas.openxmlformats.org/spreadsheetml/2006/main" id="3" name="I.b.Outputs" displayName="I.b.Outputs" ref="C301:N307" totalsRowCount="1" headerRowDxfId="2847" dataDxfId="2846" tableBorderDxfId="2845" dataCellStyle="Comma">
  <autoFilter ref="C301:N306"/>
  <tableColumns count="12">
    <tableColumn id="1" name="Vector" totalsRowLabel="Total" dataDxfId="2844" totalsRowDxfId="2843"/>
    <tableColumn id="2" name="Name" dataDxfId="2842" totalsRowDxfId="2841">
      <calculatedColumnFormula>INDEX(Vectors[Description], MATCH([Vector], Vectors[Code], 0))</calculatedColumnFormula>
    </tableColumn>
    <tableColumn id="3" name="Notes" dataDxfId="2840" totalsRowDxfId="2839"/>
    <tableColumn id="4" name="2013" totalsRowFunction="sum" dataDxfId="2838" totalsRowDxfId="2837" dataCellStyle="Comma"/>
    <tableColumn id="5" name="2015" totalsRowFunction="sum" dataDxfId="2836" totalsRowDxfId="2835" dataCellStyle="Comma"/>
    <tableColumn id="6" name="2020" totalsRowFunction="sum" dataDxfId="2834" totalsRowDxfId="2833" dataCellStyle="Comma"/>
    <tableColumn id="7" name="2025" totalsRowFunction="sum" dataDxfId="2832" totalsRowDxfId="2831" dataCellStyle="Comma"/>
    <tableColumn id="8" name="2030" totalsRowFunction="sum" dataDxfId="2830" totalsRowDxfId="2829" dataCellStyle="Comma"/>
    <tableColumn id="9" name="2035" totalsRowFunction="sum" dataDxfId="2828" totalsRowDxfId="2827" dataCellStyle="Comma"/>
    <tableColumn id="10" name="2040" totalsRowFunction="sum" dataDxfId="2826" totalsRowDxfId="2825" dataCellStyle="Comma"/>
    <tableColumn id="11" name="2045" totalsRowFunction="sum" dataDxfId="2824" totalsRowDxfId="2823" dataCellStyle="Comma"/>
    <tableColumn id="12" name="2050" totalsRowFunction="sum" dataDxfId="2822" totalsRowDxfId="2821" dataCellStyle="Comma"/>
  </tableColumns>
  <tableStyleInfo name="EnergyCalcTables" showFirstColumn="0" showLastColumn="0" showRowStripes="1" showColumnStripes="0"/>
</table>
</file>

<file path=xl/tables/table23.xml><?xml version="1.0" encoding="utf-8"?>
<table xmlns="http://schemas.openxmlformats.org/spreadsheetml/2006/main" id="69" name="I.b.Emissions" displayName="I.b.Emissions" ref="C314:N319" totalsRowCount="1" headerRowDxfId="2820" dataDxfId="2819" dataCellStyle="Comma">
  <autoFilter ref="C314:N318"/>
  <tableColumns count="12">
    <tableColumn id="1" name="GHG" totalsRowLabel="Total" dataDxfId="2818" totalsRowDxfId="2817"/>
    <tableColumn id="2" name="IPCC Sector" dataDxfId="2816" totalsRowDxfId="2815"/>
    <tableColumn id="3" name="Notes" dataDxfId="2814" totalsRowDxfId="2813">
      <calculatedColumnFormula>INDEX(IPCC[Sector_description], MATCH([IPCC Sector], IPCC[Sector_code], 0))</calculatedColumnFormula>
    </tableColumn>
    <tableColumn id="4" name="2013" totalsRowFunction="sum" dataDxfId="2812" totalsRowDxfId="2811" dataCellStyle="Comma 3"/>
    <tableColumn id="5" name="2015" totalsRowFunction="sum" dataDxfId="2810" totalsRowDxfId="2809" dataCellStyle="Comma 3"/>
    <tableColumn id="6" name="2020" totalsRowFunction="sum" dataDxfId="2808" totalsRowDxfId="2807" dataCellStyle="Comma 3"/>
    <tableColumn id="7" name="2025" totalsRowFunction="sum" dataDxfId="2806" totalsRowDxfId="2805" dataCellStyle="Comma 3"/>
    <tableColumn id="8" name="2030" totalsRowFunction="sum" dataDxfId="2804" totalsRowDxfId="2803" dataCellStyle="Comma 3"/>
    <tableColumn id="9" name="2035" totalsRowFunction="sum" dataDxfId="2802" totalsRowDxfId="2801" dataCellStyle="Comma 3"/>
    <tableColumn id="10" name="2040" totalsRowFunction="sum" dataDxfId="2800" totalsRowDxfId="2799" dataCellStyle="Comma 3"/>
    <tableColumn id="11" name="2045" totalsRowFunction="sum" dataDxfId="2798" totalsRowDxfId="2797" dataCellStyle="Comma 3"/>
    <tableColumn id="12" name="2050" totalsRowFunction="sum" dataDxfId="2796" totalsRowDxfId="2795" dataCellStyle="Comma 3"/>
  </tableColumns>
  <tableStyleInfo name="EnergyCalcTables" showFirstColumn="0" showLastColumn="0" showRowStripes="1" showColumnStripes="0"/>
</table>
</file>

<file path=xl/tables/table24.xml><?xml version="1.0" encoding="utf-8"?>
<table xmlns="http://schemas.openxmlformats.org/spreadsheetml/2006/main" id="70" name="I.b.AQ" displayName="I.b.AQ" ref="C323:N327" totalsRowShown="0" headerRowDxfId="2794" dataDxfId="2792" headerRowBorderDxfId="2793" tableBorderDxfId="2791" dataCellStyle="Comma 3">
  <autoFilter ref="C323:N327"/>
  <tableColumns count="12">
    <tableColumn id="1" name="Vector" dataDxfId="2790">
      <calculatedColumnFormula>INDEX(AirQualityVectors[Code],MATCH(D324,AirQualityVectors[Description],0))</calculatedColumnFormula>
    </tableColumn>
    <tableColumn id="2" name="Name" dataDxfId="2789"/>
    <tableColumn id="3" name="IPCC Sector" dataDxfId="2788"/>
    <tableColumn id="4" name="2013" dataDxfId="2787" dataCellStyle="Comma 3">
      <calculatedColumnFormula>F292</calculatedColumnFormula>
    </tableColumn>
    <tableColumn id="5" name="2015" dataDxfId="2786" dataCellStyle="Comma 3">
      <calculatedColumnFormula>G292</calculatedColumnFormula>
    </tableColumn>
    <tableColumn id="6" name="2020" dataDxfId="2785" dataCellStyle="Comma 3">
      <calculatedColumnFormula>H292</calculatedColumnFormula>
    </tableColumn>
    <tableColumn id="7" name="2025" dataDxfId="2784" dataCellStyle="Comma 3">
      <calculatedColumnFormula>I292</calculatedColumnFormula>
    </tableColumn>
    <tableColumn id="8" name="2030" dataDxfId="2783" dataCellStyle="Comma 3">
      <calculatedColumnFormula>J292</calculatedColumnFormula>
    </tableColumn>
    <tableColumn id="9" name="2035" dataDxfId="2782" dataCellStyle="Comma 3">
      <calculatedColumnFormula>K292</calculatedColumnFormula>
    </tableColumn>
    <tableColumn id="10" name="2040" dataDxfId="2781" dataCellStyle="Comma 3">
      <calculatedColumnFormula>L292</calculatedColumnFormula>
    </tableColumn>
    <tableColumn id="11" name="2045" dataDxfId="2780" dataCellStyle="Comma 3">
      <calculatedColumnFormula>M292</calculatedColumnFormula>
    </tableColumn>
    <tableColumn id="12" name="2050" dataDxfId="2779" dataCellStyle="Comma 3">
      <calculatedColumnFormula>N292</calculatedColumnFormula>
    </tableColumn>
  </tableColumns>
  <tableStyleInfo name="EnergyCalcTables" showFirstColumn="0" showLastColumn="0" showRowStripes="1" showColumnStripes="0"/>
</table>
</file>

<file path=xl/tables/table25.xml><?xml version="1.0" encoding="utf-8"?>
<table xmlns="http://schemas.openxmlformats.org/spreadsheetml/2006/main" id="71" name="I.b.Info" displayName="I.b.Info" ref="C334:N337" totalsRowShown="0" headerRowDxfId="2778" headerRowBorderDxfId="2777">
  <autoFilter ref="C334:N337"/>
  <tableColumns count="12">
    <tableColumn id="1" name="Vector" dataDxfId="2776"/>
    <tableColumn id="2" name="Information type" dataDxfId="2775"/>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6.xml><?xml version="1.0" encoding="utf-8"?>
<table xmlns="http://schemas.openxmlformats.org/spreadsheetml/2006/main" id="2" name="II.a.Outputs" displayName="II.a.Outputs" ref="C163:N169" totalsRowCount="1" headerRowDxfId="2774" dataDxfId="2773" tableBorderDxfId="2772" dataCellStyle="Comma">
  <autoFilter ref="C163:N168"/>
  <tableColumns count="12">
    <tableColumn id="1" name="Vector" totalsRowLabel="Total" dataDxfId="2771" totalsRowDxfId="2770"/>
    <tableColumn id="2" name="Name" dataDxfId="2769" totalsRowDxfId="2768">
      <calculatedColumnFormula>INDEX(Vectors[Description], MATCH([Vector], Vectors[Code], 0))</calculatedColumnFormula>
    </tableColumn>
    <tableColumn id="3" name="Notes" dataDxfId="2767" totalsRowDxfId="2766"/>
    <tableColumn id="4" name="2013" totalsRowFunction="sum" dataDxfId="2765" totalsRowDxfId="2764" dataCellStyle="Comma"/>
    <tableColumn id="5" name="2015" totalsRowFunction="sum" dataDxfId="2763" totalsRowDxfId="2762" dataCellStyle="Comma"/>
    <tableColumn id="6" name="2020" totalsRowFunction="sum" dataDxfId="2761" totalsRowDxfId="2760" dataCellStyle="Comma"/>
    <tableColumn id="7" name="2025" totalsRowFunction="sum" dataDxfId="2759" totalsRowDxfId="2758" dataCellStyle="Comma"/>
    <tableColumn id="8" name="2030" totalsRowFunction="sum" dataDxfId="2757" totalsRowDxfId="2756" dataCellStyle="Comma"/>
    <tableColumn id="9" name="2035" totalsRowFunction="sum" dataDxfId="2755" totalsRowDxfId="2754" dataCellStyle="Comma"/>
    <tableColumn id="10" name="2040" totalsRowFunction="sum" dataDxfId="2753" totalsRowDxfId="2752" dataCellStyle="Comma"/>
    <tableColumn id="11" name="2045" totalsRowFunction="sum" dataDxfId="2751" totalsRowDxfId="2750" dataCellStyle="Comma"/>
    <tableColumn id="12" name="2050" totalsRowFunction="sum" dataDxfId="2749" totalsRowDxfId="2748" dataCellStyle="Comma"/>
  </tableColumns>
  <tableStyleInfo name="EnergyCalcTables" showFirstColumn="0" showLastColumn="0" showRowStripes="1" showColumnStripes="0"/>
</table>
</file>

<file path=xl/tables/table27.xml><?xml version="1.0" encoding="utf-8"?>
<table xmlns="http://schemas.openxmlformats.org/spreadsheetml/2006/main" id="27" name="II.a.Inputs" displayName="II.a.Inputs" ref="C14:N16" totalsRowShown="0" headerRowDxfId="2747" dataDxfId="2746" tableBorderDxfId="2745">
  <autoFilter ref="C14:N16"/>
  <tableColumns count="12">
    <tableColumn id="1" name="Vector" dataDxfId="2744"/>
    <tableColumn id="2" name="Name" dataDxfId="2743"/>
    <tableColumn id="3" name="Notes" dataDxfId="2742"/>
    <tableColumn id="4" name="2013" dataDxfId="2741">
      <calculatedColumnFormula>INDEX(INDIRECT("'"&amp;II.a.Inputs[#Headers]&amp;"'!Year.Matrix"), MATCH("Subtotal."&amp;$A$2, INDIRECT("'"&amp;II.a.Inputs[#Headers]&amp;"'!Year.Modules"), 0), MATCH([Vector], INDIRECT("'"&amp;II.a.Inputs[#Headers]&amp;"'!Year.Vectors"), 0))</calculatedColumnFormula>
    </tableColumn>
    <tableColumn id="5" name="2015" dataDxfId="2740">
      <calculatedColumnFormula>INDEX(INDIRECT("'"&amp;II.a.Inputs[#Headers]&amp;"'!Year.Matrix"), MATCH("Subtotal."&amp;$A$2, INDIRECT("'"&amp;II.a.Inputs[#Headers]&amp;"'!Year.Modules"), 0), MATCH([Vector], INDIRECT("'"&amp;II.a.Inputs[#Headers]&amp;"'!Year.Vectors"), 0))</calculatedColumnFormula>
    </tableColumn>
    <tableColumn id="6" name="2020" dataDxfId="2739">
      <calculatedColumnFormula>INDEX(INDIRECT("'"&amp;II.a.Inputs[#Headers]&amp;"'!Year.Matrix"), MATCH("Subtotal."&amp;$A$2, INDIRECT("'"&amp;II.a.Inputs[#Headers]&amp;"'!Year.Modules"), 0), MATCH([Vector], INDIRECT("'"&amp;II.a.Inputs[#Headers]&amp;"'!Year.Vectors"), 0))</calculatedColumnFormula>
    </tableColumn>
    <tableColumn id="7" name="2025" dataDxfId="2738">
      <calculatedColumnFormula>INDEX(INDIRECT("'"&amp;II.a.Inputs[#Headers]&amp;"'!Year.Matrix"), MATCH("Subtotal."&amp;$A$2, INDIRECT("'"&amp;II.a.Inputs[#Headers]&amp;"'!Year.Modules"), 0), MATCH([Vector], INDIRECT("'"&amp;II.a.Inputs[#Headers]&amp;"'!Year.Vectors"), 0))</calculatedColumnFormula>
    </tableColumn>
    <tableColumn id="8" name="2030" dataDxfId="2737">
      <calculatedColumnFormula>INDEX(INDIRECT("'"&amp;II.a.Inputs[#Headers]&amp;"'!Year.Matrix"), MATCH("Subtotal."&amp;$A$2, INDIRECT("'"&amp;II.a.Inputs[#Headers]&amp;"'!Year.Modules"), 0), MATCH([Vector], INDIRECT("'"&amp;II.a.Inputs[#Headers]&amp;"'!Year.Vectors"), 0))</calculatedColumnFormula>
    </tableColumn>
    <tableColumn id="9" name="2035" dataDxfId="2736">
      <calculatedColumnFormula>INDEX(INDIRECT("'"&amp;II.a.Inputs[#Headers]&amp;"'!Year.Matrix"), MATCH("Subtotal."&amp;$A$2, INDIRECT("'"&amp;II.a.Inputs[#Headers]&amp;"'!Year.Modules"), 0), MATCH([Vector], INDIRECT("'"&amp;II.a.Inputs[#Headers]&amp;"'!Year.Vectors"), 0))</calculatedColumnFormula>
    </tableColumn>
    <tableColumn id="10" name="2040" dataDxfId="2735">
      <calculatedColumnFormula>INDEX(INDIRECT("'"&amp;II.a.Inputs[#Headers]&amp;"'!Year.Matrix"), MATCH("Subtotal."&amp;$A$2, INDIRECT("'"&amp;II.a.Inputs[#Headers]&amp;"'!Year.Modules"), 0), MATCH([Vector], INDIRECT("'"&amp;II.a.Inputs[#Headers]&amp;"'!Year.Vectors"), 0))</calculatedColumnFormula>
    </tableColumn>
    <tableColumn id="11" name="2045" dataDxfId="2734">
      <calculatedColumnFormula>INDEX(INDIRECT("'"&amp;II.a.Inputs[#Headers]&amp;"'!Year.Matrix"), MATCH("Subtotal."&amp;$A$2, INDIRECT("'"&amp;II.a.Inputs[#Headers]&amp;"'!Year.Modules"), 0), MATCH([Vector], INDIRECT("'"&amp;II.a.Inputs[#Headers]&amp;"'!Year.Vectors"), 0))</calculatedColumnFormula>
    </tableColumn>
    <tableColumn id="12" name="2050" dataDxfId="2733">
      <calculatedColumnFormula>INDEX(INDIRECT("'"&amp;II.a.Inputs[#Headers]&amp;"'!Year.Matrix"), MATCH("Subtotal."&amp;$A$2, INDIRECT("'"&amp;II.a.Inputs[#Headers]&amp;"'!Year.Modules"), 0), MATCH([Vector], INDIRECT("'"&amp;II.a.Inputs[#Headers]&amp;"'!Year.Vectors"), 0))</calculatedColumnFormula>
    </tableColumn>
  </tableColumns>
  <tableStyleInfo name="EnergyCalcTables" showFirstColumn="0" showLastColumn="0" showRowStripes="1" showColumnStripes="0"/>
</table>
</file>

<file path=xl/tables/table28.xml><?xml version="1.0" encoding="utf-8"?>
<table xmlns="http://schemas.openxmlformats.org/spreadsheetml/2006/main" id="72" name="II.a.info" displayName="II.a.info" ref="C176:N179" totalsRowShown="0" headerRowDxfId="2732" headerRowBorderDxfId="2731">
  <autoFilter ref="C176:N179"/>
  <tableColumns count="12">
    <tableColumn id="1" name="Vector" dataDxfId="2730"/>
    <tableColumn id="2" name="Information type" dataDxfId="2729"/>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9.xml><?xml version="1.0" encoding="utf-8"?>
<table xmlns="http://schemas.openxmlformats.org/spreadsheetml/2006/main" id="4" name="III.a.1.Outputs" displayName="III.a.1.Outputs" ref="C123:N126" totalsRowCount="1" headerRowDxfId="2728" dataDxfId="2727" tableBorderDxfId="2726" dataCellStyle="Comma">
  <autoFilter ref="C123:N125"/>
  <tableColumns count="12">
    <tableColumn id="1" name="Vector" totalsRowLabel="Total" dataDxfId="2725" totalsRowDxfId="2724"/>
    <tableColumn id="2" name="Name" dataDxfId="2723" totalsRowDxfId="2722">
      <calculatedColumnFormula>INDEX(Vectors[Description], MATCH([Vector], Vectors[Code], 0))</calculatedColumnFormula>
    </tableColumn>
    <tableColumn id="3" name="Notes" dataDxfId="2721" totalsRowDxfId="2720"/>
    <tableColumn id="4" name="2013" totalsRowFunction="sum" dataDxfId="2719" totalsRowDxfId="2718" dataCellStyle="Comma">
      <calculatedColumnFormula>-F$97</calculatedColumnFormula>
    </tableColumn>
    <tableColumn id="5" name="2015" totalsRowFunction="sum" dataDxfId="2717" totalsRowDxfId="2716" dataCellStyle="Comma">
      <calculatedColumnFormula>-G$97</calculatedColumnFormula>
    </tableColumn>
    <tableColumn id="6" name="2020" totalsRowFunction="sum" dataDxfId="2715" totalsRowDxfId="2714" dataCellStyle="Comma">
      <calculatedColumnFormula>-H$97</calculatedColumnFormula>
    </tableColumn>
    <tableColumn id="7" name="2025" totalsRowFunction="sum" dataDxfId="2713" totalsRowDxfId="2712" dataCellStyle="Comma">
      <calculatedColumnFormula>-I$97</calculatedColumnFormula>
    </tableColumn>
    <tableColumn id="8" name="2030" totalsRowFunction="sum" dataDxfId="2711" totalsRowDxfId="2710" dataCellStyle="Comma">
      <calculatedColumnFormula>-J$97</calculatedColumnFormula>
    </tableColumn>
    <tableColumn id="9" name="2035" totalsRowFunction="sum" dataDxfId="2709" totalsRowDxfId="2708" dataCellStyle="Comma">
      <calculatedColumnFormula>-K$97</calculatedColumnFormula>
    </tableColumn>
    <tableColumn id="10" name="2040" totalsRowFunction="sum" dataDxfId="2707" totalsRowDxfId="2706" dataCellStyle="Comma">
      <calculatedColumnFormula>-L$97</calculatedColumnFormula>
    </tableColumn>
    <tableColumn id="11" name="2045" totalsRowFunction="sum" dataDxfId="2705" totalsRowDxfId="2704" dataCellStyle="Comma">
      <calculatedColumnFormula>-M$97</calculatedColumnFormula>
    </tableColumn>
    <tableColumn id="12" name="2050" totalsRowFunction="sum" dataDxfId="2703" totalsRowDxfId="2702" dataCellStyle="Comma">
      <calculatedColumnFormula>-N$97</calculatedColumnFormula>
    </tableColumn>
  </tableColumns>
  <tableStyleInfo name="EnergyCalcTables" showFirstColumn="0" showLastColumn="0" showRowStripes="1" showColumnStripes="0"/>
</table>
</file>

<file path=xl/tables/table30.xml><?xml version="1.0" encoding="utf-8"?>
<table xmlns="http://schemas.openxmlformats.org/spreadsheetml/2006/main" id="73" name="III.a.1.info" displayName="III.a.1.info" ref="C133:N136" totalsRowShown="0" headerRowDxfId="2701" headerRowBorderDxfId="2700">
  <autoFilter ref="C133:N136"/>
  <tableColumns count="12">
    <tableColumn id="1" name="Vector" dataDxfId="2699"/>
    <tableColumn id="2" name="Information type" dataDxfId="2698"/>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31.xml><?xml version="1.0" encoding="utf-8"?>
<table xmlns="http://schemas.openxmlformats.org/spreadsheetml/2006/main" id="5" name="III.a.2.Outputs" displayName="III.a.2.Outputs" ref="C143:N146" totalsRowCount="1" headerRowDxfId="2697" dataDxfId="2696" tableBorderDxfId="2695" dataCellStyle="Comma">
  <autoFilter ref="C143:N145"/>
  <tableColumns count="12">
    <tableColumn id="1" name="Vector" totalsRowLabel="Total" dataDxfId="2694" totalsRowDxfId="2693"/>
    <tableColumn id="2" name="Name" dataDxfId="2692" totalsRowDxfId="2691">
      <calculatedColumnFormula>INDEX(Vectors[Description], MATCH([Vector], Vectors[Code], 0))</calculatedColumnFormula>
    </tableColumn>
    <tableColumn id="3" name="Notes" dataDxfId="2690" totalsRowDxfId="2689"/>
    <tableColumn id="4" name="2013" totalsRowFunction="sum" dataDxfId="2688" totalsRowDxfId="2687" dataCellStyle="Comma">
      <calculatedColumnFormula>-F$117</calculatedColumnFormula>
    </tableColumn>
    <tableColumn id="5" name="2015" totalsRowFunction="sum" dataDxfId="2686" totalsRowDxfId="2685" dataCellStyle="Comma">
      <calculatedColumnFormula>-G$117</calculatedColumnFormula>
    </tableColumn>
    <tableColumn id="6" name="2020" totalsRowFunction="sum" dataDxfId="2684" totalsRowDxfId="2683" dataCellStyle="Comma">
      <calculatedColumnFormula>-H$117</calculatedColumnFormula>
    </tableColumn>
    <tableColumn id="7" name="2025" totalsRowFunction="sum" dataDxfId="2682" totalsRowDxfId="2681" dataCellStyle="Comma">
      <calculatedColumnFormula>-I$117</calculatedColumnFormula>
    </tableColumn>
    <tableColumn id="8" name="2030" totalsRowFunction="sum" dataDxfId="2680" totalsRowDxfId="2679" dataCellStyle="Comma">
      <calculatedColumnFormula>-J$117</calculatedColumnFormula>
    </tableColumn>
    <tableColumn id="9" name="2035" totalsRowFunction="sum" dataDxfId="2678" totalsRowDxfId="2677" dataCellStyle="Comma">
      <calculatedColumnFormula>-K$117</calculatedColumnFormula>
    </tableColumn>
    <tableColumn id="10" name="2040" totalsRowFunction="sum" dataDxfId="2676" totalsRowDxfId="2675" dataCellStyle="Comma">
      <calculatedColumnFormula>-L$117</calculatedColumnFormula>
    </tableColumn>
    <tableColumn id="11" name="2045" totalsRowFunction="sum" dataDxfId="2674" totalsRowDxfId="2673" dataCellStyle="Comma">
      <calculatedColumnFormula>-M$117</calculatedColumnFormula>
    </tableColumn>
    <tableColumn id="12" name="2050" totalsRowFunction="sum" dataDxfId="2672" totalsRowDxfId="2671" dataCellStyle="Comma">
      <calculatedColumnFormula>-N$117</calculatedColumnFormula>
    </tableColumn>
  </tableColumns>
  <tableStyleInfo name="EnergyCalcTables" showFirstColumn="0" showLastColumn="0" showRowStripes="1" showColumnStripes="0"/>
</table>
</file>

<file path=xl/tables/table32.xml><?xml version="1.0" encoding="utf-8"?>
<table xmlns="http://schemas.openxmlformats.org/spreadsheetml/2006/main" id="74" name="III.a.2.info" displayName="III.a.2.info" ref="C153:N156" totalsRowShown="0" headerRowDxfId="2670" headerRowBorderDxfId="2669">
  <autoFilter ref="C153:N156"/>
  <tableColumns count="12">
    <tableColumn id="1" name="Vector" dataDxfId="2668"/>
    <tableColumn id="2" name="Information type"/>
    <tableColumn id="3" name="Notes"/>
    <tableColumn id="4" name="2013" dataDxfId="2667"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33.xml><?xml version="1.0" encoding="utf-8"?>
<table xmlns="http://schemas.openxmlformats.org/spreadsheetml/2006/main" id="76" name="III.b.Outputs" displayName="III.b.Outputs" ref="C110:N113" totalsRowCount="1" headerRowDxfId="2666" dataDxfId="2665" dataCellStyle="Comma">
  <autoFilter ref="C110:N112"/>
  <tableColumns count="12">
    <tableColumn id="1" name="Vector" totalsRowLabel="Total" dataDxfId="2664" totalsRowDxfId="2663"/>
    <tableColumn id="2" name="Name" dataDxfId="2662" totalsRowDxfId="2661"/>
    <tableColumn id="3" name="Notes" dataDxfId="2660" totalsRowDxfId="2659"/>
    <tableColumn id="4" name="2013" totalsRowFunction="sum" dataDxfId="2658" totalsRowDxfId="2657" dataCellStyle="Comma 3"/>
    <tableColumn id="5" name="2015" totalsRowFunction="sum" dataDxfId="2656" totalsRowDxfId="2655" dataCellStyle="Comma 3"/>
    <tableColumn id="6" name="2020" totalsRowFunction="sum" dataDxfId="2654" totalsRowDxfId="2653" dataCellStyle="Comma 3"/>
    <tableColumn id="7" name="2025" totalsRowFunction="sum" dataDxfId="2652" totalsRowDxfId="2651" dataCellStyle="Comma 3"/>
    <tableColumn id="8" name="2030" totalsRowFunction="sum" dataDxfId="2650" totalsRowDxfId="2649" dataCellStyle="Comma 3"/>
    <tableColumn id="9" name="2035" totalsRowFunction="sum" dataDxfId="2648" totalsRowDxfId="2647" dataCellStyle="Comma 3"/>
    <tableColumn id="10" name="2040" totalsRowFunction="sum" dataDxfId="2646" totalsRowDxfId="2645" dataCellStyle="Comma 3"/>
    <tableColumn id="11" name="2045" totalsRowFunction="sum" dataDxfId="2644" totalsRowDxfId="2643" dataCellStyle="Comma 3"/>
    <tableColumn id="12" name="2050" totalsRowFunction="sum" dataDxfId="2642" totalsRowDxfId="2641" dataCellStyle="Comma 3"/>
  </tableColumns>
  <tableStyleInfo name="EnergyCalcTables" showFirstColumn="0" showLastColumn="0" showRowStripes="1" showColumnStripes="0"/>
</table>
</file>

<file path=xl/tables/table34.xml><?xml version="1.0" encoding="utf-8"?>
<table xmlns="http://schemas.openxmlformats.org/spreadsheetml/2006/main" id="77" name="III.b.info" displayName="III.b.info" ref="C120:N124" totalsRowShown="0" headerRowDxfId="2640" dataDxfId="2638" headerRowBorderDxfId="2639" dataCellStyle="Comma">
  <autoFilter ref="C120:N124"/>
  <tableColumns count="12">
    <tableColumn id="1" name="Vector" dataDxfId="2637"/>
    <tableColumn id="2" name="Information type" dataDxfId="2636"/>
    <tableColumn id="3" name="Notes" dataDxfId="2635"/>
    <tableColumn id="4" name="2013" dataDxfId="2634" dataCellStyle="Comma 3"/>
    <tableColumn id="5" name="2015" dataDxfId="2633" dataCellStyle="Comma 3"/>
    <tableColumn id="6" name="2020" dataDxfId="2632" dataCellStyle="Comma 3"/>
    <tableColumn id="7" name="2025" dataDxfId="2631" dataCellStyle="Comma 3"/>
    <tableColumn id="8" name="2030" dataDxfId="2630" dataCellStyle="Comma 3"/>
    <tableColumn id="9" name="2035" dataDxfId="2629" dataCellStyle="Comma 3"/>
    <tableColumn id="10" name="2040" dataDxfId="2628" dataCellStyle="Comma 3"/>
    <tableColumn id="11" name="2045" dataDxfId="2627" dataCellStyle="Comma 3"/>
    <tableColumn id="12" name="2050" dataDxfId="2626" dataCellStyle="Comma 3"/>
  </tableColumns>
  <tableStyleInfo name="EnergyCalcTables" showFirstColumn="0" showLastColumn="0" showRowStripes="1" showColumnStripes="0"/>
</table>
</file>

<file path=xl/tables/table35.xml><?xml version="1.0" encoding="utf-8"?>
<table xmlns="http://schemas.openxmlformats.org/spreadsheetml/2006/main" id="6" name="III.c.Outputs" displayName="III.c.Outputs" ref="C213:N217" totalsRowCount="1" headerRowDxfId="2625" dataDxfId="2624" tableBorderDxfId="2623" dataCellStyle="Comma">
  <autoFilter ref="C213:N216"/>
  <tableColumns count="12">
    <tableColumn id="1" name="Vector" totalsRowLabel="Total" dataDxfId="2622" totalsRowDxfId="2621"/>
    <tableColumn id="2" name="Name" dataDxfId="2620" totalsRowDxfId="2619"/>
    <tableColumn id="3" name="Notes" dataDxfId="2618" totalsRowDxfId="2617"/>
    <tableColumn id="4" name="2013" totalsRowFunction="sum" dataDxfId="2616" totalsRowDxfId="2615" dataCellStyle="Comma"/>
    <tableColumn id="5" name="2015" totalsRowFunction="sum" dataDxfId="2614" totalsRowDxfId="2613" dataCellStyle="Comma"/>
    <tableColumn id="6" name="2020" totalsRowFunction="sum" dataDxfId="2612" totalsRowDxfId="2611" dataCellStyle="Comma"/>
    <tableColumn id="7" name="2025" totalsRowFunction="sum" dataDxfId="2610" totalsRowDxfId="2609" dataCellStyle="Comma"/>
    <tableColumn id="8" name="2030" totalsRowFunction="sum" dataDxfId="2608" totalsRowDxfId="2607" dataCellStyle="Comma"/>
    <tableColumn id="9" name="2035" totalsRowFunction="sum" dataDxfId="2606" totalsRowDxfId="2605" dataCellStyle="Comma"/>
    <tableColumn id="10" name="2040" totalsRowFunction="sum" dataDxfId="2604" totalsRowDxfId="2603" dataCellStyle="Comma"/>
    <tableColumn id="11" name="2045" totalsRowFunction="sum" dataDxfId="2602" totalsRowDxfId="2601" dataCellStyle="Comma"/>
    <tableColumn id="12" name="2050" totalsRowFunction="sum" dataDxfId="2600" totalsRowDxfId="2599" dataCellStyle="Comma"/>
  </tableColumns>
  <tableStyleInfo name="EnergyCalcTables" showFirstColumn="0" showLastColumn="0" showRowStripes="1" showColumnStripes="0"/>
</table>
</file>

<file path=xl/tables/table36.xml><?xml version="1.0" encoding="utf-8"?>
<table xmlns="http://schemas.openxmlformats.org/spreadsheetml/2006/main" id="75" name="III.c.Wave.Outputs" displayName="III.c.Wave.Outputs" ref="C221:N225" totalsRowCount="1" headerRowDxfId="2598" dataDxfId="2597" dataCellStyle="Comma">
  <autoFilter ref="C221:N224"/>
  <tableColumns count="12">
    <tableColumn id="1" name="Vector" totalsRowLabel="Total" dataDxfId="2596" totalsRowDxfId="2595"/>
    <tableColumn id="2" name="Name" dataDxfId="2594" totalsRowDxfId="2593">
      <calculatedColumnFormula>INDEX(Vectors[Description], MATCH($C222, Vectors[Code], 0))</calculatedColumnFormula>
    </tableColumn>
    <tableColumn id="3" name="Notes" dataDxfId="2592" totalsRowDxfId="2591"/>
    <tableColumn id="4" name="2013" totalsRowFunction="sum" dataDxfId="2590" totalsRowDxfId="2589" dataCellStyle="Comma"/>
    <tableColumn id="5" name="2015" totalsRowFunction="sum" dataDxfId="2588" totalsRowDxfId="2587" dataCellStyle="Comma"/>
    <tableColumn id="6" name="2020" totalsRowFunction="sum" dataDxfId="2586" totalsRowDxfId="2585" dataCellStyle="Comma"/>
    <tableColumn id="7" name="2025" totalsRowFunction="sum" dataDxfId="2584" totalsRowDxfId="2583" dataCellStyle="Comma"/>
    <tableColumn id="8" name="2030" totalsRowFunction="sum" dataDxfId="2582" totalsRowDxfId="2581" dataCellStyle="Comma"/>
    <tableColumn id="9" name="2035" totalsRowFunction="sum" dataDxfId="2580" totalsRowDxfId="2579" dataCellStyle="Comma"/>
    <tableColumn id="10" name="2040" totalsRowFunction="sum" dataDxfId="2578" totalsRowDxfId="2577" dataCellStyle="Comma"/>
    <tableColumn id="11" name="2045" totalsRowFunction="sum" dataDxfId="2576" totalsRowDxfId="2575" dataCellStyle="Comma"/>
    <tableColumn id="12" name="2050" totalsRowFunction="sum" dataDxfId="2574" totalsRowDxfId="2573" dataCellStyle="Comma"/>
  </tableColumns>
  <tableStyleInfo name="EnergyCalcTables" showFirstColumn="0" showLastColumn="0" showRowStripes="1" showColumnStripes="0"/>
</table>
</file>

<file path=xl/tables/table37.xml><?xml version="1.0" encoding="utf-8"?>
<table xmlns="http://schemas.openxmlformats.org/spreadsheetml/2006/main" id="78" name="III.c.TidalStream.Outputs" displayName="III.c.TidalStream.Outputs" ref="C229:N233" totalsRowCount="1" headerRowDxfId="2572" dataDxfId="2571" dataCellStyle="Comma">
  <autoFilter ref="C229:N232"/>
  <tableColumns count="12">
    <tableColumn id="1" name="Vector" totalsRowLabel="Total" dataDxfId="2570" totalsRowDxfId="2569"/>
    <tableColumn id="2" name="Name" dataDxfId="2568" totalsRowDxfId="2567">
      <calculatedColumnFormula>INDEX(Vectors[Description], MATCH($C230, Vectors[Code], 0))</calculatedColumnFormula>
    </tableColumn>
    <tableColumn id="3" name="Notes" dataDxfId="2566" totalsRowDxfId="2565"/>
    <tableColumn id="4" name="2013" totalsRowFunction="sum" dataDxfId="2564" totalsRowDxfId="2563" dataCellStyle="Comma"/>
    <tableColumn id="5" name="2015" totalsRowFunction="sum" dataDxfId="2562" totalsRowDxfId="2561" dataCellStyle="Comma"/>
    <tableColumn id="6" name="2020" totalsRowFunction="sum" dataDxfId="2560" totalsRowDxfId="2559" dataCellStyle="Comma"/>
    <tableColumn id="7" name="2025" totalsRowFunction="sum" dataDxfId="2558" totalsRowDxfId="2557" dataCellStyle="Comma"/>
    <tableColumn id="8" name="2030" totalsRowFunction="sum" dataDxfId="2556" totalsRowDxfId="2555" dataCellStyle="Comma"/>
    <tableColumn id="9" name="2035" totalsRowFunction="sum" dataDxfId="2554" totalsRowDxfId="2553" dataCellStyle="Comma"/>
    <tableColumn id="10" name="2040" totalsRowFunction="sum" dataDxfId="2552" totalsRowDxfId="2551" dataCellStyle="Comma"/>
    <tableColumn id="11" name="2045" totalsRowFunction="sum" dataDxfId="2550" totalsRowDxfId="2549" dataCellStyle="Comma"/>
    <tableColumn id="12" name="2050" totalsRowFunction="sum" dataDxfId="2548" totalsRowDxfId="2547" dataCellStyle="Comma"/>
  </tableColumns>
  <tableStyleInfo name="EnergyCalcTables" showFirstColumn="0" showLastColumn="0" showRowStripes="1" showColumnStripes="0"/>
</table>
</file>

<file path=xl/tables/table38.xml><?xml version="1.0" encoding="utf-8"?>
<table xmlns="http://schemas.openxmlformats.org/spreadsheetml/2006/main" id="79" name="III.c.TidalRange.Outputs" displayName="III.c.TidalRange.Outputs" ref="C237:N241" totalsRowCount="1" headerRowDxfId="2546" dataDxfId="2545" dataCellStyle="Comma">
  <autoFilter ref="C237:N240"/>
  <tableColumns count="12">
    <tableColumn id="1" name="Vector" totalsRowLabel="Total" dataDxfId="2544" totalsRowDxfId="2543"/>
    <tableColumn id="2" name="Name" dataDxfId="2542" totalsRowDxfId="2541">
      <calculatedColumnFormula>INDEX(Vectors[Description], MATCH($C238, Vectors[Code], 0))</calculatedColumnFormula>
    </tableColumn>
    <tableColumn id="3" name="Notes" dataDxfId="2540" totalsRowDxfId="2539"/>
    <tableColumn id="4" name="2013" totalsRowFunction="sum" dataDxfId="2538" totalsRowDxfId="2537" dataCellStyle="Comma"/>
    <tableColumn id="5" name="2015" totalsRowFunction="sum" dataDxfId="2536" totalsRowDxfId="2535" dataCellStyle="Comma"/>
    <tableColumn id="6" name="2020" totalsRowFunction="sum" dataDxfId="2534" totalsRowDxfId="2533" dataCellStyle="Comma"/>
    <tableColumn id="7" name="2025" totalsRowFunction="sum" dataDxfId="2532" totalsRowDxfId="2531" dataCellStyle="Comma"/>
    <tableColumn id="8" name="2030" totalsRowFunction="sum" dataDxfId="2530" totalsRowDxfId="2529" dataCellStyle="Comma"/>
    <tableColumn id="9" name="2035" totalsRowFunction="sum" dataDxfId="2528" totalsRowDxfId="2527" dataCellStyle="Comma"/>
    <tableColumn id="10" name="2040" totalsRowFunction="sum" dataDxfId="2526" totalsRowDxfId="2525" dataCellStyle="Comma"/>
    <tableColumn id="11" name="2045" totalsRowFunction="sum" dataDxfId="2524" totalsRowDxfId="2523" dataCellStyle="Comma"/>
    <tableColumn id="12" name="2050" totalsRowFunction="sum" dataDxfId="2522" totalsRowDxfId="2521" dataCellStyle="Comma"/>
  </tableColumns>
  <tableStyleInfo name="EnergyCalcTables" showFirstColumn="0" showLastColumn="0" showRowStripes="1" showColumnStripes="0"/>
</table>
</file>

<file path=xl/tables/table39.xml><?xml version="1.0" encoding="utf-8"?>
<table xmlns="http://schemas.openxmlformats.org/spreadsheetml/2006/main" id="80" name="III.c.Wave.info" displayName="III.c.Wave.info" ref="C248:N251" totalsRowShown="0" headerRowDxfId="2520" headerRowBorderDxfId="2519">
  <autoFilter ref="C248:N251"/>
  <tableColumns count="12">
    <tableColumn id="1" name="Vector" dataDxfId="2518"/>
    <tableColumn id="2" name="Information type"/>
    <tableColumn id="3" name="Notes"/>
    <tableColumn id="4" name="2013" dataDxfId="2517"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40.xml><?xml version="1.0" encoding="utf-8"?>
<table xmlns="http://schemas.openxmlformats.org/spreadsheetml/2006/main" id="81" name="III.c.TidalStream.info" displayName="III.c.TidalStream.info" ref="C255:N258" totalsRowShown="0" headerRowDxfId="2516" dataDxfId="2514" headerRowBorderDxfId="2515" dataCellStyle="Comma">
  <autoFilter ref="C255:N258"/>
  <tableColumns count="12">
    <tableColumn id="1" name="Vector" dataDxfId="2513"/>
    <tableColumn id="2" name="Information type"/>
    <tableColumn id="3" name="Notes"/>
    <tableColumn id="4" name="2013" dataDxfId="2512" dataCellStyle="Comma"/>
    <tableColumn id="5" name="2015" dataDxfId="2511" dataCellStyle="Comma"/>
    <tableColumn id="6" name="2020" dataDxfId="2510" dataCellStyle="Comma"/>
    <tableColumn id="7" name="2025" dataDxfId="2509" dataCellStyle="Comma"/>
    <tableColumn id="8" name="2030" dataDxfId="2508" dataCellStyle="Comma"/>
    <tableColumn id="9" name="2035" dataDxfId="2507" dataCellStyle="Comma"/>
    <tableColumn id="10" name="2040" dataDxfId="2506" dataCellStyle="Comma"/>
    <tableColumn id="11" name="2045" dataDxfId="2505" dataCellStyle="Comma"/>
    <tableColumn id="12" name="2050" dataDxfId="2504" dataCellStyle="Comma"/>
  </tableColumns>
  <tableStyleInfo name="EnergyCalcTables" showFirstColumn="0" showLastColumn="0" showRowStripes="1" showColumnStripes="0"/>
</table>
</file>

<file path=xl/tables/table41.xml><?xml version="1.0" encoding="utf-8"?>
<table xmlns="http://schemas.openxmlformats.org/spreadsheetml/2006/main" id="82" name="III.c.TidalRange.info" displayName="III.c.TidalRange.info" ref="C262:N265" totalsRowShown="0" headerRowDxfId="2503" dataDxfId="2501" headerRowBorderDxfId="2502" dataCellStyle="Comma">
  <autoFilter ref="C262:N265"/>
  <tableColumns count="12">
    <tableColumn id="1" name="Vector" dataDxfId="2500"/>
    <tableColumn id="2" name="Information type"/>
    <tableColumn id="3" name="Notes"/>
    <tableColumn id="4" name="2013" dataDxfId="2499" dataCellStyle="Comma"/>
    <tableColumn id="5" name="2015" dataDxfId="2498" dataCellStyle="Comma"/>
    <tableColumn id="6" name="2020" dataDxfId="2497" dataCellStyle="Comma"/>
    <tableColumn id="7" name="2025" dataDxfId="2496" dataCellStyle="Comma"/>
    <tableColumn id="8" name="2030" dataDxfId="2495" dataCellStyle="Comma"/>
    <tableColumn id="9" name="2035" dataDxfId="2494" dataCellStyle="Comma"/>
    <tableColumn id="10" name="2040" dataDxfId="2493" dataCellStyle="Comma"/>
    <tableColumn id="11" name="2045" dataDxfId="2492" dataCellStyle="Comma"/>
    <tableColumn id="12" name="2050" dataDxfId="2491" dataCellStyle="Comma"/>
  </tableColumns>
  <tableStyleInfo name="EnergyCalcTables" showFirstColumn="0" showLastColumn="0" showRowStripes="1" showColumnStripes="0"/>
</table>
</file>

<file path=xl/tables/table42.xml><?xml version="1.0" encoding="utf-8"?>
<table xmlns="http://schemas.openxmlformats.org/spreadsheetml/2006/main" id="83" name="IV.a.Outputs" displayName="IV.a.Outputs" ref="C108:N111" totalsRowCount="1" headerRowDxfId="2490" dataDxfId="2489" dataCellStyle="Comma">
  <autoFilter ref="C108:N110"/>
  <tableColumns count="12">
    <tableColumn id="1" name="Vector" totalsRowLabel="Total" dataDxfId="2488" totalsRowDxfId="2487"/>
    <tableColumn id="2" name="Name" dataDxfId="2486" totalsRowDxfId="2485"/>
    <tableColumn id="3" name="Notes" dataDxfId="2484" totalsRowDxfId="2483"/>
    <tableColumn id="4" name="2013" totalsRowFunction="min" dataDxfId="2482" totalsRowDxfId="2481" dataCellStyle="Comma 3"/>
    <tableColumn id="5" name="2015" totalsRowFunction="min" dataDxfId="2480" totalsRowDxfId="2479" dataCellStyle="Comma 3"/>
    <tableColumn id="6" name="2020" totalsRowFunction="min" dataDxfId="2478" totalsRowDxfId="2477" dataCellStyle="Comma 3"/>
    <tableColumn id="7" name="2025" totalsRowFunction="min" dataDxfId="2476" totalsRowDxfId="2475" dataCellStyle="Comma 3"/>
    <tableColumn id="8" name="2030" totalsRowFunction="min" dataDxfId="2474" totalsRowDxfId="2473" dataCellStyle="Comma 3"/>
    <tableColumn id="9" name="2035" totalsRowFunction="min" dataDxfId="2472" totalsRowDxfId="2471" dataCellStyle="Comma 3"/>
    <tableColumn id="10" name="2040" totalsRowFunction="min" dataDxfId="2470" totalsRowDxfId="2469" dataCellStyle="Comma 3"/>
    <tableColumn id="11" name="2045" totalsRowFunction="min" dataDxfId="2468" totalsRowDxfId="2467" dataCellStyle="Comma 3"/>
    <tableColumn id="12" name="2050" totalsRowFunction="min" dataDxfId="2466" totalsRowDxfId="2465" dataCellStyle="Comma 3"/>
  </tableColumns>
  <tableStyleInfo name="EnergyCalcTables" showFirstColumn="0" showLastColumn="0" showRowStripes="1" showColumnStripes="0"/>
</table>
</file>

<file path=xl/tables/table43.xml><?xml version="1.0" encoding="utf-8"?>
<table xmlns="http://schemas.openxmlformats.org/spreadsheetml/2006/main" id="84" name="IV.a.info" displayName="IV.a.info" ref="C118:N120" totalsRowShown="0" headerRowDxfId="2464" dataDxfId="2462" headerRowBorderDxfId="2463" dataCellStyle="Comma">
  <autoFilter ref="C118:N120"/>
  <tableColumns count="12">
    <tableColumn id="1" name="Vector" dataDxfId="2461"/>
    <tableColumn id="2" name="Information type"/>
    <tableColumn id="3" name="Notes" dataDxfId="2460"/>
    <tableColumn id="4" name="2013" dataDxfId="2459" dataCellStyle="Comma 3"/>
    <tableColumn id="5" name="2015" dataDxfId="2458" dataCellStyle="Comma 3"/>
    <tableColumn id="6" name="2020" dataDxfId="2457" dataCellStyle="Comma 3"/>
    <tableColumn id="7" name="2025" dataDxfId="2456" dataCellStyle="Comma 3"/>
    <tableColumn id="8" name="2030" dataDxfId="2455" dataCellStyle="Comma 3"/>
    <tableColumn id="9" name="2035" dataDxfId="2454" dataCellStyle="Comma 3"/>
    <tableColumn id="10" name="2040" dataDxfId="2453" dataCellStyle="Comma 3"/>
    <tableColumn id="11" name="2045" dataDxfId="2452" dataCellStyle="Comma 3"/>
    <tableColumn id="12" name="2050" dataDxfId="2451" dataCellStyle="Comma 3"/>
  </tableColumns>
  <tableStyleInfo name="EnergyCalcTables" showFirstColumn="0" showLastColumn="0" showRowStripes="1" showColumnStripes="0"/>
</table>
</file>

<file path=xl/tables/table44.xml><?xml version="1.0" encoding="utf-8"?>
<table xmlns="http://schemas.openxmlformats.org/spreadsheetml/2006/main" id="132" name="IV.b.Outputs" displayName="IV.b.Outputs" ref="C100:N105" totalsRowCount="1" headerRowDxfId="2450" dataDxfId="2449" dataCellStyle="Comma 3">
  <autoFilter ref="C100:N104"/>
  <tableColumns count="12">
    <tableColumn id="1" name="Vector" totalsRowLabel="Total" dataDxfId="2448" totalsRowDxfId="2447"/>
    <tableColumn id="2" name="Name" dataDxfId="2446" totalsRowDxfId="2445">
      <calculatedColumnFormula>INDEX(Vectors[Description], MATCH([Vector], Vectors[Code], 0))</calculatedColumnFormula>
    </tableColumn>
    <tableColumn id="3" name="Notes" dataDxfId="2444" totalsRowDxfId="2443"/>
    <tableColumn id="4" name="2013" totalsRowFunction="min" dataDxfId="2442" totalsRowDxfId="2441" dataCellStyle="Comma 3"/>
    <tableColumn id="5" name="2015" totalsRowFunction="min" dataDxfId="2440" totalsRowDxfId="2439" dataCellStyle="Comma 3"/>
    <tableColumn id="6" name="2020" totalsRowFunction="min" dataDxfId="2438" totalsRowDxfId="2437" dataCellStyle="Comma 3"/>
    <tableColumn id="7" name="2025" totalsRowFunction="min" dataDxfId="2436" totalsRowDxfId="2435" dataCellStyle="Comma 3"/>
    <tableColumn id="8" name="2030" totalsRowFunction="min" dataDxfId="2434" totalsRowDxfId="2433" dataCellStyle="Comma 3"/>
    <tableColumn id="9" name="2035" totalsRowFunction="min" dataDxfId="2432" totalsRowDxfId="2431" dataCellStyle="Comma 3"/>
    <tableColumn id="10" name="2040" totalsRowFunction="min" dataDxfId="2430" totalsRowDxfId="2429" dataCellStyle="Comma 3"/>
    <tableColumn id="11" name="2045" totalsRowFunction="min" dataDxfId="2428" totalsRowDxfId="2427" dataCellStyle="Comma 3"/>
    <tableColumn id="12" name="2050" totalsRowFunction="min" dataDxfId="2426" totalsRowDxfId="2425" dataCellStyle="Comma 3"/>
  </tableColumns>
  <tableStyleInfo name="EnergyCalcTables" showFirstColumn="0" showLastColumn="0" showRowStripes="1" showColumnStripes="0"/>
</table>
</file>

<file path=xl/tables/table45.xml><?xml version="1.0" encoding="utf-8"?>
<table xmlns="http://schemas.openxmlformats.org/spreadsheetml/2006/main" id="133" name="IV.b.info" displayName="IV.b.info" ref="C112:N114" totalsRowShown="0" headerRowDxfId="2424" dataDxfId="2422" headerRowBorderDxfId="2423" dataCellStyle="Comma 3">
  <autoFilter ref="C112:N114"/>
  <tableColumns count="12">
    <tableColumn id="1" name="Vector" dataDxfId="2421"/>
    <tableColumn id="2" name="Information type"/>
    <tableColumn id="3" name="Notes" dataDxfId="2420"/>
    <tableColumn id="4" name="2013" dataDxfId="2419" dataCellStyle="Comma 3"/>
    <tableColumn id="5" name="2015" dataDxfId="2418" dataCellStyle="Comma 3"/>
    <tableColumn id="6" name="2020" dataDxfId="2417" dataCellStyle="Comma 3"/>
    <tableColumn id="7" name="2025" dataDxfId="2416" dataCellStyle="Comma 3"/>
    <tableColumn id="8" name="2030" dataDxfId="2415" dataCellStyle="Comma 3"/>
    <tableColumn id="9" name="2035" dataDxfId="2414" dataCellStyle="Comma 3"/>
    <tableColumn id="10" name="2040" dataDxfId="2413" dataCellStyle="Comma 3"/>
    <tableColumn id="11" name="2045" dataDxfId="2412" dataCellStyle="Comma 3"/>
    <tableColumn id="12" name="2050" dataDxfId="2411" dataCellStyle="Comma 3"/>
  </tableColumns>
  <tableStyleInfo name="EnergyCalcTables" showFirstColumn="0" showLastColumn="0" showRowStripes="1" showColumnStripes="0"/>
</table>
</file>

<file path=xl/tables/table46.xml><?xml version="1.0" encoding="utf-8"?>
<table xmlns="http://schemas.openxmlformats.org/spreadsheetml/2006/main" id="85" name="IV.c.Outputs" displayName="IV.c.Outputs" ref="C102:N105" totalsRowCount="1" headerRowDxfId="2410" dataDxfId="2409" dataCellStyle="Comma">
  <autoFilter ref="C102:N104"/>
  <tableColumns count="12">
    <tableColumn id="1" name="Vector" totalsRowLabel="Total" dataDxfId="2408" totalsRowDxfId="2407"/>
    <tableColumn id="2" name="Name" dataDxfId="2406" totalsRowDxfId="2405">
      <calculatedColumnFormula>INDEX(Vectors[Description], MATCH($C103, Vectors[Code], 0))</calculatedColumnFormula>
    </tableColumn>
    <tableColumn id="3" name="Notes" dataDxfId="2404" totalsRowDxfId="2403"/>
    <tableColumn id="4" name="2013" totalsRowFunction="sum" dataDxfId="2402" totalsRowDxfId="2401" dataCellStyle="Comma">
      <calculatedColumnFormula>-F72</calculatedColumnFormula>
    </tableColumn>
    <tableColumn id="5" name="2015" totalsRowFunction="sum" dataDxfId="2400" totalsRowDxfId="2399" dataCellStyle="Comma">
      <calculatedColumnFormula>-G72</calculatedColumnFormula>
    </tableColumn>
    <tableColumn id="6" name="2020" totalsRowFunction="sum" dataDxfId="2398" totalsRowDxfId="2397" dataCellStyle="Comma">
      <calculatedColumnFormula>-H72</calculatedColumnFormula>
    </tableColumn>
    <tableColumn id="7" name="2025" totalsRowFunction="sum" dataDxfId="2396" totalsRowDxfId="2395" dataCellStyle="Comma">
      <calculatedColumnFormula>-I72</calculatedColumnFormula>
    </tableColumn>
    <tableColumn id="8" name="2030" totalsRowFunction="sum" dataDxfId="2394" totalsRowDxfId="2393" dataCellStyle="Comma">
      <calculatedColumnFormula>-J72</calculatedColumnFormula>
    </tableColumn>
    <tableColumn id="9" name="2035" totalsRowFunction="sum" dataDxfId="2392" totalsRowDxfId="2391" dataCellStyle="Comma">
      <calculatedColumnFormula>-K72</calculatedColumnFormula>
    </tableColumn>
    <tableColumn id="10" name="2040" totalsRowFunction="sum" dataDxfId="2390" totalsRowDxfId="2389" dataCellStyle="Comma">
      <calculatedColumnFormula>-L72</calculatedColumnFormula>
    </tableColumn>
    <tableColumn id="11" name="2045" totalsRowFunction="sum" dataDxfId="2388" totalsRowDxfId="2387" dataCellStyle="Comma">
      <calculatedColumnFormula>-M72</calculatedColumnFormula>
    </tableColumn>
    <tableColumn id="12" name="2050" totalsRowFunction="sum" dataDxfId="2386" totalsRowDxfId="2385" dataCellStyle="Comma">
      <calculatedColumnFormula>-N72</calculatedColumnFormula>
    </tableColumn>
  </tableColumns>
  <tableStyleInfo name="EnergyCalcTables" showFirstColumn="0" showLastColumn="0" showRowStripes="1" showColumnStripes="0"/>
</table>
</file>

<file path=xl/tables/table47.xml><?xml version="1.0" encoding="utf-8"?>
<table xmlns="http://schemas.openxmlformats.org/spreadsheetml/2006/main" id="86" name="IV.c.info" displayName="IV.c.info" ref="C112:N115" totalsRowShown="0" headerRowDxfId="2384" headerRowBorderDxfId="2383">
  <autoFilter ref="C112:N115"/>
  <tableColumns count="12">
    <tableColumn id="1" name="Vector" dataDxfId="2382"/>
    <tableColumn id="2" name="Information type"/>
    <tableColumn id="3" name="Notes"/>
    <tableColumn id="4" name="2013" dataDxfId="2381"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48.xml><?xml version="1.0" encoding="utf-8"?>
<table xmlns="http://schemas.openxmlformats.org/spreadsheetml/2006/main" id="92" name="V.a.Inputs" displayName="V.a.Inputs" ref="C14:N19" totalsRowShown="0" headerRowDxfId="2380" dataDxfId="2379" dataCellStyle="Comma">
  <autoFilter ref="C14:N19"/>
  <tableColumns count="12">
    <tableColumn id="1" name="Vector" dataDxfId="2378"/>
    <tableColumn id="2" name="Name" dataDxfId="2377"/>
    <tableColumn id="3" name="Notes" dataDxfId="2376"/>
    <tableColumn id="4" name="2013" dataDxfId="2375" dataCellStyle="Comma 3">
      <calculatedColumnFormula>INDEX(INDIRECT("'"&amp;V.a.Inputs[#Headers]&amp;"'!Year.Matrix"), MATCH("Subtotal."&amp;$A$2, INDIRECT("'"&amp;V.a.Inputs[#Headers]&amp;"'!Year.Modules"), 0), MATCH([Vector], INDIRECT("'"&amp;V.a.Inputs[#Headers]&amp;"'!Year.Vectors"), 0))</calculatedColumnFormula>
    </tableColumn>
    <tableColumn id="5" name="2015" dataDxfId="2374" dataCellStyle="Comma 3">
      <calculatedColumnFormula>INDEX(INDIRECT("'"&amp;V.a.Inputs[#Headers]&amp;"'!Year.Matrix"), MATCH("Subtotal."&amp;$A$2, INDIRECT("'"&amp;V.a.Inputs[#Headers]&amp;"'!Year.Modules"), 0), MATCH([Vector], INDIRECT("'"&amp;V.a.Inputs[#Headers]&amp;"'!Year.Vectors"), 0))</calculatedColumnFormula>
    </tableColumn>
    <tableColumn id="6" name="2020" dataDxfId="2373" dataCellStyle="Comma 3">
      <calculatedColumnFormula>INDEX(INDIRECT("'"&amp;V.a.Inputs[#Headers]&amp;"'!Year.Matrix"), MATCH("Subtotal."&amp;$A$2, INDIRECT("'"&amp;V.a.Inputs[#Headers]&amp;"'!Year.Modules"), 0), MATCH([Vector], INDIRECT("'"&amp;V.a.Inputs[#Headers]&amp;"'!Year.Vectors"), 0))</calculatedColumnFormula>
    </tableColumn>
    <tableColumn id="7" name="2025" dataDxfId="2372" dataCellStyle="Comma 3">
      <calculatedColumnFormula>INDEX(INDIRECT("'"&amp;V.a.Inputs[#Headers]&amp;"'!Year.Matrix"), MATCH("Subtotal."&amp;$A$2, INDIRECT("'"&amp;V.a.Inputs[#Headers]&amp;"'!Year.Modules"), 0), MATCH([Vector], INDIRECT("'"&amp;V.a.Inputs[#Headers]&amp;"'!Year.Vectors"), 0))</calculatedColumnFormula>
    </tableColumn>
    <tableColumn id="8" name="2030" dataDxfId="2371" dataCellStyle="Comma 3">
      <calculatedColumnFormula>INDEX(INDIRECT("'"&amp;V.a.Inputs[#Headers]&amp;"'!Year.Matrix"), MATCH("Subtotal."&amp;$A$2, INDIRECT("'"&amp;V.a.Inputs[#Headers]&amp;"'!Year.Modules"), 0), MATCH([Vector], INDIRECT("'"&amp;V.a.Inputs[#Headers]&amp;"'!Year.Vectors"), 0))</calculatedColumnFormula>
    </tableColumn>
    <tableColumn id="9" name="2035" dataDxfId="2370" dataCellStyle="Comma 3">
      <calculatedColumnFormula>INDEX(INDIRECT("'"&amp;V.a.Inputs[#Headers]&amp;"'!Year.Matrix"), MATCH("Subtotal."&amp;$A$2, INDIRECT("'"&amp;V.a.Inputs[#Headers]&amp;"'!Year.Modules"), 0), MATCH([Vector], INDIRECT("'"&amp;V.a.Inputs[#Headers]&amp;"'!Year.Vectors"), 0))</calculatedColumnFormula>
    </tableColumn>
    <tableColumn id="10" name="2040" dataDxfId="2369" dataCellStyle="Comma 3">
      <calculatedColumnFormula>INDEX(INDIRECT("'"&amp;V.a.Inputs[#Headers]&amp;"'!Year.Matrix"), MATCH("Subtotal."&amp;$A$2, INDIRECT("'"&amp;V.a.Inputs[#Headers]&amp;"'!Year.Modules"), 0), MATCH([Vector], INDIRECT("'"&amp;V.a.Inputs[#Headers]&amp;"'!Year.Vectors"), 0))</calculatedColumnFormula>
    </tableColumn>
    <tableColumn id="11" name="2045" dataDxfId="2368" dataCellStyle="Comma 3">
      <calculatedColumnFormula>INDEX(INDIRECT("'"&amp;V.a.Inputs[#Headers]&amp;"'!Year.Matrix"), MATCH("Subtotal."&amp;$A$2, INDIRECT("'"&amp;V.a.Inputs[#Headers]&amp;"'!Year.Modules"), 0), MATCH([Vector], INDIRECT("'"&amp;V.a.Inputs[#Headers]&amp;"'!Year.Vectors"), 0))</calculatedColumnFormula>
    </tableColumn>
    <tableColumn id="12" name="2050" dataDxfId="2367" dataCellStyle="Comma 3">
      <calculatedColumnFormula>INDEX(INDIRECT("'"&amp;V.a.Inputs[#Headers]&amp;"'!Year.Matrix"), MATCH("Subtotal."&amp;$A$2, INDIRECT("'"&amp;V.a.Inputs[#Headers]&amp;"'!Year.Modules"), 0), MATCH([Vector], INDIRECT("'"&amp;V.a.Inputs[#Headers]&amp;"'!Year.Vectors"), 0))</calculatedColumnFormula>
    </tableColumn>
  </tableColumns>
  <tableStyleInfo name="EnergyCalcTables" showFirstColumn="0" showLastColumn="0" showRowStripes="1" showColumnStripes="0"/>
</table>
</file>

<file path=xl/tables/table49.xml><?xml version="1.0" encoding="utf-8"?>
<table xmlns="http://schemas.openxmlformats.org/spreadsheetml/2006/main" id="93" name="V.a.InputsRequested" displayName="V.a.InputsRequested" ref="C23:N26" totalsRowShown="0" headerRowDxfId="2366" dataDxfId="2365" dataCellStyle="Comma">
  <autoFilter ref="C23:N26"/>
  <tableColumns count="12">
    <tableColumn id="1" name="Vector"/>
    <tableColumn id="2" name="Name"/>
    <tableColumn id="3" name="Notes"/>
    <tableColumn id="4" name="2013" dataDxfId="2364" dataCellStyle="Comma"/>
    <tableColumn id="5" name="2015" dataDxfId="2363"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6" name="2020" dataDxfId="2362"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7" name="2025" dataDxfId="2361"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8" name="2030" dataDxfId="2360"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9" name="2035" dataDxfId="2359"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10" name="2040" dataDxfId="2358"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11" name="2045" dataDxfId="2357"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12" name="2050" dataDxfId="2356"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s>
  <tableStyleInfo name="EnergyCalcTables" showFirstColumn="0" showLastColumn="0" showRowStripes="1" showColumnStripes="0"/>
</table>
</file>

<file path=xl/tables/table50.xml><?xml version="1.0" encoding="utf-8"?>
<table xmlns="http://schemas.openxmlformats.org/spreadsheetml/2006/main" id="94" name="V.a.Outputs" displayName="V.a.Outputs" ref="C382:N392" totalsRowCount="1" headerRowDxfId="2355" dataDxfId="2354" dataCellStyle="Comma">
  <autoFilter ref="C382:N391"/>
  <tableColumns count="12">
    <tableColumn id="1" name="Vector" totalsRowLabel="Total" dataDxfId="2353" totalsRowDxfId="2352"/>
    <tableColumn id="2" name="Name" dataDxfId="2351" totalsRowDxfId="2350">
      <calculatedColumnFormula>INDEX(Vectors[Description], MATCH([Vector], Vectors[Code], 0))</calculatedColumnFormula>
    </tableColumn>
    <tableColumn id="3" name="Notes" dataDxfId="2349" totalsRowDxfId="2348"/>
    <tableColumn id="4" name="2013" totalsRowFunction="sum" dataDxfId="2347" totalsRowDxfId="2346" dataCellStyle="Comma"/>
    <tableColumn id="5" name="2015" totalsRowFunction="sum" dataDxfId="2345" totalsRowDxfId="2344" dataCellStyle="Comma"/>
    <tableColumn id="6" name="2020" totalsRowFunction="sum" dataDxfId="2343" totalsRowDxfId="2342" dataCellStyle="Comma"/>
    <tableColumn id="7" name="2025" totalsRowFunction="sum" dataDxfId="2341" totalsRowDxfId="2340" dataCellStyle="Comma"/>
    <tableColumn id="8" name="2030" totalsRowFunction="sum" dataDxfId="2339" totalsRowDxfId="2338" dataCellStyle="Comma"/>
    <tableColumn id="9" name="2035" totalsRowFunction="sum" dataDxfId="2337" totalsRowDxfId="2336" dataCellStyle="Comma"/>
    <tableColumn id="10" name="2040" totalsRowFunction="sum" dataDxfId="2335" totalsRowDxfId="2334" dataCellStyle="Comma"/>
    <tableColumn id="11" name="2045" totalsRowFunction="sum" dataDxfId="2333" totalsRowDxfId="2332" dataCellStyle="Comma"/>
    <tableColumn id="12" name="2050" totalsRowFunction="sum" dataDxfId="2331" totalsRowDxfId="2330" dataCellStyle="Comma"/>
  </tableColumns>
  <tableStyleInfo name="EnergyCalcTables" showFirstColumn="0" showLastColumn="0" showRowStripes="1" showColumnStripes="0"/>
</table>
</file>

<file path=xl/tables/table51.xml><?xml version="1.0" encoding="utf-8"?>
<table xmlns="http://schemas.openxmlformats.org/spreadsheetml/2006/main" id="95" name="BioExports" displayName="BioExports" ref="B315:N318" totalsRowShown="0" headerRowDxfId="2329" dataDxfId="2328" dataCellStyle="Comma">
  <autoFilter ref="B315:N318"/>
  <tableColumns count="13">
    <tableColumn id="1" name="Vector" dataDxfId="2327"/>
    <tableColumn id="2" name="Exports of biomass (supply - available)" dataDxfId="2326"/>
    <tableColumn id="3" name="Note" dataDxfId="2325"/>
    <tableColumn id="4" name="Units" dataDxfId="2324">
      <calculatedColumnFormula>Preferences.EnergyUnits</calculatedColumnFormula>
    </tableColumn>
    <tableColumn id="5" name="2013" dataDxfId="2323" dataCellStyle="Comma">
      <calculatedColumnFormula>F306-F311</calculatedColumnFormula>
    </tableColumn>
    <tableColumn id="6" name="2015" dataDxfId="2322" dataCellStyle="Comma">
      <calculatedColumnFormula>G306-G311</calculatedColumnFormula>
    </tableColumn>
    <tableColumn id="7" name="2020" dataDxfId="2321" dataCellStyle="Comma">
      <calculatedColumnFormula>H306-H311</calculatedColumnFormula>
    </tableColumn>
    <tableColumn id="8" name="2025" dataDxfId="2320" dataCellStyle="Comma">
      <calculatedColumnFormula>I306-I311</calculatedColumnFormula>
    </tableColumn>
    <tableColumn id="9" name="2030" dataDxfId="2319" dataCellStyle="Comma">
      <calculatedColumnFormula>J306-J311</calculatedColumnFormula>
    </tableColumn>
    <tableColumn id="10" name="2035" dataDxfId="2318" dataCellStyle="Comma">
      <calculatedColumnFormula>K306-K311</calculatedColumnFormula>
    </tableColumn>
    <tableColumn id="11" name="2040" dataDxfId="2317" dataCellStyle="Comma">
      <calculatedColumnFormula>L306-L311</calculatedColumnFormula>
    </tableColumn>
    <tableColumn id="12" name="2045" dataDxfId="2316" dataCellStyle="Comma">
      <calculatedColumnFormula>M306-M311</calculatedColumnFormula>
    </tableColumn>
    <tableColumn id="13" name="2050" dataDxfId="2315" dataCellStyle="Comma">
      <calculatedColumnFormula>N306-N311</calculatedColumnFormula>
    </tableColumn>
  </tableColumns>
  <tableStyleInfo name="TableStyleLight1" showFirstColumn="0" showLastColumn="0" showRowStripes="1" showColumnStripes="0"/>
</table>
</file>

<file path=xl/tables/table52.xml><?xml version="1.0" encoding="utf-8"?>
<table xmlns="http://schemas.openxmlformats.org/spreadsheetml/2006/main" id="131" name="V.a.Emissions" displayName="V.a.Emissions" ref="C400:N402" totalsRowCount="1" headerRowDxfId="2314" dataDxfId="2312" headerRowBorderDxfId="2313" dataCellStyle="Comma">
  <autoFilter ref="C400:N401"/>
  <tableColumns count="12">
    <tableColumn id="1" name="GHG" totalsRowLabel="Total" dataDxfId="2311" totalsRowDxfId="2310"/>
    <tableColumn id="2" name="IPCC Sector" dataDxfId="2309" totalsRowDxfId="2308"/>
    <tableColumn id="3" name="Notes" dataDxfId="2307" totalsRowDxfId="2306" dataCellStyle="Comma"/>
    <tableColumn id="4" name="2013" totalsRowFunction="sum" dataDxfId="2305" totalsRowDxfId="2304" dataCellStyle="Comma">
      <calculatedColumnFormula>-F322</calculatedColumnFormula>
    </tableColumn>
    <tableColumn id="5" name="2015" totalsRowFunction="sum" dataDxfId="2303" totalsRowDxfId="2302" dataCellStyle="Comma">
      <calculatedColumnFormula>-G322</calculatedColumnFormula>
    </tableColumn>
    <tableColumn id="6" name="2020" totalsRowFunction="sum" dataDxfId="2301" totalsRowDxfId="2300" dataCellStyle="Comma">
      <calculatedColumnFormula>-H322</calculatedColumnFormula>
    </tableColumn>
    <tableColumn id="7" name="2025" totalsRowFunction="sum" dataDxfId="2299" totalsRowDxfId="2298" dataCellStyle="Comma">
      <calculatedColumnFormula>-I322</calculatedColumnFormula>
    </tableColumn>
    <tableColumn id="8" name="2030" totalsRowFunction="sum" dataDxfId="2297" totalsRowDxfId="2296" dataCellStyle="Comma">
      <calculatedColumnFormula>-J322</calculatedColumnFormula>
    </tableColumn>
    <tableColumn id="9" name="2035" totalsRowFunction="sum" dataDxfId="2295" totalsRowDxfId="2294" dataCellStyle="Comma">
      <calculatedColumnFormula>-K322</calculatedColumnFormula>
    </tableColumn>
    <tableColumn id="10" name="2040" totalsRowFunction="sum" dataDxfId="2293" totalsRowDxfId="2292" dataCellStyle="Comma">
      <calculatedColumnFormula>-L322</calculatedColumnFormula>
    </tableColumn>
    <tableColumn id="11" name="2045" totalsRowFunction="sum" dataDxfId="2291" totalsRowDxfId="2290" dataCellStyle="Comma">
      <calculatedColumnFormula>-M322</calculatedColumnFormula>
    </tableColumn>
    <tableColumn id="12" name="2050" totalsRowFunction="sum" dataDxfId="2289" totalsRowDxfId="2288" dataCellStyle="Comma">
      <calculatedColumnFormula>-N322</calculatedColumnFormula>
    </tableColumn>
  </tableColumns>
  <tableStyleInfo name="EnergyCalcTables" showFirstColumn="0" showLastColumn="0" showRowStripes="1" showColumnStripes="0"/>
</table>
</file>

<file path=xl/tables/table53.xml><?xml version="1.0" encoding="utf-8"?>
<table xmlns="http://schemas.openxmlformats.org/spreadsheetml/2006/main" id="127" name="V.b.Inputs" displayName="V.b.Inputs" ref="C14:N17" totalsRowShown="0" headerRowDxfId="2287">
  <autoFilter ref="C14:N17"/>
  <tableColumns count="12">
    <tableColumn id="1" name="Vector" dataDxfId="2286"/>
    <tableColumn id="2" name="Name" dataDxfId="2285"/>
    <tableColumn id="3" name="Notes" dataDxfId="2284"/>
    <tableColumn id="4" name="2013" dataDxfId="2283">
      <calculatedColumnFormula>INDEX(INDIRECT("'"&amp;V.b.Inputs[#Headers]&amp;"'!Year.Matrix"), MATCH("Subtotal."&amp;$A$2, INDIRECT("'"&amp;V.b.Inputs[#Headers]&amp;"'!Year.Modules"), 0), MATCH([Vector], INDIRECT("'"&amp;V.b.Inputs[#Headers]&amp;"'!Year.Vectors"), 0))</calculatedColumnFormula>
    </tableColumn>
    <tableColumn id="5" name="2015">
      <calculatedColumnFormula>INDEX(INDIRECT("'"&amp;V.b.Inputs[#Headers]&amp;"'!Year.Matrix"), MATCH("Subtotal."&amp;$A$2, INDIRECT("'"&amp;V.b.Inputs[#Headers]&amp;"'!Year.Modules"), 0), MATCH([Vector], INDIRECT("'"&amp;V.b.Inputs[#Headers]&amp;"'!Year.Vectors"), 0))</calculatedColumnFormula>
    </tableColumn>
    <tableColumn id="6" name="2020">
      <calculatedColumnFormula>INDEX(INDIRECT("'"&amp;V.b.Inputs[#Headers]&amp;"'!Year.Matrix"), MATCH("Subtotal."&amp;$A$2, INDIRECT("'"&amp;V.b.Inputs[#Headers]&amp;"'!Year.Modules"), 0), MATCH([Vector], INDIRECT("'"&amp;V.b.Inputs[#Headers]&amp;"'!Year.Vectors"), 0))</calculatedColumnFormula>
    </tableColumn>
    <tableColumn id="7" name="2025">
      <calculatedColumnFormula>INDEX(INDIRECT("'"&amp;V.b.Inputs[#Headers]&amp;"'!Year.Matrix"), MATCH("Subtotal."&amp;$A$2, INDIRECT("'"&amp;V.b.Inputs[#Headers]&amp;"'!Year.Modules"), 0), MATCH([Vector], INDIRECT("'"&amp;V.b.Inputs[#Headers]&amp;"'!Year.Vectors"), 0))</calculatedColumnFormula>
    </tableColumn>
    <tableColumn id="8" name="2030">
      <calculatedColumnFormula>INDEX(INDIRECT("'"&amp;V.b.Inputs[#Headers]&amp;"'!Year.Matrix"), MATCH("Subtotal."&amp;$A$2, INDIRECT("'"&amp;V.b.Inputs[#Headers]&amp;"'!Year.Modules"), 0), MATCH([Vector], INDIRECT("'"&amp;V.b.Inputs[#Headers]&amp;"'!Year.Vectors"), 0))</calculatedColumnFormula>
    </tableColumn>
    <tableColumn id="9" name="2035">
      <calculatedColumnFormula>INDEX(INDIRECT("'"&amp;V.b.Inputs[#Headers]&amp;"'!Year.Matrix"), MATCH("Subtotal."&amp;$A$2, INDIRECT("'"&amp;V.b.Inputs[#Headers]&amp;"'!Year.Modules"), 0), MATCH([Vector], INDIRECT("'"&amp;V.b.Inputs[#Headers]&amp;"'!Year.Vectors"), 0))</calculatedColumnFormula>
    </tableColumn>
    <tableColumn id="10" name="2040">
      <calculatedColumnFormula>INDEX(INDIRECT("'"&amp;V.b.Inputs[#Headers]&amp;"'!Year.Matrix"), MATCH("Subtotal."&amp;$A$2, INDIRECT("'"&amp;V.b.Inputs[#Headers]&amp;"'!Year.Modules"), 0), MATCH([Vector], INDIRECT("'"&amp;V.b.Inputs[#Headers]&amp;"'!Year.Vectors"), 0))</calculatedColumnFormula>
    </tableColumn>
    <tableColumn id="11" name="2045">
      <calculatedColumnFormula>INDEX(INDIRECT("'"&amp;V.b.Inputs[#Headers]&amp;"'!Year.Matrix"), MATCH("Subtotal."&amp;$A$2, INDIRECT("'"&amp;V.b.Inputs[#Headers]&amp;"'!Year.Modules"), 0), MATCH([Vector], INDIRECT("'"&amp;V.b.Inputs[#Headers]&amp;"'!Year.Vectors"), 0))</calculatedColumnFormula>
    </tableColumn>
    <tableColumn id="12" name="2050">
      <calculatedColumnFormula>INDEX(INDIRECT("'"&amp;V.b.Inputs[#Headers]&amp;"'!Year.Matrix"), MATCH("Subtotal."&amp;$A$2, INDIRECT("'"&amp;V.b.Inputs[#Headers]&amp;"'!Year.Modules"), 0), MATCH([Vector], INDIRECT("'"&amp;V.b.Inputs[#Headers]&amp;"'!Year.Vectors"), 0))</calculatedColumnFormula>
    </tableColumn>
  </tableColumns>
  <tableStyleInfo name="EnergyCalcTables" showFirstColumn="0" showLastColumn="0" showRowStripes="1" showColumnStripes="0"/>
</table>
</file>

<file path=xl/tables/table54.xml><?xml version="1.0" encoding="utf-8"?>
<table xmlns="http://schemas.openxmlformats.org/spreadsheetml/2006/main" id="128" name="V.b.Outputs" displayName="V.b.Outputs" ref="C106:N111" totalsRowCount="1" headerRowDxfId="2282" dataDxfId="2281" dataCellStyle="Comma 3">
  <autoFilter ref="C106:N110"/>
  <tableColumns count="12">
    <tableColumn id="1" name="Vector" totalsRowLabel="Total" dataDxfId="2280" totalsRowDxfId="2279"/>
    <tableColumn id="2" name="Name" dataDxfId="2278" totalsRowDxfId="2277"/>
    <tableColumn id="3" name="Notes" dataDxfId="2276" totalsRowDxfId="2275"/>
    <tableColumn id="4" name="2013" totalsRowFunction="sum" dataDxfId="2274" totalsRowDxfId="2273" dataCellStyle="Comma 3"/>
    <tableColumn id="5" name="2015" totalsRowFunction="sum" dataDxfId="2272" totalsRowDxfId="2271" dataCellStyle="Comma 3"/>
    <tableColumn id="6" name="2020" totalsRowFunction="sum" dataDxfId="2270" totalsRowDxfId="2269" dataCellStyle="Comma 3"/>
    <tableColumn id="7" name="2025" totalsRowFunction="sum" dataDxfId="2268" totalsRowDxfId="2267" dataCellStyle="Comma 3"/>
    <tableColumn id="8" name="2030" totalsRowFunction="sum" dataDxfId="2266" totalsRowDxfId="2265" dataCellStyle="Comma 3"/>
    <tableColumn id="9" name="2035" totalsRowFunction="sum" dataDxfId="2264" totalsRowDxfId="2263" dataCellStyle="Comma 3"/>
    <tableColumn id="10" name="2040" totalsRowFunction="sum" dataDxfId="2262" totalsRowDxfId="2261" dataCellStyle="Comma 3"/>
    <tableColumn id="11" name="2045" totalsRowFunction="sum" dataDxfId="2260" totalsRowDxfId="2259" dataCellStyle="Comma 3"/>
    <tableColumn id="12" name="2050" totalsRowFunction="sum" dataDxfId="2258" totalsRowDxfId="2257" dataCellStyle="Comma 3"/>
  </tableColumns>
  <tableStyleInfo name="EnergyCalcTables" showFirstColumn="0" showLastColumn="0" showRowStripes="1" showColumnStripes="0"/>
</table>
</file>

<file path=xl/tables/table55.xml><?xml version="1.0" encoding="utf-8"?>
<table xmlns="http://schemas.openxmlformats.org/spreadsheetml/2006/main" id="129" name="V.b.Emissions" displayName="V.b.Emissions" ref="C118:N120" totalsRowCount="1" headerRowDxfId="2256" dataDxfId="2254" headerRowBorderDxfId="2255">
  <autoFilter ref="C118:N119"/>
  <tableColumns count="12">
    <tableColumn id="1" name="GHG" totalsRowLabel="Total" dataDxfId="2253" totalsRowDxfId="2252"/>
    <tableColumn id="2" name="IPCC Sector" dataDxfId="2251" totalsRowDxfId="2250"/>
    <tableColumn id="3" name="Notes" dataDxfId="2249" totalsRowDxfId="2248"/>
    <tableColumn id="4" name="2013" totalsRowFunction="sum" dataDxfId="2247" totalsRowDxfId="2246">
      <calculatedColumnFormula>-F87</calculatedColumnFormula>
    </tableColumn>
    <tableColumn id="5" name="2015" totalsRowFunction="sum" dataDxfId="2245" totalsRowDxfId="2244">
      <calculatedColumnFormula>-G87</calculatedColumnFormula>
    </tableColumn>
    <tableColumn id="6" name="2020" totalsRowFunction="sum" dataDxfId="2243" totalsRowDxfId="2242">
      <calculatedColumnFormula>-H87</calculatedColumnFormula>
    </tableColumn>
    <tableColumn id="7" name="2025" totalsRowFunction="sum" dataDxfId="2241" totalsRowDxfId="2240">
      <calculatedColumnFormula>-I87</calculatedColumnFormula>
    </tableColumn>
    <tableColumn id="8" name="2030" totalsRowFunction="sum" dataDxfId="2239" totalsRowDxfId="2238">
      <calculatedColumnFormula>-J87</calculatedColumnFormula>
    </tableColumn>
    <tableColumn id="9" name="2035" totalsRowFunction="sum" dataDxfId="2237" totalsRowDxfId="2236">
      <calculatedColumnFormula>-K87</calculatedColumnFormula>
    </tableColumn>
    <tableColumn id="10" name="2040" totalsRowFunction="sum" dataDxfId="2235" totalsRowDxfId="2234">
      <calculatedColumnFormula>-L87</calculatedColumnFormula>
    </tableColumn>
    <tableColumn id="11" name="2045" totalsRowFunction="sum" dataDxfId="2233" totalsRowDxfId="2232">
      <calculatedColumnFormula>-M87</calculatedColumnFormula>
    </tableColumn>
    <tableColumn id="12" name="2050" totalsRowFunction="sum" dataDxfId="2231" totalsRowDxfId="2230">
      <calculatedColumnFormula>-N87</calculatedColumnFormula>
    </tableColumn>
  </tableColumns>
  <tableStyleInfo name="EnergyCalcTables" showFirstColumn="0" showLastColumn="0" showRowStripes="1" showColumnStripes="0"/>
</table>
</file>

<file path=xl/tables/table56.xml><?xml version="1.0" encoding="utf-8"?>
<table xmlns="http://schemas.openxmlformats.org/spreadsheetml/2006/main" id="130" name="V.b.info" displayName="V.b.info" ref="C127:N128" totalsRowShown="0" headerRowDxfId="2229" dataDxfId="2227" headerRowBorderDxfId="2228" dataCellStyle="Comma 3">
  <autoFilter ref="C127:N128"/>
  <tableColumns count="12">
    <tableColumn id="1" name="Vector" dataDxfId="2226"/>
    <tableColumn id="2" name="Information type" dataDxfId="2225"/>
    <tableColumn id="3" name="Notes" dataDxfId="2224">
      <calculatedColumnFormula>Preferences.AreaUnits</calculatedColumnFormula>
    </tableColumn>
    <tableColumn id="4" name="2013" dataDxfId="2223" dataCellStyle="Comma 3">
      <calculatedColumnFormula>F89</calculatedColumnFormula>
    </tableColumn>
    <tableColumn id="5" name="2015" dataDxfId="2222" dataCellStyle="Comma 3">
      <calculatedColumnFormula>G89</calculatedColumnFormula>
    </tableColumn>
    <tableColumn id="6" name="2020" dataDxfId="2221" dataCellStyle="Comma 3">
      <calculatedColumnFormula>H89</calculatedColumnFormula>
    </tableColumn>
    <tableColumn id="7" name="2025" dataDxfId="2220" dataCellStyle="Comma 3">
      <calculatedColumnFormula>I89</calculatedColumnFormula>
    </tableColumn>
    <tableColumn id="8" name="2030" dataDxfId="2219" dataCellStyle="Comma 3">
      <calculatedColumnFormula>J89</calculatedColumnFormula>
    </tableColumn>
    <tableColumn id="9" name="2035" dataDxfId="2218" dataCellStyle="Comma 3">
      <calculatedColumnFormula>K89</calculatedColumnFormula>
    </tableColumn>
    <tableColumn id="10" name="2040" dataDxfId="2217" dataCellStyle="Comma 3">
      <calculatedColumnFormula>L89</calculatedColumnFormula>
    </tableColumn>
    <tableColumn id="11" name="2045" dataDxfId="2216" dataCellStyle="Comma 3">
      <calculatedColumnFormula>M89</calculatedColumnFormula>
    </tableColumn>
    <tableColumn id="12" name="2050" dataDxfId="2215" dataCellStyle="Comma 3">
      <calculatedColumnFormula>N89</calculatedColumnFormula>
    </tableColumn>
  </tableColumns>
  <tableStyleInfo name="EnergyCalcTables" showFirstColumn="0" showLastColumn="0" showRowStripes="1" showColumnStripes="0"/>
</table>
</file>

<file path=xl/tables/table57.xml><?xml version="1.0" encoding="utf-8"?>
<table xmlns="http://schemas.openxmlformats.org/spreadsheetml/2006/main" id="87" name="VI.a.Outputs" displayName="VI.a.Outputs" ref="C535:N547" totalsRowCount="1" headerRowDxfId="2214" dataDxfId="2213" dataCellStyle="Comma">
  <autoFilter ref="C535:N546"/>
  <tableColumns count="12">
    <tableColumn id="1" name="Vector" totalsRowLabel="Total" dataDxfId="2212" totalsRowDxfId="2211"/>
    <tableColumn id="2" name="Name" dataDxfId="2210" totalsRowDxfId="2209">
      <calculatedColumnFormula>INDEX(Vectors[Description], MATCH([Vector], Vectors[Code], 0))</calculatedColumnFormula>
    </tableColumn>
    <tableColumn id="3" name="Notes" dataDxfId="2208" totalsRowDxfId="2207"/>
    <tableColumn id="4" name="2013" totalsRowFunction="sum" dataDxfId="2206" totalsRowDxfId="2205" dataCellStyle="Comma"/>
    <tableColumn id="5" name="2015" totalsRowFunction="sum" dataDxfId="2204" totalsRowDxfId="2203" dataCellStyle="Comma"/>
    <tableColumn id="6" name="2020" totalsRowFunction="sum" dataDxfId="2202" totalsRowDxfId="2201" dataCellStyle="Comma"/>
    <tableColumn id="7" name="2025" totalsRowFunction="sum" dataDxfId="2200" totalsRowDxfId="2199" dataCellStyle="Comma"/>
    <tableColumn id="8" name="2030" totalsRowFunction="sum" dataDxfId="2198" totalsRowDxfId="2197" dataCellStyle="Comma"/>
    <tableColumn id="9" name="2035" totalsRowFunction="sum" dataDxfId="2196" totalsRowDxfId="2195" dataCellStyle="Comma"/>
    <tableColumn id="10" name="2040" totalsRowFunction="sum" dataDxfId="2194" totalsRowDxfId="2193" dataCellStyle="Comma"/>
    <tableColumn id="11" name="2045" totalsRowFunction="sum" dataDxfId="2192" totalsRowDxfId="2191" dataCellStyle="Comma"/>
    <tableColumn id="12" name="2050" totalsRowFunction="sum" dataDxfId="2190" totalsRowDxfId="2189" dataCellStyle="Comma"/>
  </tableColumns>
  <tableStyleInfo name="EnergyCalcTables" showFirstColumn="0" showLastColumn="0" showRowStripes="1" showColumnStripes="0"/>
</table>
</file>

<file path=xl/tables/table58.xml><?xml version="1.0" encoding="utf-8"?>
<table xmlns="http://schemas.openxmlformats.org/spreadsheetml/2006/main" id="88" name="VI.a.Emissions" displayName="VI.a.Emissions" ref="C554:N561" totalsRowCount="1" headerRowDxfId="2188" dataDxfId="2186" headerRowBorderDxfId="2187" dataCellStyle="Comma">
  <autoFilter ref="C554:N560"/>
  <tableColumns count="12">
    <tableColumn id="1" name="GHG" totalsRowLabel="Total" dataDxfId="2185" totalsRowDxfId="2184"/>
    <tableColumn id="2" name="IPCC Sector" dataDxfId="2183" totalsRowDxfId="2182"/>
    <tableColumn id="3" name="Notes" dataDxfId="2181" totalsRowDxfId="2180"/>
    <tableColumn id="4" name="2013" totalsRowFunction="sum" dataDxfId="2179" totalsRowDxfId="2178" dataCellStyle="Comma"/>
    <tableColumn id="5" name="2015" totalsRowFunction="sum" dataDxfId="2177" totalsRowDxfId="2176" dataCellStyle="Comma"/>
    <tableColumn id="6" name="2020" totalsRowFunction="sum" dataDxfId="2175" totalsRowDxfId="2174" dataCellStyle="Comma"/>
    <tableColumn id="7" name="2025" totalsRowFunction="sum" dataDxfId="2173" totalsRowDxfId="2172" dataCellStyle="Comma"/>
    <tableColumn id="8" name="2030" totalsRowFunction="sum" dataDxfId="2171" totalsRowDxfId="2170" dataCellStyle="Comma"/>
    <tableColumn id="9" name="2035" totalsRowFunction="sum" dataDxfId="2169" totalsRowDxfId="2168" dataCellStyle="Comma"/>
    <tableColumn id="10" name="2040" totalsRowFunction="sum" dataDxfId="2167" totalsRowDxfId="2166" dataCellStyle="Comma"/>
    <tableColumn id="11" name="2045" totalsRowFunction="sum" dataDxfId="2165" totalsRowDxfId="2164" dataCellStyle="Comma"/>
    <tableColumn id="12" name="2050" totalsRowFunction="sum" dataDxfId="2163" totalsRowDxfId="2162" dataCellStyle="Comma"/>
  </tableColumns>
  <tableStyleInfo name="EnergyCalcTables" showFirstColumn="0" showLastColumn="0" showRowStripes="1" showColumnStripes="0"/>
</table>
</file>

<file path=xl/tables/table59.xml><?xml version="1.0" encoding="utf-8"?>
<table xmlns="http://schemas.openxmlformats.org/spreadsheetml/2006/main" id="89" name="VI.a.AQ" displayName="VI.a.AQ" ref="C565:N569" totalsRowShown="0" headerRowDxfId="2161" dataDxfId="2159" headerRowBorderDxfId="2160" tableBorderDxfId="2158">
  <autoFilter ref="C565:N569"/>
  <tableColumns count="12">
    <tableColumn id="1" name="Vector" dataDxfId="2157">
      <calculatedColumnFormula>INDEX(AirQualityVectors[Code],MATCH(D566,AirQualityVectors[Description],0))</calculatedColumnFormula>
    </tableColumn>
    <tableColumn id="2" name="Name" dataDxfId="2156"/>
    <tableColumn id="3" name="Notes" dataDxfId="2155"/>
    <tableColumn id="4" name="2013" dataDxfId="2154">
      <calculatedColumnFormula>F475</calculatedColumnFormula>
    </tableColumn>
    <tableColumn id="5" name="2015" dataDxfId="2153">
      <calculatedColumnFormula>G475</calculatedColumnFormula>
    </tableColumn>
    <tableColumn id="6" name="2020" dataDxfId="2152">
      <calculatedColumnFormula>H475</calculatedColumnFormula>
    </tableColumn>
    <tableColumn id="7" name="2025" dataDxfId="2151">
      <calculatedColumnFormula>I475</calculatedColumnFormula>
    </tableColumn>
    <tableColumn id="8" name="2030" dataDxfId="2150">
      <calculatedColumnFormula>J475</calculatedColumnFormula>
    </tableColumn>
    <tableColumn id="9" name="2035" dataDxfId="2149">
      <calculatedColumnFormula>K475</calculatedColumnFormula>
    </tableColumn>
    <tableColumn id="10" name="2040" dataDxfId="2148">
      <calculatedColumnFormula>L475</calculatedColumnFormula>
    </tableColumn>
    <tableColumn id="11" name="2045" dataDxfId="2147">
      <calculatedColumnFormula>M475</calculatedColumnFormula>
    </tableColumn>
    <tableColumn id="12" name="2050" dataDxfId="2146">
      <calculatedColumnFormula>N475</calculatedColumnFormula>
    </tableColumn>
  </tableColumns>
  <tableStyleInfo name="EnergyCalcTables" showFirstColumn="0" showLastColumn="0" showRowStripes="1" showColumnStripes="0"/>
</table>
</file>

<file path=xl/tables/table60.xml><?xml version="1.0" encoding="utf-8"?>
<table xmlns="http://schemas.openxmlformats.org/spreadsheetml/2006/main" id="90" name="VI.a.Biocrop.info" displayName="VI.a.Biocrop.info" ref="C576:N577" totalsRowShown="0" headerRowDxfId="2145" dataDxfId="2143" headerRowBorderDxfId="2144" dataCellStyle="Comma">
  <autoFilter ref="C576:N577"/>
  <tableColumns count="12">
    <tableColumn id="1" name="Vector" dataDxfId="2142"/>
    <tableColumn id="2" name="Information type" dataDxfId="2141"/>
    <tableColumn id="3" name="Notes" dataDxfId="2140">
      <calculatedColumnFormula>Preferences.AreaUnits</calculatedColumnFormula>
    </tableColumn>
    <tableColumn id="4" name="2013" dataDxfId="2139" dataCellStyle="Comma">
      <calculatedColumnFormula>F299+F300+F301</calculatedColumnFormula>
    </tableColumn>
    <tableColumn id="5" name="2015" dataDxfId="2138" dataCellStyle="Comma">
      <calculatedColumnFormula>G299+G300+G301</calculatedColumnFormula>
    </tableColumn>
    <tableColumn id="6" name="2020" dataDxfId="2137" dataCellStyle="Comma">
      <calculatedColumnFormula>H299+H300+H301</calculatedColumnFormula>
    </tableColumn>
    <tableColumn id="7" name="2025" dataDxfId="2136" dataCellStyle="Comma">
      <calculatedColumnFormula>I299+I300+I301</calculatedColumnFormula>
    </tableColumn>
    <tableColumn id="8" name="2030" dataDxfId="2135" dataCellStyle="Comma">
      <calculatedColumnFormula>J299+J300+J301</calculatedColumnFormula>
    </tableColumn>
    <tableColumn id="9" name="2035" dataDxfId="2134" dataCellStyle="Comma">
      <calculatedColumnFormula>K299+K300+K301</calculatedColumnFormula>
    </tableColumn>
    <tableColumn id="10" name="2040" dataDxfId="2133" dataCellStyle="Comma">
      <calculatedColumnFormula>L299+L300+L301</calculatedColumnFormula>
    </tableColumn>
    <tableColumn id="11" name="2045" dataDxfId="2132" dataCellStyle="Comma">
      <calculatedColumnFormula>M299+M300+M301</calculatedColumnFormula>
    </tableColumn>
    <tableColumn id="12" name="2050" dataDxfId="2131" dataCellStyle="Comma">
      <calculatedColumnFormula>N299+N300+N301</calculatedColumnFormula>
    </tableColumn>
  </tableColumns>
  <tableStyleInfo name="EnergyCalcTables" showFirstColumn="0" showLastColumn="0" showRowStripes="1" showColumnStripes="0"/>
</table>
</file>

<file path=xl/tables/table61.xml><?xml version="1.0" encoding="utf-8"?>
<table xmlns="http://schemas.openxmlformats.org/spreadsheetml/2006/main" id="91" name="VI.a.Forestry.info" displayName="VI.a.Forestry.info" ref="C581:N582" totalsRowShown="0" headerRowDxfId="2130" dataDxfId="2128" headerRowBorderDxfId="2129" dataCellStyle="Comma">
  <autoFilter ref="C581:N582"/>
  <tableColumns count="12">
    <tableColumn id="1" name="Vector" dataDxfId="2127"/>
    <tableColumn id="2" name="Information type" dataDxfId="2126"/>
    <tableColumn id="3" name="Notes" dataDxfId="2125">
      <calculatedColumnFormula>Preferences.AreaUnits</calculatedColumnFormula>
    </tableColumn>
    <tableColumn id="4" name="2013" dataDxfId="2124" dataCellStyle="Comma">
      <calculatedColumnFormula>F304</calculatedColumnFormula>
    </tableColumn>
    <tableColumn id="5" name="2015" dataDxfId="2123" dataCellStyle="Comma">
      <calculatedColumnFormula>G304</calculatedColumnFormula>
    </tableColumn>
    <tableColumn id="6" name="2020" dataDxfId="2122" dataCellStyle="Comma">
      <calculatedColumnFormula>H304</calculatedColumnFormula>
    </tableColumn>
    <tableColumn id="7" name="2025" dataDxfId="2121" dataCellStyle="Comma">
      <calculatedColumnFormula>I304</calculatedColumnFormula>
    </tableColumn>
    <tableColumn id="8" name="2030" dataDxfId="2120" dataCellStyle="Comma">
      <calculatedColumnFormula>J304</calculatedColumnFormula>
    </tableColumn>
    <tableColumn id="9" name="2035" dataDxfId="2119" dataCellStyle="Comma">
      <calculatedColumnFormula>K304</calculatedColumnFormula>
    </tableColumn>
    <tableColumn id="10" name="2040" dataDxfId="2118" dataCellStyle="Comma">
      <calculatedColumnFormula>L304</calculatedColumnFormula>
    </tableColumn>
    <tableColumn id="11" name="2045" dataDxfId="2117" dataCellStyle="Comma">
      <calculatedColumnFormula>M304</calculatedColumnFormula>
    </tableColumn>
    <tableColumn id="12" name="2050" dataDxfId="2116" dataCellStyle="Comma">
      <calculatedColumnFormula>N304</calculatedColumnFormula>
    </tableColumn>
  </tableColumns>
  <tableStyleInfo name="EnergyCalcTables" showFirstColumn="0" showLastColumn="0" showRowStripes="1" showColumnStripes="0"/>
</table>
</file>

<file path=xl/tables/table62.xml><?xml version="1.0" encoding="utf-8"?>
<table xmlns="http://schemas.openxmlformats.org/spreadsheetml/2006/main" id="96" name="VI.b.Outputs" displayName="VI.b.Outputs" ref="C542:N548" totalsRowCount="1" headerRowDxfId="2115" dataDxfId="2114" dataCellStyle="Comma">
  <autoFilter ref="C542:N547"/>
  <tableColumns count="12">
    <tableColumn id="1" name="Vector" totalsRowLabel="Total" dataDxfId="2113" totalsRowDxfId="2112"/>
    <tableColumn id="2" name="Name" dataDxfId="2111" totalsRowDxfId="2110"/>
    <tableColumn id="3" name="Notes" dataDxfId="2109" totalsRowDxfId="2108"/>
    <tableColumn id="4" name="2013" totalsRowFunction="sum" dataDxfId="2107" totalsRowDxfId="2106" dataCellStyle="Comma"/>
    <tableColumn id="5" name="2015" totalsRowFunction="sum" dataDxfId="2105" totalsRowDxfId="2104" dataCellStyle="Comma"/>
    <tableColumn id="6" name="2020" totalsRowFunction="sum" dataDxfId="2103" totalsRowDxfId="2102" dataCellStyle="Comma"/>
    <tableColumn id="7" name="2025" totalsRowFunction="sum" dataDxfId="2101" totalsRowDxfId="2100" dataCellStyle="Comma"/>
    <tableColumn id="8" name="2030" totalsRowFunction="sum" dataDxfId="2099" totalsRowDxfId="2098" dataCellStyle="Comma"/>
    <tableColumn id="9" name="2035" totalsRowFunction="sum" dataDxfId="2097" totalsRowDxfId="2096" dataCellStyle="Comma"/>
    <tableColumn id="10" name="2040" totalsRowFunction="sum" dataDxfId="2095" totalsRowDxfId="2094" dataCellStyle="Comma"/>
    <tableColumn id="11" name="2045" totalsRowFunction="sum" dataDxfId="2093" totalsRowDxfId="2092" dataCellStyle="Comma"/>
    <tableColumn id="12" name="2050" totalsRowFunction="sum" dataDxfId="2091" totalsRowDxfId="2090" dataCellStyle="Comma"/>
  </tableColumns>
  <tableStyleInfo name="EnergyCalcTables" showFirstColumn="0" showLastColumn="0" showRowStripes="1" showColumnStripes="0"/>
</table>
</file>

<file path=xl/tables/table63.xml><?xml version="1.0" encoding="utf-8"?>
<table xmlns="http://schemas.openxmlformats.org/spreadsheetml/2006/main" id="97" name="VI.b.Emissions" displayName="VI.b.Emissions" ref="C555:N559" totalsRowCount="1" headerRowDxfId="2089" dataDxfId="2087" headerRowBorderDxfId="2088" dataCellStyle="Comma">
  <autoFilter ref="C555:N558"/>
  <tableColumns count="12">
    <tableColumn id="1" name="GHG" totalsRowLabel="Total" dataDxfId="2086" totalsRowDxfId="2085"/>
    <tableColumn id="2" name="IPCC Sector" dataDxfId="2084" totalsRowDxfId="2083"/>
    <tableColumn id="3" name="Notes" dataDxfId="2082" totalsRowDxfId="2081">
      <calculatedColumnFormula>INDEX(IPCC[Sector_description], MATCH([IPCC Sector], IPCC[Sector_code], 0))</calculatedColumnFormula>
    </tableColumn>
    <tableColumn id="4" name="2013" totalsRowFunction="sum" dataDxfId="2080" totalsRowDxfId="2079" dataCellStyle="Comma"/>
    <tableColumn id="5" name="2015" totalsRowFunction="sum" dataDxfId="2078" totalsRowDxfId="2077" dataCellStyle="Comma"/>
    <tableColumn id="6" name="2020" totalsRowFunction="sum" dataDxfId="2076" totalsRowDxfId="2075" dataCellStyle="Comma"/>
    <tableColumn id="7" name="2025" totalsRowFunction="sum" dataDxfId="2074" totalsRowDxfId="2073" dataCellStyle="Comma"/>
    <tableColumn id="8" name="2030" totalsRowFunction="sum" dataDxfId="2072" totalsRowDxfId="2071" dataCellStyle="Comma"/>
    <tableColumn id="9" name="2035" totalsRowFunction="sum" dataDxfId="2070" totalsRowDxfId="2069" dataCellStyle="Comma"/>
    <tableColumn id="10" name="2040" totalsRowFunction="sum" dataDxfId="2068" totalsRowDxfId="2067" dataCellStyle="Comma"/>
    <tableColumn id="11" name="2045" totalsRowFunction="sum" dataDxfId="2066" totalsRowDxfId="2065" dataCellStyle="Comma"/>
    <tableColumn id="12" name="2050" totalsRowFunction="sum" dataDxfId="2064" totalsRowDxfId="2063" dataCellStyle="Comma"/>
  </tableColumns>
  <tableStyleInfo name="EnergyCalcTables" showFirstColumn="0" showLastColumn="0" showRowStripes="1" showColumnStripes="0"/>
</table>
</file>

<file path=xl/tables/table64.xml><?xml version="1.0" encoding="utf-8"?>
<table xmlns="http://schemas.openxmlformats.org/spreadsheetml/2006/main" id="98" name="VI.b.AQ" displayName="VI.b.AQ" ref="C563:N567" totalsRowShown="0" headerRowDxfId="2062" dataDxfId="2060" headerRowBorderDxfId="2061" tableBorderDxfId="2059">
  <autoFilter ref="C563:N567"/>
  <tableColumns count="12">
    <tableColumn id="1" name="Vector" dataDxfId="2058"/>
    <tableColumn id="2" name="Name" dataDxfId="2057"/>
    <tableColumn id="3" name="Notes" dataDxfId="2056"/>
    <tableColumn id="4" name="2013" dataDxfId="2055"/>
    <tableColumn id="5" name="2015" dataDxfId="2054"/>
    <tableColumn id="6" name="2020" dataDxfId="2053"/>
    <tableColumn id="7" name="2025" dataDxfId="2052"/>
    <tableColumn id="8" name="2030" dataDxfId="2051"/>
    <tableColumn id="9" name="2035" dataDxfId="2050"/>
    <tableColumn id="10" name="2040" dataDxfId="2049"/>
    <tableColumn id="11" name="2045" dataDxfId="2048"/>
    <tableColumn id="12" name="2050" dataDxfId="2047"/>
  </tableColumns>
  <tableStyleInfo name="EnergyCalcTables" showFirstColumn="0" showLastColumn="0" showRowStripes="1" showColumnStripes="0"/>
</table>
</file>

<file path=xl/tables/table65.xml><?xml version="1.0" encoding="utf-8"?>
<table xmlns="http://schemas.openxmlformats.org/spreadsheetml/2006/main" id="99" name="VI.b.info" displayName="VI.b.info" ref="C574:N575" totalsRowShown="0" headerRowDxfId="2046" dataDxfId="2044" headerRowBorderDxfId="2045" dataCellStyle="Comma">
  <autoFilter ref="C574:N575"/>
  <tableColumns count="12">
    <tableColumn id="1" name="Vector" dataDxfId="2043"/>
    <tableColumn id="2" name="Information type" dataDxfId="2042"/>
    <tableColumn id="3" name="Notes" dataDxfId="2041"/>
    <tableColumn id="4" name="2013" dataDxfId="2040" dataCellStyle="Comma">
      <calculatedColumnFormula>F457</calculatedColumnFormula>
    </tableColumn>
    <tableColumn id="5" name="2015" dataDxfId="2039" dataCellStyle="Comma">
      <calculatedColumnFormula>G457</calculatedColumnFormula>
    </tableColumn>
    <tableColumn id="6" name="2020" dataDxfId="2038" dataCellStyle="Comma">
      <calculatedColumnFormula>H457</calculatedColumnFormula>
    </tableColumn>
    <tableColumn id="7" name="2025" dataDxfId="2037" dataCellStyle="Comma">
      <calculatedColumnFormula>I457</calculatedColumnFormula>
    </tableColumn>
    <tableColumn id="8" name="2030" dataDxfId="2036" dataCellStyle="Comma">
      <calculatedColumnFormula>J457</calculatedColumnFormula>
    </tableColumn>
    <tableColumn id="9" name="2035" dataDxfId="2035" dataCellStyle="Comma">
      <calculatedColumnFormula>K457</calculatedColumnFormula>
    </tableColumn>
    <tableColumn id="10" name="2040" dataDxfId="2034" dataCellStyle="Comma">
      <calculatedColumnFormula>L457</calculatedColumnFormula>
    </tableColumn>
    <tableColumn id="11" name="2045" dataDxfId="2033" dataCellStyle="Comma">
      <calculatedColumnFormula>M457</calculatedColumnFormula>
    </tableColumn>
    <tableColumn id="12" name="2050" dataDxfId="2032" dataCellStyle="Comma">
      <calculatedColumnFormula>N457</calculatedColumnFormula>
    </tableColumn>
  </tableColumns>
  <tableStyleInfo name="EnergyCalcTables" showFirstColumn="0" showLastColumn="0" showRowStripes="1" showColumnStripes="0"/>
</table>
</file>

<file path=xl/tables/table66.xml><?xml version="1.0" encoding="utf-8"?>
<table xmlns="http://schemas.openxmlformats.org/spreadsheetml/2006/main" id="152" name="VI.c.Outputs" displayName="VI.c.Outputs" ref="C75:N78" totalsRowCount="1" headerRowDxfId="2031" dataDxfId="2030" dataCellStyle="Comma 3">
  <autoFilter ref="C75:N77"/>
  <tableColumns count="12">
    <tableColumn id="1" name="Vector" totalsRowLabel="Total" dataDxfId="2029" totalsRowDxfId="2028"/>
    <tableColumn id="2" name="Name" dataDxfId="2027" totalsRowDxfId="2026">
      <calculatedColumnFormula>INDEX(Vectors[Description], MATCH([Vector], Vectors[Code], 0))</calculatedColumnFormula>
    </tableColumn>
    <tableColumn id="3" name="Notes" dataDxfId="2025" totalsRowDxfId="2024"/>
    <tableColumn id="4" name="2013" totalsRowFunction="sum" dataDxfId="2023" totalsRowDxfId="2022" dataCellStyle="Comma 3"/>
    <tableColumn id="5" name="2015" totalsRowFunction="sum" dataDxfId="2021" totalsRowDxfId="2020" dataCellStyle="Comma 3"/>
    <tableColumn id="6" name="2020" totalsRowFunction="sum" dataDxfId="2019" totalsRowDxfId="2018" dataCellStyle="Comma 3"/>
    <tableColumn id="7" name="2025" totalsRowFunction="sum" dataDxfId="2017" totalsRowDxfId="2016" dataCellStyle="Comma 3"/>
    <tableColumn id="8" name="2030" totalsRowFunction="sum" dataDxfId="2015" totalsRowDxfId="2014" dataCellStyle="Comma 3"/>
    <tableColumn id="9" name="2035" totalsRowFunction="sum" dataDxfId="2013" totalsRowDxfId="2012" dataCellStyle="Comma 3"/>
    <tableColumn id="10" name="2040" totalsRowFunction="sum" dataDxfId="2011" totalsRowDxfId="2010" dataCellStyle="Comma 3"/>
    <tableColumn id="11" name="2045" totalsRowFunction="sum" dataDxfId="2009" totalsRowDxfId="2008" dataCellStyle="Comma 3"/>
    <tableColumn id="12" name="2050" totalsRowFunction="sum" dataDxfId="2007" totalsRowDxfId="2006" dataCellStyle="Comma 3"/>
  </tableColumns>
  <tableStyleInfo name="EnergyCalcTables" showFirstColumn="0" showLastColumn="0" showRowStripes="1" showColumnStripes="0"/>
</table>
</file>

<file path=xl/tables/table67.xml><?xml version="1.0" encoding="utf-8"?>
<table xmlns="http://schemas.openxmlformats.org/spreadsheetml/2006/main" id="153" name="VI.c.info" displayName="VI.c.info" ref="C85:N86" totalsRowShown="0" headerRowDxfId="2005" dataDxfId="2003" headerRowBorderDxfId="2004" dataCellStyle="Comma 3">
  <autoFilter ref="C85:N86"/>
  <tableColumns count="12">
    <tableColumn id="1" name="Vector" dataDxfId="2002"/>
    <tableColumn id="2" name="Information type" dataDxfId="2001"/>
    <tableColumn id="3" name="Notes" dataDxfId="2000">
      <calculatedColumnFormula>Preferences.AreaUnits</calculatedColumnFormula>
    </tableColumn>
    <tableColumn id="4" name="2013" dataDxfId="1999" dataCellStyle="Comma 3">
      <calculatedColumnFormula>F59</calculatedColumnFormula>
    </tableColumn>
    <tableColumn id="5" name="2015" dataDxfId="1998" dataCellStyle="Comma 3">
      <calculatedColumnFormula>G59</calculatedColumnFormula>
    </tableColumn>
    <tableColumn id="6" name="2020" dataDxfId="1997" dataCellStyle="Comma 3">
      <calculatedColumnFormula>H59</calculatedColumnFormula>
    </tableColumn>
    <tableColumn id="7" name="2025" dataDxfId="1996" dataCellStyle="Comma 3">
      <calculatedColumnFormula>I59</calculatedColumnFormula>
    </tableColumn>
    <tableColumn id="8" name="2030" dataDxfId="1995" dataCellStyle="Comma 3">
      <calculatedColumnFormula>J59</calculatedColumnFormula>
    </tableColumn>
    <tableColumn id="9" name="2035" dataDxfId="1994" dataCellStyle="Comma 3">
      <calculatedColumnFormula>K59</calculatedColumnFormula>
    </tableColumn>
    <tableColumn id="10" name="2040" dataDxfId="1993" dataCellStyle="Comma 3">
      <calculatedColumnFormula>L59</calculatedColumnFormula>
    </tableColumn>
    <tableColumn id="11" name="2045" dataDxfId="1992" dataCellStyle="Comma 3">
      <calculatedColumnFormula>M59</calculatedColumnFormula>
    </tableColumn>
    <tableColumn id="12" name="2050" dataDxfId="1991" dataCellStyle="Comma 3">
      <calculatedColumnFormula>N59</calculatedColumnFormula>
    </tableColumn>
  </tableColumns>
  <tableStyleInfo name="EnergyCalcTables" showFirstColumn="0" showLastColumn="0" showRowStripes="1" showColumnStripes="0"/>
</table>
</file>

<file path=xl/tables/table68.xml><?xml version="1.0" encoding="utf-8"?>
<table xmlns="http://schemas.openxmlformats.org/spreadsheetml/2006/main" id="120" name="VII.a.Outputs" displayName="VII.a.Outputs" ref="C172:N175" totalsRowCount="1" headerRowDxfId="1990" dataDxfId="1989" dataCellStyle="Comma 3">
  <autoFilter ref="C172:N174"/>
  <tableColumns count="12">
    <tableColumn id="1" name="Vector" totalsRowLabel="Total" dataDxfId="1988" totalsRowDxfId="1987"/>
    <tableColumn id="2" name="Name" dataDxfId="1986" totalsRowDxfId="1985">
      <calculatedColumnFormula>INDEX(Vectors[Description], MATCH([Vector], Vectors[Code], 0))</calculatedColumnFormula>
    </tableColumn>
    <tableColumn id="3" name="Notes" dataDxfId="1984" totalsRowDxfId="1983"/>
    <tableColumn id="4" name="2013" totalsRowFunction="sum" dataDxfId="1982" totalsRowDxfId="1981" dataCellStyle="Comma 3"/>
    <tableColumn id="5" name="2015" totalsRowFunction="sum" dataDxfId="1980" totalsRowDxfId="1979" dataCellStyle="Comma 3"/>
    <tableColumn id="6" name="2020" totalsRowFunction="sum" dataDxfId="1978" totalsRowDxfId="1977" dataCellStyle="Comma 3"/>
    <tableColumn id="7" name="2025" totalsRowFunction="sum" dataDxfId="1976" totalsRowDxfId="1975" dataCellStyle="Comma 3"/>
    <tableColumn id="8" name="2030" totalsRowFunction="sum" dataDxfId="1974" totalsRowDxfId="1973" dataCellStyle="Comma 3"/>
    <tableColumn id="9" name="2035" totalsRowFunction="sum" dataDxfId="1972" totalsRowDxfId="1971" dataCellStyle="Comma 3"/>
    <tableColumn id="10" name="2040" totalsRowFunction="sum" dataDxfId="1970" totalsRowDxfId="1969" dataCellStyle="Comma 3"/>
    <tableColumn id="11" name="2045" totalsRowFunction="sum" dataDxfId="1968" totalsRowDxfId="1967" dataCellStyle="Comma 3"/>
    <tableColumn id="12" name="2050" totalsRowFunction="sum" dataDxfId="1966" totalsRowDxfId="1965" dataCellStyle="Comma 3"/>
  </tableColumns>
  <tableStyleInfo name="EnergyCalcTables" showFirstColumn="0" showLastColumn="0" showRowStripes="1" showColumnStripes="0"/>
</table>
</file>

<file path=xl/tables/table69.xml><?xml version="1.0" encoding="utf-8"?>
<table xmlns="http://schemas.openxmlformats.org/spreadsheetml/2006/main" id="126" name="VII.a.info" displayName="VII.a.info" ref="C182:N184" totalsRowShown="0" headerRowDxfId="1964" dataDxfId="1962" headerRowBorderDxfId="1963" dataCellStyle="Comma 3">
  <autoFilter ref="C182:N184"/>
  <tableColumns count="12">
    <tableColumn id="1" name="Vector" dataDxfId="1961"/>
    <tableColumn id="2" name="Information type"/>
    <tableColumn id="3" name="Notes" dataDxfId="1960">
      <calculatedColumnFormula>Preferences.PowerUnits</calculatedColumnFormula>
    </tableColumn>
    <tableColumn id="4" name="2013" dataDxfId="1959" dataCellStyle="Comma 3"/>
    <tableColumn id="5" name="2015" dataDxfId="1958" dataCellStyle="Comma 3"/>
    <tableColumn id="6" name="2020" dataDxfId="1957" dataCellStyle="Comma 3"/>
    <tableColumn id="7" name="2025" dataDxfId="1956" dataCellStyle="Comma 3"/>
    <tableColumn id="8" name="2030" dataDxfId="1955" dataCellStyle="Comma 3"/>
    <tableColumn id="9" name="2035" dataDxfId="1954" dataCellStyle="Comma 3"/>
    <tableColumn id="10" name="2040" dataDxfId="1953" dataCellStyle="Comma 3"/>
    <tableColumn id="11" name="2045" dataDxfId="1952" dataCellStyle="Comma 3"/>
    <tableColumn id="12" name="2050" dataDxfId="1951" dataCellStyle="Comma 3"/>
  </tableColumns>
  <tableStyleInfo name="EnergyCalcTables" showFirstColumn="0" showLastColumn="0" showRowStripes="1" showColumnStripes="0"/>
</table>
</file>

<file path=xl/tables/table70.xml><?xml version="1.0" encoding="utf-8"?>
<table xmlns="http://schemas.openxmlformats.org/spreadsheetml/2006/main" id="121" name="VII.b.Inputs" displayName="VII.b.Inputs" ref="C8:N9" totalsRowShown="0" headerRowDxfId="1950" dataDxfId="1949" dataCellStyle="Comma 3">
  <autoFilter ref="C8:N9"/>
  <tableColumns count="12">
    <tableColumn id="1" name="Vector" dataDxfId="1948"/>
    <tableColumn id="2" name="Name" dataDxfId="1947">
      <calculatedColumnFormula>INDEX(Vectors[Description], MATCH($C9, Vectors[Code], 0))</calculatedColumnFormula>
    </tableColumn>
    <tableColumn id="3" name="Notes" dataDxfId="1946"/>
    <tableColumn id="4" name="2013" dataDxfId="1945" dataCellStyle="Comma 3">
      <calculatedColumnFormula>INDEX(INDIRECT("'"&amp;VII.b.Inputs[#Headers]&amp;"'!Year.Matrix"), MATCH("Subtotal."&amp;$A$2, INDIRECT("'"&amp;VII.b.Inputs[#Headers]&amp;"'!Year.Modules"), 0), MATCH([Vector], INDIRECT("'"&amp;VII.b.Inputs[#Headers]&amp;"'!Year.Vectors"), 0))</calculatedColumnFormula>
    </tableColumn>
    <tableColumn id="5" name="2015" dataDxfId="1944" dataCellStyle="Comma 3">
      <calculatedColumnFormula>INDEX(INDIRECT("'"&amp;VII.b.Inputs[#Headers]&amp;"'!Year.Matrix"), MATCH("Subtotal."&amp;$A$2, INDIRECT("'"&amp;VII.b.Inputs[#Headers]&amp;"'!Year.Modules"), 0), MATCH([Vector], INDIRECT("'"&amp;VII.b.Inputs[#Headers]&amp;"'!Year.Vectors"), 0))</calculatedColumnFormula>
    </tableColumn>
    <tableColumn id="6" name="2020" dataDxfId="1943" dataCellStyle="Comma 3">
      <calculatedColumnFormula>INDEX(INDIRECT("'"&amp;VII.b.Inputs[#Headers]&amp;"'!Year.Matrix"), MATCH("Subtotal."&amp;$A$2, INDIRECT("'"&amp;VII.b.Inputs[#Headers]&amp;"'!Year.Modules"), 0), MATCH([Vector], INDIRECT("'"&amp;VII.b.Inputs[#Headers]&amp;"'!Year.Vectors"), 0))</calculatedColumnFormula>
    </tableColumn>
    <tableColumn id="7" name="2025" dataDxfId="1942" dataCellStyle="Comma 3">
      <calculatedColumnFormula>INDEX(INDIRECT("'"&amp;VII.b.Inputs[#Headers]&amp;"'!Year.Matrix"), MATCH("Subtotal."&amp;$A$2, INDIRECT("'"&amp;VII.b.Inputs[#Headers]&amp;"'!Year.Modules"), 0), MATCH([Vector], INDIRECT("'"&amp;VII.b.Inputs[#Headers]&amp;"'!Year.Vectors"), 0))</calculatedColumnFormula>
    </tableColumn>
    <tableColumn id="8" name="2030" dataDxfId="1941" dataCellStyle="Comma 3">
      <calculatedColumnFormula>INDEX(INDIRECT("'"&amp;VII.b.Inputs[#Headers]&amp;"'!Year.Matrix"), MATCH("Subtotal."&amp;$A$2, INDIRECT("'"&amp;VII.b.Inputs[#Headers]&amp;"'!Year.Modules"), 0), MATCH([Vector], INDIRECT("'"&amp;VII.b.Inputs[#Headers]&amp;"'!Year.Vectors"), 0))</calculatedColumnFormula>
    </tableColumn>
    <tableColumn id="9" name="2035" dataDxfId="1940" dataCellStyle="Comma 3">
      <calculatedColumnFormula>INDEX(INDIRECT("'"&amp;VII.b.Inputs[#Headers]&amp;"'!Year.Matrix"), MATCH("Subtotal."&amp;$A$2, INDIRECT("'"&amp;VII.b.Inputs[#Headers]&amp;"'!Year.Modules"), 0), MATCH([Vector], INDIRECT("'"&amp;VII.b.Inputs[#Headers]&amp;"'!Year.Vectors"), 0))</calculatedColumnFormula>
    </tableColumn>
    <tableColumn id="10" name="2040" dataDxfId="1939" dataCellStyle="Comma 3">
      <calculatedColumnFormula>INDEX(INDIRECT("'"&amp;VII.b.Inputs[#Headers]&amp;"'!Year.Matrix"), MATCH("Subtotal."&amp;$A$2, INDIRECT("'"&amp;VII.b.Inputs[#Headers]&amp;"'!Year.Modules"), 0), MATCH([Vector], INDIRECT("'"&amp;VII.b.Inputs[#Headers]&amp;"'!Year.Vectors"), 0))</calculatedColumnFormula>
    </tableColumn>
    <tableColumn id="11" name="2045" dataDxfId="1938" dataCellStyle="Comma 3">
      <calculatedColumnFormula>INDEX(INDIRECT("'"&amp;VII.b.Inputs[#Headers]&amp;"'!Year.Matrix"), MATCH("Subtotal."&amp;$A$2, INDIRECT("'"&amp;VII.b.Inputs[#Headers]&amp;"'!Year.Modules"), 0), MATCH([Vector], INDIRECT("'"&amp;VII.b.Inputs[#Headers]&amp;"'!Year.Vectors"), 0))</calculatedColumnFormula>
    </tableColumn>
    <tableColumn id="12" name="2050" dataDxfId="1937" dataCellStyle="Comma 3">
      <calculatedColumnFormula>INDEX(INDIRECT("'"&amp;VII.b.Inputs[#Headers]&amp;"'!Year.Matrix"), MATCH("Subtotal."&amp;$A$2, INDIRECT("'"&amp;VII.b.Inputs[#Headers]&amp;"'!Year.Modules"), 0), MATCH([Vector], INDIRECT("'"&amp;VII.b.Inputs[#Headers]&amp;"'!Year.Vectors"), 0))</calculatedColumnFormula>
    </tableColumn>
  </tableColumns>
  <tableStyleInfo name="EnergyCalcTables" showFirstColumn="0" showLastColumn="0" showRowStripes="1" showColumnStripes="0"/>
</table>
</file>

<file path=xl/tables/table71.xml><?xml version="1.0" encoding="utf-8"?>
<table xmlns="http://schemas.openxmlformats.org/spreadsheetml/2006/main" id="124" name="VII.b.Outputs" displayName="VII.b.Outputs" ref="C114:N118" totalsRowCount="1" headerRowDxfId="1936" dataDxfId="1935" dataCellStyle="Comma 3">
  <autoFilter ref="C114:N117"/>
  <tableColumns count="12">
    <tableColumn id="1" name="Vector" totalsRowLabel="Total" dataDxfId="1934" totalsRowDxfId="1933"/>
    <tableColumn id="2" name="Name" dataDxfId="1932" totalsRowDxfId="1931">
      <calculatedColumnFormula>INDEX(Vectors[Description], MATCH([Vector], Vectors[Code], 0))</calculatedColumnFormula>
    </tableColumn>
    <tableColumn id="3" name="Notes" dataDxfId="1930" totalsRowDxfId="1929"/>
    <tableColumn id="4" name="2013" totalsRowFunction="sum" dataDxfId="1928" totalsRowDxfId="1927" dataCellStyle="Comma 3"/>
    <tableColumn id="5" name="2015" totalsRowFunction="sum" dataDxfId="1926" totalsRowDxfId="1925" dataCellStyle="Comma 3"/>
    <tableColumn id="6" name="2020" totalsRowFunction="sum" dataDxfId="1924" totalsRowDxfId="1923" dataCellStyle="Comma 3"/>
    <tableColumn id="7" name="2025" totalsRowFunction="sum" dataDxfId="1922" totalsRowDxfId="1921" dataCellStyle="Comma 3"/>
    <tableColumn id="8" name="2030" totalsRowFunction="sum" dataDxfId="1920" totalsRowDxfId="1919" dataCellStyle="Comma 3"/>
    <tableColumn id="9" name="2035" totalsRowFunction="sum" dataDxfId="1918" totalsRowDxfId="1917" dataCellStyle="Comma 3"/>
    <tableColumn id="10" name="2040" totalsRowFunction="sum" dataDxfId="1916" totalsRowDxfId="1915" dataCellStyle="Comma 3"/>
    <tableColumn id="11" name="2045" totalsRowFunction="sum" dataDxfId="1914" totalsRowDxfId="1913" dataCellStyle="Comma 3"/>
    <tableColumn id="12" name="2050" totalsRowFunction="sum" dataDxfId="1912" totalsRowDxfId="1911" dataCellStyle="Comma 3"/>
  </tableColumns>
  <tableStyleInfo name="EnergyCalcTables" showFirstColumn="0" showLastColumn="0" showRowStripes="1" showColumnStripes="0"/>
</table>
</file>

<file path=xl/tables/table72.xml><?xml version="1.0" encoding="utf-8"?>
<table xmlns="http://schemas.openxmlformats.org/spreadsheetml/2006/main" id="119" name="VII.c.Outputs" displayName="VII.c.Outputs" ref="C433:N437" totalsRowCount="1" headerRowDxfId="1910" dataDxfId="1909" dataCellStyle="Comma 3">
  <autoFilter ref="C433:N436"/>
  <tableColumns count="12">
    <tableColumn id="1" name="Vector" totalsRowLabel="Total" totalsRowDxfId="1908"/>
    <tableColumn id="2" name="Name" dataDxfId="1907" totalsRowDxfId="1906">
      <calculatedColumnFormula>INDEX(Vectors[Description], MATCH([Vector], Vectors[Code], 0))</calculatedColumnFormula>
    </tableColumn>
    <tableColumn id="3" name="Notes" dataDxfId="1905" totalsRowDxfId="1904"/>
    <tableColumn id="4" name="2013" totalsRowFunction="sum" dataDxfId="1903" totalsRowDxfId="1902" dataCellStyle="Comma 3"/>
    <tableColumn id="5" name="2015" totalsRowFunction="sum" dataDxfId="1901" totalsRowDxfId="1900" dataCellStyle="Comma 3"/>
    <tableColumn id="6" name="2020" totalsRowFunction="sum" dataDxfId="1899" totalsRowDxfId="1898" dataCellStyle="Comma 3"/>
    <tableColumn id="7" name="2025" totalsRowFunction="sum" dataDxfId="1897" totalsRowDxfId="1896" dataCellStyle="Comma 3"/>
    <tableColumn id="8" name="2030" totalsRowFunction="sum" dataDxfId="1895" totalsRowDxfId="1894" dataCellStyle="Comma 3"/>
    <tableColumn id="9" name="2035" totalsRowFunction="sum" dataDxfId="1893" totalsRowDxfId="1892" dataCellStyle="Comma 3"/>
    <tableColumn id="10" name="2040" totalsRowFunction="sum" dataDxfId="1891" totalsRowDxfId="1890" dataCellStyle="Comma 3"/>
    <tableColumn id="11" name="2045" totalsRowFunction="sum" dataDxfId="1889" totalsRowDxfId="1888" dataCellStyle="Comma 3"/>
    <tableColumn id="12" name="2050" totalsRowFunction="sum" dataDxfId="1887" totalsRowDxfId="1886" dataCellStyle="Comma 3"/>
  </tableColumns>
  <tableStyleInfo name="EnergyCalcTables" showFirstColumn="0" showLastColumn="0" showRowStripes="1" showColumnStripes="0"/>
</table>
</file>

<file path=xl/tables/table73.xml><?xml version="1.0" encoding="utf-8"?>
<table xmlns="http://schemas.openxmlformats.org/spreadsheetml/2006/main" id="122" name="VII.c.Info" displayName="VII.c.Info" ref="C444:N449" totalsRowShown="0" headerRowDxfId="1885" headerRowBorderDxfId="1884">
  <autoFilter ref="C444:N449"/>
  <tableColumns count="12">
    <tableColumn id="1" name="Vector" dataDxfId="1883"/>
    <tableColumn id="2" name="Information type"/>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74.xml><?xml version="1.0" encoding="utf-8"?>
<table xmlns="http://schemas.openxmlformats.org/spreadsheetml/2006/main" id="123" name="VII.c.Emissions" displayName="VII.c.Emissions" ref="C456:N460" totalsRowCount="1" headerRowDxfId="1882" dataDxfId="1880" headerRowBorderDxfId="1881" dataCellStyle="Comma">
  <autoFilter ref="C456:N459"/>
  <tableColumns count="12">
    <tableColumn id="1" name="GHG" totalsRowLabel="Total" dataDxfId="1879" totalsRowDxfId="1878"/>
    <tableColumn id="2" name="IPCC Sector" dataDxfId="1877" totalsRowDxfId="1876"/>
    <tableColumn id="3" name="Notes" dataDxfId="1875" totalsRowDxfId="1874"/>
    <tableColumn id="4" name="2013" totalsRowFunction="sum" dataDxfId="1873" totalsRowDxfId="1872" dataCellStyle="Comma 3">
      <calculatedColumnFormula>INDIRECT("EF."&amp;$F$155&amp;"."&amp;$C457)*-F$398*$F$132</calculatedColumnFormula>
    </tableColumn>
    <tableColumn id="5" name="2015" totalsRowFunction="sum" dataDxfId="1871" totalsRowDxfId="1870" dataCellStyle="Comma 3">
      <calculatedColumnFormula>INDIRECT("EF."&amp;$F$155&amp;"."&amp;$C457)*-G$398*$F$132</calculatedColumnFormula>
    </tableColumn>
    <tableColumn id="6" name="2020" totalsRowFunction="sum" dataDxfId="1869" totalsRowDxfId="1868" dataCellStyle="Comma 3">
      <calculatedColumnFormula>INDIRECT("EF."&amp;$F$155&amp;"."&amp;$C457)*-H$398*$F$132</calculatedColumnFormula>
    </tableColumn>
    <tableColumn id="7" name="2025" totalsRowFunction="sum" dataDxfId="1867" totalsRowDxfId="1866" dataCellStyle="Comma 3">
      <calculatedColumnFormula>INDIRECT("EF."&amp;$F$155&amp;"."&amp;$C457)*-I$398*$F$132</calculatedColumnFormula>
    </tableColumn>
    <tableColumn id="8" name="2030" totalsRowFunction="sum" dataDxfId="1865" totalsRowDxfId="1864" dataCellStyle="Comma 3">
      <calculatedColumnFormula>INDIRECT("EF."&amp;$F$155&amp;"."&amp;$C457)*-J$398*$F$132</calculatedColumnFormula>
    </tableColumn>
    <tableColumn id="9" name="2035" totalsRowFunction="sum" dataDxfId="1863" totalsRowDxfId="1862" dataCellStyle="Comma 3">
      <calculatedColumnFormula>INDIRECT("EF."&amp;$F$155&amp;"."&amp;$C457)*-K$398*$F$132</calculatedColumnFormula>
    </tableColumn>
    <tableColumn id="10" name="2040" totalsRowFunction="sum" dataDxfId="1861" totalsRowDxfId="1860" dataCellStyle="Comma 3">
      <calculatedColumnFormula>INDIRECT("EF."&amp;$F$155&amp;"."&amp;$C457)*-L$398*$F$132</calculatedColumnFormula>
    </tableColumn>
    <tableColumn id="11" name="2045" totalsRowFunction="sum" dataDxfId="1859" totalsRowDxfId="1858" dataCellStyle="Comma 3">
      <calculatedColumnFormula>INDIRECT("EF."&amp;$F$155&amp;"."&amp;$C457)*-M$398*$F$132</calculatedColumnFormula>
    </tableColumn>
    <tableColumn id="12" name="2050" totalsRowFunction="sum" dataDxfId="1857" totalsRowDxfId="1856" dataCellStyle="Comma 3">
      <calculatedColumnFormula>INDIRECT("EF."&amp;$F$155&amp;"."&amp;$C457)*-N$398*$F$132</calculatedColumnFormula>
    </tableColumn>
  </tableColumns>
  <tableStyleInfo name="EnergyCalcTables" showFirstColumn="0" showLastColumn="0" showRowStripes="1" showColumnStripes="0"/>
</table>
</file>

<file path=xl/tables/table75.xml><?xml version="1.0" encoding="utf-8"?>
<table xmlns="http://schemas.openxmlformats.org/spreadsheetml/2006/main" id="147" name="VIII.a.Inputs" displayName="VIII.a.Inputs" ref="C8:N9" totalsRowShown="0" headerRowDxfId="1855" dataDxfId="1854" dataCellStyle="Comma 3">
  <autoFilter ref="C8:N9"/>
  <tableColumns count="12">
    <tableColumn id="1" name="Vector" dataDxfId="1853"/>
    <tableColumn id="2" name="Name" dataDxfId="1852"/>
    <tableColumn id="3" name="Notes" dataDxfId="1851"/>
    <tableColumn id="4" name="2013" dataDxfId="1850" dataCellStyle="Comma 3">
      <calculatedColumnFormula>INDEX(INDIRECT("'"&amp;VIII.a.Inputs[#Headers]&amp;"'!Year.Matrix"), MATCH("Subtotal."&amp;$A$2, INDIRECT("'"&amp;VIII.a.Inputs[#Headers]&amp;"'!Year.Modules"), 0), MATCH([Vector], INDIRECT("'"&amp;VIII.a.Inputs[#Headers]&amp;"'!Year.Vectors"), 0))</calculatedColumnFormula>
    </tableColumn>
    <tableColumn id="5" name="2015" dataDxfId="1849" dataCellStyle="Comma 3">
      <calculatedColumnFormula>INDEX(INDIRECT("'"&amp;VIII.a.Inputs[#Headers]&amp;"'!Year.Matrix"), MATCH("Subtotal."&amp;$A$2, INDIRECT("'"&amp;VIII.a.Inputs[#Headers]&amp;"'!Year.Modules"), 0), MATCH([Vector], INDIRECT("'"&amp;VIII.a.Inputs[#Headers]&amp;"'!Year.Vectors"), 0))</calculatedColumnFormula>
    </tableColumn>
    <tableColumn id="6" name="2020" dataDxfId="1848" dataCellStyle="Comma 3">
      <calculatedColumnFormula>INDEX(INDIRECT("'"&amp;VIII.a.Inputs[#Headers]&amp;"'!Year.Matrix"), MATCH("Subtotal."&amp;$A$2, INDIRECT("'"&amp;VIII.a.Inputs[#Headers]&amp;"'!Year.Modules"), 0), MATCH([Vector], INDIRECT("'"&amp;VIII.a.Inputs[#Headers]&amp;"'!Year.Vectors"), 0))</calculatedColumnFormula>
    </tableColumn>
    <tableColumn id="7" name="2025" dataDxfId="1847" dataCellStyle="Comma 3">
      <calculatedColumnFormula>INDEX(INDIRECT("'"&amp;VIII.a.Inputs[#Headers]&amp;"'!Year.Matrix"), MATCH("Subtotal."&amp;$A$2, INDIRECT("'"&amp;VIII.a.Inputs[#Headers]&amp;"'!Year.Modules"), 0), MATCH([Vector], INDIRECT("'"&amp;VIII.a.Inputs[#Headers]&amp;"'!Year.Vectors"), 0))</calculatedColumnFormula>
    </tableColumn>
    <tableColumn id="8" name="2030" dataDxfId="1846" dataCellStyle="Comma 3">
      <calculatedColumnFormula>INDEX(INDIRECT("'"&amp;VIII.a.Inputs[#Headers]&amp;"'!Year.Matrix"), MATCH("Subtotal."&amp;$A$2, INDIRECT("'"&amp;VIII.a.Inputs[#Headers]&amp;"'!Year.Modules"), 0), MATCH([Vector], INDIRECT("'"&amp;VIII.a.Inputs[#Headers]&amp;"'!Year.Vectors"), 0))</calculatedColumnFormula>
    </tableColumn>
    <tableColumn id="9" name="2035" dataDxfId="1845" dataCellStyle="Comma 3">
      <calculatedColumnFormula>INDEX(INDIRECT("'"&amp;VIII.a.Inputs[#Headers]&amp;"'!Year.Matrix"), MATCH("Subtotal."&amp;$A$2, INDIRECT("'"&amp;VIII.a.Inputs[#Headers]&amp;"'!Year.Modules"), 0), MATCH([Vector], INDIRECT("'"&amp;VIII.a.Inputs[#Headers]&amp;"'!Year.Vectors"), 0))</calculatedColumnFormula>
    </tableColumn>
    <tableColumn id="10" name="2040" dataDxfId="1844" dataCellStyle="Comma 3">
      <calculatedColumnFormula>INDEX(INDIRECT("'"&amp;VIII.a.Inputs[#Headers]&amp;"'!Year.Matrix"), MATCH("Subtotal."&amp;$A$2, INDIRECT("'"&amp;VIII.a.Inputs[#Headers]&amp;"'!Year.Modules"), 0), MATCH([Vector], INDIRECT("'"&amp;VIII.a.Inputs[#Headers]&amp;"'!Year.Vectors"), 0))</calculatedColumnFormula>
    </tableColumn>
    <tableColumn id="11" name="2045" dataDxfId="1843" dataCellStyle="Comma 3">
      <calculatedColumnFormula>INDEX(INDIRECT("'"&amp;VIII.a.Inputs[#Headers]&amp;"'!Year.Matrix"), MATCH("Subtotal."&amp;$A$2, INDIRECT("'"&amp;VIII.a.Inputs[#Headers]&amp;"'!Year.Modules"), 0), MATCH([Vector], INDIRECT("'"&amp;VIII.a.Inputs[#Headers]&amp;"'!Year.Vectors"), 0))</calculatedColumnFormula>
    </tableColumn>
    <tableColumn id="12" name="2050" dataDxfId="1842" dataCellStyle="Comma 3">
      <calculatedColumnFormula>INDEX(INDIRECT("'"&amp;VIII.a.Inputs[#Headers]&amp;"'!Year.Matrix"), MATCH("Subtotal."&amp;$A$2, INDIRECT("'"&amp;VIII.a.Inputs[#Headers]&amp;"'!Year.Modules"), 0), MATCH([Vector], INDIRECT("'"&amp;VIII.a.Inputs[#Headers]&amp;"'!Year.Vectors"), 0))</calculatedColumnFormula>
    </tableColumn>
  </tableColumns>
  <tableStyleInfo name="EnergyCalcTables" showFirstColumn="0" showLastColumn="0" showRowStripes="1" showColumnStripes="0"/>
</table>
</file>

<file path=xl/tables/table76.xml><?xml version="1.0" encoding="utf-8"?>
<table xmlns="http://schemas.openxmlformats.org/spreadsheetml/2006/main" id="148" name="VIII.a.Outputs" displayName="VIII.a.Outputs" ref="C209:N214" totalsRowCount="1" headerRowDxfId="1841" dataDxfId="1840" dataCellStyle="Comma 3">
  <autoFilter ref="C209:N213"/>
  <tableColumns count="12">
    <tableColumn id="1" name="Vector" totalsRowLabel="Total" dataDxfId="1839" totalsRowDxfId="1838"/>
    <tableColumn id="2" name="Name" dataDxfId="1837" totalsRowDxfId="1836">
      <calculatedColumnFormula>INDEX(Vectors[Description], MATCH([Vector], Vectors[Code], 0))</calculatedColumnFormula>
    </tableColumn>
    <tableColumn id="3" name="Notes" dataDxfId="1835" totalsRowDxfId="1834"/>
    <tableColumn id="4" name="2013" totalsRowFunction="sum" dataDxfId="1833" totalsRowDxfId="1832" dataCellStyle="Comma 3"/>
    <tableColumn id="5" name="2015" totalsRowFunction="sum" dataDxfId="1831" totalsRowDxfId="1830" dataCellStyle="Comma 3"/>
    <tableColumn id="6" name="2020" totalsRowFunction="sum" dataDxfId="1829" totalsRowDxfId="1828" dataCellStyle="Comma 3"/>
    <tableColumn id="7" name="2025" totalsRowFunction="sum" dataDxfId="1827" totalsRowDxfId="1826" dataCellStyle="Comma 3"/>
    <tableColumn id="8" name="2030" totalsRowFunction="sum" dataDxfId="1825" totalsRowDxfId="1824" dataCellStyle="Comma 3"/>
    <tableColumn id="9" name="2035" totalsRowFunction="sum" dataDxfId="1823" totalsRowDxfId="1822" dataCellStyle="Comma 3"/>
    <tableColumn id="10" name="2040" totalsRowFunction="sum" dataDxfId="1821" totalsRowDxfId="1820" dataCellStyle="Comma 3"/>
    <tableColumn id="11" name="2045" totalsRowFunction="sum" dataDxfId="1819" totalsRowDxfId="1818" dataCellStyle="Comma 3"/>
    <tableColumn id="12" name="2050" totalsRowFunction="sum" dataDxfId="1817" totalsRowDxfId="1816" dataCellStyle="Comma 3"/>
  </tableColumns>
  <tableStyleInfo name="EnergyCalcTables" showFirstColumn="0" showLastColumn="0" showRowStripes="1" showColumnStripes="0"/>
</table>
</file>

<file path=xl/tables/table77.xml><?xml version="1.0" encoding="utf-8"?>
<table xmlns="http://schemas.openxmlformats.org/spreadsheetml/2006/main" id="149" name="VIII.a.Emissions" displayName="VIII.a.Emissions" ref="C221:N225" totalsRowCount="1" headerRowDxfId="1815" dataDxfId="1813" headerRowBorderDxfId="1814" dataCellStyle="Comma 3">
  <autoFilter ref="C221:N224"/>
  <tableColumns count="12">
    <tableColumn id="1" name="GHG" totalsRowLabel="Total" dataDxfId="1812" totalsRowDxfId="1811"/>
    <tableColumn id="2" name="IPCC Sector" dataDxfId="1810" totalsRowDxfId="1809"/>
    <tableColumn id="3" name="Notes" dataDxfId="1808" totalsRowDxfId="1807">
      <calculatedColumnFormula>INDEX(IPCC[Sector_description], MATCH([IPCC Sector], IPCC[Sector_code], 0))</calculatedColumnFormula>
    </tableColumn>
    <tableColumn id="4" name="2013" dataDxfId="1806" totalsRowDxfId="1805" dataCellStyle="Comma 3"/>
    <tableColumn id="5" name="2015" dataDxfId="1804" totalsRowDxfId="1803" dataCellStyle="Comma 3">
      <calculatedColumnFormula>G131</calculatedColumnFormula>
    </tableColumn>
    <tableColumn id="6" name="2020" dataDxfId="1802" totalsRowDxfId="1801" dataCellStyle="Comma 3">
      <calculatedColumnFormula>H131</calculatedColumnFormula>
    </tableColumn>
    <tableColumn id="7" name="2025" dataDxfId="1800" totalsRowDxfId="1799" dataCellStyle="Comma 3">
      <calculatedColumnFormula>I131</calculatedColumnFormula>
    </tableColumn>
    <tableColumn id="8" name="2030" dataDxfId="1798" totalsRowDxfId="1797" dataCellStyle="Comma 3">
      <calculatedColumnFormula>J131</calculatedColumnFormula>
    </tableColumn>
    <tableColumn id="9" name="2035" dataDxfId="1796" totalsRowDxfId="1795" dataCellStyle="Comma 3">
      <calculatedColumnFormula>K131</calculatedColumnFormula>
    </tableColumn>
    <tableColumn id="10" name="2040" dataDxfId="1794" totalsRowDxfId="1793" dataCellStyle="Comma 3">
      <calculatedColumnFormula>L131</calculatedColumnFormula>
    </tableColumn>
    <tableColumn id="11" name="2045" dataDxfId="1792" totalsRowDxfId="1791" dataCellStyle="Comma 3">
      <calculatedColumnFormula>M131</calculatedColumnFormula>
    </tableColumn>
    <tableColumn id="12" name="2050" totalsRowFunction="sum" dataDxfId="1790" totalsRowDxfId="1789" dataCellStyle="Comma 3">
      <calculatedColumnFormula>N131</calculatedColumnFormula>
    </tableColumn>
  </tableColumns>
  <tableStyleInfo name="EnergyCalcTables" showFirstColumn="0" showLastColumn="0" showRowStripes="1" showColumnStripes="0"/>
</table>
</file>

<file path=xl/tables/table78.xml><?xml version="1.0" encoding="utf-8"?>
<table xmlns="http://schemas.openxmlformats.org/spreadsheetml/2006/main" id="150" name="VIII.a.AQ" displayName="VIII.a.AQ" ref="C229:N233" totalsRowShown="0" headerRowDxfId="1788" dataDxfId="1786" headerRowBorderDxfId="1787" tableBorderDxfId="1785">
  <autoFilter ref="C229:N233"/>
  <tableColumns count="12">
    <tableColumn id="1" name="Vector" dataDxfId="1784">
      <calculatedColumnFormula>INDEX(AirQualityVectors[Code],MATCH(D230,AirQualityVectors[Description],0))</calculatedColumnFormula>
    </tableColumn>
    <tableColumn id="2" name="Name" dataDxfId="1783"/>
    <tableColumn id="3" name="IPCC Sector" dataDxfId="1782"/>
    <tableColumn id="4" name="2013" dataDxfId="1781"/>
    <tableColumn id="5" name="2015" dataDxfId="1780"/>
    <tableColumn id="6" name="2020" dataDxfId="1779"/>
    <tableColumn id="7" name="2025" dataDxfId="1778"/>
    <tableColumn id="8" name="2030" dataDxfId="1777"/>
    <tableColumn id="9" name="2035" dataDxfId="1776"/>
    <tableColumn id="10" name="2040" dataDxfId="1775"/>
    <tableColumn id="11" name="2045" dataDxfId="1774"/>
    <tableColumn id="12" name="2050" dataDxfId="1773"/>
  </tableColumns>
  <tableStyleInfo name="EnergyCalcTables" showFirstColumn="0" showLastColumn="0" showRowStripes="1" showColumnStripes="0"/>
</table>
</file>

<file path=xl/tables/table79.xml><?xml version="1.0" encoding="utf-8"?>
<table xmlns="http://schemas.openxmlformats.org/spreadsheetml/2006/main" id="151" name="VIII.a.info" displayName="VIII.a.info" ref="C240:N241" totalsRowShown="0" headerRowDxfId="1772" dataDxfId="1770" headerRowBorderDxfId="1771" dataCellStyle="Comma 3">
  <autoFilter ref="C240:N241"/>
  <tableColumns count="12">
    <tableColumn id="1" name="Vector" dataDxfId="1769"/>
    <tableColumn id="2" name="Information type" dataDxfId="1768"/>
    <tableColumn id="3" name="Notes" dataDxfId="1767"/>
    <tableColumn id="4" name="2013" dataDxfId="1766" dataCellStyle="Comma 3">
      <calculatedColumnFormula>SUM(F137:F139)</calculatedColumnFormula>
    </tableColumn>
    <tableColumn id="5" name="2015" dataDxfId="1765" dataCellStyle="Comma 3">
      <calculatedColumnFormula>SUM(G137:G139)</calculatedColumnFormula>
    </tableColumn>
    <tableColumn id="6" name="2020" dataDxfId="1764" dataCellStyle="Comma 3">
      <calculatedColumnFormula>SUM(H137:H139)</calculatedColumnFormula>
    </tableColumn>
    <tableColumn id="7" name="2025" dataDxfId="1763" dataCellStyle="Comma 3">
      <calculatedColumnFormula>SUM(I137:I139)</calculatedColumnFormula>
    </tableColumn>
    <tableColumn id="8" name="2030" dataDxfId="1762" dataCellStyle="Comma 3">
      <calculatedColumnFormula>SUM(J137:J139)</calculatedColumnFormula>
    </tableColumn>
    <tableColumn id="9" name="2035" dataDxfId="1761" dataCellStyle="Comma 3">
      <calculatedColumnFormula>SUM(K137:K139)</calculatedColumnFormula>
    </tableColumn>
    <tableColumn id="10" name="2040" dataDxfId="1760" dataCellStyle="Comma 3">
      <calculatedColumnFormula>SUM(L137:L139)</calculatedColumnFormula>
    </tableColumn>
    <tableColumn id="11" name="2045" dataDxfId="1759" dataCellStyle="Comma 3">
      <calculatedColumnFormula>SUM(M137:M139)</calculatedColumnFormula>
    </tableColumn>
    <tableColumn id="12" name="2050" dataDxfId="1758" dataCellStyle="Comma 3">
      <calculatedColumnFormula>SUM(N137:N139)</calculatedColumnFormula>
    </tableColumn>
  </tableColumns>
  <tableStyleInfo name="EnergyCalcTables" showFirstColumn="0" showLastColumn="0" showRowStripes="1" showColumnStripes="0"/>
</table>
</file>

<file path=xl/tables/table80.xml><?xml version="1.0" encoding="utf-8"?>
<table xmlns="http://schemas.openxmlformats.org/spreadsheetml/2006/main" id="1" name="IX.a.NoCHP.Outputs" displayName="IX.a.NoCHP.Outputs" ref="C1199:N1209" totalsRowCount="1" headerRowDxfId="1757" dataDxfId="1756" tableBorderDxfId="1755" dataCellStyle="Comma">
  <autoFilter ref="C1199:N1208"/>
  <tableColumns count="12">
    <tableColumn id="1" name="Vector" totalsRowLabel="Total" dataDxfId="1754" totalsRowDxfId="1753"/>
    <tableColumn id="2" name="Name" dataDxfId="1752" totalsRowDxfId="1751">
      <calculatedColumnFormula>INDEX(Vectors[Description], MATCH([Vector], Vectors[Code], 0))</calculatedColumnFormula>
    </tableColumn>
    <tableColumn id="3" name="Notes" dataDxfId="1750" totalsRowDxfId="1749"/>
    <tableColumn id="4" name="2013" totalsRowFunction="sum" dataDxfId="1748" totalsRowDxfId="1747" dataCellStyle="Comma">
      <calculatedColumnFormula>F1229-F1214-F1215</calculatedColumnFormula>
    </tableColumn>
    <tableColumn id="5" name="2015" totalsRowFunction="sum" dataDxfId="1746" totalsRowDxfId="1745" dataCellStyle="Comma"/>
    <tableColumn id="6" name="2020" totalsRowFunction="sum" dataDxfId="1744" totalsRowDxfId="1743" dataCellStyle="Comma"/>
    <tableColumn id="7" name="2025" totalsRowFunction="sum" dataDxfId="1742" totalsRowDxfId="1741" dataCellStyle="Comma"/>
    <tableColumn id="8" name="2030" totalsRowFunction="sum" dataDxfId="1740" totalsRowDxfId="1739" dataCellStyle="Comma"/>
    <tableColumn id="9" name="2035" totalsRowFunction="sum" dataDxfId="1738" totalsRowDxfId="1737" dataCellStyle="Comma"/>
    <tableColumn id="10" name="2040" totalsRowFunction="sum" dataDxfId="1736" totalsRowDxfId="1735" dataCellStyle="Comma"/>
    <tableColumn id="11" name="2045" totalsRowFunction="sum" dataDxfId="1734" totalsRowDxfId="1733" dataCellStyle="Comma"/>
    <tableColumn id="12" name="2050" totalsRowFunction="sum" dataDxfId="1732" totalsRowDxfId="1731" dataCellStyle="Comma"/>
  </tableColumns>
  <tableStyleInfo name="EnergyCalcTables" showFirstColumn="0" showLastColumn="0" showRowStripes="1" showColumnStripes="0"/>
</table>
</file>

<file path=xl/tables/table81.xml><?xml version="1.0" encoding="utf-8"?>
<table xmlns="http://schemas.openxmlformats.org/spreadsheetml/2006/main" id="16" name="IX.a.Outputs" displayName="IX.a.Outputs" ref="C1228:N1238" totalsRowCount="1" headerRowDxfId="1730" dataDxfId="1729" tableBorderDxfId="1728" dataCellStyle="Comma">
  <autoFilter ref="C1228:N1237"/>
  <tableColumns count="12">
    <tableColumn id="1" name="Vector" totalsRowLabel="Total" dataDxfId="1727" totalsRowDxfId="1726"/>
    <tableColumn id="2" name="Name" dataDxfId="1725" totalsRowDxfId="1724">
      <calculatedColumnFormula>INDEX(Vectors[Description], MATCH([Vector], Vectors[Code], 0))</calculatedColumnFormula>
    </tableColumn>
    <tableColumn id="3" name="Notes" dataDxfId="1723" totalsRowDxfId="1722"/>
    <tableColumn id="4" name="2013" totalsRowFunction="sum" dataDxfId="1721" totalsRowDxfId="1720" dataCellStyle="Comma">
      <calculatedColumnFormula>INDEX(F$940:F$948, MATCH([Vector], $B$940:$B$948, 0))</calculatedColumnFormula>
    </tableColumn>
    <tableColumn id="5" name="2015" totalsRowFunction="sum" dataDxfId="1719" totalsRowDxfId="1718" dataCellStyle="Comma"/>
    <tableColumn id="6" name="2020" totalsRowFunction="sum" dataDxfId="1717" totalsRowDxfId="1716" dataCellStyle="Comma"/>
    <tableColumn id="7" name="2025" totalsRowFunction="sum" dataDxfId="1715" totalsRowDxfId="1714" dataCellStyle="Comma"/>
    <tableColumn id="8" name="2030" totalsRowFunction="sum" dataDxfId="1713" totalsRowDxfId="1712" dataCellStyle="Comma"/>
    <tableColumn id="9" name="2035" totalsRowFunction="sum" dataDxfId="1711" totalsRowDxfId="1710" dataCellStyle="Comma"/>
    <tableColumn id="10" name="2040" totalsRowFunction="sum" dataDxfId="1709" totalsRowDxfId="1708" dataCellStyle="Comma"/>
    <tableColumn id="11" name="2045" totalsRowFunction="sum" dataDxfId="1707" totalsRowDxfId="1706" dataCellStyle="Comma"/>
    <tableColumn id="12" name="2050" totalsRowFunction="sum" dataDxfId="1705" totalsRowDxfId="1704" dataCellStyle="Comma"/>
  </tableColumns>
  <tableStyleInfo name="EnergyCalcTables" showFirstColumn="0" showLastColumn="0" showRowStripes="1" showColumnStripes="0"/>
</table>
</file>

<file path=xl/tables/table82.xml><?xml version="1.0" encoding="utf-8"?>
<table xmlns="http://schemas.openxmlformats.org/spreadsheetml/2006/main" id="17" name="IX.a.CHP.Outputs" displayName="IX.a.CHP.Outputs" ref="C1213:N1224" totalsRowCount="1" headerRowDxfId="1703" dataDxfId="1702" tableBorderDxfId="1701" dataCellStyle="Comma">
  <autoFilter ref="C1213:N1223"/>
  <tableColumns count="12">
    <tableColumn id="1" name="Vector" totalsRowLabel="Total" dataDxfId="1700" totalsRowDxfId="1699"/>
    <tableColumn id="2" name="Name" dataDxfId="1698" totalsRowDxfId="1697">
      <calculatedColumnFormula>INDEX(Vectors[Description], MATCH([Vector], Vectors[Code], 0))</calculatedColumnFormula>
    </tableColumn>
    <tableColumn id="3" name="Notes" dataDxfId="1696" totalsRowDxfId="1695"/>
    <tableColumn id="4" name="2013" totalsRowFunction="sum" dataDxfId="1694" totalsRowDxfId="1693" dataCellStyle="Comma">
      <calculatedColumnFormula>INDEX(F$1004:F$1012, MATCH([Vector], $B$1004:$B$1012, 0))</calculatedColumnFormula>
    </tableColumn>
    <tableColumn id="5" name="2015" totalsRowFunction="sum" dataDxfId="1692" totalsRowDxfId="1691" dataCellStyle="Comma">
      <calculatedColumnFormula>INDEX(G$1004:G$1012, MATCH([Vector], $B$1004:$B$1012, 0))</calculatedColumnFormula>
    </tableColumn>
    <tableColumn id="6" name="2020" totalsRowFunction="sum" dataDxfId="1690" totalsRowDxfId="1689" dataCellStyle="Comma">
      <calculatedColumnFormula>INDEX(H$1004:H$1012, MATCH([Vector], $B$1004:$B$1012, 0))</calculatedColumnFormula>
    </tableColumn>
    <tableColumn id="7" name="2025" totalsRowFunction="sum" dataDxfId="1688" totalsRowDxfId="1687" dataCellStyle="Comma">
      <calculatedColumnFormula>INDEX(I$1004:I$1012, MATCH([Vector], $B$1004:$B$1012, 0))</calculatedColumnFormula>
    </tableColumn>
    <tableColumn id="8" name="2030" totalsRowFunction="sum" dataDxfId="1686" totalsRowDxfId="1685" dataCellStyle="Comma">
      <calculatedColumnFormula>INDEX(J$1004:J$1012, MATCH([Vector], $B$1004:$B$1012, 0))</calculatedColumnFormula>
    </tableColumn>
    <tableColumn id="9" name="2035" totalsRowFunction="sum" dataDxfId="1684" totalsRowDxfId="1683" dataCellStyle="Comma">
      <calculatedColumnFormula>INDEX(K$1004:K$1012, MATCH([Vector], $B$1004:$B$1012, 0))</calculatedColumnFormula>
    </tableColumn>
    <tableColumn id="10" name="2040" totalsRowFunction="sum" dataDxfId="1682" totalsRowDxfId="1681" dataCellStyle="Comma">
      <calculatedColumnFormula>INDEX(L$1004:L$1012, MATCH([Vector], $B$1004:$B$1012, 0))</calculatedColumnFormula>
    </tableColumn>
    <tableColumn id="11" name="2045" totalsRowFunction="sum" dataDxfId="1680" totalsRowDxfId="1679" dataCellStyle="Comma">
      <calculatedColumnFormula>INDEX(M$1004:M$1012, MATCH([Vector], $B$1004:$B$1012, 0))</calculatedColumnFormula>
    </tableColumn>
    <tableColumn id="12" name="2050" totalsRowFunction="sum" dataDxfId="1678" totalsRowDxfId="1677" dataCellStyle="Comma">
      <calculatedColumnFormula>INDEX(N$1004:N$1012, MATCH([Vector], $B$1004:$B$1012, 0))</calculatedColumnFormula>
    </tableColumn>
  </tableColumns>
  <tableStyleInfo name="EnergyCalcTables" showFirstColumn="0" showLastColumn="0" showRowStripes="1" showColumnStripes="0"/>
</table>
</file>

<file path=xl/tables/table83.xml><?xml version="1.0" encoding="utf-8"?>
<table xmlns="http://schemas.openxmlformats.org/spreadsheetml/2006/main" id="113" name="IX.a.NoCHP.Emissions" displayName="IX.a.NoCHP.Emissions" ref="C1245:N1249" totalsRowCount="1" headerRowDxfId="1676" dataDxfId="1674" headerRowBorderDxfId="1675" dataCellStyle="Comma">
  <autoFilter ref="C1245:N1248"/>
  <tableColumns count="12">
    <tableColumn id="1" name="GHG" totalsRowLabel="Total" dataDxfId="1673" totalsRowDxfId="1672"/>
    <tableColumn id="2" name="IPCC Sector" dataDxfId="1671" totalsRowDxfId="1670"/>
    <tableColumn id="3" name="Notes" dataDxfId="1669" totalsRowDxfId="1668">
      <calculatedColumnFormula>INDEX(IPCC[Sector_description], MATCH([IPCC Sector], IPCC[Sector_code], 0))</calculatedColumnFormula>
    </tableColumn>
    <tableColumn id="4" name="2013" totalsRowFunction="sum" dataDxfId="1667" totalsRowDxfId="1666" dataCellStyle="Comma">
      <calculatedColumnFormula>F1262-F1254</calculatedColumnFormula>
    </tableColumn>
    <tableColumn id="5" name="2015" totalsRowFunction="sum" dataDxfId="1665" totalsRowDxfId="1664" dataCellStyle="Comma">
      <calculatedColumnFormula>G1262-G1254</calculatedColumnFormula>
    </tableColumn>
    <tableColumn id="6" name="2020" totalsRowFunction="sum" dataDxfId="1663" totalsRowDxfId="1662" dataCellStyle="Comma">
      <calculatedColumnFormula>H1262-H1254</calculatedColumnFormula>
    </tableColumn>
    <tableColumn id="7" name="2025" totalsRowFunction="sum" dataDxfId="1661" totalsRowDxfId="1660" dataCellStyle="Comma">
      <calculatedColumnFormula>I1262-I1254</calculatedColumnFormula>
    </tableColumn>
    <tableColumn id="8" name="2030" totalsRowFunction="sum" dataDxfId="1659" totalsRowDxfId="1658" dataCellStyle="Comma">
      <calculatedColumnFormula>J1262-J1254</calculatedColumnFormula>
    </tableColumn>
    <tableColumn id="9" name="2035" totalsRowFunction="sum" dataDxfId="1657" totalsRowDxfId="1656" dataCellStyle="Comma">
      <calculatedColumnFormula>K1262-K1254</calculatedColumnFormula>
    </tableColumn>
    <tableColumn id="10" name="2040" totalsRowFunction="sum" dataDxfId="1655" totalsRowDxfId="1654" dataCellStyle="Comma">
      <calculatedColumnFormula>L1262-L1254</calculatedColumnFormula>
    </tableColumn>
    <tableColumn id="11" name="2045" totalsRowFunction="sum" dataDxfId="1653" totalsRowDxfId="1652" dataCellStyle="Comma">
      <calculatedColumnFormula>M1262-M1254</calculatedColumnFormula>
    </tableColumn>
    <tableColumn id="12" name="2050" totalsRowFunction="sum" dataDxfId="1651" totalsRowDxfId="1650" dataCellStyle="Comma">
      <calculatedColumnFormula>N1262-N1254</calculatedColumnFormula>
    </tableColumn>
  </tableColumns>
  <tableStyleInfo name="EnergyCalcTables" showFirstColumn="0" showLastColumn="0" showRowStripes="1" showColumnStripes="0"/>
</table>
</file>

<file path=xl/tables/table84.xml><?xml version="1.0" encoding="utf-8"?>
<table xmlns="http://schemas.openxmlformats.org/spreadsheetml/2006/main" id="114" name="IX.a.CHP.Emissions" displayName="IX.a.CHP.Emissions" ref="C1253:N1257" totalsRowCount="1" headerRowDxfId="1649" dataDxfId="1647" headerRowBorderDxfId="1648" dataCellStyle="Comma">
  <autoFilter ref="C1253:N1256"/>
  <tableColumns count="12">
    <tableColumn id="1" name="GHG" totalsRowLabel="Total" dataDxfId="1646" totalsRowDxfId="1645"/>
    <tableColumn id="2" name="IPCC Sector" dataDxfId="1644" totalsRowDxfId="1643"/>
    <tableColumn id="3" name="Notes" dataDxfId="1642" totalsRowDxfId="1641">
      <calculatedColumnFormula>INDEX(IPCC[Sector_description], MATCH([IPCC Sector], IPCC[Sector_code], 0))</calculatedColumnFormula>
    </tableColumn>
    <tableColumn id="4" name="2013" totalsRowFunction="sum" dataDxfId="1640" totalsRowDxfId="1639" dataCellStyle="Comma"/>
    <tableColumn id="5" name="2015" totalsRowFunction="sum" dataDxfId="1638" totalsRowDxfId="1637" dataCellStyle="Comma"/>
    <tableColumn id="6" name="2020" totalsRowFunction="sum" dataDxfId="1636" totalsRowDxfId="1635" dataCellStyle="Comma"/>
    <tableColumn id="7" name="2025" totalsRowFunction="sum" dataDxfId="1634" totalsRowDxfId="1633" dataCellStyle="Comma"/>
    <tableColumn id="8" name="2030" totalsRowFunction="sum" dataDxfId="1632" totalsRowDxfId="1631" dataCellStyle="Comma"/>
    <tableColumn id="9" name="2035" totalsRowFunction="sum" dataDxfId="1630" totalsRowDxfId="1629" dataCellStyle="Comma"/>
    <tableColumn id="10" name="2040" totalsRowFunction="sum" dataDxfId="1628" totalsRowDxfId="1627" dataCellStyle="Comma"/>
    <tableColumn id="11" name="2045" totalsRowFunction="sum" dataDxfId="1626" totalsRowDxfId="1625" dataCellStyle="Comma"/>
    <tableColumn id="12" name="2050" totalsRowFunction="sum" dataDxfId="1624" totalsRowDxfId="1623" dataCellStyle="Comma"/>
  </tableColumns>
  <tableStyleInfo name="EnergyCalcTables" showFirstColumn="0" showLastColumn="0" showRowStripes="1" showColumnStripes="0"/>
</table>
</file>

<file path=xl/tables/table85.xml><?xml version="1.0" encoding="utf-8"?>
<table xmlns="http://schemas.openxmlformats.org/spreadsheetml/2006/main" id="115" name="IX.a.Emissions" displayName="IX.a.Emissions" ref="C1261:N1265" totalsRowCount="1" headerRowDxfId="1622" dataDxfId="1620" headerRowBorderDxfId="1621" dataCellStyle="Comma">
  <autoFilter ref="C1261:N1264"/>
  <tableColumns count="12">
    <tableColumn id="1" name="GHG" totalsRowLabel="Total" dataDxfId="1619" totalsRowDxfId="1618"/>
    <tableColumn id="2" name="IPCC Sector" dataDxfId="1617" totalsRowDxfId="1616"/>
    <tableColumn id="3" name="Notes" dataDxfId="1615" totalsRowDxfId="1614">
      <calculatedColumnFormula>INDEX(IPCC[Sector_description], MATCH([IPCC Sector], IPCC[Sector_code], 0))</calculatedColumnFormula>
    </tableColumn>
    <tableColumn id="4" name="2013" totalsRowFunction="sum" dataDxfId="1613" totalsRowDxfId="1612" dataCellStyle="Comma"/>
    <tableColumn id="5" name="2015" totalsRowFunction="sum" dataDxfId="1611" totalsRowDxfId="1610" dataCellStyle="Comma"/>
    <tableColumn id="6" name="2020" totalsRowFunction="sum" dataDxfId="1609" totalsRowDxfId="1608" dataCellStyle="Comma"/>
    <tableColumn id="7" name="2025" totalsRowFunction="sum" dataDxfId="1607" totalsRowDxfId="1606" dataCellStyle="Comma"/>
    <tableColumn id="8" name="2030" totalsRowFunction="sum" dataDxfId="1605" totalsRowDxfId="1604" dataCellStyle="Comma"/>
    <tableColumn id="9" name="2035" totalsRowFunction="sum" dataDxfId="1603" totalsRowDxfId="1602" dataCellStyle="Comma"/>
    <tableColumn id="10" name="2040" totalsRowFunction="sum" dataDxfId="1601" totalsRowDxfId="1600" dataCellStyle="Comma"/>
    <tableColumn id="11" name="2045" totalsRowFunction="sum" dataDxfId="1599" totalsRowDxfId="1598" dataCellStyle="Comma"/>
    <tableColumn id="12" name="2050" totalsRowFunction="sum" dataDxfId="1597" totalsRowDxfId="1596" dataCellStyle="Comma"/>
  </tableColumns>
  <tableStyleInfo name="EnergyCalcTables" showFirstColumn="0" showLastColumn="0" showRowStripes="1" showColumnStripes="0"/>
</table>
</file>

<file path=xl/tables/table86.xml><?xml version="1.0" encoding="utf-8"?>
<table xmlns="http://schemas.openxmlformats.org/spreadsheetml/2006/main" id="116" name="IX.a.Heating.AQ" displayName="IX.a.Heating.AQ" ref="C1269:N1273" totalsRowShown="0" headerRowDxfId="1595" dataDxfId="1594" tableBorderDxfId="1593">
  <autoFilter ref="C1269:N1273"/>
  <tableColumns count="12">
    <tableColumn id="1" name="Vector" dataDxfId="1592">
      <calculatedColumnFormula>INDEX(AirQualityVectors[Code],MATCH(D1270,AirQualityVectors[Description],0))</calculatedColumnFormula>
    </tableColumn>
    <tableColumn id="2" name="Name" dataDxfId="1591"/>
    <tableColumn id="3" name="Notes" dataDxfId="1590"/>
    <tableColumn id="4" name="2013" dataDxfId="1589">
      <calculatedColumnFormula>F977</calculatedColumnFormula>
    </tableColumn>
    <tableColumn id="5" name="2015" dataDxfId="1588">
      <calculatedColumnFormula>G977</calculatedColumnFormula>
    </tableColumn>
    <tableColumn id="6" name="2020" dataDxfId="1587">
      <calculatedColumnFormula>H977</calculatedColumnFormula>
    </tableColumn>
    <tableColumn id="7" name="2025" dataDxfId="1586">
      <calculatedColumnFormula>I977</calculatedColumnFormula>
    </tableColumn>
    <tableColumn id="8" name="2030" dataDxfId="1585">
      <calculatedColumnFormula>J977</calculatedColumnFormula>
    </tableColumn>
    <tableColumn id="9" name="2035" dataDxfId="1584">
      <calculatedColumnFormula>K977</calculatedColumnFormula>
    </tableColumn>
    <tableColumn id="10" name="2040" dataDxfId="1583">
      <calculatedColumnFormula>L977</calculatedColumnFormula>
    </tableColumn>
    <tableColumn id="11" name="2045" dataDxfId="1582">
      <calculatedColumnFormula>M977</calculatedColumnFormula>
    </tableColumn>
    <tableColumn id="12" name="2050" dataDxfId="1581">
      <calculatedColumnFormula>N977</calculatedColumnFormula>
    </tableColumn>
  </tableColumns>
  <tableStyleInfo name="EnergyCalcTables" showFirstColumn="0" showLastColumn="0" showRowStripes="1" showColumnStripes="0"/>
</table>
</file>

<file path=xl/tables/table87.xml><?xml version="1.0" encoding="utf-8"?>
<table xmlns="http://schemas.openxmlformats.org/spreadsheetml/2006/main" id="117" name="IX.a.info" displayName="IX.a.info" ref="C1280:N1283" totalsRowShown="0" headerRowDxfId="1580" dataDxfId="1578" headerRowBorderDxfId="1579" dataCellStyle="Comma">
  <autoFilter ref="C1280:N1283"/>
  <tableColumns count="12">
    <tableColumn id="1" name="Vector" dataDxfId="1577"/>
    <tableColumn id="2" name="Information type" dataDxfId="1576">
      <calculatedColumnFormula>INDEX(Vectors[Description], MATCH([Vector], Vectors[Code], 0))</calculatedColumnFormula>
    </tableColumn>
    <tableColumn id="3" name="Notes" dataDxfId="1575"/>
    <tableColumn id="4" name="2013" dataDxfId="1574" dataCellStyle="Comma"/>
    <tableColumn id="5" name="2015" dataDxfId="1573" dataCellStyle="Comma"/>
    <tableColumn id="6" name="2020" dataDxfId="1572" dataCellStyle="Comma"/>
    <tableColumn id="7" name="2025" dataDxfId="1571" dataCellStyle="Comma"/>
    <tableColumn id="8" name="2030" dataDxfId="1570" dataCellStyle="Comma"/>
    <tableColumn id="9" name="2035" dataDxfId="1569" dataCellStyle="Comma"/>
    <tableColumn id="10" name="2040" dataDxfId="1568" dataCellStyle="Comma"/>
    <tableColumn id="11" name="2045" dataDxfId="1567" dataCellStyle="Comma"/>
    <tableColumn id="12" name="2050" dataDxfId="1566" dataCellStyle="Comma"/>
  </tableColumns>
  <tableStyleInfo name="EnergyCalcTables" showFirstColumn="0" showLastColumn="0" showRowStripes="1" showColumnStripes="0"/>
</table>
</file>

<file path=xl/tables/table88.xml><?xml version="1.0" encoding="utf-8"?>
<table xmlns="http://schemas.openxmlformats.org/spreadsheetml/2006/main" id="18" name="IX.c.NoCHP.Outputs" displayName="IX.c.NoCHP.Outputs" ref="C704:N713" totalsRowCount="1" headerRowDxfId="1565" dataDxfId="1564" tableBorderDxfId="1563" dataCellStyle="Comma">
  <autoFilter ref="C704:N712"/>
  <tableColumns count="12">
    <tableColumn id="1" name="Vector" totalsRowLabel="Total" dataDxfId="1562" totalsRowDxfId="1561"/>
    <tableColumn id="2" name="Name" dataDxfId="1560" totalsRowDxfId="1559">
      <calculatedColumnFormula>INDEX(Vectors[Description], MATCH([Vector], Vectors[Code], 0))</calculatedColumnFormula>
    </tableColumn>
    <tableColumn id="3" name="Notes" dataDxfId="1558" totalsRowDxfId="1557"/>
    <tableColumn id="4" name="2013" totalsRowFunction="sum" dataDxfId="1556" totalsRowDxfId="1555" dataCellStyle="Comma"/>
    <tableColumn id="5" name="2015" totalsRowFunction="sum" dataDxfId="1554" totalsRowDxfId="1553" dataCellStyle="Comma"/>
    <tableColumn id="6" name="2020" totalsRowFunction="sum" dataDxfId="1552" totalsRowDxfId="1551" dataCellStyle="Comma"/>
    <tableColumn id="7" name="2025" totalsRowFunction="sum" dataDxfId="1550" totalsRowDxfId="1549" dataCellStyle="Comma"/>
    <tableColumn id="8" name="2030" totalsRowFunction="sum" dataDxfId="1548" totalsRowDxfId="1547" dataCellStyle="Comma"/>
    <tableColumn id="9" name="2035" totalsRowFunction="sum" dataDxfId="1546" totalsRowDxfId="1545" dataCellStyle="Comma"/>
    <tableColumn id="10" name="2040" totalsRowFunction="sum" dataDxfId="1544" totalsRowDxfId="1543" dataCellStyle="Comma"/>
    <tableColumn id="11" name="2045" totalsRowFunction="sum" dataDxfId="1542" totalsRowDxfId="1541" dataCellStyle="Comma"/>
    <tableColumn id="12" name="2050" totalsRowFunction="sum" dataDxfId="1540" totalsRowDxfId="1539" dataCellStyle="Comma"/>
  </tableColumns>
  <tableStyleInfo name="EnergyCalcTables" showFirstColumn="0" showLastColumn="0" showRowStripes="1" showColumnStripes="0"/>
</table>
</file>

<file path=xl/tables/table89.xml><?xml version="1.0" encoding="utf-8"?>
<table xmlns="http://schemas.openxmlformats.org/spreadsheetml/2006/main" id="19" name="IX.c.CHP.Outputs" displayName="IX.c.CHP.Outputs" ref="C718:N728" totalsRowCount="1" headerRowDxfId="1538" dataDxfId="1537" tableBorderDxfId="1536" dataCellStyle="Comma">
  <autoFilter ref="C718:N727"/>
  <tableColumns count="12">
    <tableColumn id="1" name="Vector" totalsRowLabel="Total" dataDxfId="1535" totalsRowDxfId="1534"/>
    <tableColumn id="2" name="Name" dataDxfId="1533" totalsRowDxfId="1532">
      <calculatedColumnFormula>INDEX(Vectors[Description], MATCH([Vector], Vectors[Code], 0))</calculatedColumnFormula>
    </tableColumn>
    <tableColumn id="3" name="Notes" dataDxfId="1531" totalsRowDxfId="1530"/>
    <tableColumn id="4" name="2013" totalsRowFunction="sum" dataDxfId="1529" totalsRowDxfId="1528" dataCellStyle="Comma 3">
      <calculatedColumnFormula>F515</calculatedColumnFormula>
    </tableColumn>
    <tableColumn id="5" name="2015" totalsRowFunction="sum" dataDxfId="1527" totalsRowDxfId="1526" dataCellStyle="Comma 3">
      <calculatedColumnFormula>G515</calculatedColumnFormula>
    </tableColumn>
    <tableColumn id="6" name="2020" totalsRowFunction="sum" dataDxfId="1525" totalsRowDxfId="1524" dataCellStyle="Comma 3">
      <calculatedColumnFormula>H515</calculatedColumnFormula>
    </tableColumn>
    <tableColumn id="7" name="2025" totalsRowFunction="sum" dataDxfId="1523" totalsRowDxfId="1522" dataCellStyle="Comma 3">
      <calculatedColumnFormula>I515</calculatedColumnFormula>
    </tableColumn>
    <tableColumn id="8" name="2030" totalsRowFunction="sum" dataDxfId="1521" totalsRowDxfId="1520" dataCellStyle="Comma 3">
      <calculatedColumnFormula>J515</calculatedColumnFormula>
    </tableColumn>
    <tableColumn id="9" name="2035" totalsRowFunction="sum" dataDxfId="1519" totalsRowDxfId="1518" dataCellStyle="Comma 3">
      <calculatedColumnFormula>K515</calculatedColumnFormula>
    </tableColumn>
    <tableColumn id="10" name="2040" totalsRowFunction="sum" dataDxfId="1517" totalsRowDxfId="1516" dataCellStyle="Comma 3">
      <calculatedColumnFormula>L515</calculatedColumnFormula>
    </tableColumn>
    <tableColumn id="11" name="2045" totalsRowFunction="sum" dataDxfId="1515" totalsRowDxfId="1514" dataCellStyle="Comma 3">
      <calculatedColumnFormula>M515</calculatedColumnFormula>
    </tableColumn>
    <tableColumn id="12" name="2050" totalsRowFunction="sum" dataDxfId="1513" totalsRowDxfId="1512" dataCellStyle="Comma 3">
      <calculatedColumnFormula>N515</calculatedColumnFormula>
    </tableColumn>
  </tableColumns>
  <tableStyleInfo name="EnergyCalcTables" showFirstColumn="0" showLastColumn="0" showRowStripes="1" showColumnStripes="0"/>
</table>
</file>

<file path=xl/tables/table90.xml><?xml version="1.0" encoding="utf-8"?>
<table xmlns="http://schemas.openxmlformats.org/spreadsheetml/2006/main" id="20" name="IX.c.Outputs" displayName="IX.c.Outputs" ref="C732:N741" totalsRowCount="1" headerRowDxfId="1511" dataDxfId="1510" tableBorderDxfId="1509" dataCellStyle="Comma">
  <autoFilter ref="C732:N740"/>
  <tableColumns count="12">
    <tableColumn id="1" name="Vector" totalsRowLabel="Total" dataDxfId="1508" totalsRowDxfId="1507"/>
    <tableColumn id="2" name="Name" dataDxfId="1506" totalsRowDxfId="1505">
      <calculatedColumnFormula>INDEX(Vectors[Description], MATCH([Vector], Vectors[Code], 0))</calculatedColumnFormula>
    </tableColumn>
    <tableColumn id="3" name="Notes" dataDxfId="1504" totalsRowDxfId="1503"/>
    <tableColumn id="4" name="2013" totalsRowFunction="sum" dataDxfId="1502" totalsRowDxfId="1501" dataCellStyle="Comma"/>
    <tableColumn id="5" name="2015" totalsRowFunction="sum" dataDxfId="1500" totalsRowDxfId="1499" dataCellStyle="Comma"/>
    <tableColumn id="6" name="2020" totalsRowFunction="sum" dataDxfId="1498" totalsRowDxfId="1497" dataCellStyle="Comma"/>
    <tableColumn id="7" name="2025" totalsRowFunction="sum" dataDxfId="1496" totalsRowDxfId="1495" dataCellStyle="Comma"/>
    <tableColumn id="8" name="2030" totalsRowFunction="sum" dataDxfId="1494" totalsRowDxfId="1493" dataCellStyle="Comma"/>
    <tableColumn id="9" name="2035" totalsRowFunction="sum" dataDxfId="1492" totalsRowDxfId="1491" dataCellStyle="Comma"/>
    <tableColumn id="10" name="2040" totalsRowFunction="sum" dataDxfId="1490" totalsRowDxfId="1489" dataCellStyle="Comma"/>
    <tableColumn id="11" name="2045" totalsRowFunction="sum" dataDxfId="1488" totalsRowDxfId="1487" dataCellStyle="Comma"/>
    <tableColumn id="12" name="2050" totalsRowFunction="sum" dataDxfId="1486" totalsRowDxfId="1485" dataCellStyle="Comma"/>
  </tableColumns>
  <tableStyleInfo name="EnergyCalcTables" showFirstColumn="0" showLastColumn="0" showRowStripes="1" showColumnStripes="0"/>
</table>
</file>

<file path=xl/tables/table91.xml><?xml version="1.0" encoding="utf-8"?>
<table xmlns="http://schemas.openxmlformats.org/spreadsheetml/2006/main" id="109" name="IX.c.NoCHP.Emissions" displayName="IX.c.NoCHP.Emissions" ref="C748:N752" totalsRowCount="1" headerRowDxfId="1484" dataDxfId="1482" headerRowBorderDxfId="1483" dataCellStyle="Comma">
  <autoFilter ref="C748:N751"/>
  <tableColumns count="12">
    <tableColumn id="1" name="GHG" totalsRowLabel="Total" dataDxfId="1481" totalsRowDxfId="1480"/>
    <tableColumn id="2" name="IPCC Sector" dataDxfId="1479" totalsRowDxfId="1478"/>
    <tableColumn id="3" name="Notes" dataDxfId="1477" totalsRowDxfId="1476">
      <calculatedColumnFormula>INDEX(IPCC[Sector_description], MATCH([IPCC Sector], IPCC[Sector_code], 0))</calculatedColumnFormula>
    </tableColumn>
    <tableColumn id="4" name="2013" totalsRowFunction="sum" dataDxfId="1475" totalsRowDxfId="1474" dataCellStyle="Comma 3">
      <calculatedColumnFormula>F765-F757</calculatedColumnFormula>
    </tableColumn>
    <tableColumn id="5" name="2015" totalsRowFunction="sum" dataDxfId="1473" totalsRowDxfId="1472" dataCellStyle="Comma 3">
      <calculatedColumnFormula>G765-G757</calculatedColumnFormula>
    </tableColumn>
    <tableColumn id="6" name="2020" totalsRowFunction="sum" dataDxfId="1471" totalsRowDxfId="1470" dataCellStyle="Comma 3">
      <calculatedColumnFormula>H765-H757</calculatedColumnFormula>
    </tableColumn>
    <tableColumn id="7" name="2025" totalsRowFunction="sum" dataDxfId="1469" totalsRowDxfId="1468" dataCellStyle="Comma 3">
      <calculatedColumnFormula>I765-I757</calculatedColumnFormula>
    </tableColumn>
    <tableColumn id="8" name="2030" totalsRowFunction="sum" dataDxfId="1467" totalsRowDxfId="1466" dataCellStyle="Comma 3">
      <calculatedColumnFormula>J765-J757</calculatedColumnFormula>
    </tableColumn>
    <tableColumn id="9" name="2035" totalsRowFunction="sum" dataDxfId="1465" totalsRowDxfId="1464" dataCellStyle="Comma 3">
      <calculatedColumnFormula>K765-K757</calculatedColumnFormula>
    </tableColumn>
    <tableColumn id="10" name="2040" totalsRowFunction="sum" dataDxfId="1463" totalsRowDxfId="1462" dataCellStyle="Comma 3">
      <calculatedColumnFormula>L765-L757</calculatedColumnFormula>
    </tableColumn>
    <tableColumn id="11" name="2045" totalsRowFunction="sum" dataDxfId="1461" totalsRowDxfId="1460" dataCellStyle="Comma 3">
      <calculatedColumnFormula>M765-M757</calculatedColumnFormula>
    </tableColumn>
    <tableColumn id="12" name="2050" totalsRowFunction="sum" dataDxfId="1459" totalsRowDxfId="1458" dataCellStyle="Comma 3">
      <calculatedColumnFormula>N765-N757</calculatedColumnFormula>
    </tableColumn>
  </tableColumns>
  <tableStyleInfo name="EnergyCalcTables" showFirstColumn="0" showLastColumn="0" showRowStripes="1" showColumnStripes="0"/>
</table>
</file>

<file path=xl/tables/table92.xml><?xml version="1.0" encoding="utf-8"?>
<table xmlns="http://schemas.openxmlformats.org/spreadsheetml/2006/main" id="110" name="IX.c.CHP.Emissions" displayName="IX.c.CHP.Emissions" ref="C756:N760" totalsRowCount="1" headerRowDxfId="1457" dataDxfId="1455" headerRowBorderDxfId="1456" dataCellStyle="Comma">
  <autoFilter ref="C756:N759"/>
  <tableColumns count="12">
    <tableColumn id="1" name="GHG" totalsRowLabel="Total" dataDxfId="1454" totalsRowDxfId="1453"/>
    <tableColumn id="2" name="IPCC Sector" dataDxfId="1452" totalsRowDxfId="1451"/>
    <tableColumn id="3" name="Notes" dataDxfId="1450" totalsRowDxfId="1449">
      <calculatedColumnFormula>INDEX(IPCC[Sector_description], MATCH([IPCC Sector], IPCC[Sector_code], 0))</calculatedColumnFormula>
    </tableColumn>
    <tableColumn id="4" name="2013" totalsRowFunction="sum" dataDxfId="1448" totalsRowDxfId="1447" dataCellStyle="Comma 3">
      <calculatedColumnFormula>F527</calculatedColumnFormula>
    </tableColumn>
    <tableColumn id="5" name="2015" totalsRowFunction="sum" dataDxfId="1446" totalsRowDxfId="1445" dataCellStyle="Comma 3">
      <calculatedColumnFormula>G527</calculatedColumnFormula>
    </tableColumn>
    <tableColumn id="6" name="2020" totalsRowFunction="sum" dataDxfId="1444" totalsRowDxfId="1443" dataCellStyle="Comma 3">
      <calculatedColumnFormula>H527</calculatedColumnFormula>
    </tableColumn>
    <tableColumn id="7" name="2025" totalsRowFunction="sum" dataDxfId="1442" totalsRowDxfId="1441" dataCellStyle="Comma 3">
      <calculatedColumnFormula>I527</calculatedColumnFormula>
    </tableColumn>
    <tableColumn id="8" name="2030" totalsRowFunction="sum" dataDxfId="1440" totalsRowDxfId="1439" dataCellStyle="Comma 3">
      <calculatedColumnFormula>J527</calculatedColumnFormula>
    </tableColumn>
    <tableColumn id="9" name="2035" totalsRowFunction="sum" dataDxfId="1438" totalsRowDxfId="1437" dataCellStyle="Comma 3">
      <calculatedColumnFormula>K527</calculatedColumnFormula>
    </tableColumn>
    <tableColumn id="10" name="2040" totalsRowFunction="sum" dataDxfId="1436" totalsRowDxfId="1435" dataCellStyle="Comma 3">
      <calculatedColumnFormula>L527</calculatedColumnFormula>
    </tableColumn>
    <tableColumn id="11" name="2045" totalsRowFunction="sum" dataDxfId="1434" totalsRowDxfId="1433" dataCellStyle="Comma 3">
      <calculatedColumnFormula>M527</calculatedColumnFormula>
    </tableColumn>
    <tableColumn id="12" name="2050" totalsRowFunction="sum" dataDxfId="1432" totalsRowDxfId="1431" dataCellStyle="Comma 3">
      <calculatedColumnFormula>N527</calculatedColumnFormula>
    </tableColumn>
  </tableColumns>
  <tableStyleInfo name="EnergyCalcTables" showFirstColumn="0" showLastColumn="0" showRowStripes="1" showColumnStripes="0"/>
</table>
</file>

<file path=xl/tables/table93.xml><?xml version="1.0" encoding="utf-8"?>
<table xmlns="http://schemas.openxmlformats.org/spreadsheetml/2006/main" id="111" name="IX.c.Emissions" displayName="IX.c.Emissions" ref="C764:N768" totalsRowCount="1" headerRowDxfId="1430" dataDxfId="1428" headerRowBorderDxfId="1429" dataCellStyle="Comma 3">
  <autoFilter ref="C764:N767"/>
  <tableColumns count="12">
    <tableColumn id="1" name="GHG" totalsRowLabel="Total" dataDxfId="1427" totalsRowDxfId="1426"/>
    <tableColumn id="2" name="IPCC Sector" dataDxfId="1425" totalsRowDxfId="1424"/>
    <tableColumn id="3" name="Notes" dataDxfId="1423" totalsRowDxfId="1422">
      <calculatedColumnFormula>INDEX(IPCC[Sector_description], MATCH([IPCC Sector], IPCC[Sector_code], 0))</calculatedColumnFormula>
    </tableColumn>
    <tableColumn id="4" name="2013" totalsRowFunction="sum" dataDxfId="1421" totalsRowDxfId="1420" dataCellStyle="Comma 3"/>
    <tableColumn id="5" name="2015" totalsRowFunction="sum" dataDxfId="1419" totalsRowDxfId="1418" dataCellStyle="Comma 3"/>
    <tableColumn id="6" name="2020" totalsRowFunction="sum" dataDxfId="1417" totalsRowDxfId="1416" dataCellStyle="Comma 3"/>
    <tableColumn id="7" name="2025" totalsRowFunction="sum" dataDxfId="1415" totalsRowDxfId="1414" dataCellStyle="Comma 3"/>
    <tableColumn id="8" name="2030" totalsRowFunction="sum" dataDxfId="1413" totalsRowDxfId="1412" dataCellStyle="Comma 3"/>
    <tableColumn id="9" name="2035" totalsRowFunction="sum" dataDxfId="1411" totalsRowDxfId="1410" dataCellStyle="Comma 3"/>
    <tableColumn id="10" name="2040" totalsRowFunction="sum" dataDxfId="1409" totalsRowDxfId="1408" dataCellStyle="Comma 3"/>
    <tableColumn id="11" name="2045" totalsRowFunction="sum" dataDxfId="1407" totalsRowDxfId="1406" dataCellStyle="Comma 3"/>
    <tableColumn id="12" name="2050" totalsRowFunction="sum" dataDxfId="1405" totalsRowDxfId="1404" dataCellStyle="Comma 3"/>
  </tableColumns>
  <tableStyleInfo name="EnergyCalcTables" showFirstColumn="0" showLastColumn="0" showRowStripes="1" showColumnStripes="0"/>
</table>
</file>

<file path=xl/tables/table94.xml><?xml version="1.0" encoding="utf-8"?>
<table xmlns="http://schemas.openxmlformats.org/spreadsheetml/2006/main" id="112" name="IX.c.AQ" displayName="IX.c.AQ" ref="C772:N776" totalsRowShown="0" headerRowDxfId="1403" dataDxfId="1401" headerRowBorderDxfId="1402">
  <autoFilter ref="C772:N776"/>
  <tableColumns count="12">
    <tableColumn id="1" name="Vector" dataDxfId="1400">
      <calculatedColumnFormula>INDEX(AirQualityVectors[Code],MATCH(D773,AirQualityVectors[Description],0))</calculatedColumnFormula>
    </tableColumn>
    <tableColumn id="2" name="Name" dataDxfId="1399"/>
    <tableColumn id="3" name="Notes" dataDxfId="1398"/>
    <tableColumn id="4" name="2013" dataDxfId="1397">
      <calculatedColumnFormula>F488</calculatedColumnFormula>
    </tableColumn>
    <tableColumn id="5" name="2015" dataDxfId="1396">
      <calculatedColumnFormula>G488</calculatedColumnFormula>
    </tableColumn>
    <tableColumn id="6" name="2020" dataDxfId="1395">
      <calculatedColumnFormula>H488</calculatedColumnFormula>
    </tableColumn>
    <tableColumn id="7" name="2025" dataDxfId="1394">
      <calculatedColumnFormula>I488</calculatedColumnFormula>
    </tableColumn>
    <tableColumn id="8" name="2030" dataDxfId="1393">
      <calculatedColumnFormula>J488</calculatedColumnFormula>
    </tableColumn>
    <tableColumn id="9" name="2035" dataDxfId="1392">
      <calculatedColumnFormula>K488</calculatedColumnFormula>
    </tableColumn>
    <tableColumn id="10" name="2040" dataDxfId="1391">
      <calculatedColumnFormula>L488</calculatedColumnFormula>
    </tableColumn>
    <tableColumn id="11" name="2045" dataDxfId="1390">
      <calculatedColumnFormula>M488</calculatedColumnFormula>
    </tableColumn>
    <tableColumn id="12" name="2050" dataDxfId="1389">
      <calculatedColumnFormula>N488</calculatedColumnFormula>
    </tableColumn>
  </tableColumns>
  <tableStyleInfo name="EnergyCalcTables" showFirstColumn="0" showLastColumn="0" showRowStripes="1" showColumnStripes="0"/>
</table>
</file>

<file path=xl/tables/table95.xml><?xml version="1.0" encoding="utf-8"?>
<table xmlns="http://schemas.openxmlformats.org/spreadsheetml/2006/main" id="118" name="IX.c.info" displayName="IX.c.info" ref="C783:N785" totalsRowShown="0" headerRowDxfId="1388" dataDxfId="1386" headerRowBorderDxfId="1387" dataCellStyle="Comma">
  <autoFilter ref="C783:N785"/>
  <tableColumns count="12">
    <tableColumn id="1" name="Vector" dataDxfId="1385"/>
    <tableColumn id="2" name="Information type" dataDxfId="1384">
      <calculatedColumnFormula>INDEX(Vectors[Description], MATCH([Vector], Vectors[Code], 0))</calculatedColumnFormula>
    </tableColumn>
    <tableColumn id="3" name="Notes" dataDxfId="1383">
      <calculatedColumnFormula>Preferences.PowerUnits</calculatedColumnFormula>
    </tableColumn>
    <tableColumn id="4" name="2013" dataDxfId="1382" dataCellStyle="Comma 3"/>
    <tableColumn id="5" name="2015" dataDxfId="1381" dataCellStyle="Comma 3"/>
    <tableColumn id="6" name="2020" dataDxfId="1380" dataCellStyle="Comma 3"/>
    <tableColumn id="7" name="2025" dataDxfId="1379" dataCellStyle="Comma 3"/>
    <tableColumn id="8" name="2030" dataDxfId="1378" dataCellStyle="Comma 3"/>
    <tableColumn id="9" name="2035" dataDxfId="1377" dataCellStyle="Comma 3"/>
    <tableColumn id="10" name="2040" dataDxfId="1376" dataCellStyle="Comma 3"/>
    <tableColumn id="11" name="2045" dataDxfId="1375" dataCellStyle="Comma 3"/>
    <tableColumn id="12" name="2050" dataDxfId="1374" dataCellStyle="Comma 3"/>
  </tableColumns>
  <tableStyleInfo name="EnergyCalcTables" showFirstColumn="0" showLastColumn="0" showRowStripes="1" showColumnStripes="0"/>
</table>
</file>

<file path=xl/tables/table96.xml><?xml version="1.0" encoding="utf-8"?>
<table xmlns="http://schemas.openxmlformats.org/spreadsheetml/2006/main" id="7" name="X.a.Outputs" displayName="X.a.Outputs" ref="C181:N185" totalsRowCount="1" headerRowDxfId="1373" dataDxfId="1372" tableBorderDxfId="1371" dataCellStyle="Comma">
  <autoFilter ref="C181:N184"/>
  <tableColumns count="12">
    <tableColumn id="1" name="Vector" totalsRowLabel="Total" dataDxfId="1370" totalsRowDxfId="1369"/>
    <tableColumn id="2" name="Name" dataDxfId="1368" totalsRowDxfId="1367">
      <calculatedColumnFormula>INDEX(Vectors[Description], MATCH([Vector], Vectors[Code], 0))</calculatedColumnFormula>
    </tableColumn>
    <tableColumn id="3" name="Notes" dataDxfId="1366" totalsRowDxfId="1365"/>
    <tableColumn id="4" name="2013" totalsRowFunction="sum" totalsRowDxfId="1364">
      <calculatedColumnFormula>-F130</calculatedColumnFormula>
    </tableColumn>
    <tableColumn id="5" name="2015" totalsRowFunction="sum" dataDxfId="1363" totalsRowDxfId="1362" dataCellStyle="Comma">
      <calculatedColumnFormula>-G130</calculatedColumnFormula>
    </tableColumn>
    <tableColumn id="6" name="2020" totalsRowFunction="sum" dataDxfId="1361" totalsRowDxfId="1360" dataCellStyle="Comma">
      <calculatedColumnFormula>-H130</calculatedColumnFormula>
    </tableColumn>
    <tableColumn id="7" name="2025" totalsRowFunction="sum" dataDxfId="1359" totalsRowDxfId="1358" dataCellStyle="Comma">
      <calculatedColumnFormula>-I130</calculatedColumnFormula>
    </tableColumn>
    <tableColumn id="8" name="2030" totalsRowFunction="sum" dataDxfId="1357" totalsRowDxfId="1356" dataCellStyle="Comma">
      <calculatedColumnFormula>-J130</calculatedColumnFormula>
    </tableColumn>
    <tableColumn id="9" name="2035" totalsRowFunction="sum" dataDxfId="1355" totalsRowDxfId="1354" dataCellStyle="Comma">
      <calculatedColumnFormula>-K130</calculatedColumnFormula>
    </tableColumn>
    <tableColumn id="10" name="2040" totalsRowFunction="sum" dataDxfId="1353" totalsRowDxfId="1352" dataCellStyle="Comma">
      <calculatedColumnFormula>-L130</calculatedColumnFormula>
    </tableColumn>
    <tableColumn id="11" name="2045" totalsRowFunction="sum" dataDxfId="1351" totalsRowDxfId="1350" dataCellStyle="Comma">
      <calculatedColumnFormula>-M130</calculatedColumnFormula>
    </tableColumn>
    <tableColumn id="12" name="2050" totalsRowFunction="sum" dataDxfId="1349" totalsRowDxfId="1348" dataCellStyle="Comma">
      <calculatedColumnFormula>-N130</calculatedColumnFormula>
    </tableColumn>
  </tableColumns>
  <tableStyleInfo name="EnergyCalcTables" showFirstColumn="0" showLastColumn="0" showRowStripes="1" showColumnStripes="0"/>
</table>
</file>

<file path=xl/tables/table97.xml><?xml version="1.0" encoding="utf-8"?>
<table xmlns="http://schemas.openxmlformats.org/spreadsheetml/2006/main" id="134" name="X.a.Emissions" displayName="X.a.Emissions" ref="C192:N196" totalsRowCount="1" headerRowDxfId="1347" headerRowBorderDxfId="1346">
  <autoFilter ref="C192:N195"/>
  <tableColumns count="12">
    <tableColumn id="1" name="GHG" totalsRowLabel="Total" dataDxfId="1345" totalsRowDxfId="1344"/>
    <tableColumn id="2" name="IPCC Sector" dataDxfId="1343" totalsRowDxfId="1342"/>
    <tableColumn id="3" name="Notes" dataDxfId="1341" totalsRowDxfId="1340"/>
    <tableColumn id="4" name="2013" totalsRowFunction="sum" totalsRowDxfId="1339">
      <calculatedColumnFormula>F156</calculatedColumnFormula>
    </tableColumn>
    <tableColumn id="5" name="2015" totalsRowFunction="sum" totalsRowDxfId="1338">
      <calculatedColumnFormula>G156</calculatedColumnFormula>
    </tableColumn>
    <tableColumn id="6" name="2020" totalsRowFunction="sum" totalsRowDxfId="1337">
      <calculatedColumnFormula>H156</calculatedColumnFormula>
    </tableColumn>
    <tableColumn id="7" name="2025" totalsRowFunction="sum" totalsRowDxfId="1336">
      <calculatedColumnFormula>I156</calculatedColumnFormula>
    </tableColumn>
    <tableColumn id="8" name="2030" totalsRowFunction="sum" totalsRowDxfId="1335">
      <calculatedColumnFormula>J156</calculatedColumnFormula>
    </tableColumn>
    <tableColumn id="9" name="2035" totalsRowFunction="sum" totalsRowDxfId="1334">
      <calculatedColumnFormula>K156</calculatedColumnFormula>
    </tableColumn>
    <tableColumn id="10" name="2040" totalsRowFunction="sum" totalsRowDxfId="1333">
      <calculatedColumnFormula>L156</calculatedColumnFormula>
    </tableColumn>
    <tableColumn id="11" name="2045" totalsRowFunction="sum" totalsRowDxfId="1332">
      <calculatedColumnFormula>M156</calculatedColumnFormula>
    </tableColumn>
    <tableColumn id="12" name="2050" totalsRowFunction="sum" totalsRowDxfId="1331">
      <calculatedColumnFormula>N156</calculatedColumnFormula>
    </tableColumn>
  </tableColumns>
  <tableStyleInfo name="EnergyCalcTables" showFirstColumn="0" showLastColumn="0" showRowStripes="1" showColumnStripes="0"/>
</table>
</file>

<file path=xl/tables/table98.xml><?xml version="1.0" encoding="utf-8"?>
<table xmlns="http://schemas.openxmlformats.org/spreadsheetml/2006/main" id="135" name="X.a.AQ" displayName="X.a.AQ" ref="C200:N204" totalsRowShown="0" headerRowDxfId="1330" dataDxfId="1328" headerRowBorderDxfId="1329" tableBorderDxfId="1327">
  <autoFilter ref="C200:N204"/>
  <tableColumns count="12">
    <tableColumn id="1" name="Vector" dataDxfId="1326"/>
    <tableColumn id="2" name="Name" dataDxfId="1325"/>
    <tableColumn id="3" name="IPCC Sector" dataDxfId="1324"/>
    <tableColumn id="4" name="2013" dataDxfId="1323"/>
    <tableColumn id="5" name="2015" dataDxfId="1322"/>
    <tableColumn id="6" name="2020" dataDxfId="1321"/>
    <tableColumn id="7" name="2025" dataDxfId="1320"/>
    <tableColumn id="8" name="2030" dataDxfId="1319"/>
    <tableColumn id="9" name="2035" dataDxfId="1318"/>
    <tableColumn id="10" name="2040" dataDxfId="1317"/>
    <tableColumn id="11" name="2045" dataDxfId="1316"/>
    <tableColumn id="12" name="2050" dataDxfId="1315"/>
  </tableColumns>
  <tableStyleInfo name="EnergyCalcTables" showFirstColumn="0" showLastColumn="0" showRowStripes="1" showColumnStripes="0"/>
</table>
</file>

<file path=xl/tables/table99.xml><?xml version="1.0" encoding="utf-8"?>
<table xmlns="http://schemas.openxmlformats.org/spreadsheetml/2006/main" id="21" name="X.b.Outputs" displayName="X.b.Outputs" ref="C152:N156" totalsRowCount="1" headerRowDxfId="1314" dataDxfId="1313" tableBorderDxfId="1312" dataCellStyle="Comma">
  <autoFilter ref="C152:N155"/>
  <tableColumns count="12">
    <tableColumn id="1" name="Vector" totalsRowLabel="Total" dataDxfId="1311" totalsRowDxfId="1310"/>
    <tableColumn id="2" name="Name" dataDxfId="1309" totalsRowDxfId="1308">
      <calculatedColumnFormula>INDEX(Vectors[Description], MATCH([Vector], Vectors[Code], 0))</calculatedColumnFormula>
    </tableColumn>
    <tableColumn id="3" name="Notes" dataDxfId="1307" totalsRowDxfId="1306"/>
    <tableColumn id="4" name="2013" totalsRowFunction="sum" dataDxfId="1305" totalsRowDxfId="1304" dataCellStyle="Comma">
      <calculatedColumnFormula>-F114</calculatedColumnFormula>
    </tableColumn>
    <tableColumn id="5" name="2015" totalsRowFunction="sum" dataDxfId="1303" totalsRowDxfId="1302" dataCellStyle="Comma">
      <calculatedColumnFormula>-G114</calculatedColumnFormula>
    </tableColumn>
    <tableColumn id="6" name="2020" totalsRowFunction="sum" dataDxfId="1301" totalsRowDxfId="1300" dataCellStyle="Comma">
      <calculatedColumnFormula>-H114</calculatedColumnFormula>
    </tableColumn>
    <tableColumn id="7" name="2025" totalsRowFunction="sum" dataDxfId="1299" totalsRowDxfId="1298" dataCellStyle="Comma">
      <calculatedColumnFormula>-I114</calculatedColumnFormula>
    </tableColumn>
    <tableColumn id="8" name="2030" totalsRowFunction="sum" dataDxfId="1297" totalsRowDxfId="1296" dataCellStyle="Comma">
      <calculatedColumnFormula>-J114</calculatedColumnFormula>
    </tableColumn>
    <tableColumn id="9" name="2035" totalsRowFunction="sum" dataDxfId="1295" totalsRowDxfId="1294" dataCellStyle="Comma">
      <calculatedColumnFormula>-K114</calculatedColumnFormula>
    </tableColumn>
    <tableColumn id="10" name="2040" totalsRowFunction="sum" dataDxfId="1293" totalsRowDxfId="1292" dataCellStyle="Comma">
      <calculatedColumnFormula>-L114</calculatedColumnFormula>
    </tableColumn>
    <tableColumn id="11" name="2045" totalsRowFunction="sum" dataDxfId="1291" totalsRowDxfId="1290" dataCellStyle="Comma">
      <calculatedColumnFormula>-M114</calculatedColumnFormula>
    </tableColumn>
    <tableColumn id="12" name="2050" totalsRowFunction="sum" dataDxfId="1289" totalsRowDxfId="1288" dataCellStyle="Comma">
      <calculatedColumnFormula>-N114</calculatedColumnFormula>
    </tableColumn>
  </tableColumns>
  <tableStyleInfo name="EnergyCalcTables" showFirstColumn="0" showLastColumn="0" showRowStripes="1" showColumnStripes="0"/>
</table>
</file>

<file path=xl/tables/table100.xml><?xml version="1.0" encoding="utf-8"?>
<table xmlns="http://schemas.openxmlformats.org/spreadsheetml/2006/main" id="136" name="X.b.Emissions" displayName="X.b.Emissions" ref="C163:N167" totalsRowCount="1" headerRowDxfId="1287" dataDxfId="1285" headerRowBorderDxfId="1286" dataCellStyle="Comma">
  <autoFilter ref="C163:N166"/>
  <tableColumns count="12">
    <tableColumn id="1" name="GHG" totalsRowLabel="Total" dataDxfId="1284" totalsRowDxfId="1283"/>
    <tableColumn id="2" name="IPCC Sector" dataDxfId="1282" totalsRowDxfId="1281"/>
    <tableColumn id="3" name="Notes" dataDxfId="1280" totalsRowDxfId="1279"/>
    <tableColumn id="4" name="2013" dataDxfId="1278" totalsRowDxfId="1277" dataCellStyle="Comma">
      <calculatedColumnFormula>F120</calculatedColumnFormula>
    </tableColumn>
    <tableColumn id="5" name="2015" dataDxfId="1276" totalsRowDxfId="1275" dataCellStyle="Comma">
      <calculatedColumnFormula>G120</calculatedColumnFormula>
    </tableColumn>
    <tableColumn id="6" name="2020" dataDxfId="1274" totalsRowDxfId="1273" dataCellStyle="Comma">
      <calculatedColumnFormula>H120</calculatedColumnFormula>
    </tableColumn>
    <tableColumn id="7" name="2025" dataDxfId="1272" totalsRowDxfId="1271" dataCellStyle="Comma">
      <calculatedColumnFormula>I120</calculatedColumnFormula>
    </tableColumn>
    <tableColumn id="8" name="2030" dataDxfId="1270" totalsRowDxfId="1269" dataCellStyle="Comma">
      <calculatedColumnFormula>J120</calculatedColumnFormula>
    </tableColumn>
    <tableColumn id="9" name="2035" dataDxfId="1268" totalsRowDxfId="1267" dataCellStyle="Comma">
      <calculatedColumnFormula>K120</calculatedColumnFormula>
    </tableColumn>
    <tableColumn id="10" name="2040" dataDxfId="1266" totalsRowDxfId="1265" dataCellStyle="Comma">
      <calculatedColumnFormula>L120</calculatedColumnFormula>
    </tableColumn>
    <tableColumn id="11" name="2045" dataDxfId="1264" totalsRowDxfId="1263" dataCellStyle="Comma">
      <calculatedColumnFormula>M120</calculatedColumnFormula>
    </tableColumn>
    <tableColumn id="12" name="2050" totalsRowFunction="sum" dataDxfId="1262" totalsRowDxfId="1261" dataCellStyle="Comma">
      <calculatedColumnFormula>N120</calculatedColumnFormula>
    </tableColumn>
  </tableColumns>
  <tableStyleInfo name="EnergyCalcTables" showFirstColumn="0" showLastColumn="0" showRowStripes="1" showColumnStripes="0"/>
</table>
</file>

<file path=xl/tables/table101.xml><?xml version="1.0" encoding="utf-8"?>
<table xmlns="http://schemas.openxmlformats.org/spreadsheetml/2006/main" id="137" name="X.b.AQ" displayName="X.b.AQ" ref="C171:N175" totalsRowShown="0" headerRowDxfId="1260" dataDxfId="1258" headerRowBorderDxfId="1259" tableBorderDxfId="1257">
  <autoFilter ref="C171:N175"/>
  <tableColumns count="12">
    <tableColumn id="1" name="Vector" dataDxfId="1256">
      <calculatedColumnFormula>INDEX(AirQualityVectors[Code],MATCH(D172,AirQualityVectors[Description],0))</calculatedColumnFormula>
    </tableColumn>
    <tableColumn id="2" name="Name" dataDxfId="1255"/>
    <tableColumn id="3" name="IPCC Sector" dataDxfId="1254"/>
    <tableColumn id="4" name="2013" dataDxfId="1253"/>
    <tableColumn id="5" name="2015" dataDxfId="1252"/>
    <tableColumn id="6" name="2020" dataDxfId="1251"/>
    <tableColumn id="7" name="2025" dataDxfId="1250"/>
    <tableColumn id="8" name="2030" dataDxfId="1249"/>
    <tableColumn id="9" name="2035" dataDxfId="1248"/>
    <tableColumn id="10" name="2040" dataDxfId="1247"/>
    <tableColumn id="11" name="2045" dataDxfId="1246"/>
    <tableColumn id="12" name="2050" dataDxfId="1245"/>
  </tableColumns>
  <tableStyleInfo name="EnergyCalcTables" showFirstColumn="0" showLastColumn="0" showRowStripes="1" showColumnStripes="0"/>
</table>
</file>

<file path=xl/tables/table102.xml><?xml version="1.0" encoding="utf-8"?>
<table xmlns="http://schemas.openxmlformats.org/spreadsheetml/2006/main" id="9" name="XI.a.Outputs" displayName="XI.a.Outputs" ref="C436:N443" totalsRowCount="1" headerRowDxfId="1244" dataDxfId="1243" tableBorderDxfId="1242" dataCellStyle="Comma">
  <autoFilter ref="C436:N442"/>
  <tableColumns count="12">
    <tableColumn id="1" name="Vector" totalsRowLabel="Total" dataDxfId="1241" totalsRowDxfId="1240"/>
    <tableColumn id="2" name="Name" dataDxfId="1239" totalsRowDxfId="1238">
      <calculatedColumnFormula>INDEX(Vectors[Description], MATCH([Vector], Vectors[Code], 0))</calculatedColumnFormula>
    </tableColumn>
    <tableColumn id="3" name="Notes" dataDxfId="1237" totalsRowDxfId="1236"/>
    <tableColumn id="4" name="2013" totalsRowFunction="sum" dataDxfId="1235" totalsRowDxfId="1234" dataCellStyle="Comma">
      <calculatedColumnFormula>-F239</calculatedColumnFormula>
    </tableColumn>
    <tableColumn id="5" name="2015" totalsRowFunction="sum" dataDxfId="1233" totalsRowDxfId="1232" dataCellStyle="Comma">
      <calculatedColumnFormula>-G239</calculatedColumnFormula>
    </tableColumn>
    <tableColumn id="6" name="2020" totalsRowFunction="sum" dataDxfId="1231" totalsRowDxfId="1230" dataCellStyle="Comma">
      <calculatedColumnFormula>-H239</calculatedColumnFormula>
    </tableColumn>
    <tableColumn id="7" name="2025" totalsRowFunction="sum" dataDxfId="1229" totalsRowDxfId="1228" dataCellStyle="Comma">
      <calculatedColumnFormula>-I239</calculatedColumnFormula>
    </tableColumn>
    <tableColumn id="8" name="2030" totalsRowFunction="sum" dataDxfId="1227" totalsRowDxfId="1226" dataCellStyle="Comma">
      <calculatedColumnFormula>-J239</calculatedColumnFormula>
    </tableColumn>
    <tableColumn id="9" name="2035" totalsRowFunction="sum" dataDxfId="1225" totalsRowDxfId="1224" dataCellStyle="Comma">
      <calculatedColumnFormula>-K239</calculatedColumnFormula>
    </tableColumn>
    <tableColumn id="10" name="2040" totalsRowFunction="sum" dataDxfId="1223" totalsRowDxfId="1222" dataCellStyle="Comma">
      <calculatedColumnFormula>-L239</calculatedColumnFormula>
    </tableColumn>
    <tableColumn id="11" name="2045" totalsRowFunction="sum" dataDxfId="1221" totalsRowDxfId="1220" dataCellStyle="Comma">
      <calculatedColumnFormula>-M239</calculatedColumnFormula>
    </tableColumn>
    <tableColumn id="12" name="2050" totalsRowFunction="sum" dataDxfId="1219" totalsRowDxfId="1218" dataCellStyle="Comma">
      <calculatedColumnFormula>-N239</calculatedColumnFormula>
    </tableColumn>
  </tableColumns>
  <tableStyleInfo name="EnergyCalcTables" showFirstColumn="0" showLastColumn="0" showRowStripes="1" showColumnStripes="0"/>
</table>
</file>

<file path=xl/tables/table103.xml><?xml version="1.0" encoding="utf-8"?>
<table xmlns="http://schemas.openxmlformats.org/spreadsheetml/2006/main" id="140" name="XI.a.Emissions" displayName="XI.a.Emissions" ref="C450:N459" totalsRowCount="1" headerRowDxfId="1217" dataDxfId="1215" headerRowBorderDxfId="1216">
  <autoFilter ref="C450:N458"/>
  <tableColumns count="12">
    <tableColumn id="1" name="GHG" totalsRowLabel="Total" dataDxfId="1214" totalsRowDxfId="1213"/>
    <tableColumn id="2" name="IPCC Sector" dataDxfId="1212" totalsRowDxfId="1211"/>
    <tableColumn id="3" name="Notes" dataDxfId="1210" totalsRowDxfId="1209">
      <calculatedColumnFormula>INDEX(IPCC[Sector_description], MATCH([IPCC Sector], IPCC[Sector_code], 0))</calculatedColumnFormula>
    </tableColumn>
    <tableColumn id="4" name="2013" totalsRowFunction="sum" dataDxfId="1208" totalsRowDxfId="1207"/>
    <tableColumn id="5" name="2015" totalsRowFunction="sum" dataDxfId="1206" totalsRowDxfId="1205"/>
    <tableColumn id="6" name="2020" totalsRowFunction="sum" dataDxfId="1204" totalsRowDxfId="1203"/>
    <tableColumn id="7" name="2025" totalsRowFunction="sum" dataDxfId="1202" totalsRowDxfId="1201"/>
    <tableColumn id="8" name="2030" totalsRowFunction="sum" dataDxfId="1200" totalsRowDxfId="1199"/>
    <tableColumn id="9" name="2035" totalsRowFunction="sum" dataDxfId="1198" totalsRowDxfId="1197"/>
    <tableColumn id="10" name="2040" totalsRowFunction="sum" dataDxfId="1196" totalsRowDxfId="1195"/>
    <tableColumn id="11" name="2045" totalsRowFunction="sum" dataDxfId="1194" totalsRowDxfId="1193"/>
    <tableColumn id="12" name="2050" totalsRowFunction="sum" dataDxfId="1192" totalsRowDxfId="1191"/>
  </tableColumns>
  <tableStyleInfo name="EnergyCalcTables" showFirstColumn="0" showLastColumn="0" showRowStripes="1" showColumnStripes="0"/>
</table>
</file>

<file path=xl/tables/table104.xml><?xml version="1.0" encoding="utf-8"?>
<table xmlns="http://schemas.openxmlformats.org/spreadsheetml/2006/main" id="141" name="XI.a.Combustion.AQ" displayName="XI.a.Combustion.AQ" ref="C463:N467" totalsRowShown="0" headerRowDxfId="1190" dataDxfId="1188" headerRowBorderDxfId="1189" tableBorderDxfId="1187">
  <autoFilter ref="C463:N467"/>
  <tableColumns count="12">
    <tableColumn id="1" name="Vector" dataDxfId="1186">
      <calculatedColumnFormula>INDEX(AirQualityVectors[Code],MATCH(D464,AirQualityVectors[Description],0))</calculatedColumnFormula>
    </tableColumn>
    <tableColumn id="2" name="Name" dataDxfId="1185"/>
    <tableColumn id="3" name="IPCC Sector" dataDxfId="1184"/>
    <tableColumn id="4" name="2013" dataDxfId="1183">
      <calculatedColumnFormula>F355</calculatedColumnFormula>
    </tableColumn>
    <tableColumn id="5" name="2015" dataDxfId="1182">
      <calculatedColumnFormula>G355</calculatedColumnFormula>
    </tableColumn>
    <tableColumn id="6" name="2020" dataDxfId="1181">
      <calculatedColumnFormula>H355</calculatedColumnFormula>
    </tableColumn>
    <tableColumn id="7" name="2025" dataDxfId="1180">
      <calculatedColumnFormula>I355</calculatedColumnFormula>
    </tableColumn>
    <tableColumn id="8" name="2030" dataDxfId="1179">
      <calculatedColumnFormula>J355</calculatedColumnFormula>
    </tableColumn>
    <tableColumn id="9" name="2035" dataDxfId="1178">
      <calculatedColumnFormula>K355</calculatedColumnFormula>
    </tableColumn>
    <tableColumn id="10" name="2040" dataDxfId="1177">
      <calculatedColumnFormula>L355</calculatedColumnFormula>
    </tableColumn>
    <tableColumn id="11" name="2045" dataDxfId="1176">
      <calculatedColumnFormula>M355</calculatedColumnFormula>
    </tableColumn>
    <tableColumn id="12" name="2050" dataDxfId="1175">
      <calculatedColumnFormula>N355</calculatedColumnFormula>
    </tableColumn>
  </tableColumns>
  <tableStyleInfo name="EnergyCalcTables" showFirstColumn="0" showLastColumn="0" showRowStripes="1" showColumnStripes="0"/>
</table>
</file>

<file path=xl/tables/table105.xml><?xml version="1.0" encoding="utf-8"?>
<table xmlns="http://schemas.openxmlformats.org/spreadsheetml/2006/main" id="142" name="XI.a.Process.AQ" displayName="XI.a.Process.AQ" ref="C471:N475" totalsRowShown="0" headerRowDxfId="1174" dataDxfId="1172" headerRowBorderDxfId="1173" tableBorderDxfId="1171">
  <autoFilter ref="C471:N475"/>
  <tableColumns count="12">
    <tableColumn id="1" name="Vector" dataDxfId="1170">
      <calculatedColumnFormula>INDEX(AirQualityVectors[Code],MATCH(D472,AirQualityVectors[Description],0))</calculatedColumnFormula>
    </tableColumn>
    <tableColumn id="2" name="Name" dataDxfId="1169"/>
    <tableColumn id="3" name="IPCC Sector" dataDxfId="1168"/>
    <tableColumn id="4" name="2013" dataDxfId="1167"/>
    <tableColumn id="5" name="2015" dataDxfId="1166"/>
    <tableColumn id="6" name="2020" dataDxfId="1165"/>
    <tableColumn id="7" name="2025" dataDxfId="1164"/>
    <tableColumn id="8" name="2030" dataDxfId="1163"/>
    <tableColumn id="9" name="2035" dataDxfId="1162"/>
    <tableColumn id="10" name="2040" dataDxfId="1161"/>
    <tableColumn id="11" name="2045" dataDxfId="1160"/>
    <tableColumn id="12" name="2050" dataDxfId="1159"/>
  </tableColumns>
  <tableStyleInfo name="EnergyCalcTables" showFirstColumn="0" showLastColumn="0" showRowStripes="1" showColumnStripes="0"/>
</table>
</file>

<file path=xl/tables/table106.xml><?xml version="1.0" encoding="utf-8"?>
<table xmlns="http://schemas.openxmlformats.org/spreadsheetml/2006/main" id="23" name="XII.a.Outputs" displayName="XII.a.Outputs" ref="C732:N739" totalsRowCount="1" headerRowDxfId="1157" dataDxfId="1156" tableBorderDxfId="1155" dataCellStyle="Comma">
  <autoFilter ref="C732:N738"/>
  <tableColumns count="12">
    <tableColumn id="1" name="Vector" totalsRowLabel="Total" dataDxfId="1154" totalsRowDxfId="1153"/>
    <tableColumn id="2" name="Name" dataDxfId="1152" totalsRowDxfId="1151">
      <calculatedColumnFormula>INDEX(Vectors[Description], MATCH([Vector], Vectors[Code], 0))</calculatedColumnFormula>
    </tableColumn>
    <tableColumn id="3" name="Notes" dataDxfId="1150" totalsRowDxfId="1149"/>
    <tableColumn id="4" name="2013" totalsRowFunction="sum" dataDxfId="1148" totalsRowDxfId="1147" dataCellStyle="Comma"/>
    <tableColumn id="5" name="2015" totalsRowFunction="sum" dataDxfId="1146" totalsRowDxfId="1145" dataCellStyle="Comma"/>
    <tableColumn id="6" name="2020" totalsRowFunction="sum" dataDxfId="1144" totalsRowDxfId="1143" dataCellStyle="Comma"/>
    <tableColumn id="7" name="2025" totalsRowFunction="sum" dataDxfId="1142" totalsRowDxfId="1141" dataCellStyle="Comma"/>
    <tableColumn id="8" name="2030" totalsRowFunction="sum" dataDxfId="1140" totalsRowDxfId="1139" dataCellStyle="Comma"/>
    <tableColumn id="9" name="2035" totalsRowFunction="sum" dataDxfId="1138" totalsRowDxfId="1137" dataCellStyle="Comma"/>
    <tableColumn id="10" name="2040" totalsRowFunction="sum" dataDxfId="1136" totalsRowDxfId="1135" dataCellStyle="Comma"/>
    <tableColumn id="11" name="2045" totalsRowFunction="sum" dataDxfId="1134" totalsRowDxfId="1133" dataCellStyle="Comma"/>
    <tableColumn id="12" name="2050" totalsRowFunction="sum" dataDxfId="1132" totalsRowDxfId="1131" dataCellStyle="Comma"/>
  </tableColumns>
  <tableStyleInfo name="EnergyCalcTables" showFirstColumn="0" showLastColumn="0" showRowStripes="1" showColumnStripes="0"/>
</table>
</file>

<file path=xl/tables/table107.xml><?xml version="1.0" encoding="utf-8"?>
<table xmlns="http://schemas.openxmlformats.org/spreadsheetml/2006/main" id="33" name="EF.XII.a.PM10" displayName="EF.XII.a.PM10" ref="C169:N180" totalsRowShown="0" headerRowDxfId="1130" dataDxfId="1128" headerRowBorderDxfId="1129" dataCellStyle="Comma">
  <autoFilter ref="C169:N180"/>
  <tableColumns count="12">
    <tableColumn id="1" name="Code" dataDxfId="1127"/>
    <tableColumn id="2" name="Mode" dataDxfId="1126"/>
    <tableColumn id="3" name="Technology" dataDxfId="1125"/>
    <tableColumn id="4" name="2013" dataDxfId="1124" dataCellStyle="Comma 3"/>
    <tableColumn id="5" name="2015" dataDxfId="1123" dataCellStyle="Comma 3"/>
    <tableColumn id="6" name="2020" dataDxfId="1122" dataCellStyle="Comma 3"/>
    <tableColumn id="7" name="2025" dataDxfId="1121" dataCellStyle="Comma 3"/>
    <tableColumn id="8" name="2030" dataDxfId="1120" dataCellStyle="Comma 3"/>
    <tableColumn id="9" name="2035" dataDxfId="1119" dataCellStyle="Comma 3"/>
    <tableColumn id="10" name="2040" dataDxfId="1118" dataCellStyle="Comma 3"/>
    <tableColumn id="11" name="2045" dataDxfId="1117" dataCellStyle="Comma 3"/>
    <tableColumn id="12" name="2050" dataDxfId="1116" dataCellStyle="Comma 3"/>
  </tableColumns>
  <tableStyleInfo name="EnergyCalcTables" showFirstColumn="0" showLastColumn="0" showRowStripes="1" showColumnStripes="0"/>
</table>
</file>

<file path=xl/tables/table108.xml><?xml version="1.0" encoding="utf-8"?>
<table xmlns="http://schemas.openxmlformats.org/spreadsheetml/2006/main" id="36" name="EF.XII.a.NOX" displayName="EF.XII.a.NOX" ref="C184:N195" totalsRowShown="0" headerRowDxfId="1115" dataDxfId="1113" headerRowBorderDxfId="1114" dataCellStyle="Comma">
  <autoFilter ref="C184:N195"/>
  <tableColumns count="12">
    <tableColumn id="1" name="Code" dataDxfId="1112"/>
    <tableColumn id="2" name="Mode" dataDxfId="1111"/>
    <tableColumn id="3" name="Technology" dataDxfId="1110"/>
    <tableColumn id="4" name="2013" dataDxfId="1109" dataCellStyle="Comma 3"/>
    <tableColumn id="5" name="2015" dataDxfId="1108" dataCellStyle="Comma 3"/>
    <tableColumn id="6" name="2020" dataDxfId="1107" dataCellStyle="Comma 3"/>
    <tableColumn id="7" name="2025" dataDxfId="1106" dataCellStyle="Comma 3"/>
    <tableColumn id="8" name="2030" dataDxfId="1105" dataCellStyle="Comma 3"/>
    <tableColumn id="9" name="2035" dataDxfId="1104" dataCellStyle="Comma 3"/>
    <tableColumn id="10" name="2040" dataDxfId="1103" dataCellStyle="Comma 3"/>
    <tableColumn id="11" name="2045" dataDxfId="1102" dataCellStyle="Comma 3"/>
    <tableColumn id="12" name="2050" dataDxfId="1101" dataCellStyle="Comma 3"/>
  </tableColumns>
  <tableStyleInfo name="EnergyCalcTables" showFirstColumn="0" showLastColumn="0" showRowStripes="1" showColumnStripes="0"/>
</table>
</file>

<file path=xl/tables/table109.xml><?xml version="1.0" encoding="utf-8"?>
<table xmlns="http://schemas.openxmlformats.org/spreadsheetml/2006/main" id="42" name="EF.XII.a.SO2" displayName="EF.XII.a.SO2" ref="C199:N210" totalsRowShown="0" headerRowDxfId="1100" dataDxfId="1098" headerRowBorderDxfId="1099" dataCellStyle="Comma">
  <autoFilter ref="C199:N210"/>
  <tableColumns count="12">
    <tableColumn id="1" name="Code" dataDxfId="1097"/>
    <tableColumn id="2" name="Mode" dataDxfId="1096"/>
    <tableColumn id="3" name="Technology" dataDxfId="1095"/>
    <tableColumn id="4" name="2013" dataDxfId="1094" dataCellStyle="Comma 3"/>
    <tableColumn id="5" name="2015" dataDxfId="1093" dataCellStyle="Comma 3"/>
    <tableColumn id="6" name="2020" dataDxfId="1092" dataCellStyle="Comma 3"/>
    <tableColumn id="7" name="2025" dataDxfId="1091" dataCellStyle="Comma 3"/>
    <tableColumn id="8" name="2030" dataDxfId="1090" dataCellStyle="Comma 3"/>
    <tableColumn id="9" name="2035" dataDxfId="1089" dataCellStyle="Comma 3"/>
    <tableColumn id="10" name="2040" dataDxfId="1088" dataCellStyle="Comma 3"/>
    <tableColumn id="11" name="2045" dataDxfId="1087" dataCellStyle="Comma 3"/>
    <tableColumn id="12" name="2050" dataDxfId="1086" dataCellStyle="Comma 3"/>
  </tableColumns>
  <tableStyleInfo name="EnergyCalcTables" showFirstColumn="0" showLastColumn="0" showRowStripes="1" showColumnStripes="0"/>
</table>
</file>

<file path=xl/tables/table110.xml><?xml version="1.0" encoding="utf-8"?>
<table xmlns="http://schemas.openxmlformats.org/spreadsheetml/2006/main" id="43" name="EF.XII.a.NMVOC" displayName="EF.XII.a.NMVOC" ref="C214:N225" totalsRowShown="0" headerRowDxfId="1085" dataDxfId="1083" headerRowBorderDxfId="1084" dataCellStyle="Comma">
  <autoFilter ref="C214:N225"/>
  <tableColumns count="12">
    <tableColumn id="1" name="Code" dataDxfId="1082"/>
    <tableColumn id="2" name="Mode" dataDxfId="1081"/>
    <tableColumn id="3" name="Technology" dataDxfId="1080"/>
    <tableColumn id="4" name="2013" dataDxfId="1079" dataCellStyle="Comma 3"/>
    <tableColumn id="5" name="2015" dataDxfId="1078" dataCellStyle="Comma 3"/>
    <tableColumn id="6" name="2020" dataDxfId="1077" dataCellStyle="Comma 3"/>
    <tableColumn id="7" name="2025" dataDxfId="1076" dataCellStyle="Comma 3"/>
    <tableColumn id="8" name="2030" dataDxfId="1075" dataCellStyle="Comma 3"/>
    <tableColumn id="9" name="2035" dataDxfId="1074" dataCellStyle="Comma 3"/>
    <tableColumn id="10" name="2040" dataDxfId="1073" dataCellStyle="Comma 3"/>
    <tableColumn id="11" name="2045" dataDxfId="1072" dataCellStyle="Comma 3"/>
    <tableColumn id="12" name="2050" dataDxfId="1071" dataCellStyle="Comma 3"/>
  </tableColumns>
  <tableStyleInfo name="EnergyCalcTables" showFirstColumn="0" showLastColumn="0" showRowStripes="1" showColumnStripes="0"/>
</table>
</file>

<file path=xl/tables/table111.xml><?xml version="1.0" encoding="utf-8"?>
<table xmlns="http://schemas.openxmlformats.org/spreadsheetml/2006/main" id="44" name="XII.a.Road.Outputs" displayName="XII.a.Road.Outputs" ref="C743:N748" totalsRowCount="1" headerRowDxfId="1070" dataDxfId="1069" dataCellStyle="Comma">
  <autoFilter ref="C743:N747"/>
  <tableColumns count="12">
    <tableColumn id="1" name="Vector" totalsRowLabel="Total" dataDxfId="1068" totalsRowDxfId="1067"/>
    <tableColumn id="2" name="Name" dataDxfId="1066" totalsRowDxfId="1065">
      <calculatedColumnFormula>INDEX(Vectors[Description], MATCH([Vector], Vectors[Code], 0))</calculatedColumnFormula>
    </tableColumn>
    <tableColumn id="3" name="Notes" dataDxfId="1064" totalsRowDxfId="1063"/>
    <tableColumn id="4" name="2013" totalsRowFunction="sum" dataDxfId="1062" totalsRowDxfId="1061" dataCellStyle="Comma"/>
    <tableColumn id="5" name="2015" totalsRowFunction="sum" dataDxfId="1060" totalsRowDxfId="1059" dataCellStyle="Comma"/>
    <tableColumn id="6" name="2020" totalsRowFunction="sum" dataDxfId="1058" totalsRowDxfId="1057" dataCellStyle="Comma"/>
    <tableColumn id="7" name="2025" totalsRowFunction="sum" dataDxfId="1056" totalsRowDxfId="1055" dataCellStyle="Comma"/>
    <tableColumn id="8" name="2030" totalsRowFunction="sum" dataDxfId="1054" totalsRowDxfId="1053" dataCellStyle="Comma"/>
    <tableColumn id="9" name="2035" totalsRowFunction="sum" dataDxfId="1052" totalsRowDxfId="1051" dataCellStyle="Comma"/>
    <tableColumn id="10" name="2040" totalsRowFunction="sum" dataDxfId="1050" totalsRowDxfId="1049" dataCellStyle="Comma"/>
    <tableColumn id="11" name="2045" totalsRowFunction="sum" dataDxfId="1048" totalsRowDxfId="1047" dataCellStyle="Comma"/>
    <tableColumn id="12" name="2050" totalsRowFunction="sum" dataDxfId="1046" totalsRowDxfId="1045" dataCellStyle="Comma"/>
  </tableColumns>
  <tableStyleInfo name="EnergyCalcTables" showFirstColumn="0" showLastColumn="0" showRowStripes="1" showColumnStripes="0"/>
</table>
</file>

<file path=xl/tables/table112.xml><?xml version="1.0" encoding="utf-8"?>
<table xmlns="http://schemas.openxmlformats.org/spreadsheetml/2006/main" id="45" name="XII.a.Rail.Outputs" displayName="XII.a.Rail.Outputs" ref="C752:N757" totalsRowCount="1" headerRowDxfId="1044" dataDxfId="1043" dataCellStyle="Comma">
  <autoFilter ref="C752:N756"/>
  <tableColumns count="12">
    <tableColumn id="1" name="Vector" totalsRowLabel="Total" dataDxfId="1042" totalsRowDxfId="1041"/>
    <tableColumn id="2" name="Name" dataDxfId="1040" totalsRowDxfId="1039">
      <calculatedColumnFormula>INDEX(Vectors[Description], MATCH([Vector], Vectors[Code], 0))</calculatedColumnFormula>
    </tableColumn>
    <tableColumn id="3" name="Notes" dataDxfId="1038" totalsRowDxfId="1037"/>
    <tableColumn id="4" name="2013" totalsRowFunction="sum" dataDxfId="1036" totalsRowDxfId="1035" dataCellStyle="Comma"/>
    <tableColumn id="5" name="2015" totalsRowFunction="sum" dataDxfId="1034" totalsRowDxfId="1033" dataCellStyle="Comma"/>
    <tableColumn id="6" name="2020" totalsRowFunction="sum" dataDxfId="1032" totalsRowDxfId="1031" dataCellStyle="Comma"/>
    <tableColumn id="7" name="2025" totalsRowFunction="sum" dataDxfId="1030" totalsRowDxfId="1029" dataCellStyle="Comma"/>
    <tableColumn id="8" name="2030" totalsRowFunction="sum" dataDxfId="1028" totalsRowDxfId="1027" dataCellStyle="Comma"/>
    <tableColumn id="9" name="2035" totalsRowFunction="sum" dataDxfId="1026" totalsRowDxfId="1025" dataCellStyle="Comma"/>
    <tableColumn id="10" name="2040" totalsRowFunction="sum" dataDxfId="1024" totalsRowDxfId="1023" dataCellStyle="Comma"/>
    <tableColumn id="11" name="2045" totalsRowFunction="sum" dataDxfId="1022" totalsRowDxfId="1021" dataCellStyle="Comma"/>
    <tableColumn id="12" name="2050" totalsRowFunction="sum" dataDxfId="1020" totalsRowDxfId="1019" dataCellStyle="Comma"/>
  </tableColumns>
  <tableStyleInfo name="EnergyCalcTables" showFirstColumn="0" showLastColumn="0" showRowStripes="1" showColumnStripes="0"/>
</table>
</file>

<file path=xl/tables/table113.xml><?xml version="1.0" encoding="utf-8"?>
<table xmlns="http://schemas.openxmlformats.org/spreadsheetml/2006/main" id="46" name="XII.a.Aviation.Outputs" displayName="XII.a.Aviation.Outputs" ref="C761:N766" totalsRowCount="1" headerRowDxfId="1018" dataDxfId="1017" dataCellStyle="Comma">
  <autoFilter ref="C761:N765"/>
  <tableColumns count="12">
    <tableColumn id="1" name="Vector" totalsRowLabel="Total" dataDxfId="1016" totalsRowDxfId="1015"/>
    <tableColumn id="2" name="Name" dataDxfId="1014" totalsRowDxfId="1013">
      <calculatedColumnFormula>INDEX(Vectors[Description], MATCH([Vector], Vectors[Code], 0))</calculatedColumnFormula>
    </tableColumn>
    <tableColumn id="3" name="Notes" dataDxfId="1012" totalsRowDxfId="1011"/>
    <tableColumn id="4" name="2013" totalsRowFunction="sum" dataDxfId="1010" totalsRowDxfId="1009" dataCellStyle="Comma"/>
    <tableColumn id="5" name="2015" totalsRowFunction="sum" dataDxfId="1008" totalsRowDxfId="1007" dataCellStyle="Comma"/>
    <tableColumn id="6" name="2020" totalsRowFunction="sum" dataDxfId="1006" totalsRowDxfId="1005" dataCellStyle="Comma"/>
    <tableColumn id="7" name="2025" totalsRowFunction="sum" dataDxfId="1004" totalsRowDxfId="1003" dataCellStyle="Comma"/>
    <tableColumn id="8" name="2030" totalsRowFunction="sum" dataDxfId="1002" totalsRowDxfId="1001" dataCellStyle="Comma"/>
    <tableColumn id="9" name="2035" totalsRowFunction="sum" dataDxfId="1000" totalsRowDxfId="999" dataCellStyle="Comma"/>
    <tableColumn id="10" name="2040" totalsRowFunction="sum" dataDxfId="998" totalsRowDxfId="997" dataCellStyle="Comma"/>
    <tableColumn id="11" name="2045" totalsRowFunction="sum" dataDxfId="996" totalsRowDxfId="995" dataCellStyle="Comma"/>
    <tableColumn id="12" name="2050" totalsRowFunction="sum" dataDxfId="994" totalsRowDxfId="993" dataCellStyle="Comma"/>
  </tableColumns>
  <tableStyleInfo name="EnergyCalcTables" showFirstColumn="0" showLastColumn="0" showRowStripes="1" showColumnStripes="0"/>
</table>
</file>

<file path=xl/tables/table114.xml><?xml version="1.0" encoding="utf-8"?>
<table xmlns="http://schemas.openxmlformats.org/spreadsheetml/2006/main" id="47" name="XII.a.Emissions" displayName="XII.a.Emissions" ref="C773:N777" totalsRowCount="1" headerRowDxfId="992" dataDxfId="990" headerRowBorderDxfId="991" dataCellStyle="Comma">
  <autoFilter ref="C773:N776"/>
  <tableColumns count="12">
    <tableColumn id="1" name="GHG" totalsRowLabel="Total" dataDxfId="989" totalsRowDxfId="988"/>
    <tableColumn id="2" name="IPCC Sector" dataDxfId="987" totalsRowDxfId="986"/>
    <tableColumn id="3" name="Notes" dataDxfId="985" totalsRowDxfId="984"/>
    <tableColumn id="4" name="2013" totalsRowFunction="sum" dataDxfId="983" totalsRowDxfId="982" dataCellStyle="Comma">
      <calculatedColumnFormula>F724</calculatedColumnFormula>
    </tableColumn>
    <tableColumn id="5" name="2015" totalsRowFunction="sum" dataDxfId="981" totalsRowDxfId="980" dataCellStyle="Comma"/>
    <tableColumn id="6" name="2020" totalsRowFunction="sum" dataDxfId="979" totalsRowDxfId="978" dataCellStyle="Comma"/>
    <tableColumn id="7" name="2025" totalsRowFunction="sum" dataDxfId="977" totalsRowDxfId="976" dataCellStyle="Comma"/>
    <tableColumn id="8" name="2030" totalsRowFunction="sum" dataDxfId="975" totalsRowDxfId="974" dataCellStyle="Comma"/>
    <tableColumn id="9" name="2035" totalsRowFunction="sum" dataDxfId="973" totalsRowDxfId="972" dataCellStyle="Comma"/>
    <tableColumn id="10" name="2040" totalsRowFunction="sum" dataDxfId="971" totalsRowDxfId="970" dataCellStyle="Comma"/>
    <tableColumn id="11" name="2045" totalsRowFunction="sum" dataDxfId="969" totalsRowDxfId="968" dataCellStyle="Comma"/>
    <tableColumn id="12" name="2050" totalsRowFunction="sum" dataDxfId="967" totalsRowDxfId="966" dataCellStyle="Comma"/>
  </tableColumns>
  <tableStyleInfo name="EnergyCalcTables" showFirstColumn="0" showLastColumn="0" showRowStripes="1" showColumnStripes="0"/>
</table>
</file>

<file path=xl/tables/table115.xml><?xml version="1.0" encoding="utf-8"?>
<table xmlns="http://schemas.openxmlformats.org/spreadsheetml/2006/main" id="48" name="XII.a.road.Emissions" displayName="XII.a.road.Emissions" ref="C781:N785" totalsRowCount="1" headerRowDxfId="965" dataDxfId="963" headerRowBorderDxfId="964" dataCellStyle="Comma">
  <autoFilter ref="C781:N784"/>
  <tableColumns count="12">
    <tableColumn id="1" name="GHG" totalsRowLabel="Total" dataDxfId="962" totalsRowDxfId="961"/>
    <tableColumn id="2" name="IPCC Sector" dataDxfId="960" totalsRowDxfId="959"/>
    <tableColumn id="3" name="Notes" dataDxfId="958" totalsRowDxfId="957"/>
    <tableColumn id="4" name="2013" totalsRowFunction="sum" dataDxfId="956" totalsRowDxfId="955" dataCellStyle="Comma">
      <calculatedColumnFormula>F774*(F$745/F$736)</calculatedColumnFormula>
    </tableColumn>
    <tableColumn id="5" name="2015" totalsRowFunction="sum" dataDxfId="954" totalsRowDxfId="953" dataCellStyle="Comma">
      <calculatedColumnFormula>G774*(G$745/G$736)</calculatedColumnFormula>
    </tableColumn>
    <tableColumn id="6" name="2020" totalsRowFunction="sum" dataDxfId="952" totalsRowDxfId="951" dataCellStyle="Comma">
      <calculatedColumnFormula>H774*(H$745/H$736)</calculatedColumnFormula>
    </tableColumn>
    <tableColumn id="7" name="2025" totalsRowFunction="sum" dataDxfId="950" totalsRowDxfId="949" dataCellStyle="Comma">
      <calculatedColumnFormula>I774*(I$745/I$736)</calculatedColumnFormula>
    </tableColumn>
    <tableColumn id="8" name="2030" totalsRowFunction="sum" dataDxfId="948" totalsRowDxfId="947" dataCellStyle="Comma">
      <calculatedColumnFormula>J774*(J$745/J$736)</calculatedColumnFormula>
    </tableColumn>
    <tableColumn id="9" name="2035" totalsRowFunction="sum" dataDxfId="946" totalsRowDxfId="945" dataCellStyle="Comma">
      <calculatedColumnFormula>K774*(K$745/K$736)</calculatedColumnFormula>
    </tableColumn>
    <tableColumn id="10" name="2040" totalsRowFunction="sum" dataDxfId="944" totalsRowDxfId="943" dataCellStyle="Comma">
      <calculatedColumnFormula>L774*(L$745/L$736)</calculatedColumnFormula>
    </tableColumn>
    <tableColumn id="11" name="2045" totalsRowFunction="sum" dataDxfId="942" totalsRowDxfId="941" dataCellStyle="Comma">
      <calculatedColumnFormula>M774*(M$745/M$736)</calculatedColumnFormula>
    </tableColumn>
    <tableColumn id="12" name="2050" totalsRowFunction="sum" dataDxfId="940" totalsRowDxfId="939" dataCellStyle="Comma">
      <calculatedColumnFormula>N774*(N$745/N$736)</calculatedColumnFormula>
    </tableColumn>
  </tableColumns>
  <tableStyleInfo name="EnergyCalcTables" showFirstColumn="0" showLastColumn="0" showRowStripes="1" showColumnStripes="0"/>
</table>
</file>

<file path=xl/tables/table116.xml><?xml version="1.0" encoding="utf-8"?>
<table xmlns="http://schemas.openxmlformats.org/spreadsheetml/2006/main" id="49" name="XII.a.Rail.Emissions" displayName="XII.a.Rail.Emissions" ref="C789:N793" totalsRowCount="1" headerRowDxfId="938" dataDxfId="936" headerRowBorderDxfId="937" dataCellStyle="Comma">
  <autoFilter ref="C789:N792"/>
  <tableColumns count="12">
    <tableColumn id="1" name="GHG" totalsRowLabel="Total" dataDxfId="935" totalsRowDxfId="934"/>
    <tableColumn id="2" name="IPCC Sector" dataDxfId="933" totalsRowDxfId="932"/>
    <tableColumn id="3" name="Notes" dataDxfId="931" totalsRowDxfId="930"/>
    <tableColumn id="4" name="2013" totalsRowFunction="sum" dataDxfId="929" totalsRowDxfId="928" dataCellStyle="Comma">
      <calculatedColumnFormula>F774*(F$754/F$736)</calculatedColumnFormula>
    </tableColumn>
    <tableColumn id="5" name="2015" totalsRowFunction="sum" dataDxfId="927" totalsRowDxfId="926" dataCellStyle="Comma">
      <calculatedColumnFormula>G774*(G$754/G$736)</calculatedColumnFormula>
    </tableColumn>
    <tableColumn id="6" name="2020" totalsRowFunction="sum" dataDxfId="925" totalsRowDxfId="924" dataCellStyle="Comma">
      <calculatedColumnFormula>H774*(H$754/H$736)</calculatedColumnFormula>
    </tableColumn>
    <tableColumn id="7" name="2025" totalsRowFunction="sum" dataDxfId="923" totalsRowDxfId="922" dataCellStyle="Comma">
      <calculatedColumnFormula>I774*(I$754/I$736)</calculatedColumnFormula>
    </tableColumn>
    <tableColumn id="8" name="2030" totalsRowFunction="sum" dataDxfId="921" totalsRowDxfId="920" dataCellStyle="Comma">
      <calculatedColumnFormula>J774*(J$754/J$736)</calculatedColumnFormula>
    </tableColumn>
    <tableColumn id="9" name="2035" totalsRowFunction="sum" dataDxfId="919" totalsRowDxfId="918" dataCellStyle="Comma">
      <calculatedColumnFormula>K774*(K$754/K$736)</calculatedColumnFormula>
    </tableColumn>
    <tableColumn id="10" name="2040" totalsRowFunction="sum" dataDxfId="917" totalsRowDxfId="916" dataCellStyle="Comma">
      <calculatedColumnFormula>L774*(L$754/L$736)</calculatedColumnFormula>
    </tableColumn>
    <tableColumn id="11" name="2045" totalsRowFunction="sum" dataDxfId="915" totalsRowDxfId="914" dataCellStyle="Comma">
      <calculatedColumnFormula>M774*(M$754/M$736)</calculatedColumnFormula>
    </tableColumn>
    <tableColumn id="12" name="2050" totalsRowFunction="sum" dataDxfId="913" totalsRowDxfId="912" dataCellStyle="Comma">
      <calculatedColumnFormula>N774*(N$754/N$736)</calculatedColumnFormula>
    </tableColumn>
  </tableColumns>
  <tableStyleInfo name="EnergyCalcTables" showFirstColumn="0" showLastColumn="0" showRowStripes="1" showColumnStripes="0"/>
</table>
</file>

<file path=xl/tables/table117.xml><?xml version="1.0" encoding="utf-8"?>
<table xmlns="http://schemas.openxmlformats.org/spreadsheetml/2006/main" id="50" name="XII.a.Aviation.Emissions" displayName="XII.a.Aviation.Emissions" ref="C797:N801" totalsRowCount="1" headerRowDxfId="911" dataDxfId="909" headerRowBorderDxfId="910" dataCellStyle="Comma">
  <autoFilter ref="C797:N800"/>
  <tableColumns count="12">
    <tableColumn id="1" name="GHG" totalsRowLabel="Total" dataDxfId="908" totalsRowDxfId="907"/>
    <tableColumn id="2" name="IPCC Sector" dataDxfId="906" totalsRowDxfId="905"/>
    <tableColumn id="3" name="Notes" dataDxfId="904" totalsRowDxfId="903"/>
    <tableColumn id="4" name="2013" totalsRowFunction="sum" dataDxfId="902" totalsRowDxfId="901" dataCellStyle="Comma">
      <calculatedColumnFormula>F774*(F$763/F$736)</calculatedColumnFormula>
    </tableColumn>
    <tableColumn id="5" name="2015" totalsRowFunction="sum" dataDxfId="900" totalsRowDxfId="899" dataCellStyle="Comma">
      <calculatedColumnFormula>G774*(G$763/G$736)</calculatedColumnFormula>
    </tableColumn>
    <tableColumn id="6" name="2020" totalsRowFunction="sum" dataDxfId="898" totalsRowDxfId="897" dataCellStyle="Comma">
      <calculatedColumnFormula>H774*(H$763/H$736)</calculatedColumnFormula>
    </tableColumn>
    <tableColumn id="7" name="2025" totalsRowFunction="sum" dataDxfId="896" totalsRowDxfId="895" dataCellStyle="Comma">
      <calculatedColumnFormula>I774*(I$763/I$736)</calculatedColumnFormula>
    </tableColumn>
    <tableColumn id="8" name="2030" totalsRowFunction="sum" dataDxfId="894" totalsRowDxfId="893" dataCellStyle="Comma">
      <calculatedColumnFormula>J774*(J$763/J$736)</calculatedColumnFormula>
    </tableColumn>
    <tableColumn id="9" name="2035" totalsRowFunction="sum" dataDxfId="892" totalsRowDxfId="891" dataCellStyle="Comma">
      <calculatedColumnFormula>K774*(K$763/K$736)</calculatedColumnFormula>
    </tableColumn>
    <tableColumn id="10" name="2040" totalsRowFunction="sum" dataDxfId="890" totalsRowDxfId="889" dataCellStyle="Comma">
      <calculatedColumnFormula>L774*(L$763/L$736)</calculatedColumnFormula>
    </tableColumn>
    <tableColumn id="11" name="2045" totalsRowFunction="sum" dataDxfId="888" totalsRowDxfId="887" dataCellStyle="Comma">
      <calculatedColumnFormula>M774*(M$763/M$736)</calculatedColumnFormula>
    </tableColumn>
    <tableColumn id="12" name="2050" totalsRowFunction="sum" dataDxfId="886" totalsRowDxfId="885" dataCellStyle="Comma">
      <calculatedColumnFormula>N774*(N$763/N$736)</calculatedColumnFormula>
    </tableColumn>
  </tableColumns>
  <tableStyleInfo name="EnergyCalcTables" showFirstColumn="0" showLastColumn="0" showRowStripes="1" showColumnStripes="0"/>
</table>
</file>

<file path=xl/tables/table118.xml><?xml version="1.0" encoding="utf-8"?>
<table xmlns="http://schemas.openxmlformats.org/spreadsheetml/2006/main" id="51" name="XII.a.Car.PHEV.Info" displayName="XII.a.Car.PHEV.Info" ref="C809:N810" totalsRowShown="0" headerRowDxfId="884" dataDxfId="882" headerRowBorderDxfId="883" dataCellStyle="Comma">
  <autoFilter ref="C809:N810"/>
  <tableColumns count="12">
    <tableColumn id="1" name="Vector" dataDxfId="881"/>
    <tableColumn id="2" name="Information type" dataDxfId="880"/>
    <tableColumn id="3" name="Notes" dataDxfId="879">
      <calculatedColumnFormula>Preferences.PowerUnits</calculatedColumnFormula>
    </tableColumn>
    <tableColumn id="4" name="2013" dataDxfId="878" dataCellStyle="Comma 3">
      <calculatedColumnFormula>F689*Conversion.to.average.power</calculatedColumnFormula>
    </tableColumn>
    <tableColumn id="5" name="2015" dataDxfId="877" dataCellStyle="Comma 3">
      <calculatedColumnFormula>G689*Conversion.to.average.power</calculatedColumnFormula>
    </tableColumn>
    <tableColumn id="6" name="2020" dataDxfId="876" dataCellStyle="Comma 3">
      <calculatedColumnFormula>H689*Conversion.to.average.power</calculatedColumnFormula>
    </tableColumn>
    <tableColumn id="7" name="2025" dataDxfId="875" dataCellStyle="Comma 3">
      <calculatedColumnFormula>I689*Conversion.to.average.power</calculatedColumnFormula>
    </tableColumn>
    <tableColumn id="8" name="2030" dataDxfId="874" dataCellStyle="Comma 3">
      <calculatedColumnFormula>J689*Conversion.to.average.power</calculatedColumnFormula>
    </tableColumn>
    <tableColumn id="9" name="2035" dataDxfId="873" dataCellStyle="Comma 3">
      <calculatedColumnFormula>K689*Conversion.to.average.power</calculatedColumnFormula>
    </tableColumn>
    <tableColumn id="10" name="2040" dataDxfId="872" dataCellStyle="Comma 3">
      <calculatedColumnFormula>L689*Conversion.to.average.power</calculatedColumnFormula>
    </tableColumn>
    <tableColumn id="11" name="2045" dataDxfId="871" dataCellStyle="Comma 3">
      <calculatedColumnFormula>M689*Conversion.to.average.power</calculatedColumnFormula>
    </tableColumn>
    <tableColumn id="12" name="2050" dataDxfId="870" dataCellStyle="Comma 3">
      <calculatedColumnFormula>N689*Conversion.to.average.power</calculatedColumnFormula>
    </tableColumn>
  </tableColumns>
  <tableStyleInfo name="EnergyCalcTables" showFirstColumn="0" showLastColumn="0" showRowStripes="1" showColumnStripes="0"/>
</table>
</file>

<file path=xl/tables/table119.xml><?xml version="1.0" encoding="utf-8"?>
<table xmlns="http://schemas.openxmlformats.org/spreadsheetml/2006/main" id="52" name="XII.a.Car.EV.Info" displayName="XII.a.Car.EV.Info" ref="C814:N815" totalsRowShown="0" headerRowDxfId="869" dataDxfId="867" headerRowBorderDxfId="868" dataCellStyle="Comma">
  <autoFilter ref="C814:N815"/>
  <tableColumns count="12">
    <tableColumn id="1" name="Vector" dataDxfId="866"/>
    <tableColumn id="2" name="Information type" dataDxfId="865"/>
    <tableColumn id="3" name="Notes" dataDxfId="864">
      <calculatedColumnFormula>Preferences.PowerUnits</calculatedColumnFormula>
    </tableColumn>
    <tableColumn id="4" name="2013" dataDxfId="863" dataCellStyle="Comma 3">
      <calculatedColumnFormula>F690*Conversion.to.average.power</calculatedColumnFormula>
    </tableColumn>
    <tableColumn id="5" name="2015" dataDxfId="862" dataCellStyle="Comma 3">
      <calculatedColumnFormula>G690*Conversion.to.average.power</calculatedColumnFormula>
    </tableColumn>
    <tableColumn id="6" name="2020" dataDxfId="861" dataCellStyle="Comma 3">
      <calculatedColumnFormula>H690*Conversion.to.average.power</calculatedColumnFormula>
    </tableColumn>
    <tableColumn id="7" name="2025" dataDxfId="860" dataCellStyle="Comma 3">
      <calculatedColumnFormula>I690*Conversion.to.average.power</calculatedColumnFormula>
    </tableColumn>
    <tableColumn id="8" name="2030" dataDxfId="859" dataCellStyle="Comma 3">
      <calculatedColumnFormula>J690*Conversion.to.average.power</calculatedColumnFormula>
    </tableColumn>
    <tableColumn id="9" name="2035" dataDxfId="858" dataCellStyle="Comma 3">
      <calculatedColumnFormula>K690*Conversion.to.average.power</calculatedColumnFormula>
    </tableColumn>
    <tableColumn id="10" name="2040" dataDxfId="857" dataCellStyle="Comma 3">
      <calculatedColumnFormula>L690*Conversion.to.average.power</calculatedColumnFormula>
    </tableColumn>
    <tableColumn id="11" name="2045" dataDxfId="856" dataCellStyle="Comma 3">
      <calculatedColumnFormula>M690*Conversion.to.average.power</calculatedColumnFormula>
    </tableColumn>
    <tableColumn id="12" name="2050" dataDxfId="855" dataCellStyle="Comma 3">
      <calculatedColumnFormula>N690*Conversion.to.average.power</calculatedColumnFormula>
    </tableColumn>
  </tableColumns>
  <tableStyleInfo name="EnergyCalcTables" showFirstColumn="0" showLastColumn="0" showRowStripes="1" showColumnStripes="0"/>
</table>
</file>

<file path=xl/tables/table120.xml><?xml version="1.0" encoding="utf-8"?>
<table xmlns="http://schemas.openxmlformats.org/spreadsheetml/2006/main" id="53" name="Table53" displayName="Table53" ref="C819:N821" totalsRowShown="0" headerRowDxfId="854" dataDxfId="852" headerRowBorderDxfId="853" dataCellStyle="Comma">
  <autoFilter ref="C819:N821"/>
  <tableColumns count="12">
    <tableColumn id="1" name="Vector" dataDxfId="851"/>
    <tableColumn id="2" name="Information type"/>
    <tableColumn id="3" name="Notes" dataDxfId="850"/>
    <tableColumn id="4" name="2013" dataDxfId="849" dataCellStyle="Comma"/>
    <tableColumn id="5" name="2015" dataDxfId="848" dataCellStyle="Comma"/>
    <tableColumn id="6" name="2020" dataDxfId="847" dataCellStyle="Comma"/>
    <tableColumn id="7" name="2025" dataDxfId="846" dataCellStyle="Comma"/>
    <tableColumn id="8" name="2030" dataDxfId="845" dataCellStyle="Comma"/>
    <tableColumn id="9" name="2035" dataDxfId="844" dataCellStyle="Comma"/>
    <tableColumn id="10" name="2040" dataDxfId="843" dataCellStyle="Comma"/>
    <tableColumn id="11" name="2045" dataDxfId="842" dataCellStyle="Comma"/>
    <tableColumn id="12" name="2050" dataDxfId="841" dataCellStyle="Comma"/>
  </tableColumns>
  <tableStyleInfo name="EnergyCalcTables" showFirstColumn="0" showLastColumn="0" showRowStripes="1" showColumnStripes="0"/>
</table>
</file>

<file path=xl/tables/table121.xml><?xml version="1.0" encoding="utf-8"?>
<table xmlns="http://schemas.openxmlformats.org/spreadsheetml/2006/main" id="54" name="XII.a.AQ.Total" displayName="XII.a.AQ.Total" ref="C902:N906" totalsRowShown="0" headerRowDxfId="840" dataDxfId="838" headerRowBorderDxfId="839" tableBorderDxfId="837" totalsRowBorderDxfId="836">
  <autoFilter ref="C902:N906"/>
  <tableColumns count="12">
    <tableColumn id="1" name="Vector" dataDxfId="835"/>
    <tableColumn id="2" name="Name" dataDxfId="834"/>
    <tableColumn id="3" name="IPCC Sector" dataDxfId="833"/>
    <tableColumn id="4" name="2013" dataDxfId="832"/>
    <tableColumn id="5" name="2015" dataDxfId="831"/>
    <tableColumn id="6" name="2020" dataDxfId="830"/>
    <tableColumn id="7" name="2025" dataDxfId="829"/>
    <tableColumn id="8" name="2030" dataDxfId="828"/>
    <tableColumn id="9" name="2035" dataDxfId="827"/>
    <tableColumn id="10" name="2040" dataDxfId="826"/>
    <tableColumn id="11" name="2045" dataDxfId="825"/>
    <tableColumn id="12" name="2050" dataDxfId="824"/>
  </tableColumns>
  <tableStyleInfo name="TableStyleMedium9" showFirstColumn="0" showLastColumn="0" showRowStripes="1" showColumnStripes="0"/>
</table>
</file>

<file path=xl/tables/table122.xml><?xml version="1.0" encoding="utf-8"?>
<table xmlns="http://schemas.openxmlformats.org/spreadsheetml/2006/main" id="55" name="XII.a.Road.AQ" displayName="XII.a.Road.AQ" ref="C911:N915" totalsRowShown="0" headerRowDxfId="823" dataDxfId="821" headerRowBorderDxfId="822" tableBorderDxfId="820" totalsRowBorderDxfId="819">
  <autoFilter ref="C911:N915"/>
  <tableColumns count="12">
    <tableColumn id="1" name="Vector" dataDxfId="818"/>
    <tableColumn id="2" name="Name" dataDxfId="817"/>
    <tableColumn id="3" name="IPCC Sector" dataDxfId="816"/>
    <tableColumn id="4" name="2013" dataDxfId="815"/>
    <tableColumn id="5" name="2015" dataDxfId="814"/>
    <tableColumn id="6" name="2020" dataDxfId="813"/>
    <tableColumn id="7" name="2025" dataDxfId="812"/>
    <tableColumn id="8" name="2030" dataDxfId="811"/>
    <tableColumn id="9" name="2035" dataDxfId="810"/>
    <tableColumn id="10" name="2040" dataDxfId="809"/>
    <tableColumn id="11" name="2045" dataDxfId="808"/>
    <tableColumn id="12" name="2050" dataDxfId="807"/>
  </tableColumns>
  <tableStyleInfo name="TableStyleMedium9" showFirstColumn="0" showLastColumn="0" showRowStripes="1" showColumnStripes="0"/>
</table>
</file>

<file path=xl/tables/table123.xml><?xml version="1.0" encoding="utf-8"?>
<table xmlns="http://schemas.openxmlformats.org/spreadsheetml/2006/main" id="56" name="XII.a.Rail.AQ" displayName="XII.a.Rail.AQ" ref="C920:N924" totalsRowShown="0" headerRowDxfId="806" dataDxfId="804" headerRowBorderDxfId="805" tableBorderDxfId="803" totalsRowBorderDxfId="802">
  <autoFilter ref="C920:N924"/>
  <tableColumns count="12">
    <tableColumn id="1" name="Vector" dataDxfId="801"/>
    <tableColumn id="2" name="Name" dataDxfId="800"/>
    <tableColumn id="3" name="IPCC Sector" dataDxfId="799"/>
    <tableColumn id="4" name="2013" dataDxfId="798"/>
    <tableColumn id="5" name="2015" dataDxfId="797"/>
    <tableColumn id="6" name="2020" dataDxfId="796"/>
    <tableColumn id="7" name="2025" dataDxfId="795"/>
    <tableColumn id="8" name="2030" dataDxfId="794"/>
    <tableColumn id="9" name="2035" dataDxfId="793"/>
    <tableColumn id="10" name="2040" dataDxfId="792"/>
    <tableColumn id="11" name="2045" dataDxfId="791"/>
    <tableColumn id="12" name="2050" dataDxfId="790"/>
  </tableColumns>
  <tableStyleInfo name="TableStyleMedium9" showFirstColumn="0" showLastColumn="0" showRowStripes="1" showColumnStripes="0"/>
</table>
</file>

<file path=xl/tables/table124.xml><?xml version="1.0" encoding="utf-8"?>
<table xmlns="http://schemas.openxmlformats.org/spreadsheetml/2006/main" id="57" name="XII.a.Aviation.AQ" displayName="XII.a.Aviation.AQ" ref="C929:N933" totalsRowShown="0" headerRowDxfId="789" dataDxfId="787" headerRowBorderDxfId="788" tableBorderDxfId="786" totalsRowBorderDxfId="785">
  <autoFilter ref="C929:N933"/>
  <tableColumns count="12">
    <tableColumn id="1" name="Vector" dataDxfId="784"/>
    <tableColumn id="2" name="Name" dataDxfId="783"/>
    <tableColumn id="3" name="IPCC Sector" dataDxfId="782"/>
    <tableColumn id="4" name="2013" dataDxfId="781"/>
    <tableColumn id="5" name="2015" dataDxfId="780"/>
    <tableColumn id="6" name="2020" dataDxfId="779"/>
    <tableColumn id="7" name="2025" dataDxfId="778"/>
    <tableColumn id="8" name="2030" dataDxfId="777"/>
    <tableColumn id="9" name="2035" dataDxfId="776"/>
    <tableColumn id="10" name="2040" dataDxfId="775"/>
    <tableColumn id="11" name="2045" dataDxfId="774"/>
    <tableColumn id="12" name="2050" dataDxfId="773"/>
  </tableColumns>
  <tableStyleInfo name="TableStyleMedium9" showFirstColumn="0" showLastColumn="0" showRowStripes="1" showColumnStripes="0"/>
</table>
</file>

<file path=xl/tables/table125.xml><?xml version="1.0" encoding="utf-8"?>
<table xmlns="http://schemas.openxmlformats.org/spreadsheetml/2006/main" id="11" name="XII.b.Outputs" displayName="XII.b.Outputs" ref="C347:N353" totalsRowCount="1" headerRowDxfId="772" dataDxfId="771" tableBorderDxfId="770" dataCellStyle="Comma">
  <autoFilter ref="C347:N352"/>
  <tableColumns count="12">
    <tableColumn id="1" name="Vector" totalsRowLabel="Total" dataDxfId="769" totalsRowDxfId="768"/>
    <tableColumn id="2" name="Name" dataDxfId="767" totalsRowDxfId="766">
      <calculatedColumnFormula>INDEX(Vectors[Description], MATCH([Vector], Vectors[Code], 0))</calculatedColumnFormula>
    </tableColumn>
    <tableColumn id="3" name="Notes" dataDxfId="765" totalsRowDxfId="764"/>
    <tableColumn id="4" name="2013" totalsRowFunction="sum" dataDxfId="763" totalsRowDxfId="762" dataCellStyle="Comma"/>
    <tableColumn id="5" name="2015" totalsRowFunction="sum" dataDxfId="761" totalsRowDxfId="760" dataCellStyle="Comma"/>
    <tableColumn id="6" name="2020" totalsRowFunction="sum" dataDxfId="759" totalsRowDxfId="758" dataCellStyle="Comma"/>
    <tableColumn id="7" name="2025" totalsRowFunction="sum" dataDxfId="757" totalsRowDxfId="756" dataCellStyle="Comma"/>
    <tableColumn id="8" name="2030" totalsRowFunction="sum" dataDxfId="755" totalsRowDxfId="754" dataCellStyle="Comma"/>
    <tableColumn id="9" name="2035" totalsRowFunction="sum" dataDxfId="753" totalsRowDxfId="752" dataCellStyle="Comma"/>
    <tableColumn id="10" name="2040" totalsRowFunction="sum" dataDxfId="751" totalsRowDxfId="750" dataCellStyle="Comma"/>
    <tableColumn id="11" name="2045" totalsRowFunction="sum" dataDxfId="749" totalsRowDxfId="748" dataCellStyle="Comma"/>
    <tableColumn id="12" name="2050" totalsRowFunction="sum" dataDxfId="747" totalsRowDxfId="746" dataCellStyle="Comma"/>
  </tableColumns>
  <tableStyleInfo name="EnergyCalcTables" showFirstColumn="0" showLastColumn="0" showRowStripes="1" showColumnStripes="0"/>
</table>
</file>

<file path=xl/tables/table126.xml><?xml version="1.0" encoding="utf-8"?>
<table xmlns="http://schemas.openxmlformats.org/spreadsheetml/2006/main" id="12" name="XII.b.road.Outputs" displayName="XII.b.road.Outputs" ref="C357:N361" totalsRowCount="1" headerRowDxfId="745" dataDxfId="744" tableBorderDxfId="743" dataCellStyle="Comma">
  <autoFilter ref="C357:N360"/>
  <tableColumns count="12">
    <tableColumn id="1" name="Vector" totalsRowLabel="Total" dataDxfId="742" totalsRowDxfId="741"/>
    <tableColumn id="2" name="Name" dataDxfId="740" totalsRowDxfId="739">
      <calculatedColumnFormula>INDEX(Vectors[Description], MATCH([Vector], Vectors[Code], 0))</calculatedColumnFormula>
    </tableColumn>
    <tableColumn id="3" name="Notes" dataDxfId="738" totalsRowDxfId="737"/>
    <tableColumn id="4" name="2013" totalsRowFunction="sum" dataDxfId="736" totalsRowDxfId="735" dataCellStyle="Comma"/>
    <tableColumn id="5" name="2015" totalsRowFunction="sum" dataDxfId="734" totalsRowDxfId="733" dataCellStyle="Comma"/>
    <tableColumn id="6" name="2020" totalsRowFunction="sum" dataDxfId="732" totalsRowDxfId="731" dataCellStyle="Comma"/>
    <tableColumn id="7" name="2025" totalsRowFunction="sum" dataDxfId="730" totalsRowDxfId="729" dataCellStyle="Comma"/>
    <tableColumn id="8" name="2030" totalsRowFunction="sum" dataDxfId="728" totalsRowDxfId="727" dataCellStyle="Comma"/>
    <tableColumn id="9" name="2035" totalsRowFunction="sum" dataDxfId="726" totalsRowDxfId="725" dataCellStyle="Comma"/>
    <tableColumn id="10" name="2040" totalsRowFunction="sum" dataDxfId="724" totalsRowDxfId="723" dataCellStyle="Comma"/>
    <tableColumn id="11" name="2045" totalsRowFunction="sum" dataDxfId="722" totalsRowDxfId="721" dataCellStyle="Comma"/>
    <tableColumn id="12" name="2050" totalsRowFunction="sum" dataDxfId="720" totalsRowDxfId="719" dataCellStyle="Comma"/>
  </tableColumns>
  <tableStyleInfo name="EnergyCalcTables" showFirstColumn="0" showLastColumn="0" showRowStripes="1" showColumnStripes="0"/>
</table>
</file>

<file path=xl/tables/table127.xml><?xml version="1.0" encoding="utf-8"?>
<table xmlns="http://schemas.openxmlformats.org/spreadsheetml/2006/main" id="13" name="XII.b.Rail.Outputs" displayName="XII.b.Rail.Outputs" ref="C365:N369" totalsRowCount="1" headerRowDxfId="718" dataDxfId="717" tableBorderDxfId="716" dataCellStyle="Comma">
  <autoFilter ref="C365:N368"/>
  <tableColumns count="12">
    <tableColumn id="1" name="Vector" totalsRowLabel="Total" dataDxfId="715" totalsRowDxfId="714"/>
    <tableColumn id="2" name="Name" dataDxfId="713" totalsRowDxfId="712">
      <calculatedColumnFormula>INDEX(Vectors[Description], MATCH([Vector], Vectors[Code], 0))</calculatedColumnFormula>
    </tableColumn>
    <tableColumn id="3" name="Notes" dataDxfId="711" totalsRowDxfId="710"/>
    <tableColumn id="4" name="2013" totalsRowFunction="sum" dataDxfId="709" totalsRowDxfId="708" dataCellStyle="Comma"/>
    <tableColumn id="5" name="2015" totalsRowFunction="sum" dataDxfId="707" totalsRowDxfId="706" dataCellStyle="Comma"/>
    <tableColumn id="6" name="2020" totalsRowFunction="sum" dataDxfId="705" totalsRowDxfId="704" dataCellStyle="Comma"/>
    <tableColumn id="7" name="2025" totalsRowFunction="sum" dataDxfId="703" totalsRowDxfId="702" dataCellStyle="Comma"/>
    <tableColumn id="8" name="2030" totalsRowFunction="sum" dataDxfId="701" totalsRowDxfId="700" dataCellStyle="Comma"/>
    <tableColumn id="9" name="2035" totalsRowFunction="sum" dataDxfId="699" totalsRowDxfId="698" dataCellStyle="Comma"/>
    <tableColumn id="10" name="2040" totalsRowFunction="sum" dataDxfId="697" totalsRowDxfId="696" dataCellStyle="Comma"/>
    <tableColumn id="11" name="2045" totalsRowFunction="sum" dataDxfId="695" totalsRowDxfId="694" dataCellStyle="Comma"/>
    <tableColumn id="12" name="2050" totalsRowFunction="sum" dataDxfId="693" totalsRowDxfId="692" dataCellStyle="Comma"/>
  </tableColumns>
  <tableStyleInfo name="EnergyCalcTables" showFirstColumn="0" showLastColumn="0" showRowStripes="1" showColumnStripes="0"/>
</table>
</file>

<file path=xl/tables/table128.xml><?xml version="1.0" encoding="utf-8"?>
<table xmlns="http://schemas.openxmlformats.org/spreadsheetml/2006/main" id="14" name="XII.b.nationalnavigation.Outputs" displayName="XII.b.nationalnavigation.Outputs" ref="C373:N376" totalsRowCount="1" headerRowDxfId="691" dataDxfId="690" tableBorderDxfId="689" dataCellStyle="Comma">
  <autoFilter ref="C373:N375"/>
  <tableColumns count="12">
    <tableColumn id="1" name="Vector" totalsRowLabel="Total" dataDxfId="688" totalsRowDxfId="687"/>
    <tableColumn id="2" name="Name" dataDxfId="686" totalsRowDxfId="685">
      <calculatedColumnFormula>INDEX(Vectors[Description], MATCH([Vector], Vectors[Code], 0))</calculatedColumnFormula>
    </tableColumn>
    <tableColumn id="3" name="Notes" dataDxfId="684" totalsRowDxfId="683"/>
    <tableColumn id="4" name="2013" totalsRowFunction="sum" dataDxfId="682" totalsRowDxfId="681" dataCellStyle="Comma">
      <calculatedColumnFormula>-F230</calculatedColumnFormula>
    </tableColumn>
    <tableColumn id="5" name="2015" totalsRowFunction="sum" dataDxfId="680" totalsRowDxfId="679" dataCellStyle="Comma">
      <calculatedColumnFormula>-G230</calculatedColumnFormula>
    </tableColumn>
    <tableColumn id="6" name="2020" totalsRowFunction="sum" dataDxfId="678" totalsRowDxfId="677" dataCellStyle="Comma">
      <calculatedColumnFormula>-H230</calculatedColumnFormula>
    </tableColumn>
    <tableColumn id="7" name="2025" totalsRowFunction="sum" dataDxfId="676" totalsRowDxfId="675" dataCellStyle="Comma">
      <calculatedColumnFormula>-I230</calculatedColumnFormula>
    </tableColumn>
    <tableColumn id="8" name="2030" totalsRowFunction="sum" dataDxfId="674" totalsRowDxfId="673" dataCellStyle="Comma">
      <calculatedColumnFormula>-J230</calculatedColumnFormula>
    </tableColumn>
    <tableColumn id="9" name="2035" totalsRowFunction="sum" dataDxfId="672" totalsRowDxfId="671" dataCellStyle="Comma">
      <calculatedColumnFormula>-K230</calculatedColumnFormula>
    </tableColumn>
    <tableColumn id="10" name="2040" totalsRowFunction="sum" dataDxfId="670" totalsRowDxfId="669" dataCellStyle="Comma">
      <calculatedColumnFormula>-L230</calculatedColumnFormula>
    </tableColumn>
    <tableColumn id="11" name="2045" totalsRowFunction="sum" dataDxfId="668" totalsRowDxfId="667" dataCellStyle="Comma">
      <calculatedColumnFormula>-M230</calculatedColumnFormula>
    </tableColumn>
    <tableColumn id="12" name="2050" totalsRowFunction="sum" dataDxfId="666" totalsRowDxfId="665" dataCellStyle="Comma">
      <calculatedColumnFormula>-N230</calculatedColumnFormula>
    </tableColumn>
  </tableColumns>
  <tableStyleInfo name="EnergyCalcTables" showFirstColumn="0" showLastColumn="0" showRowStripes="1" showColumnStripes="0"/>
</table>
</file>

<file path=xl/tables/table129.xml><?xml version="1.0" encoding="utf-8"?>
<table xmlns="http://schemas.openxmlformats.org/spreadsheetml/2006/main" id="58" name="EF.XII.b.PM10" displayName="EF.XII.b.PM10" ref="C106:N111" totalsRowShown="0" headerRowDxfId="664" dataDxfId="662" headerRowBorderDxfId="663" tableBorderDxfId="661" dataCellStyle="Comma 3">
  <autoFilter ref="C106:N111"/>
  <tableColumns count="12">
    <tableColumn id="1" name="Code" dataDxfId="660"/>
    <tableColumn id="2" name="Mode" dataDxfId="659"/>
    <tableColumn id="3" name="Technology" dataDxfId="658"/>
    <tableColumn id="4" name="2013" dataDxfId="657" dataCellStyle="Comma 3"/>
    <tableColumn id="5" name="2015" dataDxfId="656" dataCellStyle="Comma 3"/>
    <tableColumn id="6" name="2020" dataDxfId="655" dataCellStyle="Comma 3"/>
    <tableColumn id="7" name="2025" dataDxfId="654" dataCellStyle="Comma 3"/>
    <tableColumn id="8" name="2030" dataDxfId="653" dataCellStyle="Comma 3"/>
    <tableColumn id="9" name="2035" dataDxfId="652" dataCellStyle="Comma 3"/>
    <tableColumn id="10" name="2040" dataDxfId="651" dataCellStyle="Comma 3"/>
    <tableColumn id="11" name="2045" dataDxfId="650" dataCellStyle="Comma 3"/>
    <tableColumn id="12" name="2050" dataDxfId="649" dataCellStyle="Comma 3"/>
  </tableColumns>
  <tableStyleInfo name="EnergyCalcTables" showFirstColumn="0" showLastColumn="0" showRowStripes="1" showColumnStripes="0"/>
</table>
</file>

<file path=xl/tables/table130.xml><?xml version="1.0" encoding="utf-8"?>
<table xmlns="http://schemas.openxmlformats.org/spreadsheetml/2006/main" id="59" name="EF.XII.b.NOX" displayName="EF.XII.b.NOX" ref="C115:N120" totalsRowShown="0" headerRowDxfId="648" dataDxfId="646" headerRowBorderDxfId="647" tableBorderDxfId="645" dataCellStyle="Comma">
  <autoFilter ref="C115:N120"/>
  <tableColumns count="12">
    <tableColumn id="1" name="Code" dataDxfId="644"/>
    <tableColumn id="2" name="Mode" dataDxfId="643"/>
    <tableColumn id="3" name="Technology" dataDxfId="642"/>
    <tableColumn id="4" name="2013" dataDxfId="641" dataCellStyle="Comma 3"/>
    <tableColumn id="5" name="2015" dataDxfId="640" dataCellStyle="Comma 3"/>
    <tableColumn id="6" name="2020" dataDxfId="639" dataCellStyle="Comma 3"/>
    <tableColumn id="7" name="2025" dataDxfId="638" dataCellStyle="Comma 3"/>
    <tableColumn id="8" name="2030" dataDxfId="637" dataCellStyle="Comma 3"/>
    <tableColumn id="9" name="2035" dataDxfId="636" dataCellStyle="Comma 3"/>
    <tableColumn id="10" name="2040" dataDxfId="635" dataCellStyle="Comma 3"/>
    <tableColumn id="11" name="2045" dataDxfId="634" dataCellStyle="Comma 3"/>
    <tableColumn id="12" name="2050" dataDxfId="633" dataCellStyle="Comma 3"/>
  </tableColumns>
  <tableStyleInfo name="EnergyCalcTables" showFirstColumn="0" showLastColumn="0" showRowStripes="1" showColumnStripes="0"/>
</table>
</file>

<file path=xl/tables/table131.xml><?xml version="1.0" encoding="utf-8"?>
<table xmlns="http://schemas.openxmlformats.org/spreadsheetml/2006/main" id="60" name="EF.XII.b.SO2" displayName="EF.XII.b.SO2" ref="C124:N129" totalsRowShown="0" headerRowDxfId="632" dataDxfId="630" headerRowBorderDxfId="631" tableBorderDxfId="629" dataCellStyle="Comma 3">
  <autoFilter ref="C124:N129"/>
  <tableColumns count="12">
    <tableColumn id="1" name="Code" dataDxfId="628"/>
    <tableColumn id="2" name="Mode" dataDxfId="627"/>
    <tableColumn id="3" name="Technology" dataDxfId="626"/>
    <tableColumn id="4" name="2013" dataDxfId="625" dataCellStyle="Comma 3"/>
    <tableColumn id="5" name="2015" dataDxfId="624" dataCellStyle="Comma 3"/>
    <tableColumn id="6" name="2020" dataDxfId="623" dataCellStyle="Comma 3"/>
    <tableColumn id="7" name="2025" dataDxfId="622" dataCellStyle="Comma 3"/>
    <tableColumn id="8" name="2030" dataDxfId="621" dataCellStyle="Comma 3"/>
    <tableColumn id="9" name="2035" dataDxfId="620" dataCellStyle="Comma 3"/>
    <tableColumn id="10" name="2040" dataDxfId="619" dataCellStyle="Comma 3"/>
    <tableColumn id="11" name="2045" dataDxfId="618" dataCellStyle="Comma 3"/>
    <tableColumn id="12" name="2050" dataDxfId="617" dataCellStyle="Comma 3"/>
  </tableColumns>
  <tableStyleInfo name="EnergyCalcTables" showFirstColumn="0" showLastColumn="0" showRowStripes="1" showColumnStripes="0"/>
</table>
</file>

<file path=xl/tables/table132.xml><?xml version="1.0" encoding="utf-8"?>
<table xmlns="http://schemas.openxmlformats.org/spreadsheetml/2006/main" id="61" name="EF.XII.b.NMVOC" displayName="EF.XII.b.NMVOC" ref="C133:N138" totalsRowShown="0" headerRowDxfId="616" dataDxfId="614" headerRowBorderDxfId="615" tableBorderDxfId="613" dataCellStyle="Comma">
  <autoFilter ref="C133:N138"/>
  <tableColumns count="12">
    <tableColumn id="1" name="Code" dataDxfId="612"/>
    <tableColumn id="2" name="Mode" dataDxfId="611"/>
    <tableColumn id="3" name="Technology" dataDxfId="610"/>
    <tableColumn id="4" name="2013" dataDxfId="609" dataCellStyle="Comma 3"/>
    <tableColumn id="5" name="2015" dataDxfId="608" dataCellStyle="Comma 3"/>
    <tableColumn id="6" name="2020" dataDxfId="607" dataCellStyle="Comma 3"/>
    <tableColumn id="7" name="2025" dataDxfId="606" dataCellStyle="Comma 3"/>
    <tableColumn id="8" name="2030" dataDxfId="605" dataCellStyle="Comma 3"/>
    <tableColumn id="9" name="2035" dataDxfId="604" dataCellStyle="Comma 3"/>
    <tableColumn id="10" name="2040" dataDxfId="603" dataCellStyle="Comma 3"/>
    <tableColumn id="11" name="2045" dataDxfId="602" dataCellStyle="Comma 3"/>
    <tableColumn id="12" name="2050" dataDxfId="601" dataCellStyle="Comma 3"/>
  </tableColumns>
  <tableStyleInfo name="EnergyCalcTables" showFirstColumn="0" showLastColumn="0" showRowStripes="1" showColumnStripes="0"/>
</table>
</file>

<file path=xl/tables/table133.xml><?xml version="1.0" encoding="utf-8"?>
<table xmlns="http://schemas.openxmlformats.org/spreadsheetml/2006/main" id="62" name="XII.b.Emissions" displayName="XII.b.Emissions" ref="C384:N388" totalsRowCount="1" headerRowDxfId="600" dataDxfId="598" headerRowBorderDxfId="599" dataCellStyle="Comma">
  <autoFilter ref="C384:N387"/>
  <tableColumns count="12">
    <tableColumn id="1" name="GHG" totalsRowLabel="Total" dataDxfId="597" totalsRowDxfId="596"/>
    <tableColumn id="2" name="IPCC Sector" dataDxfId="595" totalsRowDxfId="594"/>
    <tableColumn id="3" name="Notes" dataDxfId="593" totalsRowDxfId="592"/>
    <tableColumn id="4" name="2013" totalsRowFunction="sum" dataDxfId="591" totalsRowDxfId="590" dataCellStyle="Comma">
      <calculatedColumnFormula>F236</calculatedColumnFormula>
    </tableColumn>
    <tableColumn id="5" name="2015" totalsRowFunction="sum" dataDxfId="589" totalsRowDxfId="588" dataCellStyle="Comma">
      <calculatedColumnFormula>G236</calculatedColumnFormula>
    </tableColumn>
    <tableColumn id="6" name="2020" totalsRowFunction="sum" dataDxfId="587" totalsRowDxfId="586" dataCellStyle="Comma">
      <calculatedColumnFormula>H236</calculatedColumnFormula>
    </tableColumn>
    <tableColumn id="7" name="2025" totalsRowFunction="sum" dataDxfId="585" totalsRowDxfId="584" dataCellStyle="Comma">
      <calculatedColumnFormula>I236</calculatedColumnFormula>
    </tableColumn>
    <tableColumn id="8" name="2030" totalsRowFunction="sum" dataDxfId="583" totalsRowDxfId="582" dataCellStyle="Comma">
      <calculatedColumnFormula>J236</calculatedColumnFormula>
    </tableColumn>
    <tableColumn id="9" name="2035" totalsRowFunction="sum" dataDxfId="581" totalsRowDxfId="580" dataCellStyle="Comma">
      <calculatedColumnFormula>K236</calculatedColumnFormula>
    </tableColumn>
    <tableColumn id="10" name="2040" totalsRowFunction="sum" dataDxfId="579" totalsRowDxfId="578" dataCellStyle="Comma">
      <calculatedColumnFormula>L236</calculatedColumnFormula>
    </tableColumn>
    <tableColumn id="11" name="2045" totalsRowFunction="sum" dataDxfId="577" totalsRowDxfId="576" dataCellStyle="Comma">
      <calculatedColumnFormula>M236</calculatedColumnFormula>
    </tableColumn>
    <tableColumn id="12" name="2050" totalsRowFunction="sum" dataDxfId="575" totalsRowDxfId="574" dataCellStyle="Comma">
      <calculatedColumnFormula>N236</calculatedColumnFormula>
    </tableColumn>
  </tableColumns>
  <tableStyleInfo name="EnergyCalcTables" showFirstColumn="0" showLastColumn="0" showRowStripes="1" showColumnStripes="0"/>
</table>
</file>

<file path=xl/tables/table134.xml><?xml version="1.0" encoding="utf-8"?>
<table xmlns="http://schemas.openxmlformats.org/spreadsheetml/2006/main" id="63" name="XII.b.Road.Emissions" displayName="XII.b.Road.Emissions" ref="C392:N396" totalsRowCount="1" headerRowDxfId="573" dataDxfId="571" headerRowBorderDxfId="572" dataCellStyle="Comma">
  <autoFilter ref="C392:N395"/>
  <tableColumns count="12">
    <tableColumn id="1" name="GHG" totalsRowLabel="Total" dataDxfId="570" totalsRowDxfId="569"/>
    <tableColumn id="2" name="IPCC Sector" dataDxfId="568" totalsRowDxfId="567"/>
    <tableColumn id="3" name="Notes" dataDxfId="566" totalsRowDxfId="565"/>
    <tableColumn id="4" name="2013" totalsRowFunction="sum" dataDxfId="564" totalsRowDxfId="563" dataCellStyle="Comma">
      <calculatedColumnFormula>(F236*(F$223/(F$216+F$223+F$231)))</calculatedColumnFormula>
    </tableColumn>
    <tableColumn id="5" name="2015" totalsRowFunction="sum" dataDxfId="562" totalsRowDxfId="561" dataCellStyle="Comma">
      <calculatedColumnFormula>(G236*(G$223/(G$216+G$223+G$231)))</calculatedColumnFormula>
    </tableColumn>
    <tableColumn id="6" name="2020" totalsRowFunction="sum" dataDxfId="560" totalsRowDxfId="559" dataCellStyle="Comma">
      <calculatedColumnFormula>(H236*(H$223/(H$216+H$223+H$231)))</calculatedColumnFormula>
    </tableColumn>
    <tableColumn id="7" name="2025" totalsRowFunction="sum" dataDxfId="558" totalsRowDxfId="557" dataCellStyle="Comma">
      <calculatedColumnFormula>(I236*(I$223/(I$216+I$223+I$231)))</calculatedColumnFormula>
    </tableColumn>
    <tableColumn id="8" name="2030" totalsRowFunction="sum" dataDxfId="556" totalsRowDxfId="555" dataCellStyle="Comma">
      <calculatedColumnFormula>(J236*(J$223/(J$216+J$223+J$231)))</calculatedColumnFormula>
    </tableColumn>
    <tableColumn id="9" name="2035" totalsRowFunction="sum" dataDxfId="554" totalsRowDxfId="553" dataCellStyle="Comma">
      <calculatedColumnFormula>(K236*(K$223/(K$216+K$223+K$231)))</calculatedColumnFormula>
    </tableColumn>
    <tableColumn id="10" name="2040" totalsRowFunction="sum" dataDxfId="552" totalsRowDxfId="551" dataCellStyle="Comma">
      <calculatedColumnFormula>(L236*(L$223/(L$216+L$223+L$231)))</calculatedColumnFormula>
    </tableColumn>
    <tableColumn id="11" name="2045" totalsRowFunction="sum" dataDxfId="550" totalsRowDxfId="549" dataCellStyle="Comma">
      <calculatedColumnFormula>(M236*(M$223/(M$216+M$223+M$231)))</calculatedColumnFormula>
    </tableColumn>
    <tableColumn id="12" name="2050" totalsRowFunction="sum" dataDxfId="548" totalsRowDxfId="547" dataCellStyle="Comma">
      <calculatedColumnFormula>(N236*(N$223/(N$216+N$223+N$231)))</calculatedColumnFormula>
    </tableColumn>
  </tableColumns>
  <tableStyleInfo name="EnergyCalcTables" showFirstColumn="0" showLastColumn="0" showRowStripes="1" showColumnStripes="0"/>
</table>
</file>

<file path=xl/tables/table135.xml><?xml version="1.0" encoding="utf-8"?>
<table xmlns="http://schemas.openxmlformats.org/spreadsheetml/2006/main" id="64" name="XII.b.Rail.Emissions" displayName="XII.b.Rail.Emissions" ref="C400:N404" totalsRowCount="1" headerRowDxfId="546" dataDxfId="544" headerRowBorderDxfId="545" dataCellStyle="Comma">
  <autoFilter ref="C400:N403"/>
  <tableColumns count="12">
    <tableColumn id="1" name="GHG" totalsRowLabel="Total" dataDxfId="543" totalsRowDxfId="542"/>
    <tableColumn id="2" name="IPCC Sector" dataDxfId="541" totalsRowDxfId="540"/>
    <tableColumn id="3" name="Notes" dataDxfId="539" totalsRowDxfId="538"/>
    <tableColumn id="4" name="2013" totalsRowFunction="sum" dataDxfId="537" totalsRowDxfId="536" dataCellStyle="Comma">
      <calculatedColumnFormula>(F236*(F$216/(F$216+F$223+F$231)))</calculatedColumnFormula>
    </tableColumn>
    <tableColumn id="5" name="2015" totalsRowFunction="sum" dataDxfId="535" totalsRowDxfId="534" dataCellStyle="Comma">
      <calculatedColumnFormula>(G236*(G$216/(G$216+G$223+G$231)))</calculatedColumnFormula>
    </tableColumn>
    <tableColumn id="6" name="2020" totalsRowFunction="sum" dataDxfId="533" totalsRowDxfId="532" dataCellStyle="Comma">
      <calculatedColumnFormula>(H236*(H$216/(H$216+H$223+H$231)))</calculatedColumnFormula>
    </tableColumn>
    <tableColumn id="7" name="2025" totalsRowFunction="sum" dataDxfId="531" totalsRowDxfId="530" dataCellStyle="Comma">
      <calculatedColumnFormula>(I236*(I$216/(I$216+I$223+I$231)))</calculatedColumnFormula>
    </tableColumn>
    <tableColumn id="8" name="2030" totalsRowFunction="sum" dataDxfId="529" totalsRowDxfId="528" dataCellStyle="Comma">
      <calculatedColumnFormula>(J236*(J$216/(J$216+J$223+J$231)))</calculatedColumnFormula>
    </tableColumn>
    <tableColumn id="9" name="2035" totalsRowFunction="sum" dataDxfId="527" totalsRowDxfId="526" dataCellStyle="Comma">
      <calculatedColumnFormula>(K236*(K$216/(K$216+K$223+K$231)))</calculatedColumnFormula>
    </tableColumn>
    <tableColumn id="10" name="2040" totalsRowFunction="sum" dataDxfId="525" totalsRowDxfId="524" dataCellStyle="Comma">
      <calculatedColumnFormula>(L236*(L$216/(L$216+L$223+L$231)))</calculatedColumnFormula>
    </tableColumn>
    <tableColumn id="11" name="2045" totalsRowFunction="sum" dataDxfId="523" totalsRowDxfId="522" dataCellStyle="Comma">
      <calculatedColumnFormula>(M236*(M$216/(M$216+M$223+M$231)))</calculatedColumnFormula>
    </tableColumn>
    <tableColumn id="12" name="2050" totalsRowFunction="sum" dataDxfId="521" totalsRowDxfId="520" dataCellStyle="Comma">
      <calculatedColumnFormula>(N236*(N$216/(N$216+N$223+N$231)))</calculatedColumnFormula>
    </tableColumn>
  </tableColumns>
  <tableStyleInfo name="EnergyCalcTables" showFirstColumn="0" showLastColumn="0" showRowStripes="1" showColumnStripes="0"/>
</table>
</file>

<file path=xl/tables/table136.xml><?xml version="1.0" encoding="utf-8"?>
<table xmlns="http://schemas.openxmlformats.org/spreadsheetml/2006/main" id="65" name="XII.b.NationalNavigation.Emissions" displayName="XII.b.NationalNavigation.Emissions" ref="C408:N412" totalsRowCount="1" headerRowDxfId="519" dataDxfId="517" headerRowBorderDxfId="518" dataCellStyle="Comma">
  <autoFilter ref="C408:N411"/>
  <tableColumns count="12">
    <tableColumn id="1" name="GHG" totalsRowLabel="Total" dataDxfId="516" totalsRowDxfId="515"/>
    <tableColumn id="2" name="IPCC Sector" dataDxfId="514" totalsRowDxfId="513"/>
    <tableColumn id="3" name="Notes" dataDxfId="512" totalsRowDxfId="511"/>
    <tableColumn id="4" name="2013" totalsRowFunction="sum" dataDxfId="510" totalsRowDxfId="509" dataCellStyle="Comma">
      <calculatedColumnFormula>(F236*(F$231/(F$216+F$223+F$231)))</calculatedColumnFormula>
    </tableColumn>
    <tableColumn id="5" name="2015" totalsRowFunction="sum" dataDxfId="508" totalsRowDxfId="507" dataCellStyle="Comma">
      <calculatedColumnFormula>(G236*(G$231/(G$216+G$223+G$231)))</calculatedColumnFormula>
    </tableColumn>
    <tableColumn id="6" name="2020" totalsRowFunction="sum" dataDxfId="506" totalsRowDxfId="505" dataCellStyle="Comma">
      <calculatedColumnFormula>(H236*(H$231/(H$216+H$223+H$231)))</calculatedColumnFormula>
    </tableColumn>
    <tableColumn id="7" name="2025" totalsRowFunction="sum" dataDxfId="504" totalsRowDxfId="503" dataCellStyle="Comma">
      <calculatedColumnFormula>(I236*(I$231/(I$216+I$223+I$231)))</calculatedColumnFormula>
    </tableColumn>
    <tableColumn id="8" name="2030" totalsRowFunction="sum" dataDxfId="502" totalsRowDxfId="501" dataCellStyle="Comma">
      <calculatedColumnFormula>(J236*(J$231/(J$216+J$223+J$231)))</calculatedColumnFormula>
    </tableColumn>
    <tableColumn id="9" name="2035" totalsRowFunction="sum" dataDxfId="500" totalsRowDxfId="499" dataCellStyle="Comma">
      <calculatedColumnFormula>(K236*(K$231/(K$216+K$223+K$231)))</calculatedColumnFormula>
    </tableColumn>
    <tableColumn id="10" name="2040" totalsRowFunction="sum" dataDxfId="498" totalsRowDxfId="497" dataCellStyle="Comma">
      <calculatedColumnFormula>(L236*(L$231/(L$216+L$223+L$231)))</calculatedColumnFormula>
    </tableColumn>
    <tableColumn id="11" name="2045" totalsRowFunction="sum" dataDxfId="496" totalsRowDxfId="495" dataCellStyle="Comma">
      <calculatedColumnFormula>(M236*(M$231/(M$216+M$223+M$231)))</calculatedColumnFormula>
    </tableColumn>
    <tableColumn id="12" name="2050" totalsRowFunction="sum" dataDxfId="494" totalsRowDxfId="493" dataCellStyle="Comma">
      <calculatedColumnFormula>(N236*(N$231/(N$216+N$223+N$231)))</calculatedColumnFormula>
    </tableColumn>
  </tableColumns>
  <tableStyleInfo name="EnergyCalcTables" showFirstColumn="0" showLastColumn="0" showRowStripes="1" showColumnStripes="0"/>
</table>
</file>

<file path=xl/tables/table137.xml><?xml version="1.0" encoding="utf-8"?>
<table xmlns="http://schemas.openxmlformats.org/spreadsheetml/2006/main" id="15" name="XII.c.Outputs" displayName="XII.c.Outputs" ref="C125:N128" totalsRowCount="1" headerRowDxfId="492" dataDxfId="491" tableBorderDxfId="490" dataCellStyle="Comma">
  <autoFilter ref="C125:N127"/>
  <tableColumns count="12">
    <tableColumn id="1" name="Vector" totalsRowLabel="Total" dataDxfId="489" totalsRowDxfId="488"/>
    <tableColumn id="2" name="Name" dataDxfId="487" totalsRowDxfId="486">
      <calculatedColumnFormula>INDEX(Vectors[Description], MATCH([Vector], Vectors[Code], 0))</calculatedColumnFormula>
    </tableColumn>
    <tableColumn id="3" name="Notes" dataDxfId="485" totalsRowDxfId="484"/>
    <tableColumn id="4" name="2013" totalsRowFunction="sum" dataDxfId="483" totalsRowDxfId="482">
      <calculatedColumnFormula>-F$101</calculatedColumnFormula>
    </tableColumn>
    <tableColumn id="5" name="2015" totalsRowFunction="sum" dataDxfId="481" totalsRowDxfId="480" dataCellStyle="Comma">
      <calculatedColumnFormula>-G$101</calculatedColumnFormula>
    </tableColumn>
    <tableColumn id="6" name="2020" totalsRowFunction="sum" dataDxfId="479" totalsRowDxfId="478" dataCellStyle="Comma">
      <calculatedColumnFormula>-H$101</calculatedColumnFormula>
    </tableColumn>
    <tableColumn id="7" name="2025" totalsRowFunction="sum" dataDxfId="477" totalsRowDxfId="476" dataCellStyle="Comma">
      <calculatedColumnFormula>-I$101</calculatedColumnFormula>
    </tableColumn>
    <tableColumn id="8" name="2030" totalsRowFunction="sum" dataDxfId="475" totalsRowDxfId="474" dataCellStyle="Comma">
      <calculatedColumnFormula>-J$101</calculatedColumnFormula>
    </tableColumn>
    <tableColumn id="9" name="2035" totalsRowFunction="sum" dataDxfId="473" totalsRowDxfId="472" dataCellStyle="Comma">
      <calculatedColumnFormula>-K$101</calculatedColumnFormula>
    </tableColumn>
    <tableColumn id="10" name="2040" totalsRowFunction="sum" dataDxfId="471" totalsRowDxfId="470" dataCellStyle="Comma">
      <calculatedColumnFormula>-L$101</calculatedColumnFormula>
    </tableColumn>
    <tableColumn id="11" name="2045" totalsRowFunction="sum" dataDxfId="469" totalsRowDxfId="468" dataCellStyle="Comma">
      <calculatedColumnFormula>-M$101</calculatedColumnFormula>
    </tableColumn>
    <tableColumn id="12" name="2050" totalsRowFunction="sum" dataDxfId="467" totalsRowDxfId="466" dataCellStyle="Comma">
      <calculatedColumnFormula>-N$101</calculatedColumnFormula>
    </tableColumn>
  </tableColumns>
  <tableStyleInfo name="EnergyCalcTables" showFirstColumn="0" showLastColumn="0" showRowStripes="1" showColumnStripes="0"/>
</table>
</file>

<file path=xl/tables/table138.xml><?xml version="1.0" encoding="utf-8"?>
<table xmlns="http://schemas.openxmlformats.org/spreadsheetml/2006/main" id="66" name="XII.c.info" displayName="XII.c.info" ref="C147:N149" totalsRowShown="0" headerRowDxfId="465" dataDxfId="463" headerRowBorderDxfId="464" dataCellStyle="Comma">
  <autoFilter ref="C147:N149"/>
  <tableColumns count="12">
    <tableColumn id="1" name="Vector" dataDxfId="462"/>
    <tableColumn id="2" name="Information type" dataDxfId="461"/>
    <tableColumn id="3" name="Notes" dataDxfId="460"/>
    <tableColumn id="4" name="2013" dataDxfId="459" dataCellStyle="Comma"/>
    <tableColumn id="5" name="2015" dataDxfId="458" dataCellStyle="Comma"/>
    <tableColumn id="6" name="2020" dataDxfId="457" dataCellStyle="Comma"/>
    <tableColumn id="7" name="2025" dataDxfId="456" dataCellStyle="Comma"/>
    <tableColumn id="8" name="2030" dataDxfId="455" dataCellStyle="Comma"/>
    <tableColumn id="9" name="2035" dataDxfId="454" dataCellStyle="Comma"/>
    <tableColumn id="10" name="2040" dataDxfId="453" dataCellStyle="Comma"/>
    <tableColumn id="11" name="2045" dataDxfId="452" dataCellStyle="Comma"/>
    <tableColumn id="12" name="2050" dataDxfId="451" dataCellStyle="Comma"/>
  </tableColumns>
  <tableStyleInfo name="EnergyCalcTables" showFirstColumn="0" showLastColumn="0" showRowStripes="1" showColumnStripes="0"/>
</table>
</file>

<file path=xl/tables/table139.xml><?xml version="1.0" encoding="utf-8"?>
<table xmlns="http://schemas.openxmlformats.org/spreadsheetml/2006/main" id="67" name="XII.c.Emissions" displayName="XII.c.Emissions" ref="C135:N139" totalsRowCount="1" headerRowDxfId="450" dataDxfId="448" headerRowBorderDxfId="449" dataCellStyle="Comma 3">
  <autoFilter ref="C135:N138"/>
  <tableColumns count="12">
    <tableColumn id="1" name="GHG" totalsRowLabel="Total" dataDxfId="447" totalsRowDxfId="446"/>
    <tableColumn id="2" name="IPCC Sector" dataDxfId="445" totalsRowDxfId="444"/>
    <tableColumn id="3" name="Notes" dataDxfId="443" totalsRowDxfId="442"/>
    <tableColumn id="4" name="2013" totalsRowFunction="sum" dataDxfId="441" totalsRowDxfId="440" dataCellStyle="Comma 3"/>
    <tableColumn id="5" name="2015" totalsRowFunction="sum" dataDxfId="439" totalsRowDxfId="438" dataCellStyle="Comma 3"/>
    <tableColumn id="6" name="2020" totalsRowFunction="sum" dataDxfId="437" totalsRowDxfId="436" dataCellStyle="Comma 3"/>
    <tableColumn id="7" name="2025" totalsRowFunction="sum" dataDxfId="435" totalsRowDxfId="434" dataCellStyle="Comma 3"/>
    <tableColumn id="8" name="2030" totalsRowFunction="sum" dataDxfId="433" totalsRowDxfId="432" dataCellStyle="Comma 3"/>
    <tableColumn id="9" name="2035" totalsRowFunction="sum" dataDxfId="431" totalsRowDxfId="430" dataCellStyle="Comma 3"/>
    <tableColumn id="10" name="2040" totalsRowFunction="sum" dataDxfId="429" totalsRowDxfId="428" dataCellStyle="Comma 3"/>
    <tableColumn id="11" name="2045" totalsRowFunction="sum" dataDxfId="427" totalsRowDxfId="426" dataCellStyle="Comma 3"/>
    <tableColumn id="12" name="2050" totalsRowFunction="sum" dataDxfId="425" totalsRowDxfId="424" dataCellStyle="Comma 3"/>
  </tableColumns>
  <tableStyleInfo name="EnergyCalcTables" showFirstColumn="0" showLastColumn="0" showRowStripes="1" showColumnStripes="0"/>
</table>
</file>

<file path=xl/tables/table140.xml><?xml version="1.0" encoding="utf-8"?>
<table xmlns="http://schemas.openxmlformats.org/spreadsheetml/2006/main" id="68" name="XII.c.AQ" displayName="XII.c.AQ" ref="C167:N172" totalsRowCount="1" headerRowDxfId="423" dataDxfId="422" dataCellStyle="Comma">
  <autoFilter ref="C167:N171"/>
  <tableColumns count="12">
    <tableColumn id="1" name="Vector" totalsRowLabel="Total" dataDxfId="421" totalsRowDxfId="420"/>
    <tableColumn id="2" name="Name" dataDxfId="419" totalsRowDxfId="418"/>
    <tableColumn id="3" name="IPCC" dataDxfId="417" totalsRowDxfId="416"/>
    <tableColumn id="4" name="2013" totalsRowFunction="sum" dataDxfId="415" totalsRowDxfId="414" dataCellStyle="Comma"/>
    <tableColumn id="5" name="2015" totalsRowFunction="sum" dataDxfId="413" totalsRowDxfId="412" dataCellStyle="Comma"/>
    <tableColumn id="6" name="2020" totalsRowFunction="sum" dataDxfId="411" totalsRowDxfId="410" dataCellStyle="Comma"/>
    <tableColumn id="7" name="2025" totalsRowFunction="sum" dataDxfId="409" totalsRowDxfId="408" dataCellStyle="Comma"/>
    <tableColumn id="8" name="2030" totalsRowFunction="sum" dataDxfId="407" totalsRowDxfId="406" dataCellStyle="Comma"/>
    <tableColumn id="9" name="2035" totalsRowFunction="sum" dataDxfId="405" totalsRowDxfId="404" dataCellStyle="Comma"/>
    <tableColumn id="10" name="2040" totalsRowFunction="sum" dataDxfId="403" totalsRowDxfId="402" dataCellStyle="Comma"/>
    <tableColumn id="11" name="2045" totalsRowFunction="sum" dataDxfId="401" totalsRowDxfId="400" dataCellStyle="Comma"/>
    <tableColumn id="12" name="2050" totalsRowFunction="sum" dataDxfId="399" totalsRowDxfId="398" dataCellStyle="Comma"/>
  </tableColumns>
  <tableStyleInfo name="EnergyCalcTables" showFirstColumn="0" showLastColumn="0" showRowStripes="1" showColumnStripes="0"/>
</table>
</file>

<file path=xl/tables/table141.xml><?xml version="1.0" encoding="utf-8"?>
<table xmlns="http://schemas.openxmlformats.org/spreadsheetml/2006/main" id="154" name="XIV.a.Outputs" displayName="XIV.a.Outputs" ref="C167:N170" totalsRowCount="1" headerRowDxfId="397" dataDxfId="396">
  <autoFilter ref="C167:N169"/>
  <tableColumns count="12">
    <tableColumn id="1" name="Vector" totalsRowLabel="Total" dataDxfId="395" totalsRowDxfId="394"/>
    <tableColumn id="2" name="Name" dataDxfId="393" totalsRowDxfId="392">
      <calculatedColumnFormula>INDEX(Vectors[Description], MATCH([Vector], Vectors[Code], 0))</calculatedColumnFormula>
    </tableColumn>
    <tableColumn id="3" name="Notes" dataDxfId="391" totalsRowDxfId="390"/>
    <tableColumn id="4" name="2013" totalsRowFunction="sum" dataDxfId="389" totalsRowDxfId="388">
      <calculatedColumnFormula>F108</calculatedColumnFormula>
    </tableColumn>
    <tableColumn id="5" name="2015" totalsRowFunction="sum" dataDxfId="387" totalsRowDxfId="386">
      <calculatedColumnFormula>G108</calculatedColumnFormula>
    </tableColumn>
    <tableColumn id="6" name="2020" totalsRowFunction="sum" dataDxfId="385" totalsRowDxfId="384">
      <calculatedColumnFormula>H108</calculatedColumnFormula>
    </tableColumn>
    <tableColumn id="7" name="2025" totalsRowFunction="sum" dataDxfId="383" totalsRowDxfId="382">
      <calculatedColumnFormula>I108</calculatedColumnFormula>
    </tableColumn>
    <tableColumn id="8" name="2030" totalsRowFunction="sum" dataDxfId="381" totalsRowDxfId="380">
      <calculatedColumnFormula>J108</calculatedColumnFormula>
    </tableColumn>
    <tableColumn id="9" name="2035" totalsRowFunction="sum" dataDxfId="379" totalsRowDxfId="378">
      <calculatedColumnFormula>K108</calculatedColumnFormula>
    </tableColumn>
    <tableColumn id="10" name="2040" totalsRowFunction="sum" dataDxfId="377" totalsRowDxfId="376">
      <calculatedColumnFormula>L108</calculatedColumnFormula>
    </tableColumn>
    <tableColumn id="11" name="2045" totalsRowFunction="sum" dataDxfId="375" totalsRowDxfId="374">
      <calculatedColumnFormula>M108</calculatedColumnFormula>
    </tableColumn>
    <tableColumn id="12" name="2050" totalsRowFunction="sum" dataDxfId="373" totalsRowDxfId="372">
      <calculatedColumnFormula>N108</calculatedColumnFormula>
    </tableColumn>
  </tableColumns>
  <tableStyleInfo name="EnergyCalcTables" showFirstColumn="0" showLastColumn="0" showRowStripes="1" showColumnStripes="0"/>
</table>
</file>

<file path=xl/tables/table142.xml><?xml version="1.0" encoding="utf-8"?>
<table xmlns="http://schemas.openxmlformats.org/spreadsheetml/2006/main" id="155" name="XIV.a.Emissions" displayName="XIV.a.Emissions" ref="C177:N179" totalsRowCount="1" headerRowDxfId="371" dataDxfId="369" headerRowBorderDxfId="370" dataCellStyle="Comma 3">
  <autoFilter ref="C177:N178"/>
  <tableColumns count="12">
    <tableColumn id="1" name="GHG" totalsRowLabel="Total" dataDxfId="368" totalsRowDxfId="367"/>
    <tableColumn id="2" name="IPCC Sector" dataDxfId="366" totalsRowDxfId="365"/>
    <tableColumn id="3" name="Notes" dataDxfId="364" totalsRowDxfId="363">
      <calculatedColumnFormula>INDEX(IPCC[Sector_description], MATCH([IPCC Sector], IPCC[Sector_code], 0))</calculatedColumnFormula>
    </tableColumn>
    <tableColumn id="4" name="2013" totalsRowFunction="sum" dataDxfId="362" totalsRowDxfId="361" dataCellStyle="Comma 3">
      <calculatedColumnFormula>-F107</calculatedColumnFormula>
    </tableColumn>
    <tableColumn id="5" name="2015" totalsRowFunction="sum" dataDxfId="360" totalsRowDxfId="359" dataCellStyle="Comma 3">
      <calculatedColumnFormula>-G107</calculatedColumnFormula>
    </tableColumn>
    <tableColumn id="6" name="2020" totalsRowFunction="sum" dataDxfId="358" totalsRowDxfId="357" dataCellStyle="Comma 3">
      <calculatedColumnFormula>-H107</calculatedColumnFormula>
    </tableColumn>
    <tableColumn id="7" name="2025" totalsRowFunction="sum" dataDxfId="356" totalsRowDxfId="355" dataCellStyle="Comma 3">
      <calculatedColumnFormula>-I107</calculatedColumnFormula>
    </tableColumn>
    <tableColumn id="8" name="2030" totalsRowFunction="sum" dataDxfId="354" totalsRowDxfId="353" dataCellStyle="Comma 3">
      <calculatedColumnFormula>-J107</calculatedColumnFormula>
    </tableColumn>
    <tableColumn id="9" name="2035" totalsRowFunction="sum" dataDxfId="352" totalsRowDxfId="351" dataCellStyle="Comma 3">
      <calculatedColumnFormula>-K107</calculatedColumnFormula>
    </tableColumn>
    <tableColumn id="10" name="2040" totalsRowFunction="sum" dataDxfId="350" totalsRowDxfId="349" dataCellStyle="Comma 3">
      <calculatedColumnFormula>-L107</calculatedColumnFormula>
    </tableColumn>
    <tableColumn id="11" name="2045" totalsRowFunction="sum" dataDxfId="348" totalsRowDxfId="347" dataCellStyle="Comma 3">
      <calculatedColumnFormula>-M107</calculatedColumnFormula>
    </tableColumn>
    <tableColumn id="12" name="2050" totalsRowFunction="sum" dataDxfId="346" totalsRowDxfId="345" dataCellStyle="Comma 3">
      <calculatedColumnFormula>-N107</calculatedColumnFormula>
    </tableColumn>
  </tableColumns>
  <tableStyleInfo name="EnergyCalcTables" showFirstColumn="0" showLastColumn="0" showRowStripes="1" showColumnStripes="0"/>
</table>
</file>

<file path=xl/tables/table143.xml><?xml version="1.0" encoding="utf-8"?>
<table xmlns="http://schemas.openxmlformats.org/spreadsheetml/2006/main" id="125" name="XV.a.Inputs" displayName="XV.a.Inputs" ref="C8:N9" totalsRowShown="0" headerRowDxfId="344" dataDxfId="343" dataCellStyle="Comma 3">
  <autoFilter ref="C8:N9"/>
  <tableColumns count="12">
    <tableColumn id="1" name="Vector" dataDxfId="342"/>
    <tableColumn id="2" name="Name" dataDxfId="341">
      <calculatedColumnFormula>INDEX(Vectors[Description], MATCH([Vector], Vectors[Code], 0))</calculatedColumnFormula>
    </tableColumn>
    <tableColumn id="3" name="Notes" dataDxfId="340"/>
    <tableColumn id="4" name="2013" dataDxfId="339" dataCellStyle="Comma 3">
      <calculatedColumnFormula>INDEX(INDIRECT("'"&amp;XV.a.Inputs[#Headers]&amp;"'!Year.NetBalance"), MATCH([Vector], INDIRECT("'"&amp;XV.a.Inputs[#Headers]&amp;"'!Year.Vectors"), 0))</calculatedColumnFormula>
    </tableColumn>
    <tableColumn id="5" name="2015" dataDxfId="338" dataCellStyle="Comma 3">
      <calculatedColumnFormula>INDEX(INDIRECT("'"&amp;XV.a.Inputs[#Headers]&amp;"'!Year.NetBalance"), MATCH([Vector], INDIRECT("'"&amp;XV.a.Inputs[#Headers]&amp;"'!Year.Vectors"), 0))</calculatedColumnFormula>
    </tableColumn>
    <tableColumn id="6" name="2020" dataDxfId="337" dataCellStyle="Comma 3">
      <calculatedColumnFormula>INDEX(INDIRECT("'"&amp;XV.a.Inputs[#Headers]&amp;"'!Year.NetBalance"), MATCH([Vector], INDIRECT("'"&amp;XV.a.Inputs[#Headers]&amp;"'!Year.Vectors"), 0))</calculatedColumnFormula>
    </tableColumn>
    <tableColumn id="7" name="2025" dataDxfId="336" dataCellStyle="Comma 3">
      <calculatedColumnFormula>INDEX(INDIRECT("'"&amp;XV.a.Inputs[#Headers]&amp;"'!Year.NetBalance"), MATCH([Vector], INDIRECT("'"&amp;XV.a.Inputs[#Headers]&amp;"'!Year.Vectors"), 0))</calculatedColumnFormula>
    </tableColumn>
    <tableColumn id="8" name="2030" dataDxfId="335" dataCellStyle="Comma 3">
      <calculatedColumnFormula>INDEX(INDIRECT("'"&amp;XV.a.Inputs[#Headers]&amp;"'!Year.NetBalance"), MATCH([Vector], INDIRECT("'"&amp;XV.a.Inputs[#Headers]&amp;"'!Year.Vectors"), 0))</calculatedColumnFormula>
    </tableColumn>
    <tableColumn id="9" name="2035" dataDxfId="334" dataCellStyle="Comma 3">
      <calculatedColumnFormula>INDEX(INDIRECT("'"&amp;XV.a.Inputs[#Headers]&amp;"'!Year.NetBalance"), MATCH([Vector], INDIRECT("'"&amp;XV.a.Inputs[#Headers]&amp;"'!Year.Vectors"), 0))</calculatedColumnFormula>
    </tableColumn>
    <tableColumn id="10" name="2040" dataDxfId="333" dataCellStyle="Comma 3">
      <calculatedColumnFormula>INDEX(INDIRECT("'"&amp;XV.a.Inputs[#Headers]&amp;"'!Year.NetBalance"), MATCH([Vector], INDIRECT("'"&amp;XV.a.Inputs[#Headers]&amp;"'!Year.Vectors"), 0))</calculatedColumnFormula>
    </tableColumn>
    <tableColumn id="11" name="2045" dataDxfId="332" dataCellStyle="Comma 3">
      <calculatedColumnFormula>INDEX(INDIRECT("'"&amp;XV.a.Inputs[#Headers]&amp;"'!Year.NetBalance"), MATCH([Vector], INDIRECT("'"&amp;XV.a.Inputs[#Headers]&amp;"'!Year.Vectors"), 0))</calculatedColumnFormula>
    </tableColumn>
    <tableColumn id="12" name="2050" dataDxfId="331" dataCellStyle="Comma 3">
      <calculatedColumnFormula>INDEX(INDIRECT("'"&amp;XV.a.Inputs[#Headers]&amp;"'!Year.NetBalance"), MATCH([Vector], INDIRECT("'"&amp;XV.a.Inputs[#Headers]&amp;"'!Year.Vectors"), 0))</calculatedColumnFormula>
    </tableColumn>
  </tableColumns>
  <tableStyleInfo name="EnergyCalcTables" showFirstColumn="0" showLastColumn="0" showRowStripes="1" showColumnStripes="0"/>
</table>
</file>

<file path=xl/tables/table144.xml><?xml version="1.0" encoding="utf-8"?>
<table xmlns="http://schemas.openxmlformats.org/spreadsheetml/2006/main" id="156" name="XV.a.Outputs" displayName="XV.a.Outputs" ref="C171:N179" totalsRowCount="1" headerRowDxfId="330" dataDxfId="329" dataCellStyle="Comma 3">
  <autoFilter ref="C171:N178"/>
  <tableColumns count="12">
    <tableColumn id="1" name="Vector" totalsRowLabel="Total" dataDxfId="328" totalsRowDxfId="327"/>
    <tableColumn id="2" name="Name" dataDxfId="326" totalsRowDxfId="325">
      <calculatedColumnFormula>INDEX(Vectors[Description], MATCH([Vector], Vectors[Code], 0))</calculatedColumnFormula>
    </tableColumn>
    <tableColumn id="3" name="Notes" dataDxfId="324" totalsRowDxfId="323"/>
    <tableColumn id="4" name="2013" totalsRowFunction="sum" dataDxfId="322" totalsRowDxfId="321" dataCellStyle="Comma 3"/>
    <tableColumn id="5" name="2015" totalsRowFunction="sum" dataDxfId="320" totalsRowDxfId="319" dataCellStyle="Comma 3"/>
    <tableColumn id="6" name="2020" totalsRowFunction="sum" dataDxfId="318" totalsRowDxfId="317" dataCellStyle="Comma 3"/>
    <tableColumn id="7" name="2025" totalsRowFunction="sum" dataDxfId="316" totalsRowDxfId="315" dataCellStyle="Comma 3"/>
    <tableColumn id="8" name="2030" totalsRowFunction="sum" dataDxfId="314" totalsRowDxfId="313" dataCellStyle="Comma 3"/>
    <tableColumn id="9" name="2035" totalsRowFunction="sum" dataDxfId="312" totalsRowDxfId="311" dataCellStyle="Comma 3"/>
    <tableColumn id="10" name="2040" totalsRowFunction="sum" dataDxfId="310" totalsRowDxfId="309" dataCellStyle="Comma 3"/>
    <tableColumn id="11" name="2045" totalsRowFunction="sum" dataDxfId="308" totalsRowDxfId="307" dataCellStyle="Comma 3"/>
    <tableColumn id="12" name="2050" totalsRowFunction="sum" dataDxfId="306" totalsRowDxfId="305" dataCellStyle="Comma 3"/>
  </tableColumns>
  <tableStyleInfo name="EnergyCalcTables" showFirstColumn="0" showLastColumn="0" showRowStripes="1" showColumnStripes="0"/>
</table>
</file>

<file path=xl/tables/table145.xml><?xml version="1.0" encoding="utf-8"?>
<table xmlns="http://schemas.openxmlformats.org/spreadsheetml/2006/main" id="157" name="XV.a.Emissions" displayName="XV.a.Emissions" ref="C186:N190" totalsRowCount="1" headerRowDxfId="304" dataDxfId="302" headerRowBorderDxfId="303" dataCellStyle="Comma 3">
  <autoFilter ref="C186:N189"/>
  <tableColumns count="12">
    <tableColumn id="1" name="GHG" totalsRowLabel="Total" dataDxfId="301" totalsRowDxfId="300"/>
    <tableColumn id="2" name="IPCC Sector" dataDxfId="299" totalsRowDxfId="298"/>
    <tableColumn id="3" name="Notes" dataDxfId="297" totalsRowDxfId="296"/>
    <tableColumn id="4" name="2013" totalsRowFunction="sum" dataDxfId="295" totalsRowDxfId="294" dataCellStyle="Comma 3"/>
    <tableColumn id="5" name="2015" totalsRowFunction="sum" dataDxfId="293" totalsRowDxfId="292" dataCellStyle="Comma 3"/>
    <tableColumn id="6" name="2020" totalsRowFunction="sum" dataDxfId="291" totalsRowDxfId="290" dataCellStyle="Comma 3"/>
    <tableColumn id="7" name="2025" totalsRowFunction="sum" dataDxfId="289" totalsRowDxfId="288" dataCellStyle="Comma 3"/>
    <tableColumn id="8" name="2030" totalsRowFunction="sum" dataDxfId="287" totalsRowDxfId="286" dataCellStyle="Comma 3"/>
    <tableColumn id="9" name="2035" totalsRowFunction="sum" dataDxfId="285" totalsRowDxfId="284" dataCellStyle="Comma 3"/>
    <tableColumn id="10" name="2040" totalsRowFunction="sum" dataDxfId="283" totalsRowDxfId="282" dataCellStyle="Comma 3"/>
    <tableColumn id="11" name="2045" totalsRowFunction="sum" dataDxfId="281" totalsRowDxfId="280" dataCellStyle="Comma 3"/>
    <tableColumn id="12" name="2050" totalsRowFunction="sum" dataDxfId="279" totalsRowDxfId="278" dataCellStyle="Comma 3"/>
  </tableColumns>
  <tableStyleInfo name="EnergyCalcTables" showFirstColumn="0" showLastColumn="0" showRowStripes="1" showColumnStripes="0"/>
</table>
</file>

<file path=xl/tables/table146.xml><?xml version="1.0" encoding="utf-8"?>
<table xmlns="http://schemas.openxmlformats.org/spreadsheetml/2006/main" id="158" name="XV.a.AQ" displayName="XV.a.AQ" ref="C226:N230" totalsRowShown="0" headerRowDxfId="277" dataDxfId="275" headerRowBorderDxfId="276" totalsRowBorderDxfId="274">
  <autoFilter ref="C226:N230"/>
  <tableColumns count="12">
    <tableColumn id="1" name="Vector" dataDxfId="273"/>
    <tableColumn id="2" name="Name" dataDxfId="272"/>
    <tableColumn id="3" name="IPCC Sector" dataDxfId="271"/>
    <tableColumn id="4" name="2013" dataDxfId="270">
      <calculatedColumnFormula>F219</calculatedColumnFormula>
    </tableColumn>
    <tableColumn id="5" name="2015" dataDxfId="269">
      <calculatedColumnFormula>G219</calculatedColumnFormula>
    </tableColumn>
    <tableColumn id="6" name="2020" dataDxfId="268">
      <calculatedColumnFormula>H219</calculatedColumnFormula>
    </tableColumn>
    <tableColumn id="7" name="2025" dataDxfId="267">
      <calculatedColumnFormula>I219</calculatedColumnFormula>
    </tableColumn>
    <tableColumn id="8" name="2030" dataDxfId="266">
      <calculatedColumnFormula>J219</calculatedColumnFormula>
    </tableColumn>
    <tableColumn id="9" name="2035" dataDxfId="265">
      <calculatedColumnFormula>K219</calculatedColumnFormula>
    </tableColumn>
    <tableColumn id="10" name="2040" dataDxfId="264">
      <calculatedColumnFormula>L219</calculatedColumnFormula>
    </tableColumn>
    <tableColumn id="11" name="2045" dataDxfId="263">
      <calculatedColumnFormula>M219</calculatedColumnFormula>
    </tableColumn>
    <tableColumn id="12" name="2050" dataDxfId="262">
      <calculatedColumnFormula>N219</calculatedColumnFormula>
    </tableColumn>
  </tableColumns>
  <tableStyleInfo name="EnergyCalcTables" showFirstColumn="0" showLastColumn="0" showRowStripes="1" showColumnStripes="0"/>
</table>
</file>

<file path=xl/tables/table147.xml><?xml version="1.0" encoding="utf-8"?>
<table xmlns="http://schemas.openxmlformats.org/spreadsheetml/2006/main" id="100" name="XV.b.Outputs" displayName="XV.b.Outputs" ref="C206:N216" totalsRowCount="1" headerRowDxfId="261" dataDxfId="260" dataCellStyle="Comma 3">
  <autoFilter ref="C206:N215"/>
  <tableColumns count="12">
    <tableColumn id="1" name="Vector" totalsRowLabel="Total" dataDxfId="259" totalsRowDxfId="258"/>
    <tableColumn id="2" name="Name" dataDxfId="257" totalsRowDxfId="256">
      <calculatedColumnFormula>INDEX(Vectors[Description], MATCH([Vector], Vectors[Code], 0))</calculatedColumnFormula>
    </tableColumn>
    <tableColumn id="3" name="Notes" dataDxfId="255" totalsRowDxfId="254"/>
    <tableColumn id="4" name="2013" totalsRowFunction="sum" dataDxfId="253" totalsRowDxfId="252" dataCellStyle="Comma 3"/>
    <tableColumn id="5" name="2015" totalsRowFunction="sum" dataDxfId="251" totalsRowDxfId="250" dataCellStyle="Comma 3"/>
    <tableColumn id="6" name="2020" totalsRowFunction="sum" dataDxfId="249" totalsRowDxfId="248" dataCellStyle="Comma 3"/>
    <tableColumn id="7" name="2025" totalsRowFunction="sum" dataDxfId="247" totalsRowDxfId="246" dataCellStyle="Comma 3"/>
    <tableColumn id="8" name="2030" totalsRowFunction="sum" dataDxfId="245" totalsRowDxfId="244" dataCellStyle="Comma 3"/>
    <tableColumn id="9" name="2035" totalsRowFunction="sum" dataDxfId="243" totalsRowDxfId="242" dataCellStyle="Comma 3"/>
    <tableColumn id="10" name="2040" totalsRowFunction="sum" dataDxfId="241" totalsRowDxfId="240" dataCellStyle="Comma 3"/>
    <tableColumn id="11" name="2045" totalsRowFunction="sum" dataDxfId="239" totalsRowDxfId="238" dataCellStyle="Comma 3"/>
    <tableColumn id="12" name="2050" totalsRowFunction="sum" dataDxfId="237" totalsRowDxfId="236" dataCellStyle="Comma 3"/>
  </tableColumns>
  <tableStyleInfo name="EnergyCalcTables" showFirstColumn="0" showLastColumn="0" showRowStripes="1" showColumnStripes="0"/>
</table>
</file>

<file path=xl/tables/table148.xml><?xml version="1.0" encoding="utf-8"?>
<table xmlns="http://schemas.openxmlformats.org/spreadsheetml/2006/main" id="101" name="XV.b.Emissions" displayName="XV.b.Emissions" ref="C223:N229" totalsRowCount="1" headerRowDxfId="235" dataDxfId="233" headerRowBorderDxfId="234" dataCellStyle="Comma 3">
  <autoFilter ref="C223:N228"/>
  <tableColumns count="12">
    <tableColumn id="1" name="GHG" totalsRowLabel="Total" dataDxfId="232" totalsRowDxfId="231"/>
    <tableColumn id="2" name="IPCC Sector" dataDxfId="230" totalsRowDxfId="229"/>
    <tableColumn id="3" name="Notes" dataDxfId="228" totalsRowDxfId="227"/>
    <tableColumn id="4" name="2013" totalsRowFunction="sum" dataDxfId="226" totalsRowDxfId="225" dataCellStyle="Comma 3"/>
    <tableColumn id="5" name="2015" totalsRowFunction="sum" dataDxfId="224" totalsRowDxfId="223" dataCellStyle="Comma 3"/>
    <tableColumn id="6" name="2020" totalsRowFunction="sum" dataDxfId="222" totalsRowDxfId="221" dataCellStyle="Comma 3"/>
    <tableColumn id="7" name="2025" totalsRowFunction="sum" dataDxfId="220" totalsRowDxfId="219" dataCellStyle="Comma 3"/>
    <tableColumn id="8" name="2030" totalsRowFunction="sum" dataDxfId="218" totalsRowDxfId="217" dataCellStyle="Comma 3"/>
    <tableColumn id="9" name="2035" totalsRowFunction="sum" dataDxfId="216" totalsRowDxfId="215" dataCellStyle="Comma 3"/>
    <tableColumn id="10" name="2040" totalsRowFunction="sum" dataDxfId="214" totalsRowDxfId="213" dataCellStyle="Comma 3"/>
    <tableColumn id="11" name="2045" totalsRowFunction="sum" dataDxfId="212" totalsRowDxfId="211" dataCellStyle="Comma 3"/>
    <tableColumn id="12" name="2050" totalsRowFunction="sum" dataDxfId="210" totalsRowDxfId="209" dataCellStyle="Comma 3"/>
  </tableColumns>
  <tableStyleInfo name="EnergyCalcTables" showFirstColumn="0" showLastColumn="0" showRowStripes="1" showColumnStripes="0"/>
</table>
</file>

<file path=xl/tables/table149.xml><?xml version="1.0" encoding="utf-8"?>
<table xmlns="http://schemas.openxmlformats.org/spreadsheetml/2006/main" id="102" name="XV.b.AQ" displayName="XV.b.AQ" ref="C268:N272" totalsRowShown="0" headerRowDxfId="208" dataDxfId="206" headerRowBorderDxfId="207" totalsRowBorderDxfId="205">
  <autoFilter ref="C268:N272"/>
  <tableColumns count="12">
    <tableColumn id="1" name="Vector" dataDxfId="204"/>
    <tableColumn id="2" name="Name" dataDxfId="203">
      <calculatedColumnFormula>INDEX(AirQualityVectors[Description],MATCH(C269,AirQualityVectors[Code],0))</calculatedColumnFormula>
    </tableColumn>
    <tableColumn id="3" name="IPCC Sector" dataDxfId="202"/>
    <tableColumn id="4" name="2013" dataDxfId="201">
      <calculatedColumnFormula>F167+F175</calculatedColumnFormula>
    </tableColumn>
    <tableColumn id="5" name="2015" dataDxfId="200">
      <calculatedColumnFormula>G167+G175</calculatedColumnFormula>
    </tableColumn>
    <tableColumn id="6" name="2020" dataDxfId="199">
      <calculatedColumnFormula>H167+H175</calculatedColumnFormula>
    </tableColumn>
    <tableColumn id="7" name="2025" dataDxfId="198">
      <calculatedColumnFormula>I167+I175</calculatedColumnFormula>
    </tableColumn>
    <tableColumn id="8" name="2030" dataDxfId="197">
      <calculatedColumnFormula>J167+J175</calculatedColumnFormula>
    </tableColumn>
    <tableColumn id="9" name="2035" dataDxfId="196">
      <calculatedColumnFormula>K167+K175</calculatedColumnFormula>
    </tableColumn>
    <tableColumn id="10" name="2040" dataDxfId="195">
      <calculatedColumnFormula>L167+L175</calculatedColumnFormula>
    </tableColumn>
    <tableColumn id="11" name="2045" dataDxfId="194">
      <calculatedColumnFormula>M167+M175</calculatedColumnFormula>
    </tableColumn>
    <tableColumn id="12" name="2050" dataDxfId="193">
      <calculatedColumnFormula>N167+N175</calculatedColumnFormula>
    </tableColumn>
  </tableColumns>
  <tableStyleInfo name="EnergyCalcTables" showFirstColumn="0" showLastColumn="0" showRowStripes="1" showColumnStripes="0"/>
</table>
</file>

<file path=xl/tables/table150.xml><?xml version="1.0" encoding="utf-8"?>
<table xmlns="http://schemas.openxmlformats.org/spreadsheetml/2006/main" id="105" name="XVI.a.Inputs" displayName="XVI.a.Inputs" ref="C8:N11" totalsRowShown="0" headerRowDxfId="192" dataDxfId="191" dataCellStyle="Comma">
  <autoFilter ref="C8:N11"/>
  <tableColumns count="12">
    <tableColumn id="1" name="Vector"/>
    <tableColumn id="2" name="Name" dataDxfId="190">
      <calculatedColumnFormula>INDEX(Vectors[Description], MATCH([Vector], Vectors[Code], 0))</calculatedColumnFormula>
    </tableColumn>
    <tableColumn id="3" name="Notes"/>
    <tableColumn id="4" name="2013" dataDxfId="189" dataCellStyle="Comma">
      <calculatedColumnFormula>INDEX(INDIRECT("'"&amp;XVI.a.Inputs[#Headers]&amp;"'!Year.Matrix"), MATCH("Subtotal."&amp;$A$2, INDIRECT("'"&amp;XVI.a.Inputs[#Headers]&amp;"'!Year.Modules"), 0), MATCH([Vector], INDIRECT("'"&amp;XVI.a.Inputs[#Headers]&amp;"'!Year.Vectors"), 0))</calculatedColumnFormula>
    </tableColumn>
    <tableColumn id="5" name="2015" dataDxfId="188" dataCellStyle="Comma">
      <calculatedColumnFormula>INDEX(INDIRECT("'"&amp;XVI.a.Inputs[#Headers]&amp;"'!Year.Matrix"), MATCH("Subtotal."&amp;$A$2, INDIRECT("'"&amp;XVI.a.Inputs[#Headers]&amp;"'!Year.Modules"), 0), MATCH([Vector], INDIRECT("'"&amp;XVI.a.Inputs[#Headers]&amp;"'!Year.Vectors"), 0))</calculatedColumnFormula>
    </tableColumn>
    <tableColumn id="6" name="2020" dataDxfId="187" dataCellStyle="Comma">
      <calculatedColumnFormula>INDEX(INDIRECT("'"&amp;XVI.a.Inputs[#Headers]&amp;"'!Year.Matrix"), MATCH("Subtotal."&amp;$A$2, INDIRECT("'"&amp;XVI.a.Inputs[#Headers]&amp;"'!Year.Modules"), 0), MATCH([Vector], INDIRECT("'"&amp;XVI.a.Inputs[#Headers]&amp;"'!Year.Vectors"), 0))</calculatedColumnFormula>
    </tableColumn>
    <tableColumn id="7" name="2025" dataDxfId="186" dataCellStyle="Comma">
      <calculatedColumnFormula>INDEX(INDIRECT("'"&amp;XVI.a.Inputs[#Headers]&amp;"'!Year.Matrix"), MATCH("Subtotal."&amp;$A$2, INDIRECT("'"&amp;XVI.a.Inputs[#Headers]&amp;"'!Year.Modules"), 0), MATCH([Vector], INDIRECT("'"&amp;XVI.a.Inputs[#Headers]&amp;"'!Year.Vectors"), 0))</calculatedColumnFormula>
    </tableColumn>
    <tableColumn id="8" name="2030" dataDxfId="185" dataCellStyle="Comma">
      <calculatedColumnFormula>INDEX(INDIRECT("'"&amp;XVI.a.Inputs[#Headers]&amp;"'!Year.Matrix"), MATCH("Subtotal."&amp;$A$2, INDIRECT("'"&amp;XVI.a.Inputs[#Headers]&amp;"'!Year.Modules"), 0), MATCH([Vector], INDIRECT("'"&amp;XVI.a.Inputs[#Headers]&amp;"'!Year.Vectors"), 0))</calculatedColumnFormula>
    </tableColumn>
    <tableColumn id="9" name="2035" dataDxfId="184" dataCellStyle="Comma">
      <calculatedColumnFormula>INDEX(INDIRECT("'"&amp;XVI.a.Inputs[#Headers]&amp;"'!Year.Matrix"), MATCH("Subtotal."&amp;$A$2, INDIRECT("'"&amp;XVI.a.Inputs[#Headers]&amp;"'!Year.Modules"), 0), MATCH([Vector], INDIRECT("'"&amp;XVI.a.Inputs[#Headers]&amp;"'!Year.Vectors"), 0))</calculatedColumnFormula>
    </tableColumn>
    <tableColumn id="10" name="2040" dataDxfId="183" dataCellStyle="Comma">
      <calculatedColumnFormula>INDEX(INDIRECT("'"&amp;XVI.a.Inputs[#Headers]&amp;"'!Year.Matrix"), MATCH("Subtotal."&amp;$A$2, INDIRECT("'"&amp;XVI.a.Inputs[#Headers]&amp;"'!Year.Modules"), 0), MATCH([Vector], INDIRECT("'"&amp;XVI.a.Inputs[#Headers]&amp;"'!Year.Vectors"), 0))</calculatedColumnFormula>
    </tableColumn>
    <tableColumn id="11" name="2045" dataDxfId="182" dataCellStyle="Comma">
      <calculatedColumnFormula>INDEX(INDIRECT("'"&amp;XVI.a.Inputs[#Headers]&amp;"'!Year.Matrix"), MATCH("Subtotal."&amp;$A$2, INDIRECT("'"&amp;XVI.a.Inputs[#Headers]&amp;"'!Year.Modules"), 0), MATCH([Vector], INDIRECT("'"&amp;XVI.a.Inputs[#Headers]&amp;"'!Year.Vectors"), 0))</calculatedColumnFormula>
    </tableColumn>
    <tableColumn id="12" name="2050" dataDxfId="181" dataCellStyle="Comma">
      <calculatedColumnFormula>INDEX(INDIRECT("'"&amp;XVI.a.Inputs[#Headers]&amp;"'!Year.Matrix"), MATCH("Subtotal."&amp;$A$2, INDIRECT("'"&amp;XVI.a.Inputs[#Headers]&amp;"'!Year.Modules"), 0), MATCH([Vector], INDIRECT("'"&amp;XVI.a.Inputs[#Headers]&amp;"'!Year.Vectors"), 0))</calculatedColumnFormula>
    </tableColumn>
  </tableColumns>
  <tableStyleInfo name="EnergyCalcTables" showFirstColumn="0" showLastColumn="0" showRowStripes="1" showColumnStripes="0"/>
</table>
</file>

<file path=xl/tables/table151.xml><?xml version="1.0" encoding="utf-8"?>
<table xmlns="http://schemas.openxmlformats.org/spreadsheetml/2006/main" id="106" name="XVI.a.Outputs" displayName="XVI.a.Outputs" ref="C107:N115" totalsRowCount="1" headerRowDxfId="180" dataDxfId="179" dataCellStyle="Comma 3">
  <autoFilter ref="C107:N114"/>
  <tableColumns count="12">
    <tableColumn id="1" name="Vector" totalsRowLabel="Total" dataDxfId="178" totalsRowDxfId="177"/>
    <tableColumn id="2" name="Name" dataDxfId="176" totalsRowDxfId="175">
      <calculatedColumnFormula>INDEX(Vectors[Description], MATCH([Vector], Vectors[Code], 0))</calculatedColumnFormula>
    </tableColumn>
    <tableColumn id="3" name="Notes" dataDxfId="174" totalsRowDxfId="173"/>
    <tableColumn id="4" name="2013" totalsRowFunction="sum" dataDxfId="172" totalsRowDxfId="171" dataCellStyle="Comma 3"/>
    <tableColumn id="5" name="2015" totalsRowFunction="sum" dataDxfId="170" totalsRowDxfId="169" dataCellStyle="Comma 3"/>
    <tableColumn id="6" name="2020" totalsRowFunction="sum" dataDxfId="168" totalsRowDxfId="167" dataCellStyle="Comma 3"/>
    <tableColumn id="7" name="2025" totalsRowFunction="sum" dataDxfId="166" totalsRowDxfId="165" dataCellStyle="Comma 3"/>
    <tableColumn id="8" name="2030" totalsRowFunction="sum" dataDxfId="164" totalsRowDxfId="163" dataCellStyle="Comma 3"/>
    <tableColumn id="9" name="2035" totalsRowFunction="sum" dataDxfId="162" totalsRowDxfId="161" dataCellStyle="Comma 3"/>
    <tableColumn id="10" name="2040" totalsRowFunction="sum" dataDxfId="160" totalsRowDxfId="159" dataCellStyle="Comma 3"/>
    <tableColumn id="11" name="2045" totalsRowFunction="sum" dataDxfId="158" totalsRowDxfId="157" dataCellStyle="Comma 3"/>
    <tableColumn id="12" name="2050" totalsRowFunction="sum" dataDxfId="156" totalsRowDxfId="155" dataCellStyle="Comma 3"/>
  </tableColumns>
  <tableStyleInfo name="EnergyCalcTables" showFirstColumn="0" showLastColumn="0" showRowStripes="1" showColumnStripes="0"/>
</table>
</file>

<file path=xl/tables/table152.xml><?xml version="1.0" encoding="utf-8"?>
<table xmlns="http://schemas.openxmlformats.org/spreadsheetml/2006/main" id="107" name="XVI.a.Emissions" displayName="XVI.a.Emissions" ref="C122:N124" totalsRowCount="1" headerRowDxfId="154" dataDxfId="152" headerRowBorderDxfId="153" dataCellStyle="Comma">
  <autoFilter ref="C122:N123"/>
  <tableColumns count="12">
    <tableColumn id="1" name="GHG" totalsRowLabel="Total" dataDxfId="151" totalsRowDxfId="150"/>
    <tableColumn id="2" name="IPCC Sector" dataDxfId="149" totalsRowDxfId="148"/>
    <tableColumn id="3" name="Notes" dataDxfId="147" totalsRowDxfId="146"/>
    <tableColumn id="4" name="2013" totalsRowFunction="sum" dataDxfId="145" totalsRowDxfId="144" dataCellStyle="Comma">
      <calculatedColumnFormula>F73</calculatedColumnFormula>
    </tableColumn>
    <tableColumn id="5" name="2015" totalsRowFunction="sum" dataDxfId="143" totalsRowDxfId="142" dataCellStyle="Comma">
      <calculatedColumnFormula>G73</calculatedColumnFormula>
    </tableColumn>
    <tableColumn id="6" name="2020" totalsRowFunction="sum" dataDxfId="141" totalsRowDxfId="140" dataCellStyle="Comma">
      <calculatedColumnFormula>H73</calculatedColumnFormula>
    </tableColumn>
    <tableColumn id="7" name="2025" totalsRowFunction="sum" dataDxfId="139" totalsRowDxfId="138" dataCellStyle="Comma">
      <calculatedColumnFormula>I73</calculatedColumnFormula>
    </tableColumn>
    <tableColumn id="8" name="2030" totalsRowFunction="sum" dataDxfId="137" totalsRowDxfId="136" dataCellStyle="Comma">
      <calculatedColumnFormula>J73</calculatedColumnFormula>
    </tableColumn>
    <tableColumn id="9" name="2035" totalsRowFunction="sum" dataDxfId="135" totalsRowDxfId="134" dataCellStyle="Comma">
      <calculatedColumnFormula>K73</calculatedColumnFormula>
    </tableColumn>
    <tableColumn id="10" name="2040" totalsRowFunction="sum" dataDxfId="133" totalsRowDxfId="132" dataCellStyle="Comma">
      <calculatedColumnFormula>L73</calculatedColumnFormula>
    </tableColumn>
    <tableColumn id="11" name="2045" totalsRowFunction="sum" dataDxfId="131" totalsRowDxfId="130" dataCellStyle="Comma">
      <calculatedColumnFormula>M73</calculatedColumnFormula>
    </tableColumn>
    <tableColumn id="12" name="2050" totalsRowFunction="sum" dataDxfId="129" totalsRowDxfId="128" dataCellStyle="Comma">
      <calculatedColumnFormula>N73</calculatedColumnFormula>
    </tableColumn>
  </tableColumns>
  <tableStyleInfo name="EnergyCalcTables" showFirstColumn="0" showLastColumn="0" showRowStripes="1" showColumnStripes="0"/>
</table>
</file>

<file path=xl/tables/table153.xml><?xml version="1.0" encoding="utf-8"?>
<table xmlns="http://schemas.openxmlformats.org/spreadsheetml/2006/main" id="108" name="XVI.a.AQ" displayName="XVI.a.AQ" ref="C151:N152" totalsRowShown="0" headerRowDxfId="127" dataDxfId="125" headerRowBorderDxfId="126" tableBorderDxfId="124" totalsRowBorderDxfId="123">
  <autoFilter ref="C151:N152"/>
  <tableColumns count="12">
    <tableColumn id="1" name="Vector" dataDxfId="122"/>
    <tableColumn id="2" name="Name" dataDxfId="121"/>
    <tableColumn id="3" name="IPCC Sector" dataDxfId="120"/>
    <tableColumn id="4" name="2013" dataDxfId="119">
      <calculatedColumnFormula>$G152*(F$64/$G$64)</calculatedColumnFormula>
    </tableColumn>
    <tableColumn id="5" name="2015" dataDxfId="118">
      <calculatedColumnFormula>G$29</calculatedColumnFormula>
    </tableColumn>
    <tableColumn id="6" name="2020" dataDxfId="117">
      <calculatedColumnFormula>H$29</calculatedColumnFormula>
    </tableColumn>
    <tableColumn id="7" name="2025" dataDxfId="116">
      <calculatedColumnFormula>I$29</calculatedColumnFormula>
    </tableColumn>
    <tableColumn id="8" name="2030" dataDxfId="115">
      <calculatedColumnFormula>J$29</calculatedColumnFormula>
    </tableColumn>
    <tableColumn id="9" name="2035" dataDxfId="114">
      <calculatedColumnFormula>K$29</calculatedColumnFormula>
    </tableColumn>
    <tableColumn id="10" name="2040" dataDxfId="113">
      <calculatedColumnFormula>$K152*(L$64/$K$64)</calculatedColumnFormula>
    </tableColumn>
    <tableColumn id="11" name="2045" dataDxfId="112">
      <calculatedColumnFormula>$K152*(M$64/$K$64)</calculatedColumnFormula>
    </tableColumn>
    <tableColumn id="12" name="2050" dataDxfId="111">
      <calculatedColumnFormula>$K152*(N$64/$K$64)</calculatedColumnFormula>
    </tableColumn>
  </tableColumns>
  <tableStyleInfo name="EnergyCalcTables" showFirstColumn="0" showLastColumn="0" showRowStripes="1" showColumnStripes="0"/>
</table>
</file>

<file path=xl/tables/table154.xml><?xml version="1.0" encoding="utf-8"?>
<table xmlns="http://schemas.openxmlformats.org/spreadsheetml/2006/main" id="103" name="XVI.b.Inputs" displayName="XVI.b.Inputs" ref="C8:N11" totalsRowShown="0" headerRowDxfId="110" dataDxfId="109" dataCellStyle="ofwhich">
  <autoFilter ref="C8:N11"/>
  <tableColumns count="12">
    <tableColumn id="1" name="Vector"/>
    <tableColumn id="2" name="Name" dataDxfId="108">
      <calculatedColumnFormula>INDEX(Vectors[Description], MATCH([Vector], Vectors[Code], 0))</calculatedColumnFormula>
    </tableColumn>
    <tableColumn id="3" name="Notes"/>
    <tableColumn id="4" name="2013" dataDxfId="107" dataCellStyle="ofwhich">
      <calculatedColumnFormula>INDEX(INDIRECT("'"&amp;F$8&amp;"'!Year.NetBalance"), MATCH($C9, INDIRECT("'"&amp;F$8&amp;"'!Year.Vectors"), 0))</calculatedColumnFormula>
    </tableColumn>
    <tableColumn id="5" name="2015" dataDxfId="106" dataCellStyle="ofwhich">
      <calculatedColumnFormula>INDEX(INDIRECT("'"&amp;G$8&amp;"'!Year.NetBalance"), MATCH($C9, INDIRECT("'"&amp;G$8&amp;"'!Year.Vectors"), 0))</calculatedColumnFormula>
    </tableColumn>
    <tableColumn id="6" name="2020" dataDxfId="105" dataCellStyle="ofwhich">
      <calculatedColumnFormula>INDEX(INDIRECT("'"&amp;H$8&amp;"'!Year.NetBalance"), MATCH($C9, INDIRECT("'"&amp;H$8&amp;"'!Year.Vectors"), 0))</calculatedColumnFormula>
    </tableColumn>
    <tableColumn id="7" name="2025" dataDxfId="104" dataCellStyle="ofwhich">
      <calculatedColumnFormula>INDEX(INDIRECT("'"&amp;I$8&amp;"'!Year.NetBalance"), MATCH($C9, INDIRECT("'"&amp;I$8&amp;"'!Year.Vectors"), 0))</calculatedColumnFormula>
    </tableColumn>
    <tableColumn id="8" name="2030" dataDxfId="103" dataCellStyle="ofwhich">
      <calculatedColumnFormula>INDEX(INDIRECT("'"&amp;J$8&amp;"'!Year.NetBalance"), MATCH($C9, INDIRECT("'"&amp;J$8&amp;"'!Year.Vectors"), 0))</calculatedColumnFormula>
    </tableColumn>
    <tableColumn id="9" name="2035" dataDxfId="102" dataCellStyle="ofwhich">
      <calculatedColumnFormula>INDEX(INDIRECT("'"&amp;K$8&amp;"'!Year.NetBalance"), MATCH($C9, INDIRECT("'"&amp;K$8&amp;"'!Year.Vectors"), 0))</calculatedColumnFormula>
    </tableColumn>
    <tableColumn id="10" name="2040" dataDxfId="101" dataCellStyle="ofwhich">
      <calculatedColumnFormula>INDEX(INDIRECT("'"&amp;L$8&amp;"'!Year.NetBalance"), MATCH($C9, INDIRECT("'"&amp;L$8&amp;"'!Year.Vectors"), 0))</calculatedColumnFormula>
    </tableColumn>
    <tableColumn id="11" name="2045" dataDxfId="100" dataCellStyle="ofwhich">
      <calculatedColumnFormula>INDEX(INDIRECT("'"&amp;M$8&amp;"'!Year.NetBalance"), MATCH($C9, INDIRECT("'"&amp;M$8&amp;"'!Year.Vectors"), 0))</calculatedColumnFormula>
    </tableColumn>
    <tableColumn id="12" name="2050" dataDxfId="99" dataCellStyle="ofwhich">
      <calculatedColumnFormula>INDEX(INDIRECT("'"&amp;N$8&amp;"'!Year.NetBalance"), MATCH($C9, INDIRECT("'"&amp;N$8&amp;"'!Year.Vectors"), 0))</calculatedColumnFormula>
    </tableColumn>
  </tableColumns>
  <tableStyleInfo name="EnergyCalcTables" showFirstColumn="0" showLastColumn="0" showRowStripes="1" showColumnStripes="0"/>
</table>
</file>

<file path=xl/tables/table155.xml><?xml version="1.0" encoding="utf-8"?>
<table xmlns="http://schemas.openxmlformats.org/spreadsheetml/2006/main" id="104" name="Table" displayName="Table" ref="C14:N15" totalsRowShown="0" headerRowDxfId="98" dataDxfId="96" headerRowBorderDxfId="97" dataCellStyle="ofwhich">
  <autoFilter ref="C14:N15"/>
  <tableColumns count="12">
    <tableColumn id="1" name="Vector" dataDxfId="95"/>
    <tableColumn id="2" name="Name" dataDxfId="94"/>
    <tableColumn id="3" name="Notes" dataDxfId="93"/>
    <tableColumn id="4" name="2013" dataDxfId="92" dataCellStyle="ofwhich">
      <calculatedColumnFormula>INDEX(INDIRECT("'"&amp;F$8&amp;"'!Year.NetBalance"), MATCH($C15, INDIRECT("'"&amp;F$8&amp;"'!Year.Vectors"), 0))</calculatedColumnFormula>
    </tableColumn>
    <tableColumn id="5" name="2015" dataDxfId="91" dataCellStyle="ofwhich">
      <calculatedColumnFormula>INDEX(INDIRECT("'"&amp;G$8&amp;"'!Year.NetBalance"), MATCH($C15, INDIRECT("'"&amp;G$8&amp;"'!Year.Vectors"), 0))</calculatedColumnFormula>
    </tableColumn>
    <tableColumn id="6" name="2020" dataDxfId="90" dataCellStyle="ofwhich">
      <calculatedColumnFormula>INDEX(INDIRECT("'"&amp;H$8&amp;"'!Year.NetBalance"), MATCH($C15, INDIRECT("'"&amp;H$8&amp;"'!Year.Vectors"), 0))</calculatedColumnFormula>
    </tableColumn>
    <tableColumn id="7" name="2025" dataDxfId="89" dataCellStyle="ofwhich">
      <calculatedColumnFormula>INDEX(INDIRECT("'"&amp;I$8&amp;"'!Year.NetBalance"), MATCH($C15, INDIRECT("'"&amp;I$8&amp;"'!Year.Vectors"), 0))</calculatedColumnFormula>
    </tableColumn>
    <tableColumn id="8" name="2030" dataDxfId="88" dataCellStyle="ofwhich">
      <calculatedColumnFormula>INDEX(INDIRECT("'"&amp;J$8&amp;"'!Year.NetBalance"), MATCH($C15, INDIRECT("'"&amp;J$8&amp;"'!Year.Vectors"), 0))</calculatedColumnFormula>
    </tableColumn>
    <tableColumn id="9" name="2035" dataDxfId="87" dataCellStyle="ofwhich">
      <calculatedColumnFormula>INDEX(INDIRECT("'"&amp;K$8&amp;"'!Year.NetBalance"), MATCH($C15, INDIRECT("'"&amp;K$8&amp;"'!Year.Vectors"), 0))</calculatedColumnFormula>
    </tableColumn>
    <tableColumn id="10" name="2040" dataDxfId="86" dataCellStyle="ofwhich">
      <calculatedColumnFormula>INDEX(INDIRECT("'"&amp;L$8&amp;"'!Year.NetBalance"), MATCH($C15, INDIRECT("'"&amp;L$8&amp;"'!Year.Vectors"), 0))</calculatedColumnFormula>
    </tableColumn>
    <tableColumn id="11" name="2045" dataDxfId="85" dataCellStyle="ofwhich">
      <calculatedColumnFormula>INDEX(INDIRECT("'"&amp;M$8&amp;"'!Year.NetBalance"), MATCH($C15, INDIRECT("'"&amp;M$8&amp;"'!Year.Vectors"), 0))</calculatedColumnFormula>
    </tableColumn>
    <tableColumn id="12" name="2050" dataDxfId="84" dataCellStyle="ofwhich">
      <calculatedColumnFormula>INDEX(INDIRECT("'"&amp;N$8&amp;"'!Year.NetBalance"), MATCH($C15, INDIRECT("'"&amp;N$8&amp;"'!Year.Vectors"), 0))</calculatedColumnFormula>
    </tableColumn>
  </tableColumns>
  <tableStyleInfo name="EnergyCalcTables" showFirstColumn="0" showLastColumn="0" showRowStripes="1" showColumnStripes="0"/>
</table>
</file>

<file path=xl/tables/table156.xml><?xml version="1.0" encoding="utf-8"?>
<table xmlns="http://schemas.openxmlformats.org/spreadsheetml/2006/main" id="139" name="XVI.b.Outputs" displayName="XVI.b.Outputs" ref="C79:N81" totalsRowCount="1" headerRowDxfId="83" totalsRowDxfId="82">
  <autoFilter ref="C79:N80"/>
  <tableColumns count="12">
    <tableColumn id="1" name="Vector" totalsRowLabel="Total" totalsRowDxfId="81"/>
    <tableColumn id="2" name="Name" dataDxfId="80" totalsRowDxfId="79"/>
    <tableColumn id="3" name="Notes" totalsRowDxfId="78"/>
    <tableColumn id="4" name="2013" totalsRowDxfId="77"/>
    <tableColumn id="5" name="2015" totalsRowDxfId="76"/>
    <tableColumn id="6" name="2020" totalsRowDxfId="75"/>
    <tableColumn id="7" name="2025" totalsRowDxfId="74"/>
    <tableColumn id="8" name="2030" totalsRowDxfId="73"/>
    <tableColumn id="9" name="2035" totalsRowDxfId="72"/>
    <tableColumn id="10" name="2040" totalsRowDxfId="71"/>
    <tableColumn id="11" name="2045" totalsRowDxfId="70"/>
    <tableColumn id="12" name="2050" totalsRowFunction="count" totalsRowDxfId="69"/>
  </tableColumns>
  <tableStyleInfo name="EnergyCalcTables" showFirstColumn="0" showLastColumn="0" showRowStripes="1" showColumnStripes="0"/>
</table>
</file>

<file path=xl/tables/table157.xml><?xml version="1.0" encoding="utf-8"?>
<table xmlns="http://schemas.openxmlformats.org/spreadsheetml/2006/main" id="143" name="XVII.a.Inputs" displayName="XVII.a.Inputs" ref="C8:N9" totalsRowShown="0" headerRowDxfId="68" dataDxfId="67" dataCellStyle="Comma 3">
  <autoFilter ref="C8:N9"/>
  <tableColumns count="12">
    <tableColumn id="1" name="Vector" dataDxfId="66"/>
    <tableColumn id="2" name="Name" dataDxfId="65"/>
    <tableColumn id="3" name="Notes" dataDxfId="64"/>
    <tableColumn id="4" name="2013" dataDxfId="63" dataCellStyle="Comma 3">
      <calculatedColumnFormula>INDEX(INDIRECT("'"&amp;XVII.a.Inputs[#Headers]&amp;"'!Year.Matrix"), MATCH("Subtotal."&amp;$A$2, INDIRECT("'"&amp;XVII.a.Inputs[#Headers]&amp;"'!Year.Modules"), 0), MATCH([Vector], INDIRECT("'"&amp;XVII.a.Inputs[#Headers]&amp;"'!Year.Vectors"), 0))</calculatedColumnFormula>
    </tableColumn>
    <tableColumn id="5" name="2015" dataDxfId="62" dataCellStyle="Comma 3">
      <calculatedColumnFormula>INDEX(INDIRECT("'"&amp;XVII.a.Inputs[#Headers]&amp;"'!Year.Matrix"), MATCH("Subtotal."&amp;$A$2, INDIRECT("'"&amp;XVII.a.Inputs[#Headers]&amp;"'!Year.Modules"), 0), MATCH([Vector], INDIRECT("'"&amp;XVII.a.Inputs[#Headers]&amp;"'!Year.Vectors"), 0))</calculatedColumnFormula>
    </tableColumn>
    <tableColumn id="6" name="2020" dataDxfId="61" dataCellStyle="Comma 3">
      <calculatedColumnFormula>INDEX(INDIRECT("'"&amp;XVII.a.Inputs[#Headers]&amp;"'!Year.Matrix"), MATCH("Subtotal."&amp;$A$2, INDIRECT("'"&amp;XVII.a.Inputs[#Headers]&amp;"'!Year.Modules"), 0), MATCH([Vector], INDIRECT("'"&amp;XVII.a.Inputs[#Headers]&amp;"'!Year.Vectors"), 0))</calculatedColumnFormula>
    </tableColumn>
    <tableColumn id="7" name="2025" dataDxfId="60" dataCellStyle="Comma 3">
      <calculatedColumnFormula>INDEX(INDIRECT("'"&amp;XVII.a.Inputs[#Headers]&amp;"'!Year.Matrix"), MATCH("Subtotal."&amp;$A$2, INDIRECT("'"&amp;XVII.a.Inputs[#Headers]&amp;"'!Year.Modules"), 0), MATCH([Vector], INDIRECT("'"&amp;XVII.a.Inputs[#Headers]&amp;"'!Year.Vectors"), 0))</calculatedColumnFormula>
    </tableColumn>
    <tableColumn id="8" name="2030" dataDxfId="59" dataCellStyle="Comma 3">
      <calculatedColumnFormula>INDEX(INDIRECT("'"&amp;XVII.a.Inputs[#Headers]&amp;"'!Year.Matrix"), MATCH("Subtotal."&amp;$A$2, INDIRECT("'"&amp;XVII.a.Inputs[#Headers]&amp;"'!Year.Modules"), 0), MATCH([Vector], INDIRECT("'"&amp;XVII.a.Inputs[#Headers]&amp;"'!Year.Vectors"), 0))</calculatedColumnFormula>
    </tableColumn>
    <tableColumn id="9" name="2035" dataDxfId="58" dataCellStyle="Comma 3">
      <calculatedColumnFormula>INDEX(INDIRECT("'"&amp;XVII.a.Inputs[#Headers]&amp;"'!Year.Matrix"), MATCH("Subtotal."&amp;$A$2, INDIRECT("'"&amp;XVII.a.Inputs[#Headers]&amp;"'!Year.Modules"), 0), MATCH([Vector], INDIRECT("'"&amp;XVII.a.Inputs[#Headers]&amp;"'!Year.Vectors"), 0))</calculatedColumnFormula>
    </tableColumn>
    <tableColumn id="10" name="2040" dataDxfId="57" dataCellStyle="Comma 3">
      <calculatedColumnFormula>INDEX(INDIRECT("'"&amp;XVII.a.Inputs[#Headers]&amp;"'!Year.Matrix"), MATCH("Subtotal."&amp;$A$2, INDIRECT("'"&amp;XVII.a.Inputs[#Headers]&amp;"'!Year.Modules"), 0), MATCH([Vector], INDIRECT("'"&amp;XVII.a.Inputs[#Headers]&amp;"'!Year.Vectors"), 0))</calculatedColumnFormula>
    </tableColumn>
    <tableColumn id="11" name="2045" dataDxfId="56" dataCellStyle="Comma 3">
      <calculatedColumnFormula>INDEX(INDIRECT("'"&amp;XVII.a.Inputs[#Headers]&amp;"'!Year.Matrix"), MATCH("Subtotal."&amp;$A$2, INDIRECT("'"&amp;XVII.a.Inputs[#Headers]&amp;"'!Year.Modules"), 0), MATCH([Vector], INDIRECT("'"&amp;XVII.a.Inputs[#Headers]&amp;"'!Year.Vectors"), 0))</calculatedColumnFormula>
    </tableColumn>
    <tableColumn id="12" name="2050" dataDxfId="55" dataCellStyle="Comma 3">
      <calculatedColumnFormula>INDEX(INDIRECT("'"&amp;XVII.a.Inputs[#Headers]&amp;"'!Year.Matrix"), MATCH("Subtotal."&amp;$A$2, INDIRECT("'"&amp;XVII.a.Inputs[#Headers]&amp;"'!Year.Modules"), 0), MATCH([Vector], INDIRECT("'"&amp;XVII.a.Inputs[#Headers]&amp;"'!Year.Vectors"), 0))</calculatedColumnFormula>
    </tableColumn>
  </tableColumns>
  <tableStyleInfo name="EnergyCalcTables" showFirstColumn="0" showLastColumn="0" showRowStripes="1" showColumnStripes="0"/>
</table>
</file>

<file path=xl/tables/table158.xml><?xml version="1.0" encoding="utf-8"?>
<table xmlns="http://schemas.openxmlformats.org/spreadsheetml/2006/main" id="144" name="XVII.a.Outputs" displayName="XVII.a.Outputs" ref="C76:N80" totalsRowCount="1" headerRowDxfId="54" dataDxfId="53" dataCellStyle="Comma 3">
  <autoFilter ref="C76:N79"/>
  <tableColumns count="12">
    <tableColumn id="1" name="Vector" totalsRowLabel="Total" dataDxfId="52" totalsRowDxfId="51"/>
    <tableColumn id="2" name="Name" dataDxfId="50" totalsRowDxfId="49">
      <calculatedColumnFormula>INDEX(Vectors[Description], MATCH([Vector], Vectors[Code], 0))</calculatedColumnFormula>
    </tableColumn>
    <tableColumn id="3" name="Notes" dataDxfId="48" totalsRowDxfId="47"/>
    <tableColumn id="4" name="2013" totalsRowFunction="sum" dataDxfId="46" totalsRowDxfId="45" dataCellStyle="Comma 3"/>
    <tableColumn id="5" name="2015" totalsRowFunction="sum" dataDxfId="44" totalsRowDxfId="43" dataCellStyle="Comma 3"/>
    <tableColumn id="6" name="2020" totalsRowFunction="sum" dataDxfId="42" totalsRowDxfId="41" dataCellStyle="Comma 3"/>
    <tableColumn id="7" name="2025" totalsRowFunction="sum" dataDxfId="40" totalsRowDxfId="39" dataCellStyle="Comma 3"/>
    <tableColumn id="8" name="2030" totalsRowFunction="sum" dataDxfId="38" totalsRowDxfId="37" dataCellStyle="Comma 3"/>
    <tableColumn id="9" name="2035" totalsRowFunction="sum" dataDxfId="36" totalsRowDxfId="35" dataCellStyle="Comma 3"/>
    <tableColumn id="10" name="2040" totalsRowFunction="sum" dataDxfId="34" totalsRowDxfId="33" dataCellStyle="Comma 3"/>
    <tableColumn id="11" name="2045" totalsRowFunction="sum" dataDxfId="32" totalsRowDxfId="31" dataCellStyle="Comma 3"/>
    <tableColumn id="12" name="2050" totalsRowFunction="sum" dataDxfId="30" totalsRowDxfId="29" dataCellStyle="Comma 3"/>
  </tableColumns>
  <tableStyleInfo name="EnergyCalcTables" showFirstColumn="0" showLastColumn="0" showRowStripes="1" showColumnStripes="0"/>
</table>
</file>

<file path=xl/tables/table159.xml><?xml version="1.0" encoding="utf-8"?>
<table xmlns="http://schemas.openxmlformats.org/spreadsheetml/2006/main" id="145" name="Carbon_Captured" displayName="Carbon_Captured" ref="C8:N9" totalsRowShown="0" headerRowDxfId="28" dataDxfId="27" dataCellStyle="ofwhich">
  <autoFilter ref="C8:N9"/>
  <tableColumns count="12">
    <tableColumn id="1" name="Vector" dataDxfId="26"/>
    <tableColumn id="2" name="Name" dataDxfId="25"/>
    <tableColumn id="3" name="Notes" dataDxfId="24"/>
    <tableColumn id="4" name="2013" dataDxfId="23" dataCellStyle="ofwhich">
      <calculatedColumnFormula>SUMIFS(INDIRECT("'"&amp;F$8&amp;"'!Year.Emissions"), INDIRECT("'"&amp;F$8&amp;"'!Year.IPCC"), $C9)</calculatedColumnFormula>
    </tableColumn>
    <tableColumn id="5" name="2015" dataDxfId="22" dataCellStyle="ofwhich">
      <calculatedColumnFormula>SUMIFS(INDIRECT("'"&amp;G$8&amp;"'!Year.Emissions"), INDIRECT("'"&amp;G$8&amp;"'!Year.IPCC"), $C9)</calculatedColumnFormula>
    </tableColumn>
    <tableColumn id="6" name="2020" dataDxfId="21" dataCellStyle="ofwhich">
      <calculatedColumnFormula>SUMIFS(INDIRECT("'"&amp;H$8&amp;"'!Year.Emissions"), INDIRECT("'"&amp;H$8&amp;"'!Year.IPCC"), $C9)</calculatedColumnFormula>
    </tableColumn>
    <tableColumn id="7" name="2025" dataDxfId="20" dataCellStyle="ofwhich">
      <calculatedColumnFormula>SUMIFS(INDIRECT("'"&amp;I$8&amp;"'!Year.Emissions"), INDIRECT("'"&amp;I$8&amp;"'!Year.IPCC"), $C9)</calculatedColumnFormula>
    </tableColumn>
    <tableColumn id="8" name="2030" dataDxfId="19" dataCellStyle="ofwhich">
      <calculatedColumnFormula>SUMIFS(INDIRECT("'"&amp;J$8&amp;"'!Year.Emissions"), INDIRECT("'"&amp;J$8&amp;"'!Year.IPCC"), $C9)</calculatedColumnFormula>
    </tableColumn>
    <tableColumn id="9" name="2035" dataDxfId="18" dataCellStyle="ofwhich">
      <calculatedColumnFormula>SUMIFS(INDIRECT("'"&amp;K$8&amp;"'!Year.Emissions"), INDIRECT("'"&amp;K$8&amp;"'!Year.IPCC"), $C9)</calculatedColumnFormula>
    </tableColumn>
    <tableColumn id="10" name="2040" dataDxfId="17" dataCellStyle="ofwhich">
      <calculatedColumnFormula>SUMIFS(INDIRECT("'"&amp;L$8&amp;"'!Year.Emissions"), INDIRECT("'"&amp;L$8&amp;"'!Year.IPCC"), $C9)</calculatedColumnFormula>
    </tableColumn>
    <tableColumn id="11" name="2045" dataDxfId="16" dataCellStyle="ofwhich">
      <calculatedColumnFormula>SUMIFS(INDIRECT("'"&amp;M$8&amp;"'!Year.Emissions"), INDIRECT("'"&amp;M$8&amp;"'!Year.IPCC"), $C9)</calculatedColumnFormula>
    </tableColumn>
    <tableColumn id="12" name="2050" dataDxfId="15" dataCellStyle="ofwhich">
      <calculatedColumnFormula>SUMIFS(INDIRECT("'"&amp;N$8&amp;"'!Year.Emissions"), INDIRECT("'"&amp;N$8&amp;"'!Year.IPCC"), $C9)</calculatedColumnFormula>
    </tableColumn>
  </tableColumns>
  <tableStyleInfo name="EnergyCalcTables" showFirstColumn="0" showLastColumn="0" showRowStripes="1" showColumnStripes="0"/>
</table>
</file>

<file path=xl/tables/table160.xml><?xml version="1.0" encoding="utf-8"?>
<table xmlns="http://schemas.openxmlformats.org/spreadsheetml/2006/main" id="146" name="XVIII.a.info" displayName="XVIII.a.info" ref="C72:N77" totalsRowShown="0" headerRowDxfId="14" dataDxfId="12" headerRowBorderDxfId="13" dataCellStyle="Comma 3">
  <autoFilter ref="C72:N77"/>
  <tableColumns count="12">
    <tableColumn id="1" name="Vector" dataDxfId="11"/>
    <tableColumn id="2" name="Information type" dataDxfId="10"/>
    <tableColumn id="3" name="Notes" dataDxfId="9"/>
    <tableColumn id="4" name="2013" dataDxfId="8" dataCellStyle="Comma 3"/>
    <tableColumn id="5" name="2015" dataDxfId="7" dataCellStyle="Comma 3"/>
    <tableColumn id="6" name="2020" dataDxfId="6" dataCellStyle="Comma 3"/>
    <tableColumn id="7" name="2025" dataDxfId="5" dataCellStyle="Comma 3"/>
    <tableColumn id="8" name="2030" dataDxfId="4" dataCellStyle="Comma 3"/>
    <tableColumn id="9" name="2035" dataDxfId="3" dataCellStyle="Comma 3"/>
    <tableColumn id="10" name="2040" dataDxfId="2" dataCellStyle="Comma 3"/>
    <tableColumn id="11" name="2045" dataDxfId="1" dataCellStyle="Comma 3"/>
    <tableColumn id="12" name="2050" dataDxfId="0" dataCellStyle="Comma 3"/>
  </tableColumns>
  <tableStyleInfo name="EnergyCalcTables"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2050-calculator-tool-wiki.decc.gov.uk/pages/72"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9.xml"/><Relationship Id="rId7" Type="http://schemas.openxmlformats.org/officeDocument/2006/relationships/table" Target="../tables/table13.xml"/><Relationship Id="rId2" Type="http://schemas.openxmlformats.org/officeDocument/2006/relationships/table" Target="../tables/table8.xml"/><Relationship Id="rId1" Type="http://schemas.openxmlformats.org/officeDocument/2006/relationships/table" Target="../tables/table7.xml"/><Relationship Id="rId6" Type="http://schemas.openxmlformats.org/officeDocument/2006/relationships/table" Target="../tables/table12.xml"/><Relationship Id="rId5" Type="http://schemas.openxmlformats.org/officeDocument/2006/relationships/table" Target="../tables/table11.xml"/><Relationship Id="rId4"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8" Type="http://schemas.openxmlformats.org/officeDocument/2006/relationships/table" Target="../tables/table20.xml"/><Relationship Id="rId3" Type="http://schemas.openxmlformats.org/officeDocument/2006/relationships/table" Target="../tables/table15.xml"/><Relationship Id="rId7" Type="http://schemas.openxmlformats.org/officeDocument/2006/relationships/table" Target="../tables/table19.xml"/><Relationship Id="rId2" Type="http://schemas.openxmlformats.org/officeDocument/2006/relationships/table" Target="../tables/table14.xml"/><Relationship Id="rId1" Type="http://schemas.openxmlformats.org/officeDocument/2006/relationships/printerSettings" Target="../printerSettings/printerSettings7.bin"/><Relationship Id="rId6" Type="http://schemas.openxmlformats.org/officeDocument/2006/relationships/table" Target="../tables/table18.xml"/><Relationship Id="rId5" Type="http://schemas.openxmlformats.org/officeDocument/2006/relationships/table" Target="../tables/table17.xml"/><Relationship Id="rId4" Type="http://schemas.openxmlformats.org/officeDocument/2006/relationships/table" Target="../tables/table16.xml"/><Relationship Id="rId9"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table" Target="../tables/table22.xml"/><Relationship Id="rId1" Type="http://schemas.openxmlformats.org/officeDocument/2006/relationships/printerSettings" Target="../printerSettings/printerSettings8.bin"/><Relationship Id="rId5" Type="http://schemas.openxmlformats.org/officeDocument/2006/relationships/table" Target="../tables/table25.xml"/><Relationship Id="rId4" Type="http://schemas.openxmlformats.org/officeDocument/2006/relationships/table" Target="../tables/table24.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table" Target="../tables/table27.xml"/><Relationship Id="rId1" Type="http://schemas.openxmlformats.org/officeDocument/2006/relationships/table" Target="../tables/table26.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30.xml"/><Relationship Id="rId2" Type="http://schemas.openxmlformats.org/officeDocument/2006/relationships/table" Target="../tables/table29.x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table" Target="../tables/table3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table" Target="../tables/table33.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8" Type="http://schemas.openxmlformats.org/officeDocument/2006/relationships/table" Target="../tables/table41.xml"/><Relationship Id="rId3" Type="http://schemas.openxmlformats.org/officeDocument/2006/relationships/table" Target="../tables/table36.xml"/><Relationship Id="rId7" Type="http://schemas.openxmlformats.org/officeDocument/2006/relationships/table" Target="../tables/table40.xml"/><Relationship Id="rId2" Type="http://schemas.openxmlformats.org/officeDocument/2006/relationships/table" Target="../tables/table35.xml"/><Relationship Id="rId1" Type="http://schemas.openxmlformats.org/officeDocument/2006/relationships/printerSettings" Target="../printerSettings/printerSettings11.bin"/><Relationship Id="rId6" Type="http://schemas.openxmlformats.org/officeDocument/2006/relationships/table" Target="../tables/table39.xml"/><Relationship Id="rId5" Type="http://schemas.openxmlformats.org/officeDocument/2006/relationships/table" Target="../tables/table38.xml"/><Relationship Id="rId4" Type="http://schemas.openxmlformats.org/officeDocument/2006/relationships/table" Target="../tables/table37.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43.xml"/><Relationship Id="rId2" Type="http://schemas.openxmlformats.org/officeDocument/2006/relationships/table" Target="../tables/table42.x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table" Target="../tables/table44.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47.xml"/><Relationship Id="rId1" Type="http://schemas.openxmlformats.org/officeDocument/2006/relationships/table" Target="../tables/table46.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49.xml"/><Relationship Id="rId2" Type="http://schemas.openxmlformats.org/officeDocument/2006/relationships/table" Target="../tables/table48.xml"/><Relationship Id="rId1" Type="http://schemas.openxmlformats.org/officeDocument/2006/relationships/printerSettings" Target="../printerSettings/printerSettings13.bin"/><Relationship Id="rId6" Type="http://schemas.openxmlformats.org/officeDocument/2006/relationships/table" Target="../tables/table52.xml"/><Relationship Id="rId5" Type="http://schemas.openxmlformats.org/officeDocument/2006/relationships/table" Target="../tables/table51.xml"/><Relationship Id="rId4" Type="http://schemas.openxmlformats.org/officeDocument/2006/relationships/table" Target="../tables/table50.xml"/></Relationships>
</file>

<file path=xl/worksheets/_rels/sheet25.xml.rels><?xml version="1.0" encoding="UTF-8" standalone="yes"?>
<Relationships xmlns="http://schemas.openxmlformats.org/package/2006/relationships"><Relationship Id="rId3" Type="http://schemas.openxmlformats.org/officeDocument/2006/relationships/table" Target="../tables/table54.xml"/><Relationship Id="rId2" Type="http://schemas.openxmlformats.org/officeDocument/2006/relationships/table" Target="../tables/table53.xml"/><Relationship Id="rId1" Type="http://schemas.openxmlformats.org/officeDocument/2006/relationships/printerSettings" Target="../printerSettings/printerSettings14.bin"/><Relationship Id="rId5" Type="http://schemas.openxmlformats.org/officeDocument/2006/relationships/table" Target="../tables/table56.xml"/><Relationship Id="rId4" Type="http://schemas.openxmlformats.org/officeDocument/2006/relationships/table" Target="../tables/table55.xml"/></Relationships>
</file>

<file path=xl/worksheets/_rels/sheet26.xml.rels><?xml version="1.0" encoding="UTF-8" standalone="yes"?>
<Relationships xmlns="http://schemas.openxmlformats.org/package/2006/relationships"><Relationship Id="rId3" Type="http://schemas.openxmlformats.org/officeDocument/2006/relationships/table" Target="../tables/table57.xml"/><Relationship Id="rId7" Type="http://schemas.openxmlformats.org/officeDocument/2006/relationships/table" Target="../tables/table61.xml"/><Relationship Id="rId2" Type="http://schemas.openxmlformats.org/officeDocument/2006/relationships/printerSettings" Target="../printerSettings/printerSettings15.bin"/><Relationship Id="rId1" Type="http://schemas.openxmlformats.org/officeDocument/2006/relationships/hyperlink" Target="http://decc-wiki.greenonblack.com/pages/358" TargetMode="External"/><Relationship Id="rId6" Type="http://schemas.openxmlformats.org/officeDocument/2006/relationships/table" Target="../tables/table60.xml"/><Relationship Id="rId5" Type="http://schemas.openxmlformats.org/officeDocument/2006/relationships/table" Target="../tables/table59.xml"/><Relationship Id="rId4" Type="http://schemas.openxmlformats.org/officeDocument/2006/relationships/table" Target="../tables/table58.xml"/></Relationships>
</file>

<file path=xl/worksheets/_rels/sheet27.xml.rels><?xml version="1.0" encoding="UTF-8" standalone="yes"?>
<Relationships xmlns="http://schemas.openxmlformats.org/package/2006/relationships"><Relationship Id="rId3" Type="http://schemas.openxmlformats.org/officeDocument/2006/relationships/table" Target="../tables/table63.xml"/><Relationship Id="rId2" Type="http://schemas.openxmlformats.org/officeDocument/2006/relationships/table" Target="../tables/table62.xml"/><Relationship Id="rId1" Type="http://schemas.openxmlformats.org/officeDocument/2006/relationships/printerSettings" Target="../printerSettings/printerSettings16.bin"/><Relationship Id="rId5" Type="http://schemas.openxmlformats.org/officeDocument/2006/relationships/table" Target="../tables/table65.xml"/><Relationship Id="rId4" Type="http://schemas.openxmlformats.org/officeDocument/2006/relationships/table" Target="../tables/table64.xml"/></Relationships>
</file>

<file path=xl/worksheets/_rels/sheet28.xml.rels><?xml version="1.0" encoding="UTF-8" standalone="yes"?>
<Relationships xmlns="http://schemas.openxmlformats.org/package/2006/relationships"><Relationship Id="rId2" Type="http://schemas.openxmlformats.org/officeDocument/2006/relationships/table" Target="../tables/table67.xml"/><Relationship Id="rId1" Type="http://schemas.openxmlformats.org/officeDocument/2006/relationships/table" Target="../tables/table66.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69.xml"/><Relationship Id="rId1" Type="http://schemas.openxmlformats.org/officeDocument/2006/relationships/table" Target="../tables/table68.xml"/></Relationships>
</file>

<file path=xl/worksheets/_rels/sheet30.xml.rels><?xml version="1.0" encoding="UTF-8" standalone="yes"?>
<Relationships xmlns="http://schemas.openxmlformats.org/package/2006/relationships"><Relationship Id="rId3" Type="http://schemas.openxmlformats.org/officeDocument/2006/relationships/table" Target="../tables/table71.xml"/><Relationship Id="rId2" Type="http://schemas.openxmlformats.org/officeDocument/2006/relationships/table" Target="../tables/table70.xml"/><Relationship Id="rId1" Type="http://schemas.openxmlformats.org/officeDocument/2006/relationships/printerSettings" Target="../printerSettings/printerSettings17.bin"/></Relationships>
</file>

<file path=xl/worksheets/_rels/sheet31.xml.rels><?xml version="1.0" encoding="UTF-8" standalone="yes"?>
<Relationships xmlns="http://schemas.openxmlformats.org/package/2006/relationships"><Relationship Id="rId3" Type="http://schemas.openxmlformats.org/officeDocument/2006/relationships/table" Target="../tables/table73.xml"/><Relationship Id="rId2" Type="http://schemas.openxmlformats.org/officeDocument/2006/relationships/table" Target="../tables/table72.xml"/><Relationship Id="rId1" Type="http://schemas.openxmlformats.org/officeDocument/2006/relationships/printerSettings" Target="../printerSettings/printerSettings18.bin"/><Relationship Id="rId4" Type="http://schemas.openxmlformats.org/officeDocument/2006/relationships/table" Target="../tables/table74.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77.xml"/><Relationship Id="rId2" Type="http://schemas.openxmlformats.org/officeDocument/2006/relationships/table" Target="../tables/table76.xml"/><Relationship Id="rId1" Type="http://schemas.openxmlformats.org/officeDocument/2006/relationships/table" Target="../tables/table75.xml"/><Relationship Id="rId5" Type="http://schemas.openxmlformats.org/officeDocument/2006/relationships/table" Target="../tables/table79.xml"/><Relationship Id="rId4" Type="http://schemas.openxmlformats.org/officeDocument/2006/relationships/table" Target="../tables/table78.xml"/></Relationships>
</file>

<file path=xl/worksheets/_rels/sheet33.xml.rels><?xml version="1.0" encoding="UTF-8" standalone="yes"?>
<Relationships xmlns="http://schemas.openxmlformats.org/package/2006/relationships"><Relationship Id="rId8" Type="http://schemas.openxmlformats.org/officeDocument/2006/relationships/table" Target="../tables/table86.xml"/><Relationship Id="rId3" Type="http://schemas.openxmlformats.org/officeDocument/2006/relationships/table" Target="../tables/table81.xml"/><Relationship Id="rId7" Type="http://schemas.openxmlformats.org/officeDocument/2006/relationships/table" Target="../tables/table85.xml"/><Relationship Id="rId2" Type="http://schemas.openxmlformats.org/officeDocument/2006/relationships/table" Target="../tables/table80.xml"/><Relationship Id="rId1" Type="http://schemas.openxmlformats.org/officeDocument/2006/relationships/printerSettings" Target="../printerSettings/printerSettings19.bin"/><Relationship Id="rId6" Type="http://schemas.openxmlformats.org/officeDocument/2006/relationships/table" Target="../tables/table84.xml"/><Relationship Id="rId5" Type="http://schemas.openxmlformats.org/officeDocument/2006/relationships/table" Target="../tables/table83.xml"/><Relationship Id="rId4" Type="http://schemas.openxmlformats.org/officeDocument/2006/relationships/table" Target="../tables/table82.xml"/><Relationship Id="rId9" Type="http://schemas.openxmlformats.org/officeDocument/2006/relationships/table" Target="../tables/table87.xml"/></Relationships>
</file>

<file path=xl/worksheets/_rels/sheet34.xml.rels><?xml version="1.0" encoding="UTF-8" standalone="yes"?>
<Relationships xmlns="http://schemas.openxmlformats.org/package/2006/relationships"><Relationship Id="rId8" Type="http://schemas.openxmlformats.org/officeDocument/2006/relationships/table" Target="../tables/table94.xml"/><Relationship Id="rId3" Type="http://schemas.openxmlformats.org/officeDocument/2006/relationships/table" Target="../tables/table89.xml"/><Relationship Id="rId7" Type="http://schemas.openxmlformats.org/officeDocument/2006/relationships/table" Target="../tables/table93.xml"/><Relationship Id="rId2" Type="http://schemas.openxmlformats.org/officeDocument/2006/relationships/table" Target="../tables/table88.xml"/><Relationship Id="rId1" Type="http://schemas.openxmlformats.org/officeDocument/2006/relationships/printerSettings" Target="../printerSettings/printerSettings20.bin"/><Relationship Id="rId6" Type="http://schemas.openxmlformats.org/officeDocument/2006/relationships/table" Target="../tables/table92.xml"/><Relationship Id="rId5" Type="http://schemas.openxmlformats.org/officeDocument/2006/relationships/table" Target="../tables/table91.xml"/><Relationship Id="rId4" Type="http://schemas.openxmlformats.org/officeDocument/2006/relationships/table" Target="../tables/table90.xml"/><Relationship Id="rId9" Type="http://schemas.openxmlformats.org/officeDocument/2006/relationships/table" Target="../tables/table95.xml"/></Relationships>
</file>

<file path=xl/worksheets/_rels/sheet35.xml.rels><?xml version="1.0" encoding="UTF-8" standalone="yes"?>
<Relationships xmlns="http://schemas.openxmlformats.org/package/2006/relationships"><Relationship Id="rId3" Type="http://schemas.openxmlformats.org/officeDocument/2006/relationships/table" Target="../tables/table97.xml"/><Relationship Id="rId2" Type="http://schemas.openxmlformats.org/officeDocument/2006/relationships/table" Target="../tables/table96.xml"/><Relationship Id="rId1" Type="http://schemas.openxmlformats.org/officeDocument/2006/relationships/printerSettings" Target="../printerSettings/printerSettings21.bin"/><Relationship Id="rId4" Type="http://schemas.openxmlformats.org/officeDocument/2006/relationships/table" Target="../tables/table98.xml"/></Relationships>
</file>

<file path=xl/worksheets/_rels/sheet36.xml.rels><?xml version="1.0" encoding="UTF-8" standalone="yes"?>
<Relationships xmlns="http://schemas.openxmlformats.org/package/2006/relationships"><Relationship Id="rId3" Type="http://schemas.openxmlformats.org/officeDocument/2006/relationships/table" Target="../tables/table101.xml"/><Relationship Id="rId2" Type="http://schemas.openxmlformats.org/officeDocument/2006/relationships/table" Target="../tables/table100.xml"/><Relationship Id="rId1" Type="http://schemas.openxmlformats.org/officeDocument/2006/relationships/table" Target="../tables/table99.xml"/></Relationships>
</file>

<file path=xl/worksheets/_rels/sheet37.xml.rels><?xml version="1.0" encoding="UTF-8" standalone="yes"?>
<Relationships xmlns="http://schemas.openxmlformats.org/package/2006/relationships"><Relationship Id="rId3" Type="http://schemas.openxmlformats.org/officeDocument/2006/relationships/table" Target="../tables/table104.xml"/><Relationship Id="rId2" Type="http://schemas.openxmlformats.org/officeDocument/2006/relationships/table" Target="../tables/table103.xml"/><Relationship Id="rId1" Type="http://schemas.openxmlformats.org/officeDocument/2006/relationships/table" Target="../tables/table102.xml"/><Relationship Id="rId4" Type="http://schemas.openxmlformats.org/officeDocument/2006/relationships/table" Target="../tables/table105.xml"/></Relationships>
</file>

<file path=xl/worksheets/_rels/sheet38.xml.rels><?xml version="1.0" encoding="UTF-8" standalone="yes"?>
<Relationships xmlns="http://schemas.openxmlformats.org/package/2006/relationships"><Relationship Id="rId8" Type="http://schemas.openxmlformats.org/officeDocument/2006/relationships/table" Target="../tables/table112.xml"/><Relationship Id="rId13" Type="http://schemas.openxmlformats.org/officeDocument/2006/relationships/table" Target="../tables/table117.xml"/><Relationship Id="rId18" Type="http://schemas.openxmlformats.org/officeDocument/2006/relationships/table" Target="../tables/table122.xml"/><Relationship Id="rId3" Type="http://schemas.openxmlformats.org/officeDocument/2006/relationships/table" Target="../tables/table107.xml"/><Relationship Id="rId7" Type="http://schemas.openxmlformats.org/officeDocument/2006/relationships/table" Target="../tables/table111.xml"/><Relationship Id="rId12" Type="http://schemas.openxmlformats.org/officeDocument/2006/relationships/table" Target="../tables/table116.xml"/><Relationship Id="rId17" Type="http://schemas.openxmlformats.org/officeDocument/2006/relationships/table" Target="../tables/table121.xml"/><Relationship Id="rId2" Type="http://schemas.openxmlformats.org/officeDocument/2006/relationships/table" Target="../tables/table106.xml"/><Relationship Id="rId16" Type="http://schemas.openxmlformats.org/officeDocument/2006/relationships/table" Target="../tables/table120.xml"/><Relationship Id="rId20" Type="http://schemas.openxmlformats.org/officeDocument/2006/relationships/table" Target="../tables/table124.xml"/><Relationship Id="rId1" Type="http://schemas.openxmlformats.org/officeDocument/2006/relationships/printerSettings" Target="../printerSettings/printerSettings22.bin"/><Relationship Id="rId6" Type="http://schemas.openxmlformats.org/officeDocument/2006/relationships/table" Target="../tables/table110.xml"/><Relationship Id="rId11" Type="http://schemas.openxmlformats.org/officeDocument/2006/relationships/table" Target="../tables/table115.xml"/><Relationship Id="rId5" Type="http://schemas.openxmlformats.org/officeDocument/2006/relationships/table" Target="../tables/table109.xml"/><Relationship Id="rId15" Type="http://schemas.openxmlformats.org/officeDocument/2006/relationships/table" Target="../tables/table119.xml"/><Relationship Id="rId10" Type="http://schemas.openxmlformats.org/officeDocument/2006/relationships/table" Target="../tables/table114.xml"/><Relationship Id="rId19" Type="http://schemas.openxmlformats.org/officeDocument/2006/relationships/table" Target="../tables/table123.xml"/><Relationship Id="rId4" Type="http://schemas.openxmlformats.org/officeDocument/2006/relationships/table" Target="../tables/table108.xml"/><Relationship Id="rId9" Type="http://schemas.openxmlformats.org/officeDocument/2006/relationships/table" Target="../tables/table113.xml"/><Relationship Id="rId14" Type="http://schemas.openxmlformats.org/officeDocument/2006/relationships/table" Target="../tables/table118.xml"/></Relationships>
</file>

<file path=xl/worksheets/_rels/sheet39.xml.rels><?xml version="1.0" encoding="UTF-8" standalone="yes"?>
<Relationships xmlns="http://schemas.openxmlformats.org/package/2006/relationships"><Relationship Id="rId8" Type="http://schemas.openxmlformats.org/officeDocument/2006/relationships/table" Target="../tables/table130.xml"/><Relationship Id="rId13" Type="http://schemas.openxmlformats.org/officeDocument/2006/relationships/table" Target="../tables/table135.xml"/><Relationship Id="rId3" Type="http://schemas.openxmlformats.org/officeDocument/2006/relationships/table" Target="../tables/table125.xml"/><Relationship Id="rId7" Type="http://schemas.openxmlformats.org/officeDocument/2006/relationships/table" Target="../tables/table129.xml"/><Relationship Id="rId12" Type="http://schemas.openxmlformats.org/officeDocument/2006/relationships/table" Target="../tables/table134.xml"/><Relationship Id="rId2" Type="http://schemas.openxmlformats.org/officeDocument/2006/relationships/vmlDrawing" Target="../drawings/vmlDrawing1.vml"/><Relationship Id="rId1" Type="http://schemas.openxmlformats.org/officeDocument/2006/relationships/printerSettings" Target="../printerSettings/printerSettings23.bin"/><Relationship Id="rId6" Type="http://schemas.openxmlformats.org/officeDocument/2006/relationships/table" Target="../tables/table128.xml"/><Relationship Id="rId11" Type="http://schemas.openxmlformats.org/officeDocument/2006/relationships/table" Target="../tables/table133.xml"/><Relationship Id="rId5" Type="http://schemas.openxmlformats.org/officeDocument/2006/relationships/table" Target="../tables/table127.xml"/><Relationship Id="rId15" Type="http://schemas.openxmlformats.org/officeDocument/2006/relationships/comments" Target="../comments1.xml"/><Relationship Id="rId10" Type="http://schemas.openxmlformats.org/officeDocument/2006/relationships/table" Target="../tables/table132.xml"/><Relationship Id="rId4" Type="http://schemas.openxmlformats.org/officeDocument/2006/relationships/table" Target="../tables/table126.xml"/><Relationship Id="rId9" Type="http://schemas.openxmlformats.org/officeDocument/2006/relationships/table" Target="../tables/table131.xml"/><Relationship Id="rId14" Type="http://schemas.openxmlformats.org/officeDocument/2006/relationships/table" Target="../tables/table136.xml"/></Relationships>
</file>

<file path=xl/worksheets/_rels/sheet40.xml.rels><?xml version="1.0" encoding="UTF-8" standalone="yes"?>
<Relationships xmlns="http://schemas.openxmlformats.org/package/2006/relationships"><Relationship Id="rId3" Type="http://schemas.openxmlformats.org/officeDocument/2006/relationships/table" Target="../tables/table139.xml"/><Relationship Id="rId2" Type="http://schemas.openxmlformats.org/officeDocument/2006/relationships/table" Target="../tables/table138.xml"/><Relationship Id="rId1" Type="http://schemas.openxmlformats.org/officeDocument/2006/relationships/table" Target="../tables/table137.xml"/><Relationship Id="rId4" Type="http://schemas.openxmlformats.org/officeDocument/2006/relationships/table" Target="../tables/table140.xml"/></Relationships>
</file>

<file path=xl/worksheets/_rels/sheet41.xml.rels><?xml version="1.0" encoding="UTF-8" standalone="yes"?>
<Relationships xmlns="http://schemas.openxmlformats.org/package/2006/relationships"><Relationship Id="rId2" Type="http://schemas.openxmlformats.org/officeDocument/2006/relationships/table" Target="../tables/table142.xml"/><Relationship Id="rId1" Type="http://schemas.openxmlformats.org/officeDocument/2006/relationships/table" Target="../tables/table141.xml"/></Relationships>
</file>

<file path=xl/worksheets/_rels/sheet42.xml.rels><?xml version="1.0" encoding="UTF-8" standalone="yes"?>
<Relationships xmlns="http://schemas.openxmlformats.org/package/2006/relationships"><Relationship Id="rId3" Type="http://schemas.openxmlformats.org/officeDocument/2006/relationships/table" Target="../tables/table145.xml"/><Relationship Id="rId2" Type="http://schemas.openxmlformats.org/officeDocument/2006/relationships/table" Target="../tables/table144.xml"/><Relationship Id="rId1" Type="http://schemas.openxmlformats.org/officeDocument/2006/relationships/table" Target="../tables/table143.xml"/><Relationship Id="rId4" Type="http://schemas.openxmlformats.org/officeDocument/2006/relationships/table" Target="../tables/table146.xml"/></Relationships>
</file>

<file path=xl/worksheets/_rels/sheet43.xml.rels><?xml version="1.0" encoding="UTF-8" standalone="yes"?>
<Relationships xmlns="http://schemas.openxmlformats.org/package/2006/relationships"><Relationship Id="rId3" Type="http://schemas.openxmlformats.org/officeDocument/2006/relationships/table" Target="../tables/table148.xml"/><Relationship Id="rId2" Type="http://schemas.openxmlformats.org/officeDocument/2006/relationships/table" Target="../tables/table147.xml"/><Relationship Id="rId1" Type="http://schemas.openxmlformats.org/officeDocument/2006/relationships/printerSettings" Target="../printerSettings/printerSettings24.bin"/><Relationship Id="rId4" Type="http://schemas.openxmlformats.org/officeDocument/2006/relationships/table" Target="../tables/table149.xml"/></Relationships>
</file>

<file path=xl/worksheets/_rels/sheet44.xml.rels><?xml version="1.0" encoding="UTF-8" standalone="yes"?>
<Relationships xmlns="http://schemas.openxmlformats.org/package/2006/relationships"><Relationship Id="rId3" Type="http://schemas.openxmlformats.org/officeDocument/2006/relationships/table" Target="../tables/table151.xml"/><Relationship Id="rId2" Type="http://schemas.openxmlformats.org/officeDocument/2006/relationships/table" Target="../tables/table150.xml"/><Relationship Id="rId1" Type="http://schemas.openxmlformats.org/officeDocument/2006/relationships/printerSettings" Target="../printerSettings/printerSettings25.bin"/><Relationship Id="rId5" Type="http://schemas.openxmlformats.org/officeDocument/2006/relationships/table" Target="../tables/table153.xml"/><Relationship Id="rId4" Type="http://schemas.openxmlformats.org/officeDocument/2006/relationships/table" Target="../tables/table152.xml"/></Relationships>
</file>

<file path=xl/worksheets/_rels/sheet45.xml.rels><?xml version="1.0" encoding="UTF-8" standalone="yes"?>
<Relationships xmlns="http://schemas.openxmlformats.org/package/2006/relationships"><Relationship Id="rId3" Type="http://schemas.openxmlformats.org/officeDocument/2006/relationships/table" Target="../tables/table156.xml"/><Relationship Id="rId2" Type="http://schemas.openxmlformats.org/officeDocument/2006/relationships/table" Target="../tables/table155.xml"/><Relationship Id="rId1" Type="http://schemas.openxmlformats.org/officeDocument/2006/relationships/table" Target="../tables/table154.xml"/></Relationships>
</file>

<file path=xl/worksheets/_rels/sheet46.xml.rels><?xml version="1.0" encoding="UTF-8" standalone="yes"?>
<Relationships xmlns="http://schemas.openxmlformats.org/package/2006/relationships"><Relationship Id="rId2" Type="http://schemas.openxmlformats.org/officeDocument/2006/relationships/table" Target="../tables/table158.xml"/><Relationship Id="rId1" Type="http://schemas.openxmlformats.org/officeDocument/2006/relationships/table" Target="../tables/table157.xml"/></Relationships>
</file>

<file path=xl/worksheets/_rels/sheet47.xml.rels><?xml version="1.0" encoding="UTF-8" standalone="yes"?>
<Relationships xmlns="http://schemas.openxmlformats.org/package/2006/relationships"><Relationship Id="rId3" Type="http://schemas.openxmlformats.org/officeDocument/2006/relationships/table" Target="../tables/table160.xml"/><Relationship Id="rId2" Type="http://schemas.openxmlformats.org/officeDocument/2006/relationships/table" Target="../tables/table159.xml"/><Relationship Id="rId1" Type="http://schemas.openxmlformats.org/officeDocument/2006/relationships/printerSettings" Target="../printerSettings/printerSettings2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sheetPr codeName="Sheet1">
    <tabColor theme="5"/>
  </sheetPr>
  <dimension ref="A1:BT74"/>
  <sheetViews>
    <sheetView tabSelected="1" zoomScale="70" zoomScaleNormal="70" workbookViewId="0">
      <selection activeCell="E5" sqref="E5:E56"/>
    </sheetView>
  </sheetViews>
  <sheetFormatPr defaultColWidth="8.85546875" defaultRowHeight="15"/>
  <cols>
    <col min="1" max="1" width="20.140625" style="420" customWidth="1"/>
    <col min="2" max="2" width="26.28515625" style="420" customWidth="1"/>
    <col min="3" max="3" width="9.5703125" customWidth="1"/>
    <col min="4" max="4" width="45.28515625" customWidth="1"/>
    <col min="5" max="5" width="5.140625" style="856" customWidth="1"/>
    <col min="6" max="6" width="4" style="729" customWidth="1"/>
    <col min="7" max="7" width="8.28515625" style="4010" customWidth="1"/>
    <col min="8" max="8" width="1.140625" customWidth="1"/>
    <col min="9" max="12" width="43.85546875" customWidth="1"/>
    <col min="13" max="13" width="1.140625" customWidth="1"/>
    <col min="14" max="17" width="4.42578125" customWidth="1"/>
    <col min="18" max="18" width="5.42578125" customWidth="1"/>
    <col min="19" max="20" width="4.85546875" customWidth="1"/>
    <col min="21" max="21" width="6.5703125" customWidth="1"/>
    <col min="22" max="22" width="4.7109375" customWidth="1"/>
    <col min="23" max="23" width="4.28515625" customWidth="1"/>
    <col min="24" max="24" width="4.85546875" customWidth="1"/>
    <col min="25" max="26" width="5.140625" customWidth="1"/>
    <col min="27" max="27" width="4.42578125" customWidth="1"/>
    <col min="28" max="28" width="4.7109375" customWidth="1"/>
    <col min="29" max="29" width="4.5703125" customWidth="1"/>
    <col min="30" max="30" width="4.42578125" customWidth="1"/>
    <col min="31" max="31" width="1" customWidth="1"/>
    <col min="32" max="32" width="1.85546875" customWidth="1"/>
    <col min="33" max="42" width="9.42578125" customWidth="1"/>
    <col min="43" max="43" width="0.85546875" customWidth="1"/>
    <col min="44" max="44" width="6.85546875" customWidth="1"/>
    <col min="45" max="54" width="9.42578125" customWidth="1"/>
    <col min="55" max="55" width="0.85546875" style="732" customWidth="1"/>
    <col min="56" max="56" width="2.140625" style="732" customWidth="1"/>
    <col min="57" max="57" width="7.85546875" customWidth="1"/>
    <col min="58" max="61" width="9.42578125" customWidth="1"/>
    <col min="62" max="62" width="9.7109375" bestFit="1" customWidth="1"/>
    <col min="63" max="65" width="9.7109375" customWidth="1"/>
    <col min="66" max="67" width="2.7109375" customWidth="1"/>
    <col min="68" max="68" width="21" customWidth="1"/>
    <col min="69" max="69" width="56" customWidth="1"/>
    <col min="70" max="70" width="47.7109375" customWidth="1"/>
    <col min="71" max="71" width="49.5703125" customWidth="1"/>
    <col min="72" max="72" width="48.28515625" customWidth="1"/>
  </cols>
  <sheetData>
    <row r="1" spans="1:72" ht="31.5" customHeight="1">
      <c r="A1" s="727" t="s">
        <v>598</v>
      </c>
      <c r="C1" s="728"/>
      <c r="D1" s="3725" t="s">
        <v>5</v>
      </c>
      <c r="E1" s="5" t="s">
        <v>2926</v>
      </c>
      <c r="J1" s="4137" t="s">
        <v>5</v>
      </c>
      <c r="K1" s="727" t="s">
        <v>5</v>
      </c>
      <c r="N1" s="727" t="s">
        <v>599</v>
      </c>
      <c r="AF1" s="730"/>
      <c r="AG1" s="3759"/>
      <c r="AH1" s="731"/>
      <c r="AI1" s="3759"/>
      <c r="AJ1" s="3759"/>
      <c r="AK1" s="3759"/>
      <c r="AL1" s="3759"/>
      <c r="AM1" s="3759"/>
      <c r="AN1" s="3759"/>
      <c r="AO1" s="3759"/>
      <c r="AP1" s="3759"/>
      <c r="AQ1" s="3759"/>
      <c r="AR1" s="3759"/>
      <c r="AS1" s="3759"/>
      <c r="AT1" s="3759"/>
      <c r="AU1" s="3759"/>
      <c r="AV1" s="3759"/>
      <c r="AX1" s="3759"/>
      <c r="AY1" s="3759"/>
      <c r="AZ1" s="3759"/>
      <c r="BA1" s="3759"/>
      <c r="BB1" s="3759"/>
    </row>
    <row r="2" spans="1:72" ht="32.25" customHeight="1">
      <c r="A2" s="733" t="s">
        <v>600</v>
      </c>
      <c r="B2" s="733"/>
      <c r="C2" s="733"/>
      <c r="D2" s="734"/>
      <c r="E2" s="734"/>
      <c r="F2" s="734"/>
      <c r="G2" s="734"/>
      <c r="H2" s="7"/>
      <c r="I2" s="735" t="s">
        <v>601</v>
      </c>
      <c r="J2" s="735"/>
      <c r="K2" s="735"/>
      <c r="L2" s="735"/>
      <c r="M2" s="7"/>
      <c r="N2" s="736" t="s">
        <v>3036</v>
      </c>
      <c r="O2" s="736"/>
      <c r="P2" s="736"/>
      <c r="Q2" s="736"/>
      <c r="R2" s="737"/>
      <c r="S2" s="737"/>
      <c r="T2" s="737"/>
      <c r="U2" s="737"/>
      <c r="V2" s="737"/>
      <c r="W2" s="737"/>
      <c r="X2" s="737"/>
      <c r="Y2" s="737"/>
      <c r="Z2" s="737"/>
      <c r="AA2" s="737"/>
      <c r="AB2" s="737"/>
      <c r="AC2" s="737"/>
      <c r="AD2" s="737"/>
      <c r="AE2" s="7"/>
      <c r="AF2" s="735" t="s">
        <v>602</v>
      </c>
      <c r="AG2" s="738"/>
      <c r="AH2" s="738"/>
      <c r="AI2" s="738"/>
      <c r="AJ2" s="738"/>
      <c r="AK2" s="738"/>
      <c r="AL2" s="738"/>
      <c r="AM2" s="738"/>
      <c r="AN2" s="738"/>
      <c r="AO2" s="738"/>
      <c r="AP2" s="738"/>
      <c r="AQ2" s="3759"/>
      <c r="AR2" s="738"/>
      <c r="AS2" s="738"/>
      <c r="AT2" s="738"/>
      <c r="AU2" s="738"/>
      <c r="AV2" s="738"/>
      <c r="AW2" s="739" t="s">
        <v>303</v>
      </c>
      <c r="AX2" s="738"/>
      <c r="AY2" s="738"/>
      <c r="AZ2" s="738"/>
      <c r="BA2" s="738"/>
      <c r="BB2" s="738"/>
      <c r="BD2" s="4141" t="s">
        <v>603</v>
      </c>
      <c r="BE2" s="4141"/>
      <c r="BF2" s="4141"/>
      <c r="BG2" s="4141"/>
      <c r="BH2" s="4141"/>
      <c r="BI2" s="4141"/>
      <c r="BJ2" s="4141"/>
      <c r="BK2" s="4141"/>
      <c r="BL2" s="4141"/>
      <c r="BM2" s="4141"/>
      <c r="BN2" s="4141"/>
      <c r="BQ2" s="735" t="s">
        <v>604</v>
      </c>
      <c r="BR2" s="735"/>
      <c r="BS2" s="735"/>
      <c r="BT2" s="735"/>
    </row>
    <row r="3" spans="1:72" s="732" customFormat="1" ht="6" customHeight="1" thickBot="1">
      <c r="A3" s="740"/>
      <c r="B3" s="740"/>
      <c r="J3" s="761" t="s">
        <v>725</v>
      </c>
      <c r="K3" s="761" t="s">
        <v>725</v>
      </c>
      <c r="L3" s="761" t="s">
        <v>725</v>
      </c>
      <c r="M3" s="761" t="s">
        <v>726</v>
      </c>
    </row>
    <row r="4" spans="1:72" s="745" customFormat="1" ht="188.25" customHeight="1">
      <c r="A4" s="741" t="s">
        <v>499</v>
      </c>
      <c r="B4" s="741"/>
      <c r="C4" s="742"/>
      <c r="D4" s="742" t="s">
        <v>5</v>
      </c>
      <c r="E4" s="743" t="s">
        <v>605</v>
      </c>
      <c r="F4" s="744" t="s">
        <v>606</v>
      </c>
      <c r="G4" s="744" t="s">
        <v>3332</v>
      </c>
      <c r="I4" s="746" t="s">
        <v>338</v>
      </c>
      <c r="J4" s="746" t="s">
        <v>339</v>
      </c>
      <c r="K4" s="746" t="s">
        <v>340</v>
      </c>
      <c r="L4" s="746" t="s">
        <v>341</v>
      </c>
      <c r="N4" s="747" t="s">
        <v>607</v>
      </c>
      <c r="O4" s="748" t="s">
        <v>608</v>
      </c>
      <c r="P4" s="749" t="s">
        <v>609</v>
      </c>
      <c r="Q4" s="750"/>
      <c r="R4" s="751" t="s">
        <v>610</v>
      </c>
      <c r="S4" s="3965" t="s">
        <v>3286</v>
      </c>
      <c r="T4" s="753" t="s">
        <v>611</v>
      </c>
      <c r="U4" s="752" t="s">
        <v>612</v>
      </c>
      <c r="V4" s="752" t="s">
        <v>411</v>
      </c>
      <c r="W4" s="752" t="s">
        <v>3039</v>
      </c>
      <c r="X4" s="752" t="s">
        <v>3037</v>
      </c>
      <c r="Y4" s="752" t="s">
        <v>3038</v>
      </c>
      <c r="Z4" s="752" t="s">
        <v>2784</v>
      </c>
      <c r="AA4" s="752" t="s">
        <v>411</v>
      </c>
      <c r="AB4" s="752" t="s">
        <v>411</v>
      </c>
      <c r="AC4" s="753" t="s">
        <v>3040</v>
      </c>
      <c r="AD4" s="750"/>
      <c r="AF4" s="754"/>
      <c r="AG4" s="754"/>
      <c r="AH4" s="754"/>
      <c r="AI4" s="754"/>
      <c r="AJ4" s="754"/>
      <c r="AK4" s="754"/>
      <c r="AL4" s="754"/>
      <c r="AM4" s="754"/>
      <c r="AN4" s="754"/>
      <c r="AO4" s="754"/>
      <c r="AP4" s="754"/>
      <c r="AR4" s="754"/>
      <c r="AS4" s="754"/>
      <c r="AT4" s="754"/>
      <c r="AU4" s="754"/>
      <c r="AV4" s="754"/>
      <c r="AW4" s="754"/>
      <c r="AX4" s="754"/>
      <c r="AY4" s="754"/>
      <c r="AZ4" s="754"/>
      <c r="BA4" s="754"/>
      <c r="BB4" s="754"/>
      <c r="BC4" s="755"/>
      <c r="BD4" s="756"/>
      <c r="BE4" s="756"/>
      <c r="BF4" s="754"/>
      <c r="BG4" s="754"/>
      <c r="BH4" s="754"/>
      <c r="BI4" s="754"/>
      <c r="BJ4" s="754"/>
      <c r="BK4" s="754"/>
      <c r="BL4" s="754"/>
      <c r="BM4" s="754"/>
      <c r="BN4" s="754"/>
      <c r="BQ4" s="757" t="s">
        <v>338</v>
      </c>
      <c r="BR4" s="746" t="s">
        <v>339</v>
      </c>
      <c r="BS4" s="746" t="s">
        <v>340</v>
      </c>
      <c r="BT4" s="746" t="s">
        <v>341</v>
      </c>
    </row>
    <row r="5" spans="1:72" ht="36" customHeight="1">
      <c r="A5" s="4142" t="s">
        <v>613</v>
      </c>
      <c r="B5" s="4143" t="s">
        <v>2778</v>
      </c>
      <c r="C5" s="758" t="s">
        <v>548</v>
      </c>
      <c r="D5" s="758" t="s">
        <v>614</v>
      </c>
      <c r="E5" s="763">
        <v>4</v>
      </c>
      <c r="F5" s="760">
        <v>4</v>
      </c>
      <c r="G5" s="803" t="s">
        <v>3333</v>
      </c>
      <c r="I5" s="761" t="s">
        <v>725</v>
      </c>
      <c r="J5" s="761" t="s">
        <v>725</v>
      </c>
      <c r="K5" s="761" t="s">
        <v>725</v>
      </c>
      <c r="L5" s="761" t="s">
        <v>726</v>
      </c>
      <c r="N5" s="759">
        <v>1</v>
      </c>
      <c r="O5" s="762">
        <v>1</v>
      </c>
      <c r="P5" s="763">
        <v>4</v>
      </c>
      <c r="Q5" s="764"/>
      <c r="R5" s="759">
        <v>1.4</v>
      </c>
      <c r="S5" s="759">
        <v>1</v>
      </c>
      <c r="T5" s="763">
        <v>1.5</v>
      </c>
      <c r="U5" s="765"/>
      <c r="V5" s="759"/>
      <c r="W5" s="762"/>
      <c r="X5" s="762"/>
      <c r="Y5" s="762"/>
      <c r="Z5" s="762"/>
      <c r="AA5" s="762"/>
      <c r="AB5" s="762"/>
      <c r="AC5" s="766"/>
      <c r="AD5" s="767"/>
      <c r="AF5" s="768"/>
      <c r="AG5" s="768"/>
      <c r="AH5" s="768"/>
      <c r="AI5" s="768"/>
      <c r="AJ5" s="768"/>
      <c r="AK5" s="768"/>
      <c r="AL5" s="768"/>
      <c r="AM5" s="768"/>
      <c r="AN5" s="768"/>
      <c r="AO5" s="769"/>
      <c r="AP5" s="769"/>
      <c r="AQ5" s="3759"/>
      <c r="AR5" s="769"/>
      <c r="AS5" s="769"/>
      <c r="AT5" s="769"/>
      <c r="AU5" s="769"/>
      <c r="AV5" s="769"/>
      <c r="AW5" s="769"/>
      <c r="AX5" s="769"/>
      <c r="AY5" s="769"/>
      <c r="AZ5" s="769"/>
      <c r="BA5" s="769"/>
      <c r="BB5" s="769"/>
      <c r="BD5" s="770"/>
      <c r="BE5" s="771" t="s">
        <v>615</v>
      </c>
      <c r="BF5" s="769"/>
      <c r="BG5" s="769"/>
      <c r="BH5" s="769"/>
      <c r="BI5" s="769"/>
      <c r="BJ5" s="769"/>
      <c r="BK5" s="769"/>
      <c r="BL5" s="769"/>
      <c r="BM5" s="769"/>
      <c r="BN5" s="769"/>
      <c r="BQ5" s="4128" t="s">
        <v>725</v>
      </c>
      <c r="BR5" s="761" t="s">
        <v>725</v>
      </c>
      <c r="BS5" s="761" t="s">
        <v>725</v>
      </c>
      <c r="BT5" s="761" t="s">
        <v>726</v>
      </c>
    </row>
    <row r="6" spans="1:72" ht="15.75">
      <c r="A6" s="4142"/>
      <c r="B6" s="4143"/>
      <c r="C6" s="758" t="s">
        <v>553</v>
      </c>
      <c r="D6" s="758" t="s">
        <v>554</v>
      </c>
      <c r="E6" s="763"/>
      <c r="F6" s="760"/>
      <c r="G6" s="760"/>
      <c r="H6" s="760"/>
      <c r="I6" s="803" t="s">
        <v>5</v>
      </c>
      <c r="J6" s="760"/>
      <c r="K6" s="760"/>
      <c r="L6" s="760"/>
      <c r="N6" s="759"/>
      <c r="O6" s="762"/>
      <c r="P6" s="763"/>
      <c r="Q6" s="764"/>
      <c r="R6" s="759"/>
      <c r="S6" s="759"/>
      <c r="T6" s="763"/>
      <c r="U6" s="765"/>
      <c r="V6" s="759"/>
      <c r="W6" s="762" t="s">
        <v>5</v>
      </c>
      <c r="X6" s="762"/>
      <c r="Y6" s="762"/>
      <c r="Z6" s="762"/>
      <c r="AA6" s="762"/>
      <c r="AB6" s="762"/>
      <c r="AC6" s="766"/>
      <c r="AD6" s="767"/>
      <c r="AF6" s="768"/>
      <c r="AG6" s="768"/>
      <c r="AH6" s="768"/>
      <c r="AI6" s="768"/>
      <c r="AJ6" s="768"/>
      <c r="AK6" s="768"/>
      <c r="AL6" s="768"/>
      <c r="AM6" s="768"/>
      <c r="AN6" s="768"/>
      <c r="AO6" s="769"/>
      <c r="AP6" s="769"/>
      <c r="AQ6" s="3759"/>
      <c r="AR6" s="769"/>
      <c r="AS6" s="769"/>
      <c r="AT6" s="769"/>
      <c r="AU6" s="769"/>
      <c r="AV6" s="769"/>
      <c r="AW6" s="769"/>
      <c r="AX6" s="769"/>
      <c r="AY6" s="769"/>
      <c r="AZ6" s="769"/>
      <c r="BA6" s="769"/>
      <c r="BB6" s="769"/>
      <c r="BD6" s="770"/>
      <c r="BE6" s="772"/>
      <c r="BF6" s="769"/>
      <c r="BG6" s="769"/>
      <c r="BH6" s="769"/>
      <c r="BI6" s="769"/>
      <c r="BJ6" s="769"/>
      <c r="BK6" s="769"/>
      <c r="BL6" s="769"/>
      <c r="BM6" s="769"/>
      <c r="BN6" s="769"/>
      <c r="BQ6" s="4129" t="s">
        <v>5</v>
      </c>
      <c r="BR6" s="510"/>
      <c r="BS6" s="510"/>
      <c r="BT6" s="510"/>
    </row>
    <row r="7" spans="1:72" ht="30">
      <c r="A7" s="4142"/>
      <c r="B7" s="4143"/>
      <c r="C7" s="774"/>
      <c r="D7" s="775" t="s">
        <v>616</v>
      </c>
      <c r="E7" s="763">
        <v>4</v>
      </c>
      <c r="F7" s="776">
        <v>4</v>
      </c>
      <c r="G7" s="776" t="s">
        <v>3334</v>
      </c>
      <c r="I7" s="761" t="s">
        <v>777</v>
      </c>
      <c r="J7" s="761" t="s">
        <v>3471</v>
      </c>
      <c r="K7" s="761" t="s">
        <v>3478</v>
      </c>
      <c r="L7" s="761" t="s">
        <v>2992</v>
      </c>
      <c r="N7" s="759">
        <v>1</v>
      </c>
      <c r="O7" s="762">
        <v>1</v>
      </c>
      <c r="P7" s="763">
        <v>4</v>
      </c>
      <c r="Q7" s="764"/>
      <c r="R7" s="759">
        <v>1.3</v>
      </c>
      <c r="S7" s="759">
        <v>3</v>
      </c>
      <c r="T7" s="763">
        <v>2</v>
      </c>
      <c r="U7" s="765"/>
      <c r="V7" s="759"/>
      <c r="W7" s="762"/>
      <c r="X7" s="762"/>
      <c r="Y7" s="762"/>
      <c r="Z7" s="762"/>
      <c r="AA7" s="762"/>
      <c r="AB7" s="762"/>
      <c r="AC7" s="766"/>
      <c r="AD7" s="767"/>
      <c r="AF7" s="768"/>
      <c r="AG7" s="768"/>
      <c r="AH7" s="768"/>
      <c r="AI7" s="768"/>
      <c r="AJ7" s="768"/>
      <c r="AK7" s="768"/>
      <c r="AL7" s="768"/>
      <c r="AM7" s="768"/>
      <c r="AN7" s="768"/>
      <c r="AO7" s="769"/>
      <c r="AP7" s="769"/>
      <c r="AQ7" s="3759"/>
      <c r="AR7" s="769"/>
      <c r="AS7" s="769"/>
      <c r="AT7" s="769"/>
      <c r="AU7" s="769"/>
      <c r="AV7" s="769"/>
      <c r="AW7" s="769"/>
      <c r="AX7" s="769"/>
      <c r="AY7" s="769"/>
      <c r="AZ7" s="769"/>
      <c r="BA7" s="769"/>
      <c r="BB7" s="769"/>
      <c r="BD7" s="777"/>
      <c r="BE7" s="778"/>
      <c r="BF7" s="779"/>
      <c r="BG7" s="780"/>
      <c r="BH7" s="780"/>
      <c r="BI7" s="781"/>
      <c r="BJ7" s="782">
        <v>2013</v>
      </c>
      <c r="BK7" s="782">
        <v>2020</v>
      </c>
      <c r="BL7" s="782">
        <v>2030</v>
      </c>
      <c r="BM7" s="782">
        <v>2050</v>
      </c>
      <c r="BN7" s="769"/>
      <c r="BQ7" s="4128" t="s">
        <v>777</v>
      </c>
      <c r="BR7" s="761" t="s">
        <v>3471</v>
      </c>
      <c r="BS7" s="761" t="s">
        <v>3478</v>
      </c>
      <c r="BT7" s="761" t="s">
        <v>2992</v>
      </c>
    </row>
    <row r="8" spans="1:72" s="6" customFormat="1" ht="30">
      <c r="A8" s="4142"/>
      <c r="B8" s="4143"/>
      <c r="C8" s="774"/>
      <c r="D8" s="775" t="s">
        <v>617</v>
      </c>
      <c r="E8" s="763">
        <v>4</v>
      </c>
      <c r="F8" s="776" t="s">
        <v>239</v>
      </c>
      <c r="G8" s="776" t="s">
        <v>3335</v>
      </c>
      <c r="H8"/>
      <c r="I8" s="761" t="s">
        <v>618</v>
      </c>
      <c r="J8" s="761" t="s">
        <v>619</v>
      </c>
      <c r="K8" s="761" t="s">
        <v>620</v>
      </c>
      <c r="L8" s="761" t="s">
        <v>621</v>
      </c>
      <c r="M8"/>
      <c r="N8" s="759">
        <v>1</v>
      </c>
      <c r="O8" s="762">
        <v>1</v>
      </c>
      <c r="P8" s="763">
        <v>4</v>
      </c>
      <c r="Q8" s="764"/>
      <c r="R8" s="759">
        <v>3</v>
      </c>
      <c r="S8" s="759">
        <v>4</v>
      </c>
      <c r="T8" s="763">
        <v>3</v>
      </c>
      <c r="U8" s="765"/>
      <c r="V8" s="759"/>
      <c r="W8" s="762"/>
      <c r="X8" s="762"/>
      <c r="Y8" s="762"/>
      <c r="Z8" s="762"/>
      <c r="AA8" s="762"/>
      <c r="AB8" s="762"/>
      <c r="AC8" s="766"/>
      <c r="AD8" s="767"/>
      <c r="AE8"/>
      <c r="AF8" s="768"/>
      <c r="AG8" s="768"/>
      <c r="AH8" s="768"/>
      <c r="AI8" s="768"/>
      <c r="AJ8" s="768"/>
      <c r="AK8" s="768"/>
      <c r="AL8" s="768"/>
      <c r="AM8" s="768"/>
      <c r="AN8" s="768"/>
      <c r="AO8" s="769"/>
      <c r="AP8" s="769"/>
      <c r="AQ8" s="3759"/>
      <c r="AR8" s="769"/>
      <c r="AS8" s="769"/>
      <c r="AT8" s="769"/>
      <c r="AU8" s="769"/>
      <c r="AV8" s="769"/>
      <c r="AW8" s="769"/>
      <c r="AX8" s="769"/>
      <c r="AY8" s="769"/>
      <c r="AZ8" s="769"/>
      <c r="BA8" s="769"/>
      <c r="BB8" s="769"/>
      <c r="BC8" s="732"/>
      <c r="BD8" s="777"/>
      <c r="BE8" s="783" t="s">
        <v>622</v>
      </c>
      <c r="BF8" s="768"/>
      <c r="BG8" s="768"/>
      <c r="BH8" s="784" t="s">
        <v>43</v>
      </c>
      <c r="BI8" s="783"/>
      <c r="BJ8" s="3827">
        <f ca="1">VII.c!F448</f>
        <v>1</v>
      </c>
      <c r="BK8" s="3828">
        <f ca="1">VII.c!I448</f>
        <v>0.76206677424648506</v>
      </c>
      <c r="BL8" s="3828">
        <f ca="1">VII.c!K448</f>
        <v>0</v>
      </c>
      <c r="BM8" s="3828">
        <f ca="1">VII.c!N448</f>
        <v>0</v>
      </c>
      <c r="BN8" s="769"/>
      <c r="BQ8" s="4128" t="s">
        <v>618</v>
      </c>
      <c r="BR8" s="761" t="s">
        <v>619</v>
      </c>
      <c r="BS8" s="761" t="s">
        <v>620</v>
      </c>
      <c r="BT8" s="761" t="s">
        <v>621</v>
      </c>
    </row>
    <row r="9" spans="1:72" s="6" customFormat="1" ht="45">
      <c r="A9" s="4142"/>
      <c r="B9" s="4143"/>
      <c r="C9" s="758" t="s">
        <v>522</v>
      </c>
      <c r="D9" s="758" t="s">
        <v>523</v>
      </c>
      <c r="E9" s="763">
        <v>4</v>
      </c>
      <c r="F9" s="760">
        <v>4</v>
      </c>
      <c r="G9" s="803" t="s">
        <v>3336</v>
      </c>
      <c r="H9"/>
      <c r="I9" s="761" t="s">
        <v>2993</v>
      </c>
      <c r="J9" s="761" t="s">
        <v>3251</v>
      </c>
      <c r="K9" s="761" t="s">
        <v>3488</v>
      </c>
      <c r="L9" s="761" t="s">
        <v>3490</v>
      </c>
      <c r="M9"/>
      <c r="N9" s="759">
        <v>1</v>
      </c>
      <c r="O9" s="762">
        <v>1</v>
      </c>
      <c r="P9" s="763">
        <v>4</v>
      </c>
      <c r="Q9" s="764"/>
      <c r="R9" s="759">
        <v>1.9</v>
      </c>
      <c r="S9" s="759">
        <v>3</v>
      </c>
      <c r="T9" s="763">
        <v>1.3</v>
      </c>
      <c r="U9" s="765"/>
      <c r="V9" s="759"/>
      <c r="W9" s="762"/>
      <c r="X9" s="762"/>
      <c r="Y9" s="762"/>
      <c r="Z9" s="762"/>
      <c r="AA9" s="762"/>
      <c r="AB9" s="762"/>
      <c r="AC9" s="766"/>
      <c r="AD9" s="767"/>
      <c r="AE9"/>
      <c r="AF9" s="768"/>
      <c r="AG9" s="768"/>
      <c r="AH9" s="768"/>
      <c r="AI9" s="768"/>
      <c r="AJ9" s="768"/>
      <c r="AK9" s="768"/>
      <c r="AL9" s="768"/>
      <c r="AM9" s="768"/>
      <c r="AN9" s="768"/>
      <c r="AO9" s="769"/>
      <c r="AP9" s="769"/>
      <c r="AQ9" s="3759"/>
      <c r="AR9" s="769"/>
      <c r="AS9" s="769"/>
      <c r="AT9" s="769"/>
      <c r="AU9" s="769"/>
      <c r="AV9" s="769"/>
      <c r="AW9" s="769"/>
      <c r="AX9" s="769"/>
      <c r="AY9" s="769"/>
      <c r="AZ9" s="769"/>
      <c r="BA9" s="769"/>
      <c r="BB9" s="769"/>
      <c r="BC9" s="732"/>
      <c r="BD9" s="777"/>
      <c r="BE9" s="783" t="s">
        <v>623</v>
      </c>
      <c r="BF9" s="768"/>
      <c r="BG9" s="768"/>
      <c r="BH9" s="785" t="s">
        <v>624</v>
      </c>
      <c r="BI9" s="783"/>
      <c r="BJ9" s="3982">
        <f ca="1">VII.c!F390</f>
        <v>0.41994376780032372</v>
      </c>
      <c r="BK9" s="3982">
        <f ca="1">VII.c!I390</f>
        <v>0</v>
      </c>
      <c r="BL9" s="3829">
        <f ca="1">VII.c!K390</f>
        <v>0</v>
      </c>
      <c r="BM9" s="3829">
        <f ca="1">VII.c!N390</f>
        <v>0</v>
      </c>
      <c r="BN9" s="769"/>
      <c r="BQ9" s="4128" t="s">
        <v>2993</v>
      </c>
      <c r="BR9" s="761" t="s">
        <v>3251</v>
      </c>
      <c r="BS9" s="761" t="s">
        <v>3488</v>
      </c>
      <c r="BT9" s="761" t="s">
        <v>3490</v>
      </c>
    </row>
    <row r="10" spans="1:72" s="6" customFormat="1" ht="30">
      <c r="A10" s="4142"/>
      <c r="B10" s="4143"/>
      <c r="C10" s="758" t="s">
        <v>520</v>
      </c>
      <c r="D10" s="758" t="s">
        <v>521</v>
      </c>
      <c r="E10" s="763">
        <v>4</v>
      </c>
      <c r="F10" s="760">
        <v>4</v>
      </c>
      <c r="G10" s="803" t="s">
        <v>3337</v>
      </c>
      <c r="H10"/>
      <c r="I10" s="761" t="s">
        <v>880</v>
      </c>
      <c r="J10" s="761" t="s">
        <v>1769</v>
      </c>
      <c r="K10" s="761" t="s">
        <v>1770</v>
      </c>
      <c r="L10" s="761" t="s">
        <v>2994</v>
      </c>
      <c r="M10"/>
      <c r="N10" s="759">
        <v>1</v>
      </c>
      <c r="O10" s="762">
        <v>1</v>
      </c>
      <c r="P10" s="763">
        <v>4</v>
      </c>
      <c r="Q10" s="764"/>
      <c r="R10" s="759">
        <v>2.7</v>
      </c>
      <c r="S10" s="759">
        <v>4</v>
      </c>
      <c r="T10" s="763">
        <v>1.5</v>
      </c>
      <c r="U10" s="765"/>
      <c r="V10" s="759"/>
      <c r="W10" s="762"/>
      <c r="X10" s="762"/>
      <c r="Y10" s="762"/>
      <c r="Z10" s="762"/>
      <c r="AA10" s="762"/>
      <c r="AB10" s="762"/>
      <c r="AC10" s="766"/>
      <c r="AD10" s="767"/>
      <c r="AE10"/>
      <c r="AF10" s="768"/>
      <c r="AG10" s="768"/>
      <c r="AH10" s="768"/>
      <c r="AI10" s="768"/>
      <c r="AJ10" s="768"/>
      <c r="AK10" s="768"/>
      <c r="AL10" s="768"/>
      <c r="AM10" s="768"/>
      <c r="AN10" s="768"/>
      <c r="AO10" s="769"/>
      <c r="AP10" s="769"/>
      <c r="AQ10" s="3759"/>
      <c r="AR10" s="769"/>
      <c r="AS10" s="769"/>
      <c r="AT10" s="769"/>
      <c r="AU10" s="769"/>
      <c r="AV10" s="769"/>
      <c r="AW10" s="769"/>
      <c r="AX10" s="769"/>
      <c r="AY10" s="769"/>
      <c r="AZ10" s="769"/>
      <c r="BA10" s="769"/>
      <c r="BB10" s="769"/>
      <c r="BC10" s="732"/>
      <c r="BD10" s="786"/>
      <c r="BE10" s="787" t="s">
        <v>625</v>
      </c>
      <c r="BF10" s="788"/>
      <c r="BG10" s="788"/>
      <c r="BH10" s="789" t="s">
        <v>626</v>
      </c>
      <c r="BI10" s="787"/>
      <c r="BJ10" s="3969">
        <f ca="1">VII.c.Emissions[[#Totals],[2013]]</f>
        <v>2.6208673750667485E-2</v>
      </c>
      <c r="BK10" s="3969">
        <f ca="1">VII.c.Emissions[[#Totals],[2020]]</f>
        <v>5.4703947760626752E-2</v>
      </c>
      <c r="BL10" s="3969">
        <f ca="1">VII.c.Emissions[[#Totals],[2030]]</f>
        <v>0</v>
      </c>
      <c r="BM10" s="3969">
        <f ca="1">VII.c.Emissions[[#Totals],[2050]]</f>
        <v>0</v>
      </c>
      <c r="BN10" s="769"/>
      <c r="BQ10" s="4128" t="s">
        <v>880</v>
      </c>
      <c r="BR10" s="761" t="s">
        <v>1769</v>
      </c>
      <c r="BS10" s="761" t="s">
        <v>1770</v>
      </c>
      <c r="BT10" s="761" t="s">
        <v>2994</v>
      </c>
    </row>
    <row r="11" spans="1:72" s="6" customFormat="1" ht="15.75">
      <c r="A11" s="4142"/>
      <c r="B11" s="4143"/>
      <c r="C11" s="790" t="s">
        <v>627</v>
      </c>
      <c r="D11" s="758" t="s">
        <v>399</v>
      </c>
      <c r="E11" s="763">
        <v>4</v>
      </c>
      <c r="F11" s="760">
        <v>4</v>
      </c>
      <c r="G11" s="803"/>
      <c r="H11"/>
      <c r="I11" s="761" t="s">
        <v>628</v>
      </c>
      <c r="J11" s="3935" t="s">
        <v>3253</v>
      </c>
      <c r="K11" s="3935" t="s">
        <v>3292</v>
      </c>
      <c r="L11" s="3935" t="s">
        <v>3295</v>
      </c>
      <c r="M11"/>
      <c r="N11" s="759">
        <v>1</v>
      </c>
      <c r="O11" s="762">
        <v>1</v>
      </c>
      <c r="P11" s="763">
        <v>4</v>
      </c>
      <c r="Q11" s="764"/>
      <c r="R11" s="759">
        <v>1.6</v>
      </c>
      <c r="S11" s="759">
        <v>3</v>
      </c>
      <c r="T11" s="763">
        <v>1</v>
      </c>
      <c r="U11" s="765"/>
      <c r="V11" s="759"/>
      <c r="W11" s="762"/>
      <c r="X11" s="762"/>
      <c r="Y11" s="762"/>
      <c r="Z11" s="762"/>
      <c r="AA11" s="762"/>
      <c r="AB11" s="762"/>
      <c r="AC11" s="766"/>
      <c r="AD11" s="767"/>
      <c r="AE11"/>
      <c r="AF11" s="768"/>
      <c r="AG11" s="768"/>
      <c r="AH11" s="768"/>
      <c r="AI11" s="768"/>
      <c r="AJ11" s="768"/>
      <c r="AK11" s="768"/>
      <c r="AL11" s="768"/>
      <c r="AM11" s="768"/>
      <c r="AN11" s="768"/>
      <c r="AO11" s="769"/>
      <c r="AP11" s="769"/>
      <c r="AQ11" s="3759"/>
      <c r="AR11" s="769"/>
      <c r="AS11" s="769"/>
      <c r="AT11" s="769"/>
      <c r="AU11" s="769"/>
      <c r="AV11" s="769"/>
      <c r="AW11" s="769"/>
      <c r="AX11" s="769"/>
      <c r="AY11" s="769"/>
      <c r="AZ11" s="769"/>
      <c r="BA11" s="769"/>
      <c r="BB11" s="769"/>
      <c r="BC11" s="732"/>
      <c r="BD11" s="769"/>
      <c r="BE11" s="769"/>
      <c r="BF11" s="769"/>
      <c r="BG11" s="769"/>
      <c r="BH11" s="769"/>
      <c r="BI11" s="769"/>
      <c r="BJ11" s="769"/>
      <c r="BK11" s="769"/>
      <c r="BL11" s="769"/>
      <c r="BM11" s="769"/>
      <c r="BN11" s="769"/>
      <c r="BQ11" s="4128" t="s">
        <v>628</v>
      </c>
      <c r="BR11" s="761" t="s">
        <v>3253</v>
      </c>
      <c r="BS11" s="761" t="s">
        <v>3292</v>
      </c>
      <c r="BT11" s="761" t="s">
        <v>3295</v>
      </c>
    </row>
    <row r="12" spans="1:72" s="6" customFormat="1" ht="15.75">
      <c r="A12" s="4142"/>
      <c r="B12" s="4143"/>
      <c r="C12" s="790" t="s">
        <v>629</v>
      </c>
      <c r="D12" s="758" t="s">
        <v>630</v>
      </c>
      <c r="E12" s="763">
        <v>4</v>
      </c>
      <c r="F12" s="760">
        <v>4</v>
      </c>
      <c r="G12" s="803" t="s">
        <v>3338</v>
      </c>
      <c r="H12"/>
      <c r="I12" s="761" t="s">
        <v>628</v>
      </c>
      <c r="J12" s="761" t="s">
        <v>943</v>
      </c>
      <c r="K12" s="761" t="s">
        <v>944</v>
      </c>
      <c r="L12" s="761" t="s">
        <v>945</v>
      </c>
      <c r="M12"/>
      <c r="N12" s="759">
        <v>1</v>
      </c>
      <c r="O12" s="762">
        <v>1</v>
      </c>
      <c r="P12" s="763">
        <v>4</v>
      </c>
      <c r="Q12" s="764"/>
      <c r="R12" s="759">
        <v>2</v>
      </c>
      <c r="S12" s="759">
        <v>3</v>
      </c>
      <c r="T12" s="763">
        <v>1</v>
      </c>
      <c r="U12" s="765"/>
      <c r="V12" s="759"/>
      <c r="W12" s="762"/>
      <c r="X12" s="762"/>
      <c r="Y12" s="762"/>
      <c r="Z12" s="762"/>
      <c r="AA12" s="762"/>
      <c r="AB12" s="762"/>
      <c r="AC12" s="766"/>
      <c r="AD12" s="767"/>
      <c r="AE12"/>
      <c r="AF12" s="768"/>
      <c r="AG12" s="768"/>
      <c r="AH12" s="768"/>
      <c r="AI12" s="768"/>
      <c r="AJ12" s="768"/>
      <c r="AK12" s="768"/>
      <c r="AL12" s="768"/>
      <c r="AM12" s="768"/>
      <c r="AN12" s="768"/>
      <c r="AO12" s="769"/>
      <c r="AP12" s="769"/>
      <c r="AQ12" s="3759"/>
      <c r="AR12" s="769"/>
      <c r="AS12" s="769"/>
      <c r="AT12" s="769"/>
      <c r="AU12" s="769"/>
      <c r="AV12" s="769"/>
      <c r="AW12" s="769"/>
      <c r="AX12" s="769"/>
      <c r="AY12" s="769"/>
      <c r="AZ12" s="769"/>
      <c r="BA12" s="769"/>
      <c r="BB12" s="769"/>
      <c r="BC12" s="732"/>
      <c r="BD12" s="769"/>
      <c r="BE12" s="769"/>
      <c r="BF12" s="769"/>
      <c r="BG12" s="769"/>
      <c r="BH12" s="769"/>
      <c r="BI12" s="769"/>
      <c r="BJ12" s="769"/>
      <c r="BK12" s="769"/>
      <c r="BL12" s="769"/>
      <c r="BM12" s="769"/>
      <c r="BN12" s="769"/>
      <c r="BQ12" s="4128" t="s">
        <v>628</v>
      </c>
      <c r="BR12" s="761" t="s">
        <v>943</v>
      </c>
      <c r="BS12" s="761" t="s">
        <v>944</v>
      </c>
      <c r="BT12" s="761" t="s">
        <v>945</v>
      </c>
    </row>
    <row r="13" spans="1:72" s="6" customFormat="1" ht="15.75">
      <c r="A13" s="4142"/>
      <c r="B13" s="4143"/>
      <c r="C13" s="791" t="s">
        <v>631</v>
      </c>
      <c r="D13" s="758" t="s">
        <v>3480</v>
      </c>
      <c r="E13" s="763"/>
      <c r="F13" s="760"/>
      <c r="G13" s="803"/>
      <c r="H13" s="760"/>
      <c r="I13" s="803" t="s">
        <v>5</v>
      </c>
      <c r="J13" s="803" t="s">
        <v>5</v>
      </c>
      <c r="K13" s="803" t="s">
        <v>5</v>
      </c>
      <c r="L13" s="760"/>
      <c r="M13"/>
      <c r="N13" s="759"/>
      <c r="O13" s="762"/>
      <c r="P13" s="763"/>
      <c r="Q13" s="764"/>
      <c r="R13" s="759"/>
      <c r="S13" s="759"/>
      <c r="T13" s="763"/>
      <c r="U13" s="765"/>
      <c r="V13" s="759"/>
      <c r="W13" s="762"/>
      <c r="X13" s="762"/>
      <c r="Y13" s="762"/>
      <c r="Z13" s="762"/>
      <c r="AA13" s="762"/>
      <c r="AB13" s="762"/>
      <c r="AC13" s="766"/>
      <c r="AD13" s="767"/>
      <c r="AE13"/>
      <c r="AF13" s="768"/>
      <c r="AG13" s="768"/>
      <c r="AH13" s="768"/>
      <c r="AI13" s="768"/>
      <c r="AJ13" s="768"/>
      <c r="AK13" s="768"/>
      <c r="AL13" s="768"/>
      <c r="AM13" s="768"/>
      <c r="AN13" s="768"/>
      <c r="AO13" s="769"/>
      <c r="AP13" s="769"/>
      <c r="AQ13" s="3759"/>
      <c r="AR13" s="769"/>
      <c r="AS13" s="769"/>
      <c r="AT13" s="769"/>
      <c r="AU13" s="769"/>
      <c r="AV13" s="769"/>
      <c r="AW13" s="769"/>
      <c r="AX13" s="769"/>
      <c r="AY13" s="769"/>
      <c r="AZ13" s="769"/>
      <c r="BA13" s="769"/>
      <c r="BB13" s="769"/>
      <c r="BC13" s="732"/>
      <c r="BD13" s="769"/>
      <c r="BE13" s="769"/>
      <c r="BF13" s="769"/>
      <c r="BG13" s="769"/>
      <c r="BH13" s="769"/>
      <c r="BI13" s="769"/>
      <c r="BJ13" s="769"/>
      <c r="BK13" s="769"/>
      <c r="BL13" s="769"/>
      <c r="BM13" s="769"/>
      <c r="BN13" s="769"/>
      <c r="BQ13" s="4128" t="s">
        <v>5</v>
      </c>
      <c r="BR13" s="761" t="s">
        <v>5</v>
      </c>
      <c r="BS13" s="761" t="s">
        <v>5</v>
      </c>
      <c r="BT13" s="761"/>
    </row>
    <row r="14" spans="1:72" ht="30">
      <c r="A14" s="4142"/>
      <c r="B14" s="4143"/>
      <c r="C14" s="758" t="s">
        <v>556</v>
      </c>
      <c r="D14" s="758" t="s">
        <v>633</v>
      </c>
      <c r="E14" s="763">
        <v>4</v>
      </c>
      <c r="F14" s="760">
        <v>4</v>
      </c>
      <c r="G14" s="803" t="s">
        <v>3339</v>
      </c>
      <c r="I14" s="761" t="s">
        <v>3492</v>
      </c>
      <c r="J14" s="761" t="s">
        <v>3491</v>
      </c>
      <c r="K14" s="761" t="s">
        <v>3318</v>
      </c>
      <c r="L14" s="761" t="s">
        <v>2160</v>
      </c>
      <c r="N14" s="759">
        <v>1</v>
      </c>
      <c r="O14" s="762">
        <v>1</v>
      </c>
      <c r="P14" s="763">
        <v>4</v>
      </c>
      <c r="Q14" s="764"/>
      <c r="R14" s="759">
        <v>1</v>
      </c>
      <c r="S14" s="759">
        <v>3</v>
      </c>
      <c r="T14" s="763">
        <v>1</v>
      </c>
      <c r="U14" s="765"/>
      <c r="V14" s="759"/>
      <c r="W14" s="762"/>
      <c r="X14" s="762"/>
      <c r="Y14" s="762"/>
      <c r="Z14" s="762"/>
      <c r="AA14" s="762"/>
      <c r="AB14" s="762"/>
      <c r="AC14" s="766"/>
      <c r="AD14" s="767"/>
      <c r="AE14" s="6"/>
      <c r="AF14" s="768"/>
      <c r="AG14" s="768"/>
      <c r="AH14" s="768"/>
      <c r="AI14" s="768"/>
      <c r="AJ14" s="768"/>
      <c r="AK14" s="768"/>
      <c r="AL14" s="768"/>
      <c r="AM14" s="768"/>
      <c r="AN14" s="768"/>
      <c r="AO14" s="769"/>
      <c r="AP14" s="769"/>
      <c r="AQ14" s="3759"/>
      <c r="AR14" s="769"/>
      <c r="AS14" s="769"/>
      <c r="AT14" s="769"/>
      <c r="AU14" s="769"/>
      <c r="AV14" s="769"/>
      <c r="AW14" s="769"/>
      <c r="AX14" s="769"/>
      <c r="AY14" s="769"/>
      <c r="AZ14" s="769"/>
      <c r="BA14" s="769"/>
      <c r="BB14" s="769"/>
      <c r="BD14" s="769"/>
      <c r="BE14" s="792" t="s">
        <v>634</v>
      </c>
      <c r="BF14" s="769"/>
      <c r="BG14" s="769"/>
      <c r="BH14" s="769"/>
      <c r="BI14" s="769"/>
      <c r="BJ14" s="769"/>
      <c r="BK14" s="769"/>
      <c r="BL14" s="769"/>
      <c r="BM14" s="769"/>
      <c r="BN14" s="769"/>
      <c r="BQ14" s="4128" t="s">
        <v>3492</v>
      </c>
      <c r="BR14" s="761" t="s">
        <v>3491</v>
      </c>
      <c r="BS14" s="761" t="s">
        <v>3318</v>
      </c>
      <c r="BT14" s="761" t="s">
        <v>2160</v>
      </c>
    </row>
    <row r="15" spans="1:72" s="6" customFormat="1" ht="30">
      <c r="A15" s="4142"/>
      <c r="B15" s="4143"/>
      <c r="C15" s="758" t="s">
        <v>534</v>
      </c>
      <c r="D15" s="758" t="s">
        <v>635</v>
      </c>
      <c r="E15" s="763">
        <v>4</v>
      </c>
      <c r="F15" s="760">
        <v>4</v>
      </c>
      <c r="G15" s="803" t="s">
        <v>3340</v>
      </c>
      <c r="H15"/>
      <c r="I15" s="761" t="s">
        <v>636</v>
      </c>
      <c r="J15" s="761" t="s">
        <v>2317</v>
      </c>
      <c r="K15" s="761" t="s">
        <v>3501</v>
      </c>
      <c r="L15" s="761" t="s">
        <v>3500</v>
      </c>
      <c r="M15"/>
      <c r="N15" s="759">
        <v>1</v>
      </c>
      <c r="O15" s="762">
        <v>1</v>
      </c>
      <c r="P15" s="763">
        <v>4</v>
      </c>
      <c r="Q15" s="764"/>
      <c r="R15" s="759">
        <v>1.2</v>
      </c>
      <c r="S15" s="759">
        <v>2</v>
      </c>
      <c r="T15" s="763">
        <v>1</v>
      </c>
      <c r="U15" s="765"/>
      <c r="V15" s="759"/>
      <c r="W15" s="793"/>
      <c r="X15" s="794"/>
      <c r="Y15" s="794"/>
      <c r="Z15" s="794"/>
      <c r="AA15" s="794"/>
      <c r="AB15" s="795"/>
      <c r="AC15" s="766"/>
      <c r="AD15" s="767"/>
      <c r="AE15"/>
      <c r="AF15" s="768"/>
      <c r="AG15" s="768"/>
      <c r="AH15" s="768"/>
      <c r="AI15" s="768"/>
      <c r="AJ15" s="768"/>
      <c r="AK15" s="768"/>
      <c r="AL15" s="768"/>
      <c r="AM15" s="768"/>
      <c r="AN15" s="768"/>
      <c r="AO15" s="769"/>
      <c r="AP15" s="769"/>
      <c r="AQ15" s="3759"/>
      <c r="AR15" s="769"/>
      <c r="AS15" s="769"/>
      <c r="AT15" s="769"/>
      <c r="AU15" s="769"/>
      <c r="AV15" s="769"/>
      <c r="AW15" s="769"/>
      <c r="AX15" s="769"/>
      <c r="AY15" s="769"/>
      <c r="AZ15" s="769"/>
      <c r="BA15" s="769"/>
      <c r="BB15" s="769"/>
      <c r="BC15" s="732"/>
      <c r="BD15" s="769"/>
      <c r="BE15" s="3818" t="s">
        <v>637</v>
      </c>
      <c r="BF15" s="769"/>
      <c r="BG15" s="769"/>
      <c r="BH15" s="769"/>
      <c r="BI15" s="769"/>
      <c r="BJ15" s="769"/>
      <c r="BK15" s="769"/>
      <c r="BL15" s="769"/>
      <c r="BM15" s="769"/>
      <c r="BN15" s="769"/>
      <c r="BQ15" s="4128" t="s">
        <v>636</v>
      </c>
      <c r="BR15" s="761" t="s">
        <v>2317</v>
      </c>
      <c r="BS15" s="761" t="s">
        <v>3501</v>
      </c>
      <c r="BT15" s="761" t="s">
        <v>3500</v>
      </c>
    </row>
    <row r="16" spans="1:72" s="6" customFormat="1" ht="30">
      <c r="A16" s="4142"/>
      <c r="B16" s="4143"/>
      <c r="C16" s="758" t="s">
        <v>25</v>
      </c>
      <c r="D16" s="758" t="s">
        <v>638</v>
      </c>
      <c r="E16" s="763">
        <v>4</v>
      </c>
      <c r="F16" s="760">
        <v>4</v>
      </c>
      <c r="G16" s="803" t="s">
        <v>3341</v>
      </c>
      <c r="H16"/>
      <c r="I16" s="761" t="s">
        <v>639</v>
      </c>
      <c r="J16" s="761" t="s">
        <v>640</v>
      </c>
      <c r="K16" s="761" t="s">
        <v>641</v>
      </c>
      <c r="L16" s="761" t="s">
        <v>642</v>
      </c>
      <c r="M16"/>
      <c r="N16" s="759">
        <v>1</v>
      </c>
      <c r="O16" s="762">
        <v>1</v>
      </c>
      <c r="P16" s="763">
        <v>4</v>
      </c>
      <c r="Q16" s="764"/>
      <c r="R16" s="759">
        <v>1.8</v>
      </c>
      <c r="S16" s="759">
        <v>3</v>
      </c>
      <c r="T16" s="763">
        <v>1</v>
      </c>
      <c r="U16" s="765"/>
      <c r="V16" s="759"/>
      <c r="W16" s="793"/>
      <c r="X16" s="794"/>
      <c r="Y16" s="794"/>
      <c r="Z16" s="794"/>
      <c r="AA16" s="794"/>
      <c r="AB16" s="795"/>
      <c r="AC16" s="766"/>
      <c r="AD16" s="767"/>
      <c r="AE16"/>
      <c r="AF16" s="768"/>
      <c r="AG16" s="768"/>
      <c r="AH16" s="768"/>
      <c r="AI16" s="768"/>
      <c r="AJ16" s="768"/>
      <c r="AK16" s="768"/>
      <c r="AL16" s="768"/>
      <c r="AM16" s="768"/>
      <c r="AN16" s="768"/>
      <c r="AO16" s="769"/>
      <c r="AP16" s="769"/>
      <c r="AQ16" s="3759"/>
      <c r="AR16" s="769"/>
      <c r="AS16" s="769"/>
      <c r="AT16" s="769"/>
      <c r="AU16" s="769"/>
      <c r="AV16" s="769"/>
      <c r="AW16" s="769"/>
      <c r="AX16" s="769"/>
      <c r="AY16" s="769"/>
      <c r="AZ16" s="769"/>
      <c r="BA16" s="769"/>
      <c r="BB16" s="769"/>
      <c r="BC16" s="732"/>
      <c r="BD16" s="4141" t="s">
        <v>643</v>
      </c>
      <c r="BE16" s="4141"/>
      <c r="BF16" s="4141"/>
      <c r="BG16" s="4141"/>
      <c r="BH16" s="4141"/>
      <c r="BI16" s="4141"/>
      <c r="BJ16" s="4141"/>
      <c r="BK16" s="4141"/>
      <c r="BL16" s="4141"/>
      <c r="BM16" s="4141"/>
      <c r="BN16" s="4141"/>
      <c r="BQ16" s="4128" t="s">
        <v>639</v>
      </c>
      <c r="BR16" s="761" t="s">
        <v>640</v>
      </c>
      <c r="BS16" s="761" t="s">
        <v>641</v>
      </c>
      <c r="BT16" s="761" t="s">
        <v>642</v>
      </c>
    </row>
    <row r="17" spans="1:72" s="6" customFormat="1" ht="30">
      <c r="A17" s="4142"/>
      <c r="B17" s="4143"/>
      <c r="C17" s="758" t="s">
        <v>524</v>
      </c>
      <c r="D17" s="758" t="s">
        <v>3484</v>
      </c>
      <c r="E17" s="763">
        <v>1</v>
      </c>
      <c r="F17" s="760">
        <v>4</v>
      </c>
      <c r="G17" s="803"/>
      <c r="H17"/>
      <c r="I17" s="4139" t="s">
        <v>3296</v>
      </c>
      <c r="J17" s="510" t="s">
        <v>3482</v>
      </c>
      <c r="K17" s="510" t="s">
        <v>3482</v>
      </c>
      <c r="L17" s="510" t="s">
        <v>3482</v>
      </c>
      <c r="M17"/>
      <c r="N17" s="759">
        <v>1</v>
      </c>
      <c r="O17" s="762">
        <v>1</v>
      </c>
      <c r="P17" s="763">
        <v>1</v>
      </c>
      <c r="Q17" s="764"/>
      <c r="R17" s="759">
        <v>1</v>
      </c>
      <c r="S17" s="759">
        <v>2</v>
      </c>
      <c r="T17" s="763">
        <v>1</v>
      </c>
      <c r="U17" s="765"/>
      <c r="V17" s="759"/>
      <c r="W17" s="762"/>
      <c r="X17" s="762"/>
      <c r="Y17" s="762"/>
      <c r="Z17" s="762"/>
      <c r="AA17" s="762"/>
      <c r="AB17" s="762"/>
      <c r="AC17" s="766"/>
      <c r="AD17" s="767"/>
      <c r="AE17"/>
      <c r="AF17" s="768"/>
      <c r="AG17" s="768"/>
      <c r="AH17" s="768"/>
      <c r="AI17" s="768"/>
      <c r="AJ17" s="768"/>
      <c r="AK17" s="768"/>
      <c r="AL17" s="768"/>
      <c r="AM17" s="768"/>
      <c r="AN17" s="768"/>
      <c r="AO17" s="769"/>
      <c r="AP17" s="769"/>
      <c r="AQ17" s="3759"/>
      <c r="AR17" s="769"/>
      <c r="AS17" s="769"/>
      <c r="AT17" s="769"/>
      <c r="AU17" s="769"/>
      <c r="AV17" s="769"/>
      <c r="AW17" s="769"/>
      <c r="AX17" s="769"/>
      <c r="AY17" s="769"/>
      <c r="AZ17" s="769"/>
      <c r="BA17" s="769"/>
      <c r="BB17" s="769"/>
      <c r="BC17" s="732"/>
      <c r="BD17" s="796"/>
      <c r="BE17" s="797"/>
      <c r="BF17" s="769"/>
      <c r="BG17" s="769"/>
      <c r="BH17" s="769"/>
      <c r="BI17" s="769"/>
      <c r="BJ17" s="769"/>
      <c r="BK17" s="769"/>
      <c r="BL17" s="769"/>
      <c r="BM17" s="769"/>
      <c r="BN17" s="769"/>
      <c r="BQ17" s="4128" t="s">
        <v>3296</v>
      </c>
      <c r="BR17" s="761" t="s">
        <v>3482</v>
      </c>
      <c r="BS17" s="761" t="s">
        <v>3482</v>
      </c>
      <c r="BT17" s="761" t="s">
        <v>3482</v>
      </c>
    </row>
    <row r="18" spans="1:72" s="6" customFormat="1" ht="45">
      <c r="A18" s="4142"/>
      <c r="B18" s="4143"/>
      <c r="C18" s="758" t="s">
        <v>536</v>
      </c>
      <c r="D18" s="758" t="s">
        <v>537</v>
      </c>
      <c r="E18" s="763">
        <v>4</v>
      </c>
      <c r="F18" s="760">
        <v>4</v>
      </c>
      <c r="G18" s="803" t="s">
        <v>3342</v>
      </c>
      <c r="H18"/>
      <c r="I18" s="761" t="s">
        <v>644</v>
      </c>
      <c r="J18" s="761" t="s">
        <v>3487</v>
      </c>
      <c r="K18" s="761" t="s">
        <v>3486</v>
      </c>
      <c r="L18" s="761" t="s">
        <v>3485</v>
      </c>
      <c r="M18"/>
      <c r="N18" s="759">
        <v>1</v>
      </c>
      <c r="O18" s="762">
        <v>1</v>
      </c>
      <c r="P18" s="763">
        <v>4</v>
      </c>
      <c r="Q18" s="764"/>
      <c r="R18" s="759">
        <v>1</v>
      </c>
      <c r="S18" s="759">
        <v>1</v>
      </c>
      <c r="T18" s="763">
        <v>1</v>
      </c>
      <c r="U18" s="765"/>
      <c r="V18" s="759"/>
      <c r="W18" s="762"/>
      <c r="X18" s="762"/>
      <c r="Y18" s="762"/>
      <c r="Z18" s="762"/>
      <c r="AA18" s="762"/>
      <c r="AB18" s="762"/>
      <c r="AC18" s="766"/>
      <c r="AD18" s="767"/>
      <c r="AE18"/>
      <c r="AF18" s="768"/>
      <c r="AG18" s="768"/>
      <c r="AH18" s="768"/>
      <c r="AI18" s="768"/>
      <c r="AJ18" s="768"/>
      <c r="AK18" s="768"/>
      <c r="AL18" s="768"/>
      <c r="AM18" s="768"/>
      <c r="AN18" s="768"/>
      <c r="AO18" s="769"/>
      <c r="AP18" s="769"/>
      <c r="AQ18" s="3759"/>
      <c r="AR18" s="769"/>
      <c r="AS18" s="769"/>
      <c r="AT18" s="769"/>
      <c r="AU18" s="769"/>
      <c r="AV18" s="769"/>
      <c r="AW18" s="769"/>
      <c r="AX18" s="769"/>
      <c r="AY18" s="769"/>
      <c r="AZ18" s="769"/>
      <c r="BA18" s="769"/>
      <c r="BB18" s="769"/>
      <c r="BC18" s="732"/>
      <c r="BD18" s="796"/>
      <c r="BE18" s="797" t="s">
        <v>645</v>
      </c>
      <c r="BF18" s="769"/>
      <c r="BG18" s="769"/>
      <c r="BH18" s="769"/>
      <c r="BI18" s="769"/>
      <c r="BJ18" s="769"/>
      <c r="BK18" s="769"/>
      <c r="BL18" s="769"/>
      <c r="BM18" s="769"/>
      <c r="BN18" s="769"/>
      <c r="BQ18" s="4128" t="s">
        <v>644</v>
      </c>
      <c r="BR18" s="761" t="s">
        <v>3487</v>
      </c>
      <c r="BS18" s="761" t="s">
        <v>3486</v>
      </c>
      <c r="BT18" s="761" t="s">
        <v>3485</v>
      </c>
    </row>
    <row r="19" spans="1:72" s="6" customFormat="1" ht="30">
      <c r="A19" s="4142"/>
      <c r="B19" s="798" t="s">
        <v>646</v>
      </c>
      <c r="C19" s="758" t="s">
        <v>563</v>
      </c>
      <c r="D19" s="758" t="s">
        <v>564</v>
      </c>
      <c r="E19" s="763">
        <v>4</v>
      </c>
      <c r="F19" s="760">
        <v>4</v>
      </c>
      <c r="G19" s="803" t="s">
        <v>3343</v>
      </c>
      <c r="H19" s="803" t="s">
        <v>5</v>
      </c>
      <c r="I19" s="761" t="s">
        <v>3031</v>
      </c>
      <c r="J19" s="761" t="s">
        <v>3029</v>
      </c>
      <c r="K19" s="761" t="s">
        <v>3030</v>
      </c>
      <c r="L19" s="761" t="s">
        <v>3301</v>
      </c>
      <c r="M19"/>
      <c r="N19" s="759">
        <v>1</v>
      </c>
      <c r="O19" s="762">
        <v>1</v>
      </c>
      <c r="P19" s="763">
        <v>4</v>
      </c>
      <c r="Q19" s="764"/>
      <c r="R19" s="759">
        <v>1</v>
      </c>
      <c r="S19" s="759">
        <v>1</v>
      </c>
      <c r="T19" s="763">
        <v>1.5</v>
      </c>
      <c r="U19" s="765"/>
      <c r="V19" s="759"/>
      <c r="W19" s="762"/>
      <c r="X19" s="762"/>
      <c r="Y19" s="762"/>
      <c r="Z19" s="799"/>
      <c r="AA19" s="762"/>
      <c r="AB19" s="762"/>
      <c r="AC19" s="766"/>
      <c r="AD19" s="767"/>
      <c r="AE19"/>
      <c r="AF19" s="768"/>
      <c r="AG19" s="768"/>
      <c r="AH19" s="768"/>
      <c r="AI19" s="768"/>
      <c r="AJ19" s="768"/>
      <c r="AK19" s="768"/>
      <c r="AL19" s="768"/>
      <c r="AM19" s="768"/>
      <c r="AN19" s="768"/>
      <c r="AO19" s="769"/>
      <c r="AP19" s="769"/>
      <c r="AQ19" s="3759"/>
      <c r="AR19" s="769"/>
      <c r="AS19" s="769"/>
      <c r="AT19" s="769"/>
      <c r="AU19" s="769"/>
      <c r="AV19" s="769"/>
      <c r="AW19" s="769"/>
      <c r="AX19" s="769"/>
      <c r="AY19" s="769"/>
      <c r="AZ19" s="769"/>
      <c r="BA19" s="769"/>
      <c r="BB19" s="769"/>
      <c r="BC19" s="732"/>
      <c r="BD19" s="786"/>
      <c r="BE19" s="769"/>
      <c r="BF19" s="769"/>
      <c r="BG19" s="769"/>
      <c r="BH19" s="769"/>
      <c r="BI19" s="769"/>
      <c r="BJ19" s="769"/>
      <c r="BK19" s="769"/>
      <c r="BL19" s="769"/>
      <c r="BM19" s="769"/>
      <c r="BN19" s="769"/>
      <c r="BQ19" s="4128" t="s">
        <v>3031</v>
      </c>
      <c r="BR19" s="761" t="s">
        <v>3029</v>
      </c>
      <c r="BS19" s="761" t="s">
        <v>3030</v>
      </c>
      <c r="BT19" s="761" t="s">
        <v>3301</v>
      </c>
    </row>
    <row r="20" spans="1:72" s="6" customFormat="1" ht="15.75">
      <c r="A20" s="4142" t="s">
        <v>647</v>
      </c>
      <c r="B20" s="4143" t="s">
        <v>2755</v>
      </c>
      <c r="C20" s="758" t="s">
        <v>510</v>
      </c>
      <c r="D20" s="758" t="s">
        <v>511</v>
      </c>
      <c r="E20" s="763"/>
      <c r="F20" s="760"/>
      <c r="G20" s="760"/>
      <c r="H20" s="760"/>
      <c r="I20" s="803" t="s">
        <v>5</v>
      </c>
      <c r="J20" s="803" t="s">
        <v>5</v>
      </c>
      <c r="K20" s="803" t="s">
        <v>5</v>
      </c>
      <c r="L20" s="803" t="s">
        <v>5</v>
      </c>
      <c r="M20"/>
      <c r="N20" s="759"/>
      <c r="O20" s="762"/>
      <c r="P20" s="763"/>
      <c r="Q20" s="764"/>
      <c r="R20" s="759"/>
      <c r="S20" s="759"/>
      <c r="T20" s="763"/>
      <c r="U20" s="765"/>
      <c r="V20" s="759"/>
      <c r="W20" s="762"/>
      <c r="X20" s="762"/>
      <c r="Y20" s="762"/>
      <c r="Z20" s="762"/>
      <c r="AA20" s="762"/>
      <c r="AB20" s="762"/>
      <c r="AC20" s="766"/>
      <c r="AD20" s="767"/>
      <c r="AE20"/>
      <c r="AF20" s="768"/>
      <c r="AG20" s="768"/>
      <c r="AH20" s="768"/>
      <c r="AI20" s="768"/>
      <c r="AJ20" s="768"/>
      <c r="AK20" s="768"/>
      <c r="AL20" s="768"/>
      <c r="AM20" s="768"/>
      <c r="AN20" s="768"/>
      <c r="AO20" s="769"/>
      <c r="AP20" s="769"/>
      <c r="AQ20" s="3759"/>
      <c r="AR20" s="769"/>
      <c r="AS20" s="769"/>
      <c r="AT20" s="769"/>
      <c r="AU20" s="769"/>
      <c r="AV20" s="769"/>
      <c r="AW20" s="769"/>
      <c r="AX20" s="769"/>
      <c r="AY20" s="769"/>
      <c r="AZ20" s="769"/>
      <c r="BA20" s="769"/>
      <c r="BB20" s="769"/>
      <c r="BC20" s="732"/>
      <c r="BD20" s="770"/>
      <c r="BE20" s="778" t="s">
        <v>132</v>
      </c>
      <c r="BF20" s="779"/>
      <c r="BG20" s="780"/>
      <c r="BH20" s="780"/>
      <c r="BI20" s="781" t="s">
        <v>648</v>
      </c>
      <c r="BJ20" s="782">
        <v>2013</v>
      </c>
      <c r="BK20" s="782">
        <v>2020</v>
      </c>
      <c r="BL20" s="782">
        <v>2030</v>
      </c>
      <c r="BM20" s="782">
        <v>2050</v>
      </c>
      <c r="BN20" s="769"/>
      <c r="BQ20" s="4128" t="s">
        <v>5</v>
      </c>
      <c r="BR20" s="761" t="s">
        <v>5</v>
      </c>
      <c r="BS20" s="761" t="s">
        <v>5</v>
      </c>
      <c r="BT20" s="761" t="s">
        <v>5</v>
      </c>
    </row>
    <row r="21" spans="1:72" s="6" customFormat="1" ht="30">
      <c r="A21" s="4142"/>
      <c r="B21" s="4143"/>
      <c r="C21" s="775"/>
      <c r="D21" s="775" t="s">
        <v>649</v>
      </c>
      <c r="E21" s="763">
        <v>4</v>
      </c>
      <c r="F21" s="776">
        <v>4</v>
      </c>
      <c r="G21" s="2377" t="s">
        <v>3344</v>
      </c>
      <c r="H21"/>
      <c r="I21" s="761" t="s">
        <v>650</v>
      </c>
      <c r="J21" s="761" t="s">
        <v>2158</v>
      </c>
      <c r="K21" s="761" t="s">
        <v>2159</v>
      </c>
      <c r="L21" s="761" t="s">
        <v>3277</v>
      </c>
      <c r="M21"/>
      <c r="N21" s="759">
        <v>1</v>
      </c>
      <c r="O21" s="762">
        <v>1</v>
      </c>
      <c r="P21" s="763">
        <v>4</v>
      </c>
      <c r="Q21" s="764"/>
      <c r="R21" s="759">
        <v>2</v>
      </c>
      <c r="S21" s="759">
        <v>3</v>
      </c>
      <c r="T21" s="763">
        <v>3</v>
      </c>
      <c r="U21" s="765"/>
      <c r="V21" s="759"/>
      <c r="W21" s="762"/>
      <c r="X21" s="762"/>
      <c r="Y21" s="762"/>
      <c r="Z21" s="762"/>
      <c r="AA21" s="762"/>
      <c r="AB21" s="762"/>
      <c r="AC21" s="766"/>
      <c r="AD21" s="767"/>
      <c r="AE21"/>
      <c r="AF21" s="768"/>
      <c r="AG21" s="768"/>
      <c r="AH21" s="768"/>
      <c r="AI21" s="768"/>
      <c r="AJ21" s="768"/>
      <c r="AK21" s="768"/>
      <c r="AL21" s="768"/>
      <c r="AM21" s="768"/>
      <c r="AN21" s="768"/>
      <c r="AO21" s="769"/>
      <c r="AP21" s="769"/>
      <c r="AQ21" s="3759"/>
      <c r="AR21" s="769"/>
      <c r="AS21" s="769"/>
      <c r="AT21" s="769"/>
      <c r="AU21" s="769"/>
      <c r="AV21" s="769"/>
      <c r="AW21" s="769"/>
      <c r="AX21" s="769"/>
      <c r="AY21" s="769"/>
      <c r="AZ21" s="769"/>
      <c r="BA21" s="769"/>
      <c r="BB21" s="769"/>
      <c r="BC21" s="732"/>
      <c r="BD21" s="800"/>
      <c r="BE21" s="801" t="s">
        <v>442</v>
      </c>
      <c r="BF21" s="772" t="s">
        <v>393</v>
      </c>
      <c r="BG21" s="769"/>
      <c r="BH21" s="802"/>
      <c r="BI21" s="772"/>
      <c r="BJ21" s="3813">
        <f ca="1">SUMIFS(INDIRECT("'"&amp;BJ$20&amp;"'!Year.NetBalance"), INDIRECT("'"&amp;BJ$20&amp;"'!Year.Vectors"),$BE21)</f>
        <v>-14.602281067209798</v>
      </c>
      <c r="BK21" s="3813">
        <f ca="1">SUMIFS(INDIRECT("'"&amp;BK$20&amp;"'!Year.NetBalance"), INDIRECT("'"&amp;BK$20&amp;"'!Year.Vectors"),$BE21)</f>
        <v>-0.49575845114132866</v>
      </c>
      <c r="BL21" s="3813">
        <f ca="1">SUMIFS(INDIRECT("'"&amp;BL$20&amp;"'!Year.NetBalance"), INDIRECT("'"&amp;BL$20&amp;"'!Year.Vectors"),$BE21)</f>
        <v>0.22914024705997099</v>
      </c>
      <c r="BM21" s="3813">
        <f ca="1">SUMIFS(INDIRECT("'"&amp;BM$20&amp;"'!Year.NetBalance"), INDIRECT("'"&amp;BM$20&amp;"'!Year.Vectors"),$BE21)</f>
        <v>0.2136046021465092</v>
      </c>
      <c r="BN21" s="769"/>
      <c r="BQ21" s="4130" t="s">
        <v>650</v>
      </c>
      <c r="BR21" s="4131" t="s">
        <v>2158</v>
      </c>
      <c r="BS21" s="4131" t="s">
        <v>2159</v>
      </c>
      <c r="BT21" s="761" t="s">
        <v>3277</v>
      </c>
    </row>
    <row r="22" spans="1:72" s="6" customFormat="1" ht="18" customHeight="1">
      <c r="A22" s="4142"/>
      <c r="B22" s="4143"/>
      <c r="C22" s="775"/>
      <c r="D22" s="775" t="s">
        <v>3281</v>
      </c>
      <c r="E22" s="763">
        <v>4</v>
      </c>
      <c r="F22" s="776">
        <v>4</v>
      </c>
      <c r="G22" s="2377" t="s">
        <v>3345</v>
      </c>
      <c r="H22"/>
      <c r="I22" s="761" t="s">
        <v>3285</v>
      </c>
      <c r="J22" s="761" t="s">
        <v>3278</v>
      </c>
      <c r="K22" s="761" t="s">
        <v>3279</v>
      </c>
      <c r="L22" s="761" t="s">
        <v>3280</v>
      </c>
      <c r="M22"/>
      <c r="N22" s="759">
        <v>1</v>
      </c>
      <c r="O22" s="762">
        <v>1</v>
      </c>
      <c r="P22" s="763">
        <v>4</v>
      </c>
      <c r="Q22" s="764"/>
      <c r="R22" s="759">
        <v>2</v>
      </c>
      <c r="S22" s="759">
        <v>1</v>
      </c>
      <c r="T22" s="763">
        <v>3</v>
      </c>
      <c r="U22" s="765"/>
      <c r="V22" s="759"/>
      <c r="W22" s="762"/>
      <c r="X22" s="762"/>
      <c r="Y22" s="762"/>
      <c r="Z22" s="762"/>
      <c r="AA22" s="762"/>
      <c r="AB22" s="762"/>
      <c r="AC22" s="766"/>
      <c r="AD22" s="767"/>
      <c r="AE22"/>
      <c r="AF22" s="768"/>
      <c r="AG22" s="768"/>
      <c r="AH22" s="768"/>
      <c r="AI22" s="768"/>
      <c r="AJ22" s="768"/>
      <c r="AK22" s="768"/>
      <c r="AL22" s="768"/>
      <c r="AM22" s="768"/>
      <c r="AN22" s="768"/>
      <c r="AO22" s="769"/>
      <c r="AP22" s="769"/>
      <c r="AQ22" s="3759"/>
      <c r="AR22" s="769"/>
      <c r="AS22" s="769"/>
      <c r="AT22" s="769"/>
      <c r="AU22" s="769"/>
      <c r="AV22" s="769"/>
      <c r="AW22" s="769"/>
      <c r="AX22" s="769"/>
      <c r="AY22" s="769"/>
      <c r="AZ22" s="769"/>
      <c r="BA22" s="769"/>
      <c r="BB22" s="769"/>
      <c r="BC22" s="732"/>
      <c r="BD22" s="800"/>
      <c r="BE22" s="801" t="s">
        <v>443</v>
      </c>
      <c r="BF22" s="772" t="s">
        <v>394</v>
      </c>
      <c r="BG22" s="769"/>
      <c r="BH22" s="802"/>
      <c r="BI22" s="772"/>
      <c r="BJ22" s="3813">
        <f t="shared" ref="BJ22:BM25" ca="1" si="0">SUMIFS(INDIRECT("'"&amp;BJ$20&amp;"'!Year.NetBalance"), INDIRECT("'"&amp;BJ$20&amp;"'!Year.Vectors"),$BE22)</f>
        <v>-76.341107777431446</v>
      </c>
      <c r="BK22" s="3813">
        <f t="shared" ca="1" si="0"/>
        <v>-66.132600914927124</v>
      </c>
      <c r="BL22" s="3813">
        <f t="shared" ca="1" si="0"/>
        <v>-58.853734589724091</v>
      </c>
      <c r="BM22" s="3813">
        <f t="shared" ca="1" si="0"/>
        <v>-48.624578735681354</v>
      </c>
      <c r="BN22" s="769"/>
      <c r="BQ22" s="4130" t="s">
        <v>3285</v>
      </c>
      <c r="BR22" s="4131" t="s">
        <v>3278</v>
      </c>
      <c r="BS22" s="4131" t="s">
        <v>3279</v>
      </c>
      <c r="BT22" s="761" t="s">
        <v>3280</v>
      </c>
    </row>
    <row r="23" spans="1:72" s="6" customFormat="1" ht="45">
      <c r="A23" s="4142"/>
      <c r="B23" s="4143"/>
      <c r="C23" s="758" t="s">
        <v>508</v>
      </c>
      <c r="D23" s="758" t="s">
        <v>651</v>
      </c>
      <c r="E23" s="763">
        <v>3</v>
      </c>
      <c r="F23" s="803" t="s">
        <v>239</v>
      </c>
      <c r="G23" s="803" t="s">
        <v>3346</v>
      </c>
      <c r="H23"/>
      <c r="I23" s="761" t="s">
        <v>2313</v>
      </c>
      <c r="J23" s="761" t="s">
        <v>2314</v>
      </c>
      <c r="K23" s="761" t="s">
        <v>2315</v>
      </c>
      <c r="L23" s="761" t="s">
        <v>2316</v>
      </c>
      <c r="M23"/>
      <c r="N23" s="759">
        <v>1</v>
      </c>
      <c r="O23" s="762">
        <v>1</v>
      </c>
      <c r="P23" s="763">
        <v>3</v>
      </c>
      <c r="Q23" s="764"/>
      <c r="R23" s="759">
        <v>2</v>
      </c>
      <c r="S23" s="759">
        <v>3</v>
      </c>
      <c r="T23" s="763">
        <v>2</v>
      </c>
      <c r="U23" s="765"/>
      <c r="V23" s="759"/>
      <c r="W23" s="762"/>
      <c r="X23" s="762"/>
      <c r="Y23" s="762"/>
      <c r="Z23" s="762"/>
      <c r="AA23" s="762"/>
      <c r="AB23" s="762"/>
      <c r="AC23" s="766"/>
      <c r="AD23" s="767"/>
      <c r="AE23"/>
      <c r="AF23" s="768"/>
      <c r="AG23" s="768"/>
      <c r="AH23" s="768"/>
      <c r="AI23" s="768"/>
      <c r="AJ23" s="768"/>
      <c r="AK23" s="768"/>
      <c r="AL23" s="768"/>
      <c r="AM23" s="768"/>
      <c r="AN23" s="768"/>
      <c r="AO23" s="769"/>
      <c r="AP23" s="769"/>
      <c r="AQ23" s="3759"/>
      <c r="AR23" s="769"/>
      <c r="AS23" s="769"/>
      <c r="AT23" s="769"/>
      <c r="AU23" s="769"/>
      <c r="AV23" s="769"/>
      <c r="AW23" s="769"/>
      <c r="AX23" s="769"/>
      <c r="AY23" s="769"/>
      <c r="AZ23" s="769"/>
      <c r="BA23" s="769"/>
      <c r="BB23" s="769"/>
      <c r="BC23" s="732"/>
      <c r="BD23" s="800"/>
      <c r="BE23" s="801" t="s">
        <v>444</v>
      </c>
      <c r="BF23" s="772" t="s">
        <v>395</v>
      </c>
      <c r="BG23" s="769"/>
      <c r="BH23" s="802"/>
      <c r="BI23" s="772"/>
      <c r="BJ23" s="3813">
        <f t="shared" ca="1" si="0"/>
        <v>-46.547614680811428</v>
      </c>
      <c r="BK23" s="3813">
        <f t="shared" ca="1" si="0"/>
        <v>-11.463075485516505</v>
      </c>
      <c r="BL23" s="3813">
        <f t="shared" ca="1" si="0"/>
        <v>-29.716870935553509</v>
      </c>
      <c r="BM23" s="3813">
        <f t="shared" ca="1" si="0"/>
        <v>-75.014269907136224</v>
      </c>
      <c r="BN23" s="769"/>
      <c r="BQ23" s="4128" t="s">
        <v>2313</v>
      </c>
      <c r="BR23" s="761" t="s">
        <v>2314</v>
      </c>
      <c r="BS23" s="761" t="s">
        <v>2315</v>
      </c>
      <c r="BT23" s="761" t="s">
        <v>2316</v>
      </c>
    </row>
    <row r="24" spans="1:72" s="6" customFormat="1" ht="30">
      <c r="A24" s="4142"/>
      <c r="B24" s="4143"/>
      <c r="C24" s="758" t="s">
        <v>506</v>
      </c>
      <c r="D24" s="758" t="s">
        <v>507</v>
      </c>
      <c r="E24" s="763">
        <v>4</v>
      </c>
      <c r="F24" s="760">
        <v>4</v>
      </c>
      <c r="G24" s="803" t="s">
        <v>3347</v>
      </c>
      <c r="H24"/>
      <c r="I24" s="761" t="s">
        <v>652</v>
      </c>
      <c r="J24" s="761" t="s">
        <v>3287</v>
      </c>
      <c r="K24" s="761" t="s">
        <v>2995</v>
      </c>
      <c r="L24" s="761" t="s">
        <v>2996</v>
      </c>
      <c r="M24"/>
      <c r="N24" s="759">
        <v>1</v>
      </c>
      <c r="O24" s="762">
        <v>1</v>
      </c>
      <c r="P24" s="763">
        <v>4</v>
      </c>
      <c r="Q24" s="764"/>
      <c r="R24" s="759">
        <v>1</v>
      </c>
      <c r="S24" s="759">
        <v>2</v>
      </c>
      <c r="T24" s="763">
        <v>1</v>
      </c>
      <c r="U24" s="765"/>
      <c r="V24" s="759"/>
      <c r="W24" s="762"/>
      <c r="X24" s="762"/>
      <c r="Y24" s="762"/>
      <c r="Z24" s="762"/>
      <c r="AA24" s="762"/>
      <c r="AB24" s="762"/>
      <c r="AC24" s="766"/>
      <c r="AD24" s="767"/>
      <c r="AE24"/>
      <c r="AF24" s="768"/>
      <c r="AG24" s="768"/>
      <c r="AH24" s="768"/>
      <c r="AI24" s="768"/>
      <c r="AJ24" s="768"/>
      <c r="AK24" s="768"/>
      <c r="AL24" s="768"/>
      <c r="AM24" s="768"/>
      <c r="AN24" s="768"/>
      <c r="AO24" s="769"/>
      <c r="AP24" s="769"/>
      <c r="AQ24" s="3759"/>
      <c r="AR24" s="769"/>
      <c r="AS24" s="769"/>
      <c r="AT24" s="769"/>
      <c r="AU24" s="769"/>
      <c r="AV24" s="769"/>
      <c r="AW24" s="769"/>
      <c r="AX24" s="769"/>
      <c r="AY24" s="769"/>
      <c r="AZ24" s="769"/>
      <c r="BA24" s="769"/>
      <c r="BB24" s="769"/>
      <c r="BC24" s="732"/>
      <c r="BD24" s="800"/>
      <c r="BE24" s="801" t="s">
        <v>439</v>
      </c>
      <c r="BF24" s="772" t="s">
        <v>390</v>
      </c>
      <c r="BG24" s="769"/>
      <c r="BH24" s="769"/>
      <c r="BI24" s="769"/>
      <c r="BJ24" s="3813">
        <f t="shared" ca="1" si="0"/>
        <v>-1.0954366666666666</v>
      </c>
      <c r="BK24" s="3813">
        <f t="shared" ca="1" si="0"/>
        <v>-2.9119000000000002</v>
      </c>
      <c r="BL24" s="3813">
        <f t="shared" ca="1" si="0"/>
        <v>27.976468589835875</v>
      </c>
      <c r="BM24" s="3813">
        <f t="shared" ca="1" si="0"/>
        <v>69.532154317257508</v>
      </c>
      <c r="BN24" s="769"/>
      <c r="BQ24" s="4128" t="s">
        <v>652</v>
      </c>
      <c r="BR24" s="761" t="s">
        <v>3287</v>
      </c>
      <c r="BS24" s="761" t="s">
        <v>2995</v>
      </c>
      <c r="BT24" s="761" t="s">
        <v>2996</v>
      </c>
    </row>
    <row r="25" spans="1:72" s="6" customFormat="1" ht="30">
      <c r="A25" s="4142"/>
      <c r="B25" s="4143"/>
      <c r="C25" s="758" t="s">
        <v>575</v>
      </c>
      <c r="D25" s="758" t="s">
        <v>653</v>
      </c>
      <c r="E25" s="763">
        <v>2</v>
      </c>
      <c r="F25" s="760" t="s">
        <v>239</v>
      </c>
      <c r="G25" s="803" t="s">
        <v>3348</v>
      </c>
      <c r="H25"/>
      <c r="I25" s="761" t="s">
        <v>654</v>
      </c>
      <c r="J25" s="761" t="s">
        <v>655</v>
      </c>
      <c r="K25" s="761" t="s">
        <v>656</v>
      </c>
      <c r="L25" s="761" t="s">
        <v>657</v>
      </c>
      <c r="M25"/>
      <c r="N25" s="759">
        <v>1</v>
      </c>
      <c r="O25" s="762">
        <v>1</v>
      </c>
      <c r="P25" s="763">
        <v>2</v>
      </c>
      <c r="Q25" s="764"/>
      <c r="R25" s="759">
        <v>1</v>
      </c>
      <c r="S25" s="759">
        <v>1</v>
      </c>
      <c r="T25" s="763">
        <v>2</v>
      </c>
      <c r="U25" s="765"/>
      <c r="V25" s="759"/>
      <c r="W25" s="762"/>
      <c r="X25" s="762"/>
      <c r="Y25" s="762"/>
      <c r="Z25" s="762"/>
      <c r="AA25" s="762"/>
      <c r="AB25" s="762"/>
      <c r="AC25" s="766"/>
      <c r="AD25" s="767"/>
      <c r="AE25"/>
      <c r="AF25" s="768"/>
      <c r="AG25" s="768"/>
      <c r="AH25" s="768"/>
      <c r="AI25" s="768"/>
      <c r="AJ25" s="768"/>
      <c r="AK25" s="768"/>
      <c r="AL25" s="768"/>
      <c r="AM25" s="768"/>
      <c r="AN25" s="768"/>
      <c r="AO25" s="769"/>
      <c r="AP25" s="769"/>
      <c r="AQ25" s="3759"/>
      <c r="AR25" s="769"/>
      <c r="AS25" s="769"/>
      <c r="AT25" s="769"/>
      <c r="AU25" s="769"/>
      <c r="AV25" s="769"/>
      <c r="AW25" s="769"/>
      <c r="AX25" s="769"/>
      <c r="AY25" s="769"/>
      <c r="AZ25" s="769"/>
      <c r="BA25" s="769"/>
      <c r="BB25" s="769"/>
      <c r="BC25" s="732"/>
      <c r="BD25" s="800"/>
      <c r="BE25" s="804" t="s">
        <v>440</v>
      </c>
      <c r="BF25" s="805" t="s">
        <v>391</v>
      </c>
      <c r="BG25" s="806"/>
      <c r="BH25" s="806"/>
      <c r="BI25" s="806"/>
      <c r="BJ25" s="3819">
        <f t="shared" ca="1" si="0"/>
        <v>-2.5</v>
      </c>
      <c r="BK25" s="3819">
        <f t="shared" ca="1" si="0"/>
        <v>-2.5000000000000036</v>
      </c>
      <c r="BL25" s="3819">
        <f t="shared" ca="1" si="0"/>
        <v>10.652664429668677</v>
      </c>
      <c r="BM25" s="3819">
        <f t="shared" ca="1" si="0"/>
        <v>77.574734038121079</v>
      </c>
      <c r="BN25" s="769"/>
      <c r="BQ25" s="4128" t="s">
        <v>654</v>
      </c>
      <c r="BR25" s="761" t="s">
        <v>655</v>
      </c>
      <c r="BS25" s="761" t="s">
        <v>656</v>
      </c>
      <c r="BT25" s="761" t="s">
        <v>657</v>
      </c>
    </row>
    <row r="26" spans="1:72" s="6" customFormat="1" ht="30">
      <c r="A26" s="4142"/>
      <c r="B26" s="798" t="s">
        <v>658</v>
      </c>
      <c r="C26" s="758" t="s">
        <v>578</v>
      </c>
      <c r="D26" s="758" t="s">
        <v>579</v>
      </c>
      <c r="E26" s="763">
        <v>4</v>
      </c>
      <c r="F26" s="760">
        <v>4</v>
      </c>
      <c r="G26" s="803" t="s">
        <v>3349</v>
      </c>
      <c r="H26"/>
      <c r="I26" s="761" t="s">
        <v>2770</v>
      </c>
      <c r="J26" s="761" t="s">
        <v>2771</v>
      </c>
      <c r="K26" s="761" t="s">
        <v>2772</v>
      </c>
      <c r="L26" s="761" t="s">
        <v>3097</v>
      </c>
      <c r="M26"/>
      <c r="N26" s="759">
        <v>1</v>
      </c>
      <c r="O26" s="762">
        <v>1</v>
      </c>
      <c r="P26" s="763">
        <v>4</v>
      </c>
      <c r="Q26" s="764"/>
      <c r="R26" s="759">
        <v>2</v>
      </c>
      <c r="S26" s="759">
        <v>2</v>
      </c>
      <c r="T26" s="763">
        <v>3</v>
      </c>
      <c r="U26" s="765"/>
      <c r="V26" s="759"/>
      <c r="W26" s="762"/>
      <c r="X26" s="762"/>
      <c r="Y26" s="762"/>
      <c r="Z26" s="762"/>
      <c r="AA26" s="762"/>
      <c r="AB26" s="762"/>
      <c r="AC26" s="766"/>
      <c r="AD26" s="767"/>
      <c r="AE26"/>
      <c r="AF26" s="768"/>
      <c r="AG26" s="768"/>
      <c r="AH26" s="768"/>
      <c r="AI26" s="768"/>
      <c r="AJ26" s="768"/>
      <c r="AK26" s="768"/>
      <c r="AL26" s="768"/>
      <c r="AM26" s="768"/>
      <c r="AN26" s="768"/>
      <c r="AO26" s="769"/>
      <c r="AP26" s="769"/>
      <c r="AQ26" s="3759"/>
      <c r="AR26" s="769"/>
      <c r="AS26" s="769"/>
      <c r="AT26" s="769"/>
      <c r="AU26" s="769"/>
      <c r="AV26" s="769"/>
      <c r="AW26" s="769"/>
      <c r="AX26" s="769"/>
      <c r="AY26" s="769"/>
      <c r="AZ26" s="769"/>
      <c r="BA26" s="769"/>
      <c r="BB26" s="769"/>
      <c r="BC26" s="732"/>
      <c r="BD26" s="786"/>
      <c r="BE26" s="769"/>
      <c r="BF26" s="769"/>
      <c r="BG26" s="769"/>
      <c r="BH26" s="769"/>
      <c r="BI26" s="769"/>
      <c r="BJ26" s="769"/>
      <c r="BK26" s="769"/>
      <c r="BL26" s="769"/>
      <c r="BM26" s="769"/>
      <c r="BN26" s="769"/>
      <c r="BQ26" s="4128" t="s">
        <v>2770</v>
      </c>
      <c r="BR26" s="761" t="s">
        <v>2771</v>
      </c>
      <c r="BS26" s="761" t="s">
        <v>2772</v>
      </c>
      <c r="BT26" s="761" t="s">
        <v>3097</v>
      </c>
    </row>
    <row r="27" spans="1:72" s="6" customFormat="1" ht="22.5">
      <c r="A27" s="807" t="s">
        <v>659</v>
      </c>
      <c r="B27" s="807"/>
      <c r="C27" s="807"/>
      <c r="D27" s="807"/>
      <c r="E27" s="811"/>
      <c r="F27" s="809" t="s">
        <v>5</v>
      </c>
      <c r="G27" s="809" t="s">
        <v>5</v>
      </c>
      <c r="H27" s="807"/>
      <c r="I27" s="807"/>
      <c r="J27" s="807" t="s">
        <v>5</v>
      </c>
      <c r="K27" s="807"/>
      <c r="L27" s="807"/>
      <c r="M27" s="807"/>
      <c r="N27" s="808"/>
      <c r="O27" s="810"/>
      <c r="P27" s="811"/>
      <c r="Q27" s="812"/>
      <c r="R27" s="808"/>
      <c r="S27" s="808"/>
      <c r="T27" s="811"/>
      <c r="U27" s="813"/>
      <c r="V27" s="808"/>
      <c r="W27" s="814"/>
      <c r="X27" s="814"/>
      <c r="Y27" s="814"/>
      <c r="Z27" s="814"/>
      <c r="AA27" s="814"/>
      <c r="AB27" s="814"/>
      <c r="AC27" s="815"/>
      <c r="AD27" s="816"/>
      <c r="AF27" s="768"/>
      <c r="AG27" s="768"/>
      <c r="AH27" s="768"/>
      <c r="AI27" s="768"/>
      <c r="AJ27" s="768"/>
      <c r="AK27" s="768"/>
      <c r="AL27" s="768"/>
      <c r="AM27" s="768"/>
      <c r="AN27" s="768"/>
      <c r="AO27" s="769"/>
      <c r="AP27" s="769"/>
      <c r="AQ27" s="3759"/>
      <c r="AR27" s="769"/>
      <c r="AS27" s="769"/>
      <c r="AT27" s="769"/>
      <c r="AU27" s="769"/>
      <c r="AV27" s="769"/>
      <c r="AW27" s="769"/>
      <c r="AX27" s="769"/>
      <c r="AY27" s="769"/>
      <c r="AZ27" s="769"/>
      <c r="BA27" s="769"/>
      <c r="BB27" s="769"/>
      <c r="BC27" s="732"/>
      <c r="BD27" s="796"/>
      <c r="BE27" s="797" t="s">
        <v>660</v>
      </c>
      <c r="BF27" s="769"/>
      <c r="BG27" s="769"/>
      <c r="BH27" s="769"/>
      <c r="BI27" s="769"/>
      <c r="BJ27" s="769"/>
      <c r="BK27" s="769"/>
      <c r="BL27" s="769"/>
      <c r="BM27" s="769"/>
      <c r="BN27" s="769"/>
      <c r="BQ27" s="4128"/>
      <c r="BR27" s="761" t="s">
        <v>5</v>
      </c>
      <c r="BS27" s="761"/>
      <c r="BT27" s="510"/>
    </row>
    <row r="28" spans="1:72" ht="22.5">
      <c r="A28" s="4142" t="s">
        <v>491</v>
      </c>
      <c r="B28" s="4144" t="s">
        <v>2754</v>
      </c>
      <c r="C28" s="758" t="s">
        <v>478</v>
      </c>
      <c r="D28" s="758" t="s">
        <v>479</v>
      </c>
      <c r="E28" s="763"/>
      <c r="F28" s="760"/>
      <c r="G28" s="760"/>
      <c r="H28" s="760"/>
      <c r="I28" s="760"/>
      <c r="J28" s="760"/>
      <c r="K28" s="760"/>
      <c r="L28" s="760"/>
      <c r="N28" s="759"/>
      <c r="O28" s="762"/>
      <c r="P28" s="763"/>
      <c r="Q28" s="764"/>
      <c r="R28" s="759"/>
      <c r="S28" s="759"/>
      <c r="T28" s="763"/>
      <c r="U28" s="765"/>
      <c r="V28" s="759"/>
      <c r="W28" s="762"/>
      <c r="X28" s="762"/>
      <c r="Y28" s="762"/>
      <c r="Z28" s="762"/>
      <c r="AA28" s="762"/>
      <c r="AB28" s="762"/>
      <c r="AC28" s="766"/>
      <c r="AD28" s="767"/>
      <c r="AF28" s="768"/>
      <c r="AG28" s="768"/>
      <c r="AH28" s="768"/>
      <c r="AI28" s="768"/>
      <c r="AJ28" s="768"/>
      <c r="AK28" s="768"/>
      <c r="AL28" s="768"/>
      <c r="AM28" s="768"/>
      <c r="AN28" s="768"/>
      <c r="AO28" s="769"/>
      <c r="AP28" s="769"/>
      <c r="AQ28" s="3759"/>
      <c r="AR28" s="769"/>
      <c r="AS28" s="769"/>
      <c r="AT28" s="769"/>
      <c r="AU28" s="769"/>
      <c r="AV28" s="769"/>
      <c r="AW28" s="769"/>
      <c r="AX28" s="769"/>
      <c r="AY28" s="769"/>
      <c r="AZ28" s="769"/>
      <c r="BA28" s="769"/>
      <c r="BB28" s="768"/>
      <c r="BD28" s="796"/>
      <c r="BE28" s="797"/>
      <c r="BF28" s="769"/>
      <c r="BG28" s="769"/>
      <c r="BH28" s="769"/>
      <c r="BI28" s="769"/>
      <c r="BJ28" s="769"/>
      <c r="BK28" s="769"/>
      <c r="BL28" s="769"/>
      <c r="BM28" s="769"/>
      <c r="BN28" s="769"/>
      <c r="BQ28" s="4128"/>
      <c r="BR28" s="761"/>
      <c r="BS28" s="761"/>
      <c r="BT28" s="510"/>
    </row>
    <row r="29" spans="1:72" s="6" customFormat="1" ht="45">
      <c r="A29" s="4142"/>
      <c r="B29" s="4144"/>
      <c r="C29" s="775"/>
      <c r="D29" s="775" t="s">
        <v>661</v>
      </c>
      <c r="E29" s="763">
        <v>1</v>
      </c>
      <c r="F29" s="776">
        <v>4</v>
      </c>
      <c r="G29" s="2377" t="s">
        <v>3350</v>
      </c>
      <c r="H29"/>
      <c r="I29" s="761" t="s">
        <v>3293</v>
      </c>
      <c r="J29" s="761" t="s">
        <v>2750</v>
      </c>
      <c r="K29" s="761" t="s">
        <v>2751</v>
      </c>
      <c r="L29" s="761" t="s">
        <v>2752</v>
      </c>
      <c r="M29"/>
      <c r="N29" s="759">
        <v>1</v>
      </c>
      <c r="O29" s="762">
        <v>4</v>
      </c>
      <c r="P29" s="763">
        <v>1</v>
      </c>
      <c r="Q29" s="764"/>
      <c r="R29" s="759">
        <v>4</v>
      </c>
      <c r="S29" s="759">
        <v>4</v>
      </c>
      <c r="T29" s="763">
        <v>3</v>
      </c>
      <c r="U29" s="765"/>
      <c r="V29" s="759"/>
      <c r="W29" s="762"/>
      <c r="X29" s="762"/>
      <c r="Y29" s="762"/>
      <c r="Z29" s="762"/>
      <c r="AA29" s="762"/>
      <c r="AB29" s="762"/>
      <c r="AC29" s="766"/>
      <c r="AD29" s="767"/>
      <c r="AE29"/>
      <c r="AF29" s="768"/>
      <c r="AG29" s="768"/>
      <c r="AH29" s="768"/>
      <c r="AI29" s="768"/>
      <c r="AJ29" s="768"/>
      <c r="AK29" s="768"/>
      <c r="AL29" s="768"/>
      <c r="AM29" s="768"/>
      <c r="AN29" s="768"/>
      <c r="AO29" s="769"/>
      <c r="AP29" s="769"/>
      <c r="AQ29" s="3759"/>
      <c r="AR29" s="792"/>
      <c r="AS29" s="792" t="s">
        <v>3023</v>
      </c>
      <c r="AT29" s="769"/>
      <c r="AU29" s="769"/>
      <c r="AV29" s="769"/>
      <c r="AW29" s="769"/>
      <c r="AX29" s="769"/>
      <c r="AY29" s="769"/>
      <c r="AZ29" s="769"/>
      <c r="BA29" s="769"/>
      <c r="BB29" s="768"/>
      <c r="BC29" s="732"/>
      <c r="BD29" s="770"/>
      <c r="BE29" s="778" t="s">
        <v>662</v>
      </c>
      <c r="BF29" s="779"/>
      <c r="BG29" s="780"/>
      <c r="BH29" s="780"/>
      <c r="BI29" s="781" t="s">
        <v>648</v>
      </c>
      <c r="BJ29" s="782">
        <v>2013</v>
      </c>
      <c r="BK29" s="782">
        <v>2020</v>
      </c>
      <c r="BL29" s="782">
        <v>2030</v>
      </c>
      <c r="BM29" s="782">
        <v>2050</v>
      </c>
      <c r="BN29" s="769"/>
      <c r="BQ29" s="4128" t="s">
        <v>3293</v>
      </c>
      <c r="BR29" s="761" t="s">
        <v>2750</v>
      </c>
      <c r="BS29" s="761" t="s">
        <v>2751</v>
      </c>
      <c r="BT29" s="761" t="s">
        <v>2752</v>
      </c>
    </row>
    <row r="30" spans="1:72" s="6" customFormat="1" ht="45">
      <c r="A30" s="4142"/>
      <c r="B30" s="4144"/>
      <c r="C30" s="775"/>
      <c r="D30" s="775" t="s">
        <v>663</v>
      </c>
      <c r="E30" s="763">
        <v>1</v>
      </c>
      <c r="F30" s="776">
        <v>4</v>
      </c>
      <c r="G30" s="2377" t="s">
        <v>3351</v>
      </c>
      <c r="H30"/>
      <c r="I30" s="761" t="s">
        <v>664</v>
      </c>
      <c r="J30" s="761" t="s">
        <v>665</v>
      </c>
      <c r="K30" s="761" t="s">
        <v>666</v>
      </c>
      <c r="L30" s="761" t="s">
        <v>2756</v>
      </c>
      <c r="M30"/>
      <c r="N30" s="759">
        <v>1</v>
      </c>
      <c r="O30" s="762">
        <v>4</v>
      </c>
      <c r="P30" s="763">
        <v>1</v>
      </c>
      <c r="Q30" s="764"/>
      <c r="R30" s="759">
        <v>4</v>
      </c>
      <c r="S30" s="759">
        <v>4</v>
      </c>
      <c r="T30" s="763">
        <v>2</v>
      </c>
      <c r="U30" s="765"/>
      <c r="V30" s="759"/>
      <c r="W30" s="762"/>
      <c r="X30" s="762"/>
      <c r="Y30" s="762"/>
      <c r="Z30" s="762"/>
      <c r="AA30" s="762"/>
      <c r="AB30" s="762"/>
      <c r="AC30" s="766"/>
      <c r="AD30" s="767"/>
      <c r="AE30"/>
      <c r="AF30" s="768"/>
      <c r="AG30" s="768"/>
      <c r="AH30" s="768"/>
      <c r="AI30" s="768"/>
      <c r="AJ30" s="768"/>
      <c r="AK30" s="768"/>
      <c r="AL30" s="768"/>
      <c r="AM30" s="768"/>
      <c r="AN30" s="768"/>
      <c r="AO30" s="817"/>
      <c r="AP30" s="817"/>
      <c r="AQ30" s="3759"/>
      <c r="AR30" s="769"/>
      <c r="AS30" s="769"/>
      <c r="AT30" s="817"/>
      <c r="AU30" s="817"/>
      <c r="AV30" s="817"/>
      <c r="AW30" s="817"/>
      <c r="AX30" s="817"/>
      <c r="AY30" s="817"/>
      <c r="AZ30" s="817"/>
      <c r="BA30" s="817"/>
      <c r="BB30" s="768"/>
      <c r="BC30" s="732"/>
      <c r="BD30" s="770"/>
      <c r="BE30" s="770"/>
      <c r="BF30" s="818"/>
      <c r="BG30" s="819"/>
      <c r="BH30" s="819"/>
      <c r="BI30" s="820"/>
      <c r="BJ30" s="821"/>
      <c r="BK30" s="821"/>
      <c r="BL30" s="821"/>
      <c r="BM30" s="821"/>
      <c r="BN30" s="769"/>
      <c r="BQ30" s="4128" t="s">
        <v>664</v>
      </c>
      <c r="BR30" s="761" t="s">
        <v>665</v>
      </c>
      <c r="BS30" s="761" t="s">
        <v>666</v>
      </c>
      <c r="BT30" s="761" t="s">
        <v>2756</v>
      </c>
    </row>
    <row r="31" spans="1:72" s="6" customFormat="1" ht="30">
      <c r="A31" s="4142"/>
      <c r="B31" s="4144"/>
      <c r="C31" s="775"/>
      <c r="D31" s="775" t="s">
        <v>667</v>
      </c>
      <c r="E31" s="763">
        <v>2</v>
      </c>
      <c r="F31" s="2377" t="s">
        <v>239</v>
      </c>
      <c r="G31" s="2377" t="s">
        <v>3352</v>
      </c>
      <c r="H31"/>
      <c r="I31" s="761" t="s">
        <v>668</v>
      </c>
      <c r="J31" s="761" t="s">
        <v>669</v>
      </c>
      <c r="K31" s="761" t="s">
        <v>670</v>
      </c>
      <c r="L31" s="761" t="s">
        <v>671</v>
      </c>
      <c r="M31"/>
      <c r="N31" s="759">
        <v>1</v>
      </c>
      <c r="O31" s="762">
        <v>2</v>
      </c>
      <c r="P31" s="763">
        <v>2</v>
      </c>
      <c r="Q31" s="764"/>
      <c r="R31" s="759">
        <v>2</v>
      </c>
      <c r="S31" s="759">
        <v>2</v>
      </c>
      <c r="T31" s="763">
        <v>2</v>
      </c>
      <c r="U31" s="765"/>
      <c r="V31" s="759"/>
      <c r="W31" s="762"/>
      <c r="X31" s="762"/>
      <c r="Y31" s="762"/>
      <c r="Z31" s="762"/>
      <c r="AA31" s="762"/>
      <c r="AB31" s="762"/>
      <c r="AC31" s="766"/>
      <c r="AD31" s="822"/>
      <c r="AE31"/>
      <c r="AF31" s="768"/>
      <c r="AG31" s="768"/>
      <c r="AH31" s="768"/>
      <c r="AI31" s="768"/>
      <c r="AJ31" s="768"/>
      <c r="AK31" s="768"/>
      <c r="AL31" s="768"/>
      <c r="AM31" s="768"/>
      <c r="AN31" s="768"/>
      <c r="AO31" s="817"/>
      <c r="AP31" s="817"/>
      <c r="AQ31" s="3759"/>
      <c r="AR31" s="769"/>
      <c r="AS31" s="769"/>
      <c r="AT31" s="817"/>
      <c r="AU31" s="817"/>
      <c r="AV31" s="817"/>
      <c r="AW31" s="817"/>
      <c r="AX31" s="817"/>
      <c r="AY31" s="817"/>
      <c r="AZ31" s="817"/>
      <c r="BA31" s="817"/>
      <c r="BB31" s="768"/>
      <c r="BC31" s="732"/>
      <c r="BD31" s="770"/>
      <c r="BE31" s="770"/>
      <c r="BF31" s="818"/>
      <c r="BG31" s="819"/>
      <c r="BH31" s="819"/>
      <c r="BI31" s="820"/>
      <c r="BJ31" s="821"/>
      <c r="BK31" s="821"/>
      <c r="BL31" s="821"/>
      <c r="BM31" s="821"/>
      <c r="BN31" s="769"/>
      <c r="BQ31" s="4132" t="s">
        <v>668</v>
      </c>
      <c r="BR31" s="761" t="s">
        <v>669</v>
      </c>
      <c r="BS31" s="761" t="s">
        <v>670</v>
      </c>
      <c r="BT31" s="761" t="s">
        <v>671</v>
      </c>
    </row>
    <row r="32" spans="1:72" s="6" customFormat="1" ht="45">
      <c r="A32" s="4142"/>
      <c r="B32" s="4144"/>
      <c r="C32" s="758" t="s">
        <v>480</v>
      </c>
      <c r="D32" s="758" t="s">
        <v>481</v>
      </c>
      <c r="E32" s="763">
        <v>1</v>
      </c>
      <c r="F32" s="760">
        <v>4</v>
      </c>
      <c r="G32" s="803" t="s">
        <v>3353</v>
      </c>
      <c r="H32"/>
      <c r="I32" s="761" t="s">
        <v>2753</v>
      </c>
      <c r="J32" s="761" t="s">
        <v>1332</v>
      </c>
      <c r="K32" s="761" t="s">
        <v>1333</v>
      </c>
      <c r="L32" s="761" t="s">
        <v>1334</v>
      </c>
      <c r="M32"/>
      <c r="N32" s="759">
        <v>1</v>
      </c>
      <c r="O32" s="762">
        <v>4</v>
      </c>
      <c r="P32" s="763">
        <v>1</v>
      </c>
      <c r="Q32" s="764"/>
      <c r="R32" s="759">
        <v>3</v>
      </c>
      <c r="S32" s="759">
        <v>3</v>
      </c>
      <c r="T32" s="763">
        <v>3</v>
      </c>
      <c r="U32" s="765"/>
      <c r="V32" s="759"/>
      <c r="W32" s="762"/>
      <c r="X32" s="762"/>
      <c r="Y32" s="762"/>
      <c r="Z32" s="762"/>
      <c r="AA32" s="762"/>
      <c r="AB32" s="762"/>
      <c r="AC32" s="766"/>
      <c r="AD32" s="822"/>
      <c r="AE32"/>
      <c r="AF32" s="768"/>
      <c r="AG32" s="768"/>
      <c r="AH32" s="768"/>
      <c r="AI32" s="768"/>
      <c r="AJ32" s="768"/>
      <c r="AK32" s="768"/>
      <c r="AL32" s="768"/>
      <c r="AM32" s="768"/>
      <c r="AN32" s="768"/>
      <c r="AO32" s="817"/>
      <c r="AP32" s="817"/>
      <c r="AQ32" s="3759"/>
      <c r="AR32" s="769"/>
      <c r="AS32" s="769"/>
      <c r="AT32" s="817"/>
      <c r="AU32" s="817"/>
      <c r="AV32" s="817"/>
      <c r="AW32" s="817"/>
      <c r="AX32" s="817"/>
      <c r="AY32" s="817"/>
      <c r="AZ32" s="817"/>
      <c r="BA32" s="817"/>
      <c r="BB32" s="768"/>
      <c r="BC32" s="732"/>
      <c r="BD32" s="823"/>
      <c r="BE32" s="824" t="s">
        <v>672</v>
      </c>
      <c r="BF32" s="772"/>
      <c r="BG32" s="772"/>
      <c r="BH32" s="802"/>
      <c r="BI32" s="772"/>
      <c r="BJ32" s="3830">
        <f ca="1">-(INDEX(INDIRECT(BJ$29&amp;"!Year.Matrix"),MATCH("Subtotal.Supply",INDIRECT(BJ$29&amp;"!Year.Modules"),0),MATCH("V.05",INDIRECT(BJ$29&amp;"!Year.Vectors"),0))+INDEX(INDIRECT(BJ$29&amp;"!Year.Matrix"),MATCH("Subtotal.Consumption",INDIRECT(BJ$29&amp;"!Year.Modules"),0),MATCH("V.05",INDIRECT(BJ$29&amp;"!Year.Vectors"),0)))</f>
        <v>45.961480320791573</v>
      </c>
      <c r="BK32" s="3830">
        <f ca="1">-(INDEX(INDIRECT(BK$29&amp;"!Year.Matrix"),MATCH("Subtotal.Supply",INDIRECT(BK$29&amp;"!Year.Modules"),0),MATCH("V.05",INDIRECT(BK$29&amp;"!Year.Vectors"),0))+INDEX(INDIRECT(BK$29&amp;"!Year.Matrix"),MATCH("Subtotal.Consumption",INDIRECT(BK$29&amp;"!Year.Modules"),0),MATCH("V.05",INDIRECT(BK$29&amp;"!Year.Vectors"),0)))</f>
        <v>46.794378643910427</v>
      </c>
      <c r="BL32" s="3830">
        <f ca="1">-(INDEX(INDIRECT(BL$29&amp;"!Year.Matrix"),MATCH("Subtotal.Supply",INDIRECT(BL$29&amp;"!Year.Modules"),0),MATCH("V.05",INDIRECT(BL$29&amp;"!Year.Vectors"),0))+INDEX(INDIRECT(BL$29&amp;"!Year.Matrix"),MATCH("Subtotal.Consumption",INDIRECT(BL$29&amp;"!Year.Modules"),0),MATCH("V.05",INDIRECT(BL$29&amp;"!Year.Vectors"),0)))</f>
        <v>36.165911728331508</v>
      </c>
      <c r="BM32" s="3830">
        <f ca="1">-(INDEX(INDIRECT(BM$29&amp;"!Year.Matrix"),MATCH("Subtotal.Supply",INDIRECT(BM$29&amp;"!Year.Modules"),0),MATCH("V.05",INDIRECT(BM$29&amp;"!Year.Vectors"),0))+INDEX(INDIRECT(BM$29&amp;"!Year.Matrix"),MATCH("Subtotal.Consumption",INDIRECT(BM$29&amp;"!Year.Modules"),0),MATCH("V.05",INDIRECT(BM$29&amp;"!Year.Vectors"),0)))</f>
        <v>97.729775249431782</v>
      </c>
      <c r="BN32" s="769"/>
      <c r="BQ32" s="4128" t="s">
        <v>2753</v>
      </c>
      <c r="BR32" s="761" t="s">
        <v>1332</v>
      </c>
      <c r="BS32" s="761" t="s">
        <v>1333</v>
      </c>
      <c r="BT32" s="761" t="s">
        <v>1334</v>
      </c>
    </row>
    <row r="33" spans="1:72" s="6" customFormat="1" ht="30">
      <c r="A33" s="4142"/>
      <c r="B33" s="4144" t="s">
        <v>673</v>
      </c>
      <c r="C33" s="758" t="s">
        <v>482</v>
      </c>
      <c r="D33" s="758" t="s">
        <v>373</v>
      </c>
      <c r="E33" s="763">
        <v>1</v>
      </c>
      <c r="F33" s="760">
        <v>4</v>
      </c>
      <c r="G33" s="803" t="s">
        <v>3354</v>
      </c>
      <c r="H33"/>
      <c r="I33" s="761" t="s">
        <v>3245</v>
      </c>
      <c r="J33" s="761" t="s">
        <v>3246</v>
      </c>
      <c r="K33" s="761" t="s">
        <v>3247</v>
      </c>
      <c r="L33" s="761" t="s">
        <v>3248</v>
      </c>
      <c r="M33"/>
      <c r="N33" s="759">
        <v>1</v>
      </c>
      <c r="O33" s="762">
        <v>4</v>
      </c>
      <c r="P33" s="763">
        <v>1</v>
      </c>
      <c r="Q33" s="764"/>
      <c r="R33" s="759">
        <v>2</v>
      </c>
      <c r="S33" s="759">
        <v>2</v>
      </c>
      <c r="T33" s="763">
        <v>2</v>
      </c>
      <c r="U33" s="765"/>
      <c r="V33" s="759"/>
      <c r="W33" s="762"/>
      <c r="X33" s="762"/>
      <c r="Y33" s="762"/>
      <c r="Z33" s="762"/>
      <c r="AA33" s="762"/>
      <c r="AB33" s="762"/>
      <c r="AC33" s="766"/>
      <c r="AD33" s="767"/>
      <c r="AE33"/>
      <c r="AF33" s="768"/>
      <c r="AG33" s="768"/>
      <c r="AH33" s="768"/>
      <c r="AI33" s="768"/>
      <c r="AJ33" s="768"/>
      <c r="AK33" s="768"/>
      <c r="AL33" s="768"/>
      <c r="AM33" s="768"/>
      <c r="AN33" s="768"/>
      <c r="AO33" s="817"/>
      <c r="AP33" s="817"/>
      <c r="AQ33" s="3759"/>
      <c r="AR33" s="817"/>
      <c r="AS33" s="756" t="s">
        <v>3022</v>
      </c>
      <c r="AT33" s="769"/>
      <c r="AU33" s="769"/>
      <c r="AV33" s="769"/>
      <c r="AW33" s="769"/>
      <c r="AX33" s="769"/>
      <c r="AY33" s="769"/>
      <c r="AZ33" s="769"/>
      <c r="BA33" s="769"/>
      <c r="BB33" s="768"/>
      <c r="BC33" s="732"/>
      <c r="BD33" s="826"/>
      <c r="BE33" s="826" t="s">
        <v>580</v>
      </c>
      <c r="BF33" s="827" t="s">
        <v>674</v>
      </c>
      <c r="BG33" s="828"/>
      <c r="BH33" s="828"/>
      <c r="BI33" s="828"/>
      <c r="BJ33" s="3831">
        <f ca="1">INDEX(INDIRECT(BJ$29&amp;"!Year.Matrix"),MATCH($BE33,INDIRECT(BJ$29&amp;"!Year.Modules"),0),MATCH("V.05",INDIRECT(BJ$29&amp;"!Year.Vectors"),0))/BJ$32</f>
        <v>4.9551178985304412E-3</v>
      </c>
      <c r="BK33" s="3831">
        <f ca="1">INDEX(INDIRECT(BK$29&amp;"!Year.Matrix"),MATCH($BE33,INDIRECT(BK$29&amp;"!Year.Modules"),0),MATCH("V.05",INDIRECT(BK$29&amp;"!Year.Vectors"),0))/BK$32</f>
        <v>2.7373103522332125E-2</v>
      </c>
      <c r="BL33" s="3831">
        <f ca="1">INDEX(INDIRECT(BL$29&amp;"!Year.Matrix"),MATCH($BE33,INDIRECT(BL$29&amp;"!Year.Modules"),0),MATCH("V.05",INDIRECT(BL$29&amp;"!Year.Vectors"),0))/BL$32</f>
        <v>0.19046129473656603</v>
      </c>
      <c r="BM33" s="3831">
        <f ca="1">INDEX(INDIRECT(BM$29&amp;"!Year.Matrix"),MATCH($BE33,INDIRECT(BM$29&amp;"!Year.Modules"),0),MATCH("V.05",INDIRECT(BM$29&amp;"!Year.Vectors"),0))/BM$32</f>
        <v>0.24377514990752697</v>
      </c>
      <c r="BN33" s="769"/>
      <c r="BQ33" s="4128" t="s">
        <v>3245</v>
      </c>
      <c r="BR33" s="761" t="s">
        <v>3246</v>
      </c>
      <c r="BS33" s="761" t="s">
        <v>3247</v>
      </c>
      <c r="BT33" s="761" t="s">
        <v>3248</v>
      </c>
    </row>
    <row r="34" spans="1:72" s="833" customFormat="1" ht="22.5">
      <c r="A34" s="4142"/>
      <c r="B34" s="4144"/>
      <c r="C34" s="758" t="s">
        <v>486</v>
      </c>
      <c r="D34" s="758" t="s">
        <v>3026</v>
      </c>
      <c r="E34" s="763">
        <v>1</v>
      </c>
      <c r="F34" s="760"/>
      <c r="G34" s="760"/>
      <c r="H34" s="760"/>
      <c r="I34" s="3751"/>
      <c r="J34" s="760"/>
      <c r="K34" s="760"/>
      <c r="L34" s="760"/>
      <c r="M34"/>
      <c r="N34" s="759">
        <v>1</v>
      </c>
      <c r="O34" s="762">
        <v>4</v>
      </c>
      <c r="P34" s="763">
        <v>1</v>
      </c>
      <c r="Q34" s="764"/>
      <c r="R34" s="759">
        <v>2</v>
      </c>
      <c r="S34" s="759">
        <v>2</v>
      </c>
      <c r="T34" s="763">
        <v>2</v>
      </c>
      <c r="U34" s="765"/>
      <c r="V34" s="759"/>
      <c r="W34" s="762"/>
      <c r="X34" s="762"/>
      <c r="Y34" s="762"/>
      <c r="Z34" s="762"/>
      <c r="AA34" s="762"/>
      <c r="AB34" s="762"/>
      <c r="AC34" s="766"/>
      <c r="AD34" s="767"/>
      <c r="AE34"/>
      <c r="AF34" s="768"/>
      <c r="AG34" s="768"/>
      <c r="AH34" s="768"/>
      <c r="AI34" s="768"/>
      <c r="AJ34" s="768"/>
      <c r="AK34" s="768"/>
      <c r="AL34" s="768"/>
      <c r="AM34" s="768"/>
      <c r="AN34" s="768"/>
      <c r="AO34" s="817"/>
      <c r="AP34" s="817"/>
      <c r="AQ34" s="3759"/>
      <c r="AR34" s="825"/>
      <c r="AS34" s="825"/>
      <c r="AT34" s="825"/>
      <c r="AU34" s="825"/>
      <c r="AV34" s="825"/>
      <c r="AW34" s="825"/>
      <c r="AX34" s="825"/>
      <c r="AY34" s="825"/>
      <c r="AZ34" s="825"/>
      <c r="BA34" s="825"/>
      <c r="BB34" s="768"/>
      <c r="BC34" s="732"/>
      <c r="BD34" s="800"/>
      <c r="BE34" s="800" t="s">
        <v>2</v>
      </c>
      <c r="BF34" s="770" t="s">
        <v>676</v>
      </c>
      <c r="BG34" s="832"/>
      <c r="BH34" s="832"/>
      <c r="BI34" s="832"/>
      <c r="BJ34" s="3832">
        <f t="shared" ref="BJ34:BM38" ca="1" si="1">-INDEX(INDIRECT(BJ$29&amp;"!Year.Matrix"),MATCH($BE34,INDIRECT(BJ$29&amp;"!Year.Modules"),0),MATCH("V.05",INDIRECT(BJ$29&amp;"!Year.Vectors"),0))/BJ$32</f>
        <v>0.20552799412562714</v>
      </c>
      <c r="BK34" s="3832">
        <f t="shared" ca="1" si="1"/>
        <v>0.22349436035401221</v>
      </c>
      <c r="BL34" s="3832">
        <f t="shared" ca="1" si="1"/>
        <v>0.38079083204521635</v>
      </c>
      <c r="BM34" s="3832">
        <f t="shared" ca="1" si="1"/>
        <v>0.20200769907225954</v>
      </c>
      <c r="BN34" s="769"/>
      <c r="BQ34" s="4133"/>
      <c r="BR34" s="4133"/>
      <c r="BS34" s="4133"/>
      <c r="BT34" s="4133"/>
    </row>
    <row r="35" spans="1:72" s="833" customFormat="1" ht="15.75">
      <c r="A35" s="4142" t="s">
        <v>182</v>
      </c>
      <c r="B35" s="4144" t="s">
        <v>337</v>
      </c>
      <c r="C35" s="758" t="s">
        <v>2</v>
      </c>
      <c r="D35" s="758" t="s">
        <v>3</v>
      </c>
      <c r="E35" s="763"/>
      <c r="F35" s="760"/>
      <c r="G35" s="760"/>
      <c r="H35"/>
      <c r="I35" s="761"/>
      <c r="J35" s="761"/>
      <c r="K35" s="761"/>
      <c r="L35" s="761"/>
      <c r="M35"/>
      <c r="N35" s="759"/>
      <c r="O35" s="762"/>
      <c r="P35" s="763"/>
      <c r="Q35" s="764"/>
      <c r="R35" s="759"/>
      <c r="S35" s="759"/>
      <c r="T35" s="763"/>
      <c r="U35" s="765"/>
      <c r="V35" s="759"/>
      <c r="W35" s="762"/>
      <c r="X35" s="762"/>
      <c r="Y35" s="762"/>
      <c r="Z35" s="762"/>
      <c r="AA35" s="762"/>
      <c r="AB35" s="762"/>
      <c r="AC35" s="766"/>
      <c r="AD35" s="767"/>
      <c r="AE35"/>
      <c r="AF35" s="768"/>
      <c r="AG35" s="768"/>
      <c r="AH35" s="768"/>
      <c r="AI35" s="768"/>
      <c r="AJ35" s="768"/>
      <c r="AK35" s="768"/>
      <c r="AL35" s="768"/>
      <c r="AM35" s="768"/>
      <c r="AN35" s="768"/>
      <c r="AO35" s="769"/>
      <c r="AP35" s="769"/>
      <c r="AQ35" s="3759"/>
      <c r="AR35" s="818"/>
      <c r="AS35" s="779" t="s">
        <v>415</v>
      </c>
      <c r="AT35" s="779"/>
      <c r="AU35" s="829"/>
      <c r="AV35" s="829"/>
      <c r="AW35" s="829"/>
      <c r="AX35" s="830">
        <v>2013</v>
      </c>
      <c r="AY35" s="830">
        <v>2050</v>
      </c>
      <c r="AZ35" s="831" t="s">
        <v>675</v>
      </c>
      <c r="BA35" s="831"/>
      <c r="BB35" s="768"/>
      <c r="BC35" s="732"/>
      <c r="BD35" s="800"/>
      <c r="BE35" s="800" t="s">
        <v>465</v>
      </c>
      <c r="BF35" s="770" t="s">
        <v>677</v>
      </c>
      <c r="BG35" s="832"/>
      <c r="BH35" s="832"/>
      <c r="BI35" s="832"/>
      <c r="BJ35" s="3833">
        <f t="shared" ca="1" si="1"/>
        <v>0.10730840642042674</v>
      </c>
      <c r="BK35" s="3833">
        <f t="shared" ca="1" si="1"/>
        <v>0.16512032892285516</v>
      </c>
      <c r="BL35" s="3833">
        <f t="shared" ca="1" si="1"/>
        <v>0.37170199279848282</v>
      </c>
      <c r="BM35" s="3833">
        <f t="shared" ca="1" si="1"/>
        <v>0.28195226887408681</v>
      </c>
      <c r="BN35" s="769"/>
      <c r="BQ35" s="4128"/>
      <c r="BR35" s="761"/>
      <c r="BS35" s="761"/>
      <c r="BT35" s="510"/>
    </row>
    <row r="36" spans="1:72" s="833" customFormat="1" ht="45">
      <c r="A36" s="4142"/>
      <c r="B36" s="4144"/>
      <c r="C36" s="774"/>
      <c r="D36" s="508" t="s">
        <v>342</v>
      </c>
      <c r="E36" s="836">
        <v>1</v>
      </c>
      <c r="F36" s="776">
        <v>4</v>
      </c>
      <c r="G36" s="2377" t="s">
        <v>3355</v>
      </c>
      <c r="H36" s="414"/>
      <c r="I36" s="761" t="s">
        <v>343</v>
      </c>
      <c r="J36" s="761" t="s">
        <v>344</v>
      </c>
      <c r="K36" s="761" t="s">
        <v>345</v>
      </c>
      <c r="L36" s="761" t="s">
        <v>2997</v>
      </c>
      <c r="M36" s="414"/>
      <c r="N36" s="834">
        <v>1</v>
      </c>
      <c r="O36" s="835">
        <v>4</v>
      </c>
      <c r="P36" s="836">
        <v>1</v>
      </c>
      <c r="Q36" s="837"/>
      <c r="R36" s="834">
        <v>4</v>
      </c>
      <c r="S36" s="834">
        <v>4</v>
      </c>
      <c r="T36" s="836">
        <v>3</v>
      </c>
      <c r="U36" s="765"/>
      <c r="V36" s="834"/>
      <c r="W36" s="762"/>
      <c r="X36" s="762"/>
      <c r="Y36" s="762"/>
      <c r="Z36" s="762"/>
      <c r="AA36" s="762"/>
      <c r="AB36" s="762"/>
      <c r="AC36" s="766"/>
      <c r="AD36" s="838"/>
      <c r="AE36"/>
      <c r="AF36" s="768"/>
      <c r="AG36" s="768"/>
      <c r="AH36" s="768"/>
      <c r="AI36" s="768"/>
      <c r="AJ36" s="768"/>
      <c r="AK36" s="768"/>
      <c r="AL36" s="768"/>
      <c r="AM36" s="768"/>
      <c r="AN36" s="768"/>
      <c r="AO36" s="769"/>
      <c r="AP36" s="769"/>
      <c r="AQ36" s="3759"/>
      <c r="AR36" s="800"/>
      <c r="AS36" s="801" t="s">
        <v>558</v>
      </c>
      <c r="AT36" s="772" t="str">
        <f>INDEX(Workstreams[Workstream],MATCH($AS36,Workstreams[Code],0))</f>
        <v>Hydrocarbon fuel power generation</v>
      </c>
      <c r="AU36" s="769"/>
      <c r="AV36" s="3813"/>
      <c r="AW36" s="772"/>
      <c r="AX36" s="3814">
        <f t="shared" ref="AX36:AY42" ca="1" si="2">SUMIFS(INDIRECT("'"&amp;AX$35&amp;"'!Year.EmissionsBySector"), INDIRECT("'"&amp;AX$35&amp;"'!Year.Modules"),$AS36)</f>
        <v>12.653745820569476</v>
      </c>
      <c r="AY36" s="3814">
        <f t="shared" ca="1" si="2"/>
        <v>9.0172444022172762</v>
      </c>
      <c r="AZ36" s="3815">
        <f ca="1">AY36*'Intermediate output'!$AY$155/'Intermediate output'!$F$205</f>
        <v>0.17263972607223554</v>
      </c>
      <c r="BA36" s="768"/>
      <c r="BB36" s="768"/>
      <c r="BC36" s="732"/>
      <c r="BD36" s="800"/>
      <c r="BE36" s="800" t="s">
        <v>477</v>
      </c>
      <c r="BF36" s="770" t="s">
        <v>678</v>
      </c>
      <c r="BG36" s="832"/>
      <c r="BH36" s="832"/>
      <c r="BI36" s="832"/>
      <c r="BJ36" s="3833">
        <f t="shared" ca="1" si="1"/>
        <v>0.15752321181711035</v>
      </c>
      <c r="BK36" s="3833">
        <f t="shared" ca="1" si="1"/>
        <v>0.15967163698072853</v>
      </c>
      <c r="BL36" s="3833">
        <f t="shared" ca="1" si="1"/>
        <v>0.2190965721836409</v>
      </c>
      <c r="BM36" s="3833">
        <f t="shared" ca="1" si="1"/>
        <v>9.4670379398665766E-2</v>
      </c>
      <c r="BN36" s="769"/>
      <c r="BQ36" s="4128" t="s">
        <v>343</v>
      </c>
      <c r="BR36" s="761" t="s">
        <v>344</v>
      </c>
      <c r="BS36" s="761" t="s">
        <v>345</v>
      </c>
      <c r="BT36" s="761" t="s">
        <v>2997</v>
      </c>
    </row>
    <row r="37" spans="1:72" s="833" customFormat="1" ht="31.5">
      <c r="A37" s="4142"/>
      <c r="B37" s="4144"/>
      <c r="C37" s="774"/>
      <c r="D37" s="508" t="s">
        <v>346</v>
      </c>
      <c r="E37" s="836">
        <v>1</v>
      </c>
      <c r="F37" s="776">
        <v>4</v>
      </c>
      <c r="G37" s="2377" t="s">
        <v>3360</v>
      </c>
      <c r="H37" s="414"/>
      <c r="I37" s="761" t="s">
        <v>347</v>
      </c>
      <c r="J37" s="761" t="s">
        <v>348</v>
      </c>
      <c r="K37" s="761" t="s">
        <v>349</v>
      </c>
      <c r="L37" s="761" t="s">
        <v>350</v>
      </c>
      <c r="M37" s="414"/>
      <c r="N37" s="834">
        <v>1</v>
      </c>
      <c r="O37" s="835">
        <v>4</v>
      </c>
      <c r="P37" s="836">
        <v>1</v>
      </c>
      <c r="Q37" s="837"/>
      <c r="R37" s="834">
        <v>4</v>
      </c>
      <c r="S37" s="834">
        <v>4</v>
      </c>
      <c r="T37" s="836">
        <v>3</v>
      </c>
      <c r="U37" s="765"/>
      <c r="V37" s="834"/>
      <c r="W37" s="762"/>
      <c r="X37" s="762"/>
      <c r="Y37" s="762"/>
      <c r="Z37" s="762"/>
      <c r="AA37" s="762"/>
      <c r="AB37" s="762"/>
      <c r="AC37" s="766"/>
      <c r="AD37" s="838"/>
      <c r="AE37"/>
      <c r="AF37" s="768"/>
      <c r="AG37" s="768"/>
      <c r="AH37" s="768"/>
      <c r="AI37" s="768"/>
      <c r="AJ37" s="768"/>
      <c r="AK37" s="768"/>
      <c r="AL37" s="768"/>
      <c r="AM37" s="768"/>
      <c r="AN37" s="768"/>
      <c r="AO37" s="769"/>
      <c r="AP37" s="769"/>
      <c r="AQ37" s="3759"/>
      <c r="AR37" s="800"/>
      <c r="AS37" s="801" t="s">
        <v>580</v>
      </c>
      <c r="AT37" s="772" t="str">
        <f>INDEX(Workstreams[Workstream],MATCH($AS37,Workstreams[Code],0))</f>
        <v>Bioenergy</v>
      </c>
      <c r="AU37" s="769"/>
      <c r="AV37" s="3813"/>
      <c r="AW37" s="772"/>
      <c r="AX37" s="3814">
        <f t="shared" ca="1" si="2"/>
        <v>-0.54367917626535778</v>
      </c>
      <c r="AY37" s="3814">
        <f t="shared" ca="1" si="2"/>
        <v>-16.082979359188872</v>
      </c>
      <c r="AZ37" s="3815">
        <f ca="1">AY37*'Intermediate output'!$AY$155/'Intermediate output'!$F$205</f>
        <v>-0.30791681218189543</v>
      </c>
      <c r="BA37" s="768"/>
      <c r="BB37" s="768"/>
      <c r="BC37" s="732"/>
      <c r="BD37" s="800"/>
      <c r="BE37" s="800" t="s">
        <v>556</v>
      </c>
      <c r="BF37" s="770" t="s">
        <v>679</v>
      </c>
      <c r="BG37" s="832"/>
      <c r="BH37" s="832"/>
      <c r="BI37" s="832"/>
      <c r="BJ37" s="3833">
        <f t="shared" ca="1" si="1"/>
        <v>0.50829189205251457</v>
      </c>
      <c r="BK37" s="3833">
        <f t="shared" ca="1" si="1"/>
        <v>0.38122717465111872</v>
      </c>
      <c r="BL37" s="3833">
        <f t="shared" ca="1" si="1"/>
        <v>0</v>
      </c>
      <c r="BM37" s="3833">
        <f t="shared" ca="1" si="1"/>
        <v>0</v>
      </c>
      <c r="BN37" s="769"/>
      <c r="BQ37" s="4128" t="s">
        <v>347</v>
      </c>
      <c r="BR37" s="761" t="s">
        <v>348</v>
      </c>
      <c r="BS37" s="761" t="s">
        <v>349</v>
      </c>
      <c r="BT37" s="761" t="s">
        <v>350</v>
      </c>
    </row>
    <row r="38" spans="1:72" s="833" customFormat="1" ht="30">
      <c r="A38" s="4142"/>
      <c r="B38" s="4144"/>
      <c r="C38" s="774"/>
      <c r="D38" s="509" t="s">
        <v>351</v>
      </c>
      <c r="E38" s="836">
        <v>1</v>
      </c>
      <c r="F38" s="776" t="s">
        <v>239</v>
      </c>
      <c r="G38" s="2377" t="s">
        <v>3356</v>
      </c>
      <c r="H38" s="414"/>
      <c r="I38" s="761" t="s">
        <v>352</v>
      </c>
      <c r="J38" s="761" t="s">
        <v>353</v>
      </c>
      <c r="K38" s="761" t="s">
        <v>354</v>
      </c>
      <c r="L38" s="761" t="s">
        <v>355</v>
      </c>
      <c r="M38" s="414"/>
      <c r="N38" s="834">
        <v>1</v>
      </c>
      <c r="O38" s="835">
        <v>4</v>
      </c>
      <c r="P38" s="836">
        <v>1</v>
      </c>
      <c r="Q38" s="837"/>
      <c r="R38" s="834">
        <v>4</v>
      </c>
      <c r="S38" s="834">
        <v>4</v>
      </c>
      <c r="T38" s="836">
        <v>3</v>
      </c>
      <c r="U38" s="765"/>
      <c r="V38" s="834"/>
      <c r="W38" s="762"/>
      <c r="X38" s="762"/>
      <c r="Y38" s="762"/>
      <c r="Z38" s="762"/>
      <c r="AA38" s="762"/>
      <c r="AB38" s="762"/>
      <c r="AC38" s="766"/>
      <c r="AD38" s="838"/>
      <c r="AE38"/>
      <c r="AF38" s="768"/>
      <c r="AG38" s="768"/>
      <c r="AH38" s="768"/>
      <c r="AI38" s="768"/>
      <c r="AJ38" s="768"/>
      <c r="AK38" s="768"/>
      <c r="AL38" s="768"/>
      <c r="AM38" s="768"/>
      <c r="AN38" s="768"/>
      <c r="AO38" s="769"/>
      <c r="AP38" s="769"/>
      <c r="AQ38" s="3759"/>
      <c r="AR38" s="800"/>
      <c r="AS38" s="801" t="s">
        <v>496</v>
      </c>
      <c r="AT38" s="772" t="str">
        <f>INDEX(Workstreams[Workstream],MATCH($AS38,Workstreams[Code],0))</f>
        <v>Geosequestration</v>
      </c>
      <c r="AU38" s="769"/>
      <c r="AV38" s="3813"/>
      <c r="AW38" s="772"/>
      <c r="AX38" s="3814">
        <f t="shared" ca="1" si="2"/>
        <v>0</v>
      </c>
      <c r="AY38" s="3814">
        <f t="shared" ca="1" si="2"/>
        <v>0</v>
      </c>
      <c r="AZ38" s="3815">
        <f ca="1">AY38*'Intermediate output'!$AY$155/'Intermediate output'!$F$205</f>
        <v>0</v>
      </c>
      <c r="BA38" s="768"/>
      <c r="BB38" s="768"/>
      <c r="BC38" s="732"/>
      <c r="BD38" s="800"/>
      <c r="BE38" s="800" t="s">
        <v>553</v>
      </c>
      <c r="BF38" s="770" t="s">
        <v>680</v>
      </c>
      <c r="BG38" s="832"/>
      <c r="BH38" s="832"/>
      <c r="BI38" s="832"/>
      <c r="BJ38" s="3833">
        <f t="shared" ca="1" si="1"/>
        <v>0</v>
      </c>
      <c r="BK38" s="3833">
        <f t="shared" ca="1" si="1"/>
        <v>0</v>
      </c>
      <c r="BL38" s="3833">
        <f t="shared" ca="1" si="1"/>
        <v>0</v>
      </c>
      <c r="BM38" s="3833">
        <f t="shared" ca="1" si="1"/>
        <v>0.41053310099105095</v>
      </c>
      <c r="BN38" s="769"/>
      <c r="BQ38" s="761" t="s">
        <v>352</v>
      </c>
      <c r="BR38" s="761" t="s">
        <v>353</v>
      </c>
      <c r="BS38" s="761" t="s">
        <v>354</v>
      </c>
      <c r="BT38" s="761" t="s">
        <v>355</v>
      </c>
    </row>
    <row r="39" spans="1:72" s="833" customFormat="1" ht="30">
      <c r="A39" s="4142"/>
      <c r="B39" s="4144"/>
      <c r="C39" s="774"/>
      <c r="D39" s="509" t="s">
        <v>356</v>
      </c>
      <c r="E39" s="836">
        <v>1</v>
      </c>
      <c r="F39" s="776" t="s">
        <v>239</v>
      </c>
      <c r="G39" s="2377" t="s">
        <v>3357</v>
      </c>
      <c r="H39" s="414"/>
      <c r="I39" s="761" t="s">
        <v>357</v>
      </c>
      <c r="J39" s="761" t="s">
        <v>358</v>
      </c>
      <c r="K39" s="761" t="s">
        <v>359</v>
      </c>
      <c r="L39" s="761" t="s">
        <v>360</v>
      </c>
      <c r="M39" s="414"/>
      <c r="N39" s="834">
        <v>1</v>
      </c>
      <c r="O39" s="835">
        <v>4</v>
      </c>
      <c r="P39" s="836">
        <v>1</v>
      </c>
      <c r="Q39" s="837"/>
      <c r="R39" s="834">
        <v>4</v>
      </c>
      <c r="S39" s="834">
        <v>4</v>
      </c>
      <c r="T39" s="836">
        <v>2</v>
      </c>
      <c r="U39" s="765"/>
      <c r="V39" s="834"/>
      <c r="W39" s="762"/>
      <c r="X39" s="762"/>
      <c r="Y39" s="762"/>
      <c r="Z39" s="762"/>
      <c r="AA39" s="762"/>
      <c r="AB39" s="762"/>
      <c r="AC39" s="766"/>
      <c r="AD39" s="838"/>
      <c r="AE39"/>
      <c r="AF39" s="768"/>
      <c r="AG39" s="768"/>
      <c r="AH39" s="768"/>
      <c r="AI39" s="768"/>
      <c r="AJ39" s="768"/>
      <c r="AK39" s="768"/>
      <c r="AL39" s="768"/>
      <c r="AM39" s="768"/>
      <c r="AN39" s="768"/>
      <c r="AO39" s="769"/>
      <c r="AP39" s="769"/>
      <c r="AQ39" s="3759"/>
      <c r="AR39" s="800"/>
      <c r="AS39" s="801" t="s">
        <v>512</v>
      </c>
      <c r="AT39" s="772" t="str">
        <f>INDEX(Workstreams[Workstream],MATCH($AS39,Workstreams[Code],0))</f>
        <v>Agriculture and waste</v>
      </c>
      <c r="AU39" s="769"/>
      <c r="AV39" s="3813"/>
      <c r="AW39" s="772"/>
      <c r="AX39" s="3814">
        <f t="shared" ca="1" si="2"/>
        <v>15.80639928799928</v>
      </c>
      <c r="AY39" s="3814">
        <f t="shared" ca="1" si="2"/>
        <v>9.494684039599921</v>
      </c>
      <c r="AZ39" s="3815">
        <f ca="1">AY39*'Intermediate output'!$AY$155/'Intermediate output'!$F$205</f>
        <v>0.18178055053447364</v>
      </c>
      <c r="BA39" s="768"/>
      <c r="BB39" s="768"/>
      <c r="BC39" s="732"/>
      <c r="BD39" s="839"/>
      <c r="BE39" s="817"/>
      <c r="BF39" s="817"/>
      <c r="BG39" s="817"/>
      <c r="BH39" s="817"/>
      <c r="BI39" s="817"/>
      <c r="BJ39" s="817"/>
      <c r="BK39" s="817"/>
      <c r="BL39" s="817"/>
      <c r="BM39" s="817"/>
      <c r="BN39" s="769"/>
      <c r="BQ39" s="4128" t="s">
        <v>357</v>
      </c>
      <c r="BR39" s="761" t="s">
        <v>358</v>
      </c>
      <c r="BS39" s="4134" t="s">
        <v>359</v>
      </c>
      <c r="BT39" s="761" t="s">
        <v>360</v>
      </c>
    </row>
    <row r="40" spans="1:72" s="833" customFormat="1" ht="15.75">
      <c r="A40" s="4142"/>
      <c r="B40" s="4144" t="s">
        <v>681</v>
      </c>
      <c r="C40" s="758" t="s">
        <v>470</v>
      </c>
      <c r="D40" s="758" t="s">
        <v>471</v>
      </c>
      <c r="E40" s="763"/>
      <c r="F40" s="760"/>
      <c r="G40" s="760"/>
      <c r="H40" s="760"/>
      <c r="I40" s="760"/>
      <c r="J40" s="760"/>
      <c r="K40" s="760"/>
      <c r="L40" s="760"/>
      <c r="M40"/>
      <c r="N40" s="759"/>
      <c r="O40" s="762"/>
      <c r="P40" s="763"/>
      <c r="Q40" s="764"/>
      <c r="R40" s="759"/>
      <c r="S40" s="759"/>
      <c r="T40" s="763"/>
      <c r="U40" s="765"/>
      <c r="V40" s="759"/>
      <c r="W40" s="762"/>
      <c r="X40" s="762"/>
      <c r="Y40" s="762"/>
      <c r="Z40" s="762"/>
      <c r="AA40" s="762"/>
      <c r="AB40" s="762"/>
      <c r="AC40" s="766"/>
      <c r="AD40" s="767"/>
      <c r="AE40"/>
      <c r="AF40" s="768"/>
      <c r="AG40" s="768"/>
      <c r="AH40" s="768"/>
      <c r="AI40" s="768"/>
      <c r="AJ40" s="768"/>
      <c r="AK40" s="768"/>
      <c r="AL40" s="768"/>
      <c r="AM40" s="768"/>
      <c r="AN40" s="768"/>
      <c r="AO40" s="769"/>
      <c r="AP40" s="769"/>
      <c r="AQ40" s="3759"/>
      <c r="AR40" s="800"/>
      <c r="AS40" s="801" t="s">
        <v>0</v>
      </c>
      <c r="AT40" s="772" t="str">
        <f>INDEX(Workstreams[Workstream],MATCH($AS40,Workstreams[Code],0))</f>
        <v>Heating</v>
      </c>
      <c r="AU40" s="769"/>
      <c r="AV40" s="3813"/>
      <c r="AW40" s="772"/>
      <c r="AX40" s="3814">
        <f t="shared" ca="1" si="2"/>
        <v>7.8819432445848499</v>
      </c>
      <c r="AY40" s="3814">
        <f t="shared" ca="1" si="2"/>
        <v>9.8394084409240588</v>
      </c>
      <c r="AZ40" s="3815">
        <f ca="1">AY40*'Intermediate output'!$AY$155/'Intermediate output'!$F$205</f>
        <v>0.18838047436490468</v>
      </c>
      <c r="BA40" s="768"/>
      <c r="BB40" s="768"/>
      <c r="BC40" s="732"/>
      <c r="BD40" s="823"/>
      <c r="BE40" s="824" t="s">
        <v>682</v>
      </c>
      <c r="BF40" s="772"/>
      <c r="BG40" s="772"/>
      <c r="BH40" s="802"/>
      <c r="BI40" s="772"/>
      <c r="BJ40" s="3830">
        <f ca="1">-(INDEX(INDIRECT(BJ$29&amp;"!Year.Matrix"),MATCH("Subtotal.Supply",INDIRECT(BJ$29&amp;"!Year.Modules"),0),MATCH("V.04",INDIRECT(BJ$29&amp;"!Year.Vectors"),0))+INDEX(INDIRECT(BJ$29&amp;"!Year.Matrix"),MATCH("Subtotal.Consumption",INDIRECT(BJ$29&amp;"!Year.Modules"),0),MATCH("V.04",INDIRECT(BJ$29&amp;"!Year.Vectors"),0)))</f>
        <v>77.30436277743145</v>
      </c>
      <c r="BK40" s="3830">
        <f ca="1">-(INDEX(INDIRECT(BK$29&amp;"!Year.Matrix"),MATCH("Subtotal.Supply",INDIRECT(BK$29&amp;"!Year.Modules"),0),MATCH("V.04",INDIRECT(BK$29&amp;"!Year.Vectors"),0))+INDEX(INDIRECT(BK$29&amp;"!Year.Matrix"),MATCH("Subtotal.Consumption",INDIRECT(BK$29&amp;"!Year.Modules"),0),MATCH("V.04",INDIRECT(BK$29&amp;"!Year.Vectors"),0)))</f>
        <v>67.727908156726983</v>
      </c>
      <c r="BL40" s="3830">
        <f ca="1">-(INDEX(INDIRECT(BL$29&amp;"!Year.Matrix"),MATCH("Subtotal.Supply",INDIRECT(BL$29&amp;"!Year.Modules"),0),MATCH("V.04",INDIRECT(BL$29&amp;"!Year.Vectors"),0))+INDEX(INDIRECT(BL$29&amp;"!Year.Matrix"),MATCH("Subtotal.Consumption",INDIRECT(BL$29&amp;"!Year.Modules"),0),MATCH("V.04",INDIRECT(BL$29&amp;"!Year.Vectors"),0)))</f>
        <v>62.603377123518747</v>
      </c>
      <c r="BM40" s="3830">
        <f ca="1">-(INDEX(INDIRECT(BM$29&amp;"!Year.Matrix"),MATCH("Subtotal.Supply",INDIRECT(BM$29&amp;"!Year.Modules"),0),MATCH("V.04",INDIRECT(BM$29&amp;"!Year.Vectors"),0))+INDEX(INDIRECT(BM$29&amp;"!Year.Matrix"),MATCH("Subtotal.Consumption",INDIRECT(BM$29&amp;"!Year.Modules"),0),MATCH("V.04",INDIRECT(BM$29&amp;"!Year.Vectors"),0)))</f>
        <v>56.959239737930005</v>
      </c>
      <c r="BN40" s="817"/>
      <c r="BQ40" s="4135"/>
      <c r="BR40" s="4136"/>
      <c r="BS40" s="4136"/>
      <c r="BT40" s="4136"/>
    </row>
    <row r="41" spans="1:72" s="6" customFormat="1" ht="45">
      <c r="A41" s="4142"/>
      <c r="B41" s="4144"/>
      <c r="C41" s="775"/>
      <c r="D41" s="775" t="s">
        <v>683</v>
      </c>
      <c r="E41" s="763">
        <v>1</v>
      </c>
      <c r="F41" s="776">
        <v>4</v>
      </c>
      <c r="G41" s="2377" t="s">
        <v>3358</v>
      </c>
      <c r="H41"/>
      <c r="I41" s="761" t="s">
        <v>3260</v>
      </c>
      <c r="J41" s="761" t="s">
        <v>3261</v>
      </c>
      <c r="K41" s="761" t="s">
        <v>3262</v>
      </c>
      <c r="L41" s="761" t="s">
        <v>3263</v>
      </c>
      <c r="M41"/>
      <c r="N41" s="759">
        <v>1</v>
      </c>
      <c r="O41" s="762">
        <v>4</v>
      </c>
      <c r="P41" s="763">
        <v>1</v>
      </c>
      <c r="Q41" s="764"/>
      <c r="R41" s="759">
        <v>4</v>
      </c>
      <c r="S41" s="759">
        <v>4</v>
      </c>
      <c r="T41" s="763">
        <v>3</v>
      </c>
      <c r="U41" s="765"/>
      <c r="V41" s="759"/>
      <c r="W41" s="762"/>
      <c r="X41" s="762"/>
      <c r="Y41" s="762"/>
      <c r="Z41" s="762"/>
      <c r="AA41" s="762"/>
      <c r="AB41" s="762"/>
      <c r="AC41" s="766"/>
      <c r="AD41" s="767"/>
      <c r="AE41"/>
      <c r="AF41" s="768"/>
      <c r="AG41" s="768"/>
      <c r="AH41" s="768"/>
      <c r="AI41" s="768"/>
      <c r="AJ41" s="768"/>
      <c r="AK41" s="768"/>
      <c r="AL41" s="768"/>
      <c r="AM41" s="768"/>
      <c r="AN41" s="768"/>
      <c r="AO41" s="769"/>
      <c r="AP41" s="769"/>
      <c r="AQ41" s="3759"/>
      <c r="AR41" s="800"/>
      <c r="AS41" s="801" t="s">
        <v>474</v>
      </c>
      <c r="AT41" s="772" t="str">
        <f>INDEX(Workstreams[Workstream],MATCH($AS41,Workstreams[Code],0))</f>
        <v>Lighting and appliances</v>
      </c>
      <c r="AU41" s="769"/>
      <c r="AV41" s="3813"/>
      <c r="AW41" s="772"/>
      <c r="AX41" s="3814">
        <f t="shared" ca="1" si="2"/>
        <v>0.18570324907344987</v>
      </c>
      <c r="AY41" s="3814">
        <f t="shared" ca="1" si="2"/>
        <v>0.20317600035205552</v>
      </c>
      <c r="AZ41" s="3815">
        <f ca="1">AY41*'Intermediate output'!$AY$155/'Intermediate output'!$F$205</f>
        <v>3.8899077678992817E-3</v>
      </c>
      <c r="BA41" s="768"/>
      <c r="BB41" s="768"/>
      <c r="BC41" s="732"/>
      <c r="BD41" s="826"/>
      <c r="BE41" s="826" t="s">
        <v>580</v>
      </c>
      <c r="BF41" s="827" t="s">
        <v>684</v>
      </c>
      <c r="BG41" s="839"/>
      <c r="BH41" s="841"/>
      <c r="BI41" s="827"/>
      <c r="BJ41" s="3831">
        <f ca="1">INDEX(INDIRECT(BJ$29&amp;"!Year.Matrix"),MATCH($BE41,INDIRECT(BJ$29&amp;"!Year.Modules"),0),MATCH("V.04",INDIRECT(BJ$29&amp;"!Year.Vectors"),0))/BJ$40</f>
        <v>1.2460551583269974E-2</v>
      </c>
      <c r="BK41" s="3831">
        <f ca="1">INDEX(INDIRECT(BK$29&amp;"!Year.Matrix"),MATCH($BE41,INDIRECT(BK$29&amp;"!Year.Modules"),0),MATCH("V.04",INDIRECT(BK$29&amp;"!Year.Vectors"),0))/BK$40</f>
        <v>2.3554651032602559E-2</v>
      </c>
      <c r="BL41" s="3831">
        <f ca="1">INDEX(INDIRECT(BL$29&amp;"!Year.Matrix"),MATCH($BE41,INDIRECT(BL$29&amp;"!Year.Modules"),0),MATCH("V.04",INDIRECT(BL$29&amp;"!Year.Vectors"),0))/BL$40</f>
        <v>5.9895211825337677E-2</v>
      </c>
      <c r="BM41" s="3831">
        <f ca="1">INDEX(INDIRECT(BM$29&amp;"!Year.Matrix"),MATCH($BE41,INDIRECT(BM$29&amp;"!Year.Modules"),0),MATCH("V.04",INDIRECT(BM$29&amp;"!Year.Vectors"),0))/BM$40</f>
        <v>0.14632675998830921</v>
      </c>
      <c r="BN41" s="769"/>
      <c r="BQ41" s="4128" t="s">
        <v>3260</v>
      </c>
      <c r="BR41" s="761" t="s">
        <v>3261</v>
      </c>
      <c r="BS41" s="761" t="s">
        <v>3262</v>
      </c>
      <c r="BT41" s="761" t="s">
        <v>3263</v>
      </c>
    </row>
    <row r="42" spans="1:72" s="6" customFormat="1" ht="30">
      <c r="A42" s="4142"/>
      <c r="B42" s="4144"/>
      <c r="C42" s="775"/>
      <c r="D42" s="775" t="s">
        <v>685</v>
      </c>
      <c r="E42" s="763">
        <v>1</v>
      </c>
      <c r="F42" s="776" t="s">
        <v>686</v>
      </c>
      <c r="G42" s="2377" t="s">
        <v>3359</v>
      </c>
      <c r="H42"/>
      <c r="I42" s="761" t="s">
        <v>1030</v>
      </c>
      <c r="J42" s="761" t="s">
        <v>687</v>
      </c>
      <c r="K42" s="761" t="s">
        <v>688</v>
      </c>
      <c r="L42" s="761" t="s">
        <v>688</v>
      </c>
      <c r="M42"/>
      <c r="N42" s="759">
        <v>1</v>
      </c>
      <c r="O42" s="762">
        <v>2</v>
      </c>
      <c r="P42" s="763">
        <v>1</v>
      </c>
      <c r="Q42" s="764"/>
      <c r="R42" s="759">
        <v>2</v>
      </c>
      <c r="S42" s="759">
        <v>2</v>
      </c>
      <c r="T42" s="763">
        <v>1</v>
      </c>
      <c r="U42" s="765"/>
      <c r="V42" s="759"/>
      <c r="W42" s="762"/>
      <c r="X42" s="762"/>
      <c r="Y42" s="762"/>
      <c r="Z42" s="762"/>
      <c r="AA42" s="762"/>
      <c r="AB42" s="762"/>
      <c r="AC42" s="766"/>
      <c r="AD42" s="767"/>
      <c r="AE42"/>
      <c r="AF42" s="768"/>
      <c r="AG42" s="768"/>
      <c r="AH42" s="768"/>
      <c r="AI42" s="768"/>
      <c r="AJ42" s="768"/>
      <c r="AK42" s="768"/>
      <c r="AL42" s="768"/>
      <c r="AM42" s="768"/>
      <c r="AN42" s="768"/>
      <c r="AO42" s="769"/>
      <c r="AP42" s="769"/>
      <c r="AQ42" s="3759"/>
      <c r="AR42" s="800"/>
      <c r="AS42" s="801" t="s">
        <v>477</v>
      </c>
      <c r="AT42" s="772" t="str">
        <f>INDEX(Workstreams[Workstream],MATCH($AS42,Workstreams[Code],0))</f>
        <v>Industry</v>
      </c>
      <c r="AU42" s="769"/>
      <c r="AV42" s="3813"/>
      <c r="AW42" s="772"/>
      <c r="AX42" s="3814">
        <f t="shared" ca="1" si="2"/>
        <v>6.6593961332000005</v>
      </c>
      <c r="AY42" s="3814">
        <f t="shared" ca="1" si="2"/>
        <v>6.5166599241533758</v>
      </c>
      <c r="AZ42" s="3815">
        <f ca="1">AY42*'Intermediate output'!$AY$155/'Intermediate output'!$F$205</f>
        <v>0.12476476560124244</v>
      </c>
      <c r="BA42" s="768"/>
      <c r="BB42" s="768"/>
      <c r="BC42" s="732"/>
      <c r="BD42" s="800"/>
      <c r="BE42" s="800" t="s">
        <v>490</v>
      </c>
      <c r="BF42" s="770" t="s">
        <v>689</v>
      </c>
      <c r="BG42" s="786"/>
      <c r="BH42" s="842"/>
      <c r="BI42" s="770"/>
      <c r="BJ42" s="3833">
        <f t="shared" ref="BJ42:BM44" ca="1" si="3">-INDEX(INDIRECT(BJ$29&amp;"!Year.Matrix"),MATCH($BE42,INDIRECT(BJ$29&amp;"!Year.Modules"),0),MATCH("V.04",INDIRECT(BJ$29&amp;"!Year.Vectors"),0))/BJ$40</f>
        <v>0.60561480819847546</v>
      </c>
      <c r="BK42" s="3833">
        <f t="shared" ca="1" si="3"/>
        <v>0.65910755171487057</v>
      </c>
      <c r="BL42" s="3833">
        <f t="shared" ca="1" si="3"/>
        <v>0.69096849691678563</v>
      </c>
      <c r="BM42" s="3833">
        <f t="shared" ca="1" si="3"/>
        <v>0.78530270265858781</v>
      </c>
      <c r="BN42" s="769"/>
      <c r="BQ42" s="761" t="s">
        <v>1030</v>
      </c>
      <c r="BR42" s="761" t="s">
        <v>687</v>
      </c>
      <c r="BS42" s="761" t="s">
        <v>688</v>
      </c>
      <c r="BT42" s="761" t="s">
        <v>688</v>
      </c>
    </row>
    <row r="43" spans="1:72" s="6" customFormat="1" ht="15.75">
      <c r="A43" s="4142" t="s">
        <v>690</v>
      </c>
      <c r="B43" s="4143" t="s">
        <v>368</v>
      </c>
      <c r="C43" s="758" t="s">
        <v>475</v>
      </c>
      <c r="D43" s="758" t="s">
        <v>476</v>
      </c>
      <c r="E43" s="763"/>
      <c r="F43" s="760"/>
      <c r="G43" s="760"/>
      <c r="H43" s="760"/>
      <c r="I43" s="760"/>
      <c r="J43" s="760"/>
      <c r="K43" s="760"/>
      <c r="L43" s="760"/>
      <c r="M43"/>
      <c r="N43" s="759"/>
      <c r="O43" s="762"/>
      <c r="P43" s="763"/>
      <c r="Q43" s="764"/>
      <c r="R43" s="759"/>
      <c r="S43" s="759"/>
      <c r="T43" s="763"/>
      <c r="U43" s="765"/>
      <c r="V43" s="759"/>
      <c r="W43" s="762"/>
      <c r="X43" s="762"/>
      <c r="Y43" s="762"/>
      <c r="Z43" s="762"/>
      <c r="AA43" s="762"/>
      <c r="AB43" s="762"/>
      <c r="AC43" s="766"/>
      <c r="AD43" s="767"/>
      <c r="AF43" s="769"/>
      <c r="AG43" s="769"/>
      <c r="AH43" s="769"/>
      <c r="AI43" s="769"/>
      <c r="AJ43" s="769"/>
      <c r="AK43" s="769"/>
      <c r="AL43" s="3813"/>
      <c r="AM43" s="772"/>
      <c r="AN43" s="772"/>
      <c r="AO43" s="769"/>
      <c r="AP43" s="769"/>
      <c r="AQ43" s="3759"/>
      <c r="AR43" s="800"/>
      <c r="AS43" s="801"/>
      <c r="AT43" s="772"/>
      <c r="AU43" s="769"/>
      <c r="AV43" s="3813"/>
      <c r="AW43" s="772"/>
      <c r="AX43" s="3814"/>
      <c r="AY43" s="3814"/>
      <c r="AZ43" s="3815"/>
      <c r="BA43" s="768"/>
      <c r="BB43" s="768"/>
      <c r="BC43" s="732"/>
      <c r="BD43" s="800"/>
      <c r="BE43" s="800" t="s">
        <v>477</v>
      </c>
      <c r="BF43" s="770" t="s">
        <v>691</v>
      </c>
      <c r="BG43" s="786"/>
      <c r="BH43" s="842"/>
      <c r="BI43" s="770"/>
      <c r="BJ43" s="3833">
        <f t="shared" ca="1" si="3"/>
        <v>8.2142841255705229E-2</v>
      </c>
      <c r="BK43" s="3833">
        <f t="shared" ca="1" si="3"/>
        <v>9.6758462678201471E-2</v>
      </c>
      <c r="BL43" s="3833">
        <f t="shared" ca="1" si="3"/>
        <v>0.11101263169734574</v>
      </c>
      <c r="BM43" s="3833">
        <f t="shared" ca="1" si="3"/>
        <v>0.14246624994316318</v>
      </c>
      <c r="BN43" s="817"/>
      <c r="BQ43" s="4129"/>
      <c r="BR43" s="510"/>
      <c r="BS43" s="510"/>
      <c r="BT43" s="510"/>
    </row>
    <row r="44" spans="1:72" s="6" customFormat="1" ht="30">
      <c r="A44" s="4142"/>
      <c r="B44" s="4143"/>
      <c r="C44" s="775"/>
      <c r="D44" s="775" t="s">
        <v>692</v>
      </c>
      <c r="E44" s="763">
        <v>2</v>
      </c>
      <c r="F44" s="776" t="s">
        <v>693</v>
      </c>
      <c r="G44" s="2377" t="s">
        <v>3502</v>
      </c>
      <c r="H44"/>
      <c r="I44" s="761" t="s">
        <v>2845</v>
      </c>
      <c r="J44" s="761" t="s">
        <v>3288</v>
      </c>
      <c r="K44" s="761" t="s">
        <v>2846</v>
      </c>
      <c r="L44" s="761" t="s">
        <v>694</v>
      </c>
      <c r="M44"/>
      <c r="N44" s="759">
        <v>1</v>
      </c>
      <c r="O44" s="762">
        <v>4</v>
      </c>
      <c r="P44" s="763">
        <v>2</v>
      </c>
      <c r="Q44" s="764"/>
      <c r="R44" s="759">
        <v>2</v>
      </c>
      <c r="S44" s="759">
        <v>2</v>
      </c>
      <c r="T44" s="763">
        <v>2</v>
      </c>
      <c r="U44" s="765"/>
      <c r="V44" s="759"/>
      <c r="W44" s="762"/>
      <c r="X44" s="762"/>
      <c r="Y44" s="762"/>
      <c r="Z44" s="762"/>
      <c r="AA44" s="762"/>
      <c r="AB44" s="762"/>
      <c r="AC44" s="766"/>
      <c r="AD44" s="767"/>
      <c r="AF44" s="769"/>
      <c r="AG44" s="769"/>
      <c r="AH44" s="769"/>
      <c r="AI44" s="769"/>
      <c r="AJ44" s="769"/>
      <c r="AK44" s="769"/>
      <c r="AL44" s="3813"/>
      <c r="AM44" s="772"/>
      <c r="AN44" s="772"/>
      <c r="AO44" s="769"/>
      <c r="AP44" s="769"/>
      <c r="AQ44" s="3759"/>
      <c r="AR44" s="800"/>
      <c r="AS44" s="801" t="s">
        <v>490</v>
      </c>
      <c r="AT44" s="772" t="str">
        <f>INDEX(Workstreams[Workstream],MATCH($AS44,Workstreams[Code],0))</f>
        <v>Transport</v>
      </c>
      <c r="AU44" s="769"/>
      <c r="AV44" s="3813"/>
      <c r="AW44" s="772"/>
      <c r="AX44" s="3814">
        <f t="shared" ref="AX44:AY46" ca="1" si="4">SUMIFS(INDIRECT("'"&amp;AX$35&amp;"'!Year.EmissionsBySector"), INDIRECT("'"&amp;AX$35&amp;"'!Year.Modules"),$AS44)</f>
        <v>12.395948504930661</v>
      </c>
      <c r="AY44" s="3814">
        <f t="shared" ca="1" si="4"/>
        <v>11.843513217746002</v>
      </c>
      <c r="AZ44" s="3815">
        <f ca="1">AY44*'Intermediate output'!$AY$155/'Intermediate output'!$F$205</f>
        <v>0.22675007867612007</v>
      </c>
      <c r="BA44" s="769"/>
      <c r="BB44" s="769"/>
      <c r="BC44" s="732"/>
      <c r="BD44" s="800"/>
      <c r="BE44" s="800" t="s">
        <v>514</v>
      </c>
      <c r="BF44" s="770" t="s">
        <v>695</v>
      </c>
      <c r="BG44" s="786"/>
      <c r="BH44" s="842"/>
      <c r="BI44" s="770"/>
      <c r="BJ44" s="3833">
        <f t="shared" ca="1" si="3"/>
        <v>2.3960947959972511E-2</v>
      </c>
      <c r="BK44" s="3833">
        <f t="shared" ca="1" si="3"/>
        <v>2.7348929916786384E-2</v>
      </c>
      <c r="BL44" s="3833">
        <f t="shared" ca="1" si="3"/>
        <v>2.9587634065399437E-2</v>
      </c>
      <c r="BM44" s="3833">
        <f t="shared" ca="1" si="3"/>
        <v>3.2519496785969326E-2</v>
      </c>
      <c r="BN44" s="817"/>
      <c r="BQ44" s="4128" t="s">
        <v>2845</v>
      </c>
      <c r="BR44" s="761" t="s">
        <v>3288</v>
      </c>
      <c r="BS44" s="761" t="s">
        <v>2846</v>
      </c>
      <c r="BT44" s="761" t="s">
        <v>694</v>
      </c>
    </row>
    <row r="45" spans="1:72" s="6" customFormat="1" ht="45">
      <c r="A45" s="4142"/>
      <c r="B45" s="4143"/>
      <c r="C45" s="775"/>
      <c r="D45" s="775" t="s">
        <v>696</v>
      </c>
      <c r="E45" s="763">
        <v>1</v>
      </c>
      <c r="F45" s="776">
        <v>3</v>
      </c>
      <c r="G45" s="2377" t="s">
        <v>3503</v>
      </c>
      <c r="H45"/>
      <c r="I45" s="761" t="s">
        <v>697</v>
      </c>
      <c r="J45" s="761" t="s">
        <v>698</v>
      </c>
      <c r="K45" s="761" t="s">
        <v>2783</v>
      </c>
      <c r="L45" s="761" t="s">
        <v>699</v>
      </c>
      <c r="M45"/>
      <c r="N45" s="759">
        <v>1</v>
      </c>
      <c r="O45" s="762">
        <v>3</v>
      </c>
      <c r="P45" s="763">
        <v>1</v>
      </c>
      <c r="Q45" s="764"/>
      <c r="R45" s="759">
        <v>3</v>
      </c>
      <c r="S45" s="759">
        <v>3</v>
      </c>
      <c r="T45" s="763">
        <v>3</v>
      </c>
      <c r="U45" s="765"/>
      <c r="V45" s="759"/>
      <c r="W45" s="762"/>
      <c r="X45" s="762"/>
      <c r="Y45" s="762"/>
      <c r="Z45" s="762"/>
      <c r="AA45" s="762"/>
      <c r="AB45" s="762"/>
      <c r="AC45" s="766"/>
      <c r="AD45" s="767"/>
      <c r="AF45" s="769"/>
      <c r="AG45" s="769"/>
      <c r="AH45" s="769"/>
      <c r="AI45" s="769"/>
      <c r="AJ45" s="769"/>
      <c r="AK45" s="769"/>
      <c r="AL45" s="3813"/>
      <c r="AM45" s="772"/>
      <c r="AN45" s="772"/>
      <c r="AO45" s="769"/>
      <c r="AP45" s="769"/>
      <c r="AQ45" s="3759"/>
      <c r="AR45" s="800"/>
      <c r="AS45" s="801" t="s">
        <v>518</v>
      </c>
      <c r="AT45" s="772" t="str">
        <f>INDEX(Workstreams[Workstream],MATCH($AS45,Workstreams[Code],0))</f>
        <v>Fossil fuel production</v>
      </c>
      <c r="AU45" s="769"/>
      <c r="AV45" s="3813"/>
      <c r="AW45" s="772"/>
      <c r="AX45" s="3814">
        <f t="shared" ca="1" si="4"/>
        <v>0.50758391151371063</v>
      </c>
      <c r="AY45" s="3814">
        <f t="shared" ca="1" si="4"/>
        <v>0.50758391151371063</v>
      </c>
      <c r="AZ45" s="3815">
        <f ca="1">AY45*'Intermediate output'!$AY$155/'Intermediate output'!$F$205</f>
        <v>9.7179519078859026E-3</v>
      </c>
      <c r="BA45" s="769"/>
      <c r="BB45" s="769"/>
      <c r="BC45" s="732"/>
      <c r="BD45" s="786"/>
      <c r="BE45" s="769"/>
      <c r="BF45" s="769"/>
      <c r="BG45" s="769"/>
      <c r="BH45" s="769"/>
      <c r="BI45" s="769"/>
      <c r="BJ45" s="769" t="s">
        <v>5</v>
      </c>
      <c r="BK45" s="769" t="s">
        <v>5</v>
      </c>
      <c r="BL45" s="769"/>
      <c r="BM45" s="769"/>
      <c r="BN45" s="817"/>
      <c r="BQ45" s="4128" t="s">
        <v>697</v>
      </c>
      <c r="BR45" s="761" t="s">
        <v>698</v>
      </c>
      <c r="BS45" s="761" t="s">
        <v>2783</v>
      </c>
      <c r="BT45" s="761" t="s">
        <v>699</v>
      </c>
    </row>
    <row r="46" spans="1:72" s="6" customFormat="1" ht="15.75">
      <c r="A46" s="4142"/>
      <c r="B46" s="4143" t="s">
        <v>700</v>
      </c>
      <c r="C46" s="758" t="s">
        <v>465</v>
      </c>
      <c r="D46" s="758" t="s">
        <v>466</v>
      </c>
      <c r="E46" s="763"/>
      <c r="F46" s="760"/>
      <c r="G46" s="760"/>
      <c r="H46" s="760"/>
      <c r="I46" s="760"/>
      <c r="J46" s="760"/>
      <c r="K46" s="760"/>
      <c r="L46" s="760"/>
      <c r="M46"/>
      <c r="N46" s="759"/>
      <c r="O46" s="762"/>
      <c r="P46" s="763"/>
      <c r="Q46" s="764"/>
      <c r="R46" s="759"/>
      <c r="S46" s="759"/>
      <c r="T46" s="763"/>
      <c r="U46" s="765"/>
      <c r="V46" s="759"/>
      <c r="W46" s="762"/>
      <c r="X46" s="762"/>
      <c r="Y46" s="762"/>
      <c r="Z46" s="762"/>
      <c r="AA46" s="762"/>
      <c r="AB46" s="762"/>
      <c r="AC46" s="766"/>
      <c r="AD46" s="767"/>
      <c r="AF46" s="769"/>
      <c r="AG46" s="769"/>
      <c r="AH46" s="769"/>
      <c r="AI46" s="769"/>
      <c r="AJ46" s="769"/>
      <c r="AK46" s="769"/>
      <c r="AL46" s="3813"/>
      <c r="AM46" s="772"/>
      <c r="AN46" s="772"/>
      <c r="AO46" s="769"/>
      <c r="AP46" s="769"/>
      <c r="AQ46" s="3759"/>
      <c r="AR46" s="800"/>
      <c r="AS46" s="801" t="s">
        <v>588</v>
      </c>
      <c r="AT46" s="772" t="str">
        <f>INDEX(Workstreams[Workstream],MATCH($AS46,Workstreams[Code],0))</f>
        <v>Transfers</v>
      </c>
      <c r="AU46" s="769"/>
      <c r="AV46" s="3813"/>
      <c r="AW46" s="772"/>
      <c r="AX46" s="3814">
        <f t="shared" ca="1" si="4"/>
        <v>0.02</v>
      </c>
      <c r="AY46" s="3814">
        <f t="shared" ca="1" si="4"/>
        <v>3.2231198277947314E-2</v>
      </c>
      <c r="AZ46" s="3815">
        <f ca="1">AY46*'Intermediate output'!$AY$155/'Intermediate output'!$F$205</f>
        <v>6.1708266888235741E-4</v>
      </c>
      <c r="BA46" s="769"/>
      <c r="BB46" s="769"/>
      <c r="BC46" s="732"/>
      <c r="BD46" s="823"/>
      <c r="BE46" s="824" t="s">
        <v>701</v>
      </c>
      <c r="BF46" s="772"/>
      <c r="BG46" s="772"/>
      <c r="BH46" s="802"/>
      <c r="BI46" s="772"/>
      <c r="BJ46" s="3830">
        <f ca="1">-(INDEX(INDIRECT(BJ$29&amp;"!Year.Matrix"),MATCH("Subtotal.Supply",INDIRECT(BJ$29&amp;"!Year.Modules"),0),MATCH("V.03",INDIRECT(BJ$29&amp;"!Year.Vectors"),0))+INDEX(INDIRECT(BJ$29&amp;"!Year.Matrix"),MATCH("Subtotal.Consumption",INDIRECT(BJ$29&amp;"!Year.Modules"),0),MATCH("V.03",INDIRECT(BJ$29&amp;"!Year.Vectors"),0)))</f>
        <v>23.785388252829463</v>
      </c>
      <c r="BK46" s="3830">
        <f ca="1">-(INDEX(INDIRECT(BK$29&amp;"!Year.Matrix"),MATCH("Subtotal.Supply",INDIRECT(BK$29&amp;"!Year.Modules"),0),MATCH("V.03",INDIRECT(BK$29&amp;"!Year.Vectors"),0))+INDEX(INDIRECT(BK$29&amp;"!Year.Matrix"),MATCH("Subtotal.Consumption",INDIRECT(BK$29&amp;"!Year.Modules"),0),MATCH("V.03",INDIRECT(BK$29&amp;"!Year.Vectors"),0)))</f>
        <v>16.777250665890641</v>
      </c>
      <c r="BL46" s="3830">
        <f ca="1">-(INDEX(INDIRECT(BL$29&amp;"!Year.Matrix"),MATCH("Subtotal.Supply",INDIRECT(BL$29&amp;"!Year.Modules"),0),MATCH("V.03",INDIRECT(BL$29&amp;"!Year.Vectors"),0))+INDEX(INDIRECT(BL$29&amp;"!Year.Matrix"),MATCH("Subtotal.Consumption",INDIRECT(BL$29&amp;"!Year.Modules"),0),MATCH("V.03",INDIRECT(BL$29&amp;"!Year.Vectors"),0)))</f>
        <v>7.3833809460243156</v>
      </c>
      <c r="BM46" s="3830">
        <f ca="1">-(INDEX(INDIRECT(BM$29&amp;"!Year.Matrix"),MATCH("Subtotal.Supply",INDIRECT(BM$29&amp;"!Year.Modules"),0),MATCH("V.03",INDIRECT(BM$29&amp;"!Year.Vectors"),0))+INDEX(INDIRECT(BM$29&amp;"!Year.Matrix"),MATCH("Subtotal.Consumption",INDIRECT(BM$29&amp;"!Year.Modules"),0),MATCH("V.03",INDIRECT(BM$29&amp;"!Year.Vectors"),0)))</f>
        <v>26.675755503624643</v>
      </c>
      <c r="BN46" s="769"/>
      <c r="BQ46" s="4128"/>
      <c r="BR46" s="761"/>
      <c r="BS46" s="761"/>
      <c r="BT46" s="510"/>
    </row>
    <row r="47" spans="1:72" s="6" customFormat="1" ht="60">
      <c r="A47" s="4142"/>
      <c r="B47" s="4143"/>
      <c r="C47" s="774"/>
      <c r="D47" s="775" t="s">
        <v>702</v>
      </c>
      <c r="E47" s="763">
        <v>1</v>
      </c>
      <c r="F47" s="776">
        <v>4</v>
      </c>
      <c r="G47" s="2377" t="s">
        <v>3356</v>
      </c>
      <c r="H47"/>
      <c r="I47" s="761" t="s">
        <v>996</v>
      </c>
      <c r="J47" s="761" t="s">
        <v>703</v>
      </c>
      <c r="K47" s="761" t="s">
        <v>704</v>
      </c>
      <c r="L47" s="761" t="s">
        <v>705</v>
      </c>
      <c r="M47"/>
      <c r="N47" s="759">
        <v>1</v>
      </c>
      <c r="O47" s="762">
        <v>4</v>
      </c>
      <c r="P47" s="763">
        <v>1</v>
      </c>
      <c r="Q47" s="764"/>
      <c r="R47" s="759">
        <v>4</v>
      </c>
      <c r="S47" s="759">
        <v>4</v>
      </c>
      <c r="T47" s="763">
        <v>3</v>
      </c>
      <c r="U47" s="765"/>
      <c r="V47" s="759"/>
      <c r="W47" s="762"/>
      <c r="X47" s="762"/>
      <c r="Y47" s="762"/>
      <c r="Z47" s="762"/>
      <c r="AA47" s="762"/>
      <c r="AB47" s="762"/>
      <c r="AC47" s="766"/>
      <c r="AD47" s="767"/>
      <c r="AF47" s="769"/>
      <c r="AG47" s="769"/>
      <c r="AH47" s="769"/>
      <c r="AI47" s="769"/>
      <c r="AJ47" s="769"/>
      <c r="AK47" s="769"/>
      <c r="AL47" s="3813"/>
      <c r="AM47" s="772"/>
      <c r="AN47" s="772"/>
      <c r="AO47" s="769"/>
      <c r="AP47" s="769"/>
      <c r="AQ47" s="3759"/>
      <c r="AR47" s="786"/>
      <c r="AS47" s="843"/>
      <c r="AT47" s="844" t="s">
        <v>59</v>
      </c>
      <c r="AU47" s="843"/>
      <c r="AV47" s="843"/>
      <c r="AW47" s="843"/>
      <c r="AX47" s="845">
        <f ca="1">SUM(AX36:AX46)</f>
        <v>55.567040975606076</v>
      </c>
      <c r="AY47" s="845">
        <f ca="1">SUM(AY36:AY46)</f>
        <v>31.371521775595472</v>
      </c>
      <c r="AZ47" s="3816">
        <f ca="1">AY47*'Intermediate output'!$AY$155/'Intermediate output'!$F$205</f>
        <v>0.60062372541174847</v>
      </c>
      <c r="BA47" s="3816"/>
      <c r="BB47" s="769"/>
      <c r="BC47" s="732"/>
      <c r="BD47" s="826"/>
      <c r="BE47" s="826" t="s">
        <v>580</v>
      </c>
      <c r="BF47" s="827" t="s">
        <v>707</v>
      </c>
      <c r="BG47" s="839"/>
      <c r="BH47" s="839"/>
      <c r="BI47" s="839"/>
      <c r="BJ47" s="3831">
        <f ca="1">INDEX(INDIRECT(BJ$29&amp;"!Year.Matrix"),MATCH($BE47,INDIRECT(BJ$29&amp;"!Year.Modules"),0),MATCH("V.03",INDIRECT(BJ$29&amp;"!Year.Vectors"),0))/BJ$46</f>
        <v>3.0243685626367416E-2</v>
      </c>
      <c r="BK47" s="3831">
        <f ca="1">INDEX(INDIRECT(BK$29&amp;"!Year.Matrix"),MATCH($BE47,INDIRECT(BK$29&amp;"!Year.Modules"),0),MATCH("V.03",INDIRECT(BK$29&amp;"!Year.Vectors"),0))/BK$46</f>
        <v>0.8362389872574969</v>
      </c>
      <c r="BL47" s="3831">
        <f ca="1">INDEX(INDIRECT(BL$29&amp;"!Year.Matrix"),MATCH($BE47,INDIRECT(BL$29&amp;"!Year.Modules"),0),MATCH("V.03",INDIRECT(BL$29&amp;"!Year.Vectors"),0))/BL$46</f>
        <v>1.0000000000000002</v>
      </c>
      <c r="BM47" s="3831">
        <f ca="1">INDEX(INDIRECT(BM$29&amp;"!Year.Matrix"),MATCH($BE47,INDIRECT(BM$29&amp;"!Year.Modules"),0),MATCH("V.03",INDIRECT(BM$29&amp;"!Year.Vectors"),0))/BM$46</f>
        <v>1</v>
      </c>
      <c r="BN47" s="769"/>
      <c r="BQ47" s="4128" t="s">
        <v>996</v>
      </c>
      <c r="BR47" s="761" t="s">
        <v>703</v>
      </c>
      <c r="BS47" s="761" t="s">
        <v>704</v>
      </c>
      <c r="BT47" s="761" t="s">
        <v>705</v>
      </c>
    </row>
    <row r="48" spans="1:72" s="6" customFormat="1" ht="45">
      <c r="A48" s="4142"/>
      <c r="B48" s="4143"/>
      <c r="C48" s="774"/>
      <c r="D48" s="775" t="s">
        <v>708</v>
      </c>
      <c r="E48" s="763">
        <v>1</v>
      </c>
      <c r="F48" s="776" t="s">
        <v>239</v>
      </c>
      <c r="G48" s="2377" t="s">
        <v>3356</v>
      </c>
      <c r="H48"/>
      <c r="I48" s="761" t="s">
        <v>688</v>
      </c>
      <c r="J48" s="761" t="s">
        <v>997</v>
      </c>
      <c r="K48" s="761" t="s">
        <v>998</v>
      </c>
      <c r="L48" s="761" t="s">
        <v>999</v>
      </c>
      <c r="M48"/>
      <c r="N48" s="759">
        <v>1</v>
      </c>
      <c r="O48" s="762">
        <v>4</v>
      </c>
      <c r="P48" s="763">
        <v>1</v>
      </c>
      <c r="Q48" s="764"/>
      <c r="R48" s="759">
        <v>4</v>
      </c>
      <c r="S48" s="759">
        <v>4</v>
      </c>
      <c r="T48" s="763">
        <v>4</v>
      </c>
      <c r="U48" s="765"/>
      <c r="V48" s="759"/>
      <c r="W48" s="762"/>
      <c r="X48" s="762"/>
      <c r="Y48" s="762"/>
      <c r="Z48" s="762"/>
      <c r="AA48" s="762"/>
      <c r="AB48" s="762"/>
      <c r="AC48" s="766"/>
      <c r="AD48" s="767"/>
      <c r="AF48" s="769"/>
      <c r="AG48" s="769"/>
      <c r="AH48" s="769"/>
      <c r="AI48" s="769"/>
      <c r="AJ48" s="769"/>
      <c r="AK48" s="769"/>
      <c r="AL48" s="3813"/>
      <c r="AM48" s="772"/>
      <c r="AN48" s="772"/>
      <c r="AO48" s="769"/>
      <c r="AP48" s="769"/>
      <c r="AQ48" s="3759"/>
      <c r="AR48" s="786"/>
      <c r="AS48" s="806"/>
      <c r="AT48" s="805" t="s">
        <v>706</v>
      </c>
      <c r="AU48" s="846"/>
      <c r="AV48" s="846"/>
      <c r="AW48" s="846"/>
      <c r="AX48" s="3817">
        <f ca="1">AX47/57.01</f>
        <v>0.97468936985802623</v>
      </c>
      <c r="AY48" s="847"/>
      <c r="AZ48" s="848"/>
      <c r="BA48" s="848"/>
      <c r="BB48" s="769"/>
      <c r="BC48" s="732"/>
      <c r="BD48" s="800"/>
      <c r="BE48" s="800" t="s">
        <v>553</v>
      </c>
      <c r="BF48" s="770" t="s">
        <v>710</v>
      </c>
      <c r="BG48" s="786"/>
      <c r="BH48" s="786"/>
      <c r="BI48" s="786"/>
      <c r="BJ48" s="3833">
        <f t="shared" ref="BJ48:BM51" ca="1" si="5">-INDEX(INDIRECT(BJ$29&amp;"!Year.Matrix"),MATCH($BE48,INDIRECT(BJ$29&amp;"!Year.Modules"),0),MATCH("V.03",INDIRECT(BJ$29&amp;"!Year.Vectors"),0))/BJ$46</f>
        <v>0</v>
      </c>
      <c r="BK48" s="3833">
        <f t="shared" ca="1" si="5"/>
        <v>0</v>
      </c>
      <c r="BL48" s="3833">
        <f t="shared" ca="1" si="5"/>
        <v>0</v>
      </c>
      <c r="BM48" s="3833">
        <f t="shared" ca="1" si="5"/>
        <v>0</v>
      </c>
      <c r="BN48" s="769"/>
      <c r="BQ48" s="4128" t="s">
        <v>688</v>
      </c>
      <c r="BR48" s="761" t="s">
        <v>997</v>
      </c>
      <c r="BS48" s="761" t="s">
        <v>998</v>
      </c>
      <c r="BT48" s="761" t="s">
        <v>999</v>
      </c>
    </row>
    <row r="49" spans="1:72" s="6" customFormat="1" ht="30">
      <c r="A49" s="4142"/>
      <c r="B49" s="4143"/>
      <c r="C49" s="774"/>
      <c r="D49" s="775" t="s">
        <v>711</v>
      </c>
      <c r="E49" s="763">
        <v>1</v>
      </c>
      <c r="F49" s="776" t="s">
        <v>239</v>
      </c>
      <c r="G49" s="2377" t="s">
        <v>3357</v>
      </c>
      <c r="H49"/>
      <c r="I49" s="761" t="s">
        <v>357</v>
      </c>
      <c r="J49" s="761" t="s">
        <v>358</v>
      </c>
      <c r="K49" s="761" t="s">
        <v>712</v>
      </c>
      <c r="L49" s="761" t="s">
        <v>713</v>
      </c>
      <c r="M49"/>
      <c r="N49" s="759">
        <v>1</v>
      </c>
      <c r="O49" s="762">
        <v>4</v>
      </c>
      <c r="P49" s="763">
        <v>1</v>
      </c>
      <c r="Q49" s="764"/>
      <c r="R49" s="759">
        <v>4</v>
      </c>
      <c r="S49" s="759">
        <v>4</v>
      </c>
      <c r="T49" s="763">
        <v>3</v>
      </c>
      <c r="U49" s="765"/>
      <c r="V49" s="759"/>
      <c r="W49" s="762"/>
      <c r="X49" s="762"/>
      <c r="Y49" s="762"/>
      <c r="Z49" s="762"/>
      <c r="AA49" s="762"/>
      <c r="AB49" s="762"/>
      <c r="AC49" s="766"/>
      <c r="AD49" s="767"/>
      <c r="AF49" s="769"/>
      <c r="AG49" s="769"/>
      <c r="AH49" s="769"/>
      <c r="AI49" s="769"/>
      <c r="AJ49" s="769"/>
      <c r="AK49" s="769"/>
      <c r="AL49" s="3813"/>
      <c r="AM49" s="772"/>
      <c r="AN49" s="772"/>
      <c r="AO49" s="769"/>
      <c r="AP49" s="769"/>
      <c r="AQ49" s="3759"/>
      <c r="AR49" s="849"/>
      <c r="AS49" s="850" t="s">
        <v>709</v>
      </c>
      <c r="AT49" s="769"/>
      <c r="AU49" s="769"/>
      <c r="AV49" s="769"/>
      <c r="AW49" s="769"/>
      <c r="AX49" s="769"/>
      <c r="AY49" s="769"/>
      <c r="AZ49" s="769"/>
      <c r="BA49" s="769"/>
      <c r="BB49" s="769"/>
      <c r="BC49" s="732"/>
      <c r="BD49" s="800"/>
      <c r="BE49" s="800" t="s">
        <v>556</v>
      </c>
      <c r="BF49" s="770" t="s">
        <v>714</v>
      </c>
      <c r="BG49" s="786"/>
      <c r="BH49" s="786"/>
      <c r="BI49" s="786"/>
      <c r="BJ49" s="3833">
        <f t="shared" ca="1" si="5"/>
        <v>0.8379307252309115</v>
      </c>
      <c r="BK49" s="3833">
        <f t="shared" ca="1" si="5"/>
        <v>0.77735506575533087</v>
      </c>
      <c r="BL49" s="3833">
        <f t="shared" ca="1" si="5"/>
        <v>0.48915151830879211</v>
      </c>
      <c r="BM49" s="3833">
        <f t="shared" ca="1" si="5"/>
        <v>0.85101377636658915</v>
      </c>
      <c r="BN49" s="769"/>
      <c r="BQ49" s="4128" t="s">
        <v>357</v>
      </c>
      <c r="BR49" s="761" t="s">
        <v>358</v>
      </c>
      <c r="BS49" s="4134" t="s">
        <v>712</v>
      </c>
      <c r="BT49" s="761" t="s">
        <v>713</v>
      </c>
    </row>
    <row r="50" spans="1:72" s="6" customFormat="1" ht="15.75">
      <c r="A50" s="4142"/>
      <c r="B50" s="4143" t="s">
        <v>715</v>
      </c>
      <c r="C50" s="758" t="s">
        <v>472</v>
      </c>
      <c r="D50" s="758" t="s">
        <v>473</v>
      </c>
      <c r="E50" s="763"/>
      <c r="F50" s="760"/>
      <c r="G50" s="760"/>
      <c r="H50" s="760"/>
      <c r="I50" s="760"/>
      <c r="J50" s="760"/>
      <c r="K50" s="760"/>
      <c r="L50" s="760"/>
      <c r="M50"/>
      <c r="N50" s="759"/>
      <c r="O50" s="762"/>
      <c r="P50" s="763"/>
      <c r="Q50" s="764"/>
      <c r="R50" s="759"/>
      <c r="S50" s="759"/>
      <c r="T50" s="763"/>
      <c r="U50" s="765"/>
      <c r="V50" s="759"/>
      <c r="W50" s="762"/>
      <c r="X50" s="762"/>
      <c r="Y50" s="762"/>
      <c r="Z50" s="762"/>
      <c r="AA50" s="762"/>
      <c r="AB50" s="762"/>
      <c r="AC50" s="766"/>
      <c r="AD50" s="767"/>
      <c r="AF50" s="769"/>
      <c r="AG50" s="769"/>
      <c r="AH50" s="769"/>
      <c r="AI50" s="769"/>
      <c r="AJ50" s="769"/>
      <c r="AK50" s="769"/>
      <c r="AL50" s="3813"/>
      <c r="AM50" s="772"/>
      <c r="AN50" s="772"/>
      <c r="AO50" s="769"/>
      <c r="AP50" s="769"/>
      <c r="AQ50" s="3759"/>
      <c r="AR50" s="849"/>
      <c r="AS50" s="850" t="s">
        <v>3025</v>
      </c>
      <c r="AT50" s="769"/>
      <c r="AU50" s="769"/>
      <c r="AV50" s="769"/>
      <c r="AW50" s="769"/>
      <c r="AX50" s="769"/>
      <c r="AY50" s="769"/>
      <c r="AZ50" s="769"/>
      <c r="BA50" s="769"/>
      <c r="BB50" s="769"/>
      <c r="BC50" s="732"/>
      <c r="BD50" s="800"/>
      <c r="BE50" s="800" t="s">
        <v>477</v>
      </c>
      <c r="BF50" s="770" t="s">
        <v>691</v>
      </c>
      <c r="BG50" s="786"/>
      <c r="BH50" s="786"/>
      <c r="BI50" s="786"/>
      <c r="BJ50" s="3833">
        <f t="shared" ca="1" si="5"/>
        <v>0.1307525429873965</v>
      </c>
      <c r="BK50" s="3833">
        <f t="shared" ca="1" si="5"/>
        <v>0.19130331343341714</v>
      </c>
      <c r="BL50" s="3833">
        <f t="shared" ca="1" si="5"/>
        <v>0.46100066017093949</v>
      </c>
      <c r="BM50" s="3833">
        <f t="shared" ca="1" si="5"/>
        <v>0.14898622363341074</v>
      </c>
      <c r="BN50" s="769"/>
      <c r="BQ50" s="4128"/>
      <c r="BR50" s="761"/>
      <c r="BS50" s="761"/>
      <c r="BT50" s="510"/>
    </row>
    <row r="51" spans="1:72" s="6" customFormat="1" ht="45">
      <c r="A51" s="4142"/>
      <c r="B51" s="4143"/>
      <c r="C51" s="775"/>
      <c r="D51" s="775" t="s">
        <v>716</v>
      </c>
      <c r="E51" s="763">
        <v>1</v>
      </c>
      <c r="F51" s="776">
        <v>4</v>
      </c>
      <c r="G51" s="2377" t="s">
        <v>3358</v>
      </c>
      <c r="H51"/>
      <c r="I51" s="761" t="s">
        <v>3266</v>
      </c>
      <c r="J51" s="761" t="s">
        <v>3267</v>
      </c>
      <c r="K51" s="761" t="s">
        <v>3268</v>
      </c>
      <c r="L51" s="761" t="s">
        <v>3269</v>
      </c>
      <c r="M51"/>
      <c r="N51" s="759">
        <v>1</v>
      </c>
      <c r="O51" s="762">
        <v>4</v>
      </c>
      <c r="P51" s="763">
        <v>1</v>
      </c>
      <c r="Q51" s="764"/>
      <c r="R51" s="759">
        <v>4</v>
      </c>
      <c r="S51" s="759">
        <v>4</v>
      </c>
      <c r="T51" s="763">
        <v>3</v>
      </c>
      <c r="U51" s="765"/>
      <c r="V51" s="759"/>
      <c r="W51" s="762"/>
      <c r="X51" s="762"/>
      <c r="Y51" s="762"/>
      <c r="Z51" s="762"/>
      <c r="AA51" s="762"/>
      <c r="AB51" s="762"/>
      <c r="AC51" s="766"/>
      <c r="AD51" s="767"/>
      <c r="AF51" s="769"/>
      <c r="AG51" s="769"/>
      <c r="AH51" s="769"/>
      <c r="AI51" s="769"/>
      <c r="AJ51" s="769"/>
      <c r="AK51" s="769"/>
      <c r="AL51" s="3813"/>
      <c r="AM51" s="772"/>
      <c r="AN51" s="772"/>
      <c r="AO51" s="769"/>
      <c r="AP51" s="769"/>
      <c r="AQ51" s="3759"/>
      <c r="AR51" s="850"/>
      <c r="AS51" s="3818" t="s">
        <v>3024</v>
      </c>
      <c r="AT51" s="769"/>
      <c r="AU51" s="769"/>
      <c r="AV51" s="769"/>
      <c r="AW51" s="769"/>
      <c r="AX51" s="769"/>
      <c r="AY51" s="769"/>
      <c r="AZ51" s="769"/>
      <c r="BA51" s="769"/>
      <c r="BB51" s="769"/>
      <c r="BC51" s="732"/>
      <c r="BD51" s="800"/>
      <c r="BE51" s="800" t="s">
        <v>0</v>
      </c>
      <c r="BF51" s="770" t="s">
        <v>717</v>
      </c>
      <c r="BG51" s="786"/>
      <c r="BH51" s="786"/>
      <c r="BI51" s="786"/>
      <c r="BJ51" s="3833">
        <f t="shared" ca="1" si="5"/>
        <v>3.118985035452513E-2</v>
      </c>
      <c r="BK51" s="3833">
        <f t="shared" ca="1" si="5"/>
        <v>3.1298791783459068E-2</v>
      </c>
      <c r="BL51" s="3833">
        <f t="shared" ca="1" si="5"/>
        <v>4.9847821520268301E-2</v>
      </c>
      <c r="BM51" s="3833">
        <f t="shared" ca="1" si="5"/>
        <v>0</v>
      </c>
      <c r="BN51" s="769"/>
      <c r="BQ51" s="4128" t="s">
        <v>3266</v>
      </c>
      <c r="BR51" s="761" t="s">
        <v>3267</v>
      </c>
      <c r="BS51" s="761" t="s">
        <v>3268</v>
      </c>
      <c r="BT51" s="761" t="s">
        <v>3269</v>
      </c>
    </row>
    <row r="52" spans="1:72" s="6" customFormat="1" ht="30">
      <c r="A52" s="4142"/>
      <c r="B52" s="4143"/>
      <c r="C52" s="775"/>
      <c r="D52" s="775" t="s">
        <v>718</v>
      </c>
      <c r="E52" s="763">
        <v>1</v>
      </c>
      <c r="F52" s="776" t="s">
        <v>686</v>
      </c>
      <c r="G52" s="2377" t="s">
        <v>3359</v>
      </c>
      <c r="H52"/>
      <c r="I52" s="761" t="s">
        <v>2998</v>
      </c>
      <c r="J52" s="761" t="s">
        <v>719</v>
      </c>
      <c r="K52" s="761" t="s">
        <v>688</v>
      </c>
      <c r="L52" s="761" t="s">
        <v>688</v>
      </c>
      <c r="M52"/>
      <c r="N52" s="759">
        <v>1</v>
      </c>
      <c r="O52" s="762">
        <v>2</v>
      </c>
      <c r="P52" s="763">
        <v>1</v>
      </c>
      <c r="Q52" s="764"/>
      <c r="R52" s="759">
        <v>2</v>
      </c>
      <c r="S52" s="759">
        <v>2</v>
      </c>
      <c r="T52" s="763">
        <v>1</v>
      </c>
      <c r="U52" s="765"/>
      <c r="V52" s="759"/>
      <c r="W52" s="762"/>
      <c r="X52" s="762"/>
      <c r="Y52" s="762"/>
      <c r="Z52" s="762"/>
      <c r="AA52" s="762"/>
      <c r="AB52" s="762"/>
      <c r="AC52" s="766"/>
      <c r="AD52" s="767"/>
      <c r="AF52" s="769"/>
      <c r="AG52" s="769"/>
      <c r="AH52" s="769"/>
      <c r="AI52" s="769"/>
      <c r="AJ52" s="769"/>
      <c r="AK52" s="769"/>
      <c r="AL52" s="3813"/>
      <c r="AM52" s="772"/>
      <c r="AN52" s="772"/>
      <c r="AO52" s="769"/>
      <c r="AP52" s="769"/>
      <c r="AQ52" s="3759"/>
      <c r="AR52" s="769"/>
      <c r="AS52" s="769"/>
      <c r="AT52" s="769"/>
      <c r="AU52" s="769"/>
      <c r="AV52" s="769"/>
      <c r="AW52" s="769"/>
      <c r="AX52" s="769"/>
      <c r="AY52" s="3813"/>
      <c r="AZ52" s="769"/>
      <c r="BA52" s="769"/>
      <c r="BB52" s="769"/>
      <c r="BC52" s="732"/>
      <c r="BD52" s="797"/>
      <c r="BE52" s="797"/>
      <c r="BF52" s="769"/>
      <c r="BG52" s="769"/>
      <c r="BH52" s="769"/>
      <c r="BI52" s="769"/>
      <c r="BJ52" s="769"/>
      <c r="BK52" s="769"/>
      <c r="BL52" s="769"/>
      <c r="BM52" s="769"/>
      <c r="BN52" s="769"/>
      <c r="BQ52" s="4128" t="s">
        <v>2998</v>
      </c>
      <c r="BR52" s="761" t="s">
        <v>719</v>
      </c>
      <c r="BS52" s="761" t="s">
        <v>688</v>
      </c>
      <c r="BT52" s="761" t="s">
        <v>688</v>
      </c>
    </row>
    <row r="53" spans="1:72" s="6" customFormat="1" ht="22.5">
      <c r="A53" s="851" t="s">
        <v>720</v>
      </c>
      <c r="B53" s="852"/>
      <c r="C53" s="807"/>
      <c r="D53" s="807"/>
      <c r="E53" s="811"/>
      <c r="F53" s="809"/>
      <c r="G53" s="809"/>
      <c r="H53" s="807"/>
      <c r="I53" s="807"/>
      <c r="J53" s="807"/>
      <c r="K53" s="807"/>
      <c r="L53" s="807"/>
      <c r="M53" s="807"/>
      <c r="N53" s="808"/>
      <c r="O53" s="810"/>
      <c r="P53" s="811"/>
      <c r="Q53" s="812"/>
      <c r="R53" s="808"/>
      <c r="S53" s="808"/>
      <c r="T53" s="811"/>
      <c r="U53" s="813"/>
      <c r="V53" s="808"/>
      <c r="W53" s="814"/>
      <c r="X53" s="814"/>
      <c r="Y53" s="814"/>
      <c r="Z53" s="814"/>
      <c r="AA53" s="814"/>
      <c r="AB53" s="814"/>
      <c r="AC53" s="815"/>
      <c r="AD53" s="816"/>
      <c r="AF53" s="769"/>
      <c r="AG53" s="769"/>
      <c r="AH53" s="769"/>
      <c r="AI53" s="769"/>
      <c r="AJ53" s="769"/>
      <c r="AK53" s="769"/>
      <c r="AL53" s="3813"/>
      <c r="AM53" s="772"/>
      <c r="AN53" s="772"/>
      <c r="AO53" s="769"/>
      <c r="AP53" s="769"/>
      <c r="AQ53" s="3759"/>
      <c r="AR53" s="769"/>
      <c r="AS53" s="769"/>
      <c r="AT53" s="769"/>
      <c r="AU53" s="769" t="s">
        <v>5</v>
      </c>
      <c r="AV53" s="769"/>
      <c r="AW53" s="769"/>
      <c r="AX53" s="769"/>
      <c r="AY53" s="3813"/>
      <c r="AZ53" s="769"/>
      <c r="BA53" s="769"/>
      <c r="BB53" s="769"/>
      <c r="BC53" s="732"/>
      <c r="BD53" s="797"/>
      <c r="BE53" s="797"/>
      <c r="BF53" s="769"/>
      <c r="BG53" s="769"/>
      <c r="BH53" s="769"/>
      <c r="BI53" s="769"/>
      <c r="BJ53" s="769"/>
      <c r="BK53" s="769"/>
      <c r="BL53" s="769"/>
      <c r="BM53" s="769"/>
      <c r="BN53" s="769"/>
      <c r="BQ53" s="4128"/>
      <c r="BR53" s="761"/>
      <c r="BS53" s="761"/>
      <c r="BT53" s="761"/>
    </row>
    <row r="54" spans="1:72" s="6" customFormat="1" ht="51.75" customHeight="1">
      <c r="A54" s="853" t="s">
        <v>495</v>
      </c>
      <c r="B54" s="854"/>
      <c r="C54" s="758" t="s">
        <v>494</v>
      </c>
      <c r="D54" s="775" t="s">
        <v>495</v>
      </c>
      <c r="E54" s="763">
        <v>1</v>
      </c>
      <c r="F54" s="760">
        <v>4</v>
      </c>
      <c r="G54" s="2377" t="s">
        <v>3361</v>
      </c>
      <c r="H54"/>
      <c r="I54" s="761" t="s">
        <v>721</v>
      </c>
      <c r="J54" s="761" t="s">
        <v>3019</v>
      </c>
      <c r="K54" s="761" t="s">
        <v>3020</v>
      </c>
      <c r="L54" s="761" t="s">
        <v>3021</v>
      </c>
      <c r="M54"/>
      <c r="N54" s="759">
        <v>1</v>
      </c>
      <c r="O54" s="762">
        <v>1</v>
      </c>
      <c r="P54" s="763">
        <v>1</v>
      </c>
      <c r="Q54" s="764"/>
      <c r="R54" s="759">
        <v>1</v>
      </c>
      <c r="S54" s="759">
        <v>4</v>
      </c>
      <c r="T54" s="763">
        <v>2</v>
      </c>
      <c r="U54" s="765"/>
      <c r="V54" s="759"/>
      <c r="W54" s="762"/>
      <c r="X54" s="762"/>
      <c r="Y54" s="762"/>
      <c r="Z54" s="762"/>
      <c r="AA54" s="762"/>
      <c r="AB54" s="762"/>
      <c r="AC54" s="766"/>
      <c r="AD54" s="767"/>
      <c r="AE54"/>
      <c r="AF54" s="769"/>
      <c r="AG54" s="769"/>
      <c r="AH54" s="769"/>
      <c r="AI54" s="769"/>
      <c r="AJ54" s="769"/>
      <c r="AK54" s="769"/>
      <c r="AL54" s="3813"/>
      <c r="AM54" s="772"/>
      <c r="AN54" s="772"/>
      <c r="AO54" s="769"/>
      <c r="AP54" s="769"/>
      <c r="AQ54" s="3759"/>
      <c r="AR54" s="769"/>
      <c r="AS54" s="769"/>
      <c r="AT54" s="769"/>
      <c r="AU54" s="769"/>
      <c r="AV54" s="769"/>
      <c r="AW54" s="769"/>
      <c r="AX54" s="769"/>
      <c r="AY54" s="3813"/>
      <c r="AZ54" s="769"/>
      <c r="BA54" s="769"/>
      <c r="BB54" s="769"/>
      <c r="BC54" s="732"/>
      <c r="BD54" s="797"/>
      <c r="BE54" s="797"/>
      <c r="BF54" s="769"/>
      <c r="BG54" s="769"/>
      <c r="BH54" s="769"/>
      <c r="BI54" s="769"/>
      <c r="BJ54" s="769"/>
      <c r="BK54" s="769"/>
      <c r="BL54" s="769"/>
      <c r="BM54" s="769"/>
      <c r="BN54" s="769"/>
      <c r="BQ54" s="4128" t="s">
        <v>721</v>
      </c>
      <c r="BR54" s="761" t="s">
        <v>3019</v>
      </c>
      <c r="BS54" s="761" t="s">
        <v>3020</v>
      </c>
      <c r="BT54" s="761" t="s">
        <v>3021</v>
      </c>
    </row>
    <row r="55" spans="1:72" s="6" customFormat="1" ht="30.75" customHeight="1">
      <c r="A55" s="853" t="s">
        <v>722</v>
      </c>
      <c r="B55" s="855"/>
      <c r="C55" s="758" t="s">
        <v>569</v>
      </c>
      <c r="D55" s="775" t="s">
        <v>723</v>
      </c>
      <c r="E55" s="763">
        <v>1</v>
      </c>
      <c r="F55" s="760">
        <v>4</v>
      </c>
      <c r="G55" s="2377" t="s">
        <v>3362</v>
      </c>
      <c r="H55"/>
      <c r="I55" s="761" t="s">
        <v>3322</v>
      </c>
      <c r="J55" s="761" t="s">
        <v>3319</v>
      </c>
      <c r="K55" s="761" t="s">
        <v>3320</v>
      </c>
      <c r="L55" s="761" t="s">
        <v>3321</v>
      </c>
      <c r="M55"/>
      <c r="N55" s="759">
        <v>1</v>
      </c>
      <c r="O55" s="762">
        <v>1</v>
      </c>
      <c r="P55" s="763">
        <v>1</v>
      </c>
      <c r="Q55" s="764"/>
      <c r="R55" s="759">
        <v>4</v>
      </c>
      <c r="S55" s="759">
        <v>4</v>
      </c>
      <c r="T55" s="763">
        <v>2</v>
      </c>
      <c r="U55" s="765"/>
      <c r="V55" s="759"/>
      <c r="W55" s="762"/>
      <c r="X55" s="762"/>
      <c r="Y55" s="762"/>
      <c r="Z55" s="762"/>
      <c r="AA55" s="762"/>
      <c r="AB55" s="762"/>
      <c r="AC55" s="766"/>
      <c r="AD55" s="767"/>
      <c r="AE55"/>
      <c r="AF55" s="769"/>
      <c r="AG55" s="769"/>
      <c r="AH55" s="769"/>
      <c r="AI55" s="769"/>
      <c r="AJ55" s="769"/>
      <c r="AK55" s="769"/>
      <c r="AL55" s="3813"/>
      <c r="AM55" s="772"/>
      <c r="AN55" s="772"/>
      <c r="AO55" s="769"/>
      <c r="AP55" s="769"/>
      <c r="AQ55" s="3759"/>
      <c r="AR55" s="769"/>
      <c r="AS55" s="769"/>
      <c r="AT55" s="769"/>
      <c r="AU55" s="769"/>
      <c r="AV55" s="769"/>
      <c r="AW55" s="769"/>
      <c r="AX55" s="769"/>
      <c r="AY55" s="3813"/>
      <c r="AZ55" s="769"/>
      <c r="BA55" s="769"/>
      <c r="BB55" s="769"/>
      <c r="BC55" s="732"/>
      <c r="BD55" s="797"/>
      <c r="BE55" s="797"/>
      <c r="BF55" s="769"/>
      <c r="BG55" s="769"/>
      <c r="BH55" s="769"/>
      <c r="BI55" s="769"/>
      <c r="BJ55" s="769"/>
      <c r="BK55" s="769"/>
      <c r="BL55" s="769"/>
      <c r="BM55" s="769"/>
      <c r="BN55" s="769"/>
      <c r="BQ55" s="4128" t="s">
        <v>3322</v>
      </c>
      <c r="BR55" s="761" t="s">
        <v>3319</v>
      </c>
      <c r="BS55" s="761" t="s">
        <v>3320</v>
      </c>
      <c r="BT55" s="761" t="s">
        <v>3321</v>
      </c>
    </row>
    <row r="56" spans="1:72" s="6" customFormat="1" ht="22.5">
      <c r="A56" s="853" t="s">
        <v>2777</v>
      </c>
      <c r="B56" s="798"/>
      <c r="C56" s="758" t="s">
        <v>516</v>
      </c>
      <c r="D56" s="775" t="s">
        <v>517</v>
      </c>
      <c r="E56" s="763">
        <v>1</v>
      </c>
      <c r="F56" s="760">
        <v>3</v>
      </c>
      <c r="G56" s="2377"/>
      <c r="H56"/>
      <c r="I56" s="761" t="s">
        <v>2388</v>
      </c>
      <c r="J56" s="761" t="s">
        <v>2389</v>
      </c>
      <c r="K56" s="761" t="s">
        <v>688</v>
      </c>
      <c r="L56" s="761" t="s">
        <v>688</v>
      </c>
      <c r="M56"/>
      <c r="N56" s="759">
        <v>1</v>
      </c>
      <c r="O56" s="762">
        <v>1</v>
      </c>
      <c r="P56" s="763">
        <v>1</v>
      </c>
      <c r="Q56" s="764"/>
      <c r="R56" s="759">
        <v>1</v>
      </c>
      <c r="S56" s="759">
        <v>1</v>
      </c>
      <c r="T56" s="763">
        <v>1</v>
      </c>
      <c r="U56" s="765"/>
      <c r="V56" s="759"/>
      <c r="W56" s="762"/>
      <c r="X56" s="762"/>
      <c r="Y56" s="762"/>
      <c r="Z56" s="762"/>
      <c r="AA56" s="762"/>
      <c r="AB56" s="762"/>
      <c r="AC56" s="766"/>
      <c r="AD56" s="767"/>
      <c r="AE56"/>
      <c r="AF56" s="769"/>
      <c r="AG56" s="769"/>
      <c r="AH56" s="769"/>
      <c r="AI56" s="769"/>
      <c r="AJ56" s="769"/>
      <c r="AK56" s="769"/>
      <c r="AL56" s="3813"/>
      <c r="AM56" s="772"/>
      <c r="AN56" s="772"/>
      <c r="AO56" s="769"/>
      <c r="AP56" s="769"/>
      <c r="AQ56" s="3759"/>
      <c r="AR56" s="769"/>
      <c r="AS56" s="769"/>
      <c r="AT56" s="769"/>
      <c r="AU56" s="769"/>
      <c r="AV56" s="769"/>
      <c r="AW56" s="769"/>
      <c r="AX56" s="769"/>
      <c r="AY56" s="3813"/>
      <c r="AZ56" s="769"/>
      <c r="BA56" s="769"/>
      <c r="BB56" s="769"/>
      <c r="BC56" s="732"/>
      <c r="BD56" s="797"/>
      <c r="BE56" s="797"/>
      <c r="BF56" s="769"/>
      <c r="BG56" s="769"/>
      <c r="BH56" s="769"/>
      <c r="BI56" s="769"/>
      <c r="BJ56" s="769"/>
      <c r="BK56" s="769"/>
      <c r="BL56" s="769"/>
      <c r="BM56" s="769"/>
      <c r="BN56" s="769"/>
      <c r="BQ56" s="510" t="s">
        <v>2388</v>
      </c>
      <c r="BR56" s="510" t="s">
        <v>2389</v>
      </c>
      <c r="BS56" s="510" t="s">
        <v>688</v>
      </c>
      <c r="BT56" s="510" t="s">
        <v>688</v>
      </c>
    </row>
    <row r="57" spans="1:72" s="6" customFormat="1" ht="20.25" customHeight="1">
      <c r="A57" s="727" t="s">
        <v>724</v>
      </c>
      <c r="B57" s="420"/>
      <c r="E57" s="856"/>
      <c r="F57" s="857"/>
      <c r="G57" s="857"/>
      <c r="H57"/>
      <c r="J57" s="2414"/>
      <c r="L57" s="6" t="s">
        <v>3323</v>
      </c>
      <c r="M57" s="4011"/>
      <c r="N57" s="4011" t="s">
        <v>3324</v>
      </c>
      <c r="O57" s="4011"/>
      <c r="P57" s="4011"/>
      <c r="Q57" s="4011"/>
      <c r="R57" s="4011" t="s">
        <v>3325</v>
      </c>
      <c r="S57" s="4011" t="s">
        <v>3331</v>
      </c>
      <c r="T57" s="4011" t="s">
        <v>3326</v>
      </c>
      <c r="U57" s="4011" t="s">
        <v>3327</v>
      </c>
      <c r="V57" s="4011" t="s">
        <v>3327</v>
      </c>
      <c r="W57" s="4011" t="s">
        <v>3327</v>
      </c>
      <c r="X57" s="4011" t="s">
        <v>3327</v>
      </c>
      <c r="Y57" s="4011" t="s">
        <v>3327</v>
      </c>
      <c r="Z57" s="4011" t="s">
        <v>3327</v>
      </c>
      <c r="AA57" s="4011" t="s">
        <v>3327</v>
      </c>
      <c r="AB57" s="4011" t="s">
        <v>3327</v>
      </c>
      <c r="AC57"/>
      <c r="AD57"/>
      <c r="AE57"/>
      <c r="AF57" s="769"/>
      <c r="AG57" s="769"/>
      <c r="AH57" s="769"/>
      <c r="AI57" s="769"/>
      <c r="AJ57" s="769"/>
      <c r="AK57" s="769"/>
      <c r="AL57" s="3813"/>
      <c r="AM57" s="772"/>
      <c r="AN57" s="772"/>
      <c r="AO57" s="769"/>
      <c r="AP57" s="769"/>
      <c r="AQ57" s="3759"/>
      <c r="AR57" s="769"/>
      <c r="AS57" s="769"/>
      <c r="AT57" s="769"/>
      <c r="AU57" s="769"/>
      <c r="AV57" s="769"/>
      <c r="AW57" s="769"/>
      <c r="AX57" s="769"/>
      <c r="AY57" s="3813"/>
      <c r="AZ57" s="769"/>
      <c r="BA57" s="769"/>
      <c r="BB57" s="769"/>
      <c r="BC57" s="732"/>
      <c r="BD57" s="797"/>
      <c r="BE57" s="797"/>
      <c r="BF57" s="769"/>
      <c r="BG57" s="769"/>
      <c r="BH57" s="769"/>
      <c r="BI57" s="769"/>
      <c r="BJ57" s="769"/>
      <c r="BK57" s="769"/>
      <c r="BL57" s="769"/>
      <c r="BM57" s="769"/>
      <c r="BN57" s="769"/>
      <c r="BO57" s="859"/>
      <c r="BP57" s="859"/>
    </row>
    <row r="58" spans="1:72" s="6" customFormat="1" ht="20.25" customHeight="1">
      <c r="A58" s="420"/>
      <c r="B58" s="420"/>
      <c r="C58" s="860"/>
      <c r="D58" s="860"/>
      <c r="E58" s="861"/>
      <c r="F58" s="655"/>
      <c r="G58" s="655"/>
      <c r="H58"/>
      <c r="I58" s="6" t="s">
        <v>5</v>
      </c>
      <c r="K58" s="6" t="s">
        <v>5</v>
      </c>
      <c r="L58" s="6" t="s">
        <v>3328</v>
      </c>
      <c r="M58" s="39"/>
      <c r="N58" s="39" t="s">
        <v>3329</v>
      </c>
      <c r="O58" s="39" t="s">
        <v>3329</v>
      </c>
      <c r="P58" s="39" t="s">
        <v>3329</v>
      </c>
      <c r="Q58" s="39"/>
      <c r="R58" s="39" t="s">
        <v>3329</v>
      </c>
      <c r="S58" s="39" t="s">
        <v>3329</v>
      </c>
      <c r="T58" s="39" t="s">
        <v>3329</v>
      </c>
      <c r="U58" s="39" t="s">
        <v>3329</v>
      </c>
      <c r="V58" s="39" t="s">
        <v>3329</v>
      </c>
      <c r="W58" s="39" t="s">
        <v>3329</v>
      </c>
      <c r="X58" s="39" t="s">
        <v>3329</v>
      </c>
      <c r="Y58" s="39" t="s">
        <v>3329</v>
      </c>
      <c r="Z58" s="39" t="s">
        <v>3329</v>
      </c>
      <c r="AA58" s="39" t="s">
        <v>3329</v>
      </c>
      <c r="AB58" s="39" t="s">
        <v>3329</v>
      </c>
      <c r="AC58"/>
      <c r="AD58"/>
      <c r="AE58"/>
      <c r="AF58"/>
      <c r="AG58"/>
      <c r="AH58" s="3"/>
      <c r="AI58" s="3"/>
      <c r="AJ58" s="858"/>
      <c r="AK58" s="3"/>
      <c r="AL58" s="3"/>
      <c r="AM58" s="3"/>
      <c r="AN58" s="3"/>
      <c r="AO58" s="3"/>
      <c r="AQ58"/>
      <c r="AR58"/>
      <c r="BC58" s="732"/>
      <c r="BD58" s="732"/>
      <c r="BE58" s="859"/>
      <c r="BF58" s="859"/>
      <c r="BG58" s="859"/>
      <c r="BH58" s="859"/>
      <c r="BI58" s="859"/>
      <c r="BJ58" s="859"/>
      <c r="BK58" s="859"/>
      <c r="BL58" s="859"/>
      <c r="BM58" s="859"/>
      <c r="BN58" s="859"/>
      <c r="BO58" s="859"/>
      <c r="BP58" s="859"/>
    </row>
    <row r="59" spans="1:72" s="6" customFormat="1" ht="12" customHeight="1">
      <c r="A59" s="420"/>
      <c r="B59" s="420"/>
      <c r="E59" s="856"/>
      <c r="F59" s="857"/>
      <c r="G59" s="857"/>
      <c r="H59"/>
      <c r="I59"/>
      <c r="J59"/>
      <c r="K59"/>
      <c r="L59" s="761" t="s">
        <v>3330</v>
      </c>
      <c r="M59" s="39"/>
      <c r="N59" s="39" t="s">
        <v>3329</v>
      </c>
      <c r="O59" s="39" t="s">
        <v>3329</v>
      </c>
      <c r="P59" s="39" t="s">
        <v>3329</v>
      </c>
      <c r="Q59" s="39"/>
      <c r="R59" s="39" t="s">
        <v>3329</v>
      </c>
      <c r="S59" s="39" t="s">
        <v>3329</v>
      </c>
      <c r="T59" s="39" t="s">
        <v>3329</v>
      </c>
      <c r="U59" s="39" t="s">
        <v>3329</v>
      </c>
      <c r="V59" s="39" t="s">
        <v>3329</v>
      </c>
      <c r="W59" s="39" t="s">
        <v>3329</v>
      </c>
      <c r="X59" s="39" t="s">
        <v>3329</v>
      </c>
      <c r="Y59" s="39" t="s">
        <v>3329</v>
      </c>
      <c r="Z59" s="39" t="s">
        <v>3329</v>
      </c>
      <c r="AA59" s="39" t="s">
        <v>3329</v>
      </c>
      <c r="AB59" s="39" t="s">
        <v>3329</v>
      </c>
      <c r="AC59"/>
      <c r="AD59"/>
      <c r="AE59"/>
      <c r="AF59"/>
      <c r="AG59"/>
      <c r="AH59" s="3"/>
      <c r="AI59" s="3"/>
      <c r="AJ59" s="858"/>
      <c r="AK59" s="3"/>
      <c r="AL59" s="3"/>
      <c r="AM59" s="3"/>
      <c r="AN59" s="3"/>
      <c r="AO59" s="3"/>
      <c r="AQ59"/>
      <c r="AR59"/>
      <c r="AS59" s="859"/>
      <c r="AT59" s="859"/>
      <c r="AU59" s="859"/>
      <c r="AV59" s="859"/>
      <c r="AW59" s="859"/>
      <c r="AX59" s="859"/>
      <c r="AY59" s="859"/>
      <c r="AZ59" s="859"/>
      <c r="BA59" s="859"/>
      <c r="BB59" s="859"/>
      <c r="BC59" s="732"/>
      <c r="BD59" s="732"/>
      <c r="BE59" s="859" t="s">
        <v>5</v>
      </c>
      <c r="BF59" s="859"/>
      <c r="BG59" s="859"/>
      <c r="BH59" s="859"/>
      <c r="BI59" s="859"/>
      <c r="BJ59" s="859"/>
      <c r="BK59" s="859"/>
      <c r="BL59" s="859"/>
      <c r="BM59" s="859"/>
      <c r="BN59" s="859"/>
      <c r="BQ59"/>
      <c r="BR59"/>
      <c r="BS59"/>
      <c r="BT59"/>
    </row>
    <row r="60" spans="1:72" s="6" customFormat="1" ht="21" customHeight="1">
      <c r="A60" s="420"/>
      <c r="B60" s="1334" t="s">
        <v>5</v>
      </c>
      <c r="E60" s="856"/>
      <c r="F60" s="857"/>
      <c r="G60" s="857"/>
      <c r="H60"/>
      <c r="I60"/>
      <c r="J60"/>
      <c r="K60"/>
      <c r="L60"/>
      <c r="M60"/>
      <c r="N60"/>
      <c r="O60"/>
      <c r="P60"/>
      <c r="Q60"/>
      <c r="R60"/>
      <c r="S60"/>
      <c r="T60"/>
      <c r="U60"/>
      <c r="V60"/>
      <c r="W60"/>
      <c r="X60"/>
      <c r="Y60"/>
      <c r="Z60"/>
      <c r="AA60"/>
      <c r="AB60"/>
      <c r="AC60"/>
      <c r="AD60"/>
      <c r="AE60"/>
      <c r="AQ60"/>
      <c r="AR60"/>
      <c r="AS60" s="859"/>
      <c r="AT60" s="859"/>
      <c r="AU60" s="859"/>
      <c r="AV60" s="859"/>
      <c r="AW60" s="859"/>
      <c r="AX60" s="859"/>
      <c r="AY60" s="859"/>
      <c r="AZ60" s="859"/>
      <c r="BA60" s="859"/>
      <c r="BB60" s="859"/>
      <c r="BC60" s="732"/>
      <c r="BD60" s="732"/>
      <c r="BE60" s="859"/>
      <c r="BF60" s="859"/>
      <c r="BG60" s="859"/>
      <c r="BH60" s="859"/>
      <c r="BI60" s="859"/>
      <c r="BJ60" s="859"/>
      <c r="BK60" s="859"/>
      <c r="BL60" s="859"/>
      <c r="BM60" s="859"/>
      <c r="BQ60"/>
      <c r="BR60"/>
      <c r="BS60"/>
      <c r="BT60"/>
    </row>
    <row r="61" spans="1:72" s="6" customFormat="1" ht="20.25" customHeight="1">
      <c r="A61" s="420"/>
      <c r="B61" s="420"/>
      <c r="E61" s="856"/>
      <c r="F61" s="857"/>
      <c r="G61" s="857"/>
      <c r="H61"/>
      <c r="I61"/>
      <c r="J61"/>
      <c r="K61"/>
      <c r="L61"/>
      <c r="M61"/>
      <c r="N61"/>
      <c r="O61"/>
      <c r="P61"/>
      <c r="Q61"/>
      <c r="R61"/>
      <c r="S61"/>
      <c r="T61"/>
      <c r="U61"/>
      <c r="V61"/>
      <c r="W61"/>
      <c r="X61"/>
      <c r="Y61"/>
      <c r="Z61"/>
      <c r="AA61"/>
      <c r="AB61"/>
      <c r="AC61"/>
      <c r="AD61"/>
      <c r="AE61"/>
      <c r="AQ61"/>
      <c r="AR61"/>
      <c r="AT61" s="859"/>
      <c r="AU61" s="859"/>
      <c r="AV61" s="859"/>
      <c r="AW61" s="859"/>
      <c r="AX61" s="859"/>
      <c r="AY61" s="859"/>
      <c r="AZ61" s="859"/>
      <c r="BA61" s="859"/>
      <c r="BB61" s="859"/>
      <c r="BC61" s="732"/>
      <c r="BD61" s="732"/>
      <c r="BQ61"/>
      <c r="BR61"/>
      <c r="BS61"/>
      <c r="BT61"/>
    </row>
    <row r="62" spans="1:72" s="6" customFormat="1" ht="20.25" customHeight="1">
      <c r="A62" s="420"/>
      <c r="B62" s="420"/>
      <c r="D62" s="6" t="s">
        <v>5</v>
      </c>
      <c r="E62" s="856"/>
      <c r="F62" s="857"/>
      <c r="G62" s="857"/>
      <c r="H62"/>
      <c r="I62"/>
      <c r="J62"/>
      <c r="K62"/>
      <c r="L62"/>
      <c r="M62"/>
      <c r="N62"/>
      <c r="O62"/>
      <c r="P62"/>
      <c r="AE62"/>
      <c r="AQ62"/>
      <c r="AR62"/>
      <c r="BC62" s="732"/>
      <c r="BD62" s="732"/>
      <c r="BE62" s="859"/>
      <c r="BF62" s="859"/>
      <c r="BO62" s="859"/>
      <c r="BP62" s="859"/>
      <c r="BQ62"/>
      <c r="BR62"/>
      <c r="BS62"/>
      <c r="BT62"/>
    </row>
    <row r="63" spans="1:72" s="6" customFormat="1" ht="20.25" customHeight="1">
      <c r="A63" s="420"/>
      <c r="B63" s="420"/>
      <c r="E63" s="856"/>
      <c r="F63" s="857"/>
      <c r="G63" s="857"/>
      <c r="H63"/>
      <c r="I63"/>
      <c r="J63"/>
      <c r="K63"/>
      <c r="L63"/>
      <c r="M63"/>
      <c r="N63"/>
      <c r="O63"/>
      <c r="P63"/>
      <c r="AE63"/>
      <c r="AQ63"/>
      <c r="AR63"/>
      <c r="BC63" s="732"/>
      <c r="BD63" s="732"/>
      <c r="BE63" s="859"/>
      <c r="BF63" s="859"/>
      <c r="BO63" s="859"/>
      <c r="BP63" s="859"/>
      <c r="BQ63"/>
      <c r="BR63"/>
      <c r="BS63"/>
      <c r="BT63"/>
    </row>
    <row r="64" spans="1:72" s="6" customFormat="1">
      <c r="A64" s="862"/>
      <c r="B64" s="420"/>
      <c r="F64" s="857"/>
      <c r="G64" s="857"/>
      <c r="X64" s="6" t="s">
        <v>5</v>
      </c>
      <c r="AQ64"/>
      <c r="AR64"/>
      <c r="BC64" s="732"/>
      <c r="BD64" s="732"/>
      <c r="BF64" s="859"/>
      <c r="BO64" s="859"/>
      <c r="BP64" s="859"/>
    </row>
    <row r="65" spans="1:72" s="6" customFormat="1">
      <c r="A65" s="862"/>
      <c r="B65" s="862"/>
      <c r="F65" s="857"/>
      <c r="G65" s="857"/>
      <c r="AQ65"/>
      <c r="AR65"/>
      <c r="BC65" s="732"/>
      <c r="BD65" s="732"/>
    </row>
    <row r="66" spans="1:72" s="6" customFormat="1">
      <c r="A66" s="862"/>
      <c r="B66" s="420"/>
      <c r="F66" s="857"/>
      <c r="G66" s="857"/>
      <c r="AQ66"/>
      <c r="AR66"/>
      <c r="BC66" s="732"/>
      <c r="BD66" s="732"/>
    </row>
    <row r="67" spans="1:72" s="6" customFormat="1">
      <c r="A67" s="420"/>
      <c r="B67" s="420"/>
      <c r="E67" s="6" t="s">
        <v>5</v>
      </c>
      <c r="F67" s="857"/>
      <c r="G67" s="857"/>
      <c r="Q67"/>
      <c r="R67"/>
      <c r="S67"/>
      <c r="T67"/>
      <c r="U67"/>
      <c r="V67"/>
      <c r="W67"/>
      <c r="X67"/>
      <c r="Y67"/>
      <c r="Z67"/>
      <c r="AA67"/>
      <c r="AB67"/>
      <c r="AC67"/>
      <c r="AD67"/>
      <c r="AQ67"/>
      <c r="AR67"/>
      <c r="BC67" s="732"/>
      <c r="BD67" s="732"/>
    </row>
    <row r="68" spans="1:72" s="6" customFormat="1">
      <c r="A68" s="420"/>
      <c r="B68" s="862"/>
      <c r="F68" s="857"/>
      <c r="G68" s="857"/>
      <c r="Q68"/>
      <c r="R68"/>
      <c r="S68"/>
      <c r="T68"/>
      <c r="U68"/>
      <c r="V68"/>
      <c r="W68"/>
      <c r="X68"/>
      <c r="Y68"/>
      <c r="Z68"/>
      <c r="AA68"/>
      <c r="AB68"/>
      <c r="AC68"/>
      <c r="AD68"/>
      <c r="AQ68"/>
      <c r="AR68"/>
      <c r="BC68" s="732"/>
      <c r="BD68" s="732"/>
    </row>
    <row r="69" spans="1:72" s="6" customFormat="1">
      <c r="A69" s="862"/>
      <c r="B69" s="862"/>
      <c r="C69"/>
      <c r="D69"/>
      <c r="E69" s="856"/>
      <c r="F69" s="729"/>
      <c r="G69" s="4010"/>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BC69" s="732"/>
      <c r="BD69" s="732"/>
      <c r="BQ69"/>
      <c r="BR69"/>
      <c r="BS69"/>
      <c r="BT69"/>
    </row>
    <row r="70" spans="1:72" s="6" customFormat="1">
      <c r="A70" s="862"/>
      <c r="B70" s="862"/>
      <c r="C70"/>
      <c r="D70"/>
      <c r="E70" s="856"/>
      <c r="F70" s="729"/>
      <c r="G70" s="401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BC70" s="732"/>
      <c r="BD70" s="732"/>
      <c r="BQ70"/>
      <c r="BR70"/>
      <c r="BS70"/>
      <c r="BT70"/>
    </row>
    <row r="71" spans="1:72" s="6" customFormat="1">
      <c r="A71" s="862"/>
      <c r="B71" s="420"/>
      <c r="C71"/>
      <c r="D71"/>
      <c r="E71" s="856"/>
      <c r="F71" s="729"/>
      <c r="G71" s="4010"/>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BC71" s="732"/>
      <c r="BD71" s="732"/>
      <c r="BQ71"/>
      <c r="BR71"/>
      <c r="BS71"/>
      <c r="BT71"/>
    </row>
    <row r="72" spans="1:72" s="6" customFormat="1">
      <c r="A72" s="420"/>
      <c r="B72" s="420"/>
      <c r="C72"/>
      <c r="D72"/>
      <c r="E72" s="856"/>
      <c r="F72" s="729"/>
      <c r="G72" s="4010"/>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s="732"/>
      <c r="BD72" s="732"/>
      <c r="BQ72"/>
      <c r="BR72"/>
      <c r="BS72"/>
      <c r="BT72"/>
    </row>
    <row r="73" spans="1:72" s="6" customFormat="1">
      <c r="A73" s="420"/>
      <c r="B73" s="420"/>
      <c r="C73"/>
      <c r="D73"/>
      <c r="E73" s="856"/>
      <c r="F73" s="729"/>
      <c r="G73" s="4010"/>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s="732"/>
      <c r="BD73" s="732"/>
      <c r="BQ73"/>
      <c r="BR73"/>
      <c r="BS73"/>
      <c r="BT73"/>
    </row>
    <row r="74" spans="1:72">
      <c r="BE74" s="6"/>
      <c r="BF74" s="6"/>
      <c r="BG74" s="6"/>
      <c r="BH74" s="6"/>
      <c r="BI74" s="6"/>
      <c r="BJ74" s="6"/>
      <c r="BK74" s="6"/>
      <c r="BL74" s="6"/>
      <c r="BM74" s="6"/>
    </row>
  </sheetData>
  <mergeCells count="16">
    <mergeCell ref="A43:A52"/>
    <mergeCell ref="B43:B45"/>
    <mergeCell ref="B46:B49"/>
    <mergeCell ref="B50:B52"/>
    <mergeCell ref="A28:A34"/>
    <mergeCell ref="B28:B32"/>
    <mergeCell ref="B33:B34"/>
    <mergeCell ref="A35:A42"/>
    <mergeCell ref="B35:B39"/>
    <mergeCell ref="B40:B42"/>
    <mergeCell ref="BD2:BN2"/>
    <mergeCell ref="A5:A19"/>
    <mergeCell ref="B5:B18"/>
    <mergeCell ref="BD16:BN16"/>
    <mergeCell ref="A20:A26"/>
    <mergeCell ref="B20:B25"/>
  </mergeCells>
  <conditionalFormatting sqref="I5:L5 I54:L56 I35:L39 I41:L42 I44:L45 I47:L49 I51:L52 I21:L21 I23:L25 I29:L33 I18:L18 I7:L12 I15:L16">
    <cfRule type="expression" dxfId="3153" priority="824" stopIfTrue="1">
      <formula>$E5&gt;=4</formula>
    </cfRule>
  </conditionalFormatting>
  <conditionalFormatting sqref="I5 I54:I56 I35:I39 I41:I42 I44:I45 I47:I49 I51:I52 I21 I23:I25 I29:I33 I7:I12 I18 I15:I16">
    <cfRule type="expression" dxfId="3152" priority="612">
      <formula>$E5=1</formula>
    </cfRule>
  </conditionalFormatting>
  <conditionalFormatting sqref="J5 J54:J56 J35:J39 J41:J42 J44:J45 J47:J49 J51:J52 J21 J23:J25 J29:J33 J7:J12 J18 J15:J16">
    <cfRule type="expression" dxfId="3151" priority="611">
      <formula>$E5=2</formula>
    </cfRule>
  </conditionalFormatting>
  <conditionalFormatting sqref="K5 K54:K56 K35:K39 K41:K42 K44:K45 K47:K49 K51:K52 K21 K23:K25 K29:K33 K7:K12 K18 K15:K16">
    <cfRule type="expression" dxfId="3150" priority="610">
      <formula>$E5=3</formula>
    </cfRule>
  </conditionalFormatting>
  <conditionalFormatting sqref="L5 L54:L56 L35:L39 L41:L42 L44:L45 L47:L49 L51:L52 L21 L23:L25 L29:L33 L7:L12 L18 L15:L16">
    <cfRule type="expression" dxfId="3149" priority="609">
      <formula>$E5=4</formula>
    </cfRule>
  </conditionalFormatting>
  <conditionalFormatting sqref="I5:L5 I54:L56 I35:L39 I41:L42 I44:L45 I47:L49 I51:L52 I21:L21 I23:L25 I29:L33 I18:L18 I7:L12 I15:L16">
    <cfRule type="expression" dxfId="3148" priority="584" stopIfTrue="1">
      <formula>$E5&gt;=4</formula>
    </cfRule>
  </conditionalFormatting>
  <conditionalFormatting sqref="I5 I54:I56 I35:I39 I41:I42 I44:I45 I47:I49 I51:I52 I21 I23:I25 I29:I33 I7:I12 I18 I15:I16">
    <cfRule type="expression" dxfId="3147" priority="583" stopIfTrue="1">
      <formula>$E5&gt;=1</formula>
    </cfRule>
  </conditionalFormatting>
  <conditionalFormatting sqref="I5:K5 I54:K56 I35:K39 I41:K42 I44:K45 I47:K49 I51:K52 I21:K21 I23:K25 I29:K33 I18:K18 I7:K12 I15:K16">
    <cfRule type="expression" dxfId="3146" priority="582" stopIfTrue="1">
      <formula>$E5&gt;=3</formula>
    </cfRule>
  </conditionalFormatting>
  <conditionalFormatting sqref="I5:J5 I54:J56 I35:J39 I41:J42 I44:J45 I47:J49 I51:J52 I21:J21 I23:J25 I29:J33 I7:J12 I18:J18 I15:J16">
    <cfRule type="expression" dxfId="3145" priority="581" stopIfTrue="1">
      <formula>$E5&gt;=2</formula>
    </cfRule>
  </conditionalFormatting>
  <conditionalFormatting sqref="I5:L5 I54:L56 I35:L39 I41:L42 I44:L45 I47:L49 I51:L52 I21:L21 I23:L25 I29:L33 I18:L18 I7:L12 I15:L16">
    <cfRule type="expression" dxfId="3144" priority="580" stopIfTrue="1">
      <formula>$E5&gt;=4</formula>
    </cfRule>
  </conditionalFormatting>
  <conditionalFormatting sqref="I5 I54:I56 I35:I39 I41:I42 I44:I45 I47:I49 I51:I52 I21 I23:I25 I29:I33 I7:I12 I18 I15:I16">
    <cfRule type="expression" dxfId="3143" priority="579">
      <formula>$E5=1</formula>
    </cfRule>
  </conditionalFormatting>
  <conditionalFormatting sqref="J5 J54:J56 J35:J39 J41:J42 J44:J45 J47:J49 J51:J52 J21 J23:J25 J29:J33 J7:J12 J18 J15:J16">
    <cfRule type="expression" dxfId="3142" priority="578">
      <formula>$E5=2</formula>
    </cfRule>
  </conditionalFormatting>
  <conditionalFormatting sqref="K5 K54:K56 K35:K39 K41:K42 K44:K45 K47:K49 K51:K52 K21 K23:K25 K29:K33 K7:K12 K18 K15:K16">
    <cfRule type="expression" dxfId="3141" priority="577">
      <formula>$E5=3</formula>
    </cfRule>
  </conditionalFormatting>
  <conditionalFormatting sqref="L5 L54:L56 L35:L39 L41:L42 L44:L45 L47:L49 L51:L52 L21 L23:L25 L29:L33 L7:L12 L18 L15:L16">
    <cfRule type="expression" dxfId="3140" priority="576">
      <formula>$E5=4</formula>
    </cfRule>
  </conditionalFormatting>
  <conditionalFormatting sqref="I19:L19">
    <cfRule type="expression" dxfId="3139" priority="88" stopIfTrue="1">
      <formula>$E19&gt;=4</formula>
    </cfRule>
  </conditionalFormatting>
  <conditionalFormatting sqref="I19">
    <cfRule type="expression" dxfId="3138" priority="87">
      <formula>$E19=1</formula>
    </cfRule>
  </conditionalFormatting>
  <conditionalFormatting sqref="J19">
    <cfRule type="expression" dxfId="3137" priority="86">
      <formula>$E19=2</formula>
    </cfRule>
  </conditionalFormatting>
  <conditionalFormatting sqref="K19">
    <cfRule type="expression" dxfId="3136" priority="85">
      <formula>$E19=3</formula>
    </cfRule>
  </conditionalFormatting>
  <conditionalFormatting sqref="L19">
    <cfRule type="expression" dxfId="3135" priority="84">
      <formula>$E19=4</formula>
    </cfRule>
  </conditionalFormatting>
  <conditionalFormatting sqref="I19:L19">
    <cfRule type="expression" dxfId="3134" priority="83" stopIfTrue="1">
      <formula>$E19&gt;=4</formula>
    </cfRule>
  </conditionalFormatting>
  <conditionalFormatting sqref="I19">
    <cfRule type="expression" dxfId="3133" priority="82" stopIfTrue="1">
      <formula>$E19&gt;=1</formula>
    </cfRule>
  </conditionalFormatting>
  <conditionalFormatting sqref="I19:K19">
    <cfRule type="expression" dxfId="3132" priority="81" stopIfTrue="1">
      <formula>$E19&gt;=3</formula>
    </cfRule>
  </conditionalFormatting>
  <conditionalFormatting sqref="I19:J19">
    <cfRule type="expression" dxfId="3131" priority="80" stopIfTrue="1">
      <formula>$E19&gt;=2</formula>
    </cfRule>
  </conditionalFormatting>
  <conditionalFormatting sqref="I19:L19">
    <cfRule type="expression" dxfId="3130" priority="79" stopIfTrue="1">
      <formula>$E19&gt;=4</formula>
    </cfRule>
  </conditionalFormatting>
  <conditionalFormatting sqref="I19">
    <cfRule type="expression" dxfId="3129" priority="78">
      <formula>$E19=1</formula>
    </cfRule>
  </conditionalFormatting>
  <conditionalFormatting sqref="J19">
    <cfRule type="expression" dxfId="3128" priority="77">
      <formula>$E19=2</formula>
    </cfRule>
  </conditionalFormatting>
  <conditionalFormatting sqref="K19">
    <cfRule type="expression" dxfId="3127" priority="76">
      <formula>$E19=3</formula>
    </cfRule>
  </conditionalFormatting>
  <conditionalFormatting sqref="L19">
    <cfRule type="expression" dxfId="3126" priority="75">
      <formula>$E19=4</formula>
    </cfRule>
  </conditionalFormatting>
  <conditionalFormatting sqref="I26:L26">
    <cfRule type="expression" dxfId="3125" priority="74" stopIfTrue="1">
      <formula>$E26&gt;=4</formula>
    </cfRule>
  </conditionalFormatting>
  <conditionalFormatting sqref="I26">
    <cfRule type="expression" dxfId="3124" priority="73">
      <formula>$E26=1</formula>
    </cfRule>
  </conditionalFormatting>
  <conditionalFormatting sqref="J26">
    <cfRule type="expression" dxfId="3123" priority="72">
      <formula>$E26=2</formula>
    </cfRule>
  </conditionalFormatting>
  <conditionalFormatting sqref="K26">
    <cfRule type="expression" dxfId="3122" priority="71">
      <formula>$E26=3</formula>
    </cfRule>
  </conditionalFormatting>
  <conditionalFormatting sqref="L26">
    <cfRule type="expression" dxfId="3121" priority="70">
      <formula>$E26=4</formula>
    </cfRule>
  </conditionalFormatting>
  <conditionalFormatting sqref="I26:L26">
    <cfRule type="expression" dxfId="3120" priority="69" stopIfTrue="1">
      <formula>$E26&gt;=4</formula>
    </cfRule>
  </conditionalFormatting>
  <conditionalFormatting sqref="I26">
    <cfRule type="expression" dxfId="3119" priority="68" stopIfTrue="1">
      <formula>$E26&gt;=1</formula>
    </cfRule>
  </conditionalFormatting>
  <conditionalFormatting sqref="I26:K26">
    <cfRule type="expression" dxfId="3118" priority="67" stopIfTrue="1">
      <formula>$E26&gt;=3</formula>
    </cfRule>
  </conditionalFormatting>
  <conditionalFormatting sqref="I26:J26">
    <cfRule type="expression" dxfId="3117" priority="66" stopIfTrue="1">
      <formula>$E26&gt;=2</formula>
    </cfRule>
  </conditionalFormatting>
  <conditionalFormatting sqref="I26:L26">
    <cfRule type="expression" dxfId="3116" priority="65" stopIfTrue="1">
      <formula>$E26&gt;=4</formula>
    </cfRule>
  </conditionalFormatting>
  <conditionalFormatting sqref="I26">
    <cfRule type="expression" dxfId="3115" priority="64">
      <formula>$E26=1</formula>
    </cfRule>
  </conditionalFormatting>
  <conditionalFormatting sqref="J26">
    <cfRule type="expression" dxfId="3114" priority="63">
      <formula>$E26=2</formula>
    </cfRule>
  </conditionalFormatting>
  <conditionalFormatting sqref="K26">
    <cfRule type="expression" dxfId="3113" priority="62">
      <formula>$E26=3</formula>
    </cfRule>
  </conditionalFormatting>
  <conditionalFormatting sqref="L26">
    <cfRule type="expression" dxfId="3112" priority="61">
      <formula>$E26=4</formula>
    </cfRule>
  </conditionalFormatting>
  <conditionalFormatting sqref="I22:L22">
    <cfRule type="expression" dxfId="3111" priority="60" stopIfTrue="1">
      <formula>$E22&gt;=4</formula>
    </cfRule>
  </conditionalFormatting>
  <conditionalFormatting sqref="I22">
    <cfRule type="expression" dxfId="3110" priority="59">
      <formula>$E22=1</formula>
    </cfRule>
  </conditionalFormatting>
  <conditionalFormatting sqref="J22">
    <cfRule type="expression" dxfId="3109" priority="58">
      <formula>$E22=2</formula>
    </cfRule>
  </conditionalFormatting>
  <conditionalFormatting sqref="K22">
    <cfRule type="expression" dxfId="3108" priority="57">
      <formula>$E22=3</formula>
    </cfRule>
  </conditionalFormatting>
  <conditionalFormatting sqref="L22">
    <cfRule type="expression" dxfId="3107" priority="56">
      <formula>$E22=4</formula>
    </cfRule>
  </conditionalFormatting>
  <conditionalFormatting sqref="I22:L22">
    <cfRule type="expression" dxfId="3106" priority="55" stopIfTrue="1">
      <formula>$E22&gt;=4</formula>
    </cfRule>
  </conditionalFormatting>
  <conditionalFormatting sqref="I22">
    <cfRule type="expression" dxfId="3105" priority="54" stopIfTrue="1">
      <formula>$E22&gt;=1</formula>
    </cfRule>
  </conditionalFormatting>
  <conditionalFormatting sqref="I22:K22">
    <cfRule type="expression" dxfId="3104" priority="53" stopIfTrue="1">
      <formula>$E22&gt;=3</formula>
    </cfRule>
  </conditionalFormatting>
  <conditionalFormatting sqref="I22:J22">
    <cfRule type="expression" dxfId="3103" priority="52" stopIfTrue="1">
      <formula>$E22&gt;=2</formula>
    </cfRule>
  </conditionalFormatting>
  <conditionalFormatting sqref="I22:L22">
    <cfRule type="expression" dxfId="3102" priority="51" stopIfTrue="1">
      <formula>$E22&gt;=4</formula>
    </cfRule>
  </conditionalFormatting>
  <conditionalFormatting sqref="I22">
    <cfRule type="expression" dxfId="3101" priority="50">
      <formula>$E22=1</formula>
    </cfRule>
  </conditionalFormatting>
  <conditionalFormatting sqref="J22">
    <cfRule type="expression" dxfId="3100" priority="49">
      <formula>$E22=2</formula>
    </cfRule>
  </conditionalFormatting>
  <conditionalFormatting sqref="K22">
    <cfRule type="expression" dxfId="3099" priority="48">
      <formula>$E22=3</formula>
    </cfRule>
  </conditionalFormatting>
  <conditionalFormatting sqref="L22">
    <cfRule type="expression" dxfId="3098" priority="47">
      <formula>$E22=4</formula>
    </cfRule>
  </conditionalFormatting>
  <conditionalFormatting sqref="L59">
    <cfRule type="expression" dxfId="3097" priority="46" stopIfTrue="1">
      <formula>$E59&gt;=4</formula>
    </cfRule>
  </conditionalFormatting>
  <conditionalFormatting sqref="J9">
    <cfRule type="expression" dxfId="3096" priority="38">
      <formula>$E9=3</formula>
    </cfRule>
  </conditionalFormatting>
  <conditionalFormatting sqref="J9">
    <cfRule type="expression" dxfId="3095" priority="37">
      <formula>$E9=3</formula>
    </cfRule>
  </conditionalFormatting>
  <conditionalFormatting sqref="I14:L14">
    <cfRule type="expression" dxfId="3094" priority="28" stopIfTrue="1">
      <formula>$E14&gt;=4</formula>
    </cfRule>
  </conditionalFormatting>
  <conditionalFormatting sqref="I14">
    <cfRule type="expression" dxfId="3093" priority="27">
      <formula>$E14=1</formula>
    </cfRule>
  </conditionalFormatting>
  <conditionalFormatting sqref="J14">
    <cfRule type="expression" dxfId="3092" priority="26">
      <formula>$E14=2</formula>
    </cfRule>
  </conditionalFormatting>
  <conditionalFormatting sqref="K14">
    <cfRule type="expression" dxfId="3091" priority="25">
      <formula>$E14=3</formula>
    </cfRule>
  </conditionalFormatting>
  <conditionalFormatting sqref="L14">
    <cfRule type="expression" dxfId="3090" priority="24">
      <formula>$E14=4</formula>
    </cfRule>
  </conditionalFormatting>
  <conditionalFormatting sqref="I14:L14">
    <cfRule type="expression" dxfId="3089" priority="23" stopIfTrue="1">
      <formula>$E14&gt;=4</formula>
    </cfRule>
  </conditionalFormatting>
  <conditionalFormatting sqref="I14">
    <cfRule type="expression" dxfId="3088" priority="22" stopIfTrue="1">
      <formula>$E14&gt;=1</formula>
    </cfRule>
  </conditionalFormatting>
  <conditionalFormatting sqref="I14:K14">
    <cfRule type="expression" dxfId="3087" priority="21" stopIfTrue="1">
      <formula>$E14&gt;=3</formula>
    </cfRule>
  </conditionalFormatting>
  <conditionalFormatting sqref="I14:J14">
    <cfRule type="expression" dxfId="3086" priority="20" stopIfTrue="1">
      <formula>$E14&gt;=2</formula>
    </cfRule>
  </conditionalFormatting>
  <conditionalFormatting sqref="I14:L14">
    <cfRule type="expression" dxfId="3085" priority="19" stopIfTrue="1">
      <formula>$E14&gt;=4</formula>
    </cfRule>
  </conditionalFormatting>
  <conditionalFormatting sqref="I14">
    <cfRule type="expression" dxfId="3084" priority="18">
      <formula>$E14=1</formula>
    </cfRule>
  </conditionalFormatting>
  <conditionalFormatting sqref="J14">
    <cfRule type="expression" dxfId="3083" priority="17">
      <formula>$E14=2</formula>
    </cfRule>
  </conditionalFormatting>
  <conditionalFormatting sqref="K14">
    <cfRule type="expression" dxfId="3082" priority="16">
      <formula>$E14=3</formula>
    </cfRule>
  </conditionalFormatting>
  <conditionalFormatting sqref="L14">
    <cfRule type="expression" dxfId="3081" priority="15">
      <formula>$E14=4</formula>
    </cfRule>
  </conditionalFormatting>
  <conditionalFormatting sqref="J3:M3">
    <cfRule type="expression" dxfId="3080" priority="14" stopIfTrue="1">
      <formula>$E3&gt;=4</formula>
    </cfRule>
  </conditionalFormatting>
  <conditionalFormatting sqref="J3">
    <cfRule type="expression" dxfId="3079" priority="13">
      <formula>$E3=1</formula>
    </cfRule>
  </conditionalFormatting>
  <conditionalFormatting sqref="K3">
    <cfRule type="expression" dxfId="3078" priority="12">
      <formula>$E3=2</formula>
    </cfRule>
  </conditionalFormatting>
  <conditionalFormatting sqref="L3">
    <cfRule type="expression" dxfId="3077" priority="11">
      <formula>$E3=3</formula>
    </cfRule>
  </conditionalFormatting>
  <conditionalFormatting sqref="M3">
    <cfRule type="expression" dxfId="3076" priority="10">
      <formula>$E3=4</formula>
    </cfRule>
  </conditionalFormatting>
  <conditionalFormatting sqref="J3:M3">
    <cfRule type="expression" dxfId="3075" priority="9" stopIfTrue="1">
      <formula>$E3&gt;=4</formula>
    </cfRule>
  </conditionalFormatting>
  <conditionalFormatting sqref="J3">
    <cfRule type="expression" dxfId="3074" priority="8" stopIfTrue="1">
      <formula>$E3&gt;=1</formula>
    </cfRule>
  </conditionalFormatting>
  <conditionalFormatting sqref="J3:L3">
    <cfRule type="expression" dxfId="3073" priority="7" stopIfTrue="1">
      <formula>$E3&gt;=3</formula>
    </cfRule>
  </conditionalFormatting>
  <conditionalFormatting sqref="J3:K3">
    <cfRule type="expression" dxfId="3072" priority="6" stopIfTrue="1">
      <formula>$E3&gt;=2</formula>
    </cfRule>
  </conditionalFormatting>
  <conditionalFormatting sqref="J3:M3">
    <cfRule type="expression" dxfId="3071" priority="5" stopIfTrue="1">
      <formula>$E3&gt;=4</formula>
    </cfRule>
  </conditionalFormatting>
  <conditionalFormatting sqref="J3">
    <cfRule type="expression" dxfId="3070" priority="4">
      <formula>$E3=1</formula>
    </cfRule>
  </conditionalFormatting>
  <conditionalFormatting sqref="K3">
    <cfRule type="expression" dxfId="3069" priority="3">
      <formula>$E3=2</formula>
    </cfRule>
  </conditionalFormatting>
  <conditionalFormatting sqref="L3">
    <cfRule type="expression" dxfId="3068" priority="2">
      <formula>$E3=3</formula>
    </cfRule>
  </conditionalFormatting>
  <conditionalFormatting sqref="M3">
    <cfRule type="expression" dxfId="3067" priority="1">
      <formula>$E3=4</formula>
    </cfRule>
  </conditionalFormatting>
  <hyperlinks>
    <hyperlink ref="E1"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sheetPr>
    <tabColor theme="5"/>
  </sheetPr>
  <dimension ref="A1:CF551"/>
  <sheetViews>
    <sheetView showGridLines="0" topLeftCell="A252" zoomScale="80" zoomScaleNormal="80" workbookViewId="0">
      <selection activeCell="BG23" sqref="BG23:BG29"/>
    </sheetView>
  </sheetViews>
  <sheetFormatPr defaultColWidth="9.140625" defaultRowHeight="15" outlineLevelCol="1"/>
  <cols>
    <col min="1" max="1" width="2.140625" style="3066" customWidth="1"/>
    <col min="2" max="2" width="4.42578125" style="3066" customWidth="1"/>
    <col min="3" max="3" width="5.42578125" style="3066" bestFit="1" customWidth="1"/>
    <col min="4" max="4" width="28.140625" style="3066" customWidth="1"/>
    <col min="5" max="5" width="10.28515625" style="3066" customWidth="1"/>
    <col min="6" max="6" width="16" style="3066" customWidth="1"/>
    <col min="7" max="7" width="10.28515625" style="3066" hidden="1" customWidth="1" outlineLevel="1"/>
    <col min="8" max="48" width="10.85546875" style="3066" hidden="1" customWidth="1" outlineLevel="1"/>
    <col min="49" max="49" width="17.42578125" style="3066" hidden="1" customWidth="1" outlineLevel="1"/>
    <col min="50" max="50" width="10.85546875" style="3066" customWidth="1" collapsed="1"/>
    <col min="51" max="52" width="10" style="3066" customWidth="1"/>
    <col min="53" max="54" width="10.42578125" style="3066" bestFit="1" customWidth="1"/>
    <col min="55" max="57" width="10.28515625" style="3066" bestFit="1" customWidth="1"/>
    <col min="58" max="60" width="11.28515625" style="3066" bestFit="1" customWidth="1"/>
    <col min="61" max="61" width="9.140625" style="3066"/>
    <col min="62" max="62" width="16.7109375" style="3066" bestFit="1" customWidth="1"/>
    <col min="63" max="63" width="20.7109375" style="3066" bestFit="1" customWidth="1"/>
    <col min="64" max="64" width="8.42578125" style="3066" customWidth="1"/>
    <col min="65" max="65" width="17.85546875" style="3066" bestFit="1" customWidth="1"/>
    <col min="66" max="73" width="5.42578125" style="3066" bestFit="1" customWidth="1"/>
    <col min="74" max="16384" width="9.140625" style="3066"/>
  </cols>
  <sheetData>
    <row r="1" spans="1:83" ht="6.75" customHeight="1"/>
    <row r="2" spans="1:83" ht="23.25">
      <c r="A2" s="7"/>
      <c r="B2" s="511" t="s">
        <v>2519</v>
      </c>
      <c r="C2" s="512"/>
      <c r="D2" s="512"/>
      <c r="E2" s="512"/>
      <c r="F2" s="512"/>
      <c r="G2" s="512"/>
      <c r="H2" s="512"/>
      <c r="I2" s="512"/>
      <c r="J2" s="512"/>
      <c r="K2" s="512"/>
      <c r="L2" s="512"/>
      <c r="M2" s="512"/>
      <c r="N2" s="512"/>
      <c r="O2" s="512"/>
      <c r="P2" s="512"/>
      <c r="Q2" s="512"/>
      <c r="R2" s="512"/>
      <c r="S2" s="512"/>
      <c r="T2" s="512"/>
      <c r="U2" s="512"/>
      <c r="V2" s="512"/>
      <c r="W2" s="512"/>
      <c r="X2" s="512"/>
      <c r="Y2" s="512"/>
      <c r="Z2" s="512"/>
      <c r="AA2" s="512"/>
      <c r="AB2" s="512"/>
      <c r="AC2" s="512"/>
      <c r="AD2" s="512"/>
      <c r="AE2" s="512"/>
      <c r="AF2" s="512"/>
      <c r="AG2" s="512"/>
      <c r="AH2" s="512"/>
      <c r="AI2" s="512"/>
      <c r="AJ2" s="512"/>
      <c r="AK2" s="512"/>
      <c r="AL2" s="512"/>
      <c r="AM2" s="512"/>
      <c r="AN2" s="512"/>
      <c r="AO2" s="512"/>
      <c r="AP2" s="512"/>
      <c r="AQ2" s="512"/>
      <c r="AR2" s="512"/>
      <c r="AS2" s="512"/>
      <c r="AT2" s="512"/>
      <c r="AU2" s="512"/>
      <c r="AV2" s="512"/>
      <c r="AW2" s="512"/>
      <c r="AX2" s="512"/>
      <c r="AY2" s="512"/>
      <c r="AZ2" s="512"/>
      <c r="BA2" s="512"/>
      <c r="BB2" s="512"/>
      <c r="BC2" s="512"/>
      <c r="BD2" s="512"/>
      <c r="BE2" s="512"/>
      <c r="BF2" s="512"/>
      <c r="BG2" s="512"/>
      <c r="BH2" s="512"/>
      <c r="BI2"/>
      <c r="BJ2" s="511"/>
      <c r="BK2" s="512"/>
      <c r="BL2" s="512"/>
      <c r="BM2" s="512"/>
      <c r="BN2" s="512"/>
      <c r="BO2" s="512"/>
      <c r="BP2" s="512"/>
      <c r="BQ2" s="512"/>
      <c r="BR2" s="512"/>
      <c r="BS2" s="512"/>
      <c r="BT2" s="512"/>
      <c r="BU2" s="512"/>
    </row>
    <row r="3" spans="1:83" s="6" customFormat="1" ht="20.25" customHeight="1">
      <c r="B3" s="514"/>
      <c r="C3" s="515"/>
      <c r="D3" s="515"/>
      <c r="E3" s="515"/>
      <c r="F3" s="515"/>
      <c r="G3" s="515"/>
      <c r="H3" s="3089" t="s">
        <v>3047</v>
      </c>
      <c r="I3" s="3089"/>
      <c r="J3" s="3089"/>
      <c r="K3" s="3089"/>
      <c r="L3" s="3089"/>
      <c r="M3" s="3089"/>
      <c r="N3" s="3089"/>
      <c r="O3" s="3089"/>
      <c r="P3" s="3089"/>
      <c r="Q3" s="3089"/>
      <c r="R3" s="3089"/>
      <c r="S3" s="3089"/>
      <c r="T3" s="3089"/>
      <c r="U3" s="3089"/>
      <c r="V3" s="3089"/>
      <c r="W3" s="3089"/>
      <c r="X3" s="3089"/>
      <c r="Y3" s="3089"/>
      <c r="Z3" s="3089"/>
      <c r="AA3" s="3089"/>
      <c r="AB3" s="3089"/>
      <c r="AC3" s="3089"/>
      <c r="AD3" s="3089"/>
      <c r="AE3" s="3089"/>
      <c r="AF3" s="3089"/>
      <c r="AG3" s="3089"/>
      <c r="AH3" s="3089"/>
      <c r="AI3" s="3089"/>
      <c r="AJ3" s="3089"/>
      <c r="AK3" s="3089"/>
      <c r="AL3" s="3089"/>
      <c r="AM3" s="3089"/>
      <c r="AN3" s="3089"/>
      <c r="AO3" s="3089"/>
      <c r="AP3" s="3089"/>
      <c r="AQ3" s="3089"/>
      <c r="AR3" s="3089"/>
      <c r="AS3" s="3089"/>
      <c r="AT3" s="3089"/>
      <c r="AU3" s="3089"/>
      <c r="AV3" s="3089"/>
      <c r="AW3" s="3089"/>
      <c r="AX3" s="515"/>
      <c r="AY3" s="515" t="s">
        <v>2520</v>
      </c>
      <c r="AZ3" s="515"/>
      <c r="BA3" s="515"/>
      <c r="BB3" s="515"/>
      <c r="BC3" s="515"/>
      <c r="BD3" s="515"/>
      <c r="BE3" s="515"/>
      <c r="BF3" s="515"/>
      <c r="BG3" s="3090"/>
      <c r="BH3" s="4001"/>
      <c r="BI3"/>
      <c r="BJ3" s="514"/>
      <c r="BK3" s="515"/>
      <c r="BL3" s="515"/>
      <c r="BM3" s="515"/>
      <c r="BN3" s="515"/>
      <c r="BO3" s="515"/>
      <c r="BP3" s="3089"/>
      <c r="BQ3" s="3089"/>
      <c r="BR3" s="3089"/>
      <c r="BS3" s="3089"/>
      <c r="BT3" s="3089"/>
      <c r="BU3" s="3089"/>
    </row>
    <row r="4" spans="1:83" ht="20.25" customHeight="1">
      <c r="B4" s="514"/>
      <c r="C4" s="515"/>
      <c r="D4" s="3091" t="str">
        <f>Preferences.EnergyUnits &amp; " / year"</f>
        <v>TWh / year</v>
      </c>
      <c r="E4" s="515"/>
      <c r="F4" s="3643" t="s">
        <v>3035</v>
      </c>
      <c r="G4" s="3092"/>
      <c r="H4" s="3093">
        <v>1990</v>
      </c>
      <c r="I4" s="3093">
        <v>1991</v>
      </c>
      <c r="J4" s="3093">
        <v>1992</v>
      </c>
      <c r="K4" s="3093">
        <v>1993</v>
      </c>
      <c r="L4" s="3093">
        <v>1994</v>
      </c>
      <c r="M4" s="3093">
        <v>1995</v>
      </c>
      <c r="N4" s="3093">
        <v>1996</v>
      </c>
      <c r="O4" s="3093">
        <v>1997</v>
      </c>
      <c r="P4" s="3093">
        <v>1998</v>
      </c>
      <c r="Q4" s="3093">
        <v>1999</v>
      </c>
      <c r="R4" s="3093">
        <v>2000</v>
      </c>
      <c r="S4" s="3093">
        <v>2001</v>
      </c>
      <c r="T4" s="3093">
        <v>2002</v>
      </c>
      <c r="U4" s="3093">
        <v>2003</v>
      </c>
      <c r="V4" s="3093">
        <v>2004</v>
      </c>
      <c r="W4" s="3093">
        <v>2005</v>
      </c>
      <c r="X4" s="3093">
        <v>2006</v>
      </c>
      <c r="Y4" s="3093">
        <v>2007</v>
      </c>
      <c r="Z4" s="3093">
        <v>2008</v>
      </c>
      <c r="AA4" s="3093">
        <v>2009</v>
      </c>
      <c r="AB4" s="3093">
        <v>2010</v>
      </c>
      <c r="AC4" s="3093">
        <v>2011</v>
      </c>
      <c r="AD4" s="3093">
        <v>2012</v>
      </c>
      <c r="AE4" s="3093"/>
      <c r="AF4" s="3093" t="s">
        <v>3049</v>
      </c>
      <c r="AG4" s="3094" t="s">
        <v>3050</v>
      </c>
      <c r="AH4" s="3093"/>
      <c r="AI4" s="3093"/>
      <c r="AJ4" s="3093"/>
      <c r="AK4" s="3093"/>
      <c r="AL4" s="3093"/>
      <c r="AM4" s="3093"/>
      <c r="AN4" s="3093"/>
      <c r="AO4" s="3093"/>
      <c r="AP4" s="3093"/>
      <c r="AQ4" s="3093"/>
      <c r="AR4" s="3093"/>
      <c r="AS4" s="3093"/>
      <c r="AT4" s="3093"/>
      <c r="AU4" s="3093"/>
      <c r="AV4" s="3093"/>
      <c r="AW4" s="3094"/>
      <c r="AX4" s="515"/>
      <c r="AY4" s="3095">
        <v>2013</v>
      </c>
      <c r="AZ4" s="3095">
        <v>2015</v>
      </c>
      <c r="BA4" s="3095">
        <v>2020</v>
      </c>
      <c r="BB4" s="3095">
        <v>2025</v>
      </c>
      <c r="BC4" s="3095">
        <v>2030</v>
      </c>
      <c r="BD4" s="3095">
        <v>2035</v>
      </c>
      <c r="BE4" s="3095">
        <v>2040</v>
      </c>
      <c r="BF4" s="3095">
        <v>2045</v>
      </c>
      <c r="BG4" s="3095">
        <v>2050</v>
      </c>
      <c r="BH4" s="515"/>
      <c r="BJ4" s="514"/>
      <c r="BK4" s="515"/>
      <c r="BL4" s="4000"/>
      <c r="BM4" s="515"/>
      <c r="BN4" s="1250"/>
      <c r="BO4" s="3092"/>
      <c r="BP4" s="3093"/>
      <c r="BQ4" s="3093"/>
      <c r="BR4" s="3093"/>
      <c r="BS4" s="3093"/>
      <c r="BT4" s="3093"/>
      <c r="BU4" s="3093"/>
    </row>
    <row r="5" spans="1:83">
      <c r="B5" s="514"/>
      <c r="C5" s="515"/>
      <c r="D5" s="515"/>
      <c r="E5" s="515"/>
      <c r="F5" s="515"/>
      <c r="G5" s="515"/>
      <c r="H5" s="3089"/>
      <c r="I5" s="3089"/>
      <c r="J5" s="3089"/>
      <c r="K5" s="3089"/>
      <c r="L5" s="3089"/>
      <c r="M5" s="3089"/>
      <c r="N5" s="3089"/>
      <c r="O5" s="3089"/>
      <c r="P5" s="3089"/>
      <c r="Q5" s="3089"/>
      <c r="R5" s="3089"/>
      <c r="S5" s="3089"/>
      <c r="T5" s="3089"/>
      <c r="U5" s="3089"/>
      <c r="V5" s="3089"/>
      <c r="W5" s="3089"/>
      <c r="X5" s="3089"/>
      <c r="Y5" s="3089"/>
      <c r="Z5" s="3089"/>
      <c r="AA5" s="3089"/>
      <c r="AB5" s="3089"/>
      <c r="AC5" s="3089"/>
      <c r="AD5" s="3089"/>
      <c r="AE5" s="3089"/>
      <c r="AF5" s="3089"/>
      <c r="AG5" s="3089"/>
      <c r="AH5" s="3089"/>
      <c r="AI5" s="3089"/>
      <c r="AJ5" s="3089"/>
      <c r="AK5" s="3089"/>
      <c r="AL5" s="3089"/>
      <c r="AM5" s="3089"/>
      <c r="AN5" s="3089"/>
      <c r="AO5" s="3089"/>
      <c r="AP5" s="3089"/>
      <c r="AQ5" s="3089"/>
      <c r="AR5" s="3089"/>
      <c r="AS5" s="3089"/>
      <c r="AT5" s="3089"/>
      <c r="AU5" s="3089"/>
      <c r="AV5" s="3089"/>
      <c r="AW5" s="3089"/>
      <c r="AX5" s="515"/>
      <c r="AY5" s="515"/>
      <c r="AZ5" s="515"/>
      <c r="BA5" s="515"/>
      <c r="BB5" s="515"/>
      <c r="BC5" s="515"/>
      <c r="BD5" s="515"/>
      <c r="BE5" s="515"/>
      <c r="BF5" s="515"/>
      <c r="BG5" s="515"/>
      <c r="BH5" s="867"/>
      <c r="BJ5" s="514"/>
      <c r="BK5" s="515"/>
      <c r="BL5" s="515"/>
      <c r="BM5" s="515"/>
      <c r="BN5" s="515"/>
      <c r="BO5" s="515"/>
      <c r="BP5" s="3089"/>
      <c r="BQ5" s="3089"/>
      <c r="BR5" s="3089"/>
      <c r="BS5" s="3089"/>
      <c r="BT5" s="3089"/>
      <c r="BU5" s="3089"/>
    </row>
    <row r="6" spans="1:83" s="927" customFormat="1">
      <c r="B6" s="3096"/>
      <c r="C6" s="3097" t="s">
        <v>2521</v>
      </c>
      <c r="D6" s="3098"/>
      <c r="E6" s="515"/>
      <c r="F6" s="2934"/>
      <c r="G6" s="2934"/>
      <c r="H6" s="3099"/>
      <c r="I6" s="3099"/>
      <c r="J6" s="3099"/>
      <c r="K6" s="3099"/>
      <c r="L6" s="3099"/>
      <c r="M6" s="3099"/>
      <c r="N6" s="3099"/>
      <c r="O6" s="3099"/>
      <c r="P6" s="3099"/>
      <c r="Q6" s="3099"/>
      <c r="R6" s="3099"/>
      <c r="S6" s="3099"/>
      <c r="T6" s="3099"/>
      <c r="U6" s="3099"/>
      <c r="V6" s="3099"/>
      <c r="W6" s="3099"/>
      <c r="X6" s="3099"/>
      <c r="Y6" s="3099"/>
      <c r="Z6" s="3099"/>
      <c r="AA6" s="3099"/>
      <c r="AB6" s="3099"/>
      <c r="AC6" s="3099"/>
      <c r="AD6" s="3099"/>
      <c r="AE6" s="3099"/>
      <c r="AF6" s="3099"/>
      <c r="AG6" s="3099"/>
      <c r="AH6" s="3099"/>
      <c r="AI6" s="3099"/>
      <c r="AJ6" s="3099"/>
      <c r="AK6" s="3099"/>
      <c r="AL6" s="3099"/>
      <c r="AM6" s="3099"/>
      <c r="AN6" s="3099"/>
      <c r="AO6" s="3099"/>
      <c r="AP6" s="3099"/>
      <c r="AQ6" s="3099"/>
      <c r="AR6" s="3099"/>
      <c r="AS6" s="3099"/>
      <c r="AT6" s="3099"/>
      <c r="AU6" s="3099"/>
      <c r="AV6" s="3099"/>
      <c r="AW6" s="3099"/>
      <c r="AX6" s="515"/>
      <c r="AY6" s="2934"/>
      <c r="AZ6" s="2934"/>
      <c r="BA6" s="2934"/>
      <c r="BB6" s="2934"/>
      <c r="BC6" s="2934"/>
      <c r="BD6" s="2934"/>
      <c r="BE6" s="2934"/>
      <c r="BF6" s="2934"/>
      <c r="BG6" s="2934"/>
      <c r="BH6" s="3100"/>
      <c r="BJ6" s="3096"/>
      <c r="BK6" s="3097"/>
      <c r="BL6" s="3098"/>
      <c r="BM6" s="515"/>
      <c r="BN6" s="2934"/>
      <c r="BO6" s="2934"/>
      <c r="BP6" s="3099"/>
      <c r="BQ6" s="3099"/>
      <c r="BR6" s="3099"/>
      <c r="BS6" s="3099"/>
      <c r="BT6" s="3099"/>
      <c r="BU6" s="3099"/>
    </row>
    <row r="7" spans="1:83" s="927" customFormat="1">
      <c r="B7" s="3096"/>
      <c r="C7" s="3098" t="s">
        <v>418</v>
      </c>
      <c r="D7" s="3098" t="str">
        <f>INDEX(Vectors[Description], MATCH($C7, Vectors[Code], 0))</f>
        <v>Road transport</v>
      </c>
      <c r="E7" s="515"/>
      <c r="F7" s="2934">
        <f>(Unit.TWh)*('Irl. Energy Balance 2013 (TWh)'!AM46+'Irl. Energy Balance 2013 (TWh)'!AM47+'Irl. Energy Balance 2013 (TWh)'!AM48+'Irl. Energy Balance 2013 (TWh)'!AM49+'Irl. Energy Balance 2013 (TWh)'!AM55)</f>
        <v>38.645185944884147</v>
      </c>
      <c r="G7" s="2934"/>
      <c r="H7" s="3099">
        <v>18.513430605043663</v>
      </c>
      <c r="I7" s="3099">
        <v>19.228372346184312</v>
      </c>
      <c r="J7" s="3099">
        <v>20.874832420054183</v>
      </c>
      <c r="K7" s="3099">
        <v>20.784195806455994</v>
      </c>
      <c r="L7" s="3099">
        <v>21.673064668589699</v>
      </c>
      <c r="M7" s="3099">
        <v>22.283141079333681</v>
      </c>
      <c r="N7" s="3099">
        <v>25.837399071574055</v>
      </c>
      <c r="O7" s="3099">
        <v>25.463131348561976</v>
      </c>
      <c r="P7" s="3099">
        <v>28.226339844670701</v>
      </c>
      <c r="Q7" s="3099">
        <v>29.567560923351479</v>
      </c>
      <c r="R7" s="3099">
        <v>31.255624019950865</v>
      </c>
      <c r="S7" s="3099">
        <v>33.659926478328963</v>
      </c>
      <c r="T7" s="3099">
        <v>34.043586194855841</v>
      </c>
      <c r="U7" s="3099">
        <v>35.667265500724426</v>
      </c>
      <c r="V7" s="3099">
        <v>38.616245943087236</v>
      </c>
      <c r="W7" s="3099">
        <v>42.261381412279135</v>
      </c>
      <c r="X7" s="3099">
        <v>44.333508764586377</v>
      </c>
      <c r="Y7" s="3099">
        <v>45.630203915322483</v>
      </c>
      <c r="Z7" s="3099">
        <v>46.059720376706437</v>
      </c>
      <c r="AA7" s="3099">
        <v>43.035536356240264</v>
      </c>
      <c r="AB7" s="3099">
        <v>39.137879650537307</v>
      </c>
      <c r="AC7" s="3099">
        <v>38.611930548947868</v>
      </c>
      <c r="AD7" s="3099">
        <v>37.28417511839551</v>
      </c>
      <c r="AE7" s="3099"/>
      <c r="AF7" s="3099"/>
      <c r="AG7" s="3099"/>
      <c r="AH7" s="3099"/>
      <c r="AI7" s="3099"/>
      <c r="AJ7" s="3099"/>
      <c r="AK7" s="3099"/>
      <c r="AL7" s="3099"/>
      <c r="AM7" s="3099"/>
      <c r="AN7" s="3099"/>
      <c r="AO7" s="3099"/>
      <c r="AP7" s="3099"/>
      <c r="AQ7" s="3099"/>
      <c r="AR7" s="3099"/>
      <c r="AS7" s="3099"/>
      <c r="AT7" s="3099"/>
      <c r="AU7" s="3099"/>
      <c r="AV7" s="3099"/>
      <c r="AW7" s="3099"/>
      <c r="AX7" s="515"/>
      <c r="AY7" s="2934">
        <f ca="1">INDEX(INDIRECT("'"&amp;AY$4&amp;"'!Year.NetBalance"), MATCH('Intermediate output'!$C7, INDIRECT("'"&amp;AY$4&amp;"'!Year.Vectors"), 0))</f>
        <v>38.777720899243057</v>
      </c>
      <c r="AZ7" s="2934">
        <f ca="1">INDEX(INDIRECT("'"&amp;AZ$4&amp;"'!Year.NetBalance"), MATCH('Intermediate output'!$C7, INDIRECT("'"&amp;AZ$4&amp;"'!Year.Vectors"), 0))</f>
        <v>37.89730059516333</v>
      </c>
      <c r="BA7" s="2934">
        <f ca="1">INDEX(INDIRECT("'"&amp;BA$4&amp;"'!Year.NetBalance"), MATCH('Intermediate output'!$C7, INDIRECT("'"&amp;BA$4&amp;"'!Year.Vectors"), 0))</f>
        <v>36.134435164573652</v>
      </c>
      <c r="BB7" s="2934">
        <f ca="1">INDEX(INDIRECT("'"&amp;BB$4&amp;"'!Year.NetBalance"), MATCH('Intermediate output'!$C7, INDIRECT("'"&amp;BB$4&amp;"'!Year.Vectors"), 0))</f>
        <v>33.951749508261884</v>
      </c>
      <c r="BC7" s="2934">
        <f ca="1">INDEX(INDIRECT("'"&amp;BC$4&amp;"'!Year.NetBalance"), MATCH('Intermediate output'!$C7, INDIRECT("'"&amp;BC$4&amp;"'!Year.Vectors"), 0))</f>
        <v>33.687114265346466</v>
      </c>
      <c r="BD7" s="2934">
        <f ca="1">INDEX(INDIRECT("'"&amp;BD$4&amp;"'!Year.NetBalance"), MATCH('Intermediate output'!$C7, INDIRECT("'"&amp;BD$4&amp;"'!Year.Vectors"), 0))</f>
        <v>33.315436625723152</v>
      </c>
      <c r="BE7" s="2934">
        <f ca="1">INDEX(INDIRECT("'"&amp;BE$4&amp;"'!Year.NetBalance"), MATCH('Intermediate output'!$C7, INDIRECT("'"&amp;BE$4&amp;"'!Year.Vectors"), 0))</f>
        <v>33.083990769818584</v>
      </c>
      <c r="BF7" s="2934">
        <f ca="1">INDEX(INDIRECT("'"&amp;BF$4&amp;"'!Year.NetBalance"), MATCH('Intermediate output'!$C7, INDIRECT("'"&amp;BF$4&amp;"'!Year.Vectors"), 0))</f>
        <v>32.880652873663266</v>
      </c>
      <c r="BG7" s="2934">
        <f ca="1">INDEX(INDIRECT("'"&amp;BG$4&amp;"'!Year.NetBalance"), MATCH('Intermediate output'!$C7, INDIRECT("'"&amp;BG$4&amp;"'!Year.Vectors"), 0))</f>
        <v>32.690001720662984</v>
      </c>
      <c r="BH7" s="3100"/>
      <c r="BJ7" s="3096"/>
      <c r="BK7" s="3098"/>
      <c r="BL7" s="3098"/>
      <c r="BM7" s="515"/>
      <c r="BN7" s="2934"/>
      <c r="BO7" s="2934"/>
      <c r="BP7" s="3099"/>
      <c r="BQ7" s="3099"/>
      <c r="BR7" s="3099"/>
      <c r="BS7" s="3099"/>
      <c r="BT7" s="3099"/>
      <c r="BU7" s="3099"/>
    </row>
    <row r="8" spans="1:83" s="927" customFormat="1">
      <c r="B8" s="3096"/>
      <c r="C8" s="3098" t="s">
        <v>419</v>
      </c>
      <c r="D8" s="3098" t="str">
        <f>INDEX(Vectors[Description], MATCH($C8, Vectors[Code], 0))</f>
        <v>Rail transport</v>
      </c>
      <c r="E8" s="515"/>
      <c r="F8" s="2934">
        <f>(Unit.TWh)*'Irl. Energy Balance 2013 (TWh)'!AM50</f>
        <v>0.4876719932322367</v>
      </c>
      <c r="G8" s="2934"/>
      <c r="H8" s="3101">
        <v>0.52074487999999997</v>
      </c>
      <c r="I8" s="3101">
        <v>0.50720756</v>
      </c>
      <c r="J8" s="3101">
        <v>0.45661706000000002</v>
      </c>
      <c r="K8" s="3101">
        <v>0.50064823999999997</v>
      </c>
      <c r="L8" s="3101">
        <v>0.47273624000000003</v>
      </c>
      <c r="M8" s="3101">
        <v>0.44017223999999999</v>
      </c>
      <c r="N8" s="3101">
        <v>0.51095241999999996</v>
      </c>
      <c r="O8" s="3101">
        <v>0.49750813999999999</v>
      </c>
      <c r="P8" s="3101">
        <v>0.51246431999999997</v>
      </c>
      <c r="Q8" s="3101">
        <v>0.49485649999999998</v>
      </c>
      <c r="R8" s="3101">
        <v>0.49271657999999996</v>
      </c>
      <c r="S8" s="3101">
        <v>0.5353986799999999</v>
      </c>
      <c r="T8" s="3101">
        <v>0.46843313999999997</v>
      </c>
      <c r="U8" s="3101">
        <v>0.51495313999999992</v>
      </c>
      <c r="V8" s="3101">
        <v>0.56920708999999992</v>
      </c>
      <c r="W8" s="3101">
        <v>0.52199712991878167</v>
      </c>
      <c r="X8" s="3101">
        <v>0.51970588956974173</v>
      </c>
      <c r="Y8" s="3101">
        <v>0.55180215686473366</v>
      </c>
      <c r="Z8" s="3101">
        <v>0.5848475589070079</v>
      </c>
      <c r="AA8" s="3101">
        <v>0.51053819788384713</v>
      </c>
      <c r="AB8" s="3101">
        <v>0.5077294132734308</v>
      </c>
      <c r="AC8" s="3101">
        <v>0.51255025034114376</v>
      </c>
      <c r="AD8" s="3101">
        <v>0.49269399149541937</v>
      </c>
      <c r="AE8" s="3101"/>
      <c r="AF8" s="3101"/>
      <c r="AG8" s="3101"/>
      <c r="AH8" s="3101"/>
      <c r="AI8" s="3101"/>
      <c r="AJ8" s="3101"/>
      <c r="AK8" s="3101"/>
      <c r="AL8" s="3101"/>
      <c r="AM8" s="3101"/>
      <c r="AN8" s="3101"/>
      <c r="AO8" s="3101"/>
      <c r="AP8" s="3099"/>
      <c r="AQ8" s="3099"/>
      <c r="AR8" s="3099"/>
      <c r="AS8" s="3099"/>
      <c r="AT8" s="3099"/>
      <c r="AU8" s="3099"/>
      <c r="AV8" s="3099"/>
      <c r="AW8" s="3102"/>
      <c r="AX8" s="515"/>
      <c r="AY8" s="2934">
        <f ca="1">INDEX(INDIRECT("'"&amp;AY$4&amp;"'!Year.NetBalance"), MATCH('Intermediate output'!$C8, INDIRECT("'"&amp;AY$4&amp;"'!Year.Vectors"), 0))</f>
        <v>0.3939854936866376</v>
      </c>
      <c r="AZ8" s="2934">
        <f ca="1">INDEX(INDIRECT("'"&amp;AZ$4&amp;"'!Year.NetBalance"), MATCH('Intermediate output'!$C8, INDIRECT("'"&amp;AZ$4&amp;"'!Year.Vectors"), 0))</f>
        <v>0.45199457636929957</v>
      </c>
      <c r="BA8" s="2934">
        <f ca="1">INDEX(INDIRECT("'"&amp;BA$4&amp;"'!Year.NetBalance"), MATCH('Intermediate output'!$C8, INDIRECT("'"&amp;BA$4&amp;"'!Year.Vectors"), 0))</f>
        <v>0.43876387038956832</v>
      </c>
      <c r="BB8" s="2934">
        <f ca="1">INDEX(INDIRECT("'"&amp;BB$4&amp;"'!Year.NetBalance"), MATCH('Intermediate output'!$C8, INDIRECT("'"&amp;BB$4&amp;"'!Year.Vectors"), 0))</f>
        <v>0.42264386044609314</v>
      </c>
      <c r="BC8" s="2934">
        <f ca="1">INDEX(INDIRECT("'"&amp;BC$4&amp;"'!Year.NetBalance"), MATCH('Intermediate output'!$C8, INDIRECT("'"&amp;BC$4&amp;"'!Year.Vectors"), 0))</f>
        <v>0.40591861207029195</v>
      </c>
      <c r="BD8" s="2934">
        <f ca="1">INDEX(INDIRECT("'"&amp;BD$4&amp;"'!Year.NetBalance"), MATCH('Intermediate output'!$C8, INDIRECT("'"&amp;BD$4&amp;"'!Year.Vectors"), 0))</f>
        <v>0.3884627680202104</v>
      </c>
      <c r="BE8" s="2934">
        <f ca="1">INDEX(INDIRECT("'"&amp;BE$4&amp;"'!Year.NetBalance"), MATCH('Intermediate output'!$C8, INDIRECT("'"&amp;BE$4&amp;"'!Year.Vectors"), 0))</f>
        <v>0.36938892884152924</v>
      </c>
      <c r="BF8" s="2934">
        <f ca="1">INDEX(INDIRECT("'"&amp;BF$4&amp;"'!Year.NetBalance"), MATCH('Intermediate output'!$C8, INDIRECT("'"&amp;BF$4&amp;"'!Year.Vectors"), 0))</f>
        <v>0.34962764034052646</v>
      </c>
      <c r="BG8" s="2934">
        <f ca="1">INDEX(INDIRECT("'"&amp;BG$4&amp;"'!Year.NetBalance"), MATCH('Intermediate output'!$C8, INDIRECT("'"&amp;BG$4&amp;"'!Year.Vectors"), 0))</f>
        <v>0.32657111326878496</v>
      </c>
      <c r="BH8" s="3100"/>
      <c r="BJ8" s="3096"/>
      <c r="BK8" s="3098"/>
      <c r="BL8" s="3098"/>
      <c r="BM8" s="515"/>
      <c r="BN8" s="2934"/>
      <c r="BO8" s="2934"/>
      <c r="BP8" s="3101"/>
      <c r="BQ8" s="3101"/>
      <c r="BR8" s="3101"/>
      <c r="BS8" s="3101"/>
      <c r="BT8" s="3101"/>
      <c r="BU8" s="3101"/>
      <c r="CE8" s="927" t="s">
        <v>3474</v>
      </c>
    </row>
    <row r="9" spans="1:83" s="927" customFormat="1">
      <c r="B9" s="3096"/>
      <c r="C9" s="3098" t="s">
        <v>420</v>
      </c>
      <c r="D9" s="3098" t="str">
        <f>INDEX(Vectors[Description], MATCH($C9, Vectors[Code], 0))</f>
        <v>Domestic aviation</v>
      </c>
      <c r="E9" s="515"/>
      <c r="F9" s="2934"/>
      <c r="G9" s="2934"/>
      <c r="H9" s="3099"/>
      <c r="I9" s="3099"/>
      <c r="J9" s="3099"/>
      <c r="K9" s="3099"/>
      <c r="L9" s="3099"/>
      <c r="M9" s="3099"/>
      <c r="N9" s="3099"/>
      <c r="O9" s="3099"/>
      <c r="P9" s="3099"/>
      <c r="Q9" s="3099"/>
      <c r="R9" s="3099"/>
      <c r="S9" s="3099"/>
      <c r="T9" s="3099"/>
      <c r="U9" s="3099"/>
      <c r="V9" s="3099"/>
      <c r="W9" s="3099"/>
      <c r="X9" s="3099"/>
      <c r="Y9" s="3099"/>
      <c r="Z9" s="3099"/>
      <c r="AA9" s="3099"/>
      <c r="AB9" s="3099"/>
      <c r="AC9" s="3099"/>
      <c r="AD9" s="3099"/>
      <c r="AE9" s="3099"/>
      <c r="AF9" s="3099"/>
      <c r="AG9" s="3099"/>
      <c r="AH9" s="3099"/>
      <c r="AI9" s="3099"/>
      <c r="AJ9" s="3099"/>
      <c r="AK9" s="3099"/>
      <c r="AL9" s="3099"/>
      <c r="AM9" s="3099"/>
      <c r="AN9" s="3099"/>
      <c r="AO9" s="3099"/>
      <c r="AP9" s="3099"/>
      <c r="AQ9" s="3099"/>
      <c r="AR9" s="3099"/>
      <c r="AS9" s="3099"/>
      <c r="AT9" s="3099"/>
      <c r="AU9" s="3099"/>
      <c r="AV9" s="3099"/>
      <c r="AW9" s="3099"/>
      <c r="AX9" s="515"/>
      <c r="AY9" s="2934">
        <f ca="1">INDEX(INDIRECT("'"&amp;AY$4&amp;"'!Year.NetBalance"), MATCH('Intermediate output'!$C9, INDIRECT("'"&amp;AY$4&amp;"'!Year.Vectors"), 0))</f>
        <v>2.7179785187540276E-2</v>
      </c>
      <c r="AZ9" s="2934">
        <f ca="1">INDEX(INDIRECT("'"&amp;AZ$4&amp;"'!Year.NetBalance"), MATCH('Intermediate output'!$C9, INDIRECT("'"&amp;AZ$4&amp;"'!Year.Vectors"), 0))</f>
        <v>2.6979176745363341E-2</v>
      </c>
      <c r="BA9" s="2934">
        <f ca="1">INDEX(INDIRECT("'"&amp;BA$4&amp;"'!Year.NetBalance"), MATCH('Intermediate output'!$C9, INDIRECT("'"&amp;BA$4&amp;"'!Year.Vectors"), 0))</f>
        <v>2.6748583502616049E-2</v>
      </c>
      <c r="BB9" s="2934">
        <f ca="1">INDEX(INDIRECT("'"&amp;BB$4&amp;"'!Year.NetBalance"), MATCH('Intermediate output'!$C9, INDIRECT("'"&amp;BB$4&amp;"'!Year.Vectors"), 0))</f>
        <v>2.6377315657889075E-2</v>
      </c>
      <c r="BC9" s="2934">
        <f ca="1">INDEX(INDIRECT("'"&amp;BC$4&amp;"'!Year.NetBalance"), MATCH('Intermediate output'!$C9, INDIRECT("'"&amp;BC$4&amp;"'!Year.Vectors"), 0))</f>
        <v>2.6013627209398826E-2</v>
      </c>
      <c r="BD9" s="2934">
        <f ca="1">INDEX(INDIRECT("'"&amp;BD$4&amp;"'!Year.NetBalance"), MATCH('Intermediate output'!$C9, INDIRECT("'"&amp;BD$4&amp;"'!Year.Vectors"), 0))</f>
        <v>2.5651802953474499E-2</v>
      </c>
      <c r="BE9" s="2934">
        <f ca="1">INDEX(INDIRECT("'"&amp;BE$4&amp;"'!Year.NetBalance"), MATCH('Intermediate output'!$C9, INDIRECT("'"&amp;BE$4&amp;"'!Year.Vectors"), 0))</f>
        <v>2.5228818186920948E-2</v>
      </c>
      <c r="BF9" s="2934">
        <f ca="1">INDEX(INDIRECT("'"&amp;BF$4&amp;"'!Year.NetBalance"), MATCH('Intermediate output'!$C9, INDIRECT("'"&amp;BF$4&amp;"'!Year.Vectors"), 0))</f>
        <v>2.4811333961622644E-2</v>
      </c>
      <c r="BG9" s="2934">
        <f ca="1">INDEX(INDIRECT("'"&amp;BG$4&amp;"'!Year.NetBalance"), MATCH('Intermediate output'!$C9, INDIRECT("'"&amp;BG$4&amp;"'!Year.Vectors"), 0))</f>
        <v>2.4811333961622644E-2</v>
      </c>
      <c r="BH9" s="3100"/>
      <c r="BJ9" s="3096"/>
      <c r="BK9" s="3098"/>
      <c r="BL9" s="3098"/>
      <c r="BM9" s="515"/>
      <c r="BN9" s="2934"/>
      <c r="BO9" s="2934"/>
      <c r="BP9" s="3099"/>
      <c r="BQ9" s="3099"/>
      <c r="BR9" s="3099"/>
      <c r="BS9" s="3099"/>
      <c r="BT9" s="3099"/>
      <c r="BU9" s="3099"/>
      <c r="CE9" s="927" t="s">
        <v>3475</v>
      </c>
    </row>
    <row r="10" spans="1:83" s="927" customFormat="1">
      <c r="B10" s="3096"/>
      <c r="C10" s="3098" t="s">
        <v>421</v>
      </c>
      <c r="D10" s="3098" t="str">
        <f>INDEX(Vectors[Description], MATCH($C10, Vectors[Code], 0))</f>
        <v>National navigation</v>
      </c>
      <c r="E10" s="515"/>
      <c r="F10" s="2934">
        <f>(Unit.TWh)*'Irl. Energy Balance 2013 (TWh)'!AM54</f>
        <v>0.66524901180549467</v>
      </c>
      <c r="G10" s="2934"/>
      <c r="H10" s="3099">
        <v>8.4210504000000005E-2</v>
      </c>
      <c r="I10" s="3099">
        <v>8.4210504000000005E-2</v>
      </c>
      <c r="J10" s="3099">
        <v>9.6240575999999994E-2</v>
      </c>
      <c r="K10" s="3099">
        <v>9.6240575999999994E-2</v>
      </c>
      <c r="L10" s="3099">
        <v>9.6240575999999994E-2</v>
      </c>
      <c r="M10" s="3099">
        <v>8.4210504000000005E-2</v>
      </c>
      <c r="N10" s="3099">
        <v>0.14436086400000001</v>
      </c>
      <c r="O10" s="3099">
        <v>0.14436086400000001</v>
      </c>
      <c r="P10" s="3099">
        <v>0.18045107999999999</v>
      </c>
      <c r="Q10" s="3099">
        <v>0.21654129599999999</v>
      </c>
      <c r="R10" s="3099">
        <v>0.27567455747373082</v>
      </c>
      <c r="S10" s="3099">
        <v>0.33480781894746175</v>
      </c>
      <c r="T10" s="3099">
        <v>0.39394108042119252</v>
      </c>
      <c r="U10" s="3099">
        <v>0.45307434189492329</v>
      </c>
      <c r="V10" s="3099">
        <v>0.63802217311067821</v>
      </c>
      <c r="W10" s="3099">
        <v>0.5783044710559232</v>
      </c>
      <c r="X10" s="3099">
        <v>0.93802410860199015</v>
      </c>
      <c r="Y10" s="3099">
        <v>0.7407629777530782</v>
      </c>
      <c r="Z10" s="3099">
        <v>0.7677875112098238</v>
      </c>
      <c r="AA10" s="3099">
        <v>0.74823661339247494</v>
      </c>
      <c r="AB10" s="3099">
        <v>0.75047344279739758</v>
      </c>
      <c r="AC10" s="3099">
        <v>0.65151196405959677</v>
      </c>
      <c r="AD10" s="3099">
        <v>0.68910056720591173</v>
      </c>
      <c r="AE10" s="3099"/>
      <c r="AF10" s="3099"/>
      <c r="AG10" s="3099"/>
      <c r="AH10" s="3099"/>
      <c r="AI10" s="3099"/>
      <c r="AJ10" s="3099"/>
      <c r="AK10" s="3099"/>
      <c r="AL10" s="3099"/>
      <c r="AM10" s="3099"/>
      <c r="AN10" s="3099"/>
      <c r="AO10" s="3099"/>
      <c r="AP10" s="3099"/>
      <c r="AQ10" s="3099"/>
      <c r="AR10" s="3099"/>
      <c r="AS10" s="3099"/>
      <c r="AT10" s="3099"/>
      <c r="AU10" s="3099"/>
      <c r="AV10" s="3099"/>
      <c r="AW10" s="3099"/>
      <c r="AX10" s="515"/>
      <c r="AY10" s="2934">
        <f ca="1">INDEX(INDIRECT("'"&amp;AY$4&amp;"'!Year.NetBalance"), MATCH('Intermediate output'!$C10, INDIRECT("'"&amp;AY$4&amp;"'!Year.Vectors"), 0))</f>
        <v>0.66</v>
      </c>
      <c r="AZ10" s="2934">
        <f ca="1">INDEX(INDIRECT("'"&amp;AZ$4&amp;"'!Year.NetBalance"), MATCH('Intermediate output'!$C10, INDIRECT("'"&amp;AZ$4&amp;"'!Year.Vectors"), 0))</f>
        <v>0.66</v>
      </c>
      <c r="BA10" s="2934">
        <f ca="1">INDEX(INDIRECT("'"&amp;BA$4&amp;"'!Year.NetBalance"), MATCH('Intermediate output'!$C10, INDIRECT("'"&amp;BA$4&amp;"'!Year.Vectors"), 0))</f>
        <v>0.66</v>
      </c>
      <c r="BB10" s="2934">
        <f ca="1">INDEX(INDIRECT("'"&amp;BB$4&amp;"'!Year.NetBalance"), MATCH('Intermediate output'!$C10, INDIRECT("'"&amp;BB$4&amp;"'!Year.Vectors"), 0))</f>
        <v>0.66</v>
      </c>
      <c r="BC10" s="2934">
        <f ca="1">INDEX(INDIRECT("'"&amp;BC$4&amp;"'!Year.NetBalance"), MATCH('Intermediate output'!$C10, INDIRECT("'"&amp;BC$4&amp;"'!Year.Vectors"), 0))</f>
        <v>0.66</v>
      </c>
      <c r="BD10" s="2934">
        <f ca="1">INDEX(INDIRECT("'"&amp;BD$4&amp;"'!Year.NetBalance"), MATCH('Intermediate output'!$C10, INDIRECT("'"&amp;BD$4&amp;"'!Year.Vectors"), 0))</f>
        <v>0.66</v>
      </c>
      <c r="BE10" s="2934">
        <f ca="1">INDEX(INDIRECT("'"&amp;BE$4&amp;"'!Year.NetBalance"), MATCH('Intermediate output'!$C10, INDIRECT("'"&amp;BE$4&amp;"'!Year.Vectors"), 0))</f>
        <v>0.66</v>
      </c>
      <c r="BF10" s="2934">
        <f ca="1">INDEX(INDIRECT("'"&amp;BF$4&amp;"'!Year.NetBalance"), MATCH('Intermediate output'!$C10, INDIRECT("'"&amp;BF$4&amp;"'!Year.Vectors"), 0))</f>
        <v>0.66</v>
      </c>
      <c r="BG10" s="2934">
        <f ca="1">INDEX(INDIRECT("'"&amp;BG$4&amp;"'!Year.NetBalance"), MATCH('Intermediate output'!$C10, INDIRECT("'"&amp;BG$4&amp;"'!Year.Vectors"), 0))</f>
        <v>0.66</v>
      </c>
      <c r="BH10" s="3100"/>
      <c r="BJ10" s="3096"/>
      <c r="BK10" s="3098"/>
      <c r="BL10" s="3098"/>
      <c r="BM10" s="515"/>
      <c r="BN10" s="2934"/>
      <c r="BO10" s="2934"/>
      <c r="BP10" s="3099"/>
      <c r="BQ10" s="3099"/>
      <c r="BR10" s="3099"/>
      <c r="BS10" s="3099"/>
      <c r="BT10" s="3099"/>
      <c r="BU10" s="3099"/>
    </row>
    <row r="11" spans="1:83" s="927" customFormat="1">
      <c r="B11" s="3096"/>
      <c r="C11" s="3098" t="s">
        <v>422</v>
      </c>
      <c r="D11" s="3098" t="str">
        <f>INDEX(Vectors[Description], MATCH($C11, Vectors[Code], 0))</f>
        <v>International aviation</v>
      </c>
      <c r="E11" s="515"/>
      <c r="F11" s="2934">
        <f>(Unit.TWh)*'Irl. Energy Balance 2013 (TWh)'!AM52</f>
        <v>7.0155149583831626</v>
      </c>
      <c r="G11" s="2934"/>
      <c r="H11" s="3099">
        <v>4.1609854264046602</v>
      </c>
      <c r="I11" s="3099">
        <v>4.0332674265412933</v>
      </c>
      <c r="J11" s="3099">
        <v>3.5090199166616971</v>
      </c>
      <c r="K11" s="3099">
        <v>5.2091440937666027</v>
      </c>
      <c r="L11" s="3099">
        <v>4.6135761638650523</v>
      </c>
      <c r="M11" s="3099">
        <v>4.4774945766940677</v>
      </c>
      <c r="N11" s="3099">
        <v>4.1084174131665385</v>
      </c>
      <c r="O11" s="3099">
        <v>4.9696298611759682</v>
      </c>
      <c r="P11" s="3099">
        <v>5.1165280958506374</v>
      </c>
      <c r="Q11" s="3099">
        <v>6.0585178378310447</v>
      </c>
      <c r="R11" s="3099">
        <v>7.0433742018438181</v>
      </c>
      <c r="S11" s="3099">
        <v>8.5161436173258487</v>
      </c>
      <c r="T11" s="3099">
        <v>9.0557024273748681</v>
      </c>
      <c r="U11" s="3099">
        <v>8.8393067676986998</v>
      </c>
      <c r="V11" s="3099">
        <v>8.3782902431359112</v>
      </c>
      <c r="W11" s="3099">
        <v>9.7337592460982485</v>
      </c>
      <c r="X11" s="3099">
        <v>11.210171905930206</v>
      </c>
      <c r="Y11" s="3099">
        <v>11.87687841239368</v>
      </c>
      <c r="Z11" s="3099">
        <v>11.04303892982162</v>
      </c>
      <c r="AA11" s="3099">
        <v>8.716805263641108</v>
      </c>
      <c r="AB11" s="3099">
        <v>9.0069541333610079</v>
      </c>
      <c r="AC11" s="3099">
        <v>8.0697424853789883</v>
      </c>
      <c r="AD11" s="3099">
        <v>6.7758556823040941</v>
      </c>
      <c r="AE11" s="3099"/>
      <c r="AF11" s="3099"/>
      <c r="AG11" s="3099"/>
      <c r="AH11" s="3099"/>
      <c r="AI11" s="3099"/>
      <c r="AJ11" s="3099"/>
      <c r="AK11" s="3099"/>
      <c r="AL11" s="3099"/>
      <c r="AM11" s="3099"/>
      <c r="AN11" s="3099"/>
      <c r="AO11" s="3099"/>
      <c r="AP11" s="3099"/>
      <c r="AQ11" s="3099"/>
      <c r="AR11" s="3099"/>
      <c r="AS11" s="3099"/>
      <c r="AT11" s="3099"/>
      <c r="AU11" s="3099"/>
      <c r="AV11" s="3099"/>
      <c r="AW11" s="3099"/>
      <c r="AX11" s="515"/>
      <c r="AY11" s="2934">
        <f ca="1">INDEX(INDIRECT("'"&amp;AY$4&amp;"'!Year.NetBalance"), MATCH('Intermediate output'!$C11, INDIRECT("'"&amp;AY$4&amp;"'!Year.Vectors"), 0))</f>
        <v>7.02</v>
      </c>
      <c r="AZ11" s="2934">
        <f ca="1">INDEX(INDIRECT("'"&amp;AZ$4&amp;"'!Year.NetBalance"), MATCH('Intermediate output'!$C11, INDIRECT("'"&amp;AZ$4&amp;"'!Year.Vectors"), 0))</f>
        <v>6.8942086199999997</v>
      </c>
      <c r="BA11" s="2934">
        <f ca="1">INDEX(INDIRECT("'"&amp;BA$4&amp;"'!Year.NetBalance"), MATCH('Intermediate output'!$C11, INDIRECT("'"&amp;BA$4&amp;"'!Year.Vectors"), 0))</f>
        <v>7.4554183878892841</v>
      </c>
      <c r="BB11" s="2934">
        <f ca="1">INDEX(INDIRECT("'"&amp;BB$4&amp;"'!Year.NetBalance"), MATCH('Intermediate output'!$C11, INDIRECT("'"&amp;BB$4&amp;"'!Year.Vectors"), 0))</f>
        <v>8.0623123555082739</v>
      </c>
      <c r="BC11" s="2934">
        <f ca="1">INDEX(INDIRECT("'"&amp;BC$4&amp;"'!Year.NetBalance"), MATCH('Intermediate output'!$C11, INDIRECT("'"&amp;BC$4&amp;"'!Year.Vectors"), 0))</f>
        <v>8.7186093571046239</v>
      </c>
      <c r="BD11" s="2934">
        <f ca="1">INDEX(INDIRECT("'"&amp;BD$4&amp;"'!Year.NetBalance"), MATCH('Intermediate output'!$C11, INDIRECT("'"&amp;BD$4&amp;"'!Year.Vectors"), 0))</f>
        <v>9.4283309514618914</v>
      </c>
      <c r="BE11" s="2934">
        <f ca="1">INDEX(INDIRECT("'"&amp;BE$4&amp;"'!Year.NetBalance"), MATCH('Intermediate output'!$C11, INDIRECT("'"&amp;BE$4&amp;"'!Year.Vectors"), 0))</f>
        <v>10.195826064607054</v>
      </c>
      <c r="BF11" s="2934">
        <f ca="1">INDEX(INDIRECT("'"&amp;BF$4&amp;"'!Year.NetBalance"), MATCH('Intermediate output'!$C11, INDIRECT("'"&amp;BF$4&amp;"'!Year.Vectors"), 0))</f>
        <v>11.025797638510145</v>
      </c>
      <c r="BG11" s="2934">
        <f ca="1">INDEX(INDIRECT("'"&amp;BG$4&amp;"'!Year.NetBalance"), MATCH('Intermediate output'!$C11, INDIRECT("'"&amp;BG$4&amp;"'!Year.Vectors"), 0))</f>
        <v>11.923331449069897</v>
      </c>
      <c r="BH11" s="3100"/>
      <c r="BJ11" s="3096"/>
      <c r="BK11" s="3098"/>
      <c r="BL11" s="3098"/>
      <c r="BM11" s="515"/>
      <c r="BN11" s="2934"/>
      <c r="BO11" s="2934"/>
      <c r="BP11" s="3099"/>
      <c r="BQ11" s="3099"/>
      <c r="BR11" s="3099"/>
      <c r="BS11" s="3099"/>
      <c r="BT11" s="3099"/>
      <c r="BU11" s="3099"/>
    </row>
    <row r="12" spans="1:83" s="927" customFormat="1">
      <c r="B12" s="3096"/>
      <c r="C12" s="3098" t="s">
        <v>423</v>
      </c>
      <c r="D12" s="3098" t="str">
        <f>INDEX(Vectors[Description], MATCH($C12, Vectors[Code], 0))</f>
        <v>International shipping</v>
      </c>
      <c r="E12" s="515"/>
      <c r="F12" s="2934"/>
      <c r="G12" s="2934"/>
      <c r="H12" s="3099"/>
      <c r="I12" s="3099"/>
      <c r="J12" s="3099"/>
      <c r="K12" s="3099"/>
      <c r="L12" s="3099"/>
      <c r="M12" s="3099"/>
      <c r="N12" s="3099"/>
      <c r="O12" s="3099"/>
      <c r="P12" s="3099"/>
      <c r="Q12" s="3099"/>
      <c r="R12" s="3099"/>
      <c r="S12" s="3099"/>
      <c r="T12" s="3099"/>
      <c r="U12" s="3099"/>
      <c r="V12" s="3099"/>
      <c r="W12" s="3099"/>
      <c r="X12" s="3099"/>
      <c r="Y12" s="3099"/>
      <c r="Z12" s="3099"/>
      <c r="AA12" s="3099"/>
      <c r="AB12" s="3101"/>
      <c r="AC12" s="3101"/>
      <c r="AD12" s="3101"/>
      <c r="AE12" s="3101"/>
      <c r="AF12" s="3101"/>
      <c r="AG12" s="3101"/>
      <c r="AH12" s="3101"/>
      <c r="AI12" s="3101"/>
      <c r="AJ12" s="3101"/>
      <c r="AK12" s="3101"/>
      <c r="AL12" s="3101"/>
      <c r="AM12" s="3101"/>
      <c r="AN12" s="3101"/>
      <c r="AO12" s="3101"/>
      <c r="AP12" s="3101"/>
      <c r="AQ12" s="3101"/>
      <c r="AR12" s="3101"/>
      <c r="AS12" s="3099"/>
      <c r="AT12" s="3099"/>
      <c r="AU12" s="3099"/>
      <c r="AV12" s="3099"/>
      <c r="AW12" s="3099"/>
      <c r="AX12" s="515"/>
      <c r="AY12" s="2934">
        <f ca="1">INDEX(INDIRECT("'"&amp;AY$4&amp;"'!Year.NetBalance"), MATCH('Intermediate output'!$C12, INDIRECT("'"&amp;AY$4&amp;"'!Year.Vectors"), 0))</f>
        <v>0</v>
      </c>
      <c r="AZ12" s="2934">
        <f ca="1">INDEX(INDIRECT("'"&amp;AZ$4&amp;"'!Year.NetBalance"), MATCH('Intermediate output'!$C12, INDIRECT("'"&amp;AZ$4&amp;"'!Year.Vectors"), 0))</f>
        <v>0</v>
      </c>
      <c r="BA12" s="2934">
        <f ca="1">INDEX(INDIRECT("'"&amp;BA$4&amp;"'!Year.NetBalance"), MATCH('Intermediate output'!$C12, INDIRECT("'"&amp;BA$4&amp;"'!Year.Vectors"), 0))</f>
        <v>0</v>
      </c>
      <c r="BB12" s="2934">
        <f ca="1">INDEX(INDIRECT("'"&amp;BB$4&amp;"'!Year.NetBalance"), MATCH('Intermediate output'!$C12, INDIRECT("'"&amp;BB$4&amp;"'!Year.Vectors"), 0))</f>
        <v>0</v>
      </c>
      <c r="BC12" s="2934">
        <f ca="1">INDEX(INDIRECT("'"&amp;BC$4&amp;"'!Year.NetBalance"), MATCH('Intermediate output'!$C12, INDIRECT("'"&amp;BC$4&amp;"'!Year.Vectors"), 0))</f>
        <v>0</v>
      </c>
      <c r="BD12" s="2934">
        <f ca="1">INDEX(INDIRECT("'"&amp;BD$4&amp;"'!Year.NetBalance"), MATCH('Intermediate output'!$C12, INDIRECT("'"&amp;BD$4&amp;"'!Year.Vectors"), 0))</f>
        <v>0</v>
      </c>
      <c r="BE12" s="2934">
        <f ca="1">INDEX(INDIRECT("'"&amp;BE$4&amp;"'!Year.NetBalance"), MATCH('Intermediate output'!$C12, INDIRECT("'"&amp;BE$4&amp;"'!Year.Vectors"), 0))</f>
        <v>0</v>
      </c>
      <c r="BF12" s="2934">
        <f ca="1">INDEX(INDIRECT("'"&amp;BF$4&amp;"'!Year.NetBalance"), MATCH('Intermediate output'!$C12, INDIRECT("'"&amp;BF$4&amp;"'!Year.Vectors"), 0))</f>
        <v>0</v>
      </c>
      <c r="BG12" s="2934">
        <f ca="1">INDEX(INDIRECT("'"&amp;BG$4&amp;"'!Year.NetBalance"), MATCH('Intermediate output'!$C12, INDIRECT("'"&amp;BG$4&amp;"'!Year.Vectors"), 0))</f>
        <v>0</v>
      </c>
      <c r="BH12" s="3100"/>
      <c r="BJ12" s="3096"/>
      <c r="BK12" s="3098"/>
      <c r="BL12" s="3098"/>
      <c r="BM12" s="515"/>
      <c r="BN12" s="2934"/>
      <c r="BO12" s="2934"/>
      <c r="BP12" s="3099"/>
      <c r="BQ12" s="3099"/>
      <c r="BR12" s="3099"/>
      <c r="BS12" s="3099"/>
      <c r="BT12" s="3099"/>
      <c r="BU12" s="3099"/>
    </row>
    <row r="13" spans="1:83">
      <c r="B13" s="514"/>
      <c r="C13" s="515"/>
      <c r="D13" s="515" t="s">
        <v>491</v>
      </c>
      <c r="E13" s="515"/>
      <c r="F13" s="3103">
        <f>(Unit.TWh)*('Irl. Energy Balance 2013 (TWh)'!AM45-'Irl. Energy Balance 2013 (TWh)'!AM53)</f>
        <v>46.852574118890431</v>
      </c>
      <c r="G13" s="3103"/>
      <c r="H13" s="3104">
        <f>SUM(H7:H12)</f>
        <v>23.279371415448324</v>
      </c>
      <c r="I13" s="3104">
        <f t="shared" ref="I13:AD13" si="0">SUM(I7:I12)</f>
        <v>23.853057836725608</v>
      </c>
      <c r="J13" s="3104">
        <f t="shared" si="0"/>
        <v>24.936709972715878</v>
      </c>
      <c r="K13" s="3104">
        <f t="shared" si="0"/>
        <v>26.590228716222597</v>
      </c>
      <c r="L13" s="3104">
        <f t="shared" si="0"/>
        <v>26.85561764845475</v>
      </c>
      <c r="M13" s="3104">
        <f t="shared" si="0"/>
        <v>27.285018400027749</v>
      </c>
      <c r="N13" s="3104">
        <f t="shared" si="0"/>
        <v>30.601129768740591</v>
      </c>
      <c r="O13" s="3104">
        <f t="shared" si="0"/>
        <v>31.074630213737944</v>
      </c>
      <c r="P13" s="3104">
        <f t="shared" si="0"/>
        <v>34.035783340521341</v>
      </c>
      <c r="Q13" s="3104">
        <f t="shared" si="0"/>
        <v>36.337476557182526</v>
      </c>
      <c r="R13" s="3104">
        <f t="shared" si="0"/>
        <v>39.067389359268411</v>
      </c>
      <c r="S13" s="3104">
        <f t="shared" si="0"/>
        <v>43.046276594602276</v>
      </c>
      <c r="T13" s="3104">
        <f t="shared" si="0"/>
        <v>43.961662842651904</v>
      </c>
      <c r="U13" s="3104">
        <f t="shared" si="0"/>
        <v>45.474599750318056</v>
      </c>
      <c r="V13" s="3104">
        <f t="shared" si="0"/>
        <v>48.20176544933382</v>
      </c>
      <c r="W13" s="3104">
        <f t="shared" si="0"/>
        <v>53.095442259352083</v>
      </c>
      <c r="X13" s="3104">
        <f t="shared" si="0"/>
        <v>57.001410668688322</v>
      </c>
      <c r="Y13" s="3104">
        <f t="shared" si="0"/>
        <v>58.799647462333972</v>
      </c>
      <c r="Z13" s="3104">
        <f t="shared" si="0"/>
        <v>58.45539437664489</v>
      </c>
      <c r="AA13" s="3104">
        <f t="shared" si="0"/>
        <v>53.011116431157689</v>
      </c>
      <c r="AB13" s="3104">
        <f t="shared" si="0"/>
        <v>49.403036639969145</v>
      </c>
      <c r="AC13" s="3104">
        <f t="shared" si="0"/>
        <v>47.845735248727593</v>
      </c>
      <c r="AD13" s="3104">
        <f t="shared" si="0"/>
        <v>45.241825359400934</v>
      </c>
      <c r="AE13" s="3104"/>
      <c r="AF13" s="3104"/>
      <c r="AG13" s="3104"/>
      <c r="AH13" s="3104"/>
      <c r="AI13" s="3104"/>
      <c r="AJ13" s="3104"/>
      <c r="AK13" s="3104"/>
      <c r="AL13" s="3104"/>
      <c r="AM13" s="3104"/>
      <c r="AN13" s="3104"/>
      <c r="AO13" s="3104"/>
      <c r="AP13" s="3104"/>
      <c r="AQ13" s="3104"/>
      <c r="AR13" s="3104"/>
      <c r="AS13" s="3104"/>
      <c r="AT13" s="3104"/>
      <c r="AU13" s="3104"/>
      <c r="AV13" s="3104"/>
      <c r="AW13" s="3099"/>
      <c r="AX13" s="515"/>
      <c r="AY13" s="3642">
        <f t="shared" ref="AY13:BG13" ca="1" si="1">SUM(AY7:AY12)</f>
        <v>46.878886178117227</v>
      </c>
      <c r="AZ13" s="3642">
        <f t="shared" ca="1" si="1"/>
        <v>45.930482968277992</v>
      </c>
      <c r="BA13" s="3642">
        <f t="shared" ca="1" si="1"/>
        <v>44.715366006355119</v>
      </c>
      <c r="BB13" s="3642">
        <f t="shared" ca="1" si="1"/>
        <v>43.123083039874139</v>
      </c>
      <c r="BC13" s="3642">
        <f t="shared" ca="1" si="1"/>
        <v>43.497655861730784</v>
      </c>
      <c r="BD13" s="3642">
        <f t="shared" ca="1" si="1"/>
        <v>43.817882148158731</v>
      </c>
      <c r="BE13" s="3642">
        <f t="shared" ca="1" si="1"/>
        <v>44.334434581454083</v>
      </c>
      <c r="BF13" s="3642">
        <f t="shared" ca="1" si="1"/>
        <v>44.940889486475555</v>
      </c>
      <c r="BG13" s="3642">
        <f t="shared" ca="1" si="1"/>
        <v>45.624715616963286</v>
      </c>
      <c r="BH13" s="3105"/>
      <c r="BJ13" s="514"/>
      <c r="BK13" s="515"/>
      <c r="BL13" s="515"/>
      <c r="BM13" s="515"/>
      <c r="BN13" s="3103"/>
      <c r="BO13" s="3103"/>
      <c r="BP13" s="3104"/>
      <c r="BQ13" s="3104"/>
      <c r="BR13" s="3104"/>
      <c r="BS13" s="3104"/>
      <c r="BT13" s="3104"/>
      <c r="BU13" s="3104"/>
    </row>
    <row r="14" spans="1:83">
      <c r="B14" s="514"/>
      <c r="C14" s="3106" t="s">
        <v>417</v>
      </c>
      <c r="D14" s="515" t="str">
        <f>INDEX(Vectors[Description], MATCH($C14, Vectors[Code], 0))</f>
        <v>Industry</v>
      </c>
      <c r="E14" s="515" t="s">
        <v>3048</v>
      </c>
      <c r="F14" s="3103">
        <f>(Unit.TWh)*('Irl. Energy Balance 2013 (TWh)'!AM31+'Irl. Energy Balance 2013 (TWh)'!AM60)</f>
        <v>28.598401010584517</v>
      </c>
      <c r="G14" s="3103"/>
      <c r="H14" s="3104">
        <v>22.930794944891559</v>
      </c>
      <c r="I14" s="3104">
        <v>23.598475591702293</v>
      </c>
      <c r="J14" s="3104">
        <v>23.007145927513122</v>
      </c>
      <c r="K14" s="3104">
        <v>24.064511220835591</v>
      </c>
      <c r="L14" s="3104">
        <v>25.806881554003002</v>
      </c>
      <c r="M14" s="3104">
        <v>26.986513254400275</v>
      </c>
      <c r="N14" s="3104">
        <v>26.185282497827089</v>
      </c>
      <c r="O14" s="3104">
        <v>27.943019437701548</v>
      </c>
      <c r="P14" s="3104">
        <v>28.779232779913301</v>
      </c>
      <c r="Q14" s="3104">
        <v>29.915788507782938</v>
      </c>
      <c r="R14" s="3104">
        <v>33.331664888186801</v>
      </c>
      <c r="S14" s="3104">
        <v>33.096141770057301</v>
      </c>
      <c r="T14" s="3104">
        <v>32.143967226966168</v>
      </c>
      <c r="U14" s="3104">
        <v>32.213613861149071</v>
      </c>
      <c r="V14" s="3104">
        <v>32.617348757146821</v>
      </c>
      <c r="W14" s="3104">
        <v>34.532396078199376</v>
      </c>
      <c r="X14" s="3104">
        <v>34.817157148800042</v>
      </c>
      <c r="Y14" s="3104">
        <v>33.696010882809787</v>
      </c>
      <c r="Z14" s="3104">
        <v>32.890069357900636</v>
      </c>
      <c r="AA14" s="3104">
        <v>28.845288386653714</v>
      </c>
      <c r="AB14" s="3104">
        <v>29.429715932241756</v>
      </c>
      <c r="AC14" s="3104">
        <v>28.964628159027615</v>
      </c>
      <c r="AD14" s="3104">
        <v>28.595049388405933</v>
      </c>
      <c r="AE14" s="3104"/>
      <c r="AF14" s="3104"/>
      <c r="AG14" s="3104"/>
      <c r="AH14" s="3104"/>
      <c r="AI14" s="3104"/>
      <c r="AJ14" s="3104"/>
      <c r="AK14" s="3104"/>
      <c r="AL14" s="3104"/>
      <c r="AM14" s="3104"/>
      <c r="AN14" s="3104"/>
      <c r="AO14" s="3104"/>
      <c r="AP14" s="3104"/>
      <c r="AQ14" s="3104"/>
      <c r="AR14" s="3104"/>
      <c r="AS14" s="3104"/>
      <c r="AT14" s="3104"/>
      <c r="AU14" s="3104"/>
      <c r="AV14" s="3104"/>
      <c r="AW14" s="3099"/>
      <c r="AX14" s="515"/>
      <c r="AY14" s="3642">
        <f ca="1">INDEX(INDIRECT("'"&amp;AY$4&amp;"'!Year.NetBalance"), MATCH('Intermediate output'!$C14, INDIRECT("'"&amp;AY$4&amp;"'!Year.Vectors"), 0))</f>
        <v>28.675543224779016</v>
      </c>
      <c r="AZ14" s="3642">
        <f ca="1">INDEX(INDIRECT("'"&amp;AZ$4&amp;"'!Year.NetBalance"), MATCH('Intermediate output'!$C14, INDIRECT("'"&amp;AZ$4&amp;"'!Year.Vectors"), 0))</f>
        <v>29.002786937023085</v>
      </c>
      <c r="BA14" s="3642">
        <f ca="1">INDEX(INDIRECT("'"&amp;BA$4&amp;"'!Year.NetBalance"), MATCH('Intermediate output'!$C14, INDIRECT("'"&amp;BA$4&amp;"'!Year.Vectors"), 0))</f>
        <v>31.815835036785352</v>
      </c>
      <c r="BB14" s="3642">
        <f ca="1">INDEX(INDIRECT("'"&amp;BB$4&amp;"'!Year.NetBalance"), MATCH('Intermediate output'!$C14, INDIRECT("'"&amp;BB$4&amp;"'!Year.Vectors"), 0))</f>
        <v>30.936448881734712</v>
      </c>
      <c r="BC14" s="3642">
        <f ca="1">INDEX(INDIRECT("'"&amp;BC$4&amp;"'!Year.NetBalance"), MATCH('Intermediate output'!$C14, INDIRECT("'"&amp;BC$4&amp;"'!Year.Vectors"), 0))</f>
        <v>31.162226634125272</v>
      </c>
      <c r="BD14" s="3642">
        <f ca="1">INDEX(INDIRECT("'"&amp;BD$4&amp;"'!Year.NetBalance"), MATCH('Intermediate output'!$C14, INDIRECT("'"&amp;BD$4&amp;"'!Year.Vectors"), 0))</f>
        <v>32.196575836673233</v>
      </c>
      <c r="BE14" s="3642">
        <f ca="1">INDEX(INDIRECT("'"&amp;BE$4&amp;"'!Year.NetBalance"), MATCH('Intermediate output'!$C14, INDIRECT("'"&amp;BE$4&amp;"'!Year.Vectors"), 0))</f>
        <v>33.358518857203755</v>
      </c>
      <c r="BF14" s="3642">
        <f ca="1">INDEX(INDIRECT("'"&amp;BF$4&amp;"'!Year.NetBalance"), MATCH('Intermediate output'!$C14, INDIRECT("'"&amp;BF$4&amp;"'!Year.Vectors"), 0))</f>
        <v>34.650458118468507</v>
      </c>
      <c r="BG14" s="3642">
        <f ca="1">INDEX(INDIRECT("'"&amp;BG$4&amp;"'!Year.NetBalance"), MATCH('Intermediate output'!$C14, INDIRECT("'"&amp;BG$4&amp;"'!Year.Vectors"), 0))</f>
        <v>36.076262680025728</v>
      </c>
      <c r="BH14" s="3105"/>
      <c r="BJ14" s="514"/>
      <c r="BK14" s="3106"/>
      <c r="BL14" s="515"/>
      <c r="BM14" s="515"/>
      <c r="BN14" s="3103"/>
      <c r="BO14" s="3103"/>
      <c r="BP14" s="3104"/>
      <c r="BQ14" s="3104"/>
      <c r="BR14" s="3104"/>
      <c r="BS14" s="3104"/>
      <c r="BT14" s="3104"/>
      <c r="BU14" s="3104"/>
    </row>
    <row r="15" spans="1:83">
      <c r="B15" s="514"/>
      <c r="C15" s="3106" t="s">
        <v>103</v>
      </c>
      <c r="D15" s="515" t="str">
        <f>INDEX(Vectors[Description], MATCH($C15, Vectors[Code], 0))</f>
        <v>Heating and cooling</v>
      </c>
      <c r="E15" s="515"/>
      <c r="F15" s="4146">
        <f>(Unit.TWh)*SUM('Irl. Energy Balance 2013 (TWh)'!AM56:AM57)</f>
        <v>47.249915781655346</v>
      </c>
      <c r="G15" s="3103"/>
      <c r="H15" s="4145">
        <v>37.901105279936694</v>
      </c>
      <c r="I15" s="4145">
        <v>38.993687716877758</v>
      </c>
      <c r="J15" s="4145">
        <v>37.069038624034228</v>
      </c>
      <c r="K15" s="4145">
        <v>37.479056237807612</v>
      </c>
      <c r="L15" s="4145">
        <v>38.581364722834849</v>
      </c>
      <c r="M15" s="4145">
        <v>38.224339076787864</v>
      </c>
      <c r="N15" s="4145">
        <v>39.866432123253531</v>
      </c>
      <c r="O15" s="4145">
        <v>39.500474667428705</v>
      </c>
      <c r="P15" s="4145">
        <v>41.736927896031006</v>
      </c>
      <c r="Q15" s="4145">
        <v>43.07503818420539</v>
      </c>
      <c r="R15" s="4145">
        <v>44.714020284848907</v>
      </c>
      <c r="S15" s="4145">
        <v>46.860956486342097</v>
      </c>
      <c r="T15" s="4145">
        <v>47.054344834132216</v>
      </c>
      <c r="U15" s="4145">
        <v>49.631317718987461</v>
      </c>
      <c r="V15" s="4145">
        <v>50.137501123865306</v>
      </c>
      <c r="W15" s="4145">
        <v>52.43843230169422</v>
      </c>
      <c r="X15" s="4145">
        <v>52.05481018599864</v>
      </c>
      <c r="Y15" s="4145">
        <v>52.283855425932252</v>
      </c>
      <c r="Z15" s="4145">
        <v>56.997330000387592</v>
      </c>
      <c r="AA15" s="4145">
        <v>53.682447071058988</v>
      </c>
      <c r="AB15" s="4145">
        <v>55.148046103041644</v>
      </c>
      <c r="AC15" s="4145">
        <v>48.605544019783224</v>
      </c>
      <c r="AD15" s="4145">
        <v>47.197360353830433</v>
      </c>
      <c r="AE15" s="3104"/>
      <c r="AF15" s="3104"/>
      <c r="AG15" s="3104"/>
      <c r="AH15" s="3104"/>
      <c r="AI15" s="3104"/>
      <c r="AJ15" s="3104"/>
      <c r="AK15" s="3104"/>
      <c r="AL15" s="3104"/>
      <c r="AM15" s="3104"/>
      <c r="AN15" s="3104"/>
      <c r="AO15" s="3104"/>
      <c r="AP15" s="3104"/>
      <c r="AQ15" s="3104"/>
      <c r="AR15" s="3104"/>
      <c r="AS15" s="3104"/>
      <c r="AT15" s="3104"/>
      <c r="AU15" s="3104"/>
      <c r="AV15" s="3104"/>
      <c r="AW15" s="3099"/>
      <c r="AX15" s="515"/>
      <c r="AY15" s="3642">
        <f ca="1">INDEX(INDIRECT("'"&amp;AY$4&amp;"'!Year.NetBalance"), MATCH('Intermediate output'!$C15, INDIRECT("'"&amp;AY$4&amp;"'!Year.Vectors"), 0))</f>
        <v>36.980937210387133</v>
      </c>
      <c r="AZ15" s="3642">
        <f ca="1">INDEX(INDIRECT("'"&amp;AZ$4&amp;"'!Year.NetBalance"), MATCH('Intermediate output'!$C15, INDIRECT("'"&amp;AZ$4&amp;"'!Year.Vectors"), 0))</f>
        <v>35.698527384815208</v>
      </c>
      <c r="BA15" s="3642">
        <f ca="1">INDEX(INDIRECT("'"&amp;BA$4&amp;"'!Year.NetBalance"), MATCH('Intermediate output'!$C15, INDIRECT("'"&amp;BA$4&amp;"'!Year.Vectors"), 0))</f>
        <v>35.606421512563799</v>
      </c>
      <c r="BB15" s="3642">
        <f ca="1">INDEX(INDIRECT("'"&amp;BB$4&amp;"'!Year.NetBalance"), MATCH('Intermediate output'!$C15, INDIRECT("'"&amp;BB$4&amp;"'!Year.Vectors"), 0))</f>
        <v>36.831258141442504</v>
      </c>
      <c r="BC15" s="3642">
        <f ca="1">INDEX(INDIRECT("'"&amp;BC$4&amp;"'!Year.NetBalance"), MATCH('Intermediate output'!$C15, INDIRECT("'"&amp;BC$4&amp;"'!Year.Vectors"), 0))</f>
        <v>37.793072269825217</v>
      </c>
      <c r="BD15" s="3642">
        <f ca="1">INDEX(INDIRECT("'"&amp;BD$4&amp;"'!Year.NetBalance"), MATCH('Intermediate output'!$C15, INDIRECT("'"&amp;BD$4&amp;"'!Year.Vectors"), 0))</f>
        <v>38.883640112521043</v>
      </c>
      <c r="BE15" s="3642">
        <f ca="1">INDEX(INDIRECT("'"&amp;BE$4&amp;"'!Year.NetBalance"), MATCH('Intermediate output'!$C15, INDIRECT("'"&amp;BE$4&amp;"'!Year.Vectors"), 0))</f>
        <v>40.107798280097512</v>
      </c>
      <c r="BF15" s="3642">
        <f ca="1">INDEX(INDIRECT("'"&amp;BF$4&amp;"'!Year.NetBalance"), MATCH('Intermediate output'!$C15, INDIRECT("'"&amp;BF$4&amp;"'!Year.Vectors"), 0))</f>
        <v>41.5263129319206</v>
      </c>
      <c r="BG15" s="3642">
        <f ca="1">INDEX(INDIRECT("'"&amp;BG$4&amp;"'!Year.NetBalance"), MATCH('Intermediate output'!$C15, INDIRECT("'"&amp;BG$4&amp;"'!Year.Vectors"), 0))</f>
        <v>42.9684946640851</v>
      </c>
      <c r="BH15" s="3105"/>
      <c r="BJ15" s="514"/>
      <c r="BK15" s="3106"/>
      <c r="BL15" s="515"/>
      <c r="BM15" s="515"/>
      <c r="BN15" s="4146"/>
      <c r="BO15" s="3103"/>
      <c r="BP15" s="4145"/>
      <c r="BQ15" s="4145"/>
      <c r="BR15" s="4145"/>
      <c r="BS15" s="4145"/>
      <c r="BT15" s="4145"/>
      <c r="BU15" s="4145"/>
    </row>
    <row r="16" spans="1:83">
      <c r="B16" s="514"/>
      <c r="C16" s="3106" t="s">
        <v>416</v>
      </c>
      <c r="D16" s="515" t="str">
        <f>INDEX(Vectors[Description], MATCH($C16, Vectors[Code], 0))</f>
        <v>Lighting &amp; appliances</v>
      </c>
      <c r="E16" s="515"/>
      <c r="F16" s="4146"/>
      <c r="G16" s="3103"/>
      <c r="H16" s="4145"/>
      <c r="I16" s="4145">
        <v>38.993687716877758</v>
      </c>
      <c r="J16" s="4145">
        <v>37.069038624034228</v>
      </c>
      <c r="K16" s="4145">
        <v>37.479056237807612</v>
      </c>
      <c r="L16" s="4145">
        <v>38.581364722834849</v>
      </c>
      <c r="M16" s="4145">
        <v>38.224339076787864</v>
      </c>
      <c r="N16" s="4145">
        <v>39.866432123253531</v>
      </c>
      <c r="O16" s="4145">
        <v>39.500474667428705</v>
      </c>
      <c r="P16" s="4145">
        <v>41.736927896031006</v>
      </c>
      <c r="Q16" s="4145">
        <v>43.07503818420539</v>
      </c>
      <c r="R16" s="4145">
        <v>44.714020284848907</v>
      </c>
      <c r="S16" s="4145">
        <v>46.860956486342097</v>
      </c>
      <c r="T16" s="4145">
        <v>47.054344834132216</v>
      </c>
      <c r="U16" s="4145">
        <v>49.631317718987461</v>
      </c>
      <c r="V16" s="4145">
        <v>50.137501123865306</v>
      </c>
      <c r="W16" s="4145">
        <v>52.43843230169422</v>
      </c>
      <c r="X16" s="4145">
        <v>52.05481018599864</v>
      </c>
      <c r="Y16" s="4145">
        <v>52.283855425932252</v>
      </c>
      <c r="Z16" s="4145">
        <v>56.997330000387592</v>
      </c>
      <c r="AA16" s="4145">
        <v>53.682447071058988</v>
      </c>
      <c r="AB16" s="4145">
        <v>55.148046103041644</v>
      </c>
      <c r="AC16" s="4145">
        <v>48.605544019783224</v>
      </c>
      <c r="AD16" s="4145">
        <v>47.197360353830433</v>
      </c>
      <c r="AE16" s="3104"/>
      <c r="AF16" s="3104"/>
      <c r="AG16" s="3104"/>
      <c r="AH16" s="3104"/>
      <c r="AI16" s="3104"/>
      <c r="AJ16" s="3104"/>
      <c r="AK16" s="3104"/>
      <c r="AL16" s="3104"/>
      <c r="AM16" s="3104"/>
      <c r="AN16" s="3104"/>
      <c r="AO16" s="3104"/>
      <c r="AP16" s="3104"/>
      <c r="AQ16" s="3104"/>
      <c r="AR16" s="3104"/>
      <c r="AS16" s="3104"/>
      <c r="AT16" s="3104"/>
      <c r="AU16" s="3104"/>
      <c r="AV16" s="3104"/>
      <c r="AW16" s="3099"/>
      <c r="AX16" s="515"/>
      <c r="AY16" s="3642">
        <f ca="1">INDEX(INDIRECT("'"&amp;AY$4&amp;"'!Year.NetBalance"), MATCH('Intermediate output'!$C16, INDIRECT("'"&amp;AY$4&amp;"'!Year.Vectors"), 0))</f>
        <v>9.9881098435378739</v>
      </c>
      <c r="AZ16" s="3642">
        <f ca="1">INDEX(INDIRECT("'"&amp;AZ$4&amp;"'!Year.NetBalance"), MATCH('Intermediate output'!$C16, INDIRECT("'"&amp;AZ$4&amp;"'!Year.Vectors"), 0))</f>
        <v>10.094711107570451</v>
      </c>
      <c r="BA16" s="3642">
        <f ca="1">INDEX(INDIRECT("'"&amp;BA$4&amp;"'!Year.NetBalance"), MATCH('Intermediate output'!$C16, INDIRECT("'"&amp;BA$4&amp;"'!Year.Vectors"), 0))</f>
        <v>10.378401122896985</v>
      </c>
      <c r="BB16" s="3642">
        <f ca="1">INDEX(INDIRECT("'"&amp;BB$4&amp;"'!Year.NetBalance"), MATCH('Intermediate output'!$C16, INDIRECT("'"&amp;BB$4&amp;"'!Year.Vectors"), 0))</f>
        <v>10.679268973988956</v>
      </c>
      <c r="BC16" s="3642">
        <f ca="1">INDEX(INDIRECT("'"&amp;BC$4&amp;"'!Year.NetBalance"), MATCH('Intermediate output'!$C16, INDIRECT("'"&amp;BC$4&amp;"'!Year.Vectors"), 0))</f>
        <v>11.004615111074104</v>
      </c>
      <c r="BD16" s="3642">
        <f ca="1">INDEX(INDIRECT("'"&amp;BD$4&amp;"'!Year.NetBalance"), MATCH('Intermediate output'!$C16, INDIRECT("'"&amp;BD$4&amp;"'!Year.Vectors"), 0))</f>
        <v>11.3150669434942</v>
      </c>
      <c r="BE16" s="3642">
        <f ca="1">INDEX(INDIRECT("'"&amp;BE$4&amp;"'!Year.NetBalance"), MATCH('Intermediate output'!$C16, INDIRECT("'"&amp;BE$4&amp;"'!Year.Vectors"), 0))</f>
        <v>11.588405997071563</v>
      </c>
      <c r="BF16" s="3642">
        <f ca="1">INDEX(INDIRECT("'"&amp;BF$4&amp;"'!Year.NetBalance"), MATCH('Intermediate output'!$C16, INDIRECT("'"&amp;BF$4&amp;"'!Year.Vectors"), 0))</f>
        <v>11.826083554413207</v>
      </c>
      <c r="BG16" s="3642">
        <f ca="1">INDEX(INDIRECT("'"&amp;BG$4&amp;"'!Year.NetBalance"), MATCH('Intermediate output'!$C16, INDIRECT("'"&amp;BG$4&amp;"'!Year.Vectors"), 0))</f>
        <v>12.034872571628442</v>
      </c>
      <c r="BH16" s="3105"/>
      <c r="BJ16" s="514"/>
      <c r="BK16" s="3106"/>
      <c r="BL16" s="515"/>
      <c r="BM16" s="515"/>
      <c r="BN16" s="4146"/>
      <c r="BO16" s="3103"/>
      <c r="BP16" s="4145"/>
      <c r="BQ16" s="4145"/>
      <c r="BR16" s="4145"/>
      <c r="BS16" s="4145"/>
      <c r="BT16" s="4145"/>
      <c r="BU16" s="4145"/>
    </row>
    <row r="17" spans="2:83">
      <c r="B17" s="514"/>
      <c r="C17" s="3106" t="s">
        <v>424</v>
      </c>
      <c r="D17" s="515" t="str">
        <f>INDEX(Vectors[Description], MATCH($C17, Vectors[Code], 0))</f>
        <v>Food consumption (unused)</v>
      </c>
      <c r="E17" s="515"/>
      <c r="F17" s="3103"/>
      <c r="G17" s="3103"/>
      <c r="H17" s="3104"/>
      <c r="I17" s="3104"/>
      <c r="J17" s="3104"/>
      <c r="K17" s="3104"/>
      <c r="L17" s="3104"/>
      <c r="M17" s="3104"/>
      <c r="N17" s="3104"/>
      <c r="O17" s="3104"/>
      <c r="P17" s="3104"/>
      <c r="Q17" s="3104"/>
      <c r="R17" s="3104"/>
      <c r="S17" s="3104"/>
      <c r="T17" s="3104"/>
      <c r="U17" s="3104"/>
      <c r="V17" s="3104"/>
      <c r="W17" s="3104"/>
      <c r="X17" s="3104"/>
      <c r="Y17" s="3104"/>
      <c r="Z17" s="3104"/>
      <c r="AA17" s="3104"/>
      <c r="AB17" s="3104"/>
      <c r="AC17" s="3104"/>
      <c r="AD17" s="3104"/>
      <c r="AE17" s="3104"/>
      <c r="AF17" s="3104"/>
      <c r="AG17" s="3104"/>
      <c r="AH17" s="3104"/>
      <c r="AI17" s="3104"/>
      <c r="AJ17" s="3104"/>
      <c r="AK17" s="3104"/>
      <c r="AL17" s="3104"/>
      <c r="AM17" s="3104"/>
      <c r="AN17" s="3104"/>
      <c r="AO17" s="3104"/>
      <c r="AP17" s="3104"/>
      <c r="AQ17" s="3104"/>
      <c r="AR17" s="3104"/>
      <c r="AS17" s="3104"/>
      <c r="AT17" s="3104"/>
      <c r="AU17" s="3104"/>
      <c r="AV17" s="3104"/>
      <c r="AW17" s="3107"/>
      <c r="AX17" s="515"/>
      <c r="AY17" s="2934">
        <f ca="1">INDEX(INDIRECT("'"&amp;AY$4&amp;"'!Year.NetBalance"), MATCH('Intermediate output'!$C17, INDIRECT("'"&amp;AY$4&amp;"'!Year.Vectors"), 0))</f>
        <v>0</v>
      </c>
      <c r="AZ17" s="2934">
        <f ca="1">INDEX(INDIRECT("'"&amp;AZ$4&amp;"'!Year.NetBalance"), MATCH('Intermediate output'!$C17, INDIRECT("'"&amp;AZ$4&amp;"'!Year.Vectors"), 0))</f>
        <v>0</v>
      </c>
      <c r="BA17" s="2934">
        <f ca="1">INDEX(INDIRECT("'"&amp;BA$4&amp;"'!Year.NetBalance"), MATCH('Intermediate output'!$C17, INDIRECT("'"&amp;BA$4&amp;"'!Year.Vectors"), 0))</f>
        <v>0</v>
      </c>
      <c r="BB17" s="2934">
        <f ca="1">INDEX(INDIRECT("'"&amp;BB$4&amp;"'!Year.NetBalance"), MATCH('Intermediate output'!$C17, INDIRECT("'"&amp;BB$4&amp;"'!Year.Vectors"), 0))</f>
        <v>0</v>
      </c>
      <c r="BC17" s="2934">
        <f ca="1">INDEX(INDIRECT("'"&amp;BC$4&amp;"'!Year.NetBalance"), MATCH('Intermediate output'!$C17, INDIRECT("'"&amp;BC$4&amp;"'!Year.Vectors"), 0))</f>
        <v>0</v>
      </c>
      <c r="BD17" s="2934">
        <f ca="1">INDEX(INDIRECT("'"&amp;BD$4&amp;"'!Year.NetBalance"), MATCH('Intermediate output'!$C17, INDIRECT("'"&amp;BD$4&amp;"'!Year.Vectors"), 0))</f>
        <v>0</v>
      </c>
      <c r="BE17" s="2934">
        <f ca="1">INDEX(INDIRECT("'"&amp;BE$4&amp;"'!Year.NetBalance"), MATCH('Intermediate output'!$C17, INDIRECT("'"&amp;BE$4&amp;"'!Year.Vectors"), 0))</f>
        <v>0</v>
      </c>
      <c r="BF17" s="2934">
        <f ca="1">INDEX(INDIRECT("'"&amp;BF$4&amp;"'!Year.NetBalance"), MATCH('Intermediate output'!$C17, INDIRECT("'"&amp;BF$4&amp;"'!Year.Vectors"), 0))</f>
        <v>0</v>
      </c>
      <c r="BG17" s="2934">
        <f ca="1">INDEX(INDIRECT("'"&amp;BG$4&amp;"'!Year.NetBalance"), MATCH('Intermediate output'!$C17, INDIRECT("'"&amp;BG$4&amp;"'!Year.Vectors"), 0))</f>
        <v>0</v>
      </c>
      <c r="BH17" s="3105"/>
      <c r="BJ17" s="514"/>
      <c r="BK17" s="3106"/>
      <c r="BL17" s="515"/>
      <c r="BM17" s="515"/>
      <c r="BN17" s="3103"/>
      <c r="BO17" s="3103"/>
      <c r="BP17" s="3104"/>
      <c r="BQ17" s="3104"/>
      <c r="BR17" s="3104"/>
      <c r="BS17" s="3104"/>
      <c r="BT17" s="3104"/>
      <c r="BU17" s="3104"/>
    </row>
    <row r="18" spans="2:83" s="381" customFormat="1" ht="18.75">
      <c r="B18" s="3108"/>
      <c r="C18" s="3109"/>
      <c r="D18" s="3110" t="s">
        <v>2522</v>
      </c>
      <c r="E18" s="515"/>
      <c r="F18" s="3111">
        <f>SUM(F13:F16)</f>
        <v>122.7008909111303</v>
      </c>
      <c r="G18" s="3112"/>
      <c r="H18" s="3107">
        <f>H13+H14+H15</f>
        <v>84.111271640276584</v>
      </c>
      <c r="I18" s="3107">
        <f>I13+I14+I15</f>
        <v>86.445221145305652</v>
      </c>
      <c r="J18" s="3107">
        <f t="shared" ref="J18:AD18" si="2">J13+J14+J15</f>
        <v>85.012894524263231</v>
      </c>
      <c r="K18" s="3107">
        <f t="shared" si="2"/>
        <v>88.133796174865807</v>
      </c>
      <c r="L18" s="3107">
        <f t="shared" si="2"/>
        <v>91.243863925292601</v>
      </c>
      <c r="M18" s="3107">
        <f t="shared" si="2"/>
        <v>92.495870731215888</v>
      </c>
      <c r="N18" s="3107">
        <f t="shared" si="2"/>
        <v>96.652844389821212</v>
      </c>
      <c r="O18" s="3107">
        <f t="shared" si="2"/>
        <v>98.518124318868189</v>
      </c>
      <c r="P18" s="3107">
        <f t="shared" si="2"/>
        <v>104.55194401646565</v>
      </c>
      <c r="Q18" s="3107">
        <f t="shared" si="2"/>
        <v>109.32830324917086</v>
      </c>
      <c r="R18" s="3107">
        <f t="shared" si="2"/>
        <v>117.11307453230413</v>
      </c>
      <c r="S18" s="3107">
        <f t="shared" si="2"/>
        <v>123.00337485100167</v>
      </c>
      <c r="T18" s="3107">
        <f t="shared" si="2"/>
        <v>123.15997490375028</v>
      </c>
      <c r="U18" s="3107">
        <f t="shared" si="2"/>
        <v>127.31953133045458</v>
      </c>
      <c r="V18" s="3107">
        <f t="shared" si="2"/>
        <v>130.95661533034593</v>
      </c>
      <c r="W18" s="3107">
        <f t="shared" si="2"/>
        <v>140.06627063924566</v>
      </c>
      <c r="X18" s="3107">
        <f t="shared" si="2"/>
        <v>143.87337800348701</v>
      </c>
      <c r="Y18" s="3107">
        <f t="shared" si="2"/>
        <v>144.77951377107601</v>
      </c>
      <c r="Z18" s="3107">
        <f t="shared" si="2"/>
        <v>148.34279373493311</v>
      </c>
      <c r="AA18" s="3107">
        <f t="shared" si="2"/>
        <v>135.5388518888704</v>
      </c>
      <c r="AB18" s="3107">
        <f t="shared" si="2"/>
        <v>133.98079867525254</v>
      </c>
      <c r="AC18" s="3107">
        <f t="shared" si="2"/>
        <v>125.41590742753843</v>
      </c>
      <c r="AD18" s="3107">
        <f t="shared" si="2"/>
        <v>121.03423510163729</v>
      </c>
      <c r="AE18" s="3107"/>
      <c r="AF18" s="3107"/>
      <c r="AG18" s="3107"/>
      <c r="AH18" s="3107"/>
      <c r="AI18" s="3107"/>
      <c r="AJ18" s="3107"/>
      <c r="AK18" s="3107"/>
      <c r="AL18" s="3107"/>
      <c r="AM18" s="3107"/>
      <c r="AN18" s="3107"/>
      <c r="AO18" s="3107"/>
      <c r="AP18" s="3107"/>
      <c r="AQ18" s="3107"/>
      <c r="AR18" s="3107"/>
      <c r="AS18" s="3107"/>
      <c r="AT18" s="3107"/>
      <c r="AU18" s="3107"/>
      <c r="AV18" s="3107"/>
      <c r="AW18" s="3107"/>
      <c r="AX18" s="515"/>
      <c r="AY18" s="3111">
        <f ca="1">AY13+AY14+AY15+AY16+AY17</f>
        <v>122.52347645682124</v>
      </c>
      <c r="AZ18" s="3111">
        <f t="shared" ref="AZ18:BG18" ca="1" si="3">AZ13+AZ14+AZ15+AZ16+AZ17</f>
        <v>120.72650839768673</v>
      </c>
      <c r="BA18" s="3111">
        <f t="shared" ca="1" si="3"/>
        <v>122.51602367860126</v>
      </c>
      <c r="BB18" s="3111">
        <f t="shared" ca="1" si="3"/>
        <v>121.57005903704031</v>
      </c>
      <c r="BC18" s="3111">
        <f t="shared" ca="1" si="3"/>
        <v>123.45756987675537</v>
      </c>
      <c r="BD18" s="3111">
        <f t="shared" ca="1" si="3"/>
        <v>126.2131650408472</v>
      </c>
      <c r="BE18" s="3111">
        <f t="shared" ca="1" si="3"/>
        <v>129.38915771582691</v>
      </c>
      <c r="BF18" s="3111">
        <f t="shared" ca="1" si="3"/>
        <v>132.94374409127786</v>
      </c>
      <c r="BG18" s="3111">
        <f t="shared" ca="1" si="3"/>
        <v>136.70434553270255</v>
      </c>
      <c r="BH18" s="3113"/>
      <c r="BJ18" s="3108"/>
      <c r="BK18" s="3109"/>
      <c r="BL18" s="3110"/>
      <c r="BM18" s="515"/>
      <c r="BN18" s="3111"/>
      <c r="BO18" s="3112"/>
      <c r="BP18" s="3107"/>
      <c r="BQ18" s="3107"/>
      <c r="BR18" s="3107"/>
      <c r="BS18" s="3107"/>
      <c r="BT18" s="3107"/>
      <c r="BU18" s="3107"/>
    </row>
    <row r="19" spans="2:83" s="363" customFormat="1">
      <c r="B19" s="3114"/>
      <c r="C19" s="3115"/>
      <c r="D19" s="34"/>
      <c r="E19" s="515"/>
      <c r="F19" s="3116"/>
      <c r="G19" s="3116"/>
      <c r="H19" s="3117"/>
      <c r="I19" s="3117"/>
      <c r="J19" s="3117"/>
      <c r="K19" s="3117"/>
      <c r="L19" s="3117"/>
      <c r="M19" s="3117"/>
      <c r="N19" s="3117"/>
      <c r="O19" s="3117"/>
      <c r="P19" s="3117"/>
      <c r="Q19" s="3117"/>
      <c r="R19" s="3117"/>
      <c r="S19" s="3117"/>
      <c r="T19" s="3117"/>
      <c r="U19" s="3117"/>
      <c r="V19" s="3117"/>
      <c r="W19" s="3117"/>
      <c r="X19" s="3117"/>
      <c r="Y19" s="3117"/>
      <c r="Z19" s="3117"/>
      <c r="AA19" s="3117"/>
      <c r="AB19" s="3117"/>
      <c r="AC19" s="3117"/>
      <c r="AD19" s="3117"/>
      <c r="AE19" s="3117"/>
      <c r="AF19" s="3117"/>
      <c r="AG19" s="3117"/>
      <c r="AH19" s="3117"/>
      <c r="AI19" s="3117"/>
      <c r="AJ19" s="3117"/>
      <c r="AK19" s="3117"/>
      <c r="AL19" s="3117"/>
      <c r="AM19" s="3117"/>
      <c r="AN19" s="3117"/>
      <c r="AO19" s="3117"/>
      <c r="AP19" s="3117"/>
      <c r="AQ19" s="3117"/>
      <c r="AR19" s="3117"/>
      <c r="AS19" s="3117"/>
      <c r="AT19" s="3117"/>
      <c r="AU19" s="3117"/>
      <c r="AV19" s="3117"/>
      <c r="AW19" s="3117"/>
      <c r="AX19" s="515"/>
      <c r="AY19" s="3116"/>
      <c r="AZ19" s="3116"/>
      <c r="BA19" s="3116"/>
      <c r="BB19" s="3116"/>
      <c r="BC19" s="3116"/>
      <c r="BD19" s="3116"/>
      <c r="BE19" s="3116"/>
      <c r="BF19" s="3116"/>
      <c r="BG19" s="3116"/>
      <c r="BH19" s="3118"/>
      <c r="BJ19" s="3114"/>
      <c r="BK19" s="3115"/>
      <c r="BL19" s="34"/>
      <c r="BM19" s="515"/>
      <c r="BN19" s="3116"/>
      <c r="BO19" s="3116"/>
      <c r="BP19" s="3117"/>
      <c r="BQ19" s="3117"/>
      <c r="BR19" s="3117"/>
      <c r="BS19" s="3117"/>
      <c r="BT19" s="3117"/>
      <c r="BU19" s="3117"/>
    </row>
    <row r="20" spans="2:83" s="414" customFormat="1">
      <c r="B20" s="3119"/>
      <c r="C20" s="3120"/>
      <c r="D20" s="3121" t="s">
        <v>2523</v>
      </c>
      <c r="E20" s="515"/>
      <c r="F20" s="3122"/>
      <c r="G20" s="3122"/>
      <c r="H20" s="3123"/>
      <c r="I20" s="3123"/>
      <c r="J20" s="3123"/>
      <c r="K20" s="3123"/>
      <c r="L20" s="3123"/>
      <c r="M20" s="3123"/>
      <c r="N20" s="3123"/>
      <c r="O20" s="3123"/>
      <c r="P20" s="3123"/>
      <c r="Q20" s="3123"/>
      <c r="R20" s="3123"/>
      <c r="S20" s="3123"/>
      <c r="T20" s="3123"/>
      <c r="U20" s="3123"/>
      <c r="V20" s="3123"/>
      <c r="W20" s="3123"/>
      <c r="X20" s="3123"/>
      <c r="Y20" s="3123"/>
      <c r="Z20" s="3123"/>
      <c r="AA20" s="3123"/>
      <c r="AB20" s="3123"/>
      <c r="AC20" s="3123"/>
      <c r="AD20" s="3123"/>
      <c r="AE20" s="3123"/>
      <c r="AF20" s="3123"/>
      <c r="AG20" s="3123"/>
      <c r="AH20" s="3123"/>
      <c r="AI20" s="3123"/>
      <c r="AJ20" s="3123"/>
      <c r="AK20" s="3123"/>
      <c r="AL20" s="3123"/>
      <c r="AM20" s="3123"/>
      <c r="AN20" s="3123"/>
      <c r="AO20" s="3123"/>
      <c r="AP20" s="3123"/>
      <c r="AQ20" s="3123"/>
      <c r="AR20" s="3123"/>
      <c r="AS20" s="3123"/>
      <c r="AT20" s="3123"/>
      <c r="AU20" s="3123"/>
      <c r="AV20" s="3123"/>
      <c r="AW20" s="3123"/>
      <c r="AX20" s="515"/>
      <c r="AY20" s="3122">
        <f t="shared" ref="AY20:BG20" ca="1" si="4">MAX(0,AY$47-AY$18)</f>
        <v>33.439206368354291</v>
      </c>
      <c r="AZ20" s="3122">
        <f t="shared" ca="1" si="4"/>
        <v>32.84210381150487</v>
      </c>
      <c r="BA20" s="3122">
        <f t="shared" ca="1" si="4"/>
        <v>25.459016080512967</v>
      </c>
      <c r="BB20" s="3122">
        <f t="shared" ca="1" si="4"/>
        <v>17.722250934371047</v>
      </c>
      <c r="BC20" s="3122">
        <f t="shared" ca="1" si="4"/>
        <v>26.68021193918932</v>
      </c>
      <c r="BD20" s="3122">
        <f t="shared" ca="1" si="4"/>
        <v>42.640838177821337</v>
      </c>
      <c r="BE20" s="3122">
        <f t="shared" ca="1" si="4"/>
        <v>50.931240517348357</v>
      </c>
      <c r="BF20" s="3122">
        <f t="shared" ca="1" si="4"/>
        <v>57.619111388391019</v>
      </c>
      <c r="BG20" s="3122">
        <f t="shared" ca="1" si="4"/>
        <v>63.757098421835423</v>
      </c>
      <c r="BH20" s="3124"/>
      <c r="BJ20" s="3119"/>
      <c r="BK20" s="3120"/>
      <c r="BL20" s="3121"/>
      <c r="BM20" s="515"/>
      <c r="BN20" s="3122"/>
      <c r="BO20" s="3122"/>
      <c r="BP20" s="3123"/>
      <c r="BQ20" s="3123"/>
      <c r="BR20" s="3123"/>
      <c r="BS20" s="3123"/>
      <c r="BT20" s="3123"/>
      <c r="BU20" s="3123"/>
    </row>
    <row r="21" spans="2:83">
      <c r="B21" s="514"/>
      <c r="C21" s="3106"/>
      <c r="D21" s="515"/>
      <c r="E21" s="515"/>
      <c r="F21" s="515"/>
      <c r="G21" s="515"/>
      <c r="H21" s="3089" t="s">
        <v>5</v>
      </c>
      <c r="I21" s="3089"/>
      <c r="J21" s="3089"/>
      <c r="K21" s="3089"/>
      <c r="L21" s="3089"/>
      <c r="M21" s="3089"/>
      <c r="N21" s="3089"/>
      <c r="O21" s="3089"/>
      <c r="P21" s="3089"/>
      <c r="Q21" s="3089"/>
      <c r="R21" s="3089"/>
      <c r="S21" s="3089"/>
      <c r="T21" s="3089"/>
      <c r="U21" s="3089"/>
      <c r="V21" s="3089"/>
      <c r="W21" s="3089"/>
      <c r="X21" s="3089"/>
      <c r="Y21" s="3089"/>
      <c r="Z21" s="3089"/>
      <c r="AA21" s="3089"/>
      <c r="AB21" s="3089"/>
      <c r="AC21" s="3089"/>
      <c r="AD21" s="3089"/>
      <c r="AE21" s="3089"/>
      <c r="AF21" s="3089"/>
      <c r="AG21" s="3089"/>
      <c r="AH21" s="3089"/>
      <c r="AI21" s="3089"/>
      <c r="AJ21" s="3089"/>
      <c r="AK21" s="3089"/>
      <c r="AL21" s="3089"/>
      <c r="AM21" s="3089"/>
      <c r="AN21" s="3089"/>
      <c r="AO21" s="3089"/>
      <c r="AP21" s="3089"/>
      <c r="AQ21" s="3089"/>
      <c r="AR21" s="3089"/>
      <c r="AS21" s="3089"/>
      <c r="AT21" s="3089"/>
      <c r="AU21" s="3089"/>
      <c r="AV21" s="3089"/>
      <c r="AW21" s="3089"/>
      <c r="AX21" s="515"/>
      <c r="AY21" s="3103"/>
      <c r="AZ21" s="3103"/>
      <c r="BA21" s="3103"/>
      <c r="BB21" s="3103"/>
      <c r="BC21" s="3103"/>
      <c r="BD21" s="3103"/>
      <c r="BE21" s="3103"/>
      <c r="BF21" s="3103"/>
      <c r="BG21" s="3103"/>
      <c r="BH21" s="3105"/>
      <c r="BJ21" s="514"/>
      <c r="BK21" s="3106"/>
      <c r="BL21" s="515"/>
      <c r="BM21" s="515"/>
      <c r="BN21" s="515"/>
      <c r="BO21" s="515"/>
      <c r="BP21" s="3089"/>
      <c r="BQ21" s="3089"/>
      <c r="BR21" s="3089"/>
      <c r="BS21" s="3089"/>
      <c r="BT21" s="3089"/>
      <c r="BU21" s="3089"/>
    </row>
    <row r="22" spans="2:83" s="927" customFormat="1">
      <c r="B22" s="3096"/>
      <c r="C22" s="3097" t="s">
        <v>2108</v>
      </c>
      <c r="D22" s="3098"/>
      <c r="E22" s="515"/>
      <c r="F22" s="2934"/>
      <c r="G22" s="2934"/>
      <c r="H22" s="3099"/>
      <c r="I22" s="3099"/>
      <c r="J22" s="3099"/>
      <c r="K22" s="3099"/>
      <c r="L22" s="3099"/>
      <c r="M22" s="3099"/>
      <c r="N22" s="3099"/>
      <c r="O22" s="3099"/>
      <c r="P22" s="3099"/>
      <c r="Q22" s="3099"/>
      <c r="R22" s="3099"/>
      <c r="S22" s="3099"/>
      <c r="T22" s="3099"/>
      <c r="U22" s="3099"/>
      <c r="V22" s="3099"/>
      <c r="W22" s="3099"/>
      <c r="X22" s="3099"/>
      <c r="Y22" s="3099"/>
      <c r="Z22" s="3099"/>
      <c r="AA22" s="3099"/>
      <c r="AB22" s="3099"/>
      <c r="AC22" s="3099"/>
      <c r="AD22" s="3099"/>
      <c r="AE22" s="3099"/>
      <c r="AF22" s="3099"/>
      <c r="AG22" s="3099"/>
      <c r="AH22" s="3099"/>
      <c r="AI22" s="3099"/>
      <c r="AJ22" s="3099"/>
      <c r="AK22" s="3099"/>
      <c r="AL22" s="3099"/>
      <c r="AM22" s="3099"/>
      <c r="AN22" s="3099"/>
      <c r="AO22" s="3099"/>
      <c r="AP22" s="3099"/>
      <c r="AQ22" s="3099"/>
      <c r="AR22" s="3099"/>
      <c r="AS22" s="3099"/>
      <c r="AT22" s="3099"/>
      <c r="AU22" s="3099"/>
      <c r="AV22" s="3099"/>
      <c r="AW22" s="3099"/>
      <c r="AX22" s="515"/>
      <c r="AY22" s="2934"/>
      <c r="AZ22" s="2934"/>
      <c r="BA22" s="2934"/>
      <c r="BB22" s="2934"/>
      <c r="BC22" s="2934"/>
      <c r="BD22" s="2934"/>
      <c r="BE22" s="2934"/>
      <c r="BF22" s="2934"/>
      <c r="BG22" s="2934"/>
      <c r="BH22" s="3100"/>
      <c r="BJ22" s="3096"/>
      <c r="BK22" s="3097"/>
      <c r="BL22" s="3098"/>
      <c r="BM22" s="515"/>
      <c r="BN22" s="2934"/>
      <c r="BO22" s="2934"/>
      <c r="BP22" s="3099"/>
      <c r="BQ22" s="3099"/>
      <c r="BR22" s="3099"/>
      <c r="BS22" s="3099"/>
      <c r="BT22" s="3099"/>
      <c r="BU22" s="3099"/>
    </row>
    <row r="23" spans="2:83" s="927" customFormat="1">
      <c r="B23" s="3096"/>
      <c r="C23" s="3125" t="s">
        <v>445</v>
      </c>
      <c r="D23" s="3098" t="str">
        <f>INDEX(Vectors[Description], MATCH($C23, Vectors[Code], 0))</f>
        <v>Nuclear fission</v>
      </c>
      <c r="E23" s="515"/>
      <c r="F23" s="2934">
        <v>0</v>
      </c>
      <c r="G23" s="2934"/>
      <c r="H23" s="3099"/>
      <c r="I23" s="3099"/>
      <c r="J23" s="3099"/>
      <c r="K23" s="3099"/>
      <c r="L23" s="3099"/>
      <c r="M23" s="3099"/>
      <c r="N23" s="3099"/>
      <c r="O23" s="3099"/>
      <c r="P23" s="3099"/>
      <c r="Q23" s="3099"/>
      <c r="R23" s="3099"/>
      <c r="S23" s="3099"/>
      <c r="T23" s="3099"/>
      <c r="U23" s="3099"/>
      <c r="V23" s="3099"/>
      <c r="W23" s="3099"/>
      <c r="X23" s="3099"/>
      <c r="Y23" s="3099"/>
      <c r="Z23" s="3099"/>
      <c r="AA23" s="3099"/>
      <c r="AB23" s="3099"/>
      <c r="AC23" s="3099"/>
      <c r="AD23" s="3099"/>
      <c r="AE23" s="3099"/>
      <c r="AF23" s="3099"/>
      <c r="AG23" s="3099"/>
      <c r="AH23" s="3099"/>
      <c r="AI23" s="3099"/>
      <c r="AJ23" s="3099"/>
      <c r="AK23" s="3099"/>
      <c r="AL23" s="3099"/>
      <c r="AM23" s="3099"/>
      <c r="AN23" s="3099"/>
      <c r="AO23" s="3099"/>
      <c r="AP23" s="3099"/>
      <c r="AQ23" s="3099"/>
      <c r="AR23" s="3099"/>
      <c r="AS23" s="3099"/>
      <c r="AT23" s="3099"/>
      <c r="AU23" s="3099"/>
      <c r="AV23" s="3099"/>
      <c r="AW23" s="3099"/>
      <c r="AX23" s="515"/>
      <c r="AY23" s="2934">
        <f ca="1">-INDEX(INDIRECT("'"&amp;AY$4&amp;"'!Year.NetBalance"), MATCH('Intermediate output'!$C23, INDIRECT("'"&amp;AY$4&amp;"'!Year.Vectors"), 0))</f>
        <v>0</v>
      </c>
      <c r="AZ23" s="2934">
        <f ca="1">-INDEX(INDIRECT("'"&amp;AZ$4&amp;"'!Year.NetBalance"), MATCH('Intermediate output'!$C23, INDIRECT("'"&amp;AZ$4&amp;"'!Year.Vectors"), 0))</f>
        <v>0</v>
      </c>
      <c r="BA23" s="2934">
        <f ca="1">-INDEX(INDIRECT("'"&amp;BA$4&amp;"'!Year.NetBalance"), MATCH('Intermediate output'!$C23, INDIRECT("'"&amp;BA$4&amp;"'!Year.Vectors"), 0))</f>
        <v>0</v>
      </c>
      <c r="BB23" s="2934">
        <f ca="1">-INDEX(INDIRECT("'"&amp;BB$4&amp;"'!Year.NetBalance"), MATCH('Intermediate output'!$C23, INDIRECT("'"&amp;BB$4&amp;"'!Year.Vectors"), 0))</f>
        <v>0</v>
      </c>
      <c r="BC23" s="2934">
        <f ca="1">-INDEX(INDIRECT("'"&amp;BC$4&amp;"'!Year.NetBalance"), MATCH('Intermediate output'!$C23, INDIRECT("'"&amp;BC$4&amp;"'!Year.Vectors"), 0))</f>
        <v>21.428000000000004</v>
      </c>
      <c r="BD23" s="2934">
        <f ca="1">-INDEX(INDIRECT("'"&amp;BD$4&amp;"'!Year.NetBalance"), MATCH('Intermediate output'!$C23, INDIRECT("'"&amp;BD$4&amp;"'!Year.Vectors"), 0))</f>
        <v>21.428000000000004</v>
      </c>
      <c r="BE23" s="2934">
        <f ca="1">-INDEX(INDIRECT("'"&amp;BE$4&amp;"'!Year.NetBalance"), MATCH('Intermediate output'!$C23, INDIRECT("'"&amp;BE$4&amp;"'!Year.Vectors"), 0))</f>
        <v>21.428000000000004</v>
      </c>
      <c r="BF23" s="2934">
        <f ca="1">-INDEX(INDIRECT("'"&amp;BF$4&amp;"'!Year.NetBalance"), MATCH('Intermediate output'!$C23, INDIRECT("'"&amp;BF$4&amp;"'!Year.Vectors"), 0))</f>
        <v>21.428000000000004</v>
      </c>
      <c r="BG23" s="2934">
        <f ca="1">-INDEX(INDIRECT("'"&amp;BG$4&amp;"'!Year.NetBalance"), MATCH('Intermediate output'!$C23, INDIRECT("'"&amp;BG$4&amp;"'!Year.Vectors"), 0))</f>
        <v>21.428000000000004</v>
      </c>
      <c r="BH23" s="3100"/>
      <c r="BJ23" s="3096"/>
      <c r="BK23" s="3125"/>
      <c r="BL23" s="3098"/>
      <c r="BM23" s="515"/>
      <c r="BN23" s="2934"/>
      <c r="BO23" s="2934"/>
      <c r="BP23" s="3099"/>
      <c r="BQ23" s="3099"/>
      <c r="BR23" s="3099"/>
      <c r="BS23" s="3099"/>
      <c r="BT23" s="3099"/>
      <c r="BU23" s="3099"/>
    </row>
    <row r="24" spans="2:83" s="927" customFormat="1">
      <c r="B24" s="3096"/>
      <c r="C24" s="3125" t="s">
        <v>446</v>
      </c>
      <c r="D24" s="3098" t="str">
        <f>INDEX(Vectors[Description], MATCH($C24, Vectors[Code], 0))</f>
        <v>Solar</v>
      </c>
      <c r="E24" s="515"/>
      <c r="F24" s="2934">
        <f>(Unit.TWh)*0.13</f>
        <v>0.13</v>
      </c>
      <c r="G24" s="2934"/>
      <c r="H24" s="3099"/>
      <c r="I24" s="3099"/>
      <c r="J24" s="3099"/>
      <c r="K24" s="3099"/>
      <c r="L24" s="3099"/>
      <c r="M24" s="3099"/>
      <c r="N24" s="3099"/>
      <c r="O24" s="3099"/>
      <c r="P24" s="3099"/>
      <c r="Q24" s="3099"/>
      <c r="R24" s="3099"/>
      <c r="S24" s="3099"/>
      <c r="T24" s="3099"/>
      <c r="U24" s="3099"/>
      <c r="V24" s="3099"/>
      <c r="W24" s="3099"/>
      <c r="X24" s="3099"/>
      <c r="Y24" s="3099"/>
      <c r="Z24" s="3099"/>
      <c r="AA24" s="3099"/>
      <c r="AB24" s="3099"/>
      <c r="AC24" s="3099"/>
      <c r="AD24" s="3099"/>
      <c r="AE24" s="3099"/>
      <c r="AF24" s="3099"/>
      <c r="AG24" s="3099"/>
      <c r="AH24" s="3099"/>
      <c r="AI24" s="3099"/>
      <c r="AJ24" s="3099"/>
      <c r="AK24" s="3099"/>
      <c r="AL24" s="3099"/>
      <c r="AM24" s="3099"/>
      <c r="AN24" s="3099"/>
      <c r="AO24" s="3099"/>
      <c r="AP24" s="3099"/>
      <c r="AQ24" s="3099"/>
      <c r="AR24" s="3099"/>
      <c r="AS24" s="3099"/>
      <c r="AT24" s="3099"/>
      <c r="AU24" s="3099"/>
      <c r="AV24" s="3099"/>
      <c r="AW24" s="3099"/>
      <c r="AX24" s="515"/>
      <c r="AY24" s="2934">
        <f ca="1">-INDEX(INDIRECT("'"&amp;AY$4&amp;"'!Year.NetBalance"), MATCH('Intermediate output'!$C24, INDIRECT("'"&amp;AY$4&amp;"'!Year.Vectors"), 0))</f>
        <v>4.1054887428987621E-2</v>
      </c>
      <c r="AZ24" s="2934">
        <f ca="1">-INDEX(INDIRECT("'"&amp;AZ$4&amp;"'!Year.NetBalance"), MATCH('Intermediate output'!$C24, INDIRECT("'"&amp;AZ$4&amp;"'!Year.Vectors"), 0))</f>
        <v>0.29533988943004724</v>
      </c>
      <c r="BA24" s="2934">
        <f ca="1">-INDEX(INDIRECT("'"&amp;BA$4&amp;"'!Year.NetBalance"), MATCH('Intermediate output'!$C24, INDIRECT("'"&amp;BA$4&amp;"'!Year.Vectors"), 0))</f>
        <v>0.98311948364472168</v>
      </c>
      <c r="BB24" s="2934">
        <f ca="1">-INDEX(INDIRECT("'"&amp;BB$4&amp;"'!Year.NetBalance"), MATCH('Intermediate output'!$C24, INDIRECT("'"&amp;BB$4&amp;"'!Year.Vectors"), 0))</f>
        <v>1.7302356023133905</v>
      </c>
      <c r="BC24" s="2934">
        <f ca="1">-INDEX(INDIRECT("'"&amp;BC$4&amp;"'!Year.NetBalance"), MATCH('Intermediate output'!$C24, INDIRECT("'"&amp;BC$4&amp;"'!Year.Vectors"), 0))</f>
        <v>3.1032027513562515</v>
      </c>
      <c r="BD24" s="2934">
        <f ca="1">-INDEX(INDIRECT("'"&amp;BD$4&amp;"'!Year.NetBalance"), MATCH('Intermediate output'!$C24, INDIRECT("'"&amp;BD$4&amp;"'!Year.Vectors"), 0))</f>
        <v>4.3856969840221529</v>
      </c>
      <c r="BE24" s="2934">
        <f ca="1">-INDEX(INDIRECT("'"&amp;BE$4&amp;"'!Year.NetBalance"), MATCH('Intermediate output'!$C24, INDIRECT("'"&amp;BE$4&amp;"'!Year.Vectors"), 0))</f>
        <v>5.7058911432863937</v>
      </c>
      <c r="BF24" s="2934">
        <f ca="1">-INDEX(INDIRECT("'"&amp;BF$4&amp;"'!Year.NetBalance"), MATCH('Intermediate output'!$C24, INDIRECT("'"&amp;BF$4&amp;"'!Year.Vectors"), 0))</f>
        <v>7.0356787943966701</v>
      </c>
      <c r="BG24" s="2934">
        <f ca="1">-INDEX(INDIRECT("'"&amp;BG$4&amp;"'!Year.NetBalance"), MATCH('Intermediate output'!$C24, INDIRECT("'"&amp;BG$4&amp;"'!Year.Vectors"), 0))</f>
        <v>8.4425533229244625</v>
      </c>
      <c r="BH24" s="3100"/>
      <c r="BJ24" s="3096"/>
      <c r="BK24" s="3125"/>
      <c r="BL24" s="3098"/>
      <c r="BM24" s="515"/>
      <c r="BN24" s="2934"/>
      <c r="BO24" s="2934"/>
      <c r="BP24" s="3099"/>
      <c r="BQ24" s="3099"/>
      <c r="BR24" s="3099"/>
      <c r="BS24" s="3099"/>
      <c r="BT24" s="3099"/>
      <c r="BU24" s="3099"/>
    </row>
    <row r="25" spans="2:83" s="927" customFormat="1">
      <c r="B25" s="3096"/>
      <c r="C25" s="3125" t="s">
        <v>447</v>
      </c>
      <c r="D25" s="3098" t="str">
        <f>INDEX(Vectors[Description], MATCH($C25, Vectors[Code], 0))</f>
        <v>Wind</v>
      </c>
      <c r="E25" s="515"/>
      <c r="F25" s="2934">
        <f>(Unit.TWh)*4.54</f>
        <v>4.54</v>
      </c>
      <c r="G25" s="2934"/>
      <c r="H25" s="3099"/>
      <c r="I25" s="3099"/>
      <c r="J25" s="3099"/>
      <c r="K25" s="3099"/>
      <c r="L25" s="3099"/>
      <c r="M25" s="3099"/>
      <c r="N25" s="3099"/>
      <c r="O25" s="3099"/>
      <c r="P25" s="3099"/>
      <c r="Q25" s="3099"/>
      <c r="R25" s="3099"/>
      <c r="S25" s="3099"/>
      <c r="T25" s="3099"/>
      <c r="U25" s="3099"/>
      <c r="V25" s="3099"/>
      <c r="W25" s="3099"/>
      <c r="X25" s="3099"/>
      <c r="Y25" s="3099"/>
      <c r="Z25" s="3099"/>
      <c r="AA25" s="3099"/>
      <c r="AB25" s="3099"/>
      <c r="AC25" s="3099"/>
      <c r="AD25" s="3099"/>
      <c r="AE25" s="3099"/>
      <c r="AF25" s="3099"/>
      <c r="AG25" s="3099"/>
      <c r="AH25" s="3099"/>
      <c r="AI25" s="3099"/>
      <c r="AJ25" s="3099"/>
      <c r="AK25" s="3099"/>
      <c r="AL25" s="3099"/>
      <c r="AM25" s="3099"/>
      <c r="AN25" s="3099"/>
      <c r="AO25" s="3099"/>
      <c r="AP25" s="3099"/>
      <c r="AQ25" s="3099"/>
      <c r="AR25" s="3099"/>
      <c r="AS25" s="3099"/>
      <c r="AT25" s="3099"/>
      <c r="AU25" s="3099"/>
      <c r="AV25" s="3099"/>
      <c r="AW25" s="3099"/>
      <c r="AX25" s="515"/>
      <c r="AY25" s="2934">
        <f ca="1">-INDEX(INDIRECT("'"&amp;AY$4&amp;"'!Year.NetBalance"), MATCH('Intermediate output'!$C25, INDIRECT("'"&amp;AY$4&amp;"'!Year.Vectors"), 0))</f>
        <v>4.5013410000000009</v>
      </c>
      <c r="AZ25" s="2934">
        <f ca="1">-INDEX(INDIRECT("'"&amp;AZ$4&amp;"'!Year.NetBalance"), MATCH('Intermediate output'!$C25, INDIRECT("'"&amp;AZ$4&amp;"'!Year.Vectors"), 0))</f>
        <v>5.6172527999999993</v>
      </c>
      <c r="BA25" s="2934">
        <f ca="1">-INDEX(INDIRECT("'"&amp;BA$4&amp;"'!Year.NetBalance"), MATCH('Intermediate output'!$C25, INDIRECT("'"&amp;BA$4&amp;"'!Year.Vectors"), 0))</f>
        <v>9.3230792999999998</v>
      </c>
      <c r="BB25" s="2934">
        <f ca="1">-INDEX(INDIRECT("'"&amp;BB$4&amp;"'!Year.NetBalance"), MATCH('Intermediate output'!$C25, INDIRECT("'"&amp;BB$4&amp;"'!Year.Vectors"), 0))</f>
        <v>13.589929799999998</v>
      </c>
      <c r="BC25" s="2934">
        <f ca="1">-INDEX(INDIRECT("'"&amp;BC$4&amp;"'!Year.NetBalance"), MATCH('Intermediate output'!$C25, INDIRECT("'"&amp;BC$4&amp;"'!Year.Vectors"), 0))</f>
        <v>21.946119299999999</v>
      </c>
      <c r="BD25" s="2934">
        <f ca="1">-INDEX(INDIRECT("'"&amp;BD$4&amp;"'!Year.NetBalance"), MATCH('Intermediate output'!$C25, INDIRECT("'"&amp;BD$4&amp;"'!Year.Vectors"), 0))</f>
        <v>27.955212300000003</v>
      </c>
      <c r="BE25" s="2934">
        <f ca="1">-INDEX(INDIRECT("'"&amp;BE$4&amp;"'!Year.NetBalance"), MATCH('Intermediate output'!$C25, INDIRECT("'"&amp;BE$4&amp;"'!Year.Vectors"), 0))</f>
        <v>31.8999123</v>
      </c>
      <c r="BF25" s="2934">
        <f ca="1">-INDEX(INDIRECT("'"&amp;BF$4&amp;"'!Year.NetBalance"), MATCH('Intermediate output'!$C25, INDIRECT("'"&amp;BF$4&amp;"'!Year.Vectors"), 0))</f>
        <v>38.838201300000001</v>
      </c>
      <c r="BG25" s="2934">
        <f ca="1">-INDEX(INDIRECT("'"&amp;BG$4&amp;"'!Year.NetBalance"), MATCH('Intermediate output'!$C25, INDIRECT("'"&amp;BG$4&amp;"'!Year.Vectors"), 0))</f>
        <v>45.741426300000008</v>
      </c>
      <c r="BH25" s="3100"/>
      <c r="BJ25" s="3096"/>
      <c r="BK25" s="3125"/>
      <c r="BL25" s="3098"/>
      <c r="BM25" s="515"/>
      <c r="BN25" s="2934"/>
      <c r="BO25" s="2934"/>
      <c r="BP25" s="3099"/>
      <c r="BQ25" s="3099"/>
      <c r="BR25" s="3099"/>
      <c r="BS25" s="3099"/>
      <c r="BT25" s="3099"/>
      <c r="BU25" s="3099"/>
    </row>
    <row r="26" spans="2:83" s="927" customFormat="1">
      <c r="B26" s="3096"/>
      <c r="C26" s="3125" t="s">
        <v>448</v>
      </c>
      <c r="D26" s="3098" t="str">
        <f>INDEX(Vectors[Description], MATCH($C26, Vectors[Code], 0))</f>
        <v>Tidal</v>
      </c>
      <c r="E26" s="515"/>
      <c r="F26" s="2934">
        <v>0</v>
      </c>
      <c r="G26" s="2934"/>
      <c r="H26" s="3099"/>
      <c r="I26" s="3099"/>
      <c r="J26" s="3099"/>
      <c r="K26" s="3099"/>
      <c r="L26" s="3099"/>
      <c r="M26" s="3099"/>
      <c r="N26" s="3099"/>
      <c r="O26" s="3099"/>
      <c r="P26" s="3099"/>
      <c r="Q26" s="3099"/>
      <c r="R26" s="3099"/>
      <c r="S26" s="3099"/>
      <c r="T26" s="3099"/>
      <c r="U26" s="3099"/>
      <c r="V26" s="3099"/>
      <c r="W26" s="3099"/>
      <c r="X26" s="3099"/>
      <c r="Y26" s="3099"/>
      <c r="Z26" s="3099"/>
      <c r="AA26" s="3099"/>
      <c r="AB26" s="3099"/>
      <c r="AC26" s="3099"/>
      <c r="AD26" s="3099"/>
      <c r="AE26" s="3099"/>
      <c r="AF26" s="3099"/>
      <c r="AG26" s="3099"/>
      <c r="AH26" s="3099"/>
      <c r="AI26" s="3099"/>
      <c r="AJ26" s="3099"/>
      <c r="AK26" s="3099"/>
      <c r="AL26" s="3099"/>
      <c r="AM26" s="3099"/>
      <c r="AN26" s="3099"/>
      <c r="AO26" s="3099"/>
      <c r="AP26" s="3099"/>
      <c r="AQ26" s="3099"/>
      <c r="AR26" s="3099"/>
      <c r="AS26" s="3099"/>
      <c r="AT26" s="3099"/>
      <c r="AU26" s="3099"/>
      <c r="AV26" s="3099"/>
      <c r="AW26" s="3099"/>
      <c r="AX26" s="515"/>
      <c r="AY26" s="2934">
        <f ca="1">-INDEX(INDIRECT("'"&amp;AY$4&amp;"'!Year.NetBalance"), MATCH('Intermediate output'!$C26, INDIRECT("'"&amp;AY$4&amp;"'!Year.Vectors"), 0))</f>
        <v>0</v>
      </c>
      <c r="AZ26" s="2934">
        <f ca="1">-INDEX(INDIRECT("'"&amp;AZ$4&amp;"'!Year.NetBalance"), MATCH('Intermediate output'!$C26, INDIRECT("'"&amp;AZ$4&amp;"'!Year.Vectors"), 0))</f>
        <v>0</v>
      </c>
      <c r="BA26" s="2934">
        <f ca="1">-INDEX(INDIRECT("'"&amp;BA$4&amp;"'!Year.NetBalance"), MATCH('Intermediate output'!$C26, INDIRECT("'"&amp;BA$4&amp;"'!Year.Vectors"), 0))</f>
        <v>0</v>
      </c>
      <c r="BB26" s="2934">
        <f ca="1">-INDEX(INDIRECT("'"&amp;BB$4&amp;"'!Year.NetBalance"), MATCH('Intermediate output'!$C26, INDIRECT("'"&amp;BB$4&amp;"'!Year.Vectors"), 0))</f>
        <v>0.31557600000000013</v>
      </c>
      <c r="BC26" s="2934">
        <f ca="1">-INDEX(INDIRECT("'"&amp;BC$4&amp;"'!Year.NetBalance"), MATCH('Intermediate output'!$C26, INDIRECT("'"&amp;BC$4&amp;"'!Year.Vectors"), 0))</f>
        <v>0.63115200000000027</v>
      </c>
      <c r="BD26" s="2934">
        <f ca="1">-INDEX(INDIRECT("'"&amp;BD$4&amp;"'!Year.NetBalance"), MATCH('Intermediate output'!$C26, INDIRECT("'"&amp;BD$4&amp;"'!Year.Vectors"), 0))</f>
        <v>1.5778800000000002</v>
      </c>
      <c r="BE26" s="2934">
        <f ca="1">-INDEX(INDIRECT("'"&amp;BE$4&amp;"'!Year.NetBalance"), MATCH('Intermediate output'!$C26, INDIRECT("'"&amp;BE$4&amp;"'!Year.Vectors"), 0))</f>
        <v>1.5778800000000002</v>
      </c>
      <c r="BF26" s="2934">
        <f ca="1">-INDEX(INDIRECT("'"&amp;BF$4&amp;"'!Year.NetBalance"), MATCH('Intermediate output'!$C26, INDIRECT("'"&amp;BF$4&amp;"'!Year.Vectors"), 0))</f>
        <v>2.5246080000000011</v>
      </c>
      <c r="BG26" s="2934">
        <f ca="1">-INDEX(INDIRECT("'"&amp;BG$4&amp;"'!Year.NetBalance"), MATCH('Intermediate output'!$C26, INDIRECT("'"&amp;BG$4&amp;"'!Year.Vectors"), 0))</f>
        <v>2.5246080000000011</v>
      </c>
      <c r="BH26" s="3100"/>
      <c r="BJ26" s="3096"/>
      <c r="BK26" s="3125"/>
      <c r="BL26" s="3098"/>
      <c r="BM26" s="515"/>
      <c r="BN26" s="2934"/>
      <c r="BO26" s="2934"/>
      <c r="BP26" s="3099"/>
      <c r="BQ26" s="3099"/>
      <c r="BR26" s="3099"/>
      <c r="BS26" s="3099"/>
      <c r="BT26" s="3099"/>
      <c r="BU26" s="3099"/>
    </row>
    <row r="27" spans="2:83" s="927" customFormat="1">
      <c r="B27" s="3096"/>
      <c r="C27" s="3125" t="s">
        <v>449</v>
      </c>
      <c r="D27" s="3098" t="str">
        <f>INDEX(Vectors[Description], MATCH($C27, Vectors[Code], 0))</f>
        <v>Wave</v>
      </c>
      <c r="E27" s="515"/>
      <c r="F27" s="2934">
        <v>0</v>
      </c>
      <c r="G27" s="2934"/>
      <c r="H27" s="3099"/>
      <c r="I27" s="3099"/>
      <c r="J27" s="3099"/>
      <c r="K27" s="3099"/>
      <c r="L27" s="3099"/>
      <c r="M27" s="3099"/>
      <c r="N27" s="3099"/>
      <c r="O27" s="3099"/>
      <c r="P27" s="3099"/>
      <c r="Q27" s="3099"/>
      <c r="R27" s="3099"/>
      <c r="S27" s="3099"/>
      <c r="T27" s="3099"/>
      <c r="U27" s="3099"/>
      <c r="V27" s="3099"/>
      <c r="W27" s="3099"/>
      <c r="X27" s="3099"/>
      <c r="Y27" s="3099"/>
      <c r="Z27" s="3099"/>
      <c r="AA27" s="3099"/>
      <c r="AB27" s="3099"/>
      <c r="AC27" s="3099"/>
      <c r="AD27" s="3099"/>
      <c r="AE27" s="3099"/>
      <c r="AF27" s="3099"/>
      <c r="AG27" s="3099"/>
      <c r="AH27" s="3099"/>
      <c r="AI27" s="3099"/>
      <c r="AJ27" s="3099"/>
      <c r="AK27" s="3099"/>
      <c r="AL27" s="3099"/>
      <c r="AM27" s="3099"/>
      <c r="AN27" s="3099"/>
      <c r="AO27" s="3099"/>
      <c r="AP27" s="3099"/>
      <c r="AQ27" s="3099"/>
      <c r="AR27" s="3099"/>
      <c r="AS27" s="3099"/>
      <c r="AT27" s="3099"/>
      <c r="AU27" s="3099"/>
      <c r="AV27" s="3099"/>
      <c r="AW27" s="3099"/>
      <c r="AX27" s="515"/>
      <c r="AY27" s="2934">
        <f ca="1">-INDEX(INDIRECT("'"&amp;AY$4&amp;"'!Year.NetBalance"), MATCH('Intermediate output'!$C27, INDIRECT("'"&amp;AY$4&amp;"'!Year.Vectors"), 0))</f>
        <v>0</v>
      </c>
      <c r="AZ27" s="2934">
        <f ca="1">-INDEX(INDIRECT("'"&amp;AZ$4&amp;"'!Year.NetBalance"), MATCH('Intermediate output'!$C27, INDIRECT("'"&amp;AZ$4&amp;"'!Year.Vectors"), 0))</f>
        <v>3.9627123287671231E-3</v>
      </c>
      <c r="BA27" s="2934">
        <f ca="1">-INDEX(INDIRECT("'"&amp;BA$4&amp;"'!Year.NetBalance"), MATCH('Intermediate output'!$C27, INDIRECT("'"&amp;BA$4&amp;"'!Year.Vectors"), 0))</f>
        <v>1.3017510000000001E-2</v>
      </c>
      <c r="BB27" s="2934">
        <f ca="1">-INDEX(INDIRECT("'"&amp;BB$4&amp;"'!Year.NetBalance"), MATCH('Intermediate output'!$C27, INDIRECT("'"&amp;BB$4&amp;"'!Year.Vectors"), 0))</f>
        <v>0.39052530000000008</v>
      </c>
      <c r="BC27" s="2934">
        <f ca="1">-INDEX(INDIRECT("'"&amp;BC$4&amp;"'!Year.NetBalance"), MATCH('Intermediate output'!$C27, INDIRECT("'"&amp;BC$4&amp;"'!Year.Vectors"), 0))</f>
        <v>2.6035020000000002</v>
      </c>
      <c r="BD27" s="2934">
        <f ca="1">-INDEX(INDIRECT("'"&amp;BD$4&amp;"'!Year.NetBalance"), MATCH('Intermediate output'!$C27, INDIRECT("'"&amp;BD$4&amp;"'!Year.Vectors"), 0))</f>
        <v>3.9052530000000001</v>
      </c>
      <c r="BE27" s="2934">
        <f ca="1">-INDEX(INDIRECT("'"&amp;BE$4&amp;"'!Year.NetBalance"), MATCH('Intermediate output'!$C27, INDIRECT("'"&amp;BE$4&amp;"'!Year.Vectors"), 0))</f>
        <v>5.2070040000000004</v>
      </c>
      <c r="BF27" s="2934">
        <f ca="1">-INDEX(INDIRECT("'"&amp;BF$4&amp;"'!Year.NetBalance"), MATCH('Intermediate output'!$C27, INDIRECT("'"&amp;BF$4&amp;"'!Year.Vectors"), 0))</f>
        <v>5.2070040000000004</v>
      </c>
      <c r="BG27" s="2934">
        <f ca="1">-INDEX(INDIRECT("'"&amp;BG$4&amp;"'!Year.NetBalance"), MATCH('Intermediate output'!$C27, INDIRECT("'"&amp;BG$4&amp;"'!Year.Vectors"), 0))</f>
        <v>6.2484048000000012</v>
      </c>
      <c r="BH27" s="3100"/>
      <c r="BJ27" s="3096"/>
      <c r="BK27" s="3125"/>
      <c r="BL27" s="3098"/>
      <c r="BM27" s="515"/>
      <c r="BN27" s="2934"/>
      <c r="BO27" s="2934"/>
      <c r="BP27" s="3099"/>
      <c r="BQ27" s="3099"/>
      <c r="BR27" s="3099"/>
      <c r="BS27" s="3099"/>
      <c r="BT27" s="3099"/>
      <c r="BU27" s="3099"/>
    </row>
    <row r="28" spans="2:83" s="927" customFormat="1">
      <c r="B28" s="3096"/>
      <c r="C28" s="3125" t="s">
        <v>450</v>
      </c>
      <c r="D28" s="3098" t="str">
        <f>INDEX(Vectors[Description], MATCH($C28, Vectors[Code], 0))</f>
        <v>Geothermal</v>
      </c>
      <c r="E28" s="515"/>
      <c r="F28" s="2934">
        <v>0</v>
      </c>
      <c r="G28" s="2934"/>
      <c r="H28" s="3099"/>
      <c r="I28" s="3099"/>
      <c r="J28" s="3099"/>
      <c r="K28" s="3099"/>
      <c r="L28" s="3099"/>
      <c r="M28" s="3099"/>
      <c r="N28" s="3099"/>
      <c r="O28" s="3099"/>
      <c r="P28" s="3099"/>
      <c r="Q28" s="3099"/>
      <c r="R28" s="3099"/>
      <c r="S28" s="3099"/>
      <c r="T28" s="3099"/>
      <c r="U28" s="3099"/>
      <c r="V28" s="3099"/>
      <c r="W28" s="3099"/>
      <c r="X28" s="3099"/>
      <c r="Y28" s="3099"/>
      <c r="Z28" s="3099"/>
      <c r="AA28" s="3099"/>
      <c r="AB28" s="3099"/>
      <c r="AC28" s="3099"/>
      <c r="AD28" s="3099"/>
      <c r="AE28" s="3099"/>
      <c r="AF28" s="3099"/>
      <c r="AG28" s="3099"/>
      <c r="AH28" s="3099"/>
      <c r="AI28" s="3099"/>
      <c r="AJ28" s="3099"/>
      <c r="AK28" s="3099"/>
      <c r="AL28" s="3099"/>
      <c r="AM28" s="3099"/>
      <c r="AN28" s="3099"/>
      <c r="AO28" s="3099"/>
      <c r="AP28" s="3099"/>
      <c r="AQ28" s="3099"/>
      <c r="AR28" s="3099"/>
      <c r="AS28" s="3099"/>
      <c r="AT28" s="3099"/>
      <c r="AU28" s="3099"/>
      <c r="AV28" s="3099"/>
      <c r="AW28" s="3099"/>
      <c r="AX28" s="515"/>
      <c r="AY28" s="2934">
        <f ca="1">-INDEX(INDIRECT("'"&amp;AY$4&amp;"'!Year.NetBalance"), MATCH('Intermediate output'!$C28, INDIRECT("'"&amp;AY$4&amp;"'!Year.Vectors"), 0))</f>
        <v>0</v>
      </c>
      <c r="AZ28" s="2934">
        <f ca="1">-INDEX(INDIRECT("'"&amp;AZ$4&amp;"'!Year.NetBalance"), MATCH('Intermediate output'!$C28, INDIRECT("'"&amp;AZ$4&amp;"'!Year.Vectors"), 0))</f>
        <v>0</v>
      </c>
      <c r="BA28" s="2934">
        <f ca="1">-INDEX(INDIRECT("'"&amp;BA$4&amp;"'!Year.NetBalance"), MATCH('Intermediate output'!$C28, INDIRECT("'"&amp;BA$4&amp;"'!Year.Vectors"), 0))</f>
        <v>0</v>
      </c>
      <c r="BB28" s="2934">
        <f ca="1">-INDEX(INDIRECT("'"&amp;BB$4&amp;"'!Year.NetBalance"), MATCH('Intermediate output'!$C28, INDIRECT("'"&amp;BB$4&amp;"'!Year.Vectors"), 0))</f>
        <v>0</v>
      </c>
      <c r="BC28" s="2934">
        <f ca="1">-INDEX(INDIRECT("'"&amp;BC$4&amp;"'!Year.NetBalance"), MATCH('Intermediate output'!$C28, INDIRECT("'"&amp;BC$4&amp;"'!Year.Vectors"), 0))</f>
        <v>0</v>
      </c>
      <c r="BD28" s="2934">
        <f ca="1">-INDEX(INDIRECT("'"&amp;BD$4&amp;"'!Year.NetBalance"), MATCH('Intermediate output'!$C28, INDIRECT("'"&amp;BD$4&amp;"'!Year.Vectors"), 0))</f>
        <v>0</v>
      </c>
      <c r="BE28" s="2934">
        <f ca="1">-INDEX(INDIRECT("'"&amp;BE$4&amp;"'!Year.NetBalance"), MATCH('Intermediate output'!$C28, INDIRECT("'"&amp;BE$4&amp;"'!Year.Vectors"), 0))</f>
        <v>0</v>
      </c>
      <c r="BF28" s="2934">
        <f ca="1">-INDEX(INDIRECT("'"&amp;BF$4&amp;"'!Year.NetBalance"), MATCH('Intermediate output'!$C28, INDIRECT("'"&amp;BF$4&amp;"'!Year.Vectors"), 0))</f>
        <v>0</v>
      </c>
      <c r="BG28" s="2934">
        <f ca="1">-INDEX(INDIRECT("'"&amp;BG$4&amp;"'!Year.NetBalance"), MATCH('Intermediate output'!$C28, INDIRECT("'"&amp;BG$4&amp;"'!Year.Vectors"), 0))</f>
        <v>0</v>
      </c>
      <c r="BH28" s="3100"/>
      <c r="BJ28" s="3096"/>
      <c r="BK28" s="3125"/>
      <c r="BL28" s="3098"/>
      <c r="BM28" s="515"/>
      <c r="BN28" s="2934"/>
      <c r="BO28" s="2934"/>
      <c r="BP28" s="3099"/>
      <c r="BQ28" s="3099"/>
      <c r="BR28" s="3099"/>
      <c r="BS28" s="3099"/>
      <c r="BT28" s="3099"/>
      <c r="BU28" s="3099"/>
    </row>
    <row r="29" spans="2:83" s="927" customFormat="1">
      <c r="B29" s="3096"/>
      <c r="C29" s="3125" t="s">
        <v>451</v>
      </c>
      <c r="D29" s="3098" t="str">
        <f>INDEX(Vectors[Description], MATCH($C29, Vectors[Code], 0))</f>
        <v>Hydro</v>
      </c>
      <c r="E29" s="515"/>
      <c r="F29" s="2934">
        <f>(Unit.TWh)*0.6</f>
        <v>0.6</v>
      </c>
      <c r="G29" s="2934"/>
      <c r="H29" s="3099"/>
      <c r="I29" s="3099"/>
      <c r="J29" s="3099"/>
      <c r="K29" s="3099"/>
      <c r="L29" s="3099"/>
      <c r="M29" s="3099"/>
      <c r="N29" s="3099"/>
      <c r="O29" s="3099"/>
      <c r="P29" s="3099"/>
      <c r="Q29" s="3099"/>
      <c r="R29" s="3099"/>
      <c r="S29" s="3099"/>
      <c r="T29" s="3099"/>
      <c r="U29" s="3099"/>
      <c r="V29" s="3099"/>
      <c r="W29" s="3099"/>
      <c r="X29" s="3099"/>
      <c r="Y29" s="3099"/>
      <c r="Z29" s="3099"/>
      <c r="AA29" s="3099"/>
      <c r="AB29" s="3099"/>
      <c r="AC29" s="3099"/>
      <c r="AD29" s="3099"/>
      <c r="AE29" s="3099"/>
      <c r="AF29" s="3099"/>
      <c r="AG29" s="3099"/>
      <c r="AH29" s="3099"/>
      <c r="AI29" s="3099"/>
      <c r="AJ29" s="3099"/>
      <c r="AK29" s="3099"/>
      <c r="AL29" s="3099"/>
      <c r="AM29" s="3099"/>
      <c r="AN29" s="3099"/>
      <c r="AO29" s="3099"/>
      <c r="AP29" s="3099"/>
      <c r="AQ29" s="3099"/>
      <c r="AR29" s="3099"/>
      <c r="AS29" s="3099"/>
      <c r="AT29" s="3099"/>
      <c r="AU29" s="3099"/>
      <c r="AV29" s="3099"/>
      <c r="AW29" s="3099"/>
      <c r="AX29" s="515"/>
      <c r="AY29" s="2934">
        <f ca="1">-INDEX(INDIRECT("'"&amp;AY$4&amp;"'!Year.NetBalance"), MATCH('Intermediate output'!$C29, INDIRECT("'"&amp;AY$4&amp;"'!Year.Vectors"), 0))</f>
        <v>0.74791511999999993</v>
      </c>
      <c r="AZ29" s="2934">
        <f ca="1">-INDEX(INDIRECT("'"&amp;AZ$4&amp;"'!Year.NetBalance"), MATCH('Intermediate output'!$C29, INDIRECT("'"&amp;AZ$4&amp;"'!Year.Vectors"), 0))</f>
        <v>0.74791511999999993</v>
      </c>
      <c r="BA29" s="2934">
        <f ca="1">-INDEX(INDIRECT("'"&amp;BA$4&amp;"'!Year.NetBalance"), MATCH('Intermediate output'!$C29, INDIRECT("'"&amp;BA$4&amp;"'!Year.Vectors"), 0))</f>
        <v>0.74791511999999993</v>
      </c>
      <c r="BB29" s="2934">
        <f ca="1">-INDEX(INDIRECT("'"&amp;BB$4&amp;"'!Year.NetBalance"), MATCH('Intermediate output'!$C29, INDIRECT("'"&amp;BB$4&amp;"'!Year.Vectors"), 0))</f>
        <v>0.78946596000000002</v>
      </c>
      <c r="BC29" s="2934">
        <f ca="1">-INDEX(INDIRECT("'"&amp;BC$4&amp;"'!Year.NetBalance"), MATCH('Intermediate output'!$C29, INDIRECT("'"&amp;BC$4&amp;"'!Year.Vectors"), 0))</f>
        <v>0.78946596000000002</v>
      </c>
      <c r="BD29" s="2934">
        <f ca="1">-INDEX(INDIRECT("'"&amp;BD$4&amp;"'!Year.NetBalance"), MATCH('Intermediate output'!$C29, INDIRECT("'"&amp;BD$4&amp;"'!Year.Vectors"), 0))</f>
        <v>0.78946596000000002</v>
      </c>
      <c r="BE29" s="2934">
        <f ca="1">-INDEX(INDIRECT("'"&amp;BE$4&amp;"'!Year.NetBalance"), MATCH('Intermediate output'!$C29, INDIRECT("'"&amp;BE$4&amp;"'!Year.Vectors"), 0))</f>
        <v>0.78946596000000002</v>
      </c>
      <c r="BF29" s="2934">
        <f ca="1">-INDEX(INDIRECT("'"&amp;BF$4&amp;"'!Year.NetBalance"), MATCH('Intermediate output'!$C29, INDIRECT("'"&amp;BF$4&amp;"'!Year.Vectors"), 0))</f>
        <v>0.78946596000000002</v>
      </c>
      <c r="BG29" s="2934">
        <f ca="1">-INDEX(INDIRECT("'"&amp;BG$4&amp;"'!Year.NetBalance"), MATCH('Intermediate output'!$C29, INDIRECT("'"&amp;BG$4&amp;"'!Year.Vectors"), 0))</f>
        <v>0.78946596000000002</v>
      </c>
      <c r="BH29" s="3100"/>
      <c r="BJ29" s="3096"/>
      <c r="BK29" s="3125"/>
      <c r="BL29" s="3098"/>
      <c r="BM29" s="515"/>
      <c r="BN29" s="2934"/>
      <c r="BO29" s="2934"/>
      <c r="BP29" s="3099"/>
      <c r="BQ29" s="3099"/>
      <c r="BR29" s="3099"/>
      <c r="BS29" s="3099"/>
      <c r="BT29" s="3099"/>
      <c r="BU29" s="3099"/>
    </row>
    <row r="30" spans="2:83" s="927" customFormat="1">
      <c r="B30" s="3096"/>
      <c r="C30" s="3125" t="s">
        <v>440</v>
      </c>
      <c r="D30" s="3098" t="str">
        <f>INDEX(Vectors[Description], MATCH($C30, Vectors[Code], 0))</f>
        <v>Electricity imports (exports in paranthesis)</v>
      </c>
      <c r="E30" s="515"/>
      <c r="F30" s="3733">
        <f>(Unit.TWh)*2.5</f>
        <v>2.5</v>
      </c>
      <c r="G30" s="2934"/>
      <c r="H30" s="3099"/>
      <c r="I30" s="3099"/>
      <c r="J30" s="3099"/>
      <c r="K30" s="3099"/>
      <c r="L30" s="3099"/>
      <c r="M30" s="3099"/>
      <c r="N30" s="3099"/>
      <c r="O30" s="3099"/>
      <c r="P30" s="3099"/>
      <c r="Q30" s="3099"/>
      <c r="R30" s="3099"/>
      <c r="S30" s="3099"/>
      <c r="T30" s="3099"/>
      <c r="U30" s="3099"/>
      <c r="V30" s="3099"/>
      <c r="W30" s="3099"/>
      <c r="X30" s="3099"/>
      <c r="Y30" s="3099"/>
      <c r="Z30" s="3099"/>
      <c r="AA30" s="3099"/>
      <c r="AB30" s="3099"/>
      <c r="AC30" s="3099"/>
      <c r="AD30" s="3099"/>
      <c r="AE30" s="3099"/>
      <c r="AF30" s="3099"/>
      <c r="AG30" s="3099"/>
      <c r="AH30" s="3099"/>
      <c r="AI30" s="3099"/>
      <c r="AJ30" s="3099"/>
      <c r="AK30" s="3099"/>
      <c r="AL30" s="3099"/>
      <c r="AM30" s="3099"/>
      <c r="AN30" s="3099"/>
      <c r="AO30" s="3099"/>
      <c r="AP30" s="3099"/>
      <c r="AQ30" s="3099"/>
      <c r="AR30" s="3099"/>
      <c r="AS30" s="3099"/>
      <c r="AT30" s="3099"/>
      <c r="AU30" s="3099"/>
      <c r="AV30" s="3099"/>
      <c r="AW30" s="3099"/>
      <c r="AX30" s="3593"/>
      <c r="AY30" s="2934">
        <f ca="1">-INDEX(INDIRECT("'"&amp;AY$4&amp;"'!Year.NetBalance"), MATCH('Intermediate output'!$C30, INDIRECT("'"&amp;AY$4&amp;"'!Year.Vectors"), 0))</f>
        <v>2.5</v>
      </c>
      <c r="AZ30" s="2934">
        <f ca="1">-INDEX(INDIRECT("'"&amp;AZ$4&amp;"'!Year.NetBalance"), MATCH('Intermediate output'!$C30, INDIRECT("'"&amp;AZ$4&amp;"'!Year.Vectors"), 0))</f>
        <v>2.5</v>
      </c>
      <c r="BA30" s="2934">
        <f ca="1">-INDEX(INDIRECT("'"&amp;BA$4&amp;"'!Year.NetBalance"), MATCH('Intermediate output'!$C30, INDIRECT("'"&amp;BA$4&amp;"'!Year.Vectors"), 0))</f>
        <v>2.5000000000000036</v>
      </c>
      <c r="BB30" s="2934">
        <f ca="1">-INDEX(INDIRECT("'"&amp;BB$4&amp;"'!Year.NetBalance"), MATCH('Intermediate output'!$C30, INDIRECT("'"&amp;BB$4&amp;"'!Year.Vectors"), 0))</f>
        <v>2.5000000000000036</v>
      </c>
      <c r="BC30" s="2934">
        <f ca="1">-INDEX(INDIRECT("'"&amp;BC$4&amp;"'!Year.NetBalance"), MATCH('Intermediate output'!$C30, INDIRECT("'"&amp;BC$4&amp;"'!Year.Vectors"), 0))</f>
        <v>-10.652664429668677</v>
      </c>
      <c r="BD30" s="2934">
        <f ca="1">-INDEX(INDIRECT("'"&amp;BD$4&amp;"'!Year.NetBalance"), MATCH('Intermediate output'!$C30, INDIRECT("'"&amp;BD$4&amp;"'!Year.Vectors"), 0))</f>
        <v>-30.098791217428818</v>
      </c>
      <c r="BE30" s="2934">
        <f ca="1">-INDEX(INDIRECT("'"&amp;BE$4&amp;"'!Year.NetBalance"), MATCH('Intermediate output'!$C30, INDIRECT("'"&amp;BE$4&amp;"'!Year.Vectors"), 0))</f>
        <v>-44.501054695560633</v>
      </c>
      <c r="BF30" s="2934">
        <f ca="1">-INDEX(INDIRECT("'"&amp;BF$4&amp;"'!Year.NetBalance"), MATCH('Intermediate output'!$C30, INDIRECT("'"&amp;BF$4&amp;"'!Year.Vectors"), 0))</f>
        <v>-60.816975780787857</v>
      </c>
      <c r="BG30" s="2934">
        <f ca="1">-INDEX(INDIRECT("'"&amp;BG$4&amp;"'!Year.NetBalance"), MATCH('Intermediate output'!$C30, INDIRECT("'"&amp;BG$4&amp;"'!Year.Vectors"), 0))</f>
        <v>-77.574734038121079</v>
      </c>
      <c r="BH30" s="3100"/>
      <c r="BJ30" s="3096"/>
      <c r="BK30" s="3125"/>
      <c r="BL30" s="3098"/>
      <c r="BM30" s="515"/>
      <c r="BN30" s="3733"/>
      <c r="BO30" s="2934"/>
      <c r="BP30" s="3099"/>
      <c r="BQ30" s="3099"/>
      <c r="BR30" s="3099"/>
      <c r="BS30" s="3099"/>
      <c r="BT30" s="3099"/>
      <c r="BU30" s="3099"/>
    </row>
    <row r="31" spans="2:83">
      <c r="B31" s="514"/>
      <c r="C31" s="3106"/>
      <c r="D31" s="3333" t="s">
        <v>2524</v>
      </c>
      <c r="E31" s="3333"/>
      <c r="F31" s="3334">
        <f>SUM(F23:F30)</f>
        <v>7.77</v>
      </c>
      <c r="G31" s="3334"/>
      <c r="H31" s="3117"/>
      <c r="I31" s="3117"/>
      <c r="J31" s="3117"/>
      <c r="K31" s="3117"/>
      <c r="L31" s="3117"/>
      <c r="M31" s="3117"/>
      <c r="N31" s="3117"/>
      <c r="O31" s="3117"/>
      <c r="P31" s="3117"/>
      <c r="Q31" s="3117"/>
      <c r="R31" s="3117"/>
      <c r="S31" s="3117"/>
      <c r="T31" s="3117"/>
      <c r="U31" s="3117"/>
      <c r="V31" s="3117"/>
      <c r="W31" s="3117"/>
      <c r="X31" s="3117"/>
      <c r="Y31" s="3117"/>
      <c r="Z31" s="3117"/>
      <c r="AA31" s="3117"/>
      <c r="AB31" s="3117"/>
      <c r="AC31" s="3117"/>
      <c r="AD31" s="3117"/>
      <c r="AE31" s="3117"/>
      <c r="AF31" s="3117"/>
      <c r="AG31" s="3117"/>
      <c r="AH31" s="3117"/>
      <c r="AI31" s="3117"/>
      <c r="AJ31" s="3117"/>
      <c r="AK31" s="3117"/>
      <c r="AL31" s="3117"/>
      <c r="AM31" s="3117"/>
      <c r="AN31" s="3117"/>
      <c r="AO31" s="3117"/>
      <c r="AP31" s="3117"/>
      <c r="AQ31" s="3117"/>
      <c r="AR31" s="3117"/>
      <c r="AS31" s="3117"/>
      <c r="AT31" s="3117"/>
      <c r="AU31" s="3117"/>
      <c r="AV31" s="3117"/>
      <c r="AW31" s="3117"/>
      <c r="AX31" s="3333"/>
      <c r="AY31" s="3334">
        <f t="shared" ref="AY31:BG31" ca="1" si="5">SUM(AY23:AY30)</f>
        <v>7.790311007428989</v>
      </c>
      <c r="AZ31" s="3334">
        <f t="shared" ca="1" si="5"/>
        <v>9.1644705217588136</v>
      </c>
      <c r="BA31" s="3334">
        <f t="shared" ca="1" si="5"/>
        <v>13.567131413644724</v>
      </c>
      <c r="BB31" s="3334">
        <f t="shared" ca="1" si="5"/>
        <v>19.315732662313394</v>
      </c>
      <c r="BC31" s="3334">
        <f t="shared" ca="1" si="5"/>
        <v>39.848777581687578</v>
      </c>
      <c r="BD31" s="3334">
        <f t="shared" ca="1" si="5"/>
        <v>29.942717026593343</v>
      </c>
      <c r="BE31" s="3334">
        <f t="shared" ca="1" si="5"/>
        <v>22.107098707725775</v>
      </c>
      <c r="BF31" s="3334">
        <f t="shared" ca="1" si="5"/>
        <v>15.005982273608822</v>
      </c>
      <c r="BG31" s="3334">
        <f t="shared" ca="1" si="5"/>
        <v>7.5997243448034055</v>
      </c>
      <c r="BH31" s="3105"/>
      <c r="BJ31" s="514"/>
      <c r="BK31" s="3106"/>
      <c r="BL31" s="3333"/>
      <c r="BM31" s="3333"/>
      <c r="BN31" s="3334"/>
      <c r="BO31" s="3334"/>
      <c r="BP31" s="3117"/>
      <c r="BQ31" s="3117"/>
      <c r="BR31" s="3117"/>
      <c r="BS31" s="3117"/>
      <c r="BT31" s="3117"/>
      <c r="BU31" s="3117"/>
    </row>
    <row r="32" spans="2:83">
      <c r="B32" s="514"/>
      <c r="C32" s="3106" t="s">
        <v>102</v>
      </c>
      <c r="D32" s="3098" t="str">
        <f>INDEX(Vectors[Description], MATCH($C32, Vectors[Code], 0))</f>
        <v>Environmental heat</v>
      </c>
      <c r="E32" s="515"/>
      <c r="F32" s="3103">
        <f>'Irl. Energy Balance 2013 (TWh)'!AL7</f>
        <v>0</v>
      </c>
      <c r="G32" s="3103"/>
      <c r="H32" s="3104"/>
      <c r="I32" s="3104"/>
      <c r="J32" s="3104"/>
      <c r="K32" s="3104"/>
      <c r="L32" s="3104"/>
      <c r="M32" s="3104"/>
      <c r="N32" s="3104"/>
      <c r="O32" s="3104"/>
      <c r="P32" s="3104"/>
      <c r="Q32" s="3104"/>
      <c r="R32" s="3104"/>
      <c r="S32" s="3104"/>
      <c r="T32" s="3104"/>
      <c r="U32" s="3104"/>
      <c r="V32" s="3104"/>
      <c r="W32" s="3104"/>
      <c r="X32" s="3104"/>
      <c r="Y32" s="3104"/>
      <c r="Z32" s="3104"/>
      <c r="AA32" s="3104"/>
      <c r="AB32" s="3104"/>
      <c r="AC32" s="3104"/>
      <c r="AD32" s="3104"/>
      <c r="AE32" s="3104"/>
      <c r="AF32" s="3104"/>
      <c r="AG32" s="3104"/>
      <c r="AH32" s="3104"/>
      <c r="AI32" s="3104"/>
      <c r="AJ32" s="3104"/>
      <c r="AK32" s="3104"/>
      <c r="AL32" s="3104"/>
      <c r="AM32" s="3104"/>
      <c r="AN32" s="3104"/>
      <c r="AO32" s="3104"/>
      <c r="AP32" s="3104"/>
      <c r="AQ32" s="3104"/>
      <c r="AR32" s="3104"/>
      <c r="AS32" s="3104"/>
      <c r="AT32" s="3104"/>
      <c r="AU32" s="3104"/>
      <c r="AV32" s="3104"/>
      <c r="AW32" s="3104"/>
      <c r="AX32" s="515"/>
      <c r="AY32" s="2934">
        <f ca="1">-INDEX(INDIRECT("'"&amp;AY$4&amp;"'!Year.NetBalance"), MATCH('Intermediate output'!$C32, INDIRECT("'"&amp;AY$4&amp;"'!Year.Vectors"), 0))</f>
        <v>0.11119904983501781</v>
      </c>
      <c r="AZ32" s="2934">
        <f ca="1">-INDEX(INDIRECT("'"&amp;AZ$4&amp;"'!Year.NetBalance"), MATCH('Intermediate output'!$C32, INDIRECT("'"&amp;AZ$4&amp;"'!Year.Vectors"), 0))</f>
        <v>0.23024787332134827</v>
      </c>
      <c r="BA32" s="2934">
        <f ca="1">-INDEX(INDIRECT("'"&amp;BA$4&amp;"'!Year.NetBalance"), MATCH('Intermediate output'!$C32, INDIRECT("'"&amp;BA$4&amp;"'!Year.Vectors"), 0))</f>
        <v>0.19215404904246119</v>
      </c>
      <c r="BB32" s="2934">
        <f ca="1">-INDEX(INDIRECT("'"&amp;BB$4&amp;"'!Year.NetBalance"), MATCH('Intermediate output'!$C32, INDIRECT("'"&amp;BB$4&amp;"'!Year.Vectors"), 0))</f>
        <v>0.16256755073206205</v>
      </c>
      <c r="BC32" s="2934">
        <f ca="1">-INDEX(INDIRECT("'"&amp;BC$4&amp;"'!Year.NetBalance"), MATCH('Intermediate output'!$C32, INDIRECT("'"&amp;BC$4&amp;"'!Year.Vectors"), 0))</f>
        <v>0.13025315807559751</v>
      </c>
      <c r="BD32" s="2934">
        <f ca="1">-INDEX(INDIRECT("'"&amp;BD$4&amp;"'!Year.NetBalance"), MATCH('Intermediate output'!$C32, INDIRECT("'"&amp;BD$4&amp;"'!Year.Vectors"), 0))</f>
        <v>9.8473923807210109E-2</v>
      </c>
      <c r="BE32" s="2934">
        <f ca="1">-INDEX(INDIRECT("'"&amp;BE$4&amp;"'!Year.NetBalance"), MATCH('Intermediate output'!$C32, INDIRECT("'"&amp;BE$4&amp;"'!Year.Vectors"), 0))</f>
        <v>6.6374144344193087E-2</v>
      </c>
      <c r="BF32" s="2934">
        <f ca="1">-INDEX(INDIRECT("'"&amp;BF$4&amp;"'!Year.NetBalance"), MATCH('Intermediate output'!$C32, INDIRECT("'"&amp;BF$4&amp;"'!Year.Vectors"), 0))</f>
        <v>3.3366237861707504E-2</v>
      </c>
      <c r="BG32" s="2934">
        <f ca="1">-INDEX(INDIRECT("'"&amp;BG$4&amp;"'!Year.NetBalance"), MATCH('Intermediate output'!$C32, INDIRECT("'"&amp;BG$4&amp;"'!Year.Vectors"), 0))</f>
        <v>0</v>
      </c>
      <c r="BH32" s="3105"/>
      <c r="BJ32" s="514"/>
      <c r="BK32" s="3106"/>
      <c r="BL32" s="3098"/>
      <c r="BM32" s="515"/>
      <c r="BN32" s="3103"/>
      <c r="BO32" s="3103"/>
      <c r="BP32" s="3104"/>
      <c r="BQ32" s="3104"/>
      <c r="BR32" s="3104"/>
      <c r="BS32" s="3104"/>
      <c r="BT32" s="3104"/>
      <c r="BU32" s="3104"/>
      <c r="CE32" s="927" t="s">
        <v>3474</v>
      </c>
    </row>
    <row r="33" spans="2:83" s="927" customFormat="1">
      <c r="B33" s="3096"/>
      <c r="C33" s="3098" t="s">
        <v>453</v>
      </c>
      <c r="D33" s="3098" t="str">
        <f>INDEX(Vectors[Description], MATCH($C33, Vectors[Code], 0))</f>
        <v>Waste (all forms of biomass)</v>
      </c>
      <c r="E33" s="515"/>
      <c r="F33" s="2934">
        <f>(Unit.TWh)*0.7</f>
        <v>0.7</v>
      </c>
      <c r="G33" s="2934"/>
      <c r="H33" s="3099"/>
      <c r="I33" s="3099"/>
      <c r="J33" s="3099"/>
      <c r="K33" s="3099"/>
      <c r="L33" s="3099"/>
      <c r="M33" s="3099"/>
      <c r="N33" s="3099"/>
      <c r="O33" s="3099"/>
      <c r="P33" s="3099"/>
      <c r="Q33" s="3099"/>
      <c r="R33" s="3099"/>
      <c r="S33" s="3099"/>
      <c r="T33" s="3099"/>
      <c r="U33" s="3099"/>
      <c r="V33" s="3099"/>
      <c r="W33" s="3099"/>
      <c r="X33" s="3099"/>
      <c r="Y33" s="3099"/>
      <c r="Z33" s="3099"/>
      <c r="AA33" s="3099"/>
      <c r="AB33" s="3099"/>
      <c r="AC33" s="3099"/>
      <c r="AD33" s="3099"/>
      <c r="AE33" s="3099"/>
      <c r="AF33" s="3099"/>
      <c r="AG33" s="3099"/>
      <c r="AH33" s="3099"/>
      <c r="AI33" s="3099"/>
      <c r="AJ33" s="3099"/>
      <c r="AK33" s="3099"/>
      <c r="AL33" s="3099"/>
      <c r="AM33" s="3099"/>
      <c r="AN33" s="3099"/>
      <c r="AO33" s="3099"/>
      <c r="AP33" s="3099"/>
      <c r="AQ33" s="3099"/>
      <c r="AR33" s="3099"/>
      <c r="AS33" s="3099"/>
      <c r="AT33" s="3099"/>
      <c r="AU33" s="3099"/>
      <c r="AV33" s="3099"/>
      <c r="AW33" s="3099"/>
      <c r="AX33" s="515"/>
      <c r="AY33" s="3732">
        <f ca="1">-INDEX(INDIRECT("'"&amp;AY$4&amp;"'!Year.NetBalance"), MATCH('Intermediate output'!$C33, INDIRECT("'"&amp;AY$4&amp;"'!Year.Vectors"), 0))</f>
        <v>0.76164924245884236</v>
      </c>
      <c r="AZ33" s="2934">
        <f ca="1">-INDEX(INDIRECT("'"&amp;AZ$4&amp;"'!Year.NetBalance"), MATCH('Intermediate output'!$C33, INDIRECT("'"&amp;AZ$4&amp;"'!Year.Vectors"), 0))</f>
        <v>1.5775553566803318</v>
      </c>
      <c r="BA33" s="2934">
        <f ca="1">-INDEX(INDIRECT("'"&amp;BA$4&amp;"'!Year.NetBalance"), MATCH('Intermediate output'!$C33, INDIRECT("'"&amp;BA$4&amp;"'!Year.Vectors"), 0))</f>
        <v>5.3833406982345036</v>
      </c>
      <c r="BB33" s="2934">
        <f ca="1">-INDEX(INDIRECT("'"&amp;BB$4&amp;"'!Year.NetBalance"), MATCH('Intermediate output'!$C33, INDIRECT("'"&amp;BB$4&amp;"'!Year.Vectors"), 0))</f>
        <v>11.723268587003396</v>
      </c>
      <c r="BC33" s="2934">
        <f ca="1">-INDEX(INDIRECT("'"&amp;BC$4&amp;"'!Year.NetBalance"), MATCH('Intermediate output'!$C33, INDIRECT("'"&amp;BC$4&amp;"'!Year.Vectors"), 0))</f>
        <v>19.27666069016519</v>
      </c>
      <c r="BD33" s="2934">
        <f ca="1">-INDEX(INDIRECT("'"&amp;BD$4&amp;"'!Year.NetBalance"), MATCH('Intermediate output'!$C33, INDIRECT("'"&amp;BD$4&amp;"'!Year.Vectors"), 0))</f>
        <v>24.016689175657081</v>
      </c>
      <c r="BE33" s="2934">
        <f ca="1">-INDEX(INDIRECT("'"&amp;BE$4&amp;"'!Year.NetBalance"), MATCH('Intermediate output'!$C33, INDIRECT("'"&amp;BE$4&amp;"'!Year.Vectors"), 0))</f>
        <v>32.134064682425347</v>
      </c>
      <c r="BF33" s="2934">
        <f ca="1">-INDEX(INDIRECT("'"&amp;BF$4&amp;"'!Year.NetBalance"), MATCH('Intermediate output'!$C33, INDIRECT("'"&amp;BF$4&amp;"'!Year.Vectors"), 0))</f>
        <v>35.375529883026232</v>
      </c>
      <c r="BG33" s="2934">
        <f ca="1">-INDEX(INDIRECT("'"&amp;BG$4&amp;"'!Year.NetBalance"), MATCH('Intermediate output'!$C33, INDIRECT("'"&amp;BG$4&amp;"'!Year.Vectors"), 0))</f>
        <v>35.590190574510501</v>
      </c>
      <c r="BH33" s="3100"/>
      <c r="BJ33" s="3096"/>
      <c r="BK33" s="3098"/>
      <c r="BL33" s="3098"/>
      <c r="BM33" s="515"/>
      <c r="BN33" s="2934"/>
      <c r="BO33" s="2934"/>
      <c r="BP33" s="3099"/>
      <c r="BQ33" s="3099"/>
      <c r="BR33" s="3099"/>
      <c r="BS33" s="3099"/>
      <c r="BT33" s="3099"/>
      <c r="BU33" s="3099"/>
      <c r="CE33" s="927" t="s">
        <v>3475</v>
      </c>
    </row>
    <row r="34" spans="2:83" s="927" customFormat="1">
      <c r="B34" s="3096"/>
      <c r="C34" s="3098" t="s">
        <v>452</v>
      </c>
      <c r="D34" s="3098" t="str">
        <f>INDEX(Vectors[Description], MATCH($C34, Vectors[Code], 0))</f>
        <v>Agriculture</v>
      </c>
      <c r="E34" s="515"/>
      <c r="F34" s="2934"/>
      <c r="G34" s="2934"/>
      <c r="H34" s="3099"/>
      <c r="I34" s="3099"/>
      <c r="J34" s="3099"/>
      <c r="K34" s="3099"/>
      <c r="L34" s="3099"/>
      <c r="M34" s="3099"/>
      <c r="N34" s="3099"/>
      <c r="O34" s="3099"/>
      <c r="P34" s="3099"/>
      <c r="Q34" s="3099"/>
      <c r="R34" s="3099"/>
      <c r="S34" s="3099"/>
      <c r="T34" s="3099"/>
      <c r="U34" s="3099"/>
      <c r="V34" s="3099"/>
      <c r="W34" s="3099"/>
      <c r="X34" s="3099"/>
      <c r="Y34" s="3099"/>
      <c r="Z34" s="3099"/>
      <c r="AA34" s="3099"/>
      <c r="AB34" s="3099"/>
      <c r="AC34" s="3099"/>
      <c r="AD34" s="3099"/>
      <c r="AE34" s="3099"/>
      <c r="AF34" s="3099"/>
      <c r="AG34" s="3099"/>
      <c r="AH34" s="3099"/>
      <c r="AI34" s="3099"/>
      <c r="AJ34" s="3099"/>
      <c r="AK34" s="3099"/>
      <c r="AL34" s="3099"/>
      <c r="AM34" s="3099"/>
      <c r="AN34" s="3099"/>
      <c r="AO34" s="3099"/>
      <c r="AP34" s="3099"/>
      <c r="AQ34" s="3099"/>
      <c r="AR34" s="3099"/>
      <c r="AS34" s="3099"/>
      <c r="AT34" s="3099"/>
      <c r="AU34" s="3099"/>
      <c r="AV34" s="3099"/>
      <c r="AW34" s="3099"/>
      <c r="AX34" s="515"/>
      <c r="AY34" s="3732">
        <f ca="1">-INDEX(INDIRECT("'"&amp;AY$4&amp;"'!Year.NetBalance"), MATCH('Intermediate output'!$C34, INDIRECT("'"&amp;AY$4&amp;"'!Year.Vectors"), 0))</f>
        <v>0.31308333333333338</v>
      </c>
      <c r="AZ34" s="2934">
        <f ca="1">-INDEX(INDIRECT("'"&amp;AZ$4&amp;"'!Year.NetBalance"), MATCH('Intermediate output'!$C34, INDIRECT("'"&amp;AZ$4&amp;"'!Year.Vectors"), 0))</f>
        <v>3.1030021015136149</v>
      </c>
      <c r="BA34" s="2934">
        <f ca="1">-INDEX(INDIRECT("'"&amp;BA$4&amp;"'!Year.NetBalance"), MATCH('Intermediate output'!$C34, INDIRECT("'"&amp;BA$4&amp;"'!Year.Vectors"), 0))</f>
        <v>10.829078746607582</v>
      </c>
      <c r="BB34" s="2934">
        <f ca="1">-INDEX(INDIRECT("'"&amp;BB$4&amp;"'!Year.NetBalance"), MATCH('Intermediate output'!$C34, INDIRECT("'"&amp;BB$4&amp;"'!Year.Vectors"), 0))</f>
        <v>19.766573720425786</v>
      </c>
      <c r="BC34" s="2934">
        <f ca="1">-INDEX(INDIRECT("'"&amp;BC$4&amp;"'!Year.NetBalance"), MATCH('Intermediate output'!$C34, INDIRECT("'"&amp;BC$4&amp;"'!Year.Vectors"), 0))</f>
        <v>30.517093697634575</v>
      </c>
      <c r="BD34" s="2934">
        <f ca="1">-INDEX(INDIRECT("'"&amp;BD$4&amp;"'!Year.NetBalance"), MATCH('Intermediate output'!$C34, INDIRECT("'"&amp;BD$4&amp;"'!Year.Vectors"), 0))</f>
        <v>44.707203811579298</v>
      </c>
      <c r="BE34" s="2934">
        <f ca="1">-INDEX(INDIRECT("'"&amp;BE$4&amp;"'!Year.NetBalance"), MATCH('Intermediate output'!$C34, INDIRECT("'"&amp;BE$4&amp;"'!Year.Vectors"), 0))</f>
        <v>62.656428421958964</v>
      </c>
      <c r="BF34" s="2934">
        <f ca="1">-INDEX(INDIRECT("'"&amp;BF$4&amp;"'!Year.NetBalance"), MATCH('Intermediate output'!$C34, INDIRECT("'"&amp;BF$4&amp;"'!Year.Vectors"), 0))</f>
        <v>81.62870870719199</v>
      </c>
      <c r="BG34" s="2934">
        <f ca="1">-INDEX(INDIRECT("'"&amp;BG$4&amp;"'!Year.NetBalance"), MATCH('Intermediate output'!$C34, INDIRECT("'"&amp;BG$4&amp;"'!Year.Vectors"), 0))</f>
        <v>103.3784393118105</v>
      </c>
      <c r="BH34" s="3100"/>
      <c r="BJ34" s="3096"/>
      <c r="BK34" s="3098"/>
      <c r="BL34" s="3098"/>
      <c r="BM34" s="515"/>
      <c r="BN34" s="2934"/>
      <c r="BO34" s="2934"/>
      <c r="BP34" s="3099"/>
      <c r="BQ34" s="3099"/>
      <c r="BR34" s="3099"/>
      <c r="BS34" s="3099"/>
      <c r="BT34" s="3099"/>
      <c r="BU34" s="3099"/>
    </row>
    <row r="35" spans="2:83" s="927" customFormat="1">
      <c r="B35" s="3096"/>
      <c r="C35" s="3098" t="s">
        <v>439</v>
      </c>
      <c r="D35" s="3098" t="str">
        <f>INDEX(Vectors[Description], MATCH($C35, Vectors[Code], 0))</f>
        <v>Biomass imports (exports in parenthesis)</v>
      </c>
      <c r="E35" s="515"/>
      <c r="F35" s="2934">
        <f>(Unit.TWh)*0.2</f>
        <v>0.2</v>
      </c>
      <c r="G35" s="2934"/>
      <c r="H35" s="3099"/>
      <c r="I35" s="3099"/>
      <c r="J35" s="3099"/>
      <c r="K35" s="3099"/>
      <c r="L35" s="3099"/>
      <c r="M35" s="3099"/>
      <c r="N35" s="3099"/>
      <c r="O35" s="3099"/>
      <c r="P35" s="3099"/>
      <c r="Q35" s="3099"/>
      <c r="R35" s="3099"/>
      <c r="S35" s="3099"/>
      <c r="T35" s="3099"/>
      <c r="U35" s="3099"/>
      <c r="V35" s="3099"/>
      <c r="W35" s="3099"/>
      <c r="X35" s="3099"/>
      <c r="Y35" s="3099"/>
      <c r="Z35" s="3099"/>
      <c r="AA35" s="3099"/>
      <c r="AB35" s="3099"/>
      <c r="AC35" s="3099"/>
      <c r="AD35" s="3099"/>
      <c r="AE35" s="3099"/>
      <c r="AF35" s="3099"/>
      <c r="AG35" s="3099"/>
      <c r="AH35" s="3099"/>
      <c r="AI35" s="3099"/>
      <c r="AJ35" s="3099"/>
      <c r="AK35" s="3099"/>
      <c r="AL35" s="3099"/>
      <c r="AM35" s="3099"/>
      <c r="AN35" s="3099"/>
      <c r="AO35" s="3099"/>
      <c r="AP35" s="3099"/>
      <c r="AQ35" s="3099"/>
      <c r="AR35" s="3099"/>
      <c r="AS35" s="3099"/>
      <c r="AT35" s="3099"/>
      <c r="AU35" s="3099"/>
      <c r="AV35" s="3099"/>
      <c r="AW35" s="3099"/>
      <c r="AX35" s="515"/>
      <c r="AY35" s="3732">
        <f ca="1">-INDEX(INDIRECT("'"&amp;AY$4&amp;"'!Year.NetBalance"), MATCH('Intermediate output'!$C35, INDIRECT("'"&amp;AY$4&amp;"'!Year.Vectors"), 0))</f>
        <v>1.0954366666666666</v>
      </c>
      <c r="AZ35" s="2934">
        <f ca="1">-INDEX(INDIRECT("'"&amp;AZ$4&amp;"'!Year.NetBalance"), MATCH('Intermediate output'!$C35, INDIRECT("'"&amp;AZ$4&amp;"'!Year.Vectors"), 0))</f>
        <v>1.2967</v>
      </c>
      <c r="BA35" s="2934">
        <f ca="1">-INDEX(INDIRECT("'"&amp;BA$4&amp;"'!Year.NetBalance"), MATCH('Intermediate output'!$C35, INDIRECT("'"&amp;BA$4&amp;"'!Year.Vectors"), 0))</f>
        <v>2.9119000000000002</v>
      </c>
      <c r="BB35" s="2934">
        <f ca="1">-INDEX(INDIRECT("'"&amp;BB$4&amp;"'!Year.NetBalance"), MATCH('Intermediate output'!$C35, INDIRECT("'"&amp;BB$4&amp;"'!Year.Vectors"), 0))</f>
        <v>-12.883921453370924</v>
      </c>
      <c r="BC35" s="2934">
        <f ca="1">-INDEX(INDIRECT("'"&amp;BC$4&amp;"'!Year.NetBalance"), MATCH('Intermediate output'!$C35, INDIRECT("'"&amp;BC$4&amp;"'!Year.Vectors"), 0))</f>
        <v>-27.976468589835875</v>
      </c>
      <c r="BD35" s="2934">
        <f ca="1">-INDEX(INDIRECT("'"&amp;BD$4&amp;"'!Year.NetBalance"), MATCH('Intermediate output'!$C35, INDIRECT("'"&amp;BD$4&amp;"'!Year.Vectors"), 0))</f>
        <v>-23.316859166197478</v>
      </c>
      <c r="BE35" s="2934">
        <f ca="1">-INDEX(INDIRECT("'"&amp;BE$4&amp;"'!Year.NetBalance"), MATCH('Intermediate output'!$C35, INDIRECT("'"&amp;BE$4&amp;"'!Year.Vectors"), 0))</f>
        <v>-39.595554960813011</v>
      </c>
      <c r="BF35" s="2934">
        <f ca="1">-INDEX(INDIRECT("'"&amp;BF$4&amp;"'!Year.NetBalance"), MATCH('Intermediate output'!$C35, INDIRECT("'"&amp;BF$4&amp;"'!Year.Vectors"), 0))</f>
        <v>-54.387755042114314</v>
      </c>
      <c r="BG35" s="2934">
        <f ca="1">-INDEX(INDIRECT("'"&amp;BG$4&amp;"'!Year.NetBalance"), MATCH('Intermediate output'!$C35, INDIRECT("'"&amp;BG$4&amp;"'!Year.Vectors"), 0))</f>
        <v>-69.532154317257508</v>
      </c>
      <c r="BH35" s="3100"/>
      <c r="BJ35" s="3096"/>
      <c r="BK35" s="3098"/>
      <c r="BL35" s="3098"/>
      <c r="BM35" s="515"/>
      <c r="BN35" s="2934"/>
      <c r="BO35" s="2934"/>
      <c r="BP35" s="3099"/>
      <c r="BQ35" s="3099"/>
      <c r="BR35" s="3099"/>
      <c r="BS35" s="3099"/>
      <c r="BT35" s="3099"/>
      <c r="BU35" s="3099"/>
    </row>
    <row r="36" spans="2:83">
      <c r="B36" s="514"/>
      <c r="C36" s="515"/>
      <c r="D36" s="3333" t="s">
        <v>3470</v>
      </c>
      <c r="E36" s="3333"/>
      <c r="F36" s="3334"/>
      <c r="G36" s="3334"/>
      <c r="H36" s="3117"/>
      <c r="I36" s="3117"/>
      <c r="J36" s="3117"/>
      <c r="K36" s="3117"/>
      <c r="L36" s="3117"/>
      <c r="M36" s="3117"/>
      <c r="N36" s="3117"/>
      <c r="O36" s="3117"/>
      <c r="P36" s="3117"/>
      <c r="Q36" s="3117"/>
      <c r="R36" s="3117"/>
      <c r="S36" s="3117"/>
      <c r="T36" s="3117"/>
      <c r="U36" s="3117"/>
      <c r="V36" s="3117"/>
      <c r="W36" s="3117"/>
      <c r="X36" s="3117"/>
      <c r="Y36" s="3117"/>
      <c r="Z36" s="3117"/>
      <c r="AA36" s="3117"/>
      <c r="AB36" s="3117"/>
      <c r="AC36" s="3117"/>
      <c r="AD36" s="3117"/>
      <c r="AE36" s="3117"/>
      <c r="AF36" s="3117"/>
      <c r="AG36" s="3117"/>
      <c r="AH36" s="3117"/>
      <c r="AI36" s="3117"/>
      <c r="AJ36" s="3117"/>
      <c r="AK36" s="3117"/>
      <c r="AL36" s="3117"/>
      <c r="AM36" s="3117"/>
      <c r="AN36" s="3117"/>
      <c r="AO36" s="3117"/>
      <c r="AP36" s="3117"/>
      <c r="AQ36" s="3117"/>
      <c r="AR36" s="3117"/>
      <c r="AS36" s="3117"/>
      <c r="AT36" s="3117"/>
      <c r="AU36" s="3117"/>
      <c r="AV36" s="3117"/>
      <c r="AW36" s="3117"/>
      <c r="AX36" s="3333"/>
      <c r="AY36" s="3731">
        <f t="shared" ref="AY36:BG36" ca="1" si="6">SUM(AY33:AY35)</f>
        <v>2.1701692424588424</v>
      </c>
      <c r="AZ36" s="3334">
        <f t="shared" ca="1" si="6"/>
        <v>5.9772574581939466</v>
      </c>
      <c r="BA36" s="3334">
        <f t="shared" ca="1" si="6"/>
        <v>19.124319444842083</v>
      </c>
      <c r="BB36" s="3334">
        <f t="shared" ca="1" si="6"/>
        <v>18.605920854058258</v>
      </c>
      <c r="BC36" s="3334">
        <f t="shared" ca="1" si="6"/>
        <v>21.817285797963891</v>
      </c>
      <c r="BD36" s="3334">
        <f t="shared" ca="1" si="6"/>
        <v>45.407033821038908</v>
      </c>
      <c r="BE36" s="3334">
        <f t="shared" ca="1" si="6"/>
        <v>55.194938143571299</v>
      </c>
      <c r="BF36" s="3334">
        <f t="shared" ca="1" si="6"/>
        <v>62.616483548103908</v>
      </c>
      <c r="BG36" s="3334">
        <f t="shared" ca="1" si="6"/>
        <v>69.436475569063489</v>
      </c>
      <c r="BH36" s="3105"/>
      <c r="BJ36" s="514"/>
      <c r="BK36" s="515"/>
      <c r="BL36" s="3333"/>
      <c r="BM36" s="3333"/>
      <c r="BN36" s="3334"/>
      <c r="BO36" s="3334"/>
      <c r="BP36" s="3117"/>
      <c r="BQ36" s="3117"/>
      <c r="BR36" s="3117"/>
      <c r="BS36" s="3117"/>
      <c r="BT36" s="3117"/>
      <c r="BU36" s="3117"/>
    </row>
    <row r="37" spans="2:83" s="927" customFormat="1">
      <c r="B37" s="3096"/>
      <c r="C37" s="3098" t="s">
        <v>442</v>
      </c>
      <c r="D37" s="3098" t="str">
        <f>INDEX(Vectors[Description], MATCH($C37, Vectors[Code], 0))</f>
        <v>Coal imports (exports in paranthesis)</v>
      </c>
      <c r="E37" s="515"/>
      <c r="F37" s="2934">
        <f>(Unit.TWh)*'Irl. Energy Balance 2013 (TWh)'!D8</f>
        <v>14.656822134585569</v>
      </c>
      <c r="G37" s="2934"/>
      <c r="H37" s="3099"/>
      <c r="I37" s="3099"/>
      <c r="J37" s="3099"/>
      <c r="K37" s="3099"/>
      <c r="L37" s="3099"/>
      <c r="M37" s="3099"/>
      <c r="N37" s="3099"/>
      <c r="O37" s="3099"/>
      <c r="P37" s="3099"/>
      <c r="Q37" s="3099"/>
      <c r="R37" s="3099"/>
      <c r="S37" s="3099"/>
      <c r="T37" s="3099"/>
      <c r="U37" s="3099"/>
      <c r="V37" s="3099"/>
      <c r="W37" s="3099"/>
      <c r="X37" s="3099"/>
      <c r="Y37" s="3099"/>
      <c r="Z37" s="3099"/>
      <c r="AA37" s="3099"/>
      <c r="AB37" s="3099"/>
      <c r="AC37" s="3099"/>
      <c r="AD37" s="3099"/>
      <c r="AE37" s="3099"/>
      <c r="AF37" s="3099"/>
      <c r="AG37" s="3099"/>
      <c r="AH37" s="3099"/>
      <c r="AI37" s="3099"/>
      <c r="AJ37" s="3099"/>
      <c r="AK37" s="3099"/>
      <c r="AL37" s="3099"/>
      <c r="AM37" s="3099"/>
      <c r="AN37" s="3099"/>
      <c r="AO37" s="3099"/>
      <c r="AP37" s="3099"/>
      <c r="AQ37" s="3099"/>
      <c r="AR37" s="3099"/>
      <c r="AS37" s="3099"/>
      <c r="AT37" s="3099"/>
      <c r="AU37" s="3099"/>
      <c r="AV37" s="3099"/>
      <c r="AW37" s="3099"/>
      <c r="AX37" s="515"/>
      <c r="AY37" s="3732">
        <f ca="1">-INDEX(INDIRECT("'"&amp;AY$4&amp;"'!Year.NetBalance"), MATCH('Intermediate output'!$C37, INDIRECT("'"&amp;AY$4&amp;"'!Year.Vectors"), 0))</f>
        <v>14.602281067209798</v>
      </c>
      <c r="AZ37" s="2934">
        <f ca="1">-INDEX(INDIRECT("'"&amp;AZ$4&amp;"'!Year.NetBalance"), MATCH('Intermediate output'!$C37, INDIRECT("'"&amp;AZ$4&amp;"'!Year.Vectors"), 0))</f>
        <v>13.367884225892757</v>
      </c>
      <c r="BA37" s="2934">
        <f ca="1">-INDEX(INDIRECT("'"&amp;BA$4&amp;"'!Year.NetBalance"), MATCH('Intermediate output'!$C37, INDIRECT("'"&amp;BA$4&amp;"'!Year.Vectors"), 0))</f>
        <v>0.49575845114132866</v>
      </c>
      <c r="BB37" s="2934">
        <f ca="1">-INDEX(INDIRECT("'"&amp;BB$4&amp;"'!Year.NetBalance"), MATCH('Intermediate output'!$C37, INDIRECT("'"&amp;BB$4&amp;"'!Year.Vectors"), 0))</f>
        <v>-2.2402186688480645</v>
      </c>
      <c r="BC37" s="2934">
        <f ca="1">-INDEX(INDIRECT("'"&amp;BC$4&amp;"'!Year.NetBalance"), MATCH('Intermediate output'!$C37, INDIRECT("'"&amp;BC$4&amp;"'!Year.Vectors"), 0))</f>
        <v>-0.22914024705997099</v>
      </c>
      <c r="BD37" s="2934">
        <f ca="1">-INDEX(INDIRECT("'"&amp;BD$4&amp;"'!Year.NetBalance"), MATCH('Intermediate output'!$C37, INDIRECT("'"&amp;BD$4&amp;"'!Year.Vectors"), 0))</f>
        <v>-0.22533488167895965</v>
      </c>
      <c r="BE37" s="2934">
        <f ca="1">-INDEX(INDIRECT("'"&amp;BE$4&amp;"'!Year.NetBalance"), MATCH('Intermediate output'!$C37, INDIRECT("'"&amp;BE$4&amp;"'!Year.Vectors"), 0))</f>
        <v>-0.22186590218798416</v>
      </c>
      <c r="BF37" s="2934">
        <f ca="1">-INDEX(INDIRECT("'"&amp;BF$4&amp;"'!Year.NetBalance"), MATCH('Intermediate output'!$C37, INDIRECT("'"&amp;BF$4&amp;"'!Year.Vectors"), 0))</f>
        <v>-0.21811357288438121</v>
      </c>
      <c r="BG37" s="2934">
        <f ca="1">-INDEX(INDIRECT("'"&amp;BG$4&amp;"'!Year.NetBalance"), MATCH('Intermediate output'!$C37, INDIRECT("'"&amp;BG$4&amp;"'!Year.Vectors"), 0))</f>
        <v>-0.2136046021465092</v>
      </c>
      <c r="BH37" s="3100"/>
      <c r="BJ37" s="3096"/>
      <c r="BK37" s="3098"/>
      <c r="BL37" s="3098"/>
      <c r="BM37" s="515"/>
      <c r="BN37" s="2934"/>
      <c r="BO37" s="2934"/>
      <c r="BP37" s="3099"/>
      <c r="BQ37" s="3099"/>
      <c r="BR37" s="3099"/>
      <c r="BS37" s="3099"/>
      <c r="BT37" s="3099"/>
      <c r="BU37" s="3099"/>
    </row>
    <row r="38" spans="2:83" s="927" customFormat="1">
      <c r="B38" s="3096"/>
      <c r="C38" s="3098" t="s">
        <v>436</v>
      </c>
      <c r="D38" s="3098" t="str">
        <f>INDEX(Vectors[Description], MATCH($C38, Vectors[Code], 0))</f>
        <v>Peat reserves</v>
      </c>
      <c r="E38" s="515"/>
      <c r="F38" s="2934">
        <f>(Unit.TWh)*'Irl. Energy Balance 2013 (TWh)'!$H$7</f>
        <v>8.4099484316203554</v>
      </c>
      <c r="G38" s="2934"/>
      <c r="H38" s="3099"/>
      <c r="I38" s="3099"/>
      <c r="J38" s="3099"/>
      <c r="K38" s="3099"/>
      <c r="L38" s="3099"/>
      <c r="M38" s="3099"/>
      <c r="N38" s="3099"/>
      <c r="O38" s="3099"/>
      <c r="P38" s="3099"/>
      <c r="Q38" s="3099"/>
      <c r="R38" s="3099"/>
      <c r="S38" s="3099"/>
      <c r="T38" s="3099"/>
      <c r="U38" s="3099"/>
      <c r="V38" s="3099"/>
      <c r="W38" s="3099"/>
      <c r="X38" s="3099"/>
      <c r="Y38" s="3099"/>
      <c r="Z38" s="3099"/>
      <c r="AA38" s="3099"/>
      <c r="AB38" s="3099"/>
      <c r="AC38" s="3099"/>
      <c r="AD38" s="3099"/>
      <c r="AE38" s="3099"/>
      <c r="AF38" s="3099"/>
      <c r="AG38" s="3099"/>
      <c r="AH38" s="3099"/>
      <c r="AI38" s="3099"/>
      <c r="AJ38" s="3099"/>
      <c r="AK38" s="3099"/>
      <c r="AL38" s="3099"/>
      <c r="AM38" s="3099"/>
      <c r="AN38" s="3099"/>
      <c r="AO38" s="3099"/>
      <c r="AP38" s="3099"/>
      <c r="AQ38" s="3099"/>
      <c r="AR38" s="3099"/>
      <c r="AS38" s="3099"/>
      <c r="AT38" s="3099"/>
      <c r="AU38" s="3099"/>
      <c r="AV38" s="3099"/>
      <c r="AW38" s="3099"/>
      <c r="AX38" s="515"/>
      <c r="AY38" s="2934">
        <f ca="1">-INDEX(INDIRECT("'"&amp;AY$4&amp;"'!Year.NetBalance"), MATCH('Intermediate output'!$C38, INDIRECT("'"&amp;AY$4&amp;"'!Year.Vectors"), 0))</f>
        <v>8.4</v>
      </c>
      <c r="AZ38" s="2934">
        <f ca="1">-INDEX(INDIRECT("'"&amp;AZ$4&amp;"'!Year.NetBalance"), MATCH('Intermediate output'!$C38, INDIRECT("'"&amp;AZ$4&amp;"'!Year.Vectors"), 0))</f>
        <v>7</v>
      </c>
      <c r="BA38" s="2934">
        <f ca="1">-INDEX(INDIRECT("'"&amp;BA$4&amp;"'!Year.NetBalance"), MATCH('Intermediate output'!$C38, INDIRECT("'"&amp;BA$4&amp;"'!Year.Vectors"), 0))</f>
        <v>2</v>
      </c>
      <c r="BB38" s="2934">
        <f ca="1">-INDEX(INDIRECT("'"&amp;BB$4&amp;"'!Year.NetBalance"), MATCH('Intermediate output'!$C38, INDIRECT("'"&amp;BB$4&amp;"'!Year.Vectors"), 0))</f>
        <v>2</v>
      </c>
      <c r="BC38" s="2934">
        <f ca="1">-INDEX(INDIRECT("'"&amp;BC$4&amp;"'!Year.NetBalance"), MATCH('Intermediate output'!$C38, INDIRECT("'"&amp;BC$4&amp;"'!Year.Vectors"), 0))</f>
        <v>0</v>
      </c>
      <c r="BD38" s="2934">
        <f ca="1">-INDEX(INDIRECT("'"&amp;BD$4&amp;"'!Year.NetBalance"), MATCH('Intermediate output'!$C38, INDIRECT("'"&amp;BD$4&amp;"'!Year.Vectors"), 0))</f>
        <v>0</v>
      </c>
      <c r="BE38" s="2934">
        <f ca="1">-INDEX(INDIRECT("'"&amp;BE$4&amp;"'!Year.NetBalance"), MATCH('Intermediate output'!$C38, INDIRECT("'"&amp;BE$4&amp;"'!Year.Vectors"), 0))</f>
        <v>0</v>
      </c>
      <c r="BF38" s="2934">
        <f ca="1">-INDEX(INDIRECT("'"&amp;BF$4&amp;"'!Year.NetBalance"), MATCH('Intermediate output'!$C38, INDIRECT("'"&amp;BF$4&amp;"'!Year.Vectors"), 0))</f>
        <v>0</v>
      </c>
      <c r="BG38" s="2934">
        <f ca="1">-INDEX(INDIRECT("'"&amp;BG$4&amp;"'!Year.NetBalance"), MATCH('Intermediate output'!$C38, INDIRECT("'"&amp;BG$4&amp;"'!Year.Vectors"), 0))</f>
        <v>0</v>
      </c>
      <c r="BH38" s="3100"/>
      <c r="BJ38" s="3096"/>
      <c r="BK38" s="3098"/>
      <c r="BL38" s="3098"/>
      <c r="BM38" s="515"/>
      <c r="BN38" s="2934"/>
      <c r="BO38" s="2934"/>
      <c r="BP38" s="3099"/>
      <c r="BQ38" s="3099"/>
      <c r="BR38" s="3099"/>
      <c r="BS38" s="3099"/>
      <c r="BT38" s="3099"/>
      <c r="BU38" s="3099"/>
    </row>
    <row r="39" spans="2:83">
      <c r="B39" s="514"/>
      <c r="C39" s="515"/>
      <c r="D39" s="3333" t="s">
        <v>1727</v>
      </c>
      <c r="E39" s="3333"/>
      <c r="F39" s="3334">
        <f>SUM(F37:F38)</f>
        <v>23.066770566205925</v>
      </c>
      <c r="G39" s="3103"/>
      <c r="H39" s="3104"/>
      <c r="I39" s="3104"/>
      <c r="J39" s="3104"/>
      <c r="K39" s="3104"/>
      <c r="L39" s="3104"/>
      <c r="M39" s="3104"/>
      <c r="N39" s="3104"/>
      <c r="O39" s="3104"/>
      <c r="P39" s="3104"/>
      <c r="Q39" s="3104"/>
      <c r="R39" s="3104"/>
      <c r="S39" s="3104"/>
      <c r="T39" s="3104"/>
      <c r="U39" s="3104"/>
      <c r="V39" s="3104"/>
      <c r="W39" s="3104"/>
      <c r="X39" s="3104"/>
      <c r="Y39" s="3104"/>
      <c r="Z39" s="3104"/>
      <c r="AA39" s="3104"/>
      <c r="AB39" s="3104"/>
      <c r="AC39" s="3104"/>
      <c r="AD39" s="3104"/>
      <c r="AE39" s="3104"/>
      <c r="AF39" s="3104"/>
      <c r="AG39" s="3104"/>
      <c r="AH39" s="3104"/>
      <c r="AI39" s="3104"/>
      <c r="AJ39" s="3104"/>
      <c r="AK39" s="3104"/>
      <c r="AL39" s="3104"/>
      <c r="AM39" s="3104"/>
      <c r="AN39" s="3104"/>
      <c r="AO39" s="3104"/>
      <c r="AP39" s="3104"/>
      <c r="AQ39" s="3104"/>
      <c r="AR39" s="3104"/>
      <c r="AS39" s="3104"/>
      <c r="AT39" s="3104"/>
      <c r="AU39" s="3104"/>
      <c r="AV39" s="3104"/>
      <c r="AW39" s="3104"/>
      <c r="AX39" s="515"/>
      <c r="AY39" s="3334">
        <f t="shared" ref="AY39:BG39" ca="1" si="7">SUM(AY37:AY38)</f>
        <v>23.0022810672098</v>
      </c>
      <c r="AZ39" s="3334">
        <f t="shared" ca="1" si="7"/>
        <v>20.367884225892759</v>
      </c>
      <c r="BA39" s="3334">
        <f t="shared" ca="1" si="7"/>
        <v>2.4957584511413287</v>
      </c>
      <c r="BB39" s="3334">
        <f t="shared" ca="1" si="7"/>
        <v>-0.24021866884806453</v>
      </c>
      <c r="BC39" s="3334">
        <f t="shared" ca="1" si="7"/>
        <v>-0.22914024705997099</v>
      </c>
      <c r="BD39" s="3334">
        <f t="shared" ca="1" si="7"/>
        <v>-0.22533488167895965</v>
      </c>
      <c r="BE39" s="3334">
        <f t="shared" ca="1" si="7"/>
        <v>-0.22186590218798416</v>
      </c>
      <c r="BF39" s="3334">
        <f t="shared" ca="1" si="7"/>
        <v>-0.21811357288438121</v>
      </c>
      <c r="BG39" s="3334">
        <f t="shared" ca="1" si="7"/>
        <v>-0.2136046021465092</v>
      </c>
      <c r="BH39" s="3105"/>
      <c r="BJ39" s="514"/>
      <c r="BK39" s="515"/>
      <c r="BL39" s="3333"/>
      <c r="BM39" s="3333"/>
      <c r="BN39" s="3334"/>
      <c r="BO39" s="3103"/>
      <c r="BP39" s="3104"/>
      <c r="BQ39" s="3104"/>
      <c r="BR39" s="3104"/>
      <c r="BS39" s="3104"/>
      <c r="BT39" s="3104"/>
      <c r="BU39" s="3104"/>
    </row>
    <row r="40" spans="2:83" s="927" customFormat="1">
      <c r="B40" s="3096"/>
      <c r="C40" s="3098" t="s">
        <v>437</v>
      </c>
      <c r="D40" s="3098" t="str">
        <f>INDEX(Vectors[Description], MATCH($C40, Vectors[Code], 0))</f>
        <v>Oil reserves</v>
      </c>
      <c r="E40" s="515"/>
      <c r="F40" s="2934">
        <f>'Irl. Energy Balance 2013 (TWh)'!L2</f>
        <v>0</v>
      </c>
      <c r="G40" s="2934"/>
      <c r="H40" s="3099"/>
      <c r="I40" s="3099"/>
      <c r="J40" s="3099"/>
      <c r="K40" s="3099"/>
      <c r="L40" s="3099"/>
      <c r="M40" s="3099"/>
      <c r="N40" s="3099"/>
      <c r="O40" s="3099"/>
      <c r="P40" s="3099"/>
      <c r="Q40" s="3099"/>
      <c r="R40" s="3099"/>
      <c r="S40" s="3099"/>
      <c r="T40" s="3099"/>
      <c r="U40" s="3099"/>
      <c r="V40" s="3099"/>
      <c r="W40" s="3099"/>
      <c r="X40" s="3099"/>
      <c r="Y40" s="3099"/>
      <c r="Z40" s="3099"/>
      <c r="AA40" s="3099"/>
      <c r="AB40" s="3099"/>
      <c r="AC40" s="3099"/>
      <c r="AD40" s="3099"/>
      <c r="AE40" s="3099"/>
      <c r="AF40" s="3099"/>
      <c r="AG40" s="3099"/>
      <c r="AH40" s="3099"/>
      <c r="AI40" s="3099"/>
      <c r="AJ40" s="3099"/>
      <c r="AK40" s="3099"/>
      <c r="AL40" s="3099"/>
      <c r="AM40" s="3099"/>
      <c r="AN40" s="3099"/>
      <c r="AO40" s="3099"/>
      <c r="AP40" s="3099"/>
      <c r="AQ40" s="3099"/>
      <c r="AR40" s="3099"/>
      <c r="AS40" s="3099"/>
      <c r="AT40" s="3099"/>
      <c r="AU40" s="3099"/>
      <c r="AV40" s="3099"/>
      <c r="AW40" s="3099"/>
      <c r="AX40" s="515"/>
      <c r="AY40" s="2934">
        <f ca="1">-INDEX(INDIRECT("'"&amp;AY$4&amp;"'!Year.NetBalance"), MATCH('Intermediate output'!$C40, INDIRECT("'"&amp;AY$4&amp;"'!Year.Vectors"), 0))</f>
        <v>0</v>
      </c>
      <c r="AZ40" s="2934">
        <f ca="1">-INDEX(INDIRECT("'"&amp;AZ$4&amp;"'!Year.NetBalance"), MATCH('Intermediate output'!$C40, INDIRECT("'"&amp;AZ$4&amp;"'!Year.Vectors"), 0))</f>
        <v>0</v>
      </c>
      <c r="BA40" s="2934">
        <f ca="1">-INDEX(INDIRECT("'"&amp;BA$4&amp;"'!Year.NetBalance"), MATCH('Intermediate output'!$C40, INDIRECT("'"&amp;BA$4&amp;"'!Year.Vectors"), 0))</f>
        <v>0</v>
      </c>
      <c r="BB40" s="2934">
        <f ca="1">-INDEX(INDIRECT("'"&amp;BB$4&amp;"'!Year.NetBalance"), MATCH('Intermediate output'!$C40, INDIRECT("'"&amp;BB$4&amp;"'!Year.Vectors"), 0))</f>
        <v>0</v>
      </c>
      <c r="BC40" s="2934">
        <f ca="1">-INDEX(INDIRECT("'"&amp;BC$4&amp;"'!Year.NetBalance"), MATCH('Intermediate output'!$C40, INDIRECT("'"&amp;BC$4&amp;"'!Year.Vectors"), 0))</f>
        <v>0</v>
      </c>
      <c r="BD40" s="2934">
        <f ca="1">-INDEX(INDIRECT("'"&amp;BD$4&amp;"'!Year.NetBalance"), MATCH('Intermediate output'!$C40, INDIRECT("'"&amp;BD$4&amp;"'!Year.Vectors"), 0))</f>
        <v>0</v>
      </c>
      <c r="BE40" s="2934">
        <f ca="1">-INDEX(INDIRECT("'"&amp;BE$4&amp;"'!Year.NetBalance"), MATCH('Intermediate output'!$C40, INDIRECT("'"&amp;BE$4&amp;"'!Year.Vectors"), 0))</f>
        <v>0</v>
      </c>
      <c r="BF40" s="2934">
        <f ca="1">-INDEX(INDIRECT("'"&amp;BF$4&amp;"'!Year.NetBalance"), MATCH('Intermediate output'!$C40, INDIRECT("'"&amp;BF$4&amp;"'!Year.Vectors"), 0))</f>
        <v>0</v>
      </c>
      <c r="BG40" s="2934">
        <f ca="1">-INDEX(INDIRECT("'"&amp;BG$4&amp;"'!Year.NetBalance"), MATCH('Intermediate output'!$C40, INDIRECT("'"&amp;BG$4&amp;"'!Year.Vectors"), 0))</f>
        <v>0</v>
      </c>
      <c r="BH40" s="3100"/>
      <c r="BJ40" s="3096"/>
      <c r="BK40" s="3098"/>
      <c r="BL40" s="3098"/>
      <c r="BM40" s="515"/>
      <c r="BN40" s="2934"/>
      <c r="BO40" s="2934"/>
      <c r="BP40" s="3099"/>
      <c r="BQ40" s="3099"/>
      <c r="BR40" s="3099"/>
      <c r="BS40" s="3099"/>
      <c r="BT40" s="3099"/>
      <c r="BU40" s="3099"/>
      <c r="CE40" s="927" t="s">
        <v>5</v>
      </c>
    </row>
    <row r="41" spans="2:83" s="927" customFormat="1">
      <c r="B41" s="3096"/>
      <c r="C41" s="3098" t="s">
        <v>443</v>
      </c>
      <c r="D41" s="3098" t="str">
        <f>INDEX(Vectors[Description], MATCH($C41, Vectors[Code], 0))</f>
        <v>Oil and petroleum products imports (exports in parenthesis)</v>
      </c>
      <c r="E41" s="515"/>
      <c r="F41" s="2934">
        <f>(Unit.TWh)*'Irl. Energy Balance 2013 (TWh)'!L7</f>
        <v>76.116012246733362</v>
      </c>
      <c r="G41" s="2934"/>
      <c r="H41" s="3099"/>
      <c r="I41" s="3099"/>
      <c r="J41" s="3099"/>
      <c r="K41" s="3099"/>
      <c r="L41" s="3099"/>
      <c r="M41" s="3099"/>
      <c r="N41" s="3099"/>
      <c r="O41" s="3099"/>
      <c r="P41" s="3099"/>
      <c r="Q41" s="3099"/>
      <c r="R41" s="3099"/>
      <c r="S41" s="3099"/>
      <c r="T41" s="3099"/>
      <c r="U41" s="3099"/>
      <c r="V41" s="3099"/>
      <c r="W41" s="3099"/>
      <c r="X41" s="3099"/>
      <c r="Y41" s="3099"/>
      <c r="Z41" s="3099"/>
      <c r="AA41" s="3099"/>
      <c r="AB41" s="3099"/>
      <c r="AC41" s="3099"/>
      <c r="AD41" s="3099"/>
      <c r="AE41" s="3099"/>
      <c r="AF41" s="3099"/>
      <c r="AG41" s="3099"/>
      <c r="AH41" s="3099"/>
      <c r="AI41" s="3099"/>
      <c r="AJ41" s="3099"/>
      <c r="AK41" s="3099"/>
      <c r="AL41" s="3099"/>
      <c r="AM41" s="3099"/>
      <c r="AN41" s="3099"/>
      <c r="AO41" s="3099"/>
      <c r="AP41" s="3099"/>
      <c r="AQ41" s="3099"/>
      <c r="AR41" s="3099"/>
      <c r="AS41" s="3099"/>
      <c r="AT41" s="3099"/>
      <c r="AU41" s="3099"/>
      <c r="AV41" s="3099"/>
      <c r="AW41" s="3099"/>
      <c r="AX41" s="515"/>
      <c r="AY41" s="2934">
        <f ca="1">-INDEX(INDIRECT("'"&amp;AY$4&amp;"'!Year.NetBalance"), MATCH('Intermediate output'!$C41, INDIRECT("'"&amp;AY$4&amp;"'!Year.Vectors"), 0))</f>
        <v>76.341107777431446</v>
      </c>
      <c r="AZ41" s="2934">
        <f ca="1">-INDEX(INDIRECT("'"&amp;AZ$4&amp;"'!Year.NetBalance"), MATCH('Intermediate output'!$C41, INDIRECT("'"&amp;AZ$4&amp;"'!Year.Vectors"), 0))</f>
        <v>70.428965076712089</v>
      </c>
      <c r="BA41" s="2934">
        <f ca="1">-INDEX(INDIRECT("'"&amp;BA$4&amp;"'!Year.NetBalance"), MATCH('Intermediate output'!$C41, INDIRECT("'"&amp;BA$4&amp;"'!Year.Vectors"), 0))</f>
        <v>66.132600914927124</v>
      </c>
      <c r="BB41" s="2934">
        <f ca="1">-INDEX(INDIRECT("'"&amp;BB$4&amp;"'!Year.NetBalance"), MATCH('Intermediate output'!$C41, INDIRECT("'"&amp;BB$4&amp;"'!Year.Vectors"), 0))</f>
        <v>61.70681606299398</v>
      </c>
      <c r="BC41" s="2934">
        <f ca="1">-INDEX(INDIRECT("'"&amp;BC$4&amp;"'!Year.NetBalance"), MATCH('Intermediate output'!$C41, INDIRECT("'"&amp;BC$4&amp;"'!Year.Vectors"), 0))</f>
        <v>58.853734589724091</v>
      </c>
      <c r="BD41" s="2934">
        <f ca="1">-INDEX(INDIRECT("'"&amp;BD$4&amp;"'!Year.NetBalance"), MATCH('Intermediate output'!$C41, INDIRECT("'"&amp;BD$4&amp;"'!Year.Vectors"), 0))</f>
        <v>56.055550717287325</v>
      </c>
      <c r="BE41" s="2934">
        <f ca="1">-INDEX(INDIRECT("'"&amp;BE$4&amp;"'!Year.NetBalance"), MATCH('Intermediate output'!$C41, INDIRECT("'"&amp;BE$4&amp;"'!Year.Vectors"), 0))</f>
        <v>53.466242556904533</v>
      </c>
      <c r="BF41" s="2934">
        <f ca="1">-INDEX(INDIRECT("'"&amp;BF$4&amp;"'!Year.NetBalance"), MATCH('Intermediate output'!$C41, INDIRECT("'"&amp;BF$4&amp;"'!Year.Vectors"), 0))</f>
        <v>50.942465881243002</v>
      </c>
      <c r="BG41" s="2934">
        <f ca="1">-INDEX(INDIRECT("'"&amp;BG$4&amp;"'!Year.NetBalance"), MATCH('Intermediate output'!$C41, INDIRECT("'"&amp;BG$4&amp;"'!Year.Vectors"), 0))</f>
        <v>48.624578735681354</v>
      </c>
      <c r="BH41" s="3100"/>
      <c r="BJ41" s="3096"/>
      <c r="BK41" s="3098"/>
      <c r="BL41" s="3098"/>
      <c r="BM41" s="515"/>
      <c r="BN41" s="2934"/>
      <c r="BO41" s="2934"/>
      <c r="BP41" s="3099"/>
      <c r="BQ41" s="3099"/>
      <c r="BR41" s="3099"/>
      <c r="BS41" s="3099"/>
      <c r="BT41" s="3099"/>
      <c r="BU41" s="3099"/>
    </row>
    <row r="42" spans="2:83" s="927" customFormat="1">
      <c r="B42" s="3096"/>
      <c r="C42" s="3098" t="s">
        <v>441</v>
      </c>
      <c r="D42" s="3098" t="s">
        <v>3041</v>
      </c>
      <c r="E42" s="3593"/>
      <c r="F42" s="2934"/>
      <c r="G42" s="2934"/>
      <c r="H42" s="3099"/>
      <c r="I42" s="3099"/>
      <c r="J42" s="3099"/>
      <c r="K42" s="3099"/>
      <c r="L42" s="3099"/>
      <c r="M42" s="3099"/>
      <c r="N42" s="3099"/>
      <c r="O42" s="3099"/>
      <c r="P42" s="3099"/>
      <c r="Q42" s="3099"/>
      <c r="R42" s="3099"/>
      <c r="S42" s="3099"/>
      <c r="T42" s="3099"/>
      <c r="U42" s="3099"/>
      <c r="V42" s="3099"/>
      <c r="W42" s="3099"/>
      <c r="X42" s="3099"/>
      <c r="Y42" s="3099"/>
      <c r="Z42" s="3099"/>
      <c r="AA42" s="3099"/>
      <c r="AB42" s="3099"/>
      <c r="AC42" s="3099"/>
      <c r="AD42" s="3099"/>
      <c r="AE42" s="3099"/>
      <c r="AF42" s="3099"/>
      <c r="AG42" s="3099"/>
      <c r="AH42" s="3099"/>
      <c r="AI42" s="3099"/>
      <c r="AJ42" s="3099"/>
      <c r="AK42" s="3099"/>
      <c r="AL42" s="3099"/>
      <c r="AM42" s="3099"/>
      <c r="AN42" s="3099"/>
      <c r="AO42" s="3099"/>
      <c r="AP42" s="3099"/>
      <c r="AQ42" s="3099"/>
      <c r="AR42" s="3099"/>
      <c r="AS42" s="3099"/>
      <c r="AT42" s="3099"/>
      <c r="AU42" s="3099"/>
      <c r="AV42" s="3099"/>
      <c r="AW42" s="3099"/>
      <c r="AX42" s="515"/>
      <c r="AY42" s="2934">
        <f ca="1">-INDEX(INDIRECT("'"&amp;AY$4&amp;"'!Year.NetBalance"), MATCH('Intermediate output'!$C42, INDIRECT("'"&amp;AY$4&amp;"'!Year.Vectors"), 0))</f>
        <v>0</v>
      </c>
      <c r="AZ42" s="2934">
        <f ca="1">-INDEX(INDIRECT("'"&amp;AZ$4&amp;"'!Year.NetBalance"), MATCH('Intermediate output'!$C42, INDIRECT("'"&amp;AZ$4&amp;"'!Year.Vectors"), 0))</f>
        <v>0</v>
      </c>
      <c r="BA42" s="2934">
        <f ca="1">-INDEX(INDIRECT("'"&amp;BA$4&amp;"'!Year.NetBalance"), MATCH('Intermediate output'!$C42, INDIRECT("'"&amp;BA$4&amp;"'!Year.Vectors"), 0))</f>
        <v>0</v>
      </c>
      <c r="BB42" s="2934">
        <f ca="1">-INDEX(INDIRECT("'"&amp;BB$4&amp;"'!Year.NetBalance"), MATCH('Intermediate output'!$C42, INDIRECT("'"&amp;BB$4&amp;"'!Year.Vectors"), 0))</f>
        <v>0</v>
      </c>
      <c r="BC42" s="2934">
        <f ca="1">-INDEX(INDIRECT("'"&amp;BC$4&amp;"'!Year.NetBalance"), MATCH('Intermediate output'!$C42, INDIRECT("'"&amp;BC$4&amp;"'!Year.Vectors"), 0))</f>
        <v>0</v>
      </c>
      <c r="BD42" s="2934">
        <f ca="1">-INDEX(INDIRECT("'"&amp;BD$4&amp;"'!Year.NetBalance"), MATCH('Intermediate output'!$C42, INDIRECT("'"&amp;BD$4&amp;"'!Year.Vectors"), 0))</f>
        <v>0</v>
      </c>
      <c r="BE42" s="2934">
        <f ca="1">-INDEX(INDIRECT("'"&amp;BE$4&amp;"'!Year.NetBalance"), MATCH('Intermediate output'!$C42, INDIRECT("'"&amp;BE$4&amp;"'!Year.Vectors"), 0))</f>
        <v>0</v>
      </c>
      <c r="BF42" s="2934">
        <f ca="1">-INDEX(INDIRECT("'"&amp;BF$4&amp;"'!Year.NetBalance"), MATCH('Intermediate output'!$C42, INDIRECT("'"&amp;BF$4&amp;"'!Year.Vectors"), 0))</f>
        <v>0</v>
      </c>
      <c r="BG42" s="2934">
        <f ca="1">-INDEX(INDIRECT("'"&amp;BG$4&amp;"'!Year.NetBalance"), MATCH('Intermediate output'!$C42, INDIRECT("'"&amp;BG$4&amp;"'!Year.Vectors"), 0))</f>
        <v>0</v>
      </c>
      <c r="BH42" s="3100"/>
      <c r="BJ42" s="3096"/>
      <c r="BK42" s="3098"/>
      <c r="BL42" s="3098"/>
      <c r="BM42" s="3593"/>
      <c r="BN42" s="2934"/>
      <c r="BO42" s="2934"/>
      <c r="BP42" s="3099"/>
      <c r="BQ42" s="3099"/>
      <c r="BR42" s="3099"/>
      <c r="BS42" s="3099"/>
      <c r="BT42" s="3099"/>
      <c r="BU42" s="3099"/>
    </row>
    <row r="43" spans="2:83">
      <c r="B43" s="514"/>
      <c r="C43" s="515"/>
      <c r="D43" s="3333" t="s">
        <v>377</v>
      </c>
      <c r="E43" s="515"/>
      <c r="F43" s="3334">
        <f>SUM(F40:F42)</f>
        <v>76.116012246733362</v>
      </c>
      <c r="G43" s="3103"/>
      <c r="H43" s="3104"/>
      <c r="I43" s="3104"/>
      <c r="J43" s="3104"/>
      <c r="K43" s="3104"/>
      <c r="L43" s="3104"/>
      <c r="M43" s="3104"/>
      <c r="N43" s="3104"/>
      <c r="O43" s="3104"/>
      <c r="P43" s="3104"/>
      <c r="Q43" s="3104"/>
      <c r="R43" s="3104"/>
      <c r="S43" s="3104"/>
      <c r="T43" s="3104"/>
      <c r="U43" s="3104"/>
      <c r="V43" s="3104"/>
      <c r="W43" s="3104"/>
      <c r="X43" s="3104"/>
      <c r="Y43" s="3104"/>
      <c r="Z43" s="3104"/>
      <c r="AA43" s="3104"/>
      <c r="AB43" s="3104"/>
      <c r="AC43" s="3104"/>
      <c r="AD43" s="3104"/>
      <c r="AE43" s="3104"/>
      <c r="AF43" s="3104"/>
      <c r="AG43" s="3104"/>
      <c r="AH43" s="3104"/>
      <c r="AI43" s="3104"/>
      <c r="AJ43" s="3104"/>
      <c r="AK43" s="3104"/>
      <c r="AL43" s="3104"/>
      <c r="AM43" s="3104"/>
      <c r="AN43" s="3104"/>
      <c r="AO43" s="3104"/>
      <c r="AP43" s="3104"/>
      <c r="AQ43" s="3104"/>
      <c r="AR43" s="3104"/>
      <c r="AS43" s="3104"/>
      <c r="AT43" s="3104"/>
      <c r="AU43" s="3104"/>
      <c r="AV43" s="3104"/>
      <c r="AW43" s="3104"/>
      <c r="AX43" s="515"/>
      <c r="AY43" s="3334">
        <f t="shared" ref="AY43:BG43" ca="1" si="8">SUM(AY40:AY42)</f>
        <v>76.341107777431446</v>
      </c>
      <c r="AZ43" s="3334">
        <f t="shared" ca="1" si="8"/>
        <v>70.428965076712089</v>
      </c>
      <c r="BA43" s="3334">
        <f t="shared" ca="1" si="8"/>
        <v>66.132600914927124</v>
      </c>
      <c r="BB43" s="3334">
        <f t="shared" ca="1" si="8"/>
        <v>61.70681606299398</v>
      </c>
      <c r="BC43" s="3334">
        <f t="shared" ca="1" si="8"/>
        <v>58.853734589724091</v>
      </c>
      <c r="BD43" s="3334">
        <f t="shared" ca="1" si="8"/>
        <v>56.055550717287325</v>
      </c>
      <c r="BE43" s="3334">
        <f t="shared" ca="1" si="8"/>
        <v>53.466242556904533</v>
      </c>
      <c r="BF43" s="3334">
        <f t="shared" ca="1" si="8"/>
        <v>50.942465881243002</v>
      </c>
      <c r="BG43" s="3334">
        <f t="shared" ca="1" si="8"/>
        <v>48.624578735681354</v>
      </c>
      <c r="BH43" s="3105"/>
      <c r="BJ43" s="514"/>
      <c r="BK43" s="515"/>
      <c r="BL43" s="3333"/>
      <c r="BM43" s="515"/>
      <c r="BN43" s="3334"/>
      <c r="BO43" s="3103"/>
      <c r="BP43" s="3104"/>
      <c r="BQ43" s="3104"/>
      <c r="BR43" s="3104"/>
      <c r="BS43" s="3104"/>
      <c r="BT43" s="3104"/>
      <c r="BU43" s="3104"/>
    </row>
    <row r="44" spans="2:83" s="927" customFormat="1">
      <c r="B44" s="3096"/>
      <c r="C44" s="3098" t="s">
        <v>444</v>
      </c>
      <c r="D44" s="3098" t="str">
        <f>INDEX(Vectors[Description], MATCH($C44, Vectors[Code], 0))</f>
        <v>Gas imports (exports in parenthesis)</v>
      </c>
      <c r="E44" s="515"/>
      <c r="F44" s="2934">
        <f>(Unit.TWh)*'Irl. Energy Balance 2013 (TWh)'!Z3</f>
        <v>43.232993583303433</v>
      </c>
      <c r="G44" s="2934"/>
      <c r="H44" s="3099"/>
      <c r="I44" s="3099"/>
      <c r="J44" s="3099"/>
      <c r="K44" s="3099"/>
      <c r="L44" s="3099"/>
      <c r="M44" s="3099"/>
      <c r="N44" s="3099"/>
      <c r="O44" s="3099"/>
      <c r="P44" s="3099"/>
      <c r="Q44" s="3099"/>
      <c r="R44" s="3099"/>
      <c r="S44" s="3099"/>
      <c r="T44" s="3099"/>
      <c r="U44" s="3099"/>
      <c r="V44" s="3099"/>
      <c r="W44" s="3099"/>
      <c r="X44" s="3099"/>
      <c r="Y44" s="3099"/>
      <c r="Z44" s="3099"/>
      <c r="AA44" s="3099"/>
      <c r="AB44" s="3099"/>
      <c r="AC44" s="3099"/>
      <c r="AD44" s="3099"/>
      <c r="AE44" s="3099"/>
      <c r="AF44" s="3099"/>
      <c r="AG44" s="3099"/>
      <c r="AH44" s="3099"/>
      <c r="AI44" s="3099"/>
      <c r="AJ44" s="3099"/>
      <c r="AK44" s="3099"/>
      <c r="AL44" s="3099"/>
      <c r="AM44" s="3099"/>
      <c r="AN44" s="3099"/>
      <c r="AO44" s="3099"/>
      <c r="AP44" s="3099"/>
      <c r="AQ44" s="3099"/>
      <c r="AR44" s="3099"/>
      <c r="AS44" s="3099"/>
      <c r="AT44" s="3099"/>
      <c r="AU44" s="3099"/>
      <c r="AV44" s="3099"/>
      <c r="AW44" s="3099"/>
      <c r="AX44" s="515"/>
      <c r="AY44" s="2934">
        <f ca="1">-INDEX(INDIRECT("'"&amp;AY$4&amp;"'!Year.NetBalance"), MATCH('Intermediate output'!$C44, INDIRECT("'"&amp;AY$4&amp;"'!Year.Vectors"), 0))</f>
        <v>46.547614680811428</v>
      </c>
      <c r="AZ44" s="2934">
        <f ca="1">-INDEX(INDIRECT("'"&amp;AZ$4&amp;"'!Year.NetBalance"), MATCH('Intermediate output'!$C44, INDIRECT("'"&amp;AZ$4&amp;"'!Year.Vectors"), 0))</f>
        <v>45.644258801899632</v>
      </c>
      <c r="BA44" s="2934">
        <f ca="1">-INDEX(INDIRECT("'"&amp;BA$4&amp;"'!Year.NetBalance"), MATCH('Intermediate output'!$C44, INDIRECT("'"&amp;BA$4&amp;"'!Year.Vectors"), 0))</f>
        <v>11.463075485516505</v>
      </c>
      <c r="BB44" s="2934">
        <f ca="1">-INDEX(INDIRECT("'"&amp;BB$4&amp;"'!Year.NetBalance"), MATCH('Intermediate output'!$C44, INDIRECT("'"&amp;BB$4&amp;"'!Year.Vectors"), 0))</f>
        <v>29.741491510161715</v>
      </c>
      <c r="BC44" s="2934">
        <f ca="1">-INDEX(INDIRECT("'"&amp;BC$4&amp;"'!Year.NetBalance"), MATCH('Intermediate output'!$C44, INDIRECT("'"&amp;BC$4&amp;"'!Year.Vectors"), 0))</f>
        <v>29.716870935553509</v>
      </c>
      <c r="BD44" s="2934">
        <f ca="1">-INDEX(INDIRECT("'"&amp;BD$4&amp;"'!Year.NetBalance"), MATCH('Intermediate output'!$C44, INDIRECT("'"&amp;BD$4&amp;"'!Year.Vectors"), 0))</f>
        <v>37.575562611620718</v>
      </c>
      <c r="BE44" s="2934">
        <f ca="1">-INDEX(INDIRECT("'"&amp;BE$4&amp;"'!Year.NetBalance"), MATCH('Intermediate output'!$C44, INDIRECT("'"&amp;BE$4&amp;"'!Year.Vectors"), 0))</f>
        <v>49.707610582817466</v>
      </c>
      <c r="BF44" s="2934">
        <f ca="1">-INDEX(INDIRECT("'"&amp;BF$4&amp;"'!Year.NetBalance"), MATCH('Intermediate output'!$C44, INDIRECT("'"&amp;BF$4&amp;"'!Year.Vectors"), 0))</f>
        <v>62.182671111735829</v>
      </c>
      <c r="BG44" s="2934">
        <f ca="1">-INDEX(INDIRECT("'"&amp;BG$4&amp;"'!Year.NetBalance"), MATCH('Intermediate output'!$C44, INDIRECT("'"&amp;BG$4&amp;"'!Year.Vectors"), 0))</f>
        <v>75.014269907136224</v>
      </c>
      <c r="BH44" s="3100"/>
      <c r="BJ44" s="3096"/>
      <c r="BK44" s="3098"/>
      <c r="BL44" s="3098"/>
      <c r="BM44" s="515"/>
      <c r="BN44" s="2934"/>
      <c r="BO44" s="2934"/>
      <c r="BP44" s="3099"/>
      <c r="BQ44" s="3099"/>
      <c r="BR44" s="3099"/>
      <c r="BS44" s="3099"/>
      <c r="BT44" s="3099"/>
      <c r="BU44" s="3099"/>
    </row>
    <row r="45" spans="2:83" s="927" customFormat="1">
      <c r="B45" s="3096"/>
      <c r="C45" s="3098" t="s">
        <v>438</v>
      </c>
      <c r="D45" s="3098" t="str">
        <f>INDEX(Vectors[Description], MATCH($C45, Vectors[Code], 0))</f>
        <v>Gas reserves</v>
      </c>
      <c r="E45" s="515"/>
      <c r="F45" s="2934">
        <f>(Unit.TWh)*'Irl. Energy Balance 2013 (TWh)'!Z2</f>
        <v>1.7555282514130177</v>
      </c>
      <c r="G45" s="2934"/>
      <c r="H45" s="3099"/>
      <c r="I45" s="3099"/>
      <c r="J45" s="3099"/>
      <c r="K45" s="3099"/>
      <c r="L45" s="3099"/>
      <c r="M45" s="3099"/>
      <c r="N45" s="3099"/>
      <c r="O45" s="3099"/>
      <c r="P45" s="3099"/>
      <c r="Q45" s="3099"/>
      <c r="R45" s="3099"/>
      <c r="S45" s="3099"/>
      <c r="T45" s="3099"/>
      <c r="U45" s="3099"/>
      <c r="V45" s="3099"/>
      <c r="W45" s="3099"/>
      <c r="X45" s="3099"/>
      <c r="Y45" s="3099"/>
      <c r="Z45" s="3099"/>
      <c r="AA45" s="3099"/>
      <c r="AB45" s="3099"/>
      <c r="AC45" s="3099"/>
      <c r="AD45" s="3099"/>
      <c r="AE45" s="3099"/>
      <c r="AF45" s="3099"/>
      <c r="AG45" s="3099"/>
      <c r="AH45" s="3099"/>
      <c r="AI45" s="3099"/>
      <c r="AJ45" s="3099"/>
      <c r="AK45" s="3099"/>
      <c r="AL45" s="3099"/>
      <c r="AM45" s="3099"/>
      <c r="AN45" s="3099"/>
      <c r="AO45" s="3099"/>
      <c r="AP45" s="3099"/>
      <c r="AQ45" s="3099"/>
      <c r="AR45" s="3099"/>
      <c r="AS45" s="3099"/>
      <c r="AT45" s="3099"/>
      <c r="AU45" s="3099"/>
      <c r="AV45" s="3099"/>
      <c r="AW45" s="3099"/>
      <c r="AX45" s="515"/>
      <c r="AY45" s="2934">
        <f ca="1">-INDEX(INDIRECT("'"&amp;AY$4&amp;"'!Year.NetBalance"), MATCH('Intermediate output'!$C45, INDIRECT("'"&amp;AY$4&amp;"'!Year.Vectors"), 0))</f>
        <v>0</v>
      </c>
      <c r="AZ45" s="2934">
        <f ca="1">-INDEX(INDIRECT("'"&amp;AZ$4&amp;"'!Year.NetBalance"), MATCH('Intermediate output'!$C45, INDIRECT("'"&amp;AZ$4&amp;"'!Year.Vectors"), 0))</f>
        <v>1.7555282514130199</v>
      </c>
      <c r="BA45" s="2934">
        <f ca="1">-INDEX(INDIRECT("'"&amp;BA$4&amp;"'!Year.NetBalance"), MATCH('Intermediate output'!$C45, INDIRECT("'"&amp;BA$4&amp;"'!Year.Vectors"), 0))</f>
        <v>35</v>
      </c>
      <c r="BB45" s="2934">
        <f ca="1">-INDEX(INDIRECT("'"&amp;BB$4&amp;"'!Year.NetBalance"), MATCH('Intermediate output'!$C45, INDIRECT("'"&amp;BB$4&amp;"'!Year.Vectors"), 0))</f>
        <v>10</v>
      </c>
      <c r="BC45" s="2934">
        <f ca="1">-INDEX(INDIRECT("'"&amp;BC$4&amp;"'!Year.NetBalance"), MATCH('Intermediate output'!$C45, INDIRECT("'"&amp;BC$4&amp;"'!Year.Vectors"), 0))</f>
        <v>0</v>
      </c>
      <c r="BD45" s="2934">
        <f ca="1">-INDEX(INDIRECT("'"&amp;BD$4&amp;"'!Year.NetBalance"), MATCH('Intermediate output'!$C45, INDIRECT("'"&amp;BD$4&amp;"'!Year.Vectors"), 0))</f>
        <v>0</v>
      </c>
      <c r="BE45" s="2934">
        <f ca="1">-INDEX(INDIRECT("'"&amp;BE$4&amp;"'!Year.NetBalance"), MATCH('Intermediate output'!$C45, INDIRECT("'"&amp;BE$4&amp;"'!Year.Vectors"), 0))</f>
        <v>0</v>
      </c>
      <c r="BF45" s="2934">
        <f ca="1">-INDEX(INDIRECT("'"&amp;BF$4&amp;"'!Year.NetBalance"), MATCH('Intermediate output'!$C45, INDIRECT("'"&amp;BF$4&amp;"'!Year.Vectors"), 0))</f>
        <v>0</v>
      </c>
      <c r="BG45" s="2934">
        <f ca="1">-INDEX(INDIRECT("'"&amp;BG$4&amp;"'!Year.NetBalance"), MATCH('Intermediate output'!$C45, INDIRECT("'"&amp;BG$4&amp;"'!Year.Vectors"), 0))</f>
        <v>0</v>
      </c>
      <c r="BH45" s="3100"/>
      <c r="BI45" s="927" t="s">
        <v>5</v>
      </c>
      <c r="BJ45" s="3096"/>
      <c r="BK45" s="3098"/>
      <c r="BL45" s="3098"/>
      <c r="BM45" s="515"/>
      <c r="BN45" s="2934"/>
      <c r="BO45" s="2934"/>
      <c r="BP45" s="3099"/>
      <c r="BQ45" s="3099"/>
      <c r="BR45" s="3099"/>
      <c r="BS45" s="3099"/>
      <c r="BT45" s="3099"/>
      <c r="BU45" s="3099"/>
    </row>
    <row r="46" spans="2:83">
      <c r="B46" s="514"/>
      <c r="C46" s="515"/>
      <c r="D46" s="3333" t="s">
        <v>142</v>
      </c>
      <c r="E46" s="515"/>
      <c r="F46" s="3334">
        <f>SUM(F44:F45)</f>
        <v>44.988521834716451</v>
      </c>
      <c r="G46" s="3103"/>
      <c r="H46" s="3104"/>
      <c r="I46" s="3104"/>
      <c r="J46" s="3104"/>
      <c r="K46" s="3104"/>
      <c r="L46" s="3104"/>
      <c r="M46" s="3104"/>
      <c r="N46" s="3104"/>
      <c r="O46" s="3104"/>
      <c r="P46" s="3104"/>
      <c r="Q46" s="3104"/>
      <c r="R46" s="3104"/>
      <c r="S46" s="3104"/>
      <c r="T46" s="3104"/>
      <c r="U46" s="3104"/>
      <c r="V46" s="3104"/>
      <c r="W46" s="3104"/>
      <c r="X46" s="3104"/>
      <c r="Y46" s="3104"/>
      <c r="Z46" s="3104"/>
      <c r="AA46" s="3104"/>
      <c r="AB46" s="3104"/>
      <c r="AC46" s="3104"/>
      <c r="AD46" s="3104"/>
      <c r="AE46" s="3104"/>
      <c r="AF46" s="3104"/>
      <c r="AG46" s="3104"/>
      <c r="AH46" s="3104"/>
      <c r="AI46" s="3104"/>
      <c r="AJ46" s="3104"/>
      <c r="AK46" s="3104"/>
      <c r="AL46" s="3104"/>
      <c r="AM46" s="3104"/>
      <c r="AN46" s="3104"/>
      <c r="AO46" s="3104"/>
      <c r="AP46" s="3104"/>
      <c r="AQ46" s="3104"/>
      <c r="AR46" s="3104"/>
      <c r="AS46" s="3104"/>
      <c r="AT46" s="3104"/>
      <c r="AU46" s="3104"/>
      <c r="AV46" s="3104"/>
      <c r="AW46" s="3104"/>
      <c r="AX46" s="515"/>
      <c r="AY46" s="3334">
        <f t="shared" ref="AY46:BG46" ca="1" si="9">SUM(AY44:AY45)</f>
        <v>46.547614680811428</v>
      </c>
      <c r="AZ46" s="3334">
        <f t="shared" ca="1" si="9"/>
        <v>47.39978705331265</v>
      </c>
      <c r="BA46" s="3334">
        <f t="shared" ca="1" si="9"/>
        <v>46.463075485516505</v>
      </c>
      <c r="BB46" s="3334">
        <f t="shared" ca="1" si="9"/>
        <v>39.741491510161715</v>
      </c>
      <c r="BC46" s="3334">
        <f t="shared" ca="1" si="9"/>
        <v>29.716870935553509</v>
      </c>
      <c r="BD46" s="3334">
        <f t="shared" ca="1" si="9"/>
        <v>37.575562611620718</v>
      </c>
      <c r="BE46" s="3334">
        <f t="shared" ca="1" si="9"/>
        <v>49.707610582817466</v>
      </c>
      <c r="BF46" s="3334">
        <f t="shared" ca="1" si="9"/>
        <v>62.182671111735829</v>
      </c>
      <c r="BG46" s="3334">
        <f t="shared" ca="1" si="9"/>
        <v>75.014269907136224</v>
      </c>
      <c r="BH46" s="3105"/>
      <c r="BJ46" s="514"/>
      <c r="BK46" s="515"/>
      <c r="BL46" s="3333"/>
      <c r="BM46" s="515"/>
      <c r="BN46" s="3334"/>
      <c r="BO46" s="3103"/>
      <c r="BP46" s="3104"/>
      <c r="BQ46" s="3104"/>
      <c r="BR46" s="3104"/>
      <c r="BS46" s="3104"/>
      <c r="BT46" s="3104"/>
      <c r="BU46" s="3104"/>
    </row>
    <row r="47" spans="2:83" s="381" customFormat="1" ht="18.75">
      <c r="B47" s="3108"/>
      <c r="C47" s="23"/>
      <c r="D47" s="3110" t="s">
        <v>2525</v>
      </c>
      <c r="E47" s="515"/>
      <c r="F47" s="3111">
        <f>F31+F32+F36+F39+F43+F46</f>
        <v>151.94130464765573</v>
      </c>
      <c r="G47" s="3112"/>
      <c r="H47" s="3107"/>
      <c r="I47" s="3107"/>
      <c r="J47" s="3107"/>
      <c r="K47" s="3107"/>
      <c r="L47" s="3107"/>
      <c r="M47" s="3107"/>
      <c r="N47" s="3107"/>
      <c r="O47" s="3107"/>
      <c r="P47" s="3107"/>
      <c r="Q47" s="3107"/>
      <c r="R47" s="3107"/>
      <c r="S47" s="3107"/>
      <c r="T47" s="3107"/>
      <c r="U47" s="3107"/>
      <c r="V47" s="3107"/>
      <c r="W47" s="3107"/>
      <c r="X47" s="3107"/>
      <c r="Y47" s="3107"/>
      <c r="Z47" s="3107"/>
      <c r="AA47" s="3107"/>
      <c r="AB47" s="3107"/>
      <c r="AC47" s="3107"/>
      <c r="AD47" s="3107"/>
      <c r="AE47" s="3107"/>
      <c r="AF47" s="3107"/>
      <c r="AG47" s="3107"/>
      <c r="AH47" s="3107"/>
      <c r="AI47" s="3107"/>
      <c r="AJ47" s="3107"/>
      <c r="AK47" s="3107"/>
      <c r="AL47" s="3107"/>
      <c r="AM47" s="3107"/>
      <c r="AN47" s="3107"/>
      <c r="AO47" s="3107"/>
      <c r="AP47" s="3107"/>
      <c r="AQ47" s="3107"/>
      <c r="AR47" s="3107"/>
      <c r="AS47" s="3107"/>
      <c r="AT47" s="3107"/>
      <c r="AU47" s="3107"/>
      <c r="AV47" s="3107"/>
      <c r="AW47" s="3107"/>
      <c r="AX47" s="515"/>
      <c r="AY47" s="3111">
        <f ca="1">AY31+AY32+AY36+AY39+AY43+AY46</f>
        <v>155.96268282517553</v>
      </c>
      <c r="AZ47" s="3111">
        <f t="shared" ref="AZ47:BG47" ca="1" si="10">AZ31+AZ32+AZ36+AZ39+AZ43+AZ46</f>
        <v>153.5686122091916</v>
      </c>
      <c r="BA47" s="3111">
        <f t="shared" ca="1" si="10"/>
        <v>147.97503975911422</v>
      </c>
      <c r="BB47" s="3111">
        <f t="shared" ca="1" si="10"/>
        <v>139.29230997141136</v>
      </c>
      <c r="BC47" s="3111">
        <f t="shared" ca="1" si="10"/>
        <v>150.13778181594469</v>
      </c>
      <c r="BD47" s="3111">
        <f t="shared" ca="1" si="10"/>
        <v>168.85400321866854</v>
      </c>
      <c r="BE47" s="3111">
        <f t="shared" ca="1" si="10"/>
        <v>180.32039823317527</v>
      </c>
      <c r="BF47" s="3111">
        <f t="shared" ca="1" si="10"/>
        <v>190.56285547966888</v>
      </c>
      <c r="BG47" s="3111">
        <f t="shared" ca="1" si="10"/>
        <v>200.46144395453797</v>
      </c>
      <c r="BH47" s="3113"/>
      <c r="BJ47" s="3108"/>
      <c r="BK47" s="23"/>
      <c r="BL47" s="23"/>
      <c r="BM47" s="515"/>
      <c r="BN47" s="3112"/>
      <c r="BO47" s="3112"/>
      <c r="BP47" s="3107"/>
      <c r="BQ47" s="3107"/>
      <c r="BR47" s="3107"/>
      <c r="BS47" s="3107"/>
      <c r="BT47" s="3107"/>
      <c r="BU47" s="3107"/>
    </row>
    <row r="48" spans="2:83" s="414" customFormat="1">
      <c r="B48" s="3119"/>
      <c r="C48" s="3121"/>
      <c r="D48" s="3121"/>
      <c r="E48" s="515"/>
      <c r="F48" s="3121"/>
      <c r="G48" s="3121"/>
      <c r="H48" s="3126"/>
      <c r="I48" s="3126"/>
      <c r="J48" s="3126"/>
      <c r="K48" s="3126"/>
      <c r="L48" s="3126"/>
      <c r="M48" s="3126"/>
      <c r="N48" s="3126"/>
      <c r="O48" s="3126"/>
      <c r="P48" s="3126"/>
      <c r="Q48" s="3126"/>
      <c r="R48" s="3126"/>
      <c r="S48" s="3126"/>
      <c r="T48" s="3126"/>
      <c r="U48" s="3126"/>
      <c r="V48" s="3126"/>
      <c r="W48" s="3126"/>
      <c r="X48" s="3126"/>
      <c r="Y48" s="3126"/>
      <c r="Z48" s="3126"/>
      <c r="AA48" s="3126"/>
      <c r="AB48" s="3126"/>
      <c r="AC48" s="3126"/>
      <c r="AD48" s="3126"/>
      <c r="AE48" s="3126"/>
      <c r="AF48" s="3126"/>
      <c r="AG48" s="3126"/>
      <c r="AH48" s="3126"/>
      <c r="AI48" s="3126"/>
      <c r="AJ48" s="3126"/>
      <c r="AK48" s="3126"/>
      <c r="AL48" s="3126"/>
      <c r="AM48" s="3126"/>
      <c r="AN48" s="3126"/>
      <c r="AO48" s="3126"/>
      <c r="AP48" s="3126"/>
      <c r="AQ48" s="3126"/>
      <c r="AR48" s="3126"/>
      <c r="AS48" s="3126"/>
      <c r="AT48" s="3126"/>
      <c r="AU48" s="3126"/>
      <c r="AV48" s="3126"/>
      <c r="AW48" s="3126"/>
      <c r="AX48" s="515"/>
      <c r="AY48" s="3122"/>
      <c r="AZ48" s="3122"/>
      <c r="BA48" s="3122"/>
      <c r="BB48" s="3122"/>
      <c r="BC48" s="3122"/>
      <c r="BD48" s="3122"/>
      <c r="BE48" s="3122"/>
      <c r="BF48" s="3122"/>
      <c r="BG48" s="3122"/>
      <c r="BH48" s="3124"/>
      <c r="BJ48" s="3119"/>
      <c r="BK48" s="3121"/>
      <c r="BL48" s="3121"/>
      <c r="BM48" s="515"/>
      <c r="BN48" s="3121"/>
      <c r="BO48" s="3121"/>
      <c r="BP48" s="3126"/>
      <c r="BQ48" s="3126"/>
      <c r="BR48" s="3126"/>
      <c r="BS48" s="3126"/>
      <c r="BT48" s="3126"/>
      <c r="BU48" s="3126"/>
    </row>
    <row r="49" spans="2:73" s="414" customFormat="1">
      <c r="B49" s="3119"/>
      <c r="C49" s="3121"/>
      <c r="D49" s="3121" t="s">
        <v>2526</v>
      </c>
      <c r="E49" s="515"/>
      <c r="F49" s="3121"/>
      <c r="G49" s="3121"/>
      <c r="H49" s="3126"/>
      <c r="I49" s="3126"/>
      <c r="J49" s="3126"/>
      <c r="K49" s="3126"/>
      <c r="L49" s="3126"/>
      <c r="M49" s="3126"/>
      <c r="N49" s="3126"/>
      <c r="O49" s="3126"/>
      <c r="P49" s="3126"/>
      <c r="Q49" s="3126"/>
      <c r="R49" s="3126"/>
      <c r="S49" s="3126"/>
      <c r="T49" s="3126"/>
      <c r="U49" s="3126"/>
      <c r="V49" s="3126"/>
      <c r="W49" s="3126"/>
      <c r="X49" s="3126"/>
      <c r="Y49" s="3126"/>
      <c r="Z49" s="3126"/>
      <c r="AA49" s="3126"/>
      <c r="AB49" s="3126"/>
      <c r="AC49" s="3126"/>
      <c r="AD49" s="3126"/>
      <c r="AE49" s="3126"/>
      <c r="AF49" s="3126"/>
      <c r="AG49" s="3126"/>
      <c r="AH49" s="3126"/>
      <c r="AI49" s="3126"/>
      <c r="AJ49" s="3126"/>
      <c r="AK49" s="3126"/>
      <c r="AL49" s="3126"/>
      <c r="AM49" s="3126"/>
      <c r="AN49" s="3126"/>
      <c r="AO49" s="3126"/>
      <c r="AP49" s="3126"/>
      <c r="AQ49" s="3126"/>
      <c r="AR49" s="3126"/>
      <c r="AS49" s="3126"/>
      <c r="AT49" s="3126"/>
      <c r="AU49" s="3126"/>
      <c r="AV49" s="3126"/>
      <c r="AW49" s="3126"/>
      <c r="AX49" s="515"/>
      <c r="AY49" s="3122">
        <f t="shared" ref="AY49:BG49" ca="1" si="11">MAX(0,-(AY$47-AY$18))</f>
        <v>0</v>
      </c>
      <c r="AZ49" s="3122">
        <f t="shared" ca="1" si="11"/>
        <v>0</v>
      </c>
      <c r="BA49" s="3122">
        <f t="shared" ca="1" si="11"/>
        <v>0</v>
      </c>
      <c r="BB49" s="3122">
        <f t="shared" ca="1" si="11"/>
        <v>0</v>
      </c>
      <c r="BC49" s="3122">
        <f t="shared" ca="1" si="11"/>
        <v>0</v>
      </c>
      <c r="BD49" s="3122">
        <f t="shared" ca="1" si="11"/>
        <v>0</v>
      </c>
      <c r="BE49" s="3122">
        <f t="shared" ca="1" si="11"/>
        <v>0</v>
      </c>
      <c r="BF49" s="3122">
        <f t="shared" ca="1" si="11"/>
        <v>0</v>
      </c>
      <c r="BG49" s="3122">
        <f t="shared" ca="1" si="11"/>
        <v>0</v>
      </c>
      <c r="BH49" s="3124"/>
      <c r="BJ49" s="3119"/>
      <c r="BK49" s="3121"/>
      <c r="BL49" s="3121"/>
      <c r="BM49" s="515"/>
      <c r="BN49" s="3121"/>
      <c r="BO49" s="3121"/>
      <c r="BP49" s="3126"/>
      <c r="BQ49" s="3126"/>
      <c r="BR49" s="3126"/>
      <c r="BS49" s="3126"/>
      <c r="BT49" s="3126"/>
      <c r="BU49" s="3126"/>
    </row>
    <row r="50" spans="2:73">
      <c r="B50" s="514"/>
      <c r="C50" s="515"/>
      <c r="D50" s="515"/>
      <c r="E50" s="515"/>
      <c r="F50" s="515"/>
      <c r="G50" s="515"/>
      <c r="H50" s="3089"/>
      <c r="I50" s="3089"/>
      <c r="J50" s="3089"/>
      <c r="K50" s="3089"/>
      <c r="L50" s="3089"/>
      <c r="M50" s="3089"/>
      <c r="N50" s="3089"/>
      <c r="O50" s="3089"/>
      <c r="P50" s="3089"/>
      <c r="Q50" s="3089"/>
      <c r="R50" s="3089"/>
      <c r="S50" s="3089"/>
      <c r="T50" s="3089"/>
      <c r="U50" s="3089"/>
      <c r="V50" s="3089"/>
      <c r="W50" s="3089"/>
      <c r="X50" s="3089"/>
      <c r="Y50" s="3089"/>
      <c r="Z50" s="3089"/>
      <c r="AA50" s="3089"/>
      <c r="AB50" s="3089"/>
      <c r="AC50" s="3089"/>
      <c r="AD50" s="3089"/>
      <c r="AE50" s="3089"/>
      <c r="AF50" s="3089"/>
      <c r="AG50" s="3089"/>
      <c r="AH50" s="3089"/>
      <c r="AI50" s="3089"/>
      <c r="AJ50" s="3089"/>
      <c r="AK50" s="3089"/>
      <c r="AL50" s="3089"/>
      <c r="AM50" s="3089"/>
      <c r="AN50" s="3089"/>
      <c r="AO50" s="3089"/>
      <c r="AP50" s="3089"/>
      <c r="AQ50" s="3089"/>
      <c r="AR50" s="3089"/>
      <c r="AS50" s="3089"/>
      <c r="AT50" s="3089"/>
      <c r="AU50" s="3089"/>
      <c r="AV50" s="3089"/>
      <c r="AW50" s="3089"/>
      <c r="AX50" s="515"/>
      <c r="AY50" s="3103"/>
      <c r="AZ50" s="3103"/>
      <c r="BA50" s="3103"/>
      <c r="BB50" s="3103"/>
      <c r="BC50" s="3103"/>
      <c r="BD50" s="3103"/>
      <c r="BE50" s="3103"/>
      <c r="BF50" s="3103"/>
      <c r="BG50" s="3103"/>
      <c r="BH50" s="3105"/>
      <c r="BJ50" s="514"/>
      <c r="BK50" s="515"/>
      <c r="BL50" s="515"/>
      <c r="BM50" s="515"/>
      <c r="BN50" s="515"/>
      <c r="BO50" s="515"/>
      <c r="BP50" s="3089"/>
      <c r="BQ50" s="3089"/>
      <c r="BR50" s="3089"/>
      <c r="BS50" s="3089"/>
      <c r="BT50" s="3089"/>
      <c r="BU50" s="3089"/>
    </row>
    <row r="51" spans="2:73">
      <c r="B51" s="514"/>
      <c r="C51" s="3114" t="s">
        <v>2527</v>
      </c>
      <c r="D51" s="515"/>
      <c r="E51" s="515"/>
      <c r="F51" s="515"/>
      <c r="G51" s="515"/>
      <c r="H51" s="3089"/>
      <c r="I51" s="3089"/>
      <c r="J51" s="3089"/>
      <c r="K51" s="3089"/>
      <c r="L51" s="3089"/>
      <c r="M51" s="3089"/>
      <c r="N51" s="3089"/>
      <c r="O51" s="3089"/>
      <c r="P51" s="3089"/>
      <c r="Q51" s="3089"/>
      <c r="R51" s="3089"/>
      <c r="S51" s="3089"/>
      <c r="T51" s="3089"/>
      <c r="U51" s="3089"/>
      <c r="V51" s="3089"/>
      <c r="W51" s="3089"/>
      <c r="X51" s="3089"/>
      <c r="Y51" s="3089"/>
      <c r="Z51" s="3089"/>
      <c r="AA51" s="3089"/>
      <c r="AB51" s="3089"/>
      <c r="AC51" s="3089"/>
      <c r="AD51" s="3089"/>
      <c r="AE51" s="3089"/>
      <c r="AF51" s="3089"/>
      <c r="AG51" s="3089"/>
      <c r="AH51" s="3089"/>
      <c r="AI51" s="3089"/>
      <c r="AJ51" s="3089"/>
      <c r="AK51" s="3089"/>
      <c r="AL51" s="3089"/>
      <c r="AM51" s="3089"/>
      <c r="AN51" s="3089"/>
      <c r="AO51" s="3089"/>
      <c r="AP51" s="3089"/>
      <c r="AQ51" s="3089"/>
      <c r="AR51" s="3089"/>
      <c r="AS51" s="3089"/>
      <c r="AT51" s="3089"/>
      <c r="AU51" s="3089"/>
      <c r="AV51" s="3089"/>
      <c r="AW51" s="3089"/>
      <c r="AX51" s="515"/>
      <c r="AY51" s="3103"/>
      <c r="AZ51" s="3103"/>
      <c r="BA51" s="3103"/>
      <c r="BB51" s="3103"/>
      <c r="BC51" s="3103"/>
      <c r="BD51" s="3103"/>
      <c r="BE51" s="3103"/>
      <c r="BF51" s="3103"/>
      <c r="BG51" s="3103"/>
      <c r="BH51" s="3105"/>
      <c r="BJ51" s="514"/>
      <c r="BK51" s="3114"/>
      <c r="BL51" s="515"/>
      <c r="BM51" s="515"/>
      <c r="BN51" s="515"/>
      <c r="BO51" s="515"/>
      <c r="BP51" s="3089"/>
      <c r="BQ51" s="3089"/>
      <c r="BR51" s="3089"/>
      <c r="BS51" s="3089"/>
      <c r="BT51" s="3089"/>
      <c r="BU51" s="3089"/>
    </row>
    <row r="52" spans="2:73">
      <c r="B52" s="514"/>
      <c r="C52" s="3106" t="s">
        <v>104</v>
      </c>
      <c r="D52" s="3098" t="str">
        <f>INDEX(Vectors[Description], MATCH($C52, Vectors[Code], 0))</f>
        <v>Conversion losses</v>
      </c>
      <c r="E52" s="515"/>
      <c r="F52" s="2934">
        <f>(Unit.TWh)*23.3</f>
        <v>23.3</v>
      </c>
      <c r="G52" s="2934"/>
      <c r="H52" s="3099"/>
      <c r="I52" s="3099"/>
      <c r="J52" s="3099"/>
      <c r="K52" s="3099"/>
      <c r="L52" s="3099"/>
      <c r="M52" s="3099"/>
      <c r="N52" s="3099"/>
      <c r="O52" s="3099"/>
      <c r="P52" s="3099"/>
      <c r="Q52" s="3099"/>
      <c r="R52" s="3099"/>
      <c r="S52" s="3099"/>
      <c r="T52" s="3099"/>
      <c r="U52" s="3099"/>
      <c r="V52" s="3099"/>
      <c r="W52" s="3099"/>
      <c r="X52" s="3099"/>
      <c r="Y52" s="3099"/>
      <c r="Z52" s="3099"/>
      <c r="AA52" s="3099"/>
      <c r="AB52" s="3099"/>
      <c r="AC52" s="3099"/>
      <c r="AD52" s="3099"/>
      <c r="AE52" s="3099"/>
      <c r="AF52" s="3099"/>
      <c r="AG52" s="3099"/>
      <c r="AH52" s="3099"/>
      <c r="AI52" s="3099"/>
      <c r="AJ52" s="3099"/>
      <c r="AK52" s="3099"/>
      <c r="AL52" s="3099"/>
      <c r="AM52" s="3099"/>
      <c r="AN52" s="3099"/>
      <c r="AO52" s="3099"/>
      <c r="AP52" s="3099"/>
      <c r="AQ52" s="3099"/>
      <c r="AR52" s="3099"/>
      <c r="AS52" s="3099"/>
      <c r="AT52" s="3099"/>
      <c r="AU52" s="3099"/>
      <c r="AV52" s="3099"/>
      <c r="AW52" s="3099"/>
      <c r="AX52" s="515"/>
      <c r="AY52" s="2934">
        <f ca="1">INDEX(INDIRECT("'"&amp;AY$4&amp;"'!Year.NetBalance"), MATCH('Intermediate output'!$C52, INDIRECT("'"&amp;AY$4&amp;"'!Year.Vectors"), 0))</f>
        <v>26.603041971575923</v>
      </c>
      <c r="AZ52" s="2934">
        <f ca="1">INDEX(INDIRECT("'"&amp;AZ$4&amp;"'!Year.NetBalance"), MATCH('Intermediate output'!$C52, INDIRECT("'"&amp;AZ$4&amp;"'!Year.Vectors"), 0))</f>
        <v>25.940596433158738</v>
      </c>
      <c r="BA52" s="2934">
        <f ca="1">INDEX(INDIRECT("'"&amp;BA$4&amp;"'!Year.NetBalance"), MATCH('Intermediate output'!$C52, INDIRECT("'"&amp;BA$4&amp;"'!Year.Vectors"), 0))</f>
        <v>18.60722961439442</v>
      </c>
      <c r="BB52" s="2934">
        <f ca="1">INDEX(INDIRECT("'"&amp;BB$4&amp;"'!Year.NetBalance"), MATCH('Intermediate output'!$C52, INDIRECT("'"&amp;BB$4&amp;"'!Year.Vectors"), 0))</f>
        <v>11.148666518684225</v>
      </c>
      <c r="BC52" s="2934">
        <f ca="1">INDEX(INDIRECT("'"&amp;BC$4&amp;"'!Year.NetBalance"), MATCH('Intermediate output'!$C52, INDIRECT("'"&amp;BC$4&amp;"'!Year.Vectors"), 0))</f>
        <v>19.609252232892405</v>
      </c>
      <c r="BD52" s="2934">
        <f ca="1">INDEX(INDIRECT("'"&amp;BD$4&amp;"'!Year.NetBalance"), MATCH('Intermediate output'!$C52, INDIRECT("'"&amp;BD$4&amp;"'!Year.Vectors"), 0))</f>
        <v>34.784713225280342</v>
      </c>
      <c r="BE52" s="2934">
        <f ca="1">INDEX(INDIRECT("'"&amp;BE$4&amp;"'!Year.NetBalance"), MATCH('Intermediate output'!$C52, INDIRECT("'"&amp;BE$4&amp;"'!Year.Vectors"), 0))</f>
        <v>42.004687519879397</v>
      </c>
      <c r="BF52" s="2934">
        <f ca="1">INDEX(INDIRECT("'"&amp;BF$4&amp;"'!Year.NetBalance"), MATCH('Intermediate output'!$C52, INDIRECT("'"&amp;BF$4&amp;"'!Year.Vectors"), 0))</f>
        <v>47.655687205755441</v>
      </c>
      <c r="BG52" s="2934">
        <f ca="1">INDEX(INDIRECT("'"&amp;BG$4&amp;"'!Year.NetBalance"), MATCH('Intermediate output'!$C52, INDIRECT("'"&amp;BG$4&amp;"'!Year.Vectors"), 0))</f>
        <v>52.887400089067356</v>
      </c>
      <c r="BH52" s="3105"/>
      <c r="BJ52" s="514"/>
      <c r="BK52" s="3106"/>
      <c r="BL52" s="3098"/>
      <c r="BM52" s="515"/>
      <c r="BN52" s="2934"/>
      <c r="BO52" s="2934"/>
      <c r="BP52" s="3099"/>
      <c r="BQ52" s="3099"/>
      <c r="BR52" s="3099"/>
      <c r="BS52" s="3099"/>
      <c r="BT52" s="3099"/>
      <c r="BU52" s="3099"/>
    </row>
    <row r="53" spans="2:73">
      <c r="B53" s="514"/>
      <c r="C53" s="3106" t="s">
        <v>454</v>
      </c>
      <c r="D53" s="3098" t="str">
        <f>INDEX(Vectors[Description], MATCH($C53, Vectors[Code], 0))</f>
        <v>Distribution losses and own use</v>
      </c>
      <c r="E53" s="515"/>
      <c r="F53" s="2934">
        <f>(Unit.TWh)*5.9</f>
        <v>5.9</v>
      </c>
      <c r="G53" s="2934"/>
      <c r="H53" s="3099"/>
      <c r="I53" s="3099"/>
      <c r="J53" s="3099"/>
      <c r="K53" s="3099"/>
      <c r="L53" s="3099"/>
      <c r="M53" s="3099"/>
      <c r="N53" s="3099"/>
      <c r="O53" s="3099"/>
      <c r="P53" s="3099"/>
      <c r="Q53" s="3099"/>
      <c r="R53" s="3099"/>
      <c r="S53" s="3099"/>
      <c r="T53" s="3099"/>
      <c r="U53" s="3099"/>
      <c r="V53" s="3099"/>
      <c r="W53" s="3099"/>
      <c r="X53" s="3099"/>
      <c r="Y53" s="3099"/>
      <c r="Z53" s="3099"/>
      <c r="AA53" s="3099"/>
      <c r="AB53" s="3099"/>
      <c r="AC53" s="3099"/>
      <c r="AD53" s="3099"/>
      <c r="AE53" s="3099"/>
      <c r="AF53" s="3099"/>
      <c r="AG53" s="3099"/>
      <c r="AH53" s="3099"/>
      <c r="AI53" s="3099"/>
      <c r="AJ53" s="3099"/>
      <c r="AK53" s="3099"/>
      <c r="AL53" s="3099"/>
      <c r="AM53" s="3099"/>
      <c r="AN53" s="3099"/>
      <c r="AO53" s="3099"/>
      <c r="AP53" s="3099"/>
      <c r="AQ53" s="3099"/>
      <c r="AR53" s="3099"/>
      <c r="AS53" s="3099"/>
      <c r="AT53" s="3099"/>
      <c r="AU53" s="3099"/>
      <c r="AV53" s="3099"/>
      <c r="AW53" s="3099"/>
      <c r="AX53" s="515"/>
      <c r="AY53" s="2934">
        <f ca="1">INDEX(INDIRECT("'"&amp;AY$4&amp;"'!Year.NetBalance"), MATCH('Intermediate output'!$C53, INDIRECT("'"&amp;AY$4&amp;"'!Year.Vectors"), 0))</f>
        <v>6.8362632406441914</v>
      </c>
      <c r="AZ53" s="2934">
        <f ca="1">INDEX(INDIRECT("'"&amp;AZ$4&amp;"'!Year.NetBalance"), MATCH('Intermediate output'!$C53, INDIRECT("'"&amp;AZ$4&amp;"'!Year.Vectors"), 0))</f>
        <v>6.9015073783461327</v>
      </c>
      <c r="BA53" s="2934">
        <f ca="1">INDEX(INDIRECT("'"&amp;BA$4&amp;"'!Year.NetBalance"), MATCH('Intermediate output'!$C53, INDIRECT("'"&amp;BA$4&amp;"'!Year.Vectors"), 0))</f>
        <v>6.8517864661185373</v>
      </c>
      <c r="BB53" s="2934">
        <f ca="1">INDEX(INDIRECT("'"&amp;BB$4&amp;"'!Year.NetBalance"), MATCH('Intermediate output'!$C53, INDIRECT("'"&amp;BB$4&amp;"'!Year.Vectors"), 0))</f>
        <v>6.5735844156868009</v>
      </c>
      <c r="BC53" s="2934">
        <f ca="1">INDEX(INDIRECT("'"&amp;BC$4&amp;"'!Year.NetBalance"), MATCH('Intermediate output'!$C53, INDIRECT("'"&amp;BC$4&amp;"'!Year.Vectors"), 0))</f>
        <v>7.0709605596423746</v>
      </c>
      <c r="BD53" s="2934">
        <f ca="1">INDEX(INDIRECT("'"&amp;BD$4&amp;"'!Year.NetBalance"), MATCH('Intermediate output'!$C53, INDIRECT("'"&amp;BD$4&amp;"'!Year.Vectors"), 0))</f>
        <v>7.856126388043716</v>
      </c>
      <c r="BE53" s="2934">
        <f ca="1">INDEX(INDIRECT("'"&amp;BE$4&amp;"'!Year.NetBalance"), MATCH('Intermediate output'!$C53, INDIRECT("'"&amp;BE$4&amp;"'!Year.Vectors"), 0))</f>
        <v>8.9265529974689564</v>
      </c>
      <c r="BF53" s="2934">
        <f ca="1">INDEX(INDIRECT("'"&amp;BF$4&amp;"'!Year.NetBalance"), MATCH('Intermediate output'!$C53, INDIRECT("'"&amp;BF$4&amp;"'!Year.Vectors"), 0))</f>
        <v>9.9634241826355439</v>
      </c>
      <c r="BG53" s="2934">
        <f ca="1">INDEX(INDIRECT("'"&amp;BG$4&amp;"'!Year.NetBalance"), MATCH('Intermediate output'!$C53, INDIRECT("'"&amp;BG$4&amp;"'!Year.Vectors"), 0))</f>
        <v>10.869698332768031</v>
      </c>
      <c r="BH53" s="3105"/>
      <c r="BJ53" s="514"/>
      <c r="BK53" s="3106"/>
      <c r="BL53" s="3098"/>
      <c r="BM53" s="515"/>
      <c r="BN53" s="2934"/>
      <c r="BO53" s="2934"/>
      <c r="BP53" s="3099"/>
      <c r="BQ53" s="3099"/>
      <c r="BR53" s="3099"/>
      <c r="BS53" s="3099"/>
      <c r="BT53" s="3099"/>
      <c r="BU53" s="3099"/>
    </row>
    <row r="54" spans="2:73" s="6" customFormat="1" ht="18.75">
      <c r="B54" s="3127"/>
      <c r="C54" s="17"/>
      <c r="D54" s="3110" t="s">
        <v>2528</v>
      </c>
      <c r="E54" s="515"/>
      <c r="F54" s="3111">
        <f>F47-SUM(F52:F53)</f>
        <v>122.74130464765572</v>
      </c>
      <c r="G54" s="3112"/>
      <c r="H54" s="3107"/>
      <c r="I54" s="3107"/>
      <c r="J54" s="3107"/>
      <c r="K54" s="3107"/>
      <c r="L54" s="3107"/>
      <c r="M54" s="3107"/>
      <c r="N54" s="3107"/>
      <c r="O54" s="3107"/>
      <c r="P54" s="3107"/>
      <c r="Q54" s="3107"/>
      <c r="R54" s="3107"/>
      <c r="S54" s="3107"/>
      <c r="T54" s="3107"/>
      <c r="U54" s="3107"/>
      <c r="V54" s="3107"/>
      <c r="W54" s="3107"/>
      <c r="X54" s="3107"/>
      <c r="Y54" s="3107"/>
      <c r="Z54" s="3107"/>
      <c r="AA54" s="3107"/>
      <c r="AB54" s="3107"/>
      <c r="AC54" s="3107"/>
      <c r="AD54" s="3107"/>
      <c r="AE54" s="3107"/>
      <c r="AF54" s="3107"/>
      <c r="AG54" s="3107"/>
      <c r="AH54" s="3107"/>
      <c r="AI54" s="3107"/>
      <c r="AJ54" s="3107"/>
      <c r="AK54" s="3107"/>
      <c r="AL54" s="3107"/>
      <c r="AM54" s="3107"/>
      <c r="AN54" s="3107"/>
      <c r="AO54" s="3107"/>
      <c r="AP54" s="3107"/>
      <c r="AQ54" s="3107"/>
      <c r="AR54" s="3107"/>
      <c r="AS54" s="3107"/>
      <c r="AT54" s="3107"/>
      <c r="AU54" s="3107"/>
      <c r="AV54" s="3107"/>
      <c r="AW54" s="3107"/>
      <c r="AX54" s="515"/>
      <c r="AY54" s="3111">
        <f t="shared" ref="AY54:BG54" ca="1" si="12">AY47-SUM(AY52:AY53)</f>
        <v>122.52337761295541</v>
      </c>
      <c r="AZ54" s="3111">
        <f t="shared" ca="1" si="12"/>
        <v>120.72650839768673</v>
      </c>
      <c r="BA54" s="3111">
        <f t="shared" ca="1" si="12"/>
        <v>122.51602367860127</v>
      </c>
      <c r="BB54" s="3111">
        <f t="shared" ca="1" si="12"/>
        <v>121.57005903704032</v>
      </c>
      <c r="BC54" s="3111">
        <f t="shared" ca="1" si="12"/>
        <v>123.45756902340992</v>
      </c>
      <c r="BD54" s="3111">
        <f t="shared" ca="1" si="12"/>
        <v>126.21316360534448</v>
      </c>
      <c r="BE54" s="3111">
        <f t="shared" ca="1" si="12"/>
        <v>129.38915771582691</v>
      </c>
      <c r="BF54" s="3111">
        <f t="shared" ca="1" si="12"/>
        <v>132.94374409127789</v>
      </c>
      <c r="BG54" s="3111">
        <f t="shared" ca="1" si="12"/>
        <v>136.70434553270258</v>
      </c>
      <c r="BH54" s="3128"/>
      <c r="BJ54" s="3127"/>
      <c r="BK54" s="17"/>
      <c r="BL54" s="23"/>
      <c r="BM54" s="515"/>
      <c r="BN54" s="3112"/>
      <c r="BO54" s="3112"/>
      <c r="BP54" s="3107"/>
      <c r="BQ54" s="3107"/>
      <c r="BR54" s="3107"/>
      <c r="BS54" s="3107"/>
      <c r="BT54" s="3107"/>
      <c r="BU54" s="3107"/>
    </row>
    <row r="55" spans="2:73">
      <c r="B55" s="514"/>
      <c r="C55" s="515"/>
      <c r="D55" s="515"/>
      <c r="E55" s="515"/>
      <c r="F55" s="515"/>
      <c r="G55" s="515"/>
      <c r="H55" s="3089"/>
      <c r="I55" s="3089"/>
      <c r="J55" s="3089"/>
      <c r="K55" s="3089"/>
      <c r="L55" s="3089"/>
      <c r="M55" s="3089"/>
      <c r="N55" s="3089"/>
      <c r="O55" s="3089"/>
      <c r="P55" s="3089"/>
      <c r="Q55" s="3089"/>
      <c r="R55" s="3089"/>
      <c r="S55" s="3089"/>
      <c r="T55" s="3089"/>
      <c r="U55" s="3089"/>
      <c r="V55" s="3089"/>
      <c r="W55" s="3089"/>
      <c r="X55" s="3089"/>
      <c r="Y55" s="3089"/>
      <c r="Z55" s="3089"/>
      <c r="AA55" s="3089"/>
      <c r="AB55" s="3089"/>
      <c r="AC55" s="3089"/>
      <c r="AD55" s="3089"/>
      <c r="AE55" s="3089"/>
      <c r="AF55" s="3089"/>
      <c r="AG55" s="3089"/>
      <c r="AH55" s="3089"/>
      <c r="AI55" s="3089"/>
      <c r="AJ55" s="3089"/>
      <c r="AK55" s="3089"/>
      <c r="AL55" s="3089"/>
      <c r="AM55" s="3089"/>
      <c r="AN55" s="3089"/>
      <c r="AO55" s="3089"/>
      <c r="AP55" s="3089"/>
      <c r="AQ55" s="3089"/>
      <c r="AR55" s="3089"/>
      <c r="AS55" s="3089"/>
      <c r="AT55" s="3089"/>
      <c r="AU55" s="3089"/>
      <c r="AV55" s="3089"/>
      <c r="AW55" s="3089"/>
      <c r="AX55" s="515"/>
      <c r="AY55" s="3103"/>
      <c r="AZ55" s="3103"/>
      <c r="BA55" s="3103"/>
      <c r="BB55" s="3103"/>
      <c r="BC55" s="3103"/>
      <c r="BD55" s="3103"/>
      <c r="BE55" s="3103"/>
      <c r="BF55" s="3103"/>
      <c r="BG55" s="3103"/>
      <c r="BH55" s="3105"/>
      <c r="BJ55" s="514"/>
      <c r="BK55" s="515"/>
      <c r="BL55" s="515"/>
      <c r="BM55" s="515"/>
      <c r="BN55" s="515"/>
      <c r="BO55" s="515"/>
      <c r="BP55" s="3089"/>
      <c r="BQ55" s="3089"/>
      <c r="BR55" s="3089"/>
      <c r="BS55" s="3089"/>
      <c r="BT55" s="3089"/>
      <c r="BU55" s="3089"/>
    </row>
    <row r="56" spans="2:73">
      <c r="B56" s="514"/>
      <c r="C56" s="3114" t="s">
        <v>2529</v>
      </c>
      <c r="D56" s="515"/>
      <c r="E56" s="515"/>
      <c r="F56" s="515"/>
      <c r="G56" s="515"/>
      <c r="H56" s="3089"/>
      <c r="I56" s="3089"/>
      <c r="J56" s="3089"/>
      <c r="K56" s="3089"/>
      <c r="L56" s="3089"/>
      <c r="M56" s="3089"/>
      <c r="N56" s="3089"/>
      <c r="O56" s="3089"/>
      <c r="P56" s="3089"/>
      <c r="Q56" s="3089"/>
      <c r="R56" s="3089"/>
      <c r="S56" s="3089"/>
      <c r="T56" s="3089"/>
      <c r="U56" s="3089"/>
      <c r="V56" s="3089"/>
      <c r="W56" s="3089"/>
      <c r="X56" s="3089"/>
      <c r="Y56" s="3089"/>
      <c r="Z56" s="3089"/>
      <c r="AA56" s="3089"/>
      <c r="AB56" s="3089"/>
      <c r="AC56" s="3089"/>
      <c r="AD56" s="3089"/>
      <c r="AE56" s="3089"/>
      <c r="AF56" s="3089"/>
      <c r="AG56" s="3089"/>
      <c r="AH56" s="3089"/>
      <c r="AI56" s="3089"/>
      <c r="AJ56" s="3089"/>
      <c r="AK56" s="3089"/>
      <c r="AL56" s="3089"/>
      <c r="AM56" s="3089"/>
      <c r="AN56" s="3089"/>
      <c r="AO56" s="3089"/>
      <c r="AP56" s="3089"/>
      <c r="AQ56" s="3089"/>
      <c r="AR56" s="3089"/>
      <c r="AS56" s="3089"/>
      <c r="AT56" s="3089"/>
      <c r="AU56" s="3089"/>
      <c r="AV56" s="3089"/>
      <c r="AW56" s="3089"/>
      <c r="AX56" s="515"/>
      <c r="AY56" s="3103"/>
      <c r="AZ56" s="3103"/>
      <c r="BA56" s="3103"/>
      <c r="BB56" s="3103"/>
      <c r="BC56" s="3103"/>
      <c r="BD56" s="3103"/>
      <c r="BE56" s="3103"/>
      <c r="BF56" s="3103"/>
      <c r="BG56" s="3103"/>
      <c r="BH56" s="3105"/>
      <c r="BJ56" s="514"/>
      <c r="BK56" s="3114"/>
      <c r="BL56" s="515"/>
      <c r="BM56" s="515"/>
      <c r="BN56" s="515"/>
      <c r="BO56" s="515"/>
      <c r="BP56" s="3089"/>
      <c r="BQ56" s="3089"/>
      <c r="BR56" s="3089"/>
      <c r="BS56" s="3089"/>
      <c r="BT56" s="3089"/>
      <c r="BU56" s="3089"/>
    </row>
    <row r="57" spans="2:73">
      <c r="B57" s="514"/>
      <c r="C57" s="515"/>
      <c r="D57" s="515"/>
      <c r="E57" s="515"/>
      <c r="F57" s="515"/>
      <c r="G57" s="515"/>
      <c r="H57" s="3089"/>
      <c r="I57" s="3089"/>
      <c r="J57" s="3089"/>
      <c r="K57" s="3089"/>
      <c r="L57" s="3089"/>
      <c r="M57" s="3089"/>
      <c r="N57" s="3089"/>
      <c r="O57" s="3089"/>
      <c r="P57" s="3089"/>
      <c r="Q57" s="3089"/>
      <c r="R57" s="3089"/>
      <c r="S57" s="3089"/>
      <c r="T57" s="3089"/>
      <c r="U57" s="3089"/>
      <c r="V57" s="3089"/>
      <c r="W57" s="3089"/>
      <c r="X57" s="3089"/>
      <c r="Y57" s="3089"/>
      <c r="Z57" s="3089"/>
      <c r="AA57" s="3089"/>
      <c r="AB57" s="3089"/>
      <c r="AC57" s="3089"/>
      <c r="AD57" s="3089"/>
      <c r="AE57" s="3089"/>
      <c r="AF57" s="3089"/>
      <c r="AG57" s="3089"/>
      <c r="AH57" s="3089"/>
      <c r="AI57" s="3089"/>
      <c r="AJ57" s="3089"/>
      <c r="AK57" s="3089"/>
      <c r="AL57" s="3089"/>
      <c r="AM57" s="3089"/>
      <c r="AN57" s="3089"/>
      <c r="AO57" s="3089"/>
      <c r="AP57" s="3089"/>
      <c r="AQ57" s="3089"/>
      <c r="AR57" s="3089"/>
      <c r="AS57" s="3089"/>
      <c r="AT57" s="3089"/>
      <c r="AU57" s="3089"/>
      <c r="AV57" s="3089"/>
      <c r="AW57" s="3089"/>
      <c r="AX57" s="515"/>
      <c r="AY57" s="3103"/>
      <c r="AZ57" s="3103"/>
      <c r="BA57" s="3103"/>
      <c r="BB57" s="3103"/>
      <c r="BC57" s="3103"/>
      <c r="BD57" s="3103"/>
      <c r="BE57" s="3103"/>
      <c r="BF57" s="3103"/>
      <c r="BG57" s="3103"/>
      <c r="BH57" s="3105"/>
      <c r="BJ57" s="514"/>
      <c r="BK57" s="515"/>
      <c r="BL57" s="515"/>
      <c r="BM57" s="515"/>
      <c r="BN57" s="515"/>
      <c r="BO57" s="515"/>
      <c r="BP57" s="3089"/>
      <c r="BQ57" s="3089"/>
      <c r="BR57" s="3089"/>
      <c r="BS57" s="3089"/>
      <c r="BT57" s="3089"/>
      <c r="BU57" s="3089"/>
    </row>
    <row r="58" spans="2:73">
      <c r="B58" s="514"/>
      <c r="C58" s="3106" t="s">
        <v>425</v>
      </c>
      <c r="D58" s="3098" t="str">
        <f>INDEX(Vectors[Description], MATCH($C58, Vectors[Code], 0))</f>
        <v>Coal, peat and solid fuels</v>
      </c>
      <c r="E58" s="515"/>
      <c r="F58" s="2934"/>
      <c r="G58" s="2934"/>
      <c r="H58" s="3099"/>
      <c r="I58" s="3099"/>
      <c r="J58" s="3099"/>
      <c r="K58" s="3099"/>
      <c r="L58" s="3099"/>
      <c r="M58" s="3099"/>
      <c r="N58" s="3099"/>
      <c r="O58" s="3099"/>
      <c r="P58" s="3099"/>
      <c r="Q58" s="3099"/>
      <c r="R58" s="3099"/>
      <c r="S58" s="3099"/>
      <c r="T58" s="3099"/>
      <c r="U58" s="3099"/>
      <c r="V58" s="3099"/>
      <c r="W58" s="3099"/>
      <c r="X58" s="3099"/>
      <c r="Y58" s="3099"/>
      <c r="Z58" s="3099"/>
      <c r="AA58" s="3099"/>
      <c r="AB58" s="3099"/>
      <c r="AC58" s="3099"/>
      <c r="AD58" s="3099"/>
      <c r="AE58" s="3099"/>
      <c r="AF58" s="3099"/>
      <c r="AG58" s="3099"/>
      <c r="AH58" s="3099"/>
      <c r="AI58" s="3099"/>
      <c r="AJ58" s="3099"/>
      <c r="AK58" s="3099"/>
      <c r="AL58" s="3099"/>
      <c r="AM58" s="3099"/>
      <c r="AN58" s="3099"/>
      <c r="AO58" s="3099"/>
      <c r="AP58" s="3099"/>
      <c r="AQ58" s="3099"/>
      <c r="AR58" s="3099"/>
      <c r="AS58" s="3099"/>
      <c r="AT58" s="3099"/>
      <c r="AU58" s="3099"/>
      <c r="AV58" s="3099"/>
      <c r="AW58" s="3099"/>
      <c r="AX58" s="515"/>
      <c r="AY58" s="2934">
        <f ca="1">INDEX(INDIRECT("'"&amp;AY$4&amp;"'!Year.NetBalance"), MATCH('Intermediate output'!$C58, INDIRECT("'"&amp;AY$4&amp;"'!Year.Vectors"), 0))</f>
        <v>0</v>
      </c>
      <c r="AZ58" s="2934">
        <f ca="1">INDEX(INDIRECT("'"&amp;AZ$4&amp;"'!Year.NetBalance"), MATCH('Intermediate output'!$C58, INDIRECT("'"&amp;AZ$4&amp;"'!Year.Vectors"), 0))</f>
        <v>0</v>
      </c>
      <c r="BA58" s="2934">
        <f ca="1">INDEX(INDIRECT("'"&amp;BA$4&amp;"'!Year.NetBalance"), MATCH('Intermediate output'!$C58, INDIRECT("'"&amp;BA$4&amp;"'!Year.Vectors"), 0))</f>
        <v>0</v>
      </c>
      <c r="BB58" s="2934">
        <f ca="1">INDEX(INDIRECT("'"&amp;BB$4&amp;"'!Year.NetBalance"), MATCH('Intermediate output'!$C58, INDIRECT("'"&amp;BB$4&amp;"'!Year.Vectors"), 0))</f>
        <v>0</v>
      </c>
      <c r="BC58" s="2934">
        <f ca="1">INDEX(INDIRECT("'"&amp;BC$4&amp;"'!Year.NetBalance"), MATCH('Intermediate output'!$C58, INDIRECT("'"&amp;BC$4&amp;"'!Year.Vectors"), 0))</f>
        <v>0</v>
      </c>
      <c r="BD58" s="2934">
        <f ca="1">INDEX(INDIRECT("'"&amp;BD$4&amp;"'!Year.NetBalance"), MATCH('Intermediate output'!$C58, INDIRECT("'"&amp;BD$4&amp;"'!Year.Vectors"), 0))</f>
        <v>0</v>
      </c>
      <c r="BE58" s="2934">
        <f ca="1">INDEX(INDIRECT("'"&amp;BE$4&amp;"'!Year.NetBalance"), MATCH('Intermediate output'!$C58, INDIRECT("'"&amp;BE$4&amp;"'!Year.Vectors"), 0))</f>
        <v>0</v>
      </c>
      <c r="BF58" s="2934">
        <f ca="1">INDEX(INDIRECT("'"&amp;BF$4&amp;"'!Year.NetBalance"), MATCH('Intermediate output'!$C58, INDIRECT("'"&amp;BF$4&amp;"'!Year.Vectors"), 0))</f>
        <v>0</v>
      </c>
      <c r="BG58" s="2934">
        <f ca="1">INDEX(INDIRECT("'"&amp;BG$4&amp;"'!Year.NetBalance"), MATCH('Intermediate output'!$C58, INDIRECT("'"&amp;BG$4&amp;"'!Year.Vectors"), 0))</f>
        <v>0</v>
      </c>
      <c r="BH58" s="3105"/>
      <c r="BJ58" s="514"/>
      <c r="BK58" s="3106"/>
      <c r="BL58" s="3098"/>
      <c r="BM58" s="515"/>
      <c r="BN58" s="2934"/>
      <c r="BO58" s="2934"/>
      <c r="BP58" s="3099"/>
      <c r="BQ58" s="3099"/>
      <c r="BR58" s="3099"/>
      <c r="BS58" s="3099"/>
      <c r="BT58" s="3099"/>
      <c r="BU58" s="3099"/>
    </row>
    <row r="59" spans="2:73">
      <c r="B59" s="514"/>
      <c r="C59" s="3106" t="s">
        <v>426</v>
      </c>
      <c r="D59" s="3098" t="str">
        <f>INDEX(Vectors[Description], MATCH($C59, Vectors[Code], 0))</f>
        <v>Oil and petroleum products</v>
      </c>
      <c r="E59" s="515"/>
      <c r="F59" s="2934"/>
      <c r="G59" s="2934"/>
      <c r="H59" s="3099"/>
      <c r="I59" s="3099"/>
      <c r="J59" s="3099"/>
      <c r="K59" s="3099"/>
      <c r="L59" s="3099"/>
      <c r="M59" s="3099"/>
      <c r="N59" s="3099"/>
      <c r="O59" s="3099"/>
      <c r="P59" s="3099"/>
      <c r="Q59" s="3099"/>
      <c r="R59" s="3099"/>
      <c r="S59" s="3099"/>
      <c r="T59" s="3099"/>
      <c r="U59" s="3099"/>
      <c r="V59" s="3099"/>
      <c r="W59" s="3099"/>
      <c r="X59" s="3099"/>
      <c r="Y59" s="3099"/>
      <c r="Z59" s="3099"/>
      <c r="AA59" s="3099"/>
      <c r="AB59" s="3099"/>
      <c r="AC59" s="3099"/>
      <c r="AD59" s="3099"/>
      <c r="AE59" s="3099"/>
      <c r="AF59" s="3099"/>
      <c r="AG59" s="3099"/>
      <c r="AH59" s="3099"/>
      <c r="AI59" s="3099"/>
      <c r="AJ59" s="3099"/>
      <c r="AK59" s="3099"/>
      <c r="AL59" s="3099"/>
      <c r="AM59" s="3099"/>
      <c r="AN59" s="3099"/>
      <c r="AO59" s="3099"/>
      <c r="AP59" s="3099"/>
      <c r="AQ59" s="3099"/>
      <c r="AR59" s="3099"/>
      <c r="AS59" s="3099"/>
      <c r="AT59" s="3099"/>
      <c r="AU59" s="3099"/>
      <c r="AV59" s="3099"/>
      <c r="AW59" s="3099"/>
      <c r="AX59" s="515"/>
      <c r="AY59" s="2934">
        <f ca="1">INDEX(INDIRECT("'"&amp;AY$4&amp;"'!Year.NetBalance"), MATCH('Intermediate output'!$C59, INDIRECT("'"&amp;AY$4&amp;"'!Year.Vectors"), 0))</f>
        <v>0</v>
      </c>
      <c r="AZ59" s="2934">
        <f ca="1">INDEX(INDIRECT("'"&amp;AZ$4&amp;"'!Year.NetBalance"), MATCH('Intermediate output'!$C59, INDIRECT("'"&amp;AZ$4&amp;"'!Year.Vectors"), 0))</f>
        <v>0</v>
      </c>
      <c r="BA59" s="2934">
        <f ca="1">INDEX(INDIRECT("'"&amp;BA$4&amp;"'!Year.NetBalance"), MATCH('Intermediate output'!$C59, INDIRECT("'"&amp;BA$4&amp;"'!Year.Vectors"), 0))</f>
        <v>0</v>
      </c>
      <c r="BB59" s="2934">
        <f ca="1">INDEX(INDIRECT("'"&amp;BB$4&amp;"'!Year.NetBalance"), MATCH('Intermediate output'!$C59, INDIRECT("'"&amp;BB$4&amp;"'!Year.Vectors"), 0))</f>
        <v>0</v>
      </c>
      <c r="BC59" s="2934">
        <f ca="1">INDEX(INDIRECT("'"&amp;BC$4&amp;"'!Year.NetBalance"), MATCH('Intermediate output'!$C59, INDIRECT("'"&amp;BC$4&amp;"'!Year.Vectors"), 0))</f>
        <v>0</v>
      </c>
      <c r="BD59" s="2934">
        <f ca="1">INDEX(INDIRECT("'"&amp;BD$4&amp;"'!Year.NetBalance"), MATCH('Intermediate output'!$C59, INDIRECT("'"&amp;BD$4&amp;"'!Year.Vectors"), 0))</f>
        <v>0</v>
      </c>
      <c r="BE59" s="2934">
        <f ca="1">INDEX(INDIRECT("'"&amp;BE$4&amp;"'!Year.NetBalance"), MATCH('Intermediate output'!$C59, INDIRECT("'"&amp;BE$4&amp;"'!Year.Vectors"), 0))</f>
        <v>0</v>
      </c>
      <c r="BF59" s="2934">
        <f ca="1">INDEX(INDIRECT("'"&amp;BF$4&amp;"'!Year.NetBalance"), MATCH('Intermediate output'!$C59, INDIRECT("'"&amp;BF$4&amp;"'!Year.Vectors"), 0))</f>
        <v>0</v>
      </c>
      <c r="BG59" s="2934">
        <f ca="1">INDEX(INDIRECT("'"&amp;BG$4&amp;"'!Year.NetBalance"), MATCH('Intermediate output'!$C59, INDIRECT("'"&amp;BG$4&amp;"'!Year.Vectors"), 0))</f>
        <v>0</v>
      </c>
      <c r="BH59" s="3105"/>
      <c r="BJ59" s="514"/>
      <c r="BK59" s="3106"/>
      <c r="BL59" s="3098"/>
      <c r="BM59" s="515"/>
      <c r="BN59" s="2934"/>
      <c r="BO59" s="2934"/>
      <c r="BP59" s="3099"/>
      <c r="BQ59" s="3099"/>
      <c r="BR59" s="3099"/>
      <c r="BS59" s="3099"/>
      <c r="BT59" s="3099"/>
      <c r="BU59" s="3099"/>
    </row>
    <row r="60" spans="2:73">
      <c r="B60" s="514"/>
      <c r="C60" s="3106" t="s">
        <v>427</v>
      </c>
      <c r="D60" s="3098" t="str">
        <f>INDEX(Vectors[Description], MATCH($C60, Vectors[Code], 0))</f>
        <v>Natural gas</v>
      </c>
      <c r="E60" s="515"/>
      <c r="F60" s="2934"/>
      <c r="G60" s="2934"/>
      <c r="H60" s="3099"/>
      <c r="I60" s="3099"/>
      <c r="J60" s="3099"/>
      <c r="K60" s="3099"/>
      <c r="L60" s="3099"/>
      <c r="M60" s="3099"/>
      <c r="N60" s="3099"/>
      <c r="O60" s="3099"/>
      <c r="P60" s="3099"/>
      <c r="Q60" s="3099"/>
      <c r="R60" s="3099"/>
      <c r="S60" s="3099"/>
      <c r="T60" s="3099"/>
      <c r="U60" s="3099"/>
      <c r="V60" s="3099"/>
      <c r="W60" s="3099"/>
      <c r="X60" s="3099"/>
      <c r="Y60" s="3099"/>
      <c r="Z60" s="3099"/>
      <c r="AA60" s="3099"/>
      <c r="AB60" s="3099"/>
      <c r="AC60" s="3099"/>
      <c r="AD60" s="3099"/>
      <c r="AE60" s="3099"/>
      <c r="AF60" s="3099"/>
      <c r="AG60" s="3099"/>
      <c r="AH60" s="3099"/>
      <c r="AI60" s="3099"/>
      <c r="AJ60" s="3099"/>
      <c r="AK60" s="3099"/>
      <c r="AL60" s="3099"/>
      <c r="AM60" s="3099"/>
      <c r="AN60" s="3099"/>
      <c r="AO60" s="3099"/>
      <c r="AP60" s="3099"/>
      <c r="AQ60" s="3099"/>
      <c r="AR60" s="3099"/>
      <c r="AS60" s="3099"/>
      <c r="AT60" s="3099"/>
      <c r="AU60" s="3099"/>
      <c r="AV60" s="3099"/>
      <c r="AW60" s="3099"/>
      <c r="AX60" s="515"/>
      <c r="AY60" s="2934">
        <f ca="1">INDEX(INDIRECT("'"&amp;AY$4&amp;"'!Year.NetBalance"), MATCH('Intermediate output'!$C60, INDIRECT("'"&amp;AY$4&amp;"'!Year.Vectors"), 0))</f>
        <v>0</v>
      </c>
      <c r="AZ60" s="2934">
        <f ca="1">INDEX(INDIRECT("'"&amp;AZ$4&amp;"'!Year.NetBalance"), MATCH('Intermediate output'!$C60, INDIRECT("'"&amp;AZ$4&amp;"'!Year.Vectors"), 0))</f>
        <v>0</v>
      </c>
      <c r="BA60" s="2934">
        <f ca="1">INDEX(INDIRECT("'"&amp;BA$4&amp;"'!Year.NetBalance"), MATCH('Intermediate output'!$C60, INDIRECT("'"&amp;BA$4&amp;"'!Year.Vectors"), 0))</f>
        <v>0</v>
      </c>
      <c r="BB60" s="2934">
        <f ca="1">INDEX(INDIRECT("'"&amp;BB$4&amp;"'!Year.NetBalance"), MATCH('Intermediate output'!$C60, INDIRECT("'"&amp;BB$4&amp;"'!Year.Vectors"), 0))</f>
        <v>0</v>
      </c>
      <c r="BC60" s="2934">
        <f ca="1">INDEX(INDIRECT("'"&amp;BC$4&amp;"'!Year.NetBalance"), MATCH('Intermediate output'!$C60, INDIRECT("'"&amp;BC$4&amp;"'!Year.Vectors"), 0))</f>
        <v>0</v>
      </c>
      <c r="BD60" s="2934">
        <f ca="1">INDEX(INDIRECT("'"&amp;BD$4&amp;"'!Year.NetBalance"), MATCH('Intermediate output'!$C60, INDIRECT("'"&amp;BD$4&amp;"'!Year.Vectors"), 0))</f>
        <v>0</v>
      </c>
      <c r="BE60" s="2934">
        <f ca="1">INDEX(INDIRECT("'"&amp;BE$4&amp;"'!Year.NetBalance"), MATCH('Intermediate output'!$C60, INDIRECT("'"&amp;BE$4&amp;"'!Year.Vectors"), 0))</f>
        <v>0</v>
      </c>
      <c r="BF60" s="2934">
        <f ca="1">INDEX(INDIRECT("'"&amp;BF$4&amp;"'!Year.NetBalance"), MATCH('Intermediate output'!$C60, INDIRECT("'"&amp;BF$4&amp;"'!Year.Vectors"), 0))</f>
        <v>0</v>
      </c>
      <c r="BG60" s="2934">
        <f ca="1">INDEX(INDIRECT("'"&amp;BG$4&amp;"'!Year.NetBalance"), MATCH('Intermediate output'!$C60, INDIRECT("'"&amp;BG$4&amp;"'!Year.Vectors"), 0))</f>
        <v>0</v>
      </c>
      <c r="BH60" s="3105"/>
      <c r="BJ60" s="514"/>
      <c r="BK60" s="3106"/>
      <c r="BL60" s="3098"/>
      <c r="BM60" s="515"/>
      <c r="BN60" s="2934"/>
      <c r="BO60" s="2934"/>
      <c r="BP60" s="3099"/>
      <c r="BQ60" s="3099"/>
      <c r="BR60" s="3099"/>
      <c r="BS60" s="3099"/>
      <c r="BT60" s="3099"/>
      <c r="BU60" s="3099"/>
    </row>
    <row r="61" spans="2:73">
      <c r="B61" s="514"/>
      <c r="C61" s="3106" t="s">
        <v>98</v>
      </c>
      <c r="D61" s="3098" t="str">
        <f>INDEX(Vectors[Description], MATCH($C61, Vectors[Code], 0))</f>
        <v>Solid hydrocarbons</v>
      </c>
      <c r="E61" s="515"/>
      <c r="F61" s="2934"/>
      <c r="G61" s="2934"/>
      <c r="H61" s="3099"/>
      <c r="I61" s="3099"/>
      <c r="J61" s="3099"/>
      <c r="K61" s="3099"/>
      <c r="L61" s="3099"/>
      <c r="M61" s="3099"/>
      <c r="N61" s="3099"/>
      <c r="O61" s="3099"/>
      <c r="P61" s="3099"/>
      <c r="Q61" s="3099"/>
      <c r="R61" s="3099"/>
      <c r="S61" s="3099"/>
      <c r="T61" s="3099"/>
      <c r="U61" s="3099"/>
      <c r="V61" s="3099"/>
      <c r="W61" s="3099"/>
      <c r="X61" s="3099"/>
      <c r="Y61" s="3099"/>
      <c r="Z61" s="3099"/>
      <c r="AA61" s="3099"/>
      <c r="AB61" s="3099"/>
      <c r="AC61" s="3099"/>
      <c r="AD61" s="3099"/>
      <c r="AE61" s="3099"/>
      <c r="AF61" s="3099"/>
      <c r="AG61" s="3099"/>
      <c r="AH61" s="3099"/>
      <c r="AI61" s="3099"/>
      <c r="AJ61" s="3099"/>
      <c r="AK61" s="3099"/>
      <c r="AL61" s="3099"/>
      <c r="AM61" s="3099"/>
      <c r="AN61" s="3099"/>
      <c r="AO61" s="3099"/>
      <c r="AP61" s="3099"/>
      <c r="AQ61" s="3099"/>
      <c r="AR61" s="3099"/>
      <c r="AS61" s="3099"/>
      <c r="AT61" s="3099"/>
      <c r="AU61" s="3099"/>
      <c r="AV61" s="3099"/>
      <c r="AW61" s="3099"/>
      <c r="AX61" s="515"/>
      <c r="AY61" s="2934">
        <f ca="1">INDEX(INDIRECT("'"&amp;AY$4&amp;"'!Year.NetBalance"), MATCH('Intermediate output'!$C61, INDIRECT("'"&amp;AY$4&amp;"'!Year.Vectors"), 0))</f>
        <v>0</v>
      </c>
      <c r="AZ61" s="2934">
        <f ca="1">INDEX(INDIRECT("'"&amp;AZ$4&amp;"'!Year.NetBalance"), MATCH('Intermediate output'!$C61, INDIRECT("'"&amp;AZ$4&amp;"'!Year.Vectors"), 0))</f>
        <v>0</v>
      </c>
      <c r="BA61" s="2934">
        <f ca="1">INDEX(INDIRECT("'"&amp;BA$4&amp;"'!Year.NetBalance"), MATCH('Intermediate output'!$C61, INDIRECT("'"&amp;BA$4&amp;"'!Year.Vectors"), 0))</f>
        <v>0</v>
      </c>
      <c r="BB61" s="2934">
        <f ca="1">INDEX(INDIRECT("'"&amp;BB$4&amp;"'!Year.NetBalance"), MATCH('Intermediate output'!$C61, INDIRECT("'"&amp;BB$4&amp;"'!Year.Vectors"), 0))</f>
        <v>0</v>
      </c>
      <c r="BC61" s="2934">
        <f ca="1">INDEX(INDIRECT("'"&amp;BC$4&amp;"'!Year.NetBalance"), MATCH('Intermediate output'!$C61, INDIRECT("'"&amp;BC$4&amp;"'!Year.Vectors"), 0))</f>
        <v>0</v>
      </c>
      <c r="BD61" s="2934">
        <f ca="1">INDEX(INDIRECT("'"&amp;BD$4&amp;"'!Year.NetBalance"), MATCH('Intermediate output'!$C61, INDIRECT("'"&amp;BD$4&amp;"'!Year.Vectors"), 0))</f>
        <v>0</v>
      </c>
      <c r="BE61" s="2934">
        <f ca="1">INDEX(INDIRECT("'"&amp;BE$4&amp;"'!Year.NetBalance"), MATCH('Intermediate output'!$C61, INDIRECT("'"&amp;BE$4&amp;"'!Year.Vectors"), 0))</f>
        <v>0</v>
      </c>
      <c r="BF61" s="2934">
        <f ca="1">INDEX(INDIRECT("'"&amp;BF$4&amp;"'!Year.NetBalance"), MATCH('Intermediate output'!$C61, INDIRECT("'"&amp;BF$4&amp;"'!Year.Vectors"), 0))</f>
        <v>0</v>
      </c>
      <c r="BG61" s="2934">
        <f ca="1">INDEX(INDIRECT("'"&amp;BG$4&amp;"'!Year.NetBalance"), MATCH('Intermediate output'!$C61, INDIRECT("'"&amp;BG$4&amp;"'!Year.Vectors"), 0))</f>
        <v>0</v>
      </c>
      <c r="BH61" s="3105"/>
      <c r="BJ61" s="514"/>
      <c r="BK61" s="3106"/>
      <c r="BL61" s="3098"/>
      <c r="BM61" s="515"/>
      <c r="BN61" s="2934"/>
      <c r="BO61" s="2934"/>
      <c r="BP61" s="3099"/>
      <c r="BQ61" s="3099"/>
      <c r="BR61" s="3099"/>
      <c r="BS61" s="3099"/>
      <c r="BT61" s="3099"/>
      <c r="BU61" s="3099"/>
    </row>
    <row r="62" spans="2:73">
      <c r="B62" s="514"/>
      <c r="C62" s="3106" t="s">
        <v>99</v>
      </c>
      <c r="D62" s="3098" t="str">
        <f>INDEX(Vectors[Description], MATCH($C62, Vectors[Code], 0))</f>
        <v>Liquid hydrocarbons</v>
      </c>
      <c r="E62" s="515"/>
      <c r="F62" s="2934"/>
      <c r="G62" s="2934"/>
      <c r="H62" s="3099"/>
      <c r="I62" s="3099"/>
      <c r="J62" s="3099"/>
      <c r="K62" s="3099"/>
      <c r="L62" s="3099"/>
      <c r="M62" s="3099"/>
      <c r="N62" s="3099"/>
      <c r="O62" s="3099"/>
      <c r="P62" s="3099"/>
      <c r="Q62" s="3099"/>
      <c r="R62" s="3099"/>
      <c r="S62" s="3099"/>
      <c r="T62" s="3099"/>
      <c r="U62" s="3099"/>
      <c r="V62" s="3099"/>
      <c r="W62" s="3099"/>
      <c r="X62" s="3099"/>
      <c r="Y62" s="3099"/>
      <c r="Z62" s="3099"/>
      <c r="AA62" s="3099"/>
      <c r="AB62" s="3099"/>
      <c r="AC62" s="3099"/>
      <c r="AD62" s="3099"/>
      <c r="AE62" s="3099"/>
      <c r="AF62" s="3099"/>
      <c r="AG62" s="3099"/>
      <c r="AH62" s="3099"/>
      <c r="AI62" s="3099"/>
      <c r="AJ62" s="3099"/>
      <c r="AK62" s="3099"/>
      <c r="AL62" s="3099"/>
      <c r="AM62" s="3099"/>
      <c r="AN62" s="3099"/>
      <c r="AO62" s="3099"/>
      <c r="AP62" s="3099"/>
      <c r="AQ62" s="3099"/>
      <c r="AR62" s="3099"/>
      <c r="AS62" s="3099"/>
      <c r="AT62" s="3099"/>
      <c r="AU62" s="3099"/>
      <c r="AV62" s="3099"/>
      <c r="AW62" s="3099"/>
      <c r="AX62" s="515"/>
      <c r="AY62" s="2934">
        <f ca="1">INDEX(INDIRECT("'"&amp;AY$4&amp;"'!Year.NetBalance"), MATCH('Intermediate output'!$C62, INDIRECT("'"&amp;AY$4&amp;"'!Year.Vectors"), 0))</f>
        <v>0</v>
      </c>
      <c r="AZ62" s="2934">
        <f ca="1">INDEX(INDIRECT("'"&amp;AZ$4&amp;"'!Year.NetBalance"), MATCH('Intermediate output'!$C62, INDIRECT("'"&amp;AZ$4&amp;"'!Year.Vectors"), 0))</f>
        <v>0</v>
      </c>
      <c r="BA62" s="2934">
        <f ca="1">INDEX(INDIRECT("'"&amp;BA$4&amp;"'!Year.NetBalance"), MATCH('Intermediate output'!$C62, INDIRECT("'"&amp;BA$4&amp;"'!Year.Vectors"), 0))</f>
        <v>0</v>
      </c>
      <c r="BB62" s="2934">
        <f ca="1">INDEX(INDIRECT("'"&amp;BB$4&amp;"'!Year.NetBalance"), MATCH('Intermediate output'!$C62, INDIRECT("'"&amp;BB$4&amp;"'!Year.Vectors"), 0))</f>
        <v>0</v>
      </c>
      <c r="BC62" s="2934">
        <f ca="1">INDEX(INDIRECT("'"&amp;BC$4&amp;"'!Year.NetBalance"), MATCH('Intermediate output'!$C62, INDIRECT("'"&amp;BC$4&amp;"'!Year.Vectors"), 0))</f>
        <v>0</v>
      </c>
      <c r="BD62" s="2934">
        <f ca="1">INDEX(INDIRECT("'"&amp;BD$4&amp;"'!Year.NetBalance"), MATCH('Intermediate output'!$C62, INDIRECT("'"&amp;BD$4&amp;"'!Year.Vectors"), 0))</f>
        <v>0</v>
      </c>
      <c r="BE62" s="2934">
        <f ca="1">INDEX(INDIRECT("'"&amp;BE$4&amp;"'!Year.NetBalance"), MATCH('Intermediate output'!$C62, INDIRECT("'"&amp;BE$4&amp;"'!Year.Vectors"), 0))</f>
        <v>0</v>
      </c>
      <c r="BF62" s="2934">
        <f ca="1">INDEX(INDIRECT("'"&amp;BF$4&amp;"'!Year.NetBalance"), MATCH('Intermediate output'!$C62, INDIRECT("'"&amp;BF$4&amp;"'!Year.Vectors"), 0))</f>
        <v>0</v>
      </c>
      <c r="BG62" s="2934">
        <f ca="1">INDEX(INDIRECT("'"&amp;BG$4&amp;"'!Year.NetBalance"), MATCH('Intermediate output'!$C62, INDIRECT("'"&amp;BG$4&amp;"'!Year.Vectors"), 0))</f>
        <v>0</v>
      </c>
      <c r="BH62" s="3105"/>
      <c r="BJ62" s="514"/>
      <c r="BK62" s="3106"/>
      <c r="BL62" s="3098"/>
      <c r="BM62" s="515"/>
      <c r="BN62" s="2934"/>
      <c r="BO62" s="2934"/>
      <c r="BP62" s="3099"/>
      <c r="BQ62" s="3099"/>
      <c r="BR62" s="3099"/>
      <c r="BS62" s="3099"/>
      <c r="BT62" s="3099"/>
      <c r="BU62" s="3099"/>
    </row>
    <row r="63" spans="2:73">
      <c r="B63" s="514"/>
      <c r="C63" s="3106" t="s">
        <v>100</v>
      </c>
      <c r="D63" s="3098" t="str">
        <f>INDEX(Vectors[Description], MATCH($C63, Vectors[Code], 0))</f>
        <v>Gaseous hydrocarbons</v>
      </c>
      <c r="E63" s="515"/>
      <c r="F63" s="2934"/>
      <c r="G63" s="2934"/>
      <c r="H63" s="3099"/>
      <c r="I63" s="3099"/>
      <c r="J63" s="3099"/>
      <c r="K63" s="3099"/>
      <c r="L63" s="3099"/>
      <c r="M63" s="3099"/>
      <c r="N63" s="3099"/>
      <c r="O63" s="3099"/>
      <c r="P63" s="3099"/>
      <c r="Q63" s="3099"/>
      <c r="R63" s="3099"/>
      <c r="S63" s="3099"/>
      <c r="T63" s="3099"/>
      <c r="U63" s="3099"/>
      <c r="V63" s="3099"/>
      <c r="W63" s="3099"/>
      <c r="X63" s="3099"/>
      <c r="Y63" s="3099"/>
      <c r="Z63" s="3099"/>
      <c r="AA63" s="3099"/>
      <c r="AB63" s="3099"/>
      <c r="AC63" s="3099"/>
      <c r="AD63" s="3099"/>
      <c r="AE63" s="3099"/>
      <c r="AF63" s="3099"/>
      <c r="AG63" s="3099"/>
      <c r="AH63" s="3099"/>
      <c r="AI63" s="3099"/>
      <c r="AJ63" s="3099"/>
      <c r="AK63" s="3099"/>
      <c r="AL63" s="3099"/>
      <c r="AM63" s="3099"/>
      <c r="AN63" s="3099"/>
      <c r="AO63" s="3099"/>
      <c r="AP63" s="3099"/>
      <c r="AQ63" s="3099"/>
      <c r="AR63" s="3099"/>
      <c r="AS63" s="3099"/>
      <c r="AT63" s="3099"/>
      <c r="AU63" s="3099"/>
      <c r="AV63" s="3099"/>
      <c r="AW63" s="3099"/>
      <c r="AX63" s="515"/>
      <c r="AY63" s="2934">
        <f ca="1">INDEX(INDIRECT("'"&amp;AY$4&amp;"'!Year.NetBalance"), MATCH('Intermediate output'!$C63, INDIRECT("'"&amp;AY$4&amp;"'!Year.Vectors"), 0))</f>
        <v>0</v>
      </c>
      <c r="AZ63" s="2934">
        <f ca="1">INDEX(INDIRECT("'"&amp;AZ$4&amp;"'!Year.NetBalance"), MATCH('Intermediate output'!$C63, INDIRECT("'"&amp;AZ$4&amp;"'!Year.Vectors"), 0))</f>
        <v>0</v>
      </c>
      <c r="BA63" s="2934">
        <f ca="1">INDEX(INDIRECT("'"&amp;BA$4&amp;"'!Year.NetBalance"), MATCH('Intermediate output'!$C63, INDIRECT("'"&amp;BA$4&amp;"'!Year.Vectors"), 0))</f>
        <v>0</v>
      </c>
      <c r="BB63" s="2934">
        <f ca="1">INDEX(INDIRECT("'"&amp;BB$4&amp;"'!Year.NetBalance"), MATCH('Intermediate output'!$C63, INDIRECT("'"&amp;BB$4&amp;"'!Year.Vectors"), 0))</f>
        <v>0</v>
      </c>
      <c r="BC63" s="2934">
        <f ca="1">INDEX(INDIRECT("'"&amp;BC$4&amp;"'!Year.NetBalance"), MATCH('Intermediate output'!$C63, INDIRECT("'"&amp;BC$4&amp;"'!Year.Vectors"), 0))</f>
        <v>0</v>
      </c>
      <c r="BD63" s="2934">
        <f ca="1">INDEX(INDIRECT("'"&amp;BD$4&amp;"'!Year.NetBalance"), MATCH('Intermediate output'!$C63, INDIRECT("'"&amp;BD$4&amp;"'!Year.Vectors"), 0))</f>
        <v>0</v>
      </c>
      <c r="BE63" s="2934">
        <f ca="1">INDEX(INDIRECT("'"&amp;BE$4&amp;"'!Year.NetBalance"), MATCH('Intermediate output'!$C63, INDIRECT("'"&amp;BE$4&amp;"'!Year.Vectors"), 0))</f>
        <v>0</v>
      </c>
      <c r="BF63" s="2934">
        <f ca="1">INDEX(INDIRECT("'"&amp;BF$4&amp;"'!Year.NetBalance"), MATCH('Intermediate output'!$C63, INDIRECT("'"&amp;BF$4&amp;"'!Year.Vectors"), 0))</f>
        <v>0</v>
      </c>
      <c r="BG63" s="2934">
        <f ca="1">INDEX(INDIRECT("'"&amp;BG$4&amp;"'!Year.NetBalance"), MATCH('Intermediate output'!$C63, INDIRECT("'"&amp;BG$4&amp;"'!Year.Vectors"), 0))</f>
        <v>0</v>
      </c>
      <c r="BH63" s="3105"/>
      <c r="BJ63" s="514"/>
      <c r="BK63" s="3106"/>
      <c r="BL63" s="3098"/>
      <c r="BM63" s="515"/>
      <c r="BN63" s="2934"/>
      <c r="BO63" s="2934"/>
      <c r="BP63" s="3099"/>
      <c r="BQ63" s="3099"/>
      <c r="BR63" s="3099"/>
      <c r="BS63" s="3099"/>
      <c r="BT63" s="3099"/>
      <c r="BU63" s="3099"/>
    </row>
    <row r="64" spans="2:73">
      <c r="B64" s="514"/>
      <c r="C64" s="3106" t="s">
        <v>428</v>
      </c>
      <c r="D64" s="3098" t="str">
        <f>INDEX(Vectors[Description], MATCH($C64, Vectors[Code], 0))</f>
        <v>Blast furnace gas</v>
      </c>
      <c r="E64" s="515"/>
      <c r="F64" s="2934"/>
      <c r="G64" s="2934"/>
      <c r="H64" s="3099"/>
      <c r="I64" s="3099"/>
      <c r="J64" s="3099"/>
      <c r="K64" s="3099"/>
      <c r="L64" s="3099"/>
      <c r="M64" s="3099"/>
      <c r="N64" s="3099"/>
      <c r="O64" s="3099"/>
      <c r="P64" s="3099"/>
      <c r="Q64" s="3099"/>
      <c r="R64" s="3099"/>
      <c r="S64" s="3099"/>
      <c r="T64" s="3099"/>
      <c r="U64" s="3099"/>
      <c r="V64" s="3099"/>
      <c r="W64" s="3099"/>
      <c r="X64" s="3099"/>
      <c r="Y64" s="3099"/>
      <c r="Z64" s="3099"/>
      <c r="AA64" s="3099"/>
      <c r="AB64" s="3099"/>
      <c r="AC64" s="3099"/>
      <c r="AD64" s="3099"/>
      <c r="AE64" s="3099"/>
      <c r="AF64" s="3099"/>
      <c r="AG64" s="3099"/>
      <c r="AH64" s="3099"/>
      <c r="AI64" s="3099"/>
      <c r="AJ64" s="3099"/>
      <c r="AK64" s="3099"/>
      <c r="AL64" s="3099"/>
      <c r="AM64" s="3099"/>
      <c r="AN64" s="3099"/>
      <c r="AO64" s="3099"/>
      <c r="AP64" s="3099"/>
      <c r="AQ64" s="3099"/>
      <c r="AR64" s="3099"/>
      <c r="AS64" s="3099"/>
      <c r="AT64" s="3099"/>
      <c r="AU64" s="3099"/>
      <c r="AV64" s="3099"/>
      <c r="AW64" s="3099"/>
      <c r="AX64" s="515"/>
      <c r="AY64" s="2934">
        <f ca="1">INDEX(INDIRECT("'"&amp;AY$4&amp;"'!Year.NetBalance"), MATCH('Intermediate output'!$C64, INDIRECT("'"&amp;AY$4&amp;"'!Year.Vectors"), 0))</f>
        <v>0</v>
      </c>
      <c r="AZ64" s="2934">
        <f ca="1">INDEX(INDIRECT("'"&amp;AZ$4&amp;"'!Year.NetBalance"), MATCH('Intermediate output'!$C64, INDIRECT("'"&amp;AZ$4&amp;"'!Year.Vectors"), 0))</f>
        <v>0</v>
      </c>
      <c r="BA64" s="2934">
        <f ca="1">INDEX(INDIRECT("'"&amp;BA$4&amp;"'!Year.NetBalance"), MATCH('Intermediate output'!$C64, INDIRECT("'"&amp;BA$4&amp;"'!Year.Vectors"), 0))</f>
        <v>0</v>
      </c>
      <c r="BB64" s="2934">
        <f ca="1">INDEX(INDIRECT("'"&amp;BB$4&amp;"'!Year.NetBalance"), MATCH('Intermediate output'!$C64, INDIRECT("'"&amp;BB$4&amp;"'!Year.Vectors"), 0))</f>
        <v>0</v>
      </c>
      <c r="BC64" s="2934">
        <f ca="1">INDEX(INDIRECT("'"&amp;BC$4&amp;"'!Year.NetBalance"), MATCH('Intermediate output'!$C64, INDIRECT("'"&amp;BC$4&amp;"'!Year.Vectors"), 0))</f>
        <v>0</v>
      </c>
      <c r="BD64" s="2934">
        <f ca="1">INDEX(INDIRECT("'"&amp;BD$4&amp;"'!Year.NetBalance"), MATCH('Intermediate output'!$C64, INDIRECT("'"&amp;BD$4&amp;"'!Year.Vectors"), 0))</f>
        <v>0</v>
      </c>
      <c r="BE64" s="2934">
        <f ca="1">INDEX(INDIRECT("'"&amp;BE$4&amp;"'!Year.NetBalance"), MATCH('Intermediate output'!$C64, INDIRECT("'"&amp;BE$4&amp;"'!Year.Vectors"), 0))</f>
        <v>0</v>
      </c>
      <c r="BF64" s="2934">
        <f ca="1">INDEX(INDIRECT("'"&amp;BF$4&amp;"'!Year.NetBalance"), MATCH('Intermediate output'!$C64, INDIRECT("'"&amp;BF$4&amp;"'!Year.Vectors"), 0))</f>
        <v>0</v>
      </c>
      <c r="BG64" s="2934">
        <f ca="1">INDEX(INDIRECT("'"&amp;BG$4&amp;"'!Year.NetBalance"), MATCH('Intermediate output'!$C64, INDIRECT("'"&amp;BG$4&amp;"'!Year.Vectors"), 0))</f>
        <v>0</v>
      </c>
      <c r="BH64" s="3105"/>
      <c r="BJ64" s="514"/>
      <c r="BK64" s="3106"/>
      <c r="BL64" s="3098"/>
      <c r="BM64" s="515"/>
      <c r="BN64" s="2934"/>
      <c r="BO64" s="2934"/>
      <c r="BP64" s="3099"/>
      <c r="BQ64" s="3099"/>
      <c r="BR64" s="3099"/>
      <c r="BS64" s="3099"/>
      <c r="BT64" s="3099"/>
      <c r="BU64" s="3099"/>
    </row>
    <row r="65" spans="1:73">
      <c r="B65" s="514"/>
      <c r="C65" s="3106" t="s">
        <v>429</v>
      </c>
      <c r="D65" s="3098" t="str">
        <f>INDEX(Vectors[Description], MATCH($C65, Vectors[Code], 0))</f>
        <v>Edible biomass</v>
      </c>
      <c r="E65" s="515"/>
      <c r="F65" s="2934"/>
      <c r="G65" s="2934"/>
      <c r="H65" s="3099"/>
      <c r="I65" s="3099"/>
      <c r="J65" s="3099"/>
      <c r="K65" s="3099"/>
      <c r="L65" s="3099"/>
      <c r="M65" s="3099"/>
      <c r="N65" s="3099"/>
      <c r="O65" s="3099"/>
      <c r="P65" s="3099"/>
      <c r="Q65" s="3099"/>
      <c r="R65" s="3099"/>
      <c r="S65" s="3099"/>
      <c r="T65" s="3099"/>
      <c r="U65" s="3099"/>
      <c r="V65" s="3099"/>
      <c r="W65" s="3099"/>
      <c r="X65" s="3099"/>
      <c r="Y65" s="3099"/>
      <c r="Z65" s="3099"/>
      <c r="AA65" s="3099"/>
      <c r="AB65" s="3099"/>
      <c r="AC65" s="3099"/>
      <c r="AD65" s="3099"/>
      <c r="AE65" s="3099"/>
      <c r="AF65" s="3099"/>
      <c r="AG65" s="3099"/>
      <c r="AH65" s="3099"/>
      <c r="AI65" s="3099"/>
      <c r="AJ65" s="3099"/>
      <c r="AK65" s="3099"/>
      <c r="AL65" s="3099"/>
      <c r="AM65" s="3099"/>
      <c r="AN65" s="3099"/>
      <c r="AO65" s="3099"/>
      <c r="AP65" s="3099"/>
      <c r="AQ65" s="3099"/>
      <c r="AR65" s="3099"/>
      <c r="AS65" s="3099"/>
      <c r="AT65" s="3099"/>
      <c r="AU65" s="3099"/>
      <c r="AV65" s="3099"/>
      <c r="AW65" s="3099"/>
      <c r="AX65" s="515"/>
      <c r="AY65" s="2934">
        <f ca="1">INDEX(INDIRECT("'"&amp;AY$4&amp;"'!Year.NetBalance"), MATCH('Intermediate output'!$C65, INDIRECT("'"&amp;AY$4&amp;"'!Year.Vectors"), 0))</f>
        <v>0</v>
      </c>
      <c r="AZ65" s="2934">
        <f ca="1">INDEX(INDIRECT("'"&amp;AZ$4&amp;"'!Year.NetBalance"), MATCH('Intermediate output'!$C65, INDIRECT("'"&amp;AZ$4&amp;"'!Year.Vectors"), 0))</f>
        <v>0</v>
      </c>
      <c r="BA65" s="2934">
        <f ca="1">INDEX(INDIRECT("'"&amp;BA$4&amp;"'!Year.NetBalance"), MATCH('Intermediate output'!$C65, INDIRECT("'"&amp;BA$4&amp;"'!Year.Vectors"), 0))</f>
        <v>0</v>
      </c>
      <c r="BB65" s="2934">
        <f ca="1">INDEX(INDIRECT("'"&amp;BB$4&amp;"'!Year.NetBalance"), MATCH('Intermediate output'!$C65, INDIRECT("'"&amp;BB$4&amp;"'!Year.Vectors"), 0))</f>
        <v>0</v>
      </c>
      <c r="BC65" s="2934">
        <f ca="1">INDEX(INDIRECT("'"&amp;BC$4&amp;"'!Year.NetBalance"), MATCH('Intermediate output'!$C65, INDIRECT("'"&amp;BC$4&amp;"'!Year.Vectors"), 0))</f>
        <v>0</v>
      </c>
      <c r="BD65" s="2934">
        <f ca="1">INDEX(INDIRECT("'"&amp;BD$4&amp;"'!Year.NetBalance"), MATCH('Intermediate output'!$C65, INDIRECT("'"&amp;BD$4&amp;"'!Year.Vectors"), 0))</f>
        <v>0</v>
      </c>
      <c r="BE65" s="2934">
        <f ca="1">INDEX(INDIRECT("'"&amp;BE$4&amp;"'!Year.NetBalance"), MATCH('Intermediate output'!$C65, INDIRECT("'"&amp;BE$4&amp;"'!Year.Vectors"), 0))</f>
        <v>0</v>
      </c>
      <c r="BF65" s="2934">
        <f ca="1">INDEX(INDIRECT("'"&amp;BF$4&amp;"'!Year.NetBalance"), MATCH('Intermediate output'!$C65, INDIRECT("'"&amp;BF$4&amp;"'!Year.Vectors"), 0))</f>
        <v>0</v>
      </c>
      <c r="BG65" s="2934">
        <f ca="1">INDEX(INDIRECT("'"&amp;BG$4&amp;"'!Year.NetBalance"), MATCH('Intermediate output'!$C65, INDIRECT("'"&amp;BG$4&amp;"'!Year.Vectors"), 0))</f>
        <v>0</v>
      </c>
      <c r="BH65" s="3105"/>
      <c r="BJ65" s="514"/>
      <c r="BK65" s="3106"/>
      <c r="BL65" s="3098"/>
      <c r="BM65" s="515"/>
      <c r="BN65" s="2934"/>
      <c r="BO65" s="2934"/>
      <c r="BP65" s="3099"/>
      <c r="BQ65" s="3099"/>
      <c r="BR65" s="3099"/>
      <c r="BS65" s="3099"/>
      <c r="BT65" s="3099"/>
      <c r="BU65" s="3099"/>
    </row>
    <row r="66" spans="1:73">
      <c r="B66" s="514"/>
      <c r="C66" s="3106" t="s">
        <v>101</v>
      </c>
      <c r="D66" s="3098" t="str">
        <f>INDEX(Vectors[Description], MATCH($C66, Vectors[Code], 0))</f>
        <v>Heat transport</v>
      </c>
      <c r="E66" s="515"/>
      <c r="F66" s="2934"/>
      <c r="G66" s="2934"/>
      <c r="H66" s="3099"/>
      <c r="I66" s="3099"/>
      <c r="J66" s="3099"/>
      <c r="K66" s="3099"/>
      <c r="L66" s="3099"/>
      <c r="M66" s="3099"/>
      <c r="N66" s="3099"/>
      <c r="O66" s="3099"/>
      <c r="P66" s="3099"/>
      <c r="Q66" s="3099"/>
      <c r="R66" s="3099"/>
      <c r="S66" s="3099"/>
      <c r="T66" s="3099"/>
      <c r="U66" s="3099"/>
      <c r="V66" s="3099"/>
      <c r="W66" s="3099"/>
      <c r="X66" s="3099"/>
      <c r="Y66" s="3099"/>
      <c r="Z66" s="3099"/>
      <c r="AA66" s="3099"/>
      <c r="AB66" s="3099"/>
      <c r="AC66" s="3099"/>
      <c r="AD66" s="3099"/>
      <c r="AE66" s="3099"/>
      <c r="AF66" s="3099"/>
      <c r="AG66" s="3099"/>
      <c r="AH66" s="3099"/>
      <c r="AI66" s="3099"/>
      <c r="AJ66" s="3099"/>
      <c r="AK66" s="3099"/>
      <c r="AL66" s="3099"/>
      <c r="AM66" s="3099"/>
      <c r="AN66" s="3099"/>
      <c r="AO66" s="3099"/>
      <c r="AP66" s="3099"/>
      <c r="AQ66" s="3099"/>
      <c r="AR66" s="3099"/>
      <c r="AS66" s="3099"/>
      <c r="AT66" s="3099"/>
      <c r="AU66" s="3099"/>
      <c r="AV66" s="3099"/>
      <c r="AW66" s="3099"/>
      <c r="AX66" s="515"/>
      <c r="AY66" s="2934">
        <f ca="1">INDEX(INDIRECT("'"&amp;AY$4&amp;"'!Year.NetBalance"), MATCH('Intermediate output'!$C66, INDIRECT("'"&amp;AY$4&amp;"'!Year.Vectors"), 0))</f>
        <v>0</v>
      </c>
      <c r="AZ66" s="2934">
        <f ca="1">INDEX(INDIRECT("'"&amp;AZ$4&amp;"'!Year.NetBalance"), MATCH('Intermediate output'!$C66, INDIRECT("'"&amp;AZ$4&amp;"'!Year.Vectors"), 0))</f>
        <v>0</v>
      </c>
      <c r="BA66" s="2934">
        <f ca="1">INDEX(INDIRECT("'"&amp;BA$4&amp;"'!Year.NetBalance"), MATCH('Intermediate output'!$C66, INDIRECT("'"&amp;BA$4&amp;"'!Year.Vectors"), 0))</f>
        <v>0</v>
      </c>
      <c r="BB66" s="2934">
        <f ca="1">INDEX(INDIRECT("'"&amp;BB$4&amp;"'!Year.NetBalance"), MATCH('Intermediate output'!$C66, INDIRECT("'"&amp;BB$4&amp;"'!Year.Vectors"), 0))</f>
        <v>0</v>
      </c>
      <c r="BC66" s="2934">
        <f ca="1">INDEX(INDIRECT("'"&amp;BC$4&amp;"'!Year.NetBalance"), MATCH('Intermediate output'!$C66, INDIRECT("'"&amp;BC$4&amp;"'!Year.Vectors"), 0))</f>
        <v>0</v>
      </c>
      <c r="BD66" s="2934">
        <f ca="1">INDEX(INDIRECT("'"&amp;BD$4&amp;"'!Year.NetBalance"), MATCH('Intermediate output'!$C66, INDIRECT("'"&amp;BD$4&amp;"'!Year.Vectors"), 0))</f>
        <v>0</v>
      </c>
      <c r="BE66" s="2934">
        <f ca="1">INDEX(INDIRECT("'"&amp;BE$4&amp;"'!Year.NetBalance"), MATCH('Intermediate output'!$C66, INDIRECT("'"&amp;BE$4&amp;"'!Year.Vectors"), 0))</f>
        <v>0</v>
      </c>
      <c r="BF66" s="2934">
        <f ca="1">INDEX(INDIRECT("'"&amp;BF$4&amp;"'!Year.NetBalance"), MATCH('Intermediate output'!$C66, INDIRECT("'"&amp;BF$4&amp;"'!Year.Vectors"), 0))</f>
        <v>0</v>
      </c>
      <c r="BG66" s="2934">
        <f ca="1">INDEX(INDIRECT("'"&amp;BG$4&amp;"'!Year.NetBalance"), MATCH('Intermediate output'!$C66, INDIRECT("'"&amp;BG$4&amp;"'!Year.Vectors"), 0))</f>
        <v>0</v>
      </c>
      <c r="BH66" s="3105"/>
      <c r="BJ66" s="514"/>
      <c r="BK66" s="3106"/>
      <c r="BL66" s="3098"/>
      <c r="BM66" s="515"/>
      <c r="BN66" s="2934"/>
      <c r="BO66" s="2934"/>
      <c r="BP66" s="3099"/>
      <c r="BQ66" s="3099"/>
      <c r="BR66" s="3099"/>
      <c r="BS66" s="3099"/>
      <c r="BT66" s="3099"/>
      <c r="BU66" s="3099"/>
    </row>
    <row r="67" spans="1:73">
      <c r="B67" s="514"/>
      <c r="C67" s="3106" t="s">
        <v>432</v>
      </c>
      <c r="D67" s="3098" t="str">
        <f>INDEX(Vectors[Description], MATCH($C67, Vectors[Code], 0))</f>
        <v>Dry biomass and waste</v>
      </c>
      <c r="E67" s="515"/>
      <c r="F67" s="2934"/>
      <c r="G67" s="2934"/>
      <c r="H67" s="3099"/>
      <c r="I67" s="3099"/>
      <c r="J67" s="3099"/>
      <c r="K67" s="3099"/>
      <c r="L67" s="3099"/>
      <c r="M67" s="3099"/>
      <c r="N67" s="3099"/>
      <c r="O67" s="3099"/>
      <c r="P67" s="3099"/>
      <c r="Q67" s="3099"/>
      <c r="R67" s="3099"/>
      <c r="S67" s="3099"/>
      <c r="T67" s="3099"/>
      <c r="U67" s="3099"/>
      <c r="V67" s="3099"/>
      <c r="W67" s="3099"/>
      <c r="X67" s="3099"/>
      <c r="Y67" s="3099"/>
      <c r="Z67" s="3099"/>
      <c r="AA67" s="3099"/>
      <c r="AB67" s="3099"/>
      <c r="AC67" s="3099"/>
      <c r="AD67" s="3099"/>
      <c r="AE67" s="3099"/>
      <c r="AF67" s="3099"/>
      <c r="AG67" s="3099"/>
      <c r="AH67" s="3099"/>
      <c r="AI67" s="3099"/>
      <c r="AJ67" s="3099"/>
      <c r="AK67" s="3099"/>
      <c r="AL67" s="3099"/>
      <c r="AM67" s="3099"/>
      <c r="AN67" s="3099"/>
      <c r="AO67" s="3099"/>
      <c r="AP67" s="3099"/>
      <c r="AQ67" s="3099"/>
      <c r="AR67" s="3099"/>
      <c r="AS67" s="3099"/>
      <c r="AT67" s="3099"/>
      <c r="AU67" s="3099"/>
      <c r="AV67" s="3099"/>
      <c r="AW67" s="3099"/>
      <c r="AX67" s="515"/>
      <c r="AY67" s="2934">
        <f ca="1">INDEX(INDIRECT("'"&amp;AY$4&amp;"'!Year.NetBalance"), MATCH('Intermediate output'!$C67, INDIRECT("'"&amp;AY$4&amp;"'!Year.Vectors"), 0))</f>
        <v>0</v>
      </c>
      <c r="AZ67" s="2934">
        <f ca="1">INDEX(INDIRECT("'"&amp;AZ$4&amp;"'!Year.NetBalance"), MATCH('Intermediate output'!$C67, INDIRECT("'"&amp;AZ$4&amp;"'!Year.Vectors"), 0))</f>
        <v>0</v>
      </c>
      <c r="BA67" s="2934">
        <f ca="1">INDEX(INDIRECT("'"&amp;BA$4&amp;"'!Year.NetBalance"), MATCH('Intermediate output'!$C67, INDIRECT("'"&amp;BA$4&amp;"'!Year.Vectors"), 0))</f>
        <v>0</v>
      </c>
      <c r="BB67" s="2934">
        <f ca="1">INDEX(INDIRECT("'"&amp;BB$4&amp;"'!Year.NetBalance"), MATCH('Intermediate output'!$C67, INDIRECT("'"&amp;BB$4&amp;"'!Year.Vectors"), 0))</f>
        <v>0</v>
      </c>
      <c r="BC67" s="2934">
        <f ca="1">INDEX(INDIRECT("'"&amp;BC$4&amp;"'!Year.NetBalance"), MATCH('Intermediate output'!$C67, INDIRECT("'"&amp;BC$4&amp;"'!Year.Vectors"), 0))</f>
        <v>0</v>
      </c>
      <c r="BD67" s="2934">
        <f ca="1">INDEX(INDIRECT("'"&amp;BD$4&amp;"'!Year.NetBalance"), MATCH('Intermediate output'!$C67, INDIRECT("'"&amp;BD$4&amp;"'!Year.Vectors"), 0))</f>
        <v>0</v>
      </c>
      <c r="BE67" s="2934">
        <f ca="1">INDEX(INDIRECT("'"&amp;BE$4&amp;"'!Year.NetBalance"), MATCH('Intermediate output'!$C67, INDIRECT("'"&amp;BE$4&amp;"'!Year.Vectors"), 0))</f>
        <v>0</v>
      </c>
      <c r="BF67" s="2934">
        <f ca="1">INDEX(INDIRECT("'"&amp;BF$4&amp;"'!Year.NetBalance"), MATCH('Intermediate output'!$C67, INDIRECT("'"&amp;BF$4&amp;"'!Year.Vectors"), 0))</f>
        <v>0</v>
      </c>
      <c r="BG67" s="2934">
        <f ca="1">INDEX(INDIRECT("'"&amp;BG$4&amp;"'!Year.NetBalance"), MATCH('Intermediate output'!$C67, INDIRECT("'"&amp;BG$4&amp;"'!Year.Vectors"), 0))</f>
        <v>0</v>
      </c>
      <c r="BH67" s="3105"/>
      <c r="BJ67" s="514"/>
      <c r="BK67" s="3106"/>
      <c r="BL67" s="3098"/>
      <c r="BM67" s="515"/>
      <c r="BN67" s="2934"/>
      <c r="BO67" s="2934"/>
      <c r="BP67" s="3099"/>
      <c r="BQ67" s="3099"/>
      <c r="BR67" s="3099"/>
      <c r="BS67" s="3099"/>
      <c r="BT67" s="3099"/>
      <c r="BU67" s="3099"/>
    </row>
    <row r="68" spans="1:73">
      <c r="B68" s="514"/>
      <c r="C68" s="3106" t="s">
        <v>433</v>
      </c>
      <c r="D68" s="3098" t="str">
        <f>INDEX(Vectors[Description], MATCH($C68, Vectors[Code], 0))</f>
        <v>Wet biomass and waste</v>
      </c>
      <c r="E68" s="515"/>
      <c r="F68" s="2934"/>
      <c r="G68" s="2934"/>
      <c r="H68" s="3099"/>
      <c r="I68" s="3099"/>
      <c r="J68" s="3099"/>
      <c r="K68" s="3099"/>
      <c r="L68" s="3099"/>
      <c r="M68" s="3099"/>
      <c r="N68" s="3099"/>
      <c r="O68" s="3099"/>
      <c r="P68" s="3099"/>
      <c r="Q68" s="3099"/>
      <c r="R68" s="3099"/>
      <c r="S68" s="3099"/>
      <c r="T68" s="3099"/>
      <c r="U68" s="3099"/>
      <c r="V68" s="3099"/>
      <c r="W68" s="3099"/>
      <c r="X68" s="3099"/>
      <c r="Y68" s="3099"/>
      <c r="Z68" s="3099"/>
      <c r="AA68" s="3099"/>
      <c r="AB68" s="3099"/>
      <c r="AC68" s="3099"/>
      <c r="AD68" s="3099"/>
      <c r="AE68" s="3099"/>
      <c r="AF68" s="3099"/>
      <c r="AG68" s="3099"/>
      <c r="AH68" s="3099"/>
      <c r="AI68" s="3099"/>
      <c r="AJ68" s="3099"/>
      <c r="AK68" s="3099"/>
      <c r="AL68" s="3099"/>
      <c r="AM68" s="3099"/>
      <c r="AN68" s="3099"/>
      <c r="AO68" s="3099"/>
      <c r="AP68" s="3099"/>
      <c r="AQ68" s="3099"/>
      <c r="AR68" s="3099"/>
      <c r="AS68" s="3099"/>
      <c r="AT68" s="3099"/>
      <c r="AU68" s="3099"/>
      <c r="AV68" s="3099"/>
      <c r="AW68" s="3099"/>
      <c r="AX68" s="515"/>
      <c r="AY68" s="2934">
        <f ca="1">INDEX(INDIRECT("'"&amp;AY$4&amp;"'!Year.NetBalance"), MATCH('Intermediate output'!$C68, INDIRECT("'"&amp;AY$4&amp;"'!Year.Vectors"), 0))</f>
        <v>0</v>
      </c>
      <c r="AZ68" s="2934">
        <f ca="1">INDEX(INDIRECT("'"&amp;AZ$4&amp;"'!Year.NetBalance"), MATCH('Intermediate output'!$C68, INDIRECT("'"&amp;AZ$4&amp;"'!Year.Vectors"), 0))</f>
        <v>0</v>
      </c>
      <c r="BA68" s="2934">
        <f ca="1">INDEX(INDIRECT("'"&amp;BA$4&amp;"'!Year.NetBalance"), MATCH('Intermediate output'!$C68, INDIRECT("'"&amp;BA$4&amp;"'!Year.Vectors"), 0))</f>
        <v>0</v>
      </c>
      <c r="BB68" s="2934">
        <f ca="1">INDEX(INDIRECT("'"&amp;BB$4&amp;"'!Year.NetBalance"), MATCH('Intermediate output'!$C68, INDIRECT("'"&amp;BB$4&amp;"'!Year.Vectors"), 0))</f>
        <v>0</v>
      </c>
      <c r="BC68" s="2934">
        <f ca="1">INDEX(INDIRECT("'"&amp;BC$4&amp;"'!Year.NetBalance"), MATCH('Intermediate output'!$C68, INDIRECT("'"&amp;BC$4&amp;"'!Year.Vectors"), 0))</f>
        <v>0</v>
      </c>
      <c r="BD68" s="2934">
        <f ca="1">INDEX(INDIRECT("'"&amp;BD$4&amp;"'!Year.NetBalance"), MATCH('Intermediate output'!$C68, INDIRECT("'"&amp;BD$4&amp;"'!Year.Vectors"), 0))</f>
        <v>0</v>
      </c>
      <c r="BE68" s="2934">
        <f ca="1">INDEX(INDIRECT("'"&amp;BE$4&amp;"'!Year.NetBalance"), MATCH('Intermediate output'!$C68, INDIRECT("'"&amp;BE$4&amp;"'!Year.Vectors"), 0))</f>
        <v>0</v>
      </c>
      <c r="BF68" s="2934">
        <f ca="1">INDEX(INDIRECT("'"&amp;BF$4&amp;"'!Year.NetBalance"), MATCH('Intermediate output'!$C68, INDIRECT("'"&amp;BF$4&amp;"'!Year.Vectors"), 0))</f>
        <v>0</v>
      </c>
      <c r="BG68" s="2934">
        <f ca="1">INDEX(INDIRECT("'"&amp;BG$4&amp;"'!Year.NetBalance"), MATCH('Intermediate output'!$C68, INDIRECT("'"&amp;BG$4&amp;"'!Year.Vectors"), 0))</f>
        <v>0</v>
      </c>
      <c r="BH68" s="3105"/>
      <c r="BJ68" s="514"/>
      <c r="BK68" s="3106"/>
      <c r="BL68" s="3098"/>
      <c r="BM68" s="515"/>
      <c r="BN68" s="2934"/>
      <c r="BO68" s="2934"/>
      <c r="BP68" s="3099"/>
      <c r="BQ68" s="3099"/>
      <c r="BR68" s="3099"/>
      <c r="BS68" s="3099"/>
      <c r="BT68" s="3099"/>
      <c r="BU68" s="3099"/>
    </row>
    <row r="69" spans="1:73">
      <c r="B69" s="514"/>
      <c r="C69" s="3106" t="s">
        <v>31</v>
      </c>
      <c r="D69" s="3098" t="str">
        <f>INDEX(Vectors[Description], MATCH($C69, Vectors[Code], 0))</f>
        <v>Domestic solar thermal</v>
      </c>
      <c r="E69" s="515"/>
      <c r="F69" s="2934"/>
      <c r="G69" s="2934"/>
      <c r="H69" s="3099"/>
      <c r="I69" s="3099"/>
      <c r="J69" s="3099"/>
      <c r="K69" s="3099"/>
      <c r="L69" s="3099"/>
      <c r="M69" s="3099"/>
      <c r="N69" s="3099"/>
      <c r="O69" s="3099"/>
      <c r="P69" s="3099"/>
      <c r="Q69" s="3099"/>
      <c r="R69" s="3099"/>
      <c r="S69" s="3099"/>
      <c r="T69" s="3099"/>
      <c r="U69" s="3099"/>
      <c r="V69" s="3099"/>
      <c r="W69" s="3099"/>
      <c r="X69" s="3099"/>
      <c r="Y69" s="3099"/>
      <c r="Z69" s="3099"/>
      <c r="AA69" s="3099"/>
      <c r="AB69" s="3099"/>
      <c r="AC69" s="3099"/>
      <c r="AD69" s="3099"/>
      <c r="AE69" s="3099"/>
      <c r="AF69" s="3099"/>
      <c r="AG69" s="3099"/>
      <c r="AH69" s="3099"/>
      <c r="AI69" s="3099"/>
      <c r="AJ69" s="3099"/>
      <c r="AK69" s="3099"/>
      <c r="AL69" s="3099"/>
      <c r="AM69" s="3099"/>
      <c r="AN69" s="3099"/>
      <c r="AO69" s="3099"/>
      <c r="AP69" s="3099"/>
      <c r="AQ69" s="3099"/>
      <c r="AR69" s="3099"/>
      <c r="AS69" s="3099"/>
      <c r="AT69" s="3099"/>
      <c r="AU69" s="3099"/>
      <c r="AV69" s="3099"/>
      <c r="AW69" s="3099"/>
      <c r="AX69" s="515"/>
      <c r="AY69" s="2934">
        <f ca="1">INDEX(INDIRECT("'"&amp;AY$4&amp;"'!Year.NetBalance"), MATCH('Intermediate output'!$C69, INDIRECT("'"&amp;AY$4&amp;"'!Year.Vectors"), 0))</f>
        <v>0</v>
      </c>
      <c r="AZ69" s="2934">
        <f ca="1">INDEX(INDIRECT("'"&amp;AZ$4&amp;"'!Year.NetBalance"), MATCH('Intermediate output'!$C69, INDIRECT("'"&amp;AZ$4&amp;"'!Year.Vectors"), 0))</f>
        <v>0</v>
      </c>
      <c r="BA69" s="2934">
        <f ca="1">INDEX(INDIRECT("'"&amp;BA$4&amp;"'!Year.NetBalance"), MATCH('Intermediate output'!$C69, INDIRECT("'"&amp;BA$4&amp;"'!Year.Vectors"), 0))</f>
        <v>0</v>
      </c>
      <c r="BB69" s="2934">
        <f ca="1">INDEX(INDIRECT("'"&amp;BB$4&amp;"'!Year.NetBalance"), MATCH('Intermediate output'!$C69, INDIRECT("'"&amp;BB$4&amp;"'!Year.Vectors"), 0))</f>
        <v>0</v>
      </c>
      <c r="BC69" s="2934">
        <f ca="1">INDEX(INDIRECT("'"&amp;BC$4&amp;"'!Year.NetBalance"), MATCH('Intermediate output'!$C69, INDIRECT("'"&amp;BC$4&amp;"'!Year.Vectors"), 0))</f>
        <v>0</v>
      </c>
      <c r="BD69" s="2934">
        <f ca="1">INDEX(INDIRECT("'"&amp;BD$4&amp;"'!Year.NetBalance"), MATCH('Intermediate output'!$C69, INDIRECT("'"&amp;BD$4&amp;"'!Year.Vectors"), 0))</f>
        <v>0</v>
      </c>
      <c r="BE69" s="2934">
        <f ca="1">INDEX(INDIRECT("'"&amp;BE$4&amp;"'!Year.NetBalance"), MATCH('Intermediate output'!$C69, INDIRECT("'"&amp;BE$4&amp;"'!Year.Vectors"), 0))</f>
        <v>0</v>
      </c>
      <c r="BF69" s="2934">
        <f ca="1">INDEX(INDIRECT("'"&amp;BF$4&amp;"'!Year.NetBalance"), MATCH('Intermediate output'!$C69, INDIRECT("'"&amp;BF$4&amp;"'!Year.Vectors"), 0))</f>
        <v>0</v>
      </c>
      <c r="BG69" s="2934">
        <f ca="1">INDEX(INDIRECT("'"&amp;BG$4&amp;"'!Year.NetBalance"), MATCH('Intermediate output'!$C69, INDIRECT("'"&amp;BG$4&amp;"'!Year.Vectors"), 0))</f>
        <v>0</v>
      </c>
      <c r="BH69" s="3105"/>
      <c r="BJ69" s="514"/>
      <c r="BK69" s="3106"/>
      <c r="BL69" s="3098"/>
      <c r="BM69" s="515"/>
      <c r="BN69" s="2934"/>
      <c r="BO69" s="2934"/>
      <c r="BP69" s="3099"/>
      <c r="BQ69" s="3099"/>
      <c r="BR69" s="3099"/>
      <c r="BS69" s="3099"/>
      <c r="BT69" s="3099"/>
      <c r="BU69" s="3099"/>
    </row>
    <row r="70" spans="1:73">
      <c r="B70" s="514"/>
      <c r="C70" s="3106" t="s">
        <v>435</v>
      </c>
      <c r="D70" s="3098" t="str">
        <f>INDEX(Vectors[Description], MATCH($C70, Vectors[Code], 0))</f>
        <v>H2</v>
      </c>
      <c r="E70" s="515"/>
      <c r="F70" s="2934"/>
      <c r="G70" s="2934"/>
      <c r="H70" s="3099"/>
      <c r="I70" s="3099"/>
      <c r="J70" s="3099"/>
      <c r="K70" s="3099"/>
      <c r="L70" s="3099"/>
      <c r="M70" s="3099"/>
      <c r="N70" s="3099"/>
      <c r="O70" s="3099"/>
      <c r="P70" s="3099"/>
      <c r="Q70" s="3099"/>
      <c r="R70" s="3099"/>
      <c r="S70" s="3099"/>
      <c r="T70" s="3099"/>
      <c r="U70" s="3099"/>
      <c r="V70" s="3099"/>
      <c r="W70" s="3099"/>
      <c r="X70" s="3099"/>
      <c r="Y70" s="3099"/>
      <c r="Z70" s="3099"/>
      <c r="AA70" s="3099"/>
      <c r="AB70" s="3099"/>
      <c r="AC70" s="3099"/>
      <c r="AD70" s="3099"/>
      <c r="AE70" s="3099"/>
      <c r="AF70" s="3099"/>
      <c r="AG70" s="3099"/>
      <c r="AH70" s="3099"/>
      <c r="AI70" s="3099"/>
      <c r="AJ70" s="3099"/>
      <c r="AK70" s="3099"/>
      <c r="AL70" s="3099"/>
      <c r="AM70" s="3099"/>
      <c r="AN70" s="3099"/>
      <c r="AO70" s="3099"/>
      <c r="AP70" s="3099"/>
      <c r="AQ70" s="3099"/>
      <c r="AR70" s="3099"/>
      <c r="AS70" s="3099"/>
      <c r="AT70" s="3099"/>
      <c r="AU70" s="3099"/>
      <c r="AV70" s="3099"/>
      <c r="AW70" s="3099"/>
      <c r="AX70" s="515"/>
      <c r="AY70" s="2934">
        <f ca="1">INDEX(INDIRECT("'"&amp;AY$4&amp;"'!Year.NetBalance"), MATCH('Intermediate output'!$C70, INDIRECT("'"&amp;AY$4&amp;"'!Year.Vectors"), 0))</f>
        <v>0</v>
      </c>
      <c r="AZ70" s="2934">
        <f ca="1">INDEX(INDIRECT("'"&amp;AZ$4&amp;"'!Year.NetBalance"), MATCH('Intermediate output'!$C70, INDIRECT("'"&amp;AZ$4&amp;"'!Year.Vectors"), 0))</f>
        <v>0</v>
      </c>
      <c r="BA70" s="2934">
        <f ca="1">INDEX(INDIRECT("'"&amp;BA$4&amp;"'!Year.NetBalance"), MATCH('Intermediate output'!$C70, INDIRECT("'"&amp;BA$4&amp;"'!Year.Vectors"), 0))</f>
        <v>0</v>
      </c>
      <c r="BB70" s="2934">
        <f ca="1">INDEX(INDIRECT("'"&amp;BB$4&amp;"'!Year.NetBalance"), MATCH('Intermediate output'!$C70, INDIRECT("'"&amp;BB$4&amp;"'!Year.Vectors"), 0))</f>
        <v>0</v>
      </c>
      <c r="BC70" s="2934">
        <f ca="1">INDEX(INDIRECT("'"&amp;BC$4&amp;"'!Year.NetBalance"), MATCH('Intermediate output'!$C70, INDIRECT("'"&amp;BC$4&amp;"'!Year.Vectors"), 0))</f>
        <v>0</v>
      </c>
      <c r="BD70" s="2934">
        <f ca="1">INDEX(INDIRECT("'"&amp;BD$4&amp;"'!Year.NetBalance"), MATCH('Intermediate output'!$C70, INDIRECT("'"&amp;BD$4&amp;"'!Year.Vectors"), 0))</f>
        <v>0</v>
      </c>
      <c r="BE70" s="2934">
        <f ca="1">INDEX(INDIRECT("'"&amp;BE$4&amp;"'!Year.NetBalance"), MATCH('Intermediate output'!$C70, INDIRECT("'"&amp;BE$4&amp;"'!Year.Vectors"), 0))</f>
        <v>0</v>
      </c>
      <c r="BF70" s="2934">
        <f ca="1">INDEX(INDIRECT("'"&amp;BF$4&amp;"'!Year.NetBalance"), MATCH('Intermediate output'!$C70, INDIRECT("'"&amp;BF$4&amp;"'!Year.Vectors"), 0))</f>
        <v>0</v>
      </c>
      <c r="BG70" s="2934">
        <f ca="1">INDEX(INDIRECT("'"&amp;BG$4&amp;"'!Year.NetBalance"), MATCH('Intermediate output'!$C70, INDIRECT("'"&amp;BG$4&amp;"'!Year.Vectors"), 0))</f>
        <v>0</v>
      </c>
      <c r="BH70" s="3105"/>
      <c r="BJ70" s="514"/>
      <c r="BK70" s="3106"/>
      <c r="BL70" s="3098"/>
      <c r="BM70" s="515"/>
      <c r="BN70" s="2934"/>
      <c r="BO70" s="2934"/>
      <c r="BP70" s="3099"/>
      <c r="BQ70" s="3099"/>
      <c r="BR70" s="3099"/>
      <c r="BS70" s="3099"/>
      <c r="BT70" s="3099"/>
      <c r="BU70" s="3099"/>
    </row>
    <row r="71" spans="1:73">
      <c r="B71" s="514"/>
      <c r="C71" s="3106" t="s">
        <v>430</v>
      </c>
      <c r="D71" s="3098" t="str">
        <f>INDEX(Vectors[Description], MATCH($C71, Vectors[Code], 0))</f>
        <v>Energy crops (second generation)</v>
      </c>
      <c r="E71" s="515"/>
      <c r="F71" s="2934"/>
      <c r="G71" s="2934"/>
      <c r="H71" s="3099"/>
      <c r="I71" s="3099"/>
      <c r="J71" s="3099"/>
      <c r="K71" s="3099"/>
      <c r="L71" s="3099"/>
      <c r="M71" s="3099"/>
      <c r="N71" s="3099"/>
      <c r="O71" s="3099"/>
      <c r="P71" s="3099"/>
      <c r="Q71" s="3099"/>
      <c r="R71" s="3099"/>
      <c r="S71" s="3099"/>
      <c r="T71" s="3099"/>
      <c r="U71" s="3099"/>
      <c r="V71" s="3099"/>
      <c r="W71" s="3099"/>
      <c r="X71" s="3099"/>
      <c r="Y71" s="3099"/>
      <c r="Z71" s="3099"/>
      <c r="AA71" s="3099"/>
      <c r="AB71" s="3099"/>
      <c r="AC71" s="3099"/>
      <c r="AD71" s="3099"/>
      <c r="AE71" s="3099"/>
      <c r="AF71" s="3099"/>
      <c r="AG71" s="3099"/>
      <c r="AH71" s="3099"/>
      <c r="AI71" s="3099"/>
      <c r="AJ71" s="3099"/>
      <c r="AK71" s="3099"/>
      <c r="AL71" s="3099"/>
      <c r="AM71" s="3099"/>
      <c r="AN71" s="3099"/>
      <c r="AO71" s="3099"/>
      <c r="AP71" s="3099"/>
      <c r="AQ71" s="3099"/>
      <c r="AR71" s="3099"/>
      <c r="AS71" s="3099"/>
      <c r="AT71" s="3099"/>
      <c r="AU71" s="3099"/>
      <c r="AV71" s="3099"/>
      <c r="AW71" s="3099"/>
      <c r="AX71" s="515"/>
      <c r="AY71" s="2934">
        <f ca="1">INDEX(INDIRECT("'"&amp;AY$4&amp;"'!Year.NetBalance"), MATCH('Intermediate output'!$C71, INDIRECT("'"&amp;AY$4&amp;"'!Year.Vectors"), 0))</f>
        <v>0</v>
      </c>
      <c r="AZ71" s="2934">
        <f ca="1">INDEX(INDIRECT("'"&amp;AZ$4&amp;"'!Year.NetBalance"), MATCH('Intermediate output'!$C71, INDIRECT("'"&amp;AZ$4&amp;"'!Year.Vectors"), 0))</f>
        <v>0</v>
      </c>
      <c r="BA71" s="2934">
        <f ca="1">INDEX(INDIRECT("'"&amp;BA$4&amp;"'!Year.NetBalance"), MATCH('Intermediate output'!$C71, INDIRECT("'"&amp;BA$4&amp;"'!Year.Vectors"), 0))</f>
        <v>0</v>
      </c>
      <c r="BB71" s="2934">
        <f ca="1">INDEX(INDIRECT("'"&amp;BB$4&amp;"'!Year.NetBalance"), MATCH('Intermediate output'!$C71, INDIRECT("'"&amp;BB$4&amp;"'!Year.Vectors"), 0))</f>
        <v>0</v>
      </c>
      <c r="BC71" s="2934">
        <f ca="1">INDEX(INDIRECT("'"&amp;BC$4&amp;"'!Year.NetBalance"), MATCH('Intermediate output'!$C71, INDIRECT("'"&amp;BC$4&amp;"'!Year.Vectors"), 0))</f>
        <v>0</v>
      </c>
      <c r="BD71" s="2934">
        <f ca="1">INDEX(INDIRECT("'"&amp;BD$4&amp;"'!Year.NetBalance"), MATCH('Intermediate output'!$C71, INDIRECT("'"&amp;BD$4&amp;"'!Year.Vectors"), 0))</f>
        <v>0</v>
      </c>
      <c r="BE71" s="2934">
        <f ca="1">INDEX(INDIRECT("'"&amp;BE$4&amp;"'!Year.NetBalance"), MATCH('Intermediate output'!$C71, INDIRECT("'"&amp;BE$4&amp;"'!Year.Vectors"), 0))</f>
        <v>0</v>
      </c>
      <c r="BF71" s="2934">
        <f ca="1">INDEX(INDIRECT("'"&amp;BF$4&amp;"'!Year.NetBalance"), MATCH('Intermediate output'!$C71, INDIRECT("'"&amp;BF$4&amp;"'!Year.Vectors"), 0))</f>
        <v>0</v>
      </c>
      <c r="BG71" s="2934">
        <f ca="1">INDEX(INDIRECT("'"&amp;BG$4&amp;"'!Year.NetBalance"), MATCH('Intermediate output'!$C71, INDIRECT("'"&amp;BG$4&amp;"'!Year.Vectors"), 0))</f>
        <v>0</v>
      </c>
      <c r="BH71" s="3105"/>
      <c r="BJ71" s="514"/>
      <c r="BK71" s="3106"/>
      <c r="BL71" s="3098"/>
      <c r="BM71" s="515"/>
      <c r="BN71" s="2934"/>
      <c r="BO71" s="2934"/>
      <c r="BP71" s="3099"/>
      <c r="BQ71" s="3099"/>
      <c r="BR71" s="3099"/>
      <c r="BS71" s="3099"/>
      <c r="BT71" s="3099"/>
      <c r="BU71" s="3099"/>
    </row>
    <row r="72" spans="1:73" s="6" customFormat="1" ht="18.75">
      <c r="B72" s="3127"/>
      <c r="C72" s="17"/>
      <c r="D72" s="3110" t="s">
        <v>2530</v>
      </c>
      <c r="E72" s="515"/>
      <c r="F72" s="3111"/>
      <c r="G72" s="3112"/>
      <c r="H72" s="3107"/>
      <c r="I72" s="3107"/>
      <c r="J72" s="3107"/>
      <c r="K72" s="3107"/>
      <c r="L72" s="3107"/>
      <c r="M72" s="3107"/>
      <c r="N72" s="3107"/>
      <c r="O72" s="3107"/>
      <c r="P72" s="3107"/>
      <c r="Q72" s="3107"/>
      <c r="R72" s="3107"/>
      <c r="S72" s="3107"/>
      <c r="T72" s="3107"/>
      <c r="U72" s="3107"/>
      <c r="V72" s="3107"/>
      <c r="W72" s="3107"/>
      <c r="X72" s="3107"/>
      <c r="Y72" s="3107"/>
      <c r="Z72" s="3107"/>
      <c r="AA72" s="3107"/>
      <c r="AB72" s="3107"/>
      <c r="AC72" s="3107"/>
      <c r="AD72" s="3107"/>
      <c r="AE72" s="3107"/>
      <c r="AF72" s="3107"/>
      <c r="AG72" s="3107"/>
      <c r="AH72" s="3107"/>
      <c r="AI72" s="3107"/>
      <c r="AJ72" s="3107"/>
      <c r="AK72" s="3107"/>
      <c r="AL72" s="3107"/>
      <c r="AM72" s="3107"/>
      <c r="AN72" s="3107"/>
      <c r="AO72" s="3107"/>
      <c r="AP72" s="3107"/>
      <c r="AQ72" s="3107"/>
      <c r="AR72" s="3107"/>
      <c r="AS72" s="3107"/>
      <c r="AT72" s="3107"/>
      <c r="AU72" s="3107"/>
      <c r="AV72" s="3107"/>
      <c r="AW72" s="3107"/>
      <c r="AX72" s="515"/>
      <c r="AY72" s="3111">
        <f t="shared" ref="AY72:BG72" ca="1" si="13">SUM(AY58:AY71)</f>
        <v>0</v>
      </c>
      <c r="AZ72" s="3111">
        <f t="shared" ca="1" si="13"/>
        <v>0</v>
      </c>
      <c r="BA72" s="3111">
        <f t="shared" ca="1" si="13"/>
        <v>0</v>
      </c>
      <c r="BB72" s="3111">
        <f t="shared" ca="1" si="13"/>
        <v>0</v>
      </c>
      <c r="BC72" s="3111">
        <f t="shared" ca="1" si="13"/>
        <v>0</v>
      </c>
      <c r="BD72" s="3111">
        <f t="shared" ca="1" si="13"/>
        <v>0</v>
      </c>
      <c r="BE72" s="3111">
        <f t="shared" ca="1" si="13"/>
        <v>0</v>
      </c>
      <c r="BF72" s="3111">
        <f t="shared" ca="1" si="13"/>
        <v>0</v>
      </c>
      <c r="BG72" s="3111">
        <f t="shared" ca="1" si="13"/>
        <v>0</v>
      </c>
      <c r="BH72" s="3128"/>
      <c r="BJ72" s="3127"/>
      <c r="BK72" s="17"/>
      <c r="BL72" s="23"/>
      <c r="BM72" s="515"/>
      <c r="BN72" s="3112"/>
      <c r="BO72" s="3112"/>
      <c r="BP72" s="3107"/>
      <c r="BQ72" s="3107"/>
      <c r="BR72" s="3107"/>
      <c r="BS72" s="3107"/>
      <c r="BT72" s="3107"/>
      <c r="BU72" s="3107"/>
    </row>
    <row r="73" spans="1:73">
      <c r="B73" s="514"/>
      <c r="C73" s="515"/>
      <c r="D73" s="515"/>
      <c r="E73" s="515"/>
      <c r="F73" s="515"/>
      <c r="G73" s="515"/>
      <c r="H73" s="3089"/>
      <c r="I73" s="3089"/>
      <c r="J73" s="3089"/>
      <c r="K73" s="3089"/>
      <c r="L73" s="3089"/>
      <c r="M73" s="3089"/>
      <c r="N73" s="3089"/>
      <c r="O73" s="3089"/>
      <c r="P73" s="3089"/>
      <c r="Q73" s="3089"/>
      <c r="R73" s="3089"/>
      <c r="S73" s="3089"/>
      <c r="T73" s="3089"/>
      <c r="U73" s="3089"/>
      <c r="V73" s="3089"/>
      <c r="W73" s="3089"/>
      <c r="X73" s="3089"/>
      <c r="Y73" s="3089"/>
      <c r="Z73" s="3089"/>
      <c r="AA73" s="3089"/>
      <c r="AB73" s="3089"/>
      <c r="AC73" s="3089"/>
      <c r="AD73" s="3089"/>
      <c r="AE73" s="3089"/>
      <c r="AF73" s="3089"/>
      <c r="AG73" s="3089"/>
      <c r="AH73" s="3089"/>
      <c r="AI73" s="3089"/>
      <c r="AJ73" s="3089"/>
      <c r="AK73" s="3089"/>
      <c r="AL73" s="3089"/>
      <c r="AM73" s="3089"/>
      <c r="AN73" s="3089"/>
      <c r="AO73" s="3089"/>
      <c r="AP73" s="3089"/>
      <c r="AQ73" s="3089"/>
      <c r="AR73" s="3089"/>
      <c r="AS73" s="3089"/>
      <c r="AT73" s="3089"/>
      <c r="AU73" s="3089"/>
      <c r="AV73" s="3089"/>
      <c r="AW73" s="3089"/>
      <c r="AX73" s="515"/>
      <c r="AY73" s="3103"/>
      <c r="AZ73" s="3103"/>
      <c r="BA73" s="3103"/>
      <c r="BB73" s="3103"/>
      <c r="BC73" s="3103"/>
      <c r="BD73" s="3103"/>
      <c r="BE73" s="3103"/>
      <c r="BF73" s="3103"/>
      <c r="BG73" s="3103"/>
      <c r="BH73" s="3105"/>
      <c r="BJ73" s="514"/>
      <c r="BK73" s="515"/>
      <c r="BL73" s="515"/>
      <c r="BM73" s="515"/>
      <c r="BN73" s="515"/>
      <c r="BO73" s="515"/>
      <c r="BP73" s="3089"/>
      <c r="BQ73" s="3089"/>
      <c r="BR73" s="3089"/>
      <c r="BS73" s="3089"/>
      <c r="BT73" s="3089"/>
      <c r="BU73" s="3089"/>
    </row>
    <row r="74" spans="1:73" s="381" customFormat="1" ht="18.75">
      <c r="B74" s="3108"/>
      <c r="C74" s="23"/>
      <c r="D74" s="3110" t="s">
        <v>2531</v>
      </c>
      <c r="E74" s="515"/>
      <c r="F74" s="3111"/>
      <c r="G74" s="3112"/>
      <c r="H74" s="3107"/>
      <c r="I74" s="3107"/>
      <c r="J74" s="3107"/>
      <c r="K74" s="3107"/>
      <c r="L74" s="3107"/>
      <c r="M74" s="3107"/>
      <c r="N74" s="3107"/>
      <c r="O74" s="3107"/>
      <c r="P74" s="3107"/>
      <c r="Q74" s="3107"/>
      <c r="R74" s="3107"/>
      <c r="S74" s="3107"/>
      <c r="T74" s="3107"/>
      <c r="U74" s="3107"/>
      <c r="V74" s="3107"/>
      <c r="W74" s="3107"/>
      <c r="X74" s="3107"/>
      <c r="Y74" s="3107"/>
      <c r="Z74" s="3107"/>
      <c r="AA74" s="3107"/>
      <c r="AB74" s="3107"/>
      <c r="AC74" s="3107"/>
      <c r="AD74" s="3107"/>
      <c r="AE74" s="3107"/>
      <c r="AF74" s="3107"/>
      <c r="AG74" s="3107"/>
      <c r="AH74" s="3107"/>
      <c r="AI74" s="3107"/>
      <c r="AJ74" s="3107"/>
      <c r="AK74" s="3107"/>
      <c r="AL74" s="3107"/>
      <c r="AM74" s="3107"/>
      <c r="AN74" s="3107"/>
      <c r="AO74" s="3107"/>
      <c r="AP74" s="3107"/>
      <c r="AQ74" s="3107"/>
      <c r="AR74" s="3107"/>
      <c r="AS74" s="3107"/>
      <c r="AT74" s="3107"/>
      <c r="AU74" s="3107"/>
      <c r="AV74" s="3107"/>
      <c r="AW74" s="3107"/>
      <c r="AX74" s="515"/>
      <c r="AY74" s="3111">
        <f ca="1">AY18-AY54+AY72</f>
        <v>9.8843865828257549E-5</v>
      </c>
      <c r="AZ74" s="3111">
        <f t="shared" ref="AZ74:BG74" ca="1" si="14">AZ18-AZ54+AZ72</f>
        <v>0</v>
      </c>
      <c r="BA74" s="3111">
        <f t="shared" ca="1" si="14"/>
        <v>-1.4210854715202004E-14</v>
      </c>
      <c r="BB74" s="3111">
        <f t="shared" ca="1" si="14"/>
        <v>-1.4210854715202004E-14</v>
      </c>
      <c r="BC74" s="3111">
        <f t="shared" ca="1" si="14"/>
        <v>8.5334545474324841E-7</v>
      </c>
      <c r="BD74" s="3111">
        <f t="shared" ca="1" si="14"/>
        <v>1.435502724689286E-6</v>
      </c>
      <c r="BE74" s="3111">
        <f t="shared" ca="1" si="14"/>
        <v>0</v>
      </c>
      <c r="BF74" s="3111">
        <f t="shared" ca="1" si="14"/>
        <v>-2.8421709430404007E-14</v>
      </c>
      <c r="BG74" s="3111">
        <f t="shared" ca="1" si="14"/>
        <v>-2.8421709430404007E-14</v>
      </c>
      <c r="BH74" s="3113"/>
      <c r="BJ74" s="3108"/>
      <c r="BK74" s="23"/>
      <c r="BL74" s="23"/>
      <c r="BM74" s="515"/>
      <c r="BN74" s="3112"/>
      <c r="BO74" s="3112"/>
      <c r="BP74" s="3107"/>
      <c r="BQ74" s="3107"/>
      <c r="BR74" s="3107"/>
      <c r="BS74" s="3107"/>
      <c r="BT74" s="3107"/>
      <c r="BU74" s="3107"/>
    </row>
    <row r="75" spans="1:73" s="381" customFormat="1" ht="18.75">
      <c r="B75" s="3108"/>
      <c r="C75" s="23"/>
      <c r="D75" s="23"/>
      <c r="E75" s="515"/>
      <c r="F75" s="3112"/>
      <c r="G75" s="3112"/>
      <c r="H75" s="3107"/>
      <c r="I75" s="3107"/>
      <c r="J75" s="3107"/>
      <c r="K75" s="3107"/>
      <c r="L75" s="3107"/>
      <c r="M75" s="3107"/>
      <c r="N75" s="3107"/>
      <c r="O75" s="3107"/>
      <c r="P75" s="3107"/>
      <c r="Q75" s="3107"/>
      <c r="R75" s="3107"/>
      <c r="S75" s="3107"/>
      <c r="T75" s="3107"/>
      <c r="U75" s="3107"/>
      <c r="V75" s="3107"/>
      <c r="W75" s="3107"/>
      <c r="X75" s="3107"/>
      <c r="Y75" s="3107"/>
      <c r="Z75" s="3107"/>
      <c r="AA75" s="3107"/>
      <c r="AB75" s="3107"/>
      <c r="AC75" s="3107"/>
      <c r="AD75" s="3107"/>
      <c r="AE75" s="3107"/>
      <c r="AF75" s="3107"/>
      <c r="AG75" s="3107"/>
      <c r="AH75" s="3107"/>
      <c r="AI75" s="3107"/>
      <c r="AJ75" s="3107"/>
      <c r="AK75" s="3107"/>
      <c r="AL75" s="3107"/>
      <c r="AM75" s="3107"/>
      <c r="AN75" s="3107"/>
      <c r="AO75" s="3107"/>
      <c r="AP75" s="3107"/>
      <c r="AQ75" s="3107"/>
      <c r="AR75" s="3107"/>
      <c r="AS75" s="3107"/>
      <c r="AT75" s="3107"/>
      <c r="AU75" s="3107"/>
      <c r="AV75" s="3107"/>
      <c r="AW75" s="3107"/>
      <c r="AX75" s="515"/>
      <c r="AY75" s="3112"/>
      <c r="AZ75" s="3112"/>
      <c r="BA75" s="3112"/>
      <c r="BB75" s="3112"/>
      <c r="BC75" s="3112"/>
      <c r="BD75" s="3112"/>
      <c r="BE75" s="3112"/>
      <c r="BF75" s="3112"/>
      <c r="BG75" s="3112"/>
      <c r="BH75" s="3113"/>
      <c r="BJ75" s="3108"/>
      <c r="BK75" s="23"/>
      <c r="BL75" s="23"/>
      <c r="BM75" s="515"/>
      <c r="BN75" s="3112"/>
      <c r="BO75" s="3112"/>
      <c r="BP75" s="3107"/>
      <c r="BQ75" s="3107"/>
      <c r="BR75" s="3107"/>
      <c r="BS75" s="3107"/>
      <c r="BT75" s="3107"/>
      <c r="BU75" s="3107"/>
    </row>
    <row r="76" spans="1:73" s="381" customFormat="1" ht="18.75">
      <c r="B76" s="3129"/>
      <c r="C76" s="3130"/>
      <c r="D76" s="3130"/>
      <c r="E76" s="869"/>
      <c r="F76" s="3131"/>
      <c r="G76" s="3131"/>
      <c r="H76" s="3132"/>
      <c r="I76" s="3132"/>
      <c r="J76" s="3132"/>
      <c r="K76" s="3132"/>
      <c r="L76" s="3132"/>
      <c r="M76" s="3132"/>
      <c r="N76" s="3132"/>
      <c r="O76" s="3132"/>
      <c r="P76" s="3132"/>
      <c r="Q76" s="3132"/>
      <c r="R76" s="3132"/>
      <c r="S76" s="3132"/>
      <c r="T76" s="3132"/>
      <c r="U76" s="3132"/>
      <c r="V76" s="3132"/>
      <c r="W76" s="3132"/>
      <c r="X76" s="3132"/>
      <c r="Y76" s="3132"/>
      <c r="Z76" s="3132"/>
      <c r="AA76" s="3132"/>
      <c r="AB76" s="3132"/>
      <c r="AC76" s="3132"/>
      <c r="AD76" s="3132"/>
      <c r="AE76" s="3132"/>
      <c r="AF76" s="3132"/>
      <c r="AG76" s="3132"/>
      <c r="AH76" s="3132"/>
      <c r="AI76" s="3132"/>
      <c r="AJ76" s="3132"/>
      <c r="AK76" s="3132"/>
      <c r="AL76" s="3132"/>
      <c r="AM76" s="3132"/>
      <c r="AN76" s="3132"/>
      <c r="AO76" s="3132"/>
      <c r="AP76" s="3132"/>
      <c r="AQ76" s="3132"/>
      <c r="AR76" s="3132"/>
      <c r="AS76" s="3132"/>
      <c r="AT76" s="3132"/>
      <c r="AU76" s="3132"/>
      <c r="AV76" s="3132"/>
      <c r="AW76" s="3132"/>
      <c r="AX76" s="869"/>
      <c r="AY76" s="3131"/>
      <c r="AZ76" s="3131"/>
      <c r="BA76" s="3131"/>
      <c r="BB76" s="3131"/>
      <c r="BC76" s="3131"/>
      <c r="BD76" s="3131"/>
      <c r="BE76" s="3131"/>
      <c r="BF76" s="3131"/>
      <c r="BG76" s="3131"/>
      <c r="BH76" s="3133"/>
      <c r="BJ76" s="3129"/>
      <c r="BK76" s="3130"/>
      <c r="BL76" s="3130"/>
      <c r="BM76" s="869"/>
      <c r="BN76" s="3131"/>
      <c r="BO76" s="3131"/>
      <c r="BP76" s="3132"/>
      <c r="BQ76" s="3132"/>
      <c r="BR76" s="3132"/>
      <c r="BS76" s="3132"/>
      <c r="BT76" s="3132"/>
      <c r="BU76" s="3132"/>
    </row>
    <row r="77" spans="1:73" s="381" customFormat="1" ht="18.75">
      <c r="B77" s="3134"/>
      <c r="D77" s="3135"/>
      <c r="E77" s="3066"/>
      <c r="F77" s="3136"/>
      <c r="G77" s="3136"/>
      <c r="H77" s="3137"/>
      <c r="I77" s="3137"/>
      <c r="J77" s="3137"/>
      <c r="K77" s="3137"/>
      <c r="L77" s="3137"/>
      <c r="M77" s="3137"/>
      <c r="N77" s="3137"/>
      <c r="O77" s="3137"/>
      <c r="P77" s="3137"/>
      <c r="Q77" s="3137"/>
      <c r="R77" s="3137"/>
      <c r="S77" s="3137"/>
      <c r="T77" s="3137"/>
      <c r="U77" s="3137"/>
      <c r="V77" s="3137"/>
      <c r="W77" s="3137"/>
      <c r="X77" s="3137"/>
      <c r="Y77" s="3137"/>
      <c r="Z77" s="3137"/>
      <c r="AA77" s="3137"/>
      <c r="AB77" s="3137"/>
      <c r="AC77" s="3137"/>
      <c r="AD77" s="3137"/>
      <c r="AE77" s="3137"/>
      <c r="AF77" s="3137"/>
      <c r="AG77" s="3137"/>
      <c r="AH77" s="3137"/>
      <c r="AI77" s="3137"/>
      <c r="AJ77" s="3137"/>
      <c r="AK77" s="3137"/>
      <c r="AL77" s="3137"/>
      <c r="AM77" s="3137"/>
      <c r="AN77" s="3137"/>
      <c r="AO77" s="3137"/>
      <c r="AP77" s="3137"/>
      <c r="AQ77" s="3137"/>
      <c r="AR77" s="3137"/>
      <c r="AS77" s="3137"/>
      <c r="AT77" s="3137"/>
      <c r="AU77" s="3137"/>
      <c r="AV77" s="3137"/>
      <c r="AW77" s="3137"/>
      <c r="AX77" s="3066"/>
      <c r="AY77" s="3136"/>
      <c r="AZ77" s="3136"/>
      <c r="BA77" s="3136"/>
      <c r="BB77" s="3136"/>
      <c r="BC77" s="3136"/>
      <c r="BD77" s="3136"/>
      <c r="BE77" s="3136"/>
      <c r="BF77" s="3136"/>
      <c r="BG77" s="3136"/>
      <c r="BH77" s="2480"/>
      <c r="BJ77" s="3134"/>
      <c r="BL77" s="3135"/>
      <c r="BM77" s="3983"/>
      <c r="BN77" s="3136"/>
      <c r="BO77" s="3136"/>
      <c r="BP77" s="3137"/>
      <c r="BQ77" s="3137"/>
      <c r="BR77" s="3137"/>
      <c r="BS77" s="3137"/>
      <c r="BT77" s="3137"/>
      <c r="BU77" s="3137"/>
    </row>
    <row r="78" spans="1:73" ht="23.25">
      <c r="A78" s="7"/>
      <c r="B78" s="3138" t="s">
        <v>2532</v>
      </c>
      <c r="C78" s="3139"/>
      <c r="D78" s="3139"/>
      <c r="E78" s="3139"/>
      <c r="F78" s="3139"/>
      <c r="G78" s="3139"/>
      <c r="H78" s="3140"/>
      <c r="I78" s="3140"/>
      <c r="J78" s="3140"/>
      <c r="K78" s="3140"/>
      <c r="L78" s="3140"/>
      <c r="M78" s="3140"/>
      <c r="N78" s="3140"/>
      <c r="O78" s="3140"/>
      <c r="P78" s="3140"/>
      <c r="Q78" s="3140"/>
      <c r="R78" s="3140"/>
      <c r="S78" s="3140"/>
      <c r="T78" s="3140"/>
      <c r="U78" s="3140"/>
      <c r="V78" s="3140"/>
      <c r="W78" s="3140"/>
      <c r="X78" s="3140"/>
      <c r="Y78" s="3140"/>
      <c r="Z78" s="3140"/>
      <c r="AA78" s="3140"/>
      <c r="AB78" s="3140"/>
      <c r="AC78" s="3140"/>
      <c r="AD78" s="3140"/>
      <c r="AE78" s="3140"/>
      <c r="AF78" s="3140"/>
      <c r="AG78" s="3140"/>
      <c r="AH78" s="3140"/>
      <c r="AI78" s="3140"/>
      <c r="AJ78" s="3140"/>
      <c r="AK78" s="3140"/>
      <c r="AL78" s="3140"/>
      <c r="AM78" s="3140"/>
      <c r="AN78" s="3140"/>
      <c r="AO78" s="3140"/>
      <c r="AP78" s="3140"/>
      <c r="AQ78" s="3140"/>
      <c r="AR78" s="3140"/>
      <c r="AS78" s="3140"/>
      <c r="AT78" s="3140"/>
      <c r="AU78" s="3140"/>
      <c r="AV78" s="3140"/>
      <c r="AW78" s="3140"/>
      <c r="AX78" s="3139"/>
      <c r="AY78" s="3141"/>
      <c r="AZ78" s="3141"/>
      <c r="BA78" s="3141"/>
      <c r="BB78" s="3141"/>
      <c r="BC78" s="3141"/>
      <c r="BD78" s="3141"/>
      <c r="BE78" s="3141"/>
      <c r="BF78" s="3141"/>
      <c r="BG78" s="3141"/>
      <c r="BH78" s="3142"/>
      <c r="BJ78" s="3138"/>
      <c r="BK78" s="3139"/>
      <c r="BL78" s="3139"/>
      <c r="BM78" s="3139"/>
      <c r="BN78" s="3139"/>
      <c r="BO78" s="3139"/>
      <c r="BP78" s="3140"/>
      <c r="BQ78" s="3140"/>
      <c r="BR78" s="3140"/>
      <c r="BS78" s="3140"/>
      <c r="BT78" s="3140"/>
      <c r="BU78" s="3140"/>
    </row>
    <row r="79" spans="1:73">
      <c r="B79" s="3143"/>
      <c r="C79" s="3144"/>
      <c r="D79" s="3144"/>
      <c r="E79" s="3144"/>
      <c r="F79" s="3144"/>
      <c r="G79" s="3144"/>
      <c r="H79" s="3145"/>
      <c r="I79" s="3145"/>
      <c r="J79" s="3145"/>
      <c r="K79" s="3145"/>
      <c r="L79" s="3145"/>
      <c r="M79" s="3145"/>
      <c r="N79" s="3145"/>
      <c r="O79" s="3145"/>
      <c r="P79" s="3145"/>
      <c r="Q79" s="3145"/>
      <c r="R79" s="3145"/>
      <c r="S79" s="3145"/>
      <c r="T79" s="3145"/>
      <c r="U79" s="3145"/>
      <c r="V79" s="3145"/>
      <c r="W79" s="3145"/>
      <c r="X79" s="3145"/>
      <c r="Y79" s="3145"/>
      <c r="Z79" s="3145"/>
      <c r="AA79" s="3145"/>
      <c r="AB79" s="3145"/>
      <c r="AC79" s="3145"/>
      <c r="AD79" s="3145"/>
      <c r="AE79" s="3145"/>
      <c r="AF79" s="3145"/>
      <c r="AG79" s="3145"/>
      <c r="AH79" s="3145"/>
      <c r="AI79" s="3145"/>
      <c r="AJ79" s="3145"/>
      <c r="AK79" s="3145"/>
      <c r="AL79" s="3145"/>
      <c r="AM79" s="3145"/>
      <c r="AN79" s="3145"/>
      <c r="AO79" s="3145"/>
      <c r="AP79" s="3145"/>
      <c r="AQ79" s="3145"/>
      <c r="AR79" s="3145"/>
      <c r="AS79" s="3145"/>
      <c r="AT79" s="3145"/>
      <c r="AU79" s="3145"/>
      <c r="AV79" s="3145"/>
      <c r="AW79" s="3145"/>
      <c r="AX79" s="3144"/>
      <c r="AY79" s="3146"/>
      <c r="AZ79" s="3146"/>
      <c r="BA79" s="3146"/>
      <c r="BB79" s="3146"/>
      <c r="BC79" s="3146"/>
      <c r="BD79" s="3146"/>
      <c r="BE79" s="3146"/>
      <c r="BF79" s="3146"/>
      <c r="BG79" s="3146"/>
      <c r="BH79" s="3147"/>
      <c r="BJ79" s="3143"/>
      <c r="BK79" s="3144"/>
      <c r="BL79" s="3144"/>
      <c r="BM79" s="3144"/>
      <c r="BN79" s="3144"/>
      <c r="BO79" s="3144"/>
      <c r="BP79" s="3145"/>
      <c r="BQ79" s="3145"/>
      <c r="BR79" s="3145"/>
      <c r="BS79" s="3145"/>
      <c r="BT79" s="3145"/>
      <c r="BU79" s="3145"/>
    </row>
    <row r="80" spans="1:73">
      <c r="B80" s="3148"/>
      <c r="C80" s="832" t="s">
        <v>96</v>
      </c>
      <c r="D80" s="832" t="s">
        <v>86</v>
      </c>
      <c r="E80" s="832"/>
      <c r="F80" s="3149"/>
      <c r="G80" s="3149"/>
      <c r="H80" s="3150"/>
      <c r="I80" s="3150"/>
      <c r="J80" s="3150"/>
      <c r="K80" s="3150"/>
      <c r="L80" s="3150"/>
      <c r="M80" s="3150"/>
      <c r="N80" s="3150"/>
      <c r="O80" s="3150"/>
      <c r="P80" s="3150"/>
      <c r="Q80" s="3150"/>
      <c r="R80" s="3150"/>
      <c r="S80" s="3150"/>
      <c r="T80" s="3150"/>
      <c r="U80" s="3150"/>
      <c r="V80" s="3150"/>
      <c r="W80" s="3150"/>
      <c r="X80" s="3150"/>
      <c r="Y80" s="3150"/>
      <c r="Z80" s="3150"/>
      <c r="AA80" s="3150"/>
      <c r="AB80" s="3150"/>
      <c r="AC80" s="3150"/>
      <c r="AD80" s="3150"/>
      <c r="AE80" s="3150"/>
      <c r="AF80" s="3150"/>
      <c r="AG80" s="3150"/>
      <c r="AH80" s="3150"/>
      <c r="AI80" s="3150"/>
      <c r="AJ80" s="3150"/>
      <c r="AK80" s="3150"/>
      <c r="AL80" s="3150"/>
      <c r="AM80" s="3150"/>
      <c r="AN80" s="3150"/>
      <c r="AO80" s="3150"/>
      <c r="AP80" s="3150"/>
      <c r="AQ80" s="3150"/>
      <c r="AR80" s="3150"/>
      <c r="AS80" s="3150"/>
      <c r="AT80" s="3150"/>
      <c r="AU80" s="3150"/>
      <c r="AV80" s="3150"/>
      <c r="AW80" s="3150"/>
      <c r="AX80" s="832"/>
      <c r="AY80" s="3151">
        <f ca="1">INDEX(INDIRECT("'"&amp;AY$4&amp;"'!Year.NetBalance"), MATCH('Intermediate output'!$C80, INDIRECT("'"&amp;AY$4&amp;"'!Year.Vectors"), 0))</f>
        <v>-23.472851618681876</v>
      </c>
      <c r="AZ80" s="3151">
        <f ca="1">INDEX(INDIRECT("'"&amp;AZ$4&amp;"'!Year.NetBalance"), MATCH('Intermediate output'!$C80, INDIRECT("'"&amp;AZ$4&amp;"'!Year.Vectors"), 0))</f>
        <v>-24.359054991474284</v>
      </c>
      <c r="BA80" s="3151">
        <f ca="1">INDEX(INDIRECT("'"&amp;BA$4&amp;"'!Year.NetBalance"), MATCH('Intermediate output'!$C80, INDIRECT("'"&amp;BA$4&amp;"'!Year.Vectors"), 0))</f>
        <v>-24.873360120694059</v>
      </c>
      <c r="BB80" s="3151">
        <f ca="1">INDEX(INDIRECT("'"&amp;BB$4&amp;"'!Year.NetBalance"), MATCH('Intermediate output'!$C80, INDIRECT("'"&amp;BB$4&amp;"'!Year.Vectors"), 0))</f>
        <v>-25.40523094801479</v>
      </c>
      <c r="BC80" s="3151">
        <f ca="1">INDEX(INDIRECT("'"&amp;BC$4&amp;"'!Year.NetBalance"), MATCH('Intermediate output'!$C80, INDIRECT("'"&amp;BC$4&amp;"'!Year.Vectors"), 0))</f>
        <v>-26.047300922442307</v>
      </c>
      <c r="BD80" s="3151">
        <f ca="1">INDEX(INDIRECT("'"&amp;BD$4&amp;"'!Year.NetBalance"), MATCH('Intermediate output'!$C80, INDIRECT("'"&amp;BD$4&amp;"'!Year.Vectors"), 0))</f>
        <v>-26.711821498340942</v>
      </c>
      <c r="BE80" s="3151">
        <f ca="1">INDEX(INDIRECT("'"&amp;BE$4&amp;"'!Year.NetBalance"), MATCH('Intermediate output'!$C80, INDIRECT("'"&amp;BE$4&amp;"'!Year.Vectors"), 0))</f>
        <v>-27.377648640111907</v>
      </c>
      <c r="BF80" s="3151">
        <f ca="1">INDEX(INDIRECT("'"&amp;BF$4&amp;"'!Year.NetBalance"), MATCH('Intermediate output'!$C80, INDIRECT("'"&amp;BF$4&amp;"'!Year.Vectors"), 0))</f>
        <v>-28.011556298716876</v>
      </c>
      <c r="BG80" s="3151">
        <f ca="1">INDEX(INDIRECT("'"&amp;BG$4&amp;"'!Year.NetBalance"), MATCH('Intermediate output'!$C80, INDIRECT("'"&amp;BG$4&amp;"'!Year.Vectors"), 0))</f>
        <v>-28.534423087242338</v>
      </c>
      <c r="BH80" s="3152"/>
      <c r="BJ80" s="3148"/>
      <c r="BK80" s="832"/>
      <c r="BL80" s="832"/>
      <c r="BM80" s="832"/>
      <c r="BN80" s="3149"/>
      <c r="BO80" s="3149"/>
      <c r="BP80" s="3150"/>
      <c r="BQ80" s="3150"/>
      <c r="BR80" s="3150"/>
      <c r="BS80" s="3150"/>
      <c r="BT80" s="3150"/>
      <c r="BU80" s="3150"/>
    </row>
    <row r="81" spans="1:73">
      <c r="B81" s="3148"/>
      <c r="C81" s="832" t="s">
        <v>97</v>
      </c>
      <c r="D81" s="832" t="s">
        <v>87</v>
      </c>
      <c r="E81" s="832"/>
      <c r="F81" s="3149"/>
      <c r="G81" s="3149"/>
      <c r="H81" s="3150"/>
      <c r="I81" s="3150"/>
      <c r="J81" s="3150"/>
      <c r="K81" s="3150"/>
      <c r="L81" s="3150"/>
      <c r="M81" s="3150"/>
      <c r="N81" s="3150"/>
      <c r="O81" s="3150"/>
      <c r="P81" s="3150"/>
      <c r="Q81" s="3150"/>
      <c r="R81" s="3150"/>
      <c r="S81" s="3150"/>
      <c r="T81" s="3150"/>
      <c r="U81" s="3150"/>
      <c r="V81" s="3150"/>
      <c r="W81" s="3150"/>
      <c r="X81" s="3150"/>
      <c r="Y81" s="3150"/>
      <c r="Z81" s="3150"/>
      <c r="AA81" s="3150"/>
      <c r="AB81" s="3150"/>
      <c r="AC81" s="3150"/>
      <c r="AD81" s="3150"/>
      <c r="AE81" s="3150"/>
      <c r="AF81" s="3150"/>
      <c r="AG81" s="3150"/>
      <c r="AH81" s="3150"/>
      <c r="AI81" s="3150"/>
      <c r="AJ81" s="3150"/>
      <c r="AK81" s="3150"/>
      <c r="AL81" s="3150"/>
      <c r="AM81" s="3150"/>
      <c r="AN81" s="3150"/>
      <c r="AO81" s="3150"/>
      <c r="AP81" s="3150"/>
      <c r="AQ81" s="3150"/>
      <c r="AR81" s="3150"/>
      <c r="AS81" s="3150"/>
      <c r="AT81" s="3150"/>
      <c r="AU81" s="3150"/>
      <c r="AV81" s="3150"/>
      <c r="AW81" s="3150"/>
      <c r="AX81" s="832"/>
      <c r="AY81" s="3151">
        <f ca="1">INDEX(INDIRECT("'"&amp;AY$4&amp;"'!Year.NetBalance"), MATCH('Intermediate output'!$C81, INDIRECT("'"&amp;AY$4&amp;"'!Year.Vectors"), 0))</f>
        <v>23.472851618681876</v>
      </c>
      <c r="AZ81" s="3151">
        <f ca="1">INDEX(INDIRECT("'"&amp;AZ$4&amp;"'!Year.NetBalance"), MATCH('Intermediate output'!$C81, INDIRECT("'"&amp;AZ$4&amp;"'!Year.Vectors"), 0))</f>
        <v>24.359054991474284</v>
      </c>
      <c r="BA81" s="3151">
        <f ca="1">INDEX(INDIRECT("'"&amp;BA$4&amp;"'!Year.NetBalance"), MATCH('Intermediate output'!$C81, INDIRECT("'"&amp;BA$4&amp;"'!Year.Vectors"), 0))</f>
        <v>24.873360120694059</v>
      </c>
      <c r="BB81" s="3151">
        <f ca="1">INDEX(INDIRECT("'"&amp;BB$4&amp;"'!Year.NetBalance"), MATCH('Intermediate output'!$C81, INDIRECT("'"&amp;BB$4&amp;"'!Year.Vectors"), 0))</f>
        <v>25.40523094801479</v>
      </c>
      <c r="BC81" s="3151">
        <f ca="1">INDEX(INDIRECT("'"&amp;BC$4&amp;"'!Year.NetBalance"), MATCH('Intermediate output'!$C81, INDIRECT("'"&amp;BC$4&amp;"'!Year.Vectors"), 0))</f>
        <v>26.047300922442304</v>
      </c>
      <c r="BD81" s="3151">
        <f ca="1">INDEX(INDIRECT("'"&amp;BD$4&amp;"'!Year.NetBalance"), MATCH('Intermediate output'!$C81, INDIRECT("'"&amp;BD$4&amp;"'!Year.Vectors"), 0))</f>
        <v>26.711821498340939</v>
      </c>
      <c r="BE81" s="3151">
        <f ca="1">INDEX(INDIRECT("'"&amp;BE$4&amp;"'!Year.NetBalance"), MATCH('Intermediate output'!$C81, INDIRECT("'"&amp;BE$4&amp;"'!Year.Vectors"), 0))</f>
        <v>27.377648640111907</v>
      </c>
      <c r="BF81" s="3151">
        <f ca="1">INDEX(INDIRECT("'"&amp;BF$4&amp;"'!Year.NetBalance"), MATCH('Intermediate output'!$C81, INDIRECT("'"&amp;BF$4&amp;"'!Year.Vectors"), 0))</f>
        <v>28.011556298716883</v>
      </c>
      <c r="BG81" s="3151">
        <f ca="1">INDEX(INDIRECT("'"&amp;BG$4&amp;"'!Year.NetBalance"), MATCH('Intermediate output'!$C81, INDIRECT("'"&amp;BG$4&amp;"'!Year.Vectors"), 0))</f>
        <v>28.534423087242345</v>
      </c>
      <c r="BH81" s="3152"/>
      <c r="BJ81" s="3148"/>
      <c r="BK81" s="832"/>
      <c r="BL81" s="832"/>
      <c r="BM81" s="832"/>
      <c r="BN81" s="3149"/>
      <c r="BO81" s="3149"/>
      <c r="BP81" s="3150"/>
      <c r="BQ81" s="3150"/>
      <c r="BR81" s="3150"/>
      <c r="BS81" s="3150"/>
      <c r="BT81" s="3150"/>
      <c r="BU81" s="3150"/>
    </row>
    <row r="82" spans="1:73" s="6" customFormat="1" ht="18.75">
      <c r="B82" s="3153"/>
      <c r="C82" s="786"/>
      <c r="D82" s="3154" t="s">
        <v>2533</v>
      </c>
      <c r="E82" s="832"/>
      <c r="F82" s="3155"/>
      <c r="G82" s="3156"/>
      <c r="H82" s="3157"/>
      <c r="I82" s="3157"/>
      <c r="J82" s="3157"/>
      <c r="K82" s="3157"/>
      <c r="L82" s="3157"/>
      <c r="M82" s="3157"/>
      <c r="N82" s="3157"/>
      <c r="O82" s="3157"/>
      <c r="P82" s="3157"/>
      <c r="Q82" s="3157"/>
      <c r="R82" s="3157"/>
      <c r="S82" s="3157"/>
      <c r="T82" s="3157"/>
      <c r="U82" s="3157"/>
      <c r="V82" s="3157"/>
      <c r="W82" s="3157"/>
      <c r="X82" s="3157"/>
      <c r="Y82" s="3157"/>
      <c r="Z82" s="3157"/>
      <c r="AA82" s="3157"/>
      <c r="AB82" s="3157"/>
      <c r="AC82" s="3157"/>
      <c r="AD82" s="3157"/>
      <c r="AE82" s="3157"/>
      <c r="AF82" s="3157"/>
      <c r="AG82" s="3157"/>
      <c r="AH82" s="3157"/>
      <c r="AI82" s="3157"/>
      <c r="AJ82" s="3157"/>
      <c r="AK82" s="3157"/>
      <c r="AL82" s="3157"/>
      <c r="AM82" s="3157"/>
      <c r="AN82" s="3157"/>
      <c r="AO82" s="3157"/>
      <c r="AP82" s="3157"/>
      <c r="AQ82" s="3157"/>
      <c r="AR82" s="3157"/>
      <c r="AS82" s="3157"/>
      <c r="AT82" s="3157"/>
      <c r="AU82" s="3157"/>
      <c r="AV82" s="3157"/>
      <c r="AW82" s="3157"/>
      <c r="AX82" s="832"/>
      <c r="AY82" s="3155">
        <f t="shared" ref="AY82:BG82" ca="1" si="15">SUM(AY80:AY81)</f>
        <v>0</v>
      </c>
      <c r="AZ82" s="3155">
        <f t="shared" ca="1" si="15"/>
        <v>0</v>
      </c>
      <c r="BA82" s="3155">
        <f t="shared" ca="1" si="15"/>
        <v>0</v>
      </c>
      <c r="BB82" s="3155">
        <f t="shared" ca="1" si="15"/>
        <v>0</v>
      </c>
      <c r="BC82" s="3155">
        <f t="shared" ca="1" si="15"/>
        <v>0</v>
      </c>
      <c r="BD82" s="3155">
        <f t="shared" ca="1" si="15"/>
        <v>0</v>
      </c>
      <c r="BE82" s="3155">
        <f t="shared" ca="1" si="15"/>
        <v>0</v>
      </c>
      <c r="BF82" s="3155">
        <f t="shared" ca="1" si="15"/>
        <v>0</v>
      </c>
      <c r="BG82" s="3155">
        <f t="shared" ca="1" si="15"/>
        <v>0</v>
      </c>
      <c r="BH82" s="3158"/>
      <c r="BJ82" s="3153"/>
      <c r="BK82" s="786"/>
      <c r="BL82" s="821"/>
      <c r="BM82" s="832"/>
      <c r="BN82" s="3156"/>
      <c r="BO82" s="3156"/>
      <c r="BP82" s="3157"/>
      <c r="BQ82" s="3157"/>
      <c r="BR82" s="3157"/>
      <c r="BS82" s="3157"/>
      <c r="BT82" s="3157"/>
      <c r="BU82" s="3157"/>
    </row>
    <row r="83" spans="1:73">
      <c r="B83" s="3148"/>
      <c r="C83" s="832"/>
      <c r="D83" s="832"/>
      <c r="E83" s="832"/>
      <c r="F83" s="832"/>
      <c r="G83" s="832"/>
      <c r="H83" s="3159"/>
      <c r="I83" s="3159"/>
      <c r="J83" s="3159"/>
      <c r="K83" s="3159"/>
      <c r="L83" s="3159"/>
      <c r="M83" s="3159"/>
      <c r="N83" s="3159"/>
      <c r="O83" s="3159"/>
      <c r="P83" s="3159"/>
      <c r="Q83" s="3159"/>
      <c r="R83" s="3159"/>
      <c r="S83" s="3159"/>
      <c r="T83" s="3159"/>
      <c r="U83" s="3159"/>
      <c r="V83" s="3159"/>
      <c r="W83" s="3159"/>
      <c r="X83" s="3159"/>
      <c r="Y83" s="3159"/>
      <c r="Z83" s="3159"/>
      <c r="AA83" s="3159"/>
      <c r="AB83" s="3159"/>
      <c r="AC83" s="3159"/>
      <c r="AD83" s="3159"/>
      <c r="AE83" s="3159"/>
      <c r="AF83" s="3159"/>
      <c r="AG83" s="3159"/>
      <c r="AH83" s="3159"/>
      <c r="AI83" s="3159"/>
      <c r="AJ83" s="3159"/>
      <c r="AK83" s="3159"/>
      <c r="AL83" s="3159"/>
      <c r="AM83" s="3159"/>
      <c r="AN83" s="3159"/>
      <c r="AO83" s="3159"/>
      <c r="AP83" s="3159"/>
      <c r="AQ83" s="3159"/>
      <c r="AR83" s="3159"/>
      <c r="AS83" s="3159"/>
      <c r="AT83" s="3159"/>
      <c r="AU83" s="3159"/>
      <c r="AV83" s="3159"/>
      <c r="AW83" s="3159"/>
      <c r="AX83" s="832"/>
      <c r="AY83" s="3151"/>
      <c r="AZ83" s="3151"/>
      <c r="BA83" s="3151"/>
      <c r="BB83" s="3151"/>
      <c r="BC83" s="3151"/>
      <c r="BD83" s="3151"/>
      <c r="BE83" s="3151"/>
      <c r="BF83" s="3151"/>
      <c r="BG83" s="3151"/>
      <c r="BH83" s="3152"/>
      <c r="BJ83" s="3148"/>
      <c r="BK83" s="832"/>
      <c r="BL83" s="832"/>
      <c r="BM83" s="832"/>
      <c r="BN83" s="832"/>
      <c r="BO83" s="832"/>
      <c r="BP83" s="3159"/>
      <c r="BQ83" s="3159"/>
      <c r="BR83" s="3159"/>
      <c r="BS83" s="3159"/>
      <c r="BT83" s="3159"/>
      <c r="BU83" s="3159"/>
    </row>
    <row r="84" spans="1:73" s="414" customFormat="1" ht="12.75">
      <c r="B84" s="3160"/>
      <c r="C84" s="828" t="s">
        <v>97</v>
      </c>
      <c r="D84" s="828" t="s">
        <v>1786</v>
      </c>
      <c r="E84" s="828"/>
      <c r="F84" s="828"/>
      <c r="G84" s="828"/>
      <c r="H84" s="3161"/>
      <c r="I84" s="3161"/>
      <c r="J84" s="3161"/>
      <c r="K84" s="3161"/>
      <c r="L84" s="3161"/>
      <c r="M84" s="3161"/>
      <c r="N84" s="3161"/>
      <c r="O84" s="3161"/>
      <c r="P84" s="3161"/>
      <c r="Q84" s="3161"/>
      <c r="R84" s="3161"/>
      <c r="S84" s="3161"/>
      <c r="T84" s="3161"/>
      <c r="U84" s="3161"/>
      <c r="V84" s="3161"/>
      <c r="W84" s="3161"/>
      <c r="X84" s="3161"/>
      <c r="Y84" s="3161"/>
      <c r="Z84" s="3161"/>
      <c r="AA84" s="3161"/>
      <c r="AB84" s="3161"/>
      <c r="AC84" s="3161"/>
      <c r="AD84" s="3161"/>
      <c r="AE84" s="3161"/>
      <c r="AF84" s="3161"/>
      <c r="AG84" s="3161"/>
      <c r="AH84" s="3161"/>
      <c r="AI84" s="3161"/>
      <c r="AJ84" s="3161"/>
      <c r="AK84" s="3161"/>
      <c r="AL84" s="3161"/>
      <c r="AM84" s="3161"/>
      <c r="AN84" s="3161"/>
      <c r="AO84" s="3161"/>
      <c r="AP84" s="3161"/>
      <c r="AQ84" s="3161"/>
      <c r="AR84" s="3161"/>
      <c r="AS84" s="3161"/>
      <c r="AT84" s="3161"/>
      <c r="AU84" s="3161"/>
      <c r="AV84" s="3161"/>
      <c r="AW84" s="3161"/>
      <c r="AX84" s="828"/>
      <c r="AY84" s="3162">
        <f ca="1">INDEX(INDIRECT("'"&amp;AY$4&amp;"'!Year.Matrix"), MATCH("VII.b", INDIRECT("'"&amp;AY$4&amp;"'!Year.Modules"), 0), MATCH('Intermediate output'!$C84, INDIRECT("'"&amp;AY$4&amp;"'!Year.Vectors"), 0))</f>
        <v>-3.3526223075933927</v>
      </c>
      <c r="AZ84" s="3162">
        <f ca="1">INDEX(INDIRECT("'"&amp;AZ$4&amp;"'!Year.Matrix"), MATCH("VII.b", INDIRECT("'"&amp;AZ$4&amp;"'!Year.Modules"), 0), MATCH('Intermediate output'!$C84, INDIRECT("'"&amp;AZ$4&amp;"'!Year.Vectors"), 0))</f>
        <v>-3.476619786370545</v>
      </c>
      <c r="BA84" s="3162">
        <f ca="1">INDEX(INDIRECT("'"&amp;BA$4&amp;"'!Year.Matrix"), MATCH("VII.b", INDIRECT("'"&amp;BA$4&amp;"'!Year.Modules"), 0), MATCH('Intermediate output'!$C84, INDIRECT("'"&amp;BA$4&amp;"'!Year.Vectors"), 0))</f>
        <v>-3.547407349678668</v>
      </c>
      <c r="BB84" s="3162">
        <f ca="1">INDEX(INDIRECT("'"&amp;BB$4&amp;"'!Year.Matrix"), MATCH("VII.b", INDIRECT("'"&amp;BB$4&amp;"'!Year.Modules"), 0), MATCH('Intermediate output'!$C84, INDIRECT("'"&amp;BB$4&amp;"'!Year.Vectors"), 0))</f>
        <v>-3.6200986968999835</v>
      </c>
      <c r="BC84" s="3162">
        <f ca="1">INDEX(INDIRECT("'"&amp;BC$4&amp;"'!Year.Matrix"), MATCH("VII.b", INDIRECT("'"&amp;BC$4&amp;"'!Year.Modules"), 0), MATCH('Intermediate output'!$C84, INDIRECT("'"&amp;BC$4&amp;"'!Year.Vectors"), 0))</f>
        <v>-3.7064839079283836</v>
      </c>
      <c r="BD84" s="3162">
        <f ca="1">INDEX(INDIRECT("'"&amp;BD$4&amp;"'!Year.Matrix"), MATCH("VII.b", INDIRECT("'"&amp;BD$4&amp;"'!Year.Modules"), 0), MATCH('Intermediate output'!$C84, INDIRECT("'"&amp;BD$4&amp;"'!Year.Vectors"), 0))</f>
        <v>-3.7969992656981866</v>
      </c>
      <c r="BE84" s="3162">
        <f ca="1">INDEX(INDIRECT("'"&amp;BE$4&amp;"'!Year.Matrix"), MATCH("VII.b", INDIRECT("'"&amp;BE$4&amp;"'!Year.Modules"), 0), MATCH('Intermediate output'!$C84, INDIRECT("'"&amp;BE$4&amp;"'!Year.Vectors"), 0))</f>
        <v>-3.8873165957953972</v>
      </c>
      <c r="BF84" s="3162">
        <f ca="1">INDEX(INDIRECT("'"&amp;BF$4&amp;"'!Year.Matrix"), MATCH("VII.b", INDIRECT("'"&amp;BF$4&amp;"'!Year.Modules"), 0), MATCH('Intermediate output'!$C84, INDIRECT("'"&amp;BF$4&amp;"'!Year.Vectors"), 0))</f>
        <v>-3.9686384305346216</v>
      </c>
      <c r="BG84" s="3162">
        <f ca="1">INDEX(INDIRECT("'"&amp;BG$4&amp;"'!Year.Matrix"), MATCH("VII.b", INDIRECT("'"&amp;BG$4&amp;"'!Year.Modules"), 0), MATCH('Intermediate output'!$C84, INDIRECT("'"&amp;BG$4&amp;"'!Year.Vectors"), 0))</f>
        <v>-4.033311791818825</v>
      </c>
      <c r="BH84" s="3163"/>
      <c r="BJ84" s="3160"/>
      <c r="BK84" s="828"/>
      <c r="BL84" s="828"/>
      <c r="BM84" s="828"/>
      <c r="BN84" s="828"/>
      <c r="BO84" s="828"/>
      <c r="BP84" s="3161"/>
      <c r="BQ84" s="3161"/>
      <c r="BR84" s="3161"/>
      <c r="BS84" s="3161"/>
      <c r="BT84" s="3161"/>
      <c r="BU84" s="3161"/>
    </row>
    <row r="85" spans="1:73" s="833" customFormat="1" ht="12.75">
      <c r="B85" s="3164"/>
      <c r="C85" s="839"/>
      <c r="D85" s="839" t="s">
        <v>2534</v>
      </c>
      <c r="E85" s="828"/>
      <c r="F85" s="3165"/>
      <c r="G85" s="3165"/>
      <c r="H85" s="3166"/>
      <c r="I85" s="3166"/>
      <c r="J85" s="3166"/>
      <c r="K85" s="3166"/>
      <c r="L85" s="3166"/>
      <c r="M85" s="3166"/>
      <c r="N85" s="3166"/>
      <c r="O85" s="3166"/>
      <c r="P85" s="3166"/>
      <c r="Q85" s="3166"/>
      <c r="R85" s="3166"/>
      <c r="S85" s="3166"/>
      <c r="T85" s="3166"/>
      <c r="U85" s="3166"/>
      <c r="V85" s="3166"/>
      <c r="W85" s="3166"/>
      <c r="X85" s="3166"/>
      <c r="Y85" s="3166"/>
      <c r="Z85" s="3166"/>
      <c r="AA85" s="3166"/>
      <c r="AB85" s="3166"/>
      <c r="AC85" s="3166"/>
      <c r="AD85" s="3166"/>
      <c r="AE85" s="3166"/>
      <c r="AF85" s="3166"/>
      <c r="AG85" s="3166"/>
      <c r="AH85" s="3166"/>
      <c r="AI85" s="3166"/>
      <c r="AJ85" s="3166"/>
      <c r="AK85" s="3166"/>
      <c r="AL85" s="3166"/>
      <c r="AM85" s="3166"/>
      <c r="AN85" s="3166"/>
      <c r="AO85" s="3166"/>
      <c r="AP85" s="3166"/>
      <c r="AQ85" s="3166"/>
      <c r="AR85" s="3166"/>
      <c r="AS85" s="3166"/>
      <c r="AT85" s="3166"/>
      <c r="AU85" s="3166"/>
      <c r="AV85" s="3166"/>
      <c r="AW85" s="3166"/>
      <c r="AX85" s="828"/>
      <c r="AY85" s="3165">
        <f t="shared" ref="AY85:BG85" ca="1" si="16">-AY80-AY84</f>
        <v>26.825473926275269</v>
      </c>
      <c r="AZ85" s="3165">
        <f t="shared" ca="1" si="16"/>
        <v>27.835674777844829</v>
      </c>
      <c r="BA85" s="3165">
        <f t="shared" ca="1" si="16"/>
        <v>28.420767470372727</v>
      </c>
      <c r="BB85" s="3165">
        <f t="shared" ca="1" si="16"/>
        <v>29.025329644914773</v>
      </c>
      <c r="BC85" s="3165">
        <f t="shared" ca="1" si="16"/>
        <v>29.753784830370691</v>
      </c>
      <c r="BD85" s="3165">
        <f t="shared" ca="1" si="16"/>
        <v>30.508820764039129</v>
      </c>
      <c r="BE85" s="3165">
        <f t="shared" ca="1" si="16"/>
        <v>31.264965235907304</v>
      </c>
      <c r="BF85" s="3165">
        <f t="shared" ca="1" si="16"/>
        <v>31.980194729251497</v>
      </c>
      <c r="BG85" s="3165">
        <f t="shared" ca="1" si="16"/>
        <v>32.567734879061163</v>
      </c>
      <c r="BH85" s="3167"/>
      <c r="BJ85" s="3164"/>
      <c r="BK85" s="839"/>
      <c r="BL85" s="839"/>
      <c r="BM85" s="828"/>
      <c r="BN85" s="3165"/>
      <c r="BO85" s="3165"/>
      <c r="BP85" s="3166"/>
      <c r="BQ85" s="3166"/>
      <c r="BR85" s="3166"/>
      <c r="BS85" s="3166"/>
      <c r="BT85" s="3166"/>
      <c r="BU85" s="3166"/>
    </row>
    <row r="86" spans="1:73" s="833" customFormat="1" ht="12.75">
      <c r="B86" s="3164"/>
      <c r="C86" s="839"/>
      <c r="D86" s="839" t="s">
        <v>2535</v>
      </c>
      <c r="E86" s="828"/>
      <c r="F86" s="3165"/>
      <c r="G86" s="3165"/>
      <c r="H86" s="3166"/>
      <c r="I86" s="3166"/>
      <c r="J86" s="3166"/>
      <c r="K86" s="3166"/>
      <c r="L86" s="3166"/>
      <c r="M86" s="3166"/>
      <c r="N86" s="3166"/>
      <c r="O86" s="3166"/>
      <c r="P86" s="3166"/>
      <c r="Q86" s="3166"/>
      <c r="R86" s="3166"/>
      <c r="S86" s="3166"/>
      <c r="T86" s="3166"/>
      <c r="U86" s="3166"/>
      <c r="V86" s="3166"/>
      <c r="W86" s="3166"/>
      <c r="X86" s="3166"/>
      <c r="Y86" s="3166"/>
      <c r="Z86" s="3166"/>
      <c r="AA86" s="3166"/>
      <c r="AB86" s="3166"/>
      <c r="AC86" s="3166"/>
      <c r="AD86" s="3166"/>
      <c r="AE86" s="3166"/>
      <c r="AF86" s="3166"/>
      <c r="AG86" s="3166"/>
      <c r="AH86" s="3166"/>
      <c r="AI86" s="3166"/>
      <c r="AJ86" s="3166"/>
      <c r="AK86" s="3166"/>
      <c r="AL86" s="3166"/>
      <c r="AM86" s="3166"/>
      <c r="AN86" s="3166"/>
      <c r="AO86" s="3166"/>
      <c r="AP86" s="3166"/>
      <c r="AQ86" s="3166"/>
      <c r="AR86" s="3166"/>
      <c r="AS86" s="3166"/>
      <c r="AT86" s="3166"/>
      <c r="AU86" s="3166"/>
      <c r="AV86" s="3166"/>
      <c r="AW86" s="3166"/>
      <c r="AX86" s="828"/>
      <c r="AY86" s="3165">
        <f t="shared" ref="AY86:BG86" ca="1" si="17">AY111</f>
        <v>26.829265069093044</v>
      </c>
      <c r="AZ86" s="3165">
        <f t="shared" ca="1" si="17"/>
        <v>27.839465920662601</v>
      </c>
      <c r="BA86" s="3165">
        <f t="shared" ca="1" si="17"/>
        <v>28.214174613190501</v>
      </c>
      <c r="BB86" s="3165">
        <f t="shared" ca="1" si="17"/>
        <v>28.818736787732544</v>
      </c>
      <c r="BC86" s="3165">
        <f t="shared" ca="1" si="17"/>
        <v>44.099856402857135</v>
      </c>
      <c r="BD86" s="3165">
        <f t="shared" ca="1" si="17"/>
        <v>64.82569912428572</v>
      </c>
      <c r="BE86" s="3165">
        <f t="shared" ca="1" si="17"/>
        <v>82.384107074285708</v>
      </c>
      <c r="BF86" s="3165">
        <f t="shared" ca="1" si="17"/>
        <v>101.38019365285714</v>
      </c>
      <c r="BG86" s="3165">
        <f t="shared" ca="1" si="17"/>
        <v>119.72549206000001</v>
      </c>
      <c r="BH86" s="3167"/>
      <c r="BJ86" s="3164"/>
      <c r="BK86" s="839"/>
      <c r="BL86" s="839"/>
      <c r="BM86" s="828"/>
      <c r="BN86" s="3165"/>
      <c r="BO86" s="3165"/>
      <c r="BP86" s="3166"/>
      <c r="BQ86" s="3166"/>
      <c r="BR86" s="3166"/>
      <c r="BS86" s="3166"/>
      <c r="BT86" s="3166"/>
      <c r="BU86" s="3166"/>
    </row>
    <row r="87" spans="1:73">
      <c r="B87" s="3168"/>
      <c r="C87" s="832"/>
      <c r="D87" s="832"/>
      <c r="E87" s="832"/>
      <c r="F87" s="832"/>
      <c r="G87" s="832"/>
      <c r="H87" s="3159"/>
      <c r="I87" s="3159"/>
      <c r="J87" s="3159"/>
      <c r="K87" s="3159"/>
      <c r="L87" s="3159"/>
      <c r="M87" s="3159"/>
      <c r="N87" s="3159"/>
      <c r="O87" s="3159"/>
      <c r="P87" s="3159"/>
      <c r="Q87" s="3159"/>
      <c r="R87" s="3159"/>
      <c r="S87" s="3159"/>
      <c r="T87" s="3159"/>
      <c r="U87" s="3159"/>
      <c r="V87" s="3159"/>
      <c r="W87" s="3159"/>
      <c r="X87" s="3159"/>
      <c r="Y87" s="3159"/>
      <c r="Z87" s="3159"/>
      <c r="AA87" s="3159"/>
      <c r="AB87" s="3159"/>
      <c r="AC87" s="3159"/>
      <c r="AD87" s="3159"/>
      <c r="AE87" s="3159"/>
      <c r="AF87" s="3159"/>
      <c r="AG87" s="3159"/>
      <c r="AH87" s="3159"/>
      <c r="AI87" s="3159"/>
      <c r="AJ87" s="3159"/>
      <c r="AK87" s="3159"/>
      <c r="AL87" s="3159"/>
      <c r="AM87" s="3159"/>
      <c r="AN87" s="3159"/>
      <c r="AO87" s="3159"/>
      <c r="AP87" s="3159"/>
      <c r="AQ87" s="3159"/>
      <c r="AR87" s="3159"/>
      <c r="AS87" s="3159"/>
      <c r="AT87" s="3159"/>
      <c r="AU87" s="3159"/>
      <c r="AV87" s="3159"/>
      <c r="AW87" s="3159"/>
      <c r="AX87" s="832"/>
      <c r="AY87" s="832"/>
      <c r="AZ87" s="832"/>
      <c r="BA87" s="832"/>
      <c r="BB87" s="832"/>
      <c r="BC87" s="832"/>
      <c r="BD87" s="832"/>
      <c r="BE87" s="832"/>
      <c r="BF87" s="832"/>
      <c r="BG87" s="832"/>
      <c r="BH87" s="3169"/>
      <c r="BJ87" s="3168"/>
      <c r="BK87" s="832"/>
      <c r="BL87" s="832"/>
      <c r="BM87" s="832"/>
      <c r="BN87" s="832"/>
      <c r="BO87" s="832"/>
      <c r="BP87" s="3159"/>
      <c r="BQ87" s="3159"/>
      <c r="BR87" s="3159"/>
      <c r="BS87" s="3159"/>
      <c r="BT87" s="3159"/>
      <c r="BU87" s="3159"/>
    </row>
    <row r="88" spans="1:73">
      <c r="B88" s="1186"/>
      <c r="C88" s="1077"/>
      <c r="D88" s="1077"/>
      <c r="E88" s="1077"/>
      <c r="F88" s="1077"/>
      <c r="G88" s="1077"/>
      <c r="H88" s="3170"/>
      <c r="I88" s="3170"/>
      <c r="J88" s="3170"/>
      <c r="K88" s="3170"/>
      <c r="L88" s="3170"/>
      <c r="M88" s="3170"/>
      <c r="N88" s="3170"/>
      <c r="O88" s="3170"/>
      <c r="P88" s="3170"/>
      <c r="Q88" s="3170"/>
      <c r="R88" s="3170"/>
      <c r="S88" s="3170"/>
      <c r="T88" s="3170"/>
      <c r="U88" s="3170"/>
      <c r="V88" s="3170"/>
      <c r="W88" s="3170"/>
      <c r="X88" s="3170"/>
      <c r="Y88" s="3170"/>
      <c r="Z88" s="3170"/>
      <c r="AA88" s="3170"/>
      <c r="AB88" s="3170"/>
      <c r="AC88" s="3170"/>
      <c r="AD88" s="3170"/>
      <c r="AE88" s="3170"/>
      <c r="AF88" s="3170"/>
      <c r="AG88" s="3170"/>
      <c r="AH88" s="3170"/>
      <c r="AI88" s="3170"/>
      <c r="AJ88" s="3170"/>
      <c r="AK88" s="3170"/>
      <c r="AL88" s="3170"/>
      <c r="AM88" s="3170"/>
      <c r="AN88" s="3170"/>
      <c r="AO88" s="3170"/>
      <c r="AP88" s="3170"/>
      <c r="AQ88" s="3170"/>
      <c r="AR88" s="3170"/>
      <c r="AS88" s="3170"/>
      <c r="AT88" s="3170"/>
      <c r="AU88" s="3170"/>
      <c r="AV88" s="3170"/>
      <c r="AW88" s="3170"/>
      <c r="AX88" s="1077"/>
      <c r="AY88" s="1077"/>
      <c r="AZ88" s="1077"/>
      <c r="BA88" s="1077"/>
      <c r="BB88" s="1077"/>
      <c r="BC88" s="1077"/>
      <c r="BD88" s="1077"/>
      <c r="BE88" s="1077"/>
      <c r="BF88" s="1077"/>
      <c r="BG88" s="1077"/>
      <c r="BH88" s="2497"/>
      <c r="BJ88" s="1186"/>
      <c r="BK88" s="1077"/>
      <c r="BL88" s="1077"/>
      <c r="BM88" s="1077"/>
      <c r="BN88" s="1077"/>
      <c r="BO88" s="1077"/>
      <c r="BP88" s="3170"/>
      <c r="BQ88" s="3170"/>
      <c r="BR88" s="3170"/>
      <c r="BS88" s="3170"/>
      <c r="BT88" s="3170"/>
      <c r="BU88" s="3170"/>
    </row>
    <row r="89" spans="1:73">
      <c r="B89" s="1186"/>
      <c r="C89" s="1077" t="s">
        <v>455</v>
      </c>
      <c r="D89" s="1077" t="s">
        <v>406</v>
      </c>
      <c r="E89" s="1077"/>
      <c r="F89" s="3171">
        <v>0</v>
      </c>
      <c r="G89" s="3171"/>
      <c r="H89" s="3172"/>
      <c r="I89" s="3172"/>
      <c r="J89" s="3172"/>
      <c r="K89" s="3172"/>
      <c r="L89" s="3172"/>
      <c r="M89" s="3172"/>
      <c r="N89" s="3172"/>
      <c r="O89" s="3172"/>
      <c r="P89" s="3172"/>
      <c r="Q89" s="3172"/>
      <c r="R89" s="3172"/>
      <c r="S89" s="3172"/>
      <c r="T89" s="3172"/>
      <c r="U89" s="3172"/>
      <c r="V89" s="3172"/>
      <c r="W89" s="3172"/>
      <c r="X89" s="3172"/>
      <c r="Y89" s="3172"/>
      <c r="Z89" s="3172"/>
      <c r="AA89" s="3172"/>
      <c r="AB89" s="3172"/>
      <c r="AC89" s="3172"/>
      <c r="AD89" s="3172"/>
      <c r="AE89" s="3172"/>
      <c r="AF89" s="3172"/>
      <c r="AG89" s="3172"/>
      <c r="AH89" s="3172"/>
      <c r="AI89" s="3172"/>
      <c r="AJ89" s="3172"/>
      <c r="AK89" s="3172"/>
      <c r="AL89" s="3172"/>
      <c r="AM89" s="3172"/>
      <c r="AN89" s="3172"/>
      <c r="AO89" s="3172"/>
      <c r="AP89" s="3172"/>
      <c r="AQ89" s="3172"/>
      <c r="AR89" s="3172"/>
      <c r="AS89" s="3172"/>
      <c r="AT89" s="3172"/>
      <c r="AU89" s="3172"/>
      <c r="AV89" s="3172"/>
      <c r="AW89" s="3172"/>
      <c r="AX89" s="1077"/>
      <c r="AY89" s="3171">
        <f ca="1">INDEX(INDIRECT("'"&amp;AY$4&amp;"'!Year.NetBalance"), MATCH('Intermediate output'!$C89, INDIRECT("'"&amp;AY$4&amp;"'!Year.Vectors"), 0))</f>
        <v>9.8843865835362976E-5</v>
      </c>
      <c r="AZ89" s="3171">
        <f ca="1">INDEX(INDIRECT("'"&amp;AZ$4&amp;"'!Year.NetBalance"), MATCH('Intermediate output'!$C89, INDIRECT("'"&amp;AZ$4&amp;"'!Year.Vectors"), 0))</f>
        <v>0</v>
      </c>
      <c r="BA89" s="3171">
        <f ca="1">INDEX(INDIRECT("'"&amp;BA$4&amp;"'!Year.NetBalance"), MATCH('Intermediate output'!$C89, INDIRECT("'"&amp;BA$4&amp;"'!Year.Vectors"), 0))</f>
        <v>0</v>
      </c>
      <c r="BB89" s="3171">
        <f ca="1">INDEX(INDIRECT("'"&amp;BB$4&amp;"'!Year.NetBalance"), MATCH('Intermediate output'!$C89, INDIRECT("'"&amp;BB$4&amp;"'!Year.Vectors"), 0))</f>
        <v>0</v>
      </c>
      <c r="BC89" s="3171">
        <f ca="1">INDEX(INDIRECT("'"&amp;BC$4&amp;"'!Year.NetBalance"), MATCH('Intermediate output'!$C89, INDIRECT("'"&amp;BC$4&amp;"'!Year.Vectors"), 0))</f>
        <v>8.5334546184867577E-7</v>
      </c>
      <c r="BD89" s="3171">
        <f ca="1">INDEX(INDIRECT("'"&amp;BD$4&amp;"'!Year.NetBalance"), MATCH('Intermediate output'!$C89, INDIRECT("'"&amp;BD$4&amp;"'!Year.Vectors"), 0))</f>
        <v>1.4355027104784313E-6</v>
      </c>
      <c r="BE89" s="3171">
        <f ca="1">INDEX(INDIRECT("'"&amp;BE$4&amp;"'!Year.NetBalance"), MATCH('Intermediate output'!$C89, INDIRECT("'"&amp;BE$4&amp;"'!Year.Vectors"), 0))</f>
        <v>0</v>
      </c>
      <c r="BF89" s="3171">
        <f ca="1">INDEX(INDIRECT("'"&amp;BF$4&amp;"'!Year.NetBalance"), MATCH('Intermediate output'!$C89, INDIRECT("'"&amp;BF$4&amp;"'!Year.Vectors"), 0))</f>
        <v>0</v>
      </c>
      <c r="BG89" s="3171">
        <f ca="1">INDEX(INDIRECT("'"&amp;BG$4&amp;"'!Year.NetBalance"), MATCH('Intermediate output'!$C89, INDIRECT("'"&amp;BG$4&amp;"'!Year.Vectors"), 0))</f>
        <v>0</v>
      </c>
      <c r="BH89" s="3173"/>
      <c r="BJ89" s="1186"/>
      <c r="BK89" s="1077"/>
      <c r="BL89" s="1077"/>
      <c r="BM89" s="1077"/>
      <c r="BN89" s="3171"/>
      <c r="BO89" s="3171"/>
      <c r="BP89" s="3172"/>
      <c r="BQ89" s="3172"/>
      <c r="BR89" s="3172"/>
      <c r="BS89" s="3172"/>
      <c r="BT89" s="3172"/>
      <c r="BU89" s="3172"/>
    </row>
    <row r="90" spans="1:73">
      <c r="B90" s="1186"/>
      <c r="C90" s="1077"/>
      <c r="D90" s="1077"/>
      <c r="E90" s="1077"/>
      <c r="F90" s="3174"/>
      <c r="G90" s="3174"/>
      <c r="H90" s="3175"/>
      <c r="I90" s="3175"/>
      <c r="J90" s="3175"/>
      <c r="K90" s="3175"/>
      <c r="L90" s="3175"/>
      <c r="M90" s="3175"/>
      <c r="N90" s="3175"/>
      <c r="O90" s="3175"/>
      <c r="P90" s="3175"/>
      <c r="Q90" s="3175"/>
      <c r="R90" s="3175"/>
      <c r="S90" s="3175"/>
      <c r="T90" s="3175"/>
      <c r="U90" s="3175"/>
      <c r="V90" s="3175"/>
      <c r="W90" s="3175"/>
      <c r="X90" s="3175"/>
      <c r="Y90" s="3175"/>
      <c r="Z90" s="3175"/>
      <c r="AA90" s="3175"/>
      <c r="AB90" s="3175"/>
      <c r="AC90" s="3175"/>
      <c r="AD90" s="3175"/>
      <c r="AE90" s="3175"/>
      <c r="AF90" s="3175"/>
      <c r="AG90" s="3175"/>
      <c r="AH90" s="3175"/>
      <c r="AI90" s="3175"/>
      <c r="AJ90" s="3175"/>
      <c r="AK90" s="3175"/>
      <c r="AL90" s="3175"/>
      <c r="AM90" s="3175"/>
      <c r="AN90" s="3175"/>
      <c r="AO90" s="3175"/>
      <c r="AP90" s="3175"/>
      <c r="AQ90" s="3175"/>
      <c r="AR90" s="3175"/>
      <c r="AS90" s="3175"/>
      <c r="AT90" s="3175"/>
      <c r="AU90" s="3175"/>
      <c r="AV90" s="3175"/>
      <c r="AW90" s="3175"/>
      <c r="AX90" s="1077"/>
      <c r="AY90" s="3171"/>
      <c r="AZ90" s="3171"/>
      <c r="BA90" s="3171"/>
      <c r="BB90" s="3171"/>
      <c r="BC90" s="3171"/>
      <c r="BD90" s="3171"/>
      <c r="BE90" s="3171"/>
      <c r="BF90" s="3171"/>
      <c r="BG90" s="3171"/>
      <c r="BH90" s="2497"/>
      <c r="BJ90" s="1186"/>
      <c r="BK90" s="1077"/>
      <c r="BL90" s="1077"/>
      <c r="BM90" s="1077"/>
      <c r="BN90" s="3174"/>
      <c r="BO90" s="3174"/>
      <c r="BP90" s="3175"/>
      <c r="BQ90" s="3175"/>
      <c r="BR90" s="3175"/>
      <c r="BS90" s="3175"/>
      <c r="BT90" s="3175"/>
      <c r="BU90" s="3175"/>
    </row>
    <row r="91" spans="1:73" s="6" customFormat="1" ht="18.75">
      <c r="B91" s="3176"/>
      <c r="C91" s="656"/>
      <c r="D91" s="3177" t="s">
        <v>2536</v>
      </c>
      <c r="E91" s="1077"/>
      <c r="F91" s="3178">
        <v>6.2616578588858829E-14</v>
      </c>
      <c r="G91" s="3179"/>
      <c r="H91" s="3180"/>
      <c r="I91" s="3180"/>
      <c r="J91" s="3180"/>
      <c r="K91" s="3180"/>
      <c r="L91" s="3180"/>
      <c r="M91" s="3180"/>
      <c r="N91" s="3180"/>
      <c r="O91" s="3180"/>
      <c r="P91" s="3180"/>
      <c r="Q91" s="3180"/>
      <c r="R91" s="3180"/>
      <c r="S91" s="3180"/>
      <c r="T91" s="3180"/>
      <c r="U91" s="3180"/>
      <c r="V91" s="3180"/>
      <c r="W91" s="3180"/>
      <c r="X91" s="3180"/>
      <c r="Y91" s="3180"/>
      <c r="Z91" s="3180"/>
      <c r="AA91" s="3180"/>
      <c r="AB91" s="3180"/>
      <c r="AC91" s="3180"/>
      <c r="AD91" s="3180"/>
      <c r="AE91" s="3180"/>
      <c r="AF91" s="3180"/>
      <c r="AG91" s="3180"/>
      <c r="AH91" s="3180"/>
      <c r="AI91" s="3180"/>
      <c r="AJ91" s="3180"/>
      <c r="AK91" s="3180"/>
      <c r="AL91" s="3180"/>
      <c r="AM91" s="3180"/>
      <c r="AN91" s="3180"/>
      <c r="AO91" s="3180"/>
      <c r="AP91" s="3180"/>
      <c r="AQ91" s="3180"/>
      <c r="AR91" s="3180"/>
      <c r="AS91" s="3180"/>
      <c r="AT91" s="3180"/>
      <c r="AU91" s="3180"/>
      <c r="AV91" s="3180"/>
      <c r="AW91" s="3180"/>
      <c r="AX91" s="1077"/>
      <c r="AY91" s="3178">
        <f t="shared" ref="AY91:BF91" ca="1" si="18">AY74+AY82+AY89</f>
        <v>1.9768773166362053E-4</v>
      </c>
      <c r="AZ91" s="3178">
        <f t="shared" ca="1" si="18"/>
        <v>0</v>
      </c>
      <c r="BA91" s="3178">
        <f t="shared" ca="1" si="18"/>
        <v>-1.4210854715202004E-14</v>
      </c>
      <c r="BB91" s="3178">
        <f t="shared" ca="1" si="18"/>
        <v>-1.4210854715202004E-14</v>
      </c>
      <c r="BC91" s="3178">
        <f t="shared" ca="1" si="18"/>
        <v>1.7066909165919242E-6</v>
      </c>
      <c r="BD91" s="3178">
        <f t="shared" ca="1" si="18"/>
        <v>2.8710054351677172E-6</v>
      </c>
      <c r="BE91" s="3178">
        <f t="shared" ca="1" si="18"/>
        <v>0</v>
      </c>
      <c r="BF91" s="3178">
        <f t="shared" ca="1" si="18"/>
        <v>-2.8421709430404007E-14</v>
      </c>
      <c r="BG91" s="3178">
        <f ca="1">BG74+BG82+BG89</f>
        <v>-2.8421709430404007E-14</v>
      </c>
      <c r="BH91"/>
      <c r="BJ91" s="3176"/>
      <c r="BK91" s="656"/>
      <c r="BL91" s="617"/>
      <c r="BM91" s="1077"/>
      <c r="BN91" s="3179"/>
      <c r="BO91" s="3179"/>
      <c r="BP91" s="3180"/>
      <c r="BQ91" s="3180"/>
      <c r="BR91" s="3180"/>
      <c r="BS91" s="3180"/>
      <c r="BT91" s="3180"/>
      <c r="BU91" s="3180"/>
    </row>
    <row r="92" spans="1:73" s="39" customFormat="1">
      <c r="B92" s="1186"/>
      <c r="C92" s="1077"/>
      <c r="D92" s="1077"/>
      <c r="E92" s="1077"/>
      <c r="F92" s="1077"/>
      <c r="G92" s="1077"/>
      <c r="H92" s="3170"/>
      <c r="I92" s="3170"/>
      <c r="J92" s="3170"/>
      <c r="K92" s="3170"/>
      <c r="L92" s="3170"/>
      <c r="M92" s="3170"/>
      <c r="N92" s="3170"/>
      <c r="O92" s="3170"/>
      <c r="P92" s="3170"/>
      <c r="Q92" s="3170"/>
      <c r="R92" s="3170"/>
      <c r="S92" s="3170"/>
      <c r="T92" s="3170"/>
      <c r="U92" s="3170"/>
      <c r="V92" s="3170"/>
      <c r="W92" s="3170"/>
      <c r="X92" s="3170"/>
      <c r="Y92" s="3170"/>
      <c r="Z92" s="3170"/>
      <c r="AA92" s="3170"/>
      <c r="AB92" s="3170"/>
      <c r="AC92" s="3170"/>
      <c r="AD92" s="3170"/>
      <c r="AE92" s="3170"/>
      <c r="AF92" s="3170"/>
      <c r="AG92" s="3170"/>
      <c r="AH92" s="3170"/>
      <c r="AI92" s="3170"/>
      <c r="AJ92" s="3170"/>
      <c r="AK92" s="3170"/>
      <c r="AL92" s="3170"/>
      <c r="AM92" s="3170"/>
      <c r="AN92" s="3170"/>
      <c r="AO92" s="3170"/>
      <c r="AP92" s="3170"/>
      <c r="AQ92" s="3170"/>
      <c r="AR92" s="3170"/>
      <c r="AS92" s="3170"/>
      <c r="AT92" s="3170"/>
      <c r="AU92" s="3170"/>
      <c r="AV92" s="3170"/>
      <c r="AW92" s="3170"/>
      <c r="AX92" s="1077"/>
      <c r="AY92" s="1077"/>
      <c r="AZ92" s="1077"/>
      <c r="BA92" s="1077"/>
      <c r="BB92" s="1077"/>
      <c r="BC92" s="1077"/>
      <c r="BD92" s="1077"/>
      <c r="BE92" s="1077"/>
      <c r="BF92" s="1077"/>
      <c r="BG92" s="1077"/>
      <c r="BH92" s="2497"/>
      <c r="BJ92" s="1186"/>
      <c r="BK92" s="1077"/>
      <c r="BL92" s="1077"/>
      <c r="BM92" s="1077"/>
      <c r="BN92" s="1077"/>
      <c r="BO92" s="1077"/>
      <c r="BP92" s="3170"/>
      <c r="BQ92" s="3170"/>
      <c r="BR92" s="3170"/>
      <c r="BS92" s="3170"/>
      <c r="BT92" s="3170"/>
      <c r="BU92" s="3170"/>
    </row>
    <row r="93" spans="1:73" ht="23.25">
      <c r="A93" s="7"/>
      <c r="B93" s="3138" t="s">
        <v>613</v>
      </c>
      <c r="C93" s="3139"/>
      <c r="D93" s="3139"/>
      <c r="E93" s="3139"/>
      <c r="F93" s="3139"/>
      <c r="G93" s="3139"/>
      <c r="H93" s="3140"/>
      <c r="I93" s="3140"/>
      <c r="J93" s="3140"/>
      <c r="K93" s="3140"/>
      <c r="L93" s="3140"/>
      <c r="M93" s="3140"/>
      <c r="N93" s="3140"/>
      <c r="O93" s="3140"/>
      <c r="P93" s="3140"/>
      <c r="Q93" s="3140"/>
      <c r="R93" s="3140"/>
      <c r="S93" s="3140"/>
      <c r="T93" s="3140"/>
      <c r="U93" s="3140"/>
      <c r="V93" s="3140"/>
      <c r="W93" s="3140"/>
      <c r="X93" s="3140"/>
      <c r="Y93" s="3140"/>
      <c r="Z93" s="3140"/>
      <c r="AA93" s="3140"/>
      <c r="AB93" s="3140"/>
      <c r="AC93" s="3140"/>
      <c r="AD93" s="3140"/>
      <c r="AE93" s="3140"/>
      <c r="AF93" s="3140"/>
      <c r="AG93" s="3140"/>
      <c r="AH93" s="3140"/>
      <c r="AI93" s="3140"/>
      <c r="AJ93" s="3140"/>
      <c r="AK93" s="3140"/>
      <c r="AL93" s="3140"/>
      <c r="AM93" s="3140"/>
      <c r="AN93" s="3140"/>
      <c r="AO93" s="3140"/>
      <c r="AP93" s="3140"/>
      <c r="AQ93" s="3140"/>
      <c r="AR93" s="3140"/>
      <c r="AS93" s="3140"/>
      <c r="AT93" s="3140"/>
      <c r="AU93" s="3140"/>
      <c r="AV93" s="3140"/>
      <c r="AW93" s="3140"/>
      <c r="AX93" s="3139"/>
      <c r="AY93" s="3141"/>
      <c r="AZ93" s="3141"/>
      <c r="BA93" s="3141"/>
      <c r="BB93" s="3141"/>
      <c r="BC93" s="3141"/>
      <c r="BD93" s="3141"/>
      <c r="BE93" s="3141"/>
      <c r="BF93" s="3141"/>
      <c r="BG93" s="3141"/>
      <c r="BH93" s="3142"/>
      <c r="BJ93" s="3138"/>
      <c r="BK93" s="3139"/>
      <c r="BL93" s="3139"/>
      <c r="BM93" s="3139"/>
      <c r="BN93" s="3139"/>
      <c r="BO93" s="3139"/>
      <c r="BP93" s="3140"/>
      <c r="BQ93" s="3140"/>
      <c r="BR93" s="3140"/>
      <c r="BS93" s="3140"/>
      <c r="BT93" s="3140"/>
      <c r="BU93" s="3140"/>
    </row>
    <row r="94" spans="1:73" s="39" customFormat="1" ht="15.75">
      <c r="A94" s="38"/>
      <c r="B94" s="3181"/>
      <c r="C94" s="832"/>
      <c r="D94" s="3144"/>
      <c r="E94" s="3144"/>
      <c r="F94" s="3144"/>
      <c r="G94" s="3144"/>
      <c r="H94" s="3145"/>
      <c r="I94" s="3145"/>
      <c r="J94" s="3145"/>
      <c r="K94" s="3145"/>
      <c r="L94" s="3145"/>
      <c r="M94" s="3145"/>
      <c r="N94" s="3145"/>
      <c r="O94" s="3145"/>
      <c r="P94" s="3145"/>
      <c r="Q94" s="3145"/>
      <c r="R94" s="3145"/>
      <c r="S94" s="3145"/>
      <c r="T94" s="3145"/>
      <c r="U94" s="3145"/>
      <c r="V94" s="3145"/>
      <c r="W94" s="3145"/>
      <c r="X94" s="3145"/>
      <c r="Y94" s="3145"/>
      <c r="Z94" s="3145"/>
      <c r="AA94" s="3145"/>
      <c r="AB94" s="3145"/>
      <c r="AC94" s="3145"/>
      <c r="AD94" s="3145"/>
      <c r="AE94" s="3145"/>
      <c r="AF94" s="3145"/>
      <c r="AG94" s="3145"/>
      <c r="AH94" s="3145"/>
      <c r="AI94" s="3145"/>
      <c r="AJ94" s="3145"/>
      <c r="AK94" s="3145"/>
      <c r="AL94" s="3145"/>
      <c r="AM94" s="3145"/>
      <c r="AN94" s="3145"/>
      <c r="AO94" s="3145"/>
      <c r="AP94" s="3145"/>
      <c r="AQ94" s="3145"/>
      <c r="AR94" s="3145"/>
      <c r="AS94" s="3145"/>
      <c r="AT94" s="3145"/>
      <c r="AU94" s="3145"/>
      <c r="AV94" s="3145"/>
      <c r="AW94" s="3145"/>
      <c r="AX94" s="3144"/>
      <c r="AY94" s="3146"/>
      <c r="AZ94" s="3151"/>
      <c r="BA94" s="3151"/>
      <c r="BB94" s="3151"/>
      <c r="BC94" s="3151"/>
      <c r="BD94" s="3151"/>
      <c r="BE94" s="3151"/>
      <c r="BF94" s="3151"/>
      <c r="BG94" s="3151"/>
      <c r="BH94" s="3152"/>
      <c r="BJ94" s="3181"/>
      <c r="BK94" s="832"/>
      <c r="BL94" s="3144"/>
      <c r="BM94" s="3144"/>
      <c r="BN94" s="3144"/>
      <c r="BO94" s="3144"/>
      <c r="BP94" s="3145"/>
      <c r="BQ94" s="3145"/>
      <c r="BR94" s="3145"/>
      <c r="BS94" s="3145"/>
      <c r="BT94" s="3145"/>
      <c r="BU94" s="3145"/>
    </row>
    <row r="95" spans="1:73">
      <c r="B95" s="3148"/>
      <c r="C95" s="832" t="s">
        <v>97</v>
      </c>
      <c r="D95" s="829" t="s">
        <v>27</v>
      </c>
      <c r="E95" s="832"/>
      <c r="F95" s="829"/>
      <c r="G95" s="832"/>
      <c r="H95" s="3159"/>
      <c r="I95" s="3159"/>
      <c r="J95" s="3159"/>
      <c r="K95" s="3159"/>
      <c r="L95" s="3159"/>
      <c r="M95" s="3159"/>
      <c r="N95" s="3159"/>
      <c r="O95" s="3159"/>
      <c r="P95" s="3159"/>
      <c r="Q95" s="3159"/>
      <c r="R95" s="3159"/>
      <c r="S95" s="3159"/>
      <c r="T95" s="3159"/>
      <c r="U95" s="3159"/>
      <c r="V95" s="3159"/>
      <c r="W95" s="3159"/>
      <c r="X95" s="3159"/>
      <c r="Y95" s="3159"/>
      <c r="Z95" s="3159"/>
      <c r="AA95" s="3159"/>
      <c r="AB95" s="3159"/>
      <c r="AC95" s="3159"/>
      <c r="AD95" s="3159"/>
      <c r="AE95" s="3159"/>
      <c r="AF95" s="3159"/>
      <c r="AG95" s="3159"/>
      <c r="AH95" s="3159"/>
      <c r="AI95" s="3159"/>
      <c r="AJ95" s="3159"/>
      <c r="AK95" s="3159"/>
      <c r="AL95" s="3159"/>
      <c r="AM95" s="3159"/>
      <c r="AN95" s="3159"/>
      <c r="AO95" s="3159"/>
      <c r="AP95" s="3159"/>
      <c r="AQ95" s="3159"/>
      <c r="AR95" s="3159"/>
      <c r="AS95" s="3159"/>
      <c r="AT95" s="3159"/>
      <c r="AU95" s="3159"/>
      <c r="AV95" s="3159"/>
      <c r="AW95" s="3159"/>
      <c r="AX95" s="832"/>
      <c r="AY95" s="3182">
        <v>2013</v>
      </c>
      <c r="AZ95" s="3182">
        <v>2015</v>
      </c>
      <c r="BA95" s="3182">
        <v>2020</v>
      </c>
      <c r="BB95" s="3182">
        <v>2025</v>
      </c>
      <c r="BC95" s="3182">
        <v>2030</v>
      </c>
      <c r="BD95" s="3182">
        <v>2035</v>
      </c>
      <c r="BE95" s="3182">
        <v>2040</v>
      </c>
      <c r="BF95" s="3182">
        <v>2045</v>
      </c>
      <c r="BG95" s="3182">
        <v>2050</v>
      </c>
      <c r="BH95" s="3169"/>
      <c r="BJ95" s="3148"/>
      <c r="BK95" s="832"/>
      <c r="BL95" s="832"/>
      <c r="BM95" s="832"/>
      <c r="BN95" s="832"/>
      <c r="BO95" s="832"/>
      <c r="BP95" s="3159"/>
      <c r="BQ95" s="3159"/>
      <c r="BR95" s="3159"/>
      <c r="BS95" s="3159"/>
      <c r="BT95" s="3159"/>
      <c r="BU95" s="3159"/>
    </row>
    <row r="96" spans="1:73">
      <c r="B96" s="3148"/>
      <c r="C96" s="3183" t="s">
        <v>556</v>
      </c>
      <c r="D96" s="832" t="s">
        <v>3472</v>
      </c>
      <c r="E96" s="3183"/>
      <c r="F96" s="3151">
        <f>'Irl. Energy Balance 2013 (TWh)'!AK15</f>
        <v>21.003910878328096</v>
      </c>
      <c r="G96" s="3151"/>
      <c r="H96" s="3184"/>
      <c r="I96" s="3184"/>
      <c r="J96" s="3184"/>
      <c r="K96" s="3184"/>
      <c r="L96" s="3184"/>
      <c r="M96" s="3184"/>
      <c r="N96" s="3184"/>
      <c r="O96" s="3184"/>
      <c r="P96" s="3184"/>
      <c r="Q96" s="3184"/>
      <c r="R96" s="3184"/>
      <c r="S96" s="3184"/>
      <c r="T96" s="3184"/>
      <c r="U96" s="3184"/>
      <c r="V96" s="3184"/>
      <c r="W96" s="3184"/>
      <c r="X96" s="3184"/>
      <c r="Y96" s="3184"/>
      <c r="Z96" s="3184"/>
      <c r="AA96" s="3184"/>
      <c r="AB96" s="3184"/>
      <c r="AC96" s="3184"/>
      <c r="AD96" s="3184"/>
      <c r="AE96" s="3184"/>
      <c r="AF96" s="3184"/>
      <c r="AG96" s="3184"/>
      <c r="AH96" s="3184"/>
      <c r="AI96" s="3184"/>
      <c r="AJ96" s="3184"/>
      <c r="AK96" s="3184"/>
      <c r="AL96" s="3184"/>
      <c r="AM96" s="3184"/>
      <c r="AN96" s="3184"/>
      <c r="AO96" s="3184"/>
      <c r="AP96" s="3184"/>
      <c r="AQ96" s="3184"/>
      <c r="AR96" s="3184"/>
      <c r="AS96" s="3184"/>
      <c r="AT96" s="3184"/>
      <c r="AU96" s="3184"/>
      <c r="AV96" s="3184"/>
      <c r="AW96" s="3184"/>
      <c r="AX96" s="3183"/>
      <c r="AY96" s="3151">
        <f ca="1">INDEX(INDIRECT("'"&amp;AY$4&amp;"'!Year.Matrix"), MATCH($C96, INDIRECT("'"&amp;AY$4&amp;"'!Year.Modules"), 0), MATCH($C$95, INDIRECT("'"&amp;AY$4&amp;"'!Year.Vectors"), 0))</f>
        <v>19.080008949093042</v>
      </c>
      <c r="AZ96" s="3151">
        <f t="shared" ref="AZ96:BG110" ca="1" si="19">INDEX(INDIRECT("'"&amp;AZ$4&amp;"'!Year.Matrix"), MATCH($C96, INDIRECT("'"&amp;AZ$4&amp;"'!Year.Modules"), 0), MATCH($C$95, INDIRECT("'"&amp;AZ$4&amp;"'!Year.Vectors"), 0))</f>
        <v>18.970335288333835</v>
      </c>
      <c r="BA96" s="3151">
        <f t="shared" ca="1" si="19"/>
        <v>14.050931397476216</v>
      </c>
      <c r="BB96" s="3151">
        <f t="shared" ca="1" si="19"/>
        <v>7.7290717277325456</v>
      </c>
      <c r="BC96" s="3151">
        <f t="shared" ca="1" si="19"/>
        <v>1.2272399999999999</v>
      </c>
      <c r="BD96" s="3151">
        <f t="shared" ca="1" si="19"/>
        <v>7.2231840000000007</v>
      </c>
      <c r="BE96" s="3151">
        <f t="shared" ca="1" si="19"/>
        <v>7.7140800000000009</v>
      </c>
      <c r="BF96" s="3151">
        <f t="shared" ca="1" si="19"/>
        <v>7.7140800000000009</v>
      </c>
      <c r="BG96" s="3151">
        <f t="shared" ca="1" si="19"/>
        <v>7.7140800000000009</v>
      </c>
      <c r="BH96" s="3169"/>
      <c r="BJ96" s="3148"/>
      <c r="BK96" s="3183"/>
      <c r="BL96" s="832"/>
      <c r="BM96" s="3183"/>
      <c r="BN96" s="3151"/>
      <c r="BO96" s="3151"/>
      <c r="BP96" s="3184"/>
      <c r="BQ96" s="3184"/>
      <c r="BR96" s="3184"/>
      <c r="BS96" s="3184"/>
      <c r="BT96" s="3184"/>
      <c r="BU96" s="3184"/>
    </row>
    <row r="97" spans="2:83" s="927" customFormat="1">
      <c r="B97" s="3185"/>
      <c r="C97" s="3186" t="s">
        <v>2</v>
      </c>
      <c r="D97" s="3186" t="s">
        <v>3</v>
      </c>
      <c r="E97" s="3183"/>
      <c r="F97" s="3187"/>
      <c r="G97" s="3187"/>
      <c r="H97" s="3188"/>
      <c r="I97" s="3188"/>
      <c r="J97" s="3188"/>
      <c r="K97" s="3188"/>
      <c r="L97" s="3188"/>
      <c r="M97" s="3188"/>
      <c r="N97" s="3188"/>
      <c r="O97" s="3188"/>
      <c r="P97" s="3188"/>
      <c r="Q97" s="3188"/>
      <c r="R97" s="3188"/>
      <c r="S97" s="3188"/>
      <c r="T97" s="3188"/>
      <c r="U97" s="3188"/>
      <c r="V97" s="3188"/>
      <c r="W97" s="3188"/>
      <c r="X97" s="3188"/>
      <c r="Y97" s="3188"/>
      <c r="Z97" s="3188"/>
      <c r="AA97" s="3188"/>
      <c r="AB97" s="3188"/>
      <c r="AC97" s="3188"/>
      <c r="AD97" s="3188"/>
      <c r="AE97" s="3188"/>
      <c r="AF97" s="3188"/>
      <c r="AG97" s="3188"/>
      <c r="AH97" s="3188"/>
      <c r="AI97" s="3188"/>
      <c r="AJ97" s="3188"/>
      <c r="AK97" s="3188"/>
      <c r="AL97" s="3188"/>
      <c r="AM97" s="3188"/>
      <c r="AN97" s="3188"/>
      <c r="AO97" s="3188"/>
      <c r="AP97" s="3188"/>
      <c r="AQ97" s="3188"/>
      <c r="AR97" s="3188"/>
      <c r="AS97" s="3188"/>
      <c r="AT97" s="3188"/>
      <c r="AU97" s="3188"/>
      <c r="AV97" s="3188"/>
      <c r="AW97" s="3188"/>
      <c r="AX97" s="3183"/>
      <c r="AY97" s="3187">
        <f t="shared" ref="AY97:AY110" ca="1" si="20">INDEX(INDIRECT("'"&amp;AY$4&amp;"'!Year.Matrix"), MATCH($C97, INDIRECT("'"&amp;AY$4&amp;"'!Year.Modules"), 0), MATCH($C$95, INDIRECT("'"&amp;AY$4&amp;"'!Year.Vectors"), 0))</f>
        <v>0</v>
      </c>
      <c r="AZ97" s="3187">
        <f t="shared" ca="1" si="19"/>
        <v>0</v>
      </c>
      <c r="BA97" s="3187">
        <f t="shared" ca="1" si="19"/>
        <v>0</v>
      </c>
      <c r="BB97" s="3187">
        <f t="shared" ca="1" si="19"/>
        <v>0</v>
      </c>
      <c r="BC97" s="3187">
        <f t="shared" ca="1" si="19"/>
        <v>0</v>
      </c>
      <c r="BD97" s="3187">
        <f t="shared" ca="1" si="19"/>
        <v>0</v>
      </c>
      <c r="BE97" s="3187">
        <f t="shared" ca="1" si="19"/>
        <v>0</v>
      </c>
      <c r="BF97" s="3187">
        <f t="shared" ca="1" si="19"/>
        <v>0</v>
      </c>
      <c r="BG97" s="3187">
        <f t="shared" ca="1" si="19"/>
        <v>0</v>
      </c>
      <c r="BH97" s="3189"/>
      <c r="BJ97" s="3185"/>
      <c r="BK97" s="3186"/>
      <c r="BL97" s="3186"/>
      <c r="BM97" s="3183"/>
      <c r="BN97" s="3187"/>
      <c r="BO97" s="3187"/>
      <c r="BP97" s="3188"/>
      <c r="BQ97" s="3188"/>
      <c r="BR97" s="3188"/>
      <c r="BS97" s="3188"/>
      <c r="BT97" s="3188"/>
      <c r="BU97" s="3188"/>
    </row>
    <row r="98" spans="2:83" s="927" customFormat="1">
      <c r="B98" s="3185"/>
      <c r="C98" s="3186" t="s">
        <v>465</v>
      </c>
      <c r="D98" s="3186" t="s">
        <v>466</v>
      </c>
      <c r="E98" s="3183"/>
      <c r="F98" s="3187"/>
      <c r="G98" s="3187"/>
      <c r="H98" s="3188"/>
      <c r="I98" s="3188"/>
      <c r="J98" s="3188"/>
      <c r="K98" s="3188"/>
      <c r="L98" s="3188"/>
      <c r="M98" s="3188"/>
      <c r="N98" s="3188"/>
      <c r="O98" s="3188"/>
      <c r="P98" s="3188"/>
      <c r="Q98" s="3188"/>
      <c r="R98" s="3188"/>
      <c r="S98" s="3188"/>
      <c r="T98" s="3188"/>
      <c r="U98" s="3188"/>
      <c r="V98" s="3188"/>
      <c r="W98" s="3188"/>
      <c r="X98" s="3188"/>
      <c r="Y98" s="3188"/>
      <c r="Z98" s="3188"/>
      <c r="AA98" s="3188"/>
      <c r="AB98" s="3188"/>
      <c r="AC98" s="3188"/>
      <c r="AD98" s="3188"/>
      <c r="AE98" s="3188"/>
      <c r="AF98" s="3188"/>
      <c r="AG98" s="3188"/>
      <c r="AH98" s="3188"/>
      <c r="AI98" s="3188"/>
      <c r="AJ98" s="3188"/>
      <c r="AK98" s="3188"/>
      <c r="AL98" s="3188"/>
      <c r="AM98" s="3188"/>
      <c r="AN98" s="3188"/>
      <c r="AO98" s="3188"/>
      <c r="AP98" s="3188"/>
      <c r="AQ98" s="3188"/>
      <c r="AR98" s="3188"/>
      <c r="AS98" s="3188"/>
      <c r="AT98" s="3188"/>
      <c r="AU98" s="3188"/>
      <c r="AV98" s="3188"/>
      <c r="AW98" s="3188"/>
      <c r="AX98" s="3183"/>
      <c r="AY98" s="3187">
        <f t="shared" ca="1" si="20"/>
        <v>0</v>
      </c>
      <c r="AZ98" s="3187">
        <f t="shared" ca="1" si="19"/>
        <v>0</v>
      </c>
      <c r="BA98" s="3187">
        <f t="shared" ca="1" si="19"/>
        <v>1.3644642857142859</v>
      </c>
      <c r="BB98" s="3187">
        <f t="shared" ca="1" si="19"/>
        <v>2.8642500000000002</v>
      </c>
      <c r="BC98" s="3187">
        <f t="shared" ca="1" si="19"/>
        <v>4.4993571428571428</v>
      </c>
      <c r="BD98" s="3187">
        <f t="shared" ca="1" si="19"/>
        <v>6.2697857142857147</v>
      </c>
      <c r="BE98" s="3187">
        <f t="shared" ca="1" si="19"/>
        <v>8.175535714285715</v>
      </c>
      <c r="BF98" s="3187">
        <f t="shared" ca="1" si="19"/>
        <v>10.216607142857143</v>
      </c>
      <c r="BG98" s="3187">
        <f t="shared" ca="1" si="19"/>
        <v>12.392999999999999</v>
      </c>
      <c r="BH98" s="3189"/>
      <c r="BJ98" s="3185"/>
      <c r="BK98" s="3186"/>
      <c r="BL98" s="3186"/>
      <c r="BM98" s="3183"/>
      <c r="BN98" s="3187"/>
      <c r="BO98" s="3187"/>
      <c r="BP98" s="3188"/>
      <c r="BQ98" s="3188"/>
      <c r="BR98" s="3188"/>
      <c r="BS98" s="3188"/>
      <c r="BT98" s="3188"/>
      <c r="BU98" s="3188"/>
    </row>
    <row r="99" spans="2:83" s="927" customFormat="1">
      <c r="B99" s="3185"/>
      <c r="C99" s="3186"/>
      <c r="D99" s="3186" t="s">
        <v>2537</v>
      </c>
      <c r="E99" s="3183"/>
      <c r="F99" s="3187">
        <f>F96+F97+F98</f>
        <v>21.003910878328096</v>
      </c>
      <c r="G99" s="3187"/>
      <c r="H99" s="3188"/>
      <c r="I99" s="3188"/>
      <c r="J99" s="3188"/>
      <c r="K99" s="3188"/>
      <c r="L99" s="3188"/>
      <c r="M99" s="3188"/>
      <c r="N99" s="3188"/>
      <c r="O99" s="3188"/>
      <c r="P99" s="3188"/>
      <c r="Q99" s="3188"/>
      <c r="R99" s="3188"/>
      <c r="S99" s="3188"/>
      <c r="T99" s="3188"/>
      <c r="U99" s="3188"/>
      <c r="V99" s="3188"/>
      <c r="W99" s="3188"/>
      <c r="X99" s="3188"/>
      <c r="Y99" s="3188"/>
      <c r="Z99" s="3188"/>
      <c r="AA99" s="3188"/>
      <c r="AB99" s="3188"/>
      <c r="AC99" s="3188"/>
      <c r="AD99" s="3188"/>
      <c r="AE99" s="3188"/>
      <c r="AF99" s="3188"/>
      <c r="AG99" s="3188"/>
      <c r="AH99" s="3188"/>
      <c r="AI99" s="3188"/>
      <c r="AJ99" s="3188"/>
      <c r="AK99" s="3188"/>
      <c r="AL99" s="3188"/>
      <c r="AM99" s="3188"/>
      <c r="AN99" s="3188"/>
      <c r="AO99" s="3188"/>
      <c r="AP99" s="3188"/>
      <c r="AQ99" s="3188"/>
      <c r="AR99" s="3188"/>
      <c r="AS99" s="3188"/>
      <c r="AT99" s="3188"/>
      <c r="AU99" s="3188"/>
      <c r="AV99" s="3188"/>
      <c r="AW99" s="3188"/>
      <c r="AX99" s="3187"/>
      <c r="AY99" s="3187">
        <f t="shared" ref="AY99:BG99" ca="1" si="21">AY96+AY97+AY98</f>
        <v>19.080008949093042</v>
      </c>
      <c r="AZ99" s="3187">
        <f t="shared" ca="1" si="21"/>
        <v>18.970335288333835</v>
      </c>
      <c r="BA99" s="3187">
        <f t="shared" ca="1" si="21"/>
        <v>15.415395683190502</v>
      </c>
      <c r="BB99" s="3187">
        <f t="shared" ca="1" si="21"/>
        <v>10.593321727732546</v>
      </c>
      <c r="BC99" s="3187">
        <f t="shared" ca="1" si="21"/>
        <v>5.7265971428571429</v>
      </c>
      <c r="BD99" s="3187">
        <f t="shared" ca="1" si="21"/>
        <v>13.492969714285715</v>
      </c>
      <c r="BE99" s="3187">
        <f t="shared" ca="1" si="21"/>
        <v>15.889615714285716</v>
      </c>
      <c r="BF99" s="3187">
        <f t="shared" ca="1" si="21"/>
        <v>17.930687142857145</v>
      </c>
      <c r="BG99" s="3187">
        <f t="shared" ca="1" si="21"/>
        <v>20.10708</v>
      </c>
      <c r="BH99" s="3189"/>
      <c r="BJ99" s="3185"/>
      <c r="BK99" s="3186"/>
      <c r="BL99" s="3186"/>
      <c r="BM99" s="3183"/>
      <c r="BN99" s="3187"/>
      <c r="BO99" s="3187"/>
      <c r="BP99" s="3188"/>
      <c r="BQ99" s="3188"/>
      <c r="BR99" s="3188"/>
      <c r="BS99" s="3188"/>
      <c r="BT99" s="3188"/>
      <c r="BU99" s="3188"/>
    </row>
    <row r="100" spans="2:83">
      <c r="B100" s="3148"/>
      <c r="C100" s="3183" t="s">
        <v>553</v>
      </c>
      <c r="D100" s="3183" t="s">
        <v>554</v>
      </c>
      <c r="E100" s="3183"/>
      <c r="F100" s="3151"/>
      <c r="G100" s="3151"/>
      <c r="H100" s="3184"/>
      <c r="I100" s="3184"/>
      <c r="J100" s="3184"/>
      <c r="K100" s="3184"/>
      <c r="L100" s="3184"/>
      <c r="M100" s="3184"/>
      <c r="N100" s="3184"/>
      <c r="O100" s="3184"/>
      <c r="P100" s="3184"/>
      <c r="Q100" s="3184"/>
      <c r="R100" s="3184"/>
      <c r="S100" s="3184"/>
      <c r="T100" s="3184"/>
      <c r="U100" s="3184"/>
      <c r="V100" s="3184"/>
      <c r="W100" s="3184"/>
      <c r="X100" s="3184"/>
      <c r="Y100" s="3184"/>
      <c r="Z100" s="3184"/>
      <c r="AA100" s="3184"/>
      <c r="AB100" s="3184"/>
      <c r="AC100" s="3184"/>
      <c r="AD100" s="3184"/>
      <c r="AE100" s="3184"/>
      <c r="AF100" s="3184"/>
      <c r="AG100" s="3184"/>
      <c r="AH100" s="3184"/>
      <c r="AI100" s="3184"/>
      <c r="AJ100" s="3184"/>
      <c r="AK100" s="3184"/>
      <c r="AL100" s="3184"/>
      <c r="AM100" s="3184"/>
      <c r="AN100" s="3184"/>
      <c r="AO100" s="3184"/>
      <c r="AP100" s="3184"/>
      <c r="AQ100" s="3184"/>
      <c r="AR100" s="3184"/>
      <c r="AS100" s="3184"/>
      <c r="AT100" s="3184"/>
      <c r="AU100" s="3184"/>
      <c r="AV100" s="3184"/>
      <c r="AW100" s="3184"/>
      <c r="AX100" s="3183"/>
      <c r="AY100" s="3151">
        <f t="shared" ca="1" si="20"/>
        <v>0</v>
      </c>
      <c r="AZ100" s="3151">
        <f t="shared" ca="1" si="19"/>
        <v>0</v>
      </c>
      <c r="BA100" s="3151">
        <f t="shared" ca="1" si="19"/>
        <v>0</v>
      </c>
      <c r="BB100" s="3151">
        <f t="shared" ca="1" si="19"/>
        <v>0</v>
      </c>
      <c r="BC100" s="3151">
        <f t="shared" ca="1" si="19"/>
        <v>0</v>
      </c>
      <c r="BD100" s="3151">
        <f t="shared" ca="1" si="19"/>
        <v>3.3269161499999997</v>
      </c>
      <c r="BE100" s="3151">
        <f t="shared" ca="1" si="19"/>
        <v>9.9919251000000013</v>
      </c>
      <c r="BF100" s="3151">
        <f t="shared" ca="1" si="19"/>
        <v>16.671836249999998</v>
      </c>
      <c r="BG100" s="3151">
        <f t="shared" ca="1" si="19"/>
        <v>23.470965</v>
      </c>
      <c r="BH100" s="3169"/>
      <c r="BJ100" s="3148"/>
      <c r="BK100" s="3183"/>
      <c r="BL100" s="3183"/>
      <c r="BM100" s="3183"/>
      <c r="BN100" s="3151"/>
      <c r="BO100" s="3151"/>
      <c r="BP100" s="3184"/>
      <c r="BQ100" s="3184"/>
      <c r="BR100" s="3184"/>
      <c r="BS100" s="3184"/>
      <c r="BT100" s="3184"/>
      <c r="BU100" s="3184"/>
    </row>
    <row r="101" spans="2:83">
      <c r="B101" s="3148"/>
      <c r="C101" s="3183" t="s">
        <v>548</v>
      </c>
      <c r="D101" s="3183" t="s">
        <v>549</v>
      </c>
      <c r="E101" s="3183"/>
      <c r="F101" s="3151"/>
      <c r="G101" s="3151"/>
      <c r="H101" s="3184"/>
      <c r="I101" s="3184"/>
      <c r="J101" s="3184"/>
      <c r="K101" s="3184"/>
      <c r="L101" s="3184"/>
      <c r="M101" s="3184"/>
      <c r="N101" s="3184"/>
      <c r="O101" s="3184"/>
      <c r="P101" s="3184"/>
      <c r="Q101" s="3184"/>
      <c r="R101" s="3184"/>
      <c r="S101" s="3184"/>
      <c r="T101" s="3184"/>
      <c r="U101" s="3184"/>
      <c r="V101" s="3184"/>
      <c r="W101" s="3184"/>
      <c r="X101" s="3184"/>
      <c r="Y101" s="3184"/>
      <c r="Z101" s="3184"/>
      <c r="AA101" s="3184"/>
      <c r="AB101" s="3184"/>
      <c r="AC101" s="3184"/>
      <c r="AD101" s="3184"/>
      <c r="AE101" s="3184"/>
      <c r="AF101" s="3184"/>
      <c r="AG101" s="3184"/>
      <c r="AH101" s="3184"/>
      <c r="AI101" s="3184"/>
      <c r="AJ101" s="3184"/>
      <c r="AK101" s="3184"/>
      <c r="AL101" s="3184"/>
      <c r="AM101" s="3184"/>
      <c r="AN101" s="3184"/>
      <c r="AO101" s="3184"/>
      <c r="AP101" s="3184"/>
      <c r="AQ101" s="3184"/>
      <c r="AR101" s="3184"/>
      <c r="AS101" s="3184"/>
      <c r="AT101" s="3184"/>
      <c r="AU101" s="3184"/>
      <c r="AV101" s="3184"/>
      <c r="AW101" s="3184"/>
      <c r="AX101" s="3183"/>
      <c r="AY101" s="3151">
        <f t="shared" ca="1" si="20"/>
        <v>0</v>
      </c>
      <c r="AZ101" s="3151">
        <f t="shared" ca="1" si="19"/>
        <v>0</v>
      </c>
      <c r="BA101" s="3151">
        <f t="shared" ca="1" si="19"/>
        <v>0</v>
      </c>
      <c r="BB101" s="3151">
        <f t="shared" ca="1" si="19"/>
        <v>0</v>
      </c>
      <c r="BC101" s="3151">
        <f t="shared" ca="1" si="19"/>
        <v>7.0128000000000013</v>
      </c>
      <c r="BD101" s="3151">
        <f t="shared" ca="1" si="19"/>
        <v>7.0128000000000013</v>
      </c>
      <c r="BE101" s="3151">
        <f t="shared" ca="1" si="19"/>
        <v>7.0128000000000013</v>
      </c>
      <c r="BF101" s="3151">
        <f t="shared" ca="1" si="19"/>
        <v>7.0128000000000013</v>
      </c>
      <c r="BG101" s="3151">
        <f t="shared" ca="1" si="19"/>
        <v>7.0128000000000013</v>
      </c>
      <c r="BH101" s="3169"/>
      <c r="BJ101" s="3148"/>
      <c r="BK101" s="3183"/>
      <c r="BL101" s="3183"/>
      <c r="BM101" s="3183"/>
      <c r="BN101" s="3151"/>
      <c r="BO101" s="3151"/>
      <c r="BP101" s="3184"/>
      <c r="BQ101" s="3184"/>
      <c r="BR101" s="3184"/>
      <c r="BS101" s="3184"/>
      <c r="BT101" s="3184"/>
      <c r="BU101" s="3184"/>
    </row>
    <row r="102" spans="2:83" s="927" customFormat="1">
      <c r="B102" s="3185"/>
      <c r="C102" s="3186" t="s">
        <v>520</v>
      </c>
      <c r="D102" s="3186" t="s">
        <v>521</v>
      </c>
      <c r="E102" s="3183"/>
      <c r="F102" s="3187"/>
      <c r="G102" s="3187"/>
      <c r="H102" s="3188"/>
      <c r="I102" s="3188"/>
      <c r="J102" s="3188"/>
      <c r="K102" s="3188"/>
      <c r="L102" s="3188"/>
      <c r="M102" s="3188"/>
      <c r="N102" s="3188"/>
      <c r="O102" s="3188"/>
      <c r="P102" s="3188"/>
      <c r="Q102" s="3188"/>
      <c r="R102" s="3188"/>
      <c r="S102" s="3188"/>
      <c r="T102" s="3188"/>
      <c r="U102" s="3188"/>
      <c r="V102" s="3188"/>
      <c r="W102" s="3188"/>
      <c r="X102" s="3188"/>
      <c r="Y102" s="3188"/>
      <c r="Z102" s="3188"/>
      <c r="AA102" s="3188"/>
      <c r="AB102" s="3188"/>
      <c r="AC102" s="3188"/>
      <c r="AD102" s="3188"/>
      <c r="AE102" s="3188"/>
      <c r="AF102" s="3188"/>
      <c r="AG102" s="3188"/>
      <c r="AH102" s="3188"/>
      <c r="AI102" s="3188"/>
      <c r="AJ102" s="3188"/>
      <c r="AK102" s="3188"/>
      <c r="AL102" s="3188"/>
      <c r="AM102" s="3188"/>
      <c r="AN102" s="3188"/>
      <c r="AO102" s="3188"/>
      <c r="AP102" s="3188"/>
      <c r="AQ102" s="3188"/>
      <c r="AR102" s="3188"/>
      <c r="AS102" s="3188"/>
      <c r="AT102" s="3188"/>
      <c r="AU102" s="3188"/>
      <c r="AV102" s="3188"/>
      <c r="AW102" s="3188"/>
      <c r="AX102" s="3183"/>
      <c r="AY102" s="3187">
        <f t="shared" ca="1" si="20"/>
        <v>4.4180640000000011</v>
      </c>
      <c r="AZ102" s="3187">
        <f t="shared" ca="1" si="19"/>
        <v>5.5339757999999994</v>
      </c>
      <c r="BA102" s="3187">
        <f t="shared" ca="1" si="19"/>
        <v>9.0250353000000008</v>
      </c>
      <c r="BB102" s="3187">
        <f t="shared" ca="1" si="19"/>
        <v>13.291885799999999</v>
      </c>
      <c r="BC102" s="3187">
        <f t="shared" ca="1" si="19"/>
        <v>19.756810799999997</v>
      </c>
      <c r="BD102" s="3187">
        <f t="shared" ca="1" si="19"/>
        <v>22.3427808</v>
      </c>
      <c r="BE102" s="3187">
        <f t="shared" ca="1" si="19"/>
        <v>22.3427808</v>
      </c>
      <c r="BF102" s="3187">
        <f t="shared" ca="1" si="19"/>
        <v>22.3427808</v>
      </c>
      <c r="BG102" s="3187">
        <f t="shared" ca="1" si="19"/>
        <v>22.3427808</v>
      </c>
      <c r="BH102" s="3189"/>
      <c r="BJ102" s="3185"/>
      <c r="BK102" s="3186"/>
      <c r="BL102" s="3186"/>
      <c r="BM102" s="3183"/>
      <c r="BN102" s="3187"/>
      <c r="BO102" s="3187"/>
      <c r="BP102" s="3188"/>
      <c r="BQ102" s="3188"/>
      <c r="BR102" s="3188"/>
      <c r="BS102" s="3188"/>
      <c r="BT102" s="3188"/>
      <c r="BU102" s="3188"/>
    </row>
    <row r="103" spans="2:83" s="927" customFormat="1">
      <c r="B103" s="3185"/>
      <c r="C103" s="3186" t="s">
        <v>522</v>
      </c>
      <c r="D103" s="3186" t="s">
        <v>523</v>
      </c>
      <c r="E103" s="3183"/>
      <c r="F103" s="3187"/>
      <c r="G103" s="3187"/>
      <c r="H103" s="3188"/>
      <c r="I103" s="3188"/>
      <c r="J103" s="3188"/>
      <c r="K103" s="3188"/>
      <c r="L103" s="3188"/>
      <c r="M103" s="3188"/>
      <c r="N103" s="3188"/>
      <c r="O103" s="3188"/>
      <c r="P103" s="3188"/>
      <c r="Q103" s="3188"/>
      <c r="R103" s="3188"/>
      <c r="S103" s="3188"/>
      <c r="T103" s="3188"/>
      <c r="U103" s="3188"/>
      <c r="V103" s="3188"/>
      <c r="W103" s="3188"/>
      <c r="X103" s="3188"/>
      <c r="Y103" s="3188"/>
      <c r="Z103" s="3188"/>
      <c r="AA103" s="3188"/>
      <c r="AB103" s="3188"/>
      <c r="AC103" s="3188"/>
      <c r="AD103" s="3188"/>
      <c r="AE103" s="3188"/>
      <c r="AF103" s="3188"/>
      <c r="AG103" s="3188"/>
      <c r="AH103" s="3188"/>
      <c r="AI103" s="3188"/>
      <c r="AJ103" s="3188"/>
      <c r="AK103" s="3188"/>
      <c r="AL103" s="3188"/>
      <c r="AM103" s="3188"/>
      <c r="AN103" s="3188"/>
      <c r="AO103" s="3188"/>
      <c r="AP103" s="3188"/>
      <c r="AQ103" s="3188"/>
      <c r="AR103" s="3188"/>
      <c r="AS103" s="3188"/>
      <c r="AT103" s="3188"/>
      <c r="AU103" s="3188"/>
      <c r="AV103" s="3188"/>
      <c r="AW103" s="3188"/>
      <c r="AX103" s="3183"/>
      <c r="AY103" s="3187">
        <f t="shared" ca="1" si="20"/>
        <v>8.3277000000000018E-2</v>
      </c>
      <c r="AZ103" s="3187">
        <f t="shared" ca="1" si="19"/>
        <v>8.3277000000000018E-2</v>
      </c>
      <c r="BA103" s="3187">
        <f t="shared" ca="1" si="19"/>
        <v>8.7660000000000016E-2</v>
      </c>
      <c r="BB103" s="3187">
        <f t="shared" ca="1" si="19"/>
        <v>8.7660000000000016E-2</v>
      </c>
      <c r="BC103" s="3187">
        <f t="shared" ca="1" si="19"/>
        <v>1.9789245</v>
      </c>
      <c r="BD103" s="3187">
        <f t="shared" ca="1" si="19"/>
        <v>5.2267275000000009</v>
      </c>
      <c r="BE103" s="3187">
        <f t="shared" ca="1" si="19"/>
        <v>9.1714275000000018</v>
      </c>
      <c r="BF103" s="3187">
        <f t="shared" ca="1" si="19"/>
        <v>16.074652500000003</v>
      </c>
      <c r="BG103" s="3187">
        <f t="shared" ca="1" si="19"/>
        <v>22.977877500000002</v>
      </c>
      <c r="BH103" s="3189"/>
      <c r="BJ103" s="3185"/>
      <c r="BK103" s="3186"/>
      <c r="BL103" s="3186"/>
      <c r="BM103" s="3183"/>
      <c r="BN103" s="3187"/>
      <c r="BO103" s="3187"/>
      <c r="BP103" s="3188"/>
      <c r="BQ103" s="3188"/>
      <c r="BR103" s="3188"/>
      <c r="BS103" s="3188"/>
      <c r="BT103" s="3188"/>
      <c r="BU103" s="3188"/>
    </row>
    <row r="104" spans="2:83" s="927" customFormat="1">
      <c r="B104" s="3185"/>
      <c r="C104" s="3186" t="s">
        <v>524</v>
      </c>
      <c r="D104" s="3186" t="s">
        <v>525</v>
      </c>
      <c r="E104" s="3183"/>
      <c r="F104" s="3187"/>
      <c r="G104" s="3187"/>
      <c r="H104" s="3188"/>
      <c r="I104" s="3188"/>
      <c r="J104" s="3188"/>
      <c r="K104" s="3188"/>
      <c r="L104" s="3188"/>
      <c r="M104" s="3188"/>
      <c r="N104" s="3188"/>
      <c r="O104" s="3188"/>
      <c r="P104" s="3188"/>
      <c r="Q104" s="3188"/>
      <c r="R104" s="3188"/>
      <c r="S104" s="3188"/>
      <c r="T104" s="3188"/>
      <c r="U104" s="3188"/>
      <c r="V104" s="3188"/>
      <c r="W104" s="3188"/>
      <c r="X104" s="3188"/>
      <c r="Y104" s="3188"/>
      <c r="Z104" s="3188"/>
      <c r="AA104" s="3188"/>
      <c r="AB104" s="3188"/>
      <c r="AC104" s="3188"/>
      <c r="AD104" s="3188"/>
      <c r="AE104" s="3188"/>
      <c r="AF104" s="3188"/>
      <c r="AG104" s="3188"/>
      <c r="AH104" s="3188"/>
      <c r="AI104" s="3188"/>
      <c r="AJ104" s="3188"/>
      <c r="AK104" s="3188"/>
      <c r="AL104" s="3188"/>
      <c r="AM104" s="3188"/>
      <c r="AN104" s="3188"/>
      <c r="AO104" s="3188"/>
      <c r="AP104" s="3188"/>
      <c r="AQ104" s="3188"/>
      <c r="AR104" s="3188"/>
      <c r="AS104" s="3188"/>
      <c r="AT104" s="3188"/>
      <c r="AU104" s="3188"/>
      <c r="AV104" s="3188"/>
      <c r="AW104" s="3188"/>
      <c r="AX104" s="3183"/>
      <c r="AY104" s="3187">
        <f t="shared" ca="1" si="20"/>
        <v>0.74791511999999993</v>
      </c>
      <c r="AZ104" s="3187">
        <f t="shared" ca="1" si="19"/>
        <v>0.74791511999999993</v>
      </c>
      <c r="BA104" s="3187">
        <f t="shared" ca="1" si="19"/>
        <v>0.74791511999999993</v>
      </c>
      <c r="BB104" s="3187">
        <f t="shared" ca="1" si="19"/>
        <v>0.78946596000000002</v>
      </c>
      <c r="BC104" s="3187">
        <f t="shared" ca="1" si="19"/>
        <v>0.78946596000000002</v>
      </c>
      <c r="BD104" s="3187">
        <f t="shared" ca="1" si="19"/>
        <v>0.78946596000000002</v>
      </c>
      <c r="BE104" s="3187">
        <f t="shared" ca="1" si="19"/>
        <v>0.78946596000000002</v>
      </c>
      <c r="BF104" s="3187">
        <f t="shared" ca="1" si="19"/>
        <v>0.78946596000000002</v>
      </c>
      <c r="BG104" s="3187">
        <f t="shared" ca="1" si="19"/>
        <v>0.78946596000000002</v>
      </c>
      <c r="BH104" s="3189"/>
      <c r="BJ104" s="3185"/>
      <c r="BK104" s="3186"/>
      <c r="BL104" s="3186"/>
      <c r="BM104" s="3183"/>
      <c r="BN104" s="3187"/>
      <c r="BO104" s="3187"/>
      <c r="BP104" s="3188"/>
      <c r="BQ104" s="3188"/>
      <c r="BR104" s="3188"/>
      <c r="BS104" s="3188"/>
      <c r="BT104" s="3188"/>
      <c r="BU104" s="3188"/>
    </row>
    <row r="105" spans="2:83" s="927" customFormat="1">
      <c r="B105" s="3185"/>
      <c r="C105" s="3186" t="s">
        <v>526</v>
      </c>
      <c r="D105" s="3186" t="s">
        <v>527</v>
      </c>
      <c r="E105" s="3183"/>
      <c r="F105" s="3187"/>
      <c r="G105" s="3187"/>
      <c r="H105" s="3188"/>
      <c r="I105" s="3188"/>
      <c r="J105" s="3188"/>
      <c r="K105" s="3188"/>
      <c r="L105" s="3188"/>
      <c r="M105" s="3188"/>
      <c r="N105" s="3188"/>
      <c r="O105" s="3188"/>
      <c r="P105" s="3188"/>
      <c r="Q105" s="3188"/>
      <c r="R105" s="3188"/>
      <c r="S105" s="3188"/>
      <c r="T105" s="3188"/>
      <c r="U105" s="3188"/>
      <c r="V105" s="3188"/>
      <c r="W105" s="3188"/>
      <c r="X105" s="3188"/>
      <c r="Y105" s="3188"/>
      <c r="Z105" s="3188"/>
      <c r="AA105" s="3188"/>
      <c r="AB105" s="3188"/>
      <c r="AC105" s="3188"/>
      <c r="AD105" s="3188"/>
      <c r="AE105" s="3188"/>
      <c r="AF105" s="3188"/>
      <c r="AG105" s="3188"/>
      <c r="AH105" s="3188"/>
      <c r="AI105" s="3188"/>
      <c r="AJ105" s="3188"/>
      <c r="AK105" s="3188"/>
      <c r="AL105" s="3188"/>
      <c r="AM105" s="3188"/>
      <c r="AN105" s="3188"/>
      <c r="AO105" s="3188"/>
      <c r="AP105" s="3188"/>
      <c r="AQ105" s="3188"/>
      <c r="AR105" s="3188"/>
      <c r="AS105" s="3188"/>
      <c r="AT105" s="3188"/>
      <c r="AU105" s="3188"/>
      <c r="AV105" s="3188"/>
      <c r="AW105" s="3188"/>
      <c r="AX105" s="3183"/>
      <c r="AY105" s="3187">
        <f t="shared" ca="1" si="20"/>
        <v>0</v>
      </c>
      <c r="AZ105" s="3187">
        <f t="shared" ca="1" si="19"/>
        <v>3.9627123287671231E-3</v>
      </c>
      <c r="BA105" s="3187">
        <f t="shared" ca="1" si="19"/>
        <v>1.3017510000000001E-2</v>
      </c>
      <c r="BB105" s="3187">
        <f t="shared" ca="1" si="19"/>
        <v>0.70610130000000026</v>
      </c>
      <c r="BC105" s="3187">
        <f t="shared" ca="1" si="19"/>
        <v>3.2346540000000004</v>
      </c>
      <c r="BD105" s="3187">
        <f t="shared" ca="1" si="19"/>
        <v>5.4831330000000005</v>
      </c>
      <c r="BE105" s="3187">
        <f t="shared" ca="1" si="19"/>
        <v>6.7848840000000008</v>
      </c>
      <c r="BF105" s="3187">
        <f t="shared" ca="1" si="19"/>
        <v>7.7316120000000019</v>
      </c>
      <c r="BG105" s="3187">
        <f t="shared" ca="1" si="19"/>
        <v>8.7730128000000018</v>
      </c>
      <c r="BH105" s="3189"/>
      <c r="BJ105" s="3185"/>
      <c r="BK105" s="3186"/>
      <c r="BL105" s="3186"/>
      <c r="BM105" s="3183"/>
      <c r="BN105" s="3187"/>
      <c r="BO105" s="3187"/>
      <c r="BP105" s="3188"/>
      <c r="BQ105" s="3188"/>
      <c r="BR105" s="3188"/>
      <c r="BS105" s="3188"/>
      <c r="BT105" s="3188"/>
      <c r="BU105" s="3188"/>
      <c r="CE105" s="927" t="s">
        <v>3474</v>
      </c>
    </row>
    <row r="106" spans="2:83" s="927" customFormat="1">
      <c r="B106" s="3185"/>
      <c r="C106" s="3186" t="s">
        <v>528</v>
      </c>
      <c r="D106" s="3186" t="s">
        <v>529</v>
      </c>
      <c r="E106" s="3183"/>
      <c r="F106" s="3187"/>
      <c r="G106" s="3187"/>
      <c r="H106" s="3188"/>
      <c r="I106" s="3188"/>
      <c r="J106" s="3188"/>
      <c r="K106" s="3188"/>
      <c r="L106" s="3188"/>
      <c r="M106" s="3188"/>
      <c r="N106" s="3188"/>
      <c r="O106" s="3188"/>
      <c r="P106" s="3188"/>
      <c r="Q106" s="3188"/>
      <c r="R106" s="3188"/>
      <c r="S106" s="3188"/>
      <c r="T106" s="3188"/>
      <c r="U106" s="3188"/>
      <c r="V106" s="3188"/>
      <c r="W106" s="3188"/>
      <c r="X106" s="3188"/>
      <c r="Y106" s="3188"/>
      <c r="Z106" s="3188"/>
      <c r="AA106" s="3188"/>
      <c r="AB106" s="3188"/>
      <c r="AC106" s="3188"/>
      <c r="AD106" s="3188"/>
      <c r="AE106" s="3188"/>
      <c r="AF106" s="3188"/>
      <c r="AG106" s="3188"/>
      <c r="AH106" s="3188"/>
      <c r="AI106" s="3188"/>
      <c r="AJ106" s="3188"/>
      <c r="AK106" s="3188"/>
      <c r="AL106" s="3188"/>
      <c r="AM106" s="3188"/>
      <c r="AN106" s="3188"/>
      <c r="AO106" s="3188"/>
      <c r="AP106" s="3188"/>
      <c r="AQ106" s="3188"/>
      <c r="AR106" s="3188"/>
      <c r="AS106" s="3188"/>
      <c r="AT106" s="3188"/>
      <c r="AU106" s="3188"/>
      <c r="AV106" s="3188"/>
      <c r="AW106" s="3188"/>
      <c r="AX106" s="3183"/>
      <c r="AY106" s="3187">
        <f t="shared" ca="1" si="20"/>
        <v>0</v>
      </c>
      <c r="AZ106" s="3187">
        <f t="shared" ca="1" si="19"/>
        <v>0</v>
      </c>
      <c r="BA106" s="3187">
        <f t="shared" ca="1" si="19"/>
        <v>0</v>
      </c>
      <c r="BB106" s="3187">
        <f t="shared" ca="1" si="19"/>
        <v>0</v>
      </c>
      <c r="BC106" s="3187">
        <f t="shared" ca="1" si="19"/>
        <v>0</v>
      </c>
      <c r="BD106" s="3187">
        <f t="shared" ca="1" si="19"/>
        <v>0</v>
      </c>
      <c r="BE106" s="3187">
        <f t="shared" ca="1" si="19"/>
        <v>0</v>
      </c>
      <c r="BF106" s="3187">
        <f t="shared" ca="1" si="19"/>
        <v>0</v>
      </c>
      <c r="BG106" s="3187">
        <f t="shared" ca="1" si="19"/>
        <v>0</v>
      </c>
      <c r="BH106" s="3189"/>
      <c r="BJ106" s="3185"/>
      <c r="BK106" s="3186"/>
      <c r="BL106" s="3186"/>
      <c r="BM106" s="3183"/>
      <c r="BN106" s="3187"/>
      <c r="BO106" s="3187"/>
      <c r="BP106" s="3188"/>
      <c r="BQ106" s="3188"/>
      <c r="BR106" s="3188"/>
      <c r="BS106" s="3188"/>
      <c r="BT106" s="3188"/>
      <c r="BU106" s="3188"/>
      <c r="CE106" s="927" t="s">
        <v>3475</v>
      </c>
    </row>
    <row r="107" spans="2:83" s="927" customFormat="1">
      <c r="B107" s="3185"/>
      <c r="C107" s="3186" t="s">
        <v>530</v>
      </c>
      <c r="D107" s="3186" t="s">
        <v>531</v>
      </c>
      <c r="E107" s="3183"/>
      <c r="F107" s="3187"/>
      <c r="G107" s="3187"/>
      <c r="H107" s="3188"/>
      <c r="I107" s="3188"/>
      <c r="J107" s="3188"/>
      <c r="K107" s="3188"/>
      <c r="L107" s="3188"/>
      <c r="M107" s="3188"/>
      <c r="N107" s="3188"/>
      <c r="O107" s="3188"/>
      <c r="P107" s="3188"/>
      <c r="Q107" s="3188"/>
      <c r="R107" s="3188"/>
      <c r="S107" s="3188"/>
      <c r="T107" s="3188"/>
      <c r="U107" s="3188"/>
      <c r="V107" s="3188"/>
      <c r="W107" s="3188"/>
      <c r="X107" s="3188"/>
      <c r="Y107" s="3188"/>
      <c r="Z107" s="3188"/>
      <c r="AA107" s="3188"/>
      <c r="AB107" s="3188"/>
      <c r="AC107" s="3188"/>
      <c r="AD107" s="3188"/>
      <c r="AE107" s="3188"/>
      <c r="AF107" s="3188"/>
      <c r="AG107" s="3188"/>
      <c r="AH107" s="3188"/>
      <c r="AI107" s="3188"/>
      <c r="AJ107" s="3188"/>
      <c r="AK107" s="3188"/>
      <c r="AL107" s="3188"/>
      <c r="AM107" s="3188"/>
      <c r="AN107" s="3188"/>
      <c r="AO107" s="3188"/>
      <c r="AP107" s="3188"/>
      <c r="AQ107" s="3188"/>
      <c r="AR107" s="3188"/>
      <c r="AS107" s="3188"/>
      <c r="AT107" s="3188"/>
      <c r="AU107" s="3188"/>
      <c r="AV107" s="3188"/>
      <c r="AW107" s="3188"/>
      <c r="AX107" s="3183"/>
      <c r="AY107" s="3187">
        <f t="shared" ca="1" si="20"/>
        <v>0</v>
      </c>
      <c r="AZ107" s="3187">
        <f t="shared" ca="1" si="19"/>
        <v>0</v>
      </c>
      <c r="BA107" s="3187">
        <f t="shared" ca="1" si="19"/>
        <v>0</v>
      </c>
      <c r="BB107" s="3187">
        <f t="shared" ca="1" si="19"/>
        <v>0</v>
      </c>
      <c r="BC107" s="3187">
        <f t="shared" ca="1" si="19"/>
        <v>0</v>
      </c>
      <c r="BD107" s="3187">
        <f t="shared" ca="1" si="19"/>
        <v>0</v>
      </c>
      <c r="BE107" s="3187">
        <f t="shared" ca="1" si="19"/>
        <v>0</v>
      </c>
      <c r="BF107" s="3187">
        <f t="shared" ca="1" si="19"/>
        <v>0</v>
      </c>
      <c r="BG107" s="3187">
        <f t="shared" ca="1" si="19"/>
        <v>0</v>
      </c>
      <c r="BH107" s="3189"/>
      <c r="BJ107" s="3185"/>
      <c r="BK107" s="3186"/>
      <c r="BL107" s="3186"/>
      <c r="BM107" s="3183"/>
      <c r="BN107" s="3187"/>
      <c r="BO107" s="3187"/>
      <c r="BP107" s="3188"/>
      <c r="BQ107" s="3188"/>
      <c r="BR107" s="3188"/>
      <c r="BS107" s="3188"/>
      <c r="BT107" s="3188"/>
      <c r="BU107" s="3188"/>
    </row>
    <row r="108" spans="2:83" s="927" customFormat="1">
      <c r="B108" s="3185"/>
      <c r="C108" s="3186" t="s">
        <v>534</v>
      </c>
      <c r="D108" s="3186" t="s">
        <v>535</v>
      </c>
      <c r="E108" s="3183"/>
      <c r="F108" s="3187"/>
      <c r="G108" s="3187"/>
      <c r="H108" s="3188"/>
      <c r="I108" s="3188"/>
      <c r="J108" s="3188"/>
      <c r="K108" s="3188"/>
      <c r="L108" s="3188"/>
      <c r="M108" s="3188"/>
      <c r="N108" s="3188"/>
      <c r="O108" s="3188"/>
      <c r="P108" s="3188"/>
      <c r="Q108" s="3188"/>
      <c r="R108" s="3188"/>
      <c r="S108" s="3188"/>
      <c r="T108" s="3188"/>
      <c r="U108" s="3188"/>
      <c r="V108" s="3188"/>
      <c r="W108" s="3188"/>
      <c r="X108" s="3188"/>
      <c r="Y108" s="3188"/>
      <c r="Z108" s="3188"/>
      <c r="AA108" s="3188"/>
      <c r="AB108" s="3188"/>
      <c r="AC108" s="3188"/>
      <c r="AD108" s="3188"/>
      <c r="AE108" s="3188"/>
      <c r="AF108" s="3188"/>
      <c r="AG108" s="3188"/>
      <c r="AH108" s="3188"/>
      <c r="AI108" s="3188"/>
      <c r="AJ108" s="3188"/>
      <c r="AK108" s="3188"/>
      <c r="AL108" s="3188"/>
      <c r="AM108" s="3188"/>
      <c r="AN108" s="3188"/>
      <c r="AO108" s="3188"/>
      <c r="AP108" s="3188"/>
      <c r="AQ108" s="3188"/>
      <c r="AR108" s="3188"/>
      <c r="AS108" s="3188"/>
      <c r="AT108" s="3188"/>
      <c r="AU108" s="3188"/>
      <c r="AV108" s="3188"/>
      <c r="AW108" s="3188"/>
      <c r="AX108" s="3183"/>
      <c r="AY108" s="3187">
        <f t="shared" ca="1" si="20"/>
        <v>0</v>
      </c>
      <c r="AZ108" s="3187">
        <f t="shared" ca="1" si="19"/>
        <v>0</v>
      </c>
      <c r="BA108" s="3187">
        <f t="shared" ca="1" si="19"/>
        <v>0.425151</v>
      </c>
      <c r="BB108" s="3187">
        <f t="shared" ca="1" si="19"/>
        <v>0.850302</v>
      </c>
      <c r="BC108" s="3187">
        <f t="shared" ca="1" si="19"/>
        <v>1.700604</v>
      </c>
      <c r="BD108" s="3187">
        <f t="shared" ca="1" si="19"/>
        <v>2.5509060000000003</v>
      </c>
      <c r="BE108" s="3187">
        <f t="shared" ca="1" si="19"/>
        <v>3.401208</v>
      </c>
      <c r="BF108" s="3187">
        <f t="shared" ca="1" si="19"/>
        <v>3.8263590000000001</v>
      </c>
      <c r="BG108" s="3187">
        <f t="shared" ca="1" si="19"/>
        <v>4.2515099999999997</v>
      </c>
      <c r="BH108" s="3189"/>
      <c r="BJ108" s="3185"/>
      <c r="BK108" s="3186"/>
      <c r="BL108" s="3186"/>
      <c r="BM108" s="3183"/>
      <c r="BN108" s="3187"/>
      <c r="BO108" s="3187"/>
      <c r="BP108" s="3188"/>
      <c r="BQ108" s="3188"/>
      <c r="BR108" s="3188"/>
      <c r="BS108" s="3188"/>
      <c r="BT108" s="3188"/>
      <c r="BU108" s="3188"/>
    </row>
    <row r="109" spans="2:83">
      <c r="B109" s="3148"/>
      <c r="C109" s="3183"/>
      <c r="D109" s="3183" t="s">
        <v>2538</v>
      </c>
      <c r="E109" s="3183"/>
      <c r="F109" s="3151">
        <f>'Irl. Energy Balance 2013 (TWh)'!AK22</f>
        <v>5.1209235764676979</v>
      </c>
      <c r="G109" s="3151"/>
      <c r="H109" s="3184"/>
      <c r="I109" s="3184"/>
      <c r="J109" s="3184"/>
      <c r="K109" s="3184"/>
      <c r="L109" s="3184"/>
      <c r="M109" s="3184"/>
      <c r="N109" s="3184"/>
      <c r="O109" s="3184"/>
      <c r="P109" s="3184"/>
      <c r="Q109" s="3184"/>
      <c r="R109" s="3184"/>
      <c r="S109" s="3184"/>
      <c r="T109" s="3184"/>
      <c r="U109" s="3184"/>
      <c r="V109" s="3184"/>
      <c r="W109" s="3184"/>
      <c r="X109" s="3184"/>
      <c r="Y109" s="3184"/>
      <c r="Z109" s="3184"/>
      <c r="AA109" s="3184"/>
      <c r="AB109" s="3184"/>
      <c r="AC109" s="3184"/>
      <c r="AD109" s="3184"/>
      <c r="AE109" s="3184"/>
      <c r="AF109" s="3184"/>
      <c r="AG109" s="3184"/>
      <c r="AH109" s="3184"/>
      <c r="AI109" s="3184"/>
      <c r="AJ109" s="3184"/>
      <c r="AK109" s="3184"/>
      <c r="AL109" s="3184"/>
      <c r="AM109" s="3184"/>
      <c r="AN109" s="3184"/>
      <c r="AO109" s="3184"/>
      <c r="AP109" s="3184"/>
      <c r="AQ109" s="3184"/>
      <c r="AR109" s="3184"/>
      <c r="AS109" s="3184"/>
      <c r="AT109" s="3184"/>
      <c r="AU109" s="3184"/>
      <c r="AV109" s="3184"/>
      <c r="AW109" s="3184"/>
      <c r="AX109" s="3183"/>
      <c r="AY109" s="3151">
        <f t="shared" ref="AY109:BG109" ca="1" si="22">SUM(AY102:AY108)</f>
        <v>5.249256120000001</v>
      </c>
      <c r="AZ109" s="3151">
        <f t="shared" ca="1" si="22"/>
        <v>6.3691306323287664</v>
      </c>
      <c r="BA109" s="3151">
        <f t="shared" ca="1" si="22"/>
        <v>10.298778929999999</v>
      </c>
      <c r="BB109" s="3151">
        <f t="shared" ca="1" si="22"/>
        <v>15.725415059999998</v>
      </c>
      <c r="BC109" s="3151">
        <f t="shared" ca="1" si="22"/>
        <v>27.460459259999997</v>
      </c>
      <c r="BD109" s="3151">
        <f t="shared" ca="1" si="22"/>
        <v>36.393013260000004</v>
      </c>
      <c r="BE109" s="3151">
        <f t="shared" ca="1" si="22"/>
        <v>42.489766259999996</v>
      </c>
      <c r="BF109" s="3151">
        <f t="shared" ca="1" si="22"/>
        <v>50.764870259999995</v>
      </c>
      <c r="BG109" s="3151">
        <f t="shared" ca="1" si="22"/>
        <v>59.134647060000006</v>
      </c>
      <c r="BH109" s="3169"/>
      <c r="BJ109" s="3148"/>
      <c r="BK109" s="3183"/>
      <c r="BL109" s="3183"/>
      <c r="BM109" s="3183"/>
      <c r="BN109" s="3151"/>
      <c r="BO109" s="3151"/>
      <c r="BP109" s="3184"/>
      <c r="BQ109" s="3184"/>
      <c r="BR109" s="3184"/>
      <c r="BS109" s="3184"/>
      <c r="BT109" s="3184"/>
      <c r="BU109" s="3184"/>
    </row>
    <row r="110" spans="2:83">
      <c r="B110" s="3148"/>
      <c r="C110" s="3183" t="s">
        <v>563</v>
      </c>
      <c r="D110" s="3183" t="s">
        <v>564</v>
      </c>
      <c r="E110" s="3183"/>
      <c r="F110" s="3151">
        <f>'Irl. Energy Balance 2013 (TWh)'!AK3</f>
        <v>2.5079796250885993</v>
      </c>
      <c r="G110" s="3151"/>
      <c r="H110" s="3184"/>
      <c r="I110" s="3184"/>
      <c r="J110" s="3184"/>
      <c r="K110" s="3184"/>
      <c r="L110" s="3184"/>
      <c r="M110" s="3184"/>
      <c r="N110" s="3184"/>
      <c r="O110" s="3184"/>
      <c r="P110" s="3184"/>
      <c r="Q110" s="3184"/>
      <c r="R110" s="3184"/>
      <c r="S110" s="3184"/>
      <c r="T110" s="3184"/>
      <c r="U110" s="3184"/>
      <c r="V110" s="3184"/>
      <c r="W110" s="3184"/>
      <c r="X110" s="3184"/>
      <c r="Y110" s="3184"/>
      <c r="Z110" s="3184"/>
      <c r="AA110" s="3184"/>
      <c r="AB110" s="3184"/>
      <c r="AC110" s="3184"/>
      <c r="AD110" s="3184"/>
      <c r="AE110" s="3184"/>
      <c r="AF110" s="3184"/>
      <c r="AG110" s="3184"/>
      <c r="AH110" s="3184"/>
      <c r="AI110" s="3184"/>
      <c r="AJ110" s="3184"/>
      <c r="AK110" s="3184"/>
      <c r="AL110" s="3184"/>
      <c r="AM110" s="3184"/>
      <c r="AN110" s="3184"/>
      <c r="AO110" s="3184"/>
      <c r="AP110" s="3184"/>
      <c r="AQ110" s="3184"/>
      <c r="AR110" s="3184"/>
      <c r="AS110" s="3184"/>
      <c r="AT110" s="3184"/>
      <c r="AU110" s="3184"/>
      <c r="AV110" s="3184"/>
      <c r="AW110" s="3184"/>
      <c r="AX110" s="3183"/>
      <c r="AY110" s="3151">
        <f t="shared" ca="1" si="20"/>
        <v>2.5</v>
      </c>
      <c r="AZ110" s="3151">
        <f t="shared" ca="1" si="19"/>
        <v>2.5</v>
      </c>
      <c r="BA110" s="3151">
        <f t="shared" ca="1" si="19"/>
        <v>2.5</v>
      </c>
      <c r="BB110" s="3151">
        <f t="shared" ca="1" si="19"/>
        <v>2.5</v>
      </c>
      <c r="BC110" s="3151">
        <f t="shared" ca="1" si="19"/>
        <v>3.9</v>
      </c>
      <c r="BD110" s="3151">
        <f t="shared" ca="1" si="19"/>
        <v>4.5999999999999996</v>
      </c>
      <c r="BE110" s="3151">
        <f t="shared" ca="1" si="19"/>
        <v>7</v>
      </c>
      <c r="BF110" s="3151">
        <f t="shared" ca="1" si="19"/>
        <v>9</v>
      </c>
      <c r="BG110" s="3151">
        <f t="shared" ca="1" si="19"/>
        <v>10</v>
      </c>
      <c r="BH110" s="3169"/>
      <c r="BI110" s="386"/>
      <c r="BJ110" s="3148"/>
      <c r="BK110" s="3183"/>
      <c r="BL110" s="3183"/>
      <c r="BM110" s="3183"/>
      <c r="BN110" s="3151"/>
      <c r="BO110" s="3151"/>
      <c r="BP110" s="3184"/>
      <c r="BQ110" s="3184"/>
      <c r="BR110" s="3184"/>
      <c r="BS110" s="3184"/>
      <c r="BT110" s="3184"/>
      <c r="BU110" s="3184"/>
    </row>
    <row r="111" spans="2:83">
      <c r="B111" s="3148"/>
      <c r="C111" s="3183"/>
      <c r="D111" s="3190" t="s">
        <v>2539</v>
      </c>
      <c r="E111" s="3183"/>
      <c r="F111" s="3191">
        <f>F99+F100+F101+F109+F110</f>
        <v>28.632814079884394</v>
      </c>
      <c r="G111" s="3192"/>
      <c r="H111" s="3193"/>
      <c r="I111" s="3193"/>
      <c r="J111" s="3193"/>
      <c r="K111" s="3193"/>
      <c r="L111" s="3193"/>
      <c r="M111" s="3193"/>
      <c r="N111" s="3193"/>
      <c r="O111" s="3193"/>
      <c r="P111" s="3193"/>
      <c r="Q111" s="3193"/>
      <c r="R111" s="3193"/>
      <c r="S111" s="3193"/>
      <c r="T111" s="3193"/>
      <c r="U111" s="3193"/>
      <c r="V111" s="3193"/>
      <c r="W111" s="3193"/>
      <c r="X111" s="3193"/>
      <c r="Y111" s="3193"/>
      <c r="Z111" s="3193"/>
      <c r="AA111" s="3193"/>
      <c r="AB111" s="3193"/>
      <c r="AC111" s="3193"/>
      <c r="AD111" s="3193"/>
      <c r="AE111" s="3193"/>
      <c r="AF111" s="3193"/>
      <c r="AG111" s="3193"/>
      <c r="AH111" s="3193"/>
      <c r="AI111" s="3193"/>
      <c r="AJ111" s="3193"/>
      <c r="AK111" s="3193"/>
      <c r="AL111" s="3193"/>
      <c r="AM111" s="3193"/>
      <c r="AN111" s="3193"/>
      <c r="AO111" s="3193"/>
      <c r="AP111" s="3193"/>
      <c r="AQ111" s="3193"/>
      <c r="AR111" s="3193"/>
      <c r="AS111" s="3193"/>
      <c r="AT111" s="3193"/>
      <c r="AU111" s="3193"/>
      <c r="AV111" s="3193"/>
      <c r="AW111" s="3193"/>
      <c r="AX111" s="3183"/>
      <c r="AY111" s="3191">
        <f t="shared" ref="AY111:BG111" ca="1" si="23">AY99+AY100+AY101+AY109+AY110</f>
        <v>26.829265069093044</v>
      </c>
      <c r="AZ111" s="3191">
        <f t="shared" ca="1" si="23"/>
        <v>27.839465920662601</v>
      </c>
      <c r="BA111" s="3191">
        <f t="shared" ca="1" si="23"/>
        <v>28.214174613190501</v>
      </c>
      <c r="BB111" s="3191">
        <f t="shared" ca="1" si="23"/>
        <v>28.818736787732544</v>
      </c>
      <c r="BC111" s="3191">
        <f t="shared" ca="1" si="23"/>
        <v>44.099856402857135</v>
      </c>
      <c r="BD111" s="3191">
        <f t="shared" ca="1" si="23"/>
        <v>64.82569912428572</v>
      </c>
      <c r="BE111" s="3191">
        <f t="shared" ca="1" si="23"/>
        <v>82.384107074285708</v>
      </c>
      <c r="BF111" s="3191">
        <f t="shared" ca="1" si="23"/>
        <v>101.38019365285714</v>
      </c>
      <c r="BG111" s="3191">
        <f t="shared" ca="1" si="23"/>
        <v>119.72549206000001</v>
      </c>
      <c r="BH111" s="3169"/>
      <c r="BI111" s="386"/>
      <c r="BJ111" s="3148"/>
      <c r="BK111" s="3183"/>
      <c r="BL111" s="3194"/>
      <c r="BM111" s="3183"/>
      <c r="BN111" s="3192"/>
      <c r="BO111" s="3192"/>
      <c r="BP111" s="3193"/>
      <c r="BQ111" s="3193"/>
      <c r="BR111" s="3193"/>
      <c r="BS111" s="3193"/>
      <c r="BT111" s="3193"/>
      <c r="BU111" s="3193"/>
    </row>
    <row r="112" spans="2:83">
      <c r="B112" s="3148"/>
      <c r="C112" s="3183"/>
      <c r="D112" s="3194"/>
      <c r="E112" s="3183"/>
      <c r="F112" s="3192" t="s">
        <v>5</v>
      </c>
      <c r="G112" s="3192"/>
      <c r="H112" s="3193"/>
      <c r="I112" s="3193"/>
      <c r="J112" s="3193"/>
      <c r="K112" s="3193"/>
      <c r="L112" s="3193"/>
      <c r="M112" s="3193"/>
      <c r="N112" s="3193"/>
      <c r="O112" s="3193"/>
      <c r="P112" s="3193"/>
      <c r="Q112" s="3193"/>
      <c r="R112" s="3193"/>
      <c r="S112" s="3193"/>
      <c r="T112" s="3193"/>
      <c r="U112" s="3193"/>
      <c r="V112" s="3193"/>
      <c r="W112" s="3193"/>
      <c r="X112" s="3193"/>
      <c r="Y112" s="3193"/>
      <c r="Z112" s="3193"/>
      <c r="AA112" s="3193"/>
      <c r="AB112" s="3193"/>
      <c r="AC112" s="3193"/>
      <c r="AD112" s="3193"/>
      <c r="AE112" s="3193"/>
      <c r="AF112" s="3193"/>
      <c r="AG112" s="3193"/>
      <c r="AH112" s="3193"/>
      <c r="AI112" s="3193"/>
      <c r="AJ112" s="3193"/>
      <c r="AK112" s="3193"/>
      <c r="AL112" s="3193"/>
      <c r="AM112" s="3193"/>
      <c r="AN112" s="3193"/>
      <c r="AO112" s="3193"/>
      <c r="AP112" s="3193"/>
      <c r="AQ112" s="3193"/>
      <c r="AR112" s="3193"/>
      <c r="AS112" s="3193"/>
      <c r="AT112" s="3193"/>
      <c r="AU112" s="3193"/>
      <c r="AV112" s="3193"/>
      <c r="AW112" s="3193"/>
      <c r="AX112" s="3183"/>
      <c r="AY112" s="3192"/>
      <c r="AZ112" s="3192" t="s">
        <v>5</v>
      </c>
      <c r="BA112" s="3192"/>
      <c r="BB112" s="3192"/>
      <c r="BC112" s="3192"/>
      <c r="BD112" s="3192"/>
      <c r="BE112" s="3192"/>
      <c r="BF112" s="3192"/>
      <c r="BG112" s="3192"/>
      <c r="BH112" s="3169"/>
      <c r="BJ112" s="3148"/>
      <c r="BK112" s="3183"/>
      <c r="BL112" s="3194"/>
      <c r="BM112" s="3183"/>
      <c r="BN112" s="3192"/>
      <c r="BO112" s="3192"/>
      <c r="BP112" s="3193"/>
      <c r="BQ112" s="3193"/>
      <c r="BR112" s="3193"/>
      <c r="BS112" s="3193"/>
      <c r="BT112" s="3193"/>
      <c r="BU112" s="3193"/>
    </row>
    <row r="113" spans="2:84">
      <c r="B113" s="3148"/>
      <c r="C113" s="832"/>
      <c r="D113" s="828" t="s">
        <v>2540</v>
      </c>
      <c r="E113" s="832"/>
      <c r="F113" s="3195">
        <v>0</v>
      </c>
      <c r="G113" s="3195"/>
      <c r="H113" s="3184"/>
      <c r="I113" s="3184"/>
      <c r="J113" s="3184"/>
      <c r="K113" s="3184"/>
      <c r="L113" s="3184"/>
      <c r="M113" s="3184"/>
      <c r="N113" s="3184"/>
      <c r="O113" s="3184"/>
      <c r="P113" s="3184"/>
      <c r="Q113" s="3184"/>
      <c r="R113" s="3184"/>
      <c r="S113" s="3184"/>
      <c r="T113" s="3184"/>
      <c r="U113" s="3184"/>
      <c r="V113" s="3184"/>
      <c r="W113" s="3184"/>
      <c r="X113" s="3184"/>
      <c r="Y113" s="3184"/>
      <c r="Z113" s="3184"/>
      <c r="AA113" s="3184"/>
      <c r="AB113" s="3184"/>
      <c r="AC113" s="3184"/>
      <c r="AD113" s="3184"/>
      <c r="AE113" s="3184"/>
      <c r="AF113" s="3184"/>
      <c r="AG113" s="3184"/>
      <c r="AH113" s="3184"/>
      <c r="AI113" s="3184"/>
      <c r="AJ113" s="3184"/>
      <c r="AK113" s="3184"/>
      <c r="AL113" s="3184"/>
      <c r="AM113" s="3184"/>
      <c r="AN113" s="3184"/>
      <c r="AO113" s="3184"/>
      <c r="AP113" s="3184"/>
      <c r="AQ113" s="3184"/>
      <c r="AR113" s="3184"/>
      <c r="AS113" s="3184"/>
      <c r="AT113" s="3184"/>
      <c r="AU113" s="3184"/>
      <c r="AV113" s="3184"/>
      <c r="AW113" s="3184"/>
      <c r="AX113" s="3195">
        <v>0</v>
      </c>
      <c r="AY113" s="3825">
        <f ca="1">AY30-AY110</f>
        <v>0</v>
      </c>
      <c r="AZ113" s="3195">
        <f t="shared" ref="AZ113:BG113" ca="1" si="24">AZ30-AZ110</f>
        <v>0</v>
      </c>
      <c r="BA113" s="3195">
        <f t="shared" ca="1" si="24"/>
        <v>3.5527136788005009E-15</v>
      </c>
      <c r="BB113" s="3195">
        <f t="shared" ca="1" si="24"/>
        <v>3.5527136788005009E-15</v>
      </c>
      <c r="BC113" s="3195">
        <f t="shared" ca="1" si="24"/>
        <v>-14.552664429668678</v>
      </c>
      <c r="BD113" s="3195">
        <f t="shared" ca="1" si="24"/>
        <v>-34.69879121742882</v>
      </c>
      <c r="BE113" s="3195">
        <f t="shared" ca="1" si="24"/>
        <v>-51.501054695560633</v>
      </c>
      <c r="BF113" s="3195">
        <f t="shared" ca="1" si="24"/>
        <v>-69.816975780787857</v>
      </c>
      <c r="BG113" s="3195">
        <f t="shared" ca="1" si="24"/>
        <v>-87.574734038121079</v>
      </c>
      <c r="BH113" s="3169"/>
      <c r="BI113" s="386"/>
      <c r="BJ113" s="3148"/>
      <c r="BK113" s="832"/>
      <c r="BL113" s="828"/>
      <c r="BM113" s="832"/>
      <c r="BN113" s="3195"/>
      <c r="BO113" s="3195"/>
      <c r="BP113" s="3184"/>
      <c r="BQ113" s="3184"/>
      <c r="BR113" s="3184"/>
      <c r="BS113" s="3184"/>
      <c r="BT113" s="3184"/>
      <c r="BU113" s="3184"/>
    </row>
    <row r="114" spans="2:84">
      <c r="B114" s="3148"/>
      <c r="C114" s="832"/>
      <c r="D114" s="828" t="s">
        <v>2671</v>
      </c>
      <c r="E114" s="832"/>
      <c r="F114" s="3195"/>
      <c r="G114" s="3195"/>
      <c r="H114" s="3184"/>
      <c r="I114" s="3184"/>
      <c r="J114" s="3184"/>
      <c r="K114" s="3184"/>
      <c r="L114" s="3184"/>
      <c r="M114" s="3184"/>
      <c r="N114" s="3184"/>
      <c r="O114" s="3184"/>
      <c r="P114" s="3184"/>
      <c r="Q114" s="3184"/>
      <c r="R114" s="3184"/>
      <c r="S114" s="3184"/>
      <c r="T114" s="3184"/>
      <c r="U114" s="3184"/>
      <c r="V114" s="3184"/>
      <c r="W114" s="3184"/>
      <c r="X114" s="3184"/>
      <c r="Y114" s="3184"/>
      <c r="Z114" s="3184"/>
      <c r="AA114" s="3184"/>
      <c r="AB114" s="3184"/>
      <c r="AC114" s="3184"/>
      <c r="AD114" s="3184"/>
      <c r="AE114" s="3184"/>
      <c r="AF114" s="3184"/>
      <c r="AG114" s="3184"/>
      <c r="AH114" s="3184"/>
      <c r="AI114" s="3184"/>
      <c r="AJ114" s="3184"/>
      <c r="AK114" s="3184"/>
      <c r="AL114" s="3184"/>
      <c r="AM114" s="3184"/>
      <c r="AN114" s="3184"/>
      <c r="AO114" s="3184"/>
      <c r="AP114" s="3184"/>
      <c r="AQ114" s="3184"/>
      <c r="AR114" s="3184"/>
      <c r="AS114" s="3184"/>
      <c r="AT114" s="3184"/>
      <c r="AU114" s="3184"/>
      <c r="AV114" s="3184"/>
      <c r="AW114" s="3184"/>
      <c r="AX114" s="3195">
        <v>0</v>
      </c>
      <c r="AY114" s="3195">
        <f t="shared" ref="AY114:BG114" ca="1" si="25">IF(AY113&lt;0,AY113+AY111,AY111)</f>
        <v>26.829265069093044</v>
      </c>
      <c r="AZ114" s="3195">
        <f t="shared" ca="1" si="25"/>
        <v>27.839465920662601</v>
      </c>
      <c r="BA114" s="3195">
        <f t="shared" ca="1" si="25"/>
        <v>28.214174613190501</v>
      </c>
      <c r="BB114" s="3195">
        <f t="shared" ca="1" si="25"/>
        <v>28.818736787732544</v>
      </c>
      <c r="BC114" s="3195">
        <f t="shared" ca="1" si="25"/>
        <v>29.547191973188458</v>
      </c>
      <c r="BD114" s="3195">
        <f t="shared" ca="1" si="25"/>
        <v>30.1269079068569</v>
      </c>
      <c r="BE114" s="3195">
        <f t="shared" ca="1" si="25"/>
        <v>30.883052378725075</v>
      </c>
      <c r="BF114" s="3195">
        <f t="shared" ca="1" si="25"/>
        <v>31.563217872069288</v>
      </c>
      <c r="BG114" s="3195">
        <f t="shared" ca="1" si="25"/>
        <v>32.150758021878929</v>
      </c>
      <c r="BH114" s="3169"/>
      <c r="BI114" s="3821"/>
      <c r="BJ114" s="3148"/>
      <c r="BK114" s="832"/>
      <c r="BL114" s="828"/>
      <c r="BM114" s="832"/>
      <c r="BN114" s="3195"/>
      <c r="BO114" s="3195"/>
      <c r="BP114" s="3184"/>
      <c r="BQ114" s="3184"/>
      <c r="BR114" s="3184"/>
      <c r="BS114" s="3184"/>
      <c r="BT114" s="3184"/>
      <c r="BU114" s="3184"/>
    </row>
    <row r="115" spans="2:84">
      <c r="B115" s="3148"/>
      <c r="C115" s="3194"/>
      <c r="D115" s="832"/>
      <c r="E115" s="3192"/>
      <c r="F115" s="832"/>
      <c r="G115" s="832"/>
      <c r="H115" s="3159"/>
      <c r="I115" s="3159"/>
      <c r="J115" s="3159"/>
      <c r="K115" s="3159"/>
      <c r="L115" s="3159"/>
      <c r="M115" s="3159"/>
      <c r="N115" s="3159"/>
      <c r="O115" s="3159"/>
      <c r="P115" s="3159"/>
      <c r="Q115" s="3159"/>
      <c r="R115" s="3159"/>
      <c r="S115" s="3159"/>
      <c r="T115" s="3159"/>
      <c r="U115" s="3159"/>
      <c r="V115" s="3159"/>
      <c r="W115" s="3159"/>
      <c r="X115" s="3159"/>
      <c r="Y115" s="3159"/>
      <c r="Z115" s="3159"/>
      <c r="AA115" s="3159"/>
      <c r="AB115" s="3159"/>
      <c r="AC115" s="3159"/>
      <c r="AD115" s="3159"/>
      <c r="AE115" s="3159"/>
      <c r="AF115" s="3159"/>
      <c r="AG115" s="3159"/>
      <c r="AH115" s="3159"/>
      <c r="AI115" s="3159"/>
      <c r="AJ115" s="3159"/>
      <c r="AK115" s="3159"/>
      <c r="AL115" s="3159"/>
      <c r="AM115" s="3159"/>
      <c r="AN115" s="3159"/>
      <c r="AO115" s="3159"/>
      <c r="AP115" s="3159"/>
      <c r="AQ115" s="3159"/>
      <c r="AR115" s="3159"/>
      <c r="AS115" s="3159"/>
      <c r="AT115" s="3159"/>
      <c r="AU115" s="3159"/>
      <c r="AV115" s="3159"/>
      <c r="AW115" s="3159"/>
      <c r="AX115" s="3192"/>
      <c r="AY115" s="3192"/>
      <c r="AZ115" s="3192"/>
      <c r="BA115" s="3192"/>
      <c r="BB115" s="3192"/>
      <c r="BC115" s="3192"/>
      <c r="BD115" s="3192"/>
      <c r="BE115" s="3192"/>
      <c r="BF115" s="3192"/>
      <c r="BG115" s="3192"/>
      <c r="BH115" s="3169"/>
      <c r="BJ115" s="3148"/>
      <c r="BK115" s="3194"/>
      <c r="BL115" s="832"/>
      <c r="BM115" s="3192"/>
      <c r="BN115" s="832"/>
      <c r="BO115" s="832"/>
      <c r="BP115" s="3159"/>
      <c r="BQ115" s="3159"/>
      <c r="BR115" s="3159"/>
      <c r="BS115" s="3159"/>
      <c r="BT115" s="3159"/>
      <c r="BU115" s="3159"/>
    </row>
    <row r="116" spans="2:84">
      <c r="B116" s="3148"/>
      <c r="C116" s="829"/>
      <c r="D116" s="829" t="str">
        <f>Preferences.PowerUnits&amp;" installed capacity"</f>
        <v>GW installed capacity</v>
      </c>
      <c r="E116" s="829"/>
      <c r="F116" s="829" t="s">
        <v>2673</v>
      </c>
      <c r="G116" s="829"/>
      <c r="H116" s="3196"/>
      <c r="I116" s="3196"/>
      <c r="J116" s="3196"/>
      <c r="K116" s="3196"/>
      <c r="L116" s="3196"/>
      <c r="M116" s="3196"/>
      <c r="N116" s="3196"/>
      <c r="O116" s="3196"/>
      <c r="P116" s="3196"/>
      <c r="Q116" s="3196"/>
      <c r="R116" s="3196"/>
      <c r="S116" s="3196"/>
      <c r="T116" s="3196"/>
      <c r="U116" s="3196"/>
      <c r="V116" s="3196"/>
      <c r="W116" s="3196"/>
      <c r="X116" s="3196"/>
      <c r="Y116" s="3196"/>
      <c r="Z116" s="3196"/>
      <c r="AA116" s="3196"/>
      <c r="AB116" s="3196"/>
      <c r="AC116" s="3196"/>
      <c r="AD116" s="3196"/>
      <c r="AE116" s="3196"/>
      <c r="AF116" s="3196"/>
      <c r="AG116" s="3196"/>
      <c r="AH116" s="3196"/>
      <c r="AI116" s="3196"/>
      <c r="AJ116" s="3196"/>
      <c r="AK116" s="3196"/>
      <c r="AL116" s="3196"/>
      <c r="AM116" s="3196"/>
      <c r="AN116" s="3196"/>
      <c r="AO116" s="3196"/>
      <c r="AP116" s="3196"/>
      <c r="AQ116" s="3196"/>
      <c r="AR116" s="3196"/>
      <c r="AS116" s="3196"/>
      <c r="AT116" s="3196"/>
      <c r="AU116" s="3196"/>
      <c r="AV116" s="3196"/>
      <c r="AW116" s="3196"/>
      <c r="AX116" s="829"/>
      <c r="AY116" s="3182">
        <v>2013</v>
      </c>
      <c r="AZ116" s="3182">
        <v>2015</v>
      </c>
      <c r="BA116" s="3182">
        <v>2020</v>
      </c>
      <c r="BB116" s="3182">
        <v>2025</v>
      </c>
      <c r="BC116" s="3182">
        <v>2030</v>
      </c>
      <c r="BD116" s="3182">
        <v>2035</v>
      </c>
      <c r="BE116" s="3182">
        <v>2040</v>
      </c>
      <c r="BF116" s="3182">
        <v>2045</v>
      </c>
      <c r="BG116" s="3182">
        <v>2050</v>
      </c>
      <c r="BH116" s="3169"/>
      <c r="BJ116" s="3148"/>
      <c r="BK116" s="832"/>
      <c r="BL116" s="832"/>
      <c r="BM116" s="832"/>
      <c r="BN116" s="832"/>
      <c r="BO116" s="832"/>
      <c r="BP116" s="3159"/>
      <c r="BQ116" s="3159"/>
      <c r="BR116" s="3159"/>
      <c r="BS116" s="3159"/>
      <c r="BT116" s="3159"/>
      <c r="BU116" s="3159"/>
      <c r="CF116" s="4122" t="s">
        <v>5</v>
      </c>
    </row>
    <row r="117" spans="2:84">
      <c r="B117" s="3148"/>
      <c r="C117" s="3183" t="s">
        <v>556</v>
      </c>
      <c r="D117" s="832" t="s">
        <v>2541</v>
      </c>
      <c r="E117" s="3183"/>
      <c r="F117" s="3192">
        <f>SUM(F118:F120)</f>
        <v>6.05</v>
      </c>
      <c r="G117" s="3192"/>
      <c r="H117" s="3193"/>
      <c r="I117" s="3193"/>
      <c r="J117" s="3193"/>
      <c r="K117" s="3193"/>
      <c r="L117" s="3193"/>
      <c r="M117" s="3193"/>
      <c r="N117" s="3193"/>
      <c r="O117" s="3193"/>
      <c r="P117" s="3193"/>
      <c r="Q117" s="3193"/>
      <c r="R117" s="3193"/>
      <c r="S117" s="3193"/>
      <c r="T117" s="3193"/>
      <c r="U117" s="3193"/>
      <c r="V117" s="3193"/>
      <c r="W117" s="3193"/>
      <c r="X117" s="3193"/>
      <c r="Y117" s="3193"/>
      <c r="Z117" s="3193"/>
      <c r="AA117" s="3193"/>
      <c r="AB117" s="3193"/>
      <c r="AC117" s="3193"/>
      <c r="AD117" s="3193"/>
      <c r="AE117" s="3193"/>
      <c r="AF117" s="3193"/>
      <c r="AG117" s="3193"/>
      <c r="AH117" s="3193"/>
      <c r="AI117" s="3193"/>
      <c r="AJ117" s="3193"/>
      <c r="AK117" s="3193"/>
      <c r="AL117" s="3193"/>
      <c r="AM117" s="3193"/>
      <c r="AN117" s="3193"/>
      <c r="AO117" s="3193"/>
      <c r="AP117" s="3193"/>
      <c r="AQ117" s="3193"/>
      <c r="AR117" s="3193"/>
      <c r="AS117" s="3193"/>
      <c r="AT117" s="3193"/>
      <c r="AU117" s="3193"/>
      <c r="AV117" s="3193"/>
      <c r="AW117" s="3193"/>
      <c r="AX117" s="3183"/>
      <c r="AY117" s="3197">
        <f ca="1">IFERROR(INDEX(INDIRECT($C117&amp;".info["&amp;AY$116&amp;"]"), MATCH("B.02", INDIRECT($C117&amp;".info[Vector]"), 0)), 0)</f>
        <v>5.909436210122343</v>
      </c>
      <c r="AZ117" s="3197">
        <f t="shared" ref="AZ117:BG131" ca="1" si="26">IFERROR(INDEX(INDIRECT($C117&amp;".info["&amp;AZ$116&amp;"]"), MATCH("B.02", INDIRECT($C117&amp;".info[Vector]"), 0)), 0)</f>
        <v>5.8208082004340493</v>
      </c>
      <c r="BA117" s="3197">
        <f t="shared" ca="1" si="26"/>
        <v>3.983333427834185</v>
      </c>
      <c r="BB117" s="3197">
        <f t="shared" ca="1" si="26"/>
        <v>2.7490402363380202</v>
      </c>
      <c r="BC117" s="3197">
        <f t="shared" ca="1" si="26"/>
        <v>0.95500000000000007</v>
      </c>
      <c r="BD117" s="3197">
        <f t="shared" ca="1" si="26"/>
        <v>1.2010000000000001</v>
      </c>
      <c r="BE117" s="3197">
        <f t="shared" ca="1" si="26"/>
        <v>1.2010000000000001</v>
      </c>
      <c r="BF117" s="3197">
        <f t="shared" ca="1" si="26"/>
        <v>1.2010000000000001</v>
      </c>
      <c r="BG117" s="3197">
        <f t="shared" ca="1" si="26"/>
        <v>1.2010000000000001</v>
      </c>
      <c r="BH117" s="3169"/>
      <c r="BJ117" s="3148"/>
      <c r="BK117" s="3183"/>
      <c r="BL117" s="832"/>
      <c r="BM117" s="3183"/>
      <c r="BN117" s="3192"/>
      <c r="BO117" s="3192"/>
      <c r="BP117" s="3193"/>
      <c r="BQ117" s="3193"/>
      <c r="BR117" s="3193"/>
      <c r="BS117" s="3193"/>
      <c r="BT117" s="3193"/>
      <c r="BU117" s="3193"/>
    </row>
    <row r="118" spans="2:84">
      <c r="B118" s="3148"/>
      <c r="C118" s="832" t="s">
        <v>2400</v>
      </c>
      <c r="D118" s="832" t="s">
        <v>2542</v>
      </c>
      <c r="E118" s="3183"/>
      <c r="F118" s="3192">
        <f>(Unit.GW)*1.1</f>
        <v>1.1000000000000001</v>
      </c>
      <c r="G118" s="3192"/>
      <c r="H118" s="3193"/>
      <c r="I118" s="3193"/>
      <c r="J118" s="3193"/>
      <c r="K118" s="3193"/>
      <c r="L118" s="3193"/>
      <c r="M118" s="3193"/>
      <c r="N118" s="3193"/>
      <c r="O118" s="3193"/>
      <c r="P118" s="3193"/>
      <c r="Q118" s="3193"/>
      <c r="R118" s="3193"/>
      <c r="S118" s="3193"/>
      <c r="T118" s="3193"/>
      <c r="U118" s="3193"/>
      <c r="V118" s="3193"/>
      <c r="W118" s="3193"/>
      <c r="X118" s="3193"/>
      <c r="Y118" s="3193"/>
      <c r="Z118" s="3193"/>
      <c r="AA118" s="3193"/>
      <c r="AB118" s="3193"/>
      <c r="AC118" s="3193"/>
      <c r="AD118" s="3193"/>
      <c r="AE118" s="3193"/>
      <c r="AF118" s="3193"/>
      <c r="AG118" s="3193"/>
      <c r="AH118" s="3193"/>
      <c r="AI118" s="3193"/>
      <c r="AJ118" s="3193"/>
      <c r="AK118" s="3193"/>
      <c r="AL118" s="3193"/>
      <c r="AM118" s="3193"/>
      <c r="AN118" s="3193"/>
      <c r="AO118" s="3193"/>
      <c r="AP118" s="3193"/>
      <c r="AQ118" s="3193"/>
      <c r="AR118" s="3193"/>
      <c r="AS118" s="3193"/>
      <c r="AT118" s="3193"/>
      <c r="AU118" s="3193"/>
      <c r="AV118" s="3193"/>
      <c r="AW118" s="3193"/>
      <c r="AX118" s="3183"/>
      <c r="AY118" s="3197">
        <f t="shared" ref="AY118:AY131" ca="1" si="27">IFERROR(INDEX(INDIRECT($C118&amp;".info["&amp;AY$116&amp;"]"), MATCH("B.02", INDIRECT($C118&amp;".info[Vector]"), 0)), 0)</f>
        <v>1.1000000000000001</v>
      </c>
      <c r="AZ118" s="3197">
        <f t="shared" ca="1" si="26"/>
        <v>0.91600000000000004</v>
      </c>
      <c r="BA118" s="3197">
        <f t="shared" ca="1" si="26"/>
        <v>0.32400000000000001</v>
      </c>
      <c r="BB118" s="3197">
        <f t="shared" ca="1" si="26"/>
        <v>0.32400000000000001</v>
      </c>
      <c r="BC118" s="3197">
        <f t="shared" ca="1" si="26"/>
        <v>0.32400000000000001</v>
      </c>
      <c r="BD118" s="3197">
        <f t="shared" ca="1" si="26"/>
        <v>0</v>
      </c>
      <c r="BE118" s="3197">
        <f t="shared" ca="1" si="26"/>
        <v>0</v>
      </c>
      <c r="BF118" s="3197">
        <f t="shared" ca="1" si="26"/>
        <v>0</v>
      </c>
      <c r="BG118" s="3197">
        <f t="shared" ca="1" si="26"/>
        <v>0</v>
      </c>
      <c r="BH118" s="3169"/>
      <c r="BJ118" s="3148"/>
      <c r="BK118" s="832"/>
      <c r="BL118" s="832"/>
      <c r="BM118" s="3183"/>
      <c r="BN118" s="3192"/>
      <c r="BO118" s="3192"/>
      <c r="BP118" s="3193"/>
      <c r="BQ118" s="3193"/>
      <c r="BR118" s="3193"/>
      <c r="BS118" s="3193"/>
      <c r="BT118" s="3193"/>
      <c r="BU118" s="3193"/>
    </row>
    <row r="119" spans="2:84">
      <c r="B119" s="3148"/>
      <c r="C119" s="832" t="s">
        <v>2401</v>
      </c>
      <c r="D119" s="832" t="s">
        <v>2854</v>
      </c>
      <c r="E119" s="3183"/>
      <c r="F119" s="3192">
        <f>(Unit.GW)*1.2</f>
        <v>1.2</v>
      </c>
      <c r="G119" s="3192"/>
      <c r="H119" s="3193"/>
      <c r="I119" s="3193"/>
      <c r="J119" s="3193"/>
      <c r="K119" s="3193"/>
      <c r="L119" s="3193"/>
      <c r="M119" s="3193"/>
      <c r="N119" s="3193"/>
      <c r="O119" s="3193"/>
      <c r="P119" s="3193"/>
      <c r="Q119" s="3193"/>
      <c r="R119" s="3193"/>
      <c r="S119" s="3193"/>
      <c r="T119" s="3193"/>
      <c r="U119" s="3193"/>
      <c r="V119" s="3193"/>
      <c r="W119" s="3193"/>
      <c r="X119" s="3193"/>
      <c r="Y119" s="3193"/>
      <c r="Z119" s="3193"/>
      <c r="AA119" s="3193"/>
      <c r="AB119" s="3193"/>
      <c r="AC119" s="3193"/>
      <c r="AD119" s="3193"/>
      <c r="AE119" s="3193"/>
      <c r="AF119" s="3193"/>
      <c r="AG119" s="3193"/>
      <c r="AH119" s="3193"/>
      <c r="AI119" s="3193"/>
      <c r="AJ119" s="3193"/>
      <c r="AK119" s="3193"/>
      <c r="AL119" s="3193"/>
      <c r="AM119" s="3193"/>
      <c r="AN119" s="3193"/>
      <c r="AO119" s="3193"/>
      <c r="AP119" s="3193"/>
      <c r="AQ119" s="3193"/>
      <c r="AR119" s="3193"/>
      <c r="AS119" s="3193"/>
      <c r="AT119" s="3193"/>
      <c r="AU119" s="3193"/>
      <c r="AV119" s="3193"/>
      <c r="AW119" s="3193"/>
      <c r="AX119" s="3183"/>
      <c r="AY119" s="3197">
        <f t="shared" ca="1" si="27"/>
        <v>1.216</v>
      </c>
      <c r="AZ119" s="3197">
        <f t="shared" ca="1" si="26"/>
        <v>1.2009999999999998</v>
      </c>
      <c r="BA119" s="3197">
        <f t="shared" ca="1" si="26"/>
        <v>0.91600000000000004</v>
      </c>
      <c r="BB119" s="3197">
        <f t="shared" ca="1" si="26"/>
        <v>0.91600000000000004</v>
      </c>
      <c r="BC119" s="3197">
        <f t="shared" ca="1" si="26"/>
        <v>0.63100000000000001</v>
      </c>
      <c r="BD119" s="3197">
        <f t="shared" ca="1" si="26"/>
        <v>1.2010000000000001</v>
      </c>
      <c r="BE119" s="3197">
        <f t="shared" ca="1" si="26"/>
        <v>1.2010000000000001</v>
      </c>
      <c r="BF119" s="3197">
        <f t="shared" ca="1" si="26"/>
        <v>1.2010000000000001</v>
      </c>
      <c r="BG119" s="3197">
        <f t="shared" ca="1" si="26"/>
        <v>1.2010000000000001</v>
      </c>
      <c r="BH119" s="3169"/>
      <c r="BJ119" s="3148"/>
      <c r="BK119" s="832"/>
      <c r="BL119" s="832"/>
      <c r="BM119" s="3183"/>
      <c r="BN119" s="3192"/>
      <c r="BO119" s="3192"/>
      <c r="BP119" s="3193"/>
      <c r="BQ119" s="3193"/>
      <c r="BR119" s="3193"/>
      <c r="BS119" s="3193"/>
      <c r="BT119" s="3193"/>
      <c r="BU119" s="3193"/>
    </row>
    <row r="120" spans="2:84">
      <c r="B120" s="3148"/>
      <c r="C120" s="832" t="s">
        <v>2398</v>
      </c>
      <c r="D120" s="832" t="s">
        <v>2543</v>
      </c>
      <c r="E120" s="3183"/>
      <c r="F120" s="3192">
        <f>(Unit.GW)*3.75</f>
        <v>3.75</v>
      </c>
      <c r="G120" s="3192"/>
      <c r="H120" s="3193"/>
      <c r="I120" s="3193"/>
      <c r="J120" s="3193"/>
      <c r="K120" s="3193"/>
      <c r="L120" s="3193"/>
      <c r="M120" s="3193"/>
      <c r="N120" s="3193"/>
      <c r="O120" s="3193"/>
      <c r="P120" s="3193"/>
      <c r="Q120" s="3193"/>
      <c r="R120" s="3193"/>
      <c r="S120" s="3193"/>
      <c r="T120" s="3193"/>
      <c r="U120" s="3193"/>
      <c r="V120" s="3193"/>
      <c r="W120" s="3193"/>
      <c r="X120" s="3193"/>
      <c r="Y120" s="3193"/>
      <c r="Z120" s="3193"/>
      <c r="AA120" s="3193"/>
      <c r="AB120" s="3193"/>
      <c r="AC120" s="3193"/>
      <c r="AD120" s="3193"/>
      <c r="AE120" s="3193"/>
      <c r="AF120" s="3193"/>
      <c r="AG120" s="3193"/>
      <c r="AH120" s="3193"/>
      <c r="AI120" s="3193"/>
      <c r="AJ120" s="3193"/>
      <c r="AK120" s="3193"/>
      <c r="AL120" s="3193"/>
      <c r="AM120" s="3193"/>
      <c r="AN120" s="3193"/>
      <c r="AO120" s="3193"/>
      <c r="AP120" s="3193"/>
      <c r="AQ120" s="3193"/>
      <c r="AR120" s="3193"/>
      <c r="AS120" s="3193"/>
      <c r="AT120" s="3193"/>
      <c r="AU120" s="3193"/>
      <c r="AV120" s="3193"/>
      <c r="AW120" s="3193"/>
      <c r="AX120" s="3183"/>
      <c r="AY120" s="3197">
        <f t="shared" ca="1" si="27"/>
        <v>3.5934362101223432</v>
      </c>
      <c r="AZ120" s="3197">
        <f t="shared" ca="1" si="26"/>
        <v>3.7038082004340493</v>
      </c>
      <c r="BA120" s="3197">
        <f t="shared" ca="1" si="26"/>
        <v>2.7433334278341852</v>
      </c>
      <c r="BB120" s="3197">
        <f t="shared" ca="1" si="26"/>
        <v>1.50904023633802</v>
      </c>
      <c r="BC120" s="3197">
        <f t="shared" ca="1" si="26"/>
        <v>0</v>
      </c>
      <c r="BD120" s="3197">
        <f t="shared" ca="1" si="26"/>
        <v>0</v>
      </c>
      <c r="BE120" s="3197">
        <f t="shared" ca="1" si="26"/>
        <v>0</v>
      </c>
      <c r="BF120" s="3197">
        <f t="shared" ca="1" si="26"/>
        <v>0</v>
      </c>
      <c r="BG120" s="3197">
        <f t="shared" ca="1" si="26"/>
        <v>0</v>
      </c>
      <c r="BH120" s="3169"/>
      <c r="BJ120" s="3148"/>
      <c r="BK120" s="832"/>
      <c r="BL120" s="832"/>
      <c r="BM120" s="3183"/>
      <c r="BN120" s="3192"/>
      <c r="BO120" s="3192"/>
      <c r="BP120" s="3193"/>
      <c r="BQ120" s="3193"/>
      <c r="BR120" s="3193"/>
      <c r="BS120" s="3193"/>
      <c r="BT120" s="3193"/>
      <c r="BU120" s="3193"/>
    </row>
    <row r="121" spans="2:84">
      <c r="B121" s="3148"/>
      <c r="C121" s="3183" t="s">
        <v>553</v>
      </c>
      <c r="D121" s="3183" t="s">
        <v>554</v>
      </c>
      <c r="E121" s="3183"/>
      <c r="F121" s="3192">
        <v>0</v>
      </c>
      <c r="G121" s="3192"/>
      <c r="H121" s="3193"/>
      <c r="I121" s="3193"/>
      <c r="J121" s="3193"/>
      <c r="K121" s="3193"/>
      <c r="L121" s="3193"/>
      <c r="M121" s="3193"/>
      <c r="N121" s="3193"/>
      <c r="O121" s="3193"/>
      <c r="P121" s="3193"/>
      <c r="Q121" s="3193"/>
      <c r="R121" s="3193"/>
      <c r="S121" s="3193"/>
      <c r="T121" s="3193"/>
      <c r="U121" s="3193"/>
      <c r="V121" s="3193"/>
      <c r="W121" s="3193"/>
      <c r="X121" s="3193"/>
      <c r="Y121" s="3193"/>
      <c r="Z121" s="3193"/>
      <c r="AA121" s="3193"/>
      <c r="AB121" s="3193"/>
      <c r="AC121" s="3193"/>
      <c r="AD121" s="3193"/>
      <c r="AE121" s="3193"/>
      <c r="AF121" s="3193"/>
      <c r="AG121" s="3193"/>
      <c r="AH121" s="3193"/>
      <c r="AI121" s="3193"/>
      <c r="AJ121" s="3193"/>
      <c r="AK121" s="3193"/>
      <c r="AL121" s="3193"/>
      <c r="AM121" s="3193"/>
      <c r="AN121" s="3193"/>
      <c r="AO121" s="3193"/>
      <c r="AP121" s="3193"/>
      <c r="AQ121" s="3193"/>
      <c r="AR121" s="3193"/>
      <c r="AS121" s="3193"/>
      <c r="AT121" s="3193"/>
      <c r="AU121" s="3193"/>
      <c r="AV121" s="3193"/>
      <c r="AW121" s="3193"/>
      <c r="AX121" s="3183"/>
      <c r="AY121" s="3197">
        <f t="shared" ca="1" si="27"/>
        <v>0</v>
      </c>
      <c r="AZ121" s="3197">
        <f t="shared" ca="1" si="26"/>
        <v>0</v>
      </c>
      <c r="BA121" s="3197">
        <f t="shared" ca="1" si="26"/>
        <v>0</v>
      </c>
      <c r="BB121" s="3197">
        <f t="shared" ca="1" si="26"/>
        <v>0</v>
      </c>
      <c r="BC121" s="3197">
        <f t="shared" ca="1" si="26"/>
        <v>0</v>
      </c>
      <c r="BD121" s="3197">
        <f t="shared" ca="1" si="26"/>
        <v>0.5</v>
      </c>
      <c r="BE121" s="3197">
        <f t="shared" ca="1" si="26"/>
        <v>1.5</v>
      </c>
      <c r="BF121" s="3197">
        <f t="shared" ca="1" si="26"/>
        <v>2.5</v>
      </c>
      <c r="BG121" s="3197">
        <f t="shared" ca="1" si="26"/>
        <v>3.5</v>
      </c>
      <c r="BH121" s="3169"/>
      <c r="BJ121" s="3148"/>
      <c r="BK121" s="3183"/>
      <c r="BL121" s="3183"/>
      <c r="BM121" s="3183"/>
      <c r="BN121" s="3192"/>
      <c r="BO121" s="3192"/>
      <c r="BP121" s="3193"/>
      <c r="BQ121" s="3193"/>
      <c r="BR121" s="3193"/>
      <c r="BS121" s="3193"/>
      <c r="BT121" s="3193"/>
      <c r="BU121" s="3193"/>
    </row>
    <row r="122" spans="2:84">
      <c r="B122" s="3148"/>
      <c r="C122" s="3183" t="s">
        <v>548</v>
      </c>
      <c r="D122" s="3183" t="s">
        <v>549</v>
      </c>
      <c r="E122" s="3183"/>
      <c r="F122" s="3192">
        <v>0</v>
      </c>
      <c r="G122" s="3192"/>
      <c r="H122" s="3193"/>
      <c r="I122" s="3193"/>
      <c r="J122" s="3193"/>
      <c r="K122" s="3193"/>
      <c r="L122" s="3193"/>
      <c r="M122" s="3193"/>
      <c r="N122" s="3193"/>
      <c r="O122" s="3193"/>
      <c r="P122" s="3193"/>
      <c r="Q122" s="3193"/>
      <c r="R122" s="3193"/>
      <c r="S122" s="3193"/>
      <c r="T122" s="3193"/>
      <c r="U122" s="3193"/>
      <c r="V122" s="3193"/>
      <c r="W122" s="3193"/>
      <c r="X122" s="3193"/>
      <c r="Y122" s="3193"/>
      <c r="Z122" s="3193"/>
      <c r="AA122" s="3193"/>
      <c r="AB122" s="3193"/>
      <c r="AC122" s="3193"/>
      <c r="AD122" s="3193"/>
      <c r="AE122" s="3193"/>
      <c r="AF122" s="3193"/>
      <c r="AG122" s="3193"/>
      <c r="AH122" s="3193"/>
      <c r="AI122" s="3193"/>
      <c r="AJ122" s="3193"/>
      <c r="AK122" s="3193"/>
      <c r="AL122" s="3193"/>
      <c r="AM122" s="3193"/>
      <c r="AN122" s="3193"/>
      <c r="AO122" s="3193"/>
      <c r="AP122" s="3193"/>
      <c r="AQ122" s="3193"/>
      <c r="AR122" s="3193"/>
      <c r="AS122" s="3193"/>
      <c r="AT122" s="3193"/>
      <c r="AU122" s="3193"/>
      <c r="AV122" s="3193"/>
      <c r="AW122" s="3193"/>
      <c r="AX122" s="3183"/>
      <c r="AY122" s="3197">
        <f t="shared" ca="1" si="27"/>
        <v>0</v>
      </c>
      <c r="AZ122" s="3197">
        <f t="shared" ca="1" si="26"/>
        <v>0</v>
      </c>
      <c r="BA122" s="3197">
        <f t="shared" ca="1" si="26"/>
        <v>0</v>
      </c>
      <c r="BB122" s="3197">
        <f t="shared" ca="1" si="26"/>
        <v>0</v>
      </c>
      <c r="BC122" s="3197">
        <f t="shared" ca="1" si="26"/>
        <v>1</v>
      </c>
      <c r="BD122" s="3197">
        <f t="shared" ca="1" si="26"/>
        <v>1</v>
      </c>
      <c r="BE122" s="3197">
        <f t="shared" ca="1" si="26"/>
        <v>1</v>
      </c>
      <c r="BF122" s="3197">
        <f t="shared" ca="1" si="26"/>
        <v>1</v>
      </c>
      <c r="BG122" s="3197">
        <f t="shared" ca="1" si="26"/>
        <v>1</v>
      </c>
      <c r="BH122" s="3169"/>
      <c r="BJ122" s="3148"/>
      <c r="BK122" s="3183"/>
      <c r="BL122" s="3183"/>
      <c r="BM122" s="3183"/>
      <c r="BN122" s="3192"/>
      <c r="BO122" s="3192"/>
      <c r="BP122" s="3193"/>
      <c r="BQ122" s="3193"/>
      <c r="BR122" s="3193"/>
      <c r="BS122" s="3193"/>
      <c r="BT122" s="3193"/>
      <c r="BU122" s="3193"/>
    </row>
    <row r="123" spans="2:84">
      <c r="B123" s="3148"/>
      <c r="C123" s="3186" t="s">
        <v>520</v>
      </c>
      <c r="D123" s="3186" t="s">
        <v>521</v>
      </c>
      <c r="E123" s="3183"/>
      <c r="F123" s="3192">
        <f>(Unit.GW)*1.817</f>
        <v>1.8169999999999999</v>
      </c>
      <c r="G123" s="3192"/>
      <c r="H123" s="3193"/>
      <c r="I123" s="3193"/>
      <c r="J123" s="3193"/>
      <c r="K123" s="3193"/>
      <c r="L123" s="3193"/>
      <c r="M123" s="3193"/>
      <c r="N123" s="3193"/>
      <c r="O123" s="3193"/>
      <c r="P123" s="3193"/>
      <c r="Q123" s="3193"/>
      <c r="R123" s="3193"/>
      <c r="S123" s="3193"/>
      <c r="T123" s="3193"/>
      <c r="U123" s="3193"/>
      <c r="V123" s="3193"/>
      <c r="W123" s="3193"/>
      <c r="X123" s="3193"/>
      <c r="Y123" s="3193"/>
      <c r="Z123" s="3193"/>
      <c r="AA123" s="3193"/>
      <c r="AB123" s="3193"/>
      <c r="AC123" s="3193"/>
      <c r="AD123" s="3193"/>
      <c r="AE123" s="3193"/>
      <c r="AF123" s="3193"/>
      <c r="AG123" s="3193"/>
      <c r="AH123" s="3193"/>
      <c r="AI123" s="3193"/>
      <c r="AJ123" s="3193"/>
      <c r="AK123" s="3193"/>
      <c r="AL123" s="3193"/>
      <c r="AM123" s="3193"/>
      <c r="AN123" s="3193"/>
      <c r="AO123" s="3193"/>
      <c r="AP123" s="3193"/>
      <c r="AQ123" s="3193"/>
      <c r="AR123" s="3193"/>
      <c r="AS123" s="3193"/>
      <c r="AT123" s="3193"/>
      <c r="AU123" s="3193"/>
      <c r="AV123" s="3193"/>
      <c r="AW123" s="3193"/>
      <c r="AX123" s="3183"/>
      <c r="AY123" s="3349">
        <f t="shared" ca="1" si="27"/>
        <v>1.8</v>
      </c>
      <c r="AZ123" s="3197">
        <f t="shared" ca="1" si="26"/>
        <v>2.14</v>
      </c>
      <c r="BA123" s="3197">
        <f t="shared" ca="1" si="26"/>
        <v>3.49</v>
      </c>
      <c r="BB123" s="3197">
        <f t="shared" ca="1" si="26"/>
        <v>5.1400000000000006</v>
      </c>
      <c r="BC123" s="3197">
        <f t="shared" ca="1" si="26"/>
        <v>7.6400000000000006</v>
      </c>
      <c r="BD123" s="3197">
        <f t="shared" ca="1" si="26"/>
        <v>8.64</v>
      </c>
      <c r="BE123" s="3197">
        <f t="shared" ca="1" si="26"/>
        <v>8.64</v>
      </c>
      <c r="BF123" s="3197">
        <f t="shared" ca="1" si="26"/>
        <v>8.64</v>
      </c>
      <c r="BG123" s="3197">
        <f t="shared" ca="1" si="26"/>
        <v>8.64</v>
      </c>
      <c r="BH123" s="3169"/>
      <c r="BJ123" s="3148"/>
      <c r="BK123" s="3186"/>
      <c r="BL123" s="3186"/>
      <c r="BM123" s="3183"/>
      <c r="BN123" s="3192"/>
      <c r="BO123" s="3192"/>
      <c r="BP123" s="3193"/>
      <c r="BQ123" s="3193"/>
      <c r="BR123" s="3193"/>
      <c r="BS123" s="3193"/>
      <c r="BT123" s="3193"/>
      <c r="BU123" s="3193"/>
    </row>
    <row r="124" spans="2:84">
      <c r="B124" s="3148"/>
      <c r="C124" s="3186" t="s">
        <v>522</v>
      </c>
      <c r="D124" s="3186" t="s">
        <v>523</v>
      </c>
      <c r="E124" s="3183"/>
      <c r="F124" s="3192">
        <f>(Unit.GW)*0.025</f>
        <v>2.5000000000000001E-2</v>
      </c>
      <c r="G124" s="3192"/>
      <c r="H124" s="3193"/>
      <c r="I124" s="3193"/>
      <c r="J124" s="3193"/>
      <c r="K124" s="3193"/>
      <c r="L124" s="3193"/>
      <c r="M124" s="3193"/>
      <c r="N124" s="3193"/>
      <c r="O124" s="3193"/>
      <c r="P124" s="3193"/>
      <c r="Q124" s="3193"/>
      <c r="R124" s="3193"/>
      <c r="S124" s="3193"/>
      <c r="T124" s="3193"/>
      <c r="U124" s="3193"/>
      <c r="V124" s="3193"/>
      <c r="W124" s="3193"/>
      <c r="X124" s="3193"/>
      <c r="Y124" s="3193"/>
      <c r="Z124" s="3193"/>
      <c r="AA124" s="3193"/>
      <c r="AB124" s="3193"/>
      <c r="AC124" s="3193"/>
      <c r="AD124" s="3193"/>
      <c r="AE124" s="3193"/>
      <c r="AF124" s="3193"/>
      <c r="AG124" s="3193"/>
      <c r="AH124" s="3193"/>
      <c r="AI124" s="3193"/>
      <c r="AJ124" s="3193"/>
      <c r="AK124" s="3193"/>
      <c r="AL124" s="3193"/>
      <c r="AM124" s="3193"/>
      <c r="AN124" s="3193"/>
      <c r="AO124" s="3193"/>
      <c r="AP124" s="3193"/>
      <c r="AQ124" s="3193"/>
      <c r="AR124" s="3193"/>
      <c r="AS124" s="3193"/>
      <c r="AT124" s="3193"/>
      <c r="AU124" s="3193"/>
      <c r="AV124" s="3193"/>
      <c r="AW124" s="3193"/>
      <c r="AX124" s="3183"/>
      <c r="AY124" s="3349">
        <f t="shared" ca="1" si="27"/>
        <v>2.5000000000000001E-2</v>
      </c>
      <c r="AZ124" s="3197">
        <f t="shared" ca="1" si="26"/>
        <v>2.5000000000000001E-2</v>
      </c>
      <c r="BA124" s="3197">
        <f t="shared" ca="1" si="26"/>
        <v>2.5000000000000001E-2</v>
      </c>
      <c r="BB124" s="3197">
        <f t="shared" ca="1" si="26"/>
        <v>2.5000000000000001E-2</v>
      </c>
      <c r="BC124" s="3197">
        <f t="shared" ca="1" si="26"/>
        <v>0.52500000000000002</v>
      </c>
      <c r="BD124" s="3197">
        <f t="shared" ca="1" si="26"/>
        <v>1.3250000000000002</v>
      </c>
      <c r="BE124" s="3197">
        <f t="shared" ca="1" si="26"/>
        <v>2.3250000000000002</v>
      </c>
      <c r="BF124" s="3197">
        <f t="shared" ca="1" si="26"/>
        <v>4.0750000000000002</v>
      </c>
      <c r="BG124" s="3197">
        <f t="shared" ca="1" si="26"/>
        <v>5.8250000000000002</v>
      </c>
      <c r="BH124" s="3169"/>
      <c r="BJ124" s="3148"/>
      <c r="BK124" s="3186"/>
      <c r="BL124" s="3186"/>
      <c r="BM124" s="3183"/>
      <c r="BN124" s="3192"/>
      <c r="BO124" s="3192"/>
      <c r="BP124" s="3193"/>
      <c r="BQ124" s="3193"/>
      <c r="BR124" s="3193"/>
      <c r="BS124" s="3193"/>
      <c r="BT124" s="3193"/>
      <c r="BU124" s="3193"/>
      <c r="CE124" s="927" t="s">
        <v>3477</v>
      </c>
    </row>
    <row r="125" spans="2:84">
      <c r="B125" s="3148"/>
      <c r="C125" s="3186" t="s">
        <v>524</v>
      </c>
      <c r="D125" s="3186" t="s">
        <v>525</v>
      </c>
      <c r="E125" s="3183"/>
      <c r="F125" s="3192">
        <f>(Unit.GW)*0.216</f>
        <v>0.216</v>
      </c>
      <c r="G125" s="3192"/>
      <c r="H125" s="3193"/>
      <c r="I125" s="3193"/>
      <c r="J125" s="3193"/>
      <c r="K125" s="3193"/>
      <c r="L125" s="3193"/>
      <c r="M125" s="3193"/>
      <c r="N125" s="3193"/>
      <c r="O125" s="3193"/>
      <c r="P125" s="3193"/>
      <c r="Q125" s="3193"/>
      <c r="R125" s="3193"/>
      <c r="S125" s="3193"/>
      <c r="T125" s="3193"/>
      <c r="U125" s="3193"/>
      <c r="V125" s="3193"/>
      <c r="W125" s="3193"/>
      <c r="X125" s="3193"/>
      <c r="Y125" s="3193"/>
      <c r="Z125" s="3193"/>
      <c r="AA125" s="3193"/>
      <c r="AB125" s="3193"/>
      <c r="AC125" s="3193"/>
      <c r="AD125" s="3193"/>
      <c r="AE125" s="3193"/>
      <c r="AF125" s="3193"/>
      <c r="AG125" s="3193"/>
      <c r="AH125" s="3193"/>
      <c r="AI125" s="3193"/>
      <c r="AJ125" s="3193"/>
      <c r="AK125" s="3193"/>
      <c r="AL125" s="3193"/>
      <c r="AM125" s="3193"/>
      <c r="AN125" s="3193"/>
      <c r="AO125" s="3193"/>
      <c r="AP125" s="3193"/>
      <c r="AQ125" s="3193"/>
      <c r="AR125" s="3193"/>
      <c r="AS125" s="3193"/>
      <c r="AT125" s="3193"/>
      <c r="AU125" s="3193"/>
      <c r="AV125" s="3193"/>
      <c r="AW125" s="3193"/>
      <c r="AX125" s="3183"/>
      <c r="AY125" s="3197">
        <f t="shared" ca="1" si="27"/>
        <v>0.23699999999999999</v>
      </c>
      <c r="AZ125" s="3197">
        <f t="shared" ca="1" si="26"/>
        <v>0.23699999999999999</v>
      </c>
      <c r="BA125" s="3197">
        <f t="shared" ca="1" si="26"/>
        <v>0.23699999999999999</v>
      </c>
      <c r="BB125" s="3197">
        <f t="shared" ca="1" si="26"/>
        <v>0.23699999999999999</v>
      </c>
      <c r="BC125" s="3197">
        <f t="shared" ca="1" si="26"/>
        <v>0.23699999999999999</v>
      </c>
      <c r="BD125" s="3197">
        <f t="shared" ca="1" si="26"/>
        <v>0.23699999999999999</v>
      </c>
      <c r="BE125" s="3197">
        <f t="shared" ca="1" si="26"/>
        <v>0.23699999999999999</v>
      </c>
      <c r="BF125" s="3197">
        <f t="shared" ca="1" si="26"/>
        <v>0.23699999999999999</v>
      </c>
      <c r="BG125" s="3197">
        <f t="shared" ca="1" si="26"/>
        <v>0.23699999999999999</v>
      </c>
      <c r="BH125" s="3169"/>
      <c r="BJ125" s="3148"/>
      <c r="BK125" s="3186"/>
      <c r="BL125" s="3186"/>
      <c r="BM125" s="3183"/>
      <c r="BN125" s="3192"/>
      <c r="BO125" s="3192"/>
      <c r="BP125" s="3193"/>
      <c r="BQ125" s="3193"/>
      <c r="BR125" s="3193"/>
      <c r="BS125" s="3193"/>
      <c r="BT125" s="3193"/>
      <c r="BU125" s="3193"/>
      <c r="CE125" s="927" t="s">
        <v>3475</v>
      </c>
    </row>
    <row r="126" spans="2:84">
      <c r="B126" s="3148"/>
      <c r="C126" s="3186" t="s">
        <v>627</v>
      </c>
      <c r="D126" s="3186" t="s">
        <v>399</v>
      </c>
      <c r="E126" s="3183"/>
      <c r="F126" s="3192">
        <v>0</v>
      </c>
      <c r="G126" s="3192"/>
      <c r="H126" s="3193"/>
      <c r="I126" s="3193"/>
      <c r="J126" s="3193"/>
      <c r="K126" s="3193"/>
      <c r="L126" s="3193"/>
      <c r="M126" s="3193"/>
      <c r="N126" s="3193"/>
      <c r="O126" s="3193"/>
      <c r="P126" s="3193"/>
      <c r="Q126" s="3193"/>
      <c r="R126" s="3193"/>
      <c r="S126" s="3193"/>
      <c r="T126" s="3193"/>
      <c r="U126" s="3193"/>
      <c r="V126" s="3193"/>
      <c r="W126" s="3193"/>
      <c r="X126" s="3193"/>
      <c r="Y126" s="3193"/>
      <c r="Z126" s="3193"/>
      <c r="AA126" s="3193"/>
      <c r="AB126" s="3193"/>
      <c r="AC126" s="3193"/>
      <c r="AD126" s="3193"/>
      <c r="AE126" s="3193"/>
      <c r="AF126" s="3193"/>
      <c r="AG126" s="3193"/>
      <c r="AH126" s="3193"/>
      <c r="AI126" s="3193"/>
      <c r="AJ126" s="3193"/>
      <c r="AK126" s="3193"/>
      <c r="AL126" s="3193"/>
      <c r="AM126" s="3193"/>
      <c r="AN126" s="3193"/>
      <c r="AO126" s="3193"/>
      <c r="AP126" s="3193"/>
      <c r="AQ126" s="3193"/>
      <c r="AR126" s="3193"/>
      <c r="AS126" s="3193"/>
      <c r="AT126" s="3193"/>
      <c r="AU126" s="3193"/>
      <c r="AV126" s="3193"/>
      <c r="AW126" s="3193"/>
      <c r="AX126" s="3183"/>
      <c r="AY126" s="3197">
        <f t="shared" ca="1" si="27"/>
        <v>0</v>
      </c>
      <c r="AZ126" s="3197">
        <f t="shared" ca="1" si="26"/>
        <v>1.5220700152207001E-3</v>
      </c>
      <c r="BA126" s="3197">
        <f t="shared" ca="1" si="26"/>
        <v>5.0000000000000001E-3</v>
      </c>
      <c r="BB126" s="3197">
        <f t="shared" ca="1" si="26"/>
        <v>0.15</v>
      </c>
      <c r="BC126" s="3197">
        <f t="shared" ca="1" si="26"/>
        <v>1</v>
      </c>
      <c r="BD126" s="3197">
        <f t="shared" ca="1" si="26"/>
        <v>1.5</v>
      </c>
      <c r="BE126" s="3197">
        <f t="shared" ca="1" si="26"/>
        <v>2</v>
      </c>
      <c r="BF126" s="3197">
        <f t="shared" ca="1" si="26"/>
        <v>2</v>
      </c>
      <c r="BG126" s="3197">
        <f t="shared" ca="1" si="26"/>
        <v>2.4</v>
      </c>
      <c r="BH126" s="3169"/>
      <c r="BJ126" s="3148"/>
      <c r="BK126" s="3186"/>
      <c r="BL126" s="3186"/>
      <c r="BM126" s="3183"/>
      <c r="BN126" s="3192"/>
      <c r="BO126" s="3192"/>
      <c r="BP126" s="3193"/>
      <c r="BQ126" s="3193"/>
      <c r="BR126" s="3193"/>
      <c r="BS126" s="3193"/>
      <c r="BT126" s="3193"/>
      <c r="BU126" s="3193"/>
    </row>
    <row r="127" spans="2:84">
      <c r="B127" s="3148"/>
      <c r="C127" s="3186" t="s">
        <v>629</v>
      </c>
      <c r="D127" s="3186" t="s">
        <v>630</v>
      </c>
      <c r="E127" s="3183"/>
      <c r="F127" s="3192">
        <v>0</v>
      </c>
      <c r="G127" s="3192"/>
      <c r="H127" s="3193"/>
      <c r="I127" s="3193"/>
      <c r="J127" s="3193"/>
      <c r="K127" s="3193"/>
      <c r="L127" s="3193"/>
      <c r="M127" s="3193"/>
      <c r="N127" s="3193"/>
      <c r="O127" s="3193"/>
      <c r="P127" s="3193"/>
      <c r="Q127" s="3193"/>
      <c r="R127" s="3193"/>
      <c r="S127" s="3193"/>
      <c r="T127" s="3193"/>
      <c r="U127" s="3193"/>
      <c r="V127" s="3193"/>
      <c r="W127" s="3193"/>
      <c r="X127" s="3193"/>
      <c r="Y127" s="3193"/>
      <c r="Z127" s="3193"/>
      <c r="AA127" s="3193"/>
      <c r="AB127" s="3193"/>
      <c r="AC127" s="3193"/>
      <c r="AD127" s="3193"/>
      <c r="AE127" s="3193"/>
      <c r="AF127" s="3193"/>
      <c r="AG127" s="3193"/>
      <c r="AH127" s="3193"/>
      <c r="AI127" s="3193"/>
      <c r="AJ127" s="3193"/>
      <c r="AK127" s="3193"/>
      <c r="AL127" s="3193"/>
      <c r="AM127" s="3193"/>
      <c r="AN127" s="3193"/>
      <c r="AO127" s="3193"/>
      <c r="AP127" s="3193"/>
      <c r="AQ127" s="3193"/>
      <c r="AR127" s="3193"/>
      <c r="AS127" s="3193"/>
      <c r="AT127" s="3193"/>
      <c r="AU127" s="3193"/>
      <c r="AV127" s="3193"/>
      <c r="AW127" s="3193"/>
      <c r="AX127" s="3183"/>
      <c r="AY127" s="3197">
        <f t="shared" ca="1" si="27"/>
        <v>0</v>
      </c>
      <c r="AZ127" s="3197">
        <f t="shared" ca="1" si="26"/>
        <v>0</v>
      </c>
      <c r="BA127" s="3197">
        <f t="shared" ca="1" si="26"/>
        <v>0</v>
      </c>
      <c r="BB127" s="3197">
        <f t="shared" ca="1" si="26"/>
        <v>0.1</v>
      </c>
      <c r="BC127" s="3197">
        <f t="shared" ca="1" si="26"/>
        <v>0.2</v>
      </c>
      <c r="BD127" s="3197">
        <f t="shared" ca="1" si="26"/>
        <v>0.5</v>
      </c>
      <c r="BE127" s="3197">
        <f t="shared" ca="1" si="26"/>
        <v>0.5</v>
      </c>
      <c r="BF127" s="3197">
        <f t="shared" ca="1" si="26"/>
        <v>0.8</v>
      </c>
      <c r="BG127" s="3197">
        <f t="shared" ca="1" si="26"/>
        <v>0.8</v>
      </c>
      <c r="BH127" s="3169"/>
      <c r="BJ127" s="3148"/>
      <c r="BK127" s="3186"/>
      <c r="BL127" s="3186"/>
      <c r="BM127" s="3183"/>
      <c r="BN127" s="3192"/>
      <c r="BO127" s="3192"/>
      <c r="BP127" s="3193"/>
      <c r="BQ127" s="3193"/>
      <c r="BR127" s="3193"/>
      <c r="BS127" s="3193"/>
      <c r="BT127" s="3193"/>
      <c r="BU127" s="3193"/>
    </row>
    <row r="128" spans="2:84">
      <c r="B128" s="3148"/>
      <c r="C128" s="3186" t="s">
        <v>631</v>
      </c>
      <c r="D128" s="3186" t="s">
        <v>632</v>
      </c>
      <c r="E128" s="3183"/>
      <c r="F128" s="3192">
        <v>0</v>
      </c>
      <c r="G128" s="3192"/>
      <c r="H128" s="3193"/>
      <c r="I128" s="3193"/>
      <c r="J128" s="3193"/>
      <c r="K128" s="3193"/>
      <c r="L128" s="3193"/>
      <c r="M128" s="3193"/>
      <c r="N128" s="3193"/>
      <c r="O128" s="3193"/>
      <c r="P128" s="3193"/>
      <c r="Q128" s="3193"/>
      <c r="R128" s="3193"/>
      <c r="S128" s="3193"/>
      <c r="T128" s="3193"/>
      <c r="U128" s="3193"/>
      <c r="V128" s="3193"/>
      <c r="W128" s="3193"/>
      <c r="X128" s="3193"/>
      <c r="Y128" s="3193"/>
      <c r="Z128" s="3193"/>
      <c r="AA128" s="3193"/>
      <c r="AB128" s="3193"/>
      <c r="AC128" s="3193"/>
      <c r="AD128" s="3193"/>
      <c r="AE128" s="3193"/>
      <c r="AF128" s="3193"/>
      <c r="AG128" s="3193"/>
      <c r="AH128" s="3193"/>
      <c r="AI128" s="3193"/>
      <c r="AJ128" s="3193"/>
      <c r="AK128" s="3193"/>
      <c r="AL128" s="3193"/>
      <c r="AM128" s="3193"/>
      <c r="AN128" s="3193"/>
      <c r="AO128" s="3193"/>
      <c r="AP128" s="3193"/>
      <c r="AQ128" s="3193"/>
      <c r="AR128" s="3193"/>
      <c r="AS128" s="3193"/>
      <c r="AT128" s="3193"/>
      <c r="AU128" s="3193"/>
      <c r="AV128" s="3193"/>
      <c r="AW128" s="3193"/>
      <c r="AX128" s="3183"/>
      <c r="AY128" s="3197">
        <f t="shared" ca="1" si="27"/>
        <v>0</v>
      </c>
      <c r="AZ128" s="3197">
        <f t="shared" ca="1" si="26"/>
        <v>0</v>
      </c>
      <c r="BA128" s="3197">
        <f t="shared" ca="1" si="26"/>
        <v>0</v>
      </c>
      <c r="BB128" s="3197">
        <f t="shared" ca="1" si="26"/>
        <v>0</v>
      </c>
      <c r="BC128" s="3197">
        <f t="shared" ca="1" si="26"/>
        <v>0</v>
      </c>
      <c r="BD128" s="3197">
        <f t="shared" ca="1" si="26"/>
        <v>0</v>
      </c>
      <c r="BE128" s="3197">
        <f t="shared" ca="1" si="26"/>
        <v>0</v>
      </c>
      <c r="BF128" s="3197">
        <f t="shared" ca="1" si="26"/>
        <v>0</v>
      </c>
      <c r="BG128" s="3197">
        <f t="shared" ca="1" si="26"/>
        <v>0</v>
      </c>
      <c r="BH128" s="3169"/>
      <c r="BJ128" s="3148"/>
      <c r="BK128" s="3186"/>
      <c r="BL128" s="3186"/>
      <c r="BM128" s="3183"/>
      <c r="BN128" s="3192"/>
      <c r="BO128" s="3192"/>
      <c r="BP128" s="3193"/>
      <c r="BQ128" s="3193"/>
      <c r="BR128" s="3193"/>
      <c r="BS128" s="3193"/>
      <c r="BT128" s="3193"/>
      <c r="BU128" s="3193"/>
    </row>
    <row r="129" spans="1:73">
      <c r="B129" s="3148"/>
      <c r="C129" s="3186" t="s">
        <v>528</v>
      </c>
      <c r="D129" s="3186" t="s">
        <v>529</v>
      </c>
      <c r="E129" s="3183"/>
      <c r="F129" s="3192">
        <v>0</v>
      </c>
      <c r="G129" s="3192"/>
      <c r="H129" s="3193"/>
      <c r="I129" s="3193"/>
      <c r="J129" s="3193"/>
      <c r="K129" s="3193"/>
      <c r="L129" s="3193"/>
      <c r="M129" s="3193"/>
      <c r="N129" s="3193"/>
      <c r="O129" s="3193"/>
      <c r="P129" s="3193"/>
      <c r="Q129" s="3193"/>
      <c r="R129" s="3193"/>
      <c r="S129" s="3193"/>
      <c r="T129" s="3193"/>
      <c r="U129" s="3193"/>
      <c r="V129" s="3193"/>
      <c r="W129" s="3193"/>
      <c r="X129" s="3193"/>
      <c r="Y129" s="3193"/>
      <c r="Z129" s="3193"/>
      <c r="AA129" s="3193"/>
      <c r="AB129" s="3193"/>
      <c r="AC129" s="3193"/>
      <c r="AD129" s="3193"/>
      <c r="AE129" s="3193"/>
      <c r="AF129" s="3193"/>
      <c r="AG129" s="3193"/>
      <c r="AH129" s="3193"/>
      <c r="AI129" s="3193"/>
      <c r="AJ129" s="3193"/>
      <c r="AK129" s="3193"/>
      <c r="AL129" s="3193"/>
      <c r="AM129" s="3193"/>
      <c r="AN129" s="3193"/>
      <c r="AO129" s="3193"/>
      <c r="AP129" s="3193"/>
      <c r="AQ129" s="3193"/>
      <c r="AR129" s="3193"/>
      <c r="AS129" s="3193"/>
      <c r="AT129" s="3193"/>
      <c r="AU129" s="3193"/>
      <c r="AV129" s="3193"/>
      <c r="AW129" s="3193"/>
      <c r="AX129" s="3183"/>
      <c r="AY129" s="3197">
        <f t="shared" ca="1" si="27"/>
        <v>0</v>
      </c>
      <c r="AZ129" s="3197">
        <f t="shared" ca="1" si="26"/>
        <v>0</v>
      </c>
      <c r="BA129" s="3197">
        <f t="shared" ca="1" si="26"/>
        <v>0</v>
      </c>
      <c r="BB129" s="3197">
        <f t="shared" ca="1" si="26"/>
        <v>0</v>
      </c>
      <c r="BC129" s="3197">
        <f t="shared" ca="1" si="26"/>
        <v>0</v>
      </c>
      <c r="BD129" s="3197">
        <f t="shared" ca="1" si="26"/>
        <v>0</v>
      </c>
      <c r="BE129" s="3197">
        <f t="shared" ca="1" si="26"/>
        <v>0</v>
      </c>
      <c r="BF129" s="3197">
        <f t="shared" ca="1" si="26"/>
        <v>0</v>
      </c>
      <c r="BG129" s="3197">
        <f t="shared" ca="1" si="26"/>
        <v>0</v>
      </c>
      <c r="BH129" s="3169"/>
      <c r="BJ129" s="3148"/>
      <c r="BK129" s="3186"/>
      <c r="BL129" s="3186"/>
      <c r="BM129" s="3183"/>
      <c r="BN129" s="3192"/>
      <c r="BO129" s="3192"/>
      <c r="BP129" s="3193"/>
      <c r="BQ129" s="3193"/>
      <c r="BR129" s="3193"/>
      <c r="BS129" s="3193"/>
      <c r="BT129" s="3193"/>
      <c r="BU129" s="3193"/>
    </row>
    <row r="130" spans="1:73">
      <c r="B130" s="3148"/>
      <c r="C130" s="3186" t="s">
        <v>534</v>
      </c>
      <c r="D130" s="3186" t="s">
        <v>535</v>
      </c>
      <c r="E130" s="3183"/>
      <c r="F130" s="3192">
        <v>0</v>
      </c>
      <c r="G130" s="3186"/>
      <c r="H130" s="3198"/>
      <c r="I130" s="3198"/>
      <c r="J130" s="3198"/>
      <c r="K130" s="3198"/>
      <c r="L130" s="3198"/>
      <c r="M130" s="3198"/>
      <c r="N130" s="3198"/>
      <c r="O130" s="3198"/>
      <c r="P130" s="3198"/>
      <c r="Q130" s="3198"/>
      <c r="R130" s="3198"/>
      <c r="S130" s="3198"/>
      <c r="T130" s="3198"/>
      <c r="U130" s="3198"/>
      <c r="V130" s="3198"/>
      <c r="W130" s="3198"/>
      <c r="X130" s="3198"/>
      <c r="Y130" s="3198"/>
      <c r="Z130" s="3198"/>
      <c r="AA130" s="3198"/>
      <c r="AB130" s="3198"/>
      <c r="AC130" s="3198"/>
      <c r="AD130" s="3198"/>
      <c r="AE130" s="3198"/>
      <c r="AF130" s="3198"/>
      <c r="AG130" s="3198"/>
      <c r="AH130" s="3198"/>
      <c r="AI130" s="3198"/>
      <c r="AJ130" s="3198"/>
      <c r="AK130" s="3198"/>
      <c r="AL130" s="3198"/>
      <c r="AM130" s="3198"/>
      <c r="AN130" s="3198"/>
      <c r="AO130" s="3198"/>
      <c r="AP130" s="3198"/>
      <c r="AQ130" s="3198"/>
      <c r="AR130" s="3198"/>
      <c r="AS130" s="3198"/>
      <c r="AT130" s="3198"/>
      <c r="AU130" s="3198"/>
      <c r="AV130" s="3198"/>
      <c r="AW130" s="3198"/>
      <c r="AX130" s="832" t="s">
        <v>5</v>
      </c>
      <c r="AY130" s="3197">
        <f t="shared" ca="1" si="27"/>
        <v>0</v>
      </c>
      <c r="AZ130" s="3197">
        <f t="shared" ca="1" si="26"/>
        <v>0</v>
      </c>
      <c r="BA130" s="3197">
        <f t="shared" ca="1" si="26"/>
        <v>0.5</v>
      </c>
      <c r="BB130" s="3197">
        <f t="shared" ca="1" si="26"/>
        <v>1</v>
      </c>
      <c r="BC130" s="3197">
        <f t="shared" ca="1" si="26"/>
        <v>2</v>
      </c>
      <c r="BD130" s="3197">
        <f t="shared" ca="1" si="26"/>
        <v>3</v>
      </c>
      <c r="BE130" s="3197">
        <f t="shared" ca="1" si="26"/>
        <v>4</v>
      </c>
      <c r="BF130" s="3197">
        <f t="shared" ca="1" si="26"/>
        <v>4.5</v>
      </c>
      <c r="BG130" s="3197">
        <f t="shared" ca="1" si="26"/>
        <v>5</v>
      </c>
      <c r="BH130" s="3169"/>
      <c r="BJ130" s="3148"/>
      <c r="BK130" s="3186"/>
      <c r="BL130" s="3186"/>
      <c r="BM130" s="3183"/>
      <c r="BN130" s="3192"/>
      <c r="BO130" s="3186"/>
      <c r="BP130" s="3198"/>
      <c r="BQ130" s="3198"/>
      <c r="BR130" s="3198"/>
      <c r="BS130" s="3198"/>
      <c r="BT130" s="3198"/>
      <c r="BU130" s="3198"/>
    </row>
    <row r="131" spans="1:73">
      <c r="B131" s="3148"/>
      <c r="C131" s="3186" t="s">
        <v>569</v>
      </c>
      <c r="D131" s="3186" t="s">
        <v>2544</v>
      </c>
      <c r="E131" s="3183"/>
      <c r="F131" s="3186"/>
      <c r="G131" s="3186"/>
      <c r="H131" s="3198"/>
      <c r="I131" s="3198"/>
      <c r="J131" s="3198"/>
      <c r="K131" s="3198"/>
      <c r="L131" s="3198"/>
      <c r="M131" s="3198"/>
      <c r="N131" s="3198"/>
      <c r="O131" s="3198"/>
      <c r="P131" s="3198"/>
      <c r="Q131" s="3198"/>
      <c r="R131" s="3198"/>
      <c r="S131" s="3198"/>
      <c r="T131" s="3198"/>
      <c r="U131" s="3198"/>
      <c r="V131" s="3198"/>
      <c r="W131" s="3198"/>
      <c r="X131" s="3198"/>
      <c r="Y131" s="3198"/>
      <c r="Z131" s="3198"/>
      <c r="AA131" s="3198"/>
      <c r="AB131" s="3198"/>
      <c r="AC131" s="3198"/>
      <c r="AD131" s="3198"/>
      <c r="AE131" s="3198"/>
      <c r="AF131" s="3198"/>
      <c r="AG131" s="3198"/>
      <c r="AH131" s="3198"/>
      <c r="AI131" s="3198"/>
      <c r="AJ131" s="3198"/>
      <c r="AK131" s="3198"/>
      <c r="AL131" s="3198"/>
      <c r="AM131" s="3198"/>
      <c r="AN131" s="3198"/>
      <c r="AO131" s="3198"/>
      <c r="AP131" s="3198"/>
      <c r="AQ131" s="3198"/>
      <c r="AR131" s="3198"/>
      <c r="AS131" s="3198"/>
      <c r="AT131" s="3198"/>
      <c r="AU131" s="3198"/>
      <c r="AV131" s="3198"/>
      <c r="AW131" s="3198"/>
      <c r="AX131" s="3183"/>
      <c r="AY131" s="3197">
        <f t="shared" ca="1" si="27"/>
        <v>0.41994376780032372</v>
      </c>
      <c r="AZ131" s="3197">
        <f t="shared" ca="1" si="26"/>
        <v>0.81620440698264951</v>
      </c>
      <c r="BA131" s="3197">
        <f t="shared" ca="1" si="26"/>
        <v>0.87652592247498262</v>
      </c>
      <c r="BB131" s="3197">
        <f t="shared" ca="1" si="26"/>
        <v>0</v>
      </c>
      <c r="BC131" s="3197">
        <f t="shared" ca="1" si="26"/>
        <v>0</v>
      </c>
      <c r="BD131" s="3197">
        <f t="shared" ca="1" si="26"/>
        <v>0</v>
      </c>
      <c r="BE131" s="3197">
        <f t="shared" ca="1" si="26"/>
        <v>0</v>
      </c>
      <c r="BF131" s="3197">
        <f t="shared" ca="1" si="26"/>
        <v>0</v>
      </c>
      <c r="BG131" s="3197">
        <f t="shared" ca="1" si="26"/>
        <v>0</v>
      </c>
      <c r="BH131" s="3169"/>
      <c r="BJ131" s="3148"/>
      <c r="BK131" s="3186"/>
      <c r="BL131" s="3186"/>
      <c r="BM131" s="3183"/>
      <c r="BN131" s="3186"/>
      <c r="BO131" s="3186"/>
      <c r="BP131" s="3198"/>
      <c r="BQ131" s="3198"/>
      <c r="BR131" s="3198"/>
      <c r="BS131" s="3198"/>
      <c r="BT131" s="3198"/>
      <c r="BU131" s="3198"/>
    </row>
    <row r="132" spans="1:73">
      <c r="B132" s="3148"/>
      <c r="C132" s="3183"/>
      <c r="D132" s="3190" t="s">
        <v>1747</v>
      </c>
      <c r="E132" s="3190"/>
      <c r="F132" s="3930">
        <f>SUM(F118:F131)</f>
        <v>8.1080000000000005</v>
      </c>
      <c r="G132" s="3190"/>
      <c r="H132" s="3199"/>
      <c r="I132" s="3199"/>
      <c r="J132" s="3199"/>
      <c r="K132" s="3199"/>
      <c r="L132" s="3199"/>
      <c r="M132" s="3199"/>
      <c r="N132" s="3199"/>
      <c r="O132" s="3199"/>
      <c r="P132" s="3199"/>
      <c r="Q132" s="3199"/>
      <c r="R132" s="3199"/>
      <c r="S132" s="3199"/>
      <c r="T132" s="3199"/>
      <c r="U132" s="3199"/>
      <c r="V132" s="3199"/>
      <c r="W132" s="3199"/>
      <c r="X132" s="3199"/>
      <c r="Y132" s="3199"/>
      <c r="Z132" s="3199"/>
      <c r="AA132" s="3199"/>
      <c r="AB132" s="3199"/>
      <c r="AC132" s="3199"/>
      <c r="AD132" s="3199"/>
      <c r="AE132" s="3199"/>
      <c r="AF132" s="3199"/>
      <c r="AG132" s="3199"/>
      <c r="AH132" s="3199"/>
      <c r="AI132" s="3199"/>
      <c r="AJ132" s="3199"/>
      <c r="AK132" s="3199"/>
      <c r="AL132" s="3199"/>
      <c r="AM132" s="3199"/>
      <c r="AN132" s="3199"/>
      <c r="AO132" s="3199"/>
      <c r="AP132" s="3199"/>
      <c r="AQ132" s="3199"/>
      <c r="AR132" s="3200"/>
      <c r="AS132" s="3200"/>
      <c r="AT132" s="3200"/>
      <c r="AU132" s="3200"/>
      <c r="AV132" s="3200"/>
      <c r="AW132" s="3199"/>
      <c r="AX132" s="3190"/>
      <c r="AY132" s="3191">
        <f t="shared" ref="AY132:BG132" ca="1" si="28">SUM(AY118:AY131)</f>
        <v>8.3913799779226679</v>
      </c>
      <c r="AZ132" s="3191">
        <f t="shared" ca="1" si="28"/>
        <v>9.0405346774319195</v>
      </c>
      <c r="BA132" s="3191">
        <f t="shared" ca="1" si="28"/>
        <v>9.1168593503091682</v>
      </c>
      <c r="BB132" s="3191">
        <f t="shared" ca="1" si="28"/>
        <v>9.4010402363380212</v>
      </c>
      <c r="BC132" s="3191">
        <f t="shared" ca="1" si="28"/>
        <v>13.557</v>
      </c>
      <c r="BD132" s="3191">
        <f t="shared" ca="1" si="28"/>
        <v>17.902999999999999</v>
      </c>
      <c r="BE132" s="3191">
        <f t="shared" ca="1" si="28"/>
        <v>21.402999999999999</v>
      </c>
      <c r="BF132" s="3191">
        <f t="shared" ca="1" si="28"/>
        <v>24.952999999999999</v>
      </c>
      <c r="BG132" s="3191">
        <f t="shared" ca="1" si="28"/>
        <v>28.602999999999998</v>
      </c>
      <c r="BH132" s="3169"/>
      <c r="BJ132" s="3148"/>
      <c r="BK132" s="3183"/>
      <c r="BL132" s="3194"/>
      <c r="BM132" s="3194"/>
      <c r="BN132" s="4002"/>
      <c r="BO132" s="3194"/>
      <c r="BP132" s="4003"/>
      <c r="BQ132" s="4003"/>
      <c r="BR132" s="4003"/>
      <c r="BS132" s="4003"/>
      <c r="BT132" s="4003"/>
      <c r="BU132" s="4003"/>
    </row>
    <row r="133" spans="1:73">
      <c r="B133" s="3148"/>
      <c r="C133" s="832"/>
      <c r="D133" s="3194"/>
      <c r="E133" s="832"/>
      <c r="F133" s="3192"/>
      <c r="G133" s="3192"/>
      <c r="H133" s="3193"/>
      <c r="I133" s="3193"/>
      <c r="J133" s="3193"/>
      <c r="K133" s="3193"/>
      <c r="L133" s="3193"/>
      <c r="M133" s="3193"/>
      <c r="N133" s="3193"/>
      <c r="O133" s="3193"/>
      <c r="P133" s="3193"/>
      <c r="Q133" s="3193"/>
      <c r="R133" s="3193"/>
      <c r="S133" s="3193"/>
      <c r="T133" s="3193"/>
      <c r="U133" s="3193"/>
      <c r="V133" s="3193"/>
      <c r="W133" s="3193"/>
      <c r="X133" s="3193"/>
      <c r="Y133" s="3193"/>
      <c r="Z133" s="3193"/>
      <c r="AA133" s="3193"/>
      <c r="AB133" s="3193"/>
      <c r="AC133" s="3193"/>
      <c r="AD133" s="3193"/>
      <c r="AE133" s="3193"/>
      <c r="AF133" s="3193"/>
      <c r="AG133" s="3193"/>
      <c r="AH133" s="3193"/>
      <c r="AI133" s="3193"/>
      <c r="AJ133" s="3193"/>
      <c r="AK133" s="3193"/>
      <c r="AL133" s="3193"/>
      <c r="AM133" s="3193"/>
      <c r="AN133" s="3193"/>
      <c r="AO133" s="3193"/>
      <c r="AP133" s="3193"/>
      <c r="AQ133" s="3193"/>
      <c r="AR133" s="3193"/>
      <c r="AS133" s="3193"/>
      <c r="AT133" s="3193"/>
      <c r="AU133" s="3193"/>
      <c r="AV133" s="3193"/>
      <c r="AW133" s="3193"/>
      <c r="AX133" s="832"/>
      <c r="AY133" s="3192"/>
      <c r="AZ133" s="3192"/>
      <c r="BA133" s="3192"/>
      <c r="BB133" s="3192"/>
      <c r="BC133" s="3192"/>
      <c r="BD133" s="3192"/>
      <c r="BE133" s="3192"/>
      <c r="BF133" s="3192"/>
      <c r="BG133" s="3192"/>
      <c r="BH133" s="3169"/>
      <c r="BJ133" s="3148"/>
      <c r="BK133" s="832"/>
      <c r="BL133" s="3194"/>
      <c r="BM133" s="832"/>
      <c r="BN133" s="3192"/>
      <c r="BO133" s="3192"/>
      <c r="BP133" s="3193"/>
      <c r="BQ133" s="3193"/>
      <c r="BR133" s="3193"/>
      <c r="BS133" s="3193"/>
      <c r="BT133" s="3193"/>
      <c r="BU133" s="3193"/>
    </row>
    <row r="134" spans="1:73">
      <c r="H134" s="3201"/>
      <c r="I134" s="3201"/>
      <c r="J134" s="3201"/>
      <c r="K134" s="3201"/>
      <c r="L134" s="3201"/>
      <c r="M134" s="3201"/>
      <c r="N134" s="3201"/>
      <c r="O134" s="3201"/>
      <c r="P134" s="3201"/>
      <c r="Q134" s="3201"/>
      <c r="R134" s="3201"/>
      <c r="S134" s="3201"/>
      <c r="T134" s="3201"/>
      <c r="U134" s="3201"/>
      <c r="V134" s="3201"/>
      <c r="W134" s="3201"/>
      <c r="X134" s="3201"/>
      <c r="Y134" s="3201"/>
      <c r="Z134" s="3201"/>
      <c r="AA134" s="3201"/>
      <c r="AB134" s="3201"/>
      <c r="AC134" s="3201"/>
      <c r="AD134" s="3201"/>
      <c r="AE134" s="3201"/>
      <c r="AF134" s="3201"/>
      <c r="AG134" s="3201"/>
      <c r="AH134" s="3201"/>
      <c r="AI134" s="3201"/>
      <c r="AJ134" s="3201"/>
      <c r="AK134" s="3201"/>
      <c r="AL134" s="3201"/>
      <c r="AM134" s="3201"/>
      <c r="AN134" s="3201"/>
      <c r="AO134" s="3201"/>
      <c r="AP134" s="3201"/>
      <c r="AQ134" s="3201"/>
      <c r="AR134" s="3201"/>
      <c r="AS134" s="3201"/>
      <c r="AT134" s="3201"/>
      <c r="AU134" s="3201"/>
      <c r="AV134" s="3201"/>
      <c r="AW134" s="3201"/>
      <c r="BJ134" s="3983"/>
      <c r="BK134" s="3983"/>
      <c r="BL134" s="3983"/>
      <c r="BM134" s="3983"/>
      <c r="BN134" s="3983"/>
      <c r="BO134" s="3983"/>
      <c r="BP134" s="3201"/>
      <c r="BQ134" s="3201"/>
      <c r="BR134" s="3201"/>
      <c r="BS134" s="3201"/>
      <c r="BT134" s="3201"/>
      <c r="BU134" s="3201"/>
    </row>
    <row r="135" spans="1:73" ht="23.25">
      <c r="A135" s="7"/>
      <c r="B135" s="3202" t="s">
        <v>303</v>
      </c>
      <c r="C135" s="3203"/>
      <c r="D135" s="3203"/>
      <c r="E135" s="3203"/>
      <c r="F135" s="3203"/>
      <c r="G135" s="3203"/>
      <c r="H135" s="3204"/>
      <c r="I135" s="3204"/>
      <c r="J135" s="3204"/>
      <c r="K135" s="3204"/>
      <c r="L135" s="3204"/>
      <c r="M135" s="3204"/>
      <c r="N135" s="3204"/>
      <c r="O135" s="3204"/>
      <c r="P135" s="3204"/>
      <c r="Q135" s="3204"/>
      <c r="R135" s="3204"/>
      <c r="S135" s="3204"/>
      <c r="T135" s="3204"/>
      <c r="U135" s="3204"/>
      <c r="V135" s="3204"/>
      <c r="W135" s="3204"/>
      <c r="X135" s="3204"/>
      <c r="Y135" s="3204"/>
      <c r="Z135" s="3204"/>
      <c r="AA135" s="3204"/>
      <c r="AB135" s="3204"/>
      <c r="AC135" s="3204"/>
      <c r="AD135" s="3204"/>
      <c r="AE135" s="3204"/>
      <c r="AF135" s="3204"/>
      <c r="AG135" s="3204"/>
      <c r="AH135" s="3204"/>
      <c r="AI135" s="3204"/>
      <c r="AJ135" s="3204"/>
      <c r="AK135" s="3204"/>
      <c r="AL135" s="3204"/>
      <c r="AM135" s="3204"/>
      <c r="AN135" s="3204"/>
      <c r="AO135" s="3204"/>
      <c r="AP135" s="3204"/>
      <c r="AQ135" s="3204"/>
      <c r="AR135" s="3204"/>
      <c r="AS135" s="3204"/>
      <c r="AT135" s="3204"/>
      <c r="AU135" s="3204"/>
      <c r="AV135" s="3204"/>
      <c r="AW135" s="3204"/>
      <c r="AX135" s="3203"/>
      <c r="AY135" s="3203"/>
      <c r="AZ135" s="3203"/>
      <c r="BA135" s="3203"/>
      <c r="BB135" s="3203"/>
      <c r="BC135" s="3203"/>
      <c r="BD135" s="3203"/>
      <c r="BE135" s="3203"/>
      <c r="BF135" s="3203"/>
      <c r="BG135" s="3205"/>
      <c r="BH135" s="3206"/>
      <c r="BJ135" s="3202"/>
      <c r="BK135" s="3203"/>
      <c r="BL135" s="3203"/>
      <c r="BM135" s="3203"/>
      <c r="BN135" s="3203"/>
      <c r="BO135" s="3203"/>
      <c r="BP135" s="3204"/>
      <c r="BQ135" s="3204"/>
      <c r="BR135" s="3204"/>
      <c r="BS135" s="3204"/>
      <c r="BT135" s="3204"/>
      <c r="BU135" s="3204"/>
    </row>
    <row r="136" spans="1:73" ht="15.75">
      <c r="B136" s="3207"/>
      <c r="C136" s="3208"/>
      <c r="D136" s="3208"/>
      <c r="E136" s="3208"/>
      <c r="F136" s="3208"/>
      <c r="G136" s="3208"/>
      <c r="H136" s="3209"/>
      <c r="I136" s="3209"/>
      <c r="J136" s="3209"/>
      <c r="K136" s="3209"/>
      <c r="L136" s="3209"/>
      <c r="M136" s="3209"/>
      <c r="N136" s="3209"/>
      <c r="O136" s="3209"/>
      <c r="P136" s="3209"/>
      <c r="Q136" s="3209"/>
      <c r="R136" s="3209"/>
      <c r="S136" s="3209"/>
      <c r="T136" s="3209"/>
      <c r="U136" s="3209"/>
      <c r="V136" s="3209"/>
      <c r="W136" s="3209"/>
      <c r="X136" s="3209"/>
      <c r="Y136" s="3209"/>
      <c r="Z136" s="3209"/>
      <c r="AA136" s="3209"/>
      <c r="AB136" s="3209"/>
      <c r="AC136" s="3209"/>
      <c r="AD136" s="3209"/>
      <c r="AE136" s="3209"/>
      <c r="AF136" s="3209"/>
      <c r="AG136" s="3209"/>
      <c r="AH136" s="3209"/>
      <c r="AI136" s="3209"/>
      <c r="AJ136" s="3209"/>
      <c r="AK136" s="3209"/>
      <c r="AL136" s="3209"/>
      <c r="AM136" s="3209"/>
      <c r="AN136" s="3209"/>
      <c r="AO136" s="3209"/>
      <c r="AP136" s="3209"/>
      <c r="AQ136" s="3209"/>
      <c r="AR136" s="3209"/>
      <c r="AS136" s="3209"/>
      <c r="AT136" s="3209"/>
      <c r="AU136" s="3209"/>
      <c r="AV136" s="3209"/>
      <c r="AW136" s="3209"/>
      <c r="AX136" s="3208"/>
      <c r="AY136" s="3208"/>
      <c r="AZ136" s="3208"/>
      <c r="BA136" s="3208"/>
      <c r="BB136" s="3208"/>
      <c r="BC136" s="3208"/>
      <c r="BD136" s="3208"/>
      <c r="BE136" s="3208"/>
      <c r="BF136" s="3208"/>
      <c r="BG136" s="3210"/>
      <c r="BH136" s="3211"/>
      <c r="BJ136" s="3207"/>
      <c r="BK136" s="3208"/>
      <c r="BL136" s="3208"/>
      <c r="BM136" s="3208"/>
      <c r="BN136" s="3208"/>
      <c r="BO136" s="3208"/>
      <c r="BP136" s="3209"/>
      <c r="BQ136" s="3209"/>
      <c r="BR136" s="3209"/>
      <c r="BS136" s="3209"/>
      <c r="BT136" s="3209"/>
      <c r="BU136" s="3209"/>
    </row>
    <row r="137" spans="1:73" ht="15.75">
      <c r="B137" s="3207"/>
      <c r="C137" s="3212" t="s">
        <v>2668</v>
      </c>
      <c r="D137" s="3208"/>
      <c r="E137" s="3208"/>
      <c r="F137" s="3208"/>
      <c r="G137" s="3208"/>
      <c r="H137" s="3209"/>
      <c r="I137" s="3209"/>
      <c r="J137" s="3209"/>
      <c r="K137" s="3209"/>
      <c r="L137" s="3209"/>
      <c r="M137" s="3209"/>
      <c r="N137" s="3209"/>
      <c r="O137" s="3209"/>
      <c r="P137" s="3209"/>
      <c r="Q137" s="3209"/>
      <c r="R137" s="3209"/>
      <c r="S137" s="3209"/>
      <c r="T137" s="3209"/>
      <c r="U137" s="3209"/>
      <c r="V137" s="3209"/>
      <c r="W137" s="3209"/>
      <c r="X137" s="3209"/>
      <c r="Y137" s="3209"/>
      <c r="Z137" s="3209"/>
      <c r="AA137" s="3209"/>
      <c r="AB137" s="3209"/>
      <c r="AC137" s="3209"/>
      <c r="AD137" s="3209"/>
      <c r="AE137" s="3209"/>
      <c r="AF137" s="3209"/>
      <c r="AG137" s="3209"/>
      <c r="AH137" s="3209"/>
      <c r="AI137" s="3209"/>
      <c r="AJ137" s="3209"/>
      <c r="AK137" s="3209"/>
      <c r="AL137" s="3209"/>
      <c r="AM137" s="3209"/>
      <c r="AN137" s="3209"/>
      <c r="AO137" s="3209"/>
      <c r="AP137" s="3209"/>
      <c r="AQ137" s="3209"/>
      <c r="AR137" s="3209"/>
      <c r="AS137" s="3209"/>
      <c r="AT137" s="3209"/>
      <c r="AU137" s="3209"/>
      <c r="AV137" s="3209"/>
      <c r="AW137" s="3209"/>
      <c r="AX137" s="3208"/>
      <c r="AY137" s="3208"/>
      <c r="AZ137" s="3208"/>
      <c r="BA137" s="3208"/>
      <c r="BB137" s="3208"/>
      <c r="BC137" s="3208"/>
      <c r="BD137" s="3208"/>
      <c r="BE137" s="3208"/>
      <c r="BF137" s="3208"/>
      <c r="BG137" s="3210"/>
      <c r="BH137" s="3211"/>
      <c r="BJ137" s="3207"/>
      <c r="BK137" s="3212"/>
      <c r="BL137" s="3208"/>
      <c r="BM137" s="3208"/>
      <c r="BN137" s="3208"/>
      <c r="BO137" s="3208"/>
      <c r="BP137" s="3209"/>
      <c r="BQ137" s="3209"/>
      <c r="BR137" s="3209"/>
      <c r="BS137" s="3209"/>
      <c r="BT137" s="3209"/>
      <c r="BU137" s="3209"/>
    </row>
    <row r="138" spans="1:73">
      <c r="B138" s="3213"/>
      <c r="C138" s="3208"/>
      <c r="D138" s="3214" t="s">
        <v>306</v>
      </c>
      <c r="E138" s="3208"/>
      <c r="F138" s="3208" t="s">
        <v>3046</v>
      </c>
      <c r="G138" s="3208"/>
      <c r="H138" s="3209"/>
      <c r="I138" s="3209"/>
      <c r="J138" s="3209"/>
      <c r="K138" s="3209"/>
      <c r="L138" s="3209"/>
      <c r="M138" s="3209"/>
      <c r="N138" s="3209"/>
      <c r="O138" s="3209"/>
      <c r="P138" s="3209"/>
      <c r="Q138" s="3209"/>
      <c r="R138" s="3209"/>
      <c r="S138" s="3209"/>
      <c r="T138" s="3209"/>
      <c r="U138" s="3209"/>
      <c r="V138" s="3209"/>
      <c r="W138" s="3209"/>
      <c r="X138" s="3209"/>
      <c r="Y138" s="3209"/>
      <c r="Z138" s="3209"/>
      <c r="AA138" s="3209"/>
      <c r="AB138" s="3209"/>
      <c r="AC138" s="3209"/>
      <c r="AD138" s="3209"/>
      <c r="AE138" s="3209"/>
      <c r="AF138" s="3209"/>
      <c r="AG138" s="3209"/>
      <c r="AH138" s="3209"/>
      <c r="AI138" s="3209"/>
      <c r="AJ138" s="3209"/>
      <c r="AK138" s="3209"/>
      <c r="AL138" s="3209"/>
      <c r="AM138" s="3209"/>
      <c r="AN138" s="3209"/>
      <c r="AO138" s="3209"/>
      <c r="AP138" s="3209"/>
      <c r="AQ138" s="3209"/>
      <c r="AR138" s="3209"/>
      <c r="AS138" s="3209"/>
      <c r="AT138" s="3209"/>
      <c r="AU138" s="3209"/>
      <c r="AV138" s="3209"/>
      <c r="AW138" s="3209"/>
      <c r="AX138" s="3208"/>
      <c r="AY138" s="3208">
        <v>2013</v>
      </c>
      <c r="AZ138" s="3208">
        <v>2015</v>
      </c>
      <c r="BA138" s="3208">
        <v>2020</v>
      </c>
      <c r="BB138" s="3208">
        <v>2025</v>
      </c>
      <c r="BC138" s="3208">
        <v>2030</v>
      </c>
      <c r="BD138" s="3208">
        <v>2035</v>
      </c>
      <c r="BE138" s="3208">
        <v>2040</v>
      </c>
      <c r="BF138" s="3208">
        <v>2045</v>
      </c>
      <c r="BG138" s="3210">
        <v>2050</v>
      </c>
      <c r="BH138" s="3211"/>
      <c r="BI138" s="2"/>
      <c r="BJ138" s="3213"/>
      <c r="BK138" s="3208"/>
      <c r="BL138" s="3214"/>
      <c r="BM138" s="3208"/>
      <c r="BN138" s="3208"/>
      <c r="BO138" s="3208"/>
      <c r="BP138" s="3209"/>
      <c r="BQ138" s="3209"/>
      <c r="BR138" s="3209"/>
      <c r="BS138" s="3209"/>
      <c r="BT138" s="3209"/>
      <c r="BU138" s="3209"/>
    </row>
    <row r="139" spans="1:73" s="927" customFormat="1">
      <c r="B139" s="3215"/>
      <c r="C139" s="4111" t="s">
        <v>307</v>
      </c>
      <c r="D139" s="3290" t="s">
        <v>308</v>
      </c>
      <c r="E139" s="3208"/>
      <c r="F139" s="3218"/>
      <c r="G139" s="3218"/>
      <c r="H139" s="3219"/>
      <c r="I139" s="3219"/>
      <c r="J139" s="3219"/>
      <c r="K139" s="3219"/>
      <c r="L139" s="3219"/>
      <c r="M139" s="3219"/>
      <c r="N139" s="3219"/>
      <c r="O139" s="3219"/>
      <c r="P139" s="3219"/>
      <c r="Q139" s="3219"/>
      <c r="R139" s="3219"/>
      <c r="S139" s="3219"/>
      <c r="T139" s="3219"/>
      <c r="U139" s="3219"/>
      <c r="V139" s="3219"/>
      <c r="W139" s="3219"/>
      <c r="X139" s="3219"/>
      <c r="Y139" s="3219"/>
      <c r="Z139" s="3219"/>
      <c r="AA139" s="3219"/>
      <c r="AB139" s="3219"/>
      <c r="AC139" s="3219"/>
      <c r="AD139" s="3219"/>
      <c r="AE139" s="3219"/>
      <c r="AF139" s="3219"/>
      <c r="AG139" s="3219"/>
      <c r="AH139" s="3219"/>
      <c r="AI139" s="3219"/>
      <c r="AJ139" s="3219"/>
      <c r="AK139" s="3219"/>
      <c r="AL139" s="3219"/>
      <c r="AM139" s="3219"/>
      <c r="AN139" s="3219"/>
      <c r="AO139" s="3219"/>
      <c r="AP139" s="3219"/>
      <c r="AQ139" s="3219"/>
      <c r="AR139" s="3219"/>
      <c r="AS139" s="3219"/>
      <c r="AT139" s="3219"/>
      <c r="AU139" s="3219"/>
      <c r="AV139" s="3219"/>
      <c r="AW139" s="3219"/>
      <c r="AX139" s="3220"/>
      <c r="AY139" s="3218"/>
      <c r="AZ139" s="3218"/>
      <c r="BA139" s="3218"/>
      <c r="BB139" s="3218"/>
      <c r="BC139" s="3218"/>
      <c r="BD139" s="3218"/>
      <c r="BE139" s="3218"/>
      <c r="BF139" s="3218"/>
      <c r="BG139" s="3218"/>
      <c r="BH139" s="3221"/>
      <c r="BJ139" s="3215"/>
      <c r="BK139" s="3216"/>
      <c r="BL139" s="3217"/>
      <c r="BM139" s="3208"/>
      <c r="BN139" s="3218"/>
      <c r="BO139" s="3218"/>
      <c r="BP139" s="3219"/>
      <c r="BQ139" s="3219"/>
      <c r="BR139" s="3219"/>
      <c r="BS139" s="3219"/>
      <c r="BT139" s="3219"/>
      <c r="BU139" s="3219"/>
    </row>
    <row r="140" spans="1:73" s="927" customFormat="1">
      <c r="B140" s="3215"/>
      <c r="C140" s="4111" t="s">
        <v>456</v>
      </c>
      <c r="D140" s="3290" t="s">
        <v>407</v>
      </c>
      <c r="E140" s="3208"/>
      <c r="F140" s="3218"/>
      <c r="G140" s="3218"/>
      <c r="H140" s="3219"/>
      <c r="I140" s="3219"/>
      <c r="J140" s="3219"/>
      <c r="K140" s="3219"/>
      <c r="L140" s="3219"/>
      <c r="M140" s="3219"/>
      <c r="N140" s="3219"/>
      <c r="O140" s="3219"/>
      <c r="P140" s="3219"/>
      <c r="Q140" s="3219"/>
      <c r="R140" s="3219"/>
      <c r="S140" s="3219"/>
      <c r="T140" s="3219"/>
      <c r="U140" s="3219"/>
      <c r="V140" s="3219"/>
      <c r="W140" s="3219"/>
      <c r="X140" s="3219"/>
      <c r="Y140" s="3219"/>
      <c r="Z140" s="3219"/>
      <c r="AA140" s="3219"/>
      <c r="AB140" s="3219"/>
      <c r="AC140" s="3219"/>
      <c r="AD140" s="3219"/>
      <c r="AE140" s="3219"/>
      <c r="AF140" s="3219"/>
      <c r="AG140" s="3219"/>
      <c r="AH140" s="3219"/>
      <c r="AI140" s="3219"/>
      <c r="AJ140" s="3219"/>
      <c r="AK140" s="3219"/>
      <c r="AL140" s="3219"/>
      <c r="AM140" s="3219"/>
      <c r="AN140" s="3219"/>
      <c r="AO140" s="3219"/>
      <c r="AP140" s="3219"/>
      <c r="AQ140" s="3219"/>
      <c r="AR140" s="3219"/>
      <c r="AS140" s="3219"/>
      <c r="AT140" s="3219"/>
      <c r="AU140" s="3219"/>
      <c r="AV140" s="3219"/>
      <c r="AW140" s="3219"/>
      <c r="AX140" s="3220"/>
      <c r="AY140" s="3218"/>
      <c r="AZ140" s="3218"/>
      <c r="BA140" s="3218"/>
      <c r="BB140" s="3218"/>
      <c r="BC140" s="3218"/>
      <c r="BD140" s="3218"/>
      <c r="BE140" s="3218"/>
      <c r="BF140" s="3218"/>
      <c r="BG140" s="3218"/>
      <c r="BH140" s="3221"/>
      <c r="BJ140" s="3215"/>
      <c r="BK140" s="3216"/>
      <c r="BL140" s="3217"/>
      <c r="BM140" s="3208"/>
      <c r="BN140" s="3218"/>
      <c r="BO140" s="3218"/>
      <c r="BP140" s="3219"/>
      <c r="BQ140" s="3219"/>
      <c r="BR140" s="3219"/>
      <c r="BS140" s="3219"/>
      <c r="BT140" s="3219"/>
      <c r="BU140" s="3219"/>
    </row>
    <row r="141" spans="1:73">
      <c r="B141" s="3213"/>
      <c r="C141" s="3210">
        <v>1</v>
      </c>
      <c r="D141" s="3208" t="s">
        <v>308</v>
      </c>
      <c r="E141" s="3208"/>
      <c r="F141" s="3222">
        <f>F182/F$203</f>
        <v>0.70017003589646709</v>
      </c>
      <c r="G141" s="3222"/>
      <c r="H141" s="3223"/>
      <c r="I141" s="3223"/>
      <c r="J141" s="3223"/>
      <c r="K141" s="3223"/>
      <c r="L141" s="3223"/>
      <c r="M141" s="3223"/>
      <c r="N141" s="3223"/>
      <c r="O141" s="3223"/>
      <c r="P141" s="3223"/>
      <c r="Q141" s="3223"/>
      <c r="R141" s="3223"/>
      <c r="S141" s="3223"/>
      <c r="T141" s="3223"/>
      <c r="U141" s="3223"/>
      <c r="V141" s="3223"/>
      <c r="W141" s="3223"/>
      <c r="X141" s="3223"/>
      <c r="Y141" s="3223"/>
      <c r="Z141" s="3223"/>
      <c r="AA141" s="3223"/>
      <c r="AB141" s="3223"/>
      <c r="AC141" s="3223"/>
      <c r="AD141" s="3223"/>
      <c r="AE141" s="3223"/>
      <c r="AF141" s="3223"/>
      <c r="AG141" s="3223"/>
      <c r="AH141" s="3223"/>
      <c r="AI141" s="3223"/>
      <c r="AJ141" s="3223"/>
      <c r="AK141" s="3223"/>
      <c r="AL141" s="3223"/>
      <c r="AM141" s="3223"/>
      <c r="AN141" s="3223"/>
      <c r="AO141" s="3223"/>
      <c r="AP141" s="3223"/>
      <c r="AQ141" s="3223"/>
      <c r="AR141" s="3223"/>
      <c r="AS141" s="3223"/>
      <c r="AT141" s="3223"/>
      <c r="AU141" s="3223"/>
      <c r="AV141" s="3223"/>
      <c r="AW141" s="3223"/>
      <c r="AX141" s="3224"/>
      <c r="AY141" s="3222">
        <f ca="1">AY182*$AY$155/$F$205</f>
        <v>0.70068236090035441</v>
      </c>
      <c r="AZ141" s="3222">
        <f ca="1">AZ182*$AY$155/$F$205</f>
        <v>0.67936715242504031</v>
      </c>
      <c r="BA141" s="3222">
        <f t="shared" ref="AY141:BG150" ca="1" si="29">BA182*$AY$155/$F$205</f>
        <v>0.60620845358954367</v>
      </c>
      <c r="BB141" s="3222">
        <f t="shared" ca="1" si="29"/>
        <v>0.52542084983815085</v>
      </c>
      <c r="BC141" s="3222">
        <f t="shared" ca="1" si="29"/>
        <v>0.46643028532645431</v>
      </c>
      <c r="BD141" s="3222">
        <f t="shared" ca="1" si="29"/>
        <v>0.61889567646422883</v>
      </c>
      <c r="BE141" s="3222">
        <f t="shared" ca="1" si="29"/>
        <v>0.6860508573218117</v>
      </c>
      <c r="BF141" s="3222">
        <f t="shared" ca="1" si="29"/>
        <v>0.74215419476269362</v>
      </c>
      <c r="BG141" s="3222">
        <f t="shared" ca="1" si="29"/>
        <v>0.7982711313259474</v>
      </c>
      <c r="BH141" s="3211"/>
      <c r="BJ141" s="3213"/>
      <c r="BK141" s="3210"/>
      <c r="BL141" s="3208"/>
      <c r="BM141" s="3208"/>
      <c r="BN141" s="3222"/>
      <c r="BO141" s="3222"/>
      <c r="BP141" s="3223"/>
      <c r="BQ141" s="3223"/>
      <c r="BR141" s="3223"/>
      <c r="BS141" s="3223"/>
      <c r="BT141" s="3223"/>
      <c r="BU141" s="3223"/>
    </row>
    <row r="142" spans="1:73">
      <c r="B142" s="3213"/>
      <c r="C142" s="3210">
        <v>2</v>
      </c>
      <c r="D142" s="3208" t="s">
        <v>408</v>
      </c>
      <c r="E142" s="3208"/>
      <c r="F142" s="3222">
        <f t="shared" ref="F142:F148" si="30">F183/F$203</f>
        <v>4.5720763272246362E-2</v>
      </c>
      <c r="G142" s="3222"/>
      <c r="H142" s="3223"/>
      <c r="I142" s="3223"/>
      <c r="J142" s="3223"/>
      <c r="K142" s="3223"/>
      <c r="L142" s="3223"/>
      <c r="M142" s="3223"/>
      <c r="N142" s="3223"/>
      <c r="O142" s="3223"/>
      <c r="P142" s="3223"/>
      <c r="Q142" s="3223"/>
      <c r="R142" s="3223"/>
      <c r="S142" s="3223"/>
      <c r="T142" s="3223"/>
      <c r="U142" s="3223"/>
      <c r="V142" s="3223"/>
      <c r="W142" s="3223"/>
      <c r="X142" s="3223"/>
      <c r="Y142" s="3223"/>
      <c r="Z142" s="3223"/>
      <c r="AA142" s="3223"/>
      <c r="AB142" s="3223"/>
      <c r="AC142" s="3223"/>
      <c r="AD142" s="3223"/>
      <c r="AE142" s="3223"/>
      <c r="AF142" s="3223"/>
      <c r="AG142" s="3223"/>
      <c r="AH142" s="3223"/>
      <c r="AI142" s="3223"/>
      <c r="AJ142" s="3223"/>
      <c r="AK142" s="3223"/>
      <c r="AL142" s="3223"/>
      <c r="AM142" s="3223"/>
      <c r="AN142" s="3223"/>
      <c r="AO142" s="3223"/>
      <c r="AP142" s="3223"/>
      <c r="AQ142" s="3223"/>
      <c r="AR142" s="3223"/>
      <c r="AS142" s="3223"/>
      <c r="AT142" s="3223"/>
      <c r="AU142" s="3223"/>
      <c r="AV142" s="3223"/>
      <c r="AW142" s="3223"/>
      <c r="AX142" s="3224"/>
      <c r="AY142" s="3222">
        <f t="shared" ca="1" si="29"/>
        <v>4.6332129690538154E-2</v>
      </c>
      <c r="AZ142" s="3222">
        <f t="shared" ca="1" si="29"/>
        <v>4.4368679822722003E-2</v>
      </c>
      <c r="BA142" s="3222">
        <f t="shared" ca="1" si="29"/>
        <v>3.982897874684499E-2</v>
      </c>
      <c r="BB142" s="3222">
        <f t="shared" ca="1" si="29"/>
        <v>3.5769962257996731E-2</v>
      </c>
      <c r="BC142" s="3222">
        <f t="shared" ca="1" si="29"/>
        <v>3.2139221902221966E-2</v>
      </c>
      <c r="BD142" s="3222">
        <f t="shared" ca="1" si="29"/>
        <v>2.8890199563131203E-2</v>
      </c>
      <c r="BE142" s="3222">
        <f t="shared" ca="1" si="29"/>
        <v>2.5981522451681258E-2</v>
      </c>
      <c r="BF142" s="3222">
        <f t="shared" ca="1" si="29"/>
        <v>2.3376414709300422E-2</v>
      </c>
      <c r="BG142" s="3222">
        <f t="shared" ca="1" si="29"/>
        <v>2.104217671221334E-2</v>
      </c>
      <c r="BH142" s="3211"/>
      <c r="BJ142" s="3213"/>
      <c r="BK142" s="3210"/>
      <c r="BL142" s="3208"/>
      <c r="BM142" s="3208"/>
      <c r="BN142" s="3222"/>
      <c r="BO142" s="3222"/>
      <c r="BP142" s="3223"/>
      <c r="BQ142" s="3223"/>
      <c r="BR142" s="3223"/>
      <c r="BS142" s="3223"/>
      <c r="BT142" s="3223"/>
      <c r="BU142" s="3223"/>
    </row>
    <row r="143" spans="1:73">
      <c r="B143" s="3213"/>
      <c r="C143" s="3210">
        <v>3</v>
      </c>
      <c r="D143" s="3208" t="s">
        <v>409</v>
      </c>
      <c r="E143" s="3208"/>
      <c r="F143" s="3222">
        <f t="shared" si="30"/>
        <v>1.3225014169658041E-3</v>
      </c>
      <c r="G143" s="3222"/>
      <c r="H143" s="3223"/>
      <c r="I143" s="3223"/>
      <c r="J143" s="3223"/>
      <c r="K143" s="3223"/>
      <c r="L143" s="3223"/>
      <c r="M143" s="3223"/>
      <c r="N143" s="3223"/>
      <c r="O143" s="3223"/>
      <c r="P143" s="3223"/>
      <c r="Q143" s="3223"/>
      <c r="R143" s="3223"/>
      <c r="S143" s="3223"/>
      <c r="T143" s="3223"/>
      <c r="U143" s="3223"/>
      <c r="V143" s="3223"/>
      <c r="W143" s="3223"/>
      <c r="X143" s="3223"/>
      <c r="Y143" s="3223"/>
      <c r="Z143" s="3223"/>
      <c r="AA143" s="3223"/>
      <c r="AB143" s="3223"/>
      <c r="AC143" s="3223"/>
      <c r="AD143" s="3223"/>
      <c r="AE143" s="3223"/>
      <c r="AF143" s="3223"/>
      <c r="AG143" s="3223"/>
      <c r="AH143" s="3223"/>
      <c r="AI143" s="3223"/>
      <c r="AJ143" s="3223"/>
      <c r="AK143" s="3223"/>
      <c r="AL143" s="3223"/>
      <c r="AM143" s="3223"/>
      <c r="AN143" s="3223"/>
      <c r="AO143" s="3223"/>
      <c r="AP143" s="3223"/>
      <c r="AQ143" s="3223"/>
      <c r="AR143" s="3223"/>
      <c r="AS143" s="3223"/>
      <c r="AT143" s="3223"/>
      <c r="AU143" s="3223"/>
      <c r="AV143" s="3223"/>
      <c r="AW143" s="3223"/>
      <c r="AX143" s="3224"/>
      <c r="AY143" s="3222">
        <f t="shared" ca="1" si="29"/>
        <v>0</v>
      </c>
      <c r="AZ143" s="3222">
        <f t="shared" ca="1" si="29"/>
        <v>0</v>
      </c>
      <c r="BA143" s="3222">
        <f t="shared" ca="1" si="29"/>
        <v>0</v>
      </c>
      <c r="BB143" s="3222">
        <f t="shared" ca="1" si="29"/>
        <v>0</v>
      </c>
      <c r="BC143" s="3222">
        <f t="shared" ca="1" si="29"/>
        <v>0</v>
      </c>
      <c r="BD143" s="3222">
        <f t="shared" ca="1" si="29"/>
        <v>0</v>
      </c>
      <c r="BE143" s="3222">
        <f t="shared" ca="1" si="29"/>
        <v>0</v>
      </c>
      <c r="BF143" s="3222">
        <f t="shared" ca="1" si="29"/>
        <v>0</v>
      </c>
      <c r="BG143" s="3222">
        <f t="shared" ca="1" si="29"/>
        <v>0</v>
      </c>
      <c r="BH143" s="3211"/>
      <c r="BJ143" s="3213"/>
      <c r="BK143" s="3210"/>
      <c r="BL143" s="3208"/>
      <c r="BM143" s="3208"/>
      <c r="BN143" s="3222"/>
      <c r="BO143" s="3222"/>
      <c r="BP143" s="3223"/>
      <c r="BQ143" s="3223"/>
      <c r="BR143" s="3223"/>
      <c r="BS143" s="3223"/>
      <c r="BT143" s="3223"/>
      <c r="BU143" s="3223"/>
    </row>
    <row r="144" spans="1:73">
      <c r="B144" s="3213"/>
      <c r="C144" s="3210">
        <v>4</v>
      </c>
      <c r="D144" s="3208" t="s">
        <v>401</v>
      </c>
      <c r="E144" s="3208"/>
      <c r="F144" s="3222">
        <f t="shared" si="30"/>
        <v>0.33950500661250704</v>
      </c>
      <c r="G144" s="3222"/>
      <c r="H144" s="3223"/>
      <c r="I144" s="3223"/>
      <c r="J144" s="3223"/>
      <c r="K144" s="3223"/>
      <c r="L144" s="3223"/>
      <c r="M144" s="3223"/>
      <c r="N144" s="3223"/>
      <c r="O144" s="3223"/>
      <c r="P144" s="3223"/>
      <c r="Q144" s="3223"/>
      <c r="R144" s="3223"/>
      <c r="S144" s="3223"/>
      <c r="T144" s="3223"/>
      <c r="U144" s="3223"/>
      <c r="V144" s="3223"/>
      <c r="W144" s="3223"/>
      <c r="X144" s="3223"/>
      <c r="Y144" s="3223"/>
      <c r="Z144" s="3223"/>
      <c r="AA144" s="3223"/>
      <c r="AB144" s="3223"/>
      <c r="AC144" s="3223"/>
      <c r="AD144" s="3223"/>
      <c r="AE144" s="3223"/>
      <c r="AF144" s="3223"/>
      <c r="AG144" s="3223"/>
      <c r="AH144" s="3223"/>
      <c r="AI144" s="3223"/>
      <c r="AJ144" s="3223"/>
      <c r="AK144" s="3223"/>
      <c r="AL144" s="3223"/>
      <c r="AM144" s="3223"/>
      <c r="AN144" s="3223"/>
      <c r="AO144" s="3223"/>
      <c r="AP144" s="3223"/>
      <c r="AQ144" s="3223"/>
      <c r="AR144" s="3223"/>
      <c r="AS144" s="3223"/>
      <c r="AT144" s="3223"/>
      <c r="AU144" s="3223"/>
      <c r="AV144" s="3223"/>
      <c r="AW144" s="3223"/>
      <c r="AX144" s="3224"/>
      <c r="AY144" s="3222">
        <f t="shared" ca="1" si="29"/>
        <v>0.3346115098311358</v>
      </c>
      <c r="AZ144" s="3222">
        <f t="shared" ca="1" si="29"/>
        <v>0.32990215309633181</v>
      </c>
      <c r="BA144" s="3222">
        <f t="shared" ca="1" si="29"/>
        <v>0.3161004385725032</v>
      </c>
      <c r="BB144" s="3222">
        <f t="shared" ca="1" si="29"/>
        <v>0.30193449445079229</v>
      </c>
      <c r="BC144" s="3222">
        <f t="shared" ca="1" si="29"/>
        <v>0.28338587501517193</v>
      </c>
      <c r="BD144" s="3222">
        <f t="shared" ca="1" si="29"/>
        <v>0.27339993786749706</v>
      </c>
      <c r="BE144" s="3222">
        <f t="shared" ca="1" si="29"/>
        <v>0.26374542614627072</v>
      </c>
      <c r="BF144" s="3222">
        <f t="shared" ca="1" si="29"/>
        <v>0.25441205948171602</v>
      </c>
      <c r="BG144" s="3222">
        <f t="shared" ca="1" si="29"/>
        <v>0.24915764238061339</v>
      </c>
      <c r="BH144" s="3211"/>
      <c r="BJ144" s="3213"/>
      <c r="BK144" s="3210"/>
      <c r="BL144" s="3208"/>
      <c r="BM144" s="3208"/>
      <c r="BN144" s="3222"/>
      <c r="BO144" s="3222"/>
      <c r="BP144" s="3223"/>
      <c r="BQ144" s="3223"/>
      <c r="BR144" s="3223"/>
      <c r="BS144" s="3223"/>
      <c r="BT144" s="3223"/>
      <c r="BU144" s="3223"/>
    </row>
    <row r="145" spans="1:73">
      <c r="B145" s="3213"/>
      <c r="C145" s="3210">
        <v>5</v>
      </c>
      <c r="D145" s="3208" t="s">
        <v>410</v>
      </c>
      <c r="E145" s="3208"/>
      <c r="F145" s="3222">
        <f t="shared" si="30"/>
        <v>-5.9323634989608923E-2</v>
      </c>
      <c r="G145" s="3222"/>
      <c r="H145" s="3223"/>
      <c r="I145" s="3223"/>
      <c r="J145" s="3223"/>
      <c r="K145" s="3223"/>
      <c r="L145" s="3223"/>
      <c r="M145" s="3223"/>
      <c r="N145" s="3223"/>
      <c r="O145" s="3223"/>
      <c r="P145" s="3223"/>
      <c r="Q145" s="3223"/>
      <c r="R145" s="3223"/>
      <c r="S145" s="3223"/>
      <c r="T145" s="3223"/>
      <c r="U145" s="3223"/>
      <c r="V145" s="3223"/>
      <c r="W145" s="3223"/>
      <c r="X145" s="3223"/>
      <c r="Y145" s="3223"/>
      <c r="Z145" s="3223"/>
      <c r="AA145" s="3223"/>
      <c r="AB145" s="3223"/>
      <c r="AC145" s="3223"/>
      <c r="AD145" s="3223"/>
      <c r="AE145" s="3223"/>
      <c r="AF145" s="3223"/>
      <c r="AG145" s="3223"/>
      <c r="AH145" s="3223"/>
      <c r="AI145" s="3223"/>
      <c r="AJ145" s="3223"/>
      <c r="AK145" s="3223"/>
      <c r="AL145" s="3223"/>
      <c r="AM145" s="3223"/>
      <c r="AN145" s="3223"/>
      <c r="AO145" s="3223"/>
      <c r="AP145" s="3223"/>
      <c r="AQ145" s="3223"/>
      <c r="AR145" s="3223"/>
      <c r="AS145" s="3223"/>
      <c r="AT145" s="3223"/>
      <c r="AU145" s="3223"/>
      <c r="AV145" s="3223"/>
      <c r="AW145" s="3223"/>
      <c r="AX145" s="3224"/>
      <c r="AY145" s="3222">
        <f t="shared" ca="1" si="29"/>
        <v>-6.0997588923163037E-2</v>
      </c>
      <c r="AZ145" s="3222">
        <f t="shared" ca="1" si="29"/>
        <v>-3.9094242464228199E-2</v>
      </c>
      <c r="BA145" s="3222">
        <f t="shared" ca="1" si="29"/>
        <v>-2.2625551771304712E-2</v>
      </c>
      <c r="BB145" s="3222">
        <f t="shared" ca="1" si="29"/>
        <v>-1.2542749213370431E-2</v>
      </c>
      <c r="BC145" s="3222">
        <f t="shared" ca="1" si="29"/>
        <v>-1.7964719639900789E-2</v>
      </c>
      <c r="BD145" s="3222">
        <f t="shared" ca="1" si="29"/>
        <v>-2.8055247057724431E-2</v>
      </c>
      <c r="BE145" s="3222">
        <f t="shared" ca="1" si="29"/>
        <v>-4.7577642745559798E-2</v>
      </c>
      <c r="BF145" s="3222">
        <f t="shared" ca="1" si="29"/>
        <v>-6.9139072206383517E-2</v>
      </c>
      <c r="BG145" s="3222">
        <f t="shared" ca="1" si="29"/>
        <v>-8.5797231898305987E-2</v>
      </c>
      <c r="BH145" s="3211"/>
      <c r="BJ145" s="3213"/>
      <c r="BK145" s="3210"/>
      <c r="BL145" s="3208"/>
      <c r="BM145" s="3208"/>
      <c r="BN145" s="3222"/>
      <c r="BO145" s="3222"/>
      <c r="BP145" s="3223"/>
      <c r="BQ145" s="3223"/>
      <c r="BR145" s="3223"/>
      <c r="BS145" s="3223"/>
      <c r="BT145" s="3223"/>
      <c r="BU145" s="3223"/>
    </row>
    <row r="146" spans="1:73">
      <c r="B146" s="3213"/>
      <c r="C146" s="3210">
        <v>6</v>
      </c>
      <c r="D146" s="3208" t="s">
        <v>402</v>
      </c>
      <c r="E146" s="3208"/>
      <c r="F146" s="3222">
        <f t="shared" si="30"/>
        <v>1.9081806159078028E-2</v>
      </c>
      <c r="G146" s="3222"/>
      <c r="H146" s="3223"/>
      <c r="I146" s="3223"/>
      <c r="J146" s="3223"/>
      <c r="K146" s="3223"/>
      <c r="L146" s="3223"/>
      <c r="M146" s="3223"/>
      <c r="N146" s="3223"/>
      <c r="O146" s="3223"/>
      <c r="P146" s="3223"/>
      <c r="Q146" s="3223"/>
      <c r="R146" s="3223"/>
      <c r="S146" s="3223"/>
      <c r="T146" s="3223"/>
      <c r="U146" s="3223"/>
      <c r="V146" s="3223"/>
      <c r="W146" s="3223"/>
      <c r="X146" s="3223"/>
      <c r="Y146" s="3223"/>
      <c r="Z146" s="3223"/>
      <c r="AA146" s="3223"/>
      <c r="AB146" s="3223"/>
      <c r="AC146" s="3223"/>
      <c r="AD146" s="3223"/>
      <c r="AE146" s="3223"/>
      <c r="AF146" s="3223"/>
      <c r="AG146" s="3223"/>
      <c r="AH146" s="3223"/>
      <c r="AI146" s="3223"/>
      <c r="AJ146" s="3223"/>
      <c r="AK146" s="3223"/>
      <c r="AL146" s="3223"/>
      <c r="AM146" s="3223"/>
      <c r="AN146" s="3223"/>
      <c r="AO146" s="3223"/>
      <c r="AP146" s="3223"/>
      <c r="AQ146" s="3223"/>
      <c r="AR146" s="3223"/>
      <c r="AS146" s="3223"/>
      <c r="AT146" s="3223"/>
      <c r="AU146" s="3223"/>
      <c r="AV146" s="3223"/>
      <c r="AW146" s="3223"/>
      <c r="AX146" s="3224"/>
      <c r="AY146" s="3222">
        <f t="shared" ca="1" si="29"/>
        <v>1.8555279476589234E-2</v>
      </c>
      <c r="AZ146" s="3222">
        <f t="shared" ca="1" si="29"/>
        <v>1.6012388689546086E-2</v>
      </c>
      <c r="BA146" s="3222">
        <f t="shared" ca="1" si="29"/>
        <v>1.4027911377303389E-2</v>
      </c>
      <c r="BB146" s="3222">
        <f t="shared" ca="1" si="29"/>
        <v>1.2762523836153523E-2</v>
      </c>
      <c r="BC146" s="3222">
        <f t="shared" ca="1" si="29"/>
        <v>1.1531679693182443E-2</v>
      </c>
      <c r="BD146" s="3222">
        <f t="shared" ca="1" si="29"/>
        <v>1.033537894839015E-2</v>
      </c>
      <c r="BE146" s="3222">
        <f t="shared" ca="1" si="29"/>
        <v>9.1736216017766457E-3</v>
      </c>
      <c r="BF146" s="3222">
        <f t="shared" ca="1" si="29"/>
        <v>8.0464076533419259E-3</v>
      </c>
      <c r="BG146" s="3222">
        <f t="shared" ca="1" si="29"/>
        <v>6.9537371030859944E-3</v>
      </c>
      <c r="BH146" s="3211"/>
      <c r="BJ146" s="3213"/>
      <c r="BK146" s="3210"/>
      <c r="BL146" s="3208"/>
      <c r="BM146" s="3208"/>
      <c r="BN146" s="3222"/>
      <c r="BO146" s="3222"/>
      <c r="BP146" s="3223"/>
      <c r="BQ146" s="3223"/>
      <c r="BR146" s="3223"/>
      <c r="BS146" s="3223"/>
      <c r="BT146" s="3223"/>
      <c r="BU146" s="3223"/>
    </row>
    <row r="147" spans="1:73">
      <c r="B147" s="3213"/>
      <c r="C147" s="3210">
        <v>7</v>
      </c>
      <c r="D147" s="3208" t="s">
        <v>411</v>
      </c>
      <c r="E147" s="3208"/>
      <c r="F147" s="3222">
        <f t="shared" si="30"/>
        <v>0</v>
      </c>
      <c r="G147" s="3222"/>
      <c r="H147" s="3223"/>
      <c r="I147" s="3223"/>
      <c r="J147" s="3223"/>
      <c r="K147" s="3223"/>
      <c r="L147" s="3223"/>
      <c r="M147" s="3223"/>
      <c r="N147" s="3223"/>
      <c r="O147" s="3223"/>
      <c r="P147" s="3223"/>
      <c r="Q147" s="3223"/>
      <c r="R147" s="3223"/>
      <c r="S147" s="3223"/>
      <c r="T147" s="3223"/>
      <c r="U147" s="3223"/>
      <c r="V147" s="3223"/>
      <c r="W147" s="3223"/>
      <c r="X147" s="3223"/>
      <c r="Y147" s="3223"/>
      <c r="Z147" s="3223"/>
      <c r="AA147" s="3223"/>
      <c r="AB147" s="3223"/>
      <c r="AC147" s="3223"/>
      <c r="AD147" s="3223"/>
      <c r="AE147" s="3223"/>
      <c r="AF147" s="3223"/>
      <c r="AG147" s="3223"/>
      <c r="AH147" s="3223"/>
      <c r="AI147" s="3223"/>
      <c r="AJ147" s="3223"/>
      <c r="AK147" s="3223"/>
      <c r="AL147" s="3223"/>
      <c r="AM147" s="3223"/>
      <c r="AN147" s="3223"/>
      <c r="AO147" s="3223"/>
      <c r="AP147" s="3223"/>
      <c r="AQ147" s="3223"/>
      <c r="AR147" s="3223"/>
      <c r="AS147" s="3223"/>
      <c r="AT147" s="3223"/>
      <c r="AU147" s="3223"/>
      <c r="AV147" s="3223"/>
      <c r="AW147" s="3223"/>
      <c r="AX147" s="3224"/>
      <c r="AY147" s="3222">
        <f t="shared" ca="1" si="29"/>
        <v>0</v>
      </c>
      <c r="AZ147" s="3222">
        <f t="shared" ca="1" si="29"/>
        <v>0</v>
      </c>
      <c r="BA147" s="3222">
        <f t="shared" ca="1" si="29"/>
        <v>0</v>
      </c>
      <c r="BB147" s="3222">
        <f t="shared" ca="1" si="29"/>
        <v>0</v>
      </c>
      <c r="BC147" s="3222">
        <f t="shared" ca="1" si="29"/>
        <v>0</v>
      </c>
      <c r="BD147" s="3222">
        <f t="shared" ca="1" si="29"/>
        <v>0</v>
      </c>
      <c r="BE147" s="3222">
        <f t="shared" ca="1" si="29"/>
        <v>0</v>
      </c>
      <c r="BF147" s="3222">
        <f t="shared" ca="1" si="29"/>
        <v>0</v>
      </c>
      <c r="BG147" s="3222">
        <f t="shared" ca="1" si="29"/>
        <v>0</v>
      </c>
      <c r="BH147" s="3211"/>
      <c r="BJ147" s="3213"/>
      <c r="BK147" s="3210"/>
      <c r="BL147" s="3208"/>
      <c r="BM147" s="3208"/>
      <c r="BN147" s="3222"/>
      <c r="BO147" s="3222"/>
      <c r="BP147" s="3223"/>
      <c r="BQ147" s="3223"/>
      <c r="BR147" s="3223"/>
      <c r="BS147" s="3223"/>
      <c r="BT147" s="3223"/>
      <c r="BU147" s="3223"/>
    </row>
    <row r="148" spans="1:73">
      <c r="B148" s="3213"/>
      <c r="C148" s="3210" t="s">
        <v>457</v>
      </c>
      <c r="D148" s="3208" t="s">
        <v>412</v>
      </c>
      <c r="E148" s="3208"/>
      <c r="F148" s="3222">
        <f t="shared" si="30"/>
        <v>4.0808615152087668E-2</v>
      </c>
      <c r="G148" s="3222"/>
      <c r="H148" s="3223"/>
      <c r="I148" s="3223"/>
      <c r="J148" s="3223"/>
      <c r="K148" s="3223"/>
      <c r="L148" s="3223"/>
      <c r="M148" s="3223"/>
      <c r="N148" s="3223"/>
      <c r="O148" s="3223"/>
      <c r="P148" s="3223"/>
      <c r="Q148" s="3223"/>
      <c r="R148" s="3223"/>
      <c r="S148" s="3223"/>
      <c r="T148" s="3223"/>
      <c r="U148" s="3223"/>
      <c r="V148" s="3223"/>
      <c r="W148" s="3223"/>
      <c r="X148" s="3223"/>
      <c r="Y148" s="3223"/>
      <c r="Z148" s="3223"/>
      <c r="AA148" s="3223"/>
      <c r="AB148" s="3223"/>
      <c r="AC148" s="3223"/>
      <c r="AD148" s="3223"/>
      <c r="AE148" s="3223"/>
      <c r="AF148" s="3223"/>
      <c r="AG148" s="3223"/>
      <c r="AH148" s="3223"/>
      <c r="AI148" s="3223"/>
      <c r="AJ148" s="3223"/>
      <c r="AK148" s="3223"/>
      <c r="AL148" s="3223"/>
      <c r="AM148" s="3223"/>
      <c r="AN148" s="3223"/>
      <c r="AO148" s="3223"/>
      <c r="AP148" s="3223"/>
      <c r="AQ148" s="3223"/>
      <c r="AR148" s="3223"/>
      <c r="AS148" s="3223"/>
      <c r="AT148" s="3223"/>
      <c r="AU148" s="3223"/>
      <c r="AV148" s="3223"/>
      <c r="AW148" s="3223"/>
      <c r="AX148" s="3224"/>
      <c r="AY148" s="3222">
        <f t="shared" ca="1" si="29"/>
        <v>3.5586336618443182E-2</v>
      </c>
      <c r="AZ148" s="3222">
        <f t="shared" ca="1" si="29"/>
        <v>3.4948665052577293E-2</v>
      </c>
      <c r="BA148" s="3222">
        <f t="shared" ca="1" si="29"/>
        <v>3.7793593786717809E-2</v>
      </c>
      <c r="BB148" s="3222">
        <f t="shared" ca="1" si="29"/>
        <v>4.0870108462414671E-2</v>
      </c>
      <c r="BC148" s="3222">
        <f t="shared" ca="1" si="29"/>
        <v>4.4197060886984843E-2</v>
      </c>
      <c r="BD148" s="3222">
        <f t="shared" ca="1" si="29"/>
        <v>4.779483746279338E-2</v>
      </c>
      <c r="BE148" s="3222">
        <f t="shared" ca="1" si="29"/>
        <v>5.1685484108006191E-2</v>
      </c>
      <c r="BF148" s="3222">
        <f t="shared" ca="1" si="29"/>
        <v>5.5892841346276069E-2</v>
      </c>
      <c r="BG148" s="3222">
        <f t="shared" ca="1" si="29"/>
        <v>6.0442690393144059E-2</v>
      </c>
      <c r="BH148" s="3211"/>
      <c r="BJ148" s="3213"/>
      <c r="BK148" s="3210"/>
      <c r="BL148" s="3208"/>
      <c r="BM148" s="3208"/>
      <c r="BN148" s="3222"/>
      <c r="BO148" s="3222"/>
      <c r="BP148" s="3223"/>
      <c r="BQ148" s="3223"/>
      <c r="BR148" s="3223"/>
      <c r="BS148" s="3223"/>
      <c r="BT148" s="3223"/>
      <c r="BU148" s="3223"/>
    </row>
    <row r="149" spans="1:73" s="927" customFormat="1">
      <c r="B149" s="3215"/>
      <c r="C149" s="3210" t="s">
        <v>458</v>
      </c>
      <c r="D149" s="3290" t="s">
        <v>413</v>
      </c>
      <c r="E149" s="3208"/>
      <c r="F149" s="3218"/>
      <c r="G149" s="3218"/>
      <c r="H149" s="3219"/>
      <c r="I149" s="3219"/>
      <c r="J149" s="3219"/>
      <c r="K149" s="3219"/>
      <c r="L149" s="3219"/>
      <c r="M149" s="3219"/>
      <c r="N149" s="3219"/>
      <c r="O149" s="3219"/>
      <c r="P149" s="3219"/>
      <c r="Q149" s="3219"/>
      <c r="R149" s="3219"/>
      <c r="S149" s="3219"/>
      <c r="T149" s="3219"/>
      <c r="U149" s="3219"/>
      <c r="V149" s="3219"/>
      <c r="W149" s="3219"/>
      <c r="X149" s="3219"/>
      <c r="Y149" s="3219"/>
      <c r="Z149" s="3219"/>
      <c r="AA149" s="3219"/>
      <c r="AB149" s="3219"/>
      <c r="AC149" s="3219"/>
      <c r="AD149" s="3219"/>
      <c r="AE149" s="3219"/>
      <c r="AF149" s="3219"/>
      <c r="AG149" s="3219"/>
      <c r="AH149" s="3219"/>
      <c r="AI149" s="3219"/>
      <c r="AJ149" s="3219"/>
      <c r="AK149" s="3219"/>
      <c r="AL149" s="3219"/>
      <c r="AM149" s="3219"/>
      <c r="AN149" s="3219"/>
      <c r="AO149" s="3219"/>
      <c r="AP149" s="3219"/>
      <c r="AQ149" s="3219"/>
      <c r="AR149" s="3219"/>
      <c r="AS149" s="3219"/>
      <c r="AT149" s="3219"/>
      <c r="AU149" s="3219"/>
      <c r="AV149" s="3219"/>
      <c r="AW149" s="3219"/>
      <c r="AX149" s="3220"/>
      <c r="AY149" s="3222">
        <f t="shared" ca="1" si="29"/>
        <v>-1.0409014092880788E-2</v>
      </c>
      <c r="AZ149" s="3222">
        <f t="shared" ca="1" si="29"/>
        <v>-3.1868943020705719E-2</v>
      </c>
      <c r="BA149" s="3222">
        <f t="shared" ca="1" si="29"/>
        <v>-0.10376808574031317</v>
      </c>
      <c r="BB149" s="3222">
        <f t="shared" ca="1" si="29"/>
        <v>-9.4545056011594381E-2</v>
      </c>
      <c r="BC149" s="3222">
        <f t="shared" ca="1" si="29"/>
        <v>-9.3667720291314635E-2</v>
      </c>
      <c r="BD149" s="3222">
        <f t="shared" ca="1" si="29"/>
        <v>-0.22685066195112005</v>
      </c>
      <c r="BE149" s="3222">
        <f t="shared" ca="1" si="29"/>
        <v>-0.2624831493070196</v>
      </c>
      <c r="BF149" s="3222">
        <f t="shared" ca="1" si="29"/>
        <v>-0.28622746945987726</v>
      </c>
      <c r="BG149" s="3222">
        <f t="shared" ca="1" si="29"/>
        <v>-0.30791681218189543</v>
      </c>
      <c r="BH149" s="3221"/>
      <c r="BJ149" s="3215"/>
      <c r="BK149" s="3210"/>
      <c r="BL149" s="3217"/>
      <c r="BM149" s="3208"/>
      <c r="BN149" s="3218"/>
      <c r="BO149" s="3218"/>
      <c r="BP149" s="3219"/>
      <c r="BQ149" s="3219"/>
      <c r="BR149" s="3219"/>
      <c r="BS149" s="3219"/>
      <c r="BT149" s="3219"/>
      <c r="BU149" s="3219"/>
    </row>
    <row r="150" spans="1:73">
      <c r="B150" s="3213"/>
      <c r="C150" s="3210" t="s">
        <v>459</v>
      </c>
      <c r="D150" s="3290" t="s">
        <v>414</v>
      </c>
      <c r="E150" s="3208"/>
      <c r="F150" s="3218"/>
      <c r="G150" s="3218"/>
      <c r="H150" s="3219"/>
      <c r="I150" s="3219"/>
      <c r="J150" s="3219"/>
      <c r="K150" s="3219"/>
      <c r="L150" s="3219"/>
      <c r="M150" s="3219"/>
      <c r="N150" s="3219"/>
      <c r="O150" s="3219"/>
      <c r="P150" s="3219"/>
      <c r="Q150" s="3219"/>
      <c r="R150" s="3219"/>
      <c r="S150" s="3219"/>
      <c r="T150" s="3219"/>
      <c r="U150" s="3219"/>
      <c r="V150" s="3219"/>
      <c r="W150" s="3219"/>
      <c r="X150" s="3219"/>
      <c r="Y150" s="3219"/>
      <c r="Z150" s="3219"/>
      <c r="AA150" s="3219"/>
      <c r="AB150" s="3219"/>
      <c r="AC150" s="3219"/>
      <c r="AD150" s="3219"/>
      <c r="AE150" s="3219"/>
      <c r="AF150" s="3219"/>
      <c r="AG150" s="3219"/>
      <c r="AH150" s="3219"/>
      <c r="AI150" s="3219"/>
      <c r="AJ150" s="3219"/>
      <c r="AK150" s="3219"/>
      <c r="AL150" s="3219"/>
      <c r="AM150" s="3219"/>
      <c r="AN150" s="3219"/>
      <c r="AO150" s="3219"/>
      <c r="AP150" s="3219"/>
      <c r="AQ150" s="3219"/>
      <c r="AR150" s="3219"/>
      <c r="AS150" s="3219"/>
      <c r="AT150" s="3219"/>
      <c r="AU150" s="3219"/>
      <c r="AV150" s="3219"/>
      <c r="AW150" s="3219"/>
      <c r="AX150" s="3220"/>
      <c r="AY150" s="3222">
        <f t="shared" ca="1" si="29"/>
        <v>0</v>
      </c>
      <c r="AZ150" s="3222">
        <f t="shared" ca="1" si="29"/>
        <v>0</v>
      </c>
      <c r="BA150" s="3222">
        <f t="shared" ca="1" si="29"/>
        <v>0</v>
      </c>
      <c r="BB150" s="3222">
        <f t="shared" ca="1" si="29"/>
        <v>0</v>
      </c>
      <c r="BC150" s="3222">
        <f t="shared" ca="1" si="29"/>
        <v>0</v>
      </c>
      <c r="BD150" s="3222">
        <f t="shared" ca="1" si="29"/>
        <v>-2.1196830754604885E-2</v>
      </c>
      <c r="BE150" s="3222">
        <f t="shared" ca="1" si="29"/>
        <v>-6.2581119370738236E-2</v>
      </c>
      <c r="BF150" s="3222">
        <f t="shared" ca="1" si="29"/>
        <v>-0.10267214896761742</v>
      </c>
      <c r="BG150" s="3222">
        <f t="shared" ca="1" si="29"/>
        <v>-0.14152960842305415</v>
      </c>
      <c r="BH150" s="3211"/>
      <c r="BJ150" s="3213"/>
      <c r="BK150" s="3210"/>
      <c r="BL150" s="3217"/>
      <c r="BM150" s="3208"/>
      <c r="BN150" s="3218"/>
      <c r="BO150" s="3218"/>
      <c r="BP150" s="3219"/>
      <c r="BQ150" s="3219"/>
      <c r="BR150" s="3219"/>
      <c r="BS150" s="3219"/>
      <c r="BT150" s="3219"/>
      <c r="BU150" s="3219"/>
    </row>
    <row r="151" spans="1:73">
      <c r="B151" s="3213"/>
      <c r="C151" s="3208"/>
      <c r="D151" s="3214" t="s">
        <v>59</v>
      </c>
      <c r="E151" s="3208"/>
      <c r="F151" s="3225">
        <f>F192/F203</f>
        <v>1.0872850935197431</v>
      </c>
      <c r="G151" s="3225"/>
      <c r="H151" s="3226"/>
      <c r="I151" s="3226"/>
      <c r="J151" s="3226"/>
      <c r="K151" s="3226"/>
      <c r="L151" s="3226"/>
      <c r="M151" s="3226"/>
      <c r="N151" s="3226"/>
      <c r="O151" s="3226"/>
      <c r="P151" s="3226"/>
      <c r="Q151" s="3226"/>
      <c r="R151" s="3226"/>
      <c r="S151" s="3226"/>
      <c r="T151" s="3226"/>
      <c r="U151" s="3226"/>
      <c r="V151" s="3226"/>
      <c r="W151" s="3226"/>
      <c r="X151" s="3226"/>
      <c r="Y151" s="3226"/>
      <c r="Z151" s="3226"/>
      <c r="AA151" s="3226"/>
      <c r="AB151" s="3226"/>
      <c r="AC151" s="3226"/>
      <c r="AD151" s="3226"/>
      <c r="AE151" s="3226"/>
      <c r="AF151" s="3226"/>
      <c r="AG151" s="3226"/>
      <c r="AH151" s="3226"/>
      <c r="AI151" s="3226"/>
      <c r="AJ151" s="3226"/>
      <c r="AK151" s="3226"/>
      <c r="AL151" s="3226"/>
      <c r="AM151" s="3226"/>
      <c r="AN151" s="3226"/>
      <c r="AO151" s="3226"/>
      <c r="AP151" s="3226"/>
      <c r="AQ151" s="3226"/>
      <c r="AR151" s="3226"/>
      <c r="AS151" s="3226"/>
      <c r="AT151" s="3226"/>
      <c r="AU151" s="3226"/>
      <c r="AV151" s="3226"/>
      <c r="AW151" s="3226"/>
      <c r="AX151" s="3222"/>
      <c r="AY151" s="3225">
        <f t="shared" ref="AY151:BG151" ca="1" si="31">SUM(AY141:AY150)</f>
        <v>1.0643610135010171</v>
      </c>
      <c r="AZ151" s="3225">
        <f t="shared" ca="1" si="31"/>
        <v>1.0336358536012833</v>
      </c>
      <c r="BA151" s="3225">
        <f t="shared" ca="1" si="31"/>
        <v>0.88756573856129517</v>
      </c>
      <c r="BB151" s="3225">
        <f t="shared" ca="1" si="31"/>
        <v>0.80967013362054341</v>
      </c>
      <c r="BC151" s="3225">
        <f t="shared" ca="1" si="31"/>
        <v>0.72605168289280009</v>
      </c>
      <c r="BD151" s="3225">
        <f t="shared" ca="1" si="31"/>
        <v>0.70321329054259119</v>
      </c>
      <c r="BE151" s="3225">
        <f t="shared" ca="1" si="31"/>
        <v>0.66399500020622892</v>
      </c>
      <c r="BF151" s="3225">
        <f t="shared" ca="1" si="31"/>
        <v>0.62584322731945008</v>
      </c>
      <c r="BG151" s="3225">
        <f t="shared" ca="1" si="31"/>
        <v>0.60062372541174858</v>
      </c>
      <c r="BH151" s="3211"/>
      <c r="BJ151" s="3213"/>
      <c r="BK151" s="3208"/>
      <c r="BL151" s="3214"/>
      <c r="BM151" s="3208"/>
      <c r="BN151" s="3225"/>
      <c r="BO151" s="3225"/>
      <c r="BP151" s="3226"/>
      <c r="BQ151" s="3226"/>
      <c r="BR151" s="3226"/>
      <c r="BS151" s="3226"/>
      <c r="BT151" s="3226"/>
      <c r="BU151" s="3226"/>
    </row>
    <row r="152" spans="1:73">
      <c r="B152" s="3213"/>
      <c r="C152" s="3208"/>
      <c r="D152" s="3208"/>
      <c r="E152" s="3208"/>
      <c r="F152" s="3224"/>
      <c r="G152" s="3224"/>
      <c r="H152" s="3227"/>
      <c r="I152" s="3227"/>
      <c r="J152" s="3227"/>
      <c r="K152" s="3227"/>
      <c r="L152" s="3227"/>
      <c r="M152" s="3227"/>
      <c r="N152" s="3227"/>
      <c r="O152" s="3227"/>
      <c r="P152" s="3227"/>
      <c r="Q152" s="3227"/>
      <c r="R152" s="3227"/>
      <c r="S152" s="3227"/>
      <c r="T152" s="3227"/>
      <c r="U152" s="3227"/>
      <c r="V152" s="3227"/>
      <c r="W152" s="3227"/>
      <c r="X152" s="3227"/>
      <c r="Y152" s="3227"/>
      <c r="Z152" s="3227"/>
      <c r="AA152" s="3227"/>
      <c r="AB152" s="3227"/>
      <c r="AC152" s="3227"/>
      <c r="AD152" s="3227"/>
      <c r="AE152" s="3227"/>
      <c r="AF152" s="3227"/>
      <c r="AG152" s="3227"/>
      <c r="AH152" s="3227"/>
      <c r="AI152" s="3227"/>
      <c r="AJ152" s="3227"/>
      <c r="AK152" s="3227"/>
      <c r="AL152" s="3227"/>
      <c r="AM152" s="3227"/>
      <c r="AN152" s="3227"/>
      <c r="AO152" s="3227"/>
      <c r="AP152" s="3227"/>
      <c r="AQ152" s="3227"/>
      <c r="AR152" s="3227"/>
      <c r="AS152" s="3227"/>
      <c r="AT152" s="3227"/>
      <c r="AU152" s="3227"/>
      <c r="AV152" s="3227"/>
      <c r="AW152" s="3227"/>
      <c r="AX152" s="3224"/>
      <c r="AY152" s="3224"/>
      <c r="AZ152" s="3224"/>
      <c r="BA152" s="3224"/>
      <c r="BB152" s="3224"/>
      <c r="BC152" s="3224"/>
      <c r="BD152" s="3224"/>
      <c r="BE152" s="3224"/>
      <c r="BF152" s="3224"/>
      <c r="BG152" s="3224"/>
      <c r="BH152" s="3211"/>
      <c r="BJ152" s="3213"/>
      <c r="BK152" s="3208"/>
      <c r="BL152" s="3208"/>
      <c r="BM152" s="3208"/>
      <c r="BN152" s="3224"/>
      <c r="BO152" s="3224"/>
      <c r="BP152" s="3227"/>
      <c r="BQ152" s="3227"/>
      <c r="BR152" s="3227"/>
      <c r="BS152" s="3227"/>
      <c r="BT152" s="3227"/>
      <c r="BU152" s="3227"/>
    </row>
    <row r="153" spans="1:73" s="414" customFormat="1" ht="12.75">
      <c r="B153" s="3228"/>
      <c r="C153" s="3229" t="s">
        <v>2545</v>
      </c>
      <c r="D153" s="3229"/>
      <c r="E153" s="3229"/>
      <c r="F153" s="3230">
        <f>F$194/$F$203</f>
        <v>1.0464764783676554</v>
      </c>
      <c r="G153" s="3230"/>
      <c r="H153" s="3231"/>
      <c r="I153" s="3231"/>
      <c r="J153" s="3231"/>
      <c r="K153" s="3231"/>
      <c r="L153" s="3231"/>
      <c r="M153" s="3231"/>
      <c r="N153" s="3231"/>
      <c r="O153" s="3231"/>
      <c r="P153" s="3231"/>
      <c r="Q153" s="3231"/>
      <c r="R153" s="3231"/>
      <c r="S153" s="3231"/>
      <c r="T153" s="3231"/>
      <c r="U153" s="3231"/>
      <c r="V153" s="3231"/>
      <c r="W153" s="3231"/>
      <c r="X153" s="3231"/>
      <c r="Y153" s="3231"/>
      <c r="Z153" s="3231"/>
      <c r="AA153" s="3231"/>
      <c r="AB153" s="3231"/>
      <c r="AC153" s="3231"/>
      <c r="AD153" s="3231"/>
      <c r="AE153" s="3231"/>
      <c r="AF153" s="3231"/>
      <c r="AG153" s="3231"/>
      <c r="AH153" s="3231"/>
      <c r="AI153" s="3231"/>
      <c r="AJ153" s="3231"/>
      <c r="AK153" s="3231"/>
      <c r="AL153" s="3231"/>
      <c r="AM153" s="3231"/>
      <c r="AN153" s="3231"/>
      <c r="AO153" s="3231"/>
      <c r="AP153" s="3231"/>
      <c r="AQ153" s="3231"/>
      <c r="AR153" s="3231"/>
      <c r="AS153" s="3231"/>
      <c r="AT153" s="3231"/>
      <c r="AU153" s="3231"/>
      <c r="AV153" s="3231"/>
      <c r="AW153" s="3231"/>
      <c r="AX153" s="3230"/>
      <c r="AY153" s="3230">
        <f ca="1">(AY$194/$F$203)*$AY$155</f>
        <v>1.0509323026457731</v>
      </c>
      <c r="AZ153" s="3230">
        <f t="shared" ref="AZ153:BG153" ca="1" si="32">(AZ$194/$F$203)*$AY$155</f>
        <v>1.0201967935920755</v>
      </c>
      <c r="BA153" s="3230">
        <f t="shared" ca="1" si="32"/>
        <v>0.86807443544230867</v>
      </c>
      <c r="BB153" s="3230">
        <f t="shared" ca="1" si="32"/>
        <v>0.78535834801246951</v>
      </c>
      <c r="BC153" s="3230">
        <f t="shared" ca="1" si="32"/>
        <v>0.69654032518145537</v>
      </c>
      <c r="BD153" s="3230">
        <f t="shared" ca="1" si="32"/>
        <v>0.66953477721565624</v>
      </c>
      <c r="BE153" s="3230">
        <f t="shared" ca="1" si="32"/>
        <v>0.62549736511299658</v>
      </c>
      <c r="BF153" s="3230">
        <f t="shared" ca="1" si="32"/>
        <v>0.58222590911712646</v>
      </c>
      <c r="BG153" s="3230">
        <f t="shared" ca="1" si="32"/>
        <v>0.55181538944749542</v>
      </c>
      <c r="BH153" s="3232"/>
      <c r="BJ153" s="3228"/>
      <c r="BK153" s="3229"/>
      <c r="BL153" s="3229"/>
      <c r="BM153" s="3229"/>
      <c r="BN153" s="3230"/>
      <c r="BO153" s="3230"/>
      <c r="BP153" s="3231"/>
      <c r="BQ153" s="3231"/>
      <c r="BR153" s="3231"/>
      <c r="BS153" s="3231"/>
      <c r="BT153" s="3231"/>
      <c r="BU153" s="3231"/>
    </row>
    <row r="154" spans="1:73">
      <c r="B154" s="3213"/>
      <c r="C154" s="3208"/>
      <c r="D154" s="3208"/>
      <c r="E154" s="3208"/>
      <c r="F154" s="3208"/>
      <c r="G154" s="3208"/>
      <c r="H154" s="3209"/>
      <c r="I154" s="3209"/>
      <c r="J154" s="3209"/>
      <c r="K154" s="3209"/>
      <c r="L154" s="3209"/>
      <c r="M154" s="3209"/>
      <c r="N154" s="3209"/>
      <c r="O154" s="3209"/>
      <c r="P154" s="3209"/>
      <c r="Q154" s="3209"/>
      <c r="R154" s="3209"/>
      <c r="S154" s="3209"/>
      <c r="T154" s="3209"/>
      <c r="U154" s="3209"/>
      <c r="V154" s="3209"/>
      <c r="W154" s="3209"/>
      <c r="X154" s="3209"/>
      <c r="Y154" s="3209"/>
      <c r="Z154" s="3209"/>
      <c r="AA154" s="3209"/>
      <c r="AB154" s="3209"/>
      <c r="AC154" s="3209"/>
      <c r="AD154" s="3209"/>
      <c r="AE154" s="3209"/>
      <c r="AF154" s="3209"/>
      <c r="AG154" s="3209"/>
      <c r="AH154" s="3209"/>
      <c r="AI154" s="3209"/>
      <c r="AJ154" s="3209"/>
      <c r="AK154" s="3209"/>
      <c r="AL154" s="3209"/>
      <c r="AM154" s="3209"/>
      <c r="AN154" s="3209"/>
      <c r="AO154" s="3209"/>
      <c r="AP154" s="3209"/>
      <c r="AQ154" s="3209"/>
      <c r="AR154" s="3209"/>
      <c r="AS154" s="3209"/>
      <c r="AT154" s="3209"/>
      <c r="AU154" s="3209"/>
      <c r="AV154" s="3209"/>
      <c r="AW154" s="3209"/>
      <c r="AX154" s="3208"/>
      <c r="AY154" s="3208"/>
      <c r="AZ154" s="3208"/>
      <c r="BA154" s="3208"/>
      <c r="BB154" s="3208"/>
      <c r="BC154" s="3208"/>
      <c r="BD154" s="3208"/>
      <c r="BE154" s="3208"/>
      <c r="BF154" s="3208"/>
      <c r="BG154" s="3208"/>
      <c r="BH154" s="3211"/>
      <c r="BJ154" s="3213"/>
      <c r="BK154" s="3208"/>
      <c r="BL154" s="3208"/>
      <c r="BM154" s="3208"/>
      <c r="BN154" s="3208"/>
      <c r="BO154" s="3208"/>
      <c r="BP154" s="3209"/>
      <c r="BQ154" s="3209"/>
      <c r="BR154" s="3209"/>
      <c r="BS154" s="3209"/>
      <c r="BT154" s="3209"/>
      <c r="BU154" s="3209"/>
    </row>
    <row r="155" spans="1:73" s="6" customFormat="1">
      <c r="B155" s="3233"/>
      <c r="C155" s="3234"/>
      <c r="D155" s="3235"/>
      <c r="E155" s="3235" t="s">
        <v>2546</v>
      </c>
      <c r="F155" s="3236"/>
      <c r="G155" s="3236"/>
      <c r="H155" s="3237"/>
      <c r="I155" s="3237"/>
      <c r="J155" s="3237"/>
      <c r="K155" s="3237"/>
      <c r="L155" s="3237"/>
      <c r="M155" s="3237"/>
      <c r="N155" s="3237"/>
      <c r="O155" s="3237"/>
      <c r="P155" s="3237"/>
      <c r="Q155" s="3237"/>
      <c r="R155" s="3237"/>
      <c r="S155" s="3237"/>
      <c r="T155" s="3237"/>
      <c r="U155" s="3237"/>
      <c r="V155" s="3237"/>
      <c r="W155" s="3237"/>
      <c r="X155" s="3237"/>
      <c r="Y155" s="3237"/>
      <c r="Z155" s="3237"/>
      <c r="AA155" s="3237"/>
      <c r="AB155" s="3237"/>
      <c r="AC155" s="3237"/>
      <c r="AD155" s="3237"/>
      <c r="AE155" s="3237"/>
      <c r="AF155" s="3237"/>
      <c r="AG155" s="3237"/>
      <c r="AH155" s="3237"/>
      <c r="AI155" s="3237"/>
      <c r="AJ155" s="3237"/>
      <c r="AK155" s="3237"/>
      <c r="AL155" s="3237"/>
      <c r="AM155" s="3237"/>
      <c r="AN155" s="3237"/>
      <c r="AO155" s="3237"/>
      <c r="AP155" s="3237"/>
      <c r="AQ155" s="3237"/>
      <c r="AR155" s="3237"/>
      <c r="AS155" s="3237"/>
      <c r="AT155" s="3237"/>
      <c r="AU155" s="3237"/>
      <c r="AV155" s="3237"/>
      <c r="AW155" s="3237"/>
      <c r="AX155" s="3234"/>
      <c r="AY155" s="3238">
        <f ca="1">$F$192/$AY$192</f>
        <v>1.0351976249452057</v>
      </c>
      <c r="AZ155" s="3234"/>
      <c r="BA155" s="3234"/>
      <c r="BB155" s="3234"/>
      <c r="BC155" s="3234"/>
      <c r="BD155" s="3234"/>
      <c r="BE155" s="3984"/>
      <c r="BF155" s="3985" t="s">
        <v>2547</v>
      </c>
      <c r="BG155" s="3986">
        <f ca="1">1-BG151</f>
        <v>0.39937627458825142</v>
      </c>
      <c r="BH155" s="3241"/>
      <c r="BJ155" s="3233"/>
      <c r="BK155" s="3234"/>
      <c r="BL155" s="3235"/>
      <c r="BM155" s="3235"/>
      <c r="BN155" s="3236"/>
      <c r="BO155" s="3236"/>
      <c r="BP155" s="3237"/>
      <c r="BQ155" s="3237"/>
      <c r="BR155" s="3237"/>
      <c r="BS155" s="3237"/>
      <c r="BT155" s="3237"/>
      <c r="BU155" s="3237"/>
    </row>
    <row r="156" spans="1:73" s="6" customFormat="1">
      <c r="B156" s="3233"/>
      <c r="C156" s="3234"/>
      <c r="D156" s="3235"/>
      <c r="E156" s="3235"/>
      <c r="F156" s="3236"/>
      <c r="G156" s="3236"/>
      <c r="H156" s="3237"/>
      <c r="I156" s="3237"/>
      <c r="J156" s="3237"/>
      <c r="K156" s="3237"/>
      <c r="L156" s="3237"/>
      <c r="M156" s="3237"/>
      <c r="N156" s="3237"/>
      <c r="O156" s="3237"/>
      <c r="P156" s="3237"/>
      <c r="Q156" s="3237"/>
      <c r="R156" s="3237"/>
      <c r="S156" s="3237"/>
      <c r="T156" s="3237"/>
      <c r="U156" s="3237"/>
      <c r="V156" s="3237"/>
      <c r="W156" s="3237"/>
      <c r="X156" s="3237"/>
      <c r="Y156" s="3237"/>
      <c r="Z156" s="3237"/>
      <c r="AA156" s="3237"/>
      <c r="AB156" s="3237"/>
      <c r="AC156" s="3237"/>
      <c r="AD156" s="3237"/>
      <c r="AE156" s="3237"/>
      <c r="AF156" s="3237"/>
      <c r="AG156" s="3237"/>
      <c r="AH156" s="3237"/>
      <c r="AI156" s="3237"/>
      <c r="AJ156" s="3237"/>
      <c r="AK156" s="3237"/>
      <c r="AL156" s="3237"/>
      <c r="AM156" s="3237"/>
      <c r="AN156" s="3237"/>
      <c r="AO156" s="3237"/>
      <c r="AP156" s="3237"/>
      <c r="AQ156" s="3237"/>
      <c r="AR156" s="3237"/>
      <c r="AS156" s="3237"/>
      <c r="AT156" s="3237"/>
      <c r="AU156" s="3237"/>
      <c r="AV156" s="3237"/>
      <c r="AW156" s="3237"/>
      <c r="AX156" s="3234"/>
      <c r="AY156" s="3238"/>
      <c r="AZ156" s="3234"/>
      <c r="BA156" s="3234"/>
      <c r="BB156" s="3234"/>
      <c r="BC156" s="3234"/>
      <c r="BD156" s="3234"/>
      <c r="BE156" s="3234"/>
      <c r="BF156" s="3239"/>
      <c r="BG156" s="3240"/>
      <c r="BH156" s="3241"/>
      <c r="BJ156" s="3233"/>
      <c r="BK156" s="3234"/>
      <c r="BL156" s="3235"/>
      <c r="BM156" s="3235"/>
      <c r="BN156" s="3236"/>
      <c r="BO156" s="3236"/>
      <c r="BP156" s="3237"/>
      <c r="BQ156" s="3237"/>
      <c r="BR156" s="3237"/>
      <c r="BS156" s="3237"/>
      <c r="BT156" s="3237"/>
      <c r="BU156" s="3237"/>
    </row>
    <row r="157" spans="1:73" s="6" customFormat="1">
      <c r="A157" s="859"/>
      <c r="B157" s="3233"/>
      <c r="C157" s="3234" t="s">
        <v>2548</v>
      </c>
      <c r="D157" s="3235"/>
      <c r="E157" s="3235"/>
      <c r="F157" s="3235" t="s">
        <v>415</v>
      </c>
      <c r="G157" s="3235"/>
      <c r="H157" s="3242"/>
      <c r="I157" s="3242"/>
      <c r="J157" s="3242"/>
      <c r="K157" s="3242"/>
      <c r="L157" s="3242"/>
      <c r="M157" s="3242"/>
      <c r="N157" s="3242"/>
      <c r="O157" s="3242"/>
      <c r="P157" s="3242"/>
      <c r="Q157" s="3242"/>
      <c r="R157" s="3242"/>
      <c r="S157" s="3242"/>
      <c r="T157" s="3242"/>
      <c r="U157" s="3242"/>
      <c r="V157" s="3242"/>
      <c r="W157" s="3242"/>
      <c r="X157" s="3242"/>
      <c r="Y157" s="3242"/>
      <c r="Z157" s="3242"/>
      <c r="AA157" s="3242"/>
      <c r="AB157" s="3242"/>
      <c r="AC157" s="3242"/>
      <c r="AD157" s="3242"/>
      <c r="AE157" s="3242"/>
      <c r="AF157" s="3242"/>
      <c r="AG157" s="3242"/>
      <c r="AH157" s="3242"/>
      <c r="AI157" s="3242"/>
      <c r="AJ157" s="3242"/>
      <c r="AK157" s="3242"/>
      <c r="AL157" s="3242"/>
      <c r="AM157" s="3242"/>
      <c r="AN157" s="3242"/>
      <c r="AO157" s="3242"/>
      <c r="AP157" s="3242"/>
      <c r="AQ157" s="3242"/>
      <c r="AR157" s="3242"/>
      <c r="AS157" s="3242"/>
      <c r="AT157" s="3242"/>
      <c r="AU157" s="3242"/>
      <c r="AV157" s="3242"/>
      <c r="AW157" s="3242"/>
      <c r="AX157" s="3234"/>
      <c r="AY157" s="3208">
        <v>2013</v>
      </c>
      <c r="AZ157" s="3208">
        <v>2015</v>
      </c>
      <c r="BA157" s="3208">
        <v>2020</v>
      </c>
      <c r="BB157" s="3208">
        <v>2025</v>
      </c>
      <c r="BC157" s="3208">
        <v>2030</v>
      </c>
      <c r="BD157" s="3208">
        <v>2035</v>
      </c>
      <c r="BE157" s="3208">
        <v>2040</v>
      </c>
      <c r="BF157" s="3208">
        <v>2045</v>
      </c>
      <c r="BG157" s="3210">
        <v>2050</v>
      </c>
      <c r="BH157" s="3241"/>
      <c r="BJ157" s="3233"/>
      <c r="BK157" s="3234"/>
      <c r="BL157" s="3235"/>
      <c r="BM157" s="3235"/>
      <c r="BN157" s="3235"/>
      <c r="BO157" s="3235"/>
      <c r="BP157" s="3242"/>
      <c r="BQ157" s="3242"/>
      <c r="BR157" s="3242"/>
      <c r="BS157" s="3242"/>
      <c r="BT157" s="3242"/>
      <c r="BU157" s="3242"/>
    </row>
    <row r="158" spans="1:73" s="6" customFormat="1">
      <c r="A158" s="859"/>
      <c r="B158" s="3233"/>
      <c r="C158" s="3235" t="s">
        <v>558</v>
      </c>
      <c r="D158" s="3235"/>
      <c r="E158" s="3235"/>
      <c r="F158" s="3243" t="s">
        <v>559</v>
      </c>
      <c r="G158" s="3243"/>
      <c r="H158" s="3244"/>
      <c r="I158" s="3244"/>
      <c r="J158" s="3244"/>
      <c r="K158" s="3244"/>
      <c r="L158" s="3244"/>
      <c r="M158" s="3244"/>
      <c r="N158" s="3244"/>
      <c r="O158" s="3244"/>
      <c r="P158" s="3244"/>
      <c r="Q158" s="3244"/>
      <c r="R158" s="3244"/>
      <c r="S158" s="3244"/>
      <c r="T158" s="3244"/>
      <c r="U158" s="3244"/>
      <c r="V158" s="3244"/>
      <c r="W158" s="3244"/>
      <c r="X158" s="3244"/>
      <c r="Y158" s="3244"/>
      <c r="Z158" s="3244"/>
      <c r="AA158" s="3244"/>
      <c r="AB158" s="3244"/>
      <c r="AC158" s="3244"/>
      <c r="AD158" s="3244"/>
      <c r="AE158" s="3244"/>
      <c r="AF158" s="3244"/>
      <c r="AG158" s="3244"/>
      <c r="AH158" s="3244"/>
      <c r="AI158" s="3244"/>
      <c r="AJ158" s="3244"/>
      <c r="AK158" s="3244"/>
      <c r="AL158" s="3244"/>
      <c r="AM158" s="3244"/>
      <c r="AN158" s="3244"/>
      <c r="AO158" s="3244"/>
      <c r="AP158" s="3244"/>
      <c r="AQ158" s="3244"/>
      <c r="AR158" s="3244"/>
      <c r="AS158" s="3244"/>
      <c r="AT158" s="3244"/>
      <c r="AU158" s="3244"/>
      <c r="AV158" s="3244"/>
      <c r="AW158" s="3244"/>
      <c r="AX158" s="3234"/>
      <c r="AY158" s="3245">
        <f t="shared" ref="AY158:AY174" ca="1" si="33">SUMIFS(INDIRECT("'"&amp;AY$157&amp;"'!Year.EmissionsBySector"), INDIRECT("'"&amp;AY$157&amp;"'!Year.Modules"),$C158)</f>
        <v>12.653745820569476</v>
      </c>
      <c r="AZ158" s="3245">
        <f t="shared" ref="AZ158:BG173" ca="1" si="34">SUMIFS(INDIRECT("'"&amp;AZ$157&amp;"'!Year.EmissionsBySector"), INDIRECT("'"&amp;AZ$157&amp;"'!Year.Modules"),$C158)</f>
        <v>12.306742678110057</v>
      </c>
      <c r="BA158" s="3245">
        <f t="shared" ca="1" si="34"/>
        <v>8.3433212759556366</v>
      </c>
      <c r="BB158" s="3245">
        <f t="shared" ca="1" si="34"/>
        <v>4.5894557994184604</v>
      </c>
      <c r="BC158" s="3245">
        <f t="shared" ca="1" si="34"/>
        <v>1.2827491099669441</v>
      </c>
      <c r="BD158" s="3245">
        <f t="shared" ca="1" si="34"/>
        <v>7.6928123877552137</v>
      </c>
      <c r="BE158" s="3245">
        <f t="shared" ca="1" si="34"/>
        <v>8.4849416829636528</v>
      </c>
      <c r="BF158" s="3245">
        <f t="shared" ca="1" si="34"/>
        <v>8.7552516575846333</v>
      </c>
      <c r="BG158" s="3245">
        <f t="shared" ca="1" si="34"/>
        <v>9.0172444022172762</v>
      </c>
      <c r="BH158" s="3241"/>
      <c r="BJ158" s="3233"/>
      <c r="BK158" s="3235"/>
      <c r="BL158" s="3235"/>
      <c r="BM158" s="3235"/>
      <c r="BN158" s="3243"/>
      <c r="BO158" s="3243"/>
      <c r="BP158" s="3244"/>
      <c r="BQ158" s="3244"/>
      <c r="BR158" s="3244"/>
      <c r="BS158" s="3244"/>
      <c r="BT158" s="3244"/>
      <c r="BU158" s="3244"/>
    </row>
    <row r="159" spans="1:73" s="6" customFormat="1">
      <c r="A159" s="859"/>
      <c r="B159" s="3233"/>
      <c r="C159" s="3235" t="s">
        <v>550</v>
      </c>
      <c r="D159" s="3235"/>
      <c r="E159" s="3235"/>
      <c r="F159" s="3243" t="s">
        <v>551</v>
      </c>
      <c r="G159" s="3243"/>
      <c r="H159" s="3244"/>
      <c r="I159" s="3244"/>
      <c r="J159" s="3244"/>
      <c r="K159" s="3244"/>
      <c r="L159" s="3244"/>
      <c r="M159" s="3244"/>
      <c r="N159" s="3244"/>
      <c r="O159" s="3244"/>
      <c r="P159" s="3244"/>
      <c r="Q159" s="3244"/>
      <c r="R159" s="3244"/>
      <c r="S159" s="3244"/>
      <c r="T159" s="3244"/>
      <c r="U159" s="3244"/>
      <c r="V159" s="3244"/>
      <c r="W159" s="3244"/>
      <c r="X159" s="3244"/>
      <c r="Y159" s="3244"/>
      <c r="Z159" s="3244"/>
      <c r="AA159" s="3244"/>
      <c r="AB159" s="3244"/>
      <c r="AC159" s="3244"/>
      <c r="AD159" s="3244"/>
      <c r="AE159" s="3244"/>
      <c r="AF159" s="3244"/>
      <c r="AG159" s="3244"/>
      <c r="AH159" s="3244"/>
      <c r="AI159" s="3244"/>
      <c r="AJ159" s="3244"/>
      <c r="AK159" s="3244"/>
      <c r="AL159" s="3244"/>
      <c r="AM159" s="3244"/>
      <c r="AN159" s="3244"/>
      <c r="AO159" s="3244"/>
      <c r="AP159" s="3244"/>
      <c r="AQ159" s="3244"/>
      <c r="AR159" s="3244"/>
      <c r="AS159" s="3244"/>
      <c r="AT159" s="3244"/>
      <c r="AU159" s="3244"/>
      <c r="AV159" s="3244"/>
      <c r="AW159" s="3244"/>
      <c r="AX159" s="3234"/>
      <c r="AY159" s="3245">
        <f t="shared" ca="1" si="33"/>
        <v>0</v>
      </c>
      <c r="AZ159" s="3245">
        <f t="shared" ca="1" si="34"/>
        <v>0</v>
      </c>
      <c r="BA159" s="3245">
        <f t="shared" ca="1" si="34"/>
        <v>0</v>
      </c>
      <c r="BB159" s="3245">
        <f t="shared" ca="1" si="34"/>
        <v>0</v>
      </c>
      <c r="BC159" s="3245">
        <f t="shared" ca="1" si="34"/>
        <v>0</v>
      </c>
      <c r="BD159" s="3245">
        <f t="shared" ca="1" si="34"/>
        <v>0</v>
      </c>
      <c r="BE159" s="3245">
        <f t="shared" ca="1" si="34"/>
        <v>0</v>
      </c>
      <c r="BF159" s="3245">
        <f t="shared" ca="1" si="34"/>
        <v>0</v>
      </c>
      <c r="BG159" s="3245">
        <f t="shared" ca="1" si="34"/>
        <v>0</v>
      </c>
      <c r="BH159" s="3241"/>
      <c r="BJ159" s="3233"/>
      <c r="BK159" s="3235"/>
      <c r="BL159" s="3235"/>
      <c r="BM159" s="3235"/>
      <c r="BN159" s="3243"/>
      <c r="BO159" s="3243"/>
      <c r="BP159" s="3244"/>
      <c r="BQ159" s="3244"/>
      <c r="BR159" s="3244"/>
      <c r="BS159" s="3244"/>
      <c r="BT159" s="3244"/>
      <c r="BU159" s="3244"/>
    </row>
    <row r="160" spans="1:73" s="6" customFormat="1">
      <c r="A160" s="859"/>
      <c r="B160" s="3233"/>
      <c r="C160" s="3235" t="s">
        <v>532</v>
      </c>
      <c r="D160" s="3235"/>
      <c r="E160" s="3235"/>
      <c r="F160" s="3243" t="s">
        <v>533</v>
      </c>
      <c r="G160" s="3243"/>
      <c r="H160" s="3244"/>
      <c r="I160" s="3244"/>
      <c r="J160" s="3244"/>
      <c r="K160" s="3244"/>
      <c r="L160" s="3244"/>
      <c r="M160" s="3244"/>
      <c r="N160" s="3244"/>
      <c r="O160" s="3244"/>
      <c r="P160" s="3244"/>
      <c r="Q160" s="3244"/>
      <c r="R160" s="3244"/>
      <c r="S160" s="3244"/>
      <c r="T160" s="3244"/>
      <c r="U160" s="3244"/>
      <c r="V160" s="3244"/>
      <c r="W160" s="3244"/>
      <c r="X160" s="3244"/>
      <c r="Y160" s="3244"/>
      <c r="Z160" s="3244"/>
      <c r="AA160" s="3244"/>
      <c r="AB160" s="3244"/>
      <c r="AC160" s="3244"/>
      <c r="AD160" s="3244"/>
      <c r="AE160" s="3244"/>
      <c r="AF160" s="3244"/>
      <c r="AG160" s="3244"/>
      <c r="AH160" s="3244"/>
      <c r="AI160" s="3244"/>
      <c r="AJ160" s="3244"/>
      <c r="AK160" s="3244"/>
      <c r="AL160" s="3244"/>
      <c r="AM160" s="3244"/>
      <c r="AN160" s="3244"/>
      <c r="AO160" s="3244"/>
      <c r="AP160" s="3244"/>
      <c r="AQ160" s="3244"/>
      <c r="AR160" s="3244"/>
      <c r="AS160" s="3244"/>
      <c r="AT160" s="3244"/>
      <c r="AU160" s="3244"/>
      <c r="AV160" s="3244"/>
      <c r="AW160" s="3244"/>
      <c r="AX160" s="3234"/>
      <c r="AY160" s="3245">
        <f t="shared" ca="1" si="33"/>
        <v>0</v>
      </c>
      <c r="AZ160" s="3245">
        <f t="shared" ca="1" si="34"/>
        <v>0</v>
      </c>
      <c r="BA160" s="3245">
        <f t="shared" ca="1" si="34"/>
        <v>0</v>
      </c>
      <c r="BB160" s="3245">
        <f t="shared" ca="1" si="34"/>
        <v>0</v>
      </c>
      <c r="BC160" s="3245">
        <f t="shared" ca="1" si="34"/>
        <v>0</v>
      </c>
      <c r="BD160" s="3245">
        <f t="shared" ca="1" si="34"/>
        <v>0</v>
      </c>
      <c r="BE160" s="3245">
        <f t="shared" ca="1" si="34"/>
        <v>0</v>
      </c>
      <c r="BF160" s="3245">
        <f t="shared" ca="1" si="34"/>
        <v>0</v>
      </c>
      <c r="BG160" s="3245">
        <f t="shared" ca="1" si="34"/>
        <v>0</v>
      </c>
      <c r="BH160" s="3241"/>
      <c r="BJ160" s="3233"/>
      <c r="BK160" s="3235"/>
      <c r="BL160" s="3235"/>
      <c r="BM160" s="3235"/>
      <c r="BN160" s="3243"/>
      <c r="BO160" s="3243"/>
      <c r="BP160" s="3244"/>
      <c r="BQ160" s="3244"/>
      <c r="BR160" s="3244"/>
      <c r="BS160" s="3244"/>
      <c r="BT160" s="3244"/>
      <c r="BU160" s="3244"/>
    </row>
    <row r="161" spans="1:73" s="6" customFormat="1">
      <c r="A161" s="859"/>
      <c r="B161" s="3233"/>
      <c r="C161" s="3235" t="s">
        <v>538</v>
      </c>
      <c r="D161" s="3235"/>
      <c r="E161" s="3235"/>
      <c r="F161" s="3243" t="s">
        <v>539</v>
      </c>
      <c r="G161" s="3243"/>
      <c r="H161" s="3244"/>
      <c r="I161" s="3244"/>
      <c r="J161" s="3244"/>
      <c r="K161" s="3244"/>
      <c r="L161" s="3244"/>
      <c r="M161" s="3244"/>
      <c r="N161" s="3244"/>
      <c r="O161" s="3244"/>
      <c r="P161" s="3244"/>
      <c r="Q161" s="3244"/>
      <c r="R161" s="3244"/>
      <c r="S161" s="3244"/>
      <c r="T161" s="3244"/>
      <c r="U161" s="3244"/>
      <c r="V161" s="3244"/>
      <c r="W161" s="3244"/>
      <c r="X161" s="3244"/>
      <c r="Y161" s="3244"/>
      <c r="Z161" s="3244"/>
      <c r="AA161" s="3244"/>
      <c r="AB161" s="3244"/>
      <c r="AC161" s="3244"/>
      <c r="AD161" s="3244"/>
      <c r="AE161" s="3244"/>
      <c r="AF161" s="3244"/>
      <c r="AG161" s="3244"/>
      <c r="AH161" s="3244"/>
      <c r="AI161" s="3244"/>
      <c r="AJ161" s="3244"/>
      <c r="AK161" s="3244"/>
      <c r="AL161" s="3244"/>
      <c r="AM161" s="3244"/>
      <c r="AN161" s="3244"/>
      <c r="AO161" s="3244"/>
      <c r="AP161" s="3244"/>
      <c r="AQ161" s="3244"/>
      <c r="AR161" s="3244"/>
      <c r="AS161" s="3244"/>
      <c r="AT161" s="3244"/>
      <c r="AU161" s="3244"/>
      <c r="AV161" s="3244"/>
      <c r="AW161" s="3244"/>
      <c r="AX161" s="3234"/>
      <c r="AY161" s="3245">
        <f t="shared" ca="1" si="33"/>
        <v>0</v>
      </c>
      <c r="AZ161" s="3245">
        <f t="shared" ca="1" si="34"/>
        <v>0</v>
      </c>
      <c r="BA161" s="3245">
        <f t="shared" ca="1" si="34"/>
        <v>0</v>
      </c>
      <c r="BB161" s="3245">
        <f t="shared" ca="1" si="34"/>
        <v>0</v>
      </c>
      <c r="BC161" s="3245">
        <f t="shared" ca="1" si="34"/>
        <v>0</v>
      </c>
      <c r="BD161" s="3245">
        <f t="shared" ca="1" si="34"/>
        <v>0</v>
      </c>
      <c r="BE161" s="3245">
        <f t="shared" ca="1" si="34"/>
        <v>0</v>
      </c>
      <c r="BF161" s="3245">
        <f t="shared" ca="1" si="34"/>
        <v>0</v>
      </c>
      <c r="BG161" s="3245">
        <f t="shared" ca="1" si="34"/>
        <v>0</v>
      </c>
      <c r="BH161" s="3241"/>
      <c r="BJ161" s="3233"/>
      <c r="BK161" s="3235"/>
      <c r="BL161" s="3235"/>
      <c r="BM161" s="3235"/>
      <c r="BN161" s="3243"/>
      <c r="BO161" s="3243"/>
      <c r="BP161" s="3244"/>
      <c r="BQ161" s="3244"/>
      <c r="BR161" s="3244"/>
      <c r="BS161" s="3244"/>
      <c r="BT161" s="3244"/>
      <c r="BU161" s="3244"/>
    </row>
    <row r="162" spans="1:73" s="6" customFormat="1">
      <c r="A162" s="859"/>
      <c r="B162" s="3233"/>
      <c r="C162" s="3235" t="s">
        <v>580</v>
      </c>
      <c r="D162" s="3235"/>
      <c r="E162" s="3235"/>
      <c r="F162" s="3243" t="s">
        <v>581</v>
      </c>
      <c r="G162" s="3243"/>
      <c r="H162" s="3244"/>
      <c r="I162" s="3244"/>
      <c r="J162" s="3244"/>
      <c r="K162" s="3244"/>
      <c r="L162" s="3244"/>
      <c r="M162" s="3244"/>
      <c r="N162" s="3244"/>
      <c r="O162" s="3244"/>
      <c r="P162" s="3244"/>
      <c r="Q162" s="3244"/>
      <c r="R162" s="3244"/>
      <c r="S162" s="3244"/>
      <c r="T162" s="3244"/>
      <c r="U162" s="3244"/>
      <c r="V162" s="3244"/>
      <c r="W162" s="3244"/>
      <c r="X162" s="3244"/>
      <c r="Y162" s="3244"/>
      <c r="Z162" s="3244"/>
      <c r="AA162" s="3244"/>
      <c r="AB162" s="3244"/>
      <c r="AC162" s="3244"/>
      <c r="AD162" s="3244"/>
      <c r="AE162" s="3244"/>
      <c r="AF162" s="3244"/>
      <c r="AG162" s="3244"/>
      <c r="AH162" s="3244"/>
      <c r="AI162" s="3244"/>
      <c r="AJ162" s="3244"/>
      <c r="AK162" s="3244"/>
      <c r="AL162" s="3244"/>
      <c r="AM162" s="3244"/>
      <c r="AN162" s="3244"/>
      <c r="AO162" s="3244"/>
      <c r="AP162" s="3244"/>
      <c r="AQ162" s="3244"/>
      <c r="AR162" s="3244"/>
      <c r="AS162" s="3244"/>
      <c r="AT162" s="3244"/>
      <c r="AU162" s="3244"/>
      <c r="AV162" s="3244"/>
      <c r="AW162" s="3244"/>
      <c r="AX162" s="3234"/>
      <c r="AY162" s="3245">
        <f t="shared" ca="1" si="33"/>
        <v>-0.54367917626535778</v>
      </c>
      <c r="AZ162" s="3245">
        <f t="shared" ca="1" si="34"/>
        <v>-1.6645650140674992</v>
      </c>
      <c r="BA162" s="3245">
        <f t="shared" ca="1" si="34"/>
        <v>-5.4199703136642308</v>
      </c>
      <c r="BB162" s="3245">
        <f t="shared" ca="1" si="34"/>
        <v>-4.9382369659295682</v>
      </c>
      <c r="BC162" s="3245">
        <f t="shared" ca="1" si="34"/>
        <v>-4.8924123414787193</v>
      </c>
      <c r="BD162" s="3245">
        <f t="shared" ca="1" si="34"/>
        <v>-11.848766840385965</v>
      </c>
      <c r="BE162" s="3245">
        <f t="shared" ca="1" si="34"/>
        <v>-13.709907693984301</v>
      </c>
      <c r="BF162" s="3245">
        <f t="shared" ca="1" si="34"/>
        <v>-14.950110878118315</v>
      </c>
      <c r="BG162" s="3245">
        <f t="shared" ca="1" si="34"/>
        <v>-16.082979359188872</v>
      </c>
      <c r="BH162" s="3241"/>
      <c r="BJ162" s="3233"/>
      <c r="BK162" s="3235"/>
      <c r="BL162" s="3235"/>
      <c r="BM162" s="3235"/>
      <c r="BN162" s="3243"/>
      <c r="BO162" s="3243"/>
      <c r="BP162" s="3244"/>
      <c r="BQ162" s="3244"/>
      <c r="BR162" s="3244"/>
      <c r="BS162" s="3244"/>
      <c r="BT162" s="3244"/>
      <c r="BU162" s="3244"/>
    </row>
    <row r="163" spans="1:73" s="6" customFormat="1">
      <c r="A163" s="859"/>
      <c r="B163" s="3233"/>
      <c r="C163" s="3235" t="s">
        <v>512</v>
      </c>
      <c r="D163" s="3235"/>
      <c r="E163" s="3235"/>
      <c r="F163" s="3243" t="s">
        <v>513</v>
      </c>
      <c r="G163" s="3243"/>
      <c r="H163" s="3244"/>
      <c r="I163" s="3244"/>
      <c r="J163" s="3244"/>
      <c r="K163" s="3244"/>
      <c r="L163" s="3244"/>
      <c r="M163" s="3244"/>
      <c r="N163" s="3244"/>
      <c r="O163" s="3244"/>
      <c r="P163" s="3244"/>
      <c r="Q163" s="3244"/>
      <c r="R163" s="3244"/>
      <c r="S163" s="3244"/>
      <c r="T163" s="3244"/>
      <c r="U163" s="3244"/>
      <c r="V163" s="3244"/>
      <c r="W163" s="3244"/>
      <c r="X163" s="3244"/>
      <c r="Y163" s="3244"/>
      <c r="Z163" s="3244"/>
      <c r="AA163" s="3244"/>
      <c r="AB163" s="3244"/>
      <c r="AC163" s="3244"/>
      <c r="AD163" s="3244"/>
      <c r="AE163" s="3244"/>
      <c r="AF163" s="3244"/>
      <c r="AG163" s="3244"/>
      <c r="AH163" s="3244"/>
      <c r="AI163" s="3244"/>
      <c r="AJ163" s="3244"/>
      <c r="AK163" s="3244"/>
      <c r="AL163" s="3244"/>
      <c r="AM163" s="3244"/>
      <c r="AN163" s="3244"/>
      <c r="AO163" s="3244"/>
      <c r="AP163" s="3244"/>
      <c r="AQ163" s="3244"/>
      <c r="AR163" s="3244"/>
      <c r="AS163" s="3244"/>
      <c r="AT163" s="3244"/>
      <c r="AU163" s="3244"/>
      <c r="AV163" s="3244"/>
      <c r="AW163" s="3244"/>
      <c r="AX163" s="3234"/>
      <c r="AY163" s="3245">
        <f t="shared" ca="1" si="33"/>
        <v>15.80639928799928</v>
      </c>
      <c r="AZ163" s="3245">
        <f t="shared" ca="1" si="34"/>
        <v>16.57411696766173</v>
      </c>
      <c r="BA163" s="3245">
        <f t="shared" ca="1" si="34"/>
        <v>16.616143941305296</v>
      </c>
      <c r="BB163" s="3245">
        <f t="shared" ca="1" si="34"/>
        <v>16.343453203960074</v>
      </c>
      <c r="BC163" s="3245">
        <f t="shared" ca="1" si="34"/>
        <v>15.034097719238474</v>
      </c>
      <c r="BD163" s="3245">
        <f t="shared" ca="1" si="34"/>
        <v>13.930218067724432</v>
      </c>
      <c r="BE163" s="3245">
        <f t="shared" ca="1" si="34"/>
        <v>12.353079358825537</v>
      </c>
      <c r="BF163" s="3245">
        <f t="shared" ca="1" si="34"/>
        <v>10.688276086841574</v>
      </c>
      <c r="BG163" s="3245">
        <f t="shared" ca="1" si="34"/>
        <v>9.494684039599921</v>
      </c>
      <c r="BH163" s="3241"/>
      <c r="BJ163" s="3233"/>
      <c r="BK163" s="3235"/>
      <c r="BL163" s="3235"/>
      <c r="BM163" s="3235"/>
      <c r="BN163" s="3243"/>
      <c r="BO163" s="3243"/>
      <c r="BP163" s="3244"/>
      <c r="BQ163" s="3244"/>
      <c r="BR163" s="3244"/>
      <c r="BS163" s="3244"/>
      <c r="BT163" s="3244"/>
      <c r="BU163" s="3244"/>
    </row>
    <row r="164" spans="1:73" s="6" customFormat="1">
      <c r="A164" s="859"/>
      <c r="B164" s="3233"/>
      <c r="C164" s="3235" t="s">
        <v>571</v>
      </c>
      <c r="D164" s="3235"/>
      <c r="E164" s="3235"/>
      <c r="F164" s="3243" t="s">
        <v>572</v>
      </c>
      <c r="G164" s="3243"/>
      <c r="H164" s="3244"/>
      <c r="I164" s="3244"/>
      <c r="J164" s="3244"/>
      <c r="K164" s="3244"/>
      <c r="L164" s="3244"/>
      <c r="M164" s="3244"/>
      <c r="N164" s="3244"/>
      <c r="O164" s="3244"/>
      <c r="P164" s="3244"/>
      <c r="Q164" s="3244"/>
      <c r="R164" s="3244"/>
      <c r="S164" s="3244"/>
      <c r="T164" s="3244"/>
      <c r="U164" s="3244"/>
      <c r="V164" s="3244"/>
      <c r="W164" s="3244"/>
      <c r="X164" s="3244"/>
      <c r="Y164" s="3244"/>
      <c r="Z164" s="3244"/>
      <c r="AA164" s="3244"/>
      <c r="AB164" s="3244"/>
      <c r="AC164" s="3244"/>
      <c r="AD164" s="3244"/>
      <c r="AE164" s="3244"/>
      <c r="AF164" s="3244"/>
      <c r="AG164" s="3244"/>
      <c r="AH164" s="3244"/>
      <c r="AI164" s="3244"/>
      <c r="AJ164" s="3244"/>
      <c r="AK164" s="3244"/>
      <c r="AL164" s="3244"/>
      <c r="AM164" s="3244"/>
      <c r="AN164" s="3244"/>
      <c r="AO164" s="3244"/>
      <c r="AP164" s="3244"/>
      <c r="AQ164" s="3244"/>
      <c r="AR164" s="3244"/>
      <c r="AS164" s="3244"/>
      <c r="AT164" s="3244"/>
      <c r="AU164" s="3244"/>
      <c r="AV164" s="3244"/>
      <c r="AW164" s="3244"/>
      <c r="AX164" s="3234"/>
      <c r="AY164" s="3245">
        <f t="shared" ca="1" si="33"/>
        <v>2.6208673750667485E-2</v>
      </c>
      <c r="AZ164" s="3245">
        <f t="shared" ca="1" si="34"/>
        <v>5.093928439161087E-2</v>
      </c>
      <c r="BA164" s="3245">
        <f t="shared" ca="1" si="34"/>
        <v>5.4703947760626752E-2</v>
      </c>
      <c r="BB164" s="3245">
        <f t="shared" ca="1" si="34"/>
        <v>0</v>
      </c>
      <c r="BC164" s="3245">
        <f t="shared" ca="1" si="34"/>
        <v>0</v>
      </c>
      <c r="BD164" s="3245">
        <f t="shared" ca="1" si="34"/>
        <v>0</v>
      </c>
      <c r="BE164" s="3245">
        <f t="shared" ca="1" si="34"/>
        <v>0</v>
      </c>
      <c r="BF164" s="3245">
        <f t="shared" ca="1" si="34"/>
        <v>0</v>
      </c>
      <c r="BG164" s="3245">
        <f t="shared" ca="1" si="34"/>
        <v>0</v>
      </c>
      <c r="BH164" s="3241"/>
      <c r="BJ164" s="3233"/>
      <c r="BK164" s="3235"/>
      <c r="BL164" s="3235"/>
      <c r="BM164" s="3235"/>
      <c r="BN164" s="3243"/>
      <c r="BO164" s="3243"/>
      <c r="BP164" s="3244"/>
      <c r="BQ164" s="3244"/>
      <c r="BR164" s="3244"/>
      <c r="BS164" s="3244"/>
      <c r="BT164" s="3244"/>
      <c r="BU164" s="3244"/>
    </row>
    <row r="165" spans="1:73" s="6" customFormat="1">
      <c r="A165" s="859"/>
      <c r="B165" s="3233"/>
      <c r="C165" s="3235" t="s">
        <v>504</v>
      </c>
      <c r="D165" s="3235"/>
      <c r="E165" s="3235"/>
      <c r="F165" s="3243" t="s">
        <v>505</v>
      </c>
      <c r="G165" s="3243"/>
      <c r="H165" s="3244"/>
      <c r="I165" s="3244"/>
      <c r="J165" s="3244"/>
      <c r="K165" s="3244"/>
      <c r="L165" s="3244"/>
      <c r="M165" s="3244"/>
      <c r="N165" s="3244"/>
      <c r="O165" s="3244"/>
      <c r="P165" s="3244"/>
      <c r="Q165" s="3244"/>
      <c r="R165" s="3244"/>
      <c r="S165" s="3244"/>
      <c r="T165" s="3244"/>
      <c r="U165" s="3244"/>
      <c r="V165" s="3244"/>
      <c r="W165" s="3244"/>
      <c r="X165" s="3244"/>
      <c r="Y165" s="3244"/>
      <c r="Z165" s="3244"/>
      <c r="AA165" s="3244"/>
      <c r="AB165" s="3244"/>
      <c r="AC165" s="3244"/>
      <c r="AD165" s="3244"/>
      <c r="AE165" s="3244"/>
      <c r="AF165" s="3244"/>
      <c r="AG165" s="3244"/>
      <c r="AH165" s="3244"/>
      <c r="AI165" s="3244"/>
      <c r="AJ165" s="3244"/>
      <c r="AK165" s="3244"/>
      <c r="AL165" s="3244"/>
      <c r="AM165" s="3244"/>
      <c r="AN165" s="3244"/>
      <c r="AO165" s="3244"/>
      <c r="AP165" s="3244"/>
      <c r="AQ165" s="3244"/>
      <c r="AR165" s="3244"/>
      <c r="AS165" s="3244"/>
      <c r="AT165" s="3244"/>
      <c r="AU165" s="3244"/>
      <c r="AV165" s="3244"/>
      <c r="AW165" s="3244"/>
      <c r="AX165" s="3234"/>
      <c r="AY165" s="3245">
        <f t="shared" ca="1" si="33"/>
        <v>0</v>
      </c>
      <c r="AZ165" s="3245">
        <f t="shared" ca="1" si="34"/>
        <v>2.7568767917163791E-5</v>
      </c>
      <c r="BA165" s="3245">
        <f t="shared" ca="1" si="34"/>
        <v>3.107240023594197E-4</v>
      </c>
      <c r="BB165" s="3245">
        <f t="shared" ca="1" si="34"/>
        <v>5.7917067466778881E-4</v>
      </c>
      <c r="BC165" s="3245">
        <f t="shared" ca="1" si="34"/>
        <v>1.3742184786536824E-3</v>
      </c>
      <c r="BD165" s="3245">
        <f t="shared" ca="1" si="34"/>
        <v>1.8772353556116808E-3</v>
      </c>
      <c r="BE165" s="3245">
        <f t="shared" ca="1" si="34"/>
        <v>2.0262130628713499E-3</v>
      </c>
      <c r="BF165" s="3245">
        <f t="shared" ca="1" si="34"/>
        <v>1.5021261313251399E-3</v>
      </c>
      <c r="BG165" s="3245">
        <f t="shared" ca="1" si="34"/>
        <v>0</v>
      </c>
      <c r="BH165" s="3241"/>
      <c r="BJ165" s="3233"/>
      <c r="BK165" s="3235"/>
      <c r="BL165" s="3235"/>
      <c r="BM165" s="3235"/>
      <c r="BN165" s="3243"/>
      <c r="BO165" s="3243"/>
      <c r="BP165" s="3244"/>
      <c r="BQ165" s="3244"/>
      <c r="BR165" s="3244"/>
      <c r="BS165" s="3244"/>
      <c r="BT165" s="3244"/>
      <c r="BU165" s="3244"/>
    </row>
    <row r="166" spans="1:73" s="6" customFormat="1">
      <c r="A166" s="859"/>
      <c r="B166" s="3233"/>
      <c r="C166" s="3235" t="s">
        <v>0</v>
      </c>
      <c r="D166" s="3235"/>
      <c r="E166" s="3235"/>
      <c r="F166" s="3243" t="s">
        <v>1</v>
      </c>
      <c r="G166" s="3243"/>
      <c r="H166" s="3244"/>
      <c r="I166" s="3244"/>
      <c r="J166" s="3244"/>
      <c r="K166" s="3244"/>
      <c r="L166" s="3244"/>
      <c r="M166" s="3244"/>
      <c r="N166" s="3244"/>
      <c r="O166" s="3244"/>
      <c r="P166" s="3244"/>
      <c r="Q166" s="3244"/>
      <c r="R166" s="3244"/>
      <c r="S166" s="3244"/>
      <c r="T166" s="3244"/>
      <c r="U166" s="3244"/>
      <c r="V166" s="3244"/>
      <c r="W166" s="3244"/>
      <c r="X166" s="3244"/>
      <c r="Y166" s="3244"/>
      <c r="Z166" s="3244"/>
      <c r="AA166" s="3244"/>
      <c r="AB166" s="3244"/>
      <c r="AC166" s="3244"/>
      <c r="AD166" s="3244"/>
      <c r="AE166" s="3244"/>
      <c r="AF166" s="3244"/>
      <c r="AG166" s="3244"/>
      <c r="AH166" s="3244"/>
      <c r="AI166" s="3244"/>
      <c r="AJ166" s="3244"/>
      <c r="AK166" s="3244"/>
      <c r="AL166" s="3244"/>
      <c r="AM166" s="3244"/>
      <c r="AN166" s="3244"/>
      <c r="AO166" s="3244"/>
      <c r="AP166" s="3244"/>
      <c r="AQ166" s="3244"/>
      <c r="AR166" s="3244"/>
      <c r="AS166" s="3244"/>
      <c r="AT166" s="3244"/>
      <c r="AU166" s="3244"/>
      <c r="AV166" s="3244"/>
      <c r="AW166" s="3244"/>
      <c r="AX166" s="3234"/>
      <c r="AY166" s="3245">
        <f t="shared" ca="1" si="33"/>
        <v>7.8819432445848499</v>
      </c>
      <c r="AZ166" s="3245">
        <f t="shared" ca="1" si="34"/>
        <v>7.2452603013589778</v>
      </c>
      <c r="BA166" s="3245">
        <f t="shared" ca="1" si="34"/>
        <v>7.2934524920642039</v>
      </c>
      <c r="BB166" s="3245">
        <f t="shared" ca="1" si="34"/>
        <v>7.6824385965510604</v>
      </c>
      <c r="BC166" s="3245">
        <f t="shared" ca="1" si="34"/>
        <v>8.0095065192385384</v>
      </c>
      <c r="BD166" s="3245">
        <f t="shared" ca="1" si="34"/>
        <v>8.4217659958233835</v>
      </c>
      <c r="BE166" s="3245">
        <f t="shared" ca="1" si="34"/>
        <v>8.89107984923149</v>
      </c>
      <c r="BF166" s="3245">
        <f t="shared" ca="1" si="34"/>
        <v>9.3506227337970369</v>
      </c>
      <c r="BG166" s="3245">
        <f t="shared" ca="1" si="34"/>
        <v>9.8394084409240588</v>
      </c>
      <c r="BH166" s="3241"/>
      <c r="BJ166" s="3233"/>
      <c r="BK166" s="3235"/>
      <c r="BL166" s="3235"/>
      <c r="BM166" s="3235"/>
      <c r="BN166" s="3243"/>
      <c r="BO166" s="3243"/>
      <c r="BP166" s="3244"/>
      <c r="BQ166" s="3244"/>
      <c r="BR166" s="3244"/>
      <c r="BS166" s="3244"/>
      <c r="BT166" s="3244"/>
      <c r="BU166" s="3244"/>
    </row>
    <row r="167" spans="1:73" s="6" customFormat="1">
      <c r="A167" s="859"/>
      <c r="B167" s="3233"/>
      <c r="C167" s="3235" t="s">
        <v>474</v>
      </c>
      <c r="D167" s="3235"/>
      <c r="E167" s="3235"/>
      <c r="F167" s="3243" t="s">
        <v>83</v>
      </c>
      <c r="G167" s="3243"/>
      <c r="H167" s="3244"/>
      <c r="I167" s="3244"/>
      <c r="J167" s="3244"/>
      <c r="K167" s="3244"/>
      <c r="L167" s="3244"/>
      <c r="M167" s="3244"/>
      <c r="N167" s="3244"/>
      <c r="O167" s="3244"/>
      <c r="P167" s="3244"/>
      <c r="Q167" s="3244"/>
      <c r="R167" s="3244"/>
      <c r="S167" s="3244"/>
      <c r="T167" s="3244"/>
      <c r="U167" s="3244"/>
      <c r="V167" s="3244"/>
      <c r="W167" s="3244"/>
      <c r="X167" s="3244"/>
      <c r="Y167" s="3244"/>
      <c r="Z167" s="3244"/>
      <c r="AA167" s="3244"/>
      <c r="AB167" s="3244"/>
      <c r="AC167" s="3244"/>
      <c r="AD167" s="3244"/>
      <c r="AE167" s="3244"/>
      <c r="AF167" s="3244"/>
      <c r="AG167" s="3244"/>
      <c r="AH167" s="3244"/>
      <c r="AI167" s="3244"/>
      <c r="AJ167" s="3244"/>
      <c r="AK167" s="3244"/>
      <c r="AL167" s="3244"/>
      <c r="AM167" s="3244"/>
      <c r="AN167" s="3244"/>
      <c r="AO167" s="3244"/>
      <c r="AP167" s="3244"/>
      <c r="AQ167" s="3244"/>
      <c r="AR167" s="3244"/>
      <c r="AS167" s="3244"/>
      <c r="AT167" s="3244"/>
      <c r="AU167" s="3244"/>
      <c r="AV167" s="3244"/>
      <c r="AW167" s="3244"/>
      <c r="AX167" s="3234"/>
      <c r="AY167" s="3245">
        <f t="shared" ca="1" si="33"/>
        <v>0.18570324907344987</v>
      </c>
      <c r="AZ167" s="3245">
        <f t="shared" ca="1" si="34"/>
        <v>0.18660790240939268</v>
      </c>
      <c r="BA167" s="3245">
        <f t="shared" ca="1" si="34"/>
        <v>0.18919247202590425</v>
      </c>
      <c r="BB167" s="3245">
        <f t="shared" ca="1" si="34"/>
        <v>0.19211771351778267</v>
      </c>
      <c r="BC167" s="3245">
        <f t="shared" ca="1" si="34"/>
        <v>0.19523658707233799</v>
      </c>
      <c r="BD167" s="3245">
        <f t="shared" ca="1" si="34"/>
        <v>0.19826701481397255</v>
      </c>
      <c r="BE167" s="3245">
        <f t="shared" ca="1" si="34"/>
        <v>0.20072954559445982</v>
      </c>
      <c r="BF167" s="3245">
        <f t="shared" ca="1" si="34"/>
        <v>0.20221117527659649</v>
      </c>
      <c r="BG167" s="3245">
        <f t="shared" ca="1" si="34"/>
        <v>0.20317600035205552</v>
      </c>
      <c r="BH167" s="3241"/>
      <c r="BJ167" s="3233"/>
      <c r="BK167" s="3235"/>
      <c r="BL167" s="3235"/>
      <c r="BM167" s="3235"/>
      <c r="BN167" s="3243"/>
      <c r="BO167" s="3243"/>
      <c r="BP167" s="3244"/>
      <c r="BQ167" s="3244"/>
      <c r="BR167" s="3244"/>
      <c r="BS167" s="3244"/>
      <c r="BT167" s="3244"/>
      <c r="BU167" s="3244"/>
    </row>
    <row r="168" spans="1:73" s="6" customFormat="1">
      <c r="A168" s="859"/>
      <c r="B168" s="3233"/>
      <c r="C168" s="3235" t="s">
        <v>477</v>
      </c>
      <c r="D168" s="3235"/>
      <c r="E168" s="3235"/>
      <c r="F168" s="3243" t="s">
        <v>368</v>
      </c>
      <c r="G168" s="3243"/>
      <c r="H168" s="3244"/>
      <c r="I168" s="3244"/>
      <c r="J168" s="3244"/>
      <c r="K168" s="3244"/>
      <c r="L168" s="3244"/>
      <c r="M168" s="3244"/>
      <c r="N168" s="3244"/>
      <c r="O168" s="3244"/>
      <c r="P168" s="3244"/>
      <c r="Q168" s="3244"/>
      <c r="R168" s="3244"/>
      <c r="S168" s="3244"/>
      <c r="T168" s="3244"/>
      <c r="U168" s="3244"/>
      <c r="V168" s="3244"/>
      <c r="W168" s="3244"/>
      <c r="X168" s="3244"/>
      <c r="Y168" s="3244"/>
      <c r="Z168" s="3244"/>
      <c r="AA168" s="3244"/>
      <c r="AB168" s="3244"/>
      <c r="AC168" s="3244"/>
      <c r="AD168" s="3244"/>
      <c r="AE168" s="3244"/>
      <c r="AF168" s="3244"/>
      <c r="AG168" s="3244"/>
      <c r="AH168" s="3244"/>
      <c r="AI168" s="3244"/>
      <c r="AJ168" s="3244"/>
      <c r="AK168" s="3244"/>
      <c r="AL168" s="3244"/>
      <c r="AM168" s="3244"/>
      <c r="AN168" s="3244"/>
      <c r="AO168" s="3244"/>
      <c r="AP168" s="3244"/>
      <c r="AQ168" s="3244"/>
      <c r="AR168" s="3244"/>
      <c r="AS168" s="3244"/>
      <c r="AT168" s="3244"/>
      <c r="AU168" s="3244"/>
      <c r="AV168" s="3244"/>
      <c r="AW168" s="3244"/>
      <c r="AX168" s="3234"/>
      <c r="AY168" s="3245">
        <f t="shared" ca="1" si="33"/>
        <v>6.6593961332000005</v>
      </c>
      <c r="AZ168" s="3245">
        <f t="shared" ca="1" si="34"/>
        <v>6.5913388648141993</v>
      </c>
      <c r="BA168" s="3245">
        <f t="shared" ca="1" si="34"/>
        <v>6.4554192367339205</v>
      </c>
      <c r="BB168" s="3245">
        <f t="shared" ca="1" si="34"/>
        <v>6.3655013464525396</v>
      </c>
      <c r="BC168" s="3245">
        <f t="shared" ca="1" si="34"/>
        <v>6.3184946426237492</v>
      </c>
      <c r="BD168" s="3245">
        <f t="shared" ca="1" si="34"/>
        <v>6.311874128461521</v>
      </c>
      <c r="BE168" s="3245">
        <f t="shared" ca="1" si="34"/>
        <v>6.3436347187267872</v>
      </c>
      <c r="BF168" s="3245">
        <f t="shared" ca="1" si="34"/>
        <v>6.4122536019011953</v>
      </c>
      <c r="BG168" s="3245">
        <f t="shared" ca="1" si="34"/>
        <v>6.5166599241533758</v>
      </c>
      <c r="BH168" s="3241"/>
      <c r="BJ168" s="3233"/>
      <c r="BK168" s="3235"/>
      <c r="BL168" s="3235"/>
      <c r="BM168" s="3235"/>
      <c r="BN168" s="3243"/>
      <c r="BO168" s="3243"/>
      <c r="BP168" s="3244"/>
      <c r="BQ168" s="3244"/>
      <c r="BR168" s="3244"/>
      <c r="BS168" s="3244"/>
      <c r="BT168" s="3244"/>
      <c r="BU168" s="3244"/>
    </row>
    <row r="169" spans="1:73" s="6" customFormat="1">
      <c r="A169" s="859"/>
      <c r="B169" s="3233"/>
      <c r="C169" s="3235" t="s">
        <v>490</v>
      </c>
      <c r="D169" s="3235"/>
      <c r="E169" s="3235"/>
      <c r="F169" s="3243" t="s">
        <v>491</v>
      </c>
      <c r="G169" s="3243"/>
      <c r="H169" s="3244"/>
      <c r="I169" s="3244"/>
      <c r="J169" s="3244"/>
      <c r="K169" s="3244"/>
      <c r="L169" s="3244"/>
      <c r="M169" s="3244"/>
      <c r="N169" s="3244"/>
      <c r="O169" s="3244"/>
      <c r="P169" s="3244"/>
      <c r="Q169" s="3244"/>
      <c r="R169" s="3244"/>
      <c r="S169" s="3244"/>
      <c r="T169" s="3244"/>
      <c r="U169" s="3244"/>
      <c r="V169" s="3244"/>
      <c r="W169" s="3244"/>
      <c r="X169" s="3244"/>
      <c r="Y169" s="3244"/>
      <c r="Z169" s="3244"/>
      <c r="AA169" s="3244"/>
      <c r="AB169" s="3244"/>
      <c r="AC169" s="3244"/>
      <c r="AD169" s="3244"/>
      <c r="AE169" s="3244"/>
      <c r="AF169" s="3244"/>
      <c r="AG169" s="3244"/>
      <c r="AH169" s="3244"/>
      <c r="AI169" s="3244"/>
      <c r="AJ169" s="3244"/>
      <c r="AK169" s="3244"/>
      <c r="AL169" s="3244"/>
      <c r="AM169" s="3244"/>
      <c r="AN169" s="3244"/>
      <c r="AO169" s="3244"/>
      <c r="AP169" s="3244"/>
      <c r="AQ169" s="3244"/>
      <c r="AR169" s="3244"/>
      <c r="AS169" s="3244"/>
      <c r="AT169" s="3244"/>
      <c r="AU169" s="3244"/>
      <c r="AV169" s="3244"/>
      <c r="AW169" s="3244"/>
      <c r="AX169" s="3234"/>
      <c r="AY169" s="3245">
        <f t="shared" ca="1" si="33"/>
        <v>12.395948504930661</v>
      </c>
      <c r="AZ169" s="3245">
        <f t="shared" ca="1" si="34"/>
        <v>12.145970869709588</v>
      </c>
      <c r="BA169" s="3245">
        <f t="shared" ca="1" si="34"/>
        <v>11.819612069333958</v>
      </c>
      <c r="BB169" s="3245">
        <f t="shared" ca="1" si="34"/>
        <v>11.393455761949435</v>
      </c>
      <c r="BC169" s="3245">
        <f t="shared" ca="1" si="34"/>
        <v>11.453422512564929</v>
      </c>
      <c r="BD169" s="3245">
        <f t="shared" ca="1" si="34"/>
        <v>11.498159203029067</v>
      </c>
      <c r="BE169" s="3245">
        <f t="shared" ca="1" si="34"/>
        <v>11.586977788074536</v>
      </c>
      <c r="BF169" s="3245">
        <f t="shared" ca="1" si="34"/>
        <v>11.694467731327588</v>
      </c>
      <c r="BG169" s="3245">
        <f t="shared" ca="1" si="34"/>
        <v>11.843513217746002</v>
      </c>
      <c r="BH169" s="3241"/>
      <c r="BJ169" s="3233"/>
      <c r="BK169" s="3235"/>
      <c r="BL169" s="3235"/>
      <c r="BM169" s="3235"/>
      <c r="BN169" s="3243"/>
      <c r="BO169" s="3243"/>
      <c r="BP169" s="3244"/>
      <c r="BQ169" s="3244"/>
      <c r="BR169" s="3244"/>
      <c r="BS169" s="3244"/>
      <c r="BT169" s="3244"/>
      <c r="BU169" s="3244"/>
    </row>
    <row r="170" spans="1:73" s="6" customFormat="1">
      <c r="A170" s="859"/>
      <c r="B170" s="3233"/>
      <c r="C170" s="3235" t="s">
        <v>493</v>
      </c>
      <c r="D170" s="3235"/>
      <c r="E170" s="3235"/>
      <c r="F170" s="3243" t="s">
        <v>375</v>
      </c>
      <c r="G170" s="3243"/>
      <c r="H170" s="3244"/>
      <c r="I170" s="3244"/>
      <c r="J170" s="3244"/>
      <c r="K170" s="3244"/>
      <c r="L170" s="3244"/>
      <c r="M170" s="3244"/>
      <c r="N170" s="3244"/>
      <c r="O170" s="3244"/>
      <c r="P170" s="3244"/>
      <c r="Q170" s="3244"/>
      <c r="R170" s="3244"/>
      <c r="S170" s="3244"/>
      <c r="T170" s="3244"/>
      <c r="U170" s="3244"/>
      <c r="V170" s="3244"/>
      <c r="W170" s="3244"/>
      <c r="X170" s="3244"/>
      <c r="Y170" s="3244"/>
      <c r="Z170" s="3244"/>
      <c r="AA170" s="3244"/>
      <c r="AB170" s="3244"/>
      <c r="AC170" s="3244"/>
      <c r="AD170" s="3244"/>
      <c r="AE170" s="3244"/>
      <c r="AF170" s="3244"/>
      <c r="AG170" s="3244"/>
      <c r="AH170" s="3244"/>
      <c r="AI170" s="3244"/>
      <c r="AJ170" s="3244"/>
      <c r="AK170" s="3244"/>
      <c r="AL170" s="3244"/>
      <c r="AM170" s="3244"/>
      <c r="AN170" s="3244"/>
      <c r="AO170" s="3244"/>
      <c r="AP170" s="3244"/>
      <c r="AQ170" s="3244"/>
      <c r="AR170" s="3244"/>
      <c r="AS170" s="3244"/>
      <c r="AT170" s="3244"/>
      <c r="AU170" s="3244"/>
      <c r="AV170" s="3244"/>
      <c r="AW170" s="3244"/>
      <c r="AX170" s="3234"/>
      <c r="AY170" s="3245">
        <f t="shared" ca="1" si="33"/>
        <v>0</v>
      </c>
      <c r="AZ170" s="3245">
        <f t="shared" ca="1" si="34"/>
        <v>0</v>
      </c>
      <c r="BA170" s="3245">
        <f t="shared" ca="1" si="34"/>
        <v>0</v>
      </c>
      <c r="BB170" s="3245">
        <f t="shared" ca="1" si="34"/>
        <v>0</v>
      </c>
      <c r="BC170" s="3245">
        <f t="shared" ca="1" si="34"/>
        <v>0</v>
      </c>
      <c r="BD170" s="3245">
        <f t="shared" ca="1" si="34"/>
        <v>0</v>
      </c>
      <c r="BE170" s="3245">
        <f t="shared" ca="1" si="34"/>
        <v>0</v>
      </c>
      <c r="BF170" s="3245">
        <f t="shared" ca="1" si="34"/>
        <v>0</v>
      </c>
      <c r="BG170" s="3245">
        <f t="shared" ca="1" si="34"/>
        <v>0</v>
      </c>
      <c r="BH170" s="3241"/>
      <c r="BJ170" s="3233"/>
      <c r="BK170" s="3235"/>
      <c r="BL170" s="3235"/>
      <c r="BM170" s="3235"/>
      <c r="BN170" s="3243"/>
      <c r="BO170" s="3243"/>
      <c r="BP170" s="3244"/>
      <c r="BQ170" s="3244"/>
      <c r="BR170" s="3244"/>
      <c r="BS170" s="3244"/>
      <c r="BT170" s="3244"/>
      <c r="BU170" s="3244"/>
    </row>
    <row r="171" spans="1:73" s="6" customFormat="1">
      <c r="A171" s="859"/>
      <c r="B171" s="3233"/>
      <c r="C171" s="3235" t="s">
        <v>496</v>
      </c>
      <c r="D171" s="3235"/>
      <c r="E171" s="3235"/>
      <c r="F171" s="3243" t="s">
        <v>495</v>
      </c>
      <c r="G171" s="3243"/>
      <c r="H171" s="3244"/>
      <c r="I171" s="3244"/>
      <c r="J171" s="3244"/>
      <c r="K171" s="3244"/>
      <c r="L171" s="3244"/>
      <c r="M171" s="3244"/>
      <c r="N171" s="3244"/>
      <c r="O171" s="3244"/>
      <c r="P171" s="3244"/>
      <c r="Q171" s="3244"/>
      <c r="R171" s="3244"/>
      <c r="S171" s="3244"/>
      <c r="T171" s="3244"/>
      <c r="U171" s="3244"/>
      <c r="V171" s="3244"/>
      <c r="W171" s="3244"/>
      <c r="X171" s="3244"/>
      <c r="Y171" s="3244"/>
      <c r="Z171" s="3244"/>
      <c r="AA171" s="3244"/>
      <c r="AB171" s="3244"/>
      <c r="AC171" s="3244"/>
      <c r="AD171" s="3244"/>
      <c r="AE171" s="3244"/>
      <c r="AF171" s="3244"/>
      <c r="AG171" s="3244"/>
      <c r="AH171" s="3244"/>
      <c r="AI171" s="3244"/>
      <c r="AJ171" s="3244"/>
      <c r="AK171" s="3244"/>
      <c r="AL171" s="3244"/>
      <c r="AM171" s="3244"/>
      <c r="AN171" s="3244"/>
      <c r="AO171" s="3244"/>
      <c r="AP171" s="3244"/>
      <c r="AQ171" s="3244"/>
      <c r="AR171" s="3244"/>
      <c r="AS171" s="3244"/>
      <c r="AT171" s="3244"/>
      <c r="AU171" s="3244"/>
      <c r="AV171" s="3244"/>
      <c r="AW171" s="3244"/>
      <c r="AX171" s="3234"/>
      <c r="AY171" s="3245">
        <f t="shared" ca="1" si="33"/>
        <v>0</v>
      </c>
      <c r="AZ171" s="3245">
        <f t="shared" ca="1" si="34"/>
        <v>0</v>
      </c>
      <c r="BA171" s="3245">
        <f t="shared" ca="1" si="34"/>
        <v>0</v>
      </c>
      <c r="BB171" s="3245">
        <f t="shared" ca="1" si="34"/>
        <v>0</v>
      </c>
      <c r="BC171" s="3245">
        <f t="shared" ca="1" si="34"/>
        <v>0</v>
      </c>
      <c r="BD171" s="3245">
        <f t="shared" ca="1" si="34"/>
        <v>0</v>
      </c>
      <c r="BE171" s="3245">
        <f t="shared" ca="1" si="34"/>
        <v>0</v>
      </c>
      <c r="BF171" s="3245">
        <f t="shared" ca="1" si="34"/>
        <v>0</v>
      </c>
      <c r="BG171" s="3245">
        <f t="shared" ca="1" si="34"/>
        <v>0</v>
      </c>
      <c r="BH171" s="3241"/>
      <c r="BJ171" s="3233"/>
      <c r="BK171" s="3235"/>
      <c r="BL171" s="3235"/>
      <c r="BM171" s="3235"/>
      <c r="BN171" s="3243"/>
      <c r="BO171" s="3243"/>
      <c r="BP171" s="3244"/>
      <c r="BQ171" s="3244"/>
      <c r="BR171" s="3244"/>
      <c r="BS171" s="3244"/>
      <c r="BT171" s="3244"/>
      <c r="BU171" s="3244"/>
    </row>
    <row r="172" spans="1:73" s="6" customFormat="1">
      <c r="A172" s="859"/>
      <c r="B172" s="3233"/>
      <c r="C172" s="3235" t="s">
        <v>518</v>
      </c>
      <c r="D172" s="3235"/>
      <c r="E172" s="3235"/>
      <c r="F172" s="3243" t="s">
        <v>519</v>
      </c>
      <c r="G172" s="3243"/>
      <c r="H172" s="3244"/>
      <c r="I172" s="3244"/>
      <c r="J172" s="3244"/>
      <c r="K172" s="3244"/>
      <c r="L172" s="3244"/>
      <c r="M172" s="3244"/>
      <c r="N172" s="3244"/>
      <c r="O172" s="3244"/>
      <c r="P172" s="3244"/>
      <c r="Q172" s="3244"/>
      <c r="R172" s="3244"/>
      <c r="S172" s="3244"/>
      <c r="T172" s="3244"/>
      <c r="U172" s="3244"/>
      <c r="V172" s="3244"/>
      <c r="W172" s="3244"/>
      <c r="X172" s="3244"/>
      <c r="Y172" s="3244"/>
      <c r="Z172" s="3244"/>
      <c r="AA172" s="3244"/>
      <c r="AB172" s="3244"/>
      <c r="AC172" s="3244"/>
      <c r="AD172" s="3244"/>
      <c r="AE172" s="3244"/>
      <c r="AF172" s="3244"/>
      <c r="AG172" s="3244"/>
      <c r="AH172" s="3244"/>
      <c r="AI172" s="3244"/>
      <c r="AJ172" s="3244"/>
      <c r="AK172" s="3244"/>
      <c r="AL172" s="3244"/>
      <c r="AM172" s="3244"/>
      <c r="AN172" s="3244"/>
      <c r="AO172" s="3244"/>
      <c r="AP172" s="3244"/>
      <c r="AQ172" s="3244"/>
      <c r="AR172" s="3244"/>
      <c r="AS172" s="3244"/>
      <c r="AT172" s="3244"/>
      <c r="AU172" s="3244"/>
      <c r="AV172" s="3244"/>
      <c r="AW172" s="3244"/>
      <c r="AX172" s="3234"/>
      <c r="AY172" s="3245">
        <f t="shared" ca="1" si="33"/>
        <v>0.50758391151371063</v>
      </c>
      <c r="AZ172" s="3245">
        <f t="shared" ca="1" si="34"/>
        <v>0.53162065253897084</v>
      </c>
      <c r="BA172" s="3245">
        <f t="shared" ca="1" si="34"/>
        <v>0.98680487261585303</v>
      </c>
      <c r="BB172" s="3245">
        <f t="shared" ca="1" si="34"/>
        <v>0.64450418611432281</v>
      </c>
      <c r="BC172" s="3245">
        <f t="shared" ca="1" si="34"/>
        <v>0.50758391151371063</v>
      </c>
      <c r="BD172" s="3245">
        <f t="shared" ca="1" si="34"/>
        <v>0.50758391151371063</v>
      </c>
      <c r="BE172" s="3245">
        <f t="shared" ca="1" si="34"/>
        <v>0.50758391151371063</v>
      </c>
      <c r="BF172" s="3245">
        <f t="shared" ca="1" si="34"/>
        <v>0.50758391151371063</v>
      </c>
      <c r="BG172" s="3245">
        <f t="shared" ca="1" si="34"/>
        <v>0.50758391151371063</v>
      </c>
      <c r="BH172" s="3241"/>
      <c r="BJ172" s="3233"/>
      <c r="BK172" s="3235"/>
      <c r="BL172" s="3235"/>
      <c r="BM172" s="3235"/>
      <c r="BN172" s="3243"/>
      <c r="BO172" s="3243"/>
      <c r="BP172" s="3244"/>
      <c r="BQ172" s="3244"/>
      <c r="BR172" s="3244"/>
      <c r="BS172" s="3244"/>
      <c r="BT172" s="3244"/>
      <c r="BU172" s="3244"/>
    </row>
    <row r="173" spans="1:73" s="6" customFormat="1">
      <c r="A173" s="859"/>
      <c r="B173" s="3233"/>
      <c r="C173" s="3235" t="s">
        <v>588</v>
      </c>
      <c r="D173" s="3235"/>
      <c r="E173" s="3235"/>
      <c r="F173" s="3243" t="s">
        <v>589</v>
      </c>
      <c r="G173" s="3243"/>
      <c r="H173" s="3244"/>
      <c r="I173" s="3244"/>
      <c r="J173" s="3244"/>
      <c r="K173" s="3244"/>
      <c r="L173" s="3244"/>
      <c r="M173" s="3244"/>
      <c r="N173" s="3244"/>
      <c r="O173" s="3244"/>
      <c r="P173" s="3244"/>
      <c r="Q173" s="3244"/>
      <c r="R173" s="3244"/>
      <c r="S173" s="3244"/>
      <c r="T173" s="3244"/>
      <c r="U173" s="3244"/>
      <c r="V173" s="3244"/>
      <c r="W173" s="3244"/>
      <c r="X173" s="3244"/>
      <c r="Y173" s="3244"/>
      <c r="Z173" s="3244"/>
      <c r="AA173" s="3244"/>
      <c r="AB173" s="3244"/>
      <c r="AC173" s="3244"/>
      <c r="AD173" s="3244"/>
      <c r="AE173" s="3244"/>
      <c r="AF173" s="3244"/>
      <c r="AG173" s="3244"/>
      <c r="AH173" s="3244"/>
      <c r="AI173" s="3244"/>
      <c r="AJ173" s="3244"/>
      <c r="AK173" s="3244"/>
      <c r="AL173" s="3244"/>
      <c r="AM173" s="3244"/>
      <c r="AN173" s="3244"/>
      <c r="AO173" s="3244"/>
      <c r="AP173" s="3244"/>
      <c r="AQ173" s="3244"/>
      <c r="AR173" s="3244"/>
      <c r="AS173" s="3244"/>
      <c r="AT173" s="3244"/>
      <c r="AU173" s="3244"/>
      <c r="AV173" s="3244"/>
      <c r="AW173" s="3244"/>
      <c r="AX173" s="3234"/>
      <c r="AY173" s="3245">
        <f t="shared" ca="1" si="33"/>
        <v>0.02</v>
      </c>
      <c r="AZ173" s="3245">
        <f t="shared" ca="1" si="34"/>
        <v>2.0366150823557673E-2</v>
      </c>
      <c r="BA173" s="3245">
        <f t="shared" ca="1" si="34"/>
        <v>1.9963676250276358E-2</v>
      </c>
      <c r="BB173" s="3245">
        <f t="shared" ca="1" si="34"/>
        <v>1.7075629667676426E-2</v>
      </c>
      <c r="BC173" s="3245">
        <f t="shared" ca="1" si="34"/>
        <v>1.2768375410568076E-2</v>
      </c>
      <c r="BD173" s="3245">
        <f t="shared" ca="1" si="34"/>
        <v>1.6145000283810759E-2</v>
      </c>
      <c r="BE173" s="3245">
        <f t="shared" ca="1" si="34"/>
        <v>2.1357747727214344E-2</v>
      </c>
      <c r="BF173" s="3245">
        <f t="shared" ca="1" si="34"/>
        <v>2.6717876539168711E-2</v>
      </c>
      <c r="BG173" s="3245">
        <f t="shared" ca="1" si="34"/>
        <v>3.2231198277947314E-2</v>
      </c>
      <c r="BH173" s="3241"/>
      <c r="BJ173" s="3233"/>
      <c r="BK173" s="3235"/>
      <c r="BL173" s="3235"/>
      <c r="BM173" s="3235"/>
      <c r="BN173" s="3243"/>
      <c r="BO173" s="3243"/>
      <c r="BP173" s="3244"/>
      <c r="BQ173" s="3244"/>
      <c r="BR173" s="3244"/>
      <c r="BS173" s="3244"/>
      <c r="BT173" s="3244"/>
      <c r="BU173" s="3244"/>
    </row>
    <row r="174" spans="1:73" s="6" customFormat="1">
      <c r="A174" s="859"/>
      <c r="B174" s="3233"/>
      <c r="C174" s="3235" t="s">
        <v>544</v>
      </c>
      <c r="D174" s="3235"/>
      <c r="E174" s="3235"/>
      <c r="F174" s="3243" t="s">
        <v>545</v>
      </c>
      <c r="G174" s="3243"/>
      <c r="H174" s="3244"/>
      <c r="I174" s="3244"/>
      <c r="J174" s="3244"/>
      <c r="K174" s="3244"/>
      <c r="L174" s="3244"/>
      <c r="M174" s="3244"/>
      <c r="N174" s="3244"/>
      <c r="O174" s="3244"/>
      <c r="P174" s="3244"/>
      <c r="Q174" s="3244"/>
      <c r="R174" s="3244"/>
      <c r="S174" s="3244"/>
      <c r="T174" s="3244"/>
      <c r="U174" s="3244"/>
      <c r="V174" s="3244"/>
      <c r="W174" s="3244"/>
      <c r="X174" s="3244"/>
      <c r="Y174" s="3244"/>
      <c r="Z174" s="3244"/>
      <c r="AA174" s="3244"/>
      <c r="AB174" s="3244"/>
      <c r="AC174" s="3244"/>
      <c r="AD174" s="3244"/>
      <c r="AE174" s="3244"/>
      <c r="AF174" s="3244"/>
      <c r="AG174" s="3244"/>
      <c r="AH174" s="3244"/>
      <c r="AI174" s="3244"/>
      <c r="AJ174" s="3244"/>
      <c r="AK174" s="3244"/>
      <c r="AL174" s="3244"/>
      <c r="AM174" s="3244"/>
      <c r="AN174" s="3244"/>
      <c r="AO174" s="3244"/>
      <c r="AP174" s="3244"/>
      <c r="AQ174" s="3244"/>
      <c r="AR174" s="3244"/>
      <c r="AS174" s="3244"/>
      <c r="AT174" s="3244"/>
      <c r="AU174" s="3244"/>
      <c r="AV174" s="3244"/>
      <c r="AW174" s="3244"/>
      <c r="AX174" s="3234"/>
      <c r="AY174" s="3245">
        <f t="shared" ca="1" si="33"/>
        <v>0</v>
      </c>
      <c r="AZ174" s="3245">
        <f t="shared" ref="AZ174:BG174" ca="1" si="35">SUMIFS(INDIRECT("'"&amp;AZ$157&amp;"'!Year.EmissionsBySector"), INDIRECT("'"&amp;AZ$157&amp;"'!Year.Modules"),$C174)</f>
        <v>0</v>
      </c>
      <c r="BA174" s="3245">
        <f t="shared" ca="1" si="35"/>
        <v>0</v>
      </c>
      <c r="BB174" s="3245">
        <f t="shared" ca="1" si="35"/>
        <v>0</v>
      </c>
      <c r="BC174" s="3245">
        <f t="shared" ca="1" si="35"/>
        <v>0</v>
      </c>
      <c r="BD174" s="3245">
        <f t="shared" ca="1" si="35"/>
        <v>0</v>
      </c>
      <c r="BE174" s="3245">
        <f t="shared" ca="1" si="35"/>
        <v>0</v>
      </c>
      <c r="BF174" s="3245">
        <f t="shared" ca="1" si="35"/>
        <v>0</v>
      </c>
      <c r="BG174" s="3245">
        <f t="shared" ca="1" si="35"/>
        <v>0</v>
      </c>
      <c r="BH174" s="3241"/>
      <c r="BJ174" s="3233"/>
      <c r="BK174" s="3235"/>
      <c r="BL174" s="3235"/>
      <c r="BM174" s="3235"/>
      <c r="BN174" s="3243"/>
      <c r="BO174" s="3243"/>
      <c r="BP174" s="3244"/>
      <c r="BQ174" s="3244"/>
      <c r="BR174" s="3244"/>
      <c r="BS174" s="3244"/>
      <c r="BT174" s="3244"/>
      <c r="BU174" s="3244"/>
    </row>
    <row r="175" spans="1:73" s="6" customFormat="1">
      <c r="A175" s="859"/>
      <c r="B175" s="3233"/>
      <c r="C175" s="3234"/>
      <c r="D175" s="3235"/>
      <c r="E175" s="3235"/>
      <c r="F175" s="3235" t="s">
        <v>59</v>
      </c>
      <c r="G175" s="3235"/>
      <c r="H175" s="3242"/>
      <c r="I175" s="3242"/>
      <c r="J175" s="3242"/>
      <c r="K175" s="3242"/>
      <c r="L175" s="3242"/>
      <c r="M175" s="3242"/>
      <c r="N175" s="3242"/>
      <c r="O175" s="3242"/>
      <c r="P175" s="3242"/>
      <c r="Q175" s="3242"/>
      <c r="R175" s="3242"/>
      <c r="S175" s="3242"/>
      <c r="T175" s="3242"/>
      <c r="U175" s="3242"/>
      <c r="V175" s="3242"/>
      <c r="W175" s="3242"/>
      <c r="X175" s="3242"/>
      <c r="Y175" s="3242"/>
      <c r="Z175" s="3242"/>
      <c r="AA175" s="3242"/>
      <c r="AB175" s="3242"/>
      <c r="AC175" s="3242"/>
      <c r="AD175" s="3242"/>
      <c r="AE175" s="3242"/>
      <c r="AF175" s="3242"/>
      <c r="AG175" s="3242"/>
      <c r="AH175" s="3242"/>
      <c r="AI175" s="3242"/>
      <c r="AJ175" s="3242"/>
      <c r="AK175" s="3242"/>
      <c r="AL175" s="3242"/>
      <c r="AM175" s="3242"/>
      <c r="AN175" s="3242"/>
      <c r="AO175" s="3242"/>
      <c r="AP175" s="3242"/>
      <c r="AQ175" s="3242"/>
      <c r="AR175" s="3242"/>
      <c r="AS175" s="3242"/>
      <c r="AT175" s="3242"/>
      <c r="AU175" s="3242"/>
      <c r="AV175" s="3242"/>
      <c r="AW175" s="3242"/>
      <c r="AX175" s="3234"/>
      <c r="AY175" s="3246">
        <f t="shared" ref="AY175:BG175" ca="1" si="36">SUM(AY158:AY174)</f>
        <v>55.593249649356736</v>
      </c>
      <c r="AZ175" s="3246">
        <f t="shared" ca="1" si="36"/>
        <v>53.988426226518492</v>
      </c>
      <c r="BA175" s="3246">
        <f t="shared" ca="1" si="36"/>
        <v>46.358954394383808</v>
      </c>
      <c r="BB175" s="3246">
        <f t="shared" ca="1" si="36"/>
        <v>42.290344442376451</v>
      </c>
      <c r="BC175" s="3246">
        <f t="shared" ca="1" si="36"/>
        <v>37.922821254629184</v>
      </c>
      <c r="BD175" s="3246">
        <f t="shared" ca="1" si="36"/>
        <v>36.729936104374758</v>
      </c>
      <c r="BE175" s="3246">
        <f t="shared" ca="1" si="36"/>
        <v>34.681503121735958</v>
      </c>
      <c r="BF175" s="3246">
        <f t="shared" ca="1" si="36"/>
        <v>32.688776022794521</v>
      </c>
      <c r="BG175" s="3246">
        <f t="shared" ca="1" si="36"/>
        <v>31.371521775595472</v>
      </c>
      <c r="BH175" s="3241"/>
      <c r="BJ175" s="3233"/>
      <c r="BK175" s="3234"/>
      <c r="BL175" s="3235"/>
      <c r="BM175" s="3235"/>
      <c r="BN175" s="3235"/>
      <c r="BO175" s="3235"/>
      <c r="BP175" s="3242"/>
      <c r="BQ175" s="3242"/>
      <c r="BR175" s="3242"/>
      <c r="BS175" s="3242"/>
      <c r="BT175" s="3242"/>
      <c r="BU175" s="3242"/>
    </row>
    <row r="176" spans="1:73">
      <c r="A176" s="39"/>
      <c r="B176" s="3213"/>
      <c r="C176" s="3208"/>
      <c r="D176" s="3208"/>
      <c r="E176" s="3208"/>
      <c r="F176" s="3229" t="s">
        <v>2549</v>
      </c>
      <c r="G176" s="3229"/>
      <c r="H176" s="3247"/>
      <c r="I176" s="3247"/>
      <c r="J176" s="3247"/>
      <c r="K176" s="3247"/>
      <c r="L176" s="3247"/>
      <c r="M176" s="3247"/>
      <c r="N176" s="3247"/>
      <c r="O176" s="3247"/>
      <c r="P176" s="3247"/>
      <c r="Q176" s="3247"/>
      <c r="R176" s="3247"/>
      <c r="S176" s="3247"/>
      <c r="T176" s="3247"/>
      <c r="U176" s="3247"/>
      <c r="V176" s="3247"/>
      <c r="W176" s="3247"/>
      <c r="X176" s="3247"/>
      <c r="Y176" s="3247"/>
      <c r="Z176" s="3247"/>
      <c r="AA176" s="3247"/>
      <c r="AB176" s="3247"/>
      <c r="AC176" s="3247"/>
      <c r="AD176" s="3247"/>
      <c r="AE176" s="3247"/>
      <c r="AF176" s="3247"/>
      <c r="AG176" s="3247"/>
      <c r="AH176" s="3247"/>
      <c r="AI176" s="3247"/>
      <c r="AJ176" s="3247"/>
      <c r="AK176" s="3247"/>
      <c r="AL176" s="3247"/>
      <c r="AM176" s="3247"/>
      <c r="AN176" s="3247"/>
      <c r="AO176" s="3247"/>
      <c r="AP176" s="3247"/>
      <c r="AQ176" s="3247"/>
      <c r="AR176" s="3247"/>
      <c r="AS176" s="3247"/>
      <c r="AT176" s="3247"/>
      <c r="AU176" s="3247"/>
      <c r="AV176" s="3247"/>
      <c r="AW176" s="3247"/>
      <c r="AX176" s="3208"/>
      <c r="AY176" s="3208"/>
      <c r="AZ176" s="3248">
        <f ca="1">(AY175*(AZ157-AY157))+AZ175+((AZ175-AY175)*6/(AZ157-AY157))</f>
        <v>160.36045525671724</v>
      </c>
      <c r="BA176" s="3248">
        <f t="shared" ref="BA176:BG176" ca="1" si="37">(AZ175*(BA157-AZ157-1))+BA175+((BA175-AZ175)*10/(BA157-AZ157))</f>
        <v>247.0537156361884</v>
      </c>
      <c r="BB176" s="3248">
        <f t="shared" ca="1" si="37"/>
        <v>219.58894211589694</v>
      </c>
      <c r="BC176" s="3248">
        <f t="shared" ca="1" si="37"/>
        <v>198.34915264864046</v>
      </c>
      <c r="BD176" s="3248">
        <f t="shared" ca="1" si="37"/>
        <v>186.03545082238264</v>
      </c>
      <c r="BE176" s="3248">
        <f t="shared" ca="1" si="37"/>
        <v>177.50438157395737</v>
      </c>
      <c r="BF176" s="3248">
        <f t="shared" ca="1" si="37"/>
        <v>167.42933431185548</v>
      </c>
      <c r="BG176" s="3248">
        <f t="shared" ca="1" si="37"/>
        <v>159.49211737237547</v>
      </c>
      <c r="BH176" s="3211"/>
      <c r="BJ176" s="3213"/>
      <c r="BK176" s="3208"/>
      <c r="BL176" s="3208"/>
      <c r="BM176" s="3208"/>
      <c r="BN176" s="3229"/>
      <c r="BO176" s="3229"/>
      <c r="BP176" s="3247"/>
      <c r="BQ176" s="3247"/>
      <c r="BR176" s="3247"/>
      <c r="BS176" s="3247"/>
      <c r="BT176" s="3247"/>
      <c r="BU176" s="3247"/>
    </row>
    <row r="177" spans="1:82" ht="15.75">
      <c r="A177" s="39"/>
      <c r="B177" s="3213"/>
      <c r="C177" s="3212" t="s">
        <v>2550</v>
      </c>
      <c r="D177" s="3208"/>
      <c r="E177" s="3208"/>
      <c r="F177" s="3229" t="s">
        <v>2551</v>
      </c>
      <c r="G177" s="3229"/>
      <c r="H177" s="3247"/>
      <c r="I177" s="3247"/>
      <c r="J177" s="3247"/>
      <c r="K177" s="3247"/>
      <c r="L177" s="3247"/>
      <c r="M177" s="3247"/>
      <c r="N177" s="3247"/>
      <c r="O177" s="3247"/>
      <c r="P177" s="3247"/>
      <c r="Q177" s="3247"/>
      <c r="R177" s="3247"/>
      <c r="S177" s="3247"/>
      <c r="T177" s="3247"/>
      <c r="U177" s="3247"/>
      <c r="V177" s="3247"/>
      <c r="W177" s="3247"/>
      <c r="X177" s="3247"/>
      <c r="Y177" s="3247"/>
      <c r="Z177" s="3247"/>
      <c r="AA177" s="3247"/>
      <c r="AB177" s="3247"/>
      <c r="AC177" s="3247"/>
      <c r="AD177" s="3247"/>
      <c r="AE177" s="3247"/>
      <c r="AF177" s="3247"/>
      <c r="AG177" s="3247"/>
      <c r="AH177" s="3247"/>
      <c r="AI177" s="3247"/>
      <c r="AJ177" s="3247"/>
      <c r="AK177" s="3247"/>
      <c r="AL177" s="3247"/>
      <c r="AM177" s="3247"/>
      <c r="AN177" s="3247"/>
      <c r="AO177" s="3247"/>
      <c r="AP177" s="3247"/>
      <c r="AQ177" s="3247"/>
      <c r="AR177" s="3247"/>
      <c r="AS177" s="3247"/>
      <c r="AT177" s="3247"/>
      <c r="AU177" s="3247"/>
      <c r="AV177" s="3247"/>
      <c r="AW177" s="3247"/>
      <c r="AX177" s="3208"/>
      <c r="AY177" s="3208"/>
      <c r="AZ177" s="3249">
        <f ca="1">AZ176</f>
        <v>160.36045525671724</v>
      </c>
      <c r="BA177" s="3249">
        <f ca="1">BA176+AZ176</f>
        <v>407.41417089290564</v>
      </c>
      <c r="BB177" s="3249">
        <f t="shared" ref="BB177:BG177" ca="1" si="38">BB176+BA177</f>
        <v>627.00311300880253</v>
      </c>
      <c r="BC177" s="3249">
        <f t="shared" ca="1" si="38"/>
        <v>825.35226565744301</v>
      </c>
      <c r="BD177" s="3249">
        <f t="shared" ca="1" si="38"/>
        <v>1011.3877164798257</v>
      </c>
      <c r="BE177" s="3249">
        <f t="shared" ca="1" si="38"/>
        <v>1188.892098053783</v>
      </c>
      <c r="BF177" s="3249">
        <f t="shared" ca="1" si="38"/>
        <v>1356.3214323656384</v>
      </c>
      <c r="BG177" s="3249">
        <f t="shared" ca="1" si="38"/>
        <v>1515.813549738014</v>
      </c>
      <c r="BH177" s="3211"/>
      <c r="BJ177" s="3213"/>
      <c r="BK177" s="3212"/>
      <c r="BL177" s="3208"/>
      <c r="BM177" s="3208"/>
      <c r="BN177" s="3229"/>
      <c r="BO177" s="3229"/>
      <c r="BP177" s="3247"/>
      <c r="BQ177" s="3247"/>
      <c r="BR177" s="3247"/>
      <c r="BS177" s="3247"/>
      <c r="BT177" s="3247"/>
      <c r="BU177" s="3247"/>
    </row>
    <row r="178" spans="1:82">
      <c r="A178" s="39"/>
      <c r="B178" s="3213"/>
      <c r="C178" s="3208"/>
      <c r="D178" s="3208"/>
      <c r="E178" s="3208"/>
      <c r="F178" s="3208"/>
      <c r="G178" s="3208"/>
      <c r="H178" s="3209"/>
      <c r="I178" s="3209"/>
      <c r="J178" s="3209"/>
      <c r="K178" s="3209"/>
      <c r="L178" s="3209"/>
      <c r="M178" s="3209"/>
      <c r="N178" s="3209"/>
      <c r="O178" s="3209"/>
      <c r="P178" s="3209"/>
      <c r="Q178" s="3209"/>
      <c r="R178" s="3209"/>
      <c r="S178" s="3209"/>
      <c r="T178" s="3209"/>
      <c r="U178" s="3209"/>
      <c r="V178" s="3209"/>
      <c r="W178" s="3209"/>
      <c r="X178" s="3209"/>
      <c r="Y178" s="3209"/>
      <c r="Z178" s="3209"/>
      <c r="AA178" s="3209"/>
      <c r="AB178" s="3209"/>
      <c r="AC178" s="3209"/>
      <c r="AD178" s="3209"/>
      <c r="AE178" s="3209"/>
      <c r="AF178" s="3209"/>
      <c r="AG178" s="3209"/>
      <c r="AH178" s="3209"/>
      <c r="AI178" s="3209"/>
      <c r="AJ178" s="3209"/>
      <c r="AK178" s="3209"/>
      <c r="AL178" s="3209"/>
      <c r="AM178" s="3209"/>
      <c r="AN178" s="3209"/>
      <c r="AO178" s="3209"/>
      <c r="AP178" s="3209"/>
      <c r="AQ178" s="3209"/>
      <c r="AR178" s="3209"/>
      <c r="AS178" s="3209"/>
      <c r="AT178" s="3209"/>
      <c r="AU178" s="3209"/>
      <c r="AV178" s="3209"/>
      <c r="AW178" s="3209"/>
      <c r="AX178" s="3208"/>
      <c r="AY178" s="3208"/>
      <c r="AZ178" s="3208"/>
      <c r="BA178" s="3208"/>
      <c r="BB178" s="3208"/>
      <c r="BC178" s="3208"/>
      <c r="BD178" s="3208"/>
      <c r="BE178" s="3208"/>
      <c r="BF178" s="3208"/>
      <c r="BG178" s="3208"/>
      <c r="BH178" s="3211"/>
      <c r="BJ178" s="3213"/>
      <c r="BK178" s="3208"/>
      <c r="BL178" s="3208"/>
      <c r="BM178" s="3208"/>
      <c r="BN178" s="3208"/>
      <c r="BO178" s="3208"/>
      <c r="BP178" s="3209"/>
      <c r="BQ178" s="3209"/>
      <c r="BR178" s="3209"/>
      <c r="BS178" s="3209"/>
      <c r="BT178" s="3209"/>
      <c r="BU178" s="3209"/>
    </row>
    <row r="179" spans="1:82">
      <c r="A179" s="39"/>
      <c r="B179" s="3213"/>
      <c r="C179" s="3208"/>
      <c r="D179" s="3214" t="s">
        <v>306</v>
      </c>
      <c r="E179" s="3208"/>
      <c r="F179" s="3208" t="s">
        <v>3046</v>
      </c>
      <c r="G179" s="3208"/>
      <c r="H179" s="3209"/>
      <c r="I179" s="3209"/>
      <c r="J179" s="3209"/>
      <c r="K179" s="3209"/>
      <c r="L179" s="3209"/>
      <c r="M179" s="3209"/>
      <c r="N179" s="3209"/>
      <c r="O179" s="3209"/>
      <c r="P179" s="3209"/>
      <c r="Q179" s="3209"/>
      <c r="R179" s="3209"/>
      <c r="S179" s="3209"/>
      <c r="T179" s="3209"/>
      <c r="U179" s="3209"/>
      <c r="V179" s="3209"/>
      <c r="W179" s="3209"/>
      <c r="X179" s="3209"/>
      <c r="Y179" s="3209"/>
      <c r="Z179" s="3209"/>
      <c r="AA179" s="3209"/>
      <c r="AB179" s="3209"/>
      <c r="AC179" s="3209"/>
      <c r="AD179" s="3209"/>
      <c r="AE179" s="3209"/>
      <c r="AF179" s="3209"/>
      <c r="AG179" s="3209"/>
      <c r="AH179" s="3209"/>
      <c r="AI179" s="3209"/>
      <c r="AJ179" s="3209"/>
      <c r="AK179" s="3209"/>
      <c r="AL179" s="3209"/>
      <c r="AM179" s="3209"/>
      <c r="AN179" s="3209"/>
      <c r="AO179" s="3209"/>
      <c r="AP179" s="3209"/>
      <c r="AQ179" s="3209"/>
      <c r="AR179" s="3209"/>
      <c r="AS179" s="3209"/>
      <c r="AT179" s="3209"/>
      <c r="AU179" s="3209"/>
      <c r="AV179" s="3209"/>
      <c r="AW179" s="3209"/>
      <c r="AX179" s="3208"/>
      <c r="AY179" s="3208"/>
      <c r="AZ179" s="3208"/>
      <c r="BA179" s="3208"/>
      <c r="BB179" s="3208"/>
      <c r="BC179" s="3208"/>
      <c r="BD179" s="3208"/>
      <c r="BE179" s="3208"/>
      <c r="BF179" s="3208"/>
      <c r="BG179" s="3210" t="s">
        <v>254</v>
      </c>
      <c r="BH179" s="3211"/>
      <c r="BJ179" s="3213"/>
      <c r="BK179" s="3208"/>
      <c r="BL179" s="3214"/>
      <c r="BM179" s="3208"/>
      <c r="BN179" s="3208"/>
      <c r="BO179" s="3208"/>
      <c r="BP179" s="3209"/>
      <c r="BQ179" s="3209"/>
      <c r="BR179" s="3209"/>
      <c r="BS179" s="3209"/>
      <c r="BT179" s="3209"/>
      <c r="BU179" s="3209"/>
    </row>
    <row r="180" spans="1:82" s="927" customFormat="1">
      <c r="A180" s="1309"/>
      <c r="B180" s="3215"/>
      <c r="C180" s="3216" t="s">
        <v>307</v>
      </c>
      <c r="D180" s="3217" t="s">
        <v>308</v>
      </c>
      <c r="E180" s="3208"/>
      <c r="F180" s="3769">
        <v>37.04</v>
      </c>
      <c r="G180" s="3218"/>
      <c r="H180" s="3219"/>
      <c r="I180" s="3219"/>
      <c r="J180" s="3219"/>
      <c r="K180" s="3219"/>
      <c r="L180" s="3219"/>
      <c r="M180" s="3219"/>
      <c r="N180" s="3219"/>
      <c r="O180" s="3219"/>
      <c r="P180" s="3219"/>
      <c r="Q180" s="3219"/>
      <c r="R180" s="3219"/>
      <c r="S180" s="3219"/>
      <c r="T180" s="3219"/>
      <c r="U180" s="3219"/>
      <c r="V180" s="3219"/>
      <c r="W180" s="3219"/>
      <c r="X180" s="3219"/>
      <c r="Y180" s="3219"/>
      <c r="Z180" s="3219"/>
      <c r="AA180" s="3219"/>
      <c r="AB180" s="3219"/>
      <c r="AC180" s="3219"/>
      <c r="AD180" s="3219"/>
      <c r="AE180" s="3219"/>
      <c r="AF180" s="3219"/>
      <c r="AG180" s="3219"/>
      <c r="AH180" s="3219"/>
      <c r="AI180" s="3219"/>
      <c r="AJ180" s="3219"/>
      <c r="AK180" s="3219"/>
      <c r="AL180" s="3219"/>
      <c r="AM180" s="3219"/>
      <c r="AN180" s="3219"/>
      <c r="AO180" s="3219"/>
      <c r="AP180" s="3219"/>
      <c r="AQ180" s="3219"/>
      <c r="AR180" s="3219"/>
      <c r="AS180" s="3219"/>
      <c r="AT180" s="3219"/>
      <c r="AU180" s="3219"/>
      <c r="AV180" s="3219"/>
      <c r="AW180" s="3250"/>
      <c r="AX180" s="3220"/>
      <c r="AY180" s="3769">
        <f t="shared" ref="AY180:BG181" ca="1" si="39">SUMIFS(INDIRECT("'"&amp;AY$4&amp;"'!Year.Emissions"), INDIRECT("'"&amp;AY$4&amp;"'!Year.IPCC"), $C180)</f>
        <v>36.577741668782814</v>
      </c>
      <c r="AZ180" s="3645">
        <f t="shared" ca="1" si="39"/>
        <v>35.464048656992752</v>
      </c>
      <c r="BA180" s="3645">
        <f t="shared" ca="1" si="39"/>
        <v>31.643257235140034</v>
      </c>
      <c r="BB180" s="3645">
        <f t="shared" ca="1" si="39"/>
        <v>27.426481683606269</v>
      </c>
      <c r="BC180" s="3645">
        <f t="shared" ca="1" si="39"/>
        <v>24.349618979309554</v>
      </c>
      <c r="BD180" s="3645">
        <f t="shared" ca="1" si="39"/>
        <v>32.309749514970825</v>
      </c>
      <c r="BE180" s="3645">
        <f t="shared" ca="1" si="39"/>
        <v>35.812157478270173</v>
      </c>
      <c r="BF180" s="3645">
        <f t="shared" ca="1" si="39"/>
        <v>38.737162897378646</v>
      </c>
      <c r="BG180" s="3645">
        <f t="shared" ca="1" si="39"/>
        <v>41.662725427109031</v>
      </c>
      <c r="BH180" s="3221"/>
      <c r="BI180" s="3853"/>
      <c r="BJ180" s="3215"/>
      <c r="BK180" s="3216"/>
      <c r="BL180" s="3217"/>
      <c r="BM180" s="3208"/>
      <c r="BN180" s="3769"/>
      <c r="BO180" s="3218"/>
      <c r="BP180" s="3219"/>
      <c r="BQ180" s="3219"/>
      <c r="BR180" s="3219"/>
      <c r="BS180" s="3219"/>
      <c r="BT180" s="3219"/>
      <c r="BU180" s="3219"/>
    </row>
    <row r="181" spans="1:82" s="927" customFormat="1">
      <c r="A181" s="1309"/>
      <c r="B181" s="3215"/>
      <c r="C181" s="3216" t="s">
        <v>456</v>
      </c>
      <c r="D181" s="3217" t="s">
        <v>407</v>
      </c>
      <c r="E181" s="3208"/>
      <c r="F181" s="3769">
        <v>0.02</v>
      </c>
      <c r="G181" s="3218"/>
      <c r="H181" s="3219"/>
      <c r="I181" s="3219"/>
      <c r="J181" s="3219"/>
      <c r="K181" s="3219"/>
      <c r="L181" s="3219"/>
      <c r="M181" s="3219"/>
      <c r="N181" s="3219"/>
      <c r="O181" s="3219"/>
      <c r="P181" s="3219"/>
      <c r="Q181" s="3219"/>
      <c r="R181" s="3219"/>
      <c r="S181" s="3219"/>
      <c r="T181" s="3219"/>
      <c r="U181" s="3219"/>
      <c r="V181" s="3219"/>
      <c r="W181" s="3219"/>
      <c r="X181" s="3219"/>
      <c r="Y181" s="3219"/>
      <c r="Z181" s="3219"/>
      <c r="AA181" s="3219"/>
      <c r="AB181" s="3219"/>
      <c r="AC181" s="3219"/>
      <c r="AD181" s="3219"/>
      <c r="AE181" s="3219"/>
      <c r="AF181" s="3219"/>
      <c r="AG181" s="3219"/>
      <c r="AH181" s="3219"/>
      <c r="AI181" s="3219"/>
      <c r="AJ181" s="3219"/>
      <c r="AK181" s="3219"/>
      <c r="AL181" s="3219"/>
      <c r="AM181" s="3219"/>
      <c r="AN181" s="3219"/>
      <c r="AO181" s="3219"/>
      <c r="AP181" s="3219"/>
      <c r="AQ181" s="3219"/>
      <c r="AR181" s="3219"/>
      <c r="AS181" s="3219"/>
      <c r="AT181" s="3219"/>
      <c r="AU181" s="3219"/>
      <c r="AV181" s="3219"/>
      <c r="AW181" s="3250"/>
      <c r="AX181" s="3220"/>
      <c r="AY181" s="3769">
        <f t="shared" ca="1" si="39"/>
        <v>0.02</v>
      </c>
      <c r="AZ181" s="3645">
        <f t="shared" ca="1" si="39"/>
        <v>2.0366150823557673E-2</v>
      </c>
      <c r="BA181" s="3645">
        <f t="shared" ca="1" si="39"/>
        <v>1.9963676250276358E-2</v>
      </c>
      <c r="BB181" s="3645">
        <f t="shared" ca="1" si="39"/>
        <v>1.7075629667676426E-2</v>
      </c>
      <c r="BC181" s="3645">
        <f t="shared" ca="1" si="39"/>
        <v>1.2768375410568076E-2</v>
      </c>
      <c r="BD181" s="3645">
        <f t="shared" ca="1" si="39"/>
        <v>1.6145000283810759E-2</v>
      </c>
      <c r="BE181" s="3645">
        <f t="shared" ca="1" si="39"/>
        <v>2.1357747727214344E-2</v>
      </c>
      <c r="BF181" s="3645">
        <f t="shared" ca="1" si="39"/>
        <v>2.6717876539168711E-2</v>
      </c>
      <c r="BG181" s="3645">
        <f t="shared" ca="1" si="39"/>
        <v>3.2231198277947314E-2</v>
      </c>
      <c r="BH181" s="3221"/>
      <c r="BJ181" s="3215"/>
      <c r="BK181" s="3216"/>
      <c r="BL181" s="3217"/>
      <c r="BM181" s="3208"/>
      <c r="BN181" s="3769"/>
      <c r="BO181" s="3218"/>
      <c r="BP181" s="3219"/>
      <c r="BQ181" s="3219"/>
      <c r="BR181" s="3219"/>
      <c r="BS181" s="3219"/>
      <c r="BT181" s="3219"/>
      <c r="BU181" s="3219"/>
    </row>
    <row r="182" spans="1:82">
      <c r="A182" s="39"/>
      <c r="B182" s="3213"/>
      <c r="C182" s="3210">
        <v>1</v>
      </c>
      <c r="D182" s="3208" t="s">
        <v>308</v>
      </c>
      <c r="E182" s="3208"/>
      <c r="F182" s="3768">
        <f>SUM(F180:F181)</f>
        <v>37.06</v>
      </c>
      <c r="G182" s="3251"/>
      <c r="H182" s="3250"/>
      <c r="I182" s="3250"/>
      <c r="J182" s="3250"/>
      <c r="K182" s="3250"/>
      <c r="L182" s="3250"/>
      <c r="M182" s="3250"/>
      <c r="N182" s="3250"/>
      <c r="O182" s="3250"/>
      <c r="P182" s="3250"/>
      <c r="Q182" s="3250"/>
      <c r="R182" s="3250"/>
      <c r="S182" s="3250"/>
      <c r="T182" s="3250"/>
      <c r="U182" s="3250"/>
      <c r="V182" s="3250"/>
      <c r="W182" s="3250"/>
      <c r="X182" s="3250"/>
      <c r="Y182" s="3250"/>
      <c r="Z182" s="3250"/>
      <c r="AA182" s="3250"/>
      <c r="AB182" s="3250"/>
      <c r="AC182" s="3250"/>
      <c r="AD182" s="3250"/>
      <c r="AE182" s="3250"/>
      <c r="AF182" s="3250"/>
      <c r="AG182" s="3250"/>
      <c r="AH182" s="3250"/>
      <c r="AI182" s="3250"/>
      <c r="AJ182" s="3250"/>
      <c r="AK182" s="3250"/>
      <c r="AL182" s="3250"/>
      <c r="AM182" s="3250"/>
      <c r="AN182" s="3250"/>
      <c r="AO182" s="3250"/>
      <c r="AP182" s="3250"/>
      <c r="AQ182" s="3250"/>
      <c r="AR182" s="3250"/>
      <c r="AS182" s="3250"/>
      <c r="AT182" s="3250"/>
      <c r="AU182" s="3250"/>
      <c r="AV182" s="3250"/>
      <c r="AW182" s="3250"/>
      <c r="AX182" s="3220"/>
      <c r="AY182" s="3767">
        <f ca="1">AY180+AY181</f>
        <v>36.597741668782817</v>
      </c>
      <c r="AZ182" s="3251">
        <f ca="1">AZ180+AZ181</f>
        <v>35.484414807816307</v>
      </c>
      <c r="BA182" s="3251">
        <f t="shared" ref="BA182:BG182" ca="1" si="40">BA180+BA181</f>
        <v>31.663220911390312</v>
      </c>
      <c r="BB182" s="3251">
        <f t="shared" ca="1" si="40"/>
        <v>27.443557313273946</v>
      </c>
      <c r="BC182" s="3251">
        <f t="shared" ca="1" si="40"/>
        <v>24.362387354720124</v>
      </c>
      <c r="BD182" s="3251">
        <f t="shared" ca="1" si="40"/>
        <v>32.325894515254639</v>
      </c>
      <c r="BE182" s="3251">
        <f t="shared" ca="1" si="40"/>
        <v>35.833515225997388</v>
      </c>
      <c r="BF182" s="3251">
        <f t="shared" ca="1" si="40"/>
        <v>38.763880773917812</v>
      </c>
      <c r="BG182" s="3251">
        <f t="shared" ca="1" si="40"/>
        <v>41.694956625386979</v>
      </c>
      <c r="BH182" s="3211"/>
      <c r="BJ182" s="3213"/>
      <c r="BK182" s="3210"/>
      <c r="BL182" s="3208"/>
      <c r="BM182" s="3208"/>
      <c r="BN182" s="3768"/>
      <c r="BO182" s="3251"/>
      <c r="BP182" s="3250"/>
      <c r="BQ182" s="3250"/>
      <c r="BR182" s="3250"/>
      <c r="BS182" s="3250"/>
      <c r="BT182" s="3250"/>
      <c r="BU182" s="3250"/>
    </row>
    <row r="183" spans="1:82">
      <c r="A183" s="39"/>
      <c r="B183" s="3213"/>
      <c r="C183" s="3210">
        <v>2</v>
      </c>
      <c r="D183" s="3208" t="s">
        <v>408</v>
      </c>
      <c r="E183" s="3208"/>
      <c r="F183" s="3768">
        <v>2.42</v>
      </c>
      <c r="G183" s="3251"/>
      <c r="H183" s="3250"/>
      <c r="I183" s="3250"/>
      <c r="J183" s="3250"/>
      <c r="K183" s="3250"/>
      <c r="L183" s="3250"/>
      <c r="M183" s="3250"/>
      <c r="N183" s="3250"/>
      <c r="O183" s="3250"/>
      <c r="P183" s="3250"/>
      <c r="Q183" s="3250"/>
      <c r="R183" s="3250"/>
      <c r="S183" s="3250"/>
      <c r="T183" s="3250"/>
      <c r="U183" s="3250"/>
      <c r="V183" s="3250"/>
      <c r="W183" s="3250"/>
      <c r="X183" s="3250"/>
      <c r="Y183" s="3250"/>
      <c r="Z183" s="3250"/>
      <c r="AA183" s="3250"/>
      <c r="AB183" s="3250"/>
      <c r="AC183" s="3250"/>
      <c r="AD183" s="3250"/>
      <c r="AE183" s="3250"/>
      <c r="AF183" s="3250"/>
      <c r="AG183" s="3250"/>
      <c r="AH183" s="3250"/>
      <c r="AI183" s="3250"/>
      <c r="AJ183" s="3250"/>
      <c r="AK183" s="3250"/>
      <c r="AL183" s="3250"/>
      <c r="AM183" s="3250"/>
      <c r="AN183" s="3250"/>
      <c r="AO183" s="3250"/>
      <c r="AP183" s="3250"/>
      <c r="AQ183" s="3250"/>
      <c r="AR183" s="3250"/>
      <c r="AS183" s="3250"/>
      <c r="AT183" s="3250"/>
      <c r="AU183" s="3250"/>
      <c r="AV183" s="3250"/>
      <c r="AW183" s="3250"/>
      <c r="AX183" s="3220"/>
      <c r="AY183" s="3767">
        <f t="shared" ref="AY183:BG191" ca="1" si="41">SUMIFS(INDIRECT("'"&amp;AY$4&amp;"'!Year.Emissions"), INDIRECT("'"&amp;AY$4&amp;"'!Year.IPCC"), $C183)</f>
        <v>2.42</v>
      </c>
      <c r="AZ183" s="3644">
        <f t="shared" ca="1" si="41"/>
        <v>2.317445925498101</v>
      </c>
      <c r="BA183" s="3644">
        <f t="shared" ca="1" si="41"/>
        <v>2.0803301987443206</v>
      </c>
      <c r="BB183" s="3644">
        <f t="shared" ca="1" si="41"/>
        <v>1.8683213839408266</v>
      </c>
      <c r="BC183" s="3644">
        <f t="shared" ca="1" si="41"/>
        <v>1.6786821051150729</v>
      </c>
      <c r="BD183" s="3644">
        <f t="shared" ca="1" si="41"/>
        <v>1.5089805586263663</v>
      </c>
      <c r="BE183" s="3644">
        <f t="shared" ca="1" si="41"/>
        <v>1.3570557786362432</v>
      </c>
      <c r="BF183" s="3644">
        <f t="shared" ca="1" si="41"/>
        <v>1.22098690421433</v>
      </c>
      <c r="BG183" s="3644">
        <f t="shared" ca="1" si="41"/>
        <v>1.0990659825843379</v>
      </c>
      <c r="BH183" s="3211"/>
      <c r="BJ183" s="3213"/>
      <c r="BK183" s="3210"/>
      <c r="BL183" s="3208"/>
      <c r="BM183" s="3208"/>
      <c r="BN183" s="3768"/>
      <c r="BO183" s="3251"/>
      <c r="BP183" s="3250"/>
      <c r="BQ183" s="3250"/>
      <c r="BR183" s="3250"/>
      <c r="BS183" s="3250"/>
      <c r="BT183" s="3250"/>
      <c r="BU183" s="3250"/>
    </row>
    <row r="184" spans="1:82">
      <c r="A184" s="39"/>
      <c r="B184" s="3213"/>
      <c r="C184" s="3210">
        <v>3</v>
      </c>
      <c r="D184" s="3208" t="s">
        <v>409</v>
      </c>
      <c r="E184" s="3208"/>
      <c r="F184" s="3768">
        <v>7.0000000000000007E-2</v>
      </c>
      <c r="G184" s="3251"/>
      <c r="H184" s="3250"/>
      <c r="I184" s="3250"/>
      <c r="J184" s="3250"/>
      <c r="K184" s="3250"/>
      <c r="L184" s="3250"/>
      <c r="M184" s="3250"/>
      <c r="N184" s="3250"/>
      <c r="O184" s="3250"/>
      <c r="P184" s="3250"/>
      <c r="Q184" s="3250"/>
      <c r="R184" s="3250"/>
      <c r="S184" s="3250"/>
      <c r="T184" s="3250"/>
      <c r="U184" s="3250"/>
      <c r="V184" s="3250"/>
      <c r="W184" s="3250"/>
      <c r="X184" s="3250"/>
      <c r="Y184" s="3250"/>
      <c r="Z184" s="3250"/>
      <c r="AA184" s="3250"/>
      <c r="AB184" s="3250"/>
      <c r="AC184" s="3250"/>
      <c r="AD184" s="3250"/>
      <c r="AE184" s="3250"/>
      <c r="AF184" s="3250"/>
      <c r="AG184" s="3250"/>
      <c r="AH184" s="3250"/>
      <c r="AI184" s="3250"/>
      <c r="AJ184" s="3250"/>
      <c r="AK184" s="3250"/>
      <c r="AL184" s="3250"/>
      <c r="AM184" s="3250"/>
      <c r="AN184" s="3250"/>
      <c r="AO184" s="3250"/>
      <c r="AP184" s="3250"/>
      <c r="AQ184" s="3250"/>
      <c r="AR184" s="3250"/>
      <c r="AS184" s="3250"/>
      <c r="AT184" s="3250"/>
      <c r="AU184" s="3250"/>
      <c r="AV184" s="3250"/>
      <c r="AW184" s="3250"/>
      <c r="AX184" s="3220"/>
      <c r="AY184" s="3767">
        <f t="shared" ca="1" si="41"/>
        <v>0</v>
      </c>
      <c r="AZ184" s="3644">
        <f t="shared" ca="1" si="41"/>
        <v>0</v>
      </c>
      <c r="BA184" s="3644">
        <f t="shared" ca="1" si="41"/>
        <v>0</v>
      </c>
      <c r="BB184" s="3644">
        <f t="shared" ca="1" si="41"/>
        <v>0</v>
      </c>
      <c r="BC184" s="3644">
        <f t="shared" ca="1" si="41"/>
        <v>0</v>
      </c>
      <c r="BD184" s="3644">
        <f t="shared" ca="1" si="41"/>
        <v>0</v>
      </c>
      <c r="BE184" s="3644">
        <f t="shared" ca="1" si="41"/>
        <v>0</v>
      </c>
      <c r="BF184" s="3644">
        <f t="shared" ca="1" si="41"/>
        <v>0</v>
      </c>
      <c r="BG184" s="3644">
        <f t="shared" ca="1" si="41"/>
        <v>0</v>
      </c>
      <c r="BH184" s="3211"/>
      <c r="BJ184" s="3213"/>
      <c r="BK184" s="3210"/>
      <c r="BL184" s="3208"/>
      <c r="BM184" s="3208"/>
      <c r="BN184" s="3768"/>
      <c r="BO184" s="3251"/>
      <c r="BP184" s="3250"/>
      <c r="BQ184" s="3250"/>
      <c r="BR184" s="3250"/>
      <c r="BS184" s="3250"/>
      <c r="BT184" s="3250"/>
      <c r="BU184" s="3250"/>
    </row>
    <row r="185" spans="1:82">
      <c r="A185" s="39"/>
      <c r="B185" s="3213"/>
      <c r="C185" s="3210">
        <v>4</v>
      </c>
      <c r="D185" s="3208" t="s">
        <v>401</v>
      </c>
      <c r="E185" s="3208"/>
      <c r="F185" s="3768">
        <v>17.97</v>
      </c>
      <c r="G185" s="3251"/>
      <c r="H185" s="3250"/>
      <c r="I185" s="3250"/>
      <c r="J185" s="3250"/>
      <c r="K185" s="3250"/>
      <c r="L185" s="3250"/>
      <c r="M185" s="3250"/>
      <c r="N185" s="3250"/>
      <c r="O185" s="3250"/>
      <c r="P185" s="3250"/>
      <c r="Q185" s="3250"/>
      <c r="R185" s="3250"/>
      <c r="S185" s="3250"/>
      <c r="T185" s="3250"/>
      <c r="U185" s="3250"/>
      <c r="V185" s="3250"/>
      <c r="W185" s="3250"/>
      <c r="X185" s="3250"/>
      <c r="Y185" s="3250"/>
      <c r="Z185" s="3250"/>
      <c r="AA185" s="3250"/>
      <c r="AB185" s="3250"/>
      <c r="AC185" s="3250"/>
      <c r="AD185" s="3250"/>
      <c r="AE185" s="3250"/>
      <c r="AF185" s="3250"/>
      <c r="AG185" s="3250"/>
      <c r="AH185" s="3250"/>
      <c r="AI185" s="3250"/>
      <c r="AJ185" s="3250"/>
      <c r="AK185" s="3250"/>
      <c r="AL185" s="3250"/>
      <c r="AM185" s="3250"/>
      <c r="AN185" s="3250"/>
      <c r="AO185" s="3250"/>
      <c r="AP185" s="3250"/>
      <c r="AQ185" s="3250"/>
      <c r="AR185" s="3250"/>
      <c r="AS185" s="3250"/>
      <c r="AT185" s="3250"/>
      <c r="AU185" s="3250"/>
      <c r="AV185" s="3250"/>
      <c r="AW185" s="3250"/>
      <c r="AX185" s="3220"/>
      <c r="AY185" s="3767">
        <f t="shared" ca="1" si="41"/>
        <v>17.477285399999996</v>
      </c>
      <c r="AZ185" s="3644">
        <f t="shared" ca="1" si="41"/>
        <v>17.231308291364016</v>
      </c>
      <c r="BA185" s="3644">
        <f t="shared" ca="1" si="41"/>
        <v>16.510423035910584</v>
      </c>
      <c r="BB185" s="3644">
        <f t="shared" ca="1" si="41"/>
        <v>15.770513495738047</v>
      </c>
      <c r="BC185" s="3644">
        <f t="shared" ca="1" si="41"/>
        <v>14.801689931312772</v>
      </c>
      <c r="BD185" s="3644">
        <f t="shared" ca="1" si="41"/>
        <v>14.280108729266098</v>
      </c>
      <c r="BE185" s="3644">
        <f t="shared" ca="1" si="41"/>
        <v>13.775838398473621</v>
      </c>
      <c r="BF185" s="3644">
        <f t="shared" ca="1" si="41"/>
        <v>13.28834197905401</v>
      </c>
      <c r="BG185" s="3644">
        <f t="shared" ca="1" si="41"/>
        <v>13.013895510273077</v>
      </c>
      <c r="BH185" s="3211"/>
      <c r="BI185" s="386"/>
      <c r="BJ185" s="3213"/>
      <c r="BK185" s="3210"/>
      <c r="BL185" s="3208"/>
      <c r="BM185" s="3208"/>
      <c r="BN185" s="3768"/>
      <c r="BO185" s="3251"/>
      <c r="BP185" s="3250"/>
      <c r="BQ185" s="3250"/>
      <c r="BR185" s="3250"/>
      <c r="BS185" s="3250"/>
      <c r="BT185" s="3250"/>
      <c r="BU185" s="3250"/>
      <c r="CD185" s="4122" t="s">
        <v>3476</v>
      </c>
    </row>
    <row r="186" spans="1:82">
      <c r="A186" s="39"/>
      <c r="B186" s="3213"/>
      <c r="C186" s="3210">
        <v>5</v>
      </c>
      <c r="D186" s="3208" t="s">
        <v>410</v>
      </c>
      <c r="E186" s="3208"/>
      <c r="F186" s="3768">
        <v>-3.14</v>
      </c>
      <c r="G186" s="3251"/>
      <c r="H186" s="3250"/>
      <c r="I186" s="3250"/>
      <c r="J186" s="3250"/>
      <c r="K186" s="3250"/>
      <c r="L186" s="3250"/>
      <c r="M186" s="3250"/>
      <c r="N186" s="3250"/>
      <c r="O186" s="3250"/>
      <c r="P186" s="3250"/>
      <c r="Q186" s="3250"/>
      <c r="R186" s="3250"/>
      <c r="S186" s="3250"/>
      <c r="T186" s="3250"/>
      <c r="U186" s="3250"/>
      <c r="V186" s="3250"/>
      <c r="W186" s="3250"/>
      <c r="X186" s="3250"/>
      <c r="Y186" s="3250"/>
      <c r="Z186" s="3250"/>
      <c r="AA186" s="3250"/>
      <c r="AB186" s="3250"/>
      <c r="AC186" s="3250"/>
      <c r="AD186" s="3250"/>
      <c r="AE186" s="3250"/>
      <c r="AF186" s="3250"/>
      <c r="AG186" s="3250"/>
      <c r="AH186" s="3250"/>
      <c r="AI186" s="3250"/>
      <c r="AJ186" s="3250"/>
      <c r="AK186" s="3250"/>
      <c r="AL186" s="3250"/>
      <c r="AM186" s="3250"/>
      <c r="AN186" s="3250"/>
      <c r="AO186" s="3250"/>
      <c r="AP186" s="3250"/>
      <c r="AQ186" s="3250"/>
      <c r="AR186" s="3250"/>
      <c r="AS186" s="3250"/>
      <c r="AT186" s="3250"/>
      <c r="AU186" s="3250"/>
      <c r="AV186" s="3250"/>
      <c r="AW186" s="3250"/>
      <c r="AX186" s="3220"/>
      <c r="AY186" s="3767">
        <f t="shared" ca="1" si="41"/>
        <v>-3.1859999999999999</v>
      </c>
      <c r="AZ186" s="3644">
        <f t="shared" ca="1" si="41"/>
        <v>-2.0419537671878891</v>
      </c>
      <c r="BA186" s="3644">
        <f t="shared" ca="1" si="41"/>
        <v>-1.1817681520851633</v>
      </c>
      <c r="BB186" s="3644">
        <f t="shared" ca="1" si="41"/>
        <v>-0.65512751732099117</v>
      </c>
      <c r="BC186" s="3644">
        <f t="shared" ca="1" si="41"/>
        <v>-0.9383255597991258</v>
      </c>
      <c r="BD186" s="3644">
        <f t="shared" ca="1" si="41"/>
        <v>-1.4653696761441601</v>
      </c>
      <c r="BE186" s="3644">
        <f t="shared" ca="1" si="41"/>
        <v>-2.4850551056747112</v>
      </c>
      <c r="BF186" s="3644">
        <f t="shared" ca="1" si="41"/>
        <v>-3.6112424759446609</v>
      </c>
      <c r="BG186" s="3644">
        <f t="shared" ca="1" si="41"/>
        <v>-4.4813243548418651</v>
      </c>
      <c r="BH186" s="3211"/>
      <c r="BJ186" s="3213"/>
      <c r="BK186" s="3210"/>
      <c r="BL186" s="3208"/>
      <c r="BM186" s="3208"/>
      <c r="BN186" s="3768"/>
      <c r="BO186" s="3251"/>
      <c r="BP186" s="3250"/>
      <c r="BQ186" s="3250"/>
      <c r="BR186" s="3250"/>
      <c r="BS186" s="3250"/>
      <c r="BT186" s="3250"/>
      <c r="BU186" s="3250"/>
      <c r="CD186" s="4122" t="s">
        <v>3475</v>
      </c>
    </row>
    <row r="187" spans="1:82">
      <c r="A187" s="39"/>
      <c r="B187" s="3213"/>
      <c r="C187" s="3210">
        <v>6</v>
      </c>
      <c r="D187" s="3208" t="s">
        <v>402</v>
      </c>
      <c r="E187" s="3208"/>
      <c r="F187" s="3768">
        <v>1.01</v>
      </c>
      <c r="G187" s="3251"/>
      <c r="H187" s="3250"/>
      <c r="I187" s="3250"/>
      <c r="J187" s="3250"/>
      <c r="K187" s="3250"/>
      <c r="L187" s="3250"/>
      <c r="M187" s="3250"/>
      <c r="N187" s="3250"/>
      <c r="O187" s="3250"/>
      <c r="P187" s="3250"/>
      <c r="Q187" s="3250"/>
      <c r="R187" s="3250"/>
      <c r="S187" s="3250"/>
      <c r="T187" s="3250"/>
      <c r="U187" s="3250"/>
      <c r="V187" s="3250"/>
      <c r="W187" s="3250"/>
      <c r="X187" s="3250"/>
      <c r="Y187" s="3250"/>
      <c r="Z187" s="3250"/>
      <c r="AA187" s="3250"/>
      <c r="AB187" s="3250"/>
      <c r="AC187" s="3250"/>
      <c r="AD187" s="3250"/>
      <c r="AE187" s="3250"/>
      <c r="AF187" s="3250"/>
      <c r="AG187" s="3250"/>
      <c r="AH187" s="3250"/>
      <c r="AI187" s="3250"/>
      <c r="AJ187" s="3250"/>
      <c r="AK187" s="3250"/>
      <c r="AL187" s="3250"/>
      <c r="AM187" s="3250"/>
      <c r="AN187" s="3250"/>
      <c r="AO187" s="3250"/>
      <c r="AP187" s="3250"/>
      <c r="AQ187" s="3250"/>
      <c r="AR187" s="3250"/>
      <c r="AS187" s="3250"/>
      <c r="AT187" s="3250"/>
      <c r="AU187" s="3250"/>
      <c r="AV187" s="3250"/>
      <c r="AW187" s="3250"/>
      <c r="AX187" s="3220"/>
      <c r="AY187" s="3768">
        <f t="shared" ca="1" si="41"/>
        <v>0.96917142883928564</v>
      </c>
      <c r="AZ187" s="3644">
        <f t="shared" ca="1" si="41"/>
        <v>0.83635224384289342</v>
      </c>
      <c r="BA187" s="3644">
        <f t="shared" ca="1" si="41"/>
        <v>0.73269987284886018</v>
      </c>
      <c r="BB187" s="3644">
        <f t="shared" ca="1" si="41"/>
        <v>0.66660669150718665</v>
      </c>
      <c r="BC187" s="3644">
        <f t="shared" ca="1" si="41"/>
        <v>0.60231776617858668</v>
      </c>
      <c r="BD187" s="3644">
        <f t="shared" ca="1" si="41"/>
        <v>0.53983309686306047</v>
      </c>
      <c r="BE187" s="3644">
        <f t="shared" ca="1" si="41"/>
        <v>0.47915268356060814</v>
      </c>
      <c r="BF187" s="3644">
        <f t="shared" ca="1" si="41"/>
        <v>0.4202765262712293</v>
      </c>
      <c r="BG187" s="3644">
        <f t="shared" ca="1" si="41"/>
        <v>0.36320462499492429</v>
      </c>
      <c r="BH187" s="3211"/>
      <c r="BJ187" s="3213"/>
      <c r="BK187" s="3210"/>
      <c r="BL187" s="3208"/>
      <c r="BM187" s="3208"/>
      <c r="BN187" s="3768"/>
      <c r="BO187" s="3251"/>
      <c r="BP187" s="3250"/>
      <c r="BQ187" s="3250"/>
      <c r="BR187" s="3250"/>
      <c r="BS187" s="3250"/>
      <c r="BT187" s="3250"/>
      <c r="BU187" s="3250"/>
    </row>
    <row r="188" spans="1:82">
      <c r="A188" s="39"/>
      <c r="B188" s="3213"/>
      <c r="C188" s="3210">
        <v>7</v>
      </c>
      <c r="D188" s="3208" t="s">
        <v>411</v>
      </c>
      <c r="E188" s="3208"/>
      <c r="F188" s="3768"/>
      <c r="G188" s="3220"/>
      <c r="H188" s="3252"/>
      <c r="I188" s="3252"/>
      <c r="J188" s="3252"/>
      <c r="K188" s="3252"/>
      <c r="L188" s="3252"/>
      <c r="M188" s="3252"/>
      <c r="N188" s="3252"/>
      <c r="O188" s="3252"/>
      <c r="P188" s="3252"/>
      <c r="Q188" s="3252"/>
      <c r="R188" s="3252"/>
      <c r="S188" s="3252"/>
      <c r="T188" s="3252"/>
      <c r="U188" s="3252"/>
      <c r="V188" s="3252"/>
      <c r="W188" s="3252"/>
      <c r="X188" s="3252"/>
      <c r="Y188" s="3252"/>
      <c r="Z188" s="3252"/>
      <c r="AA188" s="3252"/>
      <c r="AB188" s="3252"/>
      <c r="AC188" s="3252"/>
      <c r="AD188" s="3252"/>
      <c r="AE188" s="3252"/>
      <c r="AF188" s="3252"/>
      <c r="AG188" s="3252"/>
      <c r="AH188" s="3252"/>
      <c r="AI188" s="3252"/>
      <c r="AJ188" s="3252"/>
      <c r="AK188" s="3252"/>
      <c r="AL188" s="3252"/>
      <c r="AM188" s="3252"/>
      <c r="AN188" s="3252"/>
      <c r="AO188" s="3252"/>
      <c r="AP188" s="3252"/>
      <c r="AQ188" s="3252"/>
      <c r="AR188" s="3252"/>
      <c r="AS188" s="3252"/>
      <c r="AT188" s="3252"/>
      <c r="AU188" s="3252"/>
      <c r="AV188" s="3252"/>
      <c r="AW188" s="3252"/>
      <c r="AX188" s="3220"/>
      <c r="AY188" s="3767">
        <f t="shared" ca="1" si="41"/>
        <v>0</v>
      </c>
      <c r="AZ188" s="3644">
        <f t="shared" ca="1" si="41"/>
        <v>0</v>
      </c>
      <c r="BA188" s="3644">
        <f t="shared" ca="1" si="41"/>
        <v>0</v>
      </c>
      <c r="BB188" s="3644">
        <f t="shared" ca="1" si="41"/>
        <v>0</v>
      </c>
      <c r="BC188" s="3644">
        <f t="shared" ca="1" si="41"/>
        <v>0</v>
      </c>
      <c r="BD188" s="3644">
        <f t="shared" ca="1" si="41"/>
        <v>0</v>
      </c>
      <c r="BE188" s="3644">
        <f t="shared" ca="1" si="41"/>
        <v>0</v>
      </c>
      <c r="BF188" s="3644">
        <f t="shared" ca="1" si="41"/>
        <v>0</v>
      </c>
      <c r="BG188" s="3644">
        <f t="shared" ca="1" si="41"/>
        <v>0</v>
      </c>
      <c r="BH188" s="3211"/>
      <c r="BJ188" s="3213"/>
      <c r="BK188" s="3210"/>
      <c r="BL188" s="3208"/>
      <c r="BM188" s="3208"/>
      <c r="BN188" s="3768"/>
      <c r="BO188" s="3220"/>
      <c r="BP188" s="3252"/>
      <c r="BQ188" s="3252"/>
      <c r="BR188" s="3252"/>
      <c r="BS188" s="3252"/>
      <c r="BT188" s="3252"/>
      <c r="BU188" s="3252"/>
    </row>
    <row r="189" spans="1:82">
      <c r="A189" s="39"/>
      <c r="B189" s="3213"/>
      <c r="C189" s="3210" t="s">
        <v>457</v>
      </c>
      <c r="D189" s="3208" t="s">
        <v>2856</v>
      </c>
      <c r="E189" s="3208"/>
      <c r="F189" s="3768">
        <v>2.16</v>
      </c>
      <c r="G189" s="3251"/>
      <c r="H189" s="3250"/>
      <c r="I189" s="3250"/>
      <c r="J189" s="3250"/>
      <c r="K189" s="3250"/>
      <c r="L189" s="3250"/>
      <c r="M189" s="3250"/>
      <c r="N189" s="3250"/>
      <c r="O189" s="3250"/>
      <c r="P189" s="3250"/>
      <c r="Q189" s="3250"/>
      <c r="R189" s="3250"/>
      <c r="S189" s="3250"/>
      <c r="T189" s="3250"/>
      <c r="U189" s="3250"/>
      <c r="V189" s="3250"/>
      <c r="W189" s="3250"/>
      <c r="X189" s="3250"/>
      <c r="Y189" s="3250"/>
      <c r="Z189" s="3250"/>
      <c r="AA189" s="3250"/>
      <c r="AB189" s="3250"/>
      <c r="AC189" s="3250"/>
      <c r="AD189" s="3250"/>
      <c r="AE189" s="3250"/>
      <c r="AF189" s="3250"/>
      <c r="AG189" s="3250"/>
      <c r="AH189" s="3250"/>
      <c r="AI189" s="3250"/>
      <c r="AJ189" s="3250"/>
      <c r="AK189" s="3250"/>
      <c r="AL189" s="3250"/>
      <c r="AM189" s="3250"/>
      <c r="AN189" s="3250"/>
      <c r="AO189" s="3250"/>
      <c r="AP189" s="3250"/>
      <c r="AQ189" s="3250"/>
      <c r="AR189" s="3250"/>
      <c r="AS189" s="3250"/>
      <c r="AT189" s="3250"/>
      <c r="AU189" s="3250"/>
      <c r="AV189" s="3250"/>
      <c r="AW189" s="3250"/>
      <c r="AX189" s="3220"/>
      <c r="AY189" s="3767">
        <f t="shared" ca="1" si="41"/>
        <v>1.8587303279999996</v>
      </c>
      <c r="AZ189" s="3644">
        <f t="shared" ca="1" si="41"/>
        <v>1.8254237392525674</v>
      </c>
      <c r="BA189" s="3644">
        <f t="shared" ca="1" si="41"/>
        <v>1.9740188412391277</v>
      </c>
      <c r="BB189" s="3644">
        <f t="shared" ca="1" si="41"/>
        <v>2.1347100411670006</v>
      </c>
      <c r="BC189" s="3644">
        <f t="shared" ca="1" si="41"/>
        <v>2.3084819985804761</v>
      </c>
      <c r="BD189" s="3644">
        <f t="shared" ca="1" si="41"/>
        <v>2.4963995273366537</v>
      </c>
      <c r="BE189" s="3644">
        <f t="shared" ca="1" si="41"/>
        <v>2.6996141204128228</v>
      </c>
      <c r="BF189" s="3644">
        <f t="shared" ca="1" si="41"/>
        <v>2.9193710058532174</v>
      </c>
      <c r="BG189" s="3644">
        <f t="shared" ca="1" si="41"/>
        <v>3.1570167770915103</v>
      </c>
      <c r="BH189" s="3211"/>
      <c r="BJ189" s="3213"/>
      <c r="BK189" s="3210"/>
      <c r="BL189" s="3208"/>
      <c r="BM189" s="3208"/>
      <c r="BN189" s="3768"/>
      <c r="BO189" s="3251"/>
      <c r="BP189" s="3250"/>
      <c r="BQ189" s="3250"/>
      <c r="BR189" s="3250"/>
      <c r="BS189" s="3250"/>
      <c r="BT189" s="3250"/>
      <c r="BU189" s="3250"/>
    </row>
    <row r="190" spans="1:82" s="927" customFormat="1">
      <c r="A190" s="1309"/>
      <c r="B190" s="3215"/>
      <c r="C190" s="3210" t="s">
        <v>458</v>
      </c>
      <c r="D190" s="3208" t="s">
        <v>413</v>
      </c>
      <c r="E190" s="3208"/>
      <c r="F190" s="3768">
        <v>0</v>
      </c>
      <c r="G190" s="3251"/>
      <c r="H190" s="3250"/>
      <c r="I190" s="3250"/>
      <c r="J190" s="3250"/>
      <c r="K190" s="3250"/>
      <c r="L190" s="3250"/>
      <c r="M190" s="3250"/>
      <c r="N190" s="3250"/>
      <c r="O190" s="3250"/>
      <c r="P190" s="3250"/>
      <c r="Q190" s="3250"/>
      <c r="R190" s="3250"/>
      <c r="S190" s="3250"/>
      <c r="T190" s="3250"/>
      <c r="U190" s="3250"/>
      <c r="V190" s="3250"/>
      <c r="W190" s="3250"/>
      <c r="X190" s="3250"/>
      <c r="Y190" s="3250"/>
      <c r="Z190" s="3250"/>
      <c r="AA190" s="3250"/>
      <c r="AB190" s="3250"/>
      <c r="AC190" s="3250"/>
      <c r="AD190" s="3250"/>
      <c r="AE190" s="3250"/>
      <c r="AF190" s="3250"/>
      <c r="AG190" s="3250"/>
      <c r="AH190" s="3250"/>
      <c r="AI190" s="3250"/>
      <c r="AJ190" s="3250"/>
      <c r="AK190" s="3250"/>
      <c r="AL190" s="3250"/>
      <c r="AM190" s="3250"/>
      <c r="AN190" s="3250"/>
      <c r="AO190" s="3250"/>
      <c r="AP190" s="3250"/>
      <c r="AQ190" s="3250"/>
      <c r="AR190" s="3250"/>
      <c r="AS190" s="3250"/>
      <c r="AT190" s="3250"/>
      <c r="AU190" s="3250"/>
      <c r="AV190" s="3250"/>
      <c r="AW190" s="3250"/>
      <c r="AX190" s="3220"/>
      <c r="AY190" s="3767">
        <f t="shared" ca="1" si="41"/>
        <v>-0.54367917626535778</v>
      </c>
      <c r="AZ190" s="3644">
        <f t="shared" ca="1" si="41"/>
        <v>-1.6645650140674992</v>
      </c>
      <c r="BA190" s="3644">
        <f t="shared" ca="1" si="41"/>
        <v>-5.4199703136642308</v>
      </c>
      <c r="BB190" s="3644">
        <f t="shared" ca="1" si="41"/>
        <v>-4.9382369659295682</v>
      </c>
      <c r="BC190" s="3644">
        <f t="shared" ca="1" si="41"/>
        <v>-4.8924123414787193</v>
      </c>
      <c r="BD190" s="3644">
        <f t="shared" ca="1" si="41"/>
        <v>-11.848766840385965</v>
      </c>
      <c r="BE190" s="3644">
        <f t="shared" ca="1" si="41"/>
        <v>-13.709907693984301</v>
      </c>
      <c r="BF190" s="3644">
        <f t="shared" ca="1" si="41"/>
        <v>-14.950110878118315</v>
      </c>
      <c r="BG190" s="3644">
        <f t="shared" ca="1" si="41"/>
        <v>-16.082979359188872</v>
      </c>
      <c r="BH190" s="3221"/>
      <c r="BJ190" s="3215"/>
      <c r="BK190" s="3210"/>
      <c r="BL190" s="3208"/>
      <c r="BM190" s="3208"/>
      <c r="BN190" s="3768"/>
      <c r="BO190" s="3251"/>
      <c r="BP190" s="3250"/>
      <c r="BQ190" s="3250"/>
      <c r="BR190" s="3250"/>
      <c r="BS190" s="3250"/>
      <c r="BT190" s="3250"/>
      <c r="BU190" s="3250"/>
    </row>
    <row r="191" spans="1:82">
      <c r="A191" s="39"/>
      <c r="B191" s="3213"/>
      <c r="C191" s="3210" t="s">
        <v>459</v>
      </c>
      <c r="D191" s="3208" t="s">
        <v>414</v>
      </c>
      <c r="E191" s="3208"/>
      <c r="F191" s="3768">
        <v>0</v>
      </c>
      <c r="G191" s="3251"/>
      <c r="H191" s="3250"/>
      <c r="I191" s="3250"/>
      <c r="J191" s="3250"/>
      <c r="K191" s="3250"/>
      <c r="L191" s="3250"/>
      <c r="M191" s="3250"/>
      <c r="N191" s="3250"/>
      <c r="O191" s="3250"/>
      <c r="P191" s="3250"/>
      <c r="Q191" s="3250"/>
      <c r="R191" s="3250"/>
      <c r="S191" s="3250"/>
      <c r="T191" s="3250"/>
      <c r="U191" s="3250"/>
      <c r="V191" s="3250"/>
      <c r="W191" s="3250"/>
      <c r="X191" s="3250"/>
      <c r="Y191" s="3250"/>
      <c r="Z191" s="3250"/>
      <c r="AA191" s="3250"/>
      <c r="AB191" s="3250"/>
      <c r="AC191" s="3250"/>
      <c r="AD191" s="3250"/>
      <c r="AE191" s="3250"/>
      <c r="AF191" s="3250"/>
      <c r="AG191" s="3250"/>
      <c r="AH191" s="3250"/>
      <c r="AI191" s="3250"/>
      <c r="AJ191" s="3250"/>
      <c r="AK191" s="3250"/>
      <c r="AL191" s="3250"/>
      <c r="AM191" s="3250"/>
      <c r="AN191" s="3250"/>
      <c r="AO191" s="3250"/>
      <c r="AP191" s="3250"/>
      <c r="AQ191" s="3250"/>
      <c r="AR191" s="3250"/>
      <c r="AS191" s="3250"/>
      <c r="AT191" s="3250"/>
      <c r="AU191" s="3250"/>
      <c r="AV191" s="3250"/>
      <c r="AW191" s="3250"/>
      <c r="AX191" s="3220"/>
      <c r="AY191" s="3767">
        <f t="shared" ca="1" si="41"/>
        <v>0</v>
      </c>
      <c r="AZ191" s="3644">
        <f t="shared" ca="1" si="41"/>
        <v>0</v>
      </c>
      <c r="BA191" s="3644">
        <f t="shared" ca="1" si="41"/>
        <v>0</v>
      </c>
      <c r="BB191" s="3644">
        <f t="shared" ca="1" si="41"/>
        <v>0</v>
      </c>
      <c r="BC191" s="3644">
        <f t="shared" ca="1" si="41"/>
        <v>0</v>
      </c>
      <c r="BD191" s="3644">
        <f t="shared" ca="1" si="41"/>
        <v>-1.1071438064419354</v>
      </c>
      <c r="BE191" s="3644">
        <f t="shared" ca="1" si="41"/>
        <v>-3.2687102856857142</v>
      </c>
      <c r="BF191" s="3644">
        <f t="shared" ca="1" si="41"/>
        <v>-5.3627278124531248</v>
      </c>
      <c r="BG191" s="3644">
        <f t="shared" ca="1" si="41"/>
        <v>-7.3923140307046147</v>
      </c>
      <c r="BH191" s="3211"/>
      <c r="BJ191" s="3213"/>
      <c r="BK191" s="3210"/>
      <c r="BL191" s="3208"/>
      <c r="BM191" s="3208"/>
      <c r="BN191" s="3768"/>
      <c r="BO191" s="3251"/>
      <c r="BP191" s="3250"/>
      <c r="BQ191" s="3250"/>
      <c r="BR191" s="3250"/>
      <c r="BS191" s="3250"/>
      <c r="BT191" s="3250"/>
      <c r="BU191" s="3250"/>
    </row>
    <row r="192" spans="1:82">
      <c r="A192" s="39"/>
      <c r="B192" s="3213"/>
      <c r="C192" s="3208"/>
      <c r="D192" s="3208" t="s">
        <v>59</v>
      </c>
      <c r="E192" s="3208"/>
      <c r="F192" s="3768">
        <f>SUM(F182:F189)</f>
        <v>57.55</v>
      </c>
      <c r="G192" s="3253"/>
      <c r="H192" s="3254"/>
      <c r="I192" s="3254"/>
      <c r="J192" s="3254"/>
      <c r="K192" s="3254"/>
      <c r="L192" s="3254"/>
      <c r="M192" s="3254"/>
      <c r="N192" s="3254"/>
      <c r="O192" s="3254"/>
      <c r="P192" s="3254"/>
      <c r="Q192" s="3254"/>
      <c r="R192" s="3254"/>
      <c r="S192" s="3254"/>
      <c r="T192" s="3254"/>
      <c r="U192" s="3254"/>
      <c r="V192" s="3254"/>
      <c r="W192" s="3254"/>
      <c r="X192" s="3254"/>
      <c r="Y192" s="3254"/>
      <c r="Z192" s="3254"/>
      <c r="AA192" s="3254"/>
      <c r="AB192" s="3254"/>
      <c r="AC192" s="3254"/>
      <c r="AD192" s="3254"/>
      <c r="AE192" s="3254"/>
      <c r="AF192" s="3254"/>
      <c r="AG192" s="3254"/>
      <c r="AH192" s="3254"/>
      <c r="AI192" s="3254"/>
      <c r="AJ192" s="3254"/>
      <c r="AK192" s="3254"/>
      <c r="AL192" s="3254"/>
      <c r="AM192" s="3254"/>
      <c r="AN192" s="3254"/>
      <c r="AO192" s="3254"/>
      <c r="AP192" s="3254"/>
      <c r="AQ192" s="3254"/>
      <c r="AR192" s="3254"/>
      <c r="AS192" s="3254"/>
      <c r="AT192" s="3254"/>
      <c r="AU192" s="3254"/>
      <c r="AV192" s="3254"/>
      <c r="AW192" s="3254"/>
      <c r="AX192" s="3220"/>
      <c r="AY192" s="3768">
        <f ca="1">SUM(AY182:AY191)</f>
        <v>55.59324964935675</v>
      </c>
      <c r="AZ192" s="3253">
        <f ca="1">SUM(AZ182:AZ191)</f>
        <v>53.988426226518492</v>
      </c>
      <c r="BA192" s="3253">
        <f t="shared" ref="BA192:BG192" ca="1" si="42">SUM(BA182:BA191)</f>
        <v>46.358954394383815</v>
      </c>
      <c r="BB192" s="3253">
        <f t="shared" ca="1" si="42"/>
        <v>42.290344442376444</v>
      </c>
      <c r="BC192" s="3253">
        <f t="shared" ca="1" si="42"/>
        <v>37.922821254629184</v>
      </c>
      <c r="BD192" s="3253">
        <f t="shared" ca="1" si="42"/>
        <v>36.729936104374772</v>
      </c>
      <c r="BE192" s="3253">
        <f t="shared" ca="1" si="42"/>
        <v>34.681503121735958</v>
      </c>
      <c r="BF192" s="3253">
        <f t="shared" ca="1" si="42"/>
        <v>32.688776022794492</v>
      </c>
      <c r="BG192" s="3253">
        <f t="shared" ca="1" si="42"/>
        <v>31.371521775595465</v>
      </c>
      <c r="BH192" s="3211"/>
      <c r="BJ192" s="3213"/>
      <c r="BK192" s="3208"/>
      <c r="BL192" s="3208"/>
      <c r="BM192" s="3208"/>
      <c r="BN192" s="3768"/>
      <c r="BO192" s="3253"/>
      <c r="BP192" s="3254"/>
      <c r="BQ192" s="3254"/>
      <c r="BR192" s="3254"/>
      <c r="BS192" s="3254"/>
      <c r="BT192" s="3254"/>
      <c r="BU192" s="3254"/>
    </row>
    <row r="193" spans="1:73">
      <c r="A193" s="39"/>
      <c r="B193" s="3213"/>
      <c r="C193" s="3208"/>
      <c r="D193" s="3208"/>
      <c r="E193" s="3208"/>
      <c r="F193" s="3220"/>
      <c r="G193" s="3220"/>
      <c r="H193" s="3252"/>
      <c r="I193" s="3252"/>
      <c r="J193" s="3252"/>
      <c r="K193" s="3252"/>
      <c r="L193" s="3252"/>
      <c r="M193" s="3252"/>
      <c r="N193" s="3252"/>
      <c r="O193" s="3252"/>
      <c r="P193" s="3252"/>
      <c r="Q193" s="3252"/>
      <c r="R193" s="3252"/>
      <c r="S193" s="3252"/>
      <c r="T193" s="3252"/>
      <c r="U193" s="3252"/>
      <c r="V193" s="3252"/>
      <c r="W193" s="3252"/>
      <c r="X193" s="3252"/>
      <c r="Y193" s="3252"/>
      <c r="Z193" s="3252"/>
      <c r="AA193" s="3252"/>
      <c r="AB193" s="3252"/>
      <c r="AC193" s="3252"/>
      <c r="AD193" s="3252"/>
      <c r="AE193" s="3252"/>
      <c r="AF193" s="3252"/>
      <c r="AG193" s="3252"/>
      <c r="AH193" s="3252"/>
      <c r="AI193" s="3252"/>
      <c r="AJ193" s="3252"/>
      <c r="AK193" s="3252"/>
      <c r="AL193" s="3252"/>
      <c r="AM193" s="3252"/>
      <c r="AN193" s="3252"/>
      <c r="AO193" s="3252"/>
      <c r="AP193" s="3252"/>
      <c r="AQ193" s="3252"/>
      <c r="AR193" s="3252"/>
      <c r="AS193" s="3252"/>
      <c r="AT193" s="3252"/>
      <c r="AU193" s="3252"/>
      <c r="AV193" s="3252"/>
      <c r="AW193" s="3252"/>
      <c r="AX193" s="3220"/>
      <c r="AY193" s="3220"/>
      <c r="AZ193" s="3220"/>
      <c r="BA193" s="3220"/>
      <c r="BB193" s="3220"/>
      <c r="BC193" s="3220"/>
      <c r="BD193" s="3220"/>
      <c r="BE193" s="3220"/>
      <c r="BF193" s="3220"/>
      <c r="BG193" s="3220"/>
      <c r="BH193" s="3211"/>
      <c r="BJ193" s="3213"/>
      <c r="BK193" s="3208"/>
      <c r="BL193" s="3208"/>
      <c r="BM193" s="3208"/>
      <c r="BN193" s="3220"/>
      <c r="BO193" s="3220"/>
      <c r="BP193" s="3252"/>
      <c r="BQ193" s="3252"/>
      <c r="BR193" s="3252"/>
      <c r="BS193" s="3252"/>
      <c r="BT193" s="3252"/>
      <c r="BU193" s="3252"/>
    </row>
    <row r="194" spans="1:73" s="414" customFormat="1">
      <c r="A194" s="3562"/>
      <c r="B194" s="3228"/>
      <c r="C194" s="3229" t="s">
        <v>2855</v>
      </c>
      <c r="D194" s="3229"/>
      <c r="E194" s="3229"/>
      <c r="F194" s="3921">
        <f>F192-F189</f>
        <v>55.39</v>
      </c>
      <c r="G194" s="3921"/>
      <c r="H194" s="3922"/>
      <c r="I194" s="3922"/>
      <c r="J194" s="3922"/>
      <c r="K194" s="3922"/>
      <c r="L194" s="3922"/>
      <c r="M194" s="3922"/>
      <c r="N194" s="3922"/>
      <c r="O194" s="3922"/>
      <c r="P194" s="3922"/>
      <c r="Q194" s="3922"/>
      <c r="R194" s="3922"/>
      <c r="S194" s="3922"/>
      <c r="T194" s="3922"/>
      <c r="U194" s="3922"/>
      <c r="V194" s="3922"/>
      <c r="W194" s="3922"/>
      <c r="X194" s="3922"/>
      <c r="Y194" s="3922"/>
      <c r="Z194" s="3922"/>
      <c r="AA194" s="3922"/>
      <c r="AB194" s="3922"/>
      <c r="AC194" s="3922"/>
      <c r="AD194" s="3922"/>
      <c r="AE194" s="3922"/>
      <c r="AF194" s="3922"/>
      <c r="AG194" s="3922"/>
      <c r="AH194" s="3922"/>
      <c r="AI194" s="3922"/>
      <c r="AJ194" s="3922"/>
      <c r="AK194" s="3922"/>
      <c r="AL194" s="3922"/>
      <c r="AM194" s="3922"/>
      <c r="AN194" s="3922"/>
      <c r="AO194" s="3922"/>
      <c r="AP194" s="3922"/>
      <c r="AQ194" s="3922"/>
      <c r="AR194" s="3922"/>
      <c r="AS194" s="3922"/>
      <c r="AT194" s="3922"/>
      <c r="AU194" s="3922"/>
      <c r="AV194" s="3922"/>
      <c r="AW194" s="3922"/>
      <c r="AX194" s="3923"/>
      <c r="AY194" s="3921">
        <f t="shared" ref="AY194:BG194" ca="1" si="43">AY192-AY189</f>
        <v>53.73451932135675</v>
      </c>
      <c r="AZ194" s="3255">
        <f t="shared" ca="1" si="43"/>
        <v>52.163002487265928</v>
      </c>
      <c r="BA194" s="3255">
        <f t="shared" ca="1" si="43"/>
        <v>44.384935553144686</v>
      </c>
      <c r="BB194" s="3255">
        <f t="shared" ca="1" si="43"/>
        <v>40.15563440120944</v>
      </c>
      <c r="BC194" s="3255">
        <f t="shared" ca="1" si="43"/>
        <v>35.614339256048709</v>
      </c>
      <c r="BD194" s="3255">
        <f t="shared" ca="1" si="43"/>
        <v>34.233536577038116</v>
      </c>
      <c r="BE194" s="3255">
        <f t="shared" ca="1" si="43"/>
        <v>31.981889001323136</v>
      </c>
      <c r="BF194" s="3255">
        <f t="shared" ca="1" si="43"/>
        <v>29.769405016941274</v>
      </c>
      <c r="BG194" s="3255">
        <f t="shared" ca="1" si="43"/>
        <v>28.214504998503955</v>
      </c>
      <c r="BH194" s="3211"/>
      <c r="BJ194" s="3228"/>
      <c r="BK194" s="3229"/>
      <c r="BL194" s="3229"/>
      <c r="BM194" s="3229"/>
      <c r="BN194" s="3921"/>
      <c r="BO194" s="3921"/>
      <c r="BP194" s="3922"/>
      <c r="BQ194" s="3922"/>
      <c r="BR194" s="3922"/>
      <c r="BS194" s="3922"/>
      <c r="BT194" s="3922"/>
      <c r="BU194" s="3922"/>
    </row>
    <row r="195" spans="1:73" s="414" customFormat="1" ht="12.75">
      <c r="A195" s="3562"/>
      <c r="B195" s="3228"/>
      <c r="C195" s="3229"/>
      <c r="D195" s="3229"/>
      <c r="E195" s="3229"/>
      <c r="F195" s="3255"/>
      <c r="G195" s="3255"/>
      <c r="H195" s="3256"/>
      <c r="I195" s="3256"/>
      <c r="J195" s="3256"/>
      <c r="K195" s="3256"/>
      <c r="L195" s="3256"/>
      <c r="M195" s="3256"/>
      <c r="N195" s="3256"/>
      <c r="O195" s="3256"/>
      <c r="P195" s="3256"/>
      <c r="Q195" s="3256"/>
      <c r="R195" s="3256"/>
      <c r="S195" s="3256"/>
      <c r="T195" s="3256"/>
      <c r="U195" s="3256"/>
      <c r="V195" s="3256"/>
      <c r="W195" s="3256"/>
      <c r="X195" s="3256"/>
      <c r="Y195" s="3256"/>
      <c r="Z195" s="3256"/>
      <c r="AA195" s="3256"/>
      <c r="AB195" s="3256"/>
      <c r="AC195" s="3256"/>
      <c r="AD195" s="3256"/>
      <c r="AE195" s="3256"/>
      <c r="AF195" s="3256"/>
      <c r="AG195" s="3256"/>
      <c r="AH195" s="3256"/>
      <c r="AI195" s="3256"/>
      <c r="AJ195" s="3256"/>
      <c r="AK195" s="3256"/>
      <c r="AL195" s="3256"/>
      <c r="AM195" s="3256"/>
      <c r="AN195" s="3256"/>
      <c r="AO195" s="3256"/>
      <c r="AP195" s="3256"/>
      <c r="AQ195" s="3256"/>
      <c r="AR195" s="3256"/>
      <c r="AS195" s="3256"/>
      <c r="AT195" s="3256"/>
      <c r="AU195" s="3256"/>
      <c r="AV195" s="3256"/>
      <c r="AW195" s="3256"/>
      <c r="AX195" s="3257"/>
      <c r="AY195" s="3255"/>
      <c r="AZ195" s="3255"/>
      <c r="BA195" s="3255"/>
      <c r="BB195" s="3255"/>
      <c r="BC195" s="3255"/>
      <c r="BD195" s="3255"/>
      <c r="BE195" s="3255"/>
      <c r="BF195" s="3255"/>
      <c r="BG195" s="3255"/>
      <c r="BH195" s="3232"/>
      <c r="BJ195" s="3228"/>
      <c r="BK195" s="3229"/>
      <c r="BL195" s="3229"/>
      <c r="BM195" s="3229"/>
      <c r="BN195" s="3255"/>
      <c r="BO195" s="3255"/>
      <c r="BP195" s="3256"/>
      <c r="BQ195" s="3256"/>
      <c r="BR195" s="3256"/>
      <c r="BS195" s="3256"/>
      <c r="BT195" s="3256"/>
      <c r="BU195" s="3256"/>
    </row>
    <row r="196" spans="1:73" s="414" customFormat="1" ht="12.75">
      <c r="A196" s="3562"/>
      <c r="B196" s="3228"/>
      <c r="C196" s="3258"/>
      <c r="D196" s="3229"/>
      <c r="E196" s="3229"/>
      <c r="F196" s="3255"/>
      <c r="G196" s="3255"/>
      <c r="H196" s="3256"/>
      <c r="I196" s="3256"/>
      <c r="J196" s="3256"/>
      <c r="K196" s="3256"/>
      <c r="L196" s="3256"/>
      <c r="M196" s="3256"/>
      <c r="N196" s="3256"/>
      <c r="O196" s="3256"/>
      <c r="P196" s="3256"/>
      <c r="Q196" s="3256"/>
      <c r="R196" s="3256"/>
      <c r="S196" s="3256"/>
      <c r="T196" s="3256"/>
      <c r="U196" s="3256"/>
      <c r="V196" s="3256"/>
      <c r="W196" s="3256"/>
      <c r="X196" s="3256"/>
      <c r="Y196" s="3256"/>
      <c r="Z196" s="3256"/>
      <c r="AA196" s="3256"/>
      <c r="AB196" s="3256"/>
      <c r="AC196" s="3256"/>
      <c r="AD196" s="3256"/>
      <c r="AE196" s="3256"/>
      <c r="AF196" s="3256"/>
      <c r="AG196" s="3256"/>
      <c r="AH196" s="3256"/>
      <c r="AI196" s="3256"/>
      <c r="AJ196" s="3256"/>
      <c r="AK196" s="3256"/>
      <c r="AL196" s="3256"/>
      <c r="AM196" s="3256"/>
      <c r="AN196" s="3256"/>
      <c r="AO196" s="3256"/>
      <c r="AP196" s="3256"/>
      <c r="AQ196" s="3256"/>
      <c r="AR196" s="3256"/>
      <c r="AS196" s="3256"/>
      <c r="AT196" s="3256"/>
      <c r="AU196" s="3256"/>
      <c r="AV196" s="3256"/>
      <c r="AW196" s="3256"/>
      <c r="AX196" s="3257"/>
      <c r="AY196" s="3255"/>
      <c r="AZ196" s="3255"/>
      <c r="BA196" s="3255"/>
      <c r="BB196" s="3255"/>
      <c r="BC196" s="3255"/>
      <c r="BD196" s="3255"/>
      <c r="BE196" s="3255"/>
      <c r="BF196" s="3255"/>
      <c r="BG196" s="3255"/>
      <c r="BH196" s="3232"/>
      <c r="BJ196" s="3228"/>
      <c r="BK196" s="3258"/>
      <c r="BL196" s="3229"/>
      <c r="BM196" s="3229"/>
      <c r="BN196" s="3255"/>
      <c r="BO196" s="3255"/>
      <c r="BP196" s="3256"/>
      <c r="BQ196" s="3256"/>
      <c r="BR196" s="3256"/>
      <c r="BS196" s="3256"/>
      <c r="BT196" s="3256"/>
      <c r="BU196" s="3256"/>
    </row>
    <row r="197" spans="1:73">
      <c r="A197" s="39"/>
      <c r="B197" s="3213"/>
      <c r="C197" s="3208" t="s">
        <v>2552</v>
      </c>
      <c r="D197" s="3208"/>
      <c r="E197" s="3208"/>
      <c r="F197" s="3208"/>
      <c r="G197" s="3208"/>
      <c r="H197" s="3209"/>
      <c r="I197" s="3209"/>
      <c r="J197" s="3209"/>
      <c r="K197" s="3209"/>
      <c r="L197" s="3209"/>
      <c r="M197" s="3209"/>
      <c r="N197" s="3209"/>
      <c r="O197" s="3209"/>
      <c r="P197" s="3209"/>
      <c r="Q197" s="3209"/>
      <c r="R197" s="3209"/>
      <c r="S197" s="3209"/>
      <c r="T197" s="3209"/>
      <c r="U197" s="3209"/>
      <c r="V197" s="3209"/>
      <c r="W197" s="3209"/>
      <c r="X197" s="3209"/>
      <c r="Y197" s="3209"/>
      <c r="Z197" s="3209"/>
      <c r="AA197" s="3209"/>
      <c r="AB197" s="3209"/>
      <c r="AC197" s="3209"/>
      <c r="AD197" s="3209"/>
      <c r="AE197" s="3209"/>
      <c r="AF197" s="3209"/>
      <c r="AG197" s="3209"/>
      <c r="AH197" s="3209"/>
      <c r="AI197" s="3209"/>
      <c r="AJ197" s="3209"/>
      <c r="AK197" s="3209"/>
      <c r="AL197" s="3209"/>
      <c r="AM197" s="3209"/>
      <c r="AN197" s="3209"/>
      <c r="AO197" s="3209"/>
      <c r="AP197" s="3209"/>
      <c r="AQ197" s="3209"/>
      <c r="AR197" s="3209"/>
      <c r="AS197" s="3209"/>
      <c r="AT197" s="3209"/>
      <c r="AU197" s="3209"/>
      <c r="AV197" s="3209"/>
      <c r="AW197" s="3209"/>
      <c r="AX197" s="3208"/>
      <c r="AY197" s="3208"/>
      <c r="AZ197" s="3208"/>
      <c r="BA197" s="3208"/>
      <c r="BB197" s="3208"/>
      <c r="BC197" s="3208"/>
      <c r="BD197" s="3208"/>
      <c r="BE197" s="3208"/>
      <c r="BF197" s="3208"/>
      <c r="BG197" s="3208"/>
      <c r="BH197" s="3208"/>
      <c r="BJ197" s="3213"/>
      <c r="BK197" s="3208"/>
      <c r="BL197" s="3208"/>
      <c r="BM197" s="3208"/>
      <c r="BN197" s="3208"/>
      <c r="BO197" s="3208"/>
      <c r="BP197" s="3209"/>
      <c r="BQ197" s="3209"/>
      <c r="BR197" s="3209"/>
      <c r="BS197" s="3209"/>
      <c r="BT197" s="3209"/>
      <c r="BU197" s="3209"/>
    </row>
    <row r="198" spans="1:73">
      <c r="A198" s="39"/>
      <c r="B198" s="3213"/>
      <c r="C198" s="3208" t="s">
        <v>2553</v>
      </c>
      <c r="D198" s="3208"/>
      <c r="E198" s="3208"/>
      <c r="F198" s="3208"/>
      <c r="G198" s="3208"/>
      <c r="H198" s="3209"/>
      <c r="I198" s="3209"/>
      <c r="J198" s="3209"/>
      <c r="K198" s="3209"/>
      <c r="L198" s="3209"/>
      <c r="M198" s="3209"/>
      <c r="N198" s="3209"/>
      <c r="O198" s="3209"/>
      <c r="P198" s="3209"/>
      <c r="Q198" s="3209"/>
      <c r="R198" s="3209"/>
      <c r="S198" s="3209"/>
      <c r="T198" s="3209"/>
      <c r="U198" s="3209"/>
      <c r="V198" s="3209"/>
      <c r="W198" s="3209"/>
      <c r="X198" s="3209"/>
      <c r="Y198" s="3209"/>
      <c r="Z198" s="3209"/>
      <c r="AA198" s="3209"/>
      <c r="AB198" s="3209"/>
      <c r="AC198" s="3209"/>
      <c r="AD198" s="3209"/>
      <c r="AE198" s="3209"/>
      <c r="AF198" s="3209"/>
      <c r="AG198" s="3209"/>
      <c r="AH198" s="3209"/>
      <c r="AI198" s="3209"/>
      <c r="AJ198" s="3209"/>
      <c r="AK198" s="3209"/>
      <c r="AL198" s="3209"/>
      <c r="AM198" s="3209"/>
      <c r="AN198" s="3209"/>
      <c r="AO198" s="3209"/>
      <c r="AP198" s="3209"/>
      <c r="AQ198" s="3209"/>
      <c r="AR198" s="3209"/>
      <c r="AS198" s="3209"/>
      <c r="AT198" s="3209"/>
      <c r="AU198" s="3209"/>
      <c r="AV198" s="3209"/>
      <c r="AW198" s="3209"/>
      <c r="AX198" s="3208"/>
      <c r="AY198" s="3220"/>
      <c r="AZ198" s="3208"/>
      <c r="BA198" s="3208"/>
      <c r="BB198" s="3208"/>
      <c r="BC198" s="3220"/>
      <c r="BD198" s="3208"/>
      <c r="BE198" s="3208"/>
      <c r="BF198" s="3208"/>
      <c r="BG198" s="3208"/>
      <c r="BH198" s="3259"/>
      <c r="BJ198" s="3213"/>
      <c r="BK198" s="3208"/>
      <c r="BL198" s="3208"/>
      <c r="BM198" s="3208"/>
      <c r="BN198" s="3208"/>
      <c r="BO198" s="3208"/>
      <c r="BP198" s="3209"/>
      <c r="BQ198" s="3209"/>
      <c r="BR198" s="3209"/>
      <c r="BS198" s="3209"/>
      <c r="BT198" s="3209"/>
      <c r="BU198" s="3209"/>
    </row>
    <row r="199" spans="1:73">
      <c r="A199" s="39"/>
      <c r="B199" s="3213"/>
      <c r="C199" s="3208"/>
      <c r="D199" s="3208"/>
      <c r="E199" s="3208"/>
      <c r="F199" s="3208"/>
      <c r="G199" s="3208"/>
      <c r="H199" s="3209"/>
      <c r="I199" s="3209"/>
      <c r="J199" s="3209"/>
      <c r="K199" s="3209"/>
      <c r="L199" s="3209"/>
      <c r="M199" s="3209"/>
      <c r="N199" s="3209"/>
      <c r="O199" s="3209"/>
      <c r="P199" s="3209"/>
      <c r="Q199" s="3209"/>
      <c r="R199" s="3209"/>
      <c r="S199" s="3209"/>
      <c r="T199" s="3209"/>
      <c r="U199" s="3209"/>
      <c r="V199" s="3209"/>
      <c r="W199" s="3209"/>
      <c r="X199" s="3209"/>
      <c r="Y199" s="3209"/>
      <c r="Z199" s="3209"/>
      <c r="AA199" s="3209"/>
      <c r="AB199" s="3209"/>
      <c r="AC199" s="3209"/>
      <c r="AD199" s="3209"/>
      <c r="AE199" s="3209"/>
      <c r="AF199" s="3209"/>
      <c r="AG199" s="3209"/>
      <c r="AH199" s="3209"/>
      <c r="AI199" s="3209"/>
      <c r="AJ199" s="3209"/>
      <c r="AK199" s="3209"/>
      <c r="AL199" s="3209"/>
      <c r="AM199" s="3209"/>
      <c r="AN199" s="3209"/>
      <c r="AO199" s="3209"/>
      <c r="AP199" s="3209"/>
      <c r="AQ199" s="3209"/>
      <c r="AR199" s="3209"/>
      <c r="AS199" s="3209"/>
      <c r="AT199" s="3209"/>
      <c r="AU199" s="3209"/>
      <c r="AV199" s="3209"/>
      <c r="AW199" s="3209"/>
      <c r="AX199" s="3208"/>
      <c r="AY199" s="3208"/>
      <c r="AZ199" s="3208"/>
      <c r="BA199" s="3208"/>
      <c r="BB199" s="3208"/>
      <c r="BC199" s="3208"/>
      <c r="BD199" s="3208"/>
      <c r="BE199" s="3208"/>
      <c r="BF199" s="3208"/>
      <c r="BG199" s="3208"/>
      <c r="BH199" s="3211"/>
      <c r="BJ199" s="3213"/>
      <c r="BK199" s="3208"/>
      <c r="BL199" s="3208"/>
      <c r="BM199" s="3208"/>
      <c r="BN199" s="3208"/>
      <c r="BO199" s="3208"/>
      <c r="BP199" s="3209"/>
      <c r="BQ199" s="3209"/>
      <c r="BR199" s="3209"/>
      <c r="BS199" s="3209"/>
      <c r="BT199" s="3209"/>
      <c r="BU199" s="3209"/>
    </row>
    <row r="200" spans="1:73">
      <c r="A200" s="39"/>
      <c r="B200" s="3213"/>
      <c r="C200" s="4119" t="s">
        <v>3469</v>
      </c>
      <c r="D200" s="3208"/>
      <c r="E200" s="3208"/>
      <c r="F200" s="3208"/>
      <c r="G200" s="3208"/>
      <c r="H200" s="3209"/>
      <c r="I200" s="3209"/>
      <c r="J200" s="3209"/>
      <c r="K200" s="3209"/>
      <c r="L200" s="3209"/>
      <c r="M200" s="3209"/>
      <c r="N200" s="3209"/>
      <c r="O200" s="3209"/>
      <c r="P200" s="3209"/>
      <c r="Q200" s="3209"/>
      <c r="R200" s="3209"/>
      <c r="S200" s="3209"/>
      <c r="T200" s="3209"/>
      <c r="U200" s="3209"/>
      <c r="V200" s="3209"/>
      <c r="W200" s="3209"/>
      <c r="X200" s="3209"/>
      <c r="Y200" s="3209"/>
      <c r="Z200" s="3209"/>
      <c r="AA200" s="3209"/>
      <c r="AB200" s="3209"/>
      <c r="AC200" s="3209"/>
      <c r="AD200" s="3209"/>
      <c r="AE200" s="3209"/>
      <c r="AF200" s="3209"/>
      <c r="AG200" s="3209"/>
      <c r="AH200" s="3209"/>
      <c r="AI200" s="3209"/>
      <c r="AJ200" s="3209"/>
      <c r="AK200" s="3209"/>
      <c r="AL200" s="3209"/>
      <c r="AM200" s="3209"/>
      <c r="AN200" s="3209"/>
      <c r="AO200" s="3209"/>
      <c r="AP200" s="3209"/>
      <c r="AQ200" s="3209"/>
      <c r="AR200" s="3209"/>
      <c r="AS200" s="3209"/>
      <c r="AT200" s="3209"/>
      <c r="AU200" s="3209"/>
      <c r="AV200" s="3209"/>
      <c r="AW200" s="3209"/>
      <c r="AX200" s="3208"/>
      <c r="AY200" s="3208"/>
      <c r="AZ200" s="3208"/>
      <c r="BA200" s="3208"/>
      <c r="BB200" s="3208"/>
      <c r="BC200" s="3208"/>
      <c r="BD200" s="3208"/>
      <c r="BE200" s="3208"/>
      <c r="BF200" s="3208"/>
      <c r="BG200" s="3208"/>
      <c r="BH200" s="3211"/>
      <c r="BJ200" s="3213"/>
      <c r="BK200" s="3208"/>
      <c r="BL200" s="3208"/>
      <c r="BM200" s="3208"/>
      <c r="BN200" s="3208"/>
      <c r="BO200" s="3208"/>
      <c r="BP200" s="3209"/>
      <c r="BQ200" s="3209"/>
      <c r="BR200" s="3209"/>
      <c r="BS200" s="3209"/>
      <c r="BT200" s="3209"/>
      <c r="BU200" s="3209"/>
    </row>
    <row r="201" spans="1:73" ht="15.75">
      <c r="A201" s="39"/>
      <c r="B201" s="3213"/>
      <c r="C201" s="3212" t="s">
        <v>2554</v>
      </c>
      <c r="D201" s="3208"/>
      <c r="E201" s="3208"/>
      <c r="F201" s="4119" t="s">
        <v>3468</v>
      </c>
      <c r="G201" s="3208"/>
      <c r="H201" s="3209"/>
      <c r="I201" s="3209"/>
      <c r="J201" s="3209"/>
      <c r="K201" s="3209"/>
      <c r="L201" s="3209"/>
      <c r="M201" s="3209"/>
      <c r="N201" s="3209"/>
      <c r="O201" s="3209"/>
      <c r="P201" s="3209"/>
      <c r="Q201" s="3209"/>
      <c r="R201" s="3209"/>
      <c r="S201" s="3209"/>
      <c r="T201" s="3209"/>
      <c r="U201" s="3209"/>
      <c r="V201" s="3209"/>
      <c r="W201" s="3209"/>
      <c r="X201" s="3209"/>
      <c r="Y201" s="3209"/>
      <c r="Z201" s="3209"/>
      <c r="AA201" s="3209"/>
      <c r="AB201" s="3209"/>
      <c r="AC201" s="3209"/>
      <c r="AD201" s="3209"/>
      <c r="AE201" s="3209"/>
      <c r="AF201" s="3209"/>
      <c r="AG201" s="3209"/>
      <c r="AH201" s="3209"/>
      <c r="AI201" s="3209"/>
      <c r="AJ201" s="3209"/>
      <c r="AK201" s="3209"/>
      <c r="AL201" s="3209"/>
      <c r="AM201" s="3209"/>
      <c r="AN201" s="3209"/>
      <c r="AO201" s="3209"/>
      <c r="AP201" s="3209"/>
      <c r="AQ201" s="3209"/>
      <c r="AR201" s="3209"/>
      <c r="AS201" s="3209"/>
      <c r="AT201" s="3209"/>
      <c r="AU201" s="3209"/>
      <c r="AV201" s="3209"/>
      <c r="AW201" s="3209"/>
      <c r="AX201" s="3208"/>
      <c r="AY201" s="3208" t="s">
        <v>2555</v>
      </c>
      <c r="AZ201" s="3208" t="s">
        <v>3466</v>
      </c>
      <c r="BA201" s="3208"/>
      <c r="BB201" s="3208" t="s">
        <v>2555</v>
      </c>
      <c r="BC201" s="3208" t="s">
        <v>2556</v>
      </c>
      <c r="BD201" s="3208"/>
      <c r="BE201" s="3208" t="s">
        <v>2669</v>
      </c>
      <c r="BF201" s="3208"/>
      <c r="BG201" s="3208"/>
      <c r="BH201" s="3211"/>
      <c r="BJ201" s="3213"/>
      <c r="BK201" s="3212"/>
      <c r="BL201" s="3208"/>
      <c r="BM201" s="3208"/>
      <c r="BN201" s="3208"/>
      <c r="BO201" s="3208"/>
      <c r="BP201" s="3209"/>
      <c r="BQ201" s="3209"/>
      <c r="BR201" s="3209"/>
      <c r="BS201" s="3209"/>
      <c r="BT201" s="3209"/>
      <c r="BU201" s="3209"/>
    </row>
    <row r="202" spans="1:73" ht="15.75">
      <c r="A202" s="39"/>
      <c r="B202" s="3207"/>
      <c r="C202" s="3212"/>
      <c r="D202" s="3208"/>
      <c r="E202" s="3208"/>
      <c r="F202" s="3260" t="s">
        <v>2557</v>
      </c>
      <c r="G202" s="3260"/>
      <c r="H202" s="3261"/>
      <c r="I202" s="3261"/>
      <c r="J202" s="3261"/>
      <c r="K202" s="3261"/>
      <c r="L202" s="3261"/>
      <c r="M202" s="3261"/>
      <c r="N202" s="3261"/>
      <c r="O202" s="3261"/>
      <c r="P202" s="3261"/>
      <c r="Q202" s="3261"/>
      <c r="R202" s="3261"/>
      <c r="S202" s="3261"/>
      <c r="T202" s="3261"/>
      <c r="U202" s="3261"/>
      <c r="V202" s="3261"/>
      <c r="W202" s="3261"/>
      <c r="X202" s="3261"/>
      <c r="Y202" s="3261"/>
      <c r="Z202" s="3261"/>
      <c r="AA202" s="3261"/>
      <c r="AB202" s="3261"/>
      <c r="AC202" s="3261"/>
      <c r="AD202" s="3261"/>
      <c r="AE202" s="3261"/>
      <c r="AF202" s="3261"/>
      <c r="AG202" s="3261"/>
      <c r="AH202" s="3261"/>
      <c r="AI202" s="3261"/>
      <c r="AJ202" s="3261"/>
      <c r="AK202" s="3261"/>
      <c r="AL202" s="3261"/>
      <c r="AM202" s="3261"/>
      <c r="AN202" s="3261"/>
      <c r="AO202" s="3261"/>
      <c r="AP202" s="3261"/>
      <c r="AQ202" s="3261"/>
      <c r="AR202" s="3261"/>
      <c r="AS202" s="3261"/>
      <c r="AT202" s="3261"/>
      <c r="AU202" s="3261"/>
      <c r="AV202" s="3261"/>
      <c r="AW202" s="3261"/>
      <c r="AX202" s="3208"/>
      <c r="AY202" s="3262" t="s">
        <v>2558</v>
      </c>
      <c r="AZ202" s="4117" t="s">
        <v>3467</v>
      </c>
      <c r="BA202" s="3208"/>
      <c r="BB202" s="3208" t="s">
        <v>2670</v>
      </c>
      <c r="BC202" s="3208" t="s">
        <v>2670</v>
      </c>
      <c r="BD202" s="3208"/>
      <c r="BE202" s="3208">
        <v>2020</v>
      </c>
      <c r="BF202" s="3208">
        <v>2030</v>
      </c>
      <c r="BG202" s="3208">
        <v>2050</v>
      </c>
      <c r="BH202" s="3211"/>
      <c r="BJ202" s="3207"/>
      <c r="BK202" s="3212"/>
      <c r="BL202" s="3208"/>
      <c r="BM202" s="3208"/>
      <c r="BN202" s="3260"/>
      <c r="BO202" s="3260"/>
      <c r="BP202" s="3261"/>
      <c r="BQ202" s="3261"/>
      <c r="BR202" s="3261"/>
      <c r="BS202" s="3261"/>
      <c r="BT202" s="3261"/>
      <c r="BU202" s="3261"/>
    </row>
    <row r="203" spans="1:73" s="363" customFormat="1">
      <c r="A203" s="408"/>
      <c r="B203" s="3263"/>
      <c r="C203" s="3214"/>
      <c r="D203" s="3214" t="s">
        <v>2559</v>
      </c>
      <c r="E203" s="3214"/>
      <c r="F203" s="3573">
        <v>52.93</v>
      </c>
      <c r="G203" s="3573"/>
      <c r="H203" s="3574"/>
      <c r="I203" s="3574"/>
      <c r="J203" s="3574"/>
      <c r="K203" s="3574"/>
      <c r="L203" s="3574"/>
      <c r="M203" s="3574"/>
      <c r="N203" s="3574"/>
      <c r="O203" s="3574"/>
      <c r="P203" s="3574"/>
      <c r="Q203" s="3574"/>
      <c r="R203" s="3574"/>
      <c r="S203" s="3574"/>
      <c r="T203" s="3574"/>
      <c r="U203" s="3574"/>
      <c r="V203" s="3574"/>
      <c r="W203" s="3574"/>
      <c r="X203" s="3574"/>
      <c r="Y203" s="3574"/>
      <c r="Z203" s="3574"/>
      <c r="AA203" s="3574"/>
      <c r="AB203" s="3574"/>
      <c r="AC203" s="3574"/>
      <c r="AD203" s="3574"/>
      <c r="AE203" s="3574"/>
      <c r="AF203" s="3574"/>
      <c r="AG203" s="3574"/>
      <c r="AH203" s="3574"/>
      <c r="AI203" s="3574"/>
      <c r="AJ203" s="3574"/>
      <c r="AK203" s="3574"/>
      <c r="AL203" s="3574"/>
      <c r="AM203" s="3574"/>
      <c r="AN203" s="3574"/>
      <c r="AO203" s="3574"/>
      <c r="AP203" s="3574"/>
      <c r="AQ203" s="3574"/>
      <c r="AR203" s="3574"/>
      <c r="AS203" s="3574"/>
      <c r="AT203" s="3574"/>
      <c r="AU203" s="3574"/>
      <c r="AV203" s="3574"/>
      <c r="AW203" s="3574"/>
      <c r="AX203" s="3573"/>
      <c r="AY203" s="3573">
        <f>F203*0.2</f>
        <v>10.586</v>
      </c>
      <c r="AZ203" s="4118">
        <f>0.669*$F203</f>
        <v>35.410170000000001</v>
      </c>
      <c r="BA203" s="3208"/>
      <c r="BB203" s="3208"/>
      <c r="BC203" s="3208"/>
      <c r="BD203" s="3208"/>
      <c r="BE203" s="3208"/>
      <c r="BF203" s="3208"/>
      <c r="BG203" s="3208"/>
      <c r="BH203" s="3264" t="s">
        <v>5</v>
      </c>
      <c r="BJ203" s="3263"/>
      <c r="BK203" s="3214"/>
      <c r="BL203" s="3214"/>
      <c r="BM203" s="3214"/>
      <c r="BN203" s="3573"/>
      <c r="BO203" s="3573"/>
      <c r="BP203" s="3574"/>
      <c r="BQ203" s="3574"/>
      <c r="BR203" s="3574"/>
      <c r="BS203" s="3574"/>
      <c r="BT203" s="3574"/>
      <c r="BU203" s="3574"/>
    </row>
    <row r="204" spans="1:73">
      <c r="A204" s="39"/>
      <c r="B204" s="3213"/>
      <c r="C204" s="3208"/>
      <c r="D204" s="3208" t="s">
        <v>2560</v>
      </c>
      <c r="E204" s="3208"/>
      <c r="F204" s="3573">
        <v>1.1399999999999999</v>
      </c>
      <c r="G204" s="3573"/>
      <c r="H204" s="3574"/>
      <c r="I204" s="3574"/>
      <c r="J204" s="3574"/>
      <c r="K204" s="3574"/>
      <c r="L204" s="3574"/>
      <c r="M204" s="3574"/>
      <c r="N204" s="3574"/>
      <c r="O204" s="3574"/>
      <c r="P204" s="3574"/>
      <c r="Q204" s="3574"/>
      <c r="R204" s="3574"/>
      <c r="S204" s="3574"/>
      <c r="T204" s="3574"/>
      <c r="U204" s="3574"/>
      <c r="V204" s="3574"/>
      <c r="W204" s="3574"/>
      <c r="X204" s="3574"/>
      <c r="Y204" s="3574"/>
      <c r="Z204" s="3574"/>
      <c r="AA204" s="3574"/>
      <c r="AB204" s="3574"/>
      <c r="AC204" s="3574"/>
      <c r="AD204" s="3574"/>
      <c r="AE204" s="3574"/>
      <c r="AF204" s="3574"/>
      <c r="AG204" s="3574"/>
      <c r="AH204" s="3574"/>
      <c r="AI204" s="3574"/>
      <c r="AJ204" s="3574"/>
      <c r="AK204" s="3574"/>
      <c r="AL204" s="3574"/>
      <c r="AM204" s="3574"/>
      <c r="AN204" s="3574"/>
      <c r="AO204" s="3574"/>
      <c r="AP204" s="3574"/>
      <c r="AQ204" s="3574"/>
      <c r="AR204" s="3574"/>
      <c r="AS204" s="3574"/>
      <c r="AT204" s="3574"/>
      <c r="AU204" s="3574"/>
      <c r="AV204" s="3574"/>
      <c r="AW204" s="3574"/>
      <c r="AX204" s="3573"/>
      <c r="AY204" s="3573"/>
      <c r="AZ204" s="3251"/>
      <c r="BA204" s="3251"/>
      <c r="BB204" s="3251">
        <f ca="1">BB205*AY151</f>
        <v>10.585999999999999</v>
      </c>
      <c r="BC204" s="3251">
        <f ca="1">BC205*AY151</f>
        <v>35.410170000000001</v>
      </c>
      <c r="BD204" s="3208"/>
      <c r="BE204" s="3208"/>
      <c r="BF204" s="3208"/>
      <c r="BG204" s="3208"/>
      <c r="BH204" s="3211"/>
      <c r="BJ204" s="3213"/>
      <c r="BK204" s="3208"/>
      <c r="BL204" s="3208"/>
      <c r="BM204" s="3208"/>
      <c r="BN204" s="3573"/>
      <c r="BO204" s="3573"/>
      <c r="BP204" s="3574"/>
      <c r="BQ204" s="3574"/>
      <c r="BR204" s="3574"/>
      <c r="BS204" s="3574"/>
      <c r="BT204" s="3574"/>
      <c r="BU204" s="3574"/>
    </row>
    <row r="205" spans="1:73">
      <c r="A205" s="39"/>
      <c r="B205" s="3213"/>
      <c r="C205" s="3208"/>
      <c r="D205" s="3214" t="s">
        <v>59</v>
      </c>
      <c r="E205" s="3208"/>
      <c r="F205" s="3575">
        <f>F203+F204</f>
        <v>54.07</v>
      </c>
      <c r="G205" s="3575"/>
      <c r="H205" s="3576"/>
      <c r="I205" s="3576"/>
      <c r="J205" s="3576"/>
      <c r="K205" s="3576"/>
      <c r="L205" s="3576"/>
      <c r="M205" s="3576"/>
      <c r="N205" s="3576"/>
      <c r="O205" s="3576"/>
      <c r="P205" s="3576"/>
      <c r="Q205" s="3576"/>
      <c r="R205" s="3576"/>
      <c r="S205" s="3576"/>
      <c r="T205" s="3576"/>
      <c r="U205" s="3576"/>
      <c r="V205" s="3576"/>
      <c r="W205" s="3576"/>
      <c r="X205" s="3576"/>
      <c r="Y205" s="3576"/>
      <c r="Z205" s="3576"/>
      <c r="AA205" s="3576"/>
      <c r="AB205" s="3576"/>
      <c r="AC205" s="3576"/>
      <c r="AD205" s="3576"/>
      <c r="AE205" s="3576"/>
      <c r="AF205" s="3576"/>
      <c r="AG205" s="3576"/>
      <c r="AH205" s="3576"/>
      <c r="AI205" s="3576"/>
      <c r="AJ205" s="3576"/>
      <c r="AK205" s="3576"/>
      <c r="AL205" s="3576"/>
      <c r="AM205" s="3576"/>
      <c r="AN205" s="3576"/>
      <c r="AO205" s="3576"/>
      <c r="AP205" s="3576"/>
      <c r="AQ205" s="3576"/>
      <c r="AR205" s="3576"/>
      <c r="AS205" s="3576"/>
      <c r="AT205" s="3576"/>
      <c r="AU205" s="3576"/>
      <c r="AV205" s="3576"/>
      <c r="AW205" s="3576"/>
      <c r="AX205" s="3575"/>
      <c r="AY205" s="3575">
        <f>0.2*$F205</f>
        <v>10.814</v>
      </c>
      <c r="AZ205" s="4118">
        <f>0.669*$F205</f>
        <v>36.172830000000005</v>
      </c>
      <c r="BA205" s="4116"/>
      <c r="BB205" s="4116">
        <f>AY205/$F$151</f>
        <v>9.9458735013032147</v>
      </c>
      <c r="BC205" s="4116">
        <f>AZ205/$F$151</f>
        <v>33.268946861859256</v>
      </c>
      <c r="BD205" s="3208"/>
      <c r="BE205" s="3572">
        <f ca="1">BA151/$AY151</f>
        <v>0.83389538634247151</v>
      </c>
      <c r="BF205" s="3572">
        <f ca="1">BC151/$AY151</f>
        <v>0.68214794950501656</v>
      </c>
      <c r="BG205" s="3572">
        <f ca="1">BG151/$AY151</f>
        <v>0.56430451490900524</v>
      </c>
      <c r="BH205" s="3211"/>
      <c r="BJ205" s="3213"/>
      <c r="BK205" s="3208"/>
      <c r="BL205" s="3214"/>
      <c r="BM205" s="3208"/>
      <c r="BN205" s="3575"/>
      <c r="BO205" s="3575"/>
      <c r="BP205" s="3576"/>
      <c r="BQ205" s="3576"/>
      <c r="BR205" s="3576"/>
      <c r="BS205" s="3576"/>
      <c r="BT205" s="3576"/>
      <c r="BU205" s="3576"/>
    </row>
    <row r="206" spans="1:73" s="414" customFormat="1">
      <c r="A206" s="3562"/>
      <c r="B206" s="3228"/>
      <c r="C206" s="3229"/>
      <c r="D206" s="3229" t="s">
        <v>2561</v>
      </c>
      <c r="E206" s="3229"/>
      <c r="F206" s="3570"/>
      <c r="G206" s="3570"/>
      <c r="H206" s="3571"/>
      <c r="I206" s="3571"/>
      <c r="J206" s="3571"/>
      <c r="K206" s="3571"/>
      <c r="L206" s="3571"/>
      <c r="M206" s="3571"/>
      <c r="N206" s="3571"/>
      <c r="O206" s="3571"/>
      <c r="P206" s="3571"/>
      <c r="Q206" s="3571"/>
      <c r="R206" s="3571"/>
      <c r="S206" s="3571"/>
      <c r="T206" s="3571"/>
      <c r="U206" s="3571"/>
      <c r="V206" s="3571"/>
      <c r="W206" s="3571"/>
      <c r="X206" s="3571"/>
      <c r="Y206" s="3571"/>
      <c r="Z206" s="3571"/>
      <c r="AA206" s="3571"/>
      <c r="AB206" s="3571"/>
      <c r="AC206" s="3571"/>
      <c r="AD206" s="3571"/>
      <c r="AE206" s="3571"/>
      <c r="AF206" s="3571"/>
      <c r="AG206" s="3571"/>
      <c r="AH206" s="3571"/>
      <c r="AI206" s="3571"/>
      <c r="AJ206" s="3571"/>
      <c r="AK206" s="3571"/>
      <c r="AL206" s="3571"/>
      <c r="AM206" s="3571"/>
      <c r="AN206" s="3571"/>
      <c r="AO206" s="3571"/>
      <c r="AP206" s="3571"/>
      <c r="AQ206" s="3571"/>
      <c r="AR206" s="3571"/>
      <c r="AS206" s="3571"/>
      <c r="AT206" s="3571"/>
      <c r="AU206" s="3571"/>
      <c r="AV206" s="3571"/>
      <c r="AW206" s="3571"/>
      <c r="AX206" s="3570"/>
      <c r="AY206" s="3570">
        <v>0.2</v>
      </c>
      <c r="AZ206" s="3570">
        <v>0.2</v>
      </c>
      <c r="BA206" s="3570">
        <v>0.2</v>
      </c>
      <c r="BB206" s="3570">
        <v>0.2</v>
      </c>
      <c r="BC206" s="3570">
        <v>0.2</v>
      </c>
      <c r="BD206" s="3570">
        <v>0.2</v>
      </c>
      <c r="BE206" s="3570">
        <v>0.2</v>
      </c>
      <c r="BF206" s="3570">
        <v>0.2</v>
      </c>
      <c r="BG206" s="3570">
        <v>0.2</v>
      </c>
      <c r="BH206" s="3232"/>
      <c r="BJ206" s="3228"/>
      <c r="BK206" s="3229"/>
      <c r="BL206" s="3229"/>
      <c r="BM206" s="3229"/>
      <c r="BN206" s="3570"/>
      <c r="BO206" s="3570"/>
      <c r="BP206" s="3571"/>
      <c r="BQ206" s="3571"/>
      <c r="BR206" s="3571"/>
      <c r="BS206" s="3571"/>
      <c r="BT206" s="3571"/>
      <c r="BU206" s="3571"/>
    </row>
    <row r="207" spans="1:73" s="414" customFormat="1">
      <c r="A207" s="3562"/>
      <c r="B207" s="3228"/>
      <c r="C207" s="3229"/>
      <c r="D207" s="3229" t="s">
        <v>2562</v>
      </c>
      <c r="E207" s="3229"/>
      <c r="F207" s="3570"/>
      <c r="G207" s="3570"/>
      <c r="H207" s="3571"/>
      <c r="I207" s="3571"/>
      <c r="J207" s="3571"/>
      <c r="K207" s="3571"/>
      <c r="L207" s="3571"/>
      <c r="M207" s="3571"/>
      <c r="N207" s="3571"/>
      <c r="O207" s="3571"/>
      <c r="P207" s="3571"/>
      <c r="Q207" s="3571"/>
      <c r="R207" s="3571"/>
      <c r="S207" s="3571"/>
      <c r="T207" s="3571"/>
      <c r="U207" s="3571"/>
      <c r="V207" s="3571"/>
      <c r="W207" s="3571"/>
      <c r="X207" s="3571"/>
      <c r="Y207" s="3571"/>
      <c r="Z207" s="3571"/>
      <c r="AA207" s="3571"/>
      <c r="AB207" s="3571"/>
      <c r="AC207" s="3571"/>
      <c r="AD207" s="3571"/>
      <c r="AE207" s="3571"/>
      <c r="AF207" s="3571"/>
      <c r="AG207" s="3571"/>
      <c r="AH207" s="3571"/>
      <c r="AI207" s="3571"/>
      <c r="AJ207" s="3571"/>
      <c r="AK207" s="3571"/>
      <c r="AL207" s="3571"/>
      <c r="AM207" s="3571"/>
      <c r="AN207" s="3571"/>
      <c r="AO207" s="3571"/>
      <c r="AP207" s="3571"/>
      <c r="AQ207" s="3571"/>
      <c r="AR207" s="3571"/>
      <c r="AS207" s="3571"/>
      <c r="AT207" s="3571"/>
      <c r="AU207" s="3571"/>
      <c r="AV207" s="3571"/>
      <c r="AW207" s="3571"/>
      <c r="AX207" s="3570"/>
      <c r="AY207" s="3570">
        <v>0</v>
      </c>
      <c r="AZ207" s="3570">
        <v>0</v>
      </c>
      <c r="BA207" s="3570">
        <v>0</v>
      </c>
      <c r="BB207" s="3570">
        <v>0</v>
      </c>
      <c r="BC207" s="3570">
        <v>0</v>
      </c>
      <c r="BD207" s="3570">
        <v>0</v>
      </c>
      <c r="BE207" s="3570">
        <v>0</v>
      </c>
      <c r="BF207" s="3570">
        <v>0</v>
      </c>
      <c r="BG207" s="3570">
        <v>0</v>
      </c>
      <c r="BH207" s="3232"/>
      <c r="BJ207" s="3228"/>
      <c r="BK207" s="3229"/>
      <c r="BL207" s="3229"/>
      <c r="BM207" s="3229"/>
      <c r="BN207" s="3570"/>
      <c r="BO207" s="3570"/>
      <c r="BP207" s="3571"/>
      <c r="BQ207" s="3571"/>
      <c r="BR207" s="3571"/>
      <c r="BS207" s="3571"/>
      <c r="BT207" s="3571"/>
      <c r="BU207" s="3571"/>
    </row>
    <row r="208" spans="1:73">
      <c r="A208" s="39"/>
      <c r="B208" s="3265"/>
      <c r="C208" s="3266"/>
      <c r="D208" s="3266"/>
      <c r="E208" s="3266"/>
      <c r="F208" s="3266"/>
      <c r="G208" s="3266"/>
      <c r="H208" s="3267"/>
      <c r="I208" s="3267"/>
      <c r="J208" s="3267"/>
      <c r="K208" s="3267"/>
      <c r="L208" s="3267"/>
      <c r="M208" s="3267"/>
      <c r="N208" s="3267"/>
      <c r="O208" s="3267"/>
      <c r="P208" s="3267"/>
      <c r="Q208" s="3267"/>
      <c r="R208" s="3267"/>
      <c r="S208" s="3267"/>
      <c r="T208" s="3267"/>
      <c r="U208" s="3267"/>
      <c r="V208" s="3267"/>
      <c r="W208" s="3267"/>
      <c r="X208" s="3267"/>
      <c r="Y208" s="3267"/>
      <c r="Z208" s="3267"/>
      <c r="AA208" s="3267"/>
      <c r="AB208" s="3267"/>
      <c r="AC208" s="3267"/>
      <c r="AD208" s="3267"/>
      <c r="AE208" s="3267"/>
      <c r="AF208" s="3267"/>
      <c r="AG208" s="3267"/>
      <c r="AH208" s="3267"/>
      <c r="AI208" s="3267"/>
      <c r="AJ208" s="3267"/>
      <c r="AK208" s="3267"/>
      <c r="AL208" s="3267"/>
      <c r="AM208" s="3267"/>
      <c r="AN208" s="3267"/>
      <c r="AO208" s="3267"/>
      <c r="AP208" s="3267"/>
      <c r="AQ208" s="3267"/>
      <c r="AR208" s="3267"/>
      <c r="AS208" s="3267"/>
      <c r="AT208" s="3267"/>
      <c r="AU208" s="3267"/>
      <c r="AV208" s="3267"/>
      <c r="AW208" s="3267"/>
      <c r="AX208" s="3266" t="s">
        <v>5</v>
      </c>
      <c r="AY208" s="3266"/>
      <c r="AZ208" s="3266"/>
      <c r="BA208" s="3266"/>
      <c r="BB208" s="3266"/>
      <c r="BC208" s="3266"/>
      <c r="BD208" s="3266"/>
      <c r="BE208" s="3266"/>
      <c r="BF208" s="3266"/>
      <c r="BG208" s="3266"/>
      <c r="BH208" s="3268"/>
      <c r="BJ208" s="3265"/>
      <c r="BK208" s="3266"/>
      <c r="BL208" s="3266"/>
      <c r="BM208" s="3266"/>
      <c r="BN208" s="3266"/>
      <c r="BO208" s="3266"/>
      <c r="BP208" s="3267"/>
      <c r="BQ208" s="3267"/>
      <c r="BR208" s="3267"/>
      <c r="BS208" s="3267"/>
      <c r="BT208" s="3267"/>
      <c r="BU208" s="3267"/>
    </row>
    <row r="209" spans="1:73" s="39" customFormat="1">
      <c r="B209" s="1077"/>
      <c r="C209" s="1077"/>
      <c r="D209" s="1077"/>
      <c r="E209" s="1077"/>
      <c r="F209" s="1077"/>
      <c r="G209" s="1077"/>
      <c r="H209" s="3170"/>
      <c r="I209" s="3170"/>
      <c r="J209" s="3170"/>
      <c r="K209" s="3170"/>
      <c r="L209" s="3170"/>
      <c r="M209" s="3170"/>
      <c r="N209" s="3170"/>
      <c r="O209" s="3170"/>
      <c r="P209" s="3170"/>
      <c r="Q209" s="3170"/>
      <c r="R209" s="3170"/>
      <c r="S209" s="3170"/>
      <c r="T209" s="3170"/>
      <c r="U209" s="3170"/>
      <c r="V209" s="3170"/>
      <c r="W209" s="3170"/>
      <c r="X209" s="3170"/>
      <c r="Y209" s="3170"/>
      <c r="Z209" s="3170"/>
      <c r="AA209" s="3170"/>
      <c r="AB209" s="3170"/>
      <c r="AC209" s="3170"/>
      <c r="AD209" s="3170"/>
      <c r="AE209" s="3170"/>
      <c r="AF209" s="3170"/>
      <c r="AG209" s="3170"/>
      <c r="AH209" s="3170"/>
      <c r="AI209" s="3170"/>
      <c r="AJ209" s="3170"/>
      <c r="AK209" s="3170"/>
      <c r="AL209" s="3170"/>
      <c r="AM209" s="3170"/>
      <c r="AN209" s="3170"/>
      <c r="AO209" s="3170"/>
      <c r="AP209" s="3170"/>
      <c r="AQ209" s="3170"/>
      <c r="AR209" s="3170"/>
      <c r="AS209" s="3170"/>
      <c r="AT209" s="3170"/>
      <c r="AU209" s="3170"/>
      <c r="AV209" s="3170"/>
      <c r="AW209" s="3170"/>
      <c r="AX209" s="1077"/>
      <c r="AY209" s="1077"/>
      <c r="AZ209" s="1077"/>
      <c r="BA209" s="1077"/>
      <c r="BB209" s="1077"/>
      <c r="BC209" s="1077"/>
      <c r="BD209" s="1077"/>
      <c r="BE209" s="1077"/>
      <c r="BF209" s="1077"/>
      <c r="BG209" s="1077"/>
      <c r="BH209" s="1077"/>
      <c r="BJ209" s="1077"/>
      <c r="BK209" s="1077"/>
      <c r="BL209" s="1077"/>
      <c r="BM209" s="1077"/>
      <c r="BN209" s="1077"/>
      <c r="BO209" s="1077"/>
      <c r="BP209" s="3170"/>
      <c r="BQ209" s="3170"/>
      <c r="BR209" s="3170"/>
      <c r="BS209" s="3170"/>
      <c r="BT209" s="3170"/>
      <c r="BU209" s="3170"/>
    </row>
    <row r="210" spans="1:73" ht="23.25">
      <c r="A210" s="3569"/>
      <c r="B210" s="3202" t="s">
        <v>2563</v>
      </c>
      <c r="C210" s="3203"/>
      <c r="D210" s="3203"/>
      <c r="E210" s="3203"/>
      <c r="F210" s="3203"/>
      <c r="G210" s="3203"/>
      <c r="H210" s="3204"/>
      <c r="I210" s="3204"/>
      <c r="J210" s="3204"/>
      <c r="K210" s="3204"/>
      <c r="L210" s="3204"/>
      <c r="M210" s="3204"/>
      <c r="N210" s="3204"/>
      <c r="O210" s="3204"/>
      <c r="P210" s="3204"/>
      <c r="Q210" s="3204"/>
      <c r="R210" s="3204"/>
      <c r="S210" s="3204"/>
      <c r="T210" s="3204"/>
      <c r="U210" s="3204"/>
      <c r="V210" s="3204"/>
      <c r="W210" s="3204"/>
      <c r="X210" s="3204"/>
      <c r="Y210" s="3204"/>
      <c r="Z210" s="3204"/>
      <c r="AA210" s="3204"/>
      <c r="AB210" s="3204"/>
      <c r="AC210" s="3204"/>
      <c r="AD210" s="3204"/>
      <c r="AE210" s="3204"/>
      <c r="AF210" s="3204"/>
      <c r="AG210" s="3204"/>
      <c r="AH210" s="3204"/>
      <c r="AI210" s="3204"/>
      <c r="AJ210" s="3204"/>
      <c r="AK210" s="3204"/>
      <c r="AL210" s="3204"/>
      <c r="AM210" s="3204"/>
      <c r="AN210" s="3204"/>
      <c r="AO210" s="3204"/>
      <c r="AP210" s="3204"/>
      <c r="AQ210" s="3204"/>
      <c r="AR210" s="3204"/>
      <c r="AS210" s="3204"/>
      <c r="AT210" s="3204"/>
      <c r="AU210" s="3204"/>
      <c r="AV210" s="3204"/>
      <c r="AW210" s="3204"/>
      <c r="AX210" s="3203"/>
      <c r="AY210" s="3203"/>
      <c r="AZ210" s="3203"/>
      <c r="BA210" s="3203"/>
      <c r="BB210" s="3203"/>
      <c r="BC210" s="3203"/>
      <c r="BD210" s="3203"/>
      <c r="BE210" s="3203"/>
      <c r="BF210" s="3203"/>
      <c r="BG210" s="3205"/>
      <c r="BH210" s="3206"/>
      <c r="BJ210" s="3202"/>
      <c r="BK210" s="3203"/>
      <c r="BL210" s="3203"/>
      <c r="BM210" s="3203"/>
      <c r="BN210" s="3203"/>
      <c r="BO210" s="3203"/>
      <c r="BP210" s="3204"/>
      <c r="BQ210" s="3204"/>
      <c r="BR210" s="3204"/>
      <c r="BS210" s="3204"/>
      <c r="BT210" s="3204"/>
      <c r="BU210" s="3204"/>
    </row>
    <row r="211" spans="1:73">
      <c r="A211" s="39"/>
      <c r="B211" s="3208"/>
      <c r="C211" s="3208"/>
      <c r="D211" s="3208"/>
      <c r="E211" s="3208"/>
      <c r="F211" s="3208"/>
      <c r="G211" s="3208"/>
      <c r="H211" s="3209"/>
      <c r="I211" s="3209"/>
      <c r="J211" s="3209"/>
      <c r="K211" s="3209"/>
      <c r="L211" s="3209"/>
      <c r="M211" s="3209"/>
      <c r="N211" s="3209"/>
      <c r="O211" s="3209"/>
      <c r="P211" s="3209"/>
      <c r="Q211" s="3209"/>
      <c r="R211" s="3209"/>
      <c r="S211" s="3209"/>
      <c r="T211" s="3209"/>
      <c r="U211" s="3209"/>
      <c r="V211" s="3209"/>
      <c r="W211" s="3209"/>
      <c r="X211" s="3209"/>
      <c r="Y211" s="3209"/>
      <c r="Z211" s="3209"/>
      <c r="AA211" s="3209"/>
      <c r="AB211" s="3209"/>
      <c r="AC211" s="3209"/>
      <c r="AD211" s="3209"/>
      <c r="AE211" s="3209"/>
      <c r="AF211" s="3209"/>
      <c r="AG211" s="3209"/>
      <c r="AH211" s="3209"/>
      <c r="AI211" s="3209"/>
      <c r="AJ211" s="3209"/>
      <c r="AK211" s="3209"/>
      <c r="AL211" s="3209"/>
      <c r="AM211" s="3209"/>
      <c r="AN211" s="3209"/>
      <c r="AO211" s="3209"/>
      <c r="AP211" s="3209"/>
      <c r="AQ211" s="3209"/>
      <c r="AR211" s="3209"/>
      <c r="AS211" s="3209"/>
      <c r="AT211" s="3209"/>
      <c r="AU211" s="3209"/>
      <c r="AV211" s="3209"/>
      <c r="AW211" s="3209"/>
      <c r="AX211" s="3208"/>
      <c r="AY211" s="3208"/>
      <c r="AZ211" s="3208"/>
      <c r="BA211" s="3208"/>
      <c r="BB211" s="3208"/>
      <c r="BC211" s="3208"/>
      <c r="BD211" s="3208"/>
      <c r="BE211" s="3208"/>
      <c r="BF211" s="3208"/>
      <c r="BG211" s="3208"/>
      <c r="BH211" s="3208"/>
      <c r="BJ211" s="3208"/>
      <c r="BK211" s="3208"/>
      <c r="BL211" s="3208"/>
      <c r="BM211" s="3208"/>
      <c r="BN211" s="3208"/>
      <c r="BO211" s="3208"/>
      <c r="BP211" s="3209"/>
      <c r="BQ211" s="3209"/>
      <c r="BR211" s="3209"/>
      <c r="BS211" s="3209"/>
      <c r="BT211" s="3209"/>
      <c r="BU211" s="3209"/>
    </row>
    <row r="212" spans="1:73">
      <c r="A212" s="39"/>
      <c r="B212" s="3214" t="s">
        <v>2564</v>
      </c>
      <c r="C212" s="3208"/>
      <c r="D212" s="3208"/>
      <c r="E212" s="3208"/>
      <c r="F212" s="3208"/>
      <c r="G212" s="3208"/>
      <c r="H212" s="3209"/>
      <c r="I212" s="3209"/>
      <c r="J212" s="3209"/>
      <c r="K212" s="3209"/>
      <c r="L212" s="3209"/>
      <c r="M212" s="3209"/>
      <c r="N212" s="3209"/>
      <c r="O212" s="3209"/>
      <c r="P212" s="3209"/>
      <c r="Q212" s="3209"/>
      <c r="R212" s="3209"/>
      <c r="S212" s="3209"/>
      <c r="T212" s="3209"/>
      <c r="U212" s="3209"/>
      <c r="V212" s="3209"/>
      <c r="W212" s="3209"/>
      <c r="X212" s="3209"/>
      <c r="Y212" s="3209"/>
      <c r="Z212" s="3209"/>
      <c r="AA212" s="3209"/>
      <c r="AB212" s="3209"/>
      <c r="AC212" s="3209"/>
      <c r="AD212" s="3209"/>
      <c r="AE212" s="3209"/>
      <c r="AF212" s="3209"/>
      <c r="AG212" s="3209"/>
      <c r="AH212" s="3209"/>
      <c r="AI212" s="3209"/>
      <c r="AJ212" s="3209"/>
      <c r="AK212" s="3209"/>
      <c r="AL212" s="3209"/>
      <c r="AM212" s="3209"/>
      <c r="AN212" s="3209"/>
      <c r="AO212" s="3209"/>
      <c r="AP212" s="3209"/>
      <c r="AQ212" s="3209"/>
      <c r="AR212" s="3209"/>
      <c r="AS212" s="3209"/>
      <c r="AT212" s="3209"/>
      <c r="AU212" s="3209"/>
      <c r="AV212" s="3209"/>
      <c r="AW212" s="3209"/>
      <c r="AX212" s="3208"/>
      <c r="AY212" s="3208"/>
      <c r="AZ212" s="3208"/>
      <c r="BA212" s="3208"/>
      <c r="BB212" s="3208"/>
      <c r="BC212" s="3208"/>
      <c r="BD212" s="3208"/>
      <c r="BE212" s="3208"/>
      <c r="BF212" s="3208"/>
      <c r="BG212" s="3208"/>
      <c r="BH212" s="3208"/>
      <c r="BJ212" s="3214"/>
      <c r="BK212" s="3208"/>
      <c r="BL212" s="3208"/>
      <c r="BM212" s="3208"/>
      <c r="BN212" s="3208"/>
      <c r="BO212" s="3208"/>
      <c r="BP212" s="3209"/>
      <c r="BQ212" s="3209"/>
      <c r="BR212" s="3209"/>
      <c r="BS212" s="3209"/>
      <c r="BT212" s="3209"/>
      <c r="BU212" s="3209"/>
    </row>
    <row r="213" spans="1:73">
      <c r="A213" s="39"/>
      <c r="B213" s="3208"/>
      <c r="C213" s="3208"/>
      <c r="D213" s="3208"/>
      <c r="E213" s="3208"/>
      <c r="F213" s="3208"/>
      <c r="G213" s="3208"/>
      <c r="H213" s="3209"/>
      <c r="I213" s="3209"/>
      <c r="J213" s="3209"/>
      <c r="K213" s="3209"/>
      <c r="L213" s="3209"/>
      <c r="M213" s="3209"/>
      <c r="N213" s="3209"/>
      <c r="O213" s="3209"/>
      <c r="P213" s="3209"/>
      <c r="Q213" s="3209"/>
      <c r="R213" s="3209"/>
      <c r="S213" s="3209"/>
      <c r="T213" s="3209"/>
      <c r="U213" s="3209"/>
      <c r="V213" s="3209"/>
      <c r="W213" s="3209"/>
      <c r="X213" s="3209"/>
      <c r="Y213" s="3209"/>
      <c r="Z213" s="3209"/>
      <c r="AA213" s="3209"/>
      <c r="AB213" s="3209"/>
      <c r="AC213" s="3209"/>
      <c r="AD213" s="3209"/>
      <c r="AE213" s="3209"/>
      <c r="AF213" s="3209"/>
      <c r="AG213" s="3209"/>
      <c r="AH213" s="3209"/>
      <c r="AI213" s="3209"/>
      <c r="AJ213" s="3209"/>
      <c r="AK213" s="3209"/>
      <c r="AL213" s="3209"/>
      <c r="AM213" s="3209"/>
      <c r="AN213" s="3209"/>
      <c r="AO213" s="3209"/>
      <c r="AP213" s="3209"/>
      <c r="AQ213" s="3209"/>
      <c r="AR213" s="3209"/>
      <c r="AS213" s="3209"/>
      <c r="AT213" s="3209"/>
      <c r="AU213" s="3209"/>
      <c r="AV213" s="3209"/>
      <c r="AW213" s="3209"/>
      <c r="AX213" s="3208"/>
      <c r="AY213" s="3208"/>
      <c r="AZ213" s="3208"/>
      <c r="BA213" s="3208"/>
      <c r="BB213" s="3208"/>
      <c r="BC213" s="3208"/>
      <c r="BD213" s="3208"/>
      <c r="BE213" s="3208"/>
      <c r="BF213" s="3208"/>
      <c r="BG213" s="3208"/>
      <c r="BH213" s="3208"/>
      <c r="BJ213" s="3208"/>
      <c r="BK213" s="3208"/>
      <c r="BL213" s="3208"/>
      <c r="BM213" s="3208"/>
      <c r="BN213" s="3208"/>
      <c r="BO213" s="3208"/>
      <c r="BP213" s="3209"/>
      <c r="BQ213" s="3209"/>
      <c r="BR213" s="3209"/>
      <c r="BS213" s="3209"/>
      <c r="BT213" s="3209"/>
      <c r="BU213" s="3209"/>
    </row>
    <row r="214" spans="1:73">
      <c r="A214" s="39"/>
      <c r="B214" s="3208"/>
      <c r="C214" s="3229" t="s">
        <v>2565</v>
      </c>
      <c r="D214" s="3208"/>
      <c r="E214" s="3208"/>
      <c r="F214" s="3208"/>
      <c r="G214" s="3208"/>
      <c r="H214" s="3209"/>
      <c r="I214" s="3209"/>
      <c r="J214" s="3209"/>
      <c r="K214" s="3209"/>
      <c r="L214" s="3209"/>
      <c r="M214" s="3209"/>
      <c r="N214" s="3209"/>
      <c r="O214" s="3209"/>
      <c r="P214" s="3209"/>
      <c r="Q214" s="3209"/>
      <c r="R214" s="3209"/>
      <c r="S214" s="3209"/>
      <c r="T214" s="3209"/>
      <c r="U214" s="3209"/>
      <c r="V214" s="3209"/>
      <c r="W214" s="3209"/>
      <c r="X214" s="3209"/>
      <c r="Y214" s="3209"/>
      <c r="Z214" s="3209"/>
      <c r="AA214" s="3209"/>
      <c r="AB214" s="3209"/>
      <c r="AC214" s="3209"/>
      <c r="AD214" s="3209"/>
      <c r="AE214" s="3209"/>
      <c r="AF214" s="3209"/>
      <c r="AG214" s="3209"/>
      <c r="AH214" s="3209"/>
      <c r="AI214" s="3209"/>
      <c r="AJ214" s="3209"/>
      <c r="AK214" s="3209"/>
      <c r="AL214" s="3209"/>
      <c r="AM214" s="3209"/>
      <c r="AN214" s="3209"/>
      <c r="AO214" s="3209"/>
      <c r="AP214" s="3209"/>
      <c r="AQ214" s="3209"/>
      <c r="AR214" s="3209"/>
      <c r="AS214" s="3209"/>
      <c r="AT214" s="3209"/>
      <c r="AU214" s="3209"/>
      <c r="AV214" s="3209"/>
      <c r="AW214" s="3209"/>
      <c r="AX214" s="3208"/>
      <c r="AY214" s="3269">
        <v>2013</v>
      </c>
      <c r="AZ214" s="3269" t="s">
        <v>133</v>
      </c>
      <c r="BA214" s="3269" t="s">
        <v>134</v>
      </c>
      <c r="BB214" s="3269" t="s">
        <v>135</v>
      </c>
      <c r="BC214" s="3269" t="s">
        <v>136</v>
      </c>
      <c r="BD214" s="3269" t="s">
        <v>137</v>
      </c>
      <c r="BE214" s="3269" t="s">
        <v>138</v>
      </c>
      <c r="BF214" s="3269" t="s">
        <v>139</v>
      </c>
      <c r="BG214" s="3269" t="s">
        <v>140</v>
      </c>
      <c r="BH214" s="3208"/>
      <c r="BJ214" s="3208"/>
      <c r="BK214" s="3229"/>
      <c r="BL214" s="3208"/>
      <c r="BM214" s="3208"/>
      <c r="BN214" s="3208"/>
      <c r="BO214" s="3208"/>
      <c r="BP214" s="3209"/>
      <c r="BQ214" s="3209"/>
      <c r="BR214" s="3209"/>
      <c r="BS214" s="3209"/>
      <c r="BT214" s="3209"/>
      <c r="BU214" s="3209"/>
    </row>
    <row r="215" spans="1:73">
      <c r="A215" s="39"/>
      <c r="B215" s="3208"/>
      <c r="C215" s="3270" t="s">
        <v>575</v>
      </c>
      <c r="D215" s="3270" t="s">
        <v>98</v>
      </c>
      <c r="E215" s="3208" t="s">
        <v>88</v>
      </c>
      <c r="F215" s="3271"/>
      <c r="G215" s="3271"/>
      <c r="H215" s="3272"/>
      <c r="I215" s="3272"/>
      <c r="J215" s="3272"/>
      <c r="K215" s="3272"/>
      <c r="L215" s="3272"/>
      <c r="M215" s="3272"/>
      <c r="N215" s="3272"/>
      <c r="O215" s="3272"/>
      <c r="P215" s="3272"/>
      <c r="Q215" s="3272"/>
      <c r="R215" s="3272"/>
      <c r="S215" s="3272"/>
      <c r="T215" s="3272"/>
      <c r="U215" s="3272"/>
      <c r="V215" s="3272"/>
      <c r="W215" s="3272"/>
      <c r="X215" s="3272"/>
      <c r="Y215" s="3272"/>
      <c r="Z215" s="3272"/>
      <c r="AA215" s="3272"/>
      <c r="AB215" s="3272"/>
      <c r="AC215" s="3272"/>
      <c r="AD215" s="3272"/>
      <c r="AE215" s="3272"/>
      <c r="AF215" s="3272"/>
      <c r="AG215" s="3272"/>
      <c r="AH215" s="3272"/>
      <c r="AI215" s="3272"/>
      <c r="AJ215" s="3272"/>
      <c r="AK215" s="3272"/>
      <c r="AL215" s="3272"/>
      <c r="AM215" s="3272"/>
      <c r="AN215" s="3272"/>
      <c r="AO215" s="3272"/>
      <c r="AP215" s="3272"/>
      <c r="AQ215" s="3272"/>
      <c r="AR215" s="3272"/>
      <c r="AS215" s="3272"/>
      <c r="AT215" s="3272"/>
      <c r="AU215" s="3272"/>
      <c r="AV215" s="3272"/>
      <c r="AW215" s="3272"/>
      <c r="AX215" s="3273"/>
      <c r="AY215" s="3274">
        <f t="shared" ref="AY215:BG217" ca="1" si="44">IFERROR(INDEX(INDIRECT($C215&amp;".Outputs["&amp;AY$4&amp;"]"),MATCH($D215,INDIRECT($C215&amp;".Outputs[Vector]"),0)),"na")</f>
        <v>0.54269113815300019</v>
      </c>
      <c r="AZ215" s="3274">
        <f t="shared" ca="1" si="44"/>
        <v>3.5997577180337856</v>
      </c>
      <c r="BA215" s="3274">
        <f t="shared" ca="1" si="44"/>
        <v>12.629791105809554</v>
      </c>
      <c r="BB215" s="3274">
        <f t="shared" ca="1" si="44"/>
        <v>26.304701876768743</v>
      </c>
      <c r="BC215" s="3274">
        <f t="shared" ca="1" si="44"/>
        <v>38.956916202526862</v>
      </c>
      <c r="BD215" s="3274">
        <f t="shared" ca="1" si="44"/>
        <v>53.077575694119567</v>
      </c>
      <c r="BE215" s="3274">
        <f t="shared" ca="1" si="44"/>
        <v>71.9469181755818</v>
      </c>
      <c r="BF215" s="3274">
        <f t="shared" ca="1" si="44"/>
        <v>87.895402623048938</v>
      </c>
      <c r="BG215" s="3274">
        <f t="shared" ca="1" si="44"/>
        <v>104.20790982088215</v>
      </c>
      <c r="BH215" s="3208"/>
      <c r="BJ215" s="3208"/>
      <c r="BK215" s="3270"/>
      <c r="BL215" s="3270"/>
      <c r="BM215" s="3208"/>
      <c r="BN215" s="3271"/>
      <c r="BO215" s="3271"/>
      <c r="BP215" s="3272"/>
      <c r="BQ215" s="3272"/>
      <c r="BR215" s="3272"/>
      <c r="BS215" s="3272"/>
      <c r="BT215" s="3272"/>
      <c r="BU215" s="3272"/>
    </row>
    <row r="216" spans="1:73">
      <c r="A216" s="39"/>
      <c r="B216" s="3208"/>
      <c r="C216" s="3270" t="s">
        <v>575</v>
      </c>
      <c r="D216" s="3270" t="s">
        <v>99</v>
      </c>
      <c r="E216" s="3208" t="s">
        <v>89</v>
      </c>
      <c r="F216" s="3271"/>
      <c r="G216" s="3271"/>
      <c r="H216" s="3272"/>
      <c r="I216" s="3272"/>
      <c r="J216" s="3272"/>
      <c r="K216" s="3272"/>
      <c r="L216" s="3272"/>
      <c r="M216" s="3272"/>
      <c r="N216" s="3272"/>
      <c r="O216" s="3272"/>
      <c r="P216" s="3272"/>
      <c r="Q216" s="3272"/>
      <c r="R216" s="3272"/>
      <c r="S216" s="3272"/>
      <c r="T216" s="3272"/>
      <c r="U216" s="3272"/>
      <c r="V216" s="3272"/>
      <c r="W216" s="3272"/>
      <c r="X216" s="3272"/>
      <c r="Y216" s="3272"/>
      <c r="Z216" s="3272"/>
      <c r="AA216" s="3272"/>
      <c r="AB216" s="3272"/>
      <c r="AC216" s="3272"/>
      <c r="AD216" s="3272"/>
      <c r="AE216" s="3272"/>
      <c r="AF216" s="3272"/>
      <c r="AG216" s="3272"/>
      <c r="AH216" s="3272"/>
      <c r="AI216" s="3272"/>
      <c r="AJ216" s="3272"/>
      <c r="AK216" s="3272"/>
      <c r="AL216" s="3272"/>
      <c r="AM216" s="3272"/>
      <c r="AN216" s="3272"/>
      <c r="AO216" s="3272"/>
      <c r="AP216" s="3272"/>
      <c r="AQ216" s="3272"/>
      <c r="AR216" s="3272"/>
      <c r="AS216" s="3272"/>
      <c r="AT216" s="3272"/>
      <c r="AU216" s="3272"/>
      <c r="AV216" s="3272"/>
      <c r="AW216" s="3272"/>
      <c r="AX216" s="3273"/>
      <c r="AY216" s="3274">
        <f t="shared" ca="1" si="44"/>
        <v>4.4485000000000004E-2</v>
      </c>
      <c r="AZ216" s="3274">
        <f t="shared" ca="1" si="44"/>
        <v>5.5028044762011015E-2</v>
      </c>
      <c r="BA216" s="3274">
        <f t="shared" ca="1" si="44"/>
        <v>8.3407241799860629E-2</v>
      </c>
      <c r="BB216" s="3274">
        <f t="shared" ca="1" si="44"/>
        <v>0.117093819831379</v>
      </c>
      <c r="BC216" s="3274">
        <f t="shared" ca="1" si="44"/>
        <v>0.1525758671279841</v>
      </c>
      <c r="BD216" s="3274">
        <f t="shared" ca="1" si="44"/>
        <v>0.19175395542692011</v>
      </c>
      <c r="BE216" s="3274">
        <f t="shared" ca="1" si="44"/>
        <v>0.23493597507424119</v>
      </c>
      <c r="BF216" s="3274">
        <f t="shared" ca="1" si="44"/>
        <v>0.28245301287517371</v>
      </c>
      <c r="BG216" s="3274">
        <f t="shared" ca="1" si="44"/>
        <v>0.3346610022486472</v>
      </c>
      <c r="BH216" s="3208"/>
      <c r="BJ216" s="3208"/>
      <c r="BK216" s="3270"/>
      <c r="BL216" s="3270"/>
      <c r="BM216" s="3208"/>
      <c r="BN216" s="3271"/>
      <c r="BO216" s="3271"/>
      <c r="BP216" s="3272"/>
      <c r="BQ216" s="3272"/>
      <c r="BR216" s="3272"/>
      <c r="BS216" s="3272"/>
      <c r="BT216" s="3272"/>
      <c r="BU216" s="3272"/>
    </row>
    <row r="217" spans="1:73">
      <c r="A217" s="39"/>
      <c r="B217" s="3208"/>
      <c r="C217" s="3270" t="s">
        <v>575</v>
      </c>
      <c r="D217" s="3270" t="s">
        <v>100</v>
      </c>
      <c r="E217" s="3208" t="s">
        <v>90</v>
      </c>
      <c r="F217" s="3271"/>
      <c r="G217" s="3271"/>
      <c r="H217" s="3272"/>
      <c r="I217" s="3272"/>
      <c r="J217" s="3272"/>
      <c r="K217" s="3272"/>
      <c r="L217" s="3272"/>
      <c r="M217" s="3272"/>
      <c r="N217" s="3272"/>
      <c r="O217" s="3272"/>
      <c r="P217" s="3272"/>
      <c r="Q217" s="3272"/>
      <c r="R217" s="3272"/>
      <c r="S217" s="3272"/>
      <c r="T217" s="3272"/>
      <c r="U217" s="3272"/>
      <c r="V217" s="3272"/>
      <c r="W217" s="3272"/>
      <c r="X217" s="3272"/>
      <c r="Y217" s="3272"/>
      <c r="Z217" s="3272"/>
      <c r="AA217" s="3272"/>
      <c r="AB217" s="3272"/>
      <c r="AC217" s="3272"/>
      <c r="AD217" s="3272"/>
      <c r="AE217" s="3272"/>
      <c r="AF217" s="3272"/>
      <c r="AG217" s="3272"/>
      <c r="AH217" s="3272"/>
      <c r="AI217" s="3272"/>
      <c r="AJ217" s="3272"/>
      <c r="AK217" s="3272"/>
      <c r="AL217" s="3272"/>
      <c r="AM217" s="3272"/>
      <c r="AN217" s="3272"/>
      <c r="AO217" s="3272"/>
      <c r="AP217" s="3272"/>
      <c r="AQ217" s="3272"/>
      <c r="AR217" s="3272"/>
      <c r="AS217" s="3272"/>
      <c r="AT217" s="3272"/>
      <c r="AU217" s="3272"/>
      <c r="AV217" s="3272"/>
      <c r="AW217" s="3272"/>
      <c r="AX217" s="3273"/>
      <c r="AY217" s="3274">
        <f t="shared" ca="1" si="44"/>
        <v>0.22774455378050898</v>
      </c>
      <c r="AZ217" s="3274">
        <f t="shared" ca="1" si="44"/>
        <v>0.36184126233438352</v>
      </c>
      <c r="BA217" s="3274">
        <f t="shared" ca="1" si="44"/>
        <v>1.2809073708829677</v>
      </c>
      <c r="BB217" s="3274">
        <f t="shared" ca="1" si="44"/>
        <v>2.7367354408428457</v>
      </c>
      <c r="BC217" s="3274">
        <f t="shared" ca="1" si="44"/>
        <v>6.8882063731063781</v>
      </c>
      <c r="BD217" s="3274">
        <f t="shared" ca="1" si="44"/>
        <v>10.241779129231292</v>
      </c>
      <c r="BE217" s="3274">
        <f t="shared" ca="1" si="44"/>
        <v>15.401266021886139</v>
      </c>
      <c r="BF217" s="3274">
        <f t="shared" ca="1" si="44"/>
        <v>19.887599646208944</v>
      </c>
      <c r="BG217" s="3274">
        <f t="shared" ca="1" si="44"/>
        <v>23.824090611859152</v>
      </c>
      <c r="BH217" s="3208"/>
      <c r="BJ217" s="3208"/>
      <c r="BK217" s="3270"/>
      <c r="BL217" s="3270"/>
      <c r="BM217" s="3208"/>
      <c r="BN217" s="3271"/>
      <c r="BO217" s="3271"/>
      <c r="BP217" s="3272"/>
      <c r="BQ217" s="3272"/>
      <c r="BR217" s="3272"/>
      <c r="BS217" s="3272"/>
      <c r="BT217" s="3272"/>
      <c r="BU217" s="3272"/>
    </row>
    <row r="218" spans="1:73">
      <c r="A218" s="39"/>
      <c r="B218" s="3208"/>
      <c r="C218" s="3273"/>
      <c r="D218" s="3273"/>
      <c r="E218" s="3273"/>
      <c r="F218" s="3273"/>
      <c r="G218" s="3273"/>
      <c r="H218" s="3209"/>
      <c r="I218" s="3209"/>
      <c r="J218" s="3209"/>
      <c r="K218" s="3209"/>
      <c r="L218" s="3209"/>
      <c r="M218" s="3209"/>
      <c r="N218" s="3209"/>
      <c r="O218" s="3209"/>
      <c r="P218" s="3209"/>
      <c r="Q218" s="3209"/>
      <c r="R218" s="3209"/>
      <c r="S218" s="3209"/>
      <c r="T218" s="3209"/>
      <c r="U218" s="3209"/>
      <c r="V218" s="3209"/>
      <c r="W218" s="3209"/>
      <c r="X218" s="3209"/>
      <c r="Y218" s="3209"/>
      <c r="Z218" s="3209"/>
      <c r="AA218" s="3209"/>
      <c r="AB218" s="3209"/>
      <c r="AC218" s="3209"/>
      <c r="AD218" s="3209"/>
      <c r="AE218" s="3209"/>
      <c r="AF218" s="3209"/>
      <c r="AG218" s="3209"/>
      <c r="AH218" s="3209"/>
      <c r="AI218" s="3209"/>
      <c r="AJ218" s="3209"/>
      <c r="AK218" s="3209"/>
      <c r="AL218" s="3209"/>
      <c r="AM218" s="3209"/>
      <c r="AN218" s="3209"/>
      <c r="AO218" s="3209"/>
      <c r="AP218" s="3209"/>
      <c r="AQ218" s="3209"/>
      <c r="AR218" s="3209"/>
      <c r="AS218" s="3209"/>
      <c r="AT218" s="3209"/>
      <c r="AU218" s="3209"/>
      <c r="AV218" s="3209"/>
      <c r="AW218" s="3209"/>
      <c r="AX218" s="3273"/>
      <c r="AY218" s="3273"/>
      <c r="AZ218" s="3273"/>
      <c r="BA218" s="3273"/>
      <c r="BB218" s="3273"/>
      <c r="BC218" s="3273"/>
      <c r="BD218" s="3273"/>
      <c r="BE218" s="3273"/>
      <c r="BF218" s="3273"/>
      <c r="BG218" s="3273"/>
      <c r="BH218" s="3208"/>
      <c r="BJ218" s="3208"/>
      <c r="BK218" s="3273"/>
      <c r="BL218" s="3273"/>
      <c r="BM218" s="3273"/>
      <c r="BN218" s="3273"/>
      <c r="BO218" s="3273"/>
      <c r="BP218" s="3209"/>
      <c r="BQ218" s="3209"/>
      <c r="BR218" s="3209"/>
      <c r="BS218" s="3209"/>
      <c r="BT218" s="3209"/>
      <c r="BU218" s="3209"/>
    </row>
    <row r="219" spans="1:73">
      <c r="A219" s="39"/>
      <c r="B219" s="3208"/>
      <c r="C219" s="3275" t="s">
        <v>1412</v>
      </c>
      <c r="D219" s="3273"/>
      <c r="E219" s="3273"/>
      <c r="F219" s="3273"/>
      <c r="G219" s="3273"/>
      <c r="H219" s="3209"/>
      <c r="I219" s="3209"/>
      <c r="J219" s="3209"/>
      <c r="K219" s="3209"/>
      <c r="L219" s="3209"/>
      <c r="M219" s="3209"/>
      <c r="N219" s="3209"/>
      <c r="O219" s="3209"/>
      <c r="P219" s="3209"/>
      <c r="Q219" s="3209"/>
      <c r="R219" s="3209"/>
      <c r="S219" s="3209"/>
      <c r="T219" s="3209"/>
      <c r="U219" s="3209"/>
      <c r="V219" s="3209"/>
      <c r="W219" s="3209"/>
      <c r="X219" s="3209"/>
      <c r="Y219" s="3209"/>
      <c r="Z219" s="3209"/>
      <c r="AA219" s="3209"/>
      <c r="AB219" s="3209"/>
      <c r="AC219" s="3209"/>
      <c r="AD219" s="3209"/>
      <c r="AE219" s="3209"/>
      <c r="AF219" s="3209"/>
      <c r="AG219" s="3209"/>
      <c r="AH219" s="3209"/>
      <c r="AI219" s="3209"/>
      <c r="AJ219" s="3209"/>
      <c r="AK219" s="3209"/>
      <c r="AL219" s="3209"/>
      <c r="AM219" s="3209"/>
      <c r="AN219" s="3209"/>
      <c r="AO219" s="3209"/>
      <c r="AP219" s="3209"/>
      <c r="AQ219" s="3209"/>
      <c r="AR219" s="3209"/>
      <c r="AS219" s="3209"/>
      <c r="AT219" s="3209"/>
      <c r="AU219" s="3209"/>
      <c r="AV219" s="3209"/>
      <c r="AW219" s="3209"/>
      <c r="AX219" s="3273"/>
      <c r="AY219" s="3273"/>
      <c r="AZ219" s="3273"/>
      <c r="BA219" s="3273"/>
      <c r="BB219" s="3273"/>
      <c r="BC219" s="3273"/>
      <c r="BD219" s="3273"/>
      <c r="BE219" s="3273"/>
      <c r="BF219" s="3273"/>
      <c r="BG219" s="3273"/>
      <c r="BH219" s="3208"/>
      <c r="BJ219" s="3208"/>
      <c r="BK219" s="3275"/>
      <c r="BL219" s="3273"/>
      <c r="BM219" s="3273"/>
      <c r="BN219" s="3273"/>
      <c r="BO219" s="3273"/>
      <c r="BP219" s="3209"/>
      <c r="BQ219" s="3209"/>
      <c r="BR219" s="3209"/>
      <c r="BS219" s="3209"/>
      <c r="BT219" s="3209"/>
      <c r="BU219" s="3209"/>
    </row>
    <row r="220" spans="1:73">
      <c r="A220" s="39"/>
      <c r="B220" s="3208"/>
      <c r="C220" s="3270" t="s">
        <v>578</v>
      </c>
      <c r="D220" s="3270" t="s">
        <v>98</v>
      </c>
      <c r="E220" s="3208" t="s">
        <v>88</v>
      </c>
      <c r="F220" s="3271"/>
      <c r="G220" s="3271"/>
      <c r="H220" s="3272"/>
      <c r="I220" s="3272"/>
      <c r="J220" s="3272"/>
      <c r="K220" s="3272"/>
      <c r="L220" s="3272"/>
      <c r="M220" s="3272"/>
      <c r="N220" s="3272"/>
      <c r="O220" s="3272"/>
      <c r="P220" s="3272"/>
      <c r="Q220" s="3272"/>
      <c r="R220" s="3272"/>
      <c r="S220" s="3272"/>
      <c r="T220" s="3272"/>
      <c r="U220" s="3272"/>
      <c r="V220" s="3272"/>
      <c r="W220" s="3272"/>
      <c r="X220" s="3272"/>
      <c r="Y220" s="3272"/>
      <c r="Z220" s="3272"/>
      <c r="AA220" s="3272"/>
      <c r="AB220" s="3272"/>
      <c r="AC220" s="3272"/>
      <c r="AD220" s="3272"/>
      <c r="AE220" s="3272"/>
      <c r="AF220" s="3272"/>
      <c r="AG220" s="3272"/>
      <c r="AH220" s="3272"/>
      <c r="AI220" s="3272"/>
      <c r="AJ220" s="3272"/>
      <c r="AK220" s="3272"/>
      <c r="AL220" s="3272"/>
      <c r="AM220" s="3272"/>
      <c r="AN220" s="3272"/>
      <c r="AO220" s="3272"/>
      <c r="AP220" s="3272"/>
      <c r="AQ220" s="3272"/>
      <c r="AR220" s="3272"/>
      <c r="AS220" s="3272"/>
      <c r="AT220" s="3272"/>
      <c r="AU220" s="3272"/>
      <c r="AV220" s="3272"/>
      <c r="AW220" s="3272"/>
      <c r="AX220" s="3273"/>
      <c r="AY220" s="3274">
        <f t="shared" ref="AY220:BG222" ca="1" si="45">IFERROR(INDEX(INDIRECT($C220&amp;".Outputs["&amp;AY$4&amp;"]"),MATCH($D220,INDIRECT($C220&amp;".Outputs[Vector]"),0)),"na")</f>
        <v>0.17666666666666667</v>
      </c>
      <c r="AZ220" s="3274">
        <f t="shared" ca="1" si="45"/>
        <v>0.25</v>
      </c>
      <c r="BA220" s="3274">
        <f t="shared" ca="1" si="45"/>
        <v>1.4</v>
      </c>
      <c r="BB220" s="3274">
        <f t="shared" ca="1" si="45"/>
        <v>-15.380254786704254</v>
      </c>
      <c r="BC220" s="3274">
        <f t="shared" ca="1" si="45"/>
        <v>-31.573535256502545</v>
      </c>
      <c r="BD220" s="3274">
        <f t="shared" ca="1" si="45"/>
        <v>-28.014659166197479</v>
      </c>
      <c r="BE220" s="3274">
        <f t="shared" ca="1" si="45"/>
        <v>-45.394088294146343</v>
      </c>
      <c r="BF220" s="3274">
        <f t="shared" ca="1" si="45"/>
        <v>-61.287021708780983</v>
      </c>
      <c r="BG220" s="3274">
        <f t="shared" ca="1" si="45"/>
        <v>-77.532154317257508</v>
      </c>
      <c r="BH220" s="3208"/>
      <c r="BJ220" s="3208"/>
      <c r="BK220" s="3270"/>
      <c r="BL220" s="3270"/>
      <c r="BM220" s="3208"/>
      <c r="BN220" s="3271"/>
      <c r="BO220" s="3271"/>
      <c r="BP220" s="3272"/>
      <c r="BQ220" s="3272"/>
      <c r="BR220" s="3272"/>
      <c r="BS220" s="3272"/>
      <c r="BT220" s="3272"/>
      <c r="BU220" s="3272"/>
    </row>
    <row r="221" spans="1:73">
      <c r="A221" s="39"/>
      <c r="B221" s="3208"/>
      <c r="C221" s="3270" t="s">
        <v>578</v>
      </c>
      <c r="D221" s="3270" t="s">
        <v>99</v>
      </c>
      <c r="E221" s="3208" t="s">
        <v>89</v>
      </c>
      <c r="F221" s="3271"/>
      <c r="G221" s="3271"/>
      <c r="H221" s="3272"/>
      <c r="I221" s="3272"/>
      <c r="J221" s="3272"/>
      <c r="K221" s="3272"/>
      <c r="L221" s="3272"/>
      <c r="M221" s="3272"/>
      <c r="N221" s="3272"/>
      <c r="O221" s="3272"/>
      <c r="P221" s="3272"/>
      <c r="Q221" s="3272"/>
      <c r="R221" s="3272"/>
      <c r="S221" s="3272"/>
      <c r="T221" s="3272"/>
      <c r="U221" s="3272"/>
      <c r="V221" s="3272"/>
      <c r="W221" s="3272"/>
      <c r="X221" s="3272"/>
      <c r="Y221" s="3272"/>
      <c r="Z221" s="3272"/>
      <c r="AA221" s="3272"/>
      <c r="AB221" s="3272"/>
      <c r="AC221" s="3272"/>
      <c r="AD221" s="3272"/>
      <c r="AE221" s="3272"/>
      <c r="AF221" s="3272"/>
      <c r="AG221" s="3272"/>
      <c r="AH221" s="3272"/>
      <c r="AI221" s="3272"/>
      <c r="AJ221" s="3272"/>
      <c r="AK221" s="3272"/>
      <c r="AL221" s="3272"/>
      <c r="AM221" s="3272"/>
      <c r="AN221" s="3272"/>
      <c r="AO221" s="3272"/>
      <c r="AP221" s="3272"/>
      <c r="AQ221" s="3272"/>
      <c r="AR221" s="3272"/>
      <c r="AS221" s="3272"/>
      <c r="AT221" s="3272"/>
      <c r="AU221" s="3272"/>
      <c r="AV221" s="3272"/>
      <c r="AW221" s="3272"/>
      <c r="AX221" s="3273"/>
      <c r="AY221" s="3274">
        <f t="shared" ca="1" si="45"/>
        <v>0.91876999999999998</v>
      </c>
      <c r="AZ221" s="3274">
        <f t="shared" ca="1" si="45"/>
        <v>1.0467</v>
      </c>
      <c r="BA221" s="3274">
        <f t="shared" ca="1" si="45"/>
        <v>1.5119</v>
      </c>
      <c r="BB221" s="3274">
        <f t="shared" ca="1" si="45"/>
        <v>2.4963333333333302</v>
      </c>
      <c r="BC221" s="3274">
        <f t="shared" ca="1" si="45"/>
        <v>3.5970666666666702</v>
      </c>
      <c r="BD221" s="3274">
        <f t="shared" ca="1" si="45"/>
        <v>4.6978</v>
      </c>
      <c r="BE221" s="3274">
        <f t="shared" ca="1" si="45"/>
        <v>5.7985333333333298</v>
      </c>
      <c r="BF221" s="3274">
        <f t="shared" ca="1" si="45"/>
        <v>6.8992666666666702</v>
      </c>
      <c r="BG221" s="3274">
        <f t="shared" ca="1" si="45"/>
        <v>8</v>
      </c>
      <c r="BH221" s="3208"/>
      <c r="BJ221" s="3208"/>
      <c r="BK221" s="3270"/>
      <c r="BL221" s="3270"/>
      <c r="BM221" s="3208"/>
      <c r="BN221" s="3271"/>
      <c r="BO221" s="3271"/>
      <c r="BP221" s="3272"/>
      <c r="BQ221" s="3272"/>
      <c r="BR221" s="3272"/>
      <c r="BS221" s="3272"/>
      <c r="BT221" s="3272"/>
      <c r="BU221" s="3272"/>
    </row>
    <row r="222" spans="1:73">
      <c r="A222" s="39"/>
      <c r="B222" s="3208"/>
      <c r="C222" s="3270" t="s">
        <v>578</v>
      </c>
      <c r="D222" s="3270" t="s">
        <v>100</v>
      </c>
      <c r="E222" s="3208" t="s">
        <v>90</v>
      </c>
      <c r="F222" s="3271"/>
      <c r="G222" s="3271"/>
      <c r="H222" s="3272"/>
      <c r="I222" s="3272"/>
      <c r="J222" s="3272"/>
      <c r="K222" s="3272"/>
      <c r="L222" s="3272"/>
      <c r="M222" s="3272"/>
      <c r="N222" s="3272"/>
      <c r="O222" s="3272"/>
      <c r="P222" s="3272"/>
      <c r="Q222" s="3272"/>
      <c r="R222" s="3272"/>
      <c r="S222" s="3272"/>
      <c r="T222" s="3272"/>
      <c r="U222" s="3272"/>
      <c r="V222" s="3272"/>
      <c r="W222" s="3272"/>
      <c r="X222" s="3272"/>
      <c r="Y222" s="3272"/>
      <c r="Z222" s="3272"/>
      <c r="AA222" s="3272"/>
      <c r="AB222" s="3272"/>
      <c r="AC222" s="3272"/>
      <c r="AD222" s="3272"/>
      <c r="AE222" s="3272"/>
      <c r="AF222" s="3272"/>
      <c r="AG222" s="3272"/>
      <c r="AH222" s="3272"/>
      <c r="AI222" s="3272"/>
      <c r="AJ222" s="3272"/>
      <c r="AK222" s="3272"/>
      <c r="AL222" s="3272"/>
      <c r="AM222" s="3272"/>
      <c r="AN222" s="3272"/>
      <c r="AO222" s="3272"/>
      <c r="AP222" s="3272"/>
      <c r="AQ222" s="3272"/>
      <c r="AR222" s="3272"/>
      <c r="AS222" s="3272"/>
      <c r="AT222" s="3272"/>
      <c r="AU222" s="3272"/>
      <c r="AV222" s="3272"/>
      <c r="AW222" s="3272"/>
      <c r="AX222" s="3273"/>
      <c r="AY222" s="3274">
        <f t="shared" ca="1" si="45"/>
        <v>0</v>
      </c>
      <c r="AZ222" s="3274">
        <f t="shared" ca="1" si="45"/>
        <v>0</v>
      </c>
      <c r="BA222" s="3274">
        <f t="shared" ca="1" si="45"/>
        <v>0</v>
      </c>
      <c r="BB222" s="3274">
        <f t="shared" ca="1" si="45"/>
        <v>0</v>
      </c>
      <c r="BC222" s="3274">
        <f t="shared" ca="1" si="45"/>
        <v>0</v>
      </c>
      <c r="BD222" s="3274">
        <f t="shared" ca="1" si="45"/>
        <v>0</v>
      </c>
      <c r="BE222" s="3274">
        <f t="shared" ca="1" si="45"/>
        <v>0</v>
      </c>
      <c r="BF222" s="3274">
        <f t="shared" ca="1" si="45"/>
        <v>0</v>
      </c>
      <c r="BG222" s="3274">
        <f t="shared" ca="1" si="45"/>
        <v>0</v>
      </c>
      <c r="BH222" s="3208"/>
      <c r="BJ222" s="3208"/>
      <c r="BK222" s="3270"/>
      <c r="BL222" s="3270"/>
      <c r="BM222" s="3208"/>
      <c r="BN222" s="3271"/>
      <c r="BO222" s="3271"/>
      <c r="BP222" s="3272"/>
      <c r="BQ222" s="3272"/>
      <c r="BR222" s="3272"/>
      <c r="BS222" s="3272"/>
      <c r="BT222" s="3272"/>
      <c r="BU222" s="3272"/>
    </row>
    <row r="223" spans="1:73">
      <c r="A223" s="39"/>
      <c r="B223" s="3208"/>
      <c r="C223" s="3208"/>
      <c r="D223" s="3208"/>
      <c r="E223" s="3208"/>
      <c r="F223" s="3208"/>
      <c r="G223" s="3208"/>
      <c r="H223" s="3209"/>
      <c r="I223" s="3209"/>
      <c r="J223" s="3209"/>
      <c r="K223" s="3209"/>
      <c r="L223" s="3209"/>
      <c r="M223" s="3209"/>
      <c r="N223" s="3209"/>
      <c r="O223" s="3209"/>
      <c r="P223" s="3209"/>
      <c r="Q223" s="3209"/>
      <c r="R223" s="3209"/>
      <c r="S223" s="3209"/>
      <c r="T223" s="3209"/>
      <c r="U223" s="3209"/>
      <c r="V223" s="3209"/>
      <c r="W223" s="3209"/>
      <c r="X223" s="3209"/>
      <c r="Y223" s="3209"/>
      <c r="Z223" s="3209"/>
      <c r="AA223" s="3209"/>
      <c r="AB223" s="3209"/>
      <c r="AC223" s="3209"/>
      <c r="AD223" s="3209"/>
      <c r="AE223" s="3209"/>
      <c r="AF223" s="3209"/>
      <c r="AG223" s="3209"/>
      <c r="AH223" s="3209"/>
      <c r="AI223" s="3209"/>
      <c r="AJ223" s="3209"/>
      <c r="AK223" s="3209"/>
      <c r="AL223" s="3209"/>
      <c r="AM223" s="3209"/>
      <c r="AN223" s="3209"/>
      <c r="AO223" s="3209"/>
      <c r="AP223" s="3209"/>
      <c r="AQ223" s="3209"/>
      <c r="AR223" s="3209"/>
      <c r="AS223" s="3209"/>
      <c r="AT223" s="3209"/>
      <c r="AU223" s="3209"/>
      <c r="AV223" s="3209"/>
      <c r="AW223" s="3209"/>
      <c r="AX223" s="3208"/>
      <c r="AY223" s="3208"/>
      <c r="AZ223" s="3208"/>
      <c r="BA223" s="3208"/>
      <c r="BB223" s="3208"/>
      <c r="BC223" s="3208"/>
      <c r="BD223" s="3208"/>
      <c r="BE223" s="3208"/>
      <c r="BF223" s="3208"/>
      <c r="BG223" s="3208"/>
      <c r="BH223" s="3208"/>
      <c r="BJ223" s="3208"/>
      <c r="BK223" s="3208"/>
      <c r="BL223" s="3208"/>
      <c r="BM223" s="3208"/>
      <c r="BN223" s="3208"/>
      <c r="BO223" s="3208"/>
      <c r="BP223" s="3209"/>
      <c r="BQ223" s="3209"/>
      <c r="BR223" s="3209"/>
      <c r="BS223" s="3209"/>
      <c r="BT223" s="3209"/>
      <c r="BU223" s="3209"/>
    </row>
    <row r="224" spans="1:73">
      <c r="A224" s="39"/>
      <c r="B224" s="3208"/>
      <c r="C224" s="3229" t="s">
        <v>59</v>
      </c>
      <c r="D224" s="3208"/>
      <c r="E224" s="3208"/>
      <c r="F224" s="3208"/>
      <c r="G224" s="3208"/>
      <c r="H224" s="3209"/>
      <c r="I224" s="3209"/>
      <c r="J224" s="3209"/>
      <c r="K224" s="3209"/>
      <c r="L224" s="3209"/>
      <c r="M224" s="3209"/>
      <c r="N224" s="3209"/>
      <c r="O224" s="3209"/>
      <c r="P224" s="3209"/>
      <c r="Q224" s="3209"/>
      <c r="R224" s="3209"/>
      <c r="S224" s="3209"/>
      <c r="T224" s="3209"/>
      <c r="U224" s="3209"/>
      <c r="V224" s="3209"/>
      <c r="W224" s="3209"/>
      <c r="X224" s="3209"/>
      <c r="Y224" s="3209"/>
      <c r="Z224" s="3209"/>
      <c r="AA224" s="3209"/>
      <c r="AB224" s="3209"/>
      <c r="AC224" s="3209"/>
      <c r="AD224" s="3209"/>
      <c r="AE224" s="3209"/>
      <c r="AF224" s="3209"/>
      <c r="AG224" s="3209"/>
      <c r="AH224" s="3209"/>
      <c r="AI224" s="3209"/>
      <c r="AJ224" s="3209"/>
      <c r="AK224" s="3209"/>
      <c r="AL224" s="3209"/>
      <c r="AM224" s="3209"/>
      <c r="AN224" s="3209"/>
      <c r="AO224" s="3209"/>
      <c r="AP224" s="3209"/>
      <c r="AQ224" s="3209"/>
      <c r="AR224" s="3209"/>
      <c r="AS224" s="3209"/>
      <c r="AT224" s="3209"/>
      <c r="AU224" s="3209"/>
      <c r="AV224" s="3209"/>
      <c r="AW224" s="3209"/>
      <c r="AX224" s="3208"/>
      <c r="AY224" s="3208"/>
      <c r="AZ224" s="3208"/>
      <c r="BA224" s="3208"/>
      <c r="BB224" s="3208"/>
      <c r="BC224" s="3208"/>
      <c r="BD224" s="3208"/>
      <c r="BE224" s="3208"/>
      <c r="BF224" s="3208"/>
      <c r="BG224" s="3208"/>
      <c r="BH224" s="3208"/>
      <c r="BJ224" s="3208"/>
      <c r="BK224" s="3229"/>
      <c r="BL224" s="3208"/>
      <c r="BM224" s="3208"/>
      <c r="BN224" s="3208"/>
      <c r="BO224" s="3208"/>
      <c r="BP224" s="3209"/>
      <c r="BQ224" s="3209"/>
      <c r="BR224" s="3209"/>
      <c r="BS224" s="3209"/>
      <c r="BT224" s="3209"/>
      <c r="BU224" s="3209"/>
    </row>
    <row r="225" spans="1:73">
      <c r="A225" s="39"/>
      <c r="B225" s="3208"/>
      <c r="C225" s="3270" t="s">
        <v>578</v>
      </c>
      <c r="D225" s="3270" t="s">
        <v>98</v>
      </c>
      <c r="E225" s="3208" t="s">
        <v>88</v>
      </c>
      <c r="F225" s="3271"/>
      <c r="G225" s="3271"/>
      <c r="H225" s="3272"/>
      <c r="I225" s="3272"/>
      <c r="J225" s="3272"/>
      <c r="K225" s="3272"/>
      <c r="L225" s="3272"/>
      <c r="M225" s="3272"/>
      <c r="N225" s="3272"/>
      <c r="O225" s="3272"/>
      <c r="P225" s="3272"/>
      <c r="Q225" s="3272"/>
      <c r="R225" s="3272"/>
      <c r="S225" s="3272"/>
      <c r="T225" s="3272"/>
      <c r="U225" s="3272"/>
      <c r="V225" s="3272"/>
      <c r="W225" s="3272"/>
      <c r="X225" s="3272"/>
      <c r="Y225" s="3272"/>
      <c r="Z225" s="3272"/>
      <c r="AA225" s="3272"/>
      <c r="AB225" s="3272"/>
      <c r="AC225" s="3272"/>
      <c r="AD225" s="3272"/>
      <c r="AE225" s="3272"/>
      <c r="AF225" s="3272"/>
      <c r="AG225" s="3272"/>
      <c r="AH225" s="3272"/>
      <c r="AI225" s="3272"/>
      <c r="AJ225" s="3272"/>
      <c r="AK225" s="3272"/>
      <c r="AL225" s="3272"/>
      <c r="AM225" s="3272"/>
      <c r="AN225" s="3272"/>
      <c r="AO225" s="3272"/>
      <c r="AP225" s="3272"/>
      <c r="AQ225" s="3272"/>
      <c r="AR225" s="3272"/>
      <c r="AS225" s="3272"/>
      <c r="AT225" s="3272"/>
      <c r="AU225" s="3272"/>
      <c r="AV225" s="3272"/>
      <c r="AW225" s="3272"/>
      <c r="AX225" s="3208"/>
      <c r="AY225" s="3220">
        <f t="shared" ref="AY225:BG227" ca="1" si="46">AY215+AY220</f>
        <v>0.71935780481966682</v>
      </c>
      <c r="AZ225" s="3220">
        <f t="shared" ca="1" si="46"/>
        <v>3.8497577180337856</v>
      </c>
      <c r="BA225" s="3220">
        <f t="shared" ca="1" si="46"/>
        <v>14.029791105809554</v>
      </c>
      <c r="BB225" s="3220">
        <f t="shared" ca="1" si="46"/>
        <v>10.924447090064488</v>
      </c>
      <c r="BC225" s="3220">
        <f t="shared" ca="1" si="46"/>
        <v>7.3833809460243174</v>
      </c>
      <c r="BD225" s="3220">
        <f t="shared" ca="1" si="46"/>
        <v>25.062916527922088</v>
      </c>
      <c r="BE225" s="3220">
        <f t="shared" ca="1" si="46"/>
        <v>26.552829881435457</v>
      </c>
      <c r="BF225" s="3220">
        <f t="shared" ca="1" si="46"/>
        <v>26.608380914267954</v>
      </c>
      <c r="BG225" s="3220">
        <f t="shared" ca="1" si="46"/>
        <v>26.675755503624643</v>
      </c>
      <c r="BH225" s="3208"/>
      <c r="BJ225" s="3208"/>
      <c r="BK225" s="3270"/>
      <c r="BL225" s="3270"/>
      <c r="BM225" s="3208"/>
      <c r="BN225" s="3271"/>
      <c r="BO225" s="3271"/>
      <c r="BP225" s="3272"/>
      <c r="BQ225" s="3272"/>
      <c r="BR225" s="3272"/>
      <c r="BS225" s="3272"/>
      <c r="BT225" s="3272"/>
      <c r="BU225" s="3272"/>
    </row>
    <row r="226" spans="1:73">
      <c r="A226" s="39"/>
      <c r="B226" s="3208"/>
      <c r="C226" s="3270" t="s">
        <v>578</v>
      </c>
      <c r="D226" s="3270" t="s">
        <v>99</v>
      </c>
      <c r="E226" s="3208" t="s">
        <v>89</v>
      </c>
      <c r="F226" s="3271"/>
      <c r="G226" s="3271"/>
      <c r="H226" s="3272"/>
      <c r="I226" s="3272"/>
      <c r="J226" s="3272"/>
      <c r="K226" s="3272"/>
      <c r="L226" s="3272"/>
      <c r="M226" s="3272"/>
      <c r="N226" s="3272"/>
      <c r="O226" s="3272"/>
      <c r="P226" s="3272"/>
      <c r="Q226" s="3272"/>
      <c r="R226" s="3272"/>
      <c r="S226" s="3272"/>
      <c r="T226" s="3272"/>
      <c r="U226" s="3272"/>
      <c r="V226" s="3272"/>
      <c r="W226" s="3272"/>
      <c r="X226" s="3272"/>
      <c r="Y226" s="3272"/>
      <c r="Z226" s="3272"/>
      <c r="AA226" s="3272"/>
      <c r="AB226" s="3272"/>
      <c r="AC226" s="3272"/>
      <c r="AD226" s="3272"/>
      <c r="AE226" s="3272"/>
      <c r="AF226" s="3272"/>
      <c r="AG226" s="3272"/>
      <c r="AH226" s="3272"/>
      <c r="AI226" s="3272"/>
      <c r="AJ226" s="3272"/>
      <c r="AK226" s="3272"/>
      <c r="AL226" s="3272"/>
      <c r="AM226" s="3272"/>
      <c r="AN226" s="3272"/>
      <c r="AO226" s="3272"/>
      <c r="AP226" s="3272"/>
      <c r="AQ226" s="3272"/>
      <c r="AR226" s="3272"/>
      <c r="AS226" s="3272"/>
      <c r="AT226" s="3272"/>
      <c r="AU226" s="3272"/>
      <c r="AV226" s="3272"/>
      <c r="AW226" s="3272"/>
      <c r="AX226" s="3208"/>
      <c r="AY226" s="3220">
        <f t="shared" ca="1" si="46"/>
        <v>0.96325499999999997</v>
      </c>
      <c r="AZ226" s="3220">
        <f t="shared" ca="1" si="46"/>
        <v>1.101728044762011</v>
      </c>
      <c r="BA226" s="3220">
        <f t="shared" ca="1" si="46"/>
        <v>1.5953072417998606</v>
      </c>
      <c r="BB226" s="3220">
        <f t="shared" ca="1" si="46"/>
        <v>2.6134271531647091</v>
      </c>
      <c r="BC226" s="3220">
        <f t="shared" ca="1" si="46"/>
        <v>3.7496425337946544</v>
      </c>
      <c r="BD226" s="3220">
        <f t="shared" ca="1" si="46"/>
        <v>4.8895539554269201</v>
      </c>
      <c r="BE226" s="3220">
        <f t="shared" ca="1" si="46"/>
        <v>6.0334693084075708</v>
      </c>
      <c r="BF226" s="3220">
        <f t="shared" ca="1" si="46"/>
        <v>7.1817196795418443</v>
      </c>
      <c r="BG226" s="3220">
        <f t="shared" ca="1" si="46"/>
        <v>8.334661002248648</v>
      </c>
      <c r="BH226" s="3208"/>
      <c r="BJ226" s="3208"/>
      <c r="BK226" s="3270"/>
      <c r="BL226" s="3270"/>
      <c r="BM226" s="3208"/>
      <c r="BN226" s="3271"/>
      <c r="BO226" s="3271"/>
      <c r="BP226" s="3272"/>
      <c r="BQ226" s="3272"/>
      <c r="BR226" s="3272"/>
      <c r="BS226" s="3272"/>
      <c r="BT226" s="3272"/>
      <c r="BU226" s="3272"/>
    </row>
    <row r="227" spans="1:73">
      <c r="A227" s="39"/>
      <c r="B227" s="3208"/>
      <c r="C227" s="3270" t="s">
        <v>578</v>
      </c>
      <c r="D227" s="3270" t="s">
        <v>100</v>
      </c>
      <c r="E227" s="3208" t="s">
        <v>90</v>
      </c>
      <c r="F227" s="3271"/>
      <c r="G227" s="3271"/>
      <c r="H227" s="3272"/>
      <c r="I227" s="3272"/>
      <c r="J227" s="3272"/>
      <c r="K227" s="3272"/>
      <c r="L227" s="3272"/>
      <c r="M227" s="3272"/>
      <c r="N227" s="3272"/>
      <c r="O227" s="3272"/>
      <c r="P227" s="3272"/>
      <c r="Q227" s="3272"/>
      <c r="R227" s="3272"/>
      <c r="S227" s="3272"/>
      <c r="T227" s="3272"/>
      <c r="U227" s="3272"/>
      <c r="V227" s="3272"/>
      <c r="W227" s="3272"/>
      <c r="X227" s="3272"/>
      <c r="Y227" s="3272"/>
      <c r="Z227" s="3272"/>
      <c r="AA227" s="3272"/>
      <c r="AB227" s="3272"/>
      <c r="AC227" s="3272"/>
      <c r="AD227" s="3272"/>
      <c r="AE227" s="3272"/>
      <c r="AF227" s="3272"/>
      <c r="AG227" s="3272"/>
      <c r="AH227" s="3272"/>
      <c r="AI227" s="3272"/>
      <c r="AJ227" s="3272"/>
      <c r="AK227" s="3272"/>
      <c r="AL227" s="3272"/>
      <c r="AM227" s="3272"/>
      <c r="AN227" s="3272"/>
      <c r="AO227" s="3272"/>
      <c r="AP227" s="3272"/>
      <c r="AQ227" s="3272"/>
      <c r="AR227" s="3272"/>
      <c r="AS227" s="3272"/>
      <c r="AT227" s="3272"/>
      <c r="AU227" s="3272"/>
      <c r="AV227" s="3272"/>
      <c r="AW227" s="3272"/>
      <c r="AX227" s="3208"/>
      <c r="AY227" s="3220">
        <f t="shared" ca="1" si="46"/>
        <v>0.22774455378050898</v>
      </c>
      <c r="AZ227" s="3220">
        <f t="shared" ca="1" si="46"/>
        <v>0.36184126233438352</v>
      </c>
      <c r="BA227" s="3220">
        <f t="shared" ca="1" si="46"/>
        <v>1.2809073708829677</v>
      </c>
      <c r="BB227" s="3220">
        <f t="shared" ca="1" si="46"/>
        <v>2.7367354408428457</v>
      </c>
      <c r="BC227" s="3220">
        <f t="shared" ca="1" si="46"/>
        <v>6.8882063731063781</v>
      </c>
      <c r="BD227" s="3220">
        <f t="shared" ca="1" si="46"/>
        <v>10.241779129231292</v>
      </c>
      <c r="BE227" s="3220">
        <f t="shared" ca="1" si="46"/>
        <v>15.401266021886139</v>
      </c>
      <c r="BF227" s="3220">
        <f t="shared" ca="1" si="46"/>
        <v>19.887599646208944</v>
      </c>
      <c r="BG227" s="3220">
        <f t="shared" ca="1" si="46"/>
        <v>23.824090611859152</v>
      </c>
      <c r="BH227" s="3208"/>
      <c r="BJ227" s="3208"/>
      <c r="BK227" s="3270"/>
      <c r="BL227" s="3270"/>
      <c r="BM227" s="3208"/>
      <c r="BN227" s="3271"/>
      <c r="BO227" s="3271"/>
      <c r="BP227" s="3272"/>
      <c r="BQ227" s="3272"/>
      <c r="BR227" s="3272"/>
      <c r="BS227" s="3272"/>
      <c r="BT227" s="3272"/>
      <c r="BU227" s="3272"/>
    </row>
    <row r="228" spans="1:73">
      <c r="A228" s="39"/>
      <c r="B228" s="3208"/>
      <c r="C228" s="3208"/>
      <c r="D228" s="3208"/>
      <c r="E228" s="3208"/>
      <c r="F228" s="3208"/>
      <c r="G228" s="3208"/>
      <c r="H228" s="3209"/>
      <c r="I228" s="3209"/>
      <c r="J228" s="3209"/>
      <c r="K228" s="3209"/>
      <c r="L228" s="3209"/>
      <c r="M228" s="3209"/>
      <c r="N228" s="3209"/>
      <c r="O228" s="3209"/>
      <c r="P228" s="3209"/>
      <c r="Q228" s="3209"/>
      <c r="R228" s="3209"/>
      <c r="S228" s="3209"/>
      <c r="T228" s="3209"/>
      <c r="U228" s="3209"/>
      <c r="V228" s="3209"/>
      <c r="W228" s="3209"/>
      <c r="X228" s="3209"/>
      <c r="Y228" s="3209"/>
      <c r="Z228" s="3209"/>
      <c r="AA228" s="3209"/>
      <c r="AB228" s="3209"/>
      <c r="AC228" s="3209"/>
      <c r="AD228" s="3209"/>
      <c r="AE228" s="3209"/>
      <c r="AF228" s="3209"/>
      <c r="AG228" s="3209"/>
      <c r="AH228" s="3209"/>
      <c r="AI228" s="3209"/>
      <c r="AJ228" s="3209"/>
      <c r="AK228" s="3209"/>
      <c r="AL228" s="3209"/>
      <c r="AM228" s="3209"/>
      <c r="AN228" s="3209"/>
      <c r="AO228" s="3209"/>
      <c r="AP228" s="3209"/>
      <c r="AQ228" s="3209"/>
      <c r="AR228" s="3209"/>
      <c r="AS228" s="3209"/>
      <c r="AT228" s="3209"/>
      <c r="AU228" s="3209"/>
      <c r="AV228" s="3209"/>
      <c r="AW228" s="3209"/>
      <c r="AX228" s="3208"/>
      <c r="AY228" s="3208"/>
      <c r="AZ228" s="3208"/>
      <c r="BA228" s="3208"/>
      <c r="BB228" s="3208"/>
      <c r="BC228" s="3208"/>
      <c r="BD228" s="3208"/>
      <c r="BE228" s="3208"/>
      <c r="BF228" s="3208"/>
      <c r="BG228" s="3208"/>
      <c r="BH228" s="3208"/>
      <c r="BJ228" s="3208"/>
      <c r="BK228" s="3208"/>
      <c r="BL228" s="3208"/>
      <c r="BM228" s="3208"/>
      <c r="BN228" s="3208"/>
      <c r="BO228" s="3208"/>
      <c r="BP228" s="3209"/>
      <c r="BQ228" s="3209"/>
      <c r="BR228" s="3209"/>
      <c r="BS228" s="3209"/>
      <c r="BT228" s="3209"/>
      <c r="BU228" s="3209"/>
    </row>
    <row r="229" spans="1:73">
      <c r="A229" s="39"/>
      <c r="B229" s="3276" t="s">
        <v>2566</v>
      </c>
      <c r="C229" s="3273"/>
      <c r="D229" s="3273"/>
      <c r="E229" s="3273"/>
      <c r="F229" s="3273"/>
      <c r="G229" s="3273"/>
      <c r="H229" s="3209"/>
      <c r="I229" s="3209"/>
      <c r="J229" s="3209"/>
      <c r="K229" s="3209"/>
      <c r="L229" s="3209"/>
      <c r="M229" s="3209"/>
      <c r="N229" s="3209"/>
      <c r="O229" s="3209"/>
      <c r="P229" s="3209"/>
      <c r="Q229" s="3209"/>
      <c r="R229" s="3209"/>
      <c r="S229" s="3209"/>
      <c r="T229" s="3209"/>
      <c r="U229" s="3209"/>
      <c r="V229" s="3209"/>
      <c r="W229" s="3209"/>
      <c r="X229" s="3209"/>
      <c r="Y229" s="3209"/>
      <c r="Z229" s="3209"/>
      <c r="AA229" s="3209"/>
      <c r="AB229" s="3209"/>
      <c r="AC229" s="3209"/>
      <c r="AD229" s="3209"/>
      <c r="AE229" s="3209"/>
      <c r="AF229" s="3209"/>
      <c r="AG229" s="3209"/>
      <c r="AH229" s="3209"/>
      <c r="AI229" s="3209"/>
      <c r="AJ229" s="3209"/>
      <c r="AK229" s="3209"/>
      <c r="AL229" s="3209"/>
      <c r="AM229" s="3209"/>
      <c r="AN229" s="3209"/>
      <c r="AO229" s="3209"/>
      <c r="AP229" s="3209"/>
      <c r="AQ229" s="3209"/>
      <c r="AR229" s="3209"/>
      <c r="AS229" s="3209"/>
      <c r="AT229" s="3209"/>
      <c r="AU229" s="3209"/>
      <c r="AV229" s="3209"/>
      <c r="AW229" s="3209"/>
      <c r="AX229" s="3273"/>
      <c r="AY229" s="3273" t="s">
        <v>2567</v>
      </c>
      <c r="AZ229" s="3273"/>
      <c r="BA229" s="3273"/>
      <c r="BB229" s="3273"/>
      <c r="BC229" s="3273"/>
      <c r="BD229" s="3273"/>
      <c r="BE229" s="3273"/>
      <c r="BF229" s="3273"/>
      <c r="BG229" s="3273"/>
      <c r="BH229" s="3208"/>
      <c r="BJ229" s="3276"/>
      <c r="BK229" s="3273"/>
      <c r="BL229" s="3273"/>
      <c r="BM229" s="3273"/>
      <c r="BN229" s="3273"/>
      <c r="BO229" s="3273"/>
      <c r="BP229" s="3209"/>
      <c r="BQ229" s="3209"/>
      <c r="BR229" s="3209"/>
      <c r="BS229" s="3209"/>
      <c r="BT229" s="3209"/>
      <c r="BU229" s="3209"/>
    </row>
    <row r="230" spans="1:73">
      <c r="A230" s="39"/>
      <c r="B230" s="3208"/>
      <c r="C230" s="3208"/>
      <c r="D230" s="3208"/>
      <c r="E230" s="3208"/>
      <c r="F230" s="3208"/>
      <c r="G230" s="3208"/>
      <c r="H230" s="3209"/>
      <c r="I230" s="3209"/>
      <c r="J230" s="3209"/>
      <c r="K230" s="3209"/>
      <c r="L230" s="3209"/>
      <c r="M230" s="3209"/>
      <c r="N230" s="3209"/>
      <c r="O230" s="3209"/>
      <c r="P230" s="3209"/>
      <c r="Q230" s="3209"/>
      <c r="R230" s="3209"/>
      <c r="S230" s="3209"/>
      <c r="T230" s="3209"/>
      <c r="U230" s="3209"/>
      <c r="V230" s="3209"/>
      <c r="W230" s="3209"/>
      <c r="X230" s="3209"/>
      <c r="Y230" s="3209"/>
      <c r="Z230" s="3209"/>
      <c r="AA230" s="3209"/>
      <c r="AB230" s="3209"/>
      <c r="AC230" s="3209"/>
      <c r="AD230" s="3209"/>
      <c r="AE230" s="3209"/>
      <c r="AF230" s="3209"/>
      <c r="AG230" s="3209"/>
      <c r="AH230" s="3209"/>
      <c r="AI230" s="3209"/>
      <c r="AJ230" s="3209"/>
      <c r="AK230" s="3209"/>
      <c r="AL230" s="3209"/>
      <c r="AM230" s="3209"/>
      <c r="AN230" s="3209"/>
      <c r="AO230" s="3209"/>
      <c r="AP230" s="3209"/>
      <c r="AQ230" s="3209"/>
      <c r="AR230" s="3209"/>
      <c r="AS230" s="3209"/>
      <c r="AT230" s="3209"/>
      <c r="AU230" s="3209"/>
      <c r="AV230" s="3209"/>
      <c r="AW230" s="3209"/>
      <c r="AX230" s="3208"/>
      <c r="AY230" s="3208"/>
      <c r="AZ230" s="3208"/>
      <c r="BA230" s="3208"/>
      <c r="BB230" s="3208"/>
      <c r="BC230" s="3208"/>
      <c r="BD230" s="3208"/>
      <c r="BE230" s="3208"/>
      <c r="BF230" s="3208"/>
      <c r="BG230" s="3208"/>
      <c r="BH230" s="3208"/>
      <c r="BJ230" s="3208"/>
      <c r="BK230" s="3208"/>
      <c r="BL230" s="3208"/>
      <c r="BM230" s="3208"/>
      <c r="BN230" s="3208"/>
      <c r="BO230" s="3208"/>
      <c r="BP230" s="3209"/>
      <c r="BQ230" s="3209"/>
      <c r="BR230" s="3209"/>
      <c r="BS230" s="3209"/>
      <c r="BT230" s="3209"/>
      <c r="BU230" s="3209"/>
    </row>
    <row r="231" spans="1:73">
      <c r="A231" s="39"/>
      <c r="B231" s="3208"/>
      <c r="C231" s="3277" t="s">
        <v>2568</v>
      </c>
      <c r="D231" s="3273"/>
      <c r="E231" s="3273"/>
      <c r="F231" s="3273"/>
      <c r="G231" s="3273"/>
      <c r="H231" s="3209"/>
      <c r="I231" s="3209"/>
      <c r="J231" s="3209"/>
      <c r="K231" s="3209"/>
      <c r="L231" s="3209"/>
      <c r="M231" s="3209"/>
      <c r="N231" s="3209"/>
      <c r="O231" s="3209"/>
      <c r="P231" s="3209"/>
      <c r="Q231" s="3209"/>
      <c r="R231" s="3209"/>
      <c r="S231" s="3209"/>
      <c r="T231" s="3209"/>
      <c r="U231" s="3209"/>
      <c r="V231" s="3209"/>
      <c r="W231" s="3209"/>
      <c r="X231" s="3209"/>
      <c r="Y231" s="3209"/>
      <c r="Z231" s="3209"/>
      <c r="AA231" s="3209"/>
      <c r="AB231" s="3209"/>
      <c r="AC231" s="3209"/>
      <c r="AD231" s="3209"/>
      <c r="AE231" s="3209"/>
      <c r="AF231" s="3209"/>
      <c r="AG231" s="3209"/>
      <c r="AH231" s="3209"/>
      <c r="AI231" s="3209"/>
      <c r="AJ231" s="3209"/>
      <c r="AK231" s="3209"/>
      <c r="AL231" s="3209"/>
      <c r="AM231" s="3209"/>
      <c r="AN231" s="3209"/>
      <c r="AO231" s="3209"/>
      <c r="AP231" s="3209"/>
      <c r="AQ231" s="3209"/>
      <c r="AR231" s="3209"/>
      <c r="AS231" s="3209"/>
      <c r="AT231" s="3209"/>
      <c r="AU231" s="3209"/>
      <c r="AV231" s="3209"/>
      <c r="AW231" s="3209"/>
      <c r="AX231" s="3273"/>
      <c r="AY231" s="3278">
        <f t="shared" ref="AY231:BG231" ca="1" si="47">-(INDEX(INDIRECT(AY$214&amp;"!Year.Matrix"),MATCH("Subtotal.Supply",INDIRECT(AY$214&amp;"!Year.Modules"),0),MATCH("V.03",INDIRECT(AY$214&amp;"!Year.Vectors"),0))+INDEX(INDIRECT(AY$214&amp;"!Year.Matrix"),MATCH("Subtotal.Consumption",INDIRECT(AY$214&amp;"!Year.Modules"),0),MATCH("V.03",INDIRECT(AY$214&amp;"!Year.Vectors"),0)))</f>
        <v>23.785388252829463</v>
      </c>
      <c r="AZ231" s="3278">
        <f t="shared" ca="1" si="47"/>
        <v>24.283329943926542</v>
      </c>
      <c r="BA231" s="3278">
        <f t="shared" ca="1" si="47"/>
        <v>16.777250665890641</v>
      </c>
      <c r="BB231" s="3278">
        <f t="shared" ca="1" si="47"/>
        <v>10.924447090064488</v>
      </c>
      <c r="BC231" s="3278">
        <f t="shared" ca="1" si="47"/>
        <v>7.3833809460243156</v>
      </c>
      <c r="BD231" s="3278">
        <f t="shared" ca="1" si="47"/>
        <v>25.062916527922088</v>
      </c>
      <c r="BE231" s="3278">
        <f t="shared" ca="1" si="47"/>
        <v>26.552829881435457</v>
      </c>
      <c r="BF231" s="3278">
        <f t="shared" ca="1" si="47"/>
        <v>26.608380914267954</v>
      </c>
      <c r="BG231" s="3278">
        <f t="shared" ca="1" si="47"/>
        <v>26.675755503624643</v>
      </c>
      <c r="BH231" s="3208"/>
      <c r="BJ231" s="3208"/>
      <c r="BK231" s="3277"/>
      <c r="BL231" s="3273"/>
      <c r="BM231" s="3273"/>
      <c r="BN231" s="3273"/>
      <c r="BO231" s="3273"/>
      <c r="BP231" s="3209"/>
      <c r="BQ231" s="3209"/>
      <c r="BR231" s="3209"/>
      <c r="BS231" s="3209"/>
      <c r="BT231" s="3209"/>
      <c r="BU231" s="3209"/>
    </row>
    <row r="232" spans="1:73">
      <c r="A232" s="39"/>
      <c r="B232" s="3208"/>
      <c r="C232" s="3279" t="s">
        <v>580</v>
      </c>
      <c r="D232" s="3277" t="s">
        <v>2569</v>
      </c>
      <c r="E232" s="3273"/>
      <c r="F232" s="3273"/>
      <c r="G232" s="3273"/>
      <c r="H232" s="3209"/>
      <c r="I232" s="3209"/>
      <c r="J232" s="3209"/>
      <c r="K232" s="3209"/>
      <c r="L232" s="3209"/>
      <c r="M232" s="3209"/>
      <c r="N232" s="3209"/>
      <c r="O232" s="3209"/>
      <c r="P232" s="3209"/>
      <c r="Q232" s="3209"/>
      <c r="R232" s="3209"/>
      <c r="S232" s="3209"/>
      <c r="T232" s="3209"/>
      <c r="U232" s="3209"/>
      <c r="V232" s="3209"/>
      <c r="W232" s="3209"/>
      <c r="X232" s="3209"/>
      <c r="Y232" s="3209"/>
      <c r="Z232" s="3209"/>
      <c r="AA232" s="3209"/>
      <c r="AB232" s="3209"/>
      <c r="AC232" s="3209"/>
      <c r="AD232" s="3209"/>
      <c r="AE232" s="3209"/>
      <c r="AF232" s="3209"/>
      <c r="AG232" s="3209"/>
      <c r="AH232" s="3209"/>
      <c r="AI232" s="3209"/>
      <c r="AJ232" s="3209"/>
      <c r="AK232" s="3209"/>
      <c r="AL232" s="3209"/>
      <c r="AM232" s="3209"/>
      <c r="AN232" s="3209"/>
      <c r="AO232" s="3209"/>
      <c r="AP232" s="3209"/>
      <c r="AQ232" s="3209"/>
      <c r="AR232" s="3209"/>
      <c r="AS232" s="3209"/>
      <c r="AT232" s="3209"/>
      <c r="AU232" s="3209"/>
      <c r="AV232" s="3209"/>
      <c r="AW232" s="3209"/>
      <c r="AX232" s="3273"/>
      <c r="AY232" s="3280">
        <f t="shared" ref="AY232:BG232" ca="1" si="48">INDEX(INDIRECT(AY$214&amp;"!Year.Matrix"),MATCH($C232,INDIRECT(AY$214&amp;"!Year.Modules"),0),MATCH("V.03",INDIRECT(AY$214&amp;"!Year.Vectors"),0))/AY$231</f>
        <v>3.0243685626367416E-2</v>
      </c>
      <c r="AZ232" s="3280">
        <f t="shared" ca="1" si="48"/>
        <v>0.158535000221279</v>
      </c>
      <c r="BA232" s="3280">
        <f t="shared" ca="1" si="48"/>
        <v>0.8362389872574969</v>
      </c>
      <c r="BB232" s="3280">
        <f t="shared" ca="1" si="48"/>
        <v>1</v>
      </c>
      <c r="BC232" s="3280">
        <f t="shared" ca="1" si="48"/>
        <v>1.0000000000000002</v>
      </c>
      <c r="BD232" s="3280">
        <f t="shared" ca="1" si="48"/>
        <v>1</v>
      </c>
      <c r="BE232" s="3280">
        <f t="shared" ca="1" si="48"/>
        <v>1</v>
      </c>
      <c r="BF232" s="3280">
        <f t="shared" ca="1" si="48"/>
        <v>1</v>
      </c>
      <c r="BG232" s="3280">
        <f t="shared" ca="1" si="48"/>
        <v>1</v>
      </c>
      <c r="BH232" s="3208"/>
      <c r="BJ232" s="3208"/>
      <c r="BK232" s="3279" t="s">
        <v>5</v>
      </c>
      <c r="BL232" s="3277"/>
      <c r="BM232" s="3273"/>
      <c r="BN232" s="3273"/>
      <c r="BO232" s="3273"/>
      <c r="BP232" s="3209"/>
      <c r="BQ232" s="3209"/>
      <c r="BR232" s="3209"/>
      <c r="BS232" s="3209"/>
      <c r="BT232" s="3209"/>
      <c r="BU232" s="3209"/>
    </row>
    <row r="233" spans="1:73">
      <c r="A233" s="39"/>
      <c r="B233" s="3208"/>
      <c r="C233" s="3281" t="s">
        <v>553</v>
      </c>
      <c r="D233" s="3282" t="s">
        <v>554</v>
      </c>
      <c r="E233" s="3273"/>
      <c r="F233" s="3273"/>
      <c r="G233" s="3273"/>
      <c r="H233" s="3209"/>
      <c r="I233" s="3209"/>
      <c r="J233" s="3209"/>
      <c r="K233" s="3209"/>
      <c r="L233" s="3209"/>
      <c r="M233" s="3209"/>
      <c r="N233" s="3209"/>
      <c r="O233" s="3209"/>
      <c r="P233" s="3209"/>
      <c r="Q233" s="3209"/>
      <c r="R233" s="3209"/>
      <c r="S233" s="3209"/>
      <c r="T233" s="3209"/>
      <c r="U233" s="3209"/>
      <c r="V233" s="3209"/>
      <c r="W233" s="3209"/>
      <c r="X233" s="3209"/>
      <c r="Y233" s="3209"/>
      <c r="Z233" s="3209"/>
      <c r="AA233" s="3209"/>
      <c r="AB233" s="3209"/>
      <c r="AC233" s="3209"/>
      <c r="AD233" s="3209"/>
      <c r="AE233" s="3209"/>
      <c r="AF233" s="3209"/>
      <c r="AG233" s="3209"/>
      <c r="AH233" s="3209"/>
      <c r="AI233" s="3209"/>
      <c r="AJ233" s="3209"/>
      <c r="AK233" s="3272"/>
      <c r="AL233" s="3272"/>
      <c r="AM233" s="3272"/>
      <c r="AN233" s="3272"/>
      <c r="AO233" s="3272"/>
      <c r="AP233" s="3272"/>
      <c r="AQ233" s="3272"/>
      <c r="AR233" s="3272"/>
      <c r="AS233" s="3272"/>
      <c r="AT233" s="3272"/>
      <c r="AU233" s="3272"/>
      <c r="AV233" s="3272"/>
      <c r="AW233" s="3209"/>
      <c r="AX233" s="3273"/>
      <c r="AY233" s="3283">
        <f t="shared" ref="AY233:BG236" ca="1" si="49">-INDEX(INDIRECT(AY$214&amp;"!Year.Matrix"),MATCH($C233,INDIRECT(AY$214&amp;"!Year.Modules"),0),MATCH("V.03",INDIRECT(AY$214&amp;"!Year.Vectors"),0))</f>
        <v>0</v>
      </c>
      <c r="AZ233" s="3283">
        <f t="shared" ca="1" si="49"/>
        <v>0</v>
      </c>
      <c r="BA233" s="3283">
        <f t="shared" ca="1" si="49"/>
        <v>0</v>
      </c>
      <c r="BB233" s="3283">
        <f t="shared" ca="1" si="49"/>
        <v>0</v>
      </c>
      <c r="BC233" s="3283">
        <f t="shared" ca="1" si="49"/>
        <v>0</v>
      </c>
      <c r="BD233" s="3283">
        <f t="shared" ca="1" si="49"/>
        <v>0</v>
      </c>
      <c r="BE233" s="3283">
        <f t="shared" ca="1" si="49"/>
        <v>0</v>
      </c>
      <c r="BF233" s="3283">
        <f t="shared" ca="1" si="49"/>
        <v>0</v>
      </c>
      <c r="BG233" s="3283">
        <f t="shared" ca="1" si="49"/>
        <v>0</v>
      </c>
      <c r="BH233" s="3208"/>
      <c r="BJ233" s="3208"/>
      <c r="BK233" s="3281"/>
      <c r="BL233" s="3282"/>
      <c r="BM233" s="3273"/>
      <c r="BN233" s="3273"/>
      <c r="BO233" s="3273"/>
      <c r="BP233" s="3209"/>
      <c r="BQ233" s="3209"/>
      <c r="BR233" s="3209"/>
      <c r="BS233" s="3209"/>
      <c r="BT233" s="3209"/>
      <c r="BU233" s="3209"/>
    </row>
    <row r="234" spans="1:73">
      <c r="A234" s="39"/>
      <c r="B234" s="3208"/>
      <c r="C234" s="3281" t="s">
        <v>556</v>
      </c>
      <c r="D234" s="3282" t="s">
        <v>557</v>
      </c>
      <c r="E234" s="3273"/>
      <c r="F234" s="3273"/>
      <c r="G234" s="3273"/>
      <c r="H234" s="3209"/>
      <c r="I234" s="3209"/>
      <c r="J234" s="3209"/>
      <c r="K234" s="3209"/>
      <c r="L234" s="3209"/>
      <c r="M234" s="3209"/>
      <c r="N234" s="3209"/>
      <c r="O234" s="3209"/>
      <c r="P234" s="3209"/>
      <c r="Q234" s="3209"/>
      <c r="R234" s="3209"/>
      <c r="S234" s="3209"/>
      <c r="T234" s="3209"/>
      <c r="U234" s="3209"/>
      <c r="V234" s="3209"/>
      <c r="W234" s="3209"/>
      <c r="X234" s="3209"/>
      <c r="Y234" s="3209"/>
      <c r="Z234" s="3209"/>
      <c r="AA234" s="3209"/>
      <c r="AB234" s="3209"/>
      <c r="AC234" s="3209"/>
      <c r="AD234" s="3209"/>
      <c r="AE234" s="3209"/>
      <c r="AF234" s="3209"/>
      <c r="AG234" s="3209"/>
      <c r="AH234" s="3209"/>
      <c r="AI234" s="3209"/>
      <c r="AJ234" s="3209"/>
      <c r="AK234" s="3272"/>
      <c r="AL234" s="3272"/>
      <c r="AM234" s="3272"/>
      <c r="AN234" s="3272"/>
      <c r="AO234" s="3272"/>
      <c r="AP234" s="3272"/>
      <c r="AQ234" s="3272"/>
      <c r="AR234" s="3272"/>
      <c r="AS234" s="3272"/>
      <c r="AT234" s="3272"/>
      <c r="AU234" s="3272"/>
      <c r="AV234" s="3272"/>
      <c r="AW234" s="3209"/>
      <c r="AX234" s="3273"/>
      <c r="AY234" s="3283">
        <f t="shared" ca="1" si="49"/>
        <v>19.930507628592196</v>
      </c>
      <c r="AZ234" s="3283">
        <f t="shared" ca="1" si="49"/>
        <v>20.542670935872795</v>
      </c>
      <c r="BA234" s="3283">
        <f t="shared" ca="1" si="49"/>
        <v>13.041880794577088</v>
      </c>
      <c r="BB234" s="3283">
        <f t="shared" ca="1" si="49"/>
        <v>7.1740178123657694</v>
      </c>
      <c r="BC234" s="3283">
        <f t="shared" ca="1" si="49"/>
        <v>3.6115919999999999</v>
      </c>
      <c r="BD234" s="3283">
        <f t="shared" ca="1" si="49"/>
        <v>21.256798628571431</v>
      </c>
      <c r="BE234" s="3283">
        <f t="shared" ca="1" si="49"/>
        <v>22.701435428571433</v>
      </c>
      <c r="BF234" s="3283">
        <f t="shared" ca="1" si="49"/>
        <v>22.701435428571433</v>
      </c>
      <c r="BG234" s="3283">
        <f t="shared" ca="1" si="49"/>
        <v>22.701435428571433</v>
      </c>
      <c r="BH234" s="3208"/>
      <c r="BJ234" s="3208"/>
      <c r="BK234" s="3281"/>
      <c r="BL234" s="3282"/>
      <c r="BM234" s="3273"/>
      <c r="BN234" s="3273"/>
      <c r="BO234" s="3273"/>
      <c r="BP234" s="3209"/>
      <c r="BQ234" s="3209"/>
      <c r="BR234" s="3209"/>
      <c r="BS234" s="3209"/>
      <c r="BT234" s="3209"/>
      <c r="BU234" s="3209"/>
    </row>
    <row r="235" spans="1:73">
      <c r="A235" s="39"/>
      <c r="B235" s="3208"/>
      <c r="C235" s="3281" t="s">
        <v>477</v>
      </c>
      <c r="D235" s="3282" t="s">
        <v>368</v>
      </c>
      <c r="E235" s="3273"/>
      <c r="F235" s="3273"/>
      <c r="G235" s="3273"/>
      <c r="H235" s="3209"/>
      <c r="I235" s="3209"/>
      <c r="J235" s="3209"/>
      <c r="K235" s="3209"/>
      <c r="L235" s="3209"/>
      <c r="M235" s="3209"/>
      <c r="N235" s="3209"/>
      <c r="O235" s="3209"/>
      <c r="P235" s="3209"/>
      <c r="Q235" s="3209"/>
      <c r="R235" s="3209"/>
      <c r="S235" s="3209"/>
      <c r="T235" s="3209"/>
      <c r="U235" s="3209"/>
      <c r="V235" s="3209"/>
      <c r="W235" s="3209"/>
      <c r="X235" s="3209"/>
      <c r="Y235" s="3209"/>
      <c r="Z235" s="3209"/>
      <c r="AA235" s="3209"/>
      <c r="AB235" s="3209"/>
      <c r="AC235" s="3209"/>
      <c r="AD235" s="3209"/>
      <c r="AE235" s="3209"/>
      <c r="AF235" s="3209"/>
      <c r="AG235" s="3209"/>
      <c r="AH235" s="3209"/>
      <c r="AI235" s="3209"/>
      <c r="AJ235" s="3209"/>
      <c r="AK235" s="3209"/>
      <c r="AL235" s="3209"/>
      <c r="AM235" s="3209"/>
      <c r="AN235" s="3209"/>
      <c r="AO235" s="3209"/>
      <c r="AP235" s="3209"/>
      <c r="AQ235" s="3209"/>
      <c r="AR235" s="3209"/>
      <c r="AS235" s="3209"/>
      <c r="AT235" s="3209"/>
      <c r="AU235" s="3209"/>
      <c r="AV235" s="3209"/>
      <c r="AW235" s="3209"/>
      <c r="AX235" s="3273"/>
      <c r="AY235" s="3283">
        <f t="shared" ca="1" si="49"/>
        <v>3.11</v>
      </c>
      <c r="AZ235" s="3283">
        <f t="shared" ca="1" si="49"/>
        <v>3.1353066860586312</v>
      </c>
      <c r="BA235" s="3283">
        <f t="shared" ca="1" si="49"/>
        <v>3.2095436426878838</v>
      </c>
      <c r="BB235" s="3283">
        <f t="shared" ca="1" si="49"/>
        <v>3.299108940040071</v>
      </c>
      <c r="BC235" s="3283">
        <f t="shared" ca="1" si="49"/>
        <v>3.4037434904107453</v>
      </c>
      <c r="BD235" s="3283">
        <f t="shared" ca="1" si="49"/>
        <v>3.5233789277701968</v>
      </c>
      <c r="BE235" s="3283">
        <f t="shared" ca="1" si="49"/>
        <v>3.6581296053538592</v>
      </c>
      <c r="BF235" s="3283">
        <f t="shared" ca="1" si="49"/>
        <v>3.8082875302383297</v>
      </c>
      <c r="BG235" s="3283">
        <f t="shared" ca="1" si="49"/>
        <v>3.9743200750532086</v>
      </c>
      <c r="BH235" s="3208"/>
      <c r="BJ235" s="3208"/>
      <c r="BK235" s="3281"/>
      <c r="BL235" s="3282"/>
      <c r="BM235" s="3273"/>
      <c r="BN235" s="3273"/>
      <c r="BO235" s="3273"/>
      <c r="BP235" s="3209"/>
      <c r="BQ235" s="3209"/>
      <c r="BR235" s="3209"/>
      <c r="BS235" s="3209"/>
      <c r="BT235" s="3209"/>
      <c r="BU235" s="3209"/>
    </row>
    <row r="236" spans="1:73">
      <c r="A236" s="39"/>
      <c r="B236" s="3208"/>
      <c r="C236" s="3281" t="s">
        <v>0</v>
      </c>
      <c r="D236" s="3282" t="s">
        <v>1</v>
      </c>
      <c r="E236" s="3273"/>
      <c r="F236" s="3273"/>
      <c r="G236" s="3273"/>
      <c r="H236" s="3209"/>
      <c r="I236" s="3209"/>
      <c r="J236" s="3209"/>
      <c r="K236" s="3209"/>
      <c r="L236" s="3209"/>
      <c r="M236" s="3209"/>
      <c r="N236" s="3209"/>
      <c r="O236" s="3209"/>
      <c r="P236" s="3209"/>
      <c r="Q236" s="3209"/>
      <c r="R236" s="3209"/>
      <c r="S236" s="3209"/>
      <c r="T236" s="3209"/>
      <c r="U236" s="3209"/>
      <c r="V236" s="3209"/>
      <c r="W236" s="3209"/>
      <c r="X236" s="3209"/>
      <c r="Y236" s="3209"/>
      <c r="Z236" s="3209"/>
      <c r="AA236" s="3209"/>
      <c r="AB236" s="3209"/>
      <c r="AC236" s="3209"/>
      <c r="AD236" s="3209"/>
      <c r="AE236" s="3209"/>
      <c r="AF236" s="3209"/>
      <c r="AG236" s="3209"/>
      <c r="AH236" s="3209"/>
      <c r="AI236" s="3209"/>
      <c r="AJ236" s="3209"/>
      <c r="AK236" s="3209"/>
      <c r="AL236" s="3209"/>
      <c r="AM236" s="3209"/>
      <c r="AN236" s="3209"/>
      <c r="AO236" s="3209"/>
      <c r="AP236" s="3209"/>
      <c r="AQ236" s="3209"/>
      <c r="AR236" s="3209"/>
      <c r="AS236" s="3209"/>
      <c r="AT236" s="3209"/>
      <c r="AU236" s="3209"/>
      <c r="AV236" s="3209"/>
      <c r="AW236" s="3209"/>
      <c r="AX236" s="3273"/>
      <c r="AY236" s="3283">
        <f t="shared" ca="1" si="49"/>
        <v>0.74186270023003087</v>
      </c>
      <c r="AZ236" s="3283">
        <f t="shared" ca="1" si="49"/>
        <v>0.60283738532241449</v>
      </c>
      <c r="BA236" s="3283">
        <f t="shared" ca="1" si="49"/>
        <v>0.5251076752906112</v>
      </c>
      <c r="BB236" s="3283">
        <f t="shared" ca="1" si="49"/>
        <v>0.45060178432359033</v>
      </c>
      <c r="BC236" s="3283">
        <f t="shared" ca="1" si="49"/>
        <v>0.36804545561356983</v>
      </c>
      <c r="BD236" s="3283">
        <f t="shared" ca="1" si="49"/>
        <v>0.28273897158046063</v>
      </c>
      <c r="BE236" s="3283">
        <f t="shared" ca="1" si="49"/>
        <v>0.19326484751016687</v>
      </c>
      <c r="BF236" s="3283">
        <f t="shared" ca="1" si="49"/>
        <v>9.865795545819156E-2</v>
      </c>
      <c r="BG236" s="3283">
        <f t="shared" ca="1" si="49"/>
        <v>0</v>
      </c>
      <c r="BH236" s="3208"/>
      <c r="BJ236" s="3208"/>
      <c r="BK236" s="3281"/>
      <c r="BL236" s="3282"/>
      <c r="BM236" s="3273"/>
      <c r="BN236" s="3273"/>
      <c r="BO236" s="3273"/>
      <c r="BP236" s="3209"/>
      <c r="BQ236" s="3209"/>
      <c r="BR236" s="3209"/>
      <c r="BS236" s="3209"/>
      <c r="BT236" s="3209"/>
      <c r="BU236" s="3209"/>
    </row>
    <row r="237" spans="1:73">
      <c r="A237" s="39"/>
      <c r="B237" s="3208"/>
      <c r="C237" s="3284"/>
      <c r="D237" s="3273"/>
      <c r="E237" s="3273"/>
      <c r="F237" s="3273"/>
      <c r="G237" s="3273"/>
      <c r="H237" s="3209"/>
      <c r="I237" s="3209"/>
      <c r="J237" s="3209"/>
      <c r="K237" s="3209"/>
      <c r="L237" s="3209"/>
      <c r="M237" s="3209"/>
      <c r="N237" s="3209"/>
      <c r="O237" s="3209"/>
      <c r="P237" s="3209"/>
      <c r="Q237" s="3209"/>
      <c r="R237" s="3209"/>
      <c r="S237" s="3209"/>
      <c r="T237" s="3209"/>
      <c r="U237" s="3209"/>
      <c r="V237" s="3209"/>
      <c r="W237" s="3209"/>
      <c r="X237" s="3209"/>
      <c r="Y237" s="3209"/>
      <c r="Z237" s="3209"/>
      <c r="AA237" s="3209"/>
      <c r="AB237" s="3209"/>
      <c r="AC237" s="3209"/>
      <c r="AD237" s="3209"/>
      <c r="AE237" s="3209"/>
      <c r="AF237" s="3209"/>
      <c r="AG237" s="3209"/>
      <c r="AH237" s="3209"/>
      <c r="AI237" s="3209"/>
      <c r="AJ237" s="3209"/>
      <c r="AK237" s="3209"/>
      <c r="AL237" s="3209"/>
      <c r="AM237" s="3209"/>
      <c r="AN237" s="3209"/>
      <c r="AO237" s="3209"/>
      <c r="AP237" s="3209"/>
      <c r="AQ237" s="3209"/>
      <c r="AR237" s="3209"/>
      <c r="AS237" s="3209"/>
      <c r="AT237" s="3209"/>
      <c r="AU237" s="3209"/>
      <c r="AV237" s="3209"/>
      <c r="AW237" s="3209"/>
      <c r="AX237" s="3273"/>
      <c r="AY237" s="3273"/>
      <c r="AZ237" s="3273"/>
      <c r="BA237" s="3273"/>
      <c r="BB237" s="3273"/>
      <c r="BC237" s="3273"/>
      <c r="BD237" s="3273"/>
      <c r="BE237" s="3273"/>
      <c r="BF237" s="3273"/>
      <c r="BG237" s="3273"/>
      <c r="BH237" s="3208"/>
      <c r="BJ237" s="3208"/>
      <c r="BK237" s="3284"/>
      <c r="BL237" s="3273"/>
      <c r="BM237" s="3273"/>
      <c r="BN237" s="3273"/>
      <c r="BO237" s="3273"/>
      <c r="BP237" s="3209"/>
      <c r="BQ237" s="3209"/>
      <c r="BR237" s="3209"/>
      <c r="BS237" s="3209"/>
      <c r="BT237" s="3209"/>
      <c r="BU237" s="3209"/>
    </row>
    <row r="238" spans="1:73">
      <c r="A238" s="39"/>
      <c r="B238" s="3208"/>
      <c r="C238" s="3277" t="s">
        <v>2570</v>
      </c>
      <c r="D238" s="3273"/>
      <c r="E238" s="3273"/>
      <c r="F238" s="3273"/>
      <c r="G238" s="3273"/>
      <c r="H238" s="3209"/>
      <c r="I238" s="3209"/>
      <c r="J238" s="3209"/>
      <c r="K238" s="3209"/>
      <c r="L238" s="3209"/>
      <c r="M238" s="3209"/>
      <c r="N238" s="3209"/>
      <c r="O238" s="3209"/>
      <c r="P238" s="3209"/>
      <c r="Q238" s="3209"/>
      <c r="R238" s="3209"/>
      <c r="S238" s="3209"/>
      <c r="T238" s="3209"/>
      <c r="U238" s="3209"/>
      <c r="V238" s="3209"/>
      <c r="W238" s="3209"/>
      <c r="X238" s="3209"/>
      <c r="Y238" s="3209"/>
      <c r="Z238" s="3209"/>
      <c r="AA238" s="3209"/>
      <c r="AB238" s="3209"/>
      <c r="AC238" s="3209"/>
      <c r="AD238" s="3209"/>
      <c r="AE238" s="3209"/>
      <c r="AF238" s="3209"/>
      <c r="AG238" s="3209"/>
      <c r="AH238" s="3209"/>
      <c r="AI238" s="3209"/>
      <c r="AJ238" s="3209"/>
      <c r="AK238" s="3209"/>
      <c r="AL238" s="3209"/>
      <c r="AM238" s="3209"/>
      <c r="AN238" s="3209"/>
      <c r="AO238" s="3209"/>
      <c r="AP238" s="3209"/>
      <c r="AQ238" s="3209"/>
      <c r="AR238" s="3209"/>
      <c r="AS238" s="3209"/>
      <c r="AT238" s="3209"/>
      <c r="AU238" s="3209"/>
      <c r="AV238" s="3209"/>
      <c r="AW238" s="3209"/>
      <c r="AX238" s="3273"/>
      <c r="AY238" s="3278">
        <f t="shared" ref="AY238:BG238" ca="1" si="50">-(INDEX(INDIRECT(AY$214&amp;"!Year.Matrix"),MATCH("Subtotal.Supply",INDIRECT(AY$214&amp;"!Year.Modules"),0),MATCH("V.04",INDIRECT(AY$214&amp;"!Year.Vectors"),0))+INDEX(INDIRECT(AY$214&amp;"!Year.Matrix"),MATCH("Subtotal.Consumption",INDIRECT(AY$214&amp;"!Year.Modules"),0),MATCH("V.04",INDIRECT(AY$214&amp;"!Year.Vectors"),0)))</f>
        <v>77.30436277743145</v>
      </c>
      <c r="AZ238" s="3278">
        <f t="shared" ca="1" si="50"/>
        <v>71.530693121474101</v>
      </c>
      <c r="BA238" s="3278">
        <f t="shared" ca="1" si="50"/>
        <v>67.727908156726983</v>
      </c>
      <c r="BB238" s="3278">
        <f t="shared" ca="1" si="50"/>
        <v>64.320243216158687</v>
      </c>
      <c r="BC238" s="3278">
        <f t="shared" ca="1" si="50"/>
        <v>62.603377123518747</v>
      </c>
      <c r="BD238" s="3278">
        <f t="shared" ca="1" si="50"/>
        <v>60.945104672714244</v>
      </c>
      <c r="BE238" s="3278">
        <f t="shared" ca="1" si="50"/>
        <v>59.499711865312101</v>
      </c>
      <c r="BF238" s="3278">
        <f t="shared" ca="1" si="50"/>
        <v>58.124185560784845</v>
      </c>
      <c r="BG238" s="3278">
        <f t="shared" ca="1" si="50"/>
        <v>56.959239737930005</v>
      </c>
      <c r="BH238" s="3208"/>
      <c r="BJ238" s="3208"/>
      <c r="BK238" s="3277"/>
      <c r="BL238" s="3273"/>
      <c r="BM238" s="3273"/>
      <c r="BN238" s="3273"/>
      <c r="BO238" s="3273"/>
      <c r="BP238" s="3209"/>
      <c r="BQ238" s="3209"/>
      <c r="BR238" s="3209"/>
      <c r="BS238" s="3209"/>
      <c r="BT238" s="3209"/>
      <c r="BU238" s="3209"/>
    </row>
    <row r="239" spans="1:73">
      <c r="A239" s="39"/>
      <c r="B239" s="3208"/>
      <c r="C239" s="3279" t="s">
        <v>580</v>
      </c>
      <c r="D239" s="3277" t="s">
        <v>2571</v>
      </c>
      <c r="E239" s="3273"/>
      <c r="F239" s="3273"/>
      <c r="G239" s="3273"/>
      <c r="H239" s="3209"/>
      <c r="I239" s="3209"/>
      <c r="J239" s="3209"/>
      <c r="K239" s="3209"/>
      <c r="L239" s="3209"/>
      <c r="M239" s="3209"/>
      <c r="N239" s="3209"/>
      <c r="O239" s="3209"/>
      <c r="P239" s="3209"/>
      <c r="Q239" s="3209"/>
      <c r="R239" s="3209"/>
      <c r="S239" s="3209"/>
      <c r="T239" s="3209"/>
      <c r="U239" s="3209"/>
      <c r="V239" s="3209"/>
      <c r="W239" s="3209"/>
      <c r="X239" s="3209"/>
      <c r="Y239" s="3209"/>
      <c r="Z239" s="3209"/>
      <c r="AA239" s="3209"/>
      <c r="AB239" s="3209"/>
      <c r="AC239" s="3209"/>
      <c r="AD239" s="3209"/>
      <c r="AE239" s="3209"/>
      <c r="AF239" s="3209"/>
      <c r="AG239" s="3209"/>
      <c r="AH239" s="3209"/>
      <c r="AI239" s="3209"/>
      <c r="AJ239" s="3209"/>
      <c r="AK239" s="3209"/>
      <c r="AL239" s="3209"/>
      <c r="AM239" s="3209"/>
      <c r="AN239" s="3209"/>
      <c r="AO239" s="3209"/>
      <c r="AP239" s="3209"/>
      <c r="AQ239" s="3209"/>
      <c r="AR239" s="3209"/>
      <c r="AS239" s="3209"/>
      <c r="AT239" s="3209"/>
      <c r="AU239" s="3209"/>
      <c r="AV239" s="3209"/>
      <c r="AW239" s="3209"/>
      <c r="AX239" s="3273"/>
      <c r="AY239" s="3280">
        <f t="shared" ref="AY239:BG239" ca="1" si="51">INDEX(INDIRECT(AY$214&amp;"!Year.Matrix"),MATCH($C239,INDIRECT(AY$214&amp;"!Year.Modules"),0),MATCH("V.04",INDIRECT(AY$214&amp;"!Year.Vectors"),0))/AY$238</f>
        <v>1.2460551583269974E-2</v>
      </c>
      <c r="AZ239" s="3280">
        <f t="shared" ca="1" si="51"/>
        <v>1.540217208424146E-2</v>
      </c>
      <c r="BA239" s="3280">
        <f t="shared" ca="1" si="51"/>
        <v>2.3554651032602559E-2</v>
      </c>
      <c r="BB239" s="3280">
        <f t="shared" ca="1" si="51"/>
        <v>4.0631487421181854E-2</v>
      </c>
      <c r="BC239" s="3280">
        <f t="shared" ca="1" si="51"/>
        <v>5.9895211825337677E-2</v>
      </c>
      <c r="BD239" s="3280">
        <f t="shared" ca="1" si="51"/>
        <v>8.0228822014248247E-2</v>
      </c>
      <c r="BE239" s="3280">
        <f t="shared" ca="1" si="51"/>
        <v>0.10140333657523205</v>
      </c>
      <c r="BF239" s="3280">
        <f t="shared" ca="1" si="51"/>
        <v>0.12355819888489239</v>
      </c>
      <c r="BG239" s="3280">
        <f t="shared" ca="1" si="51"/>
        <v>0.14632675998830921</v>
      </c>
      <c r="BH239" s="3208"/>
      <c r="BJ239" s="3208"/>
      <c r="BK239" s="3279"/>
      <c r="BL239" s="3277"/>
      <c r="BM239" s="3273"/>
      <c r="BN239" s="3273"/>
      <c r="BO239" s="3273"/>
      <c r="BP239" s="3209"/>
      <c r="BQ239" s="3209"/>
      <c r="BR239" s="3209"/>
      <c r="BS239" s="3209"/>
      <c r="BT239" s="3209"/>
      <c r="BU239" s="3209"/>
    </row>
    <row r="240" spans="1:73">
      <c r="A240" s="39"/>
      <c r="B240" s="3208"/>
      <c r="C240" s="3281" t="s">
        <v>490</v>
      </c>
      <c r="D240" s="3282" t="s">
        <v>491</v>
      </c>
      <c r="E240" s="3273"/>
      <c r="F240" s="3273"/>
      <c r="G240" s="3273"/>
      <c r="H240" s="3209"/>
      <c r="I240" s="3209"/>
      <c r="J240" s="3209"/>
      <c r="K240" s="3209"/>
      <c r="L240" s="3209"/>
      <c r="M240" s="3209"/>
      <c r="N240" s="3209"/>
      <c r="O240" s="3209"/>
      <c r="P240" s="3209"/>
      <c r="Q240" s="3209"/>
      <c r="R240" s="3209"/>
      <c r="S240" s="3209"/>
      <c r="T240" s="3209"/>
      <c r="U240" s="3209"/>
      <c r="V240" s="3209"/>
      <c r="W240" s="3209"/>
      <c r="X240" s="3209"/>
      <c r="Y240" s="3209"/>
      <c r="Z240" s="3209"/>
      <c r="AA240" s="3209"/>
      <c r="AB240" s="3209"/>
      <c r="AC240" s="3209"/>
      <c r="AD240" s="3209"/>
      <c r="AE240" s="3209"/>
      <c r="AF240" s="3209"/>
      <c r="AG240" s="3209"/>
      <c r="AH240" s="3209"/>
      <c r="AI240" s="3209"/>
      <c r="AJ240" s="3209"/>
      <c r="AK240" s="3209"/>
      <c r="AL240" s="3209"/>
      <c r="AM240" s="3209"/>
      <c r="AN240" s="3209"/>
      <c r="AO240" s="3209"/>
      <c r="AP240" s="3209"/>
      <c r="AQ240" s="3209"/>
      <c r="AR240" s="3209"/>
      <c r="AS240" s="3209"/>
      <c r="AT240" s="3209"/>
      <c r="AU240" s="3209"/>
      <c r="AV240" s="3209"/>
      <c r="AW240" s="3209"/>
      <c r="AX240" s="3273"/>
      <c r="AY240" s="3283">
        <f t="shared" ref="AY240:BG242" ca="1" si="52">-INDEX(INDIRECT(AY$214&amp;"!Year.Matrix"),MATCH($C240,INDIRECT(AY$214&amp;"!Year.Modules"),0),MATCH("V.04",INDIRECT(AY$214&amp;"!Year.Vectors"),0))</f>
        <v>46.816666836359516</v>
      </c>
      <c r="AZ240" s="3283">
        <f t="shared" ca="1" si="52"/>
        <v>45.872558391569598</v>
      </c>
      <c r="BA240" s="3283">
        <f t="shared" ca="1" si="52"/>
        <v>44.639975727949931</v>
      </c>
      <c r="BB240" s="3283">
        <f t="shared" ca="1" si="52"/>
        <v>43.030480669536395</v>
      </c>
      <c r="BC240" s="3283">
        <f t="shared" ca="1" si="52"/>
        <v>43.256961392952434</v>
      </c>
      <c r="BD240" s="3283">
        <f t="shared" ca="1" si="52"/>
        <v>43.42592165702483</v>
      </c>
      <c r="BE240" s="3283">
        <f t="shared" ca="1" si="52"/>
        <v>43.761369170645644</v>
      </c>
      <c r="BF240" s="3283">
        <f t="shared" ca="1" si="52"/>
        <v>44.16733414053364</v>
      </c>
      <c r="BG240" s="3283">
        <f t="shared" ca="1" si="52"/>
        <v>44.730244907574864</v>
      </c>
      <c r="BH240" s="3208"/>
      <c r="BJ240" s="3208"/>
      <c r="BK240" s="3281"/>
      <c r="BL240" s="3282"/>
      <c r="BM240" s="3273"/>
      <c r="BN240" s="3273"/>
      <c r="BO240" s="3273"/>
      <c r="BP240" s="3209"/>
      <c r="BQ240" s="3209"/>
      <c r="BR240" s="3209"/>
      <c r="BS240" s="3209"/>
      <c r="BT240" s="3209"/>
      <c r="BU240" s="3209"/>
    </row>
    <row r="241" spans="1:73">
      <c r="A241" s="39"/>
      <c r="B241" s="3208"/>
      <c r="C241" s="3281" t="s">
        <v>477</v>
      </c>
      <c r="D241" s="3282" t="s">
        <v>368</v>
      </c>
      <c r="E241" s="3273"/>
      <c r="F241" s="3273"/>
      <c r="G241" s="3273"/>
      <c r="H241" s="3209"/>
      <c r="I241" s="3209"/>
      <c r="J241" s="3209"/>
      <c r="K241" s="3209"/>
      <c r="L241" s="3209"/>
      <c r="M241" s="3209"/>
      <c r="N241" s="3209"/>
      <c r="O241" s="3209"/>
      <c r="P241" s="3209"/>
      <c r="Q241" s="3209"/>
      <c r="R241" s="3209"/>
      <c r="S241" s="3209"/>
      <c r="T241" s="3209"/>
      <c r="U241" s="3209"/>
      <c r="V241" s="3209"/>
      <c r="W241" s="3209"/>
      <c r="X241" s="3209"/>
      <c r="Y241" s="3209"/>
      <c r="Z241" s="3209"/>
      <c r="AA241" s="3209"/>
      <c r="AB241" s="3209"/>
      <c r="AC241" s="3209"/>
      <c r="AD241" s="3209"/>
      <c r="AE241" s="3209"/>
      <c r="AF241" s="3209"/>
      <c r="AG241" s="3209"/>
      <c r="AH241" s="3209"/>
      <c r="AI241" s="3209"/>
      <c r="AJ241" s="3209"/>
      <c r="AK241" s="3209"/>
      <c r="AL241" s="3209"/>
      <c r="AM241" s="3209"/>
      <c r="AN241" s="3209"/>
      <c r="AO241" s="3209"/>
      <c r="AP241" s="3209"/>
      <c r="AQ241" s="3209"/>
      <c r="AR241" s="3209"/>
      <c r="AS241" s="3209"/>
      <c r="AT241" s="3209"/>
      <c r="AU241" s="3209"/>
      <c r="AV241" s="3209"/>
      <c r="AW241" s="3209"/>
      <c r="AX241" s="3273"/>
      <c r="AY241" s="3283">
        <f t="shared" ca="1" si="52"/>
        <v>6.35</v>
      </c>
      <c r="AZ241" s="3283">
        <f t="shared" ca="1" si="52"/>
        <v>6.4016712078689091</v>
      </c>
      <c r="BA241" s="3283">
        <f t="shared" ca="1" si="52"/>
        <v>6.553248273655325</v>
      </c>
      <c r="BB241" s="3283">
        <f t="shared" ca="1" si="52"/>
        <v>6.7361227553872833</v>
      </c>
      <c r="BC241" s="3283">
        <f t="shared" ca="1" si="52"/>
        <v>6.9497656476232264</v>
      </c>
      <c r="BD241" s="3283">
        <f t="shared" ca="1" si="52"/>
        <v>7.1940373605597259</v>
      </c>
      <c r="BE241" s="3283">
        <f t="shared" ca="1" si="52"/>
        <v>7.4691713807064319</v>
      </c>
      <c r="BF241" s="3283">
        <f t="shared" ca="1" si="52"/>
        <v>7.7757639283001261</v>
      </c>
      <c r="BG241" s="3283">
        <f t="shared" ca="1" si="52"/>
        <v>8.1147692850764876</v>
      </c>
      <c r="BH241" s="3208"/>
      <c r="BJ241" s="3208"/>
      <c r="BK241" s="3281"/>
      <c r="BL241" s="3282"/>
      <c r="BM241" s="3273"/>
      <c r="BN241" s="3273"/>
      <c r="BO241" s="3273"/>
      <c r="BP241" s="3209"/>
      <c r="BQ241" s="3209"/>
      <c r="BR241" s="3209"/>
      <c r="BS241" s="3209"/>
      <c r="BT241" s="3209"/>
      <c r="BU241" s="3209"/>
    </row>
    <row r="242" spans="1:73">
      <c r="A242" s="39"/>
      <c r="B242" s="3208"/>
      <c r="C242" s="3281" t="s">
        <v>514</v>
      </c>
      <c r="D242" s="3282" t="s">
        <v>515</v>
      </c>
      <c r="E242" s="3273"/>
      <c r="F242" s="3273"/>
      <c r="G242" s="3273"/>
      <c r="H242" s="3209"/>
      <c r="I242" s="3209"/>
      <c r="J242" s="3209"/>
      <c r="K242" s="3209"/>
      <c r="L242" s="3209"/>
      <c r="M242" s="3209"/>
      <c r="N242" s="3209"/>
      <c r="O242" s="3209"/>
      <c r="P242" s="3209"/>
      <c r="Q242" s="3209"/>
      <c r="R242" s="3209"/>
      <c r="S242" s="3209"/>
      <c r="T242" s="3209"/>
      <c r="U242" s="3209"/>
      <c r="V242" s="3209"/>
      <c r="W242" s="3209"/>
      <c r="X242" s="3209"/>
      <c r="Y242" s="3209"/>
      <c r="Z242" s="3209"/>
      <c r="AA242" s="3209"/>
      <c r="AB242" s="3209"/>
      <c r="AC242" s="3209"/>
      <c r="AD242" s="3209"/>
      <c r="AE242" s="3209"/>
      <c r="AF242" s="3209"/>
      <c r="AG242" s="3209"/>
      <c r="AH242" s="3209"/>
      <c r="AI242" s="3209"/>
      <c r="AJ242" s="3209"/>
      <c r="AK242" s="3209"/>
      <c r="AL242" s="3209"/>
      <c r="AM242" s="3209"/>
      <c r="AN242" s="3209"/>
      <c r="AO242" s="3209"/>
      <c r="AP242" s="3209"/>
      <c r="AQ242" s="3209"/>
      <c r="AR242" s="3209"/>
      <c r="AS242" s="3209"/>
      <c r="AT242" s="3209"/>
      <c r="AU242" s="3209"/>
      <c r="AV242" s="3209"/>
      <c r="AW242" s="3209"/>
      <c r="AX242" s="3273"/>
      <c r="AY242" s="3283">
        <f ca="1">-INDEX(INDIRECT(AY$214&amp;"!Year.Matrix"),MATCH($C242,INDIRECT(AY$214&amp;"!Year.Modules"),0),MATCH("V.04",INDIRECT(AY$214&amp;"!Year.Vectors"),0))</f>
        <v>1.8522858135888711</v>
      </c>
      <c r="AZ242" s="3283">
        <f t="shared" ca="1" si="52"/>
        <v>1.8522858135888711</v>
      </c>
      <c r="BA242" s="3283">
        <f t="shared" ca="1" si="52"/>
        <v>1.8522858135888711</v>
      </c>
      <c r="BB242" s="3283">
        <f t="shared" ca="1" si="52"/>
        <v>1.8522858135888711</v>
      </c>
      <c r="BC242" s="3283">
        <f t="shared" ca="1" si="52"/>
        <v>1.8522858135888711</v>
      </c>
      <c r="BD242" s="3283">
        <f t="shared" ca="1" si="52"/>
        <v>1.8522858135888711</v>
      </c>
      <c r="BE242" s="3283">
        <f t="shared" ca="1" si="52"/>
        <v>1.8522858135888711</v>
      </c>
      <c r="BF242" s="3283">
        <f t="shared" ca="1" si="52"/>
        <v>1.8522858135888711</v>
      </c>
      <c r="BG242" s="3283">
        <f t="shared" ca="1" si="52"/>
        <v>1.8522858135888711</v>
      </c>
      <c r="BH242" s="3208"/>
      <c r="BJ242" s="3208"/>
      <c r="BK242" s="3281"/>
      <c r="BL242" s="3282"/>
      <c r="BM242" s="3273"/>
      <c r="BN242" s="3273"/>
      <c r="BO242" s="3273"/>
      <c r="BP242" s="3209"/>
      <c r="BQ242" s="3209"/>
      <c r="BR242" s="3209"/>
      <c r="BS242" s="3209"/>
      <c r="BT242" s="3209"/>
      <c r="BU242" s="3209"/>
    </row>
    <row r="243" spans="1:73">
      <c r="A243" s="39"/>
      <c r="B243" s="3208"/>
      <c r="C243" s="3282"/>
      <c r="D243" s="3273"/>
      <c r="E243" s="3273"/>
      <c r="F243" s="3273"/>
      <c r="G243" s="3273"/>
      <c r="H243" s="3209"/>
      <c r="I243" s="3209"/>
      <c r="J243" s="3209"/>
      <c r="K243" s="3209"/>
      <c r="L243" s="3209"/>
      <c r="M243" s="3209"/>
      <c r="N243" s="3209"/>
      <c r="O243" s="3209"/>
      <c r="P243" s="3209"/>
      <c r="Q243" s="3209"/>
      <c r="R243" s="3209"/>
      <c r="S243" s="3209"/>
      <c r="T243" s="3209"/>
      <c r="U243" s="3209"/>
      <c r="V243" s="3209"/>
      <c r="W243" s="3209"/>
      <c r="X243" s="3209"/>
      <c r="Y243" s="3209"/>
      <c r="Z243" s="3209"/>
      <c r="AA243" s="3209"/>
      <c r="AB243" s="3209"/>
      <c r="AC243" s="3209"/>
      <c r="AD243" s="3209"/>
      <c r="AE243" s="3209"/>
      <c r="AF243" s="3209"/>
      <c r="AG243" s="3209"/>
      <c r="AH243" s="3209"/>
      <c r="AI243" s="3209"/>
      <c r="AJ243" s="3209"/>
      <c r="AK243" s="3209"/>
      <c r="AL243" s="3209"/>
      <c r="AM243" s="3209"/>
      <c r="AN243" s="3209"/>
      <c r="AO243" s="3209"/>
      <c r="AP243" s="3209"/>
      <c r="AQ243" s="3209"/>
      <c r="AR243" s="3209"/>
      <c r="AS243" s="3209"/>
      <c r="AT243" s="3209"/>
      <c r="AU243" s="3209"/>
      <c r="AV243" s="3209"/>
      <c r="AW243" s="3209"/>
      <c r="AX243" s="3273"/>
      <c r="AY243" s="3273"/>
      <c r="AZ243" s="3273"/>
      <c r="BA243" s="3273"/>
      <c r="BB243" s="3273"/>
      <c r="BC243" s="3273"/>
      <c r="BD243" s="3273"/>
      <c r="BE243" s="3273"/>
      <c r="BF243" s="3273"/>
      <c r="BG243" s="3273"/>
      <c r="BH243" s="3208"/>
      <c r="BJ243" s="3208"/>
      <c r="BK243" s="3282"/>
      <c r="BL243" s="3273"/>
      <c r="BM243" s="3273"/>
      <c r="BN243" s="3273"/>
      <c r="BO243" s="3273"/>
      <c r="BP243" s="3209"/>
      <c r="BQ243" s="3209"/>
      <c r="BR243" s="3209"/>
      <c r="BS243" s="3209"/>
      <c r="BT243" s="3209"/>
      <c r="BU243" s="3209"/>
    </row>
    <row r="244" spans="1:73">
      <c r="A244" s="39"/>
      <c r="B244" s="3208"/>
      <c r="C244" s="3277" t="s">
        <v>2572</v>
      </c>
      <c r="D244" s="3273"/>
      <c r="E244" s="3273"/>
      <c r="F244" s="3273"/>
      <c r="G244" s="3273"/>
      <c r="H244" s="3209"/>
      <c r="I244" s="3209"/>
      <c r="J244" s="3209"/>
      <c r="K244" s="3209"/>
      <c r="L244" s="3209"/>
      <c r="M244" s="3209"/>
      <c r="N244" s="3209"/>
      <c r="O244" s="3209"/>
      <c r="P244" s="3209"/>
      <c r="Q244" s="3209"/>
      <c r="R244" s="3209"/>
      <c r="S244" s="3209"/>
      <c r="T244" s="3209"/>
      <c r="U244" s="3209"/>
      <c r="V244" s="3209"/>
      <c r="W244" s="3209"/>
      <c r="X244" s="3209"/>
      <c r="Y244" s="3209"/>
      <c r="Z244" s="3209"/>
      <c r="AA244" s="3209"/>
      <c r="AB244" s="3209"/>
      <c r="AC244" s="3209"/>
      <c r="AD244" s="3209"/>
      <c r="AE244" s="3209"/>
      <c r="AF244" s="3209"/>
      <c r="AG244" s="3209"/>
      <c r="AH244" s="3209"/>
      <c r="AI244" s="3209"/>
      <c r="AJ244" s="3209"/>
      <c r="AK244" s="3209"/>
      <c r="AL244" s="3209"/>
      <c r="AM244" s="3209"/>
      <c r="AN244" s="3209"/>
      <c r="AO244" s="3209"/>
      <c r="AP244" s="3209"/>
      <c r="AQ244" s="3209"/>
      <c r="AR244" s="3209"/>
      <c r="AS244" s="3209"/>
      <c r="AT244" s="3209"/>
      <c r="AU244" s="3209"/>
      <c r="AV244" s="3209"/>
      <c r="AW244" s="3209"/>
      <c r="AX244" s="3273"/>
      <c r="AY244" s="3278">
        <f t="shared" ref="AY244:BG244" ca="1" si="53">-(INDEX(INDIRECT(AY$214&amp;"!Year.Matrix"),MATCH("Subtotal.Supply",INDIRECT(AY$214&amp;"!Year.Modules"),0),MATCH("V.05",INDIRECT(AY$214&amp;"!Year.Vectors"),0))+INDEX(INDIRECT(AY$214&amp;"!Year.Matrix"),MATCH("Subtotal.Consumption",INDIRECT(AY$214&amp;"!Year.Modules"),0),MATCH("V.05",INDIRECT(AY$214&amp;"!Year.Vectors"),0)))</f>
        <v>45.961480320791573</v>
      </c>
      <c r="AZ244" s="3278">
        <f t="shared" ca="1" si="53"/>
        <v>46.816277529710177</v>
      </c>
      <c r="BA244" s="3278">
        <f t="shared" ca="1" si="53"/>
        <v>46.794378643910427</v>
      </c>
      <c r="BB244" s="3278">
        <f t="shared" ca="1" si="53"/>
        <v>41.890914268588375</v>
      </c>
      <c r="BC244" s="3278">
        <f t="shared" ca="1" si="53"/>
        <v>36.165911728331508</v>
      </c>
      <c r="BD244" s="3278">
        <f t="shared" ca="1" si="53"/>
        <v>47.262037859892096</v>
      </c>
      <c r="BE244" s="3278">
        <f t="shared" ca="1" si="53"/>
        <v>64.374281374415659</v>
      </c>
      <c r="BF244" s="3278">
        <f t="shared" ca="1" si="53"/>
        <v>81.151315027229458</v>
      </c>
      <c r="BG244" s="3278">
        <f t="shared" ca="1" si="53"/>
        <v>97.729775249431782</v>
      </c>
      <c r="BH244" s="3208"/>
      <c r="BJ244" s="3208"/>
      <c r="BK244" s="3277"/>
      <c r="BL244" s="3273"/>
      <c r="BM244" s="3273"/>
      <c r="BN244" s="3273"/>
      <c r="BO244" s="3273"/>
      <c r="BP244" s="3209"/>
      <c r="BQ244" s="3209"/>
      <c r="BR244" s="3209"/>
      <c r="BS244" s="3209"/>
      <c r="BT244" s="3209"/>
      <c r="BU244" s="3209"/>
    </row>
    <row r="245" spans="1:73">
      <c r="A245" s="39"/>
      <c r="B245" s="3208"/>
      <c r="C245" s="3273" t="s">
        <v>580</v>
      </c>
      <c r="D245" s="3277" t="s">
        <v>2573</v>
      </c>
      <c r="E245" s="3273"/>
      <c r="F245" s="3273"/>
      <c r="G245" s="3273"/>
      <c r="H245" s="3209"/>
      <c r="I245" s="3209"/>
      <c r="J245" s="3209"/>
      <c r="K245" s="3209"/>
      <c r="L245" s="3209"/>
      <c r="M245" s="3209"/>
      <c r="N245" s="3209"/>
      <c r="O245" s="3209"/>
      <c r="P245" s="3209"/>
      <c r="Q245" s="3209"/>
      <c r="R245" s="3209"/>
      <c r="S245" s="3209"/>
      <c r="T245" s="3209"/>
      <c r="U245" s="3209"/>
      <c r="V245" s="3209"/>
      <c r="W245" s="3209"/>
      <c r="X245" s="3209"/>
      <c r="Y245" s="3209"/>
      <c r="Z245" s="3209"/>
      <c r="AA245" s="3209"/>
      <c r="AB245" s="3209"/>
      <c r="AC245" s="3209"/>
      <c r="AD245" s="3209"/>
      <c r="AE245" s="3209"/>
      <c r="AF245" s="3209"/>
      <c r="AG245" s="3209"/>
      <c r="AH245" s="3209"/>
      <c r="AI245" s="3209"/>
      <c r="AJ245" s="3209"/>
      <c r="AK245" s="3209"/>
      <c r="AL245" s="3209"/>
      <c r="AM245" s="3209"/>
      <c r="AN245" s="3209"/>
      <c r="AO245" s="3209"/>
      <c r="AP245" s="3209"/>
      <c r="AQ245" s="3209"/>
      <c r="AR245" s="3209"/>
      <c r="AS245" s="3209"/>
      <c r="AT245" s="3209"/>
      <c r="AU245" s="3209"/>
      <c r="AV245" s="3209"/>
      <c r="AW245" s="3209"/>
      <c r="AX245" s="3273"/>
      <c r="AY245" s="3280">
        <f t="shared" ref="AY245:BG245" ca="1" si="54">INDEX(INDIRECT(AY$214&amp;"!Year.Matrix"),MATCH($C245,INDIRECT(AY$214&amp;"!Year.Modules"),0),MATCH("V.05",INDIRECT(AY$214&amp;"!Year.Vectors"),0))/AY$244</f>
        <v>4.9551178985304412E-3</v>
      </c>
      <c r="AZ245" s="3280">
        <f t="shared" ca="1" si="54"/>
        <v>7.7289626904820585E-3</v>
      </c>
      <c r="BA245" s="3280">
        <f t="shared" ca="1" si="54"/>
        <v>2.7373103522332125E-2</v>
      </c>
      <c r="BB245" s="3280">
        <f t="shared" ca="1" si="54"/>
        <v>6.5330048021772794E-2</v>
      </c>
      <c r="BC245" s="3280">
        <f t="shared" ca="1" si="54"/>
        <v>0.19046129473656603</v>
      </c>
      <c r="BD245" s="3280">
        <f t="shared" ca="1" si="54"/>
        <v>0.21670202117803208</v>
      </c>
      <c r="BE245" s="3280">
        <f t="shared" ca="1" si="54"/>
        <v>0.23924563805704993</v>
      </c>
      <c r="BF245" s="3280">
        <f t="shared" ca="1" si="54"/>
        <v>0.24506811306182619</v>
      </c>
      <c r="BG245" s="3280">
        <f t="shared" ca="1" si="54"/>
        <v>0.24377514990752697</v>
      </c>
      <c r="BH245" s="3208"/>
      <c r="BJ245" s="3208"/>
      <c r="BK245" s="3273"/>
      <c r="BL245" s="3277"/>
      <c r="BM245" s="3273"/>
      <c r="BN245" s="3273"/>
      <c r="BO245" s="3273"/>
      <c r="BP245" s="3209"/>
      <c r="BQ245" s="3209"/>
      <c r="BR245" s="3209"/>
      <c r="BS245" s="3209"/>
      <c r="BT245" s="3209"/>
      <c r="BU245" s="3209"/>
    </row>
    <row r="246" spans="1:73">
      <c r="A246" s="39"/>
      <c r="B246" s="3208"/>
      <c r="C246" s="3281" t="s">
        <v>2</v>
      </c>
      <c r="D246" s="3282" t="s">
        <v>3</v>
      </c>
      <c r="E246" s="3273"/>
      <c r="F246" s="3273"/>
      <c r="G246" s="3273"/>
      <c r="H246" s="3209"/>
      <c r="I246" s="3209"/>
      <c r="J246" s="3209"/>
      <c r="K246" s="3209"/>
      <c r="L246" s="3209"/>
      <c r="M246" s="3209"/>
      <c r="N246" s="3209"/>
      <c r="O246" s="3209"/>
      <c r="P246" s="3209"/>
      <c r="Q246" s="3209"/>
      <c r="R246" s="3209"/>
      <c r="S246" s="3209"/>
      <c r="T246" s="3209"/>
      <c r="U246" s="3209"/>
      <c r="V246" s="3209"/>
      <c r="W246" s="3209"/>
      <c r="X246" s="3209"/>
      <c r="Y246" s="3209"/>
      <c r="Z246" s="3209"/>
      <c r="AA246" s="3209"/>
      <c r="AB246" s="3209"/>
      <c r="AC246" s="3209"/>
      <c r="AD246" s="3209"/>
      <c r="AE246" s="3209"/>
      <c r="AF246" s="3209"/>
      <c r="AG246" s="3209"/>
      <c r="AH246" s="3209"/>
      <c r="AI246" s="3209"/>
      <c r="AJ246" s="3209"/>
      <c r="AK246" s="3209"/>
      <c r="AL246" s="3209"/>
      <c r="AM246" s="3209"/>
      <c r="AN246" s="3209"/>
      <c r="AO246" s="3209"/>
      <c r="AP246" s="3209"/>
      <c r="AQ246" s="3209"/>
      <c r="AR246" s="3209"/>
      <c r="AS246" s="3209"/>
      <c r="AT246" s="3209"/>
      <c r="AU246" s="3209"/>
      <c r="AV246" s="3209"/>
      <c r="AW246" s="3209"/>
      <c r="AX246" s="3273"/>
      <c r="AY246" s="3283">
        <f t="shared" ref="AY246:BG250" ca="1" si="55">-INDEX(INDIRECT(AY$214&amp;"!Year.Matrix"),MATCH($C246,INDIRECT(AY$214&amp;"!Year.Modules"),0),MATCH("V.05",INDIRECT(AY$214&amp;"!Year.Vectors"),0))</f>
        <v>9.4463708573767775</v>
      </c>
      <c r="AZ246" s="3283">
        <f t="shared" ca="1" si="55"/>
        <v>9.2556061660433429</v>
      </c>
      <c r="BA246" s="3283">
        <f t="shared" ca="1" si="55"/>
        <v>10.45827972318421</v>
      </c>
      <c r="BB246" s="3283">
        <f t="shared" ca="1" si="55"/>
        <v>12.256242010620332</v>
      </c>
      <c r="BC246" s="3283">
        <f t="shared" ca="1" si="55"/>
        <v>13.771647618705204</v>
      </c>
      <c r="BD246" s="3283">
        <f t="shared" ca="1" si="55"/>
        <v>15.370245545423987</v>
      </c>
      <c r="BE246" s="3283">
        <f t="shared" ca="1" si="55"/>
        <v>17.008084093270114</v>
      </c>
      <c r="BF246" s="3283">
        <f t="shared" ca="1" si="55"/>
        <v>18.42610368749196</v>
      </c>
      <c r="BG246" s="3283">
        <f t="shared" ca="1" si="55"/>
        <v>19.742167028986774</v>
      </c>
      <c r="BH246" s="3208"/>
      <c r="BJ246" s="3208"/>
      <c r="BK246" s="3281"/>
      <c r="BL246" s="3282"/>
      <c r="BM246" s="3273"/>
      <c r="BN246" s="3273"/>
      <c r="BO246" s="3273"/>
      <c r="BP246" s="3209"/>
      <c r="BQ246" s="3209"/>
      <c r="BR246" s="3209"/>
      <c r="BS246" s="3209"/>
      <c r="BT246" s="3209"/>
      <c r="BU246" s="3209"/>
    </row>
    <row r="247" spans="1:73">
      <c r="A247" s="39"/>
      <c r="B247" s="3208"/>
      <c r="C247" s="3281" t="s">
        <v>465</v>
      </c>
      <c r="D247" s="3282" t="s">
        <v>466</v>
      </c>
      <c r="E247" s="3273"/>
      <c r="F247" s="3273"/>
      <c r="G247" s="3273"/>
      <c r="H247" s="3209"/>
      <c r="I247" s="3209"/>
      <c r="J247" s="3209"/>
      <c r="K247" s="3209"/>
      <c r="L247" s="3209"/>
      <c r="M247" s="3209"/>
      <c r="N247" s="3209"/>
      <c r="O247" s="3209"/>
      <c r="P247" s="3209"/>
      <c r="Q247" s="3209"/>
      <c r="R247" s="3209"/>
      <c r="S247" s="3209"/>
      <c r="T247" s="3209"/>
      <c r="U247" s="3209"/>
      <c r="V247" s="3209"/>
      <c r="W247" s="3209"/>
      <c r="X247" s="3209"/>
      <c r="Y247" s="3209"/>
      <c r="Z247" s="3209"/>
      <c r="AA247" s="3209"/>
      <c r="AB247" s="3209"/>
      <c r="AC247" s="3209"/>
      <c r="AD247" s="3209"/>
      <c r="AE247" s="3209"/>
      <c r="AF247" s="3209"/>
      <c r="AG247" s="3209"/>
      <c r="AH247" s="3209"/>
      <c r="AI247" s="3209"/>
      <c r="AJ247" s="3209"/>
      <c r="AK247" s="3209"/>
      <c r="AL247" s="3209"/>
      <c r="AM247" s="3209"/>
      <c r="AN247" s="3209"/>
      <c r="AO247" s="3209"/>
      <c r="AP247" s="3209"/>
      <c r="AQ247" s="3209"/>
      <c r="AR247" s="3209"/>
      <c r="AS247" s="3209"/>
      <c r="AT247" s="3209"/>
      <c r="AU247" s="3209"/>
      <c r="AV247" s="3209"/>
      <c r="AW247" s="3209"/>
      <c r="AX247" s="3273"/>
      <c r="AY247" s="3283">
        <f t="shared" ca="1" si="55"/>
        <v>4.9320532099479477</v>
      </c>
      <c r="AZ247" s="3283">
        <f t="shared" ca="1" si="55"/>
        <v>5.0765066512434931</v>
      </c>
      <c r="BA247" s="3283">
        <f t="shared" ca="1" si="55"/>
        <v>7.726703193423119</v>
      </c>
      <c r="BB247" s="3283">
        <f t="shared" ca="1" si="55"/>
        <v>10.473167582417583</v>
      </c>
      <c r="BC247" s="3283">
        <f t="shared" ca="1" si="55"/>
        <v>13.442941460794843</v>
      </c>
      <c r="BD247" s="3283">
        <f t="shared" ca="1" si="55"/>
        <v>16.636024828554905</v>
      </c>
      <c r="BE247" s="3283">
        <f t="shared" ca="1" si="55"/>
        <v>20.052417685697762</v>
      </c>
      <c r="BF247" s="3283">
        <f t="shared" ca="1" si="55"/>
        <v>23.692120032223414</v>
      </c>
      <c r="BG247" s="3283">
        <f t="shared" ca="1" si="55"/>
        <v>27.555131868131866</v>
      </c>
      <c r="BH247" s="3208"/>
      <c r="BJ247" s="3208"/>
      <c r="BK247" s="3281"/>
      <c r="BL247" s="3282"/>
      <c r="BM247" s="3273"/>
      <c r="BN247" s="3273"/>
      <c r="BO247" s="3273"/>
      <c r="BP247" s="3209"/>
      <c r="BQ247" s="3209"/>
      <c r="BR247" s="3209"/>
      <c r="BS247" s="3209"/>
      <c r="BT247" s="3209"/>
      <c r="BU247" s="3209"/>
    </row>
    <row r="248" spans="1:73">
      <c r="A248" s="39"/>
      <c r="B248" s="3208"/>
      <c r="C248" s="3281" t="s">
        <v>477</v>
      </c>
      <c r="D248" s="3282" t="s">
        <v>368</v>
      </c>
      <c r="E248" s="3273"/>
      <c r="F248" s="3273"/>
      <c r="G248" s="3273"/>
      <c r="H248" s="3209"/>
      <c r="I248" s="3209"/>
      <c r="J248" s="3209"/>
      <c r="K248" s="3209"/>
      <c r="L248" s="3209"/>
      <c r="M248" s="3209"/>
      <c r="N248" s="3209"/>
      <c r="O248" s="3209"/>
      <c r="P248" s="3209"/>
      <c r="Q248" s="3209"/>
      <c r="R248" s="3209"/>
      <c r="S248" s="3209"/>
      <c r="T248" s="3209"/>
      <c r="U248" s="3209"/>
      <c r="V248" s="3209"/>
      <c r="W248" s="3209"/>
      <c r="X248" s="3209"/>
      <c r="Y248" s="3209"/>
      <c r="Z248" s="3209"/>
      <c r="AA248" s="3209"/>
      <c r="AB248" s="3209"/>
      <c r="AC248" s="3209"/>
      <c r="AD248" s="3209"/>
      <c r="AE248" s="3209"/>
      <c r="AF248" s="3209"/>
      <c r="AG248" s="3209"/>
      <c r="AH248" s="3209"/>
      <c r="AI248" s="3209"/>
      <c r="AJ248" s="3209"/>
      <c r="AK248" s="3209"/>
      <c r="AL248" s="3209"/>
      <c r="AM248" s="3209"/>
      <c r="AN248" s="3209"/>
      <c r="AO248" s="3209"/>
      <c r="AP248" s="3209"/>
      <c r="AQ248" s="3209"/>
      <c r="AR248" s="3209"/>
      <c r="AS248" s="3209"/>
      <c r="AT248" s="3209"/>
      <c r="AU248" s="3209"/>
      <c r="AV248" s="3209"/>
      <c r="AW248" s="3209"/>
      <c r="AX248" s="3273"/>
      <c r="AY248" s="3283">
        <f t="shared" ca="1" si="55"/>
        <v>7.2399999999999993</v>
      </c>
      <c r="AZ248" s="3283">
        <f t="shared" ca="1" si="55"/>
        <v>7.2989133141686455</v>
      </c>
      <c r="BA248" s="3283">
        <f t="shared" ca="1" si="55"/>
        <v>7.4717350395692215</v>
      </c>
      <c r="BB248" s="3283">
        <f t="shared" ca="1" si="55"/>
        <v>7.6802407478746355</v>
      </c>
      <c r="BC248" s="3283">
        <f t="shared" ca="1" si="55"/>
        <v>7.9238272895735689</v>
      </c>
      <c r="BD248" s="3283">
        <f t="shared" ca="1" si="55"/>
        <v>8.2023355103074671</v>
      </c>
      <c r="BE248" s="3283">
        <f t="shared" ca="1" si="55"/>
        <v>8.5160316214668619</v>
      </c>
      <c r="BF248" s="3283">
        <f t="shared" ca="1" si="55"/>
        <v>8.8655954080146326</v>
      </c>
      <c r="BG248" s="3283">
        <f t="shared" ca="1" si="55"/>
        <v>9.2521149014100423</v>
      </c>
      <c r="BH248" s="3208"/>
      <c r="BJ248" s="3208"/>
      <c r="BK248" s="3281"/>
      <c r="BL248" s="3282"/>
      <c r="BM248" s="3273"/>
      <c r="BN248" s="3273"/>
      <c r="BO248" s="3273"/>
      <c r="BP248" s="3209"/>
      <c r="BQ248" s="3209"/>
      <c r="BR248" s="3209"/>
      <c r="BS248" s="3209"/>
      <c r="BT248" s="3209"/>
      <c r="BU248" s="3209"/>
    </row>
    <row r="249" spans="1:73">
      <c r="A249" s="39"/>
      <c r="B249" s="3208"/>
      <c r="C249" s="3281" t="s">
        <v>556</v>
      </c>
      <c r="D249" s="3282" t="s">
        <v>557</v>
      </c>
      <c r="E249" s="3273"/>
      <c r="F249" s="3273"/>
      <c r="G249" s="3273"/>
      <c r="H249" s="3209"/>
      <c r="I249" s="3209"/>
      <c r="J249" s="3209"/>
      <c r="K249" s="3209"/>
      <c r="L249" s="3209"/>
      <c r="M249" s="3209"/>
      <c r="N249" s="3209"/>
      <c r="O249" s="3209"/>
      <c r="P249" s="3209"/>
      <c r="Q249" s="3209"/>
      <c r="R249" s="3209"/>
      <c r="S249" s="3209"/>
      <c r="T249" s="3209"/>
      <c r="U249" s="3209"/>
      <c r="V249" s="3209"/>
      <c r="W249" s="3209"/>
      <c r="X249" s="3209"/>
      <c r="Y249" s="3209"/>
      <c r="Z249" s="3209"/>
      <c r="AA249" s="3209"/>
      <c r="AB249" s="3209"/>
      <c r="AC249" s="3209"/>
      <c r="AD249" s="3209"/>
      <c r="AE249" s="3209"/>
      <c r="AF249" s="3209"/>
      <c r="AG249" s="3209"/>
      <c r="AH249" s="3209"/>
      <c r="AI249" s="3209"/>
      <c r="AJ249" s="3209"/>
      <c r="AK249" s="3272"/>
      <c r="AL249" s="3272"/>
      <c r="AM249" s="3272"/>
      <c r="AN249" s="3272"/>
      <c r="AO249" s="3272"/>
      <c r="AP249" s="3272"/>
      <c r="AQ249" s="3272"/>
      <c r="AR249" s="3272"/>
      <c r="AS249" s="3272"/>
      <c r="AT249" s="3272"/>
      <c r="AU249" s="3272"/>
      <c r="AV249" s="3272"/>
      <c r="AW249" s="3209"/>
      <c r="AX249" s="3273"/>
      <c r="AY249" s="3283">
        <f t="shared" ca="1" si="55"/>
        <v>23.361847793789565</v>
      </c>
      <c r="AZ249" s="3283">
        <f t="shared" ca="1" si="55"/>
        <v>24.085043155421804</v>
      </c>
      <c r="BA249" s="3283">
        <f t="shared" ca="1" si="55"/>
        <v>17.839288759972622</v>
      </c>
      <c r="BB249" s="3283">
        <f t="shared" ca="1" si="55"/>
        <v>9.8129539243446295</v>
      </c>
      <c r="BC249" s="3283">
        <f t="shared" ca="1" si="55"/>
        <v>0</v>
      </c>
      <c r="BD249" s="3283">
        <f t="shared" ca="1" si="55"/>
        <v>0</v>
      </c>
      <c r="BE249" s="3283">
        <f t="shared" ca="1" si="55"/>
        <v>0</v>
      </c>
      <c r="BF249" s="3283">
        <f t="shared" ca="1" si="55"/>
        <v>0</v>
      </c>
      <c r="BG249" s="3283">
        <f t="shared" ca="1" si="55"/>
        <v>0</v>
      </c>
      <c r="BH249" s="3208"/>
      <c r="BJ249" s="3208"/>
      <c r="BK249" s="3281"/>
      <c r="BL249" s="3282"/>
      <c r="BM249" s="3273"/>
      <c r="BN249" s="3273"/>
      <c r="BO249" s="3273"/>
      <c r="BP249" s="3209"/>
      <c r="BQ249" s="3209"/>
      <c r="BR249" s="3209"/>
      <c r="BS249" s="3209"/>
      <c r="BT249" s="3209"/>
      <c r="BU249" s="3209"/>
    </row>
    <row r="250" spans="1:73">
      <c r="A250" s="39"/>
      <c r="B250" s="3208"/>
      <c r="C250" s="3281" t="s">
        <v>553</v>
      </c>
      <c r="D250" s="3282" t="s">
        <v>554</v>
      </c>
      <c r="E250" s="3273"/>
      <c r="F250" s="3273"/>
      <c r="G250" s="3273"/>
      <c r="H250" s="3209"/>
      <c r="I250" s="3209"/>
      <c r="J250" s="3209"/>
      <c r="K250" s="3209"/>
      <c r="L250" s="3209"/>
      <c r="M250" s="3209"/>
      <c r="N250" s="3209"/>
      <c r="O250" s="3209"/>
      <c r="P250" s="3209"/>
      <c r="Q250" s="3209"/>
      <c r="R250" s="3209"/>
      <c r="S250" s="3209"/>
      <c r="T250" s="3209"/>
      <c r="U250" s="3209"/>
      <c r="V250" s="3209"/>
      <c r="W250" s="3209"/>
      <c r="X250" s="3209"/>
      <c r="Y250" s="3209"/>
      <c r="Z250" s="3209"/>
      <c r="AA250" s="3209"/>
      <c r="AB250" s="3209"/>
      <c r="AC250" s="3209"/>
      <c r="AD250" s="3209"/>
      <c r="AE250" s="3209"/>
      <c r="AF250" s="3209"/>
      <c r="AG250" s="3209"/>
      <c r="AH250" s="3209"/>
      <c r="AI250" s="3209"/>
      <c r="AJ250" s="3209"/>
      <c r="AK250" s="3272"/>
      <c r="AL250" s="3272"/>
      <c r="AM250" s="3272"/>
      <c r="AN250" s="3272"/>
      <c r="AO250" s="3272"/>
      <c r="AP250" s="3272"/>
      <c r="AQ250" s="3272"/>
      <c r="AR250" s="3272"/>
      <c r="AS250" s="3272"/>
      <c r="AT250" s="3272"/>
      <c r="AU250" s="3272"/>
      <c r="AV250" s="3272"/>
      <c r="AW250" s="3209"/>
      <c r="AX250" s="3273"/>
      <c r="AY250" s="3283">
        <f t="shared" ca="1" si="55"/>
        <v>0</v>
      </c>
      <c r="AZ250" s="3283">
        <f t="shared" ca="1" si="55"/>
        <v>0</v>
      </c>
      <c r="BA250" s="3283">
        <f t="shared" ca="1" si="55"/>
        <v>0</v>
      </c>
      <c r="BB250" s="3283">
        <f t="shared" ca="1" si="55"/>
        <v>0</v>
      </c>
      <c r="BC250" s="3283">
        <f t="shared" ca="1" si="55"/>
        <v>0</v>
      </c>
      <c r="BD250" s="3283">
        <f t="shared" ca="1" si="55"/>
        <v>6.0089516129032257</v>
      </c>
      <c r="BE250" s="3283">
        <f t="shared" ca="1" si="55"/>
        <v>17.740714285714287</v>
      </c>
      <c r="BF250" s="3283">
        <f t="shared" ca="1" si="55"/>
        <v>29.105859374999998</v>
      </c>
      <c r="BG250" s="3283">
        <f t="shared" ca="1" si="55"/>
        <v>40.121307692307688</v>
      </c>
      <c r="BH250" s="3208"/>
      <c r="BJ250" s="3208"/>
      <c r="BK250" s="3281"/>
      <c r="BL250" s="3282"/>
      <c r="BM250" s="3273"/>
      <c r="BN250" s="3273"/>
      <c r="BO250" s="3273"/>
      <c r="BP250" s="3209"/>
      <c r="BQ250" s="3209"/>
      <c r="BR250" s="3209"/>
      <c r="BS250" s="3209"/>
      <c r="BT250" s="3209"/>
      <c r="BU250" s="3209"/>
    </row>
    <row r="251" spans="1:73">
      <c r="A251" s="39"/>
      <c r="B251" s="3208"/>
      <c r="C251" s="3281"/>
      <c r="D251" s="3282"/>
      <c r="E251" s="3273"/>
      <c r="F251" s="3273"/>
      <c r="G251" s="3273"/>
      <c r="H251" s="3273"/>
      <c r="I251" s="3273"/>
      <c r="J251" s="3273"/>
      <c r="K251" s="3273"/>
      <c r="L251" s="3273"/>
      <c r="M251" s="3273"/>
      <c r="N251" s="3273"/>
      <c r="O251" s="3273"/>
      <c r="P251" s="3273"/>
      <c r="Q251" s="3273"/>
      <c r="R251" s="3273"/>
      <c r="S251" s="3273"/>
      <c r="T251" s="3273"/>
      <c r="U251" s="3273"/>
      <c r="V251" s="3273"/>
      <c r="W251" s="3273"/>
      <c r="X251" s="3273"/>
      <c r="Y251" s="3273"/>
      <c r="Z251" s="3273"/>
      <c r="AA251" s="3273"/>
      <c r="AB251" s="3273"/>
      <c r="AC251" s="3273"/>
      <c r="AD251" s="3273"/>
      <c r="AE251" s="3273"/>
      <c r="AF251" s="3273"/>
      <c r="AG251" s="3273"/>
      <c r="AH251" s="3273"/>
      <c r="AI251" s="3273"/>
      <c r="AJ251" s="3273"/>
      <c r="AK251" s="3273"/>
      <c r="AL251" s="3273"/>
      <c r="AM251" s="3273"/>
      <c r="AN251" s="3273"/>
      <c r="AO251" s="3273"/>
      <c r="AP251" s="3273"/>
      <c r="AQ251" s="3273"/>
      <c r="AR251" s="3273"/>
      <c r="AS251" s="3273"/>
      <c r="AT251" s="3273"/>
      <c r="AU251" s="3273"/>
      <c r="AV251" s="3273"/>
      <c r="AW251" s="3273"/>
      <c r="AX251" s="3273"/>
      <c r="AY251" s="3283"/>
      <c r="AZ251" s="3283"/>
      <c r="BA251" s="3283"/>
      <c r="BB251" s="3283"/>
      <c r="BC251" s="3283"/>
      <c r="BD251" s="3283"/>
      <c r="BE251" s="3283"/>
      <c r="BF251" s="3283"/>
      <c r="BG251" s="3283"/>
      <c r="BH251" s="3208"/>
      <c r="BJ251" s="3208"/>
      <c r="BK251" s="3281"/>
      <c r="BL251" s="3282"/>
      <c r="BM251" s="3273"/>
      <c r="BN251" s="3273"/>
      <c r="BO251" s="3273"/>
      <c r="BP251" s="3273"/>
      <c r="BQ251" s="3273"/>
      <c r="BR251" s="3273"/>
      <c r="BS251" s="3273"/>
      <c r="BT251" s="3273"/>
      <c r="BU251" s="3273"/>
    </row>
    <row r="252" spans="1:73">
      <c r="A252" s="39"/>
      <c r="B252" s="3208"/>
      <c r="C252" s="3277"/>
      <c r="D252" s="3282" t="s">
        <v>2574</v>
      </c>
      <c r="E252" s="3273" t="s">
        <v>2575</v>
      </c>
      <c r="F252" s="3273" t="s">
        <v>2576</v>
      </c>
      <c r="G252" s="3273" t="s">
        <v>2577</v>
      </c>
      <c r="H252" s="3273" t="s">
        <v>2578</v>
      </c>
      <c r="I252" s="3273" t="s">
        <v>2579</v>
      </c>
      <c r="J252" s="3273" t="s">
        <v>2580</v>
      </c>
      <c r="K252" s="3273" t="s">
        <v>2581</v>
      </c>
      <c r="L252" s="3273" t="s">
        <v>2582</v>
      </c>
      <c r="M252" s="3273" t="s">
        <v>2583</v>
      </c>
      <c r="N252" s="3273" t="s">
        <v>2584</v>
      </c>
      <c r="O252" s="3273" t="s">
        <v>2585</v>
      </c>
      <c r="P252" s="3273" t="s">
        <v>2586</v>
      </c>
      <c r="Q252" s="3273" t="s">
        <v>2587</v>
      </c>
      <c r="R252" s="3273" t="s">
        <v>2588</v>
      </c>
      <c r="S252" s="3273" t="s">
        <v>2589</v>
      </c>
      <c r="T252" s="3273" t="s">
        <v>2590</v>
      </c>
      <c r="U252" s="3273" t="s">
        <v>2591</v>
      </c>
      <c r="V252" s="3273" t="s">
        <v>2592</v>
      </c>
      <c r="W252" s="3273" t="s">
        <v>2593</v>
      </c>
      <c r="X252" s="3273" t="s">
        <v>2594</v>
      </c>
      <c r="Y252" s="3273" t="s">
        <v>2595</v>
      </c>
      <c r="Z252" s="3273" t="s">
        <v>2596</v>
      </c>
      <c r="AA252" s="3273" t="s">
        <v>2597</v>
      </c>
      <c r="AB252" s="3273" t="s">
        <v>2598</v>
      </c>
      <c r="AC252" s="3273" t="s">
        <v>2599</v>
      </c>
      <c r="AD252" s="3273" t="s">
        <v>2600</v>
      </c>
      <c r="AE252" s="3273" t="s">
        <v>2601</v>
      </c>
      <c r="AF252" s="3273" t="s">
        <v>2602</v>
      </c>
      <c r="AG252" s="3273" t="s">
        <v>2603</v>
      </c>
      <c r="AH252" s="3273" t="s">
        <v>2604</v>
      </c>
      <c r="AI252" s="3273" t="s">
        <v>2605</v>
      </c>
      <c r="AJ252" s="3273" t="s">
        <v>2606</v>
      </c>
      <c r="AK252" s="3273" t="s">
        <v>2607</v>
      </c>
      <c r="AL252" s="3273" t="s">
        <v>2608</v>
      </c>
      <c r="AM252" s="3273" t="s">
        <v>2609</v>
      </c>
      <c r="AN252" s="3273" t="s">
        <v>2610</v>
      </c>
      <c r="AO252" s="3273" t="s">
        <v>2611</v>
      </c>
      <c r="AP252" s="3273" t="s">
        <v>2612</v>
      </c>
      <c r="AQ252" s="3273" t="s">
        <v>2613</v>
      </c>
      <c r="AR252" s="3273" t="s">
        <v>2614</v>
      </c>
      <c r="AS252" s="3273" t="s">
        <v>2615</v>
      </c>
      <c r="AT252" s="3273" t="s">
        <v>2616</v>
      </c>
      <c r="AU252" s="3273" t="s">
        <v>2617</v>
      </c>
      <c r="AV252" s="3273" t="s">
        <v>2618</v>
      </c>
      <c r="AW252" s="3273" t="s">
        <v>2619</v>
      </c>
      <c r="AX252" s="3273" t="s">
        <v>2620</v>
      </c>
      <c r="AY252" s="3285" t="s">
        <v>597</v>
      </c>
      <c r="AZ252" s="3285" t="s">
        <v>133</v>
      </c>
      <c r="BA252" s="3285" t="s">
        <v>134</v>
      </c>
      <c r="BB252" s="3285" t="s">
        <v>135</v>
      </c>
      <c r="BC252" s="3285" t="s">
        <v>136</v>
      </c>
      <c r="BD252" s="3285" t="s">
        <v>137</v>
      </c>
      <c r="BE252" s="3285" t="s">
        <v>138</v>
      </c>
      <c r="BF252" s="3285" t="s">
        <v>139</v>
      </c>
      <c r="BG252" s="3285" t="s">
        <v>140</v>
      </c>
      <c r="BH252" s="3208"/>
      <c r="BJ252" s="3208"/>
      <c r="BK252" s="3277"/>
      <c r="BL252" s="3282"/>
      <c r="BM252" s="3273"/>
      <c r="BN252" s="3273"/>
      <c r="BO252" s="3273"/>
      <c r="BP252" s="3273"/>
      <c r="BQ252" s="3273"/>
      <c r="BR252" s="3273"/>
      <c r="BS252" s="3273"/>
      <c r="BT252" s="3273"/>
      <c r="BU252" s="3273"/>
    </row>
    <row r="253" spans="1:73">
      <c r="A253" s="39"/>
      <c r="B253" s="3208"/>
      <c r="C253" s="3281"/>
      <c r="D253" s="3282" t="s">
        <v>16</v>
      </c>
      <c r="E253" s="3273"/>
      <c r="F253" s="3273"/>
      <c r="G253" s="3273"/>
      <c r="H253" s="3273"/>
      <c r="I253" s="3273"/>
      <c r="J253" s="3273"/>
      <c r="K253" s="3273"/>
      <c r="L253" s="3273"/>
      <c r="M253" s="3273"/>
      <c r="N253" s="3273"/>
      <c r="O253" s="3273"/>
      <c r="P253" s="3273"/>
      <c r="Q253" s="3273"/>
      <c r="R253" s="3273"/>
      <c r="S253" s="3273"/>
      <c r="T253" s="3273"/>
      <c r="U253" s="3273"/>
      <c r="V253" s="3273"/>
      <c r="W253" s="3273"/>
      <c r="X253" s="3273"/>
      <c r="Y253" s="3273"/>
      <c r="Z253" s="3273"/>
      <c r="AA253" s="3273"/>
      <c r="AB253" s="3273"/>
      <c r="AC253" s="3273"/>
      <c r="AD253" s="3273"/>
      <c r="AE253" s="3273"/>
      <c r="AF253" s="3273"/>
      <c r="AG253" s="3273"/>
      <c r="AH253" s="3273"/>
      <c r="AI253" s="3273"/>
      <c r="AJ253" s="3273"/>
      <c r="AK253" s="3273"/>
      <c r="AL253" s="3273"/>
      <c r="AM253" s="3273"/>
      <c r="AN253" s="3273"/>
      <c r="AO253" s="3273"/>
      <c r="AP253" s="3273"/>
      <c r="AQ253" s="3273"/>
      <c r="AR253" s="3273"/>
      <c r="AS253" s="3273"/>
      <c r="AT253" s="3273"/>
      <c r="AU253" s="3273"/>
      <c r="AV253" s="3273"/>
      <c r="AW253" s="3273"/>
      <c r="AX253" s="3273"/>
      <c r="AY253" s="3567">
        <f t="shared" ref="AY253:BG253" ca="1" si="56">AY232</f>
        <v>3.0243685626367416E-2</v>
      </c>
      <c r="AZ253" s="3568">
        <f t="shared" ca="1" si="56"/>
        <v>0.158535000221279</v>
      </c>
      <c r="BA253" s="3568">
        <f t="shared" ca="1" si="56"/>
        <v>0.8362389872574969</v>
      </c>
      <c r="BB253" s="3568">
        <f t="shared" ca="1" si="56"/>
        <v>1</v>
      </c>
      <c r="BC253" s="3568">
        <f t="shared" ca="1" si="56"/>
        <v>1.0000000000000002</v>
      </c>
      <c r="BD253" s="3568">
        <f t="shared" ca="1" si="56"/>
        <v>1</v>
      </c>
      <c r="BE253" s="3568">
        <f t="shared" ca="1" si="56"/>
        <v>1</v>
      </c>
      <c r="BF253" s="3568">
        <f t="shared" ca="1" si="56"/>
        <v>1</v>
      </c>
      <c r="BG253" s="3568">
        <f t="shared" ca="1" si="56"/>
        <v>1</v>
      </c>
      <c r="BH253" s="3208"/>
      <c r="BJ253" s="3208"/>
      <c r="BK253" s="3281"/>
      <c r="BL253" s="3282"/>
      <c r="BM253" s="3273"/>
      <c r="BN253" s="3273"/>
      <c r="BO253" s="3273"/>
      <c r="BP253" s="3273"/>
      <c r="BQ253" s="3273"/>
      <c r="BR253" s="3273"/>
      <c r="BS253" s="3273"/>
      <c r="BT253" s="3273"/>
      <c r="BU253" s="3273"/>
    </row>
    <row r="254" spans="1:73">
      <c r="A254" s="39"/>
      <c r="B254" s="3208"/>
      <c r="C254" s="3281"/>
      <c r="D254" s="3282" t="s">
        <v>1712</v>
      </c>
      <c r="E254" s="3273"/>
      <c r="F254" s="3273"/>
      <c r="G254" s="3273"/>
      <c r="H254" s="3273"/>
      <c r="I254" s="3273"/>
      <c r="J254" s="3273"/>
      <c r="K254" s="3273"/>
      <c r="L254" s="3273"/>
      <c r="M254" s="3273"/>
      <c r="N254" s="3273"/>
      <c r="O254" s="3273"/>
      <c r="P254" s="3273"/>
      <c r="Q254" s="3273"/>
      <c r="R254" s="3273"/>
      <c r="S254" s="3273"/>
      <c r="T254" s="3273"/>
      <c r="U254" s="3273"/>
      <c r="V254" s="3273"/>
      <c r="W254" s="3273"/>
      <c r="X254" s="3273"/>
      <c r="Y254" s="3273"/>
      <c r="Z254" s="3273"/>
      <c r="AA254" s="3273"/>
      <c r="AB254" s="3273"/>
      <c r="AC254" s="3273"/>
      <c r="AD254" s="3273"/>
      <c r="AE254" s="3273"/>
      <c r="AF254" s="3273"/>
      <c r="AG254" s="3273"/>
      <c r="AH254" s="3273"/>
      <c r="AI254" s="3273"/>
      <c r="AJ254" s="3273"/>
      <c r="AK254" s="3273"/>
      <c r="AL254" s="3273"/>
      <c r="AM254" s="3273"/>
      <c r="AN254" s="3273"/>
      <c r="AO254" s="3273"/>
      <c r="AP254" s="3273"/>
      <c r="AQ254" s="3273"/>
      <c r="AR254" s="3273"/>
      <c r="AS254" s="3273"/>
      <c r="AT254" s="3273"/>
      <c r="AU254" s="3273"/>
      <c r="AV254" s="3273"/>
      <c r="AW254" s="3273"/>
      <c r="AX254" s="3273"/>
      <c r="AY254" s="3563">
        <f t="shared" ref="AY254:BG254" ca="1" si="57">AY239</f>
        <v>1.2460551583269974E-2</v>
      </c>
      <c r="AZ254" s="3564">
        <f t="shared" ca="1" si="57"/>
        <v>1.540217208424146E-2</v>
      </c>
      <c r="BA254" s="3564">
        <f t="shared" ca="1" si="57"/>
        <v>2.3554651032602559E-2</v>
      </c>
      <c r="BB254" s="3564">
        <f t="shared" ca="1" si="57"/>
        <v>4.0631487421181854E-2</v>
      </c>
      <c r="BC254" s="3564">
        <f t="shared" ca="1" si="57"/>
        <v>5.9895211825337677E-2</v>
      </c>
      <c r="BD254" s="3564">
        <f t="shared" ca="1" si="57"/>
        <v>8.0228822014248247E-2</v>
      </c>
      <c r="BE254" s="3564">
        <f t="shared" ca="1" si="57"/>
        <v>0.10140333657523205</v>
      </c>
      <c r="BF254" s="3564">
        <f t="shared" ca="1" si="57"/>
        <v>0.12355819888489239</v>
      </c>
      <c r="BG254" s="3564">
        <f t="shared" ca="1" si="57"/>
        <v>0.14632675998830921</v>
      </c>
      <c r="BH254" s="3208"/>
      <c r="BJ254" s="3208"/>
      <c r="BK254" s="3281"/>
      <c r="BL254" s="3282"/>
      <c r="BM254" s="3273"/>
      <c r="BN254" s="3273"/>
      <c r="BO254" s="3273"/>
      <c r="BP254" s="3273"/>
      <c r="BQ254" s="3273"/>
      <c r="BR254" s="3273"/>
      <c r="BS254" s="3273"/>
      <c r="BT254" s="3273"/>
      <c r="BU254" s="3273"/>
    </row>
    <row r="255" spans="1:73">
      <c r="A255" s="39"/>
      <c r="B255" s="3208"/>
      <c r="C255" s="3281"/>
      <c r="D255" s="3282" t="s">
        <v>15</v>
      </c>
      <c r="E255" s="3273"/>
      <c r="F255" s="3273"/>
      <c r="G255" s="3273"/>
      <c r="H255" s="3273"/>
      <c r="I255" s="3273"/>
      <c r="J255" s="3273"/>
      <c r="K255" s="3273"/>
      <c r="L255" s="3273"/>
      <c r="M255" s="3273"/>
      <c r="N255" s="3273"/>
      <c r="O255" s="3273"/>
      <c r="P255" s="3273"/>
      <c r="Q255" s="3273"/>
      <c r="R255" s="3273"/>
      <c r="S255" s="3273"/>
      <c r="T255" s="3273"/>
      <c r="U255" s="3273"/>
      <c r="V255" s="3273"/>
      <c r="W255" s="3273"/>
      <c r="X255" s="3273"/>
      <c r="Y255" s="3273"/>
      <c r="Z255" s="3273"/>
      <c r="AA255" s="3273"/>
      <c r="AB255" s="3273"/>
      <c r="AC255" s="3273"/>
      <c r="AD255" s="3273"/>
      <c r="AE255" s="3273"/>
      <c r="AF255" s="3273"/>
      <c r="AG255" s="3273"/>
      <c r="AH255" s="3273"/>
      <c r="AI255" s="3273"/>
      <c r="AJ255" s="3273"/>
      <c r="AK255" s="3273"/>
      <c r="AL255" s="3273"/>
      <c r="AM255" s="3273"/>
      <c r="AN255" s="3273"/>
      <c r="AO255" s="3273"/>
      <c r="AP255" s="3273"/>
      <c r="AQ255" s="3273"/>
      <c r="AR255" s="3273"/>
      <c r="AS255" s="3273"/>
      <c r="AT255" s="3273"/>
      <c r="AU255" s="3273"/>
      <c r="AV255" s="3273"/>
      <c r="AW255" s="3273"/>
      <c r="AX255" s="3273"/>
      <c r="AY255" s="3565">
        <f t="shared" ref="AY255:BG255" ca="1" si="58">AY245</f>
        <v>4.9551178985304412E-3</v>
      </c>
      <c r="AZ255" s="3566">
        <f t="shared" ca="1" si="58"/>
        <v>7.7289626904820585E-3</v>
      </c>
      <c r="BA255" s="3566">
        <f t="shared" ca="1" si="58"/>
        <v>2.7373103522332125E-2</v>
      </c>
      <c r="BB255" s="3566">
        <f t="shared" ca="1" si="58"/>
        <v>6.5330048021772794E-2</v>
      </c>
      <c r="BC255" s="3566">
        <f t="shared" ca="1" si="58"/>
        <v>0.19046129473656603</v>
      </c>
      <c r="BD255" s="3566">
        <f t="shared" ca="1" si="58"/>
        <v>0.21670202117803208</v>
      </c>
      <c r="BE255" s="3566">
        <f t="shared" ca="1" si="58"/>
        <v>0.23924563805704993</v>
      </c>
      <c r="BF255" s="3566">
        <f t="shared" ca="1" si="58"/>
        <v>0.24506811306182619</v>
      </c>
      <c r="BG255" s="3566">
        <f t="shared" ca="1" si="58"/>
        <v>0.24377514990752697</v>
      </c>
      <c r="BH255" s="3208"/>
      <c r="BJ255" s="3208"/>
      <c r="BK255" s="3281"/>
      <c r="BL255" s="3282"/>
      <c r="BM255" s="3273"/>
      <c r="BN255" s="3273"/>
      <c r="BO255" s="3273"/>
      <c r="BP255" s="3273"/>
      <c r="BQ255" s="3273"/>
      <c r="BR255" s="3273"/>
      <c r="BS255" s="3273"/>
      <c r="BT255" s="3273"/>
      <c r="BU255" s="3273"/>
    </row>
    <row r="256" spans="1:73" s="1152" customFormat="1">
      <c r="A256" s="39"/>
      <c r="B256" s="3013"/>
      <c r="C256" s="3013"/>
      <c r="D256" s="3013"/>
      <c r="E256" s="3013"/>
      <c r="F256" s="3013"/>
      <c r="G256" s="3013"/>
      <c r="H256" s="3013"/>
      <c r="I256" s="3013"/>
      <c r="J256" s="3013"/>
      <c r="K256" s="3013"/>
      <c r="L256" s="3013"/>
      <c r="M256" s="3013"/>
      <c r="N256" s="3013"/>
      <c r="O256" s="3013"/>
      <c r="P256" s="3013"/>
      <c r="Q256" s="3013"/>
      <c r="R256" s="3013"/>
      <c r="S256" s="3013"/>
      <c r="T256" s="3013"/>
      <c r="U256" s="3013"/>
      <c r="V256" s="3013"/>
      <c r="W256" s="3013"/>
      <c r="X256" s="3013"/>
      <c r="Y256" s="3013"/>
      <c r="Z256" s="3013"/>
      <c r="AA256" s="3013"/>
      <c r="AB256" s="3013"/>
      <c r="AC256" s="3013"/>
      <c r="AD256" s="3013"/>
      <c r="AE256" s="3013"/>
      <c r="AF256" s="3013"/>
      <c r="AG256" s="3013"/>
      <c r="AH256" s="3013"/>
      <c r="AI256" s="3013"/>
      <c r="AJ256" s="3013"/>
      <c r="AK256" s="3013"/>
      <c r="AL256" s="3013"/>
      <c r="AM256" s="3013"/>
      <c r="AN256" s="3013"/>
      <c r="AO256" s="3013"/>
      <c r="AP256" s="3013"/>
      <c r="AQ256" s="3013"/>
      <c r="AR256" s="3013"/>
      <c r="AS256" s="3013"/>
      <c r="AT256" s="3013"/>
      <c r="AU256" s="3013"/>
      <c r="AV256" s="3013"/>
      <c r="AW256" s="3013"/>
      <c r="AX256" s="3013"/>
      <c r="AY256" s="3013"/>
      <c r="AZ256" s="3013"/>
      <c r="BA256" s="3013"/>
      <c r="BB256" s="3013"/>
      <c r="BC256" s="3013"/>
      <c r="BD256" s="3013"/>
      <c r="BE256" s="3013"/>
      <c r="BF256" s="3013"/>
      <c r="BG256" s="3013"/>
      <c r="BH256" s="3013"/>
      <c r="BJ256" s="3013"/>
      <c r="BK256" s="3013"/>
      <c r="BL256" s="3013"/>
      <c r="BM256" s="3013"/>
      <c r="BN256" s="3013"/>
      <c r="BO256" s="3013"/>
      <c r="BP256" s="3013"/>
      <c r="BQ256" s="3013"/>
      <c r="BR256" s="3013"/>
      <c r="BS256" s="3013"/>
      <c r="BT256" s="3013"/>
      <c r="BU256" s="3013"/>
    </row>
    <row r="257" spans="1:73" ht="23.25">
      <c r="A257" s="3569"/>
      <c r="B257" s="3202" t="s">
        <v>2621</v>
      </c>
      <c r="C257" s="3203"/>
      <c r="D257" s="3203"/>
      <c r="E257" s="3203"/>
      <c r="F257" s="3203"/>
      <c r="G257" s="3203"/>
      <c r="H257" s="3203"/>
      <c r="I257" s="3203"/>
      <c r="J257" s="3203"/>
      <c r="K257" s="3203"/>
      <c r="L257" s="3203"/>
      <c r="M257" s="3203"/>
      <c r="N257" s="3203"/>
      <c r="O257" s="3203"/>
      <c r="P257" s="3203"/>
      <c r="Q257" s="3203"/>
      <c r="R257" s="3203"/>
      <c r="S257" s="3203"/>
      <c r="T257" s="3203"/>
      <c r="U257" s="3203"/>
      <c r="V257" s="3203"/>
      <c r="W257" s="3203"/>
      <c r="X257" s="3203"/>
      <c r="Y257" s="3203"/>
      <c r="Z257" s="3203"/>
      <c r="AA257" s="3203"/>
      <c r="AB257" s="3203"/>
      <c r="AC257" s="3203"/>
      <c r="AD257" s="3203"/>
      <c r="AE257" s="3203"/>
      <c r="AF257" s="3203"/>
      <c r="AG257" s="3203"/>
      <c r="AH257" s="3203"/>
      <c r="AI257" s="3203"/>
      <c r="AJ257" s="3203"/>
      <c r="AK257" s="3203"/>
      <c r="AL257" s="3203"/>
      <c r="AM257" s="3203"/>
      <c r="AN257" s="3203"/>
      <c r="AO257" s="3203"/>
      <c r="AP257" s="3203"/>
      <c r="AQ257" s="3203"/>
      <c r="AR257" s="3203"/>
      <c r="AS257" s="3203"/>
      <c r="AT257" s="3203"/>
      <c r="AU257" s="3203"/>
      <c r="AV257" s="3203"/>
      <c r="AW257" s="3203"/>
      <c r="AX257" s="3203"/>
      <c r="AY257" s="3203"/>
      <c r="AZ257" s="3203"/>
      <c r="BA257" s="3203"/>
      <c r="BB257" s="3203"/>
      <c r="BC257" s="3203"/>
      <c r="BD257" s="3203"/>
      <c r="BE257" s="3203"/>
      <c r="BF257" s="3203"/>
      <c r="BG257" s="3205"/>
      <c r="BH257" s="3206"/>
      <c r="BJ257" s="3202"/>
      <c r="BK257" s="3203"/>
      <c r="BL257" s="3203"/>
      <c r="BM257" s="3203"/>
      <c r="BN257" s="3203"/>
      <c r="BO257" s="3203"/>
      <c r="BP257" s="3203"/>
      <c r="BQ257" s="3203"/>
      <c r="BR257" s="3203"/>
      <c r="BS257" s="3203"/>
      <c r="BT257" s="3203"/>
      <c r="BU257" s="3203"/>
    </row>
    <row r="258" spans="1:73">
      <c r="A258" s="39"/>
      <c r="B258" s="3208"/>
      <c r="C258" s="3208"/>
      <c r="D258" s="3208"/>
      <c r="E258" s="3208"/>
      <c r="F258" s="3208"/>
      <c r="G258" s="3208"/>
      <c r="H258" s="3208"/>
      <c r="I258" s="3208"/>
      <c r="J258" s="3208"/>
      <c r="K258" s="3208"/>
      <c r="L258" s="3208"/>
      <c r="M258" s="3208"/>
      <c r="N258" s="3208"/>
      <c r="O258" s="3208"/>
      <c r="P258" s="3208"/>
      <c r="Q258" s="3208"/>
      <c r="R258" s="3208"/>
      <c r="S258" s="3208"/>
      <c r="T258" s="3208"/>
      <c r="U258" s="3208"/>
      <c r="V258" s="3208"/>
      <c r="W258" s="3208"/>
      <c r="X258" s="3208"/>
      <c r="Y258" s="3208"/>
      <c r="Z258" s="3208"/>
      <c r="AA258" s="3208"/>
      <c r="AB258" s="3208"/>
      <c r="AC258" s="3208"/>
      <c r="AD258" s="3208"/>
      <c r="AE258" s="3208"/>
      <c r="AF258" s="3208"/>
      <c r="AG258" s="3208"/>
      <c r="AH258" s="3208"/>
      <c r="AI258" s="3208"/>
      <c r="AJ258" s="3208"/>
      <c r="AK258" s="3208"/>
      <c r="AL258" s="3208"/>
      <c r="AM258" s="3208"/>
      <c r="AN258" s="3208"/>
      <c r="AO258" s="3208"/>
      <c r="AP258" s="3208"/>
      <c r="AQ258" s="3208"/>
      <c r="AR258" s="3208"/>
      <c r="AS258" s="3208"/>
      <c r="AT258" s="3208"/>
      <c r="AU258" s="3208"/>
      <c r="AV258" s="3208"/>
      <c r="AW258" s="3208"/>
      <c r="AX258" s="3208"/>
      <c r="AY258" s="3208"/>
      <c r="AZ258" s="3208"/>
      <c r="BA258" s="3208"/>
      <c r="BB258" s="3208"/>
      <c r="BC258" s="3208"/>
      <c r="BD258" s="3208"/>
      <c r="BE258" s="3208"/>
      <c r="BF258" s="3208"/>
      <c r="BG258" s="3208"/>
      <c r="BH258" s="3208"/>
      <c r="BJ258" s="3208"/>
      <c r="BK258" s="3208"/>
      <c r="BL258" s="3208"/>
      <c r="BM258" s="3208"/>
      <c r="BN258" s="3208"/>
      <c r="BO258" s="3208"/>
      <c r="BP258" s="3208"/>
      <c r="BQ258" s="3208"/>
      <c r="BR258" s="3208"/>
      <c r="BS258" s="3208"/>
      <c r="BT258" s="3208"/>
      <c r="BU258" s="3208"/>
    </row>
    <row r="259" spans="1:73">
      <c r="A259" s="39"/>
      <c r="B259" s="3208"/>
      <c r="C259" s="3208"/>
      <c r="D259" s="3208"/>
      <c r="E259" s="3208"/>
      <c r="F259" s="3208"/>
      <c r="G259" s="3208"/>
      <c r="H259" s="3208"/>
      <c r="I259" s="3208"/>
      <c r="J259" s="3208"/>
      <c r="K259" s="3208"/>
      <c r="L259" s="3208"/>
      <c r="M259" s="3208"/>
      <c r="N259" s="3208"/>
      <c r="O259" s="3208"/>
      <c r="P259" s="3208"/>
      <c r="Q259" s="3208"/>
      <c r="R259" s="3208"/>
      <c r="S259" s="3208"/>
      <c r="T259" s="3208"/>
      <c r="U259" s="3208"/>
      <c r="V259" s="3208"/>
      <c r="W259" s="3208"/>
      <c r="X259" s="3208"/>
      <c r="Y259" s="3208"/>
      <c r="Z259" s="3208"/>
      <c r="AA259" s="3208"/>
      <c r="AB259" s="3208"/>
      <c r="AC259" s="3208"/>
      <c r="AD259" s="3208"/>
      <c r="AE259" s="3208"/>
      <c r="AF259" s="3208"/>
      <c r="AG259" s="3208"/>
      <c r="AH259" s="3208"/>
      <c r="AI259" s="3208"/>
      <c r="AJ259" s="3208"/>
      <c r="AK259" s="3208"/>
      <c r="AL259" s="3208"/>
      <c r="AM259" s="3208"/>
      <c r="AN259" s="3208"/>
      <c r="AO259" s="3208"/>
      <c r="AP259" s="3208"/>
      <c r="AQ259" s="3208"/>
      <c r="AR259" s="3208"/>
      <c r="AS259" s="3208"/>
      <c r="AT259" s="3208"/>
      <c r="AU259" s="3208"/>
      <c r="AV259" s="3208"/>
      <c r="AW259" s="3208"/>
      <c r="AX259" s="3208"/>
      <c r="AY259" s="3208"/>
      <c r="AZ259" s="3208"/>
      <c r="BA259" s="3208"/>
      <c r="BB259" s="3208"/>
      <c r="BC259" s="3208"/>
      <c r="BD259" s="3208"/>
      <c r="BE259" s="3208"/>
      <c r="BF259" s="3208"/>
      <c r="BG259" s="3208"/>
      <c r="BH259" s="3208"/>
      <c r="BJ259" s="3208"/>
      <c r="BK259" s="3208"/>
      <c r="BL259" s="3208"/>
      <c r="BM259" s="3208"/>
      <c r="BN259" s="3208"/>
      <c r="BO259" s="3208"/>
      <c r="BP259" s="3208"/>
      <c r="BQ259" s="3208"/>
      <c r="BR259" s="3208"/>
      <c r="BS259" s="3208"/>
      <c r="BT259" s="3208"/>
      <c r="BU259" s="3208"/>
    </row>
    <row r="260" spans="1:73">
      <c r="A260" s="39"/>
      <c r="B260" s="3208"/>
      <c r="C260" s="3286" t="s">
        <v>2622</v>
      </c>
      <c r="D260" s="3208"/>
      <c r="E260" s="3208"/>
      <c r="F260" s="3208"/>
      <c r="G260" s="3208"/>
      <c r="H260" s="3208"/>
      <c r="I260" s="3208"/>
      <c r="J260" s="3208"/>
      <c r="K260" s="3208"/>
      <c r="L260" s="3208"/>
      <c r="M260" s="3208"/>
      <c r="N260" s="3208"/>
      <c r="O260" s="3208"/>
      <c r="P260" s="3208"/>
      <c r="Q260" s="3208"/>
      <c r="R260" s="3208"/>
      <c r="S260" s="3208"/>
      <c r="T260" s="3208"/>
      <c r="U260" s="3208"/>
      <c r="V260" s="3208"/>
      <c r="W260" s="3208"/>
      <c r="X260" s="3208"/>
      <c r="Y260" s="3208"/>
      <c r="Z260" s="3208"/>
      <c r="AA260" s="3208"/>
      <c r="AB260" s="3208"/>
      <c r="AC260" s="3208"/>
      <c r="AD260" s="3208"/>
      <c r="AE260" s="3208"/>
      <c r="AF260" s="3208"/>
      <c r="AG260" s="3208"/>
      <c r="AH260" s="3208"/>
      <c r="AI260" s="3208"/>
      <c r="AJ260" s="3208"/>
      <c r="AK260" s="3208"/>
      <c r="AL260" s="3208"/>
      <c r="AM260" s="3208"/>
      <c r="AN260" s="3208"/>
      <c r="AO260" s="3208"/>
      <c r="AP260" s="3208"/>
      <c r="AQ260" s="3208"/>
      <c r="AR260" s="3208"/>
      <c r="AS260" s="3208"/>
      <c r="AT260" s="3208"/>
      <c r="AU260" s="3208"/>
      <c r="AV260" s="3208"/>
      <c r="AW260" s="3208"/>
      <c r="AX260" s="3208"/>
      <c r="AY260" s="3287">
        <v>2013</v>
      </c>
      <c r="AZ260" s="3287">
        <v>2015</v>
      </c>
      <c r="BA260" s="3287">
        <v>2020</v>
      </c>
      <c r="BB260" s="3287">
        <v>2025</v>
      </c>
      <c r="BC260" s="3287">
        <v>2030</v>
      </c>
      <c r="BD260" s="3287">
        <v>2035</v>
      </c>
      <c r="BE260" s="3287">
        <v>2040</v>
      </c>
      <c r="BF260" s="3287">
        <v>2045</v>
      </c>
      <c r="BG260" s="3287">
        <v>2050</v>
      </c>
      <c r="BH260" s="3208"/>
      <c r="BJ260" s="3208"/>
      <c r="BK260" s="3286"/>
      <c r="BL260" s="3208"/>
      <c r="BM260" s="3208"/>
      <c r="BN260" s="3208"/>
      <c r="BO260" s="3208"/>
      <c r="BP260" s="3208"/>
      <c r="BQ260" s="3208"/>
      <c r="BR260" s="3208"/>
      <c r="BS260" s="3208"/>
      <c r="BT260" s="3208"/>
      <c r="BU260" s="3208"/>
    </row>
    <row r="261" spans="1:73">
      <c r="A261" s="39"/>
      <c r="B261" s="3208"/>
      <c r="C261" s="3288" t="s">
        <v>2623</v>
      </c>
      <c r="D261" s="3214"/>
      <c r="E261" s="3208"/>
      <c r="F261" s="3208"/>
      <c r="G261" s="3208"/>
      <c r="H261" s="3208"/>
      <c r="I261" s="3208"/>
      <c r="J261" s="3208"/>
      <c r="K261" s="3208"/>
      <c r="L261" s="3208"/>
      <c r="M261" s="3208"/>
      <c r="N261" s="3208"/>
      <c r="O261" s="3208"/>
      <c r="P261" s="3208"/>
      <c r="Q261" s="3208"/>
      <c r="R261" s="3208"/>
      <c r="S261" s="3208"/>
      <c r="T261" s="3208"/>
      <c r="U261" s="3208"/>
      <c r="V261" s="3208"/>
      <c r="W261" s="3208"/>
      <c r="X261" s="3208"/>
      <c r="Y261" s="3208"/>
      <c r="Z261" s="3208"/>
      <c r="AA261" s="3208"/>
      <c r="AB261" s="3208"/>
      <c r="AC261" s="3208"/>
      <c r="AD261" s="3208"/>
      <c r="AE261" s="3208"/>
      <c r="AF261" s="3208"/>
      <c r="AG261" s="3208"/>
      <c r="AH261" s="3208"/>
      <c r="AI261" s="3208"/>
      <c r="AJ261" s="3208"/>
      <c r="AK261" s="3208"/>
      <c r="AL261" s="3208"/>
      <c r="AM261" s="3208"/>
      <c r="AN261" s="3208"/>
      <c r="AO261" s="3208"/>
      <c r="AP261" s="3208"/>
      <c r="AQ261" s="3208"/>
      <c r="AR261" s="3208"/>
      <c r="AS261" s="3208"/>
      <c r="AT261" s="3208"/>
      <c r="AU261" s="3208"/>
      <c r="AV261" s="3208"/>
      <c r="AW261" s="3208"/>
      <c r="AX261" s="3208"/>
      <c r="AY261" s="3249">
        <f t="shared" ref="AY261:BG261" ca="1" si="59">AY158-AY262</f>
        <v>12.653745820569476</v>
      </c>
      <c r="AZ261" s="3249">
        <f t="shared" ca="1" si="59"/>
        <v>12.306742678110057</v>
      </c>
      <c r="BA261" s="3249">
        <f t="shared" ca="1" si="59"/>
        <v>8.3433212759556366</v>
      </c>
      <c r="BB261" s="3249">
        <f t="shared" ca="1" si="59"/>
        <v>4.5894557994184604</v>
      </c>
      <c r="BC261" s="3249">
        <f t="shared" ca="1" si="59"/>
        <v>1.2827491099669441</v>
      </c>
      <c r="BD261" s="3249">
        <f t="shared" ca="1" si="59"/>
        <v>8.7999561941971489</v>
      </c>
      <c r="BE261" s="3249">
        <f t="shared" ca="1" si="59"/>
        <v>11.753651968649367</v>
      </c>
      <c r="BF261" s="3249">
        <f t="shared" ca="1" si="59"/>
        <v>14.117979470037758</v>
      </c>
      <c r="BG261" s="3249">
        <f t="shared" ca="1" si="59"/>
        <v>16.409558432921891</v>
      </c>
      <c r="BH261" s="3208"/>
      <c r="BJ261" s="3208"/>
      <c r="BK261" s="3288"/>
      <c r="BL261" s="3214"/>
      <c r="BM261" s="3208"/>
      <c r="BN261" s="3208"/>
      <c r="BO261" s="3208"/>
      <c r="BP261" s="3208"/>
      <c r="BQ261" s="3208"/>
      <c r="BR261" s="3208"/>
      <c r="BS261" s="3208"/>
      <c r="BT261" s="3208"/>
      <c r="BU261" s="3208"/>
    </row>
    <row r="262" spans="1:73">
      <c r="A262" s="39"/>
      <c r="B262" s="3208"/>
      <c r="C262" s="3288" t="s">
        <v>2624</v>
      </c>
      <c r="D262" s="3214"/>
      <c r="E262" s="3208"/>
      <c r="F262" s="3208"/>
      <c r="G262" s="3208"/>
      <c r="H262" s="3208"/>
      <c r="I262" s="3208"/>
      <c r="J262" s="3208"/>
      <c r="K262" s="3208"/>
      <c r="L262" s="3208"/>
      <c r="M262" s="3208"/>
      <c r="N262" s="3208"/>
      <c r="O262" s="3208"/>
      <c r="P262" s="3208"/>
      <c r="Q262" s="3208"/>
      <c r="R262" s="3208"/>
      <c r="S262" s="3208"/>
      <c r="T262" s="3208"/>
      <c r="U262" s="3208"/>
      <c r="V262" s="3208"/>
      <c r="W262" s="3208"/>
      <c r="X262" s="3208"/>
      <c r="Y262" s="3208"/>
      <c r="Z262" s="3208"/>
      <c r="AA262" s="3208"/>
      <c r="AB262" s="3208"/>
      <c r="AC262" s="3208"/>
      <c r="AD262" s="3208"/>
      <c r="AE262" s="3208"/>
      <c r="AF262" s="3208"/>
      <c r="AG262" s="3208"/>
      <c r="AH262" s="3208"/>
      <c r="AI262" s="3208"/>
      <c r="AJ262" s="3208"/>
      <c r="AK262" s="3208"/>
      <c r="AL262" s="3208"/>
      <c r="AM262" s="3208"/>
      <c r="AN262" s="3208"/>
      <c r="AO262" s="3208"/>
      <c r="AP262" s="3208"/>
      <c r="AQ262" s="3208"/>
      <c r="AR262" s="3208"/>
      <c r="AS262" s="3208"/>
      <c r="AT262" s="3208"/>
      <c r="AU262" s="3208"/>
      <c r="AV262" s="3208"/>
      <c r="AW262" s="3208"/>
      <c r="AX262" s="3208"/>
      <c r="AY262" s="3249">
        <f>I.b!F318</f>
        <v>0</v>
      </c>
      <c r="AZ262" s="3249">
        <f>I.b!G318</f>
        <v>0</v>
      </c>
      <c r="BA262" s="3249">
        <f>I.b!H318</f>
        <v>0</v>
      </c>
      <c r="BB262" s="3249">
        <f>I.b!I318</f>
        <v>0</v>
      </c>
      <c r="BC262" s="3249">
        <f>I.b!J318</f>
        <v>0</v>
      </c>
      <c r="BD262" s="3249">
        <f>I.b!K318</f>
        <v>-1.1071438064419354</v>
      </c>
      <c r="BE262" s="3249">
        <f>I.b!L318</f>
        <v>-3.2687102856857142</v>
      </c>
      <c r="BF262" s="3249">
        <f>I.b!M318</f>
        <v>-5.3627278124531248</v>
      </c>
      <c r="BG262" s="3249">
        <f>I.b!N318</f>
        <v>-7.3923140307046147</v>
      </c>
      <c r="BH262" s="3208"/>
      <c r="BJ262" s="3208"/>
      <c r="BK262" s="3288"/>
      <c r="BL262" s="3214"/>
      <c r="BM262" s="3208"/>
      <c r="BN262" s="3208"/>
      <c r="BO262" s="3208"/>
      <c r="BP262" s="3208"/>
      <c r="BQ262" s="3208"/>
      <c r="BR262" s="3208"/>
      <c r="BS262" s="3208"/>
      <c r="BT262" s="3208"/>
      <c r="BU262" s="3208"/>
    </row>
    <row r="263" spans="1:73">
      <c r="A263" s="39"/>
      <c r="B263" s="3208"/>
      <c r="C263" s="3288" t="s">
        <v>2625</v>
      </c>
      <c r="D263" s="3214"/>
      <c r="E263" s="3208"/>
      <c r="F263" s="3208"/>
      <c r="G263" s="3208"/>
      <c r="H263" s="3208"/>
      <c r="I263" s="3208"/>
      <c r="J263" s="3208"/>
      <c r="K263" s="3208"/>
      <c r="L263" s="3208"/>
      <c r="M263" s="3208"/>
      <c r="N263" s="3208"/>
      <c r="O263" s="3208"/>
      <c r="P263" s="3208"/>
      <c r="Q263" s="3208"/>
      <c r="R263" s="3208"/>
      <c r="S263" s="3208"/>
      <c r="T263" s="3208"/>
      <c r="U263" s="3208"/>
      <c r="V263" s="3208"/>
      <c r="W263" s="3208"/>
      <c r="X263" s="3208"/>
      <c r="Y263" s="3208"/>
      <c r="Z263" s="3208"/>
      <c r="AA263" s="3208"/>
      <c r="AB263" s="3208"/>
      <c r="AC263" s="3208"/>
      <c r="AD263" s="3208"/>
      <c r="AE263" s="3208"/>
      <c r="AF263" s="3208"/>
      <c r="AG263" s="3208"/>
      <c r="AH263" s="3208"/>
      <c r="AI263" s="3208"/>
      <c r="AJ263" s="3208"/>
      <c r="AK263" s="3208"/>
      <c r="AL263" s="3208"/>
      <c r="AM263" s="3208"/>
      <c r="AN263" s="3208"/>
      <c r="AO263" s="3208"/>
      <c r="AP263" s="3208"/>
      <c r="AQ263" s="3208"/>
      <c r="AR263" s="3208"/>
      <c r="AS263" s="3208"/>
      <c r="AT263" s="3208"/>
      <c r="AU263" s="3208"/>
      <c r="AV263" s="3208"/>
      <c r="AW263" s="3208"/>
      <c r="AX263" s="3208"/>
      <c r="AY263" s="3249">
        <f ca="1">-AY245*AY249*INDEX(EF[CO2e], MATCH("V.05", EF[Vector], 0))</f>
        <v>-2.4082070965892956E-2</v>
      </c>
      <c r="AZ263" s="3249">
        <f ca="1">-AZ245*AZ249*INDEX(EF[CO2e], MATCH("V.05", EF[Vector], 0))</f>
        <v>-3.8725879448634558E-2</v>
      </c>
      <c r="BA263" s="3249">
        <f ca="1">-BA245*BA249*INDEX(EF[CO2e], MATCH("V.05", EF[Vector], 0))</f>
        <v>-0.10158608529660666</v>
      </c>
      <c r="BB263" s="3249">
        <f ca="1">-BB245*BB249*INDEX(EF[CO2e], MATCH("V.05", EF[Vector], 0))</f>
        <v>-0.13336608011241566</v>
      </c>
      <c r="BC263" s="3249">
        <f ca="1">-BC245*BC249*INDEX(EF[CO2e], MATCH("V.05", EF[Vector], 0))</f>
        <v>0</v>
      </c>
      <c r="BD263" s="3249">
        <f ca="1">-BD245*BD249*INDEX(EF[CO2e], MATCH("V.05", EF[Vector], 0))</f>
        <v>0</v>
      </c>
      <c r="BE263" s="3249">
        <f ca="1">-BE245*BE249*INDEX(EF[CO2e], MATCH("V.05", EF[Vector], 0))</f>
        <v>0</v>
      </c>
      <c r="BF263" s="3249">
        <f ca="1">-BF245*BF249*INDEX(EF[CO2e], MATCH("V.05", EF[Vector], 0))</f>
        <v>0</v>
      </c>
      <c r="BG263" s="3249">
        <f ca="1">-BG245*BG249*INDEX(EF[CO2e], MATCH("V.05", EF[Vector], 0))</f>
        <v>0</v>
      </c>
      <c r="BH263" s="3208"/>
      <c r="BJ263" s="3208"/>
      <c r="BK263" s="3288"/>
      <c r="BL263" s="3214"/>
      <c r="BM263" s="3208"/>
      <c r="BN263" s="3208"/>
      <c r="BO263" s="3208"/>
      <c r="BP263" s="3208"/>
      <c r="BQ263" s="3208"/>
      <c r="BR263" s="3208"/>
      <c r="BS263" s="3208"/>
      <c r="BT263" s="3208"/>
      <c r="BU263" s="3208"/>
    </row>
    <row r="264" spans="1:73">
      <c r="A264" s="39"/>
      <c r="B264" s="3208"/>
      <c r="C264" s="3288" t="s">
        <v>2626</v>
      </c>
      <c r="D264" s="3214"/>
      <c r="E264" s="3208"/>
      <c r="F264" s="3208"/>
      <c r="G264" s="3208"/>
      <c r="H264" s="3208"/>
      <c r="I264" s="3208"/>
      <c r="J264" s="3208"/>
      <c r="K264" s="3208"/>
      <c r="L264" s="3208"/>
      <c r="M264" s="3208"/>
      <c r="N264" s="3208"/>
      <c r="O264" s="3208"/>
      <c r="P264" s="3208"/>
      <c r="Q264" s="3208"/>
      <c r="R264" s="3208"/>
      <c r="S264" s="3208"/>
      <c r="T264" s="3208"/>
      <c r="U264" s="3208"/>
      <c r="V264" s="3208"/>
      <c r="W264" s="3208"/>
      <c r="X264" s="3208"/>
      <c r="Y264" s="3208"/>
      <c r="Z264" s="3208"/>
      <c r="AA264" s="3208"/>
      <c r="AB264" s="3208"/>
      <c r="AC264" s="3208"/>
      <c r="AD264" s="3208"/>
      <c r="AE264" s="3208"/>
      <c r="AF264" s="3208"/>
      <c r="AG264" s="3208"/>
      <c r="AH264" s="3208"/>
      <c r="AI264" s="3208"/>
      <c r="AJ264" s="3208"/>
      <c r="AK264" s="3208"/>
      <c r="AL264" s="3208"/>
      <c r="AM264" s="3208"/>
      <c r="AN264" s="3208"/>
      <c r="AO264" s="3208"/>
      <c r="AP264" s="3208"/>
      <c r="AQ264" s="3208"/>
      <c r="AR264" s="3208"/>
      <c r="AS264" s="3208"/>
      <c r="AT264" s="3208"/>
      <c r="AU264" s="3208"/>
      <c r="AV264" s="3208"/>
      <c r="AW264" s="3208"/>
      <c r="AX264" s="3208"/>
      <c r="AY264" s="3249">
        <f ca="1">-AY232*AY234*INDEX(EF[CO2e], MATCH("V.03", EF[Vector], 0))</f>
        <v>-0.20387757716214924</v>
      </c>
      <c r="AZ264" s="3249">
        <f ca="1">-AZ232*AZ234*INDEX(EF[CO2e], MATCH("V.03", EF[Vector], 0))</f>
        <v>-1.1015353921710056</v>
      </c>
      <c r="BA264" s="3249">
        <f ca="1">-BA232*BA234*INDEX(EF[CO2e], MATCH("V.03", EF[Vector], 0))</f>
        <v>-3.6888162834675176</v>
      </c>
      <c r="BB264" s="3249">
        <f ca="1">-BB232*BB234*INDEX(EF[CO2e], MATCH("V.03", EF[Vector], 0))</f>
        <v>-2.4264918624156118</v>
      </c>
      <c r="BC264" s="3249">
        <f ca="1">-BC232*BC234*INDEX(EF[CO2e], MATCH("V.03", EF[Vector], 0))</f>
        <v>-1.2215607526454404</v>
      </c>
      <c r="BD264" s="3249">
        <f ca="1">-BD232*BD234*INDEX(EF[CO2e], MATCH("V.03", EF[Vector], 0))</f>
        <v>-7.1897575727131633</v>
      </c>
      <c r="BE264" s="3249">
        <f ca="1">-BE232*BE234*INDEX(EF[CO2e], MATCH("V.03", EF[Vector], 0))</f>
        <v>-7.6783818737713396</v>
      </c>
      <c r="BF264" s="3249">
        <f ca="1">-BF232*BF234*INDEX(EF[CO2e], MATCH("V.03", EF[Vector], 0))</f>
        <v>-7.6783818737713396</v>
      </c>
      <c r="BG264" s="3249">
        <f ca="1">-BG232*BG234*INDEX(EF[CO2e], MATCH("V.03", EF[Vector], 0))</f>
        <v>-7.6783818737713396</v>
      </c>
      <c r="BH264" s="3208"/>
      <c r="BJ264" s="3208"/>
      <c r="BK264" s="3288"/>
      <c r="BL264" s="3214"/>
      <c r="BM264" s="3208"/>
      <c r="BN264" s="3208"/>
      <c r="BO264" s="3208"/>
      <c r="BP264" s="3208"/>
      <c r="BQ264" s="3208"/>
      <c r="BR264" s="3208"/>
      <c r="BS264" s="3208"/>
      <c r="BT264" s="3208"/>
      <c r="BU264" s="3208"/>
    </row>
    <row r="265" spans="1:73">
      <c r="A265" s="39"/>
      <c r="B265" s="3208"/>
      <c r="C265" s="3288" t="s">
        <v>2627</v>
      </c>
      <c r="D265" s="3214"/>
      <c r="E265" s="3208"/>
      <c r="F265" s="3208"/>
      <c r="G265" s="3208"/>
      <c r="H265" s="3208"/>
      <c r="I265" s="3208"/>
      <c r="J265" s="3208"/>
      <c r="K265" s="3208"/>
      <c r="L265" s="3208"/>
      <c r="M265" s="3208"/>
      <c r="N265" s="3208"/>
      <c r="O265" s="3208"/>
      <c r="P265" s="3208"/>
      <c r="Q265" s="3208"/>
      <c r="R265" s="3208"/>
      <c r="S265" s="3208"/>
      <c r="T265" s="3208"/>
      <c r="U265" s="3208"/>
      <c r="V265" s="3208"/>
      <c r="W265" s="3208"/>
      <c r="X265" s="3208"/>
      <c r="Y265" s="3208"/>
      <c r="Z265" s="3208"/>
      <c r="AA265" s="3208"/>
      <c r="AB265" s="3208"/>
      <c r="AC265" s="3208"/>
      <c r="AD265" s="3208"/>
      <c r="AE265" s="3208"/>
      <c r="AF265" s="3208"/>
      <c r="AG265" s="3208"/>
      <c r="AH265" s="3208"/>
      <c r="AI265" s="3208"/>
      <c r="AJ265" s="3208"/>
      <c r="AK265" s="3208"/>
      <c r="AL265" s="3208"/>
      <c r="AM265" s="3208"/>
      <c r="AN265" s="3208"/>
      <c r="AO265" s="3208"/>
      <c r="AP265" s="3208"/>
      <c r="AQ265" s="3208"/>
      <c r="AR265" s="3208"/>
      <c r="AS265" s="3208"/>
      <c r="AT265" s="3208"/>
      <c r="AU265" s="3208"/>
      <c r="AV265" s="3208"/>
      <c r="AW265" s="3208"/>
      <c r="AX265" s="3208"/>
      <c r="AY265" s="3249">
        <f ca="1">-AY232*AY233*INDEX(EF[CO2e], MATCH("V.03", EF[Vector], 0))</f>
        <v>0</v>
      </c>
      <c r="AZ265" s="3249">
        <f ca="1">-AZ232*AZ233*INDEX(EF[CO2e], MATCH("V.03", EF[Vector], 0))</f>
        <v>0</v>
      </c>
      <c r="BA265" s="3249">
        <f ca="1">-BA232*BA233*INDEX(EF[CO2e], MATCH("V.03", EF[Vector], 0))</f>
        <v>0</v>
      </c>
      <c r="BB265" s="3249">
        <f ca="1">-BB232*BB233*INDEX(EF[CO2e], MATCH("V.03", EF[Vector], 0))</f>
        <v>0</v>
      </c>
      <c r="BC265" s="3249">
        <f ca="1">-BC232*BC233*INDEX(EF[CO2e], MATCH("V.03", EF[Vector], 0))</f>
        <v>0</v>
      </c>
      <c r="BD265" s="3249">
        <f ca="1">-BD232*BD233*INDEX(EF[CO2e], MATCH("V.03", EF[Vector], 0))</f>
        <v>0</v>
      </c>
      <c r="BE265" s="3249">
        <f ca="1">-BE232*BE233*INDEX(EF[CO2e], MATCH("V.03", EF[Vector], 0))</f>
        <v>0</v>
      </c>
      <c r="BF265" s="3249">
        <f ca="1">-BF232*BF233*INDEX(EF[CO2e], MATCH("V.03", EF[Vector], 0))</f>
        <v>0</v>
      </c>
      <c r="BG265" s="3249">
        <f ca="1">-BG232*BG233*INDEX(EF[CO2e], MATCH("V.03", EF[Vector], 0))</f>
        <v>0</v>
      </c>
      <c r="BH265" s="3208" t="s">
        <v>5</v>
      </c>
      <c r="BJ265" s="3208"/>
      <c r="BK265" s="3288"/>
      <c r="BL265" s="3214"/>
      <c r="BM265" s="3208"/>
      <c r="BN265" s="3208"/>
      <c r="BO265" s="3208"/>
      <c r="BP265" s="3208"/>
      <c r="BQ265" s="3208"/>
      <c r="BR265" s="3208"/>
      <c r="BS265" s="3208"/>
      <c r="BT265" s="3208"/>
      <c r="BU265" s="3208"/>
    </row>
    <row r="266" spans="1:73">
      <c r="A266" s="39"/>
      <c r="B266" s="3208"/>
      <c r="C266" s="3208" t="s">
        <v>2628</v>
      </c>
      <c r="D266" s="3214"/>
      <c r="E266" s="3208"/>
      <c r="F266" s="3208"/>
      <c r="G266" s="3208"/>
      <c r="H266" s="3208"/>
      <c r="I266" s="3208"/>
      <c r="J266" s="3208"/>
      <c r="K266" s="3208"/>
      <c r="L266" s="3208"/>
      <c r="M266" s="3208"/>
      <c r="N266" s="3208"/>
      <c r="O266" s="3208"/>
      <c r="P266" s="3208"/>
      <c r="Q266" s="3208"/>
      <c r="R266" s="3208"/>
      <c r="S266" s="3208"/>
      <c r="T266" s="3208"/>
      <c r="U266" s="3208"/>
      <c r="V266" s="3208"/>
      <c r="W266" s="3208"/>
      <c r="X266" s="3208"/>
      <c r="Y266" s="3208"/>
      <c r="Z266" s="3208"/>
      <c r="AA266" s="3208"/>
      <c r="AB266" s="3208"/>
      <c r="AC266" s="3208"/>
      <c r="AD266" s="3208"/>
      <c r="AE266" s="3208"/>
      <c r="AF266" s="3208"/>
      <c r="AG266" s="3208"/>
      <c r="AH266" s="3208"/>
      <c r="AI266" s="3208"/>
      <c r="AJ266" s="3208"/>
      <c r="AK266" s="3208"/>
      <c r="AL266" s="3208"/>
      <c r="AM266" s="3208"/>
      <c r="AN266" s="3208"/>
      <c r="AO266" s="3208"/>
      <c r="AP266" s="3208"/>
      <c r="AQ266" s="3208"/>
      <c r="AR266" s="3208"/>
      <c r="AS266" s="3208"/>
      <c r="AT266" s="3208"/>
      <c r="AU266" s="3208"/>
      <c r="AV266" s="3208"/>
      <c r="AW266" s="3208"/>
      <c r="AX266" s="3208"/>
      <c r="AY266" s="3249">
        <f ca="1">-AY245*AY250*INDEX(EF[CO2e], MATCH("V.05", EF[Vector], 0))</f>
        <v>0</v>
      </c>
      <c r="AZ266" s="3249">
        <f ca="1">-AZ245*AZ250*INDEX(EF[CO2e], MATCH("V.05", EF[Vector], 0))</f>
        <v>0</v>
      </c>
      <c r="BA266" s="3249">
        <f ca="1">-BA245*BA250*INDEX(EF[CO2e], MATCH("V.05", EF[Vector], 0))</f>
        <v>0</v>
      </c>
      <c r="BB266" s="3249">
        <f ca="1">-BB245*BB250*INDEX(EF[CO2e], MATCH("V.05", EF[Vector], 0))</f>
        <v>0</v>
      </c>
      <c r="BC266" s="3249">
        <f ca="1">-BC245*BC250*INDEX(EF[CO2e], MATCH("V.05", EF[Vector], 0))</f>
        <v>0</v>
      </c>
      <c r="BD266" s="3249">
        <f ca="1">-BD245*BD250*INDEX(EF[CO2e], MATCH("V.05", EF[Vector], 0))</f>
        <v>-0.27089083905790329</v>
      </c>
      <c r="BE266" s="3249">
        <f ca="1">-BE245*BE250*INDEX(EF[CO2e], MATCH("V.05", EF[Vector], 0))</f>
        <v>-0.8829737235441899</v>
      </c>
      <c r="BF266" s="3249">
        <f ca="1">-BF245*BF250*INDEX(EF[CO2e], MATCH("V.05", EF[Vector], 0))</f>
        <v>-1.4838837643822134</v>
      </c>
      <c r="BG266" s="3249">
        <f ca="1">-BG245*BG250*INDEX(EF[CO2e], MATCH("V.05", EF[Vector], 0))</f>
        <v>-2.034684896995957</v>
      </c>
      <c r="BH266" s="3208"/>
      <c r="BJ266" s="3208"/>
      <c r="BK266" s="3208"/>
      <c r="BL266" s="3214"/>
      <c r="BM266" s="3208"/>
      <c r="BN266" s="3208"/>
      <c r="BO266" s="3208"/>
      <c r="BP266" s="3208"/>
      <c r="BQ266" s="3208"/>
      <c r="BR266" s="3208"/>
      <c r="BS266" s="3208"/>
      <c r="BT266" s="3208"/>
      <c r="BU266" s="3208"/>
    </row>
    <row r="267" spans="1:73">
      <c r="A267" s="39"/>
      <c r="B267" s="3208"/>
      <c r="C267" s="3288" t="s">
        <v>2629</v>
      </c>
      <c r="D267" s="3214"/>
      <c r="E267" s="3208"/>
      <c r="F267" s="3208"/>
      <c r="G267" s="3208"/>
      <c r="H267" s="3208"/>
      <c r="I267" s="3208"/>
      <c r="J267" s="3208"/>
      <c r="K267" s="3208"/>
      <c r="L267" s="3208"/>
      <c r="M267" s="3208"/>
      <c r="N267" s="3208"/>
      <c r="O267" s="3208"/>
      <c r="P267" s="3208"/>
      <c r="Q267" s="3208"/>
      <c r="R267" s="3208"/>
      <c r="S267" s="3208"/>
      <c r="T267" s="3208"/>
      <c r="U267" s="3208"/>
      <c r="V267" s="3208"/>
      <c r="W267" s="3208"/>
      <c r="X267" s="3208"/>
      <c r="Y267" s="3208"/>
      <c r="Z267" s="3208"/>
      <c r="AA267" s="3208"/>
      <c r="AB267" s="3208"/>
      <c r="AC267" s="3208"/>
      <c r="AD267" s="3208"/>
      <c r="AE267" s="3208"/>
      <c r="AF267" s="3208"/>
      <c r="AG267" s="3208"/>
      <c r="AH267" s="3208"/>
      <c r="AI267" s="3208"/>
      <c r="AJ267" s="3208"/>
      <c r="AK267" s="3208"/>
      <c r="AL267" s="3208"/>
      <c r="AM267" s="3208"/>
      <c r="AN267" s="3208"/>
      <c r="AO267" s="3208"/>
      <c r="AP267" s="3208"/>
      <c r="AQ267" s="3208"/>
      <c r="AR267" s="3208"/>
      <c r="AS267" s="3208"/>
      <c r="AT267" s="3208"/>
      <c r="AU267" s="3208"/>
      <c r="AV267" s="3208"/>
      <c r="AW267" s="3208"/>
      <c r="AX267" s="3208"/>
      <c r="AY267" s="3249">
        <f t="shared" ref="AY267:BG267" ca="1" si="60">SUM(AY261:AY266)</f>
        <v>12.425786172441434</v>
      </c>
      <c r="AZ267" s="3249">
        <f t="shared" ca="1" si="60"/>
        <v>11.166481406490417</v>
      </c>
      <c r="BA267" s="3249">
        <f t="shared" ca="1" si="60"/>
        <v>4.552918907191513</v>
      </c>
      <c r="BB267" s="3249">
        <f t="shared" ca="1" si="60"/>
        <v>2.0295978568904327</v>
      </c>
      <c r="BC267" s="3249">
        <f t="shared" ca="1" si="60"/>
        <v>6.1188357321503739E-2</v>
      </c>
      <c r="BD267" s="3249">
        <f t="shared" ca="1" si="60"/>
        <v>0.23216397598414712</v>
      </c>
      <c r="BE267" s="3249">
        <f t="shared" ca="1" si="60"/>
        <v>-7.6413914351876722E-2</v>
      </c>
      <c r="BF267" s="3249">
        <f t="shared" ca="1" si="60"/>
        <v>-0.40701398056891969</v>
      </c>
      <c r="BG267" s="3249">
        <f t="shared" ca="1" si="60"/>
        <v>-0.69582236855002044</v>
      </c>
      <c r="BH267" s="3208"/>
      <c r="BJ267" s="3208"/>
      <c r="BK267" s="3288"/>
      <c r="BL267" s="3214"/>
      <c r="BM267" s="3208"/>
      <c r="BN267" s="3208"/>
      <c r="BO267" s="3208"/>
      <c r="BP267" s="3208"/>
      <c r="BQ267" s="3208"/>
      <c r="BR267" s="3208"/>
      <c r="BS267" s="3208"/>
      <c r="BT267" s="3208"/>
      <c r="BU267" s="3208"/>
    </row>
    <row r="268" spans="1:73">
      <c r="A268" s="39"/>
      <c r="B268" s="3208"/>
      <c r="C268" s="3288"/>
      <c r="D268" s="3214"/>
      <c r="E268" s="3208"/>
      <c r="F268" s="3208" t="s">
        <v>5</v>
      </c>
      <c r="G268" s="3208"/>
      <c r="H268" s="3208"/>
      <c r="I268" s="3208"/>
      <c r="J268" s="3208"/>
      <c r="K268" s="3208"/>
      <c r="L268" s="3208"/>
      <c r="M268" s="3208"/>
      <c r="N268" s="3208"/>
      <c r="O268" s="3208"/>
      <c r="P268" s="3208"/>
      <c r="Q268" s="3208"/>
      <c r="R268" s="3208"/>
      <c r="S268" s="3208"/>
      <c r="T268" s="3208"/>
      <c r="U268" s="3208"/>
      <c r="V268" s="3208"/>
      <c r="W268" s="3208"/>
      <c r="X268" s="3208"/>
      <c r="Y268" s="3208"/>
      <c r="Z268" s="3208"/>
      <c r="AA268" s="3208"/>
      <c r="AB268" s="3208"/>
      <c r="AC268" s="3208"/>
      <c r="AD268" s="3208"/>
      <c r="AE268" s="3208"/>
      <c r="AF268" s="3208"/>
      <c r="AG268" s="3208"/>
      <c r="AH268" s="3208"/>
      <c r="AI268" s="3208"/>
      <c r="AJ268" s="3208"/>
      <c r="AK268" s="3208"/>
      <c r="AL268" s="3208"/>
      <c r="AM268" s="3208"/>
      <c r="AN268" s="3208"/>
      <c r="AO268" s="3208"/>
      <c r="AP268" s="3208"/>
      <c r="AQ268" s="3208"/>
      <c r="AR268" s="3208"/>
      <c r="AS268" s="3208"/>
      <c r="AT268" s="3208"/>
      <c r="AU268" s="3208"/>
      <c r="AV268" s="3208"/>
      <c r="AW268" s="3208"/>
      <c r="AX268" s="3208"/>
      <c r="AY268" s="3249"/>
      <c r="AZ268" s="3249"/>
      <c r="BA268" s="3249"/>
      <c r="BB268" s="3249"/>
      <c r="BC268" s="3249"/>
      <c r="BD268" s="3249"/>
      <c r="BE268" s="3249"/>
      <c r="BF268" s="3249"/>
      <c r="BG268" s="3249"/>
      <c r="BH268" s="3208"/>
      <c r="BJ268" s="3208"/>
      <c r="BK268" s="3288"/>
      <c r="BL268" s="3214"/>
      <c r="BM268" s="3208"/>
      <c r="BN268" s="3208"/>
      <c r="BO268" s="3208"/>
      <c r="BP268" s="3208"/>
      <c r="BQ268" s="3208"/>
      <c r="BR268" s="3208"/>
      <c r="BS268" s="3208"/>
      <c r="BT268" s="3208"/>
      <c r="BU268" s="3208"/>
    </row>
    <row r="269" spans="1:73">
      <c r="A269" s="39"/>
      <c r="B269" s="3208"/>
      <c r="C269" s="3289" t="s">
        <v>2630</v>
      </c>
      <c r="D269" s="3214"/>
      <c r="E269" s="3208"/>
      <c r="F269" s="3208"/>
      <c r="G269" s="3208"/>
      <c r="H269" s="3208"/>
      <c r="I269" s="3208"/>
      <c r="J269" s="3208"/>
      <c r="K269" s="3208"/>
      <c r="L269" s="3208"/>
      <c r="M269" s="3208"/>
      <c r="N269" s="3208"/>
      <c r="O269" s="3208"/>
      <c r="P269" s="3208"/>
      <c r="Q269" s="3208"/>
      <c r="R269" s="3208"/>
      <c r="S269" s="3208"/>
      <c r="T269" s="3208"/>
      <c r="U269" s="3208"/>
      <c r="V269" s="3208"/>
      <c r="W269" s="3208"/>
      <c r="X269" s="3208"/>
      <c r="Y269" s="3208"/>
      <c r="Z269" s="3208"/>
      <c r="AA269" s="3208"/>
      <c r="AB269" s="3208"/>
      <c r="AC269" s="3208"/>
      <c r="AD269" s="3208"/>
      <c r="AE269" s="3208"/>
      <c r="AF269" s="3208"/>
      <c r="AG269" s="3208"/>
      <c r="AH269" s="3208"/>
      <c r="AI269" s="3208"/>
      <c r="AJ269" s="3208"/>
      <c r="AK269" s="3208"/>
      <c r="AL269" s="3208"/>
      <c r="AM269" s="3208"/>
      <c r="AN269" s="3208"/>
      <c r="AO269" s="3208"/>
      <c r="AP269" s="3208"/>
      <c r="AQ269" s="3208"/>
      <c r="AR269" s="3208"/>
      <c r="AS269" s="3208"/>
      <c r="AT269" s="3208"/>
      <c r="AU269" s="3208"/>
      <c r="AV269" s="3208"/>
      <c r="AW269" s="3208"/>
      <c r="AX269" s="3208"/>
      <c r="AY269" s="3287">
        <v>2013</v>
      </c>
      <c r="AZ269" s="3287">
        <v>2015</v>
      </c>
      <c r="BA269" s="3287">
        <v>2020</v>
      </c>
      <c r="BB269" s="3287">
        <v>2025</v>
      </c>
      <c r="BC269" s="3287">
        <v>2030</v>
      </c>
      <c r="BD269" s="3287">
        <v>2035</v>
      </c>
      <c r="BE269" s="3287">
        <v>2040</v>
      </c>
      <c r="BF269" s="3287">
        <v>2045</v>
      </c>
      <c r="BG269" s="3287">
        <v>2050</v>
      </c>
      <c r="BH269" s="3208"/>
      <c r="BJ269" s="3208"/>
      <c r="BK269" s="3289"/>
      <c r="BL269" s="3214"/>
      <c r="BM269" s="3208"/>
      <c r="BN269" s="3208"/>
      <c r="BO269" s="3208"/>
      <c r="BP269" s="3208"/>
      <c r="BQ269" s="3208"/>
      <c r="BR269" s="3208"/>
      <c r="BS269" s="3208"/>
      <c r="BT269" s="3208"/>
      <c r="BU269" s="3208"/>
    </row>
    <row r="270" spans="1:73">
      <c r="A270" s="39"/>
      <c r="B270" s="3208"/>
      <c r="C270" s="3210">
        <v>1</v>
      </c>
      <c r="D270" s="3208" t="s">
        <v>308</v>
      </c>
      <c r="E270" s="3208"/>
      <c r="F270" s="3208"/>
      <c r="G270" s="3208"/>
      <c r="H270" s="3208"/>
      <c r="I270" s="3208"/>
      <c r="J270" s="3208"/>
      <c r="K270" s="3208"/>
      <c r="L270" s="3208"/>
      <c r="M270" s="3208"/>
      <c r="N270" s="3208"/>
      <c r="O270" s="3208"/>
      <c r="P270" s="3208"/>
      <c r="Q270" s="3208"/>
      <c r="R270" s="3208"/>
      <c r="S270" s="3208"/>
      <c r="T270" s="3208"/>
      <c r="U270" s="3208"/>
      <c r="V270" s="3208"/>
      <c r="W270" s="3208"/>
      <c r="X270" s="3208"/>
      <c r="Y270" s="3208"/>
      <c r="Z270" s="3208"/>
      <c r="AA270" s="3208"/>
      <c r="AB270" s="3208"/>
      <c r="AC270" s="3208"/>
      <c r="AD270" s="3208"/>
      <c r="AE270" s="3208"/>
      <c r="AF270" s="3208"/>
      <c r="AG270" s="3208"/>
      <c r="AH270" s="3208"/>
      <c r="AI270" s="3208"/>
      <c r="AJ270" s="3208"/>
      <c r="AK270" s="3208"/>
      <c r="AL270" s="3208"/>
      <c r="AM270" s="3208"/>
      <c r="AN270" s="3208"/>
      <c r="AO270" s="3208"/>
      <c r="AP270" s="3208"/>
      <c r="AQ270" s="3208"/>
      <c r="AR270" s="3208"/>
      <c r="AS270" s="3208"/>
      <c r="AT270" s="3208"/>
      <c r="AU270" s="3208"/>
      <c r="AV270" s="3208"/>
      <c r="AW270" s="3208"/>
      <c r="AX270" s="3208"/>
      <c r="AY270" s="3249">
        <f t="shared" ref="AY270:BG270" ca="1" si="61">AY261</f>
        <v>12.653745820569476</v>
      </c>
      <c r="AZ270" s="3249">
        <f t="shared" ca="1" si="61"/>
        <v>12.306742678110057</v>
      </c>
      <c r="BA270" s="3249">
        <f t="shared" ca="1" si="61"/>
        <v>8.3433212759556366</v>
      </c>
      <c r="BB270" s="3249">
        <f t="shared" ca="1" si="61"/>
        <v>4.5894557994184604</v>
      </c>
      <c r="BC270" s="3249">
        <f t="shared" ca="1" si="61"/>
        <v>1.2827491099669441</v>
      </c>
      <c r="BD270" s="3249">
        <f t="shared" ca="1" si="61"/>
        <v>8.7999561941971489</v>
      </c>
      <c r="BE270" s="3249">
        <f t="shared" ca="1" si="61"/>
        <v>11.753651968649367</v>
      </c>
      <c r="BF270" s="3249">
        <f t="shared" ca="1" si="61"/>
        <v>14.117979470037758</v>
      </c>
      <c r="BG270" s="3249">
        <f t="shared" ca="1" si="61"/>
        <v>16.409558432921891</v>
      </c>
      <c r="BH270" s="3208"/>
      <c r="BJ270" s="3208"/>
      <c r="BK270" s="3210"/>
      <c r="BL270" s="3208"/>
      <c r="BM270" s="3208"/>
      <c r="BN270" s="3208"/>
      <c r="BO270" s="3208"/>
      <c r="BP270" s="3208"/>
      <c r="BQ270" s="3208"/>
      <c r="BR270" s="3208"/>
      <c r="BS270" s="3208"/>
      <c r="BT270" s="3208"/>
      <c r="BU270" s="3208"/>
    </row>
    <row r="271" spans="1:73">
      <c r="A271" s="39"/>
      <c r="B271" s="3208"/>
      <c r="C271" s="3210" t="s">
        <v>458</v>
      </c>
      <c r="D271" s="3290" t="s">
        <v>413</v>
      </c>
      <c r="E271" s="3208"/>
      <c r="F271" s="3208"/>
      <c r="G271" s="3208"/>
      <c r="H271" s="3208"/>
      <c r="I271" s="3208"/>
      <c r="J271" s="3208"/>
      <c r="K271" s="3208"/>
      <c r="L271" s="3208"/>
      <c r="M271" s="3208"/>
      <c r="N271" s="3208"/>
      <c r="O271" s="3208"/>
      <c r="P271" s="3208"/>
      <c r="Q271" s="3208"/>
      <c r="R271" s="3208"/>
      <c r="S271" s="3208"/>
      <c r="T271" s="3208"/>
      <c r="U271" s="3208"/>
      <c r="V271" s="3208"/>
      <c r="W271" s="3208"/>
      <c r="X271" s="3208"/>
      <c r="Y271" s="3208"/>
      <c r="Z271" s="3208"/>
      <c r="AA271" s="3208"/>
      <c r="AB271" s="3208"/>
      <c r="AC271" s="3208"/>
      <c r="AD271" s="3208"/>
      <c r="AE271" s="3208"/>
      <c r="AF271" s="3208"/>
      <c r="AG271" s="3208"/>
      <c r="AH271" s="3208"/>
      <c r="AI271" s="3208"/>
      <c r="AJ271" s="3208"/>
      <c r="AK271" s="3208"/>
      <c r="AL271" s="3208"/>
      <c r="AM271" s="3208"/>
      <c r="AN271" s="3208"/>
      <c r="AO271" s="3208"/>
      <c r="AP271" s="3208"/>
      <c r="AQ271" s="3208"/>
      <c r="AR271" s="3208"/>
      <c r="AS271" s="3208"/>
      <c r="AT271" s="3208"/>
      <c r="AU271" s="3208"/>
      <c r="AV271" s="3208"/>
      <c r="AW271" s="3208"/>
      <c r="AX271" s="3208"/>
      <c r="AY271" s="3249">
        <f t="shared" ref="AY271:BG271" ca="1" si="62">SUM(AY263:AY266)</f>
        <v>-0.2279596481280422</v>
      </c>
      <c r="AZ271" s="3249">
        <f t="shared" ca="1" si="62"/>
        <v>-1.1402612716196401</v>
      </c>
      <c r="BA271" s="3249">
        <f t="shared" ca="1" si="62"/>
        <v>-3.7904023687641244</v>
      </c>
      <c r="BB271" s="3249">
        <f t="shared" ca="1" si="62"/>
        <v>-2.5598579425280272</v>
      </c>
      <c r="BC271" s="3249">
        <f t="shared" ca="1" si="62"/>
        <v>-1.2215607526454404</v>
      </c>
      <c r="BD271" s="3249">
        <f t="shared" ca="1" si="62"/>
        <v>-7.460648411771067</v>
      </c>
      <c r="BE271" s="3249">
        <f t="shared" ca="1" si="62"/>
        <v>-8.5613555973155293</v>
      </c>
      <c r="BF271" s="3249">
        <f t="shared" ca="1" si="62"/>
        <v>-9.1622656381535528</v>
      </c>
      <c r="BG271" s="3249">
        <f t="shared" ca="1" si="62"/>
        <v>-9.7130667707672966</v>
      </c>
      <c r="BH271" s="3208"/>
      <c r="BJ271" s="3208"/>
      <c r="BK271" s="3210"/>
      <c r="BL271" s="3290"/>
      <c r="BM271" s="3208"/>
      <c r="BN271" s="3208"/>
      <c r="BO271" s="3208"/>
      <c r="BP271" s="3208"/>
      <c r="BQ271" s="3208"/>
      <c r="BR271" s="3208"/>
      <c r="BS271" s="3208"/>
      <c r="BT271" s="3208"/>
      <c r="BU271" s="3208"/>
    </row>
    <row r="272" spans="1:73">
      <c r="A272" s="39"/>
      <c r="B272" s="3208"/>
      <c r="C272" s="3210" t="s">
        <v>459</v>
      </c>
      <c r="D272" s="3290" t="s">
        <v>414</v>
      </c>
      <c r="E272" s="3208"/>
      <c r="F272" s="3208"/>
      <c r="G272" s="3208"/>
      <c r="H272" s="3208"/>
      <c r="I272" s="3208"/>
      <c r="J272" s="3208"/>
      <c r="K272" s="3208"/>
      <c r="L272" s="3208"/>
      <c r="M272" s="3208"/>
      <c r="N272" s="3208"/>
      <c r="O272" s="3208"/>
      <c r="P272" s="3208"/>
      <c r="Q272" s="3208"/>
      <c r="R272" s="3208"/>
      <c r="S272" s="3208"/>
      <c r="T272" s="3208"/>
      <c r="U272" s="3208"/>
      <c r="V272" s="3208"/>
      <c r="W272" s="3208"/>
      <c r="X272" s="3208"/>
      <c r="Y272" s="3208"/>
      <c r="Z272" s="3208"/>
      <c r="AA272" s="3208"/>
      <c r="AB272" s="3208"/>
      <c r="AC272" s="3208"/>
      <c r="AD272" s="3208"/>
      <c r="AE272" s="3208"/>
      <c r="AF272" s="3208"/>
      <c r="AG272" s="3208"/>
      <c r="AH272" s="3208"/>
      <c r="AI272" s="3208"/>
      <c r="AJ272" s="3208"/>
      <c r="AK272" s="3208"/>
      <c r="AL272" s="3208"/>
      <c r="AM272" s="3208"/>
      <c r="AN272" s="3208"/>
      <c r="AO272" s="3208"/>
      <c r="AP272" s="3208"/>
      <c r="AQ272" s="3208"/>
      <c r="AR272" s="3208"/>
      <c r="AS272" s="3208"/>
      <c r="AT272" s="3208"/>
      <c r="AU272" s="3208"/>
      <c r="AV272" s="3208"/>
      <c r="AW272" s="3208"/>
      <c r="AX272" s="3208"/>
      <c r="AY272" s="3249">
        <f t="shared" ref="AY272:BG272" si="63">AY262</f>
        <v>0</v>
      </c>
      <c r="AZ272" s="3249">
        <f t="shared" si="63"/>
        <v>0</v>
      </c>
      <c r="BA272" s="3249">
        <f t="shared" si="63"/>
        <v>0</v>
      </c>
      <c r="BB272" s="3249">
        <f t="shared" si="63"/>
        <v>0</v>
      </c>
      <c r="BC272" s="3249">
        <f t="shared" si="63"/>
        <v>0</v>
      </c>
      <c r="BD272" s="3249">
        <f t="shared" si="63"/>
        <v>-1.1071438064419354</v>
      </c>
      <c r="BE272" s="3249">
        <f t="shared" si="63"/>
        <v>-3.2687102856857142</v>
      </c>
      <c r="BF272" s="3249">
        <f t="shared" si="63"/>
        <v>-5.3627278124531248</v>
      </c>
      <c r="BG272" s="3249">
        <f t="shared" si="63"/>
        <v>-7.3923140307046147</v>
      </c>
      <c r="BH272" s="3208"/>
      <c r="BJ272" s="3208"/>
      <c r="BK272" s="3210"/>
      <c r="BL272" s="3290"/>
      <c r="BM272" s="3208"/>
      <c r="BN272" s="3208"/>
      <c r="BO272" s="3208"/>
      <c r="BP272" s="3208"/>
      <c r="BQ272" s="3208"/>
      <c r="BR272" s="3208"/>
      <c r="BS272" s="3208"/>
      <c r="BT272" s="3208"/>
      <c r="BU272" s="3208"/>
    </row>
    <row r="273" spans="1:73">
      <c r="A273" s="39"/>
      <c r="B273" s="3208"/>
      <c r="C273" s="3210"/>
      <c r="D273" s="3290" t="s">
        <v>59</v>
      </c>
      <c r="E273" s="3208"/>
      <c r="F273" s="3208"/>
      <c r="G273" s="3208"/>
      <c r="H273" s="3208"/>
      <c r="I273" s="3208"/>
      <c r="J273" s="3208"/>
      <c r="K273" s="3208"/>
      <c r="L273" s="3208"/>
      <c r="M273" s="3208"/>
      <c r="N273" s="3208"/>
      <c r="O273" s="3208"/>
      <c r="P273" s="3208"/>
      <c r="Q273" s="3208"/>
      <c r="R273" s="3208"/>
      <c r="S273" s="3208"/>
      <c r="T273" s="3208"/>
      <c r="U273" s="3208"/>
      <c r="V273" s="3208"/>
      <c r="W273" s="3208"/>
      <c r="X273" s="3208"/>
      <c r="Y273" s="3208"/>
      <c r="Z273" s="3208"/>
      <c r="AA273" s="3208"/>
      <c r="AB273" s="3208"/>
      <c r="AC273" s="3208"/>
      <c r="AD273" s="3208"/>
      <c r="AE273" s="3208"/>
      <c r="AF273" s="3208"/>
      <c r="AG273" s="3208"/>
      <c r="AH273" s="3208"/>
      <c r="AI273" s="3208"/>
      <c r="AJ273" s="3208"/>
      <c r="AK273" s="3208"/>
      <c r="AL273" s="3208"/>
      <c r="AM273" s="3208"/>
      <c r="AN273" s="3208"/>
      <c r="AO273" s="3208"/>
      <c r="AP273" s="3208"/>
      <c r="AQ273" s="3208"/>
      <c r="AR273" s="3208"/>
      <c r="AS273" s="3208"/>
      <c r="AT273" s="3208"/>
      <c r="AU273" s="3208"/>
      <c r="AV273" s="3208"/>
      <c r="AW273" s="3208"/>
      <c r="AX273" s="3208"/>
      <c r="AY273" s="3249">
        <f t="shared" ref="AY273:BG273" ca="1" si="64">AY267</f>
        <v>12.425786172441434</v>
      </c>
      <c r="AZ273" s="3249">
        <f t="shared" ca="1" si="64"/>
        <v>11.166481406490417</v>
      </c>
      <c r="BA273" s="3249">
        <f t="shared" ca="1" si="64"/>
        <v>4.552918907191513</v>
      </c>
      <c r="BB273" s="3249">
        <f t="shared" ca="1" si="64"/>
        <v>2.0295978568904327</v>
      </c>
      <c r="BC273" s="3249">
        <f t="shared" ca="1" si="64"/>
        <v>6.1188357321503739E-2</v>
      </c>
      <c r="BD273" s="3249">
        <f t="shared" ca="1" si="64"/>
        <v>0.23216397598414712</v>
      </c>
      <c r="BE273" s="3249">
        <f t="shared" ca="1" si="64"/>
        <v>-7.6413914351876722E-2</v>
      </c>
      <c r="BF273" s="3249">
        <f t="shared" ca="1" si="64"/>
        <v>-0.40701398056891969</v>
      </c>
      <c r="BG273" s="3249">
        <f t="shared" ca="1" si="64"/>
        <v>-0.69582236855002044</v>
      </c>
      <c r="BH273" s="3208"/>
      <c r="BJ273" s="3208"/>
      <c r="BK273" s="3210"/>
      <c r="BL273" s="3290"/>
      <c r="BM273" s="3208"/>
      <c r="BN273" s="3208"/>
      <c r="BO273" s="3208"/>
      <c r="BP273" s="3208"/>
      <c r="BQ273" s="3208"/>
      <c r="BR273" s="3208"/>
      <c r="BS273" s="3208"/>
      <c r="BT273" s="3208"/>
      <c r="BU273" s="3208"/>
    </row>
    <row r="274" spans="1:73">
      <c r="A274" s="39"/>
      <c r="B274" s="3208"/>
      <c r="C274" s="3291"/>
      <c r="D274" s="3208"/>
      <c r="E274" s="3208"/>
      <c r="F274" s="3208"/>
      <c r="G274" s="3208"/>
      <c r="H274" s="3208"/>
      <c r="I274" s="3208"/>
      <c r="J274" s="3208"/>
      <c r="K274" s="3208"/>
      <c r="L274" s="3208"/>
      <c r="M274" s="3208"/>
      <c r="N274" s="3208"/>
      <c r="O274" s="3208"/>
      <c r="P274" s="3208"/>
      <c r="Q274" s="3208"/>
      <c r="R274" s="3208"/>
      <c r="S274" s="3208"/>
      <c r="T274" s="3208"/>
      <c r="U274" s="3208"/>
      <c r="V274" s="3208"/>
      <c r="W274" s="3208"/>
      <c r="X274" s="3208"/>
      <c r="Y274" s="3208"/>
      <c r="Z274" s="3208"/>
      <c r="AA274" s="3208"/>
      <c r="AB274" s="3208"/>
      <c r="AC274" s="3208"/>
      <c r="AD274" s="3208"/>
      <c r="AE274" s="3208"/>
      <c r="AF274" s="3208"/>
      <c r="AG274" s="3208"/>
      <c r="AH274" s="3208"/>
      <c r="AI274" s="3208"/>
      <c r="AJ274" s="3208"/>
      <c r="AK274" s="3208"/>
      <c r="AL274" s="3208"/>
      <c r="AM274" s="3208"/>
      <c r="AN274" s="3208"/>
      <c r="AO274" s="3208"/>
      <c r="AP274" s="3208"/>
      <c r="AQ274" s="3208"/>
      <c r="AR274" s="3208"/>
      <c r="AS274" s="3208"/>
      <c r="AT274" s="3208"/>
      <c r="AU274" s="3208"/>
      <c r="AV274" s="3208"/>
      <c r="AW274" s="3208"/>
      <c r="AX274" s="3208"/>
      <c r="AY274" s="3208"/>
      <c r="AZ274" s="3208"/>
      <c r="BA274" s="3208"/>
      <c r="BB274" s="3208"/>
      <c r="BC274" s="3208"/>
      <c r="BD274" s="3208"/>
      <c r="BE274" s="3208"/>
      <c r="BF274" s="3208"/>
      <c r="BG274" s="3208"/>
      <c r="BH274" s="3208"/>
      <c r="BJ274" s="3208"/>
      <c r="BK274" s="3291"/>
      <c r="BL274" s="3208"/>
      <c r="BM274" s="3208"/>
      <c r="BN274" s="3208"/>
      <c r="BO274" s="3208"/>
      <c r="BP274" s="3208"/>
      <c r="BQ274" s="3208"/>
      <c r="BR274" s="3208"/>
      <c r="BS274" s="3208"/>
      <c r="BT274" s="3208"/>
      <c r="BU274" s="3208"/>
    </row>
    <row r="275" spans="1:73">
      <c r="A275" s="39"/>
      <c r="B275" s="3208"/>
      <c r="C275" s="3292" t="s">
        <v>2631</v>
      </c>
      <c r="D275" s="3236"/>
      <c r="E275" s="3293" t="s">
        <v>2632</v>
      </c>
      <c r="F275" s="3234"/>
      <c r="G275" s="3234"/>
      <c r="H275" s="3234"/>
      <c r="I275" s="3234"/>
      <c r="J275" s="3234"/>
      <c r="K275" s="3234"/>
      <c r="L275" s="3234"/>
      <c r="M275" s="3234"/>
      <c r="N275" s="3234"/>
      <c r="O275" s="3234"/>
      <c r="P275" s="3234"/>
      <c r="Q275" s="3234"/>
      <c r="R275" s="3234"/>
      <c r="S275" s="3234"/>
      <c r="T275" s="3234"/>
      <c r="U275" s="3234"/>
      <c r="V275" s="3234"/>
      <c r="W275" s="3234"/>
      <c r="X275" s="3234"/>
      <c r="Y275" s="3234"/>
      <c r="Z275" s="3234"/>
      <c r="AA275" s="3234"/>
      <c r="AB275" s="3234"/>
      <c r="AC275" s="3234"/>
      <c r="AD275" s="3234"/>
      <c r="AE275" s="3234"/>
      <c r="AF275" s="3234"/>
      <c r="AG275" s="3234"/>
      <c r="AH275" s="3234"/>
      <c r="AI275" s="3234"/>
      <c r="AJ275" s="3234"/>
      <c r="AK275" s="3234"/>
      <c r="AL275" s="3234"/>
      <c r="AM275" s="3234"/>
      <c r="AN275" s="3234"/>
      <c r="AO275" s="3234"/>
      <c r="AP275" s="3234"/>
      <c r="AQ275" s="3234"/>
      <c r="AR275" s="3234"/>
      <c r="AS275" s="3234"/>
      <c r="AT275" s="3234"/>
      <c r="AU275" s="3234"/>
      <c r="AV275" s="3234"/>
      <c r="AW275" s="3234"/>
      <c r="AX275" s="3238"/>
      <c r="AY275" s="3294">
        <f t="shared" ref="AY275:BG275" ca="1" si="65">AY267/AY111</f>
        <v>0.46314299480218613</v>
      </c>
      <c r="AZ275" s="3294">
        <f t="shared" ca="1" si="65"/>
        <v>0.40110257281202349</v>
      </c>
      <c r="BA275" s="3294">
        <f t="shared" ca="1" si="65"/>
        <v>0.16136991315928706</v>
      </c>
      <c r="BB275" s="3294">
        <f t="shared" ca="1" si="65"/>
        <v>7.0426329642400726E-2</v>
      </c>
      <c r="BC275" s="3294">
        <f t="shared" ca="1" si="65"/>
        <v>1.3874956136487437E-3</v>
      </c>
      <c r="BD275" s="3294">
        <f t="shared" ca="1" si="65"/>
        <v>3.5813570716612801E-3</v>
      </c>
      <c r="BE275" s="3294">
        <f t="shared" ca="1" si="65"/>
        <v>-9.2753222758091354E-4</v>
      </c>
      <c r="BF275" s="3294">
        <f t="shared" ca="1" si="65"/>
        <v>-4.0147287739714143E-3</v>
      </c>
      <c r="BG275" s="3294">
        <f t="shared" ca="1" si="65"/>
        <v>-5.8118146484736222E-3</v>
      </c>
      <c r="BH275" s="3208"/>
      <c r="BJ275" s="3208"/>
      <c r="BK275" s="3292"/>
      <c r="BL275" s="3236"/>
      <c r="BM275" s="3293"/>
      <c r="BN275" s="3234"/>
      <c r="BO275" s="3234"/>
      <c r="BP275" s="3234"/>
      <c r="BQ275" s="3234"/>
      <c r="BR275" s="3234"/>
      <c r="BS275" s="3234"/>
      <c r="BT275" s="3234"/>
      <c r="BU275" s="3234"/>
    </row>
    <row r="276" spans="1:73">
      <c r="A276" s="39"/>
      <c r="B276" s="3208"/>
      <c r="C276" s="3292"/>
      <c r="D276" s="3236"/>
      <c r="E276" s="3293" t="s">
        <v>2633</v>
      </c>
      <c r="F276" s="3234"/>
      <c r="G276" s="3234"/>
      <c r="H276" s="3234"/>
      <c r="I276" s="3234"/>
      <c r="J276" s="3234"/>
      <c r="K276" s="3234"/>
      <c r="L276" s="3234"/>
      <c r="M276" s="3234"/>
      <c r="N276" s="3234"/>
      <c r="O276" s="3234"/>
      <c r="P276" s="3234"/>
      <c r="Q276" s="3234"/>
      <c r="R276" s="3234"/>
      <c r="S276" s="3234"/>
      <c r="T276" s="3234"/>
      <c r="U276" s="3234"/>
      <c r="V276" s="3234"/>
      <c r="W276" s="3234"/>
      <c r="X276" s="3234"/>
      <c r="Y276" s="3234"/>
      <c r="Z276" s="3234"/>
      <c r="AA276" s="3234"/>
      <c r="AB276" s="3234"/>
      <c r="AC276" s="3234"/>
      <c r="AD276" s="3234"/>
      <c r="AE276" s="3234"/>
      <c r="AF276" s="3234"/>
      <c r="AG276" s="3234"/>
      <c r="AH276" s="3234"/>
      <c r="AI276" s="3234"/>
      <c r="AJ276" s="3234"/>
      <c r="AK276" s="3234"/>
      <c r="AL276" s="3234"/>
      <c r="AM276" s="3234"/>
      <c r="AN276" s="3234"/>
      <c r="AO276" s="3234"/>
      <c r="AP276" s="3234"/>
      <c r="AQ276" s="3234"/>
      <c r="AR276" s="3234"/>
      <c r="AS276" s="3234"/>
      <c r="AT276" s="3234"/>
      <c r="AU276" s="3234"/>
      <c r="AV276" s="3234"/>
      <c r="AW276" s="3234"/>
      <c r="AX276" s="3238"/>
      <c r="AY276" s="3294">
        <f t="shared" ref="AY276:BG276" ca="1" si="66">AY275*1000</f>
        <v>463.14299480218614</v>
      </c>
      <c r="AZ276" s="3294">
        <f t="shared" ca="1" si="66"/>
        <v>401.10257281202348</v>
      </c>
      <c r="BA276" s="3294">
        <f t="shared" ca="1" si="66"/>
        <v>161.36991315928705</v>
      </c>
      <c r="BB276" s="3294">
        <f t="shared" ca="1" si="66"/>
        <v>70.426329642400731</v>
      </c>
      <c r="BC276" s="3294">
        <f t="shared" ca="1" si="66"/>
        <v>1.3874956136487437</v>
      </c>
      <c r="BD276" s="3294">
        <f t="shared" ca="1" si="66"/>
        <v>3.5813570716612801</v>
      </c>
      <c r="BE276" s="3294">
        <f t="shared" ca="1" si="66"/>
        <v>-0.92753222758091358</v>
      </c>
      <c r="BF276" s="3294">
        <f t="shared" ca="1" si="66"/>
        <v>-4.0147287739714139</v>
      </c>
      <c r="BG276" s="3294">
        <f t="shared" ca="1" si="66"/>
        <v>-5.8118146484736224</v>
      </c>
      <c r="BH276" s="3208"/>
      <c r="BJ276" s="3208"/>
      <c r="BK276" s="3292"/>
      <c r="BL276" s="3236"/>
      <c r="BM276" s="3293"/>
      <c r="BN276" s="3234"/>
      <c r="BO276" s="3234"/>
      <c r="BP276" s="3234"/>
      <c r="BQ276" s="3234"/>
      <c r="BR276" s="3234"/>
      <c r="BS276" s="3234"/>
      <c r="BT276" s="3234"/>
      <c r="BU276" s="3234"/>
    </row>
    <row r="277" spans="1:73">
      <c r="A277" s="39"/>
      <c r="B277" s="3208"/>
      <c r="C277" s="3292"/>
      <c r="D277" s="3236"/>
      <c r="E277" s="3293"/>
      <c r="F277" s="3234"/>
      <c r="G277" s="3234"/>
      <c r="H277" s="3234"/>
      <c r="I277" s="3234"/>
      <c r="J277" s="3234"/>
      <c r="K277" s="3234"/>
      <c r="L277" s="3234"/>
      <c r="M277" s="3234"/>
      <c r="N277" s="3234"/>
      <c r="O277" s="3234"/>
      <c r="P277" s="3234"/>
      <c r="Q277" s="3234"/>
      <c r="R277" s="3234"/>
      <c r="S277" s="3234"/>
      <c r="T277" s="3234"/>
      <c r="U277" s="3234"/>
      <c r="V277" s="3234"/>
      <c r="W277" s="3234"/>
      <c r="X277" s="3234"/>
      <c r="Y277" s="3234"/>
      <c r="Z277" s="3234"/>
      <c r="AA277" s="3234"/>
      <c r="AB277" s="3234"/>
      <c r="AC277" s="3234"/>
      <c r="AD277" s="3234"/>
      <c r="AE277" s="3234"/>
      <c r="AF277" s="3234"/>
      <c r="AG277" s="3234"/>
      <c r="AH277" s="3234"/>
      <c r="AI277" s="3234"/>
      <c r="AJ277" s="3234"/>
      <c r="AK277" s="3234"/>
      <c r="AL277" s="3234"/>
      <c r="AM277" s="3234"/>
      <c r="AN277" s="3234"/>
      <c r="AO277" s="3234"/>
      <c r="AP277" s="3234"/>
      <c r="AQ277" s="3234"/>
      <c r="AR277" s="3234"/>
      <c r="AS277" s="3234"/>
      <c r="AT277" s="3234"/>
      <c r="AU277" s="3234"/>
      <c r="AV277" s="3234"/>
      <c r="AW277" s="3234"/>
      <c r="AX277" s="3238"/>
      <c r="AY277" s="3238"/>
      <c r="AZ277" s="3238"/>
      <c r="BA277" s="3238"/>
      <c r="BB277" s="3238"/>
      <c r="BC277" s="3238"/>
      <c r="BD277" s="3238"/>
      <c r="BE277" s="3238"/>
      <c r="BF277" s="3238"/>
      <c r="BG277" s="3238"/>
      <c r="BH277" s="3208"/>
      <c r="BJ277" s="3208"/>
      <c r="BK277" s="3292"/>
      <c r="BL277" s="3236"/>
      <c r="BM277" s="3293"/>
      <c r="BN277" s="3234"/>
      <c r="BO277" s="3234"/>
      <c r="BP277" s="3234"/>
      <c r="BQ277" s="3234"/>
      <c r="BR277" s="3234"/>
      <c r="BS277" s="3234"/>
      <c r="BT277" s="3234"/>
      <c r="BU277" s="3234"/>
    </row>
    <row r="278" spans="1:73">
      <c r="A278" s="39"/>
      <c r="B278" s="3208"/>
      <c r="C278" s="3293" t="s">
        <v>2634</v>
      </c>
      <c r="D278" s="3236"/>
      <c r="E278" s="3293"/>
      <c r="F278" s="3234"/>
      <c r="G278" s="3234"/>
      <c r="H278" s="3234"/>
      <c r="I278" s="3234"/>
      <c r="J278" s="3234"/>
      <c r="K278" s="3234"/>
      <c r="L278" s="3234"/>
      <c r="M278" s="3234"/>
      <c r="N278" s="3234"/>
      <c r="O278" s="3234"/>
      <c r="P278" s="3234"/>
      <c r="Q278" s="3234"/>
      <c r="R278" s="3234"/>
      <c r="S278" s="3234"/>
      <c r="T278" s="3234"/>
      <c r="U278" s="3234"/>
      <c r="V278" s="3234"/>
      <c r="W278" s="3234"/>
      <c r="X278" s="3234"/>
      <c r="Y278" s="3234"/>
      <c r="Z278" s="3234"/>
      <c r="AA278" s="3234"/>
      <c r="AB278" s="3234"/>
      <c r="AC278" s="3234"/>
      <c r="AD278" s="3234"/>
      <c r="AE278" s="3234"/>
      <c r="AF278" s="3234"/>
      <c r="AG278" s="3234"/>
      <c r="AH278" s="3234"/>
      <c r="AI278" s="3234"/>
      <c r="AJ278" s="3234"/>
      <c r="AK278" s="3234"/>
      <c r="AL278" s="3234"/>
      <c r="AM278" s="3234"/>
      <c r="AN278" s="3234"/>
      <c r="AO278" s="3234"/>
      <c r="AP278" s="3234"/>
      <c r="AQ278" s="3234"/>
      <c r="AR278" s="3234"/>
      <c r="AS278" s="3234"/>
      <c r="AT278" s="3234"/>
      <c r="AU278" s="3234"/>
      <c r="AV278" s="3234"/>
      <c r="AW278" s="3234"/>
      <c r="AX278" s="3238"/>
      <c r="AY278" s="3238"/>
      <c r="AZ278" s="3238"/>
      <c r="BA278" s="3238"/>
      <c r="BB278" s="3238"/>
      <c r="BC278" s="3238"/>
      <c r="BD278" s="3238"/>
      <c r="BE278" s="3238"/>
      <c r="BF278" s="3238"/>
      <c r="BG278" s="3238"/>
      <c r="BH278" s="3208"/>
      <c r="BJ278" s="3208"/>
      <c r="BK278" s="3293"/>
      <c r="BL278" s="3236"/>
      <c r="BM278" s="3293"/>
      <c r="BN278" s="3234"/>
      <c r="BO278" s="3234"/>
      <c r="BP278" s="3234"/>
      <c r="BQ278" s="3234"/>
      <c r="BR278" s="3234"/>
      <c r="BS278" s="3234"/>
      <c r="BT278" s="3234"/>
      <c r="BU278" s="3234"/>
    </row>
    <row r="279" spans="1:73">
      <c r="A279" s="39"/>
      <c r="B279" s="3208"/>
      <c r="C279" s="3208"/>
      <c r="D279" s="3208"/>
      <c r="E279" s="3208"/>
      <c r="F279" s="3208"/>
      <c r="G279" s="3208"/>
      <c r="H279" s="3208"/>
      <c r="I279" s="3208"/>
      <c r="J279" s="3208"/>
      <c r="K279" s="3208"/>
      <c r="L279" s="3208"/>
      <c r="M279" s="3208"/>
      <c r="N279" s="3208"/>
      <c r="O279" s="3208"/>
      <c r="P279" s="3208"/>
      <c r="Q279" s="3208"/>
      <c r="R279" s="3208"/>
      <c r="S279" s="3208"/>
      <c r="T279" s="3208"/>
      <c r="U279" s="3208"/>
      <c r="V279" s="3208"/>
      <c r="W279" s="3208"/>
      <c r="X279" s="3208"/>
      <c r="Y279" s="3208"/>
      <c r="Z279" s="3208"/>
      <c r="AA279" s="3208"/>
      <c r="AB279" s="3208"/>
      <c r="AC279" s="3208"/>
      <c r="AD279" s="3208"/>
      <c r="AE279" s="3208"/>
      <c r="AF279" s="3208"/>
      <c r="AG279" s="3208"/>
      <c r="AH279" s="3208"/>
      <c r="AI279" s="3208"/>
      <c r="AJ279" s="3208"/>
      <c r="AK279" s="3208"/>
      <c r="AL279" s="3208"/>
      <c r="AM279" s="3208"/>
      <c r="AN279" s="3208"/>
      <c r="AO279" s="3208"/>
      <c r="AP279" s="3208"/>
      <c r="AQ279" s="3208"/>
      <c r="AR279" s="3208"/>
      <c r="AS279" s="3208"/>
      <c r="AT279" s="3208"/>
      <c r="AU279" s="3208"/>
      <c r="AV279" s="3208"/>
      <c r="AW279" s="3208"/>
      <c r="AX279" s="3208"/>
      <c r="AY279" s="3208"/>
      <c r="AZ279" s="3208"/>
      <c r="BA279" s="3208"/>
      <c r="BB279" s="3208"/>
      <c r="BC279" s="3208"/>
      <c r="BD279" s="3208"/>
      <c r="BE279" s="3208"/>
      <c r="BF279" s="3208"/>
      <c r="BG279" s="3208"/>
      <c r="BH279" s="3208"/>
      <c r="BJ279" s="3208"/>
      <c r="BK279" s="3208"/>
      <c r="BL279" s="3208"/>
      <c r="BM279" s="3208"/>
      <c r="BN279" s="3208"/>
      <c r="BO279" s="3208"/>
      <c r="BP279" s="3208"/>
      <c r="BQ279" s="3208"/>
      <c r="BR279" s="3208"/>
      <c r="BS279" s="3208"/>
      <c r="BT279" s="3208"/>
      <c r="BU279" s="3208"/>
    </row>
    <row r="280" spans="1:73">
      <c r="A280" s="39"/>
      <c r="BJ280" s="3983"/>
      <c r="BK280" s="3983"/>
      <c r="BL280" s="3983"/>
      <c r="BM280" s="3983"/>
      <c r="BN280" s="3983"/>
      <c r="BO280" s="3983"/>
      <c r="BP280" s="3983"/>
      <c r="BQ280" s="3983"/>
      <c r="BR280" s="3983"/>
      <c r="BS280" s="3983"/>
      <c r="BT280" s="3983"/>
      <c r="BU280" s="3983"/>
    </row>
    <row r="281" spans="1:73" ht="23.25">
      <c r="A281" s="3569"/>
      <c r="B281" s="3295" t="s">
        <v>2635</v>
      </c>
      <c r="C281" s="3296"/>
      <c r="D281" s="3296"/>
      <c r="E281" s="3296"/>
      <c r="F281" s="3296"/>
      <c r="G281" s="3296"/>
      <c r="H281" s="3296"/>
      <c r="I281" s="3296"/>
      <c r="J281" s="3296"/>
      <c r="K281" s="3296"/>
      <c r="L281" s="3296"/>
      <c r="M281" s="3296"/>
      <c r="N281" s="3296"/>
      <c r="O281" s="3296"/>
      <c r="P281" s="3296"/>
      <c r="Q281" s="3296"/>
      <c r="R281" s="3296"/>
      <c r="S281" s="3296"/>
      <c r="T281" s="3296"/>
      <c r="U281" s="3296"/>
      <c r="V281" s="3296"/>
      <c r="W281" s="3296"/>
      <c r="X281" s="3296"/>
      <c r="Y281" s="3296"/>
      <c r="Z281" s="3296"/>
      <c r="AA281" s="3296"/>
      <c r="AB281" s="3296"/>
      <c r="AC281" s="3296"/>
      <c r="AD281" s="3296"/>
      <c r="AE281" s="3296"/>
      <c r="AF281" s="3296"/>
      <c r="AG281" s="3296"/>
      <c r="AH281" s="3296"/>
      <c r="AI281" s="3296"/>
      <c r="AJ281" s="3296"/>
      <c r="AK281" s="3296"/>
      <c r="AL281" s="3296"/>
      <c r="AM281" s="3296"/>
      <c r="AN281" s="3296"/>
      <c r="AO281" s="3296"/>
      <c r="AP281" s="3296"/>
      <c r="AQ281" s="3296"/>
      <c r="AR281" s="3296"/>
      <c r="AS281" s="3296"/>
      <c r="AT281" s="3296"/>
      <c r="AU281" s="3296"/>
      <c r="AV281" s="3296"/>
      <c r="AW281" s="3296"/>
      <c r="AX281" s="3296"/>
      <c r="AY281" s="3297"/>
      <c r="AZ281" s="3297"/>
      <c r="BA281" s="3297"/>
      <c r="BB281" s="3297"/>
      <c r="BC281" s="3297"/>
      <c r="BD281" s="3297"/>
      <c r="BE281" s="3297"/>
      <c r="BF281" s="3297"/>
      <c r="BG281" s="3297"/>
      <c r="BH281" s="3298"/>
      <c r="BJ281" s="3295"/>
      <c r="BK281" s="3296"/>
      <c r="BL281" s="3296"/>
      <c r="BM281" s="3296"/>
      <c r="BN281" s="3296"/>
      <c r="BO281" s="3296"/>
      <c r="BP281" s="3296"/>
      <c r="BQ281" s="3296"/>
      <c r="BR281" s="3296"/>
      <c r="BS281" s="3296"/>
      <c r="BT281" s="3296"/>
      <c r="BU281" s="3296"/>
    </row>
    <row r="282" spans="1:73" ht="15.75">
      <c r="A282" s="39"/>
      <c r="B282" s="3299"/>
      <c r="C282" s="3300"/>
      <c r="D282" s="3300"/>
      <c r="E282" s="3300"/>
      <c r="F282" s="3300" t="s">
        <v>3309</v>
      </c>
      <c r="G282" s="3300"/>
      <c r="H282" s="3300"/>
      <c r="I282" s="3300"/>
      <c r="J282" s="3300"/>
      <c r="K282" s="3300"/>
      <c r="L282" s="3300"/>
      <c r="M282" s="3300"/>
      <c r="N282" s="3300"/>
      <c r="O282" s="3300"/>
      <c r="P282" s="3300"/>
      <c r="Q282" s="3300"/>
      <c r="R282" s="3300"/>
      <c r="S282" s="3300"/>
      <c r="T282" s="3300"/>
      <c r="U282" s="3300"/>
      <c r="V282" s="3300"/>
      <c r="W282" s="3300"/>
      <c r="X282" s="3300"/>
      <c r="Y282" s="3300"/>
      <c r="Z282" s="3300"/>
      <c r="AA282" s="3300"/>
      <c r="AB282" s="3300"/>
      <c r="AC282" s="3300"/>
      <c r="AD282" s="3300"/>
      <c r="AE282" s="3300"/>
      <c r="AF282" s="3300"/>
      <c r="AG282" s="3300"/>
      <c r="AH282" s="3300"/>
      <c r="AI282" s="3300"/>
      <c r="AJ282" s="3300"/>
      <c r="AK282" s="3300"/>
      <c r="AL282" s="3300"/>
      <c r="AM282" s="3300"/>
      <c r="AN282" s="3300"/>
      <c r="AO282" s="3300"/>
      <c r="AP282" s="3300"/>
      <c r="AQ282" s="3300"/>
      <c r="AR282" s="3300"/>
      <c r="AS282" s="3300"/>
      <c r="AT282" s="3300"/>
      <c r="AU282" s="3300"/>
      <c r="AV282" s="3300"/>
      <c r="AW282" s="3300"/>
      <c r="AX282" s="3300"/>
      <c r="AY282" s="3313">
        <v>2013</v>
      </c>
      <c r="AZ282" s="3313">
        <v>2015</v>
      </c>
      <c r="BA282" s="3313">
        <v>2020</v>
      </c>
      <c r="BB282" s="3313">
        <v>2025</v>
      </c>
      <c r="BC282" s="3313">
        <v>2030</v>
      </c>
      <c r="BD282" s="3313">
        <v>2035</v>
      </c>
      <c r="BE282" s="3313">
        <v>2040</v>
      </c>
      <c r="BF282" s="3313">
        <v>2045</v>
      </c>
      <c r="BG282" s="3314">
        <v>2050</v>
      </c>
      <c r="BH282" s="3306" t="str">
        <f>Preferences.EnergyUnits</f>
        <v>TWh</v>
      </c>
      <c r="BJ282" s="3299"/>
      <c r="BK282" s="3300"/>
      <c r="BL282" s="3300"/>
      <c r="BM282" s="3300"/>
      <c r="BN282" s="3300"/>
      <c r="BO282" s="3300"/>
      <c r="BP282" s="3300"/>
      <c r="BQ282" s="3300"/>
      <c r="BR282" s="3300"/>
      <c r="BS282" s="3300"/>
      <c r="BT282" s="3300"/>
      <c r="BU282" s="3300"/>
    </row>
    <row r="283" spans="1:73">
      <c r="A283" s="39"/>
      <c r="B283" s="3303"/>
      <c r="C283" s="3304" t="s">
        <v>445</v>
      </c>
      <c r="D283" s="3304" t="s">
        <v>396</v>
      </c>
      <c r="E283" s="3304"/>
      <c r="F283" s="3305">
        <f t="shared" ref="F283:F289" si="67">F23</f>
        <v>0</v>
      </c>
      <c r="G283" s="3305"/>
      <c r="H283" s="3305"/>
      <c r="I283" s="3305"/>
      <c r="J283" s="3305"/>
      <c r="K283" s="3305"/>
      <c r="L283" s="3305"/>
      <c r="M283" s="3305"/>
      <c r="N283" s="3305"/>
      <c r="O283" s="3305"/>
      <c r="P283" s="3305"/>
      <c r="Q283" s="3305"/>
      <c r="R283" s="3305"/>
      <c r="S283" s="3305"/>
      <c r="T283" s="3305"/>
      <c r="U283" s="3305"/>
      <c r="V283" s="3305"/>
      <c r="W283" s="3305"/>
      <c r="X283" s="3305"/>
      <c r="Y283" s="3305"/>
      <c r="Z283" s="3305"/>
      <c r="AA283" s="3305"/>
      <c r="AB283" s="3305"/>
      <c r="AC283" s="3305"/>
      <c r="AD283" s="3305"/>
      <c r="AE283" s="3305"/>
      <c r="AF283" s="3305"/>
      <c r="AG283" s="3305"/>
      <c r="AH283" s="3305"/>
      <c r="AI283" s="3305"/>
      <c r="AJ283" s="3305"/>
      <c r="AK283" s="3305"/>
      <c r="AL283" s="3305"/>
      <c r="AM283" s="3305"/>
      <c r="AN283" s="3305"/>
      <c r="AO283" s="3305"/>
      <c r="AP283" s="3305"/>
      <c r="AQ283" s="3305"/>
      <c r="AR283" s="3305"/>
      <c r="AS283" s="3305"/>
      <c r="AT283" s="3305"/>
      <c r="AU283" s="3305"/>
      <c r="AV283" s="3305"/>
      <c r="AW283" s="3305"/>
      <c r="AX283" s="3305"/>
      <c r="AY283" s="3305">
        <f t="shared" ref="AY283:BG283" ca="1" si="68">AY23</f>
        <v>0</v>
      </c>
      <c r="AZ283" s="3305">
        <f t="shared" ca="1" si="68"/>
        <v>0</v>
      </c>
      <c r="BA283" s="3305">
        <f t="shared" ca="1" si="68"/>
        <v>0</v>
      </c>
      <c r="BB283" s="3305">
        <f t="shared" ca="1" si="68"/>
        <v>0</v>
      </c>
      <c r="BC283" s="3305">
        <f t="shared" ca="1" si="68"/>
        <v>21.428000000000004</v>
      </c>
      <c r="BD283" s="3305">
        <f t="shared" ca="1" si="68"/>
        <v>21.428000000000004</v>
      </c>
      <c r="BE283" s="3305">
        <f t="shared" ca="1" si="68"/>
        <v>21.428000000000004</v>
      </c>
      <c r="BF283" s="3305">
        <f t="shared" ca="1" si="68"/>
        <v>21.428000000000004</v>
      </c>
      <c r="BG283" s="3305">
        <f t="shared" ca="1" si="68"/>
        <v>21.428000000000004</v>
      </c>
      <c r="BH283" s="3305" t="s">
        <v>5</v>
      </c>
      <c r="BJ283" s="3303"/>
      <c r="BK283" s="3304"/>
      <c r="BL283" s="3304"/>
      <c r="BM283" s="3304"/>
      <c r="BN283" s="3305"/>
      <c r="BO283" s="3305"/>
      <c r="BP283" s="3305"/>
      <c r="BQ283" s="3305"/>
      <c r="BR283" s="3305"/>
      <c r="BS283" s="3305"/>
      <c r="BT283" s="3305"/>
      <c r="BU283" s="3305"/>
    </row>
    <row r="284" spans="1:73">
      <c r="A284" s="39"/>
      <c r="B284" s="3303"/>
      <c r="C284" s="3304" t="s">
        <v>446</v>
      </c>
      <c r="D284" s="3304" t="s">
        <v>79</v>
      </c>
      <c r="E284" s="3304"/>
      <c r="F284" s="3305">
        <f t="shared" si="67"/>
        <v>0.13</v>
      </c>
      <c r="G284" s="3305"/>
      <c r="H284" s="3305"/>
      <c r="I284" s="3305"/>
      <c r="J284" s="3305"/>
      <c r="K284" s="3305"/>
      <c r="L284" s="3305"/>
      <c r="M284" s="3305"/>
      <c r="N284" s="3305"/>
      <c r="O284" s="3305"/>
      <c r="P284" s="3305"/>
      <c r="Q284" s="3305"/>
      <c r="R284" s="3305"/>
      <c r="S284" s="3305"/>
      <c r="T284" s="3305"/>
      <c r="U284" s="3305"/>
      <c r="V284" s="3305"/>
      <c r="W284" s="3305"/>
      <c r="X284" s="3305"/>
      <c r="Y284" s="3305"/>
      <c r="Z284" s="3305"/>
      <c r="AA284" s="3305"/>
      <c r="AB284" s="3305"/>
      <c r="AC284" s="3305"/>
      <c r="AD284" s="3305"/>
      <c r="AE284" s="3305"/>
      <c r="AF284" s="3305"/>
      <c r="AG284" s="3305"/>
      <c r="AH284" s="3305"/>
      <c r="AI284" s="3305"/>
      <c r="AJ284" s="3305"/>
      <c r="AK284" s="3305"/>
      <c r="AL284" s="3305"/>
      <c r="AM284" s="3305"/>
      <c r="AN284" s="3305"/>
      <c r="AO284" s="3305"/>
      <c r="AP284" s="3305"/>
      <c r="AQ284" s="3305"/>
      <c r="AR284" s="3305"/>
      <c r="AS284" s="3305"/>
      <c r="AT284" s="3305"/>
      <c r="AU284" s="3305"/>
      <c r="AV284" s="3305"/>
      <c r="AW284" s="3305"/>
      <c r="AX284" s="3305"/>
      <c r="AY284" s="3305">
        <f t="shared" ref="AY284:BG284" ca="1" si="69">AY24</f>
        <v>4.1054887428987621E-2</v>
      </c>
      <c r="AZ284" s="3305">
        <f t="shared" ca="1" si="69"/>
        <v>0.29533988943004724</v>
      </c>
      <c r="BA284" s="3305">
        <f t="shared" ca="1" si="69"/>
        <v>0.98311948364472168</v>
      </c>
      <c r="BB284" s="3305">
        <f t="shared" ca="1" si="69"/>
        <v>1.7302356023133905</v>
      </c>
      <c r="BC284" s="3305">
        <f t="shared" ca="1" si="69"/>
        <v>3.1032027513562515</v>
      </c>
      <c r="BD284" s="3305">
        <f t="shared" ca="1" si="69"/>
        <v>4.3856969840221529</v>
      </c>
      <c r="BE284" s="3305">
        <f t="shared" ca="1" si="69"/>
        <v>5.7058911432863937</v>
      </c>
      <c r="BF284" s="3305">
        <f t="shared" ca="1" si="69"/>
        <v>7.0356787943966701</v>
      </c>
      <c r="BG284" s="3305">
        <f t="shared" ca="1" si="69"/>
        <v>8.4425533229244625</v>
      </c>
      <c r="BH284" s="3305"/>
      <c r="BJ284" s="3303"/>
      <c r="BK284" s="3304"/>
      <c r="BL284" s="3304"/>
      <c r="BM284" s="3304"/>
      <c r="BN284" s="3305"/>
      <c r="BO284" s="3305"/>
      <c r="BP284" s="3305"/>
      <c r="BQ284" s="3305"/>
      <c r="BR284" s="3305"/>
      <c r="BS284" s="3305"/>
      <c r="BT284" s="3305"/>
      <c r="BU284" s="3305"/>
    </row>
    <row r="285" spans="1:73">
      <c r="A285" s="39"/>
      <c r="B285" s="3303"/>
      <c r="C285" s="3304" t="s">
        <v>447</v>
      </c>
      <c r="D285" s="3304" t="s">
        <v>397</v>
      </c>
      <c r="E285" s="3304"/>
      <c r="F285" s="3305">
        <f t="shared" si="67"/>
        <v>4.54</v>
      </c>
      <c r="G285" s="3305"/>
      <c r="H285" s="3305"/>
      <c r="I285" s="3305"/>
      <c r="J285" s="3305"/>
      <c r="K285" s="3305"/>
      <c r="L285" s="3305"/>
      <c r="M285" s="3305"/>
      <c r="N285" s="3305"/>
      <c r="O285" s="3305"/>
      <c r="P285" s="3305"/>
      <c r="Q285" s="3305"/>
      <c r="R285" s="3305"/>
      <c r="S285" s="3305"/>
      <c r="T285" s="3305"/>
      <c r="U285" s="3305"/>
      <c r="V285" s="3305"/>
      <c r="W285" s="3305"/>
      <c r="X285" s="3305"/>
      <c r="Y285" s="3305"/>
      <c r="Z285" s="3305"/>
      <c r="AA285" s="3305"/>
      <c r="AB285" s="3305"/>
      <c r="AC285" s="3305"/>
      <c r="AD285" s="3305"/>
      <c r="AE285" s="3305"/>
      <c r="AF285" s="3305"/>
      <c r="AG285" s="3305"/>
      <c r="AH285" s="3305"/>
      <c r="AI285" s="3305"/>
      <c r="AJ285" s="3305"/>
      <c r="AK285" s="3305"/>
      <c r="AL285" s="3305"/>
      <c r="AM285" s="3305"/>
      <c r="AN285" s="3305"/>
      <c r="AO285" s="3305"/>
      <c r="AP285" s="3305"/>
      <c r="AQ285" s="3305"/>
      <c r="AR285" s="3305"/>
      <c r="AS285" s="3305"/>
      <c r="AT285" s="3305"/>
      <c r="AU285" s="3305"/>
      <c r="AV285" s="3305"/>
      <c r="AW285" s="3305"/>
      <c r="AX285" s="3305"/>
      <c r="AY285" s="3305">
        <f t="shared" ref="AY285:BG285" ca="1" si="70">AY25</f>
        <v>4.5013410000000009</v>
      </c>
      <c r="AZ285" s="3305">
        <f t="shared" ca="1" si="70"/>
        <v>5.6172527999999993</v>
      </c>
      <c r="BA285" s="3305">
        <f t="shared" ca="1" si="70"/>
        <v>9.3230792999999998</v>
      </c>
      <c r="BB285" s="3305">
        <f t="shared" ca="1" si="70"/>
        <v>13.589929799999998</v>
      </c>
      <c r="BC285" s="3305">
        <f t="shared" ca="1" si="70"/>
        <v>21.946119299999999</v>
      </c>
      <c r="BD285" s="3305">
        <f t="shared" ca="1" si="70"/>
        <v>27.955212300000003</v>
      </c>
      <c r="BE285" s="3305">
        <f t="shared" ca="1" si="70"/>
        <v>31.8999123</v>
      </c>
      <c r="BF285" s="3305">
        <f t="shared" ca="1" si="70"/>
        <v>38.838201300000001</v>
      </c>
      <c r="BG285" s="3305">
        <f t="shared" ca="1" si="70"/>
        <v>45.741426300000008</v>
      </c>
      <c r="BH285" s="3305"/>
      <c r="BJ285" s="3303"/>
      <c r="BK285" s="3304"/>
      <c r="BL285" s="3304"/>
      <c r="BM285" s="3304"/>
      <c r="BN285" s="3305"/>
      <c r="BO285" s="3305"/>
      <c r="BP285" s="3305"/>
      <c r="BQ285" s="3305"/>
      <c r="BR285" s="3305"/>
      <c r="BS285" s="3305"/>
      <c r="BT285" s="3305"/>
      <c r="BU285" s="3305"/>
    </row>
    <row r="286" spans="1:73">
      <c r="A286" s="39"/>
      <c r="B286" s="3303"/>
      <c r="C286" s="3304" t="s">
        <v>448</v>
      </c>
      <c r="D286" s="3304" t="s">
        <v>398</v>
      </c>
      <c r="E286" s="3304"/>
      <c r="F286" s="3305">
        <f t="shared" si="67"/>
        <v>0</v>
      </c>
      <c r="G286" s="3305"/>
      <c r="H286" s="3305"/>
      <c r="I286" s="3305"/>
      <c r="J286" s="3305"/>
      <c r="K286" s="3305"/>
      <c r="L286" s="3305"/>
      <c r="M286" s="3305"/>
      <c r="N286" s="3305"/>
      <c r="O286" s="3305"/>
      <c r="P286" s="3305"/>
      <c r="Q286" s="3305"/>
      <c r="R286" s="3305"/>
      <c r="S286" s="3305"/>
      <c r="T286" s="3305"/>
      <c r="U286" s="3305"/>
      <c r="V286" s="3305"/>
      <c r="W286" s="3305"/>
      <c r="X286" s="3305"/>
      <c r="Y286" s="3305"/>
      <c r="Z286" s="3305"/>
      <c r="AA286" s="3305"/>
      <c r="AB286" s="3305"/>
      <c r="AC286" s="3305"/>
      <c r="AD286" s="3305"/>
      <c r="AE286" s="3305"/>
      <c r="AF286" s="3305"/>
      <c r="AG286" s="3305"/>
      <c r="AH286" s="3305"/>
      <c r="AI286" s="3305"/>
      <c r="AJ286" s="3305"/>
      <c r="AK286" s="3305"/>
      <c r="AL286" s="3305"/>
      <c r="AM286" s="3305"/>
      <c r="AN286" s="3305"/>
      <c r="AO286" s="3305"/>
      <c r="AP286" s="3305"/>
      <c r="AQ286" s="3305"/>
      <c r="AR286" s="3305"/>
      <c r="AS286" s="3305"/>
      <c r="AT286" s="3305"/>
      <c r="AU286" s="3305"/>
      <c r="AV286" s="3305"/>
      <c r="AW286" s="3305"/>
      <c r="AX286" s="3305"/>
      <c r="AY286" s="3305">
        <f t="shared" ref="AY286:BG286" ca="1" si="71">AY26</f>
        <v>0</v>
      </c>
      <c r="AZ286" s="3305">
        <f t="shared" ca="1" si="71"/>
        <v>0</v>
      </c>
      <c r="BA286" s="3305">
        <f t="shared" ca="1" si="71"/>
        <v>0</v>
      </c>
      <c r="BB286" s="3305">
        <f t="shared" ca="1" si="71"/>
        <v>0.31557600000000013</v>
      </c>
      <c r="BC286" s="3305">
        <f t="shared" ca="1" si="71"/>
        <v>0.63115200000000027</v>
      </c>
      <c r="BD286" s="3305">
        <f t="shared" ca="1" si="71"/>
        <v>1.5778800000000002</v>
      </c>
      <c r="BE286" s="3305">
        <f t="shared" ca="1" si="71"/>
        <v>1.5778800000000002</v>
      </c>
      <c r="BF286" s="3305">
        <f t="shared" ca="1" si="71"/>
        <v>2.5246080000000011</v>
      </c>
      <c r="BG286" s="3305">
        <f t="shared" ca="1" si="71"/>
        <v>2.5246080000000011</v>
      </c>
      <c r="BH286" s="3305"/>
      <c r="BJ286" s="3303"/>
      <c r="BK286" s="3304"/>
      <c r="BL286" s="3304"/>
      <c r="BM286" s="3304"/>
      <c r="BN286" s="3305"/>
      <c r="BO286" s="3305"/>
      <c r="BP286" s="3305"/>
      <c r="BQ286" s="3305"/>
      <c r="BR286" s="3305"/>
      <c r="BS286" s="3305"/>
      <c r="BT286" s="3305"/>
      <c r="BU286" s="3305"/>
    </row>
    <row r="287" spans="1:73">
      <c r="A287" s="39"/>
      <c r="B287" s="3303"/>
      <c r="C287" s="3304" t="s">
        <v>449</v>
      </c>
      <c r="D287" s="3304" t="s">
        <v>399</v>
      </c>
      <c r="E287" s="3304"/>
      <c r="F287" s="3305">
        <f t="shared" si="67"/>
        <v>0</v>
      </c>
      <c r="G287" s="3305"/>
      <c r="H287" s="3305"/>
      <c r="I287" s="3305"/>
      <c r="J287" s="3305"/>
      <c r="K287" s="3305"/>
      <c r="L287" s="3305"/>
      <c r="M287" s="3305"/>
      <c r="N287" s="3305"/>
      <c r="O287" s="3305"/>
      <c r="P287" s="3305"/>
      <c r="Q287" s="3305"/>
      <c r="R287" s="3305"/>
      <c r="S287" s="3305"/>
      <c r="T287" s="3305"/>
      <c r="U287" s="3305"/>
      <c r="V287" s="3305"/>
      <c r="W287" s="3305"/>
      <c r="X287" s="3305"/>
      <c r="Y287" s="3305"/>
      <c r="Z287" s="3305"/>
      <c r="AA287" s="3305"/>
      <c r="AB287" s="3305"/>
      <c r="AC287" s="3305"/>
      <c r="AD287" s="3305"/>
      <c r="AE287" s="3305"/>
      <c r="AF287" s="3305"/>
      <c r="AG287" s="3305"/>
      <c r="AH287" s="3305"/>
      <c r="AI287" s="3305"/>
      <c r="AJ287" s="3305"/>
      <c r="AK287" s="3305"/>
      <c r="AL287" s="3305"/>
      <c r="AM287" s="3305"/>
      <c r="AN287" s="3305"/>
      <c r="AO287" s="3305"/>
      <c r="AP287" s="3305"/>
      <c r="AQ287" s="3305"/>
      <c r="AR287" s="3305"/>
      <c r="AS287" s="3305"/>
      <c r="AT287" s="3305"/>
      <c r="AU287" s="3305"/>
      <c r="AV287" s="3305"/>
      <c r="AW287" s="3305"/>
      <c r="AX287" s="3305"/>
      <c r="AY287" s="3305">
        <f t="shared" ref="AY287:BG287" ca="1" si="72">AY27</f>
        <v>0</v>
      </c>
      <c r="AZ287" s="3305">
        <f t="shared" ca="1" si="72"/>
        <v>3.9627123287671231E-3</v>
      </c>
      <c r="BA287" s="3305">
        <f t="shared" ca="1" si="72"/>
        <v>1.3017510000000001E-2</v>
      </c>
      <c r="BB287" s="3305">
        <f t="shared" ca="1" si="72"/>
        <v>0.39052530000000008</v>
      </c>
      <c r="BC287" s="3305">
        <f t="shared" ca="1" si="72"/>
        <v>2.6035020000000002</v>
      </c>
      <c r="BD287" s="3305">
        <f t="shared" ca="1" si="72"/>
        <v>3.9052530000000001</v>
      </c>
      <c r="BE287" s="3305">
        <f t="shared" ca="1" si="72"/>
        <v>5.2070040000000004</v>
      </c>
      <c r="BF287" s="3305">
        <f t="shared" ca="1" si="72"/>
        <v>5.2070040000000004</v>
      </c>
      <c r="BG287" s="3305">
        <f t="shared" ca="1" si="72"/>
        <v>6.2484048000000012</v>
      </c>
      <c r="BH287" s="3305"/>
      <c r="BJ287" s="3303"/>
      <c r="BK287" s="3304"/>
      <c r="BL287" s="3304"/>
      <c r="BM287" s="3304"/>
      <c r="BN287" s="3305"/>
      <c r="BO287" s="3305"/>
      <c r="BP287" s="3305"/>
      <c r="BQ287" s="3305"/>
      <c r="BR287" s="3305"/>
      <c r="BS287" s="3305"/>
      <c r="BT287" s="3305"/>
      <c r="BU287" s="3305"/>
    </row>
    <row r="288" spans="1:73">
      <c r="A288" s="39"/>
      <c r="B288" s="3303"/>
      <c r="C288" s="3304" t="s">
        <v>450</v>
      </c>
      <c r="D288" s="3304" t="s">
        <v>55</v>
      </c>
      <c r="E288" s="3304"/>
      <c r="F288" s="3305">
        <f t="shared" si="67"/>
        <v>0</v>
      </c>
      <c r="G288" s="3305"/>
      <c r="H288" s="3305"/>
      <c r="I288" s="3305"/>
      <c r="J288" s="3305"/>
      <c r="K288" s="3305"/>
      <c r="L288" s="3305"/>
      <c r="M288" s="3305"/>
      <c r="N288" s="3305"/>
      <c r="O288" s="3305"/>
      <c r="P288" s="3305"/>
      <c r="Q288" s="3305"/>
      <c r="R288" s="3305"/>
      <c r="S288" s="3305"/>
      <c r="T288" s="3305"/>
      <c r="U288" s="3305"/>
      <c r="V288" s="3305"/>
      <c r="W288" s="3305"/>
      <c r="X288" s="3305"/>
      <c r="Y288" s="3305"/>
      <c r="Z288" s="3305"/>
      <c r="AA288" s="3305"/>
      <c r="AB288" s="3305"/>
      <c r="AC288" s="3305"/>
      <c r="AD288" s="3305"/>
      <c r="AE288" s="3305"/>
      <c r="AF288" s="3305"/>
      <c r="AG288" s="3305"/>
      <c r="AH288" s="3305"/>
      <c r="AI288" s="3305"/>
      <c r="AJ288" s="3305"/>
      <c r="AK288" s="3305"/>
      <c r="AL288" s="3305"/>
      <c r="AM288" s="3305"/>
      <c r="AN288" s="3305"/>
      <c r="AO288" s="3305"/>
      <c r="AP288" s="3305"/>
      <c r="AQ288" s="3305"/>
      <c r="AR288" s="3305"/>
      <c r="AS288" s="3305"/>
      <c r="AT288" s="3305"/>
      <c r="AU288" s="3305"/>
      <c r="AV288" s="3305"/>
      <c r="AW288" s="3305"/>
      <c r="AX288" s="3305"/>
      <c r="AY288" s="3305">
        <f t="shared" ref="AY288:BG288" ca="1" si="73">AY28</f>
        <v>0</v>
      </c>
      <c r="AZ288" s="3305">
        <f t="shared" ca="1" si="73"/>
        <v>0</v>
      </c>
      <c r="BA288" s="3305">
        <f t="shared" ca="1" si="73"/>
        <v>0</v>
      </c>
      <c r="BB288" s="3305">
        <f t="shared" ca="1" si="73"/>
        <v>0</v>
      </c>
      <c r="BC288" s="3305">
        <f t="shared" ca="1" si="73"/>
        <v>0</v>
      </c>
      <c r="BD288" s="3305">
        <f t="shared" ca="1" si="73"/>
        <v>0</v>
      </c>
      <c r="BE288" s="3305">
        <f t="shared" ca="1" si="73"/>
        <v>0</v>
      </c>
      <c r="BF288" s="3305">
        <f t="shared" ca="1" si="73"/>
        <v>0</v>
      </c>
      <c r="BG288" s="3305">
        <f t="shared" ca="1" si="73"/>
        <v>0</v>
      </c>
      <c r="BH288" s="3305"/>
      <c r="BJ288" s="3303"/>
      <c r="BK288" s="3304"/>
      <c r="BL288" s="3304"/>
      <c r="BM288" s="3304"/>
      <c r="BN288" s="3305"/>
      <c r="BO288" s="3305"/>
      <c r="BP288" s="3305"/>
      <c r="BQ288" s="3305"/>
      <c r="BR288" s="3305"/>
      <c r="BS288" s="3305"/>
      <c r="BT288" s="3305"/>
      <c r="BU288" s="3305"/>
    </row>
    <row r="289" spans="1:73">
      <c r="A289" s="39"/>
      <c r="B289" s="3303"/>
      <c r="C289" s="3304" t="s">
        <v>451</v>
      </c>
      <c r="D289" s="3304" t="s">
        <v>400</v>
      </c>
      <c r="E289" s="3304"/>
      <c r="F289" s="3305">
        <f t="shared" si="67"/>
        <v>0.6</v>
      </c>
      <c r="G289" s="3305"/>
      <c r="H289" s="3305"/>
      <c r="I289" s="3305"/>
      <c r="J289" s="3305"/>
      <c r="K289" s="3305"/>
      <c r="L289" s="3305"/>
      <c r="M289" s="3305"/>
      <c r="N289" s="3305"/>
      <c r="O289" s="3305"/>
      <c r="P289" s="3305"/>
      <c r="Q289" s="3305"/>
      <c r="R289" s="3305"/>
      <c r="S289" s="3305"/>
      <c r="T289" s="3305"/>
      <c r="U289" s="3305"/>
      <c r="V289" s="3305"/>
      <c r="W289" s="3305"/>
      <c r="X289" s="3305"/>
      <c r="Y289" s="3305"/>
      <c r="Z289" s="3305"/>
      <c r="AA289" s="3305"/>
      <c r="AB289" s="3305"/>
      <c r="AC289" s="3305"/>
      <c r="AD289" s="3305"/>
      <c r="AE289" s="3305"/>
      <c r="AF289" s="3305"/>
      <c r="AG289" s="3305"/>
      <c r="AH289" s="3305"/>
      <c r="AI289" s="3305"/>
      <c r="AJ289" s="3305"/>
      <c r="AK289" s="3305"/>
      <c r="AL289" s="3305"/>
      <c r="AM289" s="3305"/>
      <c r="AN289" s="3305"/>
      <c r="AO289" s="3305"/>
      <c r="AP289" s="3305"/>
      <c r="AQ289" s="3305"/>
      <c r="AR289" s="3305"/>
      <c r="AS289" s="3305"/>
      <c r="AT289" s="3305"/>
      <c r="AU289" s="3305"/>
      <c r="AV289" s="3305"/>
      <c r="AW289" s="3305"/>
      <c r="AX289" s="3305"/>
      <c r="AY289" s="3305">
        <f t="shared" ref="AY289:BG289" ca="1" si="74">AY29</f>
        <v>0.74791511999999993</v>
      </c>
      <c r="AZ289" s="3305">
        <f t="shared" ca="1" si="74"/>
        <v>0.74791511999999993</v>
      </c>
      <c r="BA289" s="3305">
        <f t="shared" ca="1" si="74"/>
        <v>0.74791511999999993</v>
      </c>
      <c r="BB289" s="3305">
        <f t="shared" ca="1" si="74"/>
        <v>0.78946596000000002</v>
      </c>
      <c r="BC289" s="3305">
        <f t="shared" ca="1" si="74"/>
        <v>0.78946596000000002</v>
      </c>
      <c r="BD289" s="3305">
        <f t="shared" ca="1" si="74"/>
        <v>0.78946596000000002</v>
      </c>
      <c r="BE289" s="3305">
        <f t="shared" ca="1" si="74"/>
        <v>0.78946596000000002</v>
      </c>
      <c r="BF289" s="3305">
        <f t="shared" ca="1" si="74"/>
        <v>0.78946596000000002</v>
      </c>
      <c r="BG289" s="3305">
        <f t="shared" ca="1" si="74"/>
        <v>0.78946596000000002</v>
      </c>
      <c r="BH289" s="3305"/>
      <c r="BJ289" s="3303"/>
      <c r="BK289" s="3304"/>
      <c r="BL289" s="3304"/>
      <c r="BM289" s="3304"/>
      <c r="BN289" s="3305"/>
      <c r="BO289" s="3305"/>
      <c r="BP289" s="3305"/>
      <c r="BQ289" s="3305"/>
      <c r="BR289" s="3305"/>
      <c r="BS289" s="3305"/>
      <c r="BT289" s="3305"/>
      <c r="BU289" s="3305"/>
    </row>
    <row r="290" spans="1:73">
      <c r="A290" s="39"/>
      <c r="B290" s="3303"/>
      <c r="C290" s="3304" t="s">
        <v>440</v>
      </c>
      <c r="D290" s="3304" t="s">
        <v>391</v>
      </c>
      <c r="E290" s="3304"/>
      <c r="F290" s="3305">
        <f>MAX(F30, 0)</f>
        <v>2.5</v>
      </c>
      <c r="G290" s="3305"/>
      <c r="H290" s="3305"/>
      <c r="I290" s="3305"/>
      <c r="J290" s="3305"/>
      <c r="K290" s="3305"/>
      <c r="L290" s="3305"/>
      <c r="M290" s="3305"/>
      <c r="N290" s="3305"/>
      <c r="O290" s="3305"/>
      <c r="P290" s="3305"/>
      <c r="Q290" s="3305"/>
      <c r="R290" s="3305"/>
      <c r="S290" s="3305"/>
      <c r="T290" s="3305"/>
      <c r="U290" s="3305"/>
      <c r="V290" s="3305"/>
      <c r="W290" s="3305"/>
      <c r="X290" s="3305"/>
      <c r="Y290" s="3305"/>
      <c r="Z290" s="3305"/>
      <c r="AA290" s="3305"/>
      <c r="AB290" s="3305"/>
      <c r="AC290" s="3305"/>
      <c r="AD290" s="3305"/>
      <c r="AE290" s="3305"/>
      <c r="AF290" s="3305"/>
      <c r="AG290" s="3305"/>
      <c r="AH290" s="3305"/>
      <c r="AI290" s="3305"/>
      <c r="AJ290" s="3305"/>
      <c r="AK290" s="3305"/>
      <c r="AL290" s="3305"/>
      <c r="AM290" s="3305"/>
      <c r="AN290" s="3305"/>
      <c r="AO290" s="3305"/>
      <c r="AP290" s="3305"/>
      <c r="AQ290" s="3305"/>
      <c r="AR290" s="3305"/>
      <c r="AS290" s="3305"/>
      <c r="AT290" s="3305"/>
      <c r="AU290" s="3305"/>
      <c r="AV290" s="3305"/>
      <c r="AW290" s="3305"/>
      <c r="AX290" s="3305"/>
      <c r="AY290" s="3305">
        <f t="shared" ref="AY290:BG290" ca="1" si="75">MAX(AY30, 0)</f>
        <v>2.5</v>
      </c>
      <c r="AZ290" s="3305">
        <f t="shared" ca="1" si="75"/>
        <v>2.5</v>
      </c>
      <c r="BA290" s="3305">
        <f t="shared" ca="1" si="75"/>
        <v>2.5000000000000036</v>
      </c>
      <c r="BB290" s="3305">
        <f t="shared" ca="1" si="75"/>
        <v>2.5000000000000036</v>
      </c>
      <c r="BC290" s="3305">
        <f t="shared" ca="1" si="75"/>
        <v>0</v>
      </c>
      <c r="BD290" s="3305">
        <f t="shared" ca="1" si="75"/>
        <v>0</v>
      </c>
      <c r="BE290" s="3305">
        <f t="shared" ca="1" si="75"/>
        <v>0</v>
      </c>
      <c r="BF290" s="3305">
        <f t="shared" ca="1" si="75"/>
        <v>0</v>
      </c>
      <c r="BG290" s="3305">
        <f t="shared" ca="1" si="75"/>
        <v>0</v>
      </c>
      <c r="BH290" s="3305"/>
      <c r="BJ290" s="3303"/>
      <c r="BK290" s="3304"/>
      <c r="BL290" s="3304"/>
      <c r="BM290" s="3304"/>
      <c r="BN290" s="3305"/>
      <c r="BO290" s="3305"/>
      <c r="BP290" s="3305"/>
      <c r="BQ290" s="3305"/>
      <c r="BR290" s="3305"/>
      <c r="BS290" s="3305"/>
      <c r="BT290" s="3305"/>
      <c r="BU290" s="3305"/>
    </row>
    <row r="291" spans="1:73">
      <c r="A291" s="39"/>
      <c r="B291" s="3303"/>
      <c r="C291" s="3304" t="s">
        <v>102</v>
      </c>
      <c r="D291" s="3304" t="s">
        <v>92</v>
      </c>
      <c r="E291" s="3304"/>
      <c r="F291" s="3305">
        <f>F32</f>
        <v>0</v>
      </c>
      <c r="G291" s="3305"/>
      <c r="H291" s="3305"/>
      <c r="I291" s="3305"/>
      <c r="J291" s="3305"/>
      <c r="K291" s="3305"/>
      <c r="L291" s="3305"/>
      <c r="M291" s="3305"/>
      <c r="N291" s="3305"/>
      <c r="O291" s="3305"/>
      <c r="P291" s="3305"/>
      <c r="Q291" s="3305"/>
      <c r="R291" s="3305"/>
      <c r="S291" s="3305"/>
      <c r="T291" s="3305"/>
      <c r="U291" s="3305"/>
      <c r="V291" s="3305"/>
      <c r="W291" s="3305"/>
      <c r="X291" s="3305"/>
      <c r="Y291" s="3305"/>
      <c r="Z291" s="3305"/>
      <c r="AA291" s="3305"/>
      <c r="AB291" s="3305"/>
      <c r="AC291" s="3305"/>
      <c r="AD291" s="3305"/>
      <c r="AE291" s="3305"/>
      <c r="AF291" s="3305"/>
      <c r="AG291" s="3305"/>
      <c r="AH291" s="3305"/>
      <c r="AI291" s="3305"/>
      <c r="AJ291" s="3305"/>
      <c r="AK291" s="3305"/>
      <c r="AL291" s="3305"/>
      <c r="AM291" s="3305"/>
      <c r="AN291" s="3305"/>
      <c r="AO291" s="3305"/>
      <c r="AP291" s="3305"/>
      <c r="AQ291" s="3305"/>
      <c r="AR291" s="3305"/>
      <c r="AS291" s="3305"/>
      <c r="AT291" s="3305"/>
      <c r="AU291" s="3305"/>
      <c r="AV291" s="3305"/>
      <c r="AW291" s="3305"/>
      <c r="AX291" s="3305"/>
      <c r="AY291" s="3305">
        <f t="shared" ref="AY291:BG291" ca="1" si="76">AY32</f>
        <v>0.11119904983501781</v>
      </c>
      <c r="AZ291" s="3305">
        <f t="shared" ca="1" si="76"/>
        <v>0.23024787332134827</v>
      </c>
      <c r="BA291" s="3305">
        <f t="shared" ca="1" si="76"/>
        <v>0.19215404904246119</v>
      </c>
      <c r="BB291" s="3305">
        <f t="shared" ca="1" si="76"/>
        <v>0.16256755073206205</v>
      </c>
      <c r="BC291" s="3305">
        <f t="shared" ca="1" si="76"/>
        <v>0.13025315807559751</v>
      </c>
      <c r="BD291" s="3305">
        <f t="shared" ca="1" si="76"/>
        <v>9.8473923807210109E-2</v>
      </c>
      <c r="BE291" s="3305">
        <f t="shared" ca="1" si="76"/>
        <v>6.6374144344193087E-2</v>
      </c>
      <c r="BF291" s="3305">
        <f t="shared" ca="1" si="76"/>
        <v>3.3366237861707504E-2</v>
      </c>
      <c r="BG291" s="3305">
        <f t="shared" ca="1" si="76"/>
        <v>0</v>
      </c>
      <c r="BH291" s="3305"/>
      <c r="BJ291" s="3303"/>
      <c r="BK291" s="3304"/>
      <c r="BL291" s="3304"/>
      <c r="BM291" s="3304"/>
      <c r="BN291" s="3305"/>
      <c r="BO291" s="3305"/>
      <c r="BP291" s="3305"/>
      <c r="BQ291" s="3305"/>
      <c r="BR291" s="3305"/>
      <c r="BS291" s="3305"/>
      <c r="BT291" s="3305"/>
      <c r="BU291" s="3305"/>
    </row>
    <row r="292" spans="1:73">
      <c r="A292" s="39"/>
      <c r="B292" s="3303"/>
      <c r="C292" s="3304"/>
      <c r="D292" s="3304" t="s">
        <v>581</v>
      </c>
      <c r="E292" s="3304"/>
      <c r="F292" s="3305">
        <f>F36</f>
        <v>0</v>
      </c>
      <c r="G292" s="3305"/>
      <c r="H292" s="3305"/>
      <c r="I292" s="3305"/>
      <c r="J292" s="3305"/>
      <c r="K292" s="3305"/>
      <c r="L292" s="3305"/>
      <c r="M292" s="3305"/>
      <c r="N292" s="3305"/>
      <c r="O292" s="3305"/>
      <c r="P292" s="3305"/>
      <c r="Q292" s="3305"/>
      <c r="R292" s="3305"/>
      <c r="S292" s="3305"/>
      <c r="T292" s="3305"/>
      <c r="U292" s="3305"/>
      <c r="V292" s="3305"/>
      <c r="W292" s="3305"/>
      <c r="X292" s="3305"/>
      <c r="Y292" s="3305"/>
      <c r="Z292" s="3305"/>
      <c r="AA292" s="3305"/>
      <c r="AB292" s="3305"/>
      <c r="AC292" s="3305"/>
      <c r="AD292" s="3305"/>
      <c r="AE292" s="3305"/>
      <c r="AF292" s="3305"/>
      <c r="AG292" s="3305"/>
      <c r="AH292" s="3305"/>
      <c r="AI292" s="3305"/>
      <c r="AJ292" s="3305"/>
      <c r="AK292" s="3305"/>
      <c r="AL292" s="3305"/>
      <c r="AM292" s="3305"/>
      <c r="AN292" s="3305"/>
      <c r="AO292" s="3305"/>
      <c r="AP292" s="3305"/>
      <c r="AQ292" s="3305"/>
      <c r="AR292" s="3305"/>
      <c r="AS292" s="3305"/>
      <c r="AT292" s="3305"/>
      <c r="AU292" s="3305"/>
      <c r="AV292" s="3305"/>
      <c r="AW292" s="3305"/>
      <c r="AX292" s="3305"/>
      <c r="AY292" s="3305">
        <f t="shared" ref="AY292:BG292" ca="1" si="77">AY36</f>
        <v>2.1701692424588424</v>
      </c>
      <c r="AZ292" s="3305">
        <f t="shared" ca="1" si="77"/>
        <v>5.9772574581939466</v>
      </c>
      <c r="BA292" s="3305">
        <f t="shared" ca="1" si="77"/>
        <v>19.124319444842083</v>
      </c>
      <c r="BB292" s="3305">
        <f t="shared" ca="1" si="77"/>
        <v>18.605920854058258</v>
      </c>
      <c r="BC292" s="3305">
        <f t="shared" ca="1" si="77"/>
        <v>21.817285797963891</v>
      </c>
      <c r="BD292" s="3305">
        <f t="shared" ca="1" si="77"/>
        <v>45.407033821038908</v>
      </c>
      <c r="BE292" s="3305">
        <f t="shared" ca="1" si="77"/>
        <v>55.194938143571299</v>
      </c>
      <c r="BF292" s="3305">
        <f t="shared" ca="1" si="77"/>
        <v>62.616483548103908</v>
      </c>
      <c r="BG292" s="3305">
        <f t="shared" ca="1" si="77"/>
        <v>69.436475569063489</v>
      </c>
      <c r="BH292" s="3305"/>
      <c r="BJ292" s="3303"/>
      <c r="BK292" s="3304"/>
      <c r="BL292" s="3304"/>
      <c r="BM292" s="3304"/>
      <c r="BN292" s="3305"/>
      <c r="BO292" s="3305"/>
      <c r="BP292" s="3305"/>
      <c r="BQ292" s="3305"/>
      <c r="BR292" s="3305"/>
      <c r="BS292" s="3305"/>
      <c r="BT292" s="3305"/>
      <c r="BU292" s="3305"/>
    </row>
    <row r="293" spans="1:73">
      <c r="A293" s="39"/>
      <c r="B293" s="3303"/>
      <c r="C293" s="3304"/>
      <c r="D293" s="3304" t="s">
        <v>147</v>
      </c>
      <c r="E293" s="3304"/>
      <c r="F293" s="3305">
        <f>MAX(F39,0)</f>
        <v>23.066770566205925</v>
      </c>
      <c r="G293" s="3305"/>
      <c r="H293" s="3305"/>
      <c r="I293" s="3305"/>
      <c r="J293" s="3305"/>
      <c r="K293" s="3305"/>
      <c r="L293" s="3305"/>
      <c r="M293" s="3305"/>
      <c r="N293" s="3305"/>
      <c r="O293" s="3305"/>
      <c r="P293" s="3305"/>
      <c r="Q293" s="3305"/>
      <c r="R293" s="3305"/>
      <c r="S293" s="3305"/>
      <c r="T293" s="3305"/>
      <c r="U293" s="3305"/>
      <c r="V293" s="3305"/>
      <c r="W293" s="3305"/>
      <c r="X293" s="3305"/>
      <c r="Y293" s="3305"/>
      <c r="Z293" s="3305"/>
      <c r="AA293" s="3305"/>
      <c r="AB293" s="3305"/>
      <c r="AC293" s="3305"/>
      <c r="AD293" s="3305"/>
      <c r="AE293" s="3305"/>
      <c r="AF293" s="3305"/>
      <c r="AG293" s="3305"/>
      <c r="AH293" s="3305"/>
      <c r="AI293" s="3305"/>
      <c r="AJ293" s="3305"/>
      <c r="AK293" s="3305"/>
      <c r="AL293" s="3305"/>
      <c r="AM293" s="3305"/>
      <c r="AN293" s="3305"/>
      <c r="AO293" s="3305"/>
      <c r="AP293" s="3305"/>
      <c r="AQ293" s="3305"/>
      <c r="AR293" s="3305"/>
      <c r="AS293" s="3305"/>
      <c r="AT293" s="3305"/>
      <c r="AU293" s="3305"/>
      <c r="AV293" s="3305"/>
      <c r="AW293" s="3305"/>
      <c r="AX293" s="3305"/>
      <c r="AY293" s="3305">
        <f t="shared" ref="AY293:BG293" ca="1" si="78">MAX(AY39,0)</f>
        <v>23.0022810672098</v>
      </c>
      <c r="AZ293" s="3305">
        <f t="shared" ca="1" si="78"/>
        <v>20.367884225892759</v>
      </c>
      <c r="BA293" s="3305">
        <f t="shared" ca="1" si="78"/>
        <v>2.4957584511413287</v>
      </c>
      <c r="BB293" s="3305">
        <f t="shared" ca="1" si="78"/>
        <v>0</v>
      </c>
      <c r="BC293" s="3305">
        <f t="shared" ca="1" si="78"/>
        <v>0</v>
      </c>
      <c r="BD293" s="3305">
        <f t="shared" ca="1" si="78"/>
        <v>0</v>
      </c>
      <c r="BE293" s="3305">
        <f t="shared" ca="1" si="78"/>
        <v>0</v>
      </c>
      <c r="BF293" s="3305">
        <f t="shared" ca="1" si="78"/>
        <v>0</v>
      </c>
      <c r="BG293" s="3305">
        <f t="shared" ca="1" si="78"/>
        <v>0</v>
      </c>
      <c r="BH293" s="3305"/>
      <c r="BJ293" s="3303"/>
      <c r="BK293" s="3304"/>
      <c r="BL293" s="3304"/>
      <c r="BM293" s="3304"/>
      <c r="BN293" s="3305"/>
      <c r="BO293" s="3305"/>
      <c r="BP293" s="3305"/>
      <c r="BQ293" s="3305"/>
      <c r="BR293" s="3305"/>
      <c r="BS293" s="3305"/>
      <c r="BT293" s="3305"/>
      <c r="BU293" s="3305"/>
    </row>
    <row r="294" spans="1:73">
      <c r="A294" s="39"/>
      <c r="B294" s="3303"/>
      <c r="C294" s="3304"/>
      <c r="D294" s="3304" t="s">
        <v>145</v>
      </c>
      <c r="E294" s="3304"/>
      <c r="F294" s="3305">
        <f>F43</f>
        <v>76.116012246733362</v>
      </c>
      <c r="G294" s="3305"/>
      <c r="H294" s="3305"/>
      <c r="I294" s="3305"/>
      <c r="J294" s="3305"/>
      <c r="K294" s="3305"/>
      <c r="L294" s="3305"/>
      <c r="M294" s="3305"/>
      <c r="N294" s="3305"/>
      <c r="O294" s="3305"/>
      <c r="P294" s="3305"/>
      <c r="Q294" s="3305"/>
      <c r="R294" s="3305"/>
      <c r="S294" s="3305"/>
      <c r="T294" s="3305"/>
      <c r="U294" s="3305"/>
      <c r="V294" s="3305"/>
      <c r="W294" s="3305"/>
      <c r="X294" s="3305"/>
      <c r="Y294" s="3305"/>
      <c r="Z294" s="3305"/>
      <c r="AA294" s="3305"/>
      <c r="AB294" s="3305"/>
      <c r="AC294" s="3305"/>
      <c r="AD294" s="3305"/>
      <c r="AE294" s="3305"/>
      <c r="AF294" s="3305"/>
      <c r="AG294" s="3305"/>
      <c r="AH294" s="3305"/>
      <c r="AI294" s="3305"/>
      <c r="AJ294" s="3305"/>
      <c r="AK294" s="3305"/>
      <c r="AL294" s="3305"/>
      <c r="AM294" s="3305"/>
      <c r="AN294" s="3305"/>
      <c r="AO294" s="3305"/>
      <c r="AP294" s="3305"/>
      <c r="AQ294" s="3305"/>
      <c r="AR294" s="3305"/>
      <c r="AS294" s="3305"/>
      <c r="AT294" s="3305"/>
      <c r="AU294" s="3305"/>
      <c r="AV294" s="3305"/>
      <c r="AW294" s="3305"/>
      <c r="AX294" s="3305"/>
      <c r="AY294" s="3305">
        <f t="shared" ref="AY294:BG294" ca="1" si="79">AY43</f>
        <v>76.341107777431446</v>
      </c>
      <c r="AZ294" s="3305">
        <f t="shared" ca="1" si="79"/>
        <v>70.428965076712089</v>
      </c>
      <c r="BA294" s="3305">
        <f t="shared" ca="1" si="79"/>
        <v>66.132600914927124</v>
      </c>
      <c r="BB294" s="3305">
        <f t="shared" ca="1" si="79"/>
        <v>61.70681606299398</v>
      </c>
      <c r="BC294" s="3305">
        <f t="shared" ca="1" si="79"/>
        <v>58.853734589724091</v>
      </c>
      <c r="BD294" s="3305">
        <f t="shared" ca="1" si="79"/>
        <v>56.055550717287325</v>
      </c>
      <c r="BE294" s="3305">
        <f t="shared" ca="1" si="79"/>
        <v>53.466242556904533</v>
      </c>
      <c r="BF294" s="3305">
        <f t="shared" ca="1" si="79"/>
        <v>50.942465881243002</v>
      </c>
      <c r="BG294" s="3305">
        <f t="shared" ca="1" si="79"/>
        <v>48.624578735681354</v>
      </c>
      <c r="BH294" s="3305"/>
      <c r="BJ294" s="3303"/>
      <c r="BK294" s="3304"/>
      <c r="BL294" s="3304"/>
      <c r="BM294" s="3304"/>
      <c r="BN294" s="3305"/>
      <c r="BO294" s="3305"/>
      <c r="BP294" s="3305"/>
      <c r="BQ294" s="3305"/>
      <c r="BR294" s="3305"/>
      <c r="BS294" s="3305"/>
      <c r="BT294" s="3305"/>
      <c r="BU294" s="3305"/>
    </row>
    <row r="295" spans="1:73">
      <c r="A295" s="39"/>
      <c r="B295" s="3303"/>
      <c r="C295" s="3304"/>
      <c r="D295" s="3304" t="s">
        <v>142</v>
      </c>
      <c r="E295" s="3304"/>
      <c r="F295" s="3305">
        <f>F46</f>
        <v>44.988521834716451</v>
      </c>
      <c r="G295" s="3305"/>
      <c r="H295" s="3305"/>
      <c r="I295" s="3305"/>
      <c r="J295" s="3305"/>
      <c r="K295" s="3305"/>
      <c r="L295" s="3305"/>
      <c r="M295" s="3305"/>
      <c r="N295" s="3305"/>
      <c r="O295" s="3305"/>
      <c r="P295" s="3305"/>
      <c r="Q295" s="3305"/>
      <c r="R295" s="3305"/>
      <c r="S295" s="3305"/>
      <c r="T295" s="3305"/>
      <c r="U295" s="3305"/>
      <c r="V295" s="3305"/>
      <c r="W295" s="3305"/>
      <c r="X295" s="3305"/>
      <c r="Y295" s="3305"/>
      <c r="Z295" s="3305"/>
      <c r="AA295" s="3305"/>
      <c r="AB295" s="3305"/>
      <c r="AC295" s="3305"/>
      <c r="AD295" s="3305"/>
      <c r="AE295" s="3305"/>
      <c r="AF295" s="3305"/>
      <c r="AG295" s="3305"/>
      <c r="AH295" s="3305"/>
      <c r="AI295" s="3305"/>
      <c r="AJ295" s="3305"/>
      <c r="AK295" s="3305"/>
      <c r="AL295" s="3305"/>
      <c r="AM295" s="3305"/>
      <c r="AN295" s="3305"/>
      <c r="AO295" s="3305"/>
      <c r="AP295" s="3305"/>
      <c r="AQ295" s="3305"/>
      <c r="AR295" s="3305"/>
      <c r="AS295" s="3305"/>
      <c r="AT295" s="3305"/>
      <c r="AU295" s="3305"/>
      <c r="AV295" s="3305"/>
      <c r="AW295" s="3305"/>
      <c r="AX295" s="3305"/>
      <c r="AY295" s="3305">
        <f t="shared" ref="AY295:BG295" ca="1" si="80">AY46</f>
        <v>46.547614680811428</v>
      </c>
      <c r="AZ295" s="3305">
        <f t="shared" ca="1" si="80"/>
        <v>47.39978705331265</v>
      </c>
      <c r="BA295" s="3305">
        <f t="shared" ca="1" si="80"/>
        <v>46.463075485516505</v>
      </c>
      <c r="BB295" s="3305">
        <f t="shared" ca="1" si="80"/>
        <v>39.741491510161715</v>
      </c>
      <c r="BC295" s="3305">
        <f t="shared" ca="1" si="80"/>
        <v>29.716870935553509</v>
      </c>
      <c r="BD295" s="3305">
        <f t="shared" ca="1" si="80"/>
        <v>37.575562611620718</v>
      </c>
      <c r="BE295" s="3305">
        <f t="shared" ca="1" si="80"/>
        <v>49.707610582817466</v>
      </c>
      <c r="BF295" s="3305">
        <f t="shared" ca="1" si="80"/>
        <v>62.182671111735829</v>
      </c>
      <c r="BG295" s="3305">
        <f t="shared" ca="1" si="80"/>
        <v>75.014269907136224</v>
      </c>
      <c r="BH295" s="3305"/>
      <c r="BJ295" s="3303"/>
      <c r="BK295" s="3304"/>
      <c r="BL295" s="3304"/>
      <c r="BM295" s="3304"/>
      <c r="BN295" s="3305"/>
      <c r="BO295" s="3305"/>
      <c r="BP295" s="3305"/>
      <c r="BQ295" s="3305"/>
      <c r="BR295" s="3305"/>
      <c r="BS295" s="3305"/>
      <c r="BT295" s="3305"/>
      <c r="BU295" s="3305"/>
    </row>
    <row r="296" spans="1:73">
      <c r="A296" s="39"/>
      <c r="B296" s="3303"/>
      <c r="C296" s="3304"/>
      <c r="D296" s="3307" t="s">
        <v>2525</v>
      </c>
      <c r="E296" s="3304"/>
      <c r="F296" s="3308">
        <f>F47</f>
        <v>151.94130464765573</v>
      </c>
      <c r="G296" s="3308"/>
      <c r="H296" s="3308"/>
      <c r="I296" s="3308"/>
      <c r="J296" s="3308"/>
      <c r="K296" s="3308"/>
      <c r="L296" s="3308"/>
      <c r="M296" s="3308"/>
      <c r="N296" s="3308"/>
      <c r="O296" s="3308"/>
      <c r="P296" s="3308"/>
      <c r="Q296" s="3308"/>
      <c r="R296" s="3308"/>
      <c r="S296" s="3308"/>
      <c r="T296" s="3308"/>
      <c r="U296" s="3308"/>
      <c r="V296" s="3308"/>
      <c r="W296" s="3308"/>
      <c r="X296" s="3308"/>
      <c r="Y296" s="3308"/>
      <c r="Z296" s="3308"/>
      <c r="AA296" s="3308"/>
      <c r="AB296" s="3308"/>
      <c r="AC296" s="3308"/>
      <c r="AD296" s="3308"/>
      <c r="AE296" s="3308"/>
      <c r="AF296" s="3308"/>
      <c r="AG296" s="3308"/>
      <c r="AH296" s="3308"/>
      <c r="AI296" s="3308"/>
      <c r="AJ296" s="3308"/>
      <c r="AK296" s="3308"/>
      <c r="AL296" s="3308"/>
      <c r="AM296" s="3308"/>
      <c r="AN296" s="3308"/>
      <c r="AO296" s="3308"/>
      <c r="AP296" s="3308"/>
      <c r="AQ296" s="3308"/>
      <c r="AR296" s="3308"/>
      <c r="AS296" s="3308"/>
      <c r="AT296" s="3308"/>
      <c r="AU296" s="3308"/>
      <c r="AV296" s="3308"/>
      <c r="AW296" s="3308"/>
      <c r="AX296" s="3308"/>
      <c r="AY296" s="3308">
        <f t="shared" ref="AY296:BG296" ca="1" si="81">AY47</f>
        <v>155.96268282517553</v>
      </c>
      <c r="AZ296" s="3308">
        <f t="shared" ca="1" si="81"/>
        <v>153.5686122091916</v>
      </c>
      <c r="BA296" s="3308">
        <f t="shared" ca="1" si="81"/>
        <v>147.97503975911422</v>
      </c>
      <c r="BB296" s="3308">
        <f t="shared" ca="1" si="81"/>
        <v>139.29230997141136</v>
      </c>
      <c r="BC296" s="3308">
        <f t="shared" ca="1" si="81"/>
        <v>150.13778181594469</v>
      </c>
      <c r="BD296" s="3308">
        <f t="shared" ca="1" si="81"/>
        <v>168.85400321866854</v>
      </c>
      <c r="BE296" s="3308">
        <f t="shared" ca="1" si="81"/>
        <v>180.32039823317527</v>
      </c>
      <c r="BF296" s="3308">
        <f t="shared" ca="1" si="81"/>
        <v>190.56285547966888</v>
      </c>
      <c r="BG296" s="3308">
        <f t="shared" ca="1" si="81"/>
        <v>200.46144395453797</v>
      </c>
      <c r="BH296" s="3308"/>
      <c r="BJ296" s="3303"/>
      <c r="BK296" s="3304"/>
      <c r="BL296" s="3307"/>
      <c r="BM296" s="3304"/>
      <c r="BN296" s="3308"/>
      <c r="BO296" s="3308"/>
      <c r="BP296" s="3308"/>
      <c r="BQ296" s="3308"/>
      <c r="BR296" s="3308"/>
      <c r="BS296" s="3308"/>
      <c r="BT296" s="3308"/>
      <c r="BU296" s="3308"/>
    </row>
    <row r="297" spans="1:73">
      <c r="A297" s="39"/>
      <c r="B297" s="3303"/>
      <c r="C297" s="3304"/>
      <c r="D297" s="3304" t="s">
        <v>2636</v>
      </c>
      <c r="E297" s="3304"/>
      <c r="F297" s="3309">
        <f>MAX(0,F30)+MAX(0,F35)+MAX(0,F37)+MAX(0,F41)+MAX(0,F44)+F23</f>
        <v>136.70582796462236</v>
      </c>
      <c r="G297" s="3309"/>
      <c r="H297" s="3309"/>
      <c r="I297" s="3309"/>
      <c r="J297" s="3309"/>
      <c r="K297" s="3309"/>
      <c r="L297" s="3309"/>
      <c r="M297" s="3309"/>
      <c r="N297" s="3309"/>
      <c r="O297" s="3309"/>
      <c r="P297" s="3309"/>
      <c r="Q297" s="3309"/>
      <c r="R297" s="3309"/>
      <c r="S297" s="3309"/>
      <c r="T297" s="3309"/>
      <c r="U297" s="3309"/>
      <c r="V297" s="3309"/>
      <c r="W297" s="3309"/>
      <c r="X297" s="3309"/>
      <c r="Y297" s="3309"/>
      <c r="Z297" s="3309"/>
      <c r="AA297" s="3309"/>
      <c r="AB297" s="3309"/>
      <c r="AC297" s="3309"/>
      <c r="AD297" s="3309"/>
      <c r="AE297" s="3309"/>
      <c r="AF297" s="3309"/>
      <c r="AG297" s="3309"/>
      <c r="AH297" s="3309"/>
      <c r="AI297" s="3309"/>
      <c r="AJ297" s="3309"/>
      <c r="AK297" s="3309"/>
      <c r="AL297" s="3309"/>
      <c r="AM297" s="3309"/>
      <c r="AN297" s="3309"/>
      <c r="AO297" s="3309"/>
      <c r="AP297" s="3309"/>
      <c r="AQ297" s="3309"/>
      <c r="AR297" s="3309"/>
      <c r="AS297" s="3309"/>
      <c r="AT297" s="3309"/>
      <c r="AU297" s="3309"/>
      <c r="AV297" s="3309"/>
      <c r="AW297" s="3309"/>
      <c r="AX297" s="3309"/>
      <c r="AY297" s="3309">
        <f t="shared" ref="AY297:BG297" ca="1" si="82">MAX(0,AY30)+MAX(0,AY35)+MAX(0,AY37)+MAX(0,AY41)+MAX(0,AY44)+AY23</f>
        <v>141.08644019211934</v>
      </c>
      <c r="AZ297" s="3309">
        <f t="shared" ca="1" si="82"/>
        <v>133.23780810450447</v>
      </c>
      <c r="BA297" s="3309">
        <f t="shared" ca="1" si="82"/>
        <v>83.503334851584953</v>
      </c>
      <c r="BB297" s="3309">
        <f t="shared" ca="1" si="82"/>
        <v>93.948307573155688</v>
      </c>
      <c r="BC297" s="3309">
        <f t="shared" ca="1" si="82"/>
        <v>109.99860552527761</v>
      </c>
      <c r="BD297" s="3309">
        <f t="shared" ca="1" si="82"/>
        <v>115.05911332890804</v>
      </c>
      <c r="BE297" s="3309">
        <f t="shared" ca="1" si="82"/>
        <v>124.60185313972201</v>
      </c>
      <c r="BF297" s="3309">
        <f t="shared" ca="1" si="82"/>
        <v>134.55313699297884</v>
      </c>
      <c r="BG297" s="3309">
        <f t="shared" ca="1" si="82"/>
        <v>145.06684864281758</v>
      </c>
      <c r="BH297" s="3309"/>
      <c r="BJ297" s="3303"/>
      <c r="BK297" s="3304"/>
      <c r="BL297" s="3304"/>
      <c r="BM297" s="3304"/>
      <c r="BN297" s="3309"/>
      <c r="BO297" s="3309"/>
      <c r="BP297" s="3309"/>
      <c r="BQ297" s="3309"/>
      <c r="BR297" s="3309"/>
      <c r="BS297" s="3309"/>
      <c r="BT297" s="3309"/>
      <c r="BU297" s="3309"/>
    </row>
    <row r="298" spans="1:73">
      <c r="A298" s="39"/>
      <c r="B298" s="3303"/>
      <c r="C298" s="3304"/>
      <c r="D298" s="4005" t="s">
        <v>2637</v>
      </c>
      <c r="E298" s="3304"/>
      <c r="F298" s="3309"/>
      <c r="G298" s="3309"/>
      <c r="H298" s="3309"/>
      <c r="I298" s="3309"/>
      <c r="J298" s="3309"/>
      <c r="K298" s="3309"/>
      <c r="L298" s="3309"/>
      <c r="M298" s="3309"/>
      <c r="N298" s="3309"/>
      <c r="O298" s="3309"/>
      <c r="P298" s="3309"/>
      <c r="Q298" s="3309"/>
      <c r="R298" s="3309"/>
      <c r="S298" s="3309"/>
      <c r="T298" s="3309"/>
      <c r="U298" s="3309"/>
      <c r="V298" s="3309"/>
      <c r="W298" s="3309"/>
      <c r="X298" s="3309"/>
      <c r="Y298" s="3309"/>
      <c r="Z298" s="3309"/>
      <c r="AA298" s="3309"/>
      <c r="AB298" s="3309"/>
      <c r="AC298" s="3309"/>
      <c r="AD298" s="3309"/>
      <c r="AE298" s="3309"/>
      <c r="AF298" s="3309"/>
      <c r="AG298" s="3309"/>
      <c r="AH298" s="3309"/>
      <c r="AI298" s="3309"/>
      <c r="AJ298" s="3309"/>
      <c r="AK298" s="3309"/>
      <c r="AL298" s="3309"/>
      <c r="AM298" s="3309"/>
      <c r="AN298" s="3309"/>
      <c r="AO298" s="3309"/>
      <c r="AP298" s="3309"/>
      <c r="AQ298" s="3309"/>
      <c r="AR298" s="3309"/>
      <c r="AS298" s="3309"/>
      <c r="AT298" s="3309"/>
      <c r="AU298" s="3309"/>
      <c r="AV298" s="3309"/>
      <c r="AW298" s="3309"/>
      <c r="AX298" s="3309"/>
      <c r="AY298" s="4004">
        <f ca="1">AY297/AY296</f>
        <v>0.90461665339694408</v>
      </c>
      <c r="AZ298" s="4004">
        <f t="shared" ref="AZ298:BG298" ca="1" si="83">AZ297/AZ296</f>
        <v>0.86761094072405598</v>
      </c>
      <c r="BA298" s="4004">
        <f t="shared" ca="1" si="83"/>
        <v>0.56430689248347865</v>
      </c>
      <c r="BB298" s="4004">
        <f t="shared" ca="1" si="83"/>
        <v>0.67446873120589235</v>
      </c>
      <c r="BC298" s="4004">
        <f t="shared" ca="1" si="83"/>
        <v>0.73265106354192666</v>
      </c>
      <c r="BD298" s="4004">
        <f t="shared" ca="1" si="83"/>
        <v>0.68141181811309925</v>
      </c>
      <c r="BE298" s="4004">
        <f t="shared" ca="1" si="83"/>
        <v>0.69100253970489411</v>
      </c>
      <c r="BF298" s="4004">
        <f t="shared" ca="1" si="83"/>
        <v>0.70608270774644377</v>
      </c>
      <c r="BG298" s="4004">
        <f t="shared" ca="1" si="83"/>
        <v>0.72366458996332894</v>
      </c>
      <c r="BH298" s="3310"/>
      <c r="BJ298" s="3303"/>
      <c r="BK298" s="3304"/>
      <c r="BL298" s="3304"/>
      <c r="BM298" s="3304"/>
      <c r="BN298" s="3309"/>
      <c r="BO298" s="3309"/>
      <c r="BP298" s="3309"/>
      <c r="BQ298" s="3309"/>
      <c r="BR298" s="3309"/>
      <c r="BS298" s="3309"/>
      <c r="BT298" s="3309"/>
      <c r="BU298" s="3309"/>
    </row>
    <row r="299" spans="1:73">
      <c r="A299" s="39"/>
      <c r="B299" s="3303"/>
      <c r="C299" s="3304"/>
      <c r="D299" s="3304" t="s">
        <v>2638</v>
      </c>
      <c r="E299" s="3304"/>
      <c r="F299" s="3309">
        <f>F18+F52+F53</f>
        <v>151.90089091113032</v>
      </c>
      <c r="G299" s="3309"/>
      <c r="H299" s="3309"/>
      <c r="I299" s="3309"/>
      <c r="J299" s="3309"/>
      <c r="K299" s="3309"/>
      <c r="L299" s="3309"/>
      <c r="M299" s="3309"/>
      <c r="N299" s="3309"/>
      <c r="O299" s="3309"/>
      <c r="P299" s="3309"/>
      <c r="Q299" s="3309"/>
      <c r="R299" s="3309"/>
      <c r="S299" s="3309"/>
      <c r="T299" s="3309"/>
      <c r="U299" s="3309"/>
      <c r="V299" s="3309"/>
      <c r="W299" s="3309"/>
      <c r="X299" s="3309"/>
      <c r="Y299" s="3309"/>
      <c r="Z299" s="3309"/>
      <c r="AA299" s="3309"/>
      <c r="AB299" s="3309"/>
      <c r="AC299" s="3309"/>
      <c r="AD299" s="3309"/>
      <c r="AE299" s="3309"/>
      <c r="AF299" s="3309"/>
      <c r="AG299" s="3309"/>
      <c r="AH299" s="3309"/>
      <c r="AI299" s="3309"/>
      <c r="AJ299" s="3309"/>
      <c r="AK299" s="3309"/>
      <c r="AL299" s="3309"/>
      <c r="AM299" s="3309"/>
      <c r="AN299" s="3309"/>
      <c r="AO299" s="3309"/>
      <c r="AP299" s="3309"/>
      <c r="AQ299" s="3309"/>
      <c r="AR299" s="3309"/>
      <c r="AS299" s="3309"/>
      <c r="AT299" s="3309"/>
      <c r="AU299" s="3309"/>
      <c r="AV299" s="3309"/>
      <c r="AW299" s="3309"/>
      <c r="AX299" s="3309"/>
      <c r="AY299" s="3309">
        <f t="shared" ref="AY299:BG299" ca="1" si="84">AY18+AY52+AY53</f>
        <v>155.96278166904136</v>
      </c>
      <c r="AZ299" s="3309">
        <f t="shared" ca="1" si="84"/>
        <v>153.5686122091916</v>
      </c>
      <c r="BA299" s="3309">
        <f t="shared" ca="1" si="84"/>
        <v>147.97503975911422</v>
      </c>
      <c r="BB299" s="3309">
        <f t="shared" ca="1" si="84"/>
        <v>139.29230997141136</v>
      </c>
      <c r="BC299" s="3309">
        <f t="shared" ca="1" si="84"/>
        <v>150.13778266929015</v>
      </c>
      <c r="BD299" s="3309">
        <f t="shared" ca="1" si="84"/>
        <v>168.85400465417126</v>
      </c>
      <c r="BE299" s="3309">
        <f t="shared" ca="1" si="84"/>
        <v>180.32039823317524</v>
      </c>
      <c r="BF299" s="3309">
        <f t="shared" ca="1" si="84"/>
        <v>190.56285547966885</v>
      </c>
      <c r="BG299" s="3309">
        <f t="shared" ca="1" si="84"/>
        <v>200.46144395453794</v>
      </c>
      <c r="BH299" s="3309"/>
      <c r="BJ299" s="3303"/>
      <c r="BK299" s="3304"/>
      <c r="BL299" s="3304"/>
      <c r="BM299" s="3304"/>
      <c r="BN299" s="3309"/>
      <c r="BO299" s="3309"/>
      <c r="BP299" s="3309"/>
      <c r="BQ299" s="3309"/>
      <c r="BR299" s="3309"/>
      <c r="BS299" s="3309"/>
      <c r="BT299" s="3309"/>
      <c r="BU299" s="3309"/>
    </row>
    <row r="300" spans="1:73">
      <c r="A300" s="39"/>
      <c r="B300" s="3303"/>
      <c r="C300" s="3304"/>
      <c r="D300" s="3304"/>
      <c r="E300" s="3304"/>
      <c r="F300" s="3309"/>
      <c r="G300" s="3309"/>
      <c r="H300" s="3309"/>
      <c r="I300" s="3309"/>
      <c r="J300" s="3309"/>
      <c r="K300" s="3309"/>
      <c r="L300" s="3309"/>
      <c r="M300" s="3309"/>
      <c r="N300" s="3309"/>
      <c r="O300" s="3309"/>
      <c r="P300" s="3309"/>
      <c r="Q300" s="3309"/>
      <c r="R300" s="3309"/>
      <c r="S300" s="3309"/>
      <c r="T300" s="3309"/>
      <c r="U300" s="3309"/>
      <c r="V300" s="3309"/>
      <c r="W300" s="3309"/>
      <c r="X300" s="3309"/>
      <c r="Y300" s="3309"/>
      <c r="Z300" s="3309"/>
      <c r="AA300" s="3309"/>
      <c r="AB300" s="3309"/>
      <c r="AC300" s="3309"/>
      <c r="AD300" s="3309"/>
      <c r="AE300" s="3309"/>
      <c r="AF300" s="3309"/>
      <c r="AG300" s="3309"/>
      <c r="AH300" s="3309"/>
      <c r="AI300" s="3309"/>
      <c r="AJ300" s="3309"/>
      <c r="AK300" s="3309"/>
      <c r="AL300" s="3309"/>
      <c r="AM300" s="3309"/>
      <c r="AN300" s="3309"/>
      <c r="AO300" s="3309"/>
      <c r="AP300" s="3309"/>
      <c r="AQ300" s="3309"/>
      <c r="AR300" s="3309"/>
      <c r="AS300" s="3309"/>
      <c r="AT300" s="3309"/>
      <c r="AU300" s="3309"/>
      <c r="AV300" s="3309"/>
      <c r="AW300" s="3309"/>
      <c r="AX300" s="3309"/>
      <c r="AY300" s="3309"/>
      <c r="AZ300" s="3309"/>
      <c r="BA300" s="3309"/>
      <c r="BB300" s="3309"/>
      <c r="BC300" s="3309"/>
      <c r="BD300" s="3309"/>
      <c r="BE300" s="3309"/>
      <c r="BF300" s="3309"/>
      <c r="BG300" s="3309"/>
      <c r="BH300" s="3306"/>
      <c r="BJ300" s="3303"/>
      <c r="BK300" s="3304"/>
      <c r="BL300" s="3304"/>
      <c r="BM300" s="3304"/>
      <c r="BN300" s="3309"/>
      <c r="BO300" s="3309"/>
      <c r="BP300" s="3309"/>
      <c r="BQ300" s="3309"/>
      <c r="BR300" s="3309"/>
      <c r="BS300" s="3309"/>
      <c r="BT300" s="3309"/>
      <c r="BU300" s="3309"/>
    </row>
    <row r="301" spans="1:73">
      <c r="A301" s="39"/>
      <c r="F301" s="723"/>
      <c r="G301" s="723"/>
      <c r="H301" s="723"/>
      <c r="I301" s="723"/>
      <c r="J301" s="723"/>
      <c r="K301" s="723"/>
      <c r="L301" s="723"/>
      <c r="M301" s="723"/>
      <c r="N301" s="723"/>
      <c r="O301" s="723"/>
      <c r="P301" s="723"/>
      <c r="Q301" s="723"/>
      <c r="R301" s="723"/>
      <c r="S301" s="723"/>
      <c r="T301" s="723"/>
      <c r="U301" s="723"/>
      <c r="V301" s="723"/>
      <c r="W301" s="723"/>
      <c r="X301" s="723"/>
      <c r="Y301" s="723"/>
      <c r="Z301" s="723"/>
      <c r="AA301" s="723"/>
      <c r="AB301" s="723"/>
      <c r="AC301" s="723"/>
      <c r="AD301" s="723"/>
      <c r="AE301" s="723"/>
      <c r="AF301" s="723"/>
      <c r="AG301" s="723"/>
      <c r="AH301" s="723"/>
      <c r="AI301" s="723"/>
      <c r="AJ301" s="723"/>
      <c r="AK301" s="723"/>
      <c r="AL301" s="723"/>
      <c r="AM301" s="723"/>
      <c r="AN301" s="723"/>
      <c r="AO301" s="723"/>
      <c r="AP301" s="723"/>
      <c r="AQ301" s="723"/>
      <c r="AR301" s="723"/>
      <c r="AS301" s="723"/>
      <c r="AT301" s="723"/>
      <c r="AU301" s="723"/>
      <c r="AV301" s="723"/>
      <c r="AW301" s="723"/>
      <c r="AX301" s="723"/>
      <c r="AY301" s="723"/>
      <c r="AZ301" s="723"/>
      <c r="BA301" s="723"/>
      <c r="BB301" s="723"/>
      <c r="BC301" s="723"/>
      <c r="BD301" s="723"/>
      <c r="BE301" s="723"/>
      <c r="BF301" s="723"/>
      <c r="BG301" s="723"/>
      <c r="BJ301" s="3983"/>
      <c r="BK301" s="3983"/>
      <c r="BL301" s="3983"/>
      <c r="BM301" s="3983"/>
      <c r="BN301" s="723"/>
      <c r="BO301" s="723"/>
      <c r="BP301" s="723"/>
      <c r="BQ301" s="723"/>
      <c r="BR301" s="723"/>
      <c r="BS301" s="723"/>
      <c r="BT301" s="723"/>
      <c r="BU301" s="723"/>
    </row>
    <row r="302" spans="1:73" ht="15.75">
      <c r="A302" s="39"/>
      <c r="B302" s="3295" t="s">
        <v>2639</v>
      </c>
      <c r="C302" s="3296"/>
      <c r="D302" s="3296"/>
      <c r="E302" s="3296"/>
      <c r="F302" s="3296"/>
      <c r="G302" s="3296"/>
      <c r="H302" s="3296"/>
      <c r="I302" s="3296"/>
      <c r="J302" s="3296"/>
      <c r="K302" s="3296"/>
      <c r="L302" s="3296"/>
      <c r="M302" s="3296"/>
      <c r="N302" s="3296"/>
      <c r="O302" s="3296"/>
      <c r="P302" s="3296"/>
      <c r="Q302" s="3296"/>
      <c r="R302" s="3296"/>
      <c r="S302" s="3296"/>
      <c r="T302" s="3296"/>
      <c r="U302" s="3296"/>
      <c r="V302" s="3296"/>
      <c r="W302" s="3296"/>
      <c r="X302" s="3296"/>
      <c r="Y302" s="3296"/>
      <c r="Z302" s="3296"/>
      <c r="AA302" s="3296"/>
      <c r="AB302" s="3296"/>
      <c r="AC302" s="3296"/>
      <c r="AD302" s="3296"/>
      <c r="AE302" s="3296"/>
      <c r="AF302" s="3296"/>
      <c r="AG302" s="3296"/>
      <c r="AH302" s="3296"/>
      <c r="AI302" s="3296"/>
      <c r="AJ302" s="3296"/>
      <c r="AK302" s="3296"/>
      <c r="AL302" s="3296"/>
      <c r="AM302" s="3296"/>
      <c r="AN302" s="3296"/>
      <c r="AO302" s="3296"/>
      <c r="AP302" s="3296"/>
      <c r="AQ302" s="3296"/>
      <c r="AR302" s="3296"/>
      <c r="AS302" s="3296"/>
      <c r="AT302" s="3296"/>
      <c r="AU302" s="3296"/>
      <c r="AV302" s="3296"/>
      <c r="AW302" s="3296"/>
      <c r="AX302" s="3296"/>
      <c r="AY302" s="3297"/>
      <c r="AZ302" s="3297"/>
      <c r="BA302" s="3297"/>
      <c r="BB302" s="3297"/>
      <c r="BC302" s="3297"/>
      <c r="BD302" s="3297"/>
      <c r="BE302" s="3297"/>
      <c r="BF302" s="3297"/>
      <c r="BG302" s="3297"/>
      <c r="BH302" s="3298"/>
      <c r="BJ302" s="3295"/>
      <c r="BK302" s="3296"/>
      <c r="BL302" s="3296"/>
      <c r="BM302" s="3296"/>
      <c r="BN302" s="3296"/>
      <c r="BO302" s="3296"/>
      <c r="BP302" s="3296"/>
      <c r="BQ302" s="3296"/>
      <c r="BR302" s="3296"/>
      <c r="BS302" s="3296"/>
      <c r="BT302" s="3296"/>
      <c r="BU302" s="3296"/>
    </row>
    <row r="303" spans="1:73" ht="15.75">
      <c r="A303" s="39"/>
      <c r="B303" s="3299"/>
      <c r="C303" s="3300"/>
      <c r="D303" s="3300"/>
      <c r="E303" s="3300"/>
      <c r="F303" s="3300"/>
      <c r="G303" s="3300"/>
      <c r="H303" s="3300"/>
      <c r="I303" s="3300"/>
      <c r="J303" s="3300"/>
      <c r="K303" s="3300"/>
      <c r="L303" s="3300"/>
      <c r="M303" s="3300"/>
      <c r="N303" s="3300"/>
      <c r="O303" s="3300"/>
      <c r="P303" s="3300"/>
      <c r="Q303" s="3300"/>
      <c r="R303" s="3300"/>
      <c r="S303" s="3300"/>
      <c r="T303" s="3300"/>
      <c r="U303" s="3300"/>
      <c r="V303" s="3300"/>
      <c r="W303" s="3300"/>
      <c r="X303" s="3300"/>
      <c r="Y303" s="3300"/>
      <c r="Z303" s="3300"/>
      <c r="AA303" s="3300"/>
      <c r="AB303" s="3300"/>
      <c r="AC303" s="3300"/>
      <c r="AD303" s="3300"/>
      <c r="AE303" s="3300"/>
      <c r="AF303" s="3300"/>
      <c r="AG303" s="3300"/>
      <c r="AH303" s="3300"/>
      <c r="AI303" s="3300"/>
      <c r="AJ303" s="3300"/>
      <c r="AK303" s="3300"/>
      <c r="AL303" s="3300"/>
      <c r="AM303" s="3300"/>
      <c r="AN303" s="3300"/>
      <c r="AO303" s="3300"/>
      <c r="AP303" s="3300"/>
      <c r="AQ303" s="3300"/>
      <c r="AR303" s="3300"/>
      <c r="AS303" s="3300"/>
      <c r="AT303" s="3300"/>
      <c r="AU303" s="3300"/>
      <c r="AV303" s="3300"/>
      <c r="AW303" s="3300"/>
      <c r="AX303" s="3300"/>
      <c r="AY303" s="3301"/>
      <c r="AZ303" s="3301"/>
      <c r="BA303" s="3301"/>
      <c r="BB303" s="3301"/>
      <c r="BC303" s="3301"/>
      <c r="BD303" s="3301"/>
      <c r="BE303" s="3301"/>
      <c r="BF303" s="3301"/>
      <c r="BG303" s="3301"/>
      <c r="BH303" s="3302"/>
      <c r="BJ303" s="3299"/>
      <c r="BK303" s="3300"/>
      <c r="BL303" s="3300"/>
      <c r="BM303" s="3300"/>
      <c r="BN303" s="3300"/>
      <c r="BO303" s="3300"/>
      <c r="BP303" s="3300"/>
      <c r="BQ303" s="3300"/>
      <c r="BR303" s="3300"/>
      <c r="BS303" s="3300"/>
      <c r="BT303" s="3300"/>
      <c r="BU303" s="3300"/>
    </row>
    <row r="304" spans="1:73">
      <c r="A304" s="39"/>
      <c r="B304" s="3303"/>
      <c r="C304" s="3311" t="s">
        <v>96</v>
      </c>
      <c r="D304" s="3312"/>
      <c r="E304" s="3307"/>
      <c r="F304" s="3313"/>
      <c r="G304" s="3313"/>
      <c r="H304" s="3313"/>
      <c r="I304" s="3313"/>
      <c r="J304" s="3313"/>
      <c r="K304" s="3313"/>
      <c r="L304" s="3313"/>
      <c r="M304" s="3313"/>
      <c r="N304" s="3313"/>
      <c r="O304" s="3313"/>
      <c r="P304" s="3313"/>
      <c r="Q304" s="3313"/>
      <c r="R304" s="3313"/>
      <c r="S304" s="3313"/>
      <c r="T304" s="3313"/>
      <c r="U304" s="3313"/>
      <c r="V304" s="3313"/>
      <c r="W304" s="3313"/>
      <c r="X304" s="3313"/>
      <c r="Y304" s="3313"/>
      <c r="Z304" s="3313"/>
      <c r="AA304" s="3313"/>
      <c r="AB304" s="3313"/>
      <c r="AC304" s="3313"/>
      <c r="AD304" s="3313"/>
      <c r="AE304" s="3313"/>
      <c r="AF304" s="3313"/>
      <c r="AG304" s="3313"/>
      <c r="AH304" s="3313"/>
      <c r="AI304" s="3313"/>
      <c r="AJ304" s="3313"/>
      <c r="AK304" s="3313"/>
      <c r="AL304" s="3313"/>
      <c r="AM304" s="3313"/>
      <c r="AN304" s="3313"/>
      <c r="AO304" s="3313"/>
      <c r="AP304" s="3313"/>
      <c r="AQ304" s="3313"/>
      <c r="AR304" s="3313"/>
      <c r="AS304" s="3313"/>
      <c r="AT304" s="3313"/>
      <c r="AU304" s="3313"/>
      <c r="AV304" s="3313"/>
      <c r="AW304" s="3313"/>
      <c r="AX304" s="3313"/>
      <c r="AY304" s="3313">
        <v>2013</v>
      </c>
      <c r="AZ304" s="3313">
        <v>2015</v>
      </c>
      <c r="BA304" s="3313">
        <v>2020</v>
      </c>
      <c r="BB304" s="3313">
        <v>2025</v>
      </c>
      <c r="BC304" s="3313">
        <v>2030</v>
      </c>
      <c r="BD304" s="3313">
        <v>2035</v>
      </c>
      <c r="BE304" s="3313">
        <v>2040</v>
      </c>
      <c r="BF304" s="3313">
        <v>2045</v>
      </c>
      <c r="BG304" s="3314">
        <v>2050</v>
      </c>
      <c r="BH304" s="3306" t="str">
        <f>Preferences.EnergyUnits</f>
        <v>TWh</v>
      </c>
      <c r="BJ304" s="3303"/>
      <c r="BK304" s="3311"/>
      <c r="BL304" s="3312"/>
      <c r="BM304" s="3307"/>
      <c r="BN304" s="3313"/>
      <c r="BO304" s="3313"/>
      <c r="BP304" s="3313"/>
      <c r="BQ304" s="3313"/>
      <c r="BR304" s="3313"/>
      <c r="BS304" s="3313"/>
      <c r="BT304" s="3313"/>
      <c r="BU304" s="3313"/>
    </row>
    <row r="305" spans="1:73">
      <c r="A305" s="39"/>
      <c r="B305" s="3303"/>
      <c r="C305" s="3307"/>
      <c r="D305" s="3304"/>
      <c r="E305" s="3304"/>
      <c r="F305" s="3305"/>
      <c r="G305" s="3305"/>
      <c r="H305" s="3305"/>
      <c r="I305" s="3305"/>
      <c r="J305" s="3305"/>
      <c r="K305" s="3305"/>
      <c r="L305" s="3305"/>
      <c r="M305" s="3305"/>
      <c r="N305" s="3305"/>
      <c r="O305" s="3305"/>
      <c r="P305" s="3305"/>
      <c r="Q305" s="3305"/>
      <c r="R305" s="3305"/>
      <c r="S305" s="3305"/>
      <c r="T305" s="3305"/>
      <c r="U305" s="3305"/>
      <c r="V305" s="3305"/>
      <c r="W305" s="3305"/>
      <c r="X305" s="3305"/>
      <c r="Y305" s="3305"/>
      <c r="Z305" s="3305"/>
      <c r="AA305" s="3305"/>
      <c r="AB305" s="3305"/>
      <c r="AC305" s="3305"/>
      <c r="AD305" s="3305"/>
      <c r="AE305" s="3305"/>
      <c r="AF305" s="3305"/>
      <c r="AG305" s="3305"/>
      <c r="AH305" s="3305"/>
      <c r="AI305" s="3305"/>
      <c r="AJ305" s="3305"/>
      <c r="AK305" s="3305"/>
      <c r="AL305" s="3305"/>
      <c r="AM305" s="3305"/>
      <c r="AN305" s="3305"/>
      <c r="AO305" s="3305"/>
      <c r="AP305" s="3305"/>
      <c r="AQ305" s="3305"/>
      <c r="AR305" s="3305"/>
      <c r="AS305" s="3305"/>
      <c r="AT305" s="3305"/>
      <c r="AU305" s="3305"/>
      <c r="AV305" s="3305"/>
      <c r="AW305" s="3305"/>
      <c r="AX305" s="3305"/>
      <c r="AY305" s="3305"/>
      <c r="AZ305" s="3305"/>
      <c r="BA305" s="3305"/>
      <c r="BB305" s="3305"/>
      <c r="BC305" s="3305"/>
      <c r="BD305" s="3305"/>
      <c r="BE305" s="3305"/>
      <c r="BF305" s="3305"/>
      <c r="BG305" s="3305"/>
      <c r="BH305" s="3306"/>
      <c r="BJ305" s="3303"/>
      <c r="BK305" s="3307"/>
      <c r="BL305" s="3304"/>
      <c r="BM305" s="3304"/>
      <c r="BN305" s="3305"/>
      <c r="BO305" s="3305"/>
      <c r="BP305" s="3305"/>
      <c r="BQ305" s="3305"/>
      <c r="BR305" s="3305"/>
      <c r="BS305" s="3305"/>
      <c r="BT305" s="3305"/>
      <c r="BU305" s="3305"/>
    </row>
    <row r="306" spans="1:73">
      <c r="A306" s="39"/>
      <c r="B306" s="3303"/>
      <c r="C306" s="3315" t="s">
        <v>502</v>
      </c>
      <c r="D306" s="3315" t="s">
        <v>503</v>
      </c>
      <c r="E306" s="3316"/>
      <c r="F306" s="3317"/>
      <c r="G306" s="3317"/>
      <c r="H306" s="3317"/>
      <c r="I306" s="3317"/>
      <c r="J306" s="3317"/>
      <c r="K306" s="3317"/>
      <c r="L306" s="3317"/>
      <c r="M306" s="3317"/>
      <c r="N306" s="3317"/>
      <c r="O306" s="3317"/>
      <c r="P306" s="3317"/>
      <c r="Q306" s="3317"/>
      <c r="R306" s="3317"/>
      <c r="S306" s="3317"/>
      <c r="T306" s="3317"/>
      <c r="U306" s="3317"/>
      <c r="V306" s="3317"/>
      <c r="W306" s="3317"/>
      <c r="X306" s="3317"/>
      <c r="Y306" s="3317"/>
      <c r="Z306" s="3317"/>
      <c r="AA306" s="3317"/>
      <c r="AB306" s="3317"/>
      <c r="AC306" s="3317"/>
      <c r="AD306" s="3317"/>
      <c r="AE306" s="3317"/>
      <c r="AF306" s="3317"/>
      <c r="AG306" s="3317"/>
      <c r="AH306" s="3317"/>
      <c r="AI306" s="3317"/>
      <c r="AJ306" s="3317"/>
      <c r="AK306" s="3317"/>
      <c r="AL306" s="3317"/>
      <c r="AM306" s="3317"/>
      <c r="AN306" s="3317"/>
      <c r="AO306" s="3317"/>
      <c r="AP306" s="3317"/>
      <c r="AQ306" s="3317"/>
      <c r="AR306" s="3317"/>
      <c r="AS306" s="3317"/>
      <c r="AT306" s="3317"/>
      <c r="AU306" s="3317"/>
      <c r="AV306" s="3317"/>
      <c r="AW306" s="3317"/>
      <c r="AX306" s="3316"/>
      <c r="AY306" s="3318">
        <f t="shared" ref="AY306:BG318" ca="1" si="85">-INDEX(INDIRECT($C306&amp;".Outputs["&amp;AY$304&amp;"]"),MATCH($C$304,INDIRECT($C306&amp;".Outputs[Vector]"),0))</f>
        <v>0</v>
      </c>
      <c r="AZ306" s="3318">
        <f t="shared" ca="1" si="85"/>
        <v>1.7733187096733852E-5</v>
      </c>
      <c r="BA306" s="3318">
        <f t="shared" ca="1" si="85"/>
        <v>6.9162652051603802E-4</v>
      </c>
      <c r="BB306" s="3318">
        <f t="shared" ca="1" si="85"/>
        <v>1.7037611386626409E-3</v>
      </c>
      <c r="BC306" s="3318">
        <f t="shared" ca="1" si="85"/>
        <v>5.5554276646316691E-3</v>
      </c>
      <c r="BD306" s="3318">
        <f t="shared" ca="1" si="85"/>
        <v>1.1099896063998645E-2</v>
      </c>
      <c r="BE306" s="3318">
        <f t="shared" ca="1" si="85"/>
        <v>1.9443774880473393E-2</v>
      </c>
      <c r="BF306" s="3318">
        <f t="shared" ca="1" si="85"/>
        <v>3.1021346596490303E-2</v>
      </c>
      <c r="BG306" s="3318">
        <f t="shared" ca="1" si="85"/>
        <v>4.1184243088541655E-2</v>
      </c>
      <c r="BH306" s="3306"/>
      <c r="BJ306" s="3303"/>
      <c r="BK306" s="3315"/>
      <c r="BL306" s="3315"/>
      <c r="BM306" s="3316"/>
      <c r="BN306" s="3317"/>
      <c r="BO306" s="3317"/>
      <c r="BP306" s="3317"/>
      <c r="BQ306" s="3317"/>
      <c r="BR306" s="3317"/>
      <c r="BS306" s="3317"/>
      <c r="BT306" s="3317"/>
      <c r="BU306" s="3317"/>
    </row>
    <row r="307" spans="1:73">
      <c r="A307" s="39"/>
      <c r="B307" s="3303"/>
      <c r="C307" s="3315" t="s">
        <v>510</v>
      </c>
      <c r="D307" s="3315" t="s">
        <v>511</v>
      </c>
      <c r="E307" s="3316"/>
      <c r="F307" s="3317"/>
      <c r="G307" s="3317"/>
      <c r="H307" s="3317"/>
      <c r="I307" s="3317"/>
      <c r="J307" s="3317"/>
      <c r="K307" s="3317"/>
      <c r="L307" s="3317"/>
      <c r="M307" s="3317"/>
      <c r="N307" s="3317"/>
      <c r="O307" s="3317"/>
      <c r="P307" s="3317"/>
      <c r="Q307" s="3317"/>
      <c r="R307" s="3317"/>
      <c r="S307" s="3317"/>
      <c r="T307" s="3317"/>
      <c r="U307" s="3317"/>
      <c r="V307" s="3317"/>
      <c r="W307" s="3317"/>
      <c r="X307" s="3317"/>
      <c r="Y307" s="3317"/>
      <c r="Z307" s="3317"/>
      <c r="AA307" s="3317"/>
      <c r="AB307" s="3317"/>
      <c r="AC307" s="3317"/>
      <c r="AD307" s="3317"/>
      <c r="AE307" s="3317"/>
      <c r="AF307" s="3317"/>
      <c r="AG307" s="3317"/>
      <c r="AH307" s="3317"/>
      <c r="AI307" s="3317"/>
      <c r="AJ307" s="3317"/>
      <c r="AK307" s="3317"/>
      <c r="AL307" s="3317"/>
      <c r="AM307" s="3317"/>
      <c r="AN307" s="3317"/>
      <c r="AO307" s="3317"/>
      <c r="AP307" s="3317"/>
      <c r="AQ307" s="3317"/>
      <c r="AR307" s="3317"/>
      <c r="AS307" s="3317"/>
      <c r="AT307" s="3317"/>
      <c r="AU307" s="3317"/>
      <c r="AV307" s="3317"/>
      <c r="AW307" s="3317"/>
      <c r="AX307" s="3316"/>
      <c r="AY307" s="3318">
        <f t="shared" ca="1" si="85"/>
        <v>0.54810000000000003</v>
      </c>
      <c r="AZ307" s="3318">
        <f t="shared" ca="1" si="85"/>
        <v>0.55057749288570401</v>
      </c>
      <c r="BA307" s="3318">
        <f t="shared" ca="1" si="85"/>
        <v>0.55698168734508124</v>
      </c>
      <c r="BB307" s="3318">
        <f t="shared" ca="1" si="85"/>
        <v>0.56367940163241814</v>
      </c>
      <c r="BC307" s="3318">
        <f t="shared" ca="1" si="85"/>
        <v>0.57066193518791219</v>
      </c>
      <c r="BD307" s="3318">
        <f t="shared" ca="1" si="85"/>
        <v>0.57792084535509036</v>
      </c>
      <c r="BE307" s="3318">
        <f t="shared" ca="1" si="85"/>
        <v>0.58544793973599496</v>
      </c>
      <c r="BF307" s="3318">
        <f t="shared" ca="1" si="85"/>
        <v>0.5932352687729916</v>
      </c>
      <c r="BG307" s="3318">
        <f t="shared" ca="1" si="85"/>
        <v>0.60127511855044857</v>
      </c>
      <c r="BH307" s="3306"/>
      <c r="BJ307" s="3303"/>
      <c r="BK307" s="3315"/>
      <c r="BL307" s="3315"/>
      <c r="BM307" s="3316"/>
      <c r="BN307" s="3317"/>
      <c r="BO307" s="3317"/>
      <c r="BP307" s="3317"/>
      <c r="BQ307" s="3317"/>
      <c r="BR307" s="3317"/>
      <c r="BS307" s="3317"/>
      <c r="BT307" s="3317"/>
      <c r="BU307" s="3317"/>
    </row>
    <row r="308" spans="1:73">
      <c r="A308" s="39"/>
      <c r="B308" s="3303"/>
      <c r="C308" s="3315" t="s">
        <v>25</v>
      </c>
      <c r="D308" s="3315" t="s">
        <v>26</v>
      </c>
      <c r="E308" s="3316"/>
      <c r="F308" s="3317"/>
      <c r="G308" s="3317"/>
      <c r="H308" s="3317"/>
      <c r="I308" s="3317"/>
      <c r="J308" s="3317"/>
      <c r="K308" s="3317"/>
      <c r="L308" s="3317"/>
      <c r="M308" s="3317"/>
      <c r="N308" s="3317"/>
      <c r="O308" s="3317"/>
      <c r="P308" s="3317"/>
      <c r="Q308" s="3317"/>
      <c r="R308" s="3317"/>
      <c r="S308" s="3317"/>
      <c r="T308" s="3317"/>
      <c r="U308" s="3317"/>
      <c r="V308" s="3317"/>
      <c r="W308" s="3317"/>
      <c r="X308" s="3317"/>
      <c r="Y308" s="3317"/>
      <c r="Z308" s="3317"/>
      <c r="AA308" s="3317"/>
      <c r="AB308" s="3317"/>
      <c r="AC308" s="3317"/>
      <c r="AD308" s="3317"/>
      <c r="AE308" s="3317"/>
      <c r="AF308" s="3317"/>
      <c r="AG308" s="3317"/>
      <c r="AH308" s="3317"/>
      <c r="AI308" s="3317"/>
      <c r="AJ308" s="3317"/>
      <c r="AK308" s="3317"/>
      <c r="AL308" s="3317"/>
      <c r="AM308" s="3317"/>
      <c r="AN308" s="3317"/>
      <c r="AO308" s="3317"/>
      <c r="AP308" s="3317"/>
      <c r="AQ308" s="3317"/>
      <c r="AR308" s="3317"/>
      <c r="AS308" s="3317"/>
      <c r="AT308" s="3317"/>
      <c r="AU308" s="3317"/>
      <c r="AV308" s="3317"/>
      <c r="AW308" s="3317"/>
      <c r="AX308" s="3316"/>
      <c r="AY308" s="3318">
        <f t="shared" ca="1" si="85"/>
        <v>2.9324919592134012E-3</v>
      </c>
      <c r="AZ308" s="3318">
        <f t="shared" ca="1" si="85"/>
        <v>2.1095706387860517E-2</v>
      </c>
      <c r="BA308" s="3318">
        <f t="shared" ca="1" si="85"/>
        <v>3.9854891688908684E-2</v>
      </c>
      <c r="BB308" s="3318">
        <f t="shared" ca="1" si="85"/>
        <v>6.285240016524217E-2</v>
      </c>
      <c r="BC308" s="3318">
        <f t="shared" ca="1" si="85"/>
        <v>0.10018562509687508</v>
      </c>
      <c r="BD308" s="3318">
        <f t="shared" ca="1" si="85"/>
        <v>0.13105649885872517</v>
      </c>
      <c r="BE308" s="3318">
        <f t="shared" ca="1" si="85"/>
        <v>0.16462022452045666</v>
      </c>
      <c r="BF308" s="3318">
        <f t="shared" ca="1" si="85"/>
        <v>0.22923712817119068</v>
      </c>
      <c r="BG308" s="3318">
        <f t="shared" ca="1" si="85"/>
        <v>0.29936023735174733</v>
      </c>
      <c r="BH308" s="3306" t="s">
        <v>5</v>
      </c>
      <c r="BJ308" s="3303"/>
      <c r="BK308" s="3315"/>
      <c r="BL308" s="3315"/>
      <c r="BM308" s="3316"/>
      <c r="BN308" s="3317"/>
      <c r="BO308" s="3317"/>
      <c r="BP308" s="3317"/>
      <c r="BQ308" s="3317"/>
      <c r="BR308" s="3317"/>
      <c r="BS308" s="3317"/>
      <c r="BT308" s="3317"/>
      <c r="BU308" s="3317"/>
    </row>
    <row r="309" spans="1:73">
      <c r="A309" s="39"/>
      <c r="B309" s="3303"/>
      <c r="C309" s="3315" t="s">
        <v>2</v>
      </c>
      <c r="D309" s="3315" t="s">
        <v>3</v>
      </c>
      <c r="E309" s="3316"/>
      <c r="F309" s="3317"/>
      <c r="G309" s="3317"/>
      <c r="H309" s="3317"/>
      <c r="I309" s="3317"/>
      <c r="J309" s="3317"/>
      <c r="K309" s="3317"/>
      <c r="L309" s="3317"/>
      <c r="M309" s="3317"/>
      <c r="N309" s="3317"/>
      <c r="O309" s="3317"/>
      <c r="P309" s="3317"/>
      <c r="Q309" s="3317"/>
      <c r="R309" s="3317"/>
      <c r="S309" s="3317"/>
      <c r="T309" s="3317"/>
      <c r="U309" s="3317"/>
      <c r="V309" s="3317"/>
      <c r="W309" s="3317"/>
      <c r="X309" s="3317"/>
      <c r="Y309" s="3317"/>
      <c r="Z309" s="3317"/>
      <c r="AA309" s="3317"/>
      <c r="AB309" s="3317"/>
      <c r="AC309" s="3317"/>
      <c r="AD309" s="3317"/>
      <c r="AE309" s="3317"/>
      <c r="AF309" s="3317"/>
      <c r="AG309" s="3317"/>
      <c r="AH309" s="3317"/>
      <c r="AI309" s="3317"/>
      <c r="AJ309" s="3317"/>
      <c r="AK309" s="3317"/>
      <c r="AL309" s="3317"/>
      <c r="AM309" s="3317"/>
      <c r="AN309" s="3317"/>
      <c r="AO309" s="3317"/>
      <c r="AP309" s="3317"/>
      <c r="AQ309" s="3317"/>
      <c r="AR309" s="3317"/>
      <c r="AS309" s="3317"/>
      <c r="AT309" s="3317"/>
      <c r="AU309" s="3317"/>
      <c r="AV309" s="3317"/>
      <c r="AW309" s="3317"/>
      <c r="AX309" s="3316"/>
      <c r="AY309" s="3318">
        <f t="shared" ca="1" si="85"/>
        <v>0.88256437808531207</v>
      </c>
      <c r="AZ309" s="3318">
        <f t="shared" ca="1" si="85"/>
        <v>1.4377484699588226</v>
      </c>
      <c r="BA309" s="3318">
        <f t="shared" ca="1" si="85"/>
        <v>1.460457822648747</v>
      </c>
      <c r="BB309" s="3318">
        <f t="shared" ca="1" si="85"/>
        <v>1.5751825966732684</v>
      </c>
      <c r="BC309" s="3318">
        <f t="shared" ca="1" si="85"/>
        <v>1.6558259787752996</v>
      </c>
      <c r="BD309" s="3318">
        <f t="shared" ca="1" si="85"/>
        <v>1.7495624120225663</v>
      </c>
      <c r="BE309" s="3318">
        <f t="shared" ca="1" si="85"/>
        <v>1.8492049246245645</v>
      </c>
      <c r="BF309" s="3318">
        <f t="shared" ca="1" si="85"/>
        <v>1.9266970572248459</v>
      </c>
      <c r="BG309" s="3318">
        <f t="shared" ca="1" si="85"/>
        <v>1.9961524440419962</v>
      </c>
      <c r="BH309" s="3306"/>
      <c r="BJ309" s="3303"/>
      <c r="BK309" s="3315"/>
      <c r="BL309" s="3315"/>
      <c r="BM309" s="3316"/>
      <c r="BN309" s="3317"/>
      <c r="BO309" s="3317"/>
      <c r="BP309" s="3317"/>
      <c r="BQ309" s="3317"/>
      <c r="BR309" s="3317"/>
      <c r="BS309" s="3317"/>
      <c r="BT309" s="3317"/>
      <c r="BU309" s="3317"/>
    </row>
    <row r="310" spans="1:73">
      <c r="A310" s="39"/>
      <c r="B310" s="3303"/>
      <c r="C310" s="3315" t="s">
        <v>465</v>
      </c>
      <c r="D310" s="3315" t="s">
        <v>466</v>
      </c>
      <c r="E310" s="3316"/>
      <c r="F310" s="3317"/>
      <c r="G310" s="3317"/>
      <c r="H310" s="3317"/>
      <c r="I310" s="3317"/>
      <c r="J310" s="3317"/>
      <c r="K310" s="3317"/>
      <c r="L310" s="3317"/>
      <c r="M310" s="3317"/>
      <c r="N310" s="3317"/>
      <c r="O310" s="3317"/>
      <c r="P310" s="3317"/>
      <c r="Q310" s="3317"/>
      <c r="R310" s="3317"/>
      <c r="S310" s="3317"/>
      <c r="T310" s="3317"/>
      <c r="U310" s="3317"/>
      <c r="V310" s="3317"/>
      <c r="W310" s="3317"/>
      <c r="X310" s="3317"/>
      <c r="Y310" s="3317"/>
      <c r="Z310" s="3317"/>
      <c r="AA310" s="3317"/>
      <c r="AB310" s="3317"/>
      <c r="AC310" s="3317"/>
      <c r="AD310" s="3317"/>
      <c r="AE310" s="3317"/>
      <c r="AF310" s="3317"/>
      <c r="AG310" s="3317"/>
      <c r="AH310" s="3317"/>
      <c r="AI310" s="3317"/>
      <c r="AJ310" s="3317"/>
      <c r="AK310" s="3317"/>
      <c r="AL310" s="3317"/>
      <c r="AM310" s="3317"/>
      <c r="AN310" s="3317"/>
      <c r="AO310" s="3317"/>
      <c r="AP310" s="3317"/>
      <c r="AQ310" s="3317"/>
      <c r="AR310" s="3317"/>
      <c r="AS310" s="3317"/>
      <c r="AT310" s="3317"/>
      <c r="AU310" s="3317"/>
      <c r="AV310" s="3317"/>
      <c r="AW310" s="3317"/>
      <c r="AX310" s="3316"/>
      <c r="AY310" s="3318">
        <f t="shared" ca="1" si="85"/>
        <v>3.3022499999999999</v>
      </c>
      <c r="AZ310" s="3318">
        <f t="shared" ca="1" si="85"/>
        <v>3.4672833333333331</v>
      </c>
      <c r="BA310" s="3318">
        <f t="shared" ca="1" si="85"/>
        <v>3.4631285714285713</v>
      </c>
      <c r="BB310" s="3318">
        <f t="shared" ca="1" si="85"/>
        <v>3.3169672619047619</v>
      </c>
      <c r="BC310" s="3318">
        <f t="shared" ca="1" si="85"/>
        <v>3.1235285714285705</v>
      </c>
      <c r="BD310" s="3318">
        <f t="shared" ca="1" si="85"/>
        <v>2.8828124999999996</v>
      </c>
      <c r="BE310" s="3318">
        <f t="shared" ca="1" si="85"/>
        <v>2.5948190476190471</v>
      </c>
      <c r="BF310" s="3318">
        <f t="shared" ca="1" si="85"/>
        <v>2.2595482142857137</v>
      </c>
      <c r="BG310" s="3318">
        <f t="shared" ca="1" si="85"/>
        <v>1.877</v>
      </c>
      <c r="BH310" s="3306"/>
      <c r="BJ310" s="3303"/>
      <c r="BK310" s="3315"/>
      <c r="BL310" s="3315"/>
      <c r="BM310" s="3316"/>
      <c r="BN310" s="3317"/>
      <c r="BO310" s="3317"/>
      <c r="BP310" s="3317"/>
      <c r="BQ310" s="3317"/>
      <c r="BR310" s="3317"/>
      <c r="BS310" s="3317"/>
      <c r="BT310" s="3317"/>
      <c r="BU310" s="3317"/>
    </row>
    <row r="311" spans="1:73">
      <c r="A311" s="39"/>
      <c r="B311" s="3303"/>
      <c r="C311" s="3315" t="s">
        <v>470</v>
      </c>
      <c r="D311" s="3315" t="s">
        <v>471</v>
      </c>
      <c r="E311" s="3316"/>
      <c r="F311" s="3317"/>
      <c r="G311" s="3317"/>
      <c r="H311" s="3317"/>
      <c r="I311" s="3317"/>
      <c r="J311" s="3317"/>
      <c r="K311" s="3317"/>
      <c r="L311" s="3317"/>
      <c r="M311" s="3317"/>
      <c r="N311" s="3317"/>
      <c r="O311" s="3317"/>
      <c r="P311" s="3317"/>
      <c r="Q311" s="3317"/>
      <c r="R311" s="3317"/>
      <c r="S311" s="3317"/>
      <c r="T311" s="3317"/>
      <c r="U311" s="3317"/>
      <c r="V311" s="3317"/>
      <c r="W311" s="3317"/>
      <c r="X311" s="3317"/>
      <c r="Y311" s="3317"/>
      <c r="Z311" s="3317"/>
      <c r="AA311" s="3317"/>
      <c r="AB311" s="3317"/>
      <c r="AC311" s="3317"/>
      <c r="AD311" s="3317"/>
      <c r="AE311" s="3317"/>
      <c r="AF311" s="3317"/>
      <c r="AG311" s="3317"/>
      <c r="AH311" s="3317"/>
      <c r="AI311" s="3317"/>
      <c r="AJ311" s="3317"/>
      <c r="AK311" s="3317"/>
      <c r="AL311" s="3317"/>
      <c r="AM311" s="3317"/>
      <c r="AN311" s="3317"/>
      <c r="AO311" s="3317"/>
      <c r="AP311" s="3317"/>
      <c r="AQ311" s="3317"/>
      <c r="AR311" s="3317"/>
      <c r="AS311" s="3317"/>
      <c r="AT311" s="3317"/>
      <c r="AU311" s="3317"/>
      <c r="AV311" s="3317"/>
      <c r="AW311" s="3317"/>
      <c r="AX311" s="3316"/>
      <c r="AY311" s="3318">
        <f t="shared" ca="1" si="85"/>
        <v>5.0505157520193107</v>
      </c>
      <c r="AZ311" s="3318">
        <f t="shared" ca="1" si="85"/>
        <v>5.0984970927343829</v>
      </c>
      <c r="BA311" s="3318">
        <f t="shared" ca="1" si="85"/>
        <v>5.260733820060393</v>
      </c>
      <c r="BB311" s="3318">
        <f t="shared" ca="1" si="85"/>
        <v>5.4342724758055327</v>
      </c>
      <c r="BC311" s="3318">
        <f t="shared" ca="1" si="85"/>
        <v>5.6170229262762756</v>
      </c>
      <c r="BD311" s="3318">
        <f t="shared" ca="1" si="85"/>
        <v>5.7917665756453065</v>
      </c>
      <c r="BE311" s="3318">
        <f t="shared" ca="1" si="85"/>
        <v>5.929434432399237</v>
      </c>
      <c r="BF311" s="3318">
        <f t="shared" ca="1" si="85"/>
        <v>6.0051027329882114</v>
      </c>
      <c r="BG311" s="3318">
        <f t="shared" ca="1" si="85"/>
        <v>6.0488605289299739</v>
      </c>
      <c r="BH311" s="3306"/>
      <c r="BJ311" s="3303"/>
      <c r="BK311" s="3315"/>
      <c r="BL311" s="3315"/>
      <c r="BM311" s="3316"/>
      <c r="BN311" s="3317"/>
      <c r="BO311" s="3317"/>
      <c r="BP311" s="3317"/>
      <c r="BQ311" s="3317"/>
      <c r="BR311" s="3317"/>
      <c r="BS311" s="3317"/>
      <c r="BT311" s="3317"/>
      <c r="BU311" s="3317"/>
    </row>
    <row r="312" spans="1:73">
      <c r="A312" s="39"/>
      <c r="B312" s="3303"/>
      <c r="C312" s="3315" t="s">
        <v>472</v>
      </c>
      <c r="D312" s="3315" t="s">
        <v>473</v>
      </c>
      <c r="E312" s="3316"/>
      <c r="F312" s="3317"/>
      <c r="G312" s="3317"/>
      <c r="H312" s="3317"/>
      <c r="I312" s="3317"/>
      <c r="J312" s="3317"/>
      <c r="K312" s="3317"/>
      <c r="L312" s="3317"/>
      <c r="M312" s="3317"/>
      <c r="N312" s="3317"/>
      <c r="O312" s="3317"/>
      <c r="P312" s="3317"/>
      <c r="Q312" s="3317"/>
      <c r="R312" s="3317"/>
      <c r="S312" s="3317"/>
      <c r="T312" s="3317"/>
      <c r="U312" s="3317"/>
      <c r="V312" s="3317"/>
      <c r="W312" s="3317"/>
      <c r="X312" s="3317"/>
      <c r="Y312" s="3317"/>
      <c r="Z312" s="3317"/>
      <c r="AA312" s="3317"/>
      <c r="AB312" s="3317"/>
      <c r="AC312" s="3317"/>
      <c r="AD312" s="3317"/>
      <c r="AE312" s="3317"/>
      <c r="AF312" s="3317"/>
      <c r="AG312" s="3317"/>
      <c r="AH312" s="3317"/>
      <c r="AI312" s="3317"/>
      <c r="AJ312" s="3317"/>
      <c r="AK312" s="3317"/>
      <c r="AL312" s="3317"/>
      <c r="AM312" s="3317"/>
      <c r="AN312" s="3317"/>
      <c r="AO312" s="3317"/>
      <c r="AP312" s="3317"/>
      <c r="AQ312" s="3317"/>
      <c r="AR312" s="3317"/>
      <c r="AS312" s="3317"/>
      <c r="AT312" s="3317"/>
      <c r="AU312" s="3317"/>
      <c r="AV312" s="3317"/>
      <c r="AW312" s="3317"/>
      <c r="AX312" s="3316"/>
      <c r="AY312" s="3318">
        <f t="shared" ca="1" si="85"/>
        <v>4.0419999999999998</v>
      </c>
      <c r="AZ312" s="3318">
        <f t="shared" ca="1" si="85"/>
        <v>4.0781081081081041</v>
      </c>
      <c r="BA312" s="3318">
        <f t="shared" ca="1" si="85"/>
        <v>4.1683783783783737</v>
      </c>
      <c r="BB312" s="3318">
        <f t="shared" ca="1" si="85"/>
        <v>4.2586486486486441</v>
      </c>
      <c r="BC312" s="3318">
        <f t="shared" ca="1" si="85"/>
        <v>4.3489189189189137</v>
      </c>
      <c r="BD312" s="3318">
        <f t="shared" ca="1" si="85"/>
        <v>4.4391891891891904</v>
      </c>
      <c r="BE312" s="3318">
        <f t="shared" ca="1" si="85"/>
        <v>4.5294594594594599</v>
      </c>
      <c r="BF312" s="3318">
        <f t="shared" ca="1" si="85"/>
        <v>4.6197297297297304</v>
      </c>
      <c r="BG312" s="3318">
        <f t="shared" ca="1" si="85"/>
        <v>4.71</v>
      </c>
      <c r="BH312" s="3306"/>
      <c r="BJ312" s="3303"/>
      <c r="BK312" s="3315"/>
      <c r="BL312" s="3315"/>
      <c r="BM312" s="3316"/>
      <c r="BN312" s="3317"/>
      <c r="BO312" s="3317"/>
      <c r="BP312" s="3317"/>
      <c r="BQ312" s="3317"/>
      <c r="BR312" s="3317"/>
      <c r="BS312" s="3317"/>
      <c r="BT312" s="3317"/>
      <c r="BU312" s="3317"/>
    </row>
    <row r="313" spans="1:73">
      <c r="A313" s="39"/>
      <c r="B313" s="3303"/>
      <c r="C313" s="3315" t="s">
        <v>475</v>
      </c>
      <c r="D313" s="3315" t="s">
        <v>476</v>
      </c>
      <c r="E313" s="3316"/>
      <c r="F313" s="3317"/>
      <c r="G313" s="3317"/>
      <c r="H313" s="3317"/>
      <c r="I313" s="3317"/>
      <c r="J313" s="3317"/>
      <c r="K313" s="3317"/>
      <c r="L313" s="3317"/>
      <c r="M313" s="3317"/>
      <c r="N313" s="3317"/>
      <c r="O313" s="3317"/>
      <c r="P313" s="3317"/>
      <c r="Q313" s="3317"/>
      <c r="R313" s="3317"/>
      <c r="S313" s="3317"/>
      <c r="T313" s="3317"/>
      <c r="U313" s="3317"/>
      <c r="V313" s="3317"/>
      <c r="W313" s="3317"/>
      <c r="X313" s="3317"/>
      <c r="Y313" s="3317"/>
      <c r="Z313" s="3317"/>
      <c r="AA313" s="3317"/>
      <c r="AB313" s="3317"/>
      <c r="AC313" s="3317"/>
      <c r="AD313" s="3317"/>
      <c r="AE313" s="3317"/>
      <c r="AF313" s="3317"/>
      <c r="AG313" s="3317"/>
      <c r="AH313" s="3317"/>
      <c r="AI313" s="3317"/>
      <c r="AJ313" s="3317"/>
      <c r="AK313" s="3317"/>
      <c r="AL313" s="3317"/>
      <c r="AM313" s="3317"/>
      <c r="AN313" s="3317"/>
      <c r="AO313" s="3317"/>
      <c r="AP313" s="3317"/>
      <c r="AQ313" s="3317"/>
      <c r="AR313" s="3317"/>
      <c r="AS313" s="3317"/>
      <c r="AT313" s="3317"/>
      <c r="AU313" s="3317"/>
      <c r="AV313" s="3317"/>
      <c r="AW313" s="3317"/>
      <c r="AX313" s="3316"/>
      <c r="AY313" s="3318">
        <f t="shared" ca="1" si="85"/>
        <v>9.2899999999999991</v>
      </c>
      <c r="AZ313" s="3318">
        <f t="shared" ca="1" si="85"/>
        <v>9.3655945702523091</v>
      </c>
      <c r="BA313" s="3318">
        <f t="shared" ca="1" si="85"/>
        <v>9.5873506239776329</v>
      </c>
      <c r="BB313" s="3318">
        <f t="shared" ca="1" si="85"/>
        <v>9.8548945507949384</v>
      </c>
      <c r="BC313" s="3318">
        <f t="shared" ca="1" si="85"/>
        <v>10.167452419908624</v>
      </c>
      <c r="BD313" s="3318">
        <f t="shared" ca="1" si="85"/>
        <v>10.524820012535409</v>
      </c>
      <c r="BE313" s="3318">
        <f t="shared" ca="1" si="85"/>
        <v>10.927338917600434</v>
      </c>
      <c r="BF313" s="3318">
        <f t="shared" ca="1" si="85"/>
        <v>11.375881400615459</v>
      </c>
      <c r="BG313" s="3318">
        <f t="shared" ca="1" si="85"/>
        <v>11.871843568245758</v>
      </c>
      <c r="BH313" s="3306"/>
      <c r="BJ313" s="3303"/>
      <c r="BK313" s="3315"/>
      <c r="BL313" s="3315"/>
      <c r="BM313" s="3316"/>
      <c r="BN313" s="3317"/>
      <c r="BO313" s="3317"/>
      <c r="BP313" s="3317"/>
      <c r="BQ313" s="3317"/>
      <c r="BR313" s="3317"/>
      <c r="BS313" s="3317"/>
      <c r="BT313" s="3317"/>
      <c r="BU313" s="3317"/>
    </row>
    <row r="314" spans="1:73">
      <c r="A314" s="39"/>
      <c r="B314" s="3303"/>
      <c r="C314" s="3315" t="s">
        <v>478</v>
      </c>
      <c r="D314" s="3315" t="s">
        <v>479</v>
      </c>
      <c r="E314" s="3316"/>
      <c r="F314" s="3317"/>
      <c r="G314" s="3317"/>
      <c r="H314" s="3317"/>
      <c r="I314" s="3317"/>
      <c r="J314" s="3317"/>
      <c r="K314" s="3317"/>
      <c r="L314" s="3317"/>
      <c r="M314" s="3317"/>
      <c r="N314" s="3317"/>
      <c r="O314" s="3317"/>
      <c r="P314" s="3317"/>
      <c r="Q314" s="3317"/>
      <c r="R314" s="3317"/>
      <c r="S314" s="3317"/>
      <c r="T314" s="3317"/>
      <c r="U314" s="3317"/>
      <c r="V314" s="3317"/>
      <c r="W314" s="3317"/>
      <c r="X314" s="3317"/>
      <c r="Y314" s="3317"/>
      <c r="Z314" s="3317"/>
      <c r="AA314" s="3317"/>
      <c r="AB314" s="3317"/>
      <c r="AC314" s="3317"/>
      <c r="AD314" s="3317"/>
      <c r="AE314" s="3317"/>
      <c r="AF314" s="3317"/>
      <c r="AG314" s="3317"/>
      <c r="AH314" s="3317"/>
      <c r="AI314" s="3317"/>
      <c r="AJ314" s="3317"/>
      <c r="AK314" s="3317"/>
      <c r="AL314" s="3317"/>
      <c r="AM314" s="3317"/>
      <c r="AN314" s="3317"/>
      <c r="AO314" s="3317"/>
      <c r="AP314" s="3317"/>
      <c r="AQ314" s="3317"/>
      <c r="AR314" s="3317"/>
      <c r="AS314" s="3317"/>
      <c r="AT314" s="3317"/>
      <c r="AU314" s="3317"/>
      <c r="AV314" s="3317"/>
      <c r="AW314" s="3317"/>
      <c r="AX314" s="3316"/>
      <c r="AY314" s="3318">
        <f t="shared" ca="1" si="85"/>
        <v>6.2120497891874918E-2</v>
      </c>
      <c r="AZ314" s="3318">
        <f t="shared" ca="1" si="85"/>
        <v>5.7819311214212923E-2</v>
      </c>
      <c r="BA314" s="3318">
        <f t="shared" ca="1" si="85"/>
        <v>7.3891754277403451E-2</v>
      </c>
      <c r="BB314" s="3318">
        <f t="shared" ca="1" si="85"/>
        <v>8.9494609635553585E-2</v>
      </c>
      <c r="BC314" s="3988">
        <f t="shared" ca="1" si="85"/>
        <v>0.23216101436158487</v>
      </c>
      <c r="BD314" s="3988">
        <f t="shared" ca="1" si="85"/>
        <v>0.37760546384703331</v>
      </c>
      <c r="BE314" s="3988">
        <f t="shared" ca="1" si="85"/>
        <v>0.55189181444861812</v>
      </c>
      <c r="BF314" s="3988">
        <f t="shared" ca="1" si="85"/>
        <v>0.74511531550862542</v>
      </c>
      <c r="BG314" s="3988">
        <f t="shared" ca="1" si="85"/>
        <v>0.86275884221025234</v>
      </c>
      <c r="BH314" s="3306"/>
      <c r="BJ314" s="3303"/>
      <c r="BK314" s="3315"/>
      <c r="BL314" s="3315"/>
      <c r="BM314" s="3316"/>
      <c r="BN314" s="3317"/>
      <c r="BO314" s="3317"/>
      <c r="BP314" s="3317"/>
      <c r="BQ314" s="3317"/>
      <c r="BR314" s="3317"/>
      <c r="BS314" s="3317"/>
      <c r="BT314" s="3317"/>
      <c r="BU314" s="3317"/>
    </row>
    <row r="315" spans="1:73">
      <c r="A315" s="39"/>
      <c r="B315" s="3303"/>
      <c r="C315" s="3315" t="s">
        <v>480</v>
      </c>
      <c r="D315" s="3315" t="s">
        <v>481</v>
      </c>
      <c r="E315" s="3316"/>
      <c r="F315" s="3317"/>
      <c r="G315" s="3317"/>
      <c r="H315" s="3317"/>
      <c r="I315" s="3317"/>
      <c r="J315" s="3317"/>
      <c r="K315" s="3317"/>
      <c r="L315" s="3317"/>
      <c r="M315" s="3317"/>
      <c r="N315" s="3317"/>
      <c r="O315" s="3317"/>
      <c r="P315" s="3317"/>
      <c r="Q315" s="3317"/>
      <c r="R315" s="3317"/>
      <c r="S315" s="3317"/>
      <c r="T315" s="3317"/>
      <c r="U315" s="3317"/>
      <c r="V315" s="3317"/>
      <c r="W315" s="3317"/>
      <c r="X315" s="3317"/>
      <c r="Y315" s="3317"/>
      <c r="Z315" s="3317"/>
      <c r="AA315" s="3317"/>
      <c r="AB315" s="3317"/>
      <c r="AC315" s="3317"/>
      <c r="AD315" s="3317"/>
      <c r="AE315" s="3317"/>
      <c r="AF315" s="3317"/>
      <c r="AG315" s="3317"/>
      <c r="AH315" s="3317"/>
      <c r="AI315" s="3317"/>
      <c r="AJ315" s="3317"/>
      <c r="AK315" s="3317"/>
      <c r="AL315" s="3317"/>
      <c r="AM315" s="3317"/>
      <c r="AN315" s="3317"/>
      <c r="AO315" s="3317"/>
      <c r="AP315" s="3317"/>
      <c r="AQ315" s="3317"/>
      <c r="AR315" s="3317"/>
      <c r="AS315" s="3317"/>
      <c r="AT315" s="3317"/>
      <c r="AU315" s="3317"/>
      <c r="AV315" s="3317"/>
      <c r="AW315" s="3317"/>
      <c r="AX315" s="3316"/>
      <c r="AY315" s="3318">
        <f t="shared" ca="1" si="85"/>
        <v>0</v>
      </c>
      <c r="AZ315" s="3318">
        <f t="shared" ca="1" si="85"/>
        <v>0</v>
      </c>
      <c r="BA315" s="3318">
        <f t="shared" ca="1" si="85"/>
        <v>0</v>
      </c>
      <c r="BB315" s="3318">
        <f t="shared" ca="1" si="85"/>
        <v>0</v>
      </c>
      <c r="BC315" s="3318">
        <f t="shared" ca="1" si="85"/>
        <v>0</v>
      </c>
      <c r="BD315" s="3318">
        <f t="shared" ca="1" si="85"/>
        <v>0</v>
      </c>
      <c r="BE315" s="3318">
        <f t="shared" ca="1" si="85"/>
        <v>0</v>
      </c>
      <c r="BF315" s="3318">
        <f t="shared" ca="1" si="85"/>
        <v>0</v>
      </c>
      <c r="BG315" s="3318">
        <f t="shared" ca="1" si="85"/>
        <v>0</v>
      </c>
      <c r="BH315" s="3306"/>
      <c r="BJ315" s="3303"/>
      <c r="BK315" s="3315"/>
      <c r="BL315" s="3315"/>
      <c r="BM315" s="3316"/>
      <c r="BN315" s="3317"/>
      <c r="BO315" s="3317"/>
      <c r="BP315" s="3317"/>
      <c r="BQ315" s="3317"/>
      <c r="BR315" s="3317"/>
      <c r="BS315" s="3317"/>
      <c r="BT315" s="3317"/>
      <c r="BU315" s="3317"/>
    </row>
    <row r="316" spans="1:73">
      <c r="A316" s="39"/>
      <c r="B316" s="3303"/>
      <c r="C316" s="3315" t="s">
        <v>494</v>
      </c>
      <c r="D316" s="3315" t="s">
        <v>495</v>
      </c>
      <c r="E316" s="3316"/>
      <c r="F316" s="3317"/>
      <c r="G316" s="3317"/>
      <c r="H316" s="3317"/>
      <c r="I316" s="3317"/>
      <c r="J316" s="3317"/>
      <c r="K316" s="3317"/>
      <c r="L316" s="3317"/>
      <c r="M316" s="3317"/>
      <c r="N316" s="3317"/>
      <c r="O316" s="3317"/>
      <c r="P316" s="3317"/>
      <c r="Q316" s="3317"/>
      <c r="R316" s="3317"/>
      <c r="S316" s="3317"/>
      <c r="T316" s="3317"/>
      <c r="U316" s="3317"/>
      <c r="V316" s="3317"/>
      <c r="W316" s="3317"/>
      <c r="X316" s="3317"/>
      <c r="Y316" s="3317"/>
      <c r="Z316" s="3317"/>
      <c r="AA316" s="3317"/>
      <c r="AB316" s="3317"/>
      <c r="AC316" s="3317"/>
      <c r="AD316" s="3317"/>
      <c r="AE316" s="3317"/>
      <c r="AF316" s="3317"/>
      <c r="AG316" s="3317"/>
      <c r="AH316" s="3317"/>
      <c r="AI316" s="3317"/>
      <c r="AJ316" s="3317"/>
      <c r="AK316" s="3317"/>
      <c r="AL316" s="3317"/>
      <c r="AM316" s="3317"/>
      <c r="AN316" s="3317"/>
      <c r="AO316" s="3317"/>
      <c r="AP316" s="3317"/>
      <c r="AQ316" s="3317"/>
      <c r="AR316" s="3317"/>
      <c r="AS316" s="3317"/>
      <c r="AT316" s="3317"/>
      <c r="AU316" s="3317"/>
      <c r="AV316" s="3317"/>
      <c r="AW316" s="3317"/>
      <c r="AX316" s="3316"/>
      <c r="AY316" s="3318">
        <f t="shared" ca="1" si="85"/>
        <v>0</v>
      </c>
      <c r="AZ316" s="3318">
        <f t="shared" ca="1" si="85"/>
        <v>0</v>
      </c>
      <c r="BA316" s="3318">
        <f t="shared" ca="1" si="85"/>
        <v>0</v>
      </c>
      <c r="BB316" s="3318">
        <f t="shared" ca="1" si="85"/>
        <v>0</v>
      </c>
      <c r="BC316" s="3318">
        <f t="shared" ca="1" si="85"/>
        <v>0</v>
      </c>
      <c r="BD316" s="3318">
        <f t="shared" ca="1" si="85"/>
        <v>0</v>
      </c>
      <c r="BE316" s="3318">
        <f t="shared" ca="1" si="85"/>
        <v>0</v>
      </c>
      <c r="BF316" s="3318">
        <f t="shared" ca="1" si="85"/>
        <v>0</v>
      </c>
      <c r="BG316" s="3318">
        <f t="shared" ca="1" si="85"/>
        <v>0</v>
      </c>
      <c r="BH316" s="3306"/>
      <c r="BJ316" s="3303"/>
      <c r="BK316" s="3315"/>
      <c r="BL316" s="3315"/>
      <c r="BM316" s="3316"/>
      <c r="BN316" s="3317"/>
      <c r="BO316" s="3317"/>
      <c r="BP316" s="3317"/>
      <c r="BQ316" s="3317"/>
      <c r="BR316" s="3317"/>
      <c r="BS316" s="3317"/>
      <c r="BT316" s="3317"/>
      <c r="BU316" s="3317"/>
    </row>
    <row r="317" spans="1:73">
      <c r="A317" s="39"/>
      <c r="B317" s="3303"/>
      <c r="C317" s="3315" t="s">
        <v>514</v>
      </c>
      <c r="D317" s="3315" t="s">
        <v>515</v>
      </c>
      <c r="E317" s="3316"/>
      <c r="F317" s="3317"/>
      <c r="G317" s="3317"/>
      <c r="H317" s="3317"/>
      <c r="I317" s="3317"/>
      <c r="J317" s="3317"/>
      <c r="K317" s="3317"/>
      <c r="L317" s="3317"/>
      <c r="M317" s="3317"/>
      <c r="N317" s="3317"/>
      <c r="O317" s="3317"/>
      <c r="P317" s="3317"/>
      <c r="Q317" s="3317"/>
      <c r="R317" s="3317"/>
      <c r="S317" s="3317"/>
      <c r="T317" s="3317"/>
      <c r="U317" s="3317"/>
      <c r="V317" s="3317"/>
      <c r="W317" s="3317"/>
      <c r="X317" s="3317"/>
      <c r="Y317" s="3317"/>
      <c r="Z317" s="3317"/>
      <c r="AA317" s="3317"/>
      <c r="AB317" s="3317"/>
      <c r="AC317" s="3317"/>
      <c r="AD317" s="3317"/>
      <c r="AE317" s="3317"/>
      <c r="AF317" s="3317"/>
      <c r="AG317" s="3317"/>
      <c r="AH317" s="3317"/>
      <c r="AI317" s="3317"/>
      <c r="AJ317" s="3317"/>
      <c r="AK317" s="3317"/>
      <c r="AL317" s="3317"/>
      <c r="AM317" s="3317"/>
      <c r="AN317" s="3317"/>
      <c r="AO317" s="3317"/>
      <c r="AP317" s="3317"/>
      <c r="AQ317" s="3317"/>
      <c r="AR317" s="3317"/>
      <c r="AS317" s="3317"/>
      <c r="AT317" s="3317"/>
      <c r="AU317" s="3317"/>
      <c r="AV317" s="3317"/>
      <c r="AW317" s="3317"/>
      <c r="AX317" s="3316"/>
      <c r="AY317" s="3318">
        <f ca="1">-INDEX(INDIRECT($C317&amp;".Outputs["&amp;AY$304&amp;"]"),MATCH($C$304,INDIRECT($C317&amp;".Outputs[Vector]"),0))</f>
        <v>0.22598810482362028</v>
      </c>
      <c r="AZ317" s="3318">
        <f t="shared" ca="1" si="85"/>
        <v>0.22598810482362028</v>
      </c>
      <c r="BA317" s="3318">
        <f t="shared" ca="1" si="85"/>
        <v>0.22598810482362028</v>
      </c>
      <c r="BB317" s="3318">
        <f t="shared" ca="1" si="85"/>
        <v>0.22598810482362028</v>
      </c>
      <c r="BC317" s="3318">
        <f t="shared" ca="1" si="85"/>
        <v>0.22598810482362028</v>
      </c>
      <c r="BD317" s="3318">
        <f t="shared" ca="1" si="85"/>
        <v>0.22598810482362028</v>
      </c>
      <c r="BE317" s="3318">
        <f t="shared" ca="1" si="85"/>
        <v>0.22598810482362028</v>
      </c>
      <c r="BF317" s="3318">
        <f t="shared" ca="1" si="85"/>
        <v>0.22598810482362028</v>
      </c>
      <c r="BG317" s="3318">
        <f t="shared" ca="1" si="85"/>
        <v>0.22598810482362028</v>
      </c>
      <c r="BH317" s="3306"/>
      <c r="BJ317" s="3303"/>
      <c r="BK317" s="3315"/>
      <c r="BL317" s="3315"/>
      <c r="BM317" s="3316"/>
      <c r="BN317" s="3317"/>
      <c r="BO317" s="3317"/>
      <c r="BP317" s="3317"/>
      <c r="BQ317" s="3317"/>
      <c r="BR317" s="3317"/>
      <c r="BS317" s="3317"/>
      <c r="BT317" s="3317"/>
      <c r="BU317" s="3317"/>
    </row>
    <row r="318" spans="1:73">
      <c r="A318" s="39"/>
      <c r="B318" s="3303"/>
      <c r="C318" s="3315" t="s">
        <v>516</v>
      </c>
      <c r="D318" s="3315" t="s">
        <v>517</v>
      </c>
      <c r="E318" s="3316"/>
      <c r="F318" s="3317"/>
      <c r="G318" s="3317"/>
      <c r="H318" s="3317"/>
      <c r="I318" s="3317"/>
      <c r="J318" s="3317"/>
      <c r="K318" s="3317"/>
      <c r="L318" s="3317"/>
      <c r="M318" s="3317"/>
      <c r="N318" s="3317"/>
      <c r="O318" s="3317"/>
      <c r="P318" s="3317"/>
      <c r="Q318" s="3317"/>
      <c r="R318" s="3317"/>
      <c r="S318" s="3317"/>
      <c r="T318" s="3317"/>
      <c r="U318" s="3317"/>
      <c r="V318" s="3317"/>
      <c r="W318" s="3317"/>
      <c r="X318" s="3317"/>
      <c r="Y318" s="3317"/>
      <c r="Z318" s="3317"/>
      <c r="AA318" s="3317"/>
      <c r="AB318" s="3317"/>
      <c r="AC318" s="3317"/>
      <c r="AD318" s="3317"/>
      <c r="AE318" s="3317"/>
      <c r="AF318" s="3317"/>
      <c r="AG318" s="3317"/>
      <c r="AH318" s="3317"/>
      <c r="AI318" s="3317"/>
      <c r="AJ318" s="3317"/>
      <c r="AK318" s="3317"/>
      <c r="AL318" s="3317"/>
      <c r="AM318" s="3317"/>
      <c r="AN318" s="3317"/>
      <c r="AO318" s="3317"/>
      <c r="AP318" s="3317"/>
      <c r="AQ318" s="3317"/>
      <c r="AR318" s="3317"/>
      <c r="AS318" s="3317"/>
      <c r="AT318" s="3317"/>
      <c r="AU318" s="3317"/>
      <c r="AV318" s="3317"/>
      <c r="AW318" s="3317"/>
      <c r="AX318" s="3316"/>
      <c r="AY318" s="3318">
        <f t="shared" ca="1" si="85"/>
        <v>6.6380393902542884E-2</v>
      </c>
      <c r="AZ318" s="3318">
        <f t="shared" ca="1" si="85"/>
        <v>5.632506858883312E-2</v>
      </c>
      <c r="BA318" s="3318">
        <f t="shared" ca="1" si="85"/>
        <v>3.5902839544807497E-2</v>
      </c>
      <c r="BB318" s="3318">
        <f t="shared" ca="1" si="85"/>
        <v>2.154713679214617E-2</v>
      </c>
      <c r="BC318" s="3318">
        <f t="shared" ca="1" si="85"/>
        <v>0</v>
      </c>
      <c r="BD318" s="3318">
        <f t="shared" ca="1" si="85"/>
        <v>0</v>
      </c>
      <c r="BE318" s="3318">
        <f t="shared" ca="1" si="85"/>
        <v>0</v>
      </c>
      <c r="BF318" s="3318">
        <f t="shared" ca="1" si="85"/>
        <v>0</v>
      </c>
      <c r="BG318" s="3318">
        <f t="shared" ca="1" si="85"/>
        <v>0</v>
      </c>
      <c r="BH318" s="3306"/>
      <c r="BJ318" s="3303"/>
      <c r="BK318" s="3315"/>
      <c r="BL318" s="3315"/>
      <c r="BM318" s="3316"/>
      <c r="BN318" s="3317"/>
      <c r="BO318" s="3317"/>
      <c r="BP318" s="3317"/>
      <c r="BQ318" s="3317"/>
      <c r="BR318" s="3317"/>
      <c r="BS318" s="3317"/>
      <c r="BT318" s="3317"/>
      <c r="BU318" s="3317"/>
    </row>
    <row r="319" spans="1:73">
      <c r="A319" s="39"/>
      <c r="B319" s="3303"/>
      <c r="C319" s="3315" t="s">
        <v>542</v>
      </c>
      <c r="D319" s="3315" t="s">
        <v>543</v>
      </c>
      <c r="E319" s="3316"/>
      <c r="F319" s="3317"/>
      <c r="G319" s="3317"/>
      <c r="H319" s="3317"/>
      <c r="I319" s="3317"/>
      <c r="J319" s="3317"/>
      <c r="K319" s="3317"/>
      <c r="L319" s="3317"/>
      <c r="M319" s="3317"/>
      <c r="N319" s="3317"/>
      <c r="O319" s="3317"/>
      <c r="P319" s="3317"/>
      <c r="Q319" s="3317"/>
      <c r="R319" s="3317"/>
      <c r="S319" s="3317"/>
      <c r="T319" s="3317"/>
      <c r="U319" s="3317"/>
      <c r="V319" s="3317"/>
      <c r="W319" s="3317"/>
      <c r="X319" s="3317"/>
      <c r="Y319" s="3317"/>
      <c r="Z319" s="3317"/>
      <c r="AA319" s="3317"/>
      <c r="AB319" s="3317"/>
      <c r="AC319" s="3317"/>
      <c r="AD319" s="3317"/>
      <c r="AE319" s="3317"/>
      <c r="AF319" s="3317"/>
      <c r="AG319" s="3317"/>
      <c r="AH319" s="3317"/>
      <c r="AI319" s="3317"/>
      <c r="AJ319" s="3317"/>
      <c r="AK319" s="3317"/>
      <c r="AL319" s="3317"/>
      <c r="AM319" s="3317"/>
      <c r="AN319" s="3317"/>
      <c r="AO319" s="3317"/>
      <c r="AP319" s="3317"/>
      <c r="AQ319" s="3317"/>
      <c r="AR319" s="3317"/>
      <c r="AS319" s="3317"/>
      <c r="AT319" s="3317"/>
      <c r="AU319" s="3317"/>
      <c r="AV319" s="3317"/>
      <c r="AW319" s="3317"/>
      <c r="AX319" s="3316"/>
      <c r="AY319" s="3318">
        <f t="shared" ref="AY319:BG319" ca="1" si="86">-INDEX(INDIRECT($C319&amp;".Outputs["&amp;AY$304&amp;"]"),MATCH("V.02",INDIRECT($C319&amp;".Outputs[Vector]"),0))</f>
        <v>3.7911428177742012E-3</v>
      </c>
      <c r="AZ319" s="3318">
        <f t="shared" ca="1" si="86"/>
        <v>3.7911428177742012E-3</v>
      </c>
      <c r="BA319" s="3318">
        <f t="shared" ca="1" si="86"/>
        <v>3.7911428177742012E-3</v>
      </c>
      <c r="BB319" s="3318">
        <f t="shared" ca="1" si="86"/>
        <v>3.7911428177742012E-3</v>
      </c>
      <c r="BC319" s="3318">
        <f t="shared" ca="1" si="86"/>
        <v>3.7911428177742012E-3</v>
      </c>
      <c r="BD319" s="3318">
        <f t="shared" ca="1" si="86"/>
        <v>3.7911428177742012E-3</v>
      </c>
      <c r="BE319" s="3318">
        <f t="shared" ca="1" si="86"/>
        <v>3.7911428177742012E-3</v>
      </c>
      <c r="BF319" s="3318">
        <f t="shared" ca="1" si="86"/>
        <v>3.7911428177742012E-3</v>
      </c>
      <c r="BG319" s="3318">
        <f t="shared" ca="1" si="86"/>
        <v>3.7911428177742012E-3</v>
      </c>
      <c r="BH319" s="3306"/>
      <c r="BJ319" s="3303"/>
      <c r="BK319" s="3315"/>
      <c r="BL319" s="3315"/>
      <c r="BM319" s="3316"/>
      <c r="BN319" s="3317"/>
      <c r="BO319" s="3317"/>
      <c r="BP319" s="3317"/>
      <c r="BQ319" s="3317"/>
      <c r="BR319" s="3317"/>
      <c r="BS319" s="3317"/>
      <c r="BT319" s="3317"/>
      <c r="BU319" s="3317"/>
    </row>
    <row r="320" spans="1:73">
      <c r="A320" s="39"/>
      <c r="B320" s="3303"/>
      <c r="C320" s="3315"/>
      <c r="D320" s="3315" t="s">
        <v>59</v>
      </c>
      <c r="E320" s="3316"/>
      <c r="F320" s="3317"/>
      <c r="G320" s="3317"/>
      <c r="H320" s="3317"/>
      <c r="I320" s="3317"/>
      <c r="J320" s="3317"/>
      <c r="K320" s="3317"/>
      <c r="L320" s="3317"/>
      <c r="M320" s="3317"/>
      <c r="N320" s="3317"/>
      <c r="O320" s="3317"/>
      <c r="P320" s="3317"/>
      <c r="Q320" s="3317"/>
      <c r="R320" s="3317"/>
      <c r="S320" s="3317"/>
      <c r="T320" s="3317"/>
      <c r="U320" s="3317"/>
      <c r="V320" s="3317"/>
      <c r="W320" s="3317"/>
      <c r="X320" s="3317"/>
      <c r="Y320" s="3317"/>
      <c r="Z320" s="3317"/>
      <c r="AA320" s="3317"/>
      <c r="AB320" s="3317"/>
      <c r="AC320" s="3317"/>
      <c r="AD320" s="3317"/>
      <c r="AE320" s="3317"/>
      <c r="AF320" s="3317"/>
      <c r="AG320" s="3317"/>
      <c r="AH320" s="3317"/>
      <c r="AI320" s="3317"/>
      <c r="AJ320" s="3317"/>
      <c r="AK320" s="3317"/>
      <c r="AL320" s="3317"/>
      <c r="AM320" s="3317"/>
      <c r="AN320" s="3317"/>
      <c r="AO320" s="3317"/>
      <c r="AP320" s="3317"/>
      <c r="AQ320" s="3317"/>
      <c r="AR320" s="3317"/>
      <c r="AS320" s="3317"/>
      <c r="AT320" s="3317"/>
      <c r="AU320" s="3317"/>
      <c r="AV320" s="3317"/>
      <c r="AW320" s="3317"/>
      <c r="AX320" s="3316"/>
      <c r="AY320" s="3318">
        <f t="shared" ref="AY320:BG320" ca="1" si="87">SUM(AY306:AY319)</f>
        <v>23.476642761499647</v>
      </c>
      <c r="AZ320" s="3318">
        <f t="shared" ca="1" si="87"/>
        <v>24.362846134292056</v>
      </c>
      <c r="BA320" s="3318">
        <f t="shared" ca="1" si="87"/>
        <v>24.877151263511831</v>
      </c>
      <c r="BB320" s="3318">
        <f t="shared" ca="1" si="87"/>
        <v>25.409022090832568</v>
      </c>
      <c r="BC320" s="3318">
        <f t="shared" ca="1" si="87"/>
        <v>26.051092065260082</v>
      </c>
      <c r="BD320" s="3318">
        <f t="shared" ca="1" si="87"/>
        <v>26.715612641158714</v>
      </c>
      <c r="BE320" s="3318">
        <f t="shared" ca="1" si="87"/>
        <v>27.381439782929679</v>
      </c>
      <c r="BF320" s="3318">
        <f t="shared" ca="1" si="87"/>
        <v>28.015347441534654</v>
      </c>
      <c r="BG320" s="3318">
        <f t="shared" ca="1" si="87"/>
        <v>28.538214230060113</v>
      </c>
      <c r="BH320" s="3306"/>
      <c r="BJ320" s="3303"/>
      <c r="BK320" s="3315"/>
      <c r="BL320" s="3315"/>
      <c r="BM320" s="3316"/>
      <c r="BN320" s="3317"/>
      <c r="BO320" s="3317"/>
      <c r="BP320" s="3317"/>
      <c r="BQ320" s="3317"/>
      <c r="BR320" s="3317"/>
      <c r="BS320" s="3317"/>
      <c r="BT320" s="3317"/>
      <c r="BU320" s="3317"/>
    </row>
    <row r="321" spans="1:73">
      <c r="A321" s="39"/>
      <c r="B321" s="3303"/>
      <c r="C321" s="3315"/>
      <c r="D321" s="3315"/>
      <c r="E321" s="3316"/>
      <c r="F321" s="3317"/>
      <c r="G321" s="3317"/>
      <c r="H321" s="3317"/>
      <c r="I321" s="3317"/>
      <c r="J321" s="3317"/>
      <c r="K321" s="3317"/>
      <c r="L321" s="3317"/>
      <c r="M321" s="3317"/>
      <c r="N321" s="3317"/>
      <c r="O321" s="3317"/>
      <c r="P321" s="3317"/>
      <c r="Q321" s="3317"/>
      <c r="R321" s="3317"/>
      <c r="S321" s="3317"/>
      <c r="T321" s="3317"/>
      <c r="U321" s="3317"/>
      <c r="V321" s="3317"/>
      <c r="W321" s="3317"/>
      <c r="X321" s="3317"/>
      <c r="Y321" s="3317"/>
      <c r="Z321" s="3317"/>
      <c r="AA321" s="3317"/>
      <c r="AB321" s="3317"/>
      <c r="AC321" s="3317"/>
      <c r="AD321" s="3317"/>
      <c r="AE321" s="3317"/>
      <c r="AF321" s="3317"/>
      <c r="AG321" s="3317"/>
      <c r="AH321" s="3317"/>
      <c r="AI321" s="3317"/>
      <c r="AJ321" s="3317"/>
      <c r="AK321" s="3317"/>
      <c r="AL321" s="3317"/>
      <c r="AM321" s="3317"/>
      <c r="AN321" s="3317"/>
      <c r="AO321" s="3317"/>
      <c r="AP321" s="3317"/>
      <c r="AQ321" s="3317"/>
      <c r="AR321" s="3317"/>
      <c r="AS321" s="3317"/>
      <c r="AT321" s="3317"/>
      <c r="AU321" s="3317"/>
      <c r="AV321" s="3317"/>
      <c r="AW321" s="3317"/>
      <c r="AX321" s="3316"/>
      <c r="AY321" s="3318"/>
      <c r="AZ321" s="3318"/>
      <c r="BA321" s="3318"/>
      <c r="BB321" s="3318"/>
      <c r="BC321" s="3318"/>
      <c r="BD321" s="3318"/>
      <c r="BE321" s="3318"/>
      <c r="BF321" s="3318"/>
      <c r="BG321" s="3318"/>
      <c r="BH321" s="3306"/>
      <c r="BJ321" s="3303"/>
      <c r="BK321" s="3315"/>
      <c r="BL321" s="3315"/>
      <c r="BM321" s="3316"/>
      <c r="BN321" s="3317"/>
      <c r="BO321" s="3317"/>
      <c r="BP321" s="3317"/>
      <c r="BQ321" s="3317"/>
      <c r="BR321" s="3317"/>
      <c r="BS321" s="3317"/>
      <c r="BT321" s="3317"/>
      <c r="BU321" s="3317"/>
    </row>
    <row r="322" spans="1:73">
      <c r="A322" s="39"/>
      <c r="B322" s="3303"/>
      <c r="C322" s="3315"/>
      <c r="D322" s="3319" t="s">
        <v>491</v>
      </c>
      <c r="E322" s="3316"/>
      <c r="F322" s="3317"/>
      <c r="G322" s="3317"/>
      <c r="H322" s="3317"/>
      <c r="I322" s="3317"/>
      <c r="J322" s="3317"/>
      <c r="K322" s="3317"/>
      <c r="L322" s="3317"/>
      <c r="M322" s="3317"/>
      <c r="N322" s="3317"/>
      <c r="O322" s="3317"/>
      <c r="P322" s="3317"/>
      <c r="Q322" s="3317"/>
      <c r="R322" s="3317"/>
      <c r="S322" s="3317"/>
      <c r="T322" s="3317"/>
      <c r="U322" s="3317"/>
      <c r="V322" s="3317"/>
      <c r="W322" s="3317"/>
      <c r="X322" s="3317"/>
      <c r="Y322" s="3317"/>
      <c r="Z322" s="3317"/>
      <c r="AA322" s="3317"/>
      <c r="AB322" s="3317"/>
      <c r="AC322" s="3317"/>
      <c r="AD322" s="3317"/>
      <c r="AE322" s="3317"/>
      <c r="AF322" s="3317"/>
      <c r="AG322" s="3317"/>
      <c r="AH322" s="3317"/>
      <c r="AI322" s="3317"/>
      <c r="AJ322" s="3317"/>
      <c r="AK322" s="3317"/>
      <c r="AL322" s="3317"/>
      <c r="AM322" s="3317"/>
      <c r="AN322" s="3317"/>
      <c r="AO322" s="3317"/>
      <c r="AP322" s="3317"/>
      <c r="AQ322" s="3317"/>
      <c r="AR322" s="3317"/>
      <c r="AS322" s="3317"/>
      <c r="AT322" s="3317"/>
      <c r="AU322" s="3317"/>
      <c r="AV322" s="3317"/>
      <c r="AW322" s="3317"/>
      <c r="AX322" s="3316"/>
      <c r="AY322" s="3318">
        <f t="shared" ref="AY322:BG322" ca="1" si="88">SUM(AY314:AY315,AY306)</f>
        <v>6.2120497891874918E-2</v>
      </c>
      <c r="AZ322" s="3318">
        <f t="shared" ca="1" si="88"/>
        <v>5.7837044401309656E-2</v>
      </c>
      <c r="BA322" s="3318">
        <f t="shared" ca="1" si="88"/>
        <v>7.4583380797919485E-2</v>
      </c>
      <c r="BB322" s="3318">
        <f t="shared" ca="1" si="88"/>
        <v>9.119837077421622E-2</v>
      </c>
      <c r="BC322" s="3988">
        <f t="shared" ca="1" si="88"/>
        <v>0.23771644202621653</v>
      </c>
      <c r="BD322" s="3988">
        <f t="shared" ca="1" si="88"/>
        <v>0.38870535991103194</v>
      </c>
      <c r="BE322" s="3988">
        <f t="shared" ca="1" si="88"/>
        <v>0.57133558932909156</v>
      </c>
      <c r="BF322" s="3988">
        <f t="shared" ca="1" si="88"/>
        <v>0.77613666210511567</v>
      </c>
      <c r="BG322" s="3988">
        <f t="shared" ca="1" si="88"/>
        <v>0.90394308529879397</v>
      </c>
      <c r="BH322" s="3306"/>
      <c r="BJ322" s="3303"/>
      <c r="BK322" s="3315"/>
      <c r="BL322" s="3319"/>
      <c r="BM322" s="3316"/>
      <c r="BN322" s="3317"/>
      <c r="BO322" s="3317"/>
      <c r="BP322" s="3317"/>
      <c r="BQ322" s="3317"/>
      <c r="BR322" s="3317"/>
      <c r="BS322" s="3317"/>
      <c r="BT322" s="3317"/>
      <c r="BU322" s="3317"/>
    </row>
    <row r="323" spans="1:73">
      <c r="A323" s="39"/>
      <c r="B323" s="3303"/>
      <c r="C323" s="3315"/>
      <c r="D323" s="3319" t="s">
        <v>368</v>
      </c>
      <c r="E323" s="3316"/>
      <c r="F323" s="3317"/>
      <c r="G323" s="3317"/>
      <c r="H323" s="3317"/>
      <c r="I323" s="3317"/>
      <c r="J323" s="3317"/>
      <c r="K323" s="3317"/>
      <c r="L323" s="3317"/>
      <c r="M323" s="3317"/>
      <c r="N323" s="3317"/>
      <c r="O323" s="3317"/>
      <c r="P323" s="3317"/>
      <c r="Q323" s="3317"/>
      <c r="R323" s="3317"/>
      <c r="S323" s="3317"/>
      <c r="T323" s="3317"/>
      <c r="U323" s="3317"/>
      <c r="V323" s="3317"/>
      <c r="W323" s="3317"/>
      <c r="X323" s="3317"/>
      <c r="Y323" s="3317"/>
      <c r="Z323" s="3317"/>
      <c r="AA323" s="3317"/>
      <c r="AB323" s="3317"/>
      <c r="AC323" s="3317"/>
      <c r="AD323" s="3317"/>
      <c r="AE323" s="3317"/>
      <c r="AF323" s="3317"/>
      <c r="AG323" s="3317"/>
      <c r="AH323" s="3317"/>
      <c r="AI323" s="3317"/>
      <c r="AJ323" s="3317"/>
      <c r="AK323" s="3317"/>
      <c r="AL323" s="3317"/>
      <c r="AM323" s="3317"/>
      <c r="AN323" s="3317"/>
      <c r="AO323" s="3317"/>
      <c r="AP323" s="3317"/>
      <c r="AQ323" s="3317"/>
      <c r="AR323" s="3317"/>
      <c r="AS323" s="3317"/>
      <c r="AT323" s="3317"/>
      <c r="AU323" s="3317"/>
      <c r="AV323" s="3317"/>
      <c r="AW323" s="3317"/>
      <c r="AX323" s="3316"/>
      <c r="AY323" s="3318">
        <f t="shared" ref="AY323:BG323" ca="1" si="89">SUM(AY316:AY318,AY313,AY307)</f>
        <v>10.130468498726161</v>
      </c>
      <c r="AZ323" s="3318">
        <f t="shared" ca="1" si="89"/>
        <v>10.198485236550466</v>
      </c>
      <c r="BA323" s="3318">
        <f t="shared" ca="1" si="89"/>
        <v>10.406223255691142</v>
      </c>
      <c r="BB323" s="3318">
        <f t="shared" ca="1" si="89"/>
        <v>10.666109194043123</v>
      </c>
      <c r="BC323" s="3318">
        <f t="shared" ca="1" si="89"/>
        <v>10.964102459920158</v>
      </c>
      <c r="BD323" s="3318">
        <f t="shared" ca="1" si="89"/>
        <v>11.32872896271412</v>
      </c>
      <c r="BE323" s="3318">
        <f t="shared" ca="1" si="89"/>
        <v>11.738774962160049</v>
      </c>
      <c r="BF323" s="3318">
        <f t="shared" ca="1" si="89"/>
        <v>12.195104774212071</v>
      </c>
      <c r="BG323" s="3318">
        <f t="shared" ca="1" si="89"/>
        <v>12.699106791619828</v>
      </c>
      <c r="BH323" s="3306"/>
      <c r="BJ323" s="3303"/>
      <c r="BK323" s="3315"/>
      <c r="BL323" s="3319"/>
      <c r="BM323" s="3316"/>
      <c r="BN323" s="3317"/>
      <c r="BO323" s="3317"/>
      <c r="BP323" s="3317"/>
      <c r="BQ323" s="3317"/>
      <c r="BR323" s="3317"/>
      <c r="BS323" s="3317"/>
      <c r="BT323" s="3317"/>
      <c r="BU323" s="3317"/>
    </row>
    <row r="324" spans="1:73">
      <c r="A324" s="39"/>
      <c r="B324" s="3303"/>
      <c r="C324" s="3315"/>
      <c r="D324" s="3319" t="s">
        <v>93</v>
      </c>
      <c r="E324" s="3316"/>
      <c r="F324" s="3317"/>
      <c r="G324" s="3317"/>
      <c r="H324" s="3317"/>
      <c r="I324" s="3317"/>
      <c r="J324" s="3317"/>
      <c r="K324" s="3317"/>
      <c r="L324" s="3317"/>
      <c r="M324" s="3317"/>
      <c r="N324" s="3317"/>
      <c r="O324" s="3317"/>
      <c r="P324" s="3317"/>
      <c r="Q324" s="3317"/>
      <c r="R324" s="3317"/>
      <c r="S324" s="3317"/>
      <c r="T324" s="3317"/>
      <c r="U324" s="3317"/>
      <c r="V324" s="3317"/>
      <c r="W324" s="3317"/>
      <c r="X324" s="3317"/>
      <c r="Y324" s="3317"/>
      <c r="Z324" s="3317"/>
      <c r="AA324" s="3317"/>
      <c r="AB324" s="3317"/>
      <c r="AC324" s="3317"/>
      <c r="AD324" s="3317"/>
      <c r="AE324" s="3317"/>
      <c r="AF324" s="3317"/>
      <c r="AG324" s="3317"/>
      <c r="AH324" s="3317"/>
      <c r="AI324" s="3317"/>
      <c r="AJ324" s="3317"/>
      <c r="AK324" s="3317"/>
      <c r="AL324" s="3317"/>
      <c r="AM324" s="3317"/>
      <c r="AN324" s="3317"/>
      <c r="AO324" s="3317"/>
      <c r="AP324" s="3317"/>
      <c r="AQ324" s="3317"/>
      <c r="AR324" s="3317"/>
      <c r="AS324" s="3317"/>
      <c r="AT324" s="3317"/>
      <c r="AU324" s="3317"/>
      <c r="AV324" s="3317"/>
      <c r="AW324" s="3317"/>
      <c r="AX324" s="3316"/>
      <c r="AY324" s="3318">
        <f t="shared" ref="AY324:BG324" ca="1" si="90">SUM(AY308:AY310,AY319)</f>
        <v>4.1915380128622992</v>
      </c>
      <c r="AZ324" s="3318">
        <f t="shared" ca="1" si="90"/>
        <v>4.9299186524977907</v>
      </c>
      <c r="BA324" s="3318">
        <f t="shared" ca="1" si="90"/>
        <v>4.9672324285840013</v>
      </c>
      <c r="BB324" s="3318">
        <f t="shared" ca="1" si="90"/>
        <v>4.9587934015610466</v>
      </c>
      <c r="BC324" s="3318">
        <f t="shared" ca="1" si="90"/>
        <v>4.8833313181185192</v>
      </c>
      <c r="BD324" s="3318">
        <f t="shared" ca="1" si="90"/>
        <v>4.7672225536990647</v>
      </c>
      <c r="BE324" s="3318">
        <f t="shared" ca="1" si="90"/>
        <v>4.6124353395818423</v>
      </c>
      <c r="BF324" s="3318">
        <f t="shared" ca="1" si="90"/>
        <v>4.419273542499524</v>
      </c>
      <c r="BG324" s="3318">
        <f t="shared" ca="1" si="90"/>
        <v>4.1763038242115176</v>
      </c>
      <c r="BH324" s="3306"/>
      <c r="BJ324" s="3303"/>
      <c r="BK324" s="3315"/>
      <c r="BL324" s="3319"/>
      <c r="BM324" s="3316"/>
      <c r="BN324" s="3317"/>
      <c r="BO324" s="3317"/>
      <c r="BP324" s="3317"/>
      <c r="BQ324" s="3317"/>
      <c r="BR324" s="3317"/>
      <c r="BS324" s="3317"/>
      <c r="BT324" s="3317"/>
      <c r="BU324" s="3317"/>
    </row>
    <row r="325" spans="1:73">
      <c r="A325" s="39"/>
      <c r="B325" s="3303"/>
      <c r="C325" s="3315"/>
      <c r="D325" s="3319" t="s">
        <v>367</v>
      </c>
      <c r="E325" s="3316"/>
      <c r="F325" s="3317"/>
      <c r="G325" s="3317"/>
      <c r="H325" s="3317"/>
      <c r="I325" s="3317"/>
      <c r="J325" s="3317"/>
      <c r="K325" s="3317"/>
      <c r="L325" s="3317"/>
      <c r="M325" s="3317"/>
      <c r="N325" s="3317"/>
      <c r="O325" s="3317"/>
      <c r="P325" s="3317"/>
      <c r="Q325" s="3317"/>
      <c r="R325" s="3317"/>
      <c r="S325" s="3317"/>
      <c r="T325" s="3317"/>
      <c r="U325" s="3317"/>
      <c r="V325" s="3317"/>
      <c r="W325" s="3317"/>
      <c r="X325" s="3317"/>
      <c r="Y325" s="3317"/>
      <c r="Z325" s="3317"/>
      <c r="AA325" s="3317"/>
      <c r="AB325" s="3317"/>
      <c r="AC325" s="3317"/>
      <c r="AD325" s="3317"/>
      <c r="AE325" s="3317"/>
      <c r="AF325" s="3317"/>
      <c r="AG325" s="3317"/>
      <c r="AH325" s="3317"/>
      <c r="AI325" s="3317"/>
      <c r="AJ325" s="3317"/>
      <c r="AK325" s="3317"/>
      <c r="AL325" s="3317"/>
      <c r="AM325" s="3317"/>
      <c r="AN325" s="3317"/>
      <c r="AO325" s="3317"/>
      <c r="AP325" s="3317"/>
      <c r="AQ325" s="3317"/>
      <c r="AR325" s="3317"/>
      <c r="AS325" s="3317"/>
      <c r="AT325" s="3317"/>
      <c r="AU325" s="3317"/>
      <c r="AV325" s="3317"/>
      <c r="AW325" s="3317"/>
      <c r="AX325" s="3316"/>
      <c r="AY325" s="3318">
        <f t="shared" ref="AY325:BG325" ca="1" si="91">SUM(AY311:AY312)</f>
        <v>9.0925157520193096</v>
      </c>
      <c r="AZ325" s="3318">
        <f t="shared" ca="1" si="91"/>
        <v>9.1766052008424879</v>
      </c>
      <c r="BA325" s="3318">
        <f t="shared" ca="1" si="91"/>
        <v>9.4291121984387658</v>
      </c>
      <c r="BB325" s="3318">
        <f t="shared" ca="1" si="91"/>
        <v>9.6929211244541769</v>
      </c>
      <c r="BC325" s="3318">
        <f t="shared" ca="1" si="91"/>
        <v>9.9659418451951893</v>
      </c>
      <c r="BD325" s="3318">
        <f t="shared" ca="1" si="91"/>
        <v>10.230955764834498</v>
      </c>
      <c r="BE325" s="3318">
        <f t="shared" ca="1" si="91"/>
        <v>10.458893891858697</v>
      </c>
      <c r="BF325" s="3318">
        <f t="shared" ca="1" si="91"/>
        <v>10.624832462717942</v>
      </c>
      <c r="BG325" s="3318">
        <f t="shared" ca="1" si="91"/>
        <v>10.758860528929974</v>
      </c>
      <c r="BH325" s="3306"/>
      <c r="BJ325" s="3303"/>
      <c r="BK325" s="3315"/>
      <c r="BL325" s="3319"/>
      <c r="BM325" s="3316"/>
      <c r="BN325" s="3317"/>
      <c r="BO325" s="3317"/>
      <c r="BP325" s="3317"/>
      <c r="BQ325" s="3317"/>
      <c r="BR325" s="3317"/>
      <c r="BS325" s="3317"/>
      <c r="BT325" s="3317"/>
      <c r="BU325" s="3317"/>
    </row>
    <row r="326" spans="1:73">
      <c r="A326" s="39"/>
      <c r="B326" s="3303"/>
      <c r="C326" s="3315"/>
      <c r="D326" s="3319" t="s">
        <v>59</v>
      </c>
      <c r="E326" s="3316"/>
      <c r="F326" s="3317"/>
      <c r="G326" s="3317"/>
      <c r="H326" s="3317"/>
      <c r="I326" s="3317"/>
      <c r="J326" s="3317"/>
      <c r="K326" s="3317"/>
      <c r="L326" s="3317"/>
      <c r="M326" s="3317"/>
      <c r="N326" s="3317"/>
      <c r="O326" s="3317"/>
      <c r="P326" s="3317"/>
      <c r="Q326" s="3317"/>
      <c r="R326" s="3317"/>
      <c r="S326" s="3317"/>
      <c r="T326" s="3317"/>
      <c r="U326" s="3317"/>
      <c r="V326" s="3317"/>
      <c r="W326" s="3317"/>
      <c r="X326" s="3317"/>
      <c r="Y326" s="3317"/>
      <c r="Z326" s="3317"/>
      <c r="AA326" s="3317"/>
      <c r="AB326" s="3317"/>
      <c r="AC326" s="3317"/>
      <c r="AD326" s="3317"/>
      <c r="AE326" s="3317"/>
      <c r="AF326" s="3317"/>
      <c r="AG326" s="3317"/>
      <c r="AH326" s="3317"/>
      <c r="AI326" s="3317"/>
      <c r="AJ326" s="3317"/>
      <c r="AK326" s="3317"/>
      <c r="AL326" s="3317"/>
      <c r="AM326" s="3317"/>
      <c r="AN326" s="3317"/>
      <c r="AO326" s="3317"/>
      <c r="AP326" s="3317"/>
      <c r="AQ326" s="3317"/>
      <c r="AR326" s="3317"/>
      <c r="AS326" s="3317"/>
      <c r="AT326" s="3317"/>
      <c r="AU326" s="3317"/>
      <c r="AV326" s="3317"/>
      <c r="AW326" s="3317"/>
      <c r="AX326" s="3316"/>
      <c r="AY326" s="3318">
        <f t="shared" ref="AY326:BG326" ca="1" si="92">SUM(AY322:AY325)</f>
        <v>23.476642761499647</v>
      </c>
      <c r="AZ326" s="3318">
        <f t="shared" ca="1" si="92"/>
        <v>24.362846134292056</v>
      </c>
      <c r="BA326" s="3318">
        <f t="shared" ca="1" si="92"/>
        <v>24.877151263511827</v>
      </c>
      <c r="BB326" s="3318">
        <f t="shared" ca="1" si="92"/>
        <v>25.409022090832565</v>
      </c>
      <c r="BC326" s="3318">
        <f t="shared" ca="1" si="92"/>
        <v>26.051092065260082</v>
      </c>
      <c r="BD326" s="3318">
        <f t="shared" ca="1" si="92"/>
        <v>26.715612641158714</v>
      </c>
      <c r="BE326" s="3318">
        <f t="shared" ca="1" si="92"/>
        <v>27.381439782929679</v>
      </c>
      <c r="BF326" s="3318">
        <f t="shared" ca="1" si="92"/>
        <v>28.015347441534651</v>
      </c>
      <c r="BG326" s="3318">
        <f t="shared" ca="1" si="92"/>
        <v>28.538214230060113</v>
      </c>
      <c r="BH326" s="3306"/>
      <c r="BJ326" s="3303"/>
      <c r="BK326" s="3315"/>
      <c r="BL326" s="3319"/>
      <c r="BM326" s="3316"/>
      <c r="BN326" s="3317"/>
      <c r="BO326" s="3317"/>
      <c r="BP326" s="3317"/>
      <c r="BQ326" s="3317"/>
      <c r="BR326" s="3317"/>
      <c r="BS326" s="3317"/>
      <c r="BT326" s="3317"/>
      <c r="BU326" s="3317"/>
    </row>
    <row r="327" spans="1:73">
      <c r="A327" s="39"/>
      <c r="B327" s="3303"/>
      <c r="C327" s="3315"/>
      <c r="D327" s="3319"/>
      <c r="E327" s="3316"/>
      <c r="F327" s="3317"/>
      <c r="G327" s="3317"/>
      <c r="H327" s="3317"/>
      <c r="I327" s="3317"/>
      <c r="J327" s="3317"/>
      <c r="K327" s="3317"/>
      <c r="L327" s="3317"/>
      <c r="M327" s="3317"/>
      <c r="N327" s="3317"/>
      <c r="O327" s="3317"/>
      <c r="P327" s="3317"/>
      <c r="Q327" s="3317"/>
      <c r="R327" s="3317"/>
      <c r="S327" s="3317"/>
      <c r="T327" s="3317"/>
      <c r="U327" s="3317"/>
      <c r="V327" s="3317"/>
      <c r="W327" s="3317"/>
      <c r="X327" s="3317"/>
      <c r="Y327" s="3317"/>
      <c r="Z327" s="3317"/>
      <c r="AA327" s="3317"/>
      <c r="AB327" s="3317"/>
      <c r="AC327" s="3317"/>
      <c r="AD327" s="3317"/>
      <c r="AE327" s="3317"/>
      <c r="AF327" s="3317"/>
      <c r="AG327" s="3317"/>
      <c r="AH327" s="3317"/>
      <c r="AI327" s="3317"/>
      <c r="AJ327" s="3317"/>
      <c r="AK327" s="3317"/>
      <c r="AL327" s="3317"/>
      <c r="AM327" s="3317"/>
      <c r="AN327" s="3317"/>
      <c r="AO327" s="3317"/>
      <c r="AP327" s="3317"/>
      <c r="AQ327" s="3317"/>
      <c r="AR327" s="3317"/>
      <c r="AS327" s="3317"/>
      <c r="AT327" s="3317"/>
      <c r="AU327" s="3317"/>
      <c r="AV327" s="3317"/>
      <c r="AW327" s="3317"/>
      <c r="AX327" s="3316"/>
      <c r="AY327" s="3318"/>
      <c r="AZ327" s="3318"/>
      <c r="BA327" s="3318"/>
      <c r="BB327" s="3318"/>
      <c r="BC327" s="3318"/>
      <c r="BD327" s="3318"/>
      <c r="BE327" s="3318"/>
      <c r="BF327" s="3318"/>
      <c r="BG327" s="3318"/>
      <c r="BH327" s="3306"/>
      <c r="BJ327" s="3303"/>
      <c r="BK327" s="3315"/>
      <c r="BL327" s="3319"/>
      <c r="BM327" s="3316"/>
      <c r="BN327" s="3317"/>
      <c r="BO327" s="3317"/>
      <c r="BP327" s="3317"/>
      <c r="BQ327" s="3317"/>
      <c r="BR327" s="3317"/>
      <c r="BS327" s="3317"/>
      <c r="BT327" s="3317"/>
      <c r="BU327" s="3317"/>
    </row>
    <row r="365" spans="4:64">
      <c r="AZ365"/>
      <c r="BA365"/>
    </row>
    <row r="368" spans="4:64">
      <c r="D368" s="3634"/>
      <c r="E368" s="3634"/>
      <c r="F368" s="3634"/>
      <c r="G368" s="3634"/>
      <c r="H368" s="3634"/>
      <c r="I368" s="3634"/>
      <c r="J368" s="3634"/>
      <c r="K368" s="3634"/>
      <c r="L368" s="3634"/>
      <c r="M368" s="3634"/>
      <c r="N368" s="3634"/>
      <c r="O368" s="3634"/>
      <c r="P368" s="3634"/>
      <c r="Q368" s="3634"/>
      <c r="R368" s="3634"/>
      <c r="S368" s="3634"/>
      <c r="T368" s="3634"/>
      <c r="U368" s="3634"/>
      <c r="V368" s="3634"/>
      <c r="W368" s="3634"/>
      <c r="X368" s="3634"/>
      <c r="Y368" s="3634"/>
      <c r="Z368" s="3634"/>
      <c r="AA368" s="3634"/>
      <c r="AB368" s="3634"/>
      <c r="AC368" s="3634"/>
      <c r="AD368" s="3634"/>
      <c r="AE368" s="3634"/>
      <c r="AF368" s="3634"/>
      <c r="AG368" s="3634"/>
      <c r="AH368" s="3634"/>
      <c r="AI368" s="3634"/>
      <c r="AJ368" s="3634"/>
      <c r="AK368" s="3634"/>
      <c r="AL368" s="3634"/>
      <c r="AM368" s="3634"/>
      <c r="AN368" s="3634"/>
      <c r="AO368" s="3634"/>
      <c r="AP368" s="3634"/>
      <c r="AQ368" s="3634"/>
      <c r="AR368" s="3634"/>
      <c r="AS368" s="3634"/>
      <c r="AT368" s="3634"/>
      <c r="AU368" s="3634"/>
      <c r="AV368" s="3634"/>
      <c r="AW368" s="3634"/>
      <c r="AX368" s="3634"/>
      <c r="AY368" s="3634"/>
      <c r="AZ368" s="3320">
        <v>2050</v>
      </c>
      <c r="BA368" s="3634"/>
      <c r="BB368" s="3634"/>
      <c r="BC368" s="3634"/>
      <c r="BD368" s="3634"/>
      <c r="BE368" s="3634"/>
      <c r="BF368" s="3634"/>
      <c r="BG368" s="3634"/>
      <c r="BH368" s="3634"/>
      <c r="BI368" s="3634"/>
      <c r="BJ368" s="3634"/>
      <c r="BK368" s="3634"/>
      <c r="BL368" s="3634"/>
    </row>
    <row r="369" spans="1:64">
      <c r="A369" s="39"/>
      <c r="B369" s="39"/>
      <c r="C369" s="39"/>
      <c r="D369" s="3634" t="s">
        <v>2640</v>
      </c>
      <c r="E369" s="3634"/>
      <c r="F369" s="3634"/>
      <c r="G369" s="3634"/>
      <c r="H369" s="3634"/>
      <c r="I369" s="3634"/>
      <c r="J369" s="3634"/>
      <c r="K369" s="3634"/>
      <c r="L369" s="3634"/>
      <c r="M369" s="3634"/>
      <c r="N369" s="3634"/>
      <c r="O369" s="3634"/>
      <c r="P369" s="3634"/>
      <c r="Q369" s="3634"/>
      <c r="R369" s="3634"/>
      <c r="S369" s="3634"/>
      <c r="T369" s="3634"/>
      <c r="U369" s="3634"/>
      <c r="V369" s="3634"/>
      <c r="W369" s="3634"/>
      <c r="X369" s="3634"/>
      <c r="Y369" s="3634"/>
      <c r="Z369" s="3634"/>
      <c r="AA369" s="3634"/>
      <c r="AB369" s="3634"/>
      <c r="AC369" s="3634"/>
      <c r="AD369" s="3634"/>
      <c r="AE369" s="3634"/>
      <c r="AF369" s="3634"/>
      <c r="AG369" s="3634"/>
      <c r="AH369" s="3634"/>
      <c r="AI369" s="3634"/>
      <c r="AJ369" s="3634"/>
      <c r="AK369" s="3634"/>
      <c r="AL369" s="3634"/>
      <c r="AM369" s="3634"/>
      <c r="AN369" s="3634"/>
      <c r="AO369" s="3634"/>
      <c r="AP369" s="3634"/>
      <c r="AQ369" s="3634"/>
      <c r="AR369" s="3634"/>
      <c r="AS369" s="3634"/>
      <c r="AT369" s="3634"/>
      <c r="AU369" s="3634"/>
      <c r="AV369" s="3634"/>
      <c r="AW369" s="3634"/>
      <c r="AX369" s="3634"/>
      <c r="AY369" s="3321" t="s">
        <v>2641</v>
      </c>
      <c r="AZ369" s="365" t="str">
        <f>Preferences.EnergyUnits</f>
        <v>TWh</v>
      </c>
      <c r="BA369" s="3322" t="s">
        <v>2642</v>
      </c>
      <c r="BB369" s="3634"/>
      <c r="BC369" s="3634"/>
      <c r="BD369" s="3634"/>
      <c r="BE369" s="3321" t="s">
        <v>2643</v>
      </c>
      <c r="BF369" s="3634" t="s">
        <v>2644</v>
      </c>
      <c r="BG369" s="3634" t="s">
        <v>2645</v>
      </c>
      <c r="BH369" s="3634" t="s">
        <v>160</v>
      </c>
      <c r="BI369" s="3634" t="s">
        <v>2646</v>
      </c>
      <c r="BJ369" s="3634"/>
      <c r="BK369" s="3634"/>
      <c r="BL369" s="3634"/>
    </row>
    <row r="370" spans="1:64">
      <c r="C370" s="994"/>
      <c r="D370" s="2121"/>
      <c r="E370" s="3634"/>
      <c r="F370" s="994"/>
      <c r="G370" s="994"/>
      <c r="H370" s="994"/>
      <c r="I370" s="994"/>
      <c r="J370" s="994"/>
      <c r="K370" s="994"/>
      <c r="L370" s="994"/>
      <c r="M370" s="994"/>
      <c r="N370" s="994"/>
      <c r="O370" s="994"/>
      <c r="P370" s="994"/>
      <c r="Q370" s="994"/>
      <c r="R370" s="994"/>
      <c r="S370" s="994"/>
      <c r="T370" s="994"/>
      <c r="U370" s="994"/>
      <c r="V370" s="994"/>
      <c r="W370" s="994"/>
      <c r="X370" s="994"/>
      <c r="Y370" s="994"/>
      <c r="Z370" s="994"/>
      <c r="AA370" s="994"/>
      <c r="AB370" s="994"/>
      <c r="AC370" s="994"/>
      <c r="AD370" s="994"/>
      <c r="AE370" s="994"/>
      <c r="AF370" s="994"/>
      <c r="AG370" s="994"/>
      <c r="AH370" s="994"/>
      <c r="AI370" s="994"/>
      <c r="AJ370" s="994"/>
      <c r="AK370" s="994"/>
      <c r="AL370" s="994"/>
      <c r="AM370" s="994"/>
      <c r="AN370" s="994"/>
      <c r="AO370" s="994"/>
      <c r="AP370" s="994"/>
      <c r="AQ370" s="994"/>
      <c r="AR370" s="994"/>
      <c r="AS370" s="994"/>
      <c r="AT370" s="994"/>
      <c r="AU370" s="994"/>
      <c r="AV370" s="994"/>
      <c r="AW370" s="994"/>
      <c r="AX370" s="3634"/>
      <c r="AY370" s="3323" t="s">
        <v>2761</v>
      </c>
      <c r="AZ370" s="3324">
        <f ca="1">$BG$38</f>
        <v>0</v>
      </c>
      <c r="BA370" s="3012" t="s">
        <v>147</v>
      </c>
      <c r="BB370" s="3634"/>
      <c r="BC370" s="3634"/>
      <c r="BD370" s="3634"/>
      <c r="BE370" s="3323" t="s">
        <v>2647</v>
      </c>
      <c r="BF370" s="2121">
        <f t="shared" ref="BF370:BF420" si="93">SUMIF($AY$370:$AY$460,$BE370,$AZ$370:$AZ$460)</f>
        <v>34.589148940785606</v>
      </c>
      <c r="BG370" s="2121">
        <f t="shared" ref="BG370:BG420" si="94">SUMIF($BA$370:$BA$460,$BE370,$AZ$370:$AZ$460)</f>
        <v>0</v>
      </c>
      <c r="BH370" s="994">
        <f>BF370-BG370</f>
        <v>34.589148940785606</v>
      </c>
      <c r="BI370" s="3634" t="str">
        <f>IF(BH370=0,"ok",IF(ABS(BH370)=SUM(BF370:BG370),"ok","error"))</f>
        <v>ok</v>
      </c>
      <c r="BJ370" s="994"/>
      <c r="BK370" s="994"/>
      <c r="BL370" s="994"/>
    </row>
    <row r="371" spans="1:64">
      <c r="C371" s="994"/>
      <c r="D371" s="2121"/>
      <c r="E371" s="3634"/>
      <c r="F371" s="994"/>
      <c r="G371" s="994"/>
      <c r="H371" s="994"/>
      <c r="I371" s="994"/>
      <c r="J371" s="994"/>
      <c r="K371" s="994"/>
      <c r="L371" s="994"/>
      <c r="M371" s="994"/>
      <c r="N371" s="994"/>
      <c r="O371" s="994"/>
      <c r="P371" s="994"/>
      <c r="Q371" s="994"/>
      <c r="R371" s="994"/>
      <c r="S371" s="994"/>
      <c r="T371" s="994"/>
      <c r="U371" s="994"/>
      <c r="V371" s="994"/>
      <c r="W371" s="994"/>
      <c r="X371" s="994"/>
      <c r="Y371" s="994"/>
      <c r="Z371" s="994"/>
      <c r="AA371" s="994"/>
      <c r="AB371" s="994"/>
      <c r="AC371" s="994"/>
      <c r="AD371" s="994"/>
      <c r="AE371" s="994"/>
      <c r="AF371" s="994"/>
      <c r="AG371" s="994"/>
      <c r="AH371" s="994"/>
      <c r="AI371" s="994"/>
      <c r="AJ371" s="994"/>
      <c r="AK371" s="994"/>
      <c r="AL371" s="994"/>
      <c r="AM371" s="994"/>
      <c r="AN371" s="994"/>
      <c r="AO371" s="994"/>
      <c r="AP371" s="994"/>
      <c r="AQ371" s="994"/>
      <c r="AR371" s="994"/>
      <c r="AS371" s="994"/>
      <c r="AT371" s="994"/>
      <c r="AU371" s="994"/>
      <c r="AV371" s="994"/>
      <c r="AW371" s="994"/>
      <c r="AX371" s="3634"/>
      <c r="AY371" s="3323" t="s">
        <v>2648</v>
      </c>
      <c r="AZ371" s="3324">
        <f ca="1">MAX(BG37,0)</f>
        <v>0</v>
      </c>
      <c r="BA371" s="3012" t="s">
        <v>147</v>
      </c>
      <c r="BB371" s="3634"/>
      <c r="BC371" s="3634"/>
      <c r="BD371" s="3634"/>
      <c r="BE371" s="3323" t="s">
        <v>401</v>
      </c>
      <c r="BF371" s="2121">
        <f t="shared" si="93"/>
        <v>0</v>
      </c>
      <c r="BG371" s="2121">
        <f t="shared" si="94"/>
        <v>2.8632148502402313</v>
      </c>
      <c r="BH371" s="994">
        <f t="shared" ref="BH371:BH420" si="95">BF371-BG371</f>
        <v>-2.8632148502402313</v>
      </c>
      <c r="BI371" s="3634" t="str">
        <f t="shared" ref="BI371:BI420" si="96">IF(BH371=0,"ok",IF(ABS(BH371)=SUM(BF371:BG371),"ok","error"))</f>
        <v>ok</v>
      </c>
      <c r="BJ371" s="994"/>
      <c r="BK371" s="994"/>
      <c r="BL371" s="994"/>
    </row>
    <row r="372" spans="1:64">
      <c r="C372" s="994"/>
      <c r="D372" s="2121"/>
      <c r="E372" s="3634"/>
      <c r="F372" s="994"/>
      <c r="G372" s="994"/>
      <c r="H372" s="994"/>
      <c r="I372" s="994"/>
      <c r="J372" s="994"/>
      <c r="K372" s="994"/>
      <c r="L372" s="994"/>
      <c r="M372" s="994"/>
      <c r="N372" s="994"/>
      <c r="O372" s="994"/>
      <c r="P372" s="994"/>
      <c r="Q372" s="994"/>
      <c r="R372" s="994"/>
      <c r="S372" s="994"/>
      <c r="T372" s="994"/>
      <c r="U372" s="994"/>
      <c r="V372" s="994"/>
      <c r="W372" s="994"/>
      <c r="X372" s="994"/>
      <c r="Y372" s="994"/>
      <c r="Z372" s="994"/>
      <c r="AA372" s="994"/>
      <c r="AB372" s="994"/>
      <c r="AC372" s="994"/>
      <c r="AD372" s="994"/>
      <c r="AE372" s="994"/>
      <c r="AF372" s="994"/>
      <c r="AG372" s="994"/>
      <c r="AH372" s="994"/>
      <c r="AI372" s="994"/>
      <c r="AJ372" s="994"/>
      <c r="AK372" s="994"/>
      <c r="AL372" s="994"/>
      <c r="AM372" s="994"/>
      <c r="AN372" s="994"/>
      <c r="AO372" s="994"/>
      <c r="AP372" s="994"/>
      <c r="AQ372" s="994"/>
      <c r="AR372" s="994"/>
      <c r="AS372" s="994"/>
      <c r="AT372" s="994"/>
      <c r="AU372" s="994"/>
      <c r="AV372" s="994"/>
      <c r="AW372" s="994"/>
      <c r="AX372" s="3634"/>
      <c r="AY372" s="3323" t="s">
        <v>388</v>
      </c>
      <c r="AZ372" s="3324">
        <f ca="1">BG40</f>
        <v>0</v>
      </c>
      <c r="BA372" s="3012" t="s">
        <v>145</v>
      </c>
      <c r="BB372" s="3634"/>
      <c r="BC372" s="3634"/>
      <c r="BD372" s="3634"/>
      <c r="BE372" s="3323" t="s">
        <v>2649</v>
      </c>
      <c r="BF372" s="2121">
        <f ca="1">SUMIF($AY$370:$AY$460,$BE372,$AZ$370:$AZ$460)</f>
        <v>138.75502528417448</v>
      </c>
      <c r="BG372" s="2121">
        <f t="shared" si="94"/>
        <v>138.75502528417448</v>
      </c>
      <c r="BH372" s="3328">
        <f t="shared" ca="1" si="95"/>
        <v>0</v>
      </c>
      <c r="BI372" s="3634" t="str">
        <f t="shared" ca="1" si="96"/>
        <v>ok</v>
      </c>
      <c r="BJ372" s="994"/>
      <c r="BK372" s="994"/>
      <c r="BL372" s="994"/>
    </row>
    <row r="373" spans="1:64">
      <c r="C373" s="994"/>
      <c r="D373" s="2121"/>
      <c r="E373" s="3634"/>
      <c r="F373" s="994"/>
      <c r="G373" s="994"/>
      <c r="H373" s="994"/>
      <c r="I373" s="994"/>
      <c r="J373" s="994"/>
      <c r="K373" s="994"/>
      <c r="L373" s="994"/>
      <c r="M373" s="994"/>
      <c r="N373" s="994"/>
      <c r="O373" s="994"/>
      <c r="P373" s="994"/>
      <c r="Q373" s="994"/>
      <c r="R373" s="994"/>
      <c r="S373" s="994"/>
      <c r="T373" s="994"/>
      <c r="U373" s="994"/>
      <c r="V373" s="994"/>
      <c r="W373" s="994"/>
      <c r="X373" s="994"/>
      <c r="Y373" s="994"/>
      <c r="Z373" s="994"/>
      <c r="AA373" s="994"/>
      <c r="AB373" s="994"/>
      <c r="AC373" s="994"/>
      <c r="AD373" s="994"/>
      <c r="AE373" s="994"/>
      <c r="AF373" s="994"/>
      <c r="AG373" s="994"/>
      <c r="AH373" s="994"/>
      <c r="AI373" s="994"/>
      <c r="AJ373" s="994"/>
      <c r="AK373" s="994"/>
      <c r="AL373" s="994"/>
      <c r="AM373" s="994"/>
      <c r="AN373" s="994"/>
      <c r="AO373" s="994"/>
      <c r="AP373" s="994"/>
      <c r="AQ373" s="994"/>
      <c r="AR373" s="994"/>
      <c r="AS373" s="994"/>
      <c r="AT373" s="994"/>
      <c r="AU373" s="994"/>
      <c r="AV373" s="994"/>
      <c r="AW373" s="994"/>
      <c r="AX373" s="3634"/>
      <c r="AY373" s="3323" t="s">
        <v>2650</v>
      </c>
      <c r="AZ373" s="3324">
        <f ca="1">MAX(BG41,0)</f>
        <v>48.624578735681354</v>
      </c>
      <c r="BA373" s="3012" t="s">
        <v>145</v>
      </c>
      <c r="BB373" s="3634"/>
      <c r="BC373" s="3634"/>
      <c r="BD373" s="3634"/>
      <c r="BE373" s="3323" t="s">
        <v>2651</v>
      </c>
      <c r="BF373" s="2121">
        <f t="shared" ca="1" si="93"/>
        <v>8</v>
      </c>
      <c r="BG373" s="2121">
        <f t="shared" si="94"/>
        <v>0</v>
      </c>
      <c r="BH373" s="994">
        <f t="shared" ca="1" si="95"/>
        <v>8</v>
      </c>
      <c r="BI373" s="39" t="str">
        <f ca="1">IF(BH373=0,"ok",IF((BH373)=SUM(BF373:BG373),"ok","error"))</f>
        <v>ok</v>
      </c>
      <c r="BJ373" s="3971" t="s">
        <v>3294</v>
      </c>
      <c r="BK373" s="994"/>
      <c r="BL373" s="994"/>
    </row>
    <row r="374" spans="1:64">
      <c r="C374" s="994"/>
      <c r="D374" s="2121"/>
      <c r="E374" s="3634"/>
      <c r="F374" s="994"/>
      <c r="G374" s="994"/>
      <c r="H374" s="994"/>
      <c r="I374" s="994"/>
      <c r="J374" s="994"/>
      <c r="K374" s="994"/>
      <c r="L374" s="994"/>
      <c r="M374" s="994"/>
      <c r="N374" s="994"/>
      <c r="O374" s="994"/>
      <c r="P374" s="994"/>
      <c r="Q374" s="994"/>
      <c r="R374" s="994"/>
      <c r="S374" s="994"/>
      <c r="T374" s="994"/>
      <c r="U374" s="994"/>
      <c r="V374" s="994"/>
      <c r="W374" s="994"/>
      <c r="X374" s="994"/>
      <c r="Y374" s="994"/>
      <c r="Z374" s="994"/>
      <c r="AA374" s="994"/>
      <c r="AB374" s="994"/>
      <c r="AC374" s="994"/>
      <c r="AD374" s="994"/>
      <c r="AE374" s="994"/>
      <c r="AF374" s="994"/>
      <c r="AG374" s="994"/>
      <c r="AH374" s="994"/>
      <c r="AI374" s="994"/>
      <c r="AJ374" s="994"/>
      <c r="AK374" s="994"/>
      <c r="AL374" s="994"/>
      <c r="AM374" s="994"/>
      <c r="AN374" s="994"/>
      <c r="AO374" s="994"/>
      <c r="AP374" s="994"/>
      <c r="AQ374" s="994"/>
      <c r="AR374" s="994"/>
      <c r="AS374" s="994"/>
      <c r="AT374" s="994"/>
      <c r="AU374" s="994"/>
      <c r="AV374" s="994"/>
      <c r="AW374" s="994"/>
      <c r="AX374" s="3634"/>
      <c r="AY374" s="3323" t="s">
        <v>389</v>
      </c>
      <c r="AZ374" s="3324">
        <f ca="1">BG45</f>
        <v>0</v>
      </c>
      <c r="BA374" s="3325" t="s">
        <v>2652</v>
      </c>
      <c r="BB374" s="3634"/>
      <c r="BC374" s="3634"/>
      <c r="BD374" s="3634"/>
      <c r="BE374" s="3323" t="s">
        <v>2653</v>
      </c>
      <c r="BF374" s="2121">
        <f t="shared" ca="1" si="93"/>
        <v>-77.532154317257508</v>
      </c>
      <c r="BG374" s="2121">
        <f t="shared" si="94"/>
        <v>0</v>
      </c>
      <c r="BH374" s="994">
        <f t="shared" ca="1" si="95"/>
        <v>-77.532154317257508</v>
      </c>
      <c r="BI374" s="39" t="str">
        <f ca="1">IF(BH374=0,"ok",IF((BH374)=SUM(BF374:BG374),"ok","error"))</f>
        <v>ok</v>
      </c>
      <c r="BJ374" s="3971" t="s">
        <v>3294</v>
      </c>
      <c r="BK374" s="994"/>
      <c r="BL374" s="994"/>
    </row>
    <row r="375" spans="1:64">
      <c r="C375" s="994"/>
      <c r="D375" s="2121"/>
      <c r="E375" s="3634"/>
      <c r="F375" s="994"/>
      <c r="G375" s="994"/>
      <c r="H375" s="994"/>
      <c r="I375" s="994"/>
      <c r="J375" s="994"/>
      <c r="K375" s="994"/>
      <c r="L375" s="994"/>
      <c r="M375" s="994"/>
      <c r="N375" s="994"/>
      <c r="O375" s="994"/>
      <c r="P375" s="994"/>
      <c r="Q375" s="994"/>
      <c r="R375" s="994"/>
      <c r="S375" s="994"/>
      <c r="T375" s="994"/>
      <c r="U375" s="994"/>
      <c r="V375" s="994"/>
      <c r="W375" s="994"/>
      <c r="X375" s="994"/>
      <c r="Y375" s="994"/>
      <c r="Z375" s="994"/>
      <c r="AA375" s="994"/>
      <c r="AB375" s="994"/>
      <c r="AC375" s="994"/>
      <c r="AD375" s="994"/>
      <c r="AE375" s="994"/>
      <c r="AF375" s="994"/>
      <c r="AG375" s="994"/>
      <c r="AH375" s="994"/>
      <c r="AI375" s="994"/>
      <c r="AJ375" s="994"/>
      <c r="AK375" s="994"/>
      <c r="AL375" s="994"/>
      <c r="AM375" s="994"/>
      <c r="AN375" s="994"/>
      <c r="AO375" s="994"/>
      <c r="AP375" s="994"/>
      <c r="AQ375" s="994"/>
      <c r="AR375" s="994"/>
      <c r="AS375" s="994"/>
      <c r="AT375" s="994"/>
      <c r="AU375" s="994"/>
      <c r="AV375" s="994"/>
      <c r="AW375" s="994"/>
      <c r="AX375" s="3634"/>
      <c r="AY375" s="3323" t="s">
        <v>2654</v>
      </c>
      <c r="AZ375" s="3324">
        <f ca="1">MAX(BG44,0)</f>
        <v>75.014269907136224</v>
      </c>
      <c r="BA375" s="3325" t="s">
        <v>2652</v>
      </c>
      <c r="BB375" s="3634"/>
      <c r="BC375" s="3634"/>
      <c r="BD375" s="3634"/>
      <c r="BE375" s="3323" t="s">
        <v>2655</v>
      </c>
      <c r="BF375" s="2121">
        <f t="shared" ca="1" si="93"/>
        <v>27.54</v>
      </c>
      <c r="BG375" s="2121">
        <f t="shared" ca="1" si="94"/>
        <v>27.539999999999996</v>
      </c>
      <c r="BH375" s="3328">
        <f t="shared" ca="1" si="95"/>
        <v>0</v>
      </c>
      <c r="BI375" s="3634" t="str">
        <f t="shared" ca="1" si="96"/>
        <v>ok</v>
      </c>
      <c r="BJ375" s="994"/>
      <c r="BK375" s="994"/>
      <c r="BL375" s="994"/>
    </row>
    <row r="376" spans="1:64">
      <c r="C376" s="994"/>
      <c r="D376" s="2121"/>
      <c r="E376" s="3634"/>
      <c r="F376" s="994"/>
      <c r="G376" s="994"/>
      <c r="H376" s="994"/>
      <c r="I376" s="994"/>
      <c r="J376" s="994"/>
      <c r="K376" s="994"/>
      <c r="L376" s="994"/>
      <c r="M376" s="994"/>
      <c r="N376" s="994"/>
      <c r="O376" s="994"/>
      <c r="P376" s="994"/>
      <c r="Q376" s="994"/>
      <c r="R376" s="994"/>
      <c r="S376" s="994"/>
      <c r="T376" s="994"/>
      <c r="U376" s="994"/>
      <c r="V376" s="994"/>
      <c r="W376" s="994"/>
      <c r="X376" s="994"/>
      <c r="Y376" s="994"/>
      <c r="Z376" s="994"/>
      <c r="AA376" s="994"/>
      <c r="AB376" s="994"/>
      <c r="AC376" s="994"/>
      <c r="AD376" s="994"/>
      <c r="AE376" s="994"/>
      <c r="AF376" s="994"/>
      <c r="AG376" s="994"/>
      <c r="AH376" s="994"/>
      <c r="AI376" s="994"/>
      <c r="AJ376" s="994"/>
      <c r="AK376" s="994"/>
      <c r="AL376" s="994"/>
      <c r="AM376" s="994"/>
      <c r="AN376" s="994"/>
      <c r="AO376" s="994"/>
      <c r="AP376" s="994"/>
      <c r="AQ376" s="994"/>
      <c r="AR376" s="994"/>
      <c r="AS376" s="994"/>
      <c r="AT376" s="994"/>
      <c r="AU376" s="994"/>
      <c r="AV376" s="994"/>
      <c r="AW376" s="994"/>
      <c r="AX376" s="3634"/>
      <c r="AY376" s="3323" t="s">
        <v>3189</v>
      </c>
      <c r="AZ376" s="3924">
        <f>VI.a!N383+VI.a!N396</f>
        <v>87.045105978477153</v>
      </c>
      <c r="BA376" s="3012" t="s">
        <v>2649</v>
      </c>
      <c r="BB376" s="3634"/>
      <c r="BC376" s="3634"/>
      <c r="BD376" s="3634"/>
      <c r="BE376" s="3323" t="s">
        <v>147</v>
      </c>
      <c r="BF376" s="2121">
        <f t="shared" ca="1" si="93"/>
        <v>0</v>
      </c>
      <c r="BG376" s="2121">
        <f t="shared" ca="1" si="94"/>
        <v>0</v>
      </c>
      <c r="BH376" s="994">
        <f t="shared" ca="1" si="95"/>
        <v>0</v>
      </c>
      <c r="BI376" s="3634" t="str">
        <f t="shared" ca="1" si="96"/>
        <v>ok</v>
      </c>
      <c r="BJ376" s="994"/>
      <c r="BK376" s="994"/>
      <c r="BL376" s="994"/>
    </row>
    <row r="377" spans="1:64">
      <c r="C377" s="994"/>
      <c r="D377" s="2121"/>
      <c r="E377" s="3634"/>
      <c r="F377" s="994"/>
      <c r="G377" s="994"/>
      <c r="H377" s="994"/>
      <c r="I377" s="994"/>
      <c r="J377" s="994"/>
      <c r="K377" s="994"/>
      <c r="L377" s="994"/>
      <c r="M377" s="994"/>
      <c r="N377" s="994"/>
      <c r="O377" s="994"/>
      <c r="P377" s="994"/>
      <c r="Q377" s="994"/>
      <c r="R377" s="994"/>
      <c r="S377" s="994"/>
      <c r="T377" s="994"/>
      <c r="U377" s="994"/>
      <c r="V377" s="994"/>
      <c r="W377" s="994"/>
      <c r="X377" s="994"/>
      <c r="Y377" s="994"/>
      <c r="Z377" s="994"/>
      <c r="AA377" s="994"/>
      <c r="AB377" s="994"/>
      <c r="AC377" s="994"/>
      <c r="AD377" s="994"/>
      <c r="AE377" s="994"/>
      <c r="AF377" s="994"/>
      <c r="AG377" s="994"/>
      <c r="AH377" s="994"/>
      <c r="AI377" s="994"/>
      <c r="AJ377" s="994"/>
      <c r="AK377" s="994"/>
      <c r="AL377" s="994"/>
      <c r="AM377" s="994"/>
      <c r="AN377" s="994"/>
      <c r="AO377" s="994"/>
      <c r="AP377" s="994"/>
      <c r="AQ377" s="994"/>
      <c r="AR377" s="994"/>
      <c r="AS377" s="994"/>
      <c r="AT377" s="994"/>
      <c r="AU377" s="994"/>
      <c r="AV377" s="994"/>
      <c r="AW377" s="994"/>
      <c r="AX377" s="3634"/>
      <c r="AY377" s="3323" t="s">
        <v>507</v>
      </c>
      <c r="AZ377" s="3324">
        <f>VI.c!N62</f>
        <v>16.333333333333336</v>
      </c>
      <c r="BA377" s="3012" t="s">
        <v>2649</v>
      </c>
      <c r="BB377" s="3634"/>
      <c r="BC377" s="3634"/>
      <c r="BD377" s="3634"/>
      <c r="BE377" s="3323" t="s">
        <v>2648</v>
      </c>
      <c r="BF377" s="2121">
        <f t="shared" ca="1" si="93"/>
        <v>0</v>
      </c>
      <c r="BG377" s="2121">
        <f t="shared" si="94"/>
        <v>0</v>
      </c>
      <c r="BH377" s="994">
        <f t="shared" ca="1" si="95"/>
        <v>0</v>
      </c>
      <c r="BI377" s="3634" t="str">
        <f t="shared" ca="1" si="96"/>
        <v>ok</v>
      </c>
      <c r="BJ377" s="994"/>
      <c r="BK377" s="994"/>
      <c r="BL377" s="994"/>
    </row>
    <row r="378" spans="1:64">
      <c r="C378" s="994"/>
      <c r="D378" s="2121"/>
      <c r="E378" s="3634"/>
      <c r="F378" s="994"/>
      <c r="G378" s="994"/>
      <c r="H378" s="994"/>
      <c r="I378" s="994"/>
      <c r="J378" s="994"/>
      <c r="K378" s="994"/>
      <c r="L378" s="994"/>
      <c r="M378" s="994"/>
      <c r="N378" s="994"/>
      <c r="O378" s="994"/>
      <c r="P378" s="994"/>
      <c r="Q378" s="994"/>
      <c r="R378" s="994"/>
      <c r="S378" s="994"/>
      <c r="T378" s="994"/>
      <c r="U378" s="994"/>
      <c r="V378" s="994"/>
      <c r="W378" s="994"/>
      <c r="X378" s="994"/>
      <c r="Y378" s="994"/>
      <c r="Z378" s="994"/>
      <c r="AA378" s="994"/>
      <c r="AB378" s="994"/>
      <c r="AC378" s="994"/>
      <c r="AD378" s="994"/>
      <c r="AE378" s="994"/>
      <c r="AF378" s="994"/>
      <c r="AG378" s="994"/>
      <c r="AH378" s="994"/>
      <c r="AI378" s="994"/>
      <c r="AJ378" s="994"/>
      <c r="AK378" s="994"/>
      <c r="AL378" s="994"/>
      <c r="AM378" s="994"/>
      <c r="AN378" s="994"/>
      <c r="AO378" s="994"/>
      <c r="AP378" s="994"/>
      <c r="AQ378" s="994"/>
      <c r="AR378" s="994"/>
      <c r="AS378" s="994"/>
      <c r="AT378" s="994"/>
      <c r="AU378" s="994"/>
      <c r="AV378" s="994"/>
      <c r="AW378" s="994"/>
      <c r="AX378" s="3634"/>
      <c r="AY378" s="3323" t="s">
        <v>2647</v>
      </c>
      <c r="AZ378" s="3324">
        <f>VI.a!N422+VI.a!N423</f>
        <v>34.589148940785606</v>
      </c>
      <c r="BA378" s="3012" t="s">
        <v>2649</v>
      </c>
      <c r="BB378" s="3634"/>
      <c r="BC378" s="3634"/>
      <c r="BD378" s="3634"/>
      <c r="BE378" s="3323" t="s">
        <v>387</v>
      </c>
      <c r="BF378" s="2121">
        <f t="shared" si="93"/>
        <v>0</v>
      </c>
      <c r="BG378" s="2121">
        <f t="shared" si="94"/>
        <v>0</v>
      </c>
      <c r="BH378" s="994">
        <f t="shared" si="95"/>
        <v>0</v>
      </c>
      <c r="BI378" s="3634" t="str">
        <f t="shared" si="96"/>
        <v>ok</v>
      </c>
      <c r="BJ378" s="994"/>
      <c r="BK378" s="994"/>
      <c r="BL378" s="994"/>
    </row>
    <row r="379" spans="1:64">
      <c r="C379" s="994"/>
      <c r="D379" s="2121"/>
      <c r="E379" s="3634"/>
      <c r="F379" s="994"/>
      <c r="G379" s="994"/>
      <c r="H379" s="994"/>
      <c r="I379" s="994"/>
      <c r="J379" s="994"/>
      <c r="K379" s="994"/>
      <c r="L379" s="994"/>
      <c r="M379" s="994"/>
      <c r="N379" s="994"/>
      <c r="O379" s="994"/>
      <c r="P379" s="994"/>
      <c r="Q379" s="994"/>
      <c r="R379" s="994"/>
      <c r="S379" s="994"/>
      <c r="T379" s="994"/>
      <c r="U379" s="994"/>
      <c r="V379" s="994"/>
      <c r="W379" s="994"/>
      <c r="X379" s="994"/>
      <c r="Y379" s="994"/>
      <c r="Z379" s="994"/>
      <c r="AA379" s="994"/>
      <c r="AB379" s="994"/>
      <c r="AC379" s="994"/>
      <c r="AD379" s="994"/>
      <c r="AE379" s="994"/>
      <c r="AF379" s="994"/>
      <c r="AG379" s="994"/>
      <c r="AH379" s="994"/>
      <c r="AI379" s="994"/>
      <c r="AJ379" s="994"/>
      <c r="AK379" s="994"/>
      <c r="AL379" s="994"/>
      <c r="AM379" s="994"/>
      <c r="AN379" s="994"/>
      <c r="AO379" s="994"/>
      <c r="AP379" s="994"/>
      <c r="AQ379" s="994"/>
      <c r="AR379" s="994"/>
      <c r="AS379" s="994"/>
      <c r="AT379" s="994"/>
      <c r="AU379" s="994"/>
      <c r="AV379" s="994"/>
      <c r="AW379" s="994"/>
      <c r="AX379" s="3634"/>
      <c r="AY379" s="3323" t="s">
        <v>2657</v>
      </c>
      <c r="AZ379" s="3324">
        <f>VI.b!N545+VI.b!N546+VI.b!N547</f>
        <v>0.78743703157838918</v>
      </c>
      <c r="BA379" s="3012" t="s">
        <v>2649</v>
      </c>
      <c r="BB379" s="3634"/>
      <c r="BC379" s="3634"/>
      <c r="BD379" s="3634"/>
      <c r="BE379" s="3326" t="s">
        <v>545</v>
      </c>
      <c r="BF379" s="2121">
        <f t="shared" ca="1" si="93"/>
        <v>2.6537999724419409E-2</v>
      </c>
      <c r="BG379" s="2121">
        <f t="shared" ca="1" si="94"/>
        <v>2.6537999724419409E-2</v>
      </c>
      <c r="BH379" s="994">
        <f t="shared" ca="1" si="95"/>
        <v>0</v>
      </c>
      <c r="BI379" s="3634" t="str">
        <f t="shared" ca="1" si="96"/>
        <v>ok</v>
      </c>
      <c r="BJ379" s="994"/>
      <c r="BK379" s="994"/>
      <c r="BL379" s="994"/>
    </row>
    <row r="380" spans="1:64">
      <c r="C380" s="994"/>
      <c r="D380" s="2121"/>
      <c r="E380" s="3634"/>
      <c r="F380" s="994"/>
      <c r="G380" s="994"/>
      <c r="H380" s="994"/>
      <c r="I380" s="994"/>
      <c r="J380" s="994"/>
      <c r="K380" s="994"/>
      <c r="L380" s="994"/>
      <c r="M380" s="994"/>
      <c r="N380" s="994"/>
      <c r="O380" s="994"/>
      <c r="P380" s="994"/>
      <c r="Q380" s="994"/>
      <c r="R380" s="994"/>
      <c r="S380" s="994"/>
      <c r="T380" s="994"/>
      <c r="U380" s="994"/>
      <c r="V380" s="994"/>
      <c r="W380" s="994"/>
      <c r="X380" s="994"/>
      <c r="Y380" s="994"/>
      <c r="Z380" s="994"/>
      <c r="AA380" s="994"/>
      <c r="AB380" s="994"/>
      <c r="AC380" s="994"/>
      <c r="AD380" s="994"/>
      <c r="AE380" s="994"/>
      <c r="AF380" s="994"/>
      <c r="AG380" s="994"/>
      <c r="AH380" s="994"/>
      <c r="AI380" s="994"/>
      <c r="AJ380" s="994"/>
      <c r="AK380" s="994"/>
      <c r="AL380" s="994"/>
      <c r="AM380" s="994"/>
      <c r="AN380" s="994"/>
      <c r="AO380" s="994"/>
      <c r="AP380" s="994"/>
      <c r="AQ380" s="994"/>
      <c r="AR380" s="994"/>
      <c r="AS380" s="994"/>
      <c r="AT380" s="994"/>
      <c r="AU380" s="994"/>
      <c r="AV380" s="994"/>
      <c r="AW380" s="994"/>
      <c r="AX380" s="3634"/>
      <c r="AY380" s="1431" t="s">
        <v>2657</v>
      </c>
      <c r="AZ380" s="3925">
        <f>VI.b!N544</f>
        <v>0.2136046021465092</v>
      </c>
      <c r="BA380" s="1228" t="s">
        <v>16</v>
      </c>
      <c r="BB380" s="39"/>
      <c r="BC380" s="3634"/>
      <c r="BD380" s="3634"/>
      <c r="BE380" s="1431" t="s">
        <v>371</v>
      </c>
      <c r="BF380" s="3327">
        <f t="shared" si="93"/>
        <v>0</v>
      </c>
      <c r="BG380" s="3327">
        <f t="shared" si="94"/>
        <v>-3.3746962279532504E-3</v>
      </c>
      <c r="BH380" s="3328">
        <f t="shared" si="95"/>
        <v>3.3746962279532504E-3</v>
      </c>
      <c r="BI380" s="39" t="str">
        <f t="shared" si="96"/>
        <v>error</v>
      </c>
      <c r="BJ380" s="3328" t="s">
        <v>5</v>
      </c>
      <c r="BK380" s="3328"/>
      <c r="BL380" s="3328"/>
    </row>
    <row r="381" spans="1:64">
      <c r="C381" s="994"/>
      <c r="D381" s="2121"/>
      <c r="E381" s="3634"/>
      <c r="F381" s="994"/>
      <c r="G381" s="994"/>
      <c r="H381" s="994"/>
      <c r="I381" s="994"/>
      <c r="J381" s="994"/>
      <c r="K381" s="994"/>
      <c r="L381" s="994"/>
      <c r="M381" s="994"/>
      <c r="N381" s="994"/>
      <c r="O381" s="994"/>
      <c r="P381" s="994"/>
      <c r="Q381" s="994"/>
      <c r="R381" s="994"/>
      <c r="S381" s="994"/>
      <c r="T381" s="994"/>
      <c r="U381" s="994"/>
      <c r="V381" s="994"/>
      <c r="W381" s="994"/>
      <c r="X381" s="994"/>
      <c r="Y381" s="994"/>
      <c r="Z381" s="994"/>
      <c r="AA381" s="994"/>
      <c r="AB381" s="994"/>
      <c r="AC381" s="994"/>
      <c r="AD381" s="994"/>
      <c r="AE381" s="994"/>
      <c r="AF381" s="994"/>
      <c r="AG381" s="994"/>
      <c r="AH381" s="994"/>
      <c r="AI381" s="994"/>
      <c r="AJ381" s="994"/>
      <c r="AK381" s="994"/>
      <c r="AL381" s="994"/>
      <c r="AM381" s="994"/>
      <c r="AN381" s="994"/>
      <c r="AO381" s="994"/>
      <c r="AP381" s="994"/>
      <c r="AQ381" s="994"/>
      <c r="AR381" s="994"/>
      <c r="AS381" s="994"/>
      <c r="AT381" s="994"/>
      <c r="AU381" s="994"/>
      <c r="AV381" s="994"/>
      <c r="AW381" s="994"/>
      <c r="AX381" s="3634"/>
      <c r="AY381" s="1431" t="s">
        <v>2653</v>
      </c>
      <c r="AZ381" s="3925">
        <f ca="1">V.b!N83-V.a!N316</f>
        <v>-77.532154317257508</v>
      </c>
      <c r="BA381" s="1228" t="s">
        <v>16</v>
      </c>
      <c r="BB381" s="3970" t="s">
        <v>3294</v>
      </c>
      <c r="BC381" s="3634"/>
      <c r="BD381" s="3634"/>
      <c r="BE381" s="3329" t="s">
        <v>2658</v>
      </c>
      <c r="BF381" s="3330">
        <f t="shared" ca="1" si="93"/>
        <v>120.94738779719889</v>
      </c>
      <c r="BG381" s="3330">
        <f t="shared" ca="1" si="94"/>
        <v>119.72170091718223</v>
      </c>
      <c r="BH381" s="3331">
        <f t="shared" ca="1" si="95"/>
        <v>1.2256868800166529</v>
      </c>
      <c r="BI381" s="39" t="str">
        <f t="shared" ca="1" si="96"/>
        <v>error</v>
      </c>
      <c r="BJ381" s="3331"/>
      <c r="BK381" s="3331"/>
      <c r="BL381" s="3331"/>
    </row>
    <row r="382" spans="1:64">
      <c r="C382" s="994"/>
      <c r="D382" s="2121"/>
      <c r="E382" s="3634"/>
      <c r="F382" s="994"/>
      <c r="G382" s="994"/>
      <c r="H382" s="994"/>
      <c r="I382" s="994"/>
      <c r="J382" s="994"/>
      <c r="K382" s="994"/>
      <c r="L382" s="994"/>
      <c r="M382" s="994"/>
      <c r="N382" s="994"/>
      <c r="O382" s="994"/>
      <c r="P382" s="994"/>
      <c r="Q382" s="994"/>
      <c r="R382" s="994"/>
      <c r="S382" s="994"/>
      <c r="T382" s="994"/>
      <c r="U382" s="994"/>
      <c r="V382" s="994"/>
      <c r="W382" s="994"/>
      <c r="X382" s="994"/>
      <c r="Y382" s="994"/>
      <c r="Z382" s="994"/>
      <c r="AA382" s="994"/>
      <c r="AB382" s="994"/>
      <c r="AC382" s="994"/>
      <c r="AD382" s="994"/>
      <c r="AE382" s="994"/>
      <c r="AF382" s="994"/>
      <c r="AG382" s="994"/>
      <c r="AH382" s="994"/>
      <c r="AI382" s="994"/>
      <c r="AJ382" s="994"/>
      <c r="AK382" s="994"/>
      <c r="AL382" s="994"/>
      <c r="AM382" s="994"/>
      <c r="AN382" s="994"/>
      <c r="AO382" s="994"/>
      <c r="AP382" s="994"/>
      <c r="AQ382" s="994"/>
      <c r="AR382" s="994"/>
      <c r="AS382" s="994"/>
      <c r="AT382" s="994"/>
      <c r="AU382" s="994"/>
      <c r="AV382" s="994"/>
      <c r="AW382" s="994"/>
      <c r="AX382" s="3634"/>
      <c r="AY382" s="1431" t="s">
        <v>2651</v>
      </c>
      <c r="AZ382" s="3925">
        <f ca="1">V.b!N84-V.a!N317</f>
        <v>8</v>
      </c>
      <c r="BA382" s="1228" t="s">
        <v>1712</v>
      </c>
      <c r="BB382" s="3970" t="s">
        <v>3294</v>
      </c>
      <c r="BC382" s="3634"/>
      <c r="BD382" s="3634"/>
      <c r="BE382" s="3323" t="s">
        <v>564</v>
      </c>
      <c r="BF382" s="2121">
        <f t="shared" si="93"/>
        <v>10</v>
      </c>
      <c r="BG382" s="2121">
        <f t="shared" si="94"/>
        <v>0</v>
      </c>
      <c r="BH382" s="994">
        <f t="shared" si="95"/>
        <v>10</v>
      </c>
      <c r="BI382" s="3634" t="str">
        <f t="shared" si="96"/>
        <v>ok</v>
      </c>
      <c r="BJ382" s="994"/>
      <c r="BK382" s="994"/>
      <c r="BL382" s="994"/>
    </row>
    <row r="383" spans="1:64">
      <c r="C383" s="994"/>
      <c r="D383" s="2121"/>
      <c r="E383" s="3634"/>
      <c r="F383" s="994"/>
      <c r="G383" s="994"/>
      <c r="H383" s="994"/>
      <c r="I383" s="994"/>
      <c r="J383" s="994"/>
      <c r="K383" s="994"/>
      <c r="L383" s="994"/>
      <c r="M383" s="994"/>
      <c r="N383" s="994"/>
      <c r="O383" s="994"/>
      <c r="P383" s="994"/>
      <c r="Q383" s="994"/>
      <c r="R383" s="994"/>
      <c r="S383" s="994"/>
      <c r="T383" s="994"/>
      <c r="U383" s="994"/>
      <c r="V383" s="994"/>
      <c r="W383" s="994"/>
      <c r="X383" s="994"/>
      <c r="Y383" s="994"/>
      <c r="Z383" s="994"/>
      <c r="AA383" s="994"/>
      <c r="AB383" s="994"/>
      <c r="AC383" s="994"/>
      <c r="AD383" s="994"/>
      <c r="AE383" s="994"/>
      <c r="AF383" s="994"/>
      <c r="AG383" s="994"/>
      <c r="AH383" s="994"/>
      <c r="AI383" s="994"/>
      <c r="AJ383" s="994"/>
      <c r="AK383" s="994"/>
      <c r="AL383" s="994"/>
      <c r="AM383" s="994"/>
      <c r="AN383" s="994"/>
      <c r="AO383" s="994"/>
      <c r="AP383" s="994"/>
      <c r="AQ383" s="994"/>
      <c r="AR383" s="994"/>
      <c r="AS383" s="994"/>
      <c r="AT383" s="994"/>
      <c r="AU383" s="994"/>
      <c r="AV383" s="994"/>
      <c r="AW383" s="994"/>
      <c r="AX383" s="3634"/>
      <c r="AY383" s="1431" t="s">
        <v>147</v>
      </c>
      <c r="AZ383" s="3925">
        <f ca="1">SUM(AZ370:AZ371)</f>
        <v>0</v>
      </c>
      <c r="BA383" s="1228" t="s">
        <v>16</v>
      </c>
      <c r="BB383" s="39"/>
      <c r="BC383" s="3634"/>
      <c r="BD383" s="3634"/>
      <c r="BE383" s="3323" t="s">
        <v>15</v>
      </c>
      <c r="BF383" s="2121">
        <f t="shared" ca="1" si="93"/>
        <v>98.838360518995387</v>
      </c>
      <c r="BG383" s="2121">
        <f t="shared" ca="1" si="94"/>
        <v>98.838360518995373</v>
      </c>
      <c r="BH383" s="994">
        <f t="shared" ca="1" si="95"/>
        <v>0</v>
      </c>
      <c r="BI383" s="3634" t="str">
        <f t="shared" ca="1" si="96"/>
        <v>ok</v>
      </c>
      <c r="BJ383" s="994"/>
      <c r="BK383" s="994"/>
      <c r="BL383" s="994"/>
    </row>
    <row r="384" spans="1:64">
      <c r="C384" s="994"/>
      <c r="D384" s="2121"/>
      <c r="E384" s="3634"/>
      <c r="F384" s="994"/>
      <c r="G384" s="994"/>
      <c r="H384" s="994"/>
      <c r="I384" s="994"/>
      <c r="J384" s="994"/>
      <c r="K384" s="994"/>
      <c r="L384" s="994"/>
      <c r="M384" s="994"/>
      <c r="N384" s="994"/>
      <c r="O384" s="994"/>
      <c r="P384" s="994"/>
      <c r="Q384" s="994"/>
      <c r="R384" s="994"/>
      <c r="S384" s="994"/>
      <c r="T384" s="994"/>
      <c r="U384" s="994"/>
      <c r="V384" s="994"/>
      <c r="W384" s="994"/>
      <c r="X384" s="994"/>
      <c r="Y384" s="994"/>
      <c r="Z384" s="994"/>
      <c r="AA384" s="994"/>
      <c r="AB384" s="994"/>
      <c r="AC384" s="994"/>
      <c r="AD384" s="994"/>
      <c r="AE384" s="994"/>
      <c r="AF384" s="994"/>
      <c r="AG384" s="994"/>
      <c r="AH384" s="994"/>
      <c r="AI384" s="994"/>
      <c r="AJ384" s="994"/>
      <c r="AK384" s="994"/>
      <c r="AL384" s="994"/>
      <c r="AM384" s="994"/>
      <c r="AN384" s="994"/>
      <c r="AO384" s="994"/>
      <c r="AP384" s="994"/>
      <c r="AQ384" s="994"/>
      <c r="AR384" s="994"/>
      <c r="AS384" s="994"/>
      <c r="AT384" s="994"/>
      <c r="AU384" s="994"/>
      <c r="AV384" s="994"/>
      <c r="AW384" s="994"/>
      <c r="AX384" s="3634"/>
      <c r="AY384" s="1431" t="s">
        <v>145</v>
      </c>
      <c r="AZ384" s="3925">
        <f ca="1">SUM(AZ372:AZ373)</f>
        <v>48.624578735681354</v>
      </c>
      <c r="BA384" s="1228" t="s">
        <v>1712</v>
      </c>
      <c r="BB384" s="39"/>
      <c r="BC384" s="3634"/>
      <c r="BD384" s="3634"/>
      <c r="BE384" s="3323" t="s">
        <v>2654</v>
      </c>
      <c r="BF384" s="2121">
        <f t="shared" ca="1" si="93"/>
        <v>75.014269907136224</v>
      </c>
      <c r="BG384" s="2121">
        <f t="shared" si="94"/>
        <v>0</v>
      </c>
      <c r="BH384" s="994">
        <f t="shared" ca="1" si="95"/>
        <v>75.014269907136224</v>
      </c>
      <c r="BI384" s="3634" t="str">
        <f t="shared" ca="1" si="96"/>
        <v>ok</v>
      </c>
      <c r="BJ384" s="994"/>
      <c r="BK384" s="994"/>
      <c r="BL384" s="994"/>
    </row>
    <row r="385" spans="3:64">
      <c r="C385" s="994"/>
      <c r="D385" s="2121"/>
      <c r="E385" s="3634"/>
      <c r="F385" s="994"/>
      <c r="G385" s="994"/>
      <c r="H385" s="994"/>
      <c r="I385" s="994"/>
      <c r="J385" s="994"/>
      <c r="K385" s="994"/>
      <c r="L385" s="994"/>
      <c r="M385" s="994"/>
      <c r="N385" s="994"/>
      <c r="O385" s="994"/>
      <c r="P385" s="994"/>
      <c r="Q385" s="994"/>
      <c r="R385" s="994"/>
      <c r="S385" s="994"/>
      <c r="T385" s="994"/>
      <c r="U385" s="994"/>
      <c r="V385" s="994"/>
      <c r="W385" s="994"/>
      <c r="X385" s="994"/>
      <c r="Y385" s="994"/>
      <c r="Z385" s="994"/>
      <c r="AA385" s="994"/>
      <c r="AB385" s="994"/>
      <c r="AC385" s="994"/>
      <c r="AD385" s="994"/>
      <c r="AE385" s="994"/>
      <c r="AF385" s="994"/>
      <c r="AG385" s="994"/>
      <c r="AH385" s="994"/>
      <c r="AI385" s="994"/>
      <c r="AJ385" s="994"/>
      <c r="AK385" s="994"/>
      <c r="AL385" s="994"/>
      <c r="AM385" s="994"/>
      <c r="AN385" s="994"/>
      <c r="AO385" s="994"/>
      <c r="AP385" s="994"/>
      <c r="AQ385" s="994"/>
      <c r="AR385" s="994"/>
      <c r="AS385" s="994"/>
      <c r="AT385" s="994"/>
      <c r="AU385" s="994"/>
      <c r="AV385" s="994"/>
      <c r="AW385" s="994"/>
      <c r="AX385" s="3634"/>
      <c r="AY385" s="3329" t="s">
        <v>2652</v>
      </c>
      <c r="AZ385" s="3925">
        <f ca="1">SUM(AZ374:AZ375)</f>
        <v>75.014269907136224</v>
      </c>
      <c r="BA385" s="1228" t="s">
        <v>15</v>
      </c>
      <c r="BB385" s="39"/>
      <c r="BC385" s="3634"/>
      <c r="BD385" s="3634"/>
      <c r="BE385" s="3323" t="s">
        <v>389</v>
      </c>
      <c r="BF385" s="2121">
        <f t="shared" ca="1" si="93"/>
        <v>0</v>
      </c>
      <c r="BG385" s="2121">
        <f t="shared" si="94"/>
        <v>0</v>
      </c>
      <c r="BH385" s="994">
        <f t="shared" ca="1" si="95"/>
        <v>0</v>
      </c>
      <c r="BI385" s="3634" t="str">
        <f t="shared" ca="1" si="96"/>
        <v>ok</v>
      </c>
      <c r="BJ385" s="994"/>
      <c r="BK385" s="994"/>
      <c r="BL385" s="994"/>
    </row>
    <row r="386" spans="3:64">
      <c r="C386" s="994"/>
      <c r="D386" s="2121"/>
      <c r="E386" s="3634"/>
      <c r="F386" s="994"/>
      <c r="G386" s="994"/>
      <c r="H386" s="994"/>
      <c r="I386" s="994"/>
      <c r="J386" s="994"/>
      <c r="K386" s="994"/>
      <c r="L386" s="994"/>
      <c r="M386" s="994"/>
      <c r="N386" s="994"/>
      <c r="O386" s="994"/>
      <c r="P386" s="994"/>
      <c r="Q386" s="994"/>
      <c r="R386" s="994"/>
      <c r="S386" s="994"/>
      <c r="T386" s="994"/>
      <c r="U386" s="994"/>
      <c r="V386" s="994"/>
      <c r="W386" s="994"/>
      <c r="X386" s="994"/>
      <c r="Y386" s="994"/>
      <c r="Z386" s="994"/>
      <c r="AA386" s="994"/>
      <c r="AB386" s="994"/>
      <c r="AC386" s="994"/>
      <c r="AD386" s="994"/>
      <c r="AE386" s="994"/>
      <c r="AF386" s="994"/>
      <c r="AG386" s="994"/>
      <c r="AH386" s="994"/>
      <c r="AI386" s="994"/>
      <c r="AJ386" s="994"/>
      <c r="AK386" s="994"/>
      <c r="AL386" s="994"/>
      <c r="AM386" s="994"/>
      <c r="AN386" s="994"/>
      <c r="AO386" s="994"/>
      <c r="AP386" s="994"/>
      <c r="AQ386" s="994"/>
      <c r="AR386" s="994"/>
      <c r="AS386" s="994"/>
      <c r="AT386" s="994"/>
      <c r="AU386" s="994"/>
      <c r="AV386" s="994"/>
      <c r="AW386" s="994"/>
      <c r="AX386" s="3634"/>
      <c r="AY386" s="3329" t="s">
        <v>79</v>
      </c>
      <c r="AZ386" s="3925">
        <f>IV.a!N109</f>
        <v>4.2515099999999997</v>
      </c>
      <c r="BA386" s="1228" t="s">
        <v>535</v>
      </c>
      <c r="BB386" s="39"/>
      <c r="BC386" s="3634"/>
      <c r="BD386" s="3634"/>
      <c r="BE386" s="3323" t="s">
        <v>495</v>
      </c>
      <c r="BF386" s="2121">
        <f t="shared" si="93"/>
        <v>0</v>
      </c>
      <c r="BG386" s="2121">
        <f t="shared" si="94"/>
        <v>0</v>
      </c>
      <c r="BH386" s="994">
        <f t="shared" si="95"/>
        <v>0</v>
      </c>
      <c r="BI386" s="3634" t="str">
        <f t="shared" si="96"/>
        <v>ok</v>
      </c>
      <c r="BJ386" s="994"/>
      <c r="BK386" s="994"/>
      <c r="BL386" s="994"/>
    </row>
    <row r="387" spans="3:64">
      <c r="C387" s="994"/>
      <c r="D387" s="2121"/>
      <c r="E387" s="3634"/>
      <c r="F387" s="994"/>
      <c r="G387" s="994"/>
      <c r="H387" s="994"/>
      <c r="I387" s="994"/>
      <c r="J387" s="994"/>
      <c r="K387" s="994"/>
      <c r="L387" s="994"/>
      <c r="M387" s="994"/>
      <c r="N387" s="994"/>
      <c r="O387" s="994"/>
      <c r="P387" s="994"/>
      <c r="Q387" s="994"/>
      <c r="R387" s="994"/>
      <c r="S387" s="994"/>
      <c r="T387" s="994"/>
      <c r="U387" s="994"/>
      <c r="V387" s="994"/>
      <c r="W387" s="994"/>
      <c r="X387" s="994"/>
      <c r="Y387" s="994"/>
      <c r="Z387" s="994"/>
      <c r="AA387" s="994"/>
      <c r="AB387" s="994"/>
      <c r="AC387" s="994"/>
      <c r="AD387" s="994"/>
      <c r="AE387" s="994"/>
      <c r="AF387" s="994"/>
      <c r="AG387" s="994"/>
      <c r="AH387" s="994"/>
      <c r="AI387" s="994"/>
      <c r="AJ387" s="994"/>
      <c r="AK387" s="994"/>
      <c r="AL387" s="994"/>
      <c r="AM387" s="994"/>
      <c r="AN387" s="994"/>
      <c r="AO387" s="994"/>
      <c r="AP387" s="994"/>
      <c r="AQ387" s="994"/>
      <c r="AR387" s="994"/>
      <c r="AS387" s="994"/>
      <c r="AT387" s="994"/>
      <c r="AU387" s="994"/>
      <c r="AV387" s="994"/>
      <c r="AW387" s="994"/>
      <c r="AX387" s="3634"/>
      <c r="AY387" s="3329" t="s">
        <v>535</v>
      </c>
      <c r="AZ387" s="3925">
        <f>AZ386</f>
        <v>4.2515099999999997</v>
      </c>
      <c r="BA387" s="1228" t="s">
        <v>2658</v>
      </c>
      <c r="BB387" s="39"/>
      <c r="BC387" s="3634"/>
      <c r="BD387" s="3634"/>
      <c r="BE387" s="3323" t="s">
        <v>55</v>
      </c>
      <c r="BF387" s="2121">
        <f t="shared" si="93"/>
        <v>0</v>
      </c>
      <c r="BG387" s="2121">
        <f t="shared" si="94"/>
        <v>0</v>
      </c>
      <c r="BH387" s="994">
        <f t="shared" si="95"/>
        <v>0</v>
      </c>
      <c r="BI387" s="3634" t="str">
        <f t="shared" si="96"/>
        <v>ok</v>
      </c>
      <c r="BJ387" s="994"/>
      <c r="BK387" s="994"/>
      <c r="BL387" s="994"/>
    </row>
    <row r="388" spans="3:64">
      <c r="C388" s="994"/>
      <c r="D388" s="2121"/>
      <c r="E388" s="3634"/>
      <c r="F388" s="994"/>
      <c r="G388" s="994"/>
      <c r="H388" s="994"/>
      <c r="I388" s="994"/>
      <c r="J388" s="994"/>
      <c r="K388" s="994"/>
      <c r="L388" s="994"/>
      <c r="M388" s="994"/>
      <c r="N388" s="994"/>
      <c r="O388" s="994"/>
      <c r="P388" s="994"/>
      <c r="Q388" s="994"/>
      <c r="R388" s="994"/>
      <c r="S388" s="994"/>
      <c r="T388" s="994"/>
      <c r="U388" s="994"/>
      <c r="V388" s="994"/>
      <c r="W388" s="994"/>
      <c r="X388" s="994"/>
      <c r="Y388" s="994"/>
      <c r="Z388" s="994"/>
      <c r="AA388" s="994"/>
      <c r="AB388" s="994"/>
      <c r="AC388" s="994"/>
      <c r="AD388" s="994"/>
      <c r="AE388" s="994"/>
      <c r="AF388" s="994"/>
      <c r="AG388" s="994"/>
      <c r="AH388" s="994"/>
      <c r="AI388" s="994"/>
      <c r="AJ388" s="994"/>
      <c r="AK388" s="994"/>
      <c r="AL388" s="994"/>
      <c r="AM388" s="994"/>
      <c r="AN388" s="994"/>
      <c r="AO388" s="994"/>
      <c r="AP388" s="994"/>
      <c r="AQ388" s="994"/>
      <c r="AR388" s="994"/>
      <c r="AS388" s="994"/>
      <c r="AT388" s="994"/>
      <c r="AU388" s="994"/>
      <c r="AV388" s="994"/>
      <c r="AW388" s="994"/>
      <c r="AX388" s="3634"/>
      <c r="AY388" s="3329" t="s">
        <v>79</v>
      </c>
      <c r="AZ388" s="3925">
        <f>IV.b!N101</f>
        <v>4.1910433229244628</v>
      </c>
      <c r="BA388" s="1228" t="s">
        <v>2659</v>
      </c>
      <c r="BB388" s="39"/>
      <c r="BC388" s="3634"/>
      <c r="BD388" s="3634"/>
      <c r="BE388" s="3326" t="s">
        <v>385</v>
      </c>
      <c r="BF388" s="2121">
        <f t="shared" si="93"/>
        <v>0</v>
      </c>
      <c r="BG388" s="2121">
        <f t="shared" ca="1" si="94"/>
        <v>3.1711867178177075E-2</v>
      </c>
      <c r="BH388" s="994">
        <f t="shared" ca="1" si="95"/>
        <v>-3.1711867178177075E-2</v>
      </c>
      <c r="BI388" s="3634" t="str">
        <f t="shared" ca="1" si="96"/>
        <v>ok</v>
      </c>
      <c r="BJ388" s="994"/>
      <c r="BK388" s="994"/>
      <c r="BL388" s="994"/>
    </row>
    <row r="389" spans="3:64">
      <c r="C389" s="994"/>
      <c r="D389" s="2121"/>
      <c r="E389" s="3634"/>
      <c r="F389" s="994"/>
      <c r="G389" s="994"/>
      <c r="H389" s="994"/>
      <c r="I389" s="994"/>
      <c r="J389" s="994"/>
      <c r="K389" s="994"/>
      <c r="L389" s="994"/>
      <c r="M389" s="994"/>
      <c r="N389" s="994"/>
      <c r="O389" s="994"/>
      <c r="P389" s="994"/>
      <c r="Q389" s="994"/>
      <c r="R389" s="994"/>
      <c r="S389" s="994"/>
      <c r="T389" s="994"/>
      <c r="U389" s="994"/>
      <c r="V389" s="994"/>
      <c r="W389" s="994"/>
      <c r="X389" s="994"/>
      <c r="Y389" s="994"/>
      <c r="Z389" s="994"/>
      <c r="AA389" s="994"/>
      <c r="AB389" s="994"/>
      <c r="AC389" s="994"/>
      <c r="AD389" s="994"/>
      <c r="AE389" s="994"/>
      <c r="AF389" s="994"/>
      <c r="AG389" s="994"/>
      <c r="AH389" s="994"/>
      <c r="AI389" s="994"/>
      <c r="AJ389" s="994"/>
      <c r="AK389" s="994"/>
      <c r="AL389" s="994"/>
      <c r="AM389" s="994"/>
      <c r="AN389" s="994"/>
      <c r="AO389" s="994"/>
      <c r="AP389" s="994"/>
      <c r="AQ389" s="994"/>
      <c r="AR389" s="994"/>
      <c r="AS389" s="994"/>
      <c r="AT389" s="994"/>
      <c r="AU389" s="994"/>
      <c r="AV389" s="994"/>
      <c r="AW389" s="994"/>
      <c r="AX389" s="3634"/>
      <c r="AY389" s="3329"/>
      <c r="AZ389" s="3925"/>
      <c r="BA389" s="1228"/>
      <c r="BB389" s="39"/>
      <c r="BC389" s="3634"/>
      <c r="BD389" s="3634"/>
      <c r="BE389" s="3326" t="s">
        <v>2660</v>
      </c>
      <c r="BF389" s="2121">
        <f t="shared" ca="1" si="93"/>
        <v>4.1184243088541655E-2</v>
      </c>
      <c r="BG389" s="2121">
        <f t="shared" ca="1" si="94"/>
        <v>4.1184243088541655E-2</v>
      </c>
      <c r="BH389" s="994">
        <f t="shared" ca="1" si="95"/>
        <v>0</v>
      </c>
      <c r="BI389" s="3634" t="str">
        <f t="shared" ca="1" si="96"/>
        <v>ok</v>
      </c>
      <c r="BJ389" s="994"/>
      <c r="BK389" s="994"/>
      <c r="BL389" s="994"/>
    </row>
    <row r="390" spans="3:64">
      <c r="C390" s="994"/>
      <c r="D390" s="2121"/>
      <c r="E390" s="3634"/>
      <c r="F390" s="994"/>
      <c r="G390" s="994"/>
      <c r="H390" s="994"/>
      <c r="I390" s="994"/>
      <c r="J390" s="994"/>
      <c r="K390" s="994"/>
      <c r="L390" s="994"/>
      <c r="M390" s="994"/>
      <c r="N390" s="994"/>
      <c r="O390" s="994"/>
      <c r="P390" s="994"/>
      <c r="Q390" s="994"/>
      <c r="R390" s="994"/>
      <c r="S390" s="994"/>
      <c r="T390" s="994"/>
      <c r="U390" s="994"/>
      <c r="V390" s="994"/>
      <c r="W390" s="994"/>
      <c r="X390" s="994"/>
      <c r="Y390" s="994"/>
      <c r="Z390" s="994"/>
      <c r="AA390" s="994"/>
      <c r="AB390" s="994"/>
      <c r="AC390" s="994"/>
      <c r="AD390" s="994"/>
      <c r="AE390" s="994"/>
      <c r="AF390" s="994"/>
      <c r="AG390" s="994"/>
      <c r="AH390" s="994"/>
      <c r="AI390" s="994"/>
      <c r="AJ390" s="994"/>
      <c r="AK390" s="994"/>
      <c r="AL390" s="994"/>
      <c r="AM390" s="994"/>
      <c r="AN390" s="994"/>
      <c r="AO390" s="994"/>
      <c r="AP390" s="994"/>
      <c r="AQ390" s="994"/>
      <c r="AR390" s="994"/>
      <c r="AS390" s="994"/>
      <c r="AT390" s="994"/>
      <c r="AU390" s="994"/>
      <c r="AV390" s="994"/>
      <c r="AW390" s="994"/>
      <c r="AX390" s="3634"/>
      <c r="AY390" s="1431" t="s">
        <v>2649</v>
      </c>
      <c r="AZ390" s="3925">
        <f ca="1">V.a!N383</f>
        <v>104.20790982088215</v>
      </c>
      <c r="BA390" s="1228" t="s">
        <v>16</v>
      </c>
      <c r="BB390" s="39"/>
      <c r="BC390" s="3634"/>
      <c r="BD390" s="3634"/>
      <c r="BE390" s="3323" t="s">
        <v>2661</v>
      </c>
      <c r="BF390" s="2121">
        <f t="shared" si="93"/>
        <v>0</v>
      </c>
      <c r="BG390" s="2121">
        <f t="shared" si="94"/>
        <v>14.28513186813187</v>
      </c>
      <c r="BH390" s="994">
        <f t="shared" si="95"/>
        <v>-14.28513186813187</v>
      </c>
      <c r="BI390" s="3634" t="str">
        <f t="shared" si="96"/>
        <v>ok</v>
      </c>
      <c r="BJ390" s="994"/>
      <c r="BK390" s="994"/>
      <c r="BL390" s="994"/>
    </row>
    <row r="391" spans="3:64">
      <c r="C391" s="994"/>
      <c r="D391" s="2121"/>
      <c r="E391" s="3634"/>
      <c r="F391" s="994"/>
      <c r="G391" s="994"/>
      <c r="H391" s="994"/>
      <c r="I391" s="994"/>
      <c r="J391" s="994"/>
      <c r="K391" s="994"/>
      <c r="L391" s="994"/>
      <c r="M391" s="994"/>
      <c r="N391" s="994"/>
      <c r="O391" s="994"/>
      <c r="P391" s="994"/>
      <c r="Q391" s="994"/>
      <c r="R391" s="994"/>
      <c r="S391" s="994"/>
      <c r="T391" s="994"/>
      <c r="U391" s="994"/>
      <c r="V391" s="994"/>
      <c r="W391" s="994"/>
      <c r="X391" s="994"/>
      <c r="Y391" s="994"/>
      <c r="Z391" s="994"/>
      <c r="AA391" s="994"/>
      <c r="AB391" s="994"/>
      <c r="AC391" s="994"/>
      <c r="AD391" s="994"/>
      <c r="AE391" s="994"/>
      <c r="AF391" s="994"/>
      <c r="AG391" s="994"/>
      <c r="AH391" s="994"/>
      <c r="AI391" s="994"/>
      <c r="AJ391" s="994"/>
      <c r="AK391" s="994"/>
      <c r="AL391" s="994"/>
      <c r="AM391" s="994"/>
      <c r="AN391" s="994"/>
      <c r="AO391" s="994"/>
      <c r="AP391" s="994"/>
      <c r="AQ391" s="994"/>
      <c r="AR391" s="994"/>
      <c r="AS391" s="994"/>
      <c r="AT391" s="994"/>
      <c r="AU391" s="994"/>
      <c r="AV391" s="994"/>
      <c r="AW391" s="994"/>
      <c r="AX391" s="3634"/>
      <c r="AY391" s="1431" t="s">
        <v>2649</v>
      </c>
      <c r="AZ391" s="3925">
        <f ca="1">V.a!N384</f>
        <v>0.3346610022486472</v>
      </c>
      <c r="BA391" s="1228" t="s">
        <v>1712</v>
      </c>
      <c r="BB391" s="39"/>
      <c r="BC391" s="3634"/>
      <c r="BD391" s="3634"/>
      <c r="BE391" s="3323" t="s">
        <v>2662</v>
      </c>
      <c r="BF391" s="2121">
        <f t="shared" si="93"/>
        <v>0</v>
      </c>
      <c r="BG391" s="2121">
        <f t="shared" ca="1" si="94"/>
        <v>22.037679710380516</v>
      </c>
      <c r="BH391" s="994">
        <f t="shared" ca="1" si="95"/>
        <v>-22.037679710380516</v>
      </c>
      <c r="BI391" s="3634" t="str">
        <f t="shared" ca="1" si="96"/>
        <v>ok</v>
      </c>
      <c r="BJ391" s="994"/>
      <c r="BK391" s="994"/>
      <c r="BL391" s="994"/>
    </row>
    <row r="392" spans="3:64">
      <c r="C392" s="994"/>
      <c r="D392" s="2121"/>
      <c r="E392" s="3634"/>
      <c r="F392" s="994"/>
      <c r="G392" s="994"/>
      <c r="H392" s="994"/>
      <c r="I392" s="994"/>
      <c r="J392" s="994"/>
      <c r="K392" s="994"/>
      <c r="L392" s="994"/>
      <c r="M392" s="994"/>
      <c r="N392" s="994"/>
      <c r="O392" s="994"/>
      <c r="P392" s="994"/>
      <c r="Q392" s="994"/>
      <c r="R392" s="994"/>
      <c r="S392" s="994"/>
      <c r="T392" s="994"/>
      <c r="U392" s="994"/>
      <c r="V392" s="994"/>
      <c r="W392" s="994"/>
      <c r="X392" s="994"/>
      <c r="Y392" s="994"/>
      <c r="Z392" s="994"/>
      <c r="AA392" s="994"/>
      <c r="AB392" s="994"/>
      <c r="AC392" s="994"/>
      <c r="AD392" s="994"/>
      <c r="AE392" s="994"/>
      <c r="AF392" s="994"/>
      <c r="AG392" s="994"/>
      <c r="AH392" s="994"/>
      <c r="AI392" s="994"/>
      <c r="AJ392" s="994"/>
      <c r="AK392" s="994"/>
      <c r="AL392" s="994"/>
      <c r="AM392" s="994"/>
      <c r="AN392" s="994"/>
      <c r="AO392" s="994"/>
      <c r="AP392" s="994"/>
      <c r="AQ392" s="994"/>
      <c r="AR392" s="994"/>
      <c r="AS392" s="994"/>
      <c r="AT392" s="994"/>
      <c r="AU392" s="994"/>
      <c r="AV392" s="994"/>
      <c r="AW392" s="994"/>
      <c r="AX392" s="3634"/>
      <c r="AY392" s="1431" t="s">
        <v>2649</v>
      </c>
      <c r="AZ392" s="3925">
        <f ca="1">V.a!N385</f>
        <v>23.824090611859152</v>
      </c>
      <c r="BA392" s="1228" t="s">
        <v>15</v>
      </c>
      <c r="BB392" s="39"/>
      <c r="BC392" s="3634"/>
      <c r="BD392" s="3634"/>
      <c r="BE392" s="3323" t="s">
        <v>400</v>
      </c>
      <c r="BF392" s="2121">
        <f t="shared" si="93"/>
        <v>0.78946596000000002</v>
      </c>
      <c r="BG392" s="2121">
        <f t="shared" si="94"/>
        <v>0</v>
      </c>
      <c r="BH392" s="994">
        <f t="shared" si="95"/>
        <v>0.78946596000000002</v>
      </c>
      <c r="BI392" s="3634" t="str">
        <f t="shared" si="96"/>
        <v>ok</v>
      </c>
      <c r="BJ392" s="994"/>
      <c r="BK392" s="994"/>
      <c r="BL392" s="994"/>
    </row>
    <row r="393" spans="3:64">
      <c r="C393" s="994"/>
      <c r="D393" s="2121"/>
      <c r="E393" s="3634"/>
      <c r="F393" s="994"/>
      <c r="G393" s="994"/>
      <c r="H393" s="994"/>
      <c r="I393" s="994"/>
      <c r="J393" s="994"/>
      <c r="K393" s="994"/>
      <c r="L393" s="994"/>
      <c r="M393" s="994"/>
      <c r="N393" s="994"/>
      <c r="O393" s="994"/>
      <c r="P393" s="994"/>
      <c r="Q393" s="994"/>
      <c r="R393" s="994"/>
      <c r="S393" s="994"/>
      <c r="T393" s="994"/>
      <c r="U393" s="994"/>
      <c r="V393" s="994"/>
      <c r="W393" s="994"/>
      <c r="X393" s="994"/>
      <c r="Y393" s="994"/>
      <c r="Z393" s="994"/>
      <c r="AA393" s="994"/>
      <c r="AB393" s="994"/>
      <c r="AC393" s="994"/>
      <c r="AD393" s="994"/>
      <c r="AE393" s="994"/>
      <c r="AF393" s="994"/>
      <c r="AG393" s="994"/>
      <c r="AH393" s="994"/>
      <c r="AI393" s="994"/>
      <c r="AJ393" s="994"/>
      <c r="AK393" s="994"/>
      <c r="AL393" s="994"/>
      <c r="AM393" s="994"/>
      <c r="AN393" s="994"/>
      <c r="AO393" s="994"/>
      <c r="AP393" s="994"/>
      <c r="AQ393" s="994"/>
      <c r="AR393" s="994"/>
      <c r="AS393" s="994"/>
      <c r="AT393" s="994"/>
      <c r="AU393" s="994"/>
      <c r="AV393" s="994"/>
      <c r="AW393" s="994"/>
      <c r="AX393" s="3634"/>
      <c r="AY393" s="1431" t="s">
        <v>2649</v>
      </c>
      <c r="AZ393" s="3925">
        <f ca="1">V.a!N391</f>
        <v>10.388363849184515</v>
      </c>
      <c r="BA393" s="1228" t="s">
        <v>1786</v>
      </c>
      <c r="BB393" s="39"/>
      <c r="BC393" s="3634"/>
      <c r="BD393" s="3634"/>
      <c r="BE393" s="3323" t="s">
        <v>368</v>
      </c>
      <c r="BF393" s="2121">
        <f t="shared" si="93"/>
        <v>0</v>
      </c>
      <c r="BG393" s="2121">
        <f t="shared" ca="1" si="94"/>
        <v>35.400261701171111</v>
      </c>
      <c r="BH393" s="994">
        <f t="shared" ca="1" si="95"/>
        <v>-35.400261701171111</v>
      </c>
      <c r="BI393" s="3634" t="str">
        <f t="shared" ca="1" si="96"/>
        <v>ok</v>
      </c>
      <c r="BJ393" s="994"/>
      <c r="BK393" s="994"/>
      <c r="BL393" s="994"/>
    </row>
    <row r="394" spans="3:64">
      <c r="C394" s="994"/>
      <c r="D394" s="2121"/>
      <c r="E394" s="3634"/>
      <c r="F394" s="994"/>
      <c r="G394" s="994"/>
      <c r="H394" s="994"/>
      <c r="I394" s="994"/>
      <c r="J394" s="994"/>
      <c r="K394" s="994"/>
      <c r="L394" s="994"/>
      <c r="M394" s="994"/>
      <c r="N394" s="994"/>
      <c r="O394" s="994"/>
      <c r="P394" s="994"/>
      <c r="Q394" s="994"/>
      <c r="R394" s="994"/>
      <c r="S394" s="994"/>
      <c r="T394" s="994"/>
      <c r="U394" s="994"/>
      <c r="V394" s="994"/>
      <c r="W394" s="994"/>
      <c r="X394" s="994"/>
      <c r="Y394" s="994"/>
      <c r="Z394" s="994"/>
      <c r="AA394" s="994"/>
      <c r="AB394" s="994"/>
      <c r="AC394" s="994"/>
      <c r="AD394" s="994"/>
      <c r="AE394" s="994"/>
      <c r="AF394" s="994"/>
      <c r="AG394" s="994"/>
      <c r="AH394" s="994"/>
      <c r="AI394" s="994"/>
      <c r="AJ394" s="994"/>
      <c r="AK394" s="994"/>
      <c r="AL394" s="994"/>
      <c r="AM394" s="994"/>
      <c r="AN394" s="994"/>
      <c r="AO394" s="994"/>
      <c r="AP394" s="994"/>
      <c r="AQ394" s="994"/>
      <c r="AR394" s="994"/>
      <c r="AS394" s="994"/>
      <c r="AT394" s="994"/>
      <c r="AU394" s="994"/>
      <c r="AV394" s="994"/>
      <c r="AW394" s="994"/>
      <c r="AX394" s="3634"/>
      <c r="AY394" s="1431" t="s">
        <v>16</v>
      </c>
      <c r="AZ394" s="3925">
        <f ca="1">MAX(-BG37,0)</f>
        <v>0.2136046021465092</v>
      </c>
      <c r="BA394" s="1228" t="s">
        <v>2663</v>
      </c>
      <c r="BB394" s="39"/>
      <c r="BC394" s="3634"/>
      <c r="BD394" s="3634"/>
      <c r="BE394" s="3323" t="s">
        <v>373</v>
      </c>
      <c r="BF394" s="2121">
        <f t="shared" si="93"/>
        <v>0</v>
      </c>
      <c r="BG394" s="2121">
        <f t="shared" si="94"/>
        <v>11.923331449069897</v>
      </c>
      <c r="BH394" s="994">
        <f t="shared" si="95"/>
        <v>-11.923331449069897</v>
      </c>
      <c r="BI394" s="3634" t="str">
        <f t="shared" si="96"/>
        <v>ok</v>
      </c>
      <c r="BJ394" s="994"/>
      <c r="BK394" s="994"/>
      <c r="BL394" s="994"/>
    </row>
    <row r="395" spans="3:64">
      <c r="C395" s="994"/>
      <c r="D395" s="2121"/>
      <c r="E395" s="3634"/>
      <c r="F395" s="994"/>
      <c r="G395" s="994"/>
      <c r="H395" s="994"/>
      <c r="I395" s="994"/>
      <c r="J395" s="994"/>
      <c r="K395" s="994"/>
      <c r="L395" s="994"/>
      <c r="M395" s="994"/>
      <c r="N395" s="994"/>
      <c r="O395" s="994"/>
      <c r="P395" s="994"/>
      <c r="Q395" s="994"/>
      <c r="R395" s="994"/>
      <c r="S395" s="994"/>
      <c r="T395" s="994"/>
      <c r="U395" s="994"/>
      <c r="V395" s="994"/>
      <c r="W395" s="994"/>
      <c r="X395" s="994"/>
      <c r="Y395" s="994"/>
      <c r="Z395" s="994"/>
      <c r="AA395" s="994"/>
      <c r="AB395" s="994"/>
      <c r="AC395" s="994"/>
      <c r="AD395" s="994"/>
      <c r="AE395" s="994"/>
      <c r="AF395" s="994"/>
      <c r="AG395" s="994"/>
      <c r="AH395" s="994"/>
      <c r="AI395" s="994"/>
      <c r="AJ395" s="994"/>
      <c r="AK395" s="994"/>
      <c r="AL395" s="994"/>
      <c r="AM395" s="994"/>
      <c r="AN395" s="994"/>
      <c r="AO395" s="994"/>
      <c r="AP395" s="994"/>
      <c r="AQ395" s="994"/>
      <c r="AR395" s="994"/>
      <c r="AS395" s="994"/>
      <c r="AT395" s="994"/>
      <c r="AU395" s="994"/>
      <c r="AV395" s="994"/>
      <c r="AW395" s="994"/>
      <c r="AX395" s="3634"/>
      <c r="AY395" s="1431" t="s">
        <v>1712</v>
      </c>
      <c r="AZ395" s="3925">
        <f ca="1">MAX(-BG41,0)</f>
        <v>0</v>
      </c>
      <c r="BA395" s="1228" t="s">
        <v>2663</v>
      </c>
      <c r="BB395" s="39"/>
      <c r="BC395" s="3634"/>
      <c r="BD395" s="3634"/>
      <c r="BE395" s="3323" t="s">
        <v>374</v>
      </c>
      <c r="BF395" s="2121">
        <f t="shared" si="93"/>
        <v>0</v>
      </c>
      <c r="BG395" s="2121">
        <f t="shared" si="94"/>
        <v>0</v>
      </c>
      <c r="BH395" s="994">
        <f t="shared" si="95"/>
        <v>0</v>
      </c>
      <c r="BI395" s="3634" t="str">
        <f t="shared" si="96"/>
        <v>ok</v>
      </c>
      <c r="BJ395" s="994"/>
      <c r="BK395" s="994"/>
      <c r="BL395" s="994"/>
    </row>
    <row r="396" spans="3:64">
      <c r="C396" s="994"/>
      <c r="D396" s="2121"/>
      <c r="E396" s="3634"/>
      <c r="F396" s="994"/>
      <c r="G396" s="994"/>
      <c r="H396" s="994"/>
      <c r="I396" s="994"/>
      <c r="J396" s="994"/>
      <c r="K396" s="994"/>
      <c r="L396" s="994"/>
      <c r="M396" s="994"/>
      <c r="N396" s="994"/>
      <c r="O396" s="994"/>
      <c r="P396" s="994"/>
      <c r="Q396" s="994"/>
      <c r="R396" s="994"/>
      <c r="S396" s="994"/>
      <c r="T396" s="994"/>
      <c r="U396" s="994"/>
      <c r="V396" s="994"/>
      <c r="W396" s="994"/>
      <c r="X396" s="994"/>
      <c r="Y396" s="994"/>
      <c r="Z396" s="994"/>
      <c r="AA396" s="994"/>
      <c r="AB396" s="994"/>
      <c r="AC396" s="994"/>
      <c r="AD396" s="994"/>
      <c r="AE396" s="994"/>
      <c r="AF396" s="994"/>
      <c r="AG396" s="994"/>
      <c r="AH396" s="994"/>
      <c r="AI396" s="994"/>
      <c r="AJ396" s="994"/>
      <c r="AK396" s="994"/>
      <c r="AL396" s="994"/>
      <c r="AM396" s="994"/>
      <c r="AN396" s="994"/>
      <c r="AO396" s="994"/>
      <c r="AP396" s="994"/>
      <c r="AQ396" s="994"/>
      <c r="AR396" s="994"/>
      <c r="AS396" s="994"/>
      <c r="AT396" s="994"/>
      <c r="AU396" s="994"/>
      <c r="AV396" s="994"/>
      <c r="AW396" s="994"/>
      <c r="AX396" s="3634"/>
      <c r="AY396" s="1431" t="s">
        <v>15</v>
      </c>
      <c r="AZ396" s="3925">
        <f ca="1">MAX(-BG44,0)</f>
        <v>0</v>
      </c>
      <c r="BA396" s="1228" t="s">
        <v>2663</v>
      </c>
      <c r="BB396" s="39"/>
      <c r="BC396" s="3634"/>
      <c r="BD396" s="3634"/>
      <c r="BE396" s="3323" t="s">
        <v>2664</v>
      </c>
      <c r="BF396" s="2121">
        <f t="shared" si="93"/>
        <v>0</v>
      </c>
      <c r="BG396" s="2121">
        <f t="shared" si="94"/>
        <v>5.202</v>
      </c>
      <c r="BH396" s="994">
        <f t="shared" si="95"/>
        <v>-5.202</v>
      </c>
      <c r="BI396" s="3634" t="str">
        <f t="shared" si="96"/>
        <v>ok</v>
      </c>
      <c r="BJ396" s="994"/>
      <c r="BK396" s="994"/>
      <c r="BL396" s="994"/>
    </row>
    <row r="397" spans="3:64">
      <c r="C397" s="994"/>
      <c r="D397" s="2121"/>
      <c r="E397" s="3634"/>
      <c r="F397" s="994"/>
      <c r="G397" s="994"/>
      <c r="H397" s="994"/>
      <c r="I397" s="994"/>
      <c r="J397" s="994"/>
      <c r="K397" s="994"/>
      <c r="L397" s="994"/>
      <c r="M397" s="994"/>
      <c r="N397" s="994"/>
      <c r="O397" s="994"/>
      <c r="P397" s="994"/>
      <c r="Q397" s="994"/>
      <c r="R397" s="994"/>
      <c r="S397" s="994"/>
      <c r="T397" s="994"/>
      <c r="U397" s="994"/>
      <c r="V397" s="994"/>
      <c r="W397" s="994"/>
      <c r="X397" s="994"/>
      <c r="Y397" s="994"/>
      <c r="Z397" s="994"/>
      <c r="AA397" s="994"/>
      <c r="AB397" s="994"/>
      <c r="AC397" s="994"/>
      <c r="AD397" s="994"/>
      <c r="AE397" s="994"/>
      <c r="AF397" s="994"/>
      <c r="AG397" s="994"/>
      <c r="AH397" s="994"/>
      <c r="AI397" s="994"/>
      <c r="AJ397" s="994"/>
      <c r="AK397" s="994"/>
      <c r="AL397" s="994"/>
      <c r="AM397" s="994"/>
      <c r="AN397" s="994"/>
      <c r="AO397" s="994"/>
      <c r="AP397" s="994"/>
      <c r="AQ397" s="994"/>
      <c r="AR397" s="994"/>
      <c r="AS397" s="994"/>
      <c r="AT397" s="994"/>
      <c r="AU397" s="994"/>
      <c r="AV397" s="994"/>
      <c r="AW397" s="994"/>
      <c r="AX397" s="3634"/>
      <c r="AY397" s="1431" t="s">
        <v>16</v>
      </c>
      <c r="AZ397" s="3439">
        <f ca="1">-I.a!N337-I.b!N303</f>
        <v>22.701435428571433</v>
      </c>
      <c r="BA397" s="1228" t="s">
        <v>2665</v>
      </c>
      <c r="BB397" s="39"/>
      <c r="BC397" s="3634"/>
      <c r="BD397" s="3634"/>
      <c r="BE397" s="3323" t="s">
        <v>2666</v>
      </c>
      <c r="BF397" s="2121">
        <f t="shared" si="93"/>
        <v>0</v>
      </c>
      <c r="BG397" s="2121">
        <f t="shared" si="94"/>
        <v>6.5335123342766952</v>
      </c>
      <c r="BH397" s="994">
        <f t="shared" si="95"/>
        <v>-6.5335123342766952</v>
      </c>
      <c r="BI397" s="3634" t="str">
        <f t="shared" si="96"/>
        <v>ok</v>
      </c>
      <c r="BJ397" s="994"/>
      <c r="BK397" s="994"/>
      <c r="BL397" s="994"/>
    </row>
    <row r="398" spans="3:64">
      <c r="C398" s="994"/>
      <c r="D398" s="2121"/>
      <c r="E398" s="3634"/>
      <c r="F398" s="994"/>
      <c r="G398" s="994"/>
      <c r="H398" s="994"/>
      <c r="I398" s="994"/>
      <c r="J398" s="994"/>
      <c r="K398" s="994"/>
      <c r="L398" s="994"/>
      <c r="M398" s="994"/>
      <c r="N398" s="994"/>
      <c r="O398" s="994"/>
      <c r="P398" s="994"/>
      <c r="Q398" s="994"/>
      <c r="R398" s="994"/>
      <c r="S398" s="994"/>
      <c r="T398" s="994"/>
      <c r="U398" s="994"/>
      <c r="V398" s="994"/>
      <c r="W398" s="994"/>
      <c r="X398" s="994"/>
      <c r="Y398" s="994"/>
      <c r="Z398" s="994"/>
      <c r="AA398" s="994"/>
      <c r="AB398" s="994"/>
      <c r="AC398" s="994"/>
      <c r="AD398" s="994"/>
      <c r="AE398" s="994"/>
      <c r="AF398" s="994"/>
      <c r="AG398" s="994"/>
      <c r="AH398" s="994"/>
      <c r="AI398" s="994"/>
      <c r="AJ398" s="994"/>
      <c r="AK398" s="994"/>
      <c r="AL398" s="994"/>
      <c r="AM398" s="994"/>
      <c r="AN398" s="994"/>
      <c r="AO398" s="994"/>
      <c r="AP398" s="994"/>
      <c r="AQ398" s="994"/>
      <c r="AR398" s="994"/>
      <c r="AS398" s="994"/>
      <c r="AT398" s="994"/>
      <c r="AU398" s="994"/>
      <c r="AV398" s="994"/>
      <c r="AW398" s="994"/>
      <c r="AX398" s="3634"/>
      <c r="AY398" s="1431" t="s">
        <v>1712</v>
      </c>
      <c r="AZ398" s="3439">
        <f>-I.a!N338</f>
        <v>0</v>
      </c>
      <c r="BA398" s="1228" t="s">
        <v>2665</v>
      </c>
      <c r="BB398" s="39"/>
      <c r="BC398" s="3634"/>
      <c r="BD398" s="3634"/>
      <c r="BE398" s="3323" t="s">
        <v>1712</v>
      </c>
      <c r="BF398" s="3327">
        <f t="shared" ca="1" si="93"/>
        <v>56.639963036043198</v>
      </c>
      <c r="BG398" s="3327">
        <f t="shared" ca="1" si="94"/>
        <v>56.959239737929998</v>
      </c>
      <c r="BH398" s="3328">
        <f t="shared" ca="1" si="95"/>
        <v>-0.31927670188679969</v>
      </c>
      <c r="BI398" s="39" t="str">
        <f t="shared" ca="1" si="96"/>
        <v>error</v>
      </c>
      <c r="BJ398"/>
      <c r="BK398" s="3328"/>
      <c r="BL398" s="3328"/>
    </row>
    <row r="399" spans="3:64">
      <c r="C399" s="994"/>
      <c r="D399" s="2121"/>
      <c r="E399" s="3634"/>
      <c r="F399" s="994"/>
      <c r="G399" s="994"/>
      <c r="H399" s="994"/>
      <c r="I399" s="994"/>
      <c r="J399" s="994"/>
      <c r="K399" s="994"/>
      <c r="L399" s="994"/>
      <c r="M399" s="994"/>
      <c r="N399" s="994"/>
      <c r="O399" s="994"/>
      <c r="P399" s="994"/>
      <c r="Q399" s="994"/>
      <c r="R399" s="994"/>
      <c r="S399" s="994"/>
      <c r="T399" s="994"/>
      <c r="U399" s="994"/>
      <c r="V399" s="994"/>
      <c r="W399" s="994"/>
      <c r="X399" s="994"/>
      <c r="Y399" s="994"/>
      <c r="Z399" s="994"/>
      <c r="AA399" s="994"/>
      <c r="AB399" s="994"/>
      <c r="AC399" s="994"/>
      <c r="AD399" s="994"/>
      <c r="AE399" s="994"/>
      <c r="AF399" s="994"/>
      <c r="AG399" s="994"/>
      <c r="AH399" s="994"/>
      <c r="AI399" s="994"/>
      <c r="AJ399" s="994"/>
      <c r="AK399" s="994"/>
      <c r="AL399" s="994"/>
      <c r="AM399" s="994"/>
      <c r="AN399" s="994"/>
      <c r="AO399" s="994"/>
      <c r="AP399" s="994"/>
      <c r="AQ399" s="994"/>
      <c r="AR399" s="994"/>
      <c r="AS399" s="994"/>
      <c r="AT399" s="994"/>
      <c r="AU399" s="994"/>
      <c r="AV399" s="994"/>
      <c r="AW399" s="994"/>
      <c r="AX399" s="3634"/>
      <c r="AY399" s="1431" t="s">
        <v>15</v>
      </c>
      <c r="AZ399" s="3439">
        <f ca="1">-I.a!N339-I.b!N304</f>
        <v>40.121307692307688</v>
      </c>
      <c r="BA399" s="1228" t="s">
        <v>2665</v>
      </c>
      <c r="BB399" s="39"/>
      <c r="BC399" s="3634"/>
      <c r="BD399" s="3634"/>
      <c r="BE399" s="3323" t="s">
        <v>1786</v>
      </c>
      <c r="BF399" s="2121">
        <f t="shared" si="93"/>
        <v>0</v>
      </c>
      <c r="BG399" s="2121">
        <f t="shared" ca="1" si="94"/>
        <v>64.092462150449762</v>
      </c>
      <c r="BH399" s="3328">
        <f t="shared" ca="1" si="95"/>
        <v>-64.092462150449762</v>
      </c>
      <c r="BI399" s="3634" t="str">
        <f t="shared" ca="1" si="96"/>
        <v>ok</v>
      </c>
      <c r="BJ399"/>
      <c r="BK399" s="994"/>
      <c r="BL399" s="994"/>
    </row>
    <row r="400" spans="3:64">
      <c r="C400" s="994"/>
      <c r="D400" s="2121"/>
      <c r="E400" s="3634"/>
      <c r="F400" s="994"/>
      <c r="G400" s="994"/>
      <c r="H400" s="994"/>
      <c r="I400" s="994"/>
      <c r="J400" s="994"/>
      <c r="K400" s="994"/>
      <c r="L400" s="994"/>
      <c r="M400" s="994"/>
      <c r="N400" s="994"/>
      <c r="O400" s="994"/>
      <c r="P400" s="994"/>
      <c r="Q400" s="994"/>
      <c r="R400" s="994"/>
      <c r="S400" s="994"/>
      <c r="T400" s="994"/>
      <c r="U400" s="994"/>
      <c r="V400" s="994"/>
      <c r="W400" s="994"/>
      <c r="X400" s="994"/>
      <c r="Y400" s="994"/>
      <c r="Z400" s="994"/>
      <c r="AA400" s="994"/>
      <c r="AB400" s="994"/>
      <c r="AC400" s="994"/>
      <c r="AD400" s="994"/>
      <c r="AE400" s="994"/>
      <c r="AF400" s="994"/>
      <c r="AG400" s="994"/>
      <c r="AH400" s="994"/>
      <c r="AI400" s="994"/>
      <c r="AJ400" s="994"/>
      <c r="AK400" s="994"/>
      <c r="AL400" s="994"/>
      <c r="AM400" s="994"/>
      <c r="AN400" s="994"/>
      <c r="AO400" s="994"/>
      <c r="AP400" s="994"/>
      <c r="AQ400" s="994"/>
      <c r="AR400" s="994"/>
      <c r="AS400" s="994"/>
      <c r="AT400" s="994"/>
      <c r="AU400" s="994"/>
      <c r="AV400" s="994"/>
      <c r="AW400" s="994"/>
      <c r="AX400" s="3634"/>
      <c r="AY400" s="1431" t="s">
        <v>744</v>
      </c>
      <c r="AZ400" s="3439">
        <f>-II.a!N166</f>
        <v>21.428000000000004</v>
      </c>
      <c r="BA400" s="1228" t="s">
        <v>2665</v>
      </c>
      <c r="BB400" s="39"/>
      <c r="BC400" s="3634"/>
      <c r="BD400" s="3634"/>
      <c r="BE400" s="3323" t="s">
        <v>507</v>
      </c>
      <c r="BF400" s="2121">
        <f t="shared" si="93"/>
        <v>16.333333333333336</v>
      </c>
      <c r="BG400" s="2121">
        <f t="shared" si="94"/>
        <v>0</v>
      </c>
      <c r="BH400" s="3328">
        <f t="shared" si="95"/>
        <v>16.333333333333336</v>
      </c>
      <c r="BI400" s="3634" t="str">
        <f t="shared" si="96"/>
        <v>ok</v>
      </c>
      <c r="BJ400"/>
      <c r="BK400" s="994"/>
      <c r="BL400" s="994"/>
    </row>
    <row r="401" spans="3:65">
      <c r="C401" s="994"/>
      <c r="D401" s="2121"/>
      <c r="E401" s="3634"/>
      <c r="F401" s="994"/>
      <c r="G401" s="994"/>
      <c r="H401" s="994"/>
      <c r="I401" s="994"/>
      <c r="J401" s="994"/>
      <c r="K401" s="994"/>
      <c r="L401" s="994"/>
      <c r="M401" s="994"/>
      <c r="N401" s="994"/>
      <c r="O401" s="994"/>
      <c r="P401" s="994"/>
      <c r="Q401" s="994"/>
      <c r="R401" s="994"/>
      <c r="S401" s="994"/>
      <c r="T401" s="994"/>
      <c r="U401" s="994"/>
      <c r="V401" s="994"/>
      <c r="W401" s="994"/>
      <c r="X401" s="994"/>
      <c r="Y401" s="994"/>
      <c r="Z401" s="994"/>
      <c r="AA401" s="994"/>
      <c r="AB401" s="994"/>
      <c r="AC401" s="994"/>
      <c r="AD401" s="994"/>
      <c r="AE401" s="994"/>
      <c r="AF401" s="994"/>
      <c r="AG401" s="994"/>
      <c r="AH401" s="994"/>
      <c r="AI401" s="994"/>
      <c r="AJ401" s="994"/>
      <c r="AK401" s="994"/>
      <c r="AL401" s="994"/>
      <c r="AM401" s="994"/>
      <c r="AN401" s="994"/>
      <c r="AO401" s="994"/>
      <c r="AP401" s="994"/>
      <c r="AQ401" s="994"/>
      <c r="AR401" s="994"/>
      <c r="AS401" s="994"/>
      <c r="AT401" s="994"/>
      <c r="AU401" s="994"/>
      <c r="AV401" s="994"/>
      <c r="AW401" s="994"/>
      <c r="AX401" s="3634"/>
      <c r="AY401" s="1431" t="s">
        <v>2665</v>
      </c>
      <c r="AZ401" s="3925">
        <f ca="1">XVII.a!N77</f>
        <v>2.6537999724419409E-2</v>
      </c>
      <c r="BA401" s="3960" t="s">
        <v>545</v>
      </c>
      <c r="BB401" s="39"/>
      <c r="BC401" s="3634"/>
      <c r="BD401" s="3634"/>
      <c r="BE401" s="3323" t="s">
        <v>372</v>
      </c>
      <c r="BF401" s="2121">
        <f t="shared" si="93"/>
        <v>0</v>
      </c>
      <c r="BG401" s="2121">
        <f t="shared" si="94"/>
        <v>0.66</v>
      </c>
      <c r="BH401" s="3328">
        <f t="shared" si="95"/>
        <v>-0.66</v>
      </c>
      <c r="BI401" s="3634" t="str">
        <f t="shared" si="96"/>
        <v>ok</v>
      </c>
      <c r="BJ401"/>
      <c r="BK401" s="994"/>
      <c r="BL401" s="994"/>
    </row>
    <row r="402" spans="3:65">
      <c r="C402" s="994"/>
      <c r="D402" s="2121"/>
      <c r="E402" s="3634"/>
      <c r="F402" s="994"/>
      <c r="G402" s="994"/>
      <c r="H402" s="994"/>
      <c r="I402" s="994"/>
      <c r="J402" s="994"/>
      <c r="K402" s="994"/>
      <c r="L402" s="994"/>
      <c r="M402" s="994"/>
      <c r="N402" s="994"/>
      <c r="O402" s="994"/>
      <c r="P402" s="994"/>
      <c r="Q402" s="994"/>
      <c r="R402" s="994"/>
      <c r="S402" s="994"/>
      <c r="T402" s="994"/>
      <c r="U402" s="994"/>
      <c r="V402" s="994"/>
      <c r="W402" s="994"/>
      <c r="X402" s="994"/>
      <c r="Y402" s="994"/>
      <c r="Z402" s="994"/>
      <c r="AA402" s="994"/>
      <c r="AB402" s="994"/>
      <c r="AC402" s="994"/>
      <c r="AD402" s="994"/>
      <c r="AE402" s="994"/>
      <c r="AF402" s="994"/>
      <c r="AG402" s="994"/>
      <c r="AH402" s="994"/>
      <c r="AI402" s="994"/>
      <c r="AJ402" s="994"/>
      <c r="AK402" s="994"/>
      <c r="AL402" s="994"/>
      <c r="AM402" s="994"/>
      <c r="AN402" s="994"/>
      <c r="AO402" s="994"/>
      <c r="AP402" s="994"/>
      <c r="AQ402" s="994"/>
      <c r="AR402" s="994"/>
      <c r="AS402" s="994"/>
      <c r="AT402" s="994"/>
      <c r="AU402" s="994"/>
      <c r="AV402" s="994"/>
      <c r="AW402" s="994"/>
      <c r="AX402" s="3634"/>
      <c r="AY402" s="1431" t="s">
        <v>2665</v>
      </c>
      <c r="AZ402" s="3925">
        <f ca="1">I.a!N336+I.b!N302+II.a!N165+XVII.a!N78</f>
        <v>38.194053857182226</v>
      </c>
      <c r="BA402" s="1228" t="s">
        <v>2658</v>
      </c>
      <c r="BB402" s="39"/>
      <c r="BC402" s="3634"/>
      <c r="BD402" s="3634"/>
      <c r="BE402" s="3332" t="s">
        <v>2652</v>
      </c>
      <c r="BF402" s="2121">
        <f t="shared" ca="1" si="93"/>
        <v>75.014269907136224</v>
      </c>
      <c r="BG402" s="2121">
        <f t="shared" ca="1" si="94"/>
        <v>75.014269907136224</v>
      </c>
      <c r="BH402" s="3328">
        <f t="shared" ca="1" si="95"/>
        <v>0</v>
      </c>
      <c r="BI402" s="3634" t="str">
        <f t="shared" ca="1" si="96"/>
        <v>ok</v>
      </c>
      <c r="BJ402"/>
      <c r="BK402" s="994"/>
      <c r="BL402" s="994"/>
    </row>
    <row r="403" spans="3:65">
      <c r="C403" s="994"/>
      <c r="D403" s="2121"/>
      <c r="E403" s="3634"/>
      <c r="F403" s="994"/>
      <c r="G403" s="994"/>
      <c r="H403" s="994"/>
      <c r="I403" s="994"/>
      <c r="J403" s="994"/>
      <c r="K403" s="994"/>
      <c r="L403" s="994"/>
      <c r="M403" s="994"/>
      <c r="N403" s="994"/>
      <c r="O403" s="994"/>
      <c r="P403" s="994"/>
      <c r="Q403" s="994"/>
      <c r="R403" s="994"/>
      <c r="S403" s="994"/>
      <c r="T403" s="994"/>
      <c r="U403" s="994"/>
      <c r="V403" s="994"/>
      <c r="W403" s="994"/>
      <c r="X403" s="994"/>
      <c r="Y403" s="994"/>
      <c r="Z403" s="994"/>
      <c r="AA403" s="994"/>
      <c r="AB403" s="994"/>
      <c r="AC403" s="994"/>
      <c r="AD403" s="994"/>
      <c r="AE403" s="994"/>
      <c r="AF403" s="994"/>
      <c r="AG403" s="994"/>
      <c r="AH403" s="994"/>
      <c r="AI403" s="994"/>
      <c r="AJ403" s="994"/>
      <c r="AK403" s="994"/>
      <c r="AL403" s="994"/>
      <c r="AM403" s="994"/>
      <c r="AN403" s="994"/>
      <c r="AO403" s="994"/>
      <c r="AP403" s="994"/>
      <c r="AQ403" s="994"/>
      <c r="AR403" s="994"/>
      <c r="AS403" s="994"/>
      <c r="AT403" s="994"/>
      <c r="AU403" s="994"/>
      <c r="AV403" s="994"/>
      <c r="AW403" s="994"/>
      <c r="AX403" s="3634"/>
      <c r="AY403" s="1431" t="s">
        <v>2665</v>
      </c>
      <c r="AZ403" s="3925">
        <f ca="1">XVII.a!N79+I.a!N340+I.a!N330+I.b!N305+I.b!N306+II.a!N167+II.a!N168</f>
        <v>45.798728863972478</v>
      </c>
      <c r="BA403" s="3960" t="s">
        <v>1786</v>
      </c>
      <c r="BB403" s="39"/>
      <c r="BC403" s="3634"/>
      <c r="BD403" s="3634"/>
      <c r="BE403" s="3323" t="s">
        <v>744</v>
      </c>
      <c r="BF403" s="2121">
        <f t="shared" si="93"/>
        <v>21.428000000000004</v>
      </c>
      <c r="BG403" s="2121">
        <f t="shared" si="94"/>
        <v>0</v>
      </c>
      <c r="BH403" s="3328">
        <f t="shared" si="95"/>
        <v>21.428000000000004</v>
      </c>
      <c r="BI403" s="3634" t="str">
        <f t="shared" si="96"/>
        <v>ok</v>
      </c>
      <c r="BJ403"/>
      <c r="BK403" s="994"/>
      <c r="BL403" s="994"/>
    </row>
    <row r="404" spans="3:65">
      <c r="C404" s="994"/>
      <c r="D404" s="2121"/>
      <c r="E404" s="3634"/>
      <c r="F404" s="994"/>
      <c r="G404" s="994"/>
      <c r="H404" s="994"/>
      <c r="I404" s="994"/>
      <c r="J404" s="994"/>
      <c r="K404" s="994"/>
      <c r="L404" s="994"/>
      <c r="M404" s="994"/>
      <c r="N404" s="994"/>
      <c r="O404" s="994"/>
      <c r="P404" s="994"/>
      <c r="Q404" s="994"/>
      <c r="R404" s="994"/>
      <c r="S404" s="994"/>
      <c r="T404" s="994"/>
      <c r="U404" s="994"/>
      <c r="V404" s="994"/>
      <c r="W404" s="994"/>
      <c r="X404" s="994"/>
      <c r="Y404" s="994"/>
      <c r="Z404" s="994"/>
      <c r="AA404" s="994"/>
      <c r="AB404" s="994"/>
      <c r="AC404" s="994"/>
      <c r="AD404" s="994"/>
      <c r="AE404" s="994"/>
      <c r="AF404" s="994"/>
      <c r="AG404" s="994"/>
      <c r="AH404" s="994"/>
      <c r="AI404" s="994"/>
      <c r="AJ404" s="994"/>
      <c r="AK404" s="994"/>
      <c r="AL404" s="994"/>
      <c r="AM404" s="994"/>
      <c r="AN404" s="994"/>
      <c r="AO404" s="994"/>
      <c r="AP404" s="994"/>
      <c r="AQ404" s="994"/>
      <c r="AR404" s="994"/>
      <c r="AS404" s="994"/>
      <c r="AT404" s="994"/>
      <c r="AU404" s="994"/>
      <c r="AV404" s="994"/>
      <c r="AW404" s="994"/>
      <c r="AX404" s="3634"/>
      <c r="AY404" s="1431" t="s">
        <v>16</v>
      </c>
      <c r="AZ404" s="3925">
        <f ca="1">-IX.a!N1216-IX.c!N721</f>
        <v>0</v>
      </c>
      <c r="BA404" s="3960" t="s">
        <v>2655</v>
      </c>
      <c r="BB404" s="39"/>
      <c r="BC404" s="3634"/>
      <c r="BD404" s="3634"/>
      <c r="BE404" s="3323" t="s">
        <v>145</v>
      </c>
      <c r="BF404" s="2121">
        <f t="shared" ca="1" si="93"/>
        <v>48.624578735681354</v>
      </c>
      <c r="BG404" s="2121">
        <f t="shared" ca="1" si="94"/>
        <v>48.624578735681354</v>
      </c>
      <c r="BH404" s="3328">
        <f t="shared" ca="1" si="95"/>
        <v>0</v>
      </c>
      <c r="BI404" s="3634" t="str">
        <f t="shared" ca="1" si="96"/>
        <v>ok</v>
      </c>
      <c r="BJ404"/>
      <c r="BK404" s="994"/>
      <c r="BL404" s="994"/>
    </row>
    <row r="405" spans="3:65">
      <c r="C405" s="994"/>
      <c r="D405" s="2121"/>
      <c r="E405" s="3634"/>
      <c r="F405" s="994"/>
      <c r="G405" s="994"/>
      <c r="H405" s="994"/>
      <c r="I405" s="994"/>
      <c r="J405" s="994"/>
      <c r="K405" s="994"/>
      <c r="L405" s="994"/>
      <c r="M405" s="994"/>
      <c r="N405" s="994"/>
      <c r="O405" s="994"/>
      <c r="P405" s="994"/>
      <c r="Q405" s="994"/>
      <c r="R405" s="994"/>
      <c r="S405" s="994"/>
      <c r="T405" s="994"/>
      <c r="U405" s="994"/>
      <c r="V405" s="994"/>
      <c r="W405" s="994"/>
      <c r="X405" s="994"/>
      <c r="Y405" s="994"/>
      <c r="Z405" s="994"/>
      <c r="AA405" s="994"/>
      <c r="AB405" s="994"/>
      <c r="AC405" s="994"/>
      <c r="AD405" s="994"/>
      <c r="AE405" s="994"/>
      <c r="AF405" s="994"/>
      <c r="AG405" s="994"/>
      <c r="AH405" s="994"/>
      <c r="AI405" s="994"/>
      <c r="AJ405" s="994"/>
      <c r="AK405" s="994"/>
      <c r="AL405" s="994"/>
      <c r="AM405" s="994"/>
      <c r="AN405" s="994"/>
      <c r="AO405" s="994"/>
      <c r="AP405" s="994"/>
      <c r="AQ405" s="994"/>
      <c r="AR405" s="994"/>
      <c r="AS405" s="994"/>
      <c r="AT405" s="994"/>
      <c r="AU405" s="994"/>
      <c r="AV405" s="994"/>
      <c r="AW405" s="994"/>
      <c r="AX405" s="3634"/>
      <c r="AY405" s="1431" t="s">
        <v>1712</v>
      </c>
      <c r="AZ405" s="3925">
        <f ca="1">-IX.a!N1217-IX.c!N722</f>
        <v>0</v>
      </c>
      <c r="BA405" s="3960" t="s">
        <v>2655</v>
      </c>
      <c r="BB405" s="39"/>
      <c r="BC405" s="3634"/>
      <c r="BD405" s="3634"/>
      <c r="BE405" s="3323" t="s">
        <v>2650</v>
      </c>
      <c r="BF405" s="2121">
        <f t="shared" ca="1" si="93"/>
        <v>48.624578735681354</v>
      </c>
      <c r="BG405" s="2121">
        <f t="shared" si="94"/>
        <v>0</v>
      </c>
      <c r="BH405" s="3328">
        <f t="shared" ca="1" si="95"/>
        <v>48.624578735681354</v>
      </c>
      <c r="BI405" s="3634" t="str">
        <f t="shared" ca="1" si="96"/>
        <v>ok</v>
      </c>
      <c r="BJ405"/>
      <c r="BK405" s="994"/>
      <c r="BL405" s="994"/>
    </row>
    <row r="406" spans="3:65">
      <c r="C406" s="994"/>
      <c r="D406" s="2121"/>
      <c r="E406" s="3634"/>
      <c r="F406" s="994"/>
      <c r="G406" s="994"/>
      <c r="H406" s="994"/>
      <c r="I406" s="994"/>
      <c r="J406" s="994"/>
      <c r="K406" s="994"/>
      <c r="L406" s="994"/>
      <c r="M406" s="994"/>
      <c r="N406" s="994"/>
      <c r="O406" s="994"/>
      <c r="P406" s="994"/>
      <c r="Q406" s="994"/>
      <c r="R406" s="994"/>
      <c r="S406" s="994"/>
      <c r="T406" s="994"/>
      <c r="U406" s="994"/>
      <c r="V406" s="994"/>
      <c r="W406" s="994"/>
      <c r="X406" s="994"/>
      <c r="Y406" s="994"/>
      <c r="Z406" s="994"/>
      <c r="AA406" s="994"/>
      <c r="AB406" s="994"/>
      <c r="AC406" s="994"/>
      <c r="AD406" s="994"/>
      <c r="AE406" s="994"/>
      <c r="AF406" s="994"/>
      <c r="AG406" s="994"/>
      <c r="AH406" s="994"/>
      <c r="AI406" s="994"/>
      <c r="AJ406" s="994"/>
      <c r="AK406" s="994"/>
      <c r="AL406" s="994"/>
      <c r="AM406" s="994"/>
      <c r="AN406" s="994"/>
      <c r="AO406" s="994"/>
      <c r="AP406" s="994"/>
      <c r="AQ406" s="994"/>
      <c r="AR406" s="994"/>
      <c r="AS406" s="994"/>
      <c r="AT406" s="994"/>
      <c r="AU406" s="994"/>
      <c r="AV406" s="994"/>
      <c r="AW406" s="994"/>
      <c r="AX406" s="3634"/>
      <c r="AY406" s="1431" t="s">
        <v>15</v>
      </c>
      <c r="AZ406" s="3925">
        <f ca="1">-IX.a!N1218-IX.c!N723</f>
        <v>27.539999999999996</v>
      </c>
      <c r="BA406" s="3960" t="s">
        <v>2655</v>
      </c>
      <c r="BB406" s="39"/>
      <c r="BC406" s="3634"/>
      <c r="BD406" s="3634"/>
      <c r="BE406" s="3323" t="s">
        <v>388</v>
      </c>
      <c r="BF406" s="2121">
        <f t="shared" ca="1" si="93"/>
        <v>0</v>
      </c>
      <c r="BG406" s="2121">
        <f t="shared" si="94"/>
        <v>0</v>
      </c>
      <c r="BH406" s="3328">
        <f t="shared" ca="1" si="95"/>
        <v>0</v>
      </c>
      <c r="BI406" s="3634" t="str">
        <f t="shared" ca="1" si="96"/>
        <v>ok</v>
      </c>
      <c r="BJ406"/>
      <c r="BK406" s="994"/>
      <c r="BL406" s="994"/>
    </row>
    <row r="407" spans="3:65">
      <c r="C407" s="994"/>
      <c r="D407" s="2121"/>
      <c r="E407" s="3634"/>
      <c r="F407" s="994"/>
      <c r="G407" s="994"/>
      <c r="H407" s="994"/>
      <c r="I407" s="994"/>
      <c r="J407" s="994"/>
      <c r="K407" s="994"/>
      <c r="L407" s="994"/>
      <c r="M407" s="994"/>
      <c r="N407" s="994"/>
      <c r="O407" s="994"/>
      <c r="P407" s="994"/>
      <c r="Q407" s="994"/>
      <c r="R407" s="994"/>
      <c r="S407" s="994"/>
      <c r="T407" s="994"/>
      <c r="U407" s="994"/>
      <c r="V407" s="994"/>
      <c r="W407" s="994"/>
      <c r="X407" s="994"/>
      <c r="Y407" s="994"/>
      <c r="Z407" s="994"/>
      <c r="AA407" s="994"/>
      <c r="AB407" s="994"/>
      <c r="AC407" s="994"/>
      <c r="AD407" s="994"/>
      <c r="AE407" s="994"/>
      <c r="AF407" s="994"/>
      <c r="AG407" s="994"/>
      <c r="AH407" s="994"/>
      <c r="AI407" s="994"/>
      <c r="AJ407" s="994"/>
      <c r="AK407" s="994"/>
      <c r="AL407" s="994"/>
      <c r="AM407" s="994"/>
      <c r="AN407" s="994"/>
      <c r="AO407" s="994"/>
      <c r="AP407" s="994"/>
      <c r="AQ407" s="994"/>
      <c r="AR407" s="994"/>
      <c r="AS407" s="994"/>
      <c r="AT407" s="994"/>
      <c r="AU407" s="994"/>
      <c r="AV407" s="994"/>
      <c r="AW407" s="994"/>
      <c r="AX407" s="3634"/>
      <c r="AY407" s="1431" t="s">
        <v>2655</v>
      </c>
      <c r="AZ407" s="3925">
        <f ca="1">IX.a!N1215+IX.c!N720</f>
        <v>12.392999999999999</v>
      </c>
      <c r="BA407" s="3960" t="s">
        <v>2658</v>
      </c>
      <c r="BB407" s="39"/>
      <c r="BC407" s="3634"/>
      <c r="BD407" s="3634"/>
      <c r="BE407" s="3323" t="s">
        <v>2657</v>
      </c>
      <c r="BF407" s="2121">
        <f t="shared" si="93"/>
        <v>1.0010416337248984</v>
      </c>
      <c r="BG407" s="2121">
        <f t="shared" si="94"/>
        <v>0</v>
      </c>
      <c r="BH407" s="3328">
        <f t="shared" si="95"/>
        <v>1.0010416337248984</v>
      </c>
      <c r="BI407" s="3634" t="str">
        <f t="shared" si="96"/>
        <v>ok</v>
      </c>
      <c r="BJ407"/>
      <c r="BK407" s="994"/>
      <c r="BL407" s="994"/>
    </row>
    <row r="408" spans="3:65">
      <c r="C408" s="994"/>
      <c r="D408" s="2121"/>
      <c r="E408" s="3634"/>
      <c r="F408" s="994"/>
      <c r="G408" s="994"/>
      <c r="H408" s="994"/>
      <c r="I408" s="994"/>
      <c r="J408" s="994"/>
      <c r="K408" s="994"/>
      <c r="L408" s="994"/>
      <c r="M408" s="994"/>
      <c r="N408" s="994"/>
      <c r="O408" s="994"/>
      <c r="P408" s="994"/>
      <c r="Q408" s="994"/>
      <c r="R408" s="994"/>
      <c r="S408" s="994"/>
      <c r="T408" s="994"/>
      <c r="U408" s="994"/>
      <c r="V408" s="994"/>
      <c r="W408" s="994"/>
      <c r="X408" s="994"/>
      <c r="Y408" s="994"/>
      <c r="Z408" s="994"/>
      <c r="AA408" s="994"/>
      <c r="AB408" s="994"/>
      <c r="AC408" s="994"/>
      <c r="AD408" s="994"/>
      <c r="AE408" s="994"/>
      <c r="AF408" s="994"/>
      <c r="AG408" s="994"/>
      <c r="AH408" s="994"/>
      <c r="AI408" s="994"/>
      <c r="AJ408" s="994"/>
      <c r="AK408" s="994"/>
      <c r="AL408" s="994"/>
      <c r="AM408" s="994"/>
      <c r="AN408" s="994"/>
      <c r="AO408" s="994"/>
      <c r="AP408" s="994"/>
      <c r="AQ408" s="994"/>
      <c r="AR408" s="994"/>
      <c r="AS408" s="994"/>
      <c r="AT408" s="994"/>
      <c r="AU408" s="994"/>
      <c r="AV408" s="994"/>
      <c r="AW408" s="994"/>
      <c r="AX408" s="3634"/>
      <c r="AY408" s="1431" t="s">
        <v>2655</v>
      </c>
      <c r="AZ408" s="3925">
        <f ca="1">IX.a!N1223+IX.c!N727</f>
        <v>2.7539999999999996</v>
      </c>
      <c r="BA408" s="3960" t="s">
        <v>1786</v>
      </c>
      <c r="BB408" s="39"/>
      <c r="BC408" s="3634"/>
      <c r="BD408" s="3634"/>
      <c r="BE408" s="3323" t="s">
        <v>2663</v>
      </c>
      <c r="BF408" s="2121">
        <f t="shared" si="93"/>
        <v>0</v>
      </c>
      <c r="BG408" s="2121">
        <f t="shared" ca="1" si="94"/>
        <v>87.788338640267582</v>
      </c>
      <c r="BH408" s="3328">
        <f t="shared" ca="1" si="95"/>
        <v>-87.788338640267582</v>
      </c>
      <c r="BI408" s="3634" t="str">
        <f t="shared" ca="1" si="96"/>
        <v>ok</v>
      </c>
      <c r="BJ408"/>
      <c r="BK408" s="994"/>
      <c r="BL408" s="994"/>
    </row>
    <row r="409" spans="3:65">
      <c r="C409" s="994"/>
      <c r="D409" s="2121"/>
      <c r="E409" s="3634"/>
      <c r="F409" s="994"/>
      <c r="G409" s="994"/>
      <c r="H409" s="994"/>
      <c r="I409" s="994"/>
      <c r="J409" s="994"/>
      <c r="K409" s="994"/>
      <c r="L409" s="994"/>
      <c r="M409" s="994"/>
      <c r="N409" s="994"/>
      <c r="O409" s="994"/>
      <c r="P409" s="994"/>
      <c r="Q409" s="994"/>
      <c r="R409" s="994"/>
      <c r="S409" s="994"/>
      <c r="T409" s="994"/>
      <c r="U409" s="994"/>
      <c r="V409" s="994"/>
      <c r="W409" s="994"/>
      <c r="X409" s="994"/>
      <c r="Y409" s="994"/>
      <c r="Z409" s="994"/>
      <c r="AA409" s="994"/>
      <c r="AB409" s="994"/>
      <c r="AC409" s="994"/>
      <c r="AD409" s="994"/>
      <c r="AE409" s="994"/>
      <c r="AF409" s="994"/>
      <c r="AG409" s="994"/>
      <c r="AH409" s="994"/>
      <c r="AI409" s="994"/>
      <c r="AJ409" s="994"/>
      <c r="AK409" s="994"/>
      <c r="AL409" s="994"/>
      <c r="AM409" s="994"/>
      <c r="AN409" s="994"/>
      <c r="AO409" s="994"/>
      <c r="AP409" s="994"/>
      <c r="AQ409" s="994"/>
      <c r="AR409" s="994"/>
      <c r="AS409" s="994"/>
      <c r="AT409" s="994"/>
      <c r="AU409" s="994"/>
      <c r="AV409" s="994"/>
      <c r="AW409" s="994"/>
      <c r="AX409" s="3634"/>
      <c r="AY409" s="1431" t="s">
        <v>564</v>
      </c>
      <c r="AZ409" s="3925">
        <f>VII.a!N173</f>
        <v>10</v>
      </c>
      <c r="BA409" s="1228" t="s">
        <v>2658</v>
      </c>
      <c r="BB409" s="39"/>
      <c r="BC409" s="3634"/>
      <c r="BD409" s="39"/>
      <c r="BE409" s="1431" t="s">
        <v>2667</v>
      </c>
      <c r="BF409" s="3327">
        <f t="shared" ca="1" si="93"/>
        <v>0</v>
      </c>
      <c r="BG409" s="3327">
        <f t="shared" si="94"/>
        <v>0</v>
      </c>
      <c r="BH409" s="3328">
        <f t="shared" ca="1" si="95"/>
        <v>0</v>
      </c>
      <c r="BI409" s="39" t="str">
        <f t="shared" ca="1" si="96"/>
        <v>ok</v>
      </c>
      <c r="BJ409"/>
      <c r="BK409" s="3328"/>
      <c r="BL409" s="3328"/>
      <c r="BM409" s="39"/>
    </row>
    <row r="410" spans="3:65">
      <c r="C410" s="994"/>
      <c r="D410" s="2121"/>
      <c r="E410" s="3634"/>
      <c r="F410" s="994"/>
      <c r="G410" s="994"/>
      <c r="H410" s="994"/>
      <c r="I410" s="994"/>
      <c r="J410" s="994"/>
      <c r="K410" s="994"/>
      <c r="L410" s="994"/>
      <c r="M410" s="994"/>
      <c r="N410" s="994"/>
      <c r="O410" s="994"/>
      <c r="P410" s="994"/>
      <c r="Q410" s="994"/>
      <c r="R410" s="994"/>
      <c r="S410" s="994"/>
      <c r="T410" s="994"/>
      <c r="U410" s="994"/>
      <c r="V410" s="994"/>
      <c r="W410" s="994"/>
      <c r="X410" s="994"/>
      <c r="Y410" s="994"/>
      <c r="Z410" s="994"/>
      <c r="AA410" s="994"/>
      <c r="AB410" s="994"/>
      <c r="AC410" s="994"/>
      <c r="AD410" s="994"/>
      <c r="AE410" s="994"/>
      <c r="AF410" s="994"/>
      <c r="AG410" s="994"/>
      <c r="AH410" s="994"/>
      <c r="AI410" s="994"/>
      <c r="AJ410" s="994"/>
      <c r="AK410" s="994"/>
      <c r="AL410" s="994"/>
      <c r="AM410" s="994"/>
      <c r="AN410" s="994"/>
      <c r="AO410" s="994"/>
      <c r="AP410" s="994"/>
      <c r="AQ410" s="994"/>
      <c r="AR410" s="994"/>
      <c r="AS410" s="994"/>
      <c r="AT410" s="994"/>
      <c r="AU410" s="994"/>
      <c r="AV410" s="994"/>
      <c r="AW410" s="994"/>
      <c r="AX410" s="3634"/>
      <c r="AY410" s="1431" t="s">
        <v>397</v>
      </c>
      <c r="AZ410" s="3925">
        <f>III.a.1!N124+III.a.2!N144</f>
        <v>45.320658300000005</v>
      </c>
      <c r="BA410" s="1228" t="s">
        <v>2658</v>
      </c>
      <c r="BB410" s="39"/>
      <c r="BC410" s="3634"/>
      <c r="BD410" s="39"/>
      <c r="BE410" s="1431" t="s">
        <v>370</v>
      </c>
      <c r="BF410" s="3327">
        <f t="shared" si="93"/>
        <v>0</v>
      </c>
      <c r="BG410" s="3327">
        <f t="shared" si="94"/>
        <v>0.84039932158821351</v>
      </c>
      <c r="BH410" s="3328">
        <f t="shared" si="95"/>
        <v>-0.84039932158821351</v>
      </c>
      <c r="BI410" s="39" t="str">
        <f t="shared" si="96"/>
        <v>ok</v>
      </c>
      <c r="BJ410"/>
      <c r="BK410" s="3328"/>
      <c r="BL410" s="3328"/>
      <c r="BM410" s="39"/>
    </row>
    <row r="411" spans="3:65">
      <c r="C411" s="994"/>
      <c r="D411" s="2121"/>
      <c r="E411" s="3634"/>
      <c r="F411" s="994"/>
      <c r="G411" s="994"/>
      <c r="H411" s="994"/>
      <c r="I411" s="994"/>
      <c r="J411" s="994"/>
      <c r="K411" s="994"/>
      <c r="L411" s="994"/>
      <c r="M411" s="994"/>
      <c r="N411" s="994"/>
      <c r="O411" s="994"/>
      <c r="P411" s="994"/>
      <c r="Q411" s="994"/>
      <c r="R411" s="994"/>
      <c r="S411" s="994"/>
      <c r="T411" s="994"/>
      <c r="U411" s="994"/>
      <c r="V411" s="994"/>
      <c r="W411" s="994"/>
      <c r="X411" s="994"/>
      <c r="Y411" s="994"/>
      <c r="Z411" s="994"/>
      <c r="AA411" s="994"/>
      <c r="AB411" s="994"/>
      <c r="AC411" s="994"/>
      <c r="AD411" s="994"/>
      <c r="AE411" s="994"/>
      <c r="AF411" s="994"/>
      <c r="AG411" s="994"/>
      <c r="AH411" s="994"/>
      <c r="AI411" s="994"/>
      <c r="AJ411" s="994"/>
      <c r="AK411" s="994"/>
      <c r="AL411" s="994"/>
      <c r="AM411" s="994"/>
      <c r="AN411" s="994"/>
      <c r="AO411" s="994"/>
      <c r="AP411" s="994"/>
      <c r="AQ411" s="994"/>
      <c r="AR411" s="994"/>
      <c r="AS411" s="994"/>
      <c r="AT411" s="994"/>
      <c r="AU411" s="994"/>
      <c r="AV411" s="994"/>
      <c r="AW411" s="994"/>
      <c r="AX411" s="3634"/>
      <c r="AY411" s="1431" t="s">
        <v>398</v>
      </c>
      <c r="AZ411" s="3925">
        <f>III.c!N230+III.c!N238</f>
        <v>2.5246080000000011</v>
      </c>
      <c r="BA411" s="1228" t="s">
        <v>2658</v>
      </c>
      <c r="BB411" s="39"/>
      <c r="BC411" s="3634"/>
      <c r="BD411" s="39"/>
      <c r="BE411" s="1431" t="s">
        <v>369</v>
      </c>
      <c r="BF411" s="3327">
        <f t="shared" si="93"/>
        <v>0</v>
      </c>
      <c r="BG411" s="3327">
        <f t="shared" si="94"/>
        <v>32.65828985348481</v>
      </c>
      <c r="BH411" s="3328">
        <f t="shared" si="95"/>
        <v>-32.65828985348481</v>
      </c>
      <c r="BI411" s="39" t="str">
        <f t="shared" si="96"/>
        <v>ok</v>
      </c>
      <c r="BJ411"/>
      <c r="BK411" s="3328"/>
      <c r="BL411" s="3328"/>
      <c r="BM411" s="39"/>
    </row>
    <row r="412" spans="3:65">
      <c r="C412" s="994"/>
      <c r="D412" s="2121"/>
      <c r="E412" s="3634"/>
      <c r="F412" s="994"/>
      <c r="G412" s="994"/>
      <c r="H412" s="994"/>
      <c r="I412" s="994"/>
      <c r="J412" s="994"/>
      <c r="K412" s="994"/>
      <c r="L412" s="994"/>
      <c r="M412" s="994"/>
      <c r="N412" s="994"/>
      <c r="O412" s="994"/>
      <c r="P412" s="994"/>
      <c r="Q412" s="994"/>
      <c r="R412" s="994"/>
      <c r="S412" s="994"/>
      <c r="T412" s="994"/>
      <c r="U412" s="994"/>
      <c r="V412" s="994"/>
      <c r="W412" s="994"/>
      <c r="X412" s="994"/>
      <c r="Y412" s="994"/>
      <c r="Z412" s="994"/>
      <c r="AA412" s="994"/>
      <c r="AB412" s="994"/>
      <c r="AC412" s="994"/>
      <c r="AD412" s="994"/>
      <c r="AE412" s="994"/>
      <c r="AF412" s="994"/>
      <c r="AG412" s="994"/>
      <c r="AH412" s="994"/>
      <c r="AI412" s="994"/>
      <c r="AJ412" s="994"/>
      <c r="AK412" s="994"/>
      <c r="AL412" s="994"/>
      <c r="AM412" s="994"/>
      <c r="AN412" s="994"/>
      <c r="AO412" s="994"/>
      <c r="AP412" s="994"/>
      <c r="AQ412" s="994"/>
      <c r="AR412" s="994"/>
      <c r="AS412" s="994"/>
      <c r="AT412" s="994"/>
      <c r="AU412" s="994"/>
      <c r="AV412" s="994"/>
      <c r="AW412" s="994"/>
      <c r="AX412" s="3634"/>
      <c r="AY412" s="1431" t="s">
        <v>399</v>
      </c>
      <c r="AZ412" s="3925">
        <f>III.c!N222</f>
        <v>6.2484048000000012</v>
      </c>
      <c r="BA412" s="1228" t="s">
        <v>2658</v>
      </c>
      <c r="BB412" s="39"/>
      <c r="BC412" s="3634"/>
      <c r="BD412" s="39"/>
      <c r="BE412" s="3329" t="s">
        <v>79</v>
      </c>
      <c r="BF412" s="3327">
        <f t="shared" si="93"/>
        <v>8.4425533229244625</v>
      </c>
      <c r="BG412" s="3327">
        <f t="shared" si="94"/>
        <v>0</v>
      </c>
      <c r="BH412" s="3328">
        <f t="shared" si="95"/>
        <v>8.4425533229244625</v>
      </c>
      <c r="BI412" s="39" t="str">
        <f t="shared" si="96"/>
        <v>ok</v>
      </c>
      <c r="BJ412"/>
      <c r="BK412" s="3328"/>
      <c r="BL412" s="3328"/>
      <c r="BM412" s="39"/>
    </row>
    <row r="413" spans="3:65">
      <c r="C413" s="994"/>
      <c r="D413" s="2121"/>
      <c r="E413" s="3634"/>
      <c r="F413" s="994"/>
      <c r="G413" s="994"/>
      <c r="H413" s="994"/>
      <c r="I413" s="994"/>
      <c r="J413" s="994"/>
      <c r="K413" s="994"/>
      <c r="L413" s="994"/>
      <c r="M413" s="994"/>
      <c r="N413" s="994"/>
      <c r="O413" s="994"/>
      <c r="P413" s="994"/>
      <c r="Q413" s="994"/>
      <c r="R413" s="994"/>
      <c r="S413" s="994"/>
      <c r="T413" s="994"/>
      <c r="U413" s="994"/>
      <c r="V413" s="994"/>
      <c r="W413" s="994"/>
      <c r="X413" s="994"/>
      <c r="Y413" s="994"/>
      <c r="Z413" s="994"/>
      <c r="AA413" s="994"/>
      <c r="AB413" s="994"/>
      <c r="AC413" s="994"/>
      <c r="AD413" s="994"/>
      <c r="AE413" s="994"/>
      <c r="AF413" s="994"/>
      <c r="AG413" s="994"/>
      <c r="AH413" s="994"/>
      <c r="AI413" s="994"/>
      <c r="AJ413" s="994"/>
      <c r="AK413" s="994"/>
      <c r="AL413" s="994"/>
      <c r="AM413" s="994"/>
      <c r="AN413" s="994"/>
      <c r="AO413" s="994"/>
      <c r="AP413" s="994"/>
      <c r="AQ413" s="994"/>
      <c r="AR413" s="994"/>
      <c r="AS413" s="994"/>
      <c r="AT413" s="994"/>
      <c r="AU413" s="994"/>
      <c r="AV413" s="994"/>
      <c r="AW413" s="994"/>
      <c r="AX413" s="3634"/>
      <c r="AY413" s="1431" t="s">
        <v>55</v>
      </c>
      <c r="AZ413" s="3925">
        <v>0</v>
      </c>
      <c r="BA413" s="1228" t="s">
        <v>2658</v>
      </c>
      <c r="BB413" s="39"/>
      <c r="BC413" s="3634"/>
      <c r="BD413" s="3634"/>
      <c r="BE413" s="3332" t="s">
        <v>535</v>
      </c>
      <c r="BF413" s="2121">
        <f t="shared" si="93"/>
        <v>4.2515099999999997</v>
      </c>
      <c r="BG413" s="2121">
        <f t="shared" si="94"/>
        <v>4.2515099999999997</v>
      </c>
      <c r="BH413" s="3328">
        <f t="shared" si="95"/>
        <v>0</v>
      </c>
      <c r="BI413" s="3634" t="str">
        <f t="shared" si="96"/>
        <v>ok</v>
      </c>
      <c r="BJ413"/>
      <c r="BK413" s="994"/>
      <c r="BL413" s="994"/>
    </row>
    <row r="414" spans="3:65">
      <c r="C414" s="994"/>
      <c r="D414" s="2121"/>
      <c r="E414" s="3634"/>
      <c r="F414" s="994"/>
      <c r="G414" s="994"/>
      <c r="H414" s="994"/>
      <c r="I414" s="994"/>
      <c r="J414" s="994"/>
      <c r="K414" s="994"/>
      <c r="L414" s="994"/>
      <c r="M414" s="994"/>
      <c r="N414" s="994"/>
      <c r="O414" s="994"/>
      <c r="P414" s="994"/>
      <c r="Q414" s="994"/>
      <c r="R414" s="994"/>
      <c r="S414" s="994"/>
      <c r="T414" s="994"/>
      <c r="U414" s="994"/>
      <c r="V414" s="994"/>
      <c r="W414" s="994"/>
      <c r="X414" s="994"/>
      <c r="Y414" s="994"/>
      <c r="Z414" s="994"/>
      <c r="AA414" s="994"/>
      <c r="AB414" s="994"/>
      <c r="AC414" s="994"/>
      <c r="AD414" s="994"/>
      <c r="AE414" s="994"/>
      <c r="AF414" s="994"/>
      <c r="AG414" s="994"/>
      <c r="AH414" s="994"/>
      <c r="AI414" s="994"/>
      <c r="AJ414" s="994"/>
      <c r="AK414" s="994"/>
      <c r="AL414" s="994"/>
      <c r="AM414" s="994"/>
      <c r="AN414" s="994"/>
      <c r="AO414" s="994"/>
      <c r="AP414" s="994"/>
      <c r="AQ414" s="994"/>
      <c r="AR414" s="994"/>
      <c r="AS414" s="994"/>
      <c r="AT414" s="994"/>
      <c r="AU414" s="994"/>
      <c r="AV414" s="994"/>
      <c r="AW414" s="994"/>
      <c r="AX414" s="3634"/>
      <c r="AY414" s="1431" t="s">
        <v>400</v>
      </c>
      <c r="AZ414" s="3925">
        <f>III.b!N111</f>
        <v>0.78946596000000002</v>
      </c>
      <c r="BA414" s="1228" t="s">
        <v>2658</v>
      </c>
      <c r="BB414" s="39"/>
      <c r="BC414" s="3634"/>
      <c r="BD414" s="3634"/>
      <c r="BE414" s="3323" t="s">
        <v>2659</v>
      </c>
      <c r="BF414" s="2121">
        <f t="shared" si="93"/>
        <v>0</v>
      </c>
      <c r="BG414" s="2121">
        <f t="shared" si="94"/>
        <v>4.1910433229244628</v>
      </c>
      <c r="BH414" s="3328">
        <f t="shared" si="95"/>
        <v>-4.1910433229244628</v>
      </c>
      <c r="BI414" s="3634" t="str">
        <f t="shared" si="96"/>
        <v>ok</v>
      </c>
      <c r="BJ414"/>
      <c r="BK414" s="994"/>
      <c r="BL414" s="994"/>
    </row>
    <row r="415" spans="3:65">
      <c r="C415" s="994"/>
      <c r="D415" s="2121"/>
      <c r="E415" s="3634"/>
      <c r="F415" s="994"/>
      <c r="G415" s="994"/>
      <c r="H415" s="994"/>
      <c r="I415" s="994"/>
      <c r="J415" s="994"/>
      <c r="K415" s="994"/>
      <c r="L415" s="994"/>
      <c r="M415" s="994"/>
      <c r="N415" s="994"/>
      <c r="O415" s="994"/>
      <c r="P415" s="994"/>
      <c r="Q415" s="994"/>
      <c r="R415" s="994"/>
      <c r="S415" s="994"/>
      <c r="T415" s="994"/>
      <c r="U415" s="994"/>
      <c r="V415" s="994"/>
      <c r="W415" s="994"/>
      <c r="X415" s="994"/>
      <c r="Y415" s="994"/>
      <c r="Z415" s="994"/>
      <c r="AA415" s="994"/>
      <c r="AB415" s="994"/>
      <c r="AC415" s="994"/>
      <c r="AD415" s="994"/>
      <c r="AE415" s="994"/>
      <c r="AF415" s="994"/>
      <c r="AG415" s="994"/>
      <c r="AH415" s="994"/>
      <c r="AI415" s="994"/>
      <c r="AJ415" s="994"/>
      <c r="AK415" s="994"/>
      <c r="AL415" s="994"/>
      <c r="AM415" s="994"/>
      <c r="AN415" s="994"/>
      <c r="AO415" s="994"/>
      <c r="AP415" s="994"/>
      <c r="AQ415" s="994"/>
      <c r="AR415" s="994"/>
      <c r="AS415" s="994"/>
      <c r="AT415" s="994"/>
      <c r="AU415" s="994"/>
      <c r="AV415" s="994"/>
      <c r="AW415" s="994"/>
      <c r="AX415" s="3634"/>
      <c r="AY415" s="1431" t="s">
        <v>2658</v>
      </c>
      <c r="AZ415" s="3925">
        <f ca="1">-VIII.a!N210</f>
        <v>4.1184243088541655E-2</v>
      </c>
      <c r="BA415" s="3960" t="s">
        <v>2660</v>
      </c>
      <c r="BB415" s="39"/>
      <c r="BC415" s="3634"/>
      <c r="BD415" s="3634"/>
      <c r="BE415" s="3323" t="s">
        <v>16</v>
      </c>
      <c r="BF415" s="3585">
        <f t="shared" ca="1" si="93"/>
        <v>26.889360105771154</v>
      </c>
      <c r="BG415" s="3585">
        <f t="shared" ca="1" si="94"/>
        <v>26.889360105771146</v>
      </c>
      <c r="BH415" s="3588">
        <f t="shared" ca="1" si="95"/>
        <v>0</v>
      </c>
      <c r="BI415" s="3634" t="str">
        <f t="shared" ca="1" si="96"/>
        <v>ok</v>
      </c>
      <c r="BJ415"/>
      <c r="BK415" s="994"/>
      <c r="BL415" s="994"/>
    </row>
    <row r="416" spans="3:65">
      <c r="C416" s="994"/>
      <c r="D416" s="2121"/>
      <c r="E416" s="3634"/>
      <c r="F416" s="994"/>
      <c r="G416" s="994"/>
      <c r="H416" s="994"/>
      <c r="I416" s="994"/>
      <c r="J416" s="994"/>
      <c r="K416" s="994"/>
      <c r="L416" s="994"/>
      <c r="M416" s="994"/>
      <c r="N416" s="994"/>
      <c r="O416" s="994"/>
      <c r="P416" s="994"/>
      <c r="Q416" s="994"/>
      <c r="R416" s="994"/>
      <c r="S416" s="994"/>
      <c r="T416" s="994"/>
      <c r="U416" s="994"/>
      <c r="V416" s="994"/>
      <c r="W416" s="994"/>
      <c r="X416" s="994"/>
      <c r="Y416" s="994"/>
      <c r="Z416" s="994"/>
      <c r="AA416" s="994"/>
      <c r="AB416" s="994"/>
      <c r="AC416" s="994"/>
      <c r="AD416" s="994"/>
      <c r="AE416" s="994"/>
      <c r="AF416" s="994"/>
      <c r="AG416" s="994"/>
      <c r="AH416" s="994"/>
      <c r="AI416" s="994"/>
      <c r="AJ416" s="994"/>
      <c r="AK416" s="994"/>
      <c r="AL416" s="994"/>
      <c r="AM416" s="994"/>
      <c r="AN416" s="994"/>
      <c r="AO416" s="994"/>
      <c r="AP416" s="994"/>
      <c r="AQ416" s="994"/>
      <c r="AR416" s="994"/>
      <c r="AS416" s="994"/>
      <c r="AT416" s="994"/>
      <c r="AU416" s="994"/>
      <c r="AV416" s="994"/>
      <c r="AW416" s="994"/>
      <c r="AX416" s="3634"/>
      <c r="AY416" s="1431" t="s">
        <v>2658</v>
      </c>
      <c r="AZ416" s="3925">
        <f ca="1">MAX(-'2050'!T104,0)</f>
        <v>87.574734038121079</v>
      </c>
      <c r="BA416" s="3960" t="s">
        <v>2663</v>
      </c>
      <c r="BB416" s="39"/>
      <c r="BC416" s="3634"/>
      <c r="BD416" s="3634"/>
      <c r="BE416" s="3323" t="s">
        <v>2665</v>
      </c>
      <c r="BF416" s="3585">
        <f t="shared" ca="1" si="93"/>
        <v>84.019320720879122</v>
      </c>
      <c r="BG416" s="3585">
        <f t="shared" ca="1" si="94"/>
        <v>84.250743120879122</v>
      </c>
      <c r="BH416" s="994">
        <f t="shared" ca="1" si="95"/>
        <v>-0.23142239999999958</v>
      </c>
      <c r="BI416" s="3634" t="str">
        <f t="shared" ca="1" si="96"/>
        <v>error</v>
      </c>
      <c r="BJ416" s="994"/>
      <c r="BK416" s="994"/>
      <c r="BL416" s="994"/>
    </row>
    <row r="417" spans="3:64">
      <c r="C417" s="994"/>
      <c r="D417" s="2121"/>
      <c r="E417" s="3634"/>
      <c r="F417" s="994"/>
      <c r="G417" s="994"/>
      <c r="H417" s="994"/>
      <c r="I417" s="994"/>
      <c r="J417" s="994"/>
      <c r="K417" s="994"/>
      <c r="L417" s="994"/>
      <c r="M417" s="994"/>
      <c r="N417" s="994"/>
      <c r="O417" s="994"/>
      <c r="P417" s="994"/>
      <c r="Q417" s="994"/>
      <c r="R417" s="994"/>
      <c r="S417" s="994"/>
      <c r="T417" s="994"/>
      <c r="U417" s="994"/>
      <c r="V417" s="994"/>
      <c r="W417" s="994"/>
      <c r="X417" s="994"/>
      <c r="Y417" s="994"/>
      <c r="Z417" s="994"/>
      <c r="AA417" s="994"/>
      <c r="AB417" s="994"/>
      <c r="AC417" s="994"/>
      <c r="AD417" s="994"/>
      <c r="AE417" s="994"/>
      <c r="AF417" s="994"/>
      <c r="AG417" s="994"/>
      <c r="AH417" s="994"/>
      <c r="AI417" s="994"/>
      <c r="AJ417" s="994"/>
      <c r="AK417" s="994"/>
      <c r="AL417" s="994"/>
      <c r="AM417" s="994"/>
      <c r="AN417" s="994"/>
      <c r="AO417" s="994"/>
      <c r="AP417" s="994"/>
      <c r="AQ417" s="994"/>
      <c r="AR417" s="994"/>
      <c r="AS417" s="994"/>
      <c r="AT417" s="994"/>
      <c r="AU417" s="994"/>
      <c r="AV417" s="994"/>
      <c r="AW417" s="994"/>
      <c r="AX417" s="3634"/>
      <c r="AY417" s="1431" t="s">
        <v>2658</v>
      </c>
      <c r="AZ417" s="3925">
        <f ca="1">VII.b!N117</f>
        <v>4.0333117918188259</v>
      </c>
      <c r="BA417" s="3960" t="s">
        <v>1786</v>
      </c>
      <c r="BB417" s="39"/>
      <c r="BC417" s="3634"/>
      <c r="BD417" s="3634"/>
      <c r="BE417" s="3323" t="s">
        <v>398</v>
      </c>
      <c r="BF417" s="2121">
        <f t="shared" si="93"/>
        <v>2.5246080000000011</v>
      </c>
      <c r="BG417" s="2121">
        <f t="shared" si="94"/>
        <v>0</v>
      </c>
      <c r="BH417" s="994">
        <f t="shared" si="95"/>
        <v>2.5246080000000011</v>
      </c>
      <c r="BI417" s="3634" t="str">
        <f t="shared" si="96"/>
        <v>ok</v>
      </c>
      <c r="BJ417" s="994"/>
      <c r="BK417" s="994"/>
      <c r="BL417" s="994"/>
    </row>
    <row r="418" spans="3:64">
      <c r="C418" s="994"/>
      <c r="D418" s="2121"/>
      <c r="E418" s="3634"/>
      <c r="F418" s="994"/>
      <c r="G418" s="994"/>
      <c r="H418" s="994"/>
      <c r="I418" s="994"/>
      <c r="J418" s="994"/>
      <c r="K418" s="994"/>
      <c r="L418" s="994"/>
      <c r="M418" s="994"/>
      <c r="N418" s="994"/>
      <c r="O418" s="994"/>
      <c r="P418" s="994"/>
      <c r="Q418" s="994"/>
      <c r="R418" s="994"/>
      <c r="S418" s="994"/>
      <c r="T418" s="994"/>
      <c r="U418" s="994"/>
      <c r="V418" s="994"/>
      <c r="W418" s="994"/>
      <c r="X418" s="994"/>
      <c r="Y418" s="994"/>
      <c r="Z418" s="994"/>
      <c r="AA418" s="994"/>
      <c r="AB418" s="994"/>
      <c r="AC418" s="994"/>
      <c r="AD418" s="994"/>
      <c r="AE418" s="994"/>
      <c r="AF418" s="994"/>
      <c r="AG418" s="994"/>
      <c r="AH418" s="994"/>
      <c r="AI418" s="994"/>
      <c r="AJ418" s="994"/>
      <c r="AK418" s="994"/>
      <c r="AL418" s="994"/>
      <c r="AM418" s="994"/>
      <c r="AN418" s="994"/>
      <c r="AO418" s="994"/>
      <c r="AP418" s="994"/>
      <c r="AQ418" s="994"/>
      <c r="AR418" s="994"/>
      <c r="AS418" s="994"/>
      <c r="AT418" s="994"/>
      <c r="AU418" s="994"/>
      <c r="AV418" s="994"/>
      <c r="AW418" s="994"/>
      <c r="AX418" s="3634"/>
      <c r="AY418" s="1431" t="s">
        <v>15</v>
      </c>
      <c r="AZ418" s="3925">
        <f ca="1">-VIII.a!N211</f>
        <v>0</v>
      </c>
      <c r="BA418" s="3960" t="s">
        <v>2660</v>
      </c>
      <c r="BB418" s="39"/>
      <c r="BC418" s="3634"/>
      <c r="BD418" s="3634"/>
      <c r="BE418" s="3323" t="s">
        <v>2656</v>
      </c>
      <c r="BF418" s="2121">
        <f t="shared" si="93"/>
        <v>0</v>
      </c>
      <c r="BG418" s="2121">
        <f t="shared" si="94"/>
        <v>0</v>
      </c>
      <c r="BH418" s="994">
        <f t="shared" si="95"/>
        <v>0</v>
      </c>
      <c r="BI418" s="3634" t="str">
        <f t="shared" si="96"/>
        <v>ok</v>
      </c>
      <c r="BJ418" s="994"/>
      <c r="BK418" s="994"/>
      <c r="BL418" s="994"/>
    </row>
    <row r="419" spans="3:64">
      <c r="C419" s="994"/>
      <c r="D419" s="2121"/>
      <c r="E419" s="3634"/>
      <c r="F419" s="994"/>
      <c r="G419" s="994"/>
      <c r="H419" s="994"/>
      <c r="I419" s="994"/>
      <c r="J419" s="994"/>
      <c r="K419" s="994"/>
      <c r="L419" s="994"/>
      <c r="M419" s="994"/>
      <c r="N419" s="994"/>
      <c r="O419" s="994"/>
      <c r="P419" s="994"/>
      <c r="Q419" s="994"/>
      <c r="R419" s="994"/>
      <c r="S419" s="994"/>
      <c r="T419" s="994"/>
      <c r="U419" s="994"/>
      <c r="V419" s="994"/>
      <c r="W419" s="994"/>
      <c r="X419" s="994"/>
      <c r="Y419" s="994"/>
      <c r="Z419" s="994"/>
      <c r="AA419" s="994"/>
      <c r="AB419" s="994"/>
      <c r="AC419" s="994"/>
      <c r="AD419" s="994"/>
      <c r="AE419" s="994"/>
      <c r="AF419" s="994"/>
      <c r="AG419" s="994"/>
      <c r="AH419" s="994"/>
      <c r="AI419" s="994"/>
      <c r="AJ419" s="994"/>
      <c r="AK419" s="994"/>
      <c r="AL419" s="994"/>
      <c r="AM419" s="994"/>
      <c r="AN419" s="994"/>
      <c r="AO419" s="994"/>
      <c r="AP419" s="994"/>
      <c r="AQ419" s="994"/>
      <c r="AR419" s="994"/>
      <c r="AS419" s="994"/>
      <c r="AT419" s="994"/>
      <c r="AU419" s="994"/>
      <c r="AV419" s="994"/>
      <c r="AW419" s="994"/>
      <c r="AX419" s="3634"/>
      <c r="AY419" s="3961" t="s">
        <v>2660</v>
      </c>
      <c r="AZ419" s="3925">
        <f ca="1">VIII.a!N212</f>
        <v>3.1711867178177075E-2</v>
      </c>
      <c r="BA419" s="3960" t="s">
        <v>385</v>
      </c>
      <c r="BB419" s="39"/>
      <c r="BC419" s="3634"/>
      <c r="BD419" s="3634"/>
      <c r="BE419" s="3323" t="s">
        <v>399</v>
      </c>
      <c r="BF419" s="2121">
        <f t="shared" si="93"/>
        <v>6.2484048000000012</v>
      </c>
      <c r="BG419" s="2121">
        <f t="shared" si="94"/>
        <v>0</v>
      </c>
      <c r="BH419" s="994">
        <f t="shared" si="95"/>
        <v>6.2484048000000012</v>
      </c>
      <c r="BI419" s="3634" t="str">
        <f t="shared" si="96"/>
        <v>ok</v>
      </c>
      <c r="BJ419" s="994"/>
      <c r="BK419" s="994"/>
      <c r="BL419" s="994"/>
    </row>
    <row r="420" spans="3:64">
      <c r="C420" s="994"/>
      <c r="D420" s="2121"/>
      <c r="E420" s="3634"/>
      <c r="F420" s="994"/>
      <c r="G420" s="994"/>
      <c r="H420" s="994"/>
      <c r="I420" s="994"/>
      <c r="J420" s="994"/>
      <c r="K420" s="994"/>
      <c r="L420" s="994"/>
      <c r="M420" s="994"/>
      <c r="N420" s="994"/>
      <c r="O420" s="994"/>
      <c r="P420" s="994"/>
      <c r="Q420" s="994"/>
      <c r="R420" s="994"/>
      <c r="S420" s="994"/>
      <c r="T420" s="994"/>
      <c r="U420" s="994"/>
      <c r="V420" s="994"/>
      <c r="W420" s="994"/>
      <c r="X420" s="994"/>
      <c r="Y420" s="994"/>
      <c r="Z420" s="994"/>
      <c r="AA420" s="994"/>
      <c r="AB420" s="994"/>
      <c r="AC420" s="994"/>
      <c r="AD420" s="994"/>
      <c r="AE420" s="994"/>
      <c r="AF420" s="994"/>
      <c r="AG420" s="994"/>
      <c r="AH420" s="994"/>
      <c r="AI420" s="994"/>
      <c r="AJ420" s="994"/>
      <c r="AK420" s="994"/>
      <c r="AL420" s="994"/>
      <c r="AM420" s="994"/>
      <c r="AN420" s="994"/>
      <c r="AO420" s="994"/>
      <c r="AP420" s="994"/>
      <c r="AQ420" s="994"/>
      <c r="AR420" s="994"/>
      <c r="AS420" s="994"/>
      <c r="AT420" s="994"/>
      <c r="AU420" s="994"/>
      <c r="AV420" s="994"/>
      <c r="AW420" s="994"/>
      <c r="AX420" s="3634"/>
      <c r="AY420" s="3961" t="s">
        <v>2660</v>
      </c>
      <c r="AZ420" s="3925">
        <f ca="1">VIII.a!N213</f>
        <v>9.4723759103645805E-3</v>
      </c>
      <c r="BA420" s="3960" t="s">
        <v>1786</v>
      </c>
      <c r="BB420" s="39"/>
      <c r="BC420" s="3634"/>
      <c r="BD420" s="3634"/>
      <c r="BE420" s="3323" t="s">
        <v>397</v>
      </c>
      <c r="BF420" s="2121">
        <f t="shared" si="93"/>
        <v>45.320658300000005</v>
      </c>
      <c r="BG420" s="2121">
        <f t="shared" si="94"/>
        <v>0</v>
      </c>
      <c r="BH420" s="994">
        <f t="shared" si="95"/>
        <v>45.320658300000005</v>
      </c>
      <c r="BI420" s="3634" t="str">
        <f t="shared" si="96"/>
        <v>ok</v>
      </c>
      <c r="BJ420" s="994"/>
      <c r="BK420" s="994"/>
      <c r="BL420" s="994"/>
    </row>
    <row r="421" spans="3:64">
      <c r="C421" s="994"/>
      <c r="D421" s="2121"/>
      <c r="E421" s="3634"/>
      <c r="F421" s="994"/>
      <c r="G421" s="994"/>
      <c r="H421" s="994"/>
      <c r="I421" s="994"/>
      <c r="J421" s="994"/>
      <c r="K421" s="994"/>
      <c r="L421" s="994"/>
      <c r="M421" s="994"/>
      <c r="N421" s="994"/>
      <c r="O421" s="994"/>
      <c r="P421" s="994"/>
      <c r="Q421" s="994"/>
      <c r="R421" s="994"/>
      <c r="S421" s="994"/>
      <c r="T421" s="994"/>
      <c r="U421" s="994"/>
      <c r="V421" s="994"/>
      <c r="W421" s="994"/>
      <c r="X421" s="994"/>
      <c r="Y421" s="994"/>
      <c r="Z421" s="994"/>
      <c r="AA421" s="994"/>
      <c r="AB421" s="994"/>
      <c r="AC421" s="994"/>
      <c r="AD421" s="994"/>
      <c r="AE421" s="994"/>
      <c r="AF421" s="994"/>
      <c r="AG421" s="994"/>
      <c r="AH421" s="994"/>
      <c r="AI421" s="994"/>
      <c r="AJ421" s="994"/>
      <c r="AK421" s="994"/>
      <c r="AL421" s="994"/>
      <c r="AM421" s="994"/>
      <c r="AN421" s="994"/>
      <c r="AO421" s="994"/>
      <c r="AP421" s="994"/>
      <c r="AQ421" s="994"/>
      <c r="AR421" s="994"/>
      <c r="AS421" s="994"/>
      <c r="AT421" s="994"/>
      <c r="AU421" s="994"/>
      <c r="AV421" s="994"/>
      <c r="AW421" s="994"/>
      <c r="AX421" s="3634"/>
      <c r="AY421" s="1431" t="s">
        <v>2659</v>
      </c>
      <c r="AZ421" s="3925">
        <f>-IX.a!N1196</f>
        <v>0</v>
      </c>
      <c r="BA421" s="1228" t="s">
        <v>2662</v>
      </c>
      <c r="BB421" s="39"/>
      <c r="BC421" s="3634"/>
      <c r="BD421" s="3634"/>
      <c r="BE421" s="3634"/>
      <c r="BF421" s="3634"/>
      <c r="BG421" s="3634"/>
      <c r="BH421" s="3634"/>
      <c r="BI421" s="3634"/>
      <c r="BJ421" s="3634"/>
      <c r="BK421" s="3634"/>
      <c r="BL421" s="3634"/>
    </row>
    <row r="422" spans="3:64">
      <c r="C422" s="994"/>
      <c r="D422" s="2121"/>
      <c r="E422" s="3634"/>
      <c r="F422" s="994"/>
      <c r="G422" s="994"/>
      <c r="H422" s="994"/>
      <c r="I422" s="994"/>
      <c r="J422" s="994"/>
      <c r="K422" s="994"/>
      <c r="L422" s="994"/>
      <c r="M422" s="994"/>
      <c r="N422" s="994"/>
      <c r="O422" s="994"/>
      <c r="P422" s="994"/>
      <c r="Q422" s="994"/>
      <c r="R422" s="994"/>
      <c r="S422" s="994"/>
      <c r="T422" s="994"/>
      <c r="U422" s="994"/>
      <c r="V422" s="994"/>
      <c r="W422" s="994"/>
      <c r="X422" s="994"/>
      <c r="Y422" s="994"/>
      <c r="Z422" s="994"/>
      <c r="AA422" s="994"/>
      <c r="AB422" s="994"/>
      <c r="AC422" s="994"/>
      <c r="AD422" s="994"/>
      <c r="AE422" s="994"/>
      <c r="AF422" s="994"/>
      <c r="AG422" s="994"/>
      <c r="AH422" s="994"/>
      <c r="AI422" s="994"/>
      <c r="AJ422" s="994"/>
      <c r="AK422" s="994"/>
      <c r="AL422" s="994"/>
      <c r="AM422" s="994"/>
      <c r="AN422" s="994"/>
      <c r="AO422" s="994"/>
      <c r="AP422" s="994"/>
      <c r="AQ422" s="994"/>
      <c r="AR422" s="994"/>
      <c r="AS422" s="994"/>
      <c r="AT422" s="994"/>
      <c r="AU422" s="994"/>
      <c r="AV422" s="994"/>
      <c r="AW422" s="994"/>
      <c r="AX422" s="3634"/>
      <c r="AY422" s="3961" t="s">
        <v>385</v>
      </c>
      <c r="AZ422" s="3925">
        <f>-XII.a!N709</f>
        <v>0</v>
      </c>
      <c r="BA422" s="1228" t="s">
        <v>369</v>
      </c>
      <c r="BB422" s="39"/>
      <c r="BC422" s="3634"/>
      <c r="BD422" s="3634"/>
      <c r="BE422" s="3634"/>
      <c r="BF422" s="3634"/>
      <c r="BG422" s="3634"/>
      <c r="BH422" s="3634"/>
      <c r="BI422" s="3634"/>
      <c r="BJ422" s="3634"/>
      <c r="BK422" s="3634"/>
      <c r="BL422" s="3634"/>
    </row>
    <row r="423" spans="3:64">
      <c r="C423" s="994"/>
      <c r="D423" s="2121"/>
      <c r="E423" s="3634"/>
      <c r="F423" s="994"/>
      <c r="G423" s="994"/>
      <c r="H423" s="994"/>
      <c r="I423" s="994"/>
      <c r="J423" s="994"/>
      <c r="K423" s="994"/>
      <c r="L423" s="994"/>
      <c r="M423" s="994"/>
      <c r="N423" s="994"/>
      <c r="O423" s="994"/>
      <c r="P423" s="994"/>
      <c r="Q423" s="994"/>
      <c r="R423" s="994"/>
      <c r="S423" s="994"/>
      <c r="T423" s="994"/>
      <c r="U423" s="994"/>
      <c r="V423" s="994"/>
      <c r="W423" s="994"/>
      <c r="X423" s="994"/>
      <c r="Y423" s="994"/>
      <c r="Z423" s="994"/>
      <c r="AA423" s="994"/>
      <c r="AB423" s="994"/>
      <c r="AC423" s="994"/>
      <c r="AD423" s="994"/>
      <c r="AE423" s="994"/>
      <c r="AF423" s="994"/>
      <c r="AG423" s="994"/>
      <c r="AH423" s="994"/>
      <c r="AI423" s="994"/>
      <c r="AJ423" s="994"/>
      <c r="AK423" s="994"/>
      <c r="AL423" s="994"/>
      <c r="AM423" s="994"/>
      <c r="AN423" s="994"/>
      <c r="AO423" s="994"/>
      <c r="AP423" s="994"/>
      <c r="AQ423" s="994"/>
      <c r="AR423" s="994"/>
      <c r="AS423" s="994"/>
      <c r="AT423" s="994"/>
      <c r="AU423" s="994"/>
      <c r="AV423" s="994"/>
      <c r="AW423" s="994"/>
      <c r="AX423" s="3634"/>
      <c r="AY423" s="1431" t="s">
        <v>2667</v>
      </c>
      <c r="AZ423" s="3925">
        <f ca="1">-IX.a!N1236</f>
        <v>0</v>
      </c>
      <c r="BA423" s="1228" t="s">
        <v>2662</v>
      </c>
      <c r="BB423" s="39"/>
      <c r="BC423" s="3634"/>
      <c r="BD423" s="3634"/>
      <c r="BE423" s="3634"/>
      <c r="BF423" s="3634"/>
      <c r="BG423" s="3634"/>
      <c r="BH423" s="3634"/>
      <c r="BI423" s="3634"/>
      <c r="BJ423" s="3634"/>
      <c r="BK423" s="3634"/>
      <c r="BL423" s="3634"/>
    </row>
    <row r="424" spans="3:64">
      <c r="C424" s="994"/>
      <c r="D424" s="2121"/>
      <c r="E424" s="3634"/>
      <c r="F424" s="994"/>
      <c r="G424" s="994"/>
      <c r="H424" s="994"/>
      <c r="I424" s="994"/>
      <c r="J424" s="994"/>
      <c r="K424" s="994"/>
      <c r="L424" s="994"/>
      <c r="M424" s="994"/>
      <c r="N424" s="994"/>
      <c r="O424" s="994"/>
      <c r="P424" s="994"/>
      <c r="Q424" s="994"/>
      <c r="R424" s="994"/>
      <c r="S424" s="994"/>
      <c r="T424" s="994"/>
      <c r="U424" s="994"/>
      <c r="V424" s="994"/>
      <c r="W424" s="994"/>
      <c r="X424" s="994"/>
      <c r="Y424" s="994"/>
      <c r="Z424" s="994"/>
      <c r="AA424" s="994"/>
      <c r="AB424" s="994"/>
      <c r="AC424" s="994"/>
      <c r="AD424" s="994"/>
      <c r="AE424" s="994"/>
      <c r="AF424" s="994"/>
      <c r="AG424" s="994"/>
      <c r="AH424" s="994"/>
      <c r="AI424" s="994"/>
      <c r="AJ424" s="994"/>
      <c r="AK424" s="994"/>
      <c r="AL424" s="994"/>
      <c r="AM424" s="994"/>
      <c r="AN424" s="994"/>
      <c r="AO424" s="994"/>
      <c r="AP424" s="994"/>
      <c r="AQ424" s="994"/>
      <c r="AR424" s="994"/>
      <c r="AS424" s="994"/>
      <c r="AT424" s="994"/>
      <c r="AU424" s="994"/>
      <c r="AV424" s="994"/>
      <c r="AW424" s="994"/>
      <c r="AX424" s="3634"/>
      <c r="AY424" s="1431" t="s">
        <v>2667</v>
      </c>
      <c r="AZ424" s="3925">
        <f>-IX.c!N739</f>
        <v>0</v>
      </c>
      <c r="BA424" s="1228" t="s">
        <v>2661</v>
      </c>
      <c r="BB424" s="39"/>
      <c r="BC424" s="3634"/>
      <c r="BD424" s="3634"/>
      <c r="BE424" s="3634"/>
      <c r="BF424" s="3634"/>
      <c r="BG424" s="3634"/>
      <c r="BH424" s="3634"/>
      <c r="BI424" s="3634"/>
      <c r="BJ424" s="3634"/>
      <c r="BK424" s="3634"/>
      <c r="BL424" s="3634"/>
    </row>
    <row r="425" spans="3:64">
      <c r="C425" s="994"/>
      <c r="D425" s="2121"/>
      <c r="E425" s="3634"/>
      <c r="F425" s="994"/>
      <c r="G425" s="994"/>
      <c r="H425" s="994"/>
      <c r="I425" s="994"/>
      <c r="J425" s="994"/>
      <c r="K425" s="994"/>
      <c r="L425" s="994"/>
      <c r="M425" s="994"/>
      <c r="N425" s="994"/>
      <c r="O425" s="994"/>
      <c r="P425" s="994"/>
      <c r="Q425" s="994"/>
      <c r="R425" s="994"/>
      <c r="S425" s="994"/>
      <c r="T425" s="994"/>
      <c r="U425" s="994"/>
      <c r="V425" s="994"/>
      <c r="W425" s="994"/>
      <c r="X425" s="994"/>
      <c r="Y425" s="994"/>
      <c r="Z425" s="994"/>
      <c r="AA425" s="994"/>
      <c r="AB425" s="994"/>
      <c r="AC425" s="994"/>
      <c r="AD425" s="994"/>
      <c r="AE425" s="994"/>
      <c r="AF425" s="994"/>
      <c r="AG425" s="994"/>
      <c r="AH425" s="994"/>
      <c r="AI425" s="994"/>
      <c r="AJ425" s="994"/>
      <c r="AK425" s="994"/>
      <c r="AL425" s="994"/>
      <c r="AM425" s="994"/>
      <c r="AN425" s="994"/>
      <c r="AO425" s="994"/>
      <c r="AP425" s="994"/>
      <c r="AQ425" s="994"/>
      <c r="AR425" s="994"/>
      <c r="AS425" s="994"/>
      <c r="AT425" s="994"/>
      <c r="AU425" s="994"/>
      <c r="AV425" s="994"/>
      <c r="AW425" s="994"/>
      <c r="AX425" s="3634"/>
      <c r="AY425" s="1431" t="s">
        <v>2655</v>
      </c>
      <c r="AZ425" s="3925">
        <f ca="1">IX.a!N1222</f>
        <v>0</v>
      </c>
      <c r="BA425" s="1228" t="s">
        <v>2662</v>
      </c>
      <c r="BB425" s="39"/>
      <c r="BC425" s="3634"/>
      <c r="BD425" s="3634"/>
      <c r="BE425" s="3634"/>
      <c r="BF425" s="3634"/>
      <c r="BG425" s="3634"/>
      <c r="BH425" s="3634"/>
      <c r="BI425" s="3634"/>
      <c r="BJ425" s="3634"/>
      <c r="BK425" s="3634"/>
      <c r="BL425" s="3634"/>
    </row>
    <row r="426" spans="3:64">
      <c r="C426" s="994"/>
      <c r="D426" s="2121"/>
      <c r="E426" s="3634"/>
      <c r="F426" s="994"/>
      <c r="G426" s="994"/>
      <c r="H426" s="994"/>
      <c r="I426" s="994"/>
      <c r="J426" s="994"/>
      <c r="K426" s="994"/>
      <c r="L426" s="994"/>
      <c r="M426" s="994"/>
      <c r="N426" s="994"/>
      <c r="O426" s="994"/>
      <c r="P426" s="994"/>
      <c r="Q426" s="994"/>
      <c r="R426" s="994"/>
      <c r="S426" s="994"/>
      <c r="T426" s="994"/>
      <c r="U426" s="994"/>
      <c r="V426" s="994"/>
      <c r="W426" s="994"/>
      <c r="X426" s="994"/>
      <c r="Y426" s="994"/>
      <c r="Z426" s="994"/>
      <c r="AA426" s="994"/>
      <c r="AB426" s="994"/>
      <c r="AC426" s="994"/>
      <c r="AD426" s="994"/>
      <c r="AE426" s="994"/>
      <c r="AF426" s="994"/>
      <c r="AG426" s="994"/>
      <c r="AH426" s="994"/>
      <c r="AI426" s="994"/>
      <c r="AJ426" s="994"/>
      <c r="AK426" s="994"/>
      <c r="AL426" s="994"/>
      <c r="AM426" s="994"/>
      <c r="AN426" s="994"/>
      <c r="AO426" s="994"/>
      <c r="AP426" s="994"/>
      <c r="AQ426" s="994"/>
      <c r="AR426" s="994"/>
      <c r="AS426" s="994"/>
      <c r="AT426" s="994"/>
      <c r="AU426" s="994"/>
      <c r="AV426" s="994"/>
      <c r="AW426" s="994"/>
      <c r="AX426" s="3634"/>
      <c r="AY426" s="1431" t="s">
        <v>2655</v>
      </c>
      <c r="AZ426" s="3925">
        <f>IX.c!N726</f>
        <v>12.392999999999999</v>
      </c>
      <c r="BA426" s="1228" t="s">
        <v>2661</v>
      </c>
      <c r="BB426" s="39"/>
      <c r="BC426" s="3634"/>
      <c r="BD426" s="3634"/>
      <c r="BE426" s="3634"/>
      <c r="BF426" s="3634"/>
      <c r="BG426" s="3634"/>
      <c r="BH426" s="3634"/>
      <c r="BI426" s="3634"/>
      <c r="BJ426" s="3634"/>
      <c r="BK426" s="3634"/>
      <c r="BL426" s="3634"/>
    </row>
    <row r="427" spans="3:64">
      <c r="C427" s="994"/>
      <c r="D427" s="2121"/>
      <c r="E427" s="3634"/>
      <c r="F427" s="994"/>
      <c r="G427" s="994"/>
      <c r="H427" s="994"/>
      <c r="I427" s="994"/>
      <c r="J427" s="994"/>
      <c r="K427" s="994"/>
      <c r="L427" s="994"/>
      <c r="M427" s="994"/>
      <c r="N427" s="994"/>
      <c r="O427" s="994"/>
      <c r="P427" s="994"/>
      <c r="Q427" s="994"/>
      <c r="R427" s="994"/>
      <c r="S427" s="994"/>
      <c r="T427" s="994"/>
      <c r="U427" s="994"/>
      <c r="V427" s="994"/>
      <c r="W427" s="994"/>
      <c r="X427" s="994"/>
      <c r="Y427" s="994"/>
      <c r="Z427" s="994"/>
      <c r="AA427" s="994"/>
      <c r="AB427" s="994"/>
      <c r="AC427" s="994"/>
      <c r="AD427" s="994"/>
      <c r="AE427" s="994"/>
      <c r="AF427" s="994"/>
      <c r="AG427" s="994"/>
      <c r="AH427" s="994"/>
      <c r="AI427" s="994"/>
      <c r="AJ427" s="994"/>
      <c r="AK427" s="994"/>
      <c r="AL427" s="994"/>
      <c r="AM427" s="994"/>
      <c r="AN427" s="994"/>
      <c r="AO427" s="994"/>
      <c r="AP427" s="994"/>
      <c r="AQ427" s="994"/>
      <c r="AR427" s="994"/>
      <c r="AS427" s="994"/>
      <c r="AT427" s="994"/>
      <c r="AU427" s="994"/>
      <c r="AV427" s="994"/>
      <c r="AW427" s="994"/>
      <c r="AX427" s="3634"/>
      <c r="AY427" s="3961" t="s">
        <v>545</v>
      </c>
      <c r="AZ427" s="3925">
        <f ca="1">-IX.a!N1234</f>
        <v>0</v>
      </c>
      <c r="BA427" s="1228" t="s">
        <v>2662</v>
      </c>
      <c r="BB427" s="39"/>
      <c r="BC427" s="3634"/>
      <c r="BD427" s="3634"/>
      <c r="BE427" s="3634"/>
      <c r="BF427" s="3634"/>
      <c r="BG427" s="3634"/>
      <c r="BH427" s="3634"/>
      <c r="BI427" s="3634"/>
      <c r="BJ427" s="3634"/>
      <c r="BK427" s="3634"/>
      <c r="BL427" s="3634"/>
    </row>
    <row r="428" spans="3:64">
      <c r="C428" s="994"/>
      <c r="D428" s="2121"/>
      <c r="E428" s="3634"/>
      <c r="F428" s="994"/>
      <c r="G428" s="994"/>
      <c r="H428" s="994"/>
      <c r="I428" s="994"/>
      <c r="J428" s="994"/>
      <c r="K428" s="994"/>
      <c r="L428" s="994"/>
      <c r="M428" s="994"/>
      <c r="N428" s="994"/>
      <c r="O428" s="994"/>
      <c r="P428" s="994"/>
      <c r="Q428" s="994"/>
      <c r="R428" s="994"/>
      <c r="S428" s="994"/>
      <c r="T428" s="994"/>
      <c r="U428" s="994"/>
      <c r="V428" s="994"/>
      <c r="W428" s="994"/>
      <c r="X428" s="994"/>
      <c r="Y428" s="994"/>
      <c r="Z428" s="994"/>
      <c r="AA428" s="994"/>
      <c r="AB428" s="994"/>
      <c r="AC428" s="994"/>
      <c r="AD428" s="994"/>
      <c r="AE428" s="994"/>
      <c r="AF428" s="994"/>
      <c r="AG428" s="994"/>
      <c r="AH428" s="994"/>
      <c r="AI428" s="994"/>
      <c r="AJ428" s="994"/>
      <c r="AK428" s="994"/>
      <c r="AL428" s="994"/>
      <c r="AM428" s="994"/>
      <c r="AN428" s="994"/>
      <c r="AO428" s="994"/>
      <c r="AP428" s="994"/>
      <c r="AQ428" s="994"/>
      <c r="AR428" s="994"/>
      <c r="AS428" s="994"/>
      <c r="AT428" s="994"/>
      <c r="AU428" s="994"/>
      <c r="AV428" s="994"/>
      <c r="AW428" s="994"/>
      <c r="AX428" s="3634"/>
      <c r="AY428" s="3961" t="s">
        <v>545</v>
      </c>
      <c r="AZ428" s="3925">
        <f>-IX.c!N738</f>
        <v>0</v>
      </c>
      <c r="BA428" s="1228" t="s">
        <v>2661</v>
      </c>
      <c r="BB428" s="39"/>
      <c r="BC428" s="3634"/>
      <c r="BD428" s="3634"/>
      <c r="BE428" s="3634"/>
      <c r="BF428" s="3634"/>
      <c r="BG428" s="3634"/>
      <c r="BH428" s="3634"/>
      <c r="BI428" s="3634"/>
      <c r="BJ428" s="3634"/>
      <c r="BK428" s="3634"/>
      <c r="BL428" s="3634"/>
    </row>
    <row r="429" spans="3:64">
      <c r="C429" s="994"/>
      <c r="D429" s="2121"/>
      <c r="E429" s="3634"/>
      <c r="F429" s="994"/>
      <c r="G429" s="994"/>
      <c r="H429" s="994"/>
      <c r="I429" s="994"/>
      <c r="J429" s="994"/>
      <c r="K429" s="994"/>
      <c r="L429" s="994"/>
      <c r="M429" s="994"/>
      <c r="N429" s="994"/>
      <c r="O429" s="994"/>
      <c r="P429" s="994"/>
      <c r="Q429" s="994"/>
      <c r="R429" s="994"/>
      <c r="S429" s="994"/>
      <c r="T429" s="994"/>
      <c r="U429" s="994"/>
      <c r="V429" s="994"/>
      <c r="W429" s="994"/>
      <c r="X429" s="994"/>
      <c r="Y429" s="994"/>
      <c r="Z429" s="994"/>
      <c r="AA429" s="994"/>
      <c r="AB429" s="994"/>
      <c r="AC429" s="994"/>
      <c r="AD429" s="994"/>
      <c r="AE429" s="994"/>
      <c r="AF429" s="994"/>
      <c r="AG429" s="994"/>
      <c r="AH429" s="994"/>
      <c r="AI429" s="994"/>
      <c r="AJ429" s="994"/>
      <c r="AK429" s="994"/>
      <c r="AL429" s="994"/>
      <c r="AM429" s="994"/>
      <c r="AN429" s="994"/>
      <c r="AO429" s="994"/>
      <c r="AP429" s="994"/>
      <c r="AQ429" s="994"/>
      <c r="AR429" s="994"/>
      <c r="AS429" s="994"/>
      <c r="AT429" s="994"/>
      <c r="AU429" s="994"/>
      <c r="AV429" s="994"/>
      <c r="AW429" s="994"/>
      <c r="AX429" s="3634"/>
      <c r="AY429" s="3961" t="s">
        <v>545</v>
      </c>
      <c r="AZ429" s="3925">
        <f ca="1">-XI.a!N442-XV.a!N175</f>
        <v>2.6537999724419409E-2</v>
      </c>
      <c r="BA429" s="1228" t="s">
        <v>368</v>
      </c>
      <c r="BB429" s="39"/>
      <c r="BC429" s="3634"/>
      <c r="BD429" s="3634"/>
      <c r="BE429" s="3634"/>
      <c r="BF429" s="3634"/>
      <c r="BG429" s="3634"/>
      <c r="BH429" s="3634"/>
      <c r="BI429" s="3634"/>
      <c r="BJ429" s="3634"/>
      <c r="BK429" s="3634"/>
      <c r="BL429" s="3634"/>
    </row>
    <row r="430" spans="3:64">
      <c r="C430" s="994"/>
      <c r="D430" s="2121"/>
      <c r="E430" s="3634"/>
      <c r="F430" s="994"/>
      <c r="G430" s="994"/>
      <c r="H430" s="994"/>
      <c r="I430" s="994"/>
      <c r="J430" s="994"/>
      <c r="K430" s="994"/>
      <c r="L430" s="994"/>
      <c r="M430" s="994"/>
      <c r="N430" s="994"/>
      <c r="O430" s="994"/>
      <c r="P430" s="994"/>
      <c r="Q430" s="994"/>
      <c r="R430" s="994"/>
      <c r="S430" s="994"/>
      <c r="T430" s="994"/>
      <c r="U430" s="994"/>
      <c r="V430" s="994"/>
      <c r="W430" s="994"/>
      <c r="X430" s="994"/>
      <c r="Y430" s="994"/>
      <c r="Z430" s="994"/>
      <c r="AA430" s="994"/>
      <c r="AB430" s="994"/>
      <c r="AC430" s="994"/>
      <c r="AD430" s="994"/>
      <c r="AE430" s="994"/>
      <c r="AF430" s="994"/>
      <c r="AG430" s="994"/>
      <c r="AH430" s="994"/>
      <c r="AI430" s="994"/>
      <c r="AJ430" s="994"/>
      <c r="AK430" s="994"/>
      <c r="AL430" s="994"/>
      <c r="AM430" s="994"/>
      <c r="AN430" s="994"/>
      <c r="AO430" s="994"/>
      <c r="AP430" s="994"/>
      <c r="AQ430" s="994"/>
      <c r="AR430" s="994"/>
      <c r="AS430" s="994"/>
      <c r="AT430" s="994"/>
      <c r="AU430" s="994"/>
      <c r="AV430" s="994"/>
      <c r="AW430" s="994"/>
      <c r="AX430" s="3634"/>
      <c r="AY430" s="3961" t="s">
        <v>545</v>
      </c>
      <c r="AZ430" s="3925">
        <f ca="1">AZ401-SUM(AZ427:AZ429)</f>
        <v>0</v>
      </c>
      <c r="BA430" s="1228" t="s">
        <v>1786</v>
      </c>
      <c r="BB430" s="39"/>
      <c r="BC430" s="3634"/>
      <c r="BD430" s="3634"/>
      <c r="BE430" s="3634"/>
      <c r="BF430" s="3634"/>
      <c r="BG430" s="3634"/>
      <c r="BH430" s="3634"/>
      <c r="BI430" s="3634"/>
      <c r="BJ430" s="3634"/>
      <c r="BK430" s="3634"/>
      <c r="BL430" s="3634"/>
    </row>
    <row r="431" spans="3:64">
      <c r="C431" s="994"/>
      <c r="D431" s="2121"/>
      <c r="E431" s="3634"/>
      <c r="F431" s="994"/>
      <c r="G431" s="994"/>
      <c r="H431" s="994"/>
      <c r="I431" s="994"/>
      <c r="J431" s="994"/>
      <c r="K431" s="994"/>
      <c r="L431" s="994"/>
      <c r="M431" s="994"/>
      <c r="N431" s="994"/>
      <c r="O431" s="994"/>
      <c r="P431" s="994"/>
      <c r="Q431" s="994"/>
      <c r="R431" s="994"/>
      <c r="S431" s="994"/>
      <c r="T431" s="994"/>
      <c r="U431" s="994"/>
      <c r="V431" s="994"/>
      <c r="W431" s="994"/>
      <c r="X431" s="994"/>
      <c r="Y431" s="994"/>
      <c r="Z431" s="994"/>
      <c r="AA431" s="994"/>
      <c r="AB431" s="994"/>
      <c r="AC431" s="994"/>
      <c r="AD431" s="994"/>
      <c r="AE431" s="994"/>
      <c r="AF431" s="994"/>
      <c r="AG431" s="994"/>
      <c r="AH431" s="994"/>
      <c r="AI431" s="994"/>
      <c r="AJ431" s="994"/>
      <c r="AK431" s="994"/>
      <c r="AL431" s="994"/>
      <c r="AM431" s="994"/>
      <c r="AN431" s="994"/>
      <c r="AO431" s="994"/>
      <c r="AP431" s="994"/>
      <c r="AQ431" s="994"/>
      <c r="AR431" s="994"/>
      <c r="AS431" s="994"/>
      <c r="AT431" s="994"/>
      <c r="AU431" s="994"/>
      <c r="AV431" s="994"/>
      <c r="AW431" s="994"/>
      <c r="AX431" s="3634"/>
      <c r="AY431" s="1431" t="s">
        <v>2658</v>
      </c>
      <c r="AZ431" s="3925">
        <f ca="1">-IX.a!N1200-IV.b!N103</f>
        <v>2.2955126813937436</v>
      </c>
      <c r="BA431" s="1228" t="s">
        <v>2662</v>
      </c>
      <c r="BB431" s="39"/>
      <c r="BC431" s="3634"/>
      <c r="BD431" s="3634"/>
      <c r="BE431" s="3634"/>
      <c r="BF431" s="3634"/>
      <c r="BG431" s="3634"/>
      <c r="BH431" s="3634"/>
      <c r="BI431" s="3634"/>
      <c r="BJ431" s="3634"/>
      <c r="BK431" s="3634"/>
      <c r="BL431" s="3634"/>
    </row>
    <row r="432" spans="3:64">
      <c r="C432" s="994"/>
      <c r="D432" s="2121"/>
      <c r="E432" s="3634"/>
      <c r="F432" s="994"/>
      <c r="G432" s="994"/>
      <c r="H432" s="994"/>
      <c r="I432" s="994"/>
      <c r="J432" s="994"/>
      <c r="K432" s="994"/>
      <c r="L432" s="994"/>
      <c r="M432" s="994"/>
      <c r="N432" s="994"/>
      <c r="O432" s="994"/>
      <c r="P432" s="994"/>
      <c r="Q432" s="994"/>
      <c r="R432" s="994"/>
      <c r="S432" s="994"/>
      <c r="T432" s="994"/>
      <c r="U432" s="994"/>
      <c r="V432" s="994"/>
      <c r="W432" s="994"/>
      <c r="X432" s="994"/>
      <c r="Y432" s="994"/>
      <c r="Z432" s="994"/>
      <c r="AA432" s="994"/>
      <c r="AB432" s="994"/>
      <c r="AC432" s="994"/>
      <c r="AD432" s="994"/>
      <c r="AE432" s="994"/>
      <c r="AF432" s="994"/>
      <c r="AG432" s="994"/>
      <c r="AH432" s="994"/>
      <c r="AI432" s="994"/>
      <c r="AJ432" s="994"/>
      <c r="AK432" s="994"/>
      <c r="AL432" s="994"/>
      <c r="AM432" s="994"/>
      <c r="AN432" s="994"/>
      <c r="AO432" s="994"/>
      <c r="AP432" s="994"/>
      <c r="AQ432" s="994"/>
      <c r="AR432" s="994"/>
      <c r="AS432" s="994"/>
      <c r="AT432" s="994"/>
      <c r="AU432" s="994"/>
      <c r="AV432" s="994"/>
      <c r="AW432" s="994"/>
      <c r="AX432" s="3634"/>
      <c r="AY432" s="1431" t="s">
        <v>16</v>
      </c>
      <c r="AZ432" s="3925">
        <f ca="1">-IX.a!N1202</f>
        <v>0</v>
      </c>
      <c r="BA432" s="1228" t="s">
        <v>2662</v>
      </c>
      <c r="BB432" s="39"/>
      <c r="BC432" s="3634"/>
      <c r="BD432" s="3634"/>
      <c r="BE432" s="3634"/>
      <c r="BF432" s="3634"/>
      <c r="BG432" s="3634"/>
      <c r="BH432" s="3634"/>
      <c r="BI432" s="3634"/>
      <c r="BJ432" s="3634"/>
      <c r="BK432" s="3634"/>
      <c r="BL432" s="3634"/>
    </row>
    <row r="433" spans="3:64">
      <c r="C433" s="994"/>
      <c r="D433" s="2121"/>
      <c r="E433" s="3634"/>
      <c r="F433" s="994"/>
      <c r="G433" s="994"/>
      <c r="H433" s="994"/>
      <c r="I433" s="994"/>
      <c r="J433" s="994"/>
      <c r="K433" s="994"/>
      <c r="L433" s="994"/>
      <c r="M433" s="994"/>
      <c r="N433" s="994"/>
      <c r="O433" s="994"/>
      <c r="P433" s="994"/>
      <c r="Q433" s="994"/>
      <c r="R433" s="994"/>
      <c r="S433" s="994"/>
      <c r="T433" s="994"/>
      <c r="U433" s="994"/>
      <c r="V433" s="994"/>
      <c r="W433" s="994"/>
      <c r="X433" s="994"/>
      <c r="Y433" s="994"/>
      <c r="Z433" s="994"/>
      <c r="AA433" s="994"/>
      <c r="AB433" s="994"/>
      <c r="AC433" s="994"/>
      <c r="AD433" s="994"/>
      <c r="AE433" s="994"/>
      <c r="AF433" s="994"/>
      <c r="AG433" s="994"/>
      <c r="AH433" s="994"/>
      <c r="AI433" s="994"/>
      <c r="AJ433" s="994"/>
      <c r="AK433" s="994"/>
      <c r="AL433" s="994"/>
      <c r="AM433" s="994"/>
      <c r="AN433" s="994"/>
      <c r="AO433" s="994"/>
      <c r="AP433" s="994"/>
      <c r="AQ433" s="994"/>
      <c r="AR433" s="994"/>
      <c r="AS433" s="994"/>
      <c r="AT433" s="994"/>
      <c r="AU433" s="994"/>
      <c r="AV433" s="994"/>
      <c r="AW433" s="994"/>
      <c r="AX433" s="3634"/>
      <c r="AY433" s="1431" t="s">
        <v>1712</v>
      </c>
      <c r="AZ433" s="3925">
        <f ca="1">-IX.a!N1203</f>
        <v>0</v>
      </c>
      <c r="BA433" s="1228" t="s">
        <v>2662</v>
      </c>
      <c r="BB433" s="39"/>
      <c r="BC433" s="3634"/>
      <c r="BD433" s="3634"/>
      <c r="BE433" s="3634"/>
      <c r="BF433" s="3634"/>
      <c r="BG433" s="3634"/>
      <c r="BH433" s="3634"/>
      <c r="BI433" s="3634"/>
      <c r="BJ433" s="3634"/>
      <c r="BK433" s="3634"/>
      <c r="BL433" s="3634"/>
    </row>
    <row r="434" spans="3:64">
      <c r="C434" s="994"/>
      <c r="D434" s="2121"/>
      <c r="E434" s="3634"/>
      <c r="F434" s="994"/>
      <c r="G434" s="994"/>
      <c r="H434" s="994"/>
      <c r="I434" s="994"/>
      <c r="J434" s="994"/>
      <c r="K434" s="994"/>
      <c r="L434" s="994"/>
      <c r="M434" s="994"/>
      <c r="N434" s="994"/>
      <c r="O434" s="994"/>
      <c r="P434" s="994"/>
      <c r="Q434" s="994"/>
      <c r="R434" s="994"/>
      <c r="S434" s="994"/>
      <c r="T434" s="994"/>
      <c r="U434" s="994"/>
      <c r="V434" s="994"/>
      <c r="W434" s="994"/>
      <c r="X434" s="994"/>
      <c r="Y434" s="994"/>
      <c r="Z434" s="994"/>
      <c r="AA434" s="994"/>
      <c r="AB434" s="994"/>
      <c r="AC434" s="994"/>
      <c r="AD434" s="994"/>
      <c r="AE434" s="994"/>
      <c r="AF434" s="994"/>
      <c r="AG434" s="994"/>
      <c r="AH434" s="994"/>
      <c r="AI434" s="994"/>
      <c r="AJ434" s="994"/>
      <c r="AK434" s="994"/>
      <c r="AL434" s="994"/>
      <c r="AM434" s="994"/>
      <c r="AN434" s="994"/>
      <c r="AO434" s="994"/>
      <c r="AP434" s="994"/>
      <c r="AQ434" s="994"/>
      <c r="AR434" s="994"/>
      <c r="AS434" s="994"/>
      <c r="AT434" s="994"/>
      <c r="AU434" s="994"/>
      <c r="AV434" s="994"/>
      <c r="AW434" s="994"/>
      <c r="AX434" s="3634"/>
      <c r="AY434" s="1431" t="s">
        <v>15</v>
      </c>
      <c r="AZ434" s="3925">
        <f ca="1">-IX.a!N1204</f>
        <v>19.742167028986774</v>
      </c>
      <c r="BA434" s="1228" t="s">
        <v>2662</v>
      </c>
      <c r="BB434" s="39"/>
      <c r="BC434" s="3634"/>
      <c r="BD434" s="3634"/>
      <c r="BE434" s="3634"/>
      <c r="BF434" s="3634"/>
      <c r="BG434" s="3634"/>
      <c r="BH434" s="3634"/>
      <c r="BI434" s="3634"/>
      <c r="BJ434" s="3634"/>
      <c r="BK434" s="3634"/>
      <c r="BL434" s="3634"/>
    </row>
    <row r="435" spans="3:64">
      <c r="C435" s="994"/>
      <c r="D435" s="2121"/>
      <c r="E435" s="3634"/>
      <c r="F435" s="994"/>
      <c r="G435" s="994"/>
      <c r="H435" s="994"/>
      <c r="I435" s="994"/>
      <c r="J435" s="994"/>
      <c r="K435" s="994"/>
      <c r="L435" s="994"/>
      <c r="M435" s="994"/>
      <c r="N435" s="994"/>
      <c r="O435" s="994"/>
      <c r="P435" s="994"/>
      <c r="Q435" s="994"/>
      <c r="R435" s="994"/>
      <c r="S435" s="994"/>
      <c r="T435" s="994"/>
      <c r="U435" s="994"/>
      <c r="V435" s="994"/>
      <c r="W435" s="994"/>
      <c r="X435" s="994"/>
      <c r="Y435" s="994"/>
      <c r="Z435" s="994"/>
      <c r="AA435" s="994"/>
      <c r="AB435" s="994"/>
      <c r="AC435" s="994"/>
      <c r="AD435" s="994"/>
      <c r="AE435" s="994"/>
      <c r="AF435" s="994"/>
      <c r="AG435" s="994"/>
      <c r="AH435" s="994"/>
      <c r="AI435" s="994"/>
      <c r="AJ435" s="994"/>
      <c r="AK435" s="994"/>
      <c r="AL435" s="994"/>
      <c r="AM435" s="994"/>
      <c r="AN435" s="994"/>
      <c r="AO435" s="994"/>
      <c r="AP435" s="994"/>
      <c r="AQ435" s="994"/>
      <c r="AR435" s="994"/>
      <c r="AS435" s="994"/>
      <c r="AT435" s="994"/>
      <c r="AU435" s="994"/>
      <c r="AV435" s="994"/>
      <c r="AW435" s="994"/>
      <c r="AX435" s="3634"/>
      <c r="AY435" s="1431" t="s">
        <v>2658</v>
      </c>
      <c r="AZ435" s="3925">
        <f>-IX.c!N705</f>
        <v>1.877</v>
      </c>
      <c r="BA435" s="1228" t="s">
        <v>2661</v>
      </c>
      <c r="BB435" s="39"/>
      <c r="BC435" s="3634"/>
      <c r="BD435" s="3634"/>
      <c r="BE435" s="3634"/>
      <c r="BF435" s="3634"/>
      <c r="BG435" s="3634"/>
      <c r="BH435" s="3634"/>
      <c r="BI435" s="3634"/>
      <c r="BJ435" s="3634"/>
      <c r="BK435" s="3634"/>
      <c r="BL435" s="3634"/>
    </row>
    <row r="436" spans="3:64">
      <c r="C436" s="994"/>
      <c r="D436" s="2121"/>
      <c r="E436" s="3634"/>
      <c r="F436" s="994"/>
      <c r="G436" s="994"/>
      <c r="H436" s="994"/>
      <c r="I436" s="994"/>
      <c r="J436" s="994"/>
      <c r="K436" s="994"/>
      <c r="L436" s="994"/>
      <c r="M436" s="994"/>
      <c r="N436" s="994"/>
      <c r="O436" s="994"/>
      <c r="P436" s="994"/>
      <c r="Q436" s="994"/>
      <c r="R436" s="994"/>
      <c r="S436" s="994"/>
      <c r="T436" s="994"/>
      <c r="U436" s="994"/>
      <c r="V436" s="994"/>
      <c r="W436" s="994"/>
      <c r="X436" s="994"/>
      <c r="Y436" s="994"/>
      <c r="Z436" s="994"/>
      <c r="AA436" s="994"/>
      <c r="AB436" s="994"/>
      <c r="AC436" s="994"/>
      <c r="AD436" s="994"/>
      <c r="AE436" s="994"/>
      <c r="AF436" s="994"/>
      <c r="AG436" s="994"/>
      <c r="AH436" s="994"/>
      <c r="AI436" s="994"/>
      <c r="AJ436" s="994"/>
      <c r="AK436" s="994"/>
      <c r="AL436" s="994"/>
      <c r="AM436" s="994"/>
      <c r="AN436" s="994"/>
      <c r="AO436" s="994"/>
      <c r="AP436" s="994"/>
      <c r="AQ436" s="994"/>
      <c r="AR436" s="994"/>
      <c r="AS436" s="994"/>
      <c r="AT436" s="994"/>
      <c r="AU436" s="994"/>
      <c r="AV436" s="994"/>
      <c r="AW436" s="994"/>
      <c r="AX436" s="3634"/>
      <c r="AY436" s="1431" t="s">
        <v>16</v>
      </c>
      <c r="AZ436" s="3925">
        <f>-IX.c!N707</f>
        <v>0</v>
      </c>
      <c r="BA436" s="1228" t="s">
        <v>2661</v>
      </c>
      <c r="BB436" s="39"/>
      <c r="BC436" s="3634"/>
      <c r="BD436" s="3634"/>
      <c r="BE436" s="3634"/>
      <c r="BF436" s="3634"/>
      <c r="BG436" s="3634"/>
      <c r="BH436" s="3634"/>
      <c r="BI436" s="3634"/>
      <c r="BJ436" s="3634"/>
      <c r="BK436" s="3634"/>
      <c r="BL436" s="3634"/>
    </row>
    <row r="437" spans="3:64">
      <c r="C437" s="994"/>
      <c r="D437" s="2121"/>
      <c r="E437" s="3634"/>
      <c r="F437" s="994"/>
      <c r="G437" s="994"/>
      <c r="H437" s="994"/>
      <c r="I437" s="994"/>
      <c r="J437" s="994"/>
      <c r="K437" s="994"/>
      <c r="L437" s="994"/>
      <c r="M437" s="994"/>
      <c r="N437" s="994"/>
      <c r="O437" s="994"/>
      <c r="P437" s="994"/>
      <c r="Q437" s="994"/>
      <c r="R437" s="994"/>
      <c r="S437" s="994"/>
      <c r="T437" s="994"/>
      <c r="U437" s="994"/>
      <c r="V437" s="994"/>
      <c r="W437" s="994"/>
      <c r="X437" s="994"/>
      <c r="Y437" s="994"/>
      <c r="Z437" s="994"/>
      <c r="AA437" s="994"/>
      <c r="AB437" s="994"/>
      <c r="AC437" s="994"/>
      <c r="AD437" s="994"/>
      <c r="AE437" s="994"/>
      <c r="AF437" s="994"/>
      <c r="AG437" s="994"/>
      <c r="AH437" s="994"/>
      <c r="AI437" s="994"/>
      <c r="AJ437" s="994"/>
      <c r="AK437" s="994"/>
      <c r="AL437" s="994"/>
      <c r="AM437" s="994"/>
      <c r="AN437" s="994"/>
      <c r="AO437" s="994"/>
      <c r="AP437" s="994"/>
      <c r="AQ437" s="994"/>
      <c r="AR437" s="994"/>
      <c r="AS437" s="994"/>
      <c r="AT437" s="994"/>
      <c r="AU437" s="994"/>
      <c r="AV437" s="994"/>
      <c r="AW437" s="994"/>
      <c r="AX437" s="3634"/>
      <c r="AY437" s="1431" t="s">
        <v>1712</v>
      </c>
      <c r="AZ437" s="3925">
        <f>-IX.c!N708</f>
        <v>0</v>
      </c>
      <c r="BA437" s="1228" t="s">
        <v>2661</v>
      </c>
      <c r="BB437" s="39"/>
      <c r="BC437" s="3634"/>
      <c r="BD437" s="3634"/>
      <c r="BE437" s="3634"/>
      <c r="BF437" s="3634"/>
      <c r="BG437" s="3634"/>
      <c r="BH437" s="3634"/>
      <c r="BI437" s="3634"/>
      <c r="BJ437" s="3634"/>
      <c r="BK437" s="3634"/>
      <c r="BL437" s="3634"/>
    </row>
    <row r="438" spans="3:64">
      <c r="C438" s="994"/>
      <c r="D438" s="2121"/>
      <c r="E438" s="3634"/>
      <c r="F438" s="994"/>
      <c r="G438" s="994"/>
      <c r="H438" s="994"/>
      <c r="I438" s="994"/>
      <c r="J438" s="994"/>
      <c r="K438" s="994"/>
      <c r="L438" s="994"/>
      <c r="M438" s="994"/>
      <c r="N438" s="994"/>
      <c r="O438" s="994"/>
      <c r="P438" s="994"/>
      <c r="Q438" s="994"/>
      <c r="R438" s="994"/>
      <c r="S438" s="994"/>
      <c r="T438" s="994"/>
      <c r="U438" s="994"/>
      <c r="V438" s="994"/>
      <c r="W438" s="994"/>
      <c r="X438" s="994"/>
      <c r="Y438" s="994"/>
      <c r="Z438" s="994"/>
      <c r="AA438" s="994"/>
      <c r="AB438" s="994"/>
      <c r="AC438" s="994"/>
      <c r="AD438" s="994"/>
      <c r="AE438" s="994"/>
      <c r="AF438" s="994"/>
      <c r="AG438" s="994"/>
      <c r="AH438" s="994"/>
      <c r="AI438" s="994"/>
      <c r="AJ438" s="994"/>
      <c r="AK438" s="994"/>
      <c r="AL438" s="994"/>
      <c r="AM438" s="994"/>
      <c r="AN438" s="994"/>
      <c r="AO438" s="994"/>
      <c r="AP438" s="994"/>
      <c r="AQ438" s="994"/>
      <c r="AR438" s="994"/>
      <c r="AS438" s="994"/>
      <c r="AT438" s="994"/>
      <c r="AU438" s="994"/>
      <c r="AV438" s="994"/>
      <c r="AW438" s="994"/>
      <c r="AX438" s="3634"/>
      <c r="AY438" s="1431" t="s">
        <v>15</v>
      </c>
      <c r="AZ438" s="3925">
        <f>-IX.c!N709</f>
        <v>1.5131868131870618E-2</v>
      </c>
      <c r="BA438" s="1228" t="s">
        <v>2661</v>
      </c>
      <c r="BB438" s="39"/>
      <c r="BC438" s="3634"/>
      <c r="BD438" s="3634"/>
      <c r="BE438" s="3634"/>
      <c r="BF438" s="3634"/>
      <c r="BG438" s="3634"/>
      <c r="BH438" s="3634"/>
      <c r="BI438" s="3634"/>
      <c r="BJ438" s="3634"/>
      <c r="BK438" s="3634"/>
      <c r="BL438" s="3634"/>
    </row>
    <row r="439" spans="3:64">
      <c r="C439" s="994"/>
      <c r="D439" s="2121"/>
      <c r="E439" s="3634"/>
      <c r="F439" s="994"/>
      <c r="G439" s="994"/>
      <c r="H439" s="994"/>
      <c r="I439" s="994"/>
      <c r="J439" s="994"/>
      <c r="K439" s="994"/>
      <c r="L439" s="994"/>
      <c r="M439" s="994"/>
      <c r="N439" s="994"/>
      <c r="O439" s="994"/>
      <c r="P439" s="994"/>
      <c r="Q439" s="994"/>
      <c r="R439" s="994"/>
      <c r="S439" s="994"/>
      <c r="T439" s="994"/>
      <c r="U439" s="994"/>
      <c r="V439" s="994"/>
      <c r="W439" s="994"/>
      <c r="X439" s="994"/>
      <c r="Y439" s="994"/>
      <c r="Z439" s="994"/>
      <c r="AA439" s="994"/>
      <c r="AB439" s="994"/>
      <c r="AC439" s="994"/>
      <c r="AD439" s="994"/>
      <c r="AE439" s="994"/>
      <c r="AF439" s="994"/>
      <c r="AG439" s="994"/>
      <c r="AH439" s="994"/>
      <c r="AI439" s="994"/>
      <c r="AJ439" s="994"/>
      <c r="AK439" s="994"/>
      <c r="AL439" s="994"/>
      <c r="AM439" s="994"/>
      <c r="AN439" s="994"/>
      <c r="AO439" s="994"/>
      <c r="AP439" s="994"/>
      <c r="AQ439" s="994"/>
      <c r="AR439" s="994"/>
      <c r="AS439" s="994"/>
      <c r="AT439" s="994"/>
      <c r="AU439" s="994"/>
      <c r="AV439" s="994"/>
      <c r="AW439" s="994"/>
      <c r="AX439" s="3634"/>
      <c r="AY439" s="1431" t="s">
        <v>2658</v>
      </c>
      <c r="AZ439" s="3925">
        <f>-X.a!N183</f>
        <v>6.0488605289299739</v>
      </c>
      <c r="BA439" s="1228" t="s">
        <v>2666</v>
      </c>
      <c r="BB439" s="39"/>
      <c r="BC439" s="3634"/>
      <c r="BD439" s="3634"/>
      <c r="BE439" s="3634"/>
      <c r="BF439" s="3634"/>
      <c r="BG439" s="3634"/>
      <c r="BH439" s="3634"/>
      <c r="BI439" s="3634"/>
      <c r="BJ439" s="3634"/>
      <c r="BK439" s="3634"/>
      <c r="BL439" s="3634"/>
    </row>
    <row r="440" spans="3:64">
      <c r="C440" s="994"/>
      <c r="D440" s="2121"/>
      <c r="E440" s="3634"/>
      <c r="F440" s="994"/>
      <c r="G440" s="994"/>
      <c r="H440" s="994"/>
      <c r="I440" s="994"/>
      <c r="J440" s="994"/>
      <c r="K440" s="994"/>
      <c r="L440" s="994"/>
      <c r="M440" s="994"/>
      <c r="N440" s="994"/>
      <c r="O440" s="994"/>
      <c r="P440" s="994"/>
      <c r="Q440" s="994"/>
      <c r="R440" s="994"/>
      <c r="S440" s="994"/>
      <c r="T440" s="994"/>
      <c r="U440" s="994"/>
      <c r="V440" s="994"/>
      <c r="W440" s="994"/>
      <c r="X440" s="994"/>
      <c r="Y440" s="994"/>
      <c r="Z440" s="994"/>
      <c r="AA440" s="994"/>
      <c r="AB440" s="994"/>
      <c r="AC440" s="994"/>
      <c r="AD440" s="994"/>
      <c r="AE440" s="994"/>
      <c r="AF440" s="994"/>
      <c r="AG440" s="994"/>
      <c r="AH440" s="994"/>
      <c r="AI440" s="994"/>
      <c r="AJ440" s="994"/>
      <c r="AK440" s="994"/>
      <c r="AL440" s="994"/>
      <c r="AM440" s="994"/>
      <c r="AN440" s="994"/>
      <c r="AO440" s="994"/>
      <c r="AP440" s="994"/>
      <c r="AQ440" s="994"/>
      <c r="AR440" s="994"/>
      <c r="AS440" s="994"/>
      <c r="AT440" s="994"/>
      <c r="AU440" s="994"/>
      <c r="AV440" s="994"/>
      <c r="AW440" s="994"/>
      <c r="AX440" s="3634"/>
      <c r="AY440" s="1431" t="s">
        <v>15</v>
      </c>
      <c r="AZ440" s="3925">
        <f>-X.a!N184</f>
        <v>0.48465180534672125</v>
      </c>
      <c r="BA440" s="1228" t="s">
        <v>2666</v>
      </c>
      <c r="BB440" s="39"/>
      <c r="BC440" s="3634"/>
      <c r="BD440" s="3634"/>
      <c r="BE440" s="3634"/>
      <c r="BF440" s="3634"/>
      <c r="BG440" s="3634"/>
      <c r="BH440" s="3634"/>
      <c r="BI440" s="3634"/>
      <c r="BJ440" s="3634"/>
      <c r="BK440" s="3634"/>
      <c r="BL440" s="3634"/>
    </row>
    <row r="441" spans="3:64">
      <c r="C441" s="994"/>
      <c r="D441" s="2121"/>
      <c r="E441" s="3634"/>
      <c r="F441" s="994"/>
      <c r="G441" s="994"/>
      <c r="H441" s="994"/>
      <c r="I441" s="994"/>
      <c r="J441" s="994"/>
      <c r="K441" s="994"/>
      <c r="L441" s="994"/>
      <c r="M441" s="994"/>
      <c r="N441" s="994"/>
      <c r="O441" s="994"/>
      <c r="P441" s="994"/>
      <c r="Q441" s="994"/>
      <c r="R441" s="994"/>
      <c r="S441" s="994"/>
      <c r="T441" s="994"/>
      <c r="U441" s="994"/>
      <c r="V441" s="994"/>
      <c r="W441" s="994"/>
      <c r="X441" s="994"/>
      <c r="Y441" s="994"/>
      <c r="Z441" s="994"/>
      <c r="AA441" s="994"/>
      <c r="AB441" s="994"/>
      <c r="AC441" s="994"/>
      <c r="AD441" s="994"/>
      <c r="AE441" s="994"/>
      <c r="AF441" s="994"/>
      <c r="AG441" s="994"/>
      <c r="AH441" s="994"/>
      <c r="AI441" s="994"/>
      <c r="AJ441" s="994"/>
      <c r="AK441" s="994"/>
      <c r="AL441" s="994"/>
      <c r="AM441" s="994"/>
      <c r="AN441" s="994"/>
      <c r="AO441" s="994"/>
      <c r="AP441" s="994"/>
      <c r="AQ441" s="994"/>
      <c r="AR441" s="994"/>
      <c r="AS441" s="994"/>
      <c r="AT441" s="994"/>
      <c r="AU441" s="994"/>
      <c r="AV441" s="994"/>
      <c r="AW441" s="994"/>
      <c r="AX441" s="3634"/>
      <c r="AY441" s="1431" t="s">
        <v>2658</v>
      </c>
      <c r="AZ441" s="3925">
        <f>-X.b!N154</f>
        <v>4.71</v>
      </c>
      <c r="BA441" s="1228" t="s">
        <v>2664</v>
      </c>
      <c r="BB441" s="39"/>
      <c r="BC441" s="3634"/>
      <c r="BD441" s="3634"/>
      <c r="BE441" s="3634"/>
      <c r="BF441" s="3634"/>
      <c r="BG441" s="3634"/>
      <c r="BH441" s="3634"/>
      <c r="BI441" s="3634"/>
      <c r="BJ441" s="3634"/>
      <c r="BK441" s="3634"/>
      <c r="BL441" s="3634"/>
    </row>
    <row r="442" spans="3:64">
      <c r="C442" s="994"/>
      <c r="D442" s="2121"/>
      <c r="E442" s="3634"/>
      <c r="F442" s="994"/>
      <c r="G442" s="994"/>
      <c r="H442" s="994"/>
      <c r="I442" s="994"/>
      <c r="J442" s="994"/>
      <c r="K442" s="994"/>
      <c r="L442" s="994"/>
      <c r="M442" s="994"/>
      <c r="N442" s="994"/>
      <c r="O442" s="994"/>
      <c r="P442" s="994"/>
      <c r="Q442" s="994"/>
      <c r="R442" s="994"/>
      <c r="S442" s="994"/>
      <c r="T442" s="994"/>
      <c r="U442" s="994"/>
      <c r="V442" s="994"/>
      <c r="W442" s="994"/>
      <c r="X442" s="994"/>
      <c r="Y442" s="994"/>
      <c r="Z442" s="994"/>
      <c r="AA442" s="994"/>
      <c r="AB442" s="994"/>
      <c r="AC442" s="994"/>
      <c r="AD442" s="994"/>
      <c r="AE442" s="994"/>
      <c r="AF442" s="994"/>
      <c r="AG442" s="994"/>
      <c r="AH442" s="994"/>
      <c r="AI442" s="994"/>
      <c r="AJ442" s="994"/>
      <c r="AK442" s="994"/>
      <c r="AL442" s="994"/>
      <c r="AM442" s="994"/>
      <c r="AN442" s="994"/>
      <c r="AO442" s="994"/>
      <c r="AP442" s="994"/>
      <c r="AQ442" s="994"/>
      <c r="AR442" s="994"/>
      <c r="AS442" s="994"/>
      <c r="AT442" s="994"/>
      <c r="AU442" s="994"/>
      <c r="AV442" s="994"/>
      <c r="AW442" s="994"/>
      <c r="AX442" s="3634"/>
      <c r="AY442" s="1431" t="s">
        <v>15</v>
      </c>
      <c r="AZ442" s="3925">
        <f>-X.b!N155</f>
        <v>0.49199999999999999</v>
      </c>
      <c r="BA442" s="1228" t="s">
        <v>2664</v>
      </c>
      <c r="BB442" s="39"/>
      <c r="BC442" s="3634"/>
      <c r="BD442" s="3634"/>
      <c r="BE442" s="3634"/>
      <c r="BF442" s="3634"/>
      <c r="BG442" s="3634"/>
      <c r="BH442" s="3634"/>
      <c r="BI442" s="3634"/>
      <c r="BJ442" s="3634"/>
      <c r="BK442" s="3634"/>
      <c r="BL442" s="3634"/>
    </row>
    <row r="443" spans="3:64">
      <c r="C443" s="994"/>
      <c r="D443" s="2121"/>
      <c r="E443" s="3634"/>
      <c r="F443" s="994"/>
      <c r="G443" s="994"/>
      <c r="H443" s="994"/>
      <c r="I443" s="994"/>
      <c r="J443" s="994"/>
      <c r="K443" s="994"/>
      <c r="L443" s="994"/>
      <c r="M443" s="994"/>
      <c r="N443" s="994"/>
      <c r="O443" s="994"/>
      <c r="P443" s="994"/>
      <c r="Q443" s="994"/>
      <c r="R443" s="994"/>
      <c r="S443" s="994"/>
      <c r="T443" s="994"/>
      <c r="U443" s="994"/>
      <c r="V443" s="994"/>
      <c r="W443" s="994"/>
      <c r="X443" s="994"/>
      <c r="Y443" s="994"/>
      <c r="Z443" s="994"/>
      <c r="AA443" s="994"/>
      <c r="AB443" s="994"/>
      <c r="AC443" s="994"/>
      <c r="AD443" s="994"/>
      <c r="AE443" s="994"/>
      <c r="AF443" s="994"/>
      <c r="AG443" s="994"/>
      <c r="AH443" s="994"/>
      <c r="AI443" s="994"/>
      <c r="AJ443" s="994"/>
      <c r="AK443" s="994"/>
      <c r="AL443" s="994"/>
      <c r="AM443" s="994"/>
      <c r="AN443" s="994"/>
      <c r="AO443" s="994"/>
      <c r="AP443" s="994"/>
      <c r="AQ443" s="994"/>
      <c r="AR443" s="994"/>
      <c r="AS443" s="994"/>
      <c r="AT443" s="994"/>
      <c r="AU443" s="994"/>
      <c r="AV443" s="994"/>
      <c r="AW443" s="994"/>
      <c r="AX443" s="3634"/>
      <c r="AY443" s="1431" t="s">
        <v>2658</v>
      </c>
      <c r="AZ443" s="3925">
        <f ca="1">-XI.a!N438-XV.a!N172-XV.b!N208</f>
        <v>12.097831673069379</v>
      </c>
      <c r="BA443" s="1228" t="s">
        <v>368</v>
      </c>
      <c r="BB443" s="39"/>
      <c r="BC443" s="3634"/>
      <c r="BD443" s="3634"/>
      <c r="BE443" s="3634"/>
      <c r="BF443" s="3634"/>
      <c r="BG443" s="3634"/>
      <c r="BH443" s="3634"/>
      <c r="BI443" s="3634"/>
      <c r="BJ443" s="3634"/>
      <c r="BK443" s="3634"/>
      <c r="BL443" s="3634"/>
    </row>
    <row r="444" spans="3:64">
      <c r="C444" s="994"/>
      <c r="D444" s="2121"/>
      <c r="E444" s="3634"/>
      <c r="F444" s="994"/>
      <c r="G444" s="994"/>
      <c r="H444" s="994"/>
      <c r="I444" s="994"/>
      <c r="J444" s="994"/>
      <c r="K444" s="994"/>
      <c r="L444" s="994"/>
      <c r="M444" s="994"/>
      <c r="N444" s="994"/>
      <c r="O444" s="994"/>
      <c r="P444" s="994"/>
      <c r="Q444" s="994"/>
      <c r="R444" s="994"/>
      <c r="S444" s="994"/>
      <c r="T444" s="994"/>
      <c r="U444" s="994"/>
      <c r="V444" s="994"/>
      <c r="W444" s="994"/>
      <c r="X444" s="994"/>
      <c r="Y444" s="994"/>
      <c r="Z444" s="994"/>
      <c r="AA444" s="994"/>
      <c r="AB444" s="994"/>
      <c r="AC444" s="994"/>
      <c r="AD444" s="994"/>
      <c r="AE444" s="994"/>
      <c r="AF444" s="994"/>
      <c r="AG444" s="994"/>
      <c r="AH444" s="994"/>
      <c r="AI444" s="994"/>
      <c r="AJ444" s="994"/>
      <c r="AK444" s="994"/>
      <c r="AL444" s="994"/>
      <c r="AM444" s="994"/>
      <c r="AN444" s="994"/>
      <c r="AO444" s="994"/>
      <c r="AP444" s="994"/>
      <c r="AQ444" s="994"/>
      <c r="AR444" s="994"/>
      <c r="AS444" s="994"/>
      <c r="AT444" s="994"/>
      <c r="AU444" s="994"/>
      <c r="AV444" s="994"/>
      <c r="AW444" s="994"/>
      <c r="AX444" s="3634"/>
      <c r="AY444" s="1431" t="s">
        <v>16</v>
      </c>
      <c r="AZ444" s="3925">
        <f>-XI.a!N439-XV.b!N209</f>
        <v>3.9743200750532086</v>
      </c>
      <c r="BA444" s="1228" t="s">
        <v>368</v>
      </c>
      <c r="BB444" s="39"/>
      <c r="BC444" s="3634"/>
      <c r="BD444" s="3634"/>
      <c r="BE444" s="3634"/>
      <c r="BF444" s="3634"/>
      <c r="BG444" s="3634"/>
      <c r="BH444" s="3634"/>
      <c r="BI444" s="3634"/>
      <c r="BJ444" s="3634"/>
      <c r="BK444" s="3634"/>
      <c r="BL444" s="3634"/>
    </row>
    <row r="445" spans="3:64">
      <c r="C445" s="994"/>
      <c r="D445" s="2121"/>
      <c r="E445" s="3634"/>
      <c r="F445" s="994"/>
      <c r="G445" s="994"/>
      <c r="H445" s="994"/>
      <c r="I445" s="994"/>
      <c r="J445" s="994"/>
      <c r="K445" s="994"/>
      <c r="L445" s="994"/>
      <c r="M445" s="994"/>
      <c r="N445" s="994"/>
      <c r="O445" s="994"/>
      <c r="P445" s="994"/>
      <c r="Q445" s="994"/>
      <c r="R445" s="994"/>
      <c r="S445" s="994"/>
      <c r="T445" s="994"/>
      <c r="U445" s="994"/>
      <c r="V445" s="994"/>
      <c r="W445" s="994"/>
      <c r="X445" s="994"/>
      <c r="Y445" s="994"/>
      <c r="Z445" s="994"/>
      <c r="AA445" s="994"/>
      <c r="AB445" s="994"/>
      <c r="AC445" s="994"/>
      <c r="AD445" s="994"/>
      <c r="AE445" s="994"/>
      <c r="AF445" s="994"/>
      <c r="AG445" s="994"/>
      <c r="AH445" s="994"/>
      <c r="AI445" s="994"/>
      <c r="AJ445" s="994"/>
      <c r="AK445" s="994"/>
      <c r="AL445" s="994"/>
      <c r="AM445" s="994"/>
      <c r="AN445" s="994"/>
      <c r="AO445" s="994"/>
      <c r="AP445" s="994"/>
      <c r="AQ445" s="994"/>
      <c r="AR445" s="994"/>
      <c r="AS445" s="994"/>
      <c r="AT445" s="994"/>
      <c r="AU445" s="994"/>
      <c r="AV445" s="994"/>
      <c r="AW445" s="994"/>
      <c r="AX445" s="3634"/>
      <c r="AY445" s="1431" t="s">
        <v>1712</v>
      </c>
      <c r="AZ445" s="3925">
        <f ca="1">-XI.a!N440-XV.a!N173</f>
        <v>9.9670550986653588</v>
      </c>
      <c r="BA445" s="1228" t="s">
        <v>368</v>
      </c>
      <c r="BB445" s="39"/>
      <c r="BC445" s="3634"/>
      <c r="BD445" s="3634"/>
      <c r="BE445" s="3634"/>
      <c r="BF445" s="3634"/>
      <c r="BG445" s="3634"/>
      <c r="BH445" s="3634"/>
      <c r="BI445" s="3634"/>
      <c r="BJ445" s="3634"/>
      <c r="BK445" s="3634"/>
      <c r="BL445" s="3634"/>
    </row>
    <row r="446" spans="3:64">
      <c r="C446" s="994"/>
      <c r="D446" s="2121"/>
      <c r="E446" s="3634"/>
      <c r="F446" s="994"/>
      <c r="G446" s="994"/>
      <c r="H446" s="994"/>
      <c r="I446" s="994"/>
      <c r="J446" s="994"/>
      <c r="K446" s="994"/>
      <c r="L446" s="994"/>
      <c r="M446" s="994"/>
      <c r="N446" s="994"/>
      <c r="O446" s="994"/>
      <c r="P446" s="994"/>
      <c r="Q446" s="994"/>
      <c r="R446" s="994"/>
      <c r="S446" s="994"/>
      <c r="T446" s="994"/>
      <c r="U446" s="994"/>
      <c r="V446" s="994"/>
      <c r="W446" s="994"/>
      <c r="X446" s="994"/>
      <c r="Y446" s="994"/>
      <c r="Z446" s="994"/>
      <c r="AA446" s="994"/>
      <c r="AB446" s="994"/>
      <c r="AC446" s="994"/>
      <c r="AD446" s="994"/>
      <c r="AE446" s="994"/>
      <c r="AF446" s="994"/>
      <c r="AG446" s="994"/>
      <c r="AH446" s="994"/>
      <c r="AI446" s="994"/>
      <c r="AJ446" s="994"/>
      <c r="AK446" s="994"/>
      <c r="AL446" s="994"/>
      <c r="AM446" s="994"/>
      <c r="AN446" s="994"/>
      <c r="AO446" s="994"/>
      <c r="AP446" s="994"/>
      <c r="AQ446" s="994"/>
      <c r="AR446" s="994"/>
      <c r="AS446" s="994"/>
      <c r="AT446" s="994"/>
      <c r="AU446" s="994"/>
      <c r="AV446" s="994"/>
      <c r="AW446" s="994"/>
      <c r="AX446" s="3634"/>
      <c r="AY446" s="1431" t="s">
        <v>15</v>
      </c>
      <c r="AZ446" s="3925">
        <f ca="1">-XI.a!N441-XV.a!N174-XV.b!N210</f>
        <v>9.3345168546587463</v>
      </c>
      <c r="BA446" s="1228" t="s">
        <v>368</v>
      </c>
      <c r="BB446" s="39"/>
      <c r="BC446" s="3634"/>
      <c r="BD446" s="3634"/>
      <c r="BE446" s="3634"/>
      <c r="BF446" s="3634"/>
      <c r="BG446" s="3634"/>
      <c r="BH446" s="3634"/>
      <c r="BI446" s="3634"/>
      <c r="BJ446" s="3634"/>
      <c r="BK446" s="3634"/>
      <c r="BL446" s="3634"/>
    </row>
    <row r="447" spans="3:64">
      <c r="C447" s="994"/>
      <c r="D447" s="2121"/>
      <c r="E447" s="3634"/>
      <c r="F447" s="994"/>
      <c r="G447" s="994"/>
      <c r="H447" s="994"/>
      <c r="I447" s="994"/>
      <c r="J447" s="994"/>
      <c r="K447" s="994"/>
      <c r="L447" s="994"/>
      <c r="M447" s="994"/>
      <c r="N447" s="994"/>
      <c r="O447" s="994"/>
      <c r="P447" s="994"/>
      <c r="Q447" s="994"/>
      <c r="R447" s="994"/>
      <c r="S447" s="994"/>
      <c r="T447" s="994"/>
      <c r="U447" s="994"/>
      <c r="V447" s="994"/>
      <c r="W447" s="994"/>
      <c r="X447" s="994"/>
      <c r="Y447" s="994"/>
      <c r="Z447" s="994"/>
      <c r="AA447" s="994"/>
      <c r="AB447" s="994"/>
      <c r="AC447" s="994"/>
      <c r="AD447" s="994"/>
      <c r="AE447" s="994"/>
      <c r="AF447" s="994"/>
      <c r="AG447" s="994"/>
      <c r="AH447" s="994"/>
      <c r="AI447" s="994"/>
      <c r="AJ447" s="994"/>
      <c r="AK447" s="994"/>
      <c r="AL447" s="994"/>
      <c r="AM447" s="994"/>
      <c r="AN447" s="994"/>
      <c r="AO447" s="994"/>
      <c r="AP447" s="994"/>
      <c r="AQ447" s="994"/>
      <c r="AR447" s="994"/>
      <c r="AS447" s="994"/>
      <c r="AT447" s="994"/>
      <c r="AU447" s="994"/>
      <c r="AV447" s="994"/>
      <c r="AW447" s="994"/>
      <c r="AX447" s="3634"/>
      <c r="AY447" s="1431" t="s">
        <v>2658</v>
      </c>
      <c r="AZ447" s="3925">
        <f>-VI.a!N536</f>
        <v>0.60127511855044857</v>
      </c>
      <c r="BA447" s="1228" t="s">
        <v>401</v>
      </c>
      <c r="BB447" s="39"/>
      <c r="BC447" s="3634"/>
      <c r="BD447" s="3634"/>
      <c r="BE447" s="3634"/>
      <c r="BF447" s="3634"/>
      <c r="BG447" s="3634"/>
      <c r="BH447" s="3634"/>
      <c r="BI447" s="3634"/>
      <c r="BJ447" s="3634"/>
      <c r="BK447" s="3634"/>
      <c r="BL447" s="3634"/>
    </row>
    <row r="448" spans="3:64">
      <c r="C448" s="994"/>
      <c r="D448" s="2121"/>
      <c r="E448" s="3634"/>
      <c r="F448" s="994"/>
      <c r="G448" s="994"/>
      <c r="H448" s="994"/>
      <c r="I448" s="994"/>
      <c r="J448" s="994"/>
      <c r="K448" s="994"/>
      <c r="L448" s="994"/>
      <c r="M448" s="994"/>
      <c r="N448" s="994"/>
      <c r="O448" s="994"/>
      <c r="P448" s="994"/>
      <c r="Q448" s="994"/>
      <c r="R448" s="994"/>
      <c r="S448" s="994"/>
      <c r="T448" s="994"/>
      <c r="U448" s="994"/>
      <c r="V448" s="994"/>
      <c r="W448" s="994"/>
      <c r="X448" s="994"/>
      <c r="Y448" s="994"/>
      <c r="Z448" s="994"/>
      <c r="AA448" s="994"/>
      <c r="AB448" s="994"/>
      <c r="AC448" s="994"/>
      <c r="AD448" s="994"/>
      <c r="AE448" s="994"/>
      <c r="AF448" s="994"/>
      <c r="AG448" s="994"/>
      <c r="AH448" s="994"/>
      <c r="AI448" s="994"/>
      <c r="AJ448" s="994"/>
      <c r="AK448" s="994"/>
      <c r="AL448" s="994"/>
      <c r="AM448" s="994"/>
      <c r="AN448" s="994"/>
      <c r="AO448" s="994"/>
      <c r="AP448" s="994"/>
      <c r="AQ448" s="994"/>
      <c r="AR448" s="994"/>
      <c r="AS448" s="994"/>
      <c r="AT448" s="994"/>
      <c r="AU448" s="994"/>
      <c r="AV448" s="994"/>
      <c r="AW448" s="994"/>
      <c r="AX448" s="3634"/>
      <c r="AY448" s="1431" t="s">
        <v>16</v>
      </c>
      <c r="AZ448" s="3925">
        <f>-VI.a!N537</f>
        <v>0</v>
      </c>
      <c r="BA448" s="1228" t="s">
        <v>401</v>
      </c>
      <c r="BB448" s="39"/>
      <c r="BC448" s="3634"/>
      <c r="BD448" s="3634"/>
      <c r="BE448" s="3634"/>
      <c r="BF448" s="3634"/>
      <c r="BG448" s="3634"/>
      <c r="BH448" s="3634"/>
      <c r="BI448" s="3634"/>
      <c r="BJ448" s="3634"/>
      <c r="BK448" s="3634"/>
      <c r="BL448" s="3634"/>
    </row>
    <row r="449" spans="3:64">
      <c r="C449" s="994"/>
      <c r="D449" s="2121"/>
      <c r="E449" s="3634"/>
      <c r="F449" s="994"/>
      <c r="G449" s="994"/>
      <c r="H449" s="994"/>
      <c r="I449" s="994"/>
      <c r="J449" s="994"/>
      <c r="K449" s="994"/>
      <c r="L449" s="994"/>
      <c r="M449" s="994"/>
      <c r="N449" s="994"/>
      <c r="O449" s="994"/>
      <c r="P449" s="994"/>
      <c r="Q449" s="994"/>
      <c r="R449" s="994"/>
      <c r="S449" s="994"/>
      <c r="T449" s="994"/>
      <c r="U449" s="994"/>
      <c r="V449" s="994"/>
      <c r="W449" s="994"/>
      <c r="X449" s="994"/>
      <c r="Y449" s="994"/>
      <c r="Z449" s="994"/>
      <c r="AA449" s="994"/>
      <c r="AB449" s="994"/>
      <c r="AC449" s="994"/>
      <c r="AD449" s="994"/>
      <c r="AE449" s="994"/>
      <c r="AF449" s="994"/>
      <c r="AG449" s="994"/>
      <c r="AH449" s="994"/>
      <c r="AI449" s="994"/>
      <c r="AJ449" s="994"/>
      <c r="AK449" s="994"/>
      <c r="AL449" s="994"/>
      <c r="AM449" s="994"/>
      <c r="AN449" s="994"/>
      <c r="AO449" s="994"/>
      <c r="AP449" s="994"/>
      <c r="AQ449" s="994"/>
      <c r="AR449" s="994"/>
      <c r="AS449" s="994"/>
      <c r="AT449" s="994"/>
      <c r="AU449" s="994"/>
      <c r="AV449" s="994"/>
      <c r="AW449" s="994"/>
      <c r="AX449" s="3634"/>
      <c r="AY449" s="1431" t="s">
        <v>1712</v>
      </c>
      <c r="AZ449" s="3925">
        <f>-VI.a!N538</f>
        <v>2.2619397316897829</v>
      </c>
      <c r="BA449" s="1228" t="s">
        <v>401</v>
      </c>
      <c r="BB449" s="39"/>
      <c r="BC449" s="3634"/>
      <c r="BD449" s="3634"/>
      <c r="BE449" s="3634"/>
      <c r="BF449" s="3634"/>
      <c r="BG449" s="3634"/>
      <c r="BH449" s="3634"/>
      <c r="BI449" s="3634"/>
      <c r="BJ449" s="3634"/>
      <c r="BK449" s="3634"/>
      <c r="BL449" s="3634"/>
    </row>
    <row r="450" spans="3:64">
      <c r="C450" s="994"/>
      <c r="D450" s="2121"/>
      <c r="E450" s="3634"/>
      <c r="F450" s="994"/>
      <c r="G450" s="994"/>
      <c r="H450" s="994"/>
      <c r="I450" s="994"/>
      <c r="J450" s="994"/>
      <c r="K450" s="994"/>
      <c r="L450" s="994"/>
      <c r="M450" s="994"/>
      <c r="N450" s="994"/>
      <c r="O450" s="994"/>
      <c r="P450" s="994"/>
      <c r="Q450" s="994"/>
      <c r="R450" s="994"/>
      <c r="S450" s="994"/>
      <c r="T450" s="994"/>
      <c r="U450" s="994"/>
      <c r="V450" s="994"/>
      <c r="W450" s="994"/>
      <c r="X450" s="994"/>
      <c r="Y450" s="994"/>
      <c r="Z450" s="994"/>
      <c r="AA450" s="994"/>
      <c r="AB450" s="994"/>
      <c r="AC450" s="994"/>
      <c r="AD450" s="994"/>
      <c r="AE450" s="994"/>
      <c r="AF450" s="994"/>
      <c r="AG450" s="994"/>
      <c r="AH450" s="994"/>
      <c r="AI450" s="994"/>
      <c r="AJ450" s="994"/>
      <c r="AK450" s="994"/>
      <c r="AL450" s="994"/>
      <c r="AM450" s="994"/>
      <c r="AN450" s="994"/>
      <c r="AO450" s="994"/>
      <c r="AP450" s="994"/>
      <c r="AQ450" s="994"/>
      <c r="AR450" s="994"/>
      <c r="AS450" s="994"/>
      <c r="AT450" s="994"/>
      <c r="AU450" s="994"/>
      <c r="AV450" s="994"/>
      <c r="AW450" s="994"/>
      <c r="AX450" s="3634"/>
      <c r="AY450" s="1431" t="s">
        <v>15</v>
      </c>
      <c r="AZ450" s="3925">
        <f>-VI.a!N539</f>
        <v>0</v>
      </c>
      <c r="BA450" s="1228" t="s">
        <v>401</v>
      </c>
      <c r="BB450" s="39"/>
      <c r="BC450" s="3634"/>
      <c r="BD450" s="3634"/>
      <c r="BE450" s="3634"/>
      <c r="BF450" s="3634"/>
      <c r="BG450" s="3634"/>
      <c r="BH450" s="3634"/>
      <c r="BI450" s="3634"/>
      <c r="BJ450" s="3634"/>
      <c r="BK450" s="3634"/>
      <c r="BL450" s="3634"/>
    </row>
    <row r="451" spans="3:64">
      <c r="C451" s="994"/>
      <c r="D451" s="2121"/>
      <c r="E451" s="3634"/>
      <c r="F451" s="994"/>
      <c r="G451" s="994"/>
      <c r="H451" s="994"/>
      <c r="I451" s="994"/>
      <c r="J451" s="994"/>
      <c r="K451" s="994"/>
      <c r="L451" s="994"/>
      <c r="M451" s="994"/>
      <c r="N451" s="994"/>
      <c r="O451" s="994"/>
      <c r="P451" s="994"/>
      <c r="Q451" s="994"/>
      <c r="R451" s="994"/>
      <c r="S451" s="994"/>
      <c r="T451" s="994"/>
      <c r="U451" s="994"/>
      <c r="V451" s="994"/>
      <c r="W451" s="994"/>
      <c r="X451" s="994"/>
      <c r="Y451" s="994"/>
      <c r="Z451" s="994"/>
      <c r="AA451" s="994"/>
      <c r="AB451" s="994"/>
      <c r="AC451" s="994"/>
      <c r="AD451" s="994"/>
      <c r="AE451" s="994"/>
      <c r="AF451" s="994"/>
      <c r="AG451" s="994"/>
      <c r="AH451" s="994"/>
      <c r="AI451" s="994"/>
      <c r="AJ451" s="994"/>
      <c r="AK451" s="994"/>
      <c r="AL451" s="994"/>
      <c r="AM451" s="994"/>
      <c r="AN451" s="994"/>
      <c r="AO451" s="994"/>
      <c r="AP451" s="994"/>
      <c r="AQ451" s="994"/>
      <c r="AR451" s="994"/>
      <c r="AS451" s="994"/>
      <c r="AT451" s="994"/>
      <c r="AU451" s="994"/>
      <c r="AV451" s="994"/>
      <c r="AW451" s="994"/>
      <c r="AX451" s="3634"/>
      <c r="AY451" s="1431" t="s">
        <v>2658</v>
      </c>
      <c r="AZ451" s="3925">
        <f>-XII.a!N746-XII.b!N359</f>
        <v>0.83383886111345407</v>
      </c>
      <c r="BA451" s="1228" t="s">
        <v>369</v>
      </c>
      <c r="BB451" s="39"/>
      <c r="BC451" s="3634"/>
      <c r="BD451" s="3634"/>
      <c r="BE451" s="3634"/>
      <c r="BF451" s="3634"/>
      <c r="BG451" s="3634"/>
      <c r="BH451" s="3634"/>
      <c r="BI451" s="3634"/>
      <c r="BJ451" s="3634"/>
      <c r="BK451" s="3634"/>
      <c r="BL451" s="3634"/>
    </row>
    <row r="452" spans="3:64">
      <c r="C452" s="994"/>
      <c r="D452" s="2121"/>
      <c r="E452" s="3634"/>
      <c r="F452" s="994"/>
      <c r="G452" s="994"/>
      <c r="H452" s="994"/>
      <c r="I452" s="994"/>
      <c r="J452" s="994"/>
      <c r="K452" s="994"/>
      <c r="L452" s="994"/>
      <c r="M452" s="994"/>
      <c r="N452" s="994"/>
      <c r="O452" s="994"/>
      <c r="P452" s="994"/>
      <c r="Q452" s="994"/>
      <c r="R452" s="994"/>
      <c r="S452" s="994"/>
      <c r="T452" s="994"/>
      <c r="U452" s="994"/>
      <c r="V452" s="994"/>
      <c r="W452" s="994"/>
      <c r="X452" s="994"/>
      <c r="Y452" s="994"/>
      <c r="Z452" s="994"/>
      <c r="AA452" s="994"/>
      <c r="AB452" s="994"/>
      <c r="AC452" s="994"/>
      <c r="AD452" s="994"/>
      <c r="AE452" s="994"/>
      <c r="AF452" s="994"/>
      <c r="AG452" s="994"/>
      <c r="AH452" s="994"/>
      <c r="AI452" s="994"/>
      <c r="AJ452" s="994"/>
      <c r="AK452" s="994"/>
      <c r="AL452" s="994"/>
      <c r="AM452" s="994"/>
      <c r="AN452" s="994"/>
      <c r="AO452" s="994"/>
      <c r="AP452" s="994"/>
      <c r="AQ452" s="994"/>
      <c r="AR452" s="994"/>
      <c r="AS452" s="994"/>
      <c r="AT452" s="994"/>
      <c r="AU452" s="994"/>
      <c r="AV452" s="994"/>
      <c r="AW452" s="994"/>
      <c r="AX452" s="3634"/>
      <c r="AY452" s="1431" t="s">
        <v>1712</v>
      </c>
      <c r="AZ452" s="3925">
        <f>-XII.a!N745-XII.b!N360</f>
        <v>31.824450992371354</v>
      </c>
      <c r="BA452" s="1228" t="s">
        <v>369</v>
      </c>
      <c r="BB452" s="39"/>
      <c r="BC452" s="3634"/>
      <c r="BD452" s="3634"/>
      <c r="BE452" s="3634"/>
      <c r="BF452" s="3634"/>
      <c r="BG452" s="3634"/>
      <c r="BH452" s="3634"/>
      <c r="BI452" s="3634"/>
      <c r="BJ452" s="3634"/>
      <c r="BK452" s="3634"/>
      <c r="BL452" s="3634"/>
    </row>
    <row r="453" spans="3:64">
      <c r="C453" s="994"/>
      <c r="D453" s="2121"/>
      <c r="E453" s="3634"/>
      <c r="F453" s="994"/>
      <c r="G453" s="994"/>
      <c r="H453" s="994"/>
      <c r="I453" s="994"/>
      <c r="J453" s="994"/>
      <c r="K453" s="994"/>
      <c r="L453" s="994"/>
      <c r="M453" s="994"/>
      <c r="N453" s="994"/>
      <c r="O453" s="994"/>
      <c r="P453" s="994"/>
      <c r="Q453" s="994"/>
      <c r="R453" s="994"/>
      <c r="S453" s="994"/>
      <c r="T453" s="994"/>
      <c r="U453" s="994"/>
      <c r="V453" s="994"/>
      <c r="W453" s="994"/>
      <c r="X453" s="994"/>
      <c r="Y453" s="994"/>
      <c r="Z453" s="994"/>
      <c r="AA453" s="994"/>
      <c r="AB453" s="994"/>
      <c r="AC453" s="994"/>
      <c r="AD453" s="994"/>
      <c r="AE453" s="994"/>
      <c r="AF453" s="994"/>
      <c r="AG453" s="994"/>
      <c r="AH453" s="994"/>
      <c r="AI453" s="994"/>
      <c r="AJ453" s="994"/>
      <c r="AK453" s="994"/>
      <c r="AL453" s="994"/>
      <c r="AM453" s="994"/>
      <c r="AN453" s="994"/>
      <c r="AO453" s="994"/>
      <c r="AP453" s="994"/>
      <c r="AQ453" s="994"/>
      <c r="AR453" s="994"/>
      <c r="AS453" s="994"/>
      <c r="AT453" s="994"/>
      <c r="AU453" s="994"/>
      <c r="AV453" s="994"/>
      <c r="AW453" s="994"/>
      <c r="AX453" s="3634"/>
      <c r="AY453" s="1431" t="s">
        <v>2658</v>
      </c>
      <c r="AZ453" s="3925">
        <f>-XII.a!N746-XII.b!N367</f>
        <v>0.83383886111345407</v>
      </c>
      <c r="BA453" s="1228" t="s">
        <v>370</v>
      </c>
      <c r="BB453" s="39"/>
      <c r="BC453" s="3634"/>
      <c r="BD453" s="3634"/>
      <c r="BE453" s="3634"/>
      <c r="BF453" s="3634"/>
      <c r="BG453" s="3634"/>
      <c r="BH453" s="3634"/>
      <c r="BI453" s="3634"/>
      <c r="BJ453" s="3634"/>
      <c r="BK453" s="3634"/>
      <c r="BL453" s="3634"/>
    </row>
    <row r="454" spans="3:64">
      <c r="C454" s="994"/>
      <c r="D454" s="2121"/>
      <c r="E454" s="3634"/>
      <c r="F454" s="994"/>
      <c r="G454" s="994"/>
      <c r="H454" s="994"/>
      <c r="I454" s="994"/>
      <c r="J454" s="994"/>
      <c r="K454" s="994"/>
      <c r="L454" s="994"/>
      <c r="M454" s="994"/>
      <c r="N454" s="994"/>
      <c r="O454" s="994"/>
      <c r="P454" s="994"/>
      <c r="Q454" s="994"/>
      <c r="R454" s="994"/>
      <c r="S454" s="994"/>
      <c r="T454" s="994"/>
      <c r="U454" s="994"/>
      <c r="V454" s="994"/>
      <c r="W454" s="994"/>
      <c r="X454" s="994"/>
      <c r="Y454" s="994"/>
      <c r="Z454" s="994"/>
      <c r="AA454" s="994"/>
      <c r="AB454" s="994"/>
      <c r="AC454" s="994"/>
      <c r="AD454" s="994"/>
      <c r="AE454" s="994"/>
      <c r="AF454" s="994"/>
      <c r="AG454" s="994"/>
      <c r="AH454" s="994"/>
      <c r="AI454" s="994"/>
      <c r="AJ454" s="994"/>
      <c r="AK454" s="994"/>
      <c r="AL454" s="994"/>
      <c r="AM454" s="994"/>
      <c r="AN454" s="994"/>
      <c r="AO454" s="994"/>
      <c r="AP454" s="994"/>
      <c r="AQ454" s="994"/>
      <c r="AR454" s="994"/>
      <c r="AS454" s="994"/>
      <c r="AT454" s="994"/>
      <c r="AU454" s="994"/>
      <c r="AV454" s="994"/>
      <c r="AW454" s="994"/>
      <c r="AX454" s="3634"/>
      <c r="AY454" s="3323" t="s">
        <v>1712</v>
      </c>
      <c r="AZ454" s="3925">
        <f>-XII.a!N716-XII.b!N368</f>
        <v>6.5604604747594641E-3</v>
      </c>
      <c r="BA454" s="3012" t="s">
        <v>370</v>
      </c>
      <c r="BB454" s="3634"/>
      <c r="BC454" s="3634"/>
      <c r="BD454" s="3634"/>
      <c r="BE454" s="3634"/>
      <c r="BF454" s="3634"/>
      <c r="BG454" s="3634"/>
      <c r="BH454" s="3634"/>
      <c r="BI454" s="3634"/>
      <c r="BJ454" s="3634"/>
      <c r="BK454" s="3634"/>
      <c r="BL454" s="3634"/>
    </row>
    <row r="455" spans="3:64">
      <c r="C455" s="994"/>
      <c r="D455" s="2121"/>
      <c r="E455" s="3634"/>
      <c r="F455" s="994"/>
      <c r="G455" s="994"/>
      <c r="H455" s="994"/>
      <c r="I455" s="994"/>
      <c r="J455" s="994"/>
      <c r="K455" s="994"/>
      <c r="L455" s="994"/>
      <c r="M455" s="994"/>
      <c r="N455" s="994"/>
      <c r="O455" s="994"/>
      <c r="P455" s="994"/>
      <c r="Q455" s="994"/>
      <c r="R455" s="994"/>
      <c r="S455" s="994"/>
      <c r="T455" s="994"/>
      <c r="U455" s="994"/>
      <c r="V455" s="994"/>
      <c r="W455" s="994"/>
      <c r="X455" s="994"/>
      <c r="Y455" s="994"/>
      <c r="Z455" s="994"/>
      <c r="AA455" s="994"/>
      <c r="AB455" s="994"/>
      <c r="AC455" s="994"/>
      <c r="AD455" s="994"/>
      <c r="AE455" s="994"/>
      <c r="AF455" s="994"/>
      <c r="AG455" s="994"/>
      <c r="AH455" s="994"/>
      <c r="AI455" s="994"/>
      <c r="AJ455" s="994"/>
      <c r="AK455" s="994"/>
      <c r="AL455" s="994"/>
      <c r="AM455" s="994"/>
      <c r="AN455" s="994"/>
      <c r="AO455" s="994"/>
      <c r="AP455" s="994"/>
      <c r="AQ455" s="994"/>
      <c r="AR455" s="994"/>
      <c r="AS455" s="994"/>
      <c r="AT455" s="994"/>
      <c r="AU455" s="994"/>
      <c r="AV455" s="994"/>
      <c r="AW455" s="994"/>
      <c r="AX455" s="3634"/>
      <c r="AY455" s="3323" t="s">
        <v>1712</v>
      </c>
      <c r="AZ455" s="3925">
        <f>-XII.a!N725</f>
        <v>-3.3746962279532504E-3</v>
      </c>
      <c r="BA455" s="3012" t="s">
        <v>371</v>
      </c>
      <c r="BB455" s="3634"/>
      <c r="BC455" s="3634"/>
      <c r="BD455" s="3634"/>
      <c r="BE455" s="3634"/>
      <c r="BF455" s="3634"/>
      <c r="BG455" s="3634"/>
      <c r="BH455" s="3634"/>
      <c r="BI455" s="3634"/>
      <c r="BJ455" s="3634"/>
      <c r="BK455" s="3634"/>
      <c r="BL455" s="3634"/>
    </row>
    <row r="456" spans="3:64">
      <c r="C456" s="994"/>
      <c r="D456" s="2121"/>
      <c r="E456" s="3634"/>
      <c r="F456" s="994"/>
      <c r="G456" s="994"/>
      <c r="H456" s="994"/>
      <c r="I456" s="994"/>
      <c r="J456" s="994"/>
      <c r="K456" s="994"/>
      <c r="L456" s="994"/>
      <c r="M456" s="994"/>
      <c r="N456" s="994"/>
      <c r="O456" s="994"/>
      <c r="P456" s="994"/>
      <c r="Q456" s="994"/>
      <c r="R456" s="994"/>
      <c r="S456" s="994"/>
      <c r="T456" s="994"/>
      <c r="U456" s="994"/>
      <c r="V456" s="994"/>
      <c r="W456" s="994"/>
      <c r="X456" s="994"/>
      <c r="Y456" s="994"/>
      <c r="Z456" s="994"/>
      <c r="AA456" s="994"/>
      <c r="AB456" s="994"/>
      <c r="AC456" s="994"/>
      <c r="AD456" s="994"/>
      <c r="AE456" s="994"/>
      <c r="AF456" s="994"/>
      <c r="AG456" s="994"/>
      <c r="AH456" s="994"/>
      <c r="AI456" s="994"/>
      <c r="AJ456" s="994"/>
      <c r="AK456" s="994"/>
      <c r="AL456" s="994"/>
      <c r="AM456" s="994"/>
      <c r="AN456" s="994"/>
      <c r="AO456" s="994"/>
      <c r="AP456" s="994"/>
      <c r="AQ456" s="994"/>
      <c r="AR456" s="994"/>
      <c r="AS456" s="994"/>
      <c r="AT456" s="994"/>
      <c r="AU456" s="994"/>
      <c r="AV456" s="994"/>
      <c r="AW456" s="994"/>
      <c r="AX456" s="3634"/>
      <c r="AY456" s="3323" t="s">
        <v>1712</v>
      </c>
      <c r="AZ456" s="3925">
        <f>-XII.b!N375</f>
        <v>0.66</v>
      </c>
      <c r="BA456" s="3012" t="s">
        <v>372</v>
      </c>
      <c r="BB456" s="3634"/>
      <c r="BC456" s="3634"/>
      <c r="BD456" s="3634"/>
      <c r="BE456" s="3634"/>
      <c r="BF456" s="3634"/>
      <c r="BG456" s="3634"/>
      <c r="BH456" s="3634"/>
      <c r="BI456" s="3634"/>
      <c r="BJ456" s="3634"/>
      <c r="BK456" s="3634"/>
      <c r="BL456" s="3634"/>
    </row>
    <row r="457" spans="3:64">
      <c r="C457" s="994"/>
      <c r="D457" s="2121"/>
      <c r="E457" s="3634"/>
      <c r="F457" s="994"/>
      <c r="G457" s="994"/>
      <c r="H457" s="994"/>
      <c r="I457" s="994"/>
      <c r="J457" s="994"/>
      <c r="K457" s="994"/>
      <c r="L457" s="994"/>
      <c r="M457" s="994"/>
      <c r="N457" s="994"/>
      <c r="O457" s="994"/>
      <c r="P457" s="994"/>
      <c r="Q457" s="994"/>
      <c r="R457" s="994"/>
      <c r="S457" s="994"/>
      <c r="T457" s="994"/>
      <c r="U457" s="994"/>
      <c r="V457" s="994"/>
      <c r="W457" s="994"/>
      <c r="X457" s="994"/>
      <c r="Y457" s="994"/>
      <c r="Z457" s="994"/>
      <c r="AA457" s="994"/>
      <c r="AB457" s="994"/>
      <c r="AC457" s="994"/>
      <c r="AD457" s="994"/>
      <c r="AE457" s="994"/>
      <c r="AF457" s="994"/>
      <c r="AG457" s="994"/>
      <c r="AH457" s="994"/>
      <c r="AI457" s="994"/>
      <c r="AJ457" s="994"/>
      <c r="AK457" s="994"/>
      <c r="AL457" s="994"/>
      <c r="AM457" s="994"/>
      <c r="AN457" s="994"/>
      <c r="AO457" s="994"/>
      <c r="AP457" s="994"/>
      <c r="AQ457" s="994"/>
      <c r="AR457" s="994"/>
      <c r="AS457" s="994"/>
      <c r="AT457" s="994"/>
      <c r="AU457" s="994"/>
      <c r="AV457" s="994"/>
      <c r="AW457" s="994"/>
      <c r="AX457" s="3634"/>
      <c r="AY457" s="3323" t="s">
        <v>1712</v>
      </c>
      <c r="AZ457" s="3925">
        <f>-XII.c!N127</f>
        <v>11.923331449069897</v>
      </c>
      <c r="BA457" s="3012" t="s">
        <v>373</v>
      </c>
      <c r="BB457" s="3634"/>
      <c r="BC457" s="3634"/>
      <c r="BD457" s="3634"/>
      <c r="BE457" s="3634"/>
      <c r="BF457" s="3634"/>
      <c r="BG457" s="3634"/>
      <c r="BH457" s="3634"/>
      <c r="BI457" s="3634"/>
      <c r="BJ457" s="3634"/>
      <c r="BK457" s="3634"/>
      <c r="BL457" s="3634"/>
    </row>
    <row r="458" spans="3:64">
      <c r="C458" s="994"/>
      <c r="D458" s="2121"/>
      <c r="E458" s="3634"/>
      <c r="F458" s="994"/>
      <c r="G458" s="994"/>
      <c r="H458" s="994"/>
      <c r="I458" s="994"/>
      <c r="J458" s="994"/>
      <c r="K458" s="994"/>
      <c r="L458" s="994"/>
      <c r="M458" s="994"/>
      <c r="N458" s="994"/>
      <c r="O458" s="994"/>
      <c r="P458" s="994"/>
      <c r="Q458" s="994"/>
      <c r="R458" s="994"/>
      <c r="S458" s="994"/>
      <c r="T458" s="994"/>
      <c r="U458" s="994"/>
      <c r="V458" s="994"/>
      <c r="W458" s="994"/>
      <c r="X458" s="994"/>
      <c r="Y458" s="994"/>
      <c r="Z458" s="994"/>
      <c r="AA458" s="994"/>
      <c r="AB458" s="994"/>
      <c r="AC458" s="994"/>
      <c r="AD458" s="994"/>
      <c r="AE458" s="994"/>
      <c r="AF458" s="994"/>
      <c r="AG458" s="994"/>
      <c r="AH458" s="994"/>
      <c r="AI458" s="994"/>
      <c r="AJ458" s="994"/>
      <c r="AK458" s="994"/>
      <c r="AL458" s="994"/>
      <c r="AM458" s="994"/>
      <c r="AN458" s="994"/>
      <c r="AO458" s="994"/>
      <c r="AP458" s="994"/>
      <c r="AQ458" s="994"/>
      <c r="AR458" s="994"/>
      <c r="AS458" s="994"/>
      <c r="AT458" s="994"/>
      <c r="AU458" s="994"/>
      <c r="AV458" s="994"/>
      <c r="AW458" s="994"/>
      <c r="AX458" s="3634"/>
      <c r="AY458" s="3323" t="s">
        <v>1712</v>
      </c>
      <c r="AZ458" s="3925">
        <v>0</v>
      </c>
      <c r="BA458" s="3012" t="s">
        <v>374</v>
      </c>
      <c r="BB458" s="3634"/>
      <c r="BC458" s="3634"/>
      <c r="BD458" s="3634"/>
      <c r="BE458" s="3634"/>
      <c r="BF458" s="3634"/>
      <c r="BG458" s="3634"/>
      <c r="BH458" s="3634"/>
      <c r="BI458" s="3634"/>
      <c r="BJ458" s="3634"/>
      <c r="BK458" s="3634"/>
      <c r="BL458" s="3634"/>
    </row>
    <row r="459" spans="3:64">
      <c r="C459" s="994"/>
      <c r="D459" s="2121"/>
      <c r="E459" s="3634"/>
      <c r="F459" s="994"/>
      <c r="G459" s="994"/>
      <c r="H459" s="994"/>
      <c r="I459" s="994"/>
      <c r="J459" s="994"/>
      <c r="K459" s="994"/>
      <c r="L459" s="994"/>
      <c r="M459" s="994"/>
      <c r="N459" s="994"/>
      <c r="O459" s="994"/>
      <c r="P459" s="994"/>
      <c r="Q459" s="994"/>
      <c r="R459" s="994"/>
      <c r="S459" s="994"/>
      <c r="T459" s="994"/>
      <c r="U459" s="994"/>
      <c r="V459" s="994"/>
      <c r="W459" s="994"/>
      <c r="X459" s="994"/>
      <c r="Y459" s="994"/>
      <c r="Z459" s="994"/>
      <c r="AA459" s="994"/>
      <c r="AB459" s="994"/>
      <c r="AC459" s="994"/>
      <c r="AD459" s="994"/>
      <c r="AE459" s="994"/>
      <c r="AF459" s="994"/>
      <c r="AG459" s="994"/>
      <c r="AH459" s="994"/>
      <c r="AI459" s="994"/>
      <c r="AJ459" s="994"/>
      <c r="AK459" s="994"/>
      <c r="AL459" s="994"/>
      <c r="AM459" s="994"/>
      <c r="AN459" s="994"/>
      <c r="AO459" s="994"/>
      <c r="AP459" s="994"/>
      <c r="AQ459" s="994"/>
      <c r="AR459" s="994"/>
      <c r="AS459" s="994"/>
      <c r="AT459" s="994"/>
      <c r="AU459" s="994"/>
      <c r="AV459" s="994"/>
      <c r="AW459" s="994"/>
      <c r="AX459" s="3634"/>
      <c r="AY459" s="3323" t="s">
        <v>2658</v>
      </c>
      <c r="AZ459" s="3925">
        <f>-XIV.a!N168</f>
        <v>0</v>
      </c>
      <c r="BA459" s="3012" t="s">
        <v>495</v>
      </c>
      <c r="BB459" s="3634"/>
      <c r="BC459" s="3634"/>
      <c r="BD459" s="3634"/>
      <c r="BE459" s="3634"/>
      <c r="BF459" s="3634"/>
      <c r="BG459" s="3634"/>
      <c r="BH459" s="3634"/>
      <c r="BI459" s="3634"/>
      <c r="BJ459" s="3634"/>
      <c r="BK459" s="3634"/>
      <c r="BL459" s="3634"/>
    </row>
    <row r="460" spans="3:64">
      <c r="C460" s="994"/>
      <c r="D460" s="2121"/>
      <c r="E460" s="3634"/>
      <c r="F460" s="994"/>
      <c r="G460" s="994"/>
      <c r="H460" s="994"/>
      <c r="I460" s="994"/>
      <c r="J460" s="994"/>
      <c r="K460" s="994"/>
      <c r="L460" s="994"/>
      <c r="M460" s="994"/>
      <c r="N460" s="994"/>
      <c r="O460" s="994"/>
      <c r="P460" s="994"/>
      <c r="Q460" s="994"/>
      <c r="R460" s="994"/>
      <c r="S460" s="994"/>
      <c r="T460" s="994"/>
      <c r="U460" s="994"/>
      <c r="V460" s="994"/>
      <c r="W460" s="994"/>
      <c r="X460" s="994"/>
      <c r="Y460" s="994"/>
      <c r="Z460" s="994"/>
      <c r="AA460" s="994"/>
      <c r="AB460" s="994"/>
      <c r="AC460" s="994"/>
      <c r="AD460" s="994"/>
      <c r="AE460" s="994"/>
      <c r="AF460" s="994"/>
      <c r="AG460" s="994"/>
      <c r="AH460" s="994"/>
      <c r="AI460" s="994"/>
      <c r="AJ460" s="994"/>
      <c r="AK460" s="994"/>
      <c r="AL460" s="994"/>
      <c r="AM460" s="994"/>
      <c r="AN460" s="994"/>
      <c r="AO460" s="994"/>
      <c r="AP460" s="994"/>
      <c r="AQ460" s="994"/>
      <c r="AR460" s="994"/>
      <c r="AS460" s="994"/>
      <c r="AT460" s="994"/>
      <c r="AU460" s="994"/>
      <c r="AV460" s="994"/>
      <c r="AW460" s="994"/>
      <c r="AX460" s="3634"/>
      <c r="AY460" s="3323" t="s">
        <v>15</v>
      </c>
      <c r="AZ460" s="3925">
        <f ca="1">XVI.a!N114</f>
        <v>1.1085852695635894</v>
      </c>
      <c r="BA460" s="3012" t="s">
        <v>1786</v>
      </c>
      <c r="BB460" s="3634"/>
      <c r="BC460" s="3634"/>
      <c r="BD460" s="3634"/>
      <c r="BE460" s="3634"/>
      <c r="BF460" s="3634"/>
      <c r="BG460" s="3634"/>
      <c r="BH460" s="3634"/>
      <c r="BI460" s="3634"/>
      <c r="BJ460" s="3634"/>
      <c r="BK460" s="3634"/>
      <c r="BL460" s="3634"/>
    </row>
    <row r="461" spans="3:64">
      <c r="D461" s="3634"/>
      <c r="E461" s="3634"/>
      <c r="F461" s="3634"/>
      <c r="G461" s="3634"/>
      <c r="H461" s="3634"/>
      <c r="I461" s="3634"/>
      <c r="J461" s="3634"/>
      <c r="K461" s="3634"/>
      <c r="L461" s="3634"/>
      <c r="M461" s="3634"/>
      <c r="N461" s="3634"/>
      <c r="O461" s="3634"/>
      <c r="P461" s="3634"/>
      <c r="Q461" s="3634"/>
      <c r="R461" s="3634"/>
      <c r="S461" s="3634"/>
      <c r="T461" s="3634"/>
      <c r="U461" s="3634"/>
      <c r="V461" s="3634"/>
      <c r="W461" s="3634"/>
      <c r="X461" s="3634"/>
      <c r="Y461" s="3634"/>
      <c r="Z461" s="3634"/>
      <c r="AA461" s="3634"/>
      <c r="AB461" s="3634"/>
      <c r="AC461" s="3634"/>
      <c r="AD461" s="3634"/>
      <c r="AE461" s="3634"/>
      <c r="AF461" s="3634"/>
      <c r="AG461" s="3634"/>
      <c r="AH461" s="3634"/>
      <c r="AI461" s="3634"/>
      <c r="AJ461" s="3634"/>
      <c r="AK461" s="3634"/>
      <c r="AL461" s="3634"/>
      <c r="AM461" s="3634"/>
      <c r="AN461" s="3634"/>
      <c r="AO461" s="3634"/>
      <c r="AP461" s="3634"/>
      <c r="AQ461" s="3634"/>
      <c r="AR461" s="3634"/>
      <c r="AS461" s="3634"/>
      <c r="AT461" s="3634"/>
      <c r="AU461" s="3634"/>
      <c r="AV461" s="3634"/>
      <c r="AW461" s="3634"/>
      <c r="AX461" s="3634"/>
      <c r="AY461" s="3323"/>
      <c r="AZ461" s="3324"/>
      <c r="BA461" s="3012"/>
      <c r="BB461" s="3634"/>
      <c r="BC461" s="3634"/>
      <c r="BD461" s="3634"/>
      <c r="BE461" s="3634"/>
      <c r="BF461" s="3634"/>
      <c r="BG461" s="3634"/>
      <c r="BH461" s="3634"/>
      <c r="BI461" s="3634"/>
      <c r="BJ461" s="3634"/>
      <c r="BK461" s="3634"/>
      <c r="BL461" s="3634"/>
    </row>
    <row r="462" spans="3:64">
      <c r="D462" s="3634"/>
      <c r="E462" s="3634"/>
      <c r="F462" s="3634"/>
      <c r="G462" s="3634"/>
      <c r="H462" s="3634"/>
      <c r="I462" s="3634"/>
      <c r="J462" s="3634"/>
      <c r="K462" s="3634"/>
      <c r="L462" s="3634"/>
      <c r="M462" s="3634"/>
      <c r="N462" s="3634"/>
      <c r="O462" s="3634"/>
      <c r="P462" s="3634"/>
      <c r="Q462" s="3634"/>
      <c r="R462" s="3634"/>
      <c r="S462" s="3634"/>
      <c r="T462" s="3634"/>
      <c r="U462" s="3634"/>
      <c r="V462" s="3634"/>
      <c r="W462" s="3634"/>
      <c r="X462" s="3634"/>
      <c r="Y462" s="3634"/>
      <c r="Z462" s="3634"/>
      <c r="AA462" s="3634"/>
      <c r="AB462" s="3634"/>
      <c r="AC462" s="3634"/>
      <c r="AD462" s="3634"/>
      <c r="AE462" s="3634"/>
      <c r="AF462" s="3634"/>
      <c r="AG462" s="3634"/>
      <c r="AH462" s="3634"/>
      <c r="AI462" s="3634"/>
      <c r="AJ462" s="3634"/>
      <c r="AK462" s="3634"/>
      <c r="AL462" s="3634"/>
      <c r="AM462" s="3634"/>
      <c r="AN462" s="3634"/>
      <c r="AO462" s="3634"/>
      <c r="AP462" s="3634"/>
      <c r="AQ462" s="3634"/>
      <c r="AR462" s="3634"/>
      <c r="AS462" s="3634"/>
      <c r="AT462" s="3634"/>
      <c r="AU462" s="3634"/>
      <c r="AV462" s="3634"/>
      <c r="AW462" s="3634"/>
      <c r="AX462" s="3634"/>
      <c r="AY462" s="3323"/>
      <c r="AZ462" s="3634"/>
      <c r="BA462" s="3634"/>
      <c r="BB462" s="3634"/>
      <c r="BC462" s="3634"/>
      <c r="BD462" s="3634"/>
      <c r="BE462" s="3634"/>
      <c r="BF462" s="3634"/>
      <c r="BG462" s="3634"/>
      <c r="BH462" s="3634"/>
      <c r="BI462" s="3634"/>
      <c r="BJ462" s="3634"/>
      <c r="BK462" s="3634"/>
      <c r="BL462" s="3634"/>
    </row>
    <row r="463" spans="3:64">
      <c r="D463" s="3634"/>
      <c r="E463" s="3634"/>
      <c r="F463" s="3634"/>
      <c r="G463" s="3634"/>
      <c r="H463" s="3634"/>
      <c r="I463" s="3634"/>
      <c r="J463" s="3634"/>
      <c r="K463" s="3634"/>
      <c r="L463" s="3634"/>
      <c r="M463" s="3634"/>
      <c r="N463" s="3634"/>
      <c r="O463" s="3634"/>
      <c r="P463" s="3634"/>
      <c r="Q463" s="3634"/>
      <c r="R463" s="3634"/>
      <c r="S463" s="3634"/>
      <c r="T463" s="3634"/>
      <c r="U463" s="3634"/>
      <c r="V463" s="3634"/>
      <c r="W463" s="3634"/>
      <c r="X463" s="3634"/>
      <c r="Y463" s="3634"/>
      <c r="Z463" s="3634"/>
      <c r="AA463" s="3634"/>
      <c r="AB463" s="3634"/>
      <c r="AC463" s="3634"/>
      <c r="AD463" s="3634"/>
      <c r="AE463" s="3634"/>
      <c r="AF463" s="3634"/>
      <c r="AG463" s="3634"/>
      <c r="AH463" s="3634"/>
      <c r="AI463" s="3634"/>
      <c r="AJ463" s="3634"/>
      <c r="AK463" s="3634"/>
      <c r="AL463" s="3634"/>
      <c r="AM463" s="3634"/>
      <c r="AN463" s="3634"/>
      <c r="AO463" s="3634"/>
      <c r="AP463" s="3634"/>
      <c r="AQ463" s="3634"/>
      <c r="AR463" s="3634"/>
      <c r="AS463" s="3634"/>
      <c r="AT463" s="3634"/>
      <c r="AU463" s="3634"/>
      <c r="AV463" s="3634"/>
      <c r="AW463" s="3634"/>
      <c r="AX463" s="3634"/>
      <c r="AY463" s="3323"/>
      <c r="AZ463" s="3324"/>
      <c r="BA463" s="3012"/>
      <c r="BB463" s="3634"/>
      <c r="BC463" s="3634"/>
      <c r="BD463" s="3634"/>
      <c r="BE463" s="3634"/>
      <c r="BF463" s="3634"/>
      <c r="BG463" s="3634"/>
      <c r="BH463" s="3634"/>
      <c r="BI463" s="3634"/>
      <c r="BJ463" s="3634"/>
      <c r="BK463" s="3634"/>
      <c r="BL463" s="3634"/>
    </row>
    <row r="464" spans="3:64">
      <c r="D464" s="3634"/>
      <c r="E464" s="3634"/>
      <c r="F464" s="3634"/>
      <c r="G464" s="3634"/>
      <c r="H464" s="3634"/>
      <c r="I464" s="3634"/>
      <c r="J464" s="3634"/>
      <c r="K464" s="3634"/>
      <c r="L464" s="3634"/>
      <c r="M464" s="3634"/>
      <c r="N464" s="3634"/>
      <c r="O464" s="3634"/>
      <c r="P464" s="3634"/>
      <c r="Q464" s="3634"/>
      <c r="R464" s="3634"/>
      <c r="S464" s="3634"/>
      <c r="T464" s="3634"/>
      <c r="U464" s="3634"/>
      <c r="V464" s="3634"/>
      <c r="W464" s="3634"/>
      <c r="X464" s="3634"/>
      <c r="Y464" s="3634"/>
      <c r="Z464" s="3634"/>
      <c r="AA464" s="3634"/>
      <c r="AB464" s="3634"/>
      <c r="AC464" s="3634"/>
      <c r="AD464" s="3634"/>
      <c r="AE464" s="3634"/>
      <c r="AF464" s="3634"/>
      <c r="AG464" s="3634"/>
      <c r="AH464" s="3634"/>
      <c r="AI464" s="3634"/>
      <c r="AJ464" s="3634"/>
      <c r="AK464" s="3634"/>
      <c r="AL464" s="3634"/>
      <c r="AM464" s="3634"/>
      <c r="AN464" s="3634"/>
      <c r="AO464" s="3634"/>
      <c r="AP464" s="3634"/>
      <c r="AQ464" s="3634"/>
      <c r="AR464" s="3634"/>
      <c r="AS464" s="3634"/>
      <c r="AT464" s="3634"/>
      <c r="AU464" s="3634"/>
      <c r="AV464" s="3634"/>
      <c r="AW464" s="3634"/>
      <c r="AX464" s="3634"/>
      <c r="AY464" s="3323"/>
      <c r="AZ464" s="3324"/>
      <c r="BA464" s="3013"/>
      <c r="BB464" s="3634"/>
      <c r="BC464" s="3634"/>
      <c r="BD464" s="3634"/>
      <c r="BE464" s="3634"/>
      <c r="BF464" s="3634"/>
      <c r="BG464" s="3634"/>
      <c r="BH464" s="3634"/>
      <c r="BI464" s="3634"/>
      <c r="BJ464" s="3634"/>
      <c r="BK464" s="3634"/>
      <c r="BL464" s="3634"/>
    </row>
    <row r="465" spans="4:64">
      <c r="D465" s="3634"/>
      <c r="E465" s="3634"/>
      <c r="F465" s="3634"/>
      <c r="G465" s="3634"/>
      <c r="H465" s="3634"/>
      <c r="I465" s="3634"/>
      <c r="J465" s="3634"/>
      <c r="K465" s="3634"/>
      <c r="L465" s="3634"/>
      <c r="M465" s="3634"/>
      <c r="N465" s="3634"/>
      <c r="O465" s="3634"/>
      <c r="P465" s="3634"/>
      <c r="Q465" s="3634"/>
      <c r="R465" s="3634"/>
      <c r="S465" s="3634"/>
      <c r="T465" s="3634"/>
      <c r="U465" s="3634"/>
      <c r="V465" s="3634"/>
      <c r="W465" s="3634"/>
      <c r="X465" s="3634"/>
      <c r="Y465" s="3634"/>
      <c r="Z465" s="3634"/>
      <c r="AA465" s="3634"/>
      <c r="AB465" s="3634"/>
      <c r="AC465" s="3634"/>
      <c r="AD465" s="3634"/>
      <c r="AE465" s="3634"/>
      <c r="AF465" s="3634"/>
      <c r="AG465" s="3634"/>
      <c r="AH465" s="3634"/>
      <c r="AI465" s="3634"/>
      <c r="AJ465" s="3634"/>
      <c r="AK465" s="3634"/>
      <c r="AL465" s="3634"/>
      <c r="AM465" s="3634"/>
      <c r="AN465" s="3634"/>
      <c r="AO465" s="3634"/>
      <c r="AP465" s="3634"/>
      <c r="AQ465" s="3634"/>
      <c r="AR465" s="3634"/>
      <c r="AS465" s="3634"/>
      <c r="AT465" s="3634"/>
      <c r="AU465" s="3634"/>
      <c r="AV465" s="3634"/>
      <c r="AW465" s="3634"/>
      <c r="AX465" s="3634"/>
      <c r="AY465" s="3332"/>
      <c r="AZ465" s="3324"/>
      <c r="BA465" s="3012"/>
      <c r="BB465" s="3634"/>
      <c r="BC465" s="3634"/>
      <c r="BD465" s="3634"/>
      <c r="BE465" s="3634"/>
      <c r="BF465" s="3634"/>
      <c r="BG465" s="3634"/>
      <c r="BH465" s="3634"/>
      <c r="BI465" s="3634"/>
      <c r="BJ465" s="3634"/>
      <c r="BK465" s="3634"/>
      <c r="BL465" s="3634"/>
    </row>
    <row r="466" spans="4:64">
      <c r="D466" s="3634"/>
      <c r="E466" s="3634"/>
      <c r="F466" s="3634"/>
      <c r="G466" s="3634"/>
      <c r="H466" s="3634"/>
      <c r="I466" s="3634"/>
      <c r="J466" s="3634"/>
      <c r="K466" s="3634"/>
      <c r="L466" s="3634"/>
      <c r="M466" s="3634"/>
      <c r="N466" s="3634"/>
      <c r="O466" s="3634"/>
      <c r="P466" s="3634"/>
      <c r="Q466" s="3634"/>
      <c r="R466" s="3634"/>
      <c r="S466" s="3634"/>
      <c r="T466" s="3634"/>
      <c r="U466" s="3634"/>
      <c r="V466" s="3634"/>
      <c r="W466" s="3634"/>
      <c r="X466" s="3634"/>
      <c r="Y466" s="3634"/>
      <c r="Z466" s="3634"/>
      <c r="AA466" s="3634"/>
      <c r="AB466" s="3634"/>
      <c r="AC466" s="3634"/>
      <c r="AD466" s="3634"/>
      <c r="AE466" s="3634"/>
      <c r="AF466" s="3634"/>
      <c r="AG466" s="3634"/>
      <c r="AH466" s="3634"/>
      <c r="AI466" s="3634"/>
      <c r="AJ466" s="3634"/>
      <c r="AK466" s="3634"/>
      <c r="AL466" s="3634"/>
      <c r="AM466" s="3634"/>
      <c r="AN466" s="3634"/>
      <c r="AO466" s="3634"/>
      <c r="AP466" s="3634"/>
      <c r="AQ466" s="3634"/>
      <c r="AR466" s="3634"/>
      <c r="AS466" s="3634"/>
      <c r="AT466" s="3634"/>
      <c r="AU466" s="3634"/>
      <c r="AV466" s="3634"/>
      <c r="AW466" s="3634"/>
      <c r="AX466" s="3634"/>
      <c r="AY466" s="3332"/>
      <c r="AZ466" s="3324"/>
      <c r="BA466" s="3012"/>
      <c r="BB466" s="3634"/>
      <c r="BC466" s="3634"/>
      <c r="BD466" s="3634"/>
      <c r="BE466" s="3634"/>
      <c r="BF466" s="3634"/>
      <c r="BG466" s="3634"/>
      <c r="BH466" s="3634"/>
      <c r="BI466" s="3634"/>
      <c r="BJ466" s="3634"/>
      <c r="BK466" s="3634"/>
      <c r="BL466" s="3634"/>
    </row>
    <row r="467" spans="4:64">
      <c r="D467" s="3634"/>
      <c r="E467" s="3634"/>
      <c r="F467" s="3634"/>
      <c r="G467" s="3634"/>
      <c r="H467" s="3634"/>
      <c r="I467" s="3634"/>
      <c r="J467" s="3634"/>
      <c r="K467" s="3634"/>
      <c r="L467" s="3634"/>
      <c r="M467" s="3634"/>
      <c r="N467" s="3634"/>
      <c r="O467" s="3634"/>
      <c r="P467" s="3634"/>
      <c r="Q467" s="3634"/>
      <c r="R467" s="3634"/>
      <c r="S467" s="3634"/>
      <c r="T467" s="3634"/>
      <c r="U467" s="3634"/>
      <c r="V467" s="3634"/>
      <c r="W467" s="3634"/>
      <c r="X467" s="3634"/>
      <c r="Y467" s="3634"/>
      <c r="Z467" s="3634"/>
      <c r="AA467" s="3634"/>
      <c r="AB467" s="3634"/>
      <c r="AC467" s="3634"/>
      <c r="AD467" s="3634"/>
      <c r="AE467" s="3634"/>
      <c r="AF467" s="3634"/>
      <c r="AG467" s="3634"/>
      <c r="AH467" s="3634"/>
      <c r="AI467" s="3634"/>
      <c r="AJ467" s="3634"/>
      <c r="AK467" s="3634"/>
      <c r="AL467" s="3634"/>
      <c r="AM467" s="3634"/>
      <c r="AN467" s="3634"/>
      <c r="AO467" s="3634"/>
      <c r="AP467" s="3634"/>
      <c r="AQ467" s="3634"/>
      <c r="AR467" s="3634"/>
      <c r="AS467" s="3634"/>
      <c r="AT467" s="3634"/>
      <c r="AU467" s="3634"/>
      <c r="AV467" s="3634"/>
      <c r="AW467" s="3634"/>
      <c r="AX467" s="3634"/>
      <c r="AY467" s="3323"/>
      <c r="AZ467" s="3324"/>
      <c r="BA467" s="3012"/>
      <c r="BB467" s="3634"/>
      <c r="BC467" s="3634"/>
      <c r="BD467" s="3634"/>
      <c r="BE467" s="3634"/>
      <c r="BF467" s="3634"/>
      <c r="BG467" s="3634"/>
      <c r="BH467" s="3634"/>
      <c r="BI467" s="3634"/>
      <c r="BJ467" s="3634"/>
      <c r="BK467" s="3634"/>
      <c r="BL467" s="3634"/>
    </row>
    <row r="468" spans="4:64">
      <c r="D468" s="3634"/>
      <c r="E468" s="3634"/>
      <c r="F468" s="3634"/>
      <c r="G468" s="3634"/>
      <c r="H468" s="3634"/>
      <c r="I468" s="3634"/>
      <c r="J468" s="3634"/>
      <c r="K468" s="3634"/>
      <c r="L468" s="3634"/>
      <c r="M468" s="3634"/>
      <c r="N468" s="3634"/>
      <c r="O468" s="3634"/>
      <c r="P468" s="3634"/>
      <c r="Q468" s="3634"/>
      <c r="R468" s="3634"/>
      <c r="S468" s="3634"/>
      <c r="T468" s="3634"/>
      <c r="U468" s="3634"/>
      <c r="V468" s="3634"/>
      <c r="W468" s="3634"/>
      <c r="X468" s="3634"/>
      <c r="Y468" s="3634"/>
      <c r="Z468" s="3634"/>
      <c r="AA468" s="3634"/>
      <c r="AB468" s="3634"/>
      <c r="AC468" s="3634"/>
      <c r="AD468" s="3634"/>
      <c r="AE468" s="3634"/>
      <c r="AF468" s="3634"/>
      <c r="AG468" s="3634"/>
      <c r="AH468" s="3634"/>
      <c r="AI468" s="3634"/>
      <c r="AJ468" s="3634"/>
      <c r="AK468" s="3634"/>
      <c r="AL468" s="3634"/>
      <c r="AM468" s="3634"/>
      <c r="AN468" s="3634"/>
      <c r="AO468" s="3634"/>
      <c r="AP468" s="3634"/>
      <c r="AQ468" s="3634"/>
      <c r="AR468" s="3634"/>
      <c r="AS468" s="3634"/>
      <c r="AT468" s="3634"/>
      <c r="AU468" s="3634"/>
      <c r="AV468" s="3634"/>
      <c r="AW468" s="3634"/>
      <c r="AX468" s="3634"/>
      <c r="AY468" s="3323"/>
      <c r="AZ468" s="3324"/>
      <c r="BA468" s="3634"/>
      <c r="BB468" s="3634"/>
      <c r="BC468" s="3634"/>
      <c r="BD468" s="3634"/>
      <c r="BE468" s="3634"/>
      <c r="BF468" s="3634"/>
      <c r="BG468" s="3634"/>
      <c r="BH468" s="3634"/>
      <c r="BI468" s="3634"/>
      <c r="BJ468" s="3634"/>
      <c r="BK468" s="3634"/>
      <c r="BL468" s="3634"/>
    </row>
    <row r="469" spans="4:64">
      <c r="D469" s="3634"/>
      <c r="E469" s="3634"/>
      <c r="F469" s="3634"/>
      <c r="G469" s="3634"/>
      <c r="H469" s="3634"/>
      <c r="I469" s="3634"/>
      <c r="J469" s="3634"/>
      <c r="K469" s="3634"/>
      <c r="L469" s="3634"/>
      <c r="M469" s="3634"/>
      <c r="N469" s="3634"/>
      <c r="O469" s="3634"/>
      <c r="P469" s="3634"/>
      <c r="Q469" s="3634"/>
      <c r="R469" s="3634"/>
      <c r="S469" s="3634"/>
      <c r="T469" s="3634"/>
      <c r="U469" s="3634"/>
      <c r="V469" s="3634"/>
      <c r="W469" s="3634"/>
      <c r="X469" s="3634"/>
      <c r="Y469" s="3634"/>
      <c r="Z469" s="3634"/>
      <c r="AA469" s="3634"/>
      <c r="AB469" s="3634"/>
      <c r="AC469" s="3634"/>
      <c r="AD469" s="3634"/>
      <c r="AE469" s="3634"/>
      <c r="AF469" s="3634"/>
      <c r="AG469" s="3634"/>
      <c r="AH469" s="3634"/>
      <c r="AI469" s="3634"/>
      <c r="AJ469" s="3634"/>
      <c r="AK469" s="3634"/>
      <c r="AL469" s="3634"/>
      <c r="AM469" s="3634"/>
      <c r="AN469" s="3634"/>
      <c r="AO469" s="3634"/>
      <c r="AP469" s="3634"/>
      <c r="AQ469" s="3634"/>
      <c r="AR469" s="3634"/>
      <c r="AS469" s="3634"/>
      <c r="AT469" s="3634"/>
      <c r="AU469" s="3634"/>
      <c r="AV469" s="3634"/>
      <c r="AW469" s="3634"/>
      <c r="AX469" s="3634"/>
      <c r="AY469" s="3323"/>
      <c r="AZ469" s="3324"/>
      <c r="BA469" s="3012"/>
      <c r="BB469" s="3634"/>
      <c r="BC469" s="3634"/>
      <c r="BD469" s="3634"/>
      <c r="BE469" s="3634"/>
      <c r="BF469" s="3634"/>
      <c r="BG469" s="3634"/>
      <c r="BH469" s="3634"/>
      <c r="BI469" s="3634"/>
      <c r="BJ469" s="3634"/>
      <c r="BK469" s="3634"/>
      <c r="BL469" s="3634"/>
    </row>
    <row r="470" spans="4:64">
      <c r="D470" s="3634"/>
      <c r="E470" s="3634"/>
      <c r="F470" s="3634"/>
      <c r="G470" s="3634"/>
      <c r="H470" s="3634"/>
      <c r="I470" s="3634"/>
      <c r="J470" s="3634"/>
      <c r="K470" s="3634"/>
      <c r="L470" s="3634"/>
      <c r="M470" s="3634"/>
      <c r="N470" s="3634"/>
      <c r="O470" s="3634"/>
      <c r="P470" s="3634"/>
      <c r="Q470" s="3634"/>
      <c r="R470" s="3634"/>
      <c r="S470" s="3634"/>
      <c r="T470" s="3634"/>
      <c r="U470" s="3634"/>
      <c r="V470" s="3634"/>
      <c r="W470" s="3634"/>
      <c r="X470" s="3634"/>
      <c r="Y470" s="3634"/>
      <c r="Z470" s="3634"/>
      <c r="AA470" s="3634"/>
      <c r="AB470" s="3634"/>
      <c r="AC470" s="3634"/>
      <c r="AD470" s="3634"/>
      <c r="AE470" s="3634"/>
      <c r="AF470" s="3634"/>
      <c r="AG470" s="3634"/>
      <c r="AH470" s="3634"/>
      <c r="AI470" s="3634"/>
      <c r="AJ470" s="3634"/>
      <c r="AK470" s="3634"/>
      <c r="AL470" s="3634"/>
      <c r="AM470" s="3634"/>
      <c r="AN470" s="3634"/>
      <c r="AO470" s="3634"/>
      <c r="AP470" s="3634"/>
      <c r="AQ470" s="3634"/>
      <c r="AR470" s="3634"/>
      <c r="AS470" s="3634"/>
      <c r="AT470" s="3634"/>
      <c r="AU470" s="3634"/>
      <c r="AV470" s="3634"/>
      <c r="AW470" s="3634"/>
      <c r="AX470" s="3634"/>
      <c r="AY470" s="3323"/>
      <c r="AZ470" s="3324"/>
      <c r="BA470" s="3634"/>
      <c r="BB470" s="3634"/>
      <c r="BC470" s="3634"/>
      <c r="BD470" s="3634"/>
      <c r="BE470" s="3634"/>
      <c r="BF470" s="3634"/>
      <c r="BG470" s="3634"/>
      <c r="BH470" s="3634"/>
      <c r="BI470" s="3634"/>
      <c r="BJ470" s="3634"/>
      <c r="BK470" s="3634"/>
      <c r="BL470" s="3634"/>
    </row>
    <row r="471" spans="4:64">
      <c r="D471" s="3634"/>
      <c r="E471" s="3634"/>
      <c r="F471" s="3634"/>
      <c r="G471" s="3634"/>
      <c r="H471" s="3634"/>
      <c r="I471" s="3634"/>
      <c r="J471" s="3634"/>
      <c r="K471" s="3634"/>
      <c r="L471" s="3634"/>
      <c r="M471" s="3634"/>
      <c r="N471" s="3634"/>
      <c r="O471" s="3634"/>
      <c r="P471" s="3634"/>
      <c r="Q471" s="3634"/>
      <c r="R471" s="3634"/>
      <c r="S471" s="3634"/>
      <c r="T471" s="3634"/>
      <c r="U471" s="3634"/>
      <c r="V471" s="3634"/>
      <c r="W471" s="3634"/>
      <c r="X471" s="3634"/>
      <c r="Y471" s="3634"/>
      <c r="Z471" s="3634"/>
      <c r="AA471" s="3634"/>
      <c r="AB471" s="3634"/>
      <c r="AC471" s="3634"/>
      <c r="AD471" s="3634"/>
      <c r="AE471" s="3634"/>
      <c r="AF471" s="3634"/>
      <c r="AG471" s="3634"/>
      <c r="AH471" s="3634"/>
      <c r="AI471" s="3634"/>
      <c r="AJ471" s="3634"/>
      <c r="AK471" s="3634"/>
      <c r="AL471" s="3634"/>
      <c r="AM471" s="3634"/>
      <c r="AN471" s="3634"/>
      <c r="AO471" s="3634"/>
      <c r="AP471" s="3634"/>
      <c r="AQ471" s="3634"/>
      <c r="AR471" s="3634"/>
      <c r="AS471" s="3634"/>
      <c r="AT471" s="3634"/>
      <c r="AU471" s="3634"/>
      <c r="AV471" s="3634"/>
      <c r="AW471" s="3634"/>
      <c r="AX471" s="3634"/>
      <c r="AY471" s="3323"/>
      <c r="AZ471" s="3324"/>
      <c r="BA471" s="3012"/>
      <c r="BB471" s="3634"/>
      <c r="BC471" s="3634"/>
      <c r="BD471" s="3634"/>
      <c r="BE471" s="3634"/>
      <c r="BF471" s="3634"/>
      <c r="BG471" s="3634"/>
      <c r="BH471" s="3634"/>
      <c r="BI471" s="3634"/>
      <c r="BJ471" s="3634"/>
      <c r="BK471" s="3634"/>
      <c r="BL471" s="3634"/>
    </row>
    <row r="472" spans="4:64">
      <c r="D472" s="3634"/>
      <c r="E472" s="3634"/>
      <c r="F472" s="3634"/>
      <c r="G472" s="3634"/>
      <c r="H472" s="3634"/>
      <c r="I472" s="3634"/>
      <c r="J472" s="3634"/>
      <c r="K472" s="3634"/>
      <c r="L472" s="3634"/>
      <c r="M472" s="3634"/>
      <c r="N472" s="3634"/>
      <c r="O472" s="3634"/>
      <c r="P472" s="3634"/>
      <c r="Q472" s="3634"/>
      <c r="R472" s="3634"/>
      <c r="S472" s="3634"/>
      <c r="T472" s="3634"/>
      <c r="U472" s="3634"/>
      <c r="V472" s="3634"/>
      <c r="W472" s="3634"/>
      <c r="X472" s="3634"/>
      <c r="Y472" s="3634"/>
      <c r="Z472" s="3634"/>
      <c r="AA472" s="3634"/>
      <c r="AB472" s="3634"/>
      <c r="AC472" s="3634"/>
      <c r="AD472" s="3634"/>
      <c r="AE472" s="3634"/>
      <c r="AF472" s="3634"/>
      <c r="AG472" s="3634"/>
      <c r="AH472" s="3634"/>
      <c r="AI472" s="3634"/>
      <c r="AJ472" s="3634"/>
      <c r="AK472" s="3634"/>
      <c r="AL472" s="3634"/>
      <c r="AM472" s="3634"/>
      <c r="AN472" s="3634"/>
      <c r="AO472" s="3634"/>
      <c r="AP472" s="3634"/>
      <c r="AQ472" s="3634"/>
      <c r="AR472" s="3634"/>
      <c r="AS472" s="3634"/>
      <c r="AT472" s="3634"/>
      <c r="AU472" s="3634"/>
      <c r="AV472" s="3634"/>
      <c r="AW472" s="3634"/>
      <c r="AX472" s="3634"/>
      <c r="AY472" s="3323"/>
      <c r="AZ472" s="3324"/>
      <c r="BA472" s="3012"/>
      <c r="BB472" s="3634"/>
      <c r="BC472" s="3634"/>
      <c r="BD472" s="3634"/>
      <c r="BE472" s="3634"/>
      <c r="BF472" s="3634"/>
      <c r="BG472" s="3634"/>
      <c r="BH472" s="3634"/>
      <c r="BI472" s="3634"/>
      <c r="BJ472" s="3634"/>
      <c r="BK472" s="3634"/>
      <c r="BL472" s="3634"/>
    </row>
    <row r="473" spans="4:64">
      <c r="D473" s="3634"/>
      <c r="E473" s="3634"/>
      <c r="F473" s="3634"/>
      <c r="G473" s="3634"/>
      <c r="H473" s="3634"/>
      <c r="I473" s="3634"/>
      <c r="J473" s="3634"/>
      <c r="K473" s="3634"/>
      <c r="L473" s="3634"/>
      <c r="M473" s="3634"/>
      <c r="N473" s="3634"/>
      <c r="O473" s="3634"/>
      <c r="P473" s="3634"/>
      <c r="Q473" s="3634"/>
      <c r="R473" s="3634"/>
      <c r="S473" s="3634"/>
      <c r="T473" s="3634"/>
      <c r="U473" s="3634"/>
      <c r="V473" s="3634"/>
      <c r="W473" s="3634"/>
      <c r="X473" s="3634"/>
      <c r="Y473" s="3634"/>
      <c r="Z473" s="3634"/>
      <c r="AA473" s="3634"/>
      <c r="AB473" s="3634"/>
      <c r="AC473" s="3634"/>
      <c r="AD473" s="3634"/>
      <c r="AE473" s="3634"/>
      <c r="AF473" s="3634"/>
      <c r="AG473" s="3634"/>
      <c r="AH473" s="3634"/>
      <c r="AI473" s="3634"/>
      <c r="AJ473" s="3634"/>
      <c r="AK473" s="3634"/>
      <c r="AL473" s="3634"/>
      <c r="AM473" s="3634"/>
      <c r="AN473" s="3634"/>
      <c r="AO473" s="3634"/>
      <c r="AP473" s="3634"/>
      <c r="AQ473" s="3634"/>
      <c r="AR473" s="3634"/>
      <c r="AS473" s="3634"/>
      <c r="AT473" s="3634"/>
      <c r="AU473" s="3634"/>
      <c r="AV473" s="3634"/>
      <c r="AW473" s="3634"/>
      <c r="AX473" s="3634"/>
      <c r="AY473" s="3323"/>
      <c r="AZ473" s="3324"/>
      <c r="BA473" s="3012"/>
      <c r="BB473" s="3634"/>
      <c r="BC473" s="3634"/>
      <c r="BD473" s="3634"/>
      <c r="BE473" s="3634"/>
      <c r="BF473" s="3634"/>
      <c r="BG473" s="3634"/>
      <c r="BH473" s="3634"/>
      <c r="BI473" s="3634"/>
      <c r="BJ473" s="3634"/>
      <c r="BK473" s="3634"/>
      <c r="BL473" s="3634"/>
    </row>
    <row r="474" spans="4:64">
      <c r="D474" s="3634"/>
      <c r="E474" s="3634"/>
      <c r="F474" s="3634"/>
      <c r="G474" s="3634"/>
      <c r="H474" s="3634"/>
      <c r="I474" s="3634"/>
      <c r="J474" s="3634"/>
      <c r="K474" s="3634"/>
      <c r="L474" s="3634"/>
      <c r="M474" s="3634"/>
      <c r="N474" s="3634"/>
      <c r="O474" s="3634"/>
      <c r="P474" s="3634"/>
      <c r="Q474" s="3634"/>
      <c r="R474" s="3634"/>
      <c r="S474" s="3634"/>
      <c r="T474" s="3634"/>
      <c r="U474" s="3634"/>
      <c r="V474" s="3634"/>
      <c r="W474" s="3634"/>
      <c r="X474" s="3634"/>
      <c r="Y474" s="3634"/>
      <c r="Z474" s="3634"/>
      <c r="AA474" s="3634"/>
      <c r="AB474" s="3634"/>
      <c r="AC474" s="3634"/>
      <c r="AD474" s="3634"/>
      <c r="AE474" s="3634"/>
      <c r="AF474" s="3634"/>
      <c r="AG474" s="3634"/>
      <c r="AH474" s="3634"/>
      <c r="AI474" s="3634"/>
      <c r="AJ474" s="3634"/>
      <c r="AK474" s="3634"/>
      <c r="AL474" s="3634"/>
      <c r="AM474" s="3634"/>
      <c r="AN474" s="3634"/>
      <c r="AO474" s="3634"/>
      <c r="AP474" s="3634"/>
      <c r="AQ474" s="3634"/>
      <c r="AR474" s="3634"/>
      <c r="AS474" s="3634"/>
      <c r="AT474" s="3634"/>
      <c r="AU474" s="3634"/>
      <c r="AV474" s="3634"/>
      <c r="AW474" s="3634"/>
      <c r="AX474" s="3634"/>
      <c r="AY474" s="3323"/>
      <c r="AZ474" s="3324"/>
      <c r="BA474" s="3012"/>
      <c r="BB474" s="3634"/>
      <c r="BC474" s="3634"/>
      <c r="BD474" s="3634"/>
      <c r="BE474" s="3634"/>
      <c r="BF474" s="3634"/>
      <c r="BG474" s="3634"/>
      <c r="BH474" s="3634"/>
      <c r="BI474" s="3634"/>
      <c r="BJ474" s="3634"/>
      <c r="BK474" s="3634"/>
      <c r="BL474" s="3634"/>
    </row>
    <row r="475" spans="4:64">
      <c r="D475" s="3634"/>
      <c r="E475" s="3634"/>
      <c r="F475" s="3634"/>
      <c r="G475" s="3634"/>
      <c r="H475" s="3634"/>
      <c r="I475" s="3634"/>
      <c r="J475" s="3634"/>
      <c r="K475" s="3634"/>
      <c r="L475" s="3634"/>
      <c r="M475" s="3634"/>
      <c r="N475" s="3634"/>
      <c r="O475" s="3634"/>
      <c r="P475" s="3634"/>
      <c r="Q475" s="3634"/>
      <c r="R475" s="3634"/>
      <c r="S475" s="3634"/>
      <c r="T475" s="3634"/>
      <c r="U475" s="3634"/>
      <c r="V475" s="3634"/>
      <c r="W475" s="3634"/>
      <c r="X475" s="3634"/>
      <c r="Y475" s="3634"/>
      <c r="Z475" s="3634"/>
      <c r="AA475" s="3634"/>
      <c r="AB475" s="3634"/>
      <c r="AC475" s="3634"/>
      <c r="AD475" s="3634"/>
      <c r="AE475" s="3634"/>
      <c r="AF475" s="3634"/>
      <c r="AG475" s="3634"/>
      <c r="AH475" s="3634"/>
      <c r="AI475" s="3634"/>
      <c r="AJ475" s="3634"/>
      <c r="AK475" s="3634"/>
      <c r="AL475" s="3634"/>
      <c r="AM475" s="3634"/>
      <c r="AN475" s="3634"/>
      <c r="AO475" s="3634"/>
      <c r="AP475" s="3634"/>
      <c r="AQ475" s="3634"/>
      <c r="AR475" s="3634"/>
      <c r="AS475" s="3634"/>
      <c r="AT475" s="3634"/>
      <c r="AU475" s="3634"/>
      <c r="AV475" s="3634"/>
      <c r="AW475" s="3634"/>
      <c r="AX475" s="3634"/>
      <c r="AY475" s="3323"/>
      <c r="AZ475" s="3324"/>
      <c r="BA475" s="3012"/>
      <c r="BB475" s="3634"/>
      <c r="BC475" s="3634"/>
      <c r="BD475" s="3634"/>
      <c r="BE475" s="3634"/>
      <c r="BF475" s="3634"/>
      <c r="BG475" s="3634"/>
      <c r="BH475" s="3634"/>
      <c r="BI475" s="3634"/>
      <c r="BJ475" s="3634"/>
      <c r="BK475" s="3634"/>
      <c r="BL475" s="3634"/>
    </row>
    <row r="476" spans="4:64">
      <c r="D476" s="3634"/>
      <c r="E476" s="3634"/>
      <c r="F476" s="3634"/>
      <c r="G476" s="3634"/>
      <c r="H476" s="3634"/>
      <c r="I476" s="3634"/>
      <c r="J476" s="3634"/>
      <c r="K476" s="3634"/>
      <c r="L476" s="3634"/>
      <c r="M476" s="3634"/>
      <c r="N476" s="3634"/>
      <c r="O476" s="3634"/>
      <c r="P476" s="3634"/>
      <c r="Q476" s="3634"/>
      <c r="R476" s="3634"/>
      <c r="S476" s="3634"/>
      <c r="T476" s="3634"/>
      <c r="U476" s="3634"/>
      <c r="V476" s="3634"/>
      <c r="W476" s="3634"/>
      <c r="X476" s="3634"/>
      <c r="Y476" s="3634"/>
      <c r="Z476" s="3634"/>
      <c r="AA476" s="3634"/>
      <c r="AB476" s="3634"/>
      <c r="AC476" s="3634"/>
      <c r="AD476" s="3634"/>
      <c r="AE476" s="3634"/>
      <c r="AF476" s="3634"/>
      <c r="AG476" s="3634"/>
      <c r="AH476" s="3634"/>
      <c r="AI476" s="3634"/>
      <c r="AJ476" s="3634"/>
      <c r="AK476" s="3634"/>
      <c r="AL476" s="3634"/>
      <c r="AM476" s="3634"/>
      <c r="AN476" s="3634"/>
      <c r="AO476" s="3634"/>
      <c r="AP476" s="3634"/>
      <c r="AQ476" s="3634"/>
      <c r="AR476" s="3634"/>
      <c r="AS476" s="3634"/>
      <c r="AT476" s="3634"/>
      <c r="AU476" s="3634"/>
      <c r="AV476" s="3634"/>
      <c r="AW476" s="3634"/>
      <c r="AX476" s="3634"/>
      <c r="AY476" s="3323"/>
      <c r="AZ476" s="3324"/>
      <c r="BA476" s="3012"/>
      <c r="BB476" s="3634"/>
      <c r="BC476" s="3634"/>
      <c r="BD476" s="3634"/>
      <c r="BE476" s="3634"/>
      <c r="BF476" s="3634"/>
      <c r="BG476" s="3634"/>
      <c r="BH476" s="3634"/>
      <c r="BI476" s="3634"/>
      <c r="BJ476" s="3634"/>
      <c r="BK476" s="3634"/>
      <c r="BL476" s="3634"/>
    </row>
    <row r="477" spans="4:64">
      <c r="D477" s="3634"/>
      <c r="E477" s="3634"/>
      <c r="F477" s="3634"/>
      <c r="G477" s="3634"/>
      <c r="H477" s="3634"/>
      <c r="I477" s="3634"/>
      <c r="J477" s="3634"/>
      <c r="K477" s="3634"/>
      <c r="L477" s="3634"/>
      <c r="M477" s="3634"/>
      <c r="N477" s="3634"/>
      <c r="O477" s="3634"/>
      <c r="P477" s="3634"/>
      <c r="Q477" s="3634"/>
      <c r="R477" s="3634"/>
      <c r="S477" s="3634"/>
      <c r="T477" s="3634"/>
      <c r="U477" s="3634"/>
      <c r="V477" s="3634"/>
      <c r="W477" s="3634"/>
      <c r="X477" s="3634"/>
      <c r="Y477" s="3634"/>
      <c r="Z477" s="3634"/>
      <c r="AA477" s="3634"/>
      <c r="AB477" s="3634"/>
      <c r="AC477" s="3634"/>
      <c r="AD477" s="3634"/>
      <c r="AE477" s="3634"/>
      <c r="AF477" s="3634"/>
      <c r="AG477" s="3634"/>
      <c r="AH477" s="3634"/>
      <c r="AI477" s="3634"/>
      <c r="AJ477" s="3634"/>
      <c r="AK477" s="3634"/>
      <c r="AL477" s="3634"/>
      <c r="AM477" s="3634"/>
      <c r="AN477" s="3634"/>
      <c r="AO477" s="3634"/>
      <c r="AP477" s="3634"/>
      <c r="AQ477" s="3634"/>
      <c r="AR477" s="3634"/>
      <c r="AS477" s="3634"/>
      <c r="AT477" s="3634"/>
      <c r="AU477" s="3634"/>
      <c r="AV477" s="3634"/>
      <c r="AW477" s="3634"/>
      <c r="AX477" s="3634"/>
      <c r="AY477" s="3323"/>
      <c r="AZ477" s="3324"/>
      <c r="BA477" s="3013"/>
      <c r="BB477" s="3634"/>
      <c r="BC477" s="3634"/>
      <c r="BD477" s="3634"/>
      <c r="BE477" s="3634"/>
      <c r="BF477" s="3634"/>
      <c r="BG477" s="3634"/>
      <c r="BH477" s="3634"/>
      <c r="BI477" s="3634"/>
      <c r="BJ477" s="3634"/>
      <c r="BK477" s="3634"/>
      <c r="BL477" s="3634"/>
    </row>
    <row r="478" spans="4:64">
      <c r="D478" s="3634"/>
      <c r="E478" s="3634"/>
      <c r="F478" s="3634"/>
      <c r="G478" s="3634"/>
      <c r="H478" s="3634"/>
      <c r="I478" s="3634"/>
      <c r="J478" s="3634"/>
      <c r="K478" s="3634"/>
      <c r="L478" s="3634"/>
      <c r="M478" s="3634"/>
      <c r="N478" s="3634"/>
      <c r="O478" s="3634"/>
      <c r="P478" s="3634"/>
      <c r="Q478" s="3634"/>
      <c r="R478" s="3634"/>
      <c r="S478" s="3634"/>
      <c r="T478" s="3634"/>
      <c r="U478" s="3634"/>
      <c r="V478" s="3634"/>
      <c r="W478" s="3634"/>
      <c r="X478" s="3634"/>
      <c r="Y478" s="3634"/>
      <c r="Z478" s="3634"/>
      <c r="AA478" s="3634"/>
      <c r="AB478" s="3634"/>
      <c r="AC478" s="3634"/>
      <c r="AD478" s="3634"/>
      <c r="AE478" s="3634"/>
      <c r="AF478" s="3634"/>
      <c r="AG478" s="3634"/>
      <c r="AH478" s="3634"/>
      <c r="AI478" s="3634"/>
      <c r="AJ478" s="3634"/>
      <c r="AK478" s="3634"/>
      <c r="AL478" s="3634"/>
      <c r="AM478" s="3634"/>
      <c r="AN478" s="3634"/>
      <c r="AO478" s="3634"/>
      <c r="AP478" s="3634"/>
      <c r="AQ478" s="3634"/>
      <c r="AR478" s="3634"/>
      <c r="AS478" s="3634"/>
      <c r="AT478" s="3634"/>
      <c r="AU478" s="3634"/>
      <c r="AV478" s="3634"/>
      <c r="AW478" s="3634"/>
      <c r="AX478" s="3634"/>
      <c r="AY478" s="3323"/>
      <c r="AZ478" s="3324"/>
      <c r="BA478" s="3012"/>
      <c r="BB478" s="3634"/>
      <c r="BC478" s="3634"/>
      <c r="BD478" s="3634"/>
      <c r="BE478" s="3634"/>
      <c r="BF478" s="3634"/>
      <c r="BG478" s="3634"/>
      <c r="BH478" s="3634"/>
      <c r="BI478" s="3634"/>
      <c r="BJ478" s="3634"/>
      <c r="BK478" s="3634"/>
      <c r="BL478" s="3634"/>
    </row>
    <row r="479" spans="4:64">
      <c r="D479" s="3634"/>
      <c r="E479" s="3634"/>
      <c r="F479" s="3634"/>
      <c r="G479" s="3634"/>
      <c r="H479" s="3634"/>
      <c r="I479" s="3634"/>
      <c r="J479" s="3634"/>
      <c r="K479" s="3634"/>
      <c r="L479" s="3634"/>
      <c r="M479" s="3634"/>
      <c r="N479" s="3634"/>
      <c r="O479" s="3634"/>
      <c r="P479" s="3634"/>
      <c r="Q479" s="3634"/>
      <c r="R479" s="3634"/>
      <c r="S479" s="3634"/>
      <c r="T479" s="3634"/>
      <c r="U479" s="3634"/>
      <c r="V479" s="3634"/>
      <c r="W479" s="3634"/>
      <c r="X479" s="3634"/>
      <c r="Y479" s="3634"/>
      <c r="Z479" s="3634"/>
      <c r="AA479" s="3634"/>
      <c r="AB479" s="3634"/>
      <c r="AC479" s="3634"/>
      <c r="AD479" s="3634"/>
      <c r="AE479" s="3634"/>
      <c r="AF479" s="3634"/>
      <c r="AG479" s="3634"/>
      <c r="AH479" s="3634"/>
      <c r="AI479" s="3634"/>
      <c r="AJ479" s="3634"/>
      <c r="AK479" s="3634"/>
      <c r="AL479" s="3634"/>
      <c r="AM479" s="3634"/>
      <c r="AN479" s="3634"/>
      <c r="AO479" s="3634"/>
      <c r="AP479" s="3634"/>
      <c r="AQ479" s="3634"/>
      <c r="AR479" s="3634"/>
      <c r="AS479" s="3634"/>
      <c r="AT479" s="3634"/>
      <c r="AU479" s="3634"/>
      <c r="AV479" s="3634"/>
      <c r="AW479" s="3634"/>
      <c r="AX479" s="3634"/>
      <c r="AY479" s="3323"/>
      <c r="AZ479" s="3324"/>
      <c r="BA479" s="3012"/>
      <c r="BB479" s="3634"/>
      <c r="BC479" s="3634"/>
      <c r="BD479" s="3634"/>
      <c r="BE479" s="3634"/>
      <c r="BF479" s="3634"/>
      <c r="BG479" s="3634"/>
      <c r="BH479" s="3634"/>
      <c r="BI479" s="3634"/>
      <c r="BJ479" s="3634"/>
      <c r="BK479" s="3634"/>
      <c r="BL479" s="3634"/>
    </row>
    <row r="480" spans="4:64">
      <c r="D480" s="3634"/>
      <c r="E480" s="3634"/>
      <c r="F480" s="3634"/>
      <c r="G480" s="3634"/>
      <c r="H480" s="3634"/>
      <c r="I480" s="3634"/>
      <c r="J480" s="3634"/>
      <c r="K480" s="3634"/>
      <c r="L480" s="3634"/>
      <c r="M480" s="3634"/>
      <c r="N480" s="3634"/>
      <c r="O480" s="3634"/>
      <c r="P480" s="3634"/>
      <c r="Q480" s="3634"/>
      <c r="R480" s="3634"/>
      <c r="S480" s="3634"/>
      <c r="T480" s="3634"/>
      <c r="U480" s="3634"/>
      <c r="V480" s="3634"/>
      <c r="W480" s="3634"/>
      <c r="X480" s="3634"/>
      <c r="Y480" s="3634"/>
      <c r="Z480" s="3634"/>
      <c r="AA480" s="3634"/>
      <c r="AB480" s="3634"/>
      <c r="AC480" s="3634"/>
      <c r="AD480" s="3634"/>
      <c r="AE480" s="3634"/>
      <c r="AF480" s="3634"/>
      <c r="AG480" s="3634"/>
      <c r="AH480" s="3634"/>
      <c r="AI480" s="3634"/>
      <c r="AJ480" s="3634"/>
      <c r="AK480" s="3634"/>
      <c r="AL480" s="3634"/>
      <c r="AM480" s="3634"/>
      <c r="AN480" s="3634"/>
      <c r="AO480" s="3634"/>
      <c r="AP480" s="3634"/>
      <c r="AQ480" s="3634"/>
      <c r="AR480" s="3634"/>
      <c r="AS480" s="3634"/>
      <c r="AT480" s="3634"/>
      <c r="AU480" s="3634"/>
      <c r="AV480" s="3634"/>
      <c r="AW480" s="3634"/>
      <c r="AX480" s="3634"/>
      <c r="AY480" s="3323"/>
      <c r="AZ480" s="3324"/>
      <c r="BA480" s="3012"/>
      <c r="BB480" s="3634"/>
      <c r="BC480" s="3634"/>
      <c r="BD480" s="3634"/>
      <c r="BE480" s="3634"/>
      <c r="BF480" s="3634"/>
      <c r="BG480" s="3634"/>
      <c r="BH480" s="3634"/>
      <c r="BI480" s="3634"/>
      <c r="BJ480" s="3634"/>
      <c r="BK480" s="3634"/>
      <c r="BL480" s="3634"/>
    </row>
    <row r="481" spans="4:64">
      <c r="D481" s="3634"/>
      <c r="E481" s="3634"/>
      <c r="F481" s="3634"/>
      <c r="G481" s="3634"/>
      <c r="H481" s="3634"/>
      <c r="I481" s="3634"/>
      <c r="J481" s="3634"/>
      <c r="K481" s="3634"/>
      <c r="L481" s="3634"/>
      <c r="M481" s="3634"/>
      <c r="N481" s="3634"/>
      <c r="O481" s="3634"/>
      <c r="P481" s="3634"/>
      <c r="Q481" s="3634"/>
      <c r="R481" s="3634"/>
      <c r="S481" s="3634"/>
      <c r="T481" s="3634"/>
      <c r="U481" s="3634"/>
      <c r="V481" s="3634"/>
      <c r="W481" s="3634"/>
      <c r="X481" s="3634"/>
      <c r="Y481" s="3634"/>
      <c r="Z481" s="3634"/>
      <c r="AA481" s="3634"/>
      <c r="AB481" s="3634"/>
      <c r="AC481" s="3634"/>
      <c r="AD481" s="3634"/>
      <c r="AE481" s="3634"/>
      <c r="AF481" s="3634"/>
      <c r="AG481" s="3634"/>
      <c r="AH481" s="3634"/>
      <c r="AI481" s="3634"/>
      <c r="AJ481" s="3634"/>
      <c r="AK481" s="3634"/>
      <c r="AL481" s="3634"/>
      <c r="AM481" s="3634"/>
      <c r="AN481" s="3634"/>
      <c r="AO481" s="3634"/>
      <c r="AP481" s="3634"/>
      <c r="AQ481" s="3634"/>
      <c r="AR481" s="3634"/>
      <c r="AS481" s="3634"/>
      <c r="AT481" s="3634"/>
      <c r="AU481" s="3634"/>
      <c r="AV481" s="3634"/>
      <c r="AW481" s="3634"/>
      <c r="AX481" s="3634"/>
      <c r="AY481" s="3323"/>
      <c r="AZ481" s="3324"/>
      <c r="BA481" s="3012"/>
      <c r="BB481" s="3634"/>
      <c r="BC481" s="3634"/>
      <c r="BD481" s="3634"/>
      <c r="BE481" s="3634"/>
      <c r="BF481" s="3634"/>
      <c r="BG481" s="3634"/>
      <c r="BH481" s="3634"/>
      <c r="BI481" s="3634"/>
      <c r="BJ481" s="3634"/>
      <c r="BK481" s="3634"/>
      <c r="BL481" s="3634"/>
    </row>
    <row r="482" spans="4:64">
      <c r="D482" s="3634"/>
      <c r="E482" s="3634"/>
      <c r="F482" s="3634"/>
      <c r="G482" s="3634"/>
      <c r="H482" s="3634"/>
      <c r="I482" s="3634"/>
      <c r="J482" s="3634"/>
      <c r="K482" s="3634"/>
      <c r="L482" s="3634"/>
      <c r="M482" s="3634"/>
      <c r="N482" s="3634"/>
      <c r="O482" s="3634"/>
      <c r="P482" s="3634"/>
      <c r="Q482" s="3634"/>
      <c r="R482" s="3634"/>
      <c r="S482" s="3634"/>
      <c r="T482" s="3634"/>
      <c r="U482" s="3634"/>
      <c r="V482" s="3634"/>
      <c r="W482" s="3634"/>
      <c r="X482" s="3634"/>
      <c r="Y482" s="3634"/>
      <c r="Z482" s="3634"/>
      <c r="AA482" s="3634"/>
      <c r="AB482" s="3634"/>
      <c r="AC482" s="3634"/>
      <c r="AD482" s="3634"/>
      <c r="AE482" s="3634"/>
      <c r="AF482" s="3634"/>
      <c r="AG482" s="3634"/>
      <c r="AH482" s="3634"/>
      <c r="AI482" s="3634"/>
      <c r="AJ482" s="3634"/>
      <c r="AK482" s="3634"/>
      <c r="AL482" s="3634"/>
      <c r="AM482" s="3634"/>
      <c r="AN482" s="3634"/>
      <c r="AO482" s="3634"/>
      <c r="AP482" s="3634"/>
      <c r="AQ482" s="3634"/>
      <c r="AR482" s="3634"/>
      <c r="AS482" s="3634"/>
      <c r="AT482" s="3634"/>
      <c r="AU482" s="3634"/>
      <c r="AV482" s="3634"/>
      <c r="AW482" s="3634"/>
      <c r="AX482" s="3634"/>
      <c r="AY482" s="3323"/>
      <c r="AZ482" s="3324"/>
      <c r="BA482" s="3012"/>
      <c r="BB482" s="3634"/>
      <c r="BC482" s="3634"/>
      <c r="BD482" s="3634"/>
      <c r="BE482" s="3634"/>
      <c r="BF482" s="3634"/>
      <c r="BG482" s="3634"/>
      <c r="BH482" s="3634"/>
      <c r="BI482" s="3634"/>
      <c r="BJ482" s="3634"/>
      <c r="BK482" s="3634"/>
      <c r="BL482" s="3634"/>
    </row>
    <row r="483" spans="4:64">
      <c r="D483" s="3634"/>
      <c r="E483" s="3634"/>
      <c r="F483" s="3634"/>
      <c r="G483" s="3634"/>
      <c r="H483" s="3634"/>
      <c r="I483" s="3634"/>
      <c r="J483" s="3634"/>
      <c r="K483" s="3634"/>
      <c r="L483" s="3634"/>
      <c r="M483" s="3634"/>
      <c r="N483" s="3634"/>
      <c r="O483" s="3634"/>
      <c r="P483" s="3634"/>
      <c r="Q483" s="3634"/>
      <c r="R483" s="3634"/>
      <c r="S483" s="3634"/>
      <c r="T483" s="3634"/>
      <c r="U483" s="3634"/>
      <c r="V483" s="3634"/>
      <c r="W483" s="3634"/>
      <c r="X483" s="3634"/>
      <c r="Y483" s="3634"/>
      <c r="Z483" s="3634"/>
      <c r="AA483" s="3634"/>
      <c r="AB483" s="3634"/>
      <c r="AC483" s="3634"/>
      <c r="AD483" s="3634"/>
      <c r="AE483" s="3634"/>
      <c r="AF483" s="3634"/>
      <c r="AG483" s="3634"/>
      <c r="AH483" s="3634"/>
      <c r="AI483" s="3634"/>
      <c r="AJ483" s="3634"/>
      <c r="AK483" s="3634"/>
      <c r="AL483" s="3634"/>
      <c r="AM483" s="3634"/>
      <c r="AN483" s="3634"/>
      <c r="AO483" s="3634"/>
      <c r="AP483" s="3634"/>
      <c r="AQ483" s="3634"/>
      <c r="AR483" s="3634"/>
      <c r="AS483" s="3634"/>
      <c r="AT483" s="3634"/>
      <c r="AU483" s="3634"/>
      <c r="AV483" s="3634"/>
      <c r="AW483" s="3634"/>
      <c r="AX483" s="3634"/>
      <c r="AY483" s="3323"/>
      <c r="AZ483" s="3324"/>
      <c r="BA483" s="3012"/>
      <c r="BB483" s="3634"/>
      <c r="BC483" s="3634"/>
      <c r="BD483" s="3634"/>
      <c r="BE483" s="3634"/>
      <c r="BF483" s="3634"/>
      <c r="BG483" s="3634"/>
      <c r="BH483" s="3634"/>
      <c r="BI483" s="3634"/>
      <c r="BJ483" s="3634"/>
      <c r="BK483" s="3634"/>
      <c r="BL483" s="3634"/>
    </row>
    <row r="484" spans="4:64">
      <c r="D484" s="3634"/>
      <c r="E484" s="3634"/>
      <c r="F484" s="3634"/>
      <c r="G484" s="3634"/>
      <c r="H484" s="3634"/>
      <c r="I484" s="3634"/>
      <c r="J484" s="3634"/>
      <c r="K484" s="3634"/>
      <c r="L484" s="3634"/>
      <c r="M484" s="3634"/>
      <c r="N484" s="3634"/>
      <c r="O484" s="3634"/>
      <c r="P484" s="3634"/>
      <c r="Q484" s="3634"/>
      <c r="R484" s="3634"/>
      <c r="S484" s="3634"/>
      <c r="T484" s="3634"/>
      <c r="U484" s="3634"/>
      <c r="V484" s="3634"/>
      <c r="W484" s="3634"/>
      <c r="X484" s="3634"/>
      <c r="Y484" s="3634"/>
      <c r="Z484" s="3634"/>
      <c r="AA484" s="3634"/>
      <c r="AB484" s="3634"/>
      <c r="AC484" s="3634"/>
      <c r="AD484" s="3634"/>
      <c r="AE484" s="3634"/>
      <c r="AF484" s="3634"/>
      <c r="AG484" s="3634"/>
      <c r="AH484" s="3634"/>
      <c r="AI484" s="3634"/>
      <c r="AJ484" s="3634"/>
      <c r="AK484" s="3634"/>
      <c r="AL484" s="3634"/>
      <c r="AM484" s="3634"/>
      <c r="AN484" s="3634"/>
      <c r="AO484" s="3634"/>
      <c r="AP484" s="3634"/>
      <c r="AQ484" s="3634"/>
      <c r="AR484" s="3634"/>
      <c r="AS484" s="3634"/>
      <c r="AT484" s="3634"/>
      <c r="AU484" s="3634"/>
      <c r="AV484" s="3634"/>
      <c r="AW484" s="3634"/>
      <c r="AX484" s="3634"/>
      <c r="AY484" s="3323"/>
      <c r="AZ484" s="3324"/>
      <c r="BA484" s="3634"/>
      <c r="BB484" s="3634"/>
      <c r="BC484" s="3634"/>
      <c r="BD484" s="3634"/>
      <c r="BE484" s="3634"/>
      <c r="BF484" s="3634"/>
      <c r="BG484" s="3634"/>
      <c r="BH484" s="3634"/>
      <c r="BI484" s="3634"/>
      <c r="BJ484" s="3634"/>
      <c r="BK484" s="3634"/>
      <c r="BL484" s="3634"/>
    </row>
    <row r="485" spans="4:64">
      <c r="D485" s="3634"/>
      <c r="E485" s="3634"/>
      <c r="F485" s="3634"/>
      <c r="G485" s="3634"/>
      <c r="H485" s="3634"/>
      <c r="I485" s="3634"/>
      <c r="J485" s="3634"/>
      <c r="K485" s="3634"/>
      <c r="L485" s="3634"/>
      <c r="M485" s="3634"/>
      <c r="N485" s="3634"/>
      <c r="O485" s="3634"/>
      <c r="P485" s="3634"/>
      <c r="Q485" s="3634"/>
      <c r="R485" s="3634"/>
      <c r="S485" s="3634"/>
      <c r="T485" s="3634"/>
      <c r="U485" s="3634"/>
      <c r="V485" s="3634"/>
      <c r="W485" s="3634"/>
      <c r="X485" s="3634"/>
      <c r="Y485" s="3634"/>
      <c r="Z485" s="3634"/>
      <c r="AA485" s="3634"/>
      <c r="AB485" s="3634"/>
      <c r="AC485" s="3634"/>
      <c r="AD485" s="3634"/>
      <c r="AE485" s="3634"/>
      <c r="AF485" s="3634"/>
      <c r="AG485" s="3634"/>
      <c r="AH485" s="3634"/>
      <c r="AI485" s="3634"/>
      <c r="AJ485" s="3634"/>
      <c r="AK485" s="3634"/>
      <c r="AL485" s="3634"/>
      <c r="AM485" s="3634"/>
      <c r="AN485" s="3634"/>
      <c r="AO485" s="3634"/>
      <c r="AP485" s="3634"/>
      <c r="AQ485" s="3634"/>
      <c r="AR485" s="3634"/>
      <c r="AS485" s="3634"/>
      <c r="AT485" s="3634"/>
      <c r="AU485" s="3634"/>
      <c r="AV485" s="3634"/>
      <c r="AW485" s="3634"/>
      <c r="AX485" s="3634"/>
      <c r="AY485" s="3323"/>
      <c r="AZ485" s="3324"/>
      <c r="BA485" s="3012"/>
      <c r="BB485" s="3634"/>
      <c r="BC485" s="3634"/>
      <c r="BD485" s="3634"/>
      <c r="BE485" s="3634"/>
      <c r="BF485" s="3634"/>
      <c r="BG485" s="3634"/>
      <c r="BH485" s="3634"/>
      <c r="BI485" s="3634"/>
      <c r="BJ485" s="3634"/>
      <c r="BK485" s="3634"/>
      <c r="BL485" s="3634"/>
    </row>
    <row r="486" spans="4:64">
      <c r="D486" s="3634"/>
      <c r="E486" s="3634"/>
      <c r="F486" s="3634"/>
      <c r="G486" s="3634"/>
      <c r="H486" s="3634"/>
      <c r="I486" s="3634"/>
      <c r="J486" s="3634"/>
      <c r="K486" s="3634"/>
      <c r="L486" s="3634"/>
      <c r="M486" s="3634"/>
      <c r="N486" s="3634"/>
      <c r="O486" s="3634"/>
      <c r="P486" s="3634"/>
      <c r="Q486" s="3634"/>
      <c r="R486" s="3634"/>
      <c r="S486" s="3634"/>
      <c r="T486" s="3634"/>
      <c r="U486" s="3634"/>
      <c r="V486" s="3634"/>
      <c r="W486" s="3634"/>
      <c r="X486" s="3634"/>
      <c r="Y486" s="3634"/>
      <c r="Z486" s="3634"/>
      <c r="AA486" s="3634"/>
      <c r="AB486" s="3634"/>
      <c r="AC486" s="3634"/>
      <c r="AD486" s="3634"/>
      <c r="AE486" s="3634"/>
      <c r="AF486" s="3634"/>
      <c r="AG486" s="3634"/>
      <c r="AH486" s="3634"/>
      <c r="AI486" s="3634"/>
      <c r="AJ486" s="3634"/>
      <c r="AK486" s="3634"/>
      <c r="AL486" s="3634"/>
      <c r="AM486" s="3634"/>
      <c r="AN486" s="3634"/>
      <c r="AO486" s="3634"/>
      <c r="AP486" s="3634"/>
      <c r="AQ486" s="3634"/>
      <c r="AR486" s="3634"/>
      <c r="AS486" s="3634"/>
      <c r="AT486" s="3634"/>
      <c r="AU486" s="3634"/>
      <c r="AV486" s="3634"/>
      <c r="AW486" s="3634"/>
      <c r="AX486" s="3634"/>
      <c r="AY486" s="3323"/>
      <c r="AZ486" s="3324"/>
      <c r="BA486" s="3012"/>
      <c r="BB486" s="3634"/>
      <c r="BC486" s="3634"/>
      <c r="BD486" s="3634"/>
      <c r="BE486" s="3634"/>
      <c r="BF486" s="3634"/>
      <c r="BG486" s="3634"/>
      <c r="BH486" s="3634"/>
      <c r="BI486" s="3634"/>
      <c r="BJ486" s="3634"/>
      <c r="BK486" s="3634"/>
      <c r="BL486" s="3634"/>
    </row>
    <row r="487" spans="4:64">
      <c r="D487" s="3634"/>
      <c r="E487" s="3634"/>
      <c r="F487" s="3634"/>
      <c r="G487" s="3634"/>
      <c r="H487" s="3634"/>
      <c r="I487" s="3634"/>
      <c r="J487" s="3634"/>
      <c r="K487" s="3634"/>
      <c r="L487" s="3634"/>
      <c r="M487" s="3634"/>
      <c r="N487" s="3634"/>
      <c r="O487" s="3634"/>
      <c r="P487" s="3634"/>
      <c r="Q487" s="3634"/>
      <c r="R487" s="3634"/>
      <c r="S487" s="3634"/>
      <c r="T487" s="3634"/>
      <c r="U487" s="3634"/>
      <c r="V487" s="3634"/>
      <c r="W487" s="3634"/>
      <c r="X487" s="3634"/>
      <c r="Y487" s="3634"/>
      <c r="Z487" s="3634"/>
      <c r="AA487" s="3634"/>
      <c r="AB487" s="3634"/>
      <c r="AC487" s="3634"/>
      <c r="AD487" s="3634"/>
      <c r="AE487" s="3634"/>
      <c r="AF487" s="3634"/>
      <c r="AG487" s="3634"/>
      <c r="AH487" s="3634"/>
      <c r="AI487" s="3634"/>
      <c r="AJ487" s="3634"/>
      <c r="AK487" s="3634"/>
      <c r="AL487" s="3634"/>
      <c r="AM487" s="3634"/>
      <c r="AN487" s="3634"/>
      <c r="AO487" s="3634"/>
      <c r="AP487" s="3634"/>
      <c r="AQ487" s="3634"/>
      <c r="AR487" s="3634"/>
      <c r="AS487" s="3634"/>
      <c r="AT487" s="3634"/>
      <c r="AU487" s="3634"/>
      <c r="AV487" s="3634"/>
      <c r="AW487" s="3634"/>
      <c r="AX487" s="3634"/>
      <c r="AY487" s="3323"/>
      <c r="AZ487" s="3324"/>
      <c r="BA487" s="3012"/>
      <c r="BB487" s="3634"/>
      <c r="BC487" s="3634"/>
      <c r="BD487" s="3634"/>
      <c r="BE487" s="3634"/>
      <c r="BF487" s="3634"/>
      <c r="BG487" s="3634"/>
      <c r="BH487" s="3634"/>
      <c r="BI487" s="3634"/>
      <c r="BJ487" s="3634"/>
      <c r="BK487" s="3634"/>
      <c r="BL487" s="3634"/>
    </row>
    <row r="488" spans="4:64">
      <c r="D488" s="3634"/>
      <c r="E488" s="3634"/>
      <c r="F488" s="3634"/>
      <c r="G488" s="3634"/>
      <c r="H488" s="3634"/>
      <c r="I488" s="3634"/>
      <c r="J488" s="3634"/>
      <c r="K488" s="3634"/>
      <c r="L488" s="3634"/>
      <c r="M488" s="3634"/>
      <c r="N488" s="3634"/>
      <c r="O488" s="3634"/>
      <c r="P488" s="3634"/>
      <c r="Q488" s="3634"/>
      <c r="R488" s="3634"/>
      <c r="S488" s="3634"/>
      <c r="T488" s="3634"/>
      <c r="U488" s="3634"/>
      <c r="V488" s="3634"/>
      <c r="W488" s="3634"/>
      <c r="X488" s="3634"/>
      <c r="Y488" s="3634"/>
      <c r="Z488" s="3634"/>
      <c r="AA488" s="3634"/>
      <c r="AB488" s="3634"/>
      <c r="AC488" s="3634"/>
      <c r="AD488" s="3634"/>
      <c r="AE488" s="3634"/>
      <c r="AF488" s="3634"/>
      <c r="AG488" s="3634"/>
      <c r="AH488" s="3634"/>
      <c r="AI488" s="3634"/>
      <c r="AJ488" s="3634"/>
      <c r="AK488" s="3634"/>
      <c r="AL488" s="3634"/>
      <c r="AM488" s="3634"/>
      <c r="AN488" s="3634"/>
      <c r="AO488" s="3634"/>
      <c r="AP488" s="3634"/>
      <c r="AQ488" s="3634"/>
      <c r="AR488" s="3634"/>
      <c r="AS488" s="3634"/>
      <c r="AT488" s="3634"/>
      <c r="AU488" s="3634"/>
      <c r="AV488" s="3634"/>
      <c r="AW488" s="3634"/>
      <c r="AX488" s="3634"/>
      <c r="AY488" s="3323"/>
      <c r="AZ488" s="3324"/>
      <c r="BA488" s="3012"/>
      <c r="BB488" s="3634"/>
      <c r="BC488" s="3634"/>
      <c r="BD488" s="3634"/>
      <c r="BE488" s="3634"/>
      <c r="BF488" s="3634"/>
      <c r="BG488" s="3634"/>
      <c r="BH488" s="3634"/>
      <c r="BI488" s="3634"/>
      <c r="BJ488" s="3634"/>
      <c r="BK488" s="3634"/>
      <c r="BL488" s="3634"/>
    </row>
    <row r="489" spans="4:64">
      <c r="D489" s="3634"/>
      <c r="E489" s="3634"/>
      <c r="F489" s="3634"/>
      <c r="G489" s="3634"/>
      <c r="H489" s="3634"/>
      <c r="I489" s="3634"/>
      <c r="J489" s="3634"/>
      <c r="K489" s="3634"/>
      <c r="L489" s="3634"/>
      <c r="M489" s="3634"/>
      <c r="N489" s="3634"/>
      <c r="O489" s="3634"/>
      <c r="P489" s="3634"/>
      <c r="Q489" s="3634"/>
      <c r="R489" s="3634"/>
      <c r="S489" s="3634"/>
      <c r="T489" s="3634"/>
      <c r="U489" s="3634"/>
      <c r="V489" s="3634"/>
      <c r="W489" s="3634"/>
      <c r="X489" s="3634"/>
      <c r="Y489" s="3634"/>
      <c r="Z489" s="3634"/>
      <c r="AA489" s="3634"/>
      <c r="AB489" s="3634"/>
      <c r="AC489" s="3634"/>
      <c r="AD489" s="3634"/>
      <c r="AE489" s="3634"/>
      <c r="AF489" s="3634"/>
      <c r="AG489" s="3634"/>
      <c r="AH489" s="3634"/>
      <c r="AI489" s="3634"/>
      <c r="AJ489" s="3634"/>
      <c r="AK489" s="3634"/>
      <c r="AL489" s="3634"/>
      <c r="AM489" s="3634"/>
      <c r="AN489" s="3634"/>
      <c r="AO489" s="3634"/>
      <c r="AP489" s="3634"/>
      <c r="AQ489" s="3634"/>
      <c r="AR489" s="3634"/>
      <c r="AS489" s="3634"/>
      <c r="AT489" s="3634"/>
      <c r="AU489" s="3634"/>
      <c r="AV489" s="3634"/>
      <c r="AW489" s="3634"/>
      <c r="AX489" s="3634"/>
      <c r="AY489" s="3323"/>
      <c r="AZ489" s="3324"/>
      <c r="BA489" s="3012"/>
      <c r="BB489" s="3634"/>
      <c r="BC489" s="3634"/>
      <c r="BD489" s="3634"/>
      <c r="BE489" s="3634"/>
      <c r="BF489" s="3634"/>
      <c r="BG489" s="3634"/>
      <c r="BH489" s="3634"/>
      <c r="BI489" s="3634"/>
      <c r="BJ489" s="3634"/>
      <c r="BK489" s="3634"/>
      <c r="BL489" s="3634"/>
    </row>
    <row r="490" spans="4:64">
      <c r="D490" s="3634"/>
      <c r="E490" s="3634"/>
      <c r="F490" s="3634"/>
      <c r="G490" s="3634"/>
      <c r="H490" s="3634"/>
      <c r="I490" s="3634"/>
      <c r="J490" s="3634"/>
      <c r="K490" s="3634"/>
      <c r="L490" s="3634"/>
      <c r="M490" s="3634"/>
      <c r="N490" s="3634"/>
      <c r="O490" s="3634"/>
      <c r="P490" s="3634"/>
      <c r="Q490" s="3634"/>
      <c r="R490" s="3634"/>
      <c r="S490" s="3634"/>
      <c r="T490" s="3634"/>
      <c r="U490" s="3634"/>
      <c r="V490" s="3634"/>
      <c r="W490" s="3634"/>
      <c r="X490" s="3634"/>
      <c r="Y490" s="3634"/>
      <c r="Z490" s="3634"/>
      <c r="AA490" s="3634"/>
      <c r="AB490" s="3634"/>
      <c r="AC490" s="3634"/>
      <c r="AD490" s="3634"/>
      <c r="AE490" s="3634"/>
      <c r="AF490" s="3634"/>
      <c r="AG490" s="3634"/>
      <c r="AH490" s="3634"/>
      <c r="AI490" s="3634"/>
      <c r="AJ490" s="3634"/>
      <c r="AK490" s="3634"/>
      <c r="AL490" s="3634"/>
      <c r="AM490" s="3634"/>
      <c r="AN490" s="3634"/>
      <c r="AO490" s="3634"/>
      <c r="AP490" s="3634"/>
      <c r="AQ490" s="3634"/>
      <c r="AR490" s="3634"/>
      <c r="AS490" s="3634"/>
      <c r="AT490" s="3634"/>
      <c r="AU490" s="3634"/>
      <c r="AV490" s="3634"/>
      <c r="AW490" s="3634"/>
      <c r="AX490" s="3634"/>
      <c r="AY490" s="3323"/>
      <c r="AZ490" s="3324"/>
      <c r="BA490" s="3013"/>
      <c r="BB490" s="3634"/>
      <c r="BC490" s="3634"/>
      <c r="BD490" s="3634"/>
      <c r="BE490" s="3634"/>
      <c r="BF490" s="3634"/>
      <c r="BG490" s="3634"/>
      <c r="BH490" s="3634"/>
      <c r="BI490" s="3634"/>
      <c r="BJ490" s="3634"/>
      <c r="BK490" s="3634"/>
      <c r="BL490" s="3634"/>
    </row>
    <row r="491" spans="4:64">
      <c r="D491" s="3634"/>
      <c r="E491" s="3634"/>
      <c r="F491" s="3634"/>
      <c r="G491" s="3634"/>
      <c r="H491" s="3634"/>
      <c r="I491" s="3634"/>
      <c r="J491" s="3634"/>
      <c r="K491" s="3634"/>
      <c r="L491" s="3634"/>
      <c r="M491" s="3634"/>
      <c r="N491" s="3634"/>
      <c r="O491" s="3634"/>
      <c r="P491" s="3634"/>
      <c r="Q491" s="3634"/>
      <c r="R491" s="3634"/>
      <c r="S491" s="3634"/>
      <c r="T491" s="3634"/>
      <c r="U491" s="3634"/>
      <c r="V491" s="3634"/>
      <c r="W491" s="3634"/>
      <c r="X491" s="3634"/>
      <c r="Y491" s="3634"/>
      <c r="Z491" s="3634"/>
      <c r="AA491" s="3634"/>
      <c r="AB491" s="3634"/>
      <c r="AC491" s="3634"/>
      <c r="AD491" s="3634"/>
      <c r="AE491" s="3634"/>
      <c r="AF491" s="3634"/>
      <c r="AG491" s="3634"/>
      <c r="AH491" s="3634"/>
      <c r="AI491" s="3634"/>
      <c r="AJ491" s="3634"/>
      <c r="AK491" s="3634"/>
      <c r="AL491" s="3634"/>
      <c r="AM491" s="3634"/>
      <c r="AN491" s="3634"/>
      <c r="AO491" s="3634"/>
      <c r="AP491" s="3634"/>
      <c r="AQ491" s="3634"/>
      <c r="AR491" s="3634"/>
      <c r="AS491" s="3634"/>
      <c r="AT491" s="3634"/>
      <c r="AU491" s="3634"/>
      <c r="AV491" s="3634"/>
      <c r="AW491" s="3634"/>
      <c r="AX491" s="3634"/>
      <c r="AY491" s="3323"/>
      <c r="AZ491" s="3324"/>
      <c r="BA491" s="3012"/>
      <c r="BB491" s="3634"/>
      <c r="BC491" s="3634"/>
      <c r="BD491" s="3634"/>
      <c r="BE491" s="3634"/>
      <c r="BF491" s="3634"/>
      <c r="BG491" s="3634"/>
      <c r="BH491" s="3634"/>
      <c r="BI491" s="3634"/>
      <c r="BJ491" s="3634"/>
      <c r="BK491" s="3634"/>
      <c r="BL491" s="3634"/>
    </row>
    <row r="492" spans="4:64">
      <c r="D492" s="3634"/>
      <c r="E492" s="3634"/>
      <c r="F492" s="3634"/>
      <c r="G492" s="3634"/>
      <c r="H492" s="3634"/>
      <c r="I492" s="3634"/>
      <c r="J492" s="3634"/>
      <c r="K492" s="3634"/>
      <c r="L492" s="3634"/>
      <c r="M492" s="3634"/>
      <c r="N492" s="3634"/>
      <c r="O492" s="3634"/>
      <c r="P492" s="3634"/>
      <c r="Q492" s="3634"/>
      <c r="R492" s="3634"/>
      <c r="S492" s="3634"/>
      <c r="T492" s="3634"/>
      <c r="U492" s="3634"/>
      <c r="V492" s="3634"/>
      <c r="W492" s="3634"/>
      <c r="X492" s="3634"/>
      <c r="Y492" s="3634"/>
      <c r="Z492" s="3634"/>
      <c r="AA492" s="3634"/>
      <c r="AB492" s="3634"/>
      <c r="AC492" s="3634"/>
      <c r="AD492" s="3634"/>
      <c r="AE492" s="3634"/>
      <c r="AF492" s="3634"/>
      <c r="AG492" s="3634"/>
      <c r="AH492" s="3634"/>
      <c r="AI492" s="3634"/>
      <c r="AJ492" s="3634"/>
      <c r="AK492" s="3634"/>
      <c r="AL492" s="3634"/>
      <c r="AM492" s="3634"/>
      <c r="AN492" s="3634"/>
      <c r="AO492" s="3634"/>
      <c r="AP492" s="3634"/>
      <c r="AQ492" s="3634"/>
      <c r="AR492" s="3634"/>
      <c r="AS492" s="3634"/>
      <c r="AT492" s="3634"/>
      <c r="AU492" s="3634"/>
      <c r="AV492" s="3634"/>
      <c r="AW492" s="3634"/>
      <c r="AX492" s="3634"/>
      <c r="AY492" s="3326"/>
      <c r="AZ492" s="3324"/>
      <c r="BA492" s="3012"/>
      <c r="BB492" s="3634"/>
      <c r="BC492" s="3634"/>
      <c r="BD492" s="3634"/>
      <c r="BE492" s="3634"/>
      <c r="BF492" s="3634"/>
      <c r="BG492" s="3634"/>
      <c r="BH492" s="3634"/>
      <c r="BI492" s="3634"/>
      <c r="BJ492" s="3634"/>
      <c r="BK492" s="3634"/>
      <c r="BL492" s="3634"/>
    </row>
    <row r="493" spans="4:64">
      <c r="D493" s="3634"/>
      <c r="E493" s="3634"/>
      <c r="F493" s="3634"/>
      <c r="G493" s="3634"/>
      <c r="H493" s="3634"/>
      <c r="I493" s="3634"/>
      <c r="J493" s="3634"/>
      <c r="K493" s="3634"/>
      <c r="L493" s="3634"/>
      <c r="M493" s="3634"/>
      <c r="N493" s="3634"/>
      <c r="O493" s="3634"/>
      <c r="P493" s="3634"/>
      <c r="Q493" s="3634"/>
      <c r="R493" s="3634"/>
      <c r="S493" s="3634"/>
      <c r="T493" s="3634"/>
      <c r="U493" s="3634"/>
      <c r="V493" s="3634"/>
      <c r="W493" s="3634"/>
      <c r="X493" s="3634"/>
      <c r="Y493" s="3634"/>
      <c r="Z493" s="3634"/>
      <c r="AA493" s="3634"/>
      <c r="AB493" s="3634"/>
      <c r="AC493" s="3634"/>
      <c r="AD493" s="3634"/>
      <c r="AE493" s="3634"/>
      <c r="AF493" s="3634"/>
      <c r="AG493" s="3634"/>
      <c r="AH493" s="3634"/>
      <c r="AI493" s="3634"/>
      <c r="AJ493" s="3634"/>
      <c r="AK493" s="3634"/>
      <c r="AL493" s="3634"/>
      <c r="AM493" s="3634"/>
      <c r="AN493" s="3634"/>
      <c r="AO493" s="3634"/>
      <c r="AP493" s="3634"/>
      <c r="AQ493" s="3634"/>
      <c r="AR493" s="3634"/>
      <c r="AS493" s="3634"/>
      <c r="AT493" s="3634"/>
      <c r="AU493" s="3634"/>
      <c r="AV493" s="3634"/>
      <c r="AW493" s="3634"/>
      <c r="AX493" s="3634"/>
      <c r="AY493" s="3323"/>
      <c r="AZ493" s="3324"/>
      <c r="BA493" s="3012"/>
      <c r="BB493" s="3634"/>
      <c r="BC493" s="3634"/>
      <c r="BD493" s="3634"/>
      <c r="BE493" s="3634"/>
      <c r="BF493" s="3634"/>
      <c r="BG493" s="3634"/>
      <c r="BH493" s="3634"/>
      <c r="BI493" s="3634"/>
      <c r="BJ493" s="3634"/>
      <c r="BK493" s="3634"/>
      <c r="BL493" s="3634"/>
    </row>
    <row r="494" spans="4:64">
      <c r="D494" s="3634"/>
      <c r="E494" s="3634"/>
      <c r="F494" s="3634"/>
      <c r="G494" s="3634"/>
      <c r="H494" s="3634"/>
      <c r="I494" s="3634"/>
      <c r="J494" s="3634"/>
      <c r="K494" s="3634"/>
      <c r="L494" s="3634"/>
      <c r="M494" s="3634"/>
      <c r="N494" s="3634"/>
      <c r="O494" s="3634"/>
      <c r="P494" s="3634"/>
      <c r="Q494" s="3634"/>
      <c r="R494" s="3634"/>
      <c r="S494" s="3634"/>
      <c r="T494" s="3634"/>
      <c r="U494" s="3634"/>
      <c r="V494" s="3634"/>
      <c r="W494" s="3634"/>
      <c r="X494" s="3634"/>
      <c r="Y494" s="3634"/>
      <c r="Z494" s="3634"/>
      <c r="AA494" s="3634"/>
      <c r="AB494" s="3634"/>
      <c r="AC494" s="3634"/>
      <c r="AD494" s="3634"/>
      <c r="AE494" s="3634"/>
      <c r="AF494" s="3634"/>
      <c r="AG494" s="3634"/>
      <c r="AH494" s="3634"/>
      <c r="AI494" s="3634"/>
      <c r="AJ494" s="3634"/>
      <c r="AK494" s="3634"/>
      <c r="AL494" s="3634"/>
      <c r="AM494" s="3634"/>
      <c r="AN494" s="3634"/>
      <c r="AO494" s="3634"/>
      <c r="AP494" s="3634"/>
      <c r="AQ494" s="3634"/>
      <c r="AR494" s="3634"/>
      <c r="AS494" s="3634"/>
      <c r="AT494" s="3634"/>
      <c r="AU494" s="3634"/>
      <c r="AV494" s="3634"/>
      <c r="AW494" s="3634"/>
      <c r="AX494" s="3634"/>
      <c r="AY494" s="3326"/>
      <c r="AZ494" s="3324"/>
      <c r="BA494" s="3012"/>
      <c r="BB494" s="3634"/>
      <c r="BC494" s="3634"/>
      <c r="BD494" s="3634"/>
      <c r="BE494" s="3634"/>
      <c r="BF494" s="3634"/>
      <c r="BG494" s="3634"/>
      <c r="BH494" s="3634"/>
      <c r="BI494" s="3634"/>
      <c r="BJ494" s="3634"/>
      <c r="BK494" s="3634"/>
      <c r="BL494" s="3634"/>
    </row>
    <row r="495" spans="4:64">
      <c r="AY495" s="3326"/>
      <c r="AZ495" s="3324"/>
      <c r="BA495" s="3012"/>
    </row>
    <row r="496" spans="4:64">
      <c r="AY496" s="3326"/>
      <c r="AZ496" s="3324"/>
      <c r="BA496" s="3012"/>
    </row>
    <row r="497" spans="51:53">
      <c r="AY497" s="3326"/>
      <c r="AZ497" s="3324"/>
      <c r="BA497" s="3012"/>
    </row>
    <row r="498" spans="51:53">
      <c r="AY498" s="3326"/>
    </row>
    <row r="499" spans="51:53">
      <c r="AY499" s="3326"/>
    </row>
    <row r="500" spans="51:53">
      <c r="AY500" s="3323"/>
    </row>
    <row r="501" spans="51:53">
      <c r="AY501" s="3323"/>
    </row>
    <row r="502" spans="51:53">
      <c r="AY502" s="3323"/>
    </row>
    <row r="503" spans="51:53">
      <c r="AY503" s="3323"/>
    </row>
    <row r="504" spans="51:53">
      <c r="AY504" s="3323"/>
    </row>
    <row r="505" spans="51:53">
      <c r="AY505" s="3323"/>
    </row>
    <row r="506" spans="51:53">
      <c r="AY506" s="3326"/>
    </row>
    <row r="507" spans="51:53">
      <c r="AY507" s="3326"/>
    </row>
    <row r="508" spans="51:53">
      <c r="AY508" s="3326"/>
    </row>
    <row r="509" spans="51:53">
      <c r="AY509" s="3326"/>
    </row>
    <row r="510" spans="51:53">
      <c r="AY510" s="3326"/>
    </row>
    <row r="511" spans="51:53">
      <c r="AY511" s="3326"/>
    </row>
    <row r="512" spans="51:53">
      <c r="AY512" s="3323"/>
    </row>
    <row r="513" spans="51:51">
      <c r="AY513" s="3323"/>
    </row>
    <row r="514" spans="51:51">
      <c r="AY514" s="3323"/>
    </row>
    <row r="515" spans="51:51">
      <c r="AY515" s="3323"/>
    </row>
    <row r="516" spans="51:51">
      <c r="AY516" s="3323"/>
    </row>
    <row r="517" spans="51:51">
      <c r="AY517" s="3323"/>
    </row>
    <row r="518" spans="51:51">
      <c r="AY518" s="3323"/>
    </row>
    <row r="519" spans="51:51">
      <c r="AY519" s="3323"/>
    </row>
    <row r="520" spans="51:51">
      <c r="AY520" s="3323"/>
    </row>
    <row r="521" spans="51:51">
      <c r="AY521" s="3323"/>
    </row>
    <row r="522" spans="51:51">
      <c r="AY522" s="3323"/>
    </row>
    <row r="523" spans="51:51">
      <c r="AY523" s="3323"/>
    </row>
    <row r="524" spans="51:51">
      <c r="AY524" s="3323"/>
    </row>
    <row r="525" spans="51:51">
      <c r="AY525" s="3323"/>
    </row>
    <row r="526" spans="51:51">
      <c r="AY526" s="3323"/>
    </row>
    <row r="527" spans="51:51">
      <c r="AY527" s="3323"/>
    </row>
    <row r="528" spans="51:51">
      <c r="AY528" s="3323"/>
    </row>
    <row r="529" spans="51:51">
      <c r="AY529" s="3323"/>
    </row>
    <row r="530" spans="51:51">
      <c r="AY530" s="3323"/>
    </row>
    <row r="531" spans="51:51">
      <c r="AY531" s="3323"/>
    </row>
    <row r="532" spans="51:51">
      <c r="AY532" s="3323"/>
    </row>
    <row r="533" spans="51:51">
      <c r="AY533" s="3323"/>
    </row>
    <row r="534" spans="51:51">
      <c r="AY534" s="3323"/>
    </row>
    <row r="535" spans="51:51">
      <c r="AY535" s="3323"/>
    </row>
    <row r="536" spans="51:51">
      <c r="AY536" s="3323"/>
    </row>
    <row r="537" spans="51:51">
      <c r="AY537" s="3323"/>
    </row>
    <row r="538" spans="51:51">
      <c r="AY538" s="3323"/>
    </row>
    <row r="539" spans="51:51">
      <c r="AY539" s="3323"/>
    </row>
    <row r="540" spans="51:51">
      <c r="AY540" s="3323"/>
    </row>
    <row r="541" spans="51:51">
      <c r="AY541" s="3323"/>
    </row>
    <row r="542" spans="51:51">
      <c r="AY542" s="3323"/>
    </row>
    <row r="543" spans="51:51">
      <c r="AY543" s="3323"/>
    </row>
    <row r="544" spans="51:51">
      <c r="AY544" s="3323"/>
    </row>
    <row r="545" spans="51:51">
      <c r="AY545" s="3323"/>
    </row>
    <row r="546" spans="51:51">
      <c r="AY546" s="3323"/>
    </row>
    <row r="547" spans="51:51">
      <c r="AY547" s="3323"/>
    </row>
    <row r="548" spans="51:51">
      <c r="AY548" s="3323"/>
    </row>
    <row r="549" spans="51:51">
      <c r="AY549" s="3323"/>
    </row>
    <row r="550" spans="51:51">
      <c r="AY550" s="3323"/>
    </row>
    <row r="551" spans="51:51">
      <c r="AY551" s="3323"/>
    </row>
  </sheetData>
  <mergeCells count="31">
    <mergeCell ref="AA15:AA16"/>
    <mergeCell ref="AB15:AB16"/>
    <mergeCell ref="AC15:AC16"/>
    <mergeCell ref="AD15:AD16"/>
    <mergeCell ref="V15:V16"/>
    <mergeCell ref="W15:W16"/>
    <mergeCell ref="X15:X16"/>
    <mergeCell ref="Y15:Y16"/>
    <mergeCell ref="Z15:Z16"/>
    <mergeCell ref="Q15:Q16"/>
    <mergeCell ref="R15:R16"/>
    <mergeCell ref="S15:S16"/>
    <mergeCell ref="T15:T16"/>
    <mergeCell ref="U15:U16"/>
    <mergeCell ref="L15:L16"/>
    <mergeCell ref="M15:M16"/>
    <mergeCell ref="N15:N16"/>
    <mergeCell ref="O15:O16"/>
    <mergeCell ref="P15:P16"/>
    <mergeCell ref="F15:F16"/>
    <mergeCell ref="H15:H16"/>
    <mergeCell ref="I15:I16"/>
    <mergeCell ref="J15:J16"/>
    <mergeCell ref="K15:K16"/>
    <mergeCell ref="BT15:BT16"/>
    <mergeCell ref="BU15:BU16"/>
    <mergeCell ref="BN15:BN16"/>
    <mergeCell ref="BP15:BP16"/>
    <mergeCell ref="BQ15:BQ16"/>
    <mergeCell ref="BR15:BR16"/>
    <mergeCell ref="BS15:BS16"/>
  </mergeCells>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sheetPr>
    <tabColor theme="5"/>
  </sheetPr>
  <dimension ref="B2:AB84"/>
  <sheetViews>
    <sheetView showGridLines="0" zoomScale="80" zoomScaleNormal="80" workbookViewId="0">
      <selection activeCell="D17" sqref="D17"/>
    </sheetView>
  </sheetViews>
  <sheetFormatPr defaultRowHeight="15"/>
  <cols>
    <col min="1" max="2" width="2.140625" style="3889" customWidth="1"/>
    <col min="3" max="3" width="14.42578125" style="3889" bestFit="1" customWidth="1"/>
    <col min="4" max="4" width="59.85546875" style="3889" customWidth="1"/>
    <col min="5" max="5" width="13.5703125" style="3889" customWidth="1"/>
    <col min="6" max="6" width="11.7109375" style="3889" customWidth="1"/>
    <col min="7" max="7" width="2.140625" style="3889" customWidth="1"/>
    <col min="8" max="16384" width="9.140625" style="3889"/>
  </cols>
  <sheetData>
    <row r="2" spans="2:28" ht="15.75">
      <c r="B2" s="3295" t="s">
        <v>3175</v>
      </c>
      <c r="C2" s="3296"/>
      <c r="D2" s="3296"/>
      <c r="E2" s="3296"/>
      <c r="F2" s="3296"/>
      <c r="G2" s="3296"/>
      <c r="H2" s="3297"/>
      <c r="I2" s="3297"/>
      <c r="J2" s="3297"/>
      <c r="K2" s="3297"/>
      <c r="L2" s="3297"/>
      <c r="M2" s="3297"/>
      <c r="N2" s="3297"/>
      <c r="O2" s="3297"/>
      <c r="P2" s="3297"/>
      <c r="Q2" s="3298"/>
      <c r="S2" s="3297"/>
      <c r="T2" s="3297"/>
      <c r="U2" s="3297"/>
      <c r="V2" s="3297"/>
      <c r="W2" s="3297"/>
      <c r="X2" s="3297"/>
      <c r="Y2" s="3297"/>
      <c r="Z2" s="3297"/>
      <c r="AA2" s="3297"/>
      <c r="AB2" s="3298"/>
    </row>
    <row r="3" spans="2:28" ht="15.75">
      <c r="B3" s="3299"/>
      <c r="C3" s="3300"/>
      <c r="D3" s="3300"/>
      <c r="E3" s="3300"/>
      <c r="F3" s="3300"/>
      <c r="G3" s="3300"/>
      <c r="H3" s="3301"/>
      <c r="I3" s="3301"/>
      <c r="J3" s="3301"/>
      <c r="K3" s="3301"/>
      <c r="L3" s="3301"/>
      <c r="M3" s="3301"/>
      <c r="N3" s="3301"/>
      <c r="O3" s="3301"/>
      <c r="P3" s="3301"/>
      <c r="Q3" s="3306" t="str">
        <f>Preferences.AreaUnits</f>
        <v>km^2</v>
      </c>
      <c r="S3" s="3301"/>
      <c r="T3" s="3301"/>
      <c r="U3" s="3301"/>
      <c r="V3" s="3301"/>
      <c r="W3" s="3301"/>
      <c r="X3" s="3301"/>
      <c r="Y3" s="3301"/>
      <c r="Z3" s="3301"/>
      <c r="AA3" s="3301"/>
      <c r="AB3" s="3306"/>
    </row>
    <row r="4" spans="2:28">
      <c r="B4" s="3303"/>
      <c r="C4" s="3311" t="s">
        <v>887</v>
      </c>
      <c r="D4" s="3312" t="s">
        <v>2760</v>
      </c>
      <c r="E4" s="3307"/>
      <c r="F4" s="3313"/>
      <c r="G4" s="3313"/>
      <c r="H4" s="3313">
        <v>2013</v>
      </c>
      <c r="I4" s="3313">
        <v>2015</v>
      </c>
      <c r="J4" s="3313">
        <v>2020</v>
      </c>
      <c r="K4" s="3313">
        <v>2025</v>
      </c>
      <c r="L4" s="3313">
        <v>2030</v>
      </c>
      <c r="M4" s="3313">
        <v>2035</v>
      </c>
      <c r="N4" s="3313">
        <v>2040</v>
      </c>
      <c r="O4" s="3313">
        <v>2045</v>
      </c>
      <c r="P4" s="3314">
        <v>2050</v>
      </c>
      <c r="Q4" s="3306"/>
      <c r="S4" s="3313"/>
      <c r="T4" s="3313"/>
      <c r="U4" s="3313"/>
      <c r="V4" s="3313"/>
      <c r="W4" s="3313"/>
      <c r="X4" s="3313"/>
      <c r="Y4" s="3313"/>
      <c r="Z4" s="3313"/>
      <c r="AA4" s="3314"/>
      <c r="AB4" s="3306"/>
    </row>
    <row r="5" spans="2:28" ht="6" customHeight="1">
      <c r="B5" s="3303"/>
      <c r="C5" s="3307"/>
      <c r="D5" s="3304"/>
      <c r="E5" s="3304"/>
      <c r="F5" s="3305"/>
      <c r="G5" s="3305"/>
      <c r="H5" s="3305"/>
      <c r="I5" s="3305"/>
      <c r="J5" s="3305"/>
      <c r="K5" s="3305"/>
      <c r="L5" s="3305"/>
      <c r="M5" s="3305"/>
      <c r="N5" s="3305"/>
      <c r="O5" s="3305"/>
      <c r="P5" s="3305"/>
      <c r="Q5" s="3306"/>
      <c r="S5" s="3305"/>
      <c r="T5" s="3305"/>
      <c r="U5" s="3305"/>
      <c r="V5" s="3305"/>
      <c r="W5" s="3305"/>
      <c r="X5" s="3305"/>
      <c r="Y5" s="3305"/>
      <c r="Z5" s="3305"/>
      <c r="AA5" s="3305"/>
      <c r="AB5" s="3306"/>
    </row>
    <row r="6" spans="2:28">
      <c r="B6" s="3303"/>
      <c r="C6" s="3315" t="s">
        <v>520</v>
      </c>
      <c r="D6" s="3318" t="s">
        <v>3313</v>
      </c>
      <c r="E6" s="3316"/>
      <c r="F6" s="3317"/>
      <c r="G6" s="3316"/>
      <c r="H6" s="3318">
        <f ca="1">INDEX(INDIRECT($C6&amp;".Info["&amp;H$4&amp;"]"),MATCH($C$4,INDIRECT($C6&amp;".Info[Vector]"),0))</f>
        <v>56.000000000000007</v>
      </c>
      <c r="I6" s="3318">
        <f ca="1">INDEX(INDIRECT($C6&amp;".Info["&amp;I$4&amp;"]"),MATCH($C$4,INDIRECT($C6&amp;".Info[Vector]"),0))</f>
        <v>70.144444444444431</v>
      </c>
      <c r="J6" s="3318">
        <f t="shared" ref="J6:P12" ca="1" si="0">INDEX(INDIRECT($C6&amp;".Info["&amp;J$4&amp;"]"),MATCH($C$4,INDIRECT($C6&amp;".Info[Vector]"),0))</f>
        <v>114.39444444444445</v>
      </c>
      <c r="K6" s="3318">
        <f t="shared" ca="1" si="0"/>
        <v>168.47777777777776</v>
      </c>
      <c r="L6" s="3318">
        <f t="shared" ca="1" si="0"/>
        <v>250.42222222222216</v>
      </c>
      <c r="M6" s="3318">
        <f t="shared" ca="1" si="0"/>
        <v>283.2</v>
      </c>
      <c r="N6" s="3318">
        <f t="shared" ca="1" si="0"/>
        <v>283.2</v>
      </c>
      <c r="O6" s="3318">
        <f t="shared" ca="1" si="0"/>
        <v>283.2</v>
      </c>
      <c r="P6" s="3318">
        <f t="shared" ca="1" si="0"/>
        <v>283.2</v>
      </c>
      <c r="Q6" s="3306"/>
      <c r="S6" s="3318"/>
      <c r="T6" s="3318"/>
      <c r="U6" s="3318"/>
      <c r="V6" s="3318"/>
      <c r="W6" s="3318"/>
      <c r="X6" s="3318"/>
      <c r="Y6" s="3318"/>
      <c r="Z6" s="3318"/>
      <c r="AA6" s="3318"/>
      <c r="AB6" s="3306"/>
    </row>
    <row r="7" spans="2:28">
      <c r="B7" s="3303"/>
      <c r="C7" s="3315" t="s">
        <v>524</v>
      </c>
      <c r="D7" s="3318" t="s">
        <v>3250</v>
      </c>
      <c r="E7" s="3316"/>
      <c r="F7" s="3317"/>
      <c r="G7" s="3316"/>
      <c r="H7" s="3318">
        <f t="shared" ref="H7:H12" ca="1" si="1">INDEX(INDIRECT($C7&amp;".Info["&amp;H$4&amp;"]"),MATCH($C$4,INDIRECT($C7&amp;".Info[Vector]"),0))</f>
        <v>7.5409090909090883</v>
      </c>
      <c r="I7" s="3318">
        <f t="shared" ref="I7:I12" ca="1" si="2">INDEX(INDIRECT($C7&amp;".Info["&amp;I$4&amp;"]"),MATCH($C$4,INDIRECT($C7&amp;".Info[Vector]"),0))</f>
        <v>7.5409090909090883</v>
      </c>
      <c r="J7" s="3318">
        <f t="shared" ca="1" si="0"/>
        <v>7.5409090909090883</v>
      </c>
      <c r="K7" s="3318">
        <f t="shared" ca="1" si="0"/>
        <v>7.5409090909090883</v>
      </c>
      <c r="L7" s="3318">
        <f t="shared" ca="1" si="0"/>
        <v>7.5409090909090883</v>
      </c>
      <c r="M7" s="3318">
        <f t="shared" ca="1" si="0"/>
        <v>7.5409090909090883</v>
      </c>
      <c r="N7" s="3318">
        <f t="shared" ca="1" si="0"/>
        <v>7.5409090909090883</v>
      </c>
      <c r="O7" s="3318">
        <f t="shared" ca="1" si="0"/>
        <v>7.5409090909090883</v>
      </c>
      <c r="P7" s="3318">
        <f t="shared" ca="1" si="0"/>
        <v>7.5409090909090883</v>
      </c>
      <c r="Q7" s="3306"/>
      <c r="S7" s="3318"/>
      <c r="T7" s="3318"/>
      <c r="U7" s="3318"/>
      <c r="V7" s="3318"/>
      <c r="W7" s="3318"/>
      <c r="X7" s="3318"/>
      <c r="Y7" s="3318"/>
      <c r="Z7" s="3318"/>
      <c r="AA7" s="3318"/>
      <c r="AB7" s="3306"/>
    </row>
    <row r="8" spans="2:28">
      <c r="B8" s="3303"/>
      <c r="C8" s="3315" t="s">
        <v>534</v>
      </c>
      <c r="D8" s="3318" t="s">
        <v>1922</v>
      </c>
      <c r="E8" s="3316"/>
      <c r="F8" s="3317"/>
      <c r="G8" s="3316"/>
      <c r="H8" s="3318">
        <f t="shared" ca="1" si="1"/>
        <v>0</v>
      </c>
      <c r="I8" s="3318">
        <f t="shared" ca="1" si="2"/>
        <v>0</v>
      </c>
      <c r="J8" s="3318">
        <f t="shared" ca="1" si="0"/>
        <v>4.0416666666666661</v>
      </c>
      <c r="K8" s="3318">
        <f t="shared" ca="1" si="0"/>
        <v>6.4666666666666668</v>
      </c>
      <c r="L8" s="3318">
        <f t="shared" ca="1" si="0"/>
        <v>9.6999999999999975</v>
      </c>
      <c r="M8" s="3318">
        <f t="shared" ca="1" si="0"/>
        <v>14.549999999999999</v>
      </c>
      <c r="N8" s="3318">
        <f t="shared" ca="1" si="0"/>
        <v>19.399999999999995</v>
      </c>
      <c r="O8" s="3318">
        <f t="shared" ca="1" si="0"/>
        <v>21.824999999999996</v>
      </c>
      <c r="P8" s="3318">
        <f t="shared" ca="1" si="0"/>
        <v>24.249999999999996</v>
      </c>
      <c r="Q8" s="3306"/>
      <c r="S8" s="3318"/>
      <c r="T8" s="3318"/>
      <c r="U8" s="3318"/>
      <c r="V8" s="3318"/>
      <c r="W8" s="3318"/>
      <c r="X8" s="3318"/>
      <c r="Y8" s="3318"/>
      <c r="Z8" s="3318"/>
      <c r="AA8" s="3318"/>
      <c r="AB8" s="3306"/>
    </row>
    <row r="9" spans="2:28">
      <c r="B9" s="3303"/>
      <c r="C9" s="3315" t="s">
        <v>25</v>
      </c>
      <c r="D9" s="3318" t="s">
        <v>2747</v>
      </c>
      <c r="E9" s="3316"/>
      <c r="F9" s="3317"/>
      <c r="G9" s="3316"/>
      <c r="H9" s="3318">
        <f t="shared" ca="1" si="1"/>
        <v>0.13381209031318281</v>
      </c>
      <c r="I9" s="3318">
        <f t="shared" ca="1" si="2"/>
        <v>0.96261493898519346</v>
      </c>
      <c r="J9" s="3318">
        <f t="shared" ca="1" si="0"/>
        <v>1.8186124430257216</v>
      </c>
      <c r="K9" s="3318">
        <f t="shared" ca="1" si="0"/>
        <v>2.8680082210925013</v>
      </c>
      <c r="L9" s="3318">
        <f t="shared" ca="1" si="0"/>
        <v>4.0001105160741819</v>
      </c>
      <c r="M9" s="3318">
        <f t="shared" ca="1" si="0"/>
        <v>5.2326916039874289</v>
      </c>
      <c r="N9" s="3318">
        <f t="shared" ca="1" si="0"/>
        <v>6.5727901645174329</v>
      </c>
      <c r="O9" s="3318">
        <f t="shared" ca="1" si="0"/>
        <v>9.1527486721328675</v>
      </c>
      <c r="P9" s="3318">
        <f t="shared" ca="1" si="0"/>
        <v>11.952553396430703</v>
      </c>
      <c r="Q9" s="3306"/>
      <c r="S9" s="3318"/>
      <c r="T9" s="3318"/>
      <c r="U9" s="3318"/>
      <c r="V9" s="3318"/>
      <c r="W9" s="3318"/>
      <c r="X9" s="3318"/>
      <c r="Y9" s="3318"/>
      <c r="Z9" s="3318"/>
      <c r="AA9" s="3318"/>
      <c r="AB9" s="3306"/>
    </row>
    <row r="10" spans="2:28">
      <c r="B10" s="3303"/>
      <c r="C10" s="3315" t="s">
        <v>536</v>
      </c>
      <c r="D10" s="3318" t="s">
        <v>3176</v>
      </c>
      <c r="E10" s="3316"/>
      <c r="F10" s="3317"/>
      <c r="G10" s="3316"/>
      <c r="H10" s="3318">
        <f t="shared" ca="1" si="1"/>
        <v>0</v>
      </c>
      <c r="I10" s="3318">
        <f t="shared" ca="1" si="2"/>
        <v>0</v>
      </c>
      <c r="J10" s="3318">
        <f t="shared" ca="1" si="0"/>
        <v>47.999999999999993</v>
      </c>
      <c r="K10" s="3318">
        <f t="shared" ca="1" si="0"/>
        <v>47.999999999999993</v>
      </c>
      <c r="L10" s="3318">
        <f t="shared" ca="1" si="0"/>
        <v>47.999999999999993</v>
      </c>
      <c r="M10" s="3318">
        <f t="shared" ca="1" si="0"/>
        <v>87.999999999999815</v>
      </c>
      <c r="N10" s="3318">
        <f t="shared" ca="1" si="0"/>
        <v>87.999999999999815</v>
      </c>
      <c r="O10" s="3318">
        <f t="shared" ca="1" si="0"/>
        <v>95.999999999999986</v>
      </c>
      <c r="P10" s="3318">
        <f t="shared" ca="1" si="0"/>
        <v>95.999999999999986</v>
      </c>
      <c r="Q10" s="3306"/>
      <c r="S10" s="3318"/>
      <c r="T10" s="3318"/>
      <c r="U10" s="3318"/>
      <c r="V10" s="3318"/>
      <c r="W10" s="3318"/>
      <c r="X10" s="3318"/>
      <c r="Y10" s="3318"/>
      <c r="Z10" s="3318"/>
      <c r="AA10" s="3318"/>
      <c r="AB10" s="3306"/>
    </row>
    <row r="11" spans="2:28">
      <c r="B11" s="3303"/>
      <c r="C11" s="3315" t="s">
        <v>3177</v>
      </c>
      <c r="D11" s="3318" t="s">
        <v>2094</v>
      </c>
      <c r="E11" s="3316"/>
      <c r="F11" s="3317"/>
      <c r="G11" s="3316"/>
      <c r="H11" s="3318">
        <f t="shared" ca="1" si="1"/>
        <v>156</v>
      </c>
      <c r="I11" s="3318">
        <f t="shared" ca="1" si="2"/>
        <v>701.36694198511827</v>
      </c>
      <c r="J11" s="3318">
        <f t="shared" ca="1" si="0"/>
        <v>2064.7842969479088</v>
      </c>
      <c r="K11" s="3318">
        <f t="shared" ca="1" si="0"/>
        <v>3428.2016519107051</v>
      </c>
      <c r="L11" s="3318">
        <f t="shared" ca="1" si="0"/>
        <v>4791.6190068734986</v>
      </c>
      <c r="M11" s="3318">
        <f t="shared" ca="1" si="0"/>
        <v>6155.0363618362953</v>
      </c>
      <c r="N11" s="3318">
        <f t="shared" ca="1" si="0"/>
        <v>7518.4537167990902</v>
      </c>
      <c r="O11" s="3318">
        <f t="shared" ca="1" si="0"/>
        <v>8881.8710717618851</v>
      </c>
      <c r="P11" s="3318">
        <f t="shared" ca="1" si="0"/>
        <v>10245.288426724681</v>
      </c>
      <c r="Q11" s="3306"/>
      <c r="S11" s="3318"/>
      <c r="T11" s="3318"/>
      <c r="U11" s="3318"/>
      <c r="V11" s="3318"/>
      <c r="W11" s="3318"/>
      <c r="X11" s="3318"/>
      <c r="Y11" s="3318"/>
      <c r="Z11" s="3318"/>
      <c r="AA11" s="3318"/>
      <c r="AB11" s="3306"/>
    </row>
    <row r="12" spans="2:28">
      <c r="B12" s="3303"/>
      <c r="C12" s="3315" t="s">
        <v>3178</v>
      </c>
      <c r="D12" s="3318" t="s">
        <v>2096</v>
      </c>
      <c r="E12" s="3316"/>
      <c r="F12" s="3317"/>
      <c r="G12" s="3316"/>
      <c r="H12" s="3318">
        <f t="shared" ca="1" si="1"/>
        <v>7566</v>
      </c>
      <c r="I12" s="3318">
        <f t="shared" ca="1" si="2"/>
        <v>7712.1161544525003</v>
      </c>
      <c r="J12" s="3318">
        <f t="shared" ca="1" si="0"/>
        <v>8077.40654058376</v>
      </c>
      <c r="K12" s="3318">
        <f t="shared" ca="1" si="0"/>
        <v>8442.6969267150198</v>
      </c>
      <c r="L12" s="3318">
        <f t="shared" ca="1" si="0"/>
        <v>8807.9873128462696</v>
      </c>
      <c r="M12" s="3318">
        <f t="shared" ca="1" si="0"/>
        <v>9173.2776989775302</v>
      </c>
      <c r="N12" s="3318">
        <f t="shared" ca="1" si="0"/>
        <v>9538.5680851087891</v>
      </c>
      <c r="O12" s="3318">
        <f t="shared" ca="1" si="0"/>
        <v>9903.8584712400407</v>
      </c>
      <c r="P12" s="3318">
        <f t="shared" ca="1" si="0"/>
        <v>10269.1488573713</v>
      </c>
      <c r="Q12" s="3306"/>
      <c r="S12" s="3318"/>
      <c r="T12" s="3318"/>
      <c r="U12" s="3318"/>
      <c r="V12" s="3318"/>
      <c r="W12" s="3318"/>
      <c r="X12" s="3318"/>
      <c r="Y12" s="3318"/>
      <c r="Z12" s="3318"/>
      <c r="AA12" s="3318"/>
      <c r="AB12" s="3306"/>
    </row>
    <row r="13" spans="2:28">
      <c r="B13" s="3303"/>
      <c r="C13" s="3315"/>
      <c r="D13" s="4006" t="s">
        <v>3310</v>
      </c>
      <c r="E13" s="4008"/>
      <c r="F13" s="3317"/>
      <c r="G13" s="4008"/>
      <c r="H13" s="4007">
        <f>(Unit.km2)*68890</f>
        <v>68890</v>
      </c>
      <c r="I13" s="4007"/>
      <c r="J13" s="4007"/>
      <c r="K13" s="4007"/>
      <c r="L13" s="4007"/>
      <c r="M13" s="4007"/>
      <c r="N13" s="4007"/>
      <c r="O13" s="4007"/>
      <c r="P13" s="4007"/>
      <c r="Q13" s="3306" t="str">
        <f>Preferences.AreaUnits</f>
        <v>km^2</v>
      </c>
      <c r="S13" s="3318"/>
      <c r="T13" s="3318"/>
      <c r="U13" s="3318"/>
      <c r="V13" s="3318"/>
      <c r="W13" s="3318"/>
      <c r="X13" s="3318"/>
      <c r="Y13" s="3318"/>
      <c r="Z13" s="3318"/>
      <c r="AA13" s="3318"/>
      <c r="AB13" s="3306"/>
    </row>
    <row r="14" spans="2:28">
      <c r="B14" s="3303"/>
      <c r="C14" s="3311" t="s">
        <v>878</v>
      </c>
      <c r="D14" s="3312" t="s">
        <v>3174</v>
      </c>
      <c r="E14" s="3307"/>
      <c r="F14" s="3313"/>
      <c r="G14" s="3313"/>
      <c r="H14" s="3313">
        <v>2013</v>
      </c>
      <c r="I14" s="3313">
        <v>2015</v>
      </c>
      <c r="J14" s="3313">
        <v>2020</v>
      </c>
      <c r="K14" s="3313">
        <v>2025</v>
      </c>
      <c r="L14" s="3313">
        <v>2030</v>
      </c>
      <c r="M14" s="3313">
        <v>2035</v>
      </c>
      <c r="N14" s="3313">
        <v>2040</v>
      </c>
      <c r="O14" s="3313">
        <v>2045</v>
      </c>
      <c r="P14" s="3314">
        <v>2050</v>
      </c>
      <c r="Q14" s="3306"/>
      <c r="S14" s="3313"/>
      <c r="T14" s="3313"/>
      <c r="U14" s="3313"/>
      <c r="V14" s="3313"/>
      <c r="W14" s="3313"/>
      <c r="X14" s="3313"/>
      <c r="Y14" s="3313"/>
      <c r="Z14" s="3313"/>
      <c r="AA14" s="3314"/>
      <c r="AB14" s="3306"/>
    </row>
    <row r="15" spans="2:28" ht="4.5" customHeight="1">
      <c r="B15" s="3303"/>
      <c r="C15" s="3307"/>
      <c r="D15" s="3304"/>
      <c r="E15" s="3304"/>
      <c r="F15" s="3305"/>
      <c r="G15" s="3305"/>
      <c r="H15" s="3305"/>
      <c r="I15" s="3305"/>
      <c r="J15" s="3305"/>
      <c r="K15" s="3305"/>
      <c r="L15" s="3305"/>
      <c r="M15" s="3305"/>
      <c r="N15" s="3305"/>
      <c r="O15" s="3305"/>
      <c r="P15" s="3305"/>
      <c r="Q15" s="3306"/>
      <c r="S15" s="3305"/>
      <c r="T15" s="3305"/>
      <c r="U15" s="3305"/>
      <c r="V15" s="3305"/>
      <c r="W15" s="3305"/>
      <c r="X15" s="3305"/>
      <c r="Y15" s="3305"/>
      <c r="Z15" s="3305"/>
      <c r="AA15" s="3305"/>
      <c r="AB15" s="3306"/>
    </row>
    <row r="16" spans="2:28">
      <c r="B16" s="3303"/>
      <c r="C16" s="3315" t="s">
        <v>522</v>
      </c>
      <c r="D16" s="3318" t="s">
        <v>3479</v>
      </c>
      <c r="E16" s="3316"/>
      <c r="F16" s="3317"/>
      <c r="G16" s="3316"/>
      <c r="H16" s="3318">
        <f ca="1">INDEX(INDIRECT($C16&amp;".Info["&amp;H$4&amp;"]"),MATCH($C$14,INDIRECT($C16&amp;".Info[Vector]"),0))</f>
        <v>1.0555555555555558</v>
      </c>
      <c r="I16" s="3318">
        <f t="shared" ref="I16:P19" ca="1" si="3">INDEX(INDIRECT($C16&amp;".Info["&amp;I$4&amp;"]"),MATCH($C$14,INDIRECT($C16&amp;".Info[Vector]"),0))</f>
        <v>1.0555555555555558</v>
      </c>
      <c r="J16" s="3318">
        <f t="shared" ca="1" si="3"/>
        <v>1.1111111111111112</v>
      </c>
      <c r="K16" s="3318">
        <f t="shared" ca="1" si="3"/>
        <v>1.1111111111111112</v>
      </c>
      <c r="L16" s="3318">
        <f t="shared" ca="1" si="3"/>
        <v>25.083333333333332</v>
      </c>
      <c r="M16" s="3318">
        <f t="shared" ca="1" si="3"/>
        <v>66.25</v>
      </c>
      <c r="N16" s="3318">
        <f t="shared" ca="1" si="3"/>
        <v>116.25000000000001</v>
      </c>
      <c r="O16" s="3318">
        <f t="shared" ca="1" si="3"/>
        <v>203.75000000000003</v>
      </c>
      <c r="P16" s="3318">
        <f t="shared" ca="1" si="3"/>
        <v>291.25</v>
      </c>
      <c r="Q16" s="3306"/>
      <c r="S16" s="3318"/>
      <c r="T16" s="3318"/>
      <c r="U16" s="3318"/>
      <c r="V16" s="3318"/>
      <c r="W16" s="3318"/>
      <c r="X16" s="3318"/>
      <c r="Y16" s="3318"/>
      <c r="Z16" s="3318"/>
      <c r="AA16" s="3318"/>
      <c r="AB16" s="3306"/>
    </row>
    <row r="17" spans="2:28">
      <c r="B17" s="3303"/>
      <c r="C17" s="3315" t="s">
        <v>629</v>
      </c>
      <c r="D17" s="3318" t="s">
        <v>938</v>
      </c>
      <c r="E17" s="3316"/>
      <c r="F17" s="3317"/>
      <c r="G17" s="3316"/>
      <c r="H17" s="3318">
        <f ca="1">INDEX(INDIRECT($C17&amp;".Info["&amp;H$4&amp;"]"),MATCH($C$14,INDIRECT($C17&amp;".Info[Vector]"),0))</f>
        <v>0</v>
      </c>
      <c r="I17" s="3318">
        <f t="shared" ca="1" si="3"/>
        <v>0</v>
      </c>
      <c r="J17" s="3318">
        <f t="shared" ca="1" si="3"/>
        <v>0</v>
      </c>
      <c r="K17" s="3318">
        <f t="shared" ca="1" si="3"/>
        <v>6.6666666666666661</v>
      </c>
      <c r="L17" s="3318">
        <f t="shared" ca="1" si="3"/>
        <v>13.333333333333332</v>
      </c>
      <c r="M17" s="3318">
        <f t="shared" ca="1" si="3"/>
        <v>33.333333333333329</v>
      </c>
      <c r="N17" s="3318">
        <f t="shared" ca="1" si="3"/>
        <v>33.333333333333329</v>
      </c>
      <c r="O17" s="3318">
        <f t="shared" ca="1" si="3"/>
        <v>53.333333333333329</v>
      </c>
      <c r="P17" s="3318">
        <f t="shared" ca="1" si="3"/>
        <v>53.333333333333329</v>
      </c>
      <c r="Q17" s="3306"/>
      <c r="S17" s="3318"/>
      <c r="T17" s="3318"/>
      <c r="U17" s="3318"/>
      <c r="V17" s="3318"/>
      <c r="W17" s="3318"/>
      <c r="X17" s="3318"/>
      <c r="Y17" s="3318"/>
      <c r="Z17" s="3318"/>
      <c r="AA17" s="3318"/>
      <c r="AB17" s="3306"/>
    </row>
    <row r="18" spans="2:28">
      <c r="B18" s="3303"/>
      <c r="C18" s="3315" t="s">
        <v>631</v>
      </c>
      <c r="D18" s="3318" t="s">
        <v>941</v>
      </c>
      <c r="E18" s="3316"/>
      <c r="F18" s="3317"/>
      <c r="G18" s="3316"/>
      <c r="H18" s="3318">
        <f ca="1">INDEX(INDIRECT($C18&amp;".Info["&amp;H$4&amp;"]"),MATCH($C$14,INDIRECT($C18&amp;".Info[Vector]"),0))</f>
        <v>0</v>
      </c>
      <c r="I18" s="3318">
        <f t="shared" ca="1" si="3"/>
        <v>0</v>
      </c>
      <c r="J18" s="3318">
        <f t="shared" ca="1" si="3"/>
        <v>0</v>
      </c>
      <c r="K18" s="3318">
        <f t="shared" ca="1" si="3"/>
        <v>0</v>
      </c>
      <c r="L18" s="3318">
        <f t="shared" ca="1" si="3"/>
        <v>0</v>
      </c>
      <c r="M18" s="3318">
        <f t="shared" ca="1" si="3"/>
        <v>0</v>
      </c>
      <c r="N18" s="3318">
        <f t="shared" ca="1" si="3"/>
        <v>0</v>
      </c>
      <c r="O18" s="3318">
        <f t="shared" ca="1" si="3"/>
        <v>0</v>
      </c>
      <c r="P18" s="3318">
        <f t="shared" ca="1" si="3"/>
        <v>0</v>
      </c>
      <c r="Q18" s="3306"/>
      <c r="S18" s="3318"/>
      <c r="T18" s="3318" t="s">
        <v>5</v>
      </c>
      <c r="U18" s="3318"/>
      <c r="V18" s="3318"/>
      <c r="W18" s="3318"/>
      <c r="X18" s="3318"/>
      <c r="Y18" s="3318"/>
      <c r="Z18" s="3318"/>
      <c r="AA18" s="3318"/>
      <c r="AB18" s="3306"/>
    </row>
    <row r="19" spans="2:28">
      <c r="B19" s="3303"/>
      <c r="C19" s="3315" t="s">
        <v>506</v>
      </c>
      <c r="D19" s="3318" t="s">
        <v>2953</v>
      </c>
      <c r="E19" s="3316"/>
      <c r="F19" s="3317"/>
      <c r="G19" s="3316"/>
      <c r="H19" s="3318">
        <f ca="1">INDEX(INDIRECT($C19&amp;".Info["&amp;H$4&amp;"]"),MATCH($C$14,INDIRECT($C19&amp;".Info[Vector]"),0))</f>
        <v>0</v>
      </c>
      <c r="I19" s="3318">
        <f t="shared" ca="1" si="3"/>
        <v>0</v>
      </c>
      <c r="J19" s="3318">
        <f t="shared" ca="1" si="3"/>
        <v>0</v>
      </c>
      <c r="K19" s="3318">
        <f t="shared" ca="1" si="3"/>
        <v>10</v>
      </c>
      <c r="L19" s="3318">
        <f t="shared" ca="1" si="3"/>
        <v>100</v>
      </c>
      <c r="M19" s="3318">
        <f t="shared" ca="1" si="3"/>
        <v>400</v>
      </c>
      <c r="N19" s="3318">
        <f t="shared" ca="1" si="3"/>
        <v>1000</v>
      </c>
      <c r="O19" s="3318">
        <f t="shared" ca="1" si="3"/>
        <v>1500</v>
      </c>
      <c r="P19" s="3318">
        <f t="shared" ca="1" si="3"/>
        <v>2100</v>
      </c>
      <c r="Q19" s="3306"/>
      <c r="S19" s="3318"/>
      <c r="T19" s="3318"/>
      <c r="U19" s="3318"/>
      <c r="V19" s="3318"/>
      <c r="W19" s="3318"/>
      <c r="X19" s="3318"/>
      <c r="Y19" s="3318"/>
      <c r="Z19" s="3318"/>
      <c r="AA19" s="3318"/>
      <c r="AB19" s="3306"/>
    </row>
    <row r="20" spans="2:28">
      <c r="B20" s="3303"/>
      <c r="C20" s="3315"/>
      <c r="D20" s="3315"/>
      <c r="E20" s="3316"/>
      <c r="F20" s="3317"/>
      <c r="G20" s="3316"/>
      <c r="H20" s="3318"/>
      <c r="I20" s="3318"/>
      <c r="J20" s="3318"/>
      <c r="K20" s="3318"/>
      <c r="L20" s="3318"/>
      <c r="M20" s="3318"/>
      <c r="N20" s="3318"/>
      <c r="O20" s="3318"/>
      <c r="P20" s="3318"/>
      <c r="Q20" s="3306" t="str">
        <f>Preferences.AreaUnits</f>
        <v>km^2</v>
      </c>
      <c r="S20" s="3318"/>
      <c r="T20" s="3318"/>
      <c r="U20" s="3318"/>
      <c r="V20" s="3318"/>
      <c r="W20" s="3318"/>
      <c r="X20" s="3318"/>
      <c r="Y20" s="3318"/>
      <c r="Z20" s="3318"/>
      <c r="AA20" s="3318"/>
      <c r="AB20" s="3306"/>
    </row>
    <row r="21" spans="2:28">
      <c r="B21" s="3303"/>
      <c r="C21" s="3311" t="s">
        <v>1861</v>
      </c>
      <c r="D21" s="3312" t="s">
        <v>1862</v>
      </c>
      <c r="E21" s="3307"/>
      <c r="F21" s="3313"/>
      <c r="G21" s="3313"/>
      <c r="H21" s="3313">
        <v>2013</v>
      </c>
      <c r="I21" s="3313">
        <v>2015</v>
      </c>
      <c r="J21" s="3313">
        <v>2020</v>
      </c>
      <c r="K21" s="3313">
        <v>2025</v>
      </c>
      <c r="L21" s="3313">
        <v>2030</v>
      </c>
      <c r="M21" s="3313">
        <v>2035</v>
      </c>
      <c r="N21" s="3313">
        <v>2040</v>
      </c>
      <c r="O21" s="3313">
        <v>2045</v>
      </c>
      <c r="P21" s="3314">
        <v>2050</v>
      </c>
      <c r="Q21" s="3306"/>
      <c r="S21" s="3313"/>
      <c r="T21" s="3313"/>
      <c r="U21" s="3313"/>
      <c r="V21" s="3313"/>
      <c r="W21" s="3313"/>
      <c r="X21" s="3313"/>
      <c r="Y21" s="3313"/>
      <c r="Z21" s="3313"/>
      <c r="AA21" s="3314"/>
      <c r="AB21" s="3306"/>
    </row>
    <row r="22" spans="2:28">
      <c r="B22" s="3303"/>
      <c r="C22" s="3307"/>
      <c r="D22" s="3304"/>
      <c r="E22" s="3304"/>
      <c r="F22" s="3305"/>
      <c r="G22" s="3305"/>
      <c r="H22" s="3305"/>
      <c r="I22" s="3305"/>
      <c r="J22" s="3305"/>
      <c r="K22" s="3305"/>
      <c r="L22" s="3305"/>
      <c r="M22" s="3305"/>
      <c r="N22" s="3305"/>
      <c r="O22" s="3305"/>
      <c r="P22" s="3305"/>
      <c r="Q22" s="3306"/>
      <c r="S22" s="3305"/>
      <c r="T22" s="3305"/>
      <c r="U22" s="3305"/>
      <c r="V22" s="3305"/>
      <c r="W22" s="3305"/>
      <c r="X22" s="3305"/>
      <c r="Y22" s="3305"/>
      <c r="Z22" s="3305"/>
      <c r="AA22" s="3305"/>
      <c r="AB22" s="3306"/>
    </row>
    <row r="23" spans="2:28">
      <c r="B23" s="3303"/>
      <c r="C23" s="3315" t="s">
        <v>578</v>
      </c>
      <c r="D23" s="3318" t="s">
        <v>2728</v>
      </c>
      <c r="E23" s="3316"/>
      <c r="F23" s="3317"/>
      <c r="G23" s="3316"/>
      <c r="H23" s="3318">
        <f ca="1">INDEX(INDIRECT($C23&amp;".Info["&amp;H$4&amp;"]"),MATCH($C$21,INDIRECT($C23&amp;".Info[Vector]"),0))</f>
        <v>208.27375972824288</v>
      </c>
      <c r="I23" s="3318">
        <f t="shared" ref="I23:P23" ca="1" si="4">INDEX(INDIRECT($C23&amp;".Info["&amp;I$4&amp;"]"),MATCH($C$21,INDIRECT($C23&amp;".Info[Vector]"),0))</f>
        <v>246.53966081070794</v>
      </c>
      <c r="J23" s="3318">
        <f t="shared" ca="1" si="4"/>
        <v>553.63525743402522</v>
      </c>
      <c r="K23" s="3318">
        <f t="shared" ca="1" si="4"/>
        <v>-2449.6010064208153</v>
      </c>
      <c r="L23" s="3318">
        <f t="shared" ca="1" si="4"/>
        <v>-5319.1247604068494</v>
      </c>
      <c r="M23" s="3318">
        <f t="shared" ca="1" si="4"/>
        <v>-4433.200084834868</v>
      </c>
      <c r="N23" s="3318">
        <f t="shared" ca="1" si="4"/>
        <v>-7528.2445358607119</v>
      </c>
      <c r="O23" s="3318">
        <f t="shared" ca="1" si="4"/>
        <v>-10340.663746694483</v>
      </c>
      <c r="P23" s="3318">
        <f t="shared" ca="1" si="4"/>
        <v>-13220.046071423205</v>
      </c>
      <c r="Q23" s="3306"/>
      <c r="S23" s="3318"/>
      <c r="T23" s="3318"/>
      <c r="U23" s="3318"/>
      <c r="V23" s="3318"/>
      <c r="W23" s="3318"/>
      <c r="X23" s="3318"/>
      <c r="Y23" s="3318"/>
      <c r="Z23" s="3318"/>
      <c r="AA23" s="3318"/>
      <c r="AB23" s="3306"/>
    </row>
    <row r="24" spans="2:28">
      <c r="B24" s="3303"/>
      <c r="C24" s="3315" t="s">
        <v>563</v>
      </c>
      <c r="D24" s="3318" t="s">
        <v>3259</v>
      </c>
      <c r="E24" s="3316"/>
      <c r="F24" s="3317"/>
      <c r="G24" s="3316"/>
      <c r="H24" s="3318"/>
      <c r="I24" s="3318"/>
      <c r="J24" s="3318"/>
      <c r="K24" s="3318"/>
      <c r="L24" s="3318"/>
      <c r="M24" s="3318"/>
      <c r="N24" s="3318"/>
      <c r="O24" s="3318"/>
      <c r="P24" s="3318"/>
      <c r="Q24" s="3306"/>
      <c r="S24" s="3318"/>
      <c r="T24" s="3318"/>
      <c r="U24" s="3318"/>
      <c r="V24" s="3318"/>
      <c r="W24" s="3318"/>
      <c r="X24" s="3318"/>
      <c r="Y24" s="3318"/>
      <c r="Z24" s="3318"/>
      <c r="AA24" s="3318"/>
      <c r="AB24" s="3306"/>
    </row>
    <row r="25" spans="2:28">
      <c r="B25" s="3303"/>
      <c r="C25" s="3315"/>
      <c r="D25" s="3315"/>
      <c r="E25" s="3316"/>
      <c r="F25" s="3317"/>
      <c r="G25" s="3316"/>
      <c r="H25" s="3318"/>
      <c r="I25" s="3318"/>
      <c r="J25" s="3318"/>
      <c r="K25" s="3318"/>
      <c r="L25" s="3318"/>
      <c r="M25" s="3318"/>
      <c r="N25" s="3318"/>
      <c r="O25" s="3318"/>
      <c r="P25" s="3318"/>
      <c r="Q25" s="3306" t="s">
        <v>921</v>
      </c>
      <c r="S25" s="3318"/>
      <c r="T25" s="3318"/>
      <c r="U25" s="3318"/>
      <c r="V25" s="3318"/>
      <c r="W25" s="3318"/>
      <c r="X25" s="3318"/>
      <c r="Y25" s="3318"/>
      <c r="Z25" s="3318"/>
      <c r="AA25" s="3318"/>
      <c r="AB25" s="3306"/>
    </row>
    <row r="26" spans="2:28">
      <c r="B26" s="3303"/>
      <c r="C26" s="3311" t="s">
        <v>935</v>
      </c>
      <c r="D26" s="3312" t="s">
        <v>1864</v>
      </c>
      <c r="E26" s="3316"/>
      <c r="F26" s="3317"/>
      <c r="G26" s="3316"/>
      <c r="H26" s="3313">
        <v>2013</v>
      </c>
      <c r="I26" s="3313">
        <v>2015</v>
      </c>
      <c r="J26" s="3313">
        <v>2020</v>
      </c>
      <c r="K26" s="3313">
        <v>2025</v>
      </c>
      <c r="L26" s="3313">
        <v>2030</v>
      </c>
      <c r="M26" s="3313">
        <v>2035</v>
      </c>
      <c r="N26" s="3313">
        <v>2040</v>
      </c>
      <c r="O26" s="3313">
        <v>2045</v>
      </c>
      <c r="P26" s="3314">
        <v>2050</v>
      </c>
      <c r="Q26" s="3306"/>
      <c r="S26" s="3313"/>
      <c r="T26" s="3313"/>
      <c r="U26" s="3313"/>
      <c r="V26" s="3313"/>
      <c r="W26" s="3313"/>
      <c r="X26" s="3313"/>
      <c r="Y26" s="3313"/>
      <c r="Z26" s="3313"/>
      <c r="AA26" s="3314"/>
      <c r="AB26" s="3306"/>
    </row>
    <row r="27" spans="2:28">
      <c r="B27" s="3303"/>
      <c r="C27" s="3317"/>
      <c r="D27" s="3317"/>
      <c r="E27" s="3317"/>
      <c r="F27" s="3317"/>
      <c r="G27" s="3316"/>
      <c r="H27" s="3305"/>
      <c r="I27" s="3305"/>
      <c r="J27" s="3305"/>
      <c r="K27" s="3305"/>
      <c r="L27" s="3305"/>
      <c r="M27" s="3305"/>
      <c r="N27" s="3305"/>
      <c r="O27" s="3305"/>
      <c r="P27" s="3305"/>
      <c r="Q27" s="3306"/>
      <c r="S27" s="3305"/>
      <c r="T27" s="3305"/>
      <c r="U27" s="3305"/>
      <c r="V27" s="3305"/>
      <c r="W27" s="3305"/>
      <c r="X27" s="3305"/>
      <c r="Y27" s="3305"/>
      <c r="Z27" s="3305"/>
      <c r="AA27" s="3305"/>
      <c r="AB27" s="3306"/>
    </row>
    <row r="28" spans="2:28">
      <c r="B28" s="3303"/>
      <c r="C28" s="3315" t="s">
        <v>627</v>
      </c>
      <c r="D28" s="3318" t="s">
        <v>936</v>
      </c>
      <c r="E28" s="3316"/>
      <c r="F28" s="3317"/>
      <c r="G28" s="3316"/>
      <c r="H28" s="3318">
        <f ca="1">INDEX(INDIRECT($C28&amp;".Info["&amp;H$4&amp;"]"),MATCH($C$26,INDIRECT($C28&amp;".Info[Vector]"),0))</f>
        <v>0</v>
      </c>
      <c r="I28" s="3318">
        <f t="shared" ref="I28:P28" ca="1" si="5">INDEX(INDIRECT($C28&amp;".Info["&amp;I$4&amp;"]"),MATCH($C$26,INDIRECT($C28&amp;".Info[Vector]"),0))</f>
        <v>2.6435952895938475E-2</v>
      </c>
      <c r="J28" s="3318">
        <f t="shared" ca="1" si="5"/>
        <v>8.6842105263157901E-2</v>
      </c>
      <c r="K28" s="3318">
        <f t="shared" ca="1" si="5"/>
        <v>2.6052631578947376</v>
      </c>
      <c r="L28" s="3318">
        <f t="shared" ca="1" si="5"/>
        <v>17.368421052631582</v>
      </c>
      <c r="M28" s="3318">
        <f t="shared" ca="1" si="5"/>
        <v>26.05263157894737</v>
      </c>
      <c r="N28" s="3318">
        <f t="shared" ca="1" si="5"/>
        <v>34.736842105263165</v>
      </c>
      <c r="O28" s="3318">
        <f t="shared" ca="1" si="5"/>
        <v>34.736842105263165</v>
      </c>
      <c r="P28" s="3318">
        <f t="shared" ca="1" si="5"/>
        <v>41.684210526315802</v>
      </c>
      <c r="Q28" s="3306"/>
      <c r="S28" s="3318"/>
      <c r="T28" s="3318"/>
      <c r="U28" s="3318"/>
      <c r="V28" s="3318"/>
      <c r="W28" s="3318"/>
      <c r="X28" s="3318"/>
      <c r="Y28" s="3318"/>
      <c r="Z28" s="3318"/>
      <c r="AA28" s="3318"/>
      <c r="AB28" s="3306"/>
    </row>
    <row r="29" spans="2:28">
      <c r="B29" s="3303"/>
      <c r="C29" s="3315"/>
      <c r="D29" s="3315"/>
      <c r="E29" s="3316"/>
      <c r="F29" s="3317"/>
      <c r="G29" s="3316"/>
      <c r="H29" s="3318"/>
      <c r="I29" s="3318"/>
      <c r="J29" s="3318"/>
      <c r="K29" s="3318"/>
      <c r="L29" s="3318"/>
      <c r="M29" s="3318"/>
      <c r="N29" s="3318"/>
      <c r="O29" s="3318"/>
      <c r="P29" s="3318"/>
      <c r="Q29" s="3306" t="s">
        <v>760</v>
      </c>
      <c r="S29" s="3318"/>
      <c r="T29" s="3318"/>
      <c r="U29" s="3318"/>
      <c r="V29" s="3318"/>
      <c r="W29" s="3318"/>
      <c r="X29" s="3318"/>
      <c r="Y29" s="3318"/>
      <c r="Z29" s="3318"/>
      <c r="AA29" s="3318"/>
      <c r="AB29" s="3306"/>
    </row>
    <row r="30" spans="2:28">
      <c r="B30" s="3303"/>
      <c r="C30" s="3311" t="s">
        <v>316</v>
      </c>
      <c r="D30" s="3312" t="s">
        <v>317</v>
      </c>
      <c r="E30" s="3307"/>
      <c r="F30" s="3313"/>
      <c r="G30" s="3313"/>
      <c r="H30" s="3313">
        <v>2013</v>
      </c>
      <c r="I30" s="3313">
        <v>2015</v>
      </c>
      <c r="J30" s="3313">
        <v>2020</v>
      </c>
      <c r="K30" s="3313">
        <v>2025</v>
      </c>
      <c r="L30" s="3313">
        <v>2030</v>
      </c>
      <c r="M30" s="3313">
        <v>2035</v>
      </c>
      <c r="N30" s="3313">
        <v>2040</v>
      </c>
      <c r="O30" s="3313">
        <v>2045</v>
      </c>
      <c r="P30" s="3314">
        <v>2050</v>
      </c>
      <c r="Q30" s="3306"/>
      <c r="S30" s="3313"/>
      <c r="T30" s="3313"/>
      <c r="U30" s="3313"/>
      <c r="V30" s="3313"/>
      <c r="W30" s="3313"/>
      <c r="X30" s="3313"/>
      <c r="Y30" s="3313"/>
      <c r="Z30" s="3313"/>
      <c r="AA30" s="3314"/>
      <c r="AB30" s="3306"/>
    </row>
    <row r="31" spans="2:28">
      <c r="B31" s="3303"/>
      <c r="C31" s="3307"/>
      <c r="D31" s="3304"/>
      <c r="E31" s="3304"/>
      <c r="F31" s="3305"/>
      <c r="G31" s="3305"/>
      <c r="H31" s="3305"/>
      <c r="I31" s="3305"/>
      <c r="J31" s="3305"/>
      <c r="K31" s="3305"/>
      <c r="L31" s="3305"/>
      <c r="M31" s="3305"/>
      <c r="N31" s="3305"/>
      <c r="O31" s="3305"/>
      <c r="P31" s="3305"/>
      <c r="Q31" s="3306"/>
      <c r="S31" s="3305"/>
      <c r="T31" s="3305"/>
      <c r="U31" s="3305"/>
      <c r="V31" s="3305"/>
      <c r="W31" s="3305"/>
      <c r="X31" s="3305"/>
      <c r="Y31" s="3305"/>
      <c r="Z31" s="3305"/>
      <c r="AA31" s="3305"/>
      <c r="AB31" s="3306"/>
    </row>
    <row r="32" spans="2:28">
      <c r="B32" s="3303"/>
      <c r="C32" s="3315" t="s">
        <v>556</v>
      </c>
      <c r="D32" s="3318" t="str">
        <f ca="1">INDEX(INDIRECT($C32&amp;".Info[Information type]"),MATCH($C$30,INDIRECT($C32&amp;".Info[Vector]"),0))</f>
        <v>Number of thermal power stations</v>
      </c>
      <c r="E32" s="3316"/>
      <c r="F32" s="3317"/>
      <c r="G32" s="3316"/>
      <c r="H32" s="3318">
        <f ca="1">INDEX(INDIRECT($C32&amp;".Info["&amp;H$4&amp;"]"),MATCH($C$30,INDIRECT($C32&amp;".Info[Vector]"),0))</f>
        <v>11.818872420244686</v>
      </c>
      <c r="I32" s="3318">
        <f t="shared" ref="I32:P37" ca="1" si="6">INDEX(INDIRECT($C32&amp;".Info["&amp;I$4&amp;"]"),MATCH($C$30,INDIRECT($C32&amp;".Info[Vector]"),0))</f>
        <v>11.641616400868099</v>
      </c>
      <c r="J32" s="3318">
        <f t="shared" ca="1" si="6"/>
        <v>7.96666685566837</v>
      </c>
      <c r="K32" s="3318">
        <f t="shared" ca="1" si="6"/>
        <v>5.4980804726760404</v>
      </c>
      <c r="L32" s="3318">
        <f t="shared" ca="1" si="6"/>
        <v>1.9100000000000001</v>
      </c>
      <c r="M32" s="3318">
        <f t="shared" ca="1" si="6"/>
        <v>2.4020000000000001</v>
      </c>
      <c r="N32" s="3318">
        <f t="shared" ca="1" si="6"/>
        <v>2.4020000000000001</v>
      </c>
      <c r="O32" s="3318">
        <f t="shared" ca="1" si="6"/>
        <v>2.4020000000000001</v>
      </c>
      <c r="P32" s="3318">
        <f t="shared" ca="1" si="6"/>
        <v>2.4020000000000001</v>
      </c>
      <c r="Q32" s="3306"/>
      <c r="S32" s="3318"/>
      <c r="T32" s="3318"/>
      <c r="U32" s="3318"/>
      <c r="V32" s="3318"/>
      <c r="W32" s="3318"/>
      <c r="X32" s="3318"/>
      <c r="Y32" s="3318"/>
      <c r="Z32" s="3318"/>
      <c r="AA32" s="3318"/>
      <c r="AB32" s="3306"/>
    </row>
    <row r="33" spans="2:28">
      <c r="B33" s="3303"/>
      <c r="C33" s="3315" t="s">
        <v>553</v>
      </c>
      <c r="D33" s="3318" t="str">
        <f ca="1">INDEX(INDIRECT($C33&amp;".Info[Information type]"),MATCH($C$30,INDIRECT($C33&amp;".Info[Vector]"),0))</f>
        <v>0.5 GW CCS power stations</v>
      </c>
      <c r="E33" s="3316"/>
      <c r="F33" s="3317"/>
      <c r="G33" s="3316"/>
      <c r="H33" s="3318">
        <f ca="1">INDEX(INDIRECT($C33&amp;".Info["&amp;H$4&amp;"]"),MATCH($C$30,INDIRECT($C33&amp;".Info[Vector]"),0))</f>
        <v>0</v>
      </c>
      <c r="I33" s="3318">
        <f t="shared" ca="1" si="6"/>
        <v>0</v>
      </c>
      <c r="J33" s="3318">
        <f t="shared" ca="1" si="6"/>
        <v>0</v>
      </c>
      <c r="K33" s="3318">
        <f t="shared" ca="1" si="6"/>
        <v>0</v>
      </c>
      <c r="L33" s="3318">
        <f t="shared" ca="1" si="6"/>
        <v>0</v>
      </c>
      <c r="M33" s="3318">
        <f t="shared" ca="1" si="6"/>
        <v>1</v>
      </c>
      <c r="N33" s="3318">
        <f t="shared" ca="1" si="6"/>
        <v>3</v>
      </c>
      <c r="O33" s="3318">
        <f t="shared" ca="1" si="6"/>
        <v>5</v>
      </c>
      <c r="P33" s="3318">
        <f t="shared" ca="1" si="6"/>
        <v>7</v>
      </c>
      <c r="Q33" s="3306"/>
      <c r="S33" s="3318"/>
      <c r="T33" s="3318"/>
      <c r="U33" s="3318"/>
      <c r="V33" s="3318"/>
      <c r="W33" s="3318"/>
      <c r="X33" s="3318"/>
      <c r="Y33" s="3318"/>
      <c r="Z33" s="3318"/>
      <c r="AA33" s="3318"/>
      <c r="AB33" s="3306"/>
    </row>
    <row r="34" spans="2:28">
      <c r="B34" s="3303"/>
      <c r="C34" s="3315" t="s">
        <v>548</v>
      </c>
      <c r="D34" s="3318" t="str">
        <f ca="1">INDEX(INDIRECT($C34&amp;".Info[Information type]"),MATCH($C$30,INDIRECT($C34&amp;".Info[Vector]"),0))</f>
        <v>1 GW nuclear power station complexes</v>
      </c>
      <c r="E34" s="3316"/>
      <c r="F34" s="3317"/>
      <c r="G34" s="3316"/>
      <c r="H34" s="3318">
        <f ca="1">INDEX(INDIRECT($C34&amp;".Info["&amp;H$4&amp;"]"),MATCH($C$30,INDIRECT($C34&amp;".Info[Vector]"),0))</f>
        <v>0</v>
      </c>
      <c r="I34" s="3318">
        <f t="shared" ca="1" si="6"/>
        <v>0</v>
      </c>
      <c r="J34" s="3318">
        <f t="shared" ca="1" si="6"/>
        <v>0</v>
      </c>
      <c r="K34" s="3318">
        <f t="shared" ca="1" si="6"/>
        <v>0</v>
      </c>
      <c r="L34" s="3318">
        <f t="shared" ca="1" si="6"/>
        <v>1</v>
      </c>
      <c r="M34" s="3318">
        <f t="shared" ca="1" si="6"/>
        <v>1</v>
      </c>
      <c r="N34" s="3318">
        <f t="shared" ca="1" si="6"/>
        <v>1</v>
      </c>
      <c r="O34" s="3318">
        <f t="shared" ca="1" si="6"/>
        <v>1</v>
      </c>
      <c r="P34" s="3318">
        <f t="shared" ca="1" si="6"/>
        <v>1</v>
      </c>
      <c r="Q34" s="3306"/>
      <c r="S34" s="3318"/>
      <c r="T34" s="3318"/>
      <c r="U34" s="3318"/>
      <c r="V34" s="3318"/>
      <c r="W34" s="3318"/>
      <c r="X34" s="3318"/>
      <c r="Y34" s="3318"/>
      <c r="Z34" s="3318"/>
      <c r="AA34" s="3318"/>
      <c r="AB34" s="3306"/>
    </row>
    <row r="35" spans="2:28">
      <c r="B35" s="3303"/>
      <c r="C35" s="3315" t="s">
        <v>528</v>
      </c>
      <c r="D35" s="3318" t="s">
        <v>3181</v>
      </c>
      <c r="E35" s="3316"/>
      <c r="F35" s="3317"/>
      <c r="G35" s="3316"/>
      <c r="H35" s="3318"/>
      <c r="I35" s="3318"/>
      <c r="J35" s="3318"/>
      <c r="K35" s="3318"/>
      <c r="L35" s="3318"/>
      <c r="M35" s="3318"/>
      <c r="N35" s="3318"/>
      <c r="O35" s="3318"/>
      <c r="P35" s="3318"/>
      <c r="Q35" s="3306"/>
      <c r="S35" s="3318"/>
      <c r="T35" s="3318"/>
      <c r="U35" s="3318"/>
      <c r="V35" s="3318"/>
      <c r="W35" s="3318"/>
      <c r="X35" s="3318"/>
      <c r="Y35" s="3318"/>
      <c r="Z35" s="3318"/>
      <c r="AA35" s="3318"/>
      <c r="AB35" s="3306"/>
    </row>
    <row r="36" spans="2:28">
      <c r="B36" s="3303"/>
      <c r="C36" s="3315" t="s">
        <v>569</v>
      </c>
      <c r="D36" s="3318" t="str">
        <f ca="1">INDEX(INDIRECT($C36&amp;".Info[Information type]"),MATCH($C$30,INDIRECT($C36&amp;".Info[Vector]"),0))</f>
        <v>Number of 500 MW standby generators</v>
      </c>
      <c r="E36" s="3316"/>
      <c r="F36" s="3317"/>
      <c r="G36" s="3316"/>
      <c r="H36" s="3318">
        <f ca="1">INDEX(INDIRECT($C36&amp;".Info["&amp;H$4&amp;"]"),MATCH($C$30,INDIRECT($C36&amp;".Info[Vector]"),0))</f>
        <v>0.83988753560064744</v>
      </c>
      <c r="I36" s="3318">
        <f t="shared" ca="1" si="6"/>
        <v>1.632408813965299</v>
      </c>
      <c r="J36" s="3318">
        <f t="shared" ca="1" si="6"/>
        <v>1.7530518449499652</v>
      </c>
      <c r="K36" s="3318">
        <f t="shared" ca="1" si="6"/>
        <v>0</v>
      </c>
      <c r="L36" s="3318">
        <f t="shared" ca="1" si="6"/>
        <v>0</v>
      </c>
      <c r="M36" s="3318">
        <f t="shared" ca="1" si="6"/>
        <v>0</v>
      </c>
      <c r="N36" s="3318">
        <f t="shared" ca="1" si="6"/>
        <v>0</v>
      </c>
      <c r="O36" s="3318">
        <f t="shared" ca="1" si="6"/>
        <v>0</v>
      </c>
      <c r="P36" s="3318">
        <f t="shared" ca="1" si="6"/>
        <v>0</v>
      </c>
      <c r="Q36" s="3306"/>
      <c r="S36" s="3318"/>
      <c r="T36" s="3318"/>
      <c r="U36" s="3318"/>
      <c r="V36" s="3318"/>
      <c r="W36" s="3318"/>
      <c r="X36" s="3318"/>
      <c r="Y36" s="3318"/>
      <c r="Z36" s="3318"/>
      <c r="AA36" s="3318"/>
      <c r="AB36" s="3306"/>
    </row>
    <row r="37" spans="2:28">
      <c r="B37" s="3303"/>
      <c r="C37" s="3315" t="s">
        <v>508</v>
      </c>
      <c r="D37" s="3318" t="str">
        <f ca="1">INDEX(INDIRECT($C37&amp;".Info[Information type]"),MATCH($C$30,INDIRECT($C37&amp;".Info[Vector]"),0))</f>
        <v>Number of waste to energy facilities (0.25 Mt capacity)</v>
      </c>
      <c r="E37" s="3316"/>
      <c r="F37" s="3317"/>
      <c r="G37" s="3316"/>
      <c r="H37" s="3318">
        <f ca="1">INDEX(INDIRECT($C37&amp;".Info["&amp;H$4&amp;"]"),MATCH($C$30,INDIRECT($C37&amp;".Info[Vector]"),0))</f>
        <v>0.69393436000000008</v>
      </c>
      <c r="I37" s="3318">
        <f t="shared" ca="1" si="6"/>
        <v>0.754344448</v>
      </c>
      <c r="J37" s="3318">
        <f t="shared" ca="1" si="6"/>
        <v>2.9229970673625103</v>
      </c>
      <c r="K37" s="3318">
        <f t="shared" ca="1" si="6"/>
        <v>2.836473511223963</v>
      </c>
      <c r="L37" s="3318">
        <f t="shared" ca="1" si="6"/>
        <v>2.7522736344777217</v>
      </c>
      <c r="M37" s="3318">
        <f t="shared" ca="1" si="6"/>
        <v>2.7235746188709729</v>
      </c>
      <c r="N37" s="3318">
        <f t="shared" ca="1" si="6"/>
        <v>2.6973290280266586</v>
      </c>
      <c r="O37" s="3318">
        <f t="shared" ca="1" si="6"/>
        <v>2.6666126360314557</v>
      </c>
      <c r="P37" s="3318">
        <f t="shared" ca="1" si="6"/>
        <v>2.6260325485003251</v>
      </c>
      <c r="Q37" s="3306"/>
      <c r="S37" s="3318"/>
      <c r="T37" s="3318"/>
      <c r="U37" s="3318"/>
      <c r="V37" s="3318"/>
      <c r="W37" s="3318"/>
      <c r="X37" s="3318"/>
      <c r="Y37" s="3318"/>
      <c r="Z37" s="3318"/>
      <c r="AA37" s="3318"/>
      <c r="AB37" s="3306"/>
    </row>
    <row r="38" spans="2:28">
      <c r="B38" s="3303"/>
      <c r="C38" s="3315"/>
      <c r="D38" s="3315"/>
      <c r="E38" s="3316"/>
      <c r="F38" s="3317"/>
      <c r="G38" s="3316"/>
      <c r="H38" s="3318"/>
      <c r="I38" s="3318"/>
      <c r="J38" s="3318"/>
      <c r="K38" s="3318"/>
      <c r="L38" s="3318"/>
      <c r="M38" s="3318"/>
      <c r="N38" s="3318"/>
      <c r="O38" s="3318"/>
      <c r="P38" s="3318"/>
      <c r="Q38" s="3306"/>
      <c r="R38" s="4011" t="s">
        <v>5</v>
      </c>
      <c r="S38" s="3318"/>
      <c r="T38" s="3318"/>
      <c r="U38" s="3318"/>
      <c r="V38" s="3318"/>
      <c r="W38" s="3318"/>
      <c r="X38" s="3318"/>
      <c r="Y38" s="3318"/>
      <c r="Z38" s="3318"/>
      <c r="AA38" s="3318"/>
      <c r="AB38" s="3306"/>
    </row>
    <row r="39" spans="2:28">
      <c r="S39" s="3318"/>
      <c r="T39" s="3318"/>
      <c r="U39" s="3318"/>
      <c r="V39" s="3318"/>
      <c r="W39" s="3318"/>
      <c r="X39" s="3318"/>
      <c r="Y39" s="3318"/>
      <c r="Z39" s="3318"/>
      <c r="AA39" s="3318"/>
      <c r="AB39" s="3306"/>
    </row>
    <row r="40" spans="2:28">
      <c r="P40" s="4012" t="s">
        <v>5</v>
      </c>
      <c r="S40" s="3318"/>
      <c r="T40" s="3318"/>
      <c r="U40" s="3318"/>
      <c r="V40" s="3318"/>
      <c r="W40" s="3318"/>
      <c r="X40" s="3318"/>
      <c r="Y40" s="3318"/>
      <c r="Z40" s="3318"/>
      <c r="AA40" s="3318"/>
      <c r="AB40" s="3306"/>
    </row>
    <row r="41" spans="2:28" ht="15.75">
      <c r="B41" s="3295"/>
      <c r="C41" s="4016" t="s">
        <v>3366</v>
      </c>
      <c r="D41" s="3296"/>
      <c r="E41" s="3296"/>
      <c r="F41" s="3296"/>
      <c r="G41" s="3296"/>
      <c r="H41" s="3297"/>
      <c r="I41" s="3297"/>
      <c r="J41" s="3297"/>
      <c r="K41" s="3297"/>
      <c r="L41" s="3297"/>
      <c r="M41" s="3297"/>
      <c r="N41" s="3297"/>
      <c r="O41" s="3297"/>
      <c r="P41" s="3297"/>
      <c r="Q41" s="3298"/>
      <c r="S41" s="3318"/>
      <c r="T41" s="3318"/>
      <c r="U41" s="3318"/>
      <c r="V41" s="3318"/>
      <c r="W41" s="3318"/>
      <c r="X41" s="3318"/>
      <c r="Y41" s="3318"/>
      <c r="Z41" s="3318"/>
      <c r="AA41" s="3318"/>
      <c r="AB41" s="3306"/>
    </row>
    <row r="42" spans="2:28" ht="15.75">
      <c r="B42" s="3299"/>
      <c r="C42" s="3300"/>
      <c r="D42" s="3300"/>
      <c r="E42" s="3300"/>
      <c r="F42" s="3300"/>
      <c r="G42" s="3300"/>
      <c r="H42" s="3301"/>
      <c r="I42" s="3301"/>
      <c r="J42" s="3301"/>
      <c r="K42" s="3301"/>
      <c r="L42" s="3301"/>
      <c r="M42" s="3301"/>
      <c r="N42" s="3301"/>
      <c r="O42" s="3301"/>
      <c r="P42" s="3301"/>
      <c r="Q42" s="3306"/>
      <c r="S42" s="3318"/>
      <c r="T42" s="3318"/>
      <c r="U42" s="3318"/>
      <c r="V42" s="3318"/>
      <c r="W42" s="3318"/>
      <c r="X42" s="3318"/>
      <c r="Y42" s="3318"/>
      <c r="Z42" s="3318"/>
      <c r="AA42" s="3318"/>
      <c r="AB42" s="3306"/>
    </row>
    <row r="43" spans="2:28">
      <c r="B43" s="3303"/>
      <c r="C43" s="3313"/>
      <c r="D43" s="4015"/>
      <c r="E43" s="3313"/>
      <c r="F43" s="3313"/>
      <c r="G43" s="3314" t="s">
        <v>3363</v>
      </c>
      <c r="H43" s="3313">
        <v>2013</v>
      </c>
      <c r="I43" s="3313">
        <v>2015</v>
      </c>
      <c r="J43" s="3313">
        <v>2020</v>
      </c>
      <c r="K43" s="3313">
        <v>2025</v>
      </c>
      <c r="L43" s="3313">
        <v>2030</v>
      </c>
      <c r="M43" s="3313">
        <v>2035</v>
      </c>
      <c r="N43" s="3313">
        <v>2040</v>
      </c>
      <c r="O43" s="3313">
        <v>2045</v>
      </c>
      <c r="P43" s="3314">
        <v>2050</v>
      </c>
      <c r="Q43" s="3306"/>
      <c r="S43" s="3318"/>
      <c r="T43" s="3318"/>
      <c r="U43" s="3318"/>
      <c r="V43" s="3318"/>
      <c r="W43" s="3318"/>
      <c r="X43" s="3318"/>
      <c r="Y43" s="3318"/>
      <c r="Z43" s="3318"/>
      <c r="AA43" s="3318"/>
      <c r="AB43" s="3306"/>
    </row>
    <row r="44" spans="2:28">
      <c r="B44" s="3303"/>
      <c r="C44" s="3315"/>
      <c r="D44" s="3318" t="s">
        <v>3313</v>
      </c>
      <c r="E44" s="3315"/>
      <c r="F44" s="3305"/>
      <c r="G44" s="4017" t="s">
        <v>520</v>
      </c>
      <c r="H44" s="3305">
        <f t="shared" ref="H44:H50" ca="1" si="7">INDEX(INDIRECT($C6&amp;".Info["&amp;H$4&amp;"]"),MATCH($C$4,INDIRECT($C6&amp;".Info[Vector]"),0))</f>
        <v>56.000000000000007</v>
      </c>
      <c r="I44" s="3305">
        <f t="shared" ref="I44:P44" ca="1" si="8">INDEX(INDIRECT($C6&amp;".Info["&amp;I$4&amp;"]"),MATCH($C$4,INDIRECT($C6&amp;".Info[Vector]"),0))</f>
        <v>70.144444444444431</v>
      </c>
      <c r="J44" s="3305">
        <f t="shared" ca="1" si="8"/>
        <v>114.39444444444445</v>
      </c>
      <c r="K44" s="3305">
        <f t="shared" ca="1" si="8"/>
        <v>168.47777777777776</v>
      </c>
      <c r="L44" s="3305">
        <f t="shared" ca="1" si="8"/>
        <v>250.42222222222216</v>
      </c>
      <c r="M44" s="3305">
        <f t="shared" ca="1" si="8"/>
        <v>283.2</v>
      </c>
      <c r="N44" s="3305">
        <f t="shared" ca="1" si="8"/>
        <v>283.2</v>
      </c>
      <c r="O44" s="3305">
        <f t="shared" ca="1" si="8"/>
        <v>283.2</v>
      </c>
      <c r="P44" s="3305">
        <f t="shared" ca="1" si="8"/>
        <v>283.2</v>
      </c>
      <c r="Q44" s="3306"/>
      <c r="S44" s="3318"/>
      <c r="T44" s="3318"/>
      <c r="U44" s="3318"/>
      <c r="V44" s="3318"/>
      <c r="W44" s="3318"/>
      <c r="X44" s="3318"/>
      <c r="Y44" s="3318"/>
      <c r="Z44" s="3318"/>
      <c r="AA44" s="3318"/>
      <c r="AB44" s="3306"/>
    </row>
    <row r="45" spans="2:28">
      <c r="B45" s="3303"/>
      <c r="C45" s="3315"/>
      <c r="D45" s="3318" t="s">
        <v>3250</v>
      </c>
      <c r="E45" s="3315"/>
      <c r="F45" s="3317"/>
      <c r="G45" s="4017" t="s">
        <v>524</v>
      </c>
      <c r="H45" s="4007">
        <f t="shared" ca="1" si="7"/>
        <v>7.5409090909090883</v>
      </c>
      <c r="I45" s="4007">
        <f t="shared" ref="I45:P45" ca="1" si="9">INDEX(INDIRECT($C7&amp;".Info["&amp;I$4&amp;"]"),MATCH($C$4,INDIRECT($C7&amp;".Info[Vector]"),0))</f>
        <v>7.5409090909090883</v>
      </c>
      <c r="J45" s="4007">
        <f t="shared" ca="1" si="9"/>
        <v>7.5409090909090883</v>
      </c>
      <c r="K45" s="4007">
        <f t="shared" ca="1" si="9"/>
        <v>7.5409090909090883</v>
      </c>
      <c r="L45" s="4007">
        <f t="shared" ca="1" si="9"/>
        <v>7.5409090909090883</v>
      </c>
      <c r="M45" s="4007">
        <f t="shared" ca="1" si="9"/>
        <v>7.5409090909090883</v>
      </c>
      <c r="N45" s="4007">
        <f t="shared" ca="1" si="9"/>
        <v>7.5409090909090883</v>
      </c>
      <c r="O45" s="4007">
        <f t="shared" ca="1" si="9"/>
        <v>7.5409090909090883</v>
      </c>
      <c r="P45" s="4007">
        <f t="shared" ca="1" si="9"/>
        <v>7.5409090909090883</v>
      </c>
      <c r="Q45" s="3306"/>
      <c r="S45" s="3318"/>
      <c r="T45" s="3318"/>
      <c r="U45" s="3318"/>
      <c r="V45" s="3318"/>
      <c r="W45" s="3318"/>
      <c r="X45" s="3318"/>
      <c r="Y45" s="3318"/>
      <c r="Z45" s="3318"/>
      <c r="AA45" s="3318"/>
      <c r="AB45" s="3306"/>
    </row>
    <row r="46" spans="2:28">
      <c r="B46" s="3303"/>
      <c r="C46" s="3315"/>
      <c r="D46" s="3318" t="s">
        <v>1922</v>
      </c>
      <c r="E46" s="3315"/>
      <c r="F46" s="3317"/>
      <c r="G46" s="4017" t="s">
        <v>534</v>
      </c>
      <c r="H46" s="4007">
        <f t="shared" ca="1" si="7"/>
        <v>0</v>
      </c>
      <c r="I46" s="4007">
        <f t="shared" ref="I46:P46" ca="1" si="10">INDEX(INDIRECT($C8&amp;".Info["&amp;I$4&amp;"]"),MATCH($C$4,INDIRECT($C8&amp;".Info[Vector]"),0))</f>
        <v>0</v>
      </c>
      <c r="J46" s="4007">
        <f t="shared" ca="1" si="10"/>
        <v>4.0416666666666661</v>
      </c>
      <c r="K46" s="4007">
        <f t="shared" ca="1" si="10"/>
        <v>6.4666666666666668</v>
      </c>
      <c r="L46" s="4007">
        <f t="shared" ca="1" si="10"/>
        <v>9.6999999999999975</v>
      </c>
      <c r="M46" s="4007">
        <f t="shared" ca="1" si="10"/>
        <v>14.549999999999999</v>
      </c>
      <c r="N46" s="4007">
        <f t="shared" ca="1" si="10"/>
        <v>19.399999999999995</v>
      </c>
      <c r="O46" s="4007">
        <f t="shared" ca="1" si="10"/>
        <v>21.824999999999996</v>
      </c>
      <c r="P46" s="4007">
        <f t="shared" ca="1" si="10"/>
        <v>24.249999999999996</v>
      </c>
      <c r="Q46" s="3306"/>
      <c r="S46" s="3318"/>
      <c r="T46" s="3318"/>
      <c r="U46" s="3318"/>
      <c r="V46" s="3318"/>
      <c r="W46" s="3318"/>
      <c r="X46" s="3318"/>
      <c r="Y46" s="3318"/>
      <c r="Z46" s="3318"/>
      <c r="AA46" s="3318"/>
      <c r="AB46" s="3306"/>
    </row>
    <row r="47" spans="2:28">
      <c r="B47" s="3303"/>
      <c r="C47" s="3315"/>
      <c r="D47" s="3318" t="s">
        <v>2747</v>
      </c>
      <c r="E47" s="3315"/>
      <c r="F47" s="3317"/>
      <c r="G47" s="4017" t="s">
        <v>25</v>
      </c>
      <c r="H47" s="4007">
        <f t="shared" ca="1" si="7"/>
        <v>0.13381209031318281</v>
      </c>
      <c r="I47" s="4007">
        <f t="shared" ref="I47:P47" ca="1" si="11">INDEX(INDIRECT($C9&amp;".Info["&amp;I$4&amp;"]"),MATCH($C$4,INDIRECT($C9&amp;".Info[Vector]"),0))</f>
        <v>0.96261493898519346</v>
      </c>
      <c r="J47" s="4007">
        <f t="shared" ca="1" si="11"/>
        <v>1.8186124430257216</v>
      </c>
      <c r="K47" s="4007">
        <f t="shared" ca="1" si="11"/>
        <v>2.8680082210925013</v>
      </c>
      <c r="L47" s="4007">
        <f t="shared" ca="1" si="11"/>
        <v>4.0001105160741819</v>
      </c>
      <c r="M47" s="4007">
        <f t="shared" ca="1" si="11"/>
        <v>5.2326916039874289</v>
      </c>
      <c r="N47" s="4007">
        <f t="shared" ca="1" si="11"/>
        <v>6.5727901645174329</v>
      </c>
      <c r="O47" s="4007">
        <f t="shared" ca="1" si="11"/>
        <v>9.1527486721328675</v>
      </c>
      <c r="P47" s="4007">
        <f t="shared" ca="1" si="11"/>
        <v>11.952553396430703</v>
      </c>
      <c r="Q47" s="3306"/>
      <c r="S47" s="3318"/>
      <c r="T47" s="3318"/>
      <c r="U47" s="3318"/>
      <c r="V47" s="3318"/>
      <c r="W47" s="3318"/>
      <c r="X47" s="3318"/>
      <c r="Y47" s="3318"/>
      <c r="Z47" s="3318"/>
      <c r="AA47" s="3318"/>
      <c r="AB47" s="3306"/>
    </row>
    <row r="48" spans="2:28">
      <c r="B48" s="3303"/>
      <c r="C48" s="3315"/>
      <c r="D48" s="3318" t="s">
        <v>3176</v>
      </c>
      <c r="E48" s="3315"/>
      <c r="F48" s="3317"/>
      <c r="G48" s="4017" t="s">
        <v>536</v>
      </c>
      <c r="H48" s="4007">
        <f t="shared" ca="1" si="7"/>
        <v>0</v>
      </c>
      <c r="I48" s="4007">
        <f t="shared" ref="I48:P48" ca="1" si="12">INDEX(INDIRECT($C10&amp;".Info["&amp;I$4&amp;"]"),MATCH($C$4,INDIRECT($C10&amp;".Info[Vector]"),0))</f>
        <v>0</v>
      </c>
      <c r="J48" s="4007">
        <f t="shared" ca="1" si="12"/>
        <v>47.999999999999993</v>
      </c>
      <c r="K48" s="4007">
        <f t="shared" ca="1" si="12"/>
        <v>47.999999999999993</v>
      </c>
      <c r="L48" s="4007">
        <f t="shared" ca="1" si="12"/>
        <v>47.999999999999993</v>
      </c>
      <c r="M48" s="4007">
        <f t="shared" ca="1" si="12"/>
        <v>87.999999999999815</v>
      </c>
      <c r="N48" s="4007">
        <f t="shared" ca="1" si="12"/>
        <v>87.999999999999815</v>
      </c>
      <c r="O48" s="4007">
        <f t="shared" ca="1" si="12"/>
        <v>95.999999999999986</v>
      </c>
      <c r="P48" s="4007">
        <f t="shared" ca="1" si="12"/>
        <v>95.999999999999986</v>
      </c>
      <c r="Q48" s="3306"/>
      <c r="S48" s="3318"/>
      <c r="T48" s="3318"/>
      <c r="U48" s="3318"/>
      <c r="V48" s="3318"/>
      <c r="W48" s="3318"/>
      <c r="X48" s="3318"/>
      <c r="Y48" s="3318"/>
      <c r="Z48" s="3318"/>
      <c r="AA48" s="3318"/>
      <c r="AB48" s="3306"/>
    </row>
    <row r="49" spans="2:28">
      <c r="B49" s="3303"/>
      <c r="C49" s="3315"/>
      <c r="D49" s="3318" t="s">
        <v>2094</v>
      </c>
      <c r="E49" s="3315"/>
      <c r="F49" s="3317"/>
      <c r="G49" s="4017" t="s">
        <v>3177</v>
      </c>
      <c r="H49" s="4007">
        <f t="shared" ca="1" si="7"/>
        <v>156</v>
      </c>
      <c r="I49" s="4007">
        <f t="shared" ref="I49:P49" ca="1" si="13">INDEX(INDIRECT($C11&amp;".Info["&amp;I$4&amp;"]"),MATCH($C$4,INDIRECT($C11&amp;".Info[Vector]"),0))</f>
        <v>701.36694198511827</v>
      </c>
      <c r="J49" s="4007">
        <f t="shared" ca="1" si="13"/>
        <v>2064.7842969479088</v>
      </c>
      <c r="K49" s="4007">
        <f t="shared" ca="1" si="13"/>
        <v>3428.2016519107051</v>
      </c>
      <c r="L49" s="4007">
        <f t="shared" ca="1" si="13"/>
        <v>4791.6190068734986</v>
      </c>
      <c r="M49" s="4007">
        <f t="shared" ca="1" si="13"/>
        <v>6155.0363618362953</v>
      </c>
      <c r="N49" s="4007">
        <f t="shared" ca="1" si="13"/>
        <v>7518.4537167990902</v>
      </c>
      <c r="O49" s="4007">
        <f t="shared" ca="1" si="13"/>
        <v>8881.8710717618851</v>
      </c>
      <c r="P49" s="4007">
        <f t="shared" ca="1" si="13"/>
        <v>10245.288426724681</v>
      </c>
      <c r="Q49" s="3306"/>
      <c r="S49" s="3318"/>
      <c r="T49" s="3318"/>
      <c r="U49" s="3318"/>
      <c r="V49" s="3318"/>
      <c r="W49" s="3318"/>
      <c r="X49" s="3318"/>
      <c r="Y49" s="3318"/>
      <c r="Z49" s="3318"/>
      <c r="AA49" s="3318"/>
      <c r="AB49" s="3306"/>
    </row>
    <row r="50" spans="2:28">
      <c r="B50" s="3303"/>
      <c r="C50" s="3315"/>
      <c r="D50" s="3318" t="s">
        <v>2096</v>
      </c>
      <c r="E50" s="3315"/>
      <c r="F50" s="3317"/>
      <c r="G50" s="4017" t="s">
        <v>3178</v>
      </c>
      <c r="H50" s="4007">
        <f t="shared" ca="1" si="7"/>
        <v>7566</v>
      </c>
      <c r="I50" s="4007">
        <f t="shared" ref="I50:P50" ca="1" si="14">INDEX(INDIRECT($C12&amp;".Info["&amp;I$4&amp;"]"),MATCH($C$4,INDIRECT($C12&amp;".Info[Vector]"),0))</f>
        <v>7712.1161544525003</v>
      </c>
      <c r="J50" s="4007">
        <f t="shared" ca="1" si="14"/>
        <v>8077.40654058376</v>
      </c>
      <c r="K50" s="4007">
        <f t="shared" ca="1" si="14"/>
        <v>8442.6969267150198</v>
      </c>
      <c r="L50" s="4007">
        <f t="shared" ca="1" si="14"/>
        <v>8807.9873128462696</v>
      </c>
      <c r="M50" s="4007">
        <f t="shared" ca="1" si="14"/>
        <v>9173.2776989775302</v>
      </c>
      <c r="N50" s="4007">
        <f t="shared" ca="1" si="14"/>
        <v>9538.5680851087891</v>
      </c>
      <c r="O50" s="4007">
        <f t="shared" ca="1" si="14"/>
        <v>9903.8584712400407</v>
      </c>
      <c r="P50" s="4007">
        <f t="shared" ca="1" si="14"/>
        <v>10269.1488573713</v>
      </c>
      <c r="Q50" s="3306"/>
      <c r="S50" s="3318"/>
      <c r="T50" s="3318"/>
      <c r="U50" s="3318"/>
      <c r="V50" s="3318"/>
      <c r="W50" s="3318"/>
      <c r="X50" s="3318"/>
      <c r="Y50" s="3318"/>
      <c r="Z50" s="3318"/>
      <c r="AA50" s="3318"/>
      <c r="AB50" s="3306"/>
    </row>
    <row r="51" spans="2:28">
      <c r="B51" s="3303"/>
      <c r="C51" s="3315"/>
      <c r="D51" s="3318" t="s">
        <v>3179</v>
      </c>
      <c r="E51" s="3315"/>
      <c r="F51" s="3317"/>
      <c r="G51" s="4017" t="s">
        <v>522</v>
      </c>
      <c r="H51" s="4007">
        <f ca="1">INDEX(INDIRECT($C16&amp;".Info["&amp;H$4&amp;"]"),MATCH($C$14,INDIRECT($C16&amp;".Info[Vector]"),0))</f>
        <v>1.0555555555555558</v>
      </c>
      <c r="I51" s="4007">
        <f t="shared" ref="I51:P51" ca="1" si="15">INDEX(INDIRECT($C16&amp;".Info["&amp;I$4&amp;"]"),MATCH($C$14,INDIRECT($C16&amp;".Info[Vector]"),0))</f>
        <v>1.0555555555555558</v>
      </c>
      <c r="J51" s="4007">
        <f t="shared" ca="1" si="15"/>
        <v>1.1111111111111112</v>
      </c>
      <c r="K51" s="4007">
        <f t="shared" ca="1" si="15"/>
        <v>1.1111111111111112</v>
      </c>
      <c r="L51" s="4007">
        <f t="shared" ca="1" si="15"/>
        <v>25.083333333333332</v>
      </c>
      <c r="M51" s="4007">
        <f t="shared" ca="1" si="15"/>
        <v>66.25</v>
      </c>
      <c r="N51" s="4007">
        <f t="shared" ca="1" si="15"/>
        <v>116.25000000000001</v>
      </c>
      <c r="O51" s="4007">
        <f t="shared" ca="1" si="15"/>
        <v>203.75000000000003</v>
      </c>
      <c r="P51" s="4007">
        <f t="shared" ca="1" si="15"/>
        <v>291.25</v>
      </c>
      <c r="Q51" s="3306"/>
      <c r="S51" s="3318"/>
      <c r="T51" s="3318"/>
      <c r="U51" s="3318"/>
      <c r="V51" s="3318"/>
      <c r="W51" s="3318"/>
      <c r="X51" s="3318"/>
      <c r="Y51" s="3318"/>
      <c r="Z51" s="3318"/>
      <c r="AA51" s="3318"/>
      <c r="AB51" s="3306"/>
    </row>
    <row r="52" spans="2:28">
      <c r="B52" s="3303"/>
      <c r="C52" s="3315"/>
      <c r="D52" s="3318" t="s">
        <v>938</v>
      </c>
      <c r="E52" s="3315"/>
      <c r="F52" s="3317"/>
      <c r="G52" s="4017" t="s">
        <v>629</v>
      </c>
      <c r="H52" s="4007">
        <f ca="1">INDEX(INDIRECT($C17&amp;".Info["&amp;H$4&amp;"]"),MATCH($C$14,INDIRECT($C17&amp;".Info[Vector]"),0))</f>
        <v>0</v>
      </c>
      <c r="I52" s="4007">
        <f t="shared" ref="I52:P52" ca="1" si="16">INDEX(INDIRECT($C17&amp;".Info["&amp;I$4&amp;"]"),MATCH($C$14,INDIRECT($C17&amp;".Info[Vector]"),0))</f>
        <v>0</v>
      </c>
      <c r="J52" s="4007">
        <f t="shared" ca="1" si="16"/>
        <v>0</v>
      </c>
      <c r="K52" s="4007">
        <f t="shared" ca="1" si="16"/>
        <v>6.6666666666666661</v>
      </c>
      <c r="L52" s="4007">
        <f t="shared" ca="1" si="16"/>
        <v>13.333333333333332</v>
      </c>
      <c r="M52" s="4007">
        <f t="shared" ca="1" si="16"/>
        <v>33.333333333333329</v>
      </c>
      <c r="N52" s="4007">
        <f t="shared" ca="1" si="16"/>
        <v>33.333333333333329</v>
      </c>
      <c r="O52" s="4007">
        <f t="shared" ca="1" si="16"/>
        <v>53.333333333333329</v>
      </c>
      <c r="P52" s="4007">
        <f t="shared" ca="1" si="16"/>
        <v>53.333333333333329</v>
      </c>
      <c r="Q52" s="3306"/>
      <c r="S52" s="3318"/>
      <c r="T52" s="3318"/>
      <c r="U52" s="3318"/>
      <c r="V52" s="3318"/>
      <c r="W52" s="3318"/>
      <c r="X52" s="3318"/>
      <c r="Y52" s="3318"/>
      <c r="Z52" s="3318"/>
      <c r="AA52" s="3318"/>
      <c r="AB52" s="3306"/>
    </row>
    <row r="53" spans="2:28">
      <c r="B53" s="3303"/>
      <c r="C53" s="3315"/>
      <c r="D53" s="3318" t="s">
        <v>941</v>
      </c>
      <c r="E53" s="3315"/>
      <c r="F53" s="3313"/>
      <c r="G53" s="4017" t="s">
        <v>631</v>
      </c>
      <c r="H53" s="3304">
        <f ca="1">INDEX(INDIRECT($C18&amp;".Info["&amp;H$4&amp;"]"),MATCH($C$14,INDIRECT($C18&amp;".Info[Vector]"),0))</f>
        <v>0</v>
      </c>
      <c r="I53" s="3304">
        <f t="shared" ref="I53:P53" ca="1" si="17">INDEX(INDIRECT($C18&amp;".Info["&amp;I$4&amp;"]"),MATCH($C$14,INDIRECT($C18&amp;".Info[Vector]"),0))</f>
        <v>0</v>
      </c>
      <c r="J53" s="3304">
        <f t="shared" ca="1" si="17"/>
        <v>0</v>
      </c>
      <c r="K53" s="3304">
        <f t="shared" ca="1" si="17"/>
        <v>0</v>
      </c>
      <c r="L53" s="3304">
        <f t="shared" ca="1" si="17"/>
        <v>0</v>
      </c>
      <c r="M53" s="3304">
        <f t="shared" ca="1" si="17"/>
        <v>0</v>
      </c>
      <c r="N53" s="3304">
        <f t="shared" ca="1" si="17"/>
        <v>0</v>
      </c>
      <c r="O53" s="3304">
        <f t="shared" ca="1" si="17"/>
        <v>0</v>
      </c>
      <c r="P53" s="3304">
        <f t="shared" ca="1" si="17"/>
        <v>0</v>
      </c>
      <c r="Q53" s="3306"/>
      <c r="S53" s="3318"/>
      <c r="T53" s="3318"/>
      <c r="U53" s="3318"/>
      <c r="V53" s="3318"/>
      <c r="W53" s="3318"/>
      <c r="X53" s="3318"/>
      <c r="Y53" s="3318"/>
      <c r="Z53" s="3318"/>
      <c r="AA53" s="3318"/>
      <c r="AB53" s="3306"/>
    </row>
    <row r="54" spans="2:28">
      <c r="B54" s="3303"/>
      <c r="C54" s="3315"/>
      <c r="D54" s="3318" t="s">
        <v>2953</v>
      </c>
      <c r="E54" s="3315"/>
      <c r="F54" s="3305"/>
      <c r="G54" s="4017" t="s">
        <v>506</v>
      </c>
      <c r="H54" s="3305">
        <f ca="1">INDEX(INDIRECT($C19&amp;".Info["&amp;H$4&amp;"]"),MATCH($C$14,INDIRECT($C19&amp;".Info[Vector]"),0))</f>
        <v>0</v>
      </c>
      <c r="I54" s="3305">
        <f t="shared" ref="I54:P54" ca="1" si="18">INDEX(INDIRECT($C19&amp;".Info["&amp;I$4&amp;"]"),MATCH($C$14,INDIRECT($C19&amp;".Info[Vector]"),0))</f>
        <v>0</v>
      </c>
      <c r="J54" s="3305">
        <f t="shared" ca="1" si="18"/>
        <v>0</v>
      </c>
      <c r="K54" s="3305">
        <f t="shared" ca="1" si="18"/>
        <v>10</v>
      </c>
      <c r="L54" s="3305">
        <f t="shared" ca="1" si="18"/>
        <v>100</v>
      </c>
      <c r="M54" s="3305">
        <f t="shared" ca="1" si="18"/>
        <v>400</v>
      </c>
      <c r="N54" s="3305">
        <f t="shared" ca="1" si="18"/>
        <v>1000</v>
      </c>
      <c r="O54" s="3305">
        <f t="shared" ca="1" si="18"/>
        <v>1500</v>
      </c>
      <c r="P54" s="3305">
        <f t="shared" ca="1" si="18"/>
        <v>2100</v>
      </c>
      <c r="Q54" s="3306"/>
      <c r="S54" s="3318"/>
      <c r="T54" s="3318"/>
      <c r="U54" s="3318"/>
      <c r="V54" s="3318"/>
      <c r="W54" s="3318"/>
      <c r="X54" s="3318"/>
      <c r="Y54" s="3318"/>
      <c r="Z54" s="3318"/>
      <c r="AA54" s="3318"/>
      <c r="AB54" s="3306"/>
    </row>
    <row r="55" spans="2:28">
      <c r="B55" s="3303"/>
      <c r="C55" s="3315"/>
      <c r="D55" s="3318" t="s">
        <v>2728</v>
      </c>
      <c r="E55" s="3315"/>
      <c r="F55" s="3317"/>
      <c r="G55" s="4017" t="s">
        <v>578</v>
      </c>
      <c r="H55" s="4007">
        <f ca="1">INDEX(INDIRECT($C23&amp;".Info["&amp;H$4&amp;"]"),MATCH($C$21,INDIRECT($C23&amp;".Info[Vector]"),0))</f>
        <v>208.27375972824288</v>
      </c>
      <c r="I55" s="4007">
        <f t="shared" ref="I55:P55" ca="1" si="19">INDEX(INDIRECT($C23&amp;".Info["&amp;I$4&amp;"]"),MATCH($C$21,INDIRECT($C23&amp;".Info[Vector]"),0))</f>
        <v>246.53966081070794</v>
      </c>
      <c r="J55" s="4007">
        <f t="shared" ca="1" si="19"/>
        <v>553.63525743402522</v>
      </c>
      <c r="K55" s="4007">
        <f t="shared" ca="1" si="19"/>
        <v>-2449.6010064208153</v>
      </c>
      <c r="L55" s="4007">
        <f t="shared" ca="1" si="19"/>
        <v>-5319.1247604068494</v>
      </c>
      <c r="M55" s="4007">
        <f t="shared" ca="1" si="19"/>
        <v>-4433.200084834868</v>
      </c>
      <c r="N55" s="4007">
        <f t="shared" ca="1" si="19"/>
        <v>-7528.2445358607119</v>
      </c>
      <c r="O55" s="4007">
        <f t="shared" ca="1" si="19"/>
        <v>-10340.663746694483</v>
      </c>
      <c r="P55" s="4007">
        <f t="shared" ca="1" si="19"/>
        <v>-13220.046071423205</v>
      </c>
      <c r="Q55" s="3306"/>
      <c r="S55" s="3318"/>
      <c r="T55" s="3318"/>
      <c r="U55" s="3318"/>
      <c r="V55" s="3318"/>
      <c r="W55" s="3318"/>
      <c r="X55" s="3318"/>
      <c r="Y55" s="3318"/>
      <c r="Z55" s="3318"/>
      <c r="AA55" s="3318"/>
      <c r="AB55" s="3306"/>
    </row>
    <row r="56" spans="2:28">
      <c r="B56" s="3303"/>
      <c r="C56" s="3315"/>
      <c r="D56" s="3318" t="s">
        <v>3259</v>
      </c>
      <c r="E56" s="3315"/>
      <c r="F56" s="3317"/>
      <c r="G56" s="4017" t="s">
        <v>563</v>
      </c>
      <c r="H56" s="4007"/>
      <c r="I56" s="4007"/>
      <c r="J56" s="4007"/>
      <c r="K56" s="4007"/>
      <c r="L56" s="4007"/>
      <c r="M56" s="4007"/>
      <c r="N56" s="4007"/>
      <c r="O56" s="4007"/>
      <c r="P56" s="4007"/>
      <c r="Q56" s="3306"/>
      <c r="S56" s="3318"/>
      <c r="T56" s="3318"/>
      <c r="U56" s="3318"/>
      <c r="V56" s="3318"/>
      <c r="W56" s="3318"/>
      <c r="X56" s="3318"/>
      <c r="Y56" s="3318"/>
      <c r="Z56" s="3318"/>
      <c r="AA56" s="3318"/>
      <c r="AB56" s="3306"/>
    </row>
    <row r="57" spans="2:28">
      <c r="B57" s="3303"/>
      <c r="C57" s="3315"/>
      <c r="D57" s="3318" t="s">
        <v>936</v>
      </c>
      <c r="E57" s="3315"/>
      <c r="F57" s="3317"/>
      <c r="G57" s="4017" t="s">
        <v>627</v>
      </c>
      <c r="H57" s="4007">
        <f ca="1">INDEX(INDIRECT($C28&amp;".Info["&amp;H$4&amp;"]"),MATCH($C$26,INDIRECT($C28&amp;".Info[Vector]"),0))</f>
        <v>0</v>
      </c>
      <c r="I57" s="4007">
        <f t="shared" ref="I57:P57" ca="1" si="20">INDEX(INDIRECT($C28&amp;".Info["&amp;I$4&amp;"]"),MATCH($C$26,INDIRECT($C28&amp;".Info[Vector]"),0))</f>
        <v>2.6435952895938475E-2</v>
      </c>
      <c r="J57" s="4007">
        <f t="shared" ca="1" si="20"/>
        <v>8.6842105263157901E-2</v>
      </c>
      <c r="K57" s="4007">
        <f t="shared" ca="1" si="20"/>
        <v>2.6052631578947376</v>
      </c>
      <c r="L57" s="4007">
        <f t="shared" ca="1" si="20"/>
        <v>17.368421052631582</v>
      </c>
      <c r="M57" s="4007">
        <f t="shared" ca="1" si="20"/>
        <v>26.05263157894737</v>
      </c>
      <c r="N57" s="4007">
        <f t="shared" ca="1" si="20"/>
        <v>34.736842105263165</v>
      </c>
      <c r="O57" s="4007">
        <f t="shared" ca="1" si="20"/>
        <v>34.736842105263165</v>
      </c>
      <c r="P57" s="4007">
        <f t="shared" ca="1" si="20"/>
        <v>41.684210526315802</v>
      </c>
      <c r="Q57" s="3306"/>
      <c r="S57" s="3318"/>
      <c r="T57" s="3318"/>
      <c r="U57" s="3318"/>
      <c r="V57" s="3318"/>
      <c r="W57" s="3318"/>
      <c r="X57" s="3318"/>
      <c r="Y57" s="3318"/>
      <c r="Z57" s="3318"/>
      <c r="AA57" s="3318"/>
      <c r="AB57" s="3306"/>
    </row>
    <row r="58" spans="2:28">
      <c r="B58" s="3303"/>
      <c r="C58" s="3315"/>
      <c r="D58" s="3318" t="s">
        <v>3180</v>
      </c>
      <c r="E58" s="3315"/>
      <c r="F58" s="3317"/>
      <c r="G58" s="4017" t="s">
        <v>556</v>
      </c>
      <c r="H58" s="4007">
        <f ca="1">INDEX(INDIRECT($C32&amp;".Info["&amp;H$4&amp;"]"),MATCH($C$30,INDIRECT($C32&amp;".Info[Vector]"),0))</f>
        <v>11.818872420244686</v>
      </c>
      <c r="I58" s="4007">
        <f t="shared" ref="I58:P58" ca="1" si="21">INDEX(INDIRECT($C32&amp;".Info["&amp;I$4&amp;"]"),MATCH($C$30,INDIRECT($C32&amp;".Info[Vector]"),0))</f>
        <v>11.641616400868099</v>
      </c>
      <c r="J58" s="4007">
        <f t="shared" ca="1" si="21"/>
        <v>7.96666685566837</v>
      </c>
      <c r="K58" s="4007">
        <f t="shared" ca="1" si="21"/>
        <v>5.4980804726760404</v>
      </c>
      <c r="L58" s="4007">
        <f t="shared" ca="1" si="21"/>
        <v>1.9100000000000001</v>
      </c>
      <c r="M58" s="4007">
        <f t="shared" ca="1" si="21"/>
        <v>2.4020000000000001</v>
      </c>
      <c r="N58" s="4007">
        <f t="shared" ca="1" si="21"/>
        <v>2.4020000000000001</v>
      </c>
      <c r="O58" s="4007">
        <f t="shared" ca="1" si="21"/>
        <v>2.4020000000000001</v>
      </c>
      <c r="P58" s="4007">
        <f t="shared" ca="1" si="21"/>
        <v>2.4020000000000001</v>
      </c>
      <c r="Q58" s="3306"/>
      <c r="S58"/>
      <c r="T58"/>
      <c r="U58"/>
      <c r="V58"/>
      <c r="W58"/>
      <c r="X58"/>
      <c r="Y58"/>
      <c r="Z58"/>
      <c r="AA58"/>
      <c r="AB58"/>
    </row>
    <row r="59" spans="2:28">
      <c r="B59" s="3303"/>
      <c r="C59" s="3315"/>
      <c r="D59" s="3318" t="s">
        <v>3364</v>
      </c>
      <c r="E59" s="3315"/>
      <c r="F59" s="3317" t="s">
        <v>5</v>
      </c>
      <c r="G59" s="4017" t="s">
        <v>553</v>
      </c>
      <c r="H59" s="4007">
        <f ca="1">INDEX(INDIRECT($C33&amp;".Info["&amp;H$4&amp;"]"),MATCH($C$30,INDIRECT($C33&amp;".Info[Vector]"),0))</f>
        <v>0</v>
      </c>
      <c r="I59" s="4007">
        <f t="shared" ref="I59:P59" ca="1" si="22">INDEX(INDIRECT($C33&amp;".Info["&amp;I$4&amp;"]"),MATCH($C$30,INDIRECT($C33&amp;".Info[Vector]"),0))</f>
        <v>0</v>
      </c>
      <c r="J59" s="4007">
        <f t="shared" ca="1" si="22"/>
        <v>0</v>
      </c>
      <c r="K59" s="4007">
        <f t="shared" ca="1" si="22"/>
        <v>0</v>
      </c>
      <c r="L59" s="4007">
        <f t="shared" ca="1" si="22"/>
        <v>0</v>
      </c>
      <c r="M59" s="4007">
        <f t="shared" ca="1" si="22"/>
        <v>1</v>
      </c>
      <c r="N59" s="4007">
        <f t="shared" ca="1" si="22"/>
        <v>3</v>
      </c>
      <c r="O59" s="4007">
        <f t="shared" ca="1" si="22"/>
        <v>5</v>
      </c>
      <c r="P59" s="4007">
        <f t="shared" ca="1" si="22"/>
        <v>7</v>
      </c>
      <c r="Q59" s="3306"/>
      <c r="S59"/>
      <c r="T59"/>
      <c r="U59"/>
      <c r="V59"/>
      <c r="W59"/>
      <c r="X59"/>
      <c r="Y59"/>
      <c r="Z59"/>
      <c r="AA59"/>
      <c r="AB59"/>
    </row>
    <row r="60" spans="2:28">
      <c r="B60" s="3303"/>
      <c r="C60" s="3315"/>
      <c r="D60" s="3318" t="s">
        <v>3365</v>
      </c>
      <c r="E60" s="3315"/>
      <c r="F60" s="3313"/>
      <c r="G60" s="4017" t="s">
        <v>548</v>
      </c>
      <c r="H60" s="3304">
        <f ca="1">INDEX(INDIRECT($C34&amp;".Info["&amp;H$4&amp;"]"),MATCH($C$30,INDIRECT($C34&amp;".Info[Vector]"),0))</f>
        <v>0</v>
      </c>
      <c r="I60" s="3304">
        <f t="shared" ref="I60:P60" ca="1" si="23">INDEX(INDIRECT($C34&amp;".Info["&amp;I$4&amp;"]"),MATCH($C$30,INDIRECT($C34&amp;".Info[Vector]"),0))</f>
        <v>0</v>
      </c>
      <c r="J60" s="3304">
        <f t="shared" ca="1" si="23"/>
        <v>0</v>
      </c>
      <c r="K60" s="3304">
        <f t="shared" ca="1" si="23"/>
        <v>0</v>
      </c>
      <c r="L60" s="3304">
        <f t="shared" ca="1" si="23"/>
        <v>1</v>
      </c>
      <c r="M60" s="3304">
        <f t="shared" ca="1" si="23"/>
        <v>1</v>
      </c>
      <c r="N60" s="3304">
        <f t="shared" ca="1" si="23"/>
        <v>1</v>
      </c>
      <c r="O60" s="3304">
        <f t="shared" ca="1" si="23"/>
        <v>1</v>
      </c>
      <c r="P60" s="3304">
        <f t="shared" ca="1" si="23"/>
        <v>1</v>
      </c>
      <c r="Q60" s="3306"/>
      <c r="S60"/>
      <c r="T60"/>
      <c r="U60"/>
      <c r="V60"/>
      <c r="W60"/>
      <c r="X60"/>
      <c r="Y60"/>
      <c r="Z60"/>
      <c r="AA60"/>
      <c r="AB60"/>
    </row>
    <row r="61" spans="2:28">
      <c r="B61" s="3303"/>
      <c r="C61" s="3315"/>
      <c r="D61" s="3318" t="s">
        <v>3181</v>
      </c>
      <c r="E61" s="3315"/>
      <c r="F61" s="3305"/>
      <c r="G61" s="4017" t="s">
        <v>528</v>
      </c>
      <c r="H61" s="3305"/>
      <c r="I61" s="3305"/>
      <c r="J61" s="3305"/>
      <c r="K61" s="3305"/>
      <c r="L61" s="3305"/>
      <c r="M61" s="3305"/>
      <c r="N61" s="3305"/>
      <c r="O61" s="3305"/>
      <c r="P61" s="3305"/>
      <c r="Q61" s="3306"/>
      <c r="S61"/>
      <c r="T61"/>
      <c r="U61"/>
      <c r="V61"/>
      <c r="W61"/>
      <c r="X61"/>
      <c r="Y61"/>
      <c r="Z61"/>
      <c r="AA61"/>
      <c r="AB61"/>
    </row>
    <row r="62" spans="2:28">
      <c r="B62" s="3303"/>
      <c r="C62" s="3315"/>
      <c r="D62" s="3318" t="s">
        <v>3228</v>
      </c>
      <c r="E62" s="3315"/>
      <c r="F62" s="3317"/>
      <c r="G62" s="4017" t="s">
        <v>569</v>
      </c>
      <c r="H62" s="4007">
        <f ca="1">INDEX(INDIRECT($C36&amp;".Info["&amp;H$4&amp;"]"),MATCH($C$30,INDIRECT($C36&amp;".Info[Vector]"),0))</f>
        <v>0.83988753560064744</v>
      </c>
      <c r="I62" s="4007">
        <f t="shared" ref="I62:P62" ca="1" si="24">INDEX(INDIRECT($C36&amp;".Info["&amp;I$4&amp;"]"),MATCH($C$30,INDIRECT($C36&amp;".Info[Vector]"),0))</f>
        <v>1.632408813965299</v>
      </c>
      <c r="J62" s="4007">
        <f t="shared" ca="1" si="24"/>
        <v>1.7530518449499652</v>
      </c>
      <c r="K62" s="4007">
        <f t="shared" ca="1" si="24"/>
        <v>0</v>
      </c>
      <c r="L62" s="4007">
        <f t="shared" ca="1" si="24"/>
        <v>0</v>
      </c>
      <c r="M62" s="4007">
        <f t="shared" ca="1" si="24"/>
        <v>0</v>
      </c>
      <c r="N62" s="4007">
        <f t="shared" ca="1" si="24"/>
        <v>0</v>
      </c>
      <c r="O62" s="4007">
        <f t="shared" ca="1" si="24"/>
        <v>0</v>
      </c>
      <c r="P62" s="4007">
        <f t="shared" ca="1" si="24"/>
        <v>0</v>
      </c>
      <c r="Q62" s="3306"/>
      <c r="S62"/>
      <c r="T62"/>
      <c r="U62"/>
      <c r="V62"/>
      <c r="W62"/>
      <c r="X62"/>
      <c r="Y62"/>
      <c r="Z62"/>
      <c r="AA62"/>
      <c r="AB62"/>
    </row>
    <row r="63" spans="2:28">
      <c r="B63" s="3303"/>
      <c r="C63" s="3315"/>
      <c r="D63" s="3318" t="s">
        <v>3182</v>
      </c>
      <c r="E63" s="3315"/>
      <c r="F63" s="3317"/>
      <c r="G63" s="4017" t="s">
        <v>508</v>
      </c>
      <c r="H63" s="4007">
        <f ca="1">INDEX(INDIRECT($C37&amp;".Info["&amp;H$4&amp;"]"),MATCH($C$30,INDIRECT($C37&amp;".Info[Vector]"),0))</f>
        <v>0.69393436000000008</v>
      </c>
      <c r="I63" s="4007">
        <f t="shared" ref="I63:P63" ca="1" si="25">INDEX(INDIRECT($C37&amp;".Info["&amp;I$4&amp;"]"),MATCH($C$30,INDIRECT($C37&amp;".Info[Vector]"),0))</f>
        <v>0.754344448</v>
      </c>
      <c r="J63" s="4007">
        <f t="shared" ca="1" si="25"/>
        <v>2.9229970673625103</v>
      </c>
      <c r="K63" s="4007">
        <f t="shared" ca="1" si="25"/>
        <v>2.836473511223963</v>
      </c>
      <c r="L63" s="4007">
        <f t="shared" ca="1" si="25"/>
        <v>2.7522736344777217</v>
      </c>
      <c r="M63" s="4007">
        <f t="shared" ca="1" si="25"/>
        <v>2.7235746188709729</v>
      </c>
      <c r="N63" s="4007">
        <f t="shared" ca="1" si="25"/>
        <v>2.6973290280266586</v>
      </c>
      <c r="O63" s="4007">
        <f t="shared" ca="1" si="25"/>
        <v>2.6666126360314557</v>
      </c>
      <c r="P63" s="4007">
        <f t="shared" ca="1" si="25"/>
        <v>2.6260325485003251</v>
      </c>
      <c r="Q63" s="3306"/>
    </row>
    <row r="64" spans="2:28">
      <c r="B64" s="3303"/>
      <c r="C64" s="3315"/>
      <c r="D64" s="3315"/>
      <c r="E64" s="3316"/>
      <c r="F64" s="3317"/>
      <c r="G64" s="3316"/>
      <c r="H64" s="3318"/>
      <c r="I64" s="3318"/>
      <c r="J64" s="3318"/>
      <c r="K64" s="3318"/>
      <c r="L64" s="3318"/>
      <c r="M64" s="3318"/>
      <c r="N64" s="3318"/>
      <c r="O64" s="3318"/>
      <c r="P64" s="3318"/>
      <c r="Q64" s="3306"/>
    </row>
    <row r="65" spans="2:17">
      <c r="B65"/>
      <c r="C65"/>
      <c r="D65"/>
      <c r="E65"/>
      <c r="F65"/>
      <c r="G65"/>
      <c r="H65"/>
      <c r="I65"/>
      <c r="J65"/>
      <c r="K65"/>
      <c r="L65"/>
      <c r="M65"/>
      <c r="N65"/>
      <c r="O65"/>
      <c r="P65"/>
      <c r="Q65"/>
    </row>
    <row r="66" spans="2:17" ht="15.75">
      <c r="B66" s="3295" t="s">
        <v>3462</v>
      </c>
      <c r="C66" s="3296"/>
      <c r="D66" s="3296"/>
      <c r="E66" s="3296"/>
      <c r="F66" s="3296"/>
      <c r="G66" s="3296"/>
      <c r="H66"/>
      <c r="I66"/>
      <c r="J66"/>
      <c r="K66"/>
      <c r="L66"/>
      <c r="M66"/>
      <c r="N66"/>
      <c r="O66"/>
      <c r="P66"/>
      <c r="Q66"/>
    </row>
    <row r="67" spans="2:17" ht="15.75">
      <c r="B67" s="3299"/>
      <c r="C67" s="3300"/>
      <c r="D67" s="3300"/>
      <c r="E67" s="3300"/>
      <c r="F67" s="3300"/>
      <c r="G67" s="3300"/>
      <c r="H67"/>
      <c r="I67"/>
      <c r="J67"/>
      <c r="K67"/>
      <c r="L67"/>
      <c r="M67"/>
      <c r="N67"/>
      <c r="O67"/>
      <c r="P67"/>
      <c r="Q67"/>
    </row>
    <row r="68" spans="2:17" ht="15.75">
      <c r="B68" s="3902"/>
      <c r="C68" s="3304"/>
      <c r="D68" s="3313" t="s">
        <v>3455</v>
      </c>
      <c r="E68" s="3314" t="s">
        <v>1474</v>
      </c>
      <c r="F68" s="3314" t="s">
        <v>2423</v>
      </c>
      <c r="G68" s="3304"/>
      <c r="H68"/>
      <c r="I68"/>
      <c r="J68"/>
      <c r="K68"/>
      <c r="L68"/>
      <c r="M68"/>
      <c r="N68"/>
      <c r="O68"/>
      <c r="P68"/>
      <c r="Q68"/>
    </row>
    <row r="69" spans="2:17" ht="15.75">
      <c r="B69" s="3902"/>
      <c r="C69" s="3304"/>
      <c r="D69" s="3906" t="s">
        <v>46</v>
      </c>
      <c r="E69" s="4112">
        <f>IX.a!N626</f>
        <v>0</v>
      </c>
      <c r="F69" s="4112">
        <f>IX.c!M317</f>
        <v>0</v>
      </c>
      <c r="G69" s="3304"/>
      <c r="H69"/>
      <c r="I69"/>
      <c r="J69"/>
      <c r="K69"/>
      <c r="L69"/>
      <c r="M69"/>
      <c r="N69"/>
      <c r="O69"/>
      <c r="P69"/>
      <c r="Q69"/>
    </row>
    <row r="70" spans="2:17" ht="15.75">
      <c r="B70" s="3902"/>
      <c r="C70" s="3304"/>
      <c r="D70" s="3906" t="s">
        <v>47</v>
      </c>
      <c r="E70" s="4112">
        <f>IX.a!N627</f>
        <v>0.9</v>
      </c>
      <c r="F70" s="4112">
        <f>IX.c!M318</f>
        <v>1E-3</v>
      </c>
      <c r="G70" s="3304"/>
      <c r="H70"/>
      <c r="I70"/>
      <c r="J70"/>
      <c r="K70"/>
      <c r="L70"/>
      <c r="M70"/>
      <c r="N70"/>
      <c r="O70"/>
      <c r="P70"/>
      <c r="Q70"/>
    </row>
    <row r="71" spans="2:17" ht="15.75">
      <c r="B71" s="3902"/>
      <c r="C71" s="3304"/>
      <c r="D71" s="3906" t="s">
        <v>3456</v>
      </c>
      <c r="E71" s="4112">
        <f>IX.a!N628</f>
        <v>0.1</v>
      </c>
      <c r="F71" s="4112">
        <f>IX.c!M319</f>
        <v>0.1</v>
      </c>
      <c r="G71" s="3304"/>
      <c r="H71"/>
      <c r="I71"/>
      <c r="J71"/>
      <c r="K71"/>
      <c r="L71"/>
      <c r="M71"/>
      <c r="N71"/>
      <c r="O71"/>
      <c r="P71"/>
      <c r="Q71"/>
    </row>
    <row r="72" spans="2:17" ht="15.75">
      <c r="B72" s="3902"/>
      <c r="C72" s="3304"/>
      <c r="D72" s="3906" t="s">
        <v>49</v>
      </c>
      <c r="E72" s="4112">
        <f>IX.a!N629</f>
        <v>0</v>
      </c>
      <c r="F72" s="4112">
        <f>IX.c!M320</f>
        <v>0</v>
      </c>
      <c r="G72" s="3304"/>
      <c r="H72"/>
      <c r="I72"/>
      <c r="J72"/>
      <c r="K72"/>
      <c r="L72"/>
      <c r="M72"/>
      <c r="N72"/>
      <c r="O72"/>
      <c r="P72"/>
      <c r="Q72"/>
    </row>
    <row r="73" spans="2:17" ht="15.75">
      <c r="B73" s="3902"/>
      <c r="C73" s="3304"/>
      <c r="D73" s="3906" t="s">
        <v>50</v>
      </c>
      <c r="E73" s="4112">
        <f>IX.a!N630</f>
        <v>0</v>
      </c>
      <c r="F73" s="4112">
        <f>IX.c!M321</f>
        <v>0</v>
      </c>
      <c r="G73" s="3304"/>
      <c r="H73"/>
      <c r="I73"/>
      <c r="J73"/>
      <c r="K73"/>
      <c r="L73"/>
      <c r="M73"/>
      <c r="N73"/>
      <c r="O73"/>
      <c r="P73"/>
      <c r="Q73"/>
    </row>
    <row r="74" spans="2:17" ht="15.75">
      <c r="B74" s="3902"/>
      <c r="C74" s="3304"/>
      <c r="D74" s="3906" t="s">
        <v>3457</v>
      </c>
      <c r="E74" s="4112">
        <f>IX.a!N631</f>
        <v>0</v>
      </c>
      <c r="F74" s="4112">
        <f>IX.c!M322</f>
        <v>0</v>
      </c>
      <c r="G74" s="3304"/>
      <c r="H74"/>
      <c r="I74"/>
      <c r="J74"/>
      <c r="K74"/>
      <c r="L74"/>
      <c r="M74"/>
      <c r="N74"/>
      <c r="O74"/>
      <c r="P74"/>
      <c r="Q74"/>
    </row>
    <row r="75" spans="2:17" ht="15.75">
      <c r="B75" s="3902"/>
      <c r="C75" s="3304"/>
      <c r="D75" s="3906" t="s">
        <v>3458</v>
      </c>
      <c r="E75" s="4112">
        <f>IX.a!N632</f>
        <v>0</v>
      </c>
      <c r="F75" s="4112">
        <f>IX.c!M323</f>
        <v>0.9</v>
      </c>
      <c r="G75" s="3304"/>
      <c r="H75"/>
      <c r="I75"/>
      <c r="J75"/>
      <c r="K75"/>
      <c r="L75"/>
      <c r="M75"/>
      <c r="N75"/>
      <c r="O75"/>
      <c r="P75"/>
      <c r="Q75"/>
    </row>
    <row r="76" spans="2:17" ht="15.75">
      <c r="B76" s="3902"/>
      <c r="C76" s="3304"/>
      <c r="D76" s="3906" t="s">
        <v>53</v>
      </c>
      <c r="E76" s="4112">
        <f>IX.a!N633</f>
        <v>0</v>
      </c>
      <c r="F76" s="4112">
        <f>IX.c!M324</f>
        <v>0</v>
      </c>
      <c r="G76" s="3304"/>
      <c r="H76"/>
      <c r="I76"/>
      <c r="J76"/>
      <c r="K76"/>
      <c r="L76"/>
      <c r="M76"/>
      <c r="N76"/>
      <c r="O76"/>
      <c r="P76"/>
      <c r="Q76"/>
    </row>
    <row r="77" spans="2:17" ht="15.75">
      <c r="B77" s="3902"/>
      <c r="C77" s="3304"/>
      <c r="D77" s="3906" t="s">
        <v>54</v>
      </c>
      <c r="E77" s="4112">
        <f>IX.a!N634</f>
        <v>0</v>
      </c>
      <c r="F77" s="4112">
        <f>IX.c!M325</f>
        <v>0</v>
      </c>
      <c r="G77" s="3304"/>
      <c r="H77"/>
      <c r="I77"/>
      <c r="J77"/>
      <c r="K77"/>
      <c r="L77"/>
      <c r="M77"/>
      <c r="N77"/>
      <c r="O77"/>
      <c r="P77"/>
      <c r="Q77"/>
    </row>
    <row r="78" spans="2:17" ht="15.75">
      <c r="B78" s="3902"/>
      <c r="C78" s="3304"/>
      <c r="D78" s="3906" t="s">
        <v>529</v>
      </c>
      <c r="E78" s="4112">
        <f>IX.a!N635</f>
        <v>0</v>
      </c>
      <c r="F78" s="4112">
        <f>IX.c!M326</f>
        <v>0</v>
      </c>
      <c r="G78" s="3304"/>
    </row>
    <row r="79" spans="2:17" ht="15.75">
      <c r="B79" s="3902"/>
      <c r="C79" s="3304"/>
      <c r="D79" s="3906" t="s">
        <v>3459</v>
      </c>
      <c r="E79" s="4112">
        <f>IX.a!N636</f>
        <v>0</v>
      </c>
      <c r="F79" s="4112">
        <f>IX.c!M327</f>
        <v>0</v>
      </c>
      <c r="G79" s="3304"/>
    </row>
    <row r="80" spans="2:17">
      <c r="B80" s="3303"/>
      <c r="C80" s="3311"/>
      <c r="D80" s="4113" t="s">
        <v>3460</v>
      </c>
      <c r="E80" s="4112">
        <f>IX.a!N637</f>
        <v>0</v>
      </c>
      <c r="F80" s="4112">
        <f>IX.c!M328</f>
        <v>0</v>
      </c>
      <c r="G80" s="3313"/>
    </row>
    <row r="81" spans="2:7">
      <c r="B81" s="3303"/>
      <c r="C81" s="3307"/>
      <c r="D81" s="3906" t="s">
        <v>3461</v>
      </c>
      <c r="E81" s="4112">
        <f>IX.a!N638</f>
        <v>0</v>
      </c>
      <c r="F81" s="4112">
        <f>IX.c!M329</f>
        <v>0</v>
      </c>
      <c r="G81" s="3305"/>
    </row>
    <row r="82" spans="2:7">
      <c r="B82" s="3303"/>
      <c r="C82" s="3315"/>
      <c r="D82" s="4114" t="s">
        <v>59</v>
      </c>
      <c r="E82" s="4115">
        <f>ROUND(SUM(E69:E81),0)</f>
        <v>1</v>
      </c>
      <c r="F82" s="4115">
        <f>ROUND(SUM(F69:F81),0)</f>
        <v>1</v>
      </c>
      <c r="G82" s="3317"/>
    </row>
    <row r="83" spans="2:7">
      <c r="B83" s="3303"/>
      <c r="C83" s="3315"/>
      <c r="D83" s="3315"/>
      <c r="E83" s="3316"/>
      <c r="F83" s="3317"/>
      <c r="G83" s="3317"/>
    </row>
    <row r="84" spans="2:7">
      <c r="B84" s="3303"/>
      <c r="C84" s="3315"/>
      <c r="D84" s="3315"/>
      <c r="E84" s="3316"/>
      <c r="F84" s="3317"/>
      <c r="G84" s="3317"/>
    </row>
  </sheetData>
  <conditionalFormatting sqref="E82:F82">
    <cfRule type="cellIs" dxfId="3008" priority="2" operator="notEqual">
      <formula>1</formula>
    </cfRule>
  </conditionalFormatting>
  <conditionalFormatting sqref="E82:F82">
    <cfRule type="cellIs" dxfId="3007" priority="1" operator="notEqual">
      <formula>1</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sheetPr>
    <tabColor theme="5"/>
  </sheetPr>
  <dimension ref="A2:BI44"/>
  <sheetViews>
    <sheetView showGridLines="0" zoomScale="80" zoomScaleNormal="80" workbookViewId="0">
      <selection activeCell="F43" sqref="F43"/>
    </sheetView>
  </sheetViews>
  <sheetFormatPr defaultColWidth="11.42578125" defaultRowHeight="15"/>
  <cols>
    <col min="1" max="1" width="3.140625" style="4013" customWidth="1"/>
    <col min="2" max="2" width="11.42578125" style="4013"/>
    <col min="3" max="3" width="5.42578125" style="4013" customWidth="1"/>
    <col min="4" max="4" width="28.7109375" style="4013" customWidth="1"/>
    <col min="5" max="14" width="11.42578125" style="4013"/>
    <col min="15" max="16384" width="11.42578125" style="39"/>
  </cols>
  <sheetData>
    <row r="2" spans="1:61" ht="23.25">
      <c r="A2" s="7"/>
      <c r="B2" s="511" t="s">
        <v>1028</v>
      </c>
      <c r="C2" s="512"/>
      <c r="D2" s="512"/>
      <c r="E2" s="512"/>
      <c r="F2" s="512"/>
      <c r="G2" s="512"/>
      <c r="H2" s="512"/>
      <c r="I2" s="512"/>
      <c r="J2" s="512"/>
      <c r="K2" s="512"/>
      <c r="L2" s="512"/>
      <c r="M2" s="512"/>
      <c r="N2" s="866"/>
    </row>
    <row r="3" spans="1:61" s="859" customFormat="1" ht="18" customHeight="1">
      <c r="A3" s="6"/>
      <c r="B3" s="514"/>
      <c r="C3" s="515"/>
      <c r="D3" s="515"/>
      <c r="E3" s="515"/>
      <c r="F3" s="515"/>
      <c r="G3" s="515"/>
      <c r="H3" s="515"/>
      <c r="I3" s="515"/>
      <c r="J3" s="515"/>
      <c r="K3" s="515"/>
      <c r="L3" s="4029"/>
      <c r="M3" s="4001"/>
      <c r="N3" s="875"/>
      <c r="P3" s="39"/>
      <c r="Q3" s="39"/>
      <c r="R3" s="39"/>
      <c r="S3" s="39"/>
      <c r="T3" s="39"/>
      <c r="U3" s="39"/>
      <c r="V3" s="39"/>
      <c r="W3" s="39"/>
      <c r="X3" s="39"/>
      <c r="Y3" s="39"/>
      <c r="Z3" s="39"/>
      <c r="AA3" s="39"/>
      <c r="AB3" s="39"/>
    </row>
    <row r="4" spans="1:61" s="859" customFormat="1" ht="18" customHeight="1">
      <c r="A4" s="6"/>
      <c r="B4" s="514"/>
      <c r="C4" s="3121" t="s">
        <v>3451</v>
      </c>
      <c r="D4" s="515"/>
      <c r="E4" s="515"/>
      <c r="F4" s="515"/>
      <c r="G4" s="515"/>
      <c r="H4" s="515"/>
      <c r="I4" s="515"/>
      <c r="J4" s="515"/>
      <c r="K4" s="515"/>
      <c r="L4" s="515"/>
      <c r="M4" s="17"/>
      <c r="N4" s="875"/>
      <c r="P4" s="39"/>
      <c r="Q4" s="39"/>
      <c r="R4" s="39"/>
      <c r="S4" s="39"/>
      <c r="T4" s="39"/>
      <c r="U4" s="39"/>
      <c r="V4" s="39"/>
      <c r="W4" s="39"/>
      <c r="X4" s="39"/>
      <c r="Y4" s="39"/>
      <c r="Z4" s="39"/>
      <c r="AA4" s="39"/>
      <c r="AB4" s="39"/>
    </row>
    <row r="5" spans="1:61" s="859" customFormat="1" ht="18" customHeight="1">
      <c r="A5" s="6"/>
      <c r="B5" s="514"/>
      <c r="C5" s="515"/>
      <c r="D5" s="515"/>
      <c r="E5" s="515"/>
      <c r="F5" s="515"/>
      <c r="G5" s="515"/>
      <c r="H5" s="515"/>
      <c r="I5" s="515"/>
      <c r="J5" s="515"/>
      <c r="K5" s="515"/>
      <c r="L5" s="515"/>
      <c r="M5" s="17"/>
      <c r="N5" s="875"/>
      <c r="P5" s="39"/>
      <c r="Q5" s="39"/>
      <c r="R5" s="39"/>
      <c r="S5" s="39"/>
      <c r="T5" s="39"/>
      <c r="U5" s="39"/>
      <c r="V5" s="39"/>
      <c r="W5" s="39"/>
      <c r="X5" s="39"/>
      <c r="Y5" s="39"/>
      <c r="Z5" s="39"/>
      <c r="AA5" s="39"/>
      <c r="AB5" s="39"/>
    </row>
    <row r="6" spans="1:61" s="1309" customFormat="1" ht="18" customHeight="1">
      <c r="A6" s="927"/>
      <c r="B6" s="3096"/>
      <c r="C6" s="3097"/>
      <c r="D6" s="4097" t="s">
        <v>254</v>
      </c>
      <c r="E6" s="3095">
        <v>2013</v>
      </c>
      <c r="F6" s="3095">
        <v>2015</v>
      </c>
      <c r="G6" s="3095">
        <v>2020</v>
      </c>
      <c r="H6" s="3095">
        <v>2025</v>
      </c>
      <c r="I6" s="3095">
        <v>2030</v>
      </c>
      <c r="J6" s="3095">
        <v>2035</v>
      </c>
      <c r="K6" s="3095">
        <v>2040</v>
      </c>
      <c r="L6" s="3095">
        <v>2045</v>
      </c>
      <c r="M6" s="3095">
        <v>2050</v>
      </c>
      <c r="N6" s="3100"/>
      <c r="O6" s="4098"/>
    </row>
    <row r="7" spans="1:61" s="1309" customFormat="1" ht="12.75">
      <c r="A7" s="927"/>
      <c r="B7" s="3096"/>
      <c r="C7" s="4079" t="s">
        <v>307</v>
      </c>
      <c r="D7" s="4079" t="s">
        <v>308</v>
      </c>
      <c r="E7" s="4080">
        <f ca="1">SUMIFS(INDIRECT("'"&amp;E$6&amp;"'!Year.Emissions"), INDIRECT("'"&amp;E$6&amp;"'!Year.IPCC"), $C7)</f>
        <v>36.577741668782814</v>
      </c>
      <c r="F7" s="4080">
        <f t="shared" ref="F7:M8" ca="1" si="0">SUMIFS(INDIRECT("'"&amp;F$6&amp;"'!Year.Emissions"), INDIRECT("'"&amp;F$6&amp;"'!Year.IPCC"), $C7)</f>
        <v>35.464048656992752</v>
      </c>
      <c r="G7" s="4080">
        <f t="shared" ca="1" si="0"/>
        <v>31.643257235140034</v>
      </c>
      <c r="H7" s="4080">
        <f t="shared" ca="1" si="0"/>
        <v>27.426481683606269</v>
      </c>
      <c r="I7" s="4080">
        <f t="shared" ca="1" si="0"/>
        <v>24.349618979309554</v>
      </c>
      <c r="J7" s="4080">
        <f t="shared" ca="1" si="0"/>
        <v>32.309749514970825</v>
      </c>
      <c r="K7" s="4080">
        <f t="shared" ca="1" si="0"/>
        <v>35.812157478270173</v>
      </c>
      <c r="L7" s="4080">
        <f t="shared" ca="1" si="0"/>
        <v>38.737162897378646</v>
      </c>
      <c r="M7" s="4080">
        <f t="shared" ca="1" si="0"/>
        <v>41.662725427109031</v>
      </c>
      <c r="N7" s="3100"/>
      <c r="O7" s="4098"/>
    </row>
    <row r="8" spans="1:61" s="1309" customFormat="1" ht="12.75">
      <c r="A8" s="927"/>
      <c r="B8" s="3096"/>
      <c r="C8" s="4079" t="s">
        <v>456</v>
      </c>
      <c r="D8" s="4099" t="s">
        <v>407</v>
      </c>
      <c r="E8" s="4100">
        <f ca="1">SUMIFS(INDIRECT("'"&amp;E$6&amp;"'!Year.Emissions"), INDIRECT("'"&amp;E$6&amp;"'!Year.IPCC"), $C8)</f>
        <v>0.02</v>
      </c>
      <c r="F8" s="4100">
        <f t="shared" ca="1" si="0"/>
        <v>2.0366150823557673E-2</v>
      </c>
      <c r="G8" s="4100">
        <f t="shared" ca="1" si="0"/>
        <v>1.9963676250276358E-2</v>
      </c>
      <c r="H8" s="4100">
        <f t="shared" ca="1" si="0"/>
        <v>1.7075629667676426E-2</v>
      </c>
      <c r="I8" s="4100">
        <f t="shared" ca="1" si="0"/>
        <v>1.2768375410568076E-2</v>
      </c>
      <c r="J8" s="4100">
        <f t="shared" ca="1" si="0"/>
        <v>1.6145000283810759E-2</v>
      </c>
      <c r="K8" s="4100">
        <f t="shared" ca="1" si="0"/>
        <v>2.1357747727214344E-2</v>
      </c>
      <c r="L8" s="4100">
        <f t="shared" ca="1" si="0"/>
        <v>2.6717876539168711E-2</v>
      </c>
      <c r="M8" s="4100">
        <f t="shared" ca="1" si="0"/>
        <v>3.2231198277947314E-2</v>
      </c>
      <c r="N8" s="3100"/>
      <c r="O8" s="4098"/>
    </row>
    <row r="9" spans="1:61" s="1309" customFormat="1" ht="12.75">
      <c r="A9" s="927"/>
      <c r="B9" s="3096"/>
      <c r="C9" s="4101">
        <v>1</v>
      </c>
      <c r="D9" s="4079" t="s">
        <v>3442</v>
      </c>
      <c r="E9" s="4080">
        <f ca="1">SUM(E7:E8)</f>
        <v>36.597741668782817</v>
      </c>
      <c r="F9" s="4080">
        <f t="shared" ref="F9:M9" ca="1" si="1">SUM(F7:F8)</f>
        <v>35.484414807816307</v>
      </c>
      <c r="G9" s="4080">
        <f t="shared" ca="1" si="1"/>
        <v>31.663220911390312</v>
      </c>
      <c r="H9" s="4080">
        <f t="shared" ca="1" si="1"/>
        <v>27.443557313273946</v>
      </c>
      <c r="I9" s="4080">
        <f t="shared" ca="1" si="1"/>
        <v>24.362387354720124</v>
      </c>
      <c r="J9" s="4080">
        <f t="shared" ca="1" si="1"/>
        <v>32.325894515254639</v>
      </c>
      <c r="K9" s="4080">
        <f t="shared" ca="1" si="1"/>
        <v>35.833515225997388</v>
      </c>
      <c r="L9" s="4080">
        <f t="shared" ca="1" si="1"/>
        <v>38.763880773917812</v>
      </c>
      <c r="M9" s="4080">
        <f t="shared" ca="1" si="1"/>
        <v>41.694956625386979</v>
      </c>
      <c r="N9" s="3100"/>
      <c r="O9" s="4098"/>
    </row>
    <row r="10" spans="1:61" s="1309" customFormat="1" ht="18" customHeight="1">
      <c r="A10" s="927"/>
      <c r="B10" s="3096"/>
      <c r="C10" s="3098"/>
      <c r="D10" s="3098"/>
      <c r="E10" s="4081"/>
      <c r="F10" s="4081"/>
      <c r="G10" s="4081"/>
      <c r="H10" s="4081"/>
      <c r="I10" s="4081"/>
      <c r="J10" s="4081"/>
      <c r="K10" s="4081"/>
      <c r="L10" s="4081"/>
      <c r="M10" s="4081"/>
      <c r="N10" s="3100"/>
      <c r="O10" s="4098"/>
    </row>
    <row r="11" spans="1:61" s="1309" customFormat="1" ht="18" customHeight="1">
      <c r="A11" s="927"/>
      <c r="B11" s="3096"/>
      <c r="C11" s="4082" t="s">
        <v>3452</v>
      </c>
      <c r="D11" s="3098"/>
      <c r="E11" s="4081"/>
      <c r="F11" s="4081"/>
      <c r="G11" s="4081"/>
      <c r="H11" s="4081"/>
      <c r="I11" s="4081"/>
      <c r="J11" s="4081"/>
      <c r="K11" s="4081"/>
      <c r="L11" s="4081"/>
      <c r="M11" s="4081"/>
      <c r="N11" s="3100"/>
      <c r="O11" s="4098"/>
    </row>
    <row r="12" spans="1:61" s="1309" customFormat="1" ht="18" customHeight="1">
      <c r="A12" s="927"/>
      <c r="B12" s="3096"/>
      <c r="C12" s="4082"/>
      <c r="D12" s="3098"/>
      <c r="E12" s="4081"/>
      <c r="F12" s="4081"/>
      <c r="G12" s="4081"/>
      <c r="H12" s="4081"/>
      <c r="I12" s="4081"/>
      <c r="J12" s="4081"/>
      <c r="K12" s="4081"/>
      <c r="L12" s="4081"/>
      <c r="M12" s="4081"/>
      <c r="N12" s="3100"/>
      <c r="O12" s="4098"/>
    </row>
    <row r="13" spans="1:61" s="1309" customFormat="1" ht="18" customHeight="1">
      <c r="A13" s="927"/>
      <c r="B13" s="3096"/>
      <c r="C13" s="3097"/>
      <c r="D13" s="4097" t="s">
        <v>254</v>
      </c>
      <c r="E13" s="3095">
        <v>2013</v>
      </c>
      <c r="F13" s="3095">
        <v>2015</v>
      </c>
      <c r="G13" s="3095">
        <v>2020</v>
      </c>
      <c r="H13" s="3095">
        <v>2025</v>
      </c>
      <c r="I13" s="3095">
        <v>2030</v>
      </c>
      <c r="J13" s="3095">
        <v>2035</v>
      </c>
      <c r="K13" s="3095">
        <v>2040</v>
      </c>
      <c r="L13" s="3095">
        <v>2045</v>
      </c>
      <c r="M13" s="3095">
        <v>2050</v>
      </c>
      <c r="N13" s="3100"/>
      <c r="O13" s="4098"/>
    </row>
    <row r="14" spans="1:61">
      <c r="B14" s="3096"/>
      <c r="C14" s="4101">
        <v>1</v>
      </c>
      <c r="D14" s="4079" t="s">
        <v>308</v>
      </c>
      <c r="E14" s="4080">
        <f ca="1">E9</f>
        <v>36.597741668782817</v>
      </c>
      <c r="F14" s="4080">
        <f t="shared" ref="F14:M14" ca="1" si="2">F9</f>
        <v>35.484414807816307</v>
      </c>
      <c r="G14" s="4080">
        <f t="shared" ca="1" si="2"/>
        <v>31.663220911390312</v>
      </c>
      <c r="H14" s="4080">
        <f t="shared" ca="1" si="2"/>
        <v>27.443557313273946</v>
      </c>
      <c r="I14" s="4080">
        <f t="shared" ca="1" si="2"/>
        <v>24.362387354720124</v>
      </c>
      <c r="J14" s="4080">
        <f t="shared" ca="1" si="2"/>
        <v>32.325894515254639</v>
      </c>
      <c r="K14" s="4080">
        <f t="shared" ca="1" si="2"/>
        <v>35.833515225997388</v>
      </c>
      <c r="L14" s="4080">
        <f t="shared" ca="1" si="2"/>
        <v>38.763880773917812</v>
      </c>
      <c r="M14" s="4080">
        <f t="shared" ca="1" si="2"/>
        <v>41.694956625386979</v>
      </c>
      <c r="N14" s="3100"/>
      <c r="O14" s="4102"/>
      <c r="P14" s="4102"/>
      <c r="Q14" s="4102"/>
      <c r="R14" s="4102"/>
      <c r="S14" s="4102"/>
      <c r="T14" s="4102"/>
      <c r="U14" s="4102"/>
      <c r="V14" s="4102"/>
      <c r="W14" s="4102"/>
      <c r="X14" s="4102"/>
      <c r="Y14" s="4102"/>
      <c r="Z14" s="4102"/>
      <c r="AA14" s="4102"/>
      <c r="AB14" s="4102"/>
      <c r="AC14" s="4102"/>
      <c r="AD14" s="4102"/>
      <c r="AE14" s="4102"/>
      <c r="AF14" s="4102"/>
      <c r="AG14" s="4102"/>
      <c r="AH14" s="4102"/>
      <c r="AI14" s="4102"/>
      <c r="AJ14" s="4102"/>
      <c r="AK14" s="4102"/>
      <c r="AL14" s="4102"/>
      <c r="AM14" s="4102"/>
      <c r="AN14" s="4102"/>
      <c r="AO14" s="4102"/>
      <c r="AP14" s="4102"/>
      <c r="AQ14" s="4102"/>
      <c r="AR14" s="4102"/>
      <c r="AS14" s="4102"/>
      <c r="AT14" s="4102"/>
      <c r="AU14" s="4102"/>
      <c r="AV14" s="4102"/>
      <c r="AW14" s="4102"/>
      <c r="AX14" s="1234"/>
      <c r="AY14" s="3385"/>
      <c r="AZ14" s="3385"/>
      <c r="BA14" s="3385"/>
      <c r="BB14" s="3385"/>
      <c r="BC14" s="3385"/>
      <c r="BD14" s="3385"/>
      <c r="BE14" s="3385"/>
      <c r="BF14" s="3385"/>
      <c r="BG14" s="3385"/>
      <c r="BH14" s="3385"/>
      <c r="BI14" s="2497"/>
    </row>
    <row r="15" spans="1:61">
      <c r="B15" s="3096"/>
      <c r="C15" s="4101">
        <v>2</v>
      </c>
      <c r="D15" s="4079" t="s">
        <v>408</v>
      </c>
      <c r="E15" s="4080">
        <f ca="1">SUMIFS(INDIRECT("'"&amp;E$6&amp;"'!Year.Emissions"), INDIRECT("'"&amp;E$6&amp;"'!Year.IPCC"), $C15)</f>
        <v>2.42</v>
      </c>
      <c r="F15" s="4080">
        <f t="shared" ref="F15:M15" ca="1" si="3">SUMIFS(INDIRECT("'"&amp;F$6&amp;"'!Year.Emissions"), INDIRECT("'"&amp;F$6&amp;"'!Year.IPCC"), $C15)</f>
        <v>2.317445925498101</v>
      </c>
      <c r="G15" s="4080">
        <f t="shared" ca="1" si="3"/>
        <v>2.0803301987443206</v>
      </c>
      <c r="H15" s="4080">
        <f t="shared" ca="1" si="3"/>
        <v>1.8683213839408266</v>
      </c>
      <c r="I15" s="4080">
        <f t="shared" ca="1" si="3"/>
        <v>1.6786821051150729</v>
      </c>
      <c r="J15" s="4080">
        <f t="shared" ca="1" si="3"/>
        <v>1.5089805586263663</v>
      </c>
      <c r="K15" s="4080">
        <f t="shared" ca="1" si="3"/>
        <v>1.3570557786362432</v>
      </c>
      <c r="L15" s="4080">
        <f t="shared" ca="1" si="3"/>
        <v>1.22098690421433</v>
      </c>
      <c r="M15" s="4080">
        <f t="shared" ca="1" si="3"/>
        <v>1.0990659825843379</v>
      </c>
      <c r="N15" s="3100"/>
      <c r="O15" s="4102"/>
      <c r="P15" s="4102"/>
      <c r="Q15" s="4102"/>
      <c r="R15" s="4102"/>
      <c r="S15" s="4102"/>
      <c r="T15" s="4102"/>
      <c r="U15" s="4102"/>
      <c r="V15" s="4102"/>
      <c r="W15" s="4102"/>
      <c r="X15" s="4102"/>
      <c r="Y15" s="4102"/>
      <c r="Z15" s="4102"/>
      <c r="AA15" s="4102"/>
      <c r="AB15" s="4102"/>
      <c r="AC15" s="4102"/>
      <c r="AD15" s="4102"/>
      <c r="AE15" s="4102"/>
      <c r="AF15" s="4102"/>
      <c r="AG15" s="4102"/>
      <c r="AH15" s="4102"/>
      <c r="AI15" s="4102"/>
      <c r="AJ15" s="4102"/>
      <c r="AK15" s="4102"/>
      <c r="AL15" s="4102"/>
      <c r="AM15" s="4102"/>
      <c r="AN15" s="4102"/>
      <c r="AO15" s="4102"/>
      <c r="AP15" s="4102"/>
      <c r="AQ15" s="4102"/>
      <c r="AR15" s="4102"/>
      <c r="AS15" s="4102"/>
      <c r="AT15" s="4102"/>
      <c r="AU15" s="4102"/>
      <c r="AV15" s="4102"/>
      <c r="AW15" s="4102"/>
      <c r="AX15" s="1234"/>
      <c r="AY15" s="4103"/>
      <c r="AZ15" s="4103"/>
      <c r="BA15" s="4103"/>
      <c r="BB15" s="4103"/>
      <c r="BC15" s="4103"/>
      <c r="BD15" s="4103"/>
      <c r="BE15" s="4103"/>
      <c r="BF15" s="4103"/>
      <c r="BG15" s="4103"/>
      <c r="BH15" s="4103"/>
      <c r="BI15" s="2497"/>
    </row>
    <row r="16" spans="1:61">
      <c r="B16" s="3096"/>
      <c r="C16" s="4101">
        <v>3</v>
      </c>
      <c r="D16" s="4079" t="s">
        <v>409</v>
      </c>
      <c r="E16" s="4080">
        <f t="shared" ref="E16:M23" ca="1" si="4">SUMIFS(INDIRECT("'"&amp;E$6&amp;"'!Year.Emissions"), INDIRECT("'"&amp;E$6&amp;"'!Year.IPCC"), $C16)</f>
        <v>0</v>
      </c>
      <c r="F16" s="4080">
        <f t="shared" ca="1" si="4"/>
        <v>0</v>
      </c>
      <c r="G16" s="4080">
        <f t="shared" ca="1" si="4"/>
        <v>0</v>
      </c>
      <c r="H16" s="4080">
        <f t="shared" ca="1" si="4"/>
        <v>0</v>
      </c>
      <c r="I16" s="4080">
        <f t="shared" ca="1" si="4"/>
        <v>0</v>
      </c>
      <c r="J16" s="4080">
        <f t="shared" ca="1" si="4"/>
        <v>0</v>
      </c>
      <c r="K16" s="4080">
        <f t="shared" ca="1" si="4"/>
        <v>0</v>
      </c>
      <c r="L16" s="4080">
        <f t="shared" ca="1" si="4"/>
        <v>0</v>
      </c>
      <c r="M16" s="4080">
        <f t="shared" ca="1" si="4"/>
        <v>0</v>
      </c>
      <c r="N16" s="3100"/>
      <c r="O16" s="4102"/>
      <c r="P16" s="4102"/>
      <c r="Q16" s="4102"/>
      <c r="R16" s="4102"/>
      <c r="S16" s="4102"/>
      <c r="T16" s="4102"/>
      <c r="U16" s="4102"/>
      <c r="V16" s="4102"/>
      <c r="W16" s="4102"/>
      <c r="X16" s="4102"/>
      <c r="Y16" s="4102"/>
      <c r="Z16" s="4102"/>
      <c r="AA16" s="4102"/>
      <c r="AB16" s="4102"/>
      <c r="AC16" s="4102"/>
      <c r="AD16" s="4102"/>
      <c r="AE16" s="4102"/>
      <c r="AF16" s="4102"/>
      <c r="AG16" s="4102"/>
      <c r="AH16" s="4102"/>
      <c r="AI16" s="4102"/>
      <c r="AJ16" s="4102"/>
      <c r="AK16" s="4102"/>
      <c r="AL16" s="4102"/>
      <c r="AM16" s="4102"/>
      <c r="AN16" s="4102"/>
      <c r="AO16" s="4102"/>
      <c r="AP16" s="4102"/>
      <c r="AQ16" s="4102"/>
      <c r="AR16" s="4102"/>
      <c r="AS16" s="4102"/>
      <c r="AT16" s="4102"/>
      <c r="AU16" s="4102"/>
      <c r="AV16" s="4102"/>
      <c r="AW16" s="4102"/>
      <c r="AX16" s="1234"/>
      <c r="AY16" s="4103"/>
      <c r="AZ16" s="4103"/>
      <c r="BA16" s="4103"/>
      <c r="BB16" s="4103"/>
      <c r="BC16" s="4103"/>
      <c r="BD16" s="4103"/>
      <c r="BE16" s="4103"/>
      <c r="BF16" s="4103"/>
      <c r="BG16" s="4103"/>
      <c r="BH16" s="4103"/>
      <c r="BI16" s="2497"/>
    </row>
    <row r="17" spans="1:61">
      <c r="B17" s="3096"/>
      <c r="C17" s="4101">
        <v>4</v>
      </c>
      <c r="D17" s="4079" t="s">
        <v>401</v>
      </c>
      <c r="E17" s="4080">
        <f t="shared" ca="1" si="4"/>
        <v>17.477285399999996</v>
      </c>
      <c r="F17" s="4080">
        <f t="shared" ca="1" si="4"/>
        <v>17.231308291364016</v>
      </c>
      <c r="G17" s="4080">
        <f t="shared" ca="1" si="4"/>
        <v>16.510423035910584</v>
      </c>
      <c r="H17" s="4080">
        <f t="shared" ca="1" si="4"/>
        <v>15.770513495738047</v>
      </c>
      <c r="I17" s="4080">
        <f t="shared" ca="1" si="4"/>
        <v>14.801689931312772</v>
      </c>
      <c r="J17" s="4080">
        <f t="shared" ca="1" si="4"/>
        <v>14.280108729266098</v>
      </c>
      <c r="K17" s="4080">
        <f t="shared" ca="1" si="4"/>
        <v>13.775838398473621</v>
      </c>
      <c r="L17" s="4080">
        <f t="shared" ca="1" si="4"/>
        <v>13.28834197905401</v>
      </c>
      <c r="M17" s="4080">
        <f t="shared" ca="1" si="4"/>
        <v>13.013895510273077</v>
      </c>
      <c r="N17" s="3100"/>
      <c r="O17" s="4102"/>
      <c r="P17" s="4102"/>
      <c r="Q17" s="4102"/>
      <c r="R17" s="4102"/>
      <c r="S17" s="4102"/>
      <c r="T17" s="4102"/>
      <c r="U17" s="4102"/>
      <c r="V17" s="4102"/>
      <c r="W17" s="4102"/>
      <c r="X17" s="4102"/>
      <c r="Y17" s="4102"/>
      <c r="Z17" s="4102"/>
      <c r="AA17" s="4102"/>
      <c r="AB17" s="4102"/>
      <c r="AC17" s="4102"/>
      <c r="AD17" s="4102"/>
      <c r="AE17" s="4102"/>
      <c r="AF17" s="4102"/>
      <c r="AG17" s="4102"/>
      <c r="AH17" s="4102"/>
      <c r="AI17" s="4102"/>
      <c r="AJ17" s="4102"/>
      <c r="AK17" s="4102"/>
      <c r="AL17" s="4102"/>
      <c r="AM17" s="4102"/>
      <c r="AN17" s="4102"/>
      <c r="AO17" s="4102"/>
      <c r="AP17" s="4102"/>
      <c r="AQ17" s="4102"/>
      <c r="AR17" s="4102"/>
      <c r="AS17" s="4102"/>
      <c r="AT17" s="4102"/>
      <c r="AU17" s="4102"/>
      <c r="AV17" s="4102"/>
      <c r="AW17" s="4102"/>
      <c r="AX17" s="1234"/>
      <c r="AY17" s="4103"/>
      <c r="AZ17" s="4103"/>
      <c r="BA17" s="4103"/>
      <c r="BB17" s="4103"/>
      <c r="BC17" s="4103"/>
      <c r="BD17" s="4103"/>
      <c r="BE17" s="4103"/>
      <c r="BF17" s="4103"/>
      <c r="BG17" s="4103"/>
      <c r="BH17" s="4103"/>
      <c r="BI17" s="2497"/>
    </row>
    <row r="18" spans="1:61">
      <c r="B18" s="3096"/>
      <c r="C18" s="4101">
        <v>5</v>
      </c>
      <c r="D18" s="4079" t="s">
        <v>2078</v>
      </c>
      <c r="E18" s="4080">
        <f t="shared" ca="1" si="4"/>
        <v>-3.1859999999999999</v>
      </c>
      <c r="F18" s="4080">
        <f t="shared" ca="1" si="4"/>
        <v>-2.0419537671878891</v>
      </c>
      <c r="G18" s="4080">
        <f t="shared" ca="1" si="4"/>
        <v>-1.1817681520851633</v>
      </c>
      <c r="H18" s="4080">
        <f t="shared" ca="1" si="4"/>
        <v>-0.65512751732099117</v>
      </c>
      <c r="I18" s="4080">
        <f t="shared" ca="1" si="4"/>
        <v>-0.9383255597991258</v>
      </c>
      <c r="J18" s="4080">
        <f t="shared" ca="1" si="4"/>
        <v>-1.4653696761441601</v>
      </c>
      <c r="K18" s="4080">
        <f t="shared" ca="1" si="4"/>
        <v>-2.4850551056747112</v>
      </c>
      <c r="L18" s="4080">
        <f t="shared" ca="1" si="4"/>
        <v>-3.6112424759446609</v>
      </c>
      <c r="M18" s="4080">
        <f t="shared" ca="1" si="4"/>
        <v>-4.4813243548418651</v>
      </c>
      <c r="N18" s="3100"/>
      <c r="O18" s="4102"/>
      <c r="P18" s="4102"/>
      <c r="Q18" s="4102"/>
      <c r="R18" s="4102"/>
      <c r="S18" s="4102"/>
      <c r="T18" s="4102"/>
      <c r="U18" s="4102"/>
      <c r="V18" s="4102"/>
      <c r="W18" s="4102"/>
      <c r="X18" s="4102"/>
      <c r="Y18" s="4102"/>
      <c r="Z18" s="4102"/>
      <c r="AA18" s="4102"/>
      <c r="AB18" s="4102"/>
      <c r="AC18" s="4102"/>
      <c r="AD18" s="4102"/>
      <c r="AE18" s="4102"/>
      <c r="AF18" s="4102"/>
      <c r="AG18" s="4102"/>
      <c r="AH18" s="4102"/>
      <c r="AI18" s="4102"/>
      <c r="AJ18" s="4102"/>
      <c r="AK18" s="4102"/>
      <c r="AL18" s="4102"/>
      <c r="AM18" s="4102"/>
      <c r="AN18" s="4102"/>
      <c r="AO18" s="4102"/>
      <c r="AP18" s="4102"/>
      <c r="AQ18" s="4102"/>
      <c r="AR18" s="4102"/>
      <c r="AS18" s="4102"/>
      <c r="AT18" s="4102"/>
      <c r="AU18" s="4102"/>
      <c r="AV18" s="4102"/>
      <c r="AW18" s="4102"/>
      <c r="AX18" s="1234"/>
      <c r="AY18" s="4103"/>
      <c r="AZ18" s="4103"/>
      <c r="BA18" s="4103"/>
      <c r="BB18" s="4103"/>
      <c r="BC18" s="4103"/>
      <c r="BD18" s="4103"/>
      <c r="BE18" s="4103"/>
      <c r="BF18" s="4103"/>
      <c r="BG18" s="4103"/>
      <c r="BH18" s="4103"/>
      <c r="BI18" s="2497"/>
    </row>
    <row r="19" spans="1:61">
      <c r="B19" s="3096"/>
      <c r="C19" s="4101">
        <v>6</v>
      </c>
      <c r="D19" s="4079" t="s">
        <v>402</v>
      </c>
      <c r="E19" s="4080">
        <f t="shared" ca="1" si="4"/>
        <v>0.96917142883928564</v>
      </c>
      <c r="F19" s="4080">
        <f t="shared" ca="1" si="4"/>
        <v>0.83635224384289342</v>
      </c>
      <c r="G19" s="4080">
        <f t="shared" ca="1" si="4"/>
        <v>0.73269987284886018</v>
      </c>
      <c r="H19" s="4080">
        <f t="shared" ca="1" si="4"/>
        <v>0.66660669150718665</v>
      </c>
      <c r="I19" s="4080">
        <f t="shared" ca="1" si="4"/>
        <v>0.60231776617858668</v>
      </c>
      <c r="J19" s="4080">
        <f t="shared" ca="1" si="4"/>
        <v>0.53983309686306047</v>
      </c>
      <c r="K19" s="4080">
        <f t="shared" ca="1" si="4"/>
        <v>0.47915268356060814</v>
      </c>
      <c r="L19" s="4080">
        <f t="shared" ca="1" si="4"/>
        <v>0.4202765262712293</v>
      </c>
      <c r="M19" s="4080">
        <f t="shared" ca="1" si="4"/>
        <v>0.36320462499492429</v>
      </c>
      <c r="N19" s="3100"/>
      <c r="O19" s="4102"/>
      <c r="P19" s="4102"/>
      <c r="Q19" s="4102"/>
      <c r="R19" s="4102"/>
      <c r="S19" s="4102"/>
      <c r="T19" s="4102"/>
      <c r="U19" s="4102"/>
      <c r="V19" s="4102"/>
      <c r="W19" s="4102"/>
      <c r="X19" s="4102"/>
      <c r="Y19" s="4102"/>
      <c r="Z19" s="4102"/>
      <c r="AA19" s="4102"/>
      <c r="AB19" s="4102"/>
      <c r="AC19" s="4102"/>
      <c r="AD19" s="4102"/>
      <c r="AE19" s="4102"/>
      <c r="AF19" s="4102"/>
      <c r="AG19" s="4102"/>
      <c r="AH19" s="4102"/>
      <c r="AI19" s="4102"/>
      <c r="AJ19" s="4102"/>
      <c r="AK19" s="4102"/>
      <c r="AL19" s="4102"/>
      <c r="AM19" s="4102"/>
      <c r="AN19" s="4102"/>
      <c r="AO19" s="4102"/>
      <c r="AP19" s="4102"/>
      <c r="AQ19" s="4102"/>
      <c r="AR19" s="4102"/>
      <c r="AS19" s="4102"/>
      <c r="AT19" s="4102"/>
      <c r="AU19" s="4102"/>
      <c r="AV19" s="4102"/>
      <c r="AW19" s="4102"/>
      <c r="AX19" s="1234"/>
      <c r="AY19" s="4103"/>
      <c r="AZ19" s="4103"/>
      <c r="BA19" s="4103"/>
      <c r="BB19" s="4103"/>
      <c r="BC19" s="4103"/>
      <c r="BD19" s="4103"/>
      <c r="BE19" s="4103"/>
      <c r="BF19" s="4103"/>
      <c r="BG19" s="4103"/>
      <c r="BH19" s="4103"/>
      <c r="BI19" s="2497"/>
    </row>
    <row r="20" spans="1:61">
      <c r="B20" s="3096"/>
      <c r="C20" s="4101">
        <v>7</v>
      </c>
      <c r="D20" s="4079" t="s">
        <v>411</v>
      </c>
      <c r="E20" s="4080">
        <f t="shared" ca="1" si="4"/>
        <v>0</v>
      </c>
      <c r="F20" s="4080">
        <f t="shared" ca="1" si="4"/>
        <v>0</v>
      </c>
      <c r="G20" s="4080">
        <f t="shared" ca="1" si="4"/>
        <v>0</v>
      </c>
      <c r="H20" s="4080">
        <f t="shared" ca="1" si="4"/>
        <v>0</v>
      </c>
      <c r="I20" s="4080">
        <f t="shared" ca="1" si="4"/>
        <v>0</v>
      </c>
      <c r="J20" s="4080">
        <f t="shared" ca="1" si="4"/>
        <v>0</v>
      </c>
      <c r="K20" s="4080">
        <f t="shared" ca="1" si="4"/>
        <v>0</v>
      </c>
      <c r="L20" s="4080">
        <f t="shared" ca="1" si="4"/>
        <v>0</v>
      </c>
      <c r="M20" s="4080">
        <f t="shared" ca="1" si="4"/>
        <v>0</v>
      </c>
      <c r="N20" s="3100"/>
      <c r="O20" s="4104"/>
      <c r="P20" s="4104"/>
      <c r="Q20" s="4104"/>
      <c r="R20" s="4104"/>
      <c r="S20" s="4104"/>
      <c r="T20" s="4104"/>
      <c r="U20" s="4104"/>
      <c r="V20" s="4104"/>
      <c r="W20" s="4104"/>
      <c r="X20" s="4104"/>
      <c r="Y20" s="4104"/>
      <c r="Z20" s="4104"/>
      <c r="AA20" s="4104"/>
      <c r="AB20" s="4104"/>
      <c r="AC20" s="4104"/>
      <c r="AD20" s="4104"/>
      <c r="AE20" s="4104"/>
      <c r="AF20" s="4104"/>
      <c r="AG20" s="4104"/>
      <c r="AH20" s="4104"/>
      <c r="AI20" s="4104"/>
      <c r="AJ20" s="4104"/>
      <c r="AK20" s="4104"/>
      <c r="AL20" s="4104"/>
      <c r="AM20" s="4104"/>
      <c r="AN20" s="4104"/>
      <c r="AO20" s="4104"/>
      <c r="AP20" s="4104"/>
      <c r="AQ20" s="4104"/>
      <c r="AR20" s="4104"/>
      <c r="AS20" s="4104"/>
      <c r="AT20" s="4104"/>
      <c r="AU20" s="4104"/>
      <c r="AV20" s="4104"/>
      <c r="AW20" s="4104"/>
      <c r="AX20" s="1234"/>
      <c r="AY20" s="4103"/>
      <c r="AZ20" s="4103"/>
      <c r="BA20" s="4103"/>
      <c r="BB20" s="4103"/>
      <c r="BC20" s="4103"/>
      <c r="BD20" s="4103"/>
      <c r="BE20" s="4103"/>
      <c r="BF20" s="4103"/>
      <c r="BG20" s="4103"/>
      <c r="BH20" s="4103"/>
      <c r="BI20" s="2497"/>
    </row>
    <row r="21" spans="1:61">
      <c r="B21" s="3096"/>
      <c r="C21" s="4079" t="s">
        <v>457</v>
      </c>
      <c r="D21" s="4079" t="s">
        <v>3443</v>
      </c>
      <c r="E21" s="4080">
        <f t="shared" ca="1" si="4"/>
        <v>1.8587303279999996</v>
      </c>
      <c r="F21" s="4080">
        <f t="shared" ca="1" si="4"/>
        <v>1.8254237392525674</v>
      </c>
      <c r="G21" s="4080">
        <f t="shared" ca="1" si="4"/>
        <v>1.9740188412391277</v>
      </c>
      <c r="H21" s="4080">
        <f t="shared" ca="1" si="4"/>
        <v>2.1347100411670006</v>
      </c>
      <c r="I21" s="4080">
        <f t="shared" ca="1" si="4"/>
        <v>2.3084819985804761</v>
      </c>
      <c r="J21" s="4080">
        <f t="shared" ca="1" si="4"/>
        <v>2.4963995273366537</v>
      </c>
      <c r="K21" s="4080">
        <f t="shared" ca="1" si="4"/>
        <v>2.6996141204128228</v>
      </c>
      <c r="L21" s="4080">
        <f t="shared" ca="1" si="4"/>
        <v>2.9193710058532174</v>
      </c>
      <c r="M21" s="4080">
        <f t="shared" ca="1" si="4"/>
        <v>3.1570167770915103</v>
      </c>
      <c r="N21" s="3100"/>
      <c r="O21" s="4102"/>
      <c r="P21" s="4102"/>
      <c r="Q21" s="4102"/>
      <c r="R21" s="4102"/>
      <c r="S21" s="4102"/>
      <c r="T21" s="4102"/>
      <c r="U21" s="4102"/>
      <c r="V21" s="4102"/>
      <c r="W21" s="4102"/>
      <c r="X21" s="4102"/>
      <c r="Y21" s="4102"/>
      <c r="Z21" s="4102"/>
      <c r="AA21" s="4102"/>
      <c r="AB21" s="4102"/>
      <c r="AC21" s="4102"/>
      <c r="AD21" s="4102"/>
      <c r="AE21" s="4102"/>
      <c r="AF21" s="4102"/>
      <c r="AG21" s="4102"/>
      <c r="AH21" s="4102"/>
      <c r="AI21" s="4102"/>
      <c r="AJ21" s="4102"/>
      <c r="AK21" s="4102"/>
      <c r="AL21" s="4102"/>
      <c r="AM21" s="4102"/>
      <c r="AN21" s="4102"/>
      <c r="AO21" s="4102"/>
      <c r="AP21" s="4102"/>
      <c r="AQ21" s="4102"/>
      <c r="AR21" s="4102"/>
      <c r="AS21" s="4102"/>
      <c r="AT21" s="4102"/>
      <c r="AU21" s="4102"/>
      <c r="AV21" s="4102"/>
      <c r="AW21" s="4102"/>
      <c r="AX21" s="1234"/>
      <c r="AY21" s="4103"/>
      <c r="AZ21" s="4103"/>
      <c r="BA21" s="4103"/>
      <c r="BB21" s="4103"/>
      <c r="BC21" s="4103"/>
      <c r="BD21" s="4103"/>
      <c r="BE21" s="4103"/>
      <c r="BF21" s="4103"/>
      <c r="BG21" s="4103"/>
      <c r="BH21" s="4103"/>
      <c r="BI21" s="2497"/>
    </row>
    <row r="22" spans="1:61" s="1309" customFormat="1">
      <c r="A22" s="927"/>
      <c r="B22" s="3096"/>
      <c r="C22" s="4079" t="s">
        <v>458</v>
      </c>
      <c r="D22" s="4079" t="s">
        <v>413</v>
      </c>
      <c r="E22" s="4080">
        <f t="shared" ca="1" si="4"/>
        <v>-0.54367917626535778</v>
      </c>
      <c r="F22" s="4080">
        <f t="shared" ca="1" si="4"/>
        <v>-1.6645650140674992</v>
      </c>
      <c r="G22" s="4080">
        <f t="shared" ca="1" si="4"/>
        <v>-5.4199703136642308</v>
      </c>
      <c r="H22" s="4080">
        <f t="shared" ca="1" si="4"/>
        <v>-4.9382369659295682</v>
      </c>
      <c r="I22" s="4080">
        <f t="shared" ca="1" si="4"/>
        <v>-4.8924123414787193</v>
      </c>
      <c r="J22" s="4080">
        <f t="shared" ca="1" si="4"/>
        <v>-11.848766840385965</v>
      </c>
      <c r="K22" s="4080">
        <f t="shared" ca="1" si="4"/>
        <v>-13.709907693984301</v>
      </c>
      <c r="L22" s="4080">
        <f t="shared" ca="1" si="4"/>
        <v>-14.950110878118315</v>
      </c>
      <c r="M22" s="4080">
        <f t="shared" ca="1" si="4"/>
        <v>-16.082979359188872</v>
      </c>
      <c r="N22" s="3100"/>
      <c r="O22" s="4102"/>
      <c r="P22" s="4102"/>
      <c r="Q22" s="4102"/>
      <c r="R22" s="4102"/>
      <c r="S22" s="4102"/>
      <c r="T22" s="4102"/>
      <c r="U22" s="4102"/>
      <c r="V22" s="4102"/>
      <c r="W22" s="4102"/>
      <c r="X22" s="4102"/>
      <c r="Y22" s="4102"/>
      <c r="Z22" s="4102"/>
      <c r="AA22" s="4102"/>
      <c r="AB22" s="4102"/>
      <c r="AC22" s="4102"/>
      <c r="AD22" s="4102"/>
      <c r="AE22" s="4102"/>
      <c r="AF22" s="4102"/>
      <c r="AG22" s="4102"/>
      <c r="AH22" s="4102"/>
      <c r="AI22" s="4102"/>
      <c r="AJ22" s="4102"/>
      <c r="AK22" s="4102"/>
      <c r="AL22" s="4102"/>
      <c r="AM22" s="4102"/>
      <c r="AN22" s="4102"/>
      <c r="AO22" s="4102"/>
      <c r="AP22" s="4102"/>
      <c r="AQ22" s="4102"/>
      <c r="AR22" s="4102"/>
      <c r="AS22" s="4102"/>
      <c r="AT22" s="4102"/>
      <c r="AU22" s="4102"/>
      <c r="AV22" s="4102"/>
      <c r="AW22" s="4102"/>
      <c r="AX22" s="1234"/>
      <c r="AY22" s="4103"/>
      <c r="AZ22" s="4103"/>
      <c r="BA22" s="4103"/>
      <c r="BB22" s="4103"/>
      <c r="BC22" s="4103"/>
      <c r="BD22" s="4103"/>
      <c r="BE22" s="4103"/>
      <c r="BF22" s="4103"/>
      <c r="BG22" s="4103"/>
      <c r="BH22" s="4103"/>
      <c r="BI22" s="4105"/>
    </row>
    <row r="23" spans="1:61">
      <c r="B23" s="3096"/>
      <c r="C23" s="4079" t="s">
        <v>459</v>
      </c>
      <c r="D23" s="4099" t="s">
        <v>414</v>
      </c>
      <c r="E23" s="4100">
        <f t="shared" ca="1" si="4"/>
        <v>0</v>
      </c>
      <c r="F23" s="4100">
        <f t="shared" ca="1" si="4"/>
        <v>0</v>
      </c>
      <c r="G23" s="4100">
        <f t="shared" ca="1" si="4"/>
        <v>0</v>
      </c>
      <c r="H23" s="4100">
        <f t="shared" ca="1" si="4"/>
        <v>0</v>
      </c>
      <c r="I23" s="4100">
        <f t="shared" ca="1" si="4"/>
        <v>0</v>
      </c>
      <c r="J23" s="4100">
        <f t="shared" ca="1" si="4"/>
        <v>-1.1071438064419354</v>
      </c>
      <c r="K23" s="4100">
        <f t="shared" ca="1" si="4"/>
        <v>-3.2687102856857142</v>
      </c>
      <c r="L23" s="4100">
        <f t="shared" ca="1" si="4"/>
        <v>-5.3627278124531248</v>
      </c>
      <c r="M23" s="4100">
        <f t="shared" ca="1" si="4"/>
        <v>-7.3923140307046147</v>
      </c>
      <c r="N23" s="3100"/>
      <c r="O23" s="4102"/>
      <c r="P23" s="4102"/>
      <c r="Q23" s="4102"/>
      <c r="R23" s="4102"/>
      <c r="S23" s="4102"/>
      <c r="T23" s="4102"/>
      <c r="U23" s="4102"/>
      <c r="V23" s="4102"/>
      <c r="W23" s="4102"/>
      <c r="X23" s="4102"/>
      <c r="Y23" s="4102"/>
      <c r="Z23" s="4102"/>
      <c r="AA23" s="4102"/>
      <c r="AB23" s="4102"/>
      <c r="AC23" s="4102"/>
      <c r="AD23" s="4102"/>
      <c r="AE23" s="4102"/>
      <c r="AF23" s="4102"/>
      <c r="AG23" s="4102"/>
      <c r="AH23" s="4102"/>
      <c r="AI23" s="4102"/>
      <c r="AJ23" s="4102"/>
      <c r="AK23" s="4102"/>
      <c r="AL23" s="4102"/>
      <c r="AM23" s="4102"/>
      <c r="AN23" s="4102"/>
      <c r="AO23" s="4102"/>
      <c r="AP23" s="4102"/>
      <c r="AQ23" s="4102"/>
      <c r="AR23" s="4102"/>
      <c r="AS23" s="4102"/>
      <c r="AT23" s="4102"/>
      <c r="AU23" s="4102"/>
      <c r="AV23" s="4102"/>
      <c r="AW23" s="4102"/>
      <c r="AX23" s="1234"/>
      <c r="AY23" s="4103"/>
      <c r="AZ23" s="4103"/>
      <c r="BA23" s="4103"/>
      <c r="BB23" s="4103"/>
      <c r="BC23" s="4103"/>
      <c r="BD23" s="4103"/>
      <c r="BE23" s="4103"/>
      <c r="BF23" s="4103"/>
      <c r="BG23" s="4103"/>
      <c r="BH23" s="4103"/>
      <c r="BI23" s="2497"/>
    </row>
    <row r="24" spans="1:61" s="1309" customFormat="1" ht="12.75">
      <c r="A24" s="927"/>
      <c r="B24" s="3096"/>
      <c r="C24" s="4101">
        <v>1</v>
      </c>
      <c r="D24" s="4079" t="s">
        <v>59</v>
      </c>
      <c r="E24" s="4080">
        <f ca="1">SUM(E14:E23)</f>
        <v>55.59324964935675</v>
      </c>
      <c r="F24" s="4080">
        <f t="shared" ref="F24:M24" ca="1" si="5">SUM(F14:F23)</f>
        <v>53.988426226518492</v>
      </c>
      <c r="G24" s="4080">
        <f t="shared" ca="1" si="5"/>
        <v>46.358954394383815</v>
      </c>
      <c r="H24" s="4080">
        <f t="shared" ca="1" si="5"/>
        <v>42.290344442376444</v>
      </c>
      <c r="I24" s="4080">
        <f t="shared" ca="1" si="5"/>
        <v>37.922821254629184</v>
      </c>
      <c r="J24" s="4080">
        <f t="shared" ca="1" si="5"/>
        <v>36.729936104374772</v>
      </c>
      <c r="K24" s="4080">
        <f t="shared" ca="1" si="5"/>
        <v>34.681503121735958</v>
      </c>
      <c r="L24" s="4080">
        <f t="shared" ca="1" si="5"/>
        <v>32.688776022794492</v>
      </c>
      <c r="M24" s="4080">
        <f t="shared" ca="1" si="5"/>
        <v>31.371521775595465</v>
      </c>
      <c r="N24" s="3100"/>
      <c r="O24" s="4098"/>
    </row>
    <row r="25" spans="1:61" s="1309" customFormat="1" ht="12.75">
      <c r="A25" s="927"/>
      <c r="B25" s="3096"/>
      <c r="C25" s="4101"/>
      <c r="D25" s="4079" t="s">
        <v>2554</v>
      </c>
      <c r="E25" s="4080"/>
      <c r="F25" s="4080"/>
      <c r="G25" s="4080"/>
      <c r="H25" s="4080"/>
      <c r="I25" s="4080"/>
      <c r="J25" s="4080"/>
      <c r="K25" s="4080"/>
      <c r="L25" s="4080"/>
      <c r="M25" s="4080">
        <f>0.2*E36</f>
        <v>10.814</v>
      </c>
      <c r="N25" s="3100"/>
      <c r="O25" s="4098"/>
    </row>
    <row r="26" spans="1:61" s="1309" customFormat="1" ht="12.75">
      <c r="A26" s="927"/>
      <c r="B26" s="3096"/>
      <c r="C26" s="4101"/>
      <c r="D26" s="4079"/>
      <c r="E26" s="4080"/>
      <c r="F26" s="4080"/>
      <c r="G26" s="4080"/>
      <c r="H26" s="4080"/>
      <c r="I26" s="4080"/>
      <c r="J26" s="4080"/>
      <c r="K26" s="4080"/>
      <c r="L26" s="4080"/>
      <c r="M26" s="4080"/>
      <c r="N26" s="3100"/>
      <c r="O26" s="4098"/>
    </row>
    <row r="27" spans="1:61" s="1309" customFormat="1" ht="12.75">
      <c r="A27" s="927"/>
      <c r="B27" s="3096"/>
      <c r="C27" s="4101"/>
      <c r="D27" s="4079" t="s">
        <v>3444</v>
      </c>
      <c r="E27" s="4080"/>
      <c r="F27" s="4080"/>
      <c r="G27" s="4080"/>
      <c r="H27" s="4080"/>
      <c r="I27" s="4080"/>
      <c r="J27" s="4080"/>
      <c r="K27" s="4080"/>
      <c r="L27" s="4080"/>
      <c r="M27" s="4080"/>
      <c r="N27" s="3100"/>
      <c r="O27" s="4098"/>
    </row>
    <row r="28" spans="1:61" s="1309" customFormat="1" ht="12.75">
      <c r="A28" s="927"/>
      <c r="B28" s="3096"/>
      <c r="C28" s="4101"/>
      <c r="D28" s="4079" t="s">
        <v>3445</v>
      </c>
      <c r="E28" s="4080"/>
      <c r="F28" s="4080"/>
      <c r="G28" s="4080"/>
      <c r="H28" s="4080"/>
      <c r="I28" s="4080"/>
      <c r="J28" s="4080"/>
      <c r="K28" s="4080"/>
      <c r="L28" s="4080"/>
      <c r="M28" s="4080"/>
      <c r="N28" s="3100"/>
      <c r="O28" s="4098"/>
    </row>
    <row r="29" spans="1:61" s="4108" customFormat="1" ht="18" customHeight="1">
      <c r="A29" s="381"/>
      <c r="B29" s="3108"/>
      <c r="C29" s="3109"/>
      <c r="D29" s="23"/>
      <c r="E29" s="4106"/>
      <c r="F29" s="4106"/>
      <c r="G29" s="4106"/>
      <c r="H29" s="4106"/>
      <c r="I29" s="4106"/>
      <c r="J29" s="4106"/>
      <c r="K29" s="4106"/>
      <c r="L29" s="4106"/>
      <c r="M29" s="4106"/>
      <c r="N29" s="3113"/>
      <c r="O29" s="4107"/>
    </row>
    <row r="31" spans="1:61" ht="15.75">
      <c r="B31" s="511" t="s">
        <v>3446</v>
      </c>
      <c r="C31" s="512"/>
      <c r="D31" s="512"/>
      <c r="E31" s="512"/>
      <c r="F31" s="866"/>
      <c r="G31" s="39"/>
      <c r="H31" s="39"/>
      <c r="I31" s="39"/>
      <c r="J31" s="39"/>
      <c r="K31" s="39"/>
      <c r="L31" s="39"/>
      <c r="M31" s="39"/>
      <c r="N31" s="39"/>
    </row>
    <row r="32" spans="1:61">
      <c r="B32" s="514"/>
      <c r="C32" s="515"/>
      <c r="D32" s="515"/>
      <c r="E32" s="515"/>
      <c r="F32" s="875"/>
      <c r="G32" s="39"/>
      <c r="H32" s="39"/>
      <c r="I32" s="39"/>
      <c r="J32" s="39"/>
      <c r="K32" s="39"/>
      <c r="L32" s="39"/>
      <c r="M32" s="39"/>
      <c r="N32" s="39"/>
    </row>
    <row r="33" spans="1:15">
      <c r="B33" s="514"/>
      <c r="C33" s="515"/>
      <c r="D33" s="515" t="s">
        <v>3447</v>
      </c>
      <c r="E33" s="515"/>
      <c r="F33" s="875"/>
      <c r="G33" s="39"/>
      <c r="H33" s="39"/>
      <c r="I33" s="39"/>
      <c r="J33" s="39"/>
      <c r="K33" s="39"/>
      <c r="L33" s="39"/>
      <c r="M33" s="39"/>
      <c r="N33" s="39"/>
    </row>
    <row r="34" spans="1:15">
      <c r="B34" s="514"/>
      <c r="C34" s="515"/>
      <c r="D34" s="515" t="s">
        <v>2559</v>
      </c>
      <c r="E34" s="3573">
        <v>52.93</v>
      </c>
      <c r="F34" s="875"/>
      <c r="G34" s="39"/>
      <c r="H34" s="39"/>
      <c r="I34" s="39"/>
      <c r="J34" s="39"/>
      <c r="K34" s="39"/>
      <c r="L34" s="39"/>
      <c r="M34" s="39"/>
      <c r="N34" s="39"/>
    </row>
    <row r="35" spans="1:15">
      <c r="B35" s="514"/>
      <c r="C35" s="515"/>
      <c r="D35" s="515" t="s">
        <v>2560</v>
      </c>
      <c r="E35" s="3573">
        <v>1.1399999999999999</v>
      </c>
      <c r="F35" s="875"/>
      <c r="G35" s="39"/>
      <c r="H35" s="39"/>
      <c r="I35" s="39"/>
      <c r="J35" s="39"/>
      <c r="K35" s="39"/>
      <c r="L35" s="39"/>
      <c r="M35" s="39"/>
      <c r="N35" s="39"/>
      <c r="O35" s="39" t="s">
        <v>5</v>
      </c>
    </row>
    <row r="36" spans="1:15">
      <c r="B36" s="514"/>
      <c r="C36" s="515"/>
      <c r="D36" s="515" t="s">
        <v>3448</v>
      </c>
      <c r="E36" s="3575">
        <f>E34+E35</f>
        <v>54.07</v>
      </c>
      <c r="F36" s="875"/>
      <c r="G36" s="39"/>
      <c r="H36" s="39"/>
      <c r="I36" s="39"/>
      <c r="J36" s="39"/>
      <c r="K36" s="39"/>
      <c r="L36" s="39"/>
      <c r="M36" s="39"/>
      <c r="N36" s="39"/>
    </row>
    <row r="37" spans="1:15">
      <c r="B37" s="514"/>
      <c r="C37" s="515"/>
      <c r="D37" s="515"/>
      <c r="E37" s="515"/>
      <c r="F37" s="875"/>
      <c r="G37" s="39"/>
      <c r="H37" s="39"/>
      <c r="I37" s="39"/>
      <c r="J37" s="39"/>
      <c r="K37" s="39"/>
      <c r="L37" s="39"/>
      <c r="M37" s="39"/>
      <c r="N37" s="39"/>
    </row>
    <row r="38" spans="1:15">
      <c r="B38" s="514"/>
      <c r="C38" s="515"/>
      <c r="D38" s="515" t="s">
        <v>3453</v>
      </c>
      <c r="E38" s="4044">
        <f ca="1">'Intermediate output'!AY192</f>
        <v>55.59324964935675</v>
      </c>
      <c r="F38" s="875"/>
      <c r="G38" s="39"/>
      <c r="H38" s="39"/>
      <c r="I38" s="39"/>
      <c r="J38" s="39"/>
      <c r="K38" s="39"/>
      <c r="L38" s="39"/>
      <c r="M38" s="39"/>
      <c r="N38" s="39"/>
    </row>
    <row r="39" spans="1:15">
      <c r="B39" s="514"/>
      <c r="C39" s="515"/>
      <c r="D39" s="515" t="s">
        <v>3454</v>
      </c>
      <c r="E39" s="515">
        <v>57.55</v>
      </c>
      <c r="F39" s="875"/>
      <c r="G39" s="39"/>
      <c r="H39" s="39"/>
      <c r="I39" s="39"/>
      <c r="J39" s="39"/>
      <c r="K39" s="39"/>
      <c r="L39" s="39"/>
      <c r="M39" s="39"/>
      <c r="N39" s="39"/>
    </row>
    <row r="40" spans="1:15">
      <c r="B40" s="514"/>
      <c r="C40" s="515"/>
      <c r="D40" s="515" t="s">
        <v>3449</v>
      </c>
      <c r="E40" s="4109">
        <f ca="1">E38/E39</f>
        <v>0.96599912509742403</v>
      </c>
      <c r="F40" s="875"/>
      <c r="G40" s="39"/>
      <c r="H40" s="39"/>
      <c r="I40" s="39"/>
      <c r="J40" s="39"/>
      <c r="K40" s="39"/>
      <c r="L40" s="39"/>
      <c r="M40" s="39"/>
      <c r="N40" s="39"/>
    </row>
    <row r="41" spans="1:15">
      <c r="B41" s="514"/>
      <c r="C41" s="515"/>
      <c r="D41" s="515"/>
      <c r="E41" s="515"/>
      <c r="F41" s="875"/>
      <c r="G41" s="39"/>
      <c r="H41" s="39"/>
      <c r="I41" s="39"/>
      <c r="J41" s="39"/>
      <c r="K41" s="39"/>
      <c r="L41" s="39"/>
      <c r="M41" s="39"/>
      <c r="N41" s="39"/>
    </row>
    <row r="42" spans="1:15">
      <c r="B42" s="514"/>
      <c r="C42" s="3121"/>
      <c r="D42" s="515" t="s">
        <v>3450</v>
      </c>
      <c r="E42" s="4044">
        <f ca="1">E36*E40</f>
        <v>52.231572694017714</v>
      </c>
      <c r="F42" s="875"/>
      <c r="G42" s="39"/>
      <c r="H42" s="39"/>
      <c r="I42" s="39"/>
      <c r="J42" s="39"/>
      <c r="K42" s="39"/>
      <c r="L42" s="39"/>
      <c r="M42" s="39"/>
      <c r="N42" s="39"/>
    </row>
    <row r="43" spans="1:15" s="1309" customFormat="1" ht="12.75">
      <c r="A43" s="927"/>
      <c r="B43" s="3096"/>
      <c r="C43" s="4101"/>
      <c r="D43" s="4079" t="s">
        <v>3504</v>
      </c>
      <c r="E43" s="4110">
        <f ca="1">(M24/E42)</f>
        <v>0.60062372541174824</v>
      </c>
      <c r="F43" s="3100"/>
      <c r="G43" s="4098"/>
    </row>
    <row r="44" spans="1:15" s="4108" customFormat="1" ht="18.75">
      <c r="A44" s="381"/>
      <c r="B44" s="3108"/>
      <c r="C44" s="3109"/>
      <c r="D44" s="23"/>
      <c r="E44" s="4106"/>
      <c r="F44" s="3113"/>
      <c r="G44" s="410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sheetPr>
    <tabColor theme="5"/>
  </sheetPr>
  <dimension ref="A2:AB78"/>
  <sheetViews>
    <sheetView showGridLines="0" zoomScale="80" zoomScaleNormal="80" workbookViewId="0">
      <selection activeCell="C1" sqref="C1"/>
    </sheetView>
  </sheetViews>
  <sheetFormatPr defaultColWidth="11.42578125" defaultRowHeight="15"/>
  <cols>
    <col min="1" max="1" width="3.140625" style="4013" customWidth="1"/>
    <col min="2" max="2" width="11.42578125" style="4013"/>
    <col min="3" max="3" width="5.42578125" style="4013" customWidth="1"/>
    <col min="4" max="4" width="31.42578125" style="4013" customWidth="1"/>
    <col min="5" max="16384" width="11.42578125" style="4013"/>
  </cols>
  <sheetData>
    <row r="2" spans="1:28" ht="23.25">
      <c r="A2" s="7"/>
      <c r="B2" s="511" t="s">
        <v>3418</v>
      </c>
      <c r="C2" s="512"/>
      <c r="D2" s="512"/>
      <c r="E2" s="512"/>
      <c r="F2" s="512"/>
      <c r="G2" s="512"/>
      <c r="H2" s="512"/>
      <c r="I2" s="512"/>
      <c r="J2" s="512"/>
      <c r="K2" s="512"/>
      <c r="L2" s="512"/>
      <c r="M2" s="512"/>
      <c r="N2" s="866"/>
    </row>
    <row r="3" spans="1:28" s="6" customFormat="1" ht="18" customHeight="1">
      <c r="B3" s="514"/>
      <c r="C3" s="515"/>
      <c r="D3" s="515"/>
      <c r="E3" s="515"/>
      <c r="F3" s="515"/>
      <c r="G3" s="515"/>
      <c r="H3" s="515"/>
      <c r="I3" s="515"/>
      <c r="J3" s="515"/>
      <c r="K3" s="515"/>
      <c r="L3" s="4029"/>
      <c r="M3" s="4001"/>
      <c r="N3" s="875"/>
      <c r="P3" s="4013"/>
      <c r="Q3" s="4013"/>
      <c r="R3" s="4013"/>
      <c r="S3" s="4013"/>
      <c r="T3" s="4013"/>
      <c r="U3" s="4013"/>
      <c r="V3" s="4013"/>
      <c r="W3" s="4013"/>
      <c r="X3" s="4013"/>
      <c r="Y3" s="4013"/>
      <c r="Z3" s="4013"/>
      <c r="AA3" s="4013"/>
      <c r="AB3" s="4013"/>
    </row>
    <row r="4" spans="1:28" s="6" customFormat="1" ht="18" customHeight="1">
      <c r="B4" s="514"/>
      <c r="C4" s="3121" t="s">
        <v>3431</v>
      </c>
      <c r="D4" s="515"/>
      <c r="E4" s="515"/>
      <c r="F4" s="515"/>
      <c r="G4" s="515"/>
      <c r="H4" s="515"/>
      <c r="I4" s="515"/>
      <c r="J4" s="515"/>
      <c r="K4" s="515"/>
      <c r="L4" s="515"/>
      <c r="M4" s="17"/>
      <c r="N4" s="875"/>
      <c r="P4" s="4013"/>
      <c r="Q4" s="4013"/>
      <c r="R4" s="4013"/>
      <c r="S4" s="4013"/>
      <c r="T4" s="4013"/>
      <c r="U4" s="4013"/>
      <c r="V4" s="4013"/>
      <c r="W4" s="4013"/>
      <c r="X4" s="4013"/>
      <c r="Y4" s="4013"/>
      <c r="Z4" s="4013"/>
      <c r="AA4" s="4013"/>
      <c r="AB4" s="4013"/>
    </row>
    <row r="5" spans="1:28" s="6" customFormat="1" ht="18" customHeight="1">
      <c r="B5" s="514"/>
      <c r="C5" s="515"/>
      <c r="D5" s="515"/>
      <c r="E5" s="515"/>
      <c r="F5" s="515"/>
      <c r="G5" s="515"/>
      <c r="H5" s="515"/>
      <c r="I5" s="515"/>
      <c r="J5" s="515"/>
      <c r="K5" s="515"/>
      <c r="L5" s="515"/>
      <c r="M5" s="17"/>
      <c r="N5" s="875"/>
      <c r="P5" s="4013"/>
      <c r="Q5" s="4013"/>
      <c r="R5" s="4013"/>
      <c r="S5" s="4013"/>
      <c r="T5" s="4013"/>
      <c r="U5" s="4013"/>
      <c r="V5" s="4013"/>
      <c r="W5" s="4013"/>
      <c r="X5" s="4013"/>
      <c r="Y5" s="4013"/>
      <c r="Z5" s="4013"/>
      <c r="AA5" s="4013"/>
      <c r="AB5" s="4013"/>
    </row>
    <row r="6" spans="1:28" s="927" customFormat="1" ht="18" customHeight="1">
      <c r="B6" s="3096"/>
      <c r="C6" s="3097"/>
      <c r="D6" s="4077" t="str">
        <f>Preferences.EnergyUnits &amp; " / year"</f>
        <v>TWh / year</v>
      </c>
      <c r="E6" s="3095">
        <v>2013</v>
      </c>
      <c r="F6" s="3095">
        <v>2015</v>
      </c>
      <c r="G6" s="3095">
        <v>2020</v>
      </c>
      <c r="H6" s="3095">
        <v>2025</v>
      </c>
      <c r="I6" s="3095">
        <v>2030</v>
      </c>
      <c r="J6" s="3095">
        <v>2035</v>
      </c>
      <c r="K6" s="3095">
        <v>2040</v>
      </c>
      <c r="L6" s="3095">
        <v>2045</v>
      </c>
      <c r="M6" s="3095">
        <v>2050</v>
      </c>
      <c r="N6" s="3100"/>
      <c r="O6" s="4078"/>
    </row>
    <row r="7" spans="1:28" s="927" customFormat="1" ht="12.75">
      <c r="B7" s="3096"/>
      <c r="C7" s="4079" t="s">
        <v>418</v>
      </c>
      <c r="D7" s="4079" t="s">
        <v>369</v>
      </c>
      <c r="E7" s="4080">
        <f ca="1">INDEX(INDIRECT("'"&amp;E$6&amp;"'!Year.NetBalance"), MATCH($C7, INDIRECT("'"&amp;E$6&amp;"'!Year.Vectors"), 0))</f>
        <v>38.777720899243057</v>
      </c>
      <c r="F7" s="4080">
        <f t="shared" ref="F7:M7" ca="1" si="0">INDEX(INDIRECT("'"&amp;F$6&amp;"'!Year.NetBalance"), MATCH($C7, INDIRECT("'"&amp;F$6&amp;"'!Year.Vectors"), 0))</f>
        <v>37.89730059516333</v>
      </c>
      <c r="G7" s="4080">
        <f t="shared" ca="1" si="0"/>
        <v>36.134435164573652</v>
      </c>
      <c r="H7" s="4080">
        <f t="shared" ca="1" si="0"/>
        <v>33.951749508261884</v>
      </c>
      <c r="I7" s="4080">
        <f t="shared" ca="1" si="0"/>
        <v>33.687114265346466</v>
      </c>
      <c r="J7" s="4080">
        <f t="shared" ca="1" si="0"/>
        <v>33.315436625723152</v>
      </c>
      <c r="K7" s="4080">
        <f t="shared" ca="1" si="0"/>
        <v>33.083990769818584</v>
      </c>
      <c r="L7" s="4080">
        <f t="shared" ca="1" si="0"/>
        <v>32.880652873663266</v>
      </c>
      <c r="M7" s="4080">
        <f t="shared" ca="1" si="0"/>
        <v>32.690001720662984</v>
      </c>
      <c r="N7" s="3100"/>
      <c r="O7" s="4078"/>
    </row>
    <row r="8" spans="1:28" s="927" customFormat="1" ht="12.75">
      <c r="B8" s="3096"/>
      <c r="C8" s="4079" t="s">
        <v>419</v>
      </c>
      <c r="D8" s="4079" t="s">
        <v>370</v>
      </c>
      <c r="E8" s="4080">
        <f t="shared" ref="E8:M12" ca="1" si="1">INDEX(INDIRECT("'"&amp;E$6&amp;"'!Year.NetBalance"), MATCH($C8, INDIRECT("'"&amp;E$6&amp;"'!Year.Vectors"), 0))</f>
        <v>0.3939854936866376</v>
      </c>
      <c r="F8" s="4080">
        <f t="shared" ca="1" si="1"/>
        <v>0.45199457636929957</v>
      </c>
      <c r="G8" s="4080">
        <f t="shared" ca="1" si="1"/>
        <v>0.43876387038956832</v>
      </c>
      <c r="H8" s="4080">
        <f t="shared" ca="1" si="1"/>
        <v>0.42264386044609314</v>
      </c>
      <c r="I8" s="4080">
        <f t="shared" ca="1" si="1"/>
        <v>0.40591861207029195</v>
      </c>
      <c r="J8" s="4080">
        <f t="shared" ca="1" si="1"/>
        <v>0.3884627680202104</v>
      </c>
      <c r="K8" s="4080">
        <f t="shared" ca="1" si="1"/>
        <v>0.36938892884152924</v>
      </c>
      <c r="L8" s="4080">
        <f t="shared" ca="1" si="1"/>
        <v>0.34962764034052646</v>
      </c>
      <c r="M8" s="4080">
        <f t="shared" ca="1" si="1"/>
        <v>0.32657111326878496</v>
      </c>
      <c r="N8" s="3100"/>
      <c r="O8" s="4078"/>
    </row>
    <row r="9" spans="1:28" s="927" customFormat="1" ht="12.75">
      <c r="B9" s="3096"/>
      <c r="C9" s="4079" t="s">
        <v>420</v>
      </c>
      <c r="D9" s="4079" t="s">
        <v>371</v>
      </c>
      <c r="E9" s="4080">
        <f t="shared" ca="1" si="1"/>
        <v>2.7179785187540276E-2</v>
      </c>
      <c r="F9" s="4080">
        <f t="shared" ca="1" si="1"/>
        <v>2.6979176745363341E-2</v>
      </c>
      <c r="G9" s="4080">
        <f t="shared" ca="1" si="1"/>
        <v>2.6748583502616049E-2</v>
      </c>
      <c r="H9" s="4080">
        <f t="shared" ca="1" si="1"/>
        <v>2.6377315657889075E-2</v>
      </c>
      <c r="I9" s="4080">
        <f t="shared" ca="1" si="1"/>
        <v>2.6013627209398826E-2</v>
      </c>
      <c r="J9" s="4080">
        <f t="shared" ca="1" si="1"/>
        <v>2.5651802953474499E-2</v>
      </c>
      <c r="K9" s="4080">
        <f t="shared" ca="1" si="1"/>
        <v>2.5228818186920948E-2</v>
      </c>
      <c r="L9" s="4080">
        <f t="shared" ca="1" si="1"/>
        <v>2.4811333961622644E-2</v>
      </c>
      <c r="M9" s="4080">
        <f t="shared" ca="1" si="1"/>
        <v>2.4811333961622644E-2</v>
      </c>
      <c r="N9" s="3100"/>
      <c r="O9" s="4078"/>
    </row>
    <row r="10" spans="1:28" s="927" customFormat="1" ht="12.75">
      <c r="B10" s="3096"/>
      <c r="C10" s="4079" t="s">
        <v>421</v>
      </c>
      <c r="D10" s="4079" t="s">
        <v>372</v>
      </c>
      <c r="E10" s="4080">
        <f t="shared" ca="1" si="1"/>
        <v>0.66</v>
      </c>
      <c r="F10" s="4080">
        <f t="shared" ca="1" si="1"/>
        <v>0.66</v>
      </c>
      <c r="G10" s="4080">
        <f t="shared" ca="1" si="1"/>
        <v>0.66</v>
      </c>
      <c r="H10" s="4080">
        <f t="shared" ca="1" si="1"/>
        <v>0.66</v>
      </c>
      <c r="I10" s="4080">
        <f t="shared" ca="1" si="1"/>
        <v>0.66</v>
      </c>
      <c r="J10" s="4080">
        <f t="shared" ca="1" si="1"/>
        <v>0.66</v>
      </c>
      <c r="K10" s="4080">
        <f t="shared" ca="1" si="1"/>
        <v>0.66</v>
      </c>
      <c r="L10" s="4080">
        <f t="shared" ca="1" si="1"/>
        <v>0.66</v>
      </c>
      <c r="M10" s="4080">
        <f t="shared" ca="1" si="1"/>
        <v>0.66</v>
      </c>
      <c r="N10" s="3100"/>
      <c r="O10" s="4078"/>
    </row>
    <row r="11" spans="1:28" s="927" customFormat="1" ht="12.75">
      <c r="B11" s="3096"/>
      <c r="C11" s="4079" t="s">
        <v>422</v>
      </c>
      <c r="D11" s="4079" t="s">
        <v>373</v>
      </c>
      <c r="E11" s="4080">
        <f t="shared" ca="1" si="1"/>
        <v>7.02</v>
      </c>
      <c r="F11" s="4080">
        <f t="shared" ca="1" si="1"/>
        <v>6.8942086199999997</v>
      </c>
      <c r="G11" s="4080">
        <f t="shared" ca="1" si="1"/>
        <v>7.4554183878892841</v>
      </c>
      <c r="H11" s="4080">
        <f t="shared" ca="1" si="1"/>
        <v>8.0623123555082739</v>
      </c>
      <c r="I11" s="4080">
        <f t="shared" ca="1" si="1"/>
        <v>8.7186093571046239</v>
      </c>
      <c r="J11" s="4080">
        <f t="shared" ca="1" si="1"/>
        <v>9.4283309514618914</v>
      </c>
      <c r="K11" s="4080">
        <f t="shared" ca="1" si="1"/>
        <v>10.195826064607054</v>
      </c>
      <c r="L11" s="4080">
        <f t="shared" ca="1" si="1"/>
        <v>11.025797638510145</v>
      </c>
      <c r="M11" s="4080">
        <f t="shared" ca="1" si="1"/>
        <v>11.923331449069897</v>
      </c>
      <c r="N11" s="3100"/>
      <c r="O11" s="4078"/>
    </row>
    <row r="12" spans="1:28" s="927" customFormat="1" ht="12.75">
      <c r="B12" s="3096"/>
      <c r="C12" s="4079" t="s">
        <v>423</v>
      </c>
      <c r="D12" s="4079" t="s">
        <v>374</v>
      </c>
      <c r="E12" s="4080">
        <f t="shared" ca="1" si="1"/>
        <v>0</v>
      </c>
      <c r="F12" s="4080">
        <f t="shared" ca="1" si="1"/>
        <v>0</v>
      </c>
      <c r="G12" s="4080">
        <f t="shared" ca="1" si="1"/>
        <v>0</v>
      </c>
      <c r="H12" s="4080">
        <f t="shared" ca="1" si="1"/>
        <v>0</v>
      </c>
      <c r="I12" s="4080">
        <f t="shared" ca="1" si="1"/>
        <v>0</v>
      </c>
      <c r="J12" s="4080">
        <f t="shared" ca="1" si="1"/>
        <v>0</v>
      </c>
      <c r="K12" s="4080">
        <f t="shared" ca="1" si="1"/>
        <v>0</v>
      </c>
      <c r="L12" s="4080">
        <f t="shared" ca="1" si="1"/>
        <v>0</v>
      </c>
      <c r="M12" s="4080">
        <f t="shared" ca="1" si="1"/>
        <v>0</v>
      </c>
      <c r="N12" s="3100"/>
      <c r="O12" s="4078"/>
    </row>
    <row r="13" spans="1:28" s="927" customFormat="1" ht="12.75">
      <c r="B13" s="3096"/>
      <c r="C13" s="4079"/>
      <c r="D13" s="4079" t="s">
        <v>3419</v>
      </c>
      <c r="E13" s="4080">
        <f ca="1">SUM(E7:E12)</f>
        <v>46.878886178117227</v>
      </c>
      <c r="F13" s="4080">
        <f t="shared" ref="F13:M13" ca="1" si="2">SUM(F7:F12)</f>
        <v>45.930482968277992</v>
      </c>
      <c r="G13" s="4080">
        <f t="shared" ca="1" si="2"/>
        <v>44.715366006355119</v>
      </c>
      <c r="H13" s="4080">
        <f t="shared" ca="1" si="2"/>
        <v>43.123083039874139</v>
      </c>
      <c r="I13" s="4080">
        <f t="shared" ca="1" si="2"/>
        <v>43.497655861730784</v>
      </c>
      <c r="J13" s="4080">
        <f t="shared" ca="1" si="2"/>
        <v>43.817882148158731</v>
      </c>
      <c r="K13" s="4080">
        <f t="shared" ca="1" si="2"/>
        <v>44.334434581454083</v>
      </c>
      <c r="L13" s="4080">
        <f t="shared" ca="1" si="2"/>
        <v>44.940889486475555</v>
      </c>
      <c r="M13" s="4080">
        <f t="shared" ca="1" si="2"/>
        <v>45.624715616963286</v>
      </c>
      <c r="N13" s="3100"/>
      <c r="O13" s="4078"/>
    </row>
    <row r="14" spans="1:28" s="927" customFormat="1" ht="18" customHeight="1">
      <c r="B14" s="3096"/>
      <c r="C14" s="3098"/>
      <c r="D14" s="3098"/>
      <c r="E14" s="4081"/>
      <c r="F14" s="4081"/>
      <c r="G14" s="4081"/>
      <c r="H14" s="4081"/>
      <c r="I14" s="4081"/>
      <c r="J14" s="4081"/>
      <c r="K14" s="4081"/>
      <c r="L14" s="4081"/>
      <c r="M14" s="4081"/>
      <c r="N14" s="3100"/>
      <c r="O14" s="4078"/>
    </row>
    <row r="15" spans="1:28" s="927" customFormat="1" ht="18" customHeight="1">
      <c r="B15" s="3096"/>
      <c r="C15" s="4082" t="s">
        <v>3432</v>
      </c>
      <c r="D15" s="3098"/>
      <c r="E15" s="4081"/>
      <c r="F15" s="4081"/>
      <c r="G15" s="4081"/>
      <c r="H15" s="4081"/>
      <c r="I15" s="4081"/>
      <c r="J15" s="4081"/>
      <c r="K15" s="4081"/>
      <c r="L15" s="4081"/>
      <c r="M15" s="3122" t="str">
        <f>Preferences.EnergyUnits &amp; " / year"</f>
        <v>TWh / year</v>
      </c>
      <c r="N15" s="3100"/>
      <c r="O15" s="4078"/>
    </row>
    <row r="16" spans="1:28" s="927" customFormat="1" ht="18" customHeight="1">
      <c r="B16" s="3096"/>
      <c r="C16" s="3097"/>
      <c r="D16" s="3097"/>
      <c r="E16" s="4083"/>
      <c r="F16" s="4083"/>
      <c r="G16" s="4083"/>
      <c r="H16" s="4083"/>
      <c r="I16" s="4083"/>
      <c r="J16" s="4083"/>
      <c r="K16" s="4083"/>
      <c r="L16" s="4083"/>
      <c r="M16" s="4083"/>
      <c r="N16" s="3100"/>
      <c r="O16" s="4078"/>
    </row>
    <row r="17" spans="2:18" s="927" customFormat="1" ht="12.75">
      <c r="B17" s="3096"/>
      <c r="C17" s="3097" t="s">
        <v>44</v>
      </c>
      <c r="D17" s="3097" t="s">
        <v>28</v>
      </c>
      <c r="E17" s="4083">
        <v>2013</v>
      </c>
      <c r="F17" s="4083">
        <v>2015</v>
      </c>
      <c r="G17" s="4083">
        <v>2020</v>
      </c>
      <c r="H17" s="4083">
        <v>2025</v>
      </c>
      <c r="I17" s="4083">
        <v>2030</v>
      </c>
      <c r="J17" s="4083">
        <v>2035</v>
      </c>
      <c r="K17" s="4083">
        <v>2040</v>
      </c>
      <c r="L17" s="4083">
        <v>2045</v>
      </c>
      <c r="M17" s="4083">
        <v>2050</v>
      </c>
      <c r="N17" s="3100"/>
      <c r="O17" s="4078"/>
    </row>
    <row r="18" spans="2:18">
      <c r="B18" s="514"/>
      <c r="C18" s="4084"/>
      <c r="D18" s="4084" t="s">
        <v>491</v>
      </c>
      <c r="E18" s="4085">
        <f ca="1">E13</f>
        <v>46.878886178117227</v>
      </c>
      <c r="F18" s="4085">
        <f t="shared" ref="F18:M18" ca="1" si="3">F13</f>
        <v>45.930482968277992</v>
      </c>
      <c r="G18" s="4085">
        <f t="shared" ca="1" si="3"/>
        <v>44.715366006355119</v>
      </c>
      <c r="H18" s="4085">
        <f t="shared" ca="1" si="3"/>
        <v>43.123083039874139</v>
      </c>
      <c r="I18" s="4085">
        <f t="shared" ca="1" si="3"/>
        <v>43.497655861730784</v>
      </c>
      <c r="J18" s="4085">
        <f t="shared" ca="1" si="3"/>
        <v>43.817882148158731</v>
      </c>
      <c r="K18" s="4085">
        <f t="shared" ca="1" si="3"/>
        <v>44.334434581454083</v>
      </c>
      <c r="L18" s="4085">
        <f t="shared" ca="1" si="3"/>
        <v>44.940889486475555</v>
      </c>
      <c r="M18" s="4085">
        <f t="shared" ca="1" si="3"/>
        <v>45.624715616963286</v>
      </c>
      <c r="N18" s="3100"/>
      <c r="O18" s="2510"/>
      <c r="Q18" s="2510"/>
      <c r="R18" s="2510"/>
    </row>
    <row r="19" spans="2:18">
      <c r="B19" s="514"/>
      <c r="C19" s="4084" t="s">
        <v>417</v>
      </c>
      <c r="D19" s="4084" t="s">
        <v>368</v>
      </c>
      <c r="E19" s="4080">
        <f ca="1">INDEX(INDIRECT("'"&amp;E$17&amp;"'!Year.NetBalance"), MATCH($C19, INDIRECT("'"&amp;E$17&amp;"'!Year.Vectors"), 0))</f>
        <v>28.675543224779016</v>
      </c>
      <c r="F19" s="4080">
        <f t="shared" ref="F19:M19" ca="1" si="4">INDEX(INDIRECT("'"&amp;F$17&amp;"'!Year.NetBalance"), MATCH($C19, INDIRECT("'"&amp;F$17&amp;"'!Year.Vectors"), 0))</f>
        <v>29.002786937023085</v>
      </c>
      <c r="G19" s="4080">
        <f t="shared" ca="1" si="4"/>
        <v>31.815835036785352</v>
      </c>
      <c r="H19" s="4080">
        <f t="shared" ca="1" si="4"/>
        <v>30.936448881734712</v>
      </c>
      <c r="I19" s="4080">
        <f t="shared" ca="1" si="4"/>
        <v>31.162226634125272</v>
      </c>
      <c r="J19" s="4080">
        <f t="shared" ca="1" si="4"/>
        <v>32.196575836673233</v>
      </c>
      <c r="K19" s="4080">
        <f t="shared" ca="1" si="4"/>
        <v>33.358518857203755</v>
      </c>
      <c r="L19" s="4080">
        <f t="shared" ca="1" si="4"/>
        <v>34.650458118468507</v>
      </c>
      <c r="M19" s="4080">
        <f t="shared" ca="1" si="4"/>
        <v>36.076262680025728</v>
      </c>
      <c r="N19" s="3105"/>
      <c r="O19" s="2510"/>
    </row>
    <row r="20" spans="2:18">
      <c r="B20" s="514"/>
      <c r="C20" s="4084" t="s">
        <v>103</v>
      </c>
      <c r="D20" s="4084" t="s">
        <v>3420</v>
      </c>
      <c r="E20" s="4080">
        <f t="shared" ref="E20:M21" ca="1" si="5">INDEX(INDIRECT("'"&amp;E$17&amp;"'!Year.NetBalance"), MATCH($C20, INDIRECT("'"&amp;E$17&amp;"'!Year.Vectors"), 0))</f>
        <v>36.980937210387133</v>
      </c>
      <c r="F20" s="4080">
        <f t="shared" ca="1" si="5"/>
        <v>35.698527384815208</v>
      </c>
      <c r="G20" s="4080">
        <f t="shared" ca="1" si="5"/>
        <v>35.606421512563799</v>
      </c>
      <c r="H20" s="4080">
        <f t="shared" ca="1" si="5"/>
        <v>36.831258141442504</v>
      </c>
      <c r="I20" s="4080">
        <f t="shared" ca="1" si="5"/>
        <v>37.793072269825217</v>
      </c>
      <c r="J20" s="4080">
        <f t="shared" ca="1" si="5"/>
        <v>38.883640112521043</v>
      </c>
      <c r="K20" s="4080">
        <f t="shared" ca="1" si="5"/>
        <v>40.107798280097512</v>
      </c>
      <c r="L20" s="4080">
        <f t="shared" ca="1" si="5"/>
        <v>41.5263129319206</v>
      </c>
      <c r="M20" s="4080">
        <f t="shared" ca="1" si="5"/>
        <v>42.9684946640851</v>
      </c>
      <c r="N20" s="3105"/>
      <c r="O20" s="2510"/>
    </row>
    <row r="21" spans="2:18">
      <c r="B21" s="514"/>
      <c r="C21" s="4084" t="s">
        <v>416</v>
      </c>
      <c r="D21" s="4084" t="s">
        <v>367</v>
      </c>
      <c r="E21" s="4080">
        <f t="shared" ca="1" si="5"/>
        <v>9.9881098435378739</v>
      </c>
      <c r="F21" s="4080">
        <f t="shared" ca="1" si="5"/>
        <v>10.094711107570451</v>
      </c>
      <c r="G21" s="4080">
        <f t="shared" ca="1" si="5"/>
        <v>10.378401122896985</v>
      </c>
      <c r="H21" s="4080">
        <f t="shared" ca="1" si="5"/>
        <v>10.679268973988956</v>
      </c>
      <c r="I21" s="4080">
        <f t="shared" ca="1" si="5"/>
        <v>11.004615111074104</v>
      </c>
      <c r="J21" s="4080">
        <f t="shared" ca="1" si="5"/>
        <v>11.3150669434942</v>
      </c>
      <c r="K21" s="4080">
        <f t="shared" ca="1" si="5"/>
        <v>11.588405997071563</v>
      </c>
      <c r="L21" s="4080">
        <f t="shared" ca="1" si="5"/>
        <v>11.826083554413207</v>
      </c>
      <c r="M21" s="4080">
        <f t="shared" ca="1" si="5"/>
        <v>12.034872571628442</v>
      </c>
      <c r="N21" s="3105"/>
      <c r="O21" s="2510"/>
    </row>
    <row r="22" spans="2:18" s="381" customFormat="1" ht="18.75">
      <c r="B22" s="3108"/>
      <c r="C22" s="3109"/>
      <c r="D22" s="3110" t="s">
        <v>59</v>
      </c>
      <c r="E22" s="4086">
        <f ca="1">SUM(E18:E21)</f>
        <v>122.52347645682124</v>
      </c>
      <c r="F22" s="4086">
        <f t="shared" ref="F22:M22" ca="1" si="6">SUM(F18:F21)</f>
        <v>120.72650839768673</v>
      </c>
      <c r="G22" s="4086">
        <f t="shared" ca="1" si="6"/>
        <v>122.51602367860126</v>
      </c>
      <c r="H22" s="4086">
        <f t="shared" ca="1" si="6"/>
        <v>121.57005903704031</v>
      </c>
      <c r="I22" s="4086">
        <f t="shared" ca="1" si="6"/>
        <v>123.45756987675537</v>
      </c>
      <c r="J22" s="4086">
        <f t="shared" ca="1" si="6"/>
        <v>126.2131650408472</v>
      </c>
      <c r="K22" s="4086">
        <f t="shared" ca="1" si="6"/>
        <v>129.38915771582691</v>
      </c>
      <c r="L22" s="4086">
        <f t="shared" ca="1" si="6"/>
        <v>132.94374409127786</v>
      </c>
      <c r="M22" s="4086">
        <f t="shared" ca="1" si="6"/>
        <v>136.70434553270255</v>
      </c>
      <c r="N22" s="3113"/>
      <c r="O22" s="2480"/>
    </row>
    <row r="24" spans="2:18" ht="15.75">
      <c r="B24" s="511" t="s">
        <v>3421</v>
      </c>
      <c r="C24" s="512"/>
      <c r="D24" s="512"/>
      <c r="E24" s="512"/>
      <c r="F24" s="512"/>
      <c r="G24" s="512"/>
      <c r="H24" s="512"/>
      <c r="I24" s="512"/>
      <c r="J24" s="512"/>
      <c r="K24" s="512"/>
      <c r="L24" s="512"/>
      <c r="M24" s="512"/>
      <c r="N24" s="866"/>
    </row>
    <row r="25" spans="2:18">
      <c r="B25" s="514"/>
      <c r="C25" s="515"/>
      <c r="D25" s="515"/>
      <c r="E25" s="515"/>
      <c r="F25" s="515"/>
      <c r="G25" s="515"/>
      <c r="H25" s="515"/>
      <c r="I25" s="515"/>
      <c r="J25" s="515"/>
      <c r="K25" s="515"/>
      <c r="L25" s="4029"/>
      <c r="M25" s="4001"/>
      <c r="N25" s="875"/>
    </row>
    <row r="26" spans="2:18" ht="15.75">
      <c r="B26" s="4087"/>
      <c r="C26" s="3121" t="s">
        <v>3433</v>
      </c>
      <c r="D26" s="3121"/>
      <c r="E26" s="3121"/>
      <c r="F26" s="3121"/>
      <c r="G26" s="3121"/>
      <c r="H26" s="3122"/>
      <c r="I26" s="3122"/>
      <c r="J26" s="3122"/>
      <c r="K26" s="3122"/>
      <c r="L26" s="3122"/>
      <c r="M26" s="3122" t="str">
        <f>Preferences.EnergyUnits &amp; " / year"</f>
        <v>TWh / year</v>
      </c>
      <c r="N26" s="875"/>
    </row>
    <row r="27" spans="2:18" ht="15.75">
      <c r="B27" s="4087"/>
      <c r="C27" s="3121"/>
      <c r="D27" s="3121"/>
      <c r="E27" s="3121"/>
      <c r="F27" s="3121"/>
      <c r="G27" s="3122"/>
      <c r="H27" s="3122"/>
      <c r="I27" s="3122"/>
      <c r="J27" s="3122"/>
      <c r="K27" s="3122"/>
      <c r="L27" s="3122"/>
      <c r="M27" s="4083"/>
      <c r="N27" s="875"/>
    </row>
    <row r="28" spans="2:18">
      <c r="B28" s="3119"/>
      <c r="C28" s="4088" t="s">
        <v>44</v>
      </c>
      <c r="D28" s="4089" t="s">
        <v>28</v>
      </c>
      <c r="E28" s="34">
        <v>2013</v>
      </c>
      <c r="F28" s="34">
        <v>2015</v>
      </c>
      <c r="G28" s="34">
        <v>2020</v>
      </c>
      <c r="H28" s="34">
        <v>2025</v>
      </c>
      <c r="I28" s="34">
        <v>2030</v>
      </c>
      <c r="J28" s="34">
        <v>2035</v>
      </c>
      <c r="K28" s="34">
        <v>2040</v>
      </c>
      <c r="L28" s="34">
        <v>2045</v>
      </c>
      <c r="M28" s="1126">
        <v>2050</v>
      </c>
      <c r="N28" s="875"/>
    </row>
    <row r="29" spans="2:18">
      <c r="B29" s="3119"/>
      <c r="C29" s="4047" t="s">
        <v>445</v>
      </c>
      <c r="D29" s="4048" t="s">
        <v>396</v>
      </c>
      <c r="E29" s="4090">
        <f ca="1">-INDEX(INDIRECT("'"&amp;E$28&amp;"'!Year.NetBalance"),MATCH($C29,INDIRECT("'"&amp;E$28&amp;"'!Year.Vectors"),0))</f>
        <v>0</v>
      </c>
      <c r="F29" s="4090">
        <f t="shared" ref="F29:M29" ca="1" si="7">-INDEX(INDIRECT("'"&amp;F$28&amp;"'!Year.NetBalance"),MATCH($C29,INDIRECT("'"&amp;F$28&amp;"'!Year.Vectors"),0))</f>
        <v>0</v>
      </c>
      <c r="G29" s="4090">
        <f t="shared" ca="1" si="7"/>
        <v>0</v>
      </c>
      <c r="H29" s="4090">
        <f t="shared" ca="1" si="7"/>
        <v>0</v>
      </c>
      <c r="I29" s="4090">
        <f t="shared" ca="1" si="7"/>
        <v>21.428000000000004</v>
      </c>
      <c r="J29" s="4090">
        <f t="shared" ca="1" si="7"/>
        <v>21.428000000000004</v>
      </c>
      <c r="K29" s="4090">
        <f t="shared" ca="1" si="7"/>
        <v>21.428000000000004</v>
      </c>
      <c r="L29" s="4090">
        <f t="shared" ca="1" si="7"/>
        <v>21.428000000000004</v>
      </c>
      <c r="M29" s="4090">
        <f t="shared" ca="1" si="7"/>
        <v>21.428000000000004</v>
      </c>
      <c r="N29" s="875"/>
    </row>
    <row r="30" spans="2:18">
      <c r="B30" s="3119"/>
      <c r="C30" s="4047" t="s">
        <v>446</v>
      </c>
      <c r="D30" s="4048" t="s">
        <v>79</v>
      </c>
      <c r="E30" s="4090">
        <f t="shared" ref="E30:M46" ca="1" si="8">-INDEX(INDIRECT("'"&amp;E$28&amp;"'!Year.NetBalance"),MATCH($C30,INDIRECT("'"&amp;E$28&amp;"'!Year.Vectors"),0))</f>
        <v>4.1054887428987621E-2</v>
      </c>
      <c r="F30" s="4090">
        <f t="shared" ca="1" si="8"/>
        <v>0.29533988943004724</v>
      </c>
      <c r="G30" s="4090">
        <f t="shared" ca="1" si="8"/>
        <v>0.98311948364472168</v>
      </c>
      <c r="H30" s="4090">
        <f t="shared" ca="1" si="8"/>
        <v>1.7302356023133905</v>
      </c>
      <c r="I30" s="4090">
        <f t="shared" ca="1" si="8"/>
        <v>3.1032027513562515</v>
      </c>
      <c r="J30" s="4090">
        <f t="shared" ca="1" si="8"/>
        <v>4.3856969840221529</v>
      </c>
      <c r="K30" s="4090">
        <f t="shared" ca="1" si="8"/>
        <v>5.7058911432863937</v>
      </c>
      <c r="L30" s="4090">
        <f t="shared" ca="1" si="8"/>
        <v>7.0356787943966701</v>
      </c>
      <c r="M30" s="4090">
        <f t="shared" ca="1" si="8"/>
        <v>8.4425533229244625</v>
      </c>
      <c r="N30" s="875"/>
    </row>
    <row r="31" spans="2:18">
      <c r="B31" s="3119"/>
      <c r="C31" s="4047" t="s">
        <v>447</v>
      </c>
      <c r="D31" s="4048" t="s">
        <v>397</v>
      </c>
      <c r="E31" s="4090">
        <f t="shared" ca="1" si="8"/>
        <v>4.5013410000000009</v>
      </c>
      <c r="F31" s="4090">
        <f t="shared" ca="1" si="8"/>
        <v>5.6172527999999993</v>
      </c>
      <c r="G31" s="4090">
        <f t="shared" ca="1" si="8"/>
        <v>9.3230792999999998</v>
      </c>
      <c r="H31" s="4090">
        <f t="shared" ca="1" si="8"/>
        <v>13.589929799999998</v>
      </c>
      <c r="I31" s="4090">
        <f t="shared" ca="1" si="8"/>
        <v>21.946119299999999</v>
      </c>
      <c r="J31" s="4090">
        <f t="shared" ca="1" si="8"/>
        <v>27.955212300000003</v>
      </c>
      <c r="K31" s="4090">
        <f t="shared" ca="1" si="8"/>
        <v>31.8999123</v>
      </c>
      <c r="L31" s="4090">
        <f t="shared" ca="1" si="8"/>
        <v>38.838201300000001</v>
      </c>
      <c r="M31" s="4090">
        <f t="shared" ca="1" si="8"/>
        <v>45.741426300000008</v>
      </c>
      <c r="N31" s="875"/>
    </row>
    <row r="32" spans="2:18">
      <c r="B32" s="3119"/>
      <c r="C32" s="4047" t="s">
        <v>448</v>
      </c>
      <c r="D32" s="4048" t="s">
        <v>398</v>
      </c>
      <c r="E32" s="4090">
        <f t="shared" ca="1" si="8"/>
        <v>0</v>
      </c>
      <c r="F32" s="4090">
        <f t="shared" ca="1" si="8"/>
        <v>0</v>
      </c>
      <c r="G32" s="4090">
        <f t="shared" ca="1" si="8"/>
        <v>0</v>
      </c>
      <c r="H32" s="4090">
        <f t="shared" ca="1" si="8"/>
        <v>0.31557600000000013</v>
      </c>
      <c r="I32" s="4090">
        <f t="shared" ca="1" si="8"/>
        <v>0.63115200000000027</v>
      </c>
      <c r="J32" s="4090">
        <f t="shared" ca="1" si="8"/>
        <v>1.5778800000000002</v>
      </c>
      <c r="K32" s="4090">
        <f t="shared" ca="1" si="8"/>
        <v>1.5778800000000002</v>
      </c>
      <c r="L32" s="4090">
        <f t="shared" ca="1" si="8"/>
        <v>2.5246080000000011</v>
      </c>
      <c r="M32" s="4090">
        <f t="shared" ca="1" si="8"/>
        <v>2.5246080000000011</v>
      </c>
      <c r="N32" s="875"/>
    </row>
    <row r="33" spans="2:14">
      <c r="B33" s="3119"/>
      <c r="C33" s="4047" t="s">
        <v>449</v>
      </c>
      <c r="D33" s="4048" t="s">
        <v>399</v>
      </c>
      <c r="E33" s="4090">
        <f t="shared" ca="1" si="8"/>
        <v>0</v>
      </c>
      <c r="F33" s="4090">
        <f t="shared" ca="1" si="8"/>
        <v>3.9627123287671231E-3</v>
      </c>
      <c r="G33" s="4090">
        <f t="shared" ca="1" si="8"/>
        <v>1.3017510000000001E-2</v>
      </c>
      <c r="H33" s="4090">
        <f t="shared" ca="1" si="8"/>
        <v>0.39052530000000008</v>
      </c>
      <c r="I33" s="4090">
        <f t="shared" ca="1" si="8"/>
        <v>2.6035020000000002</v>
      </c>
      <c r="J33" s="4090">
        <f t="shared" ca="1" si="8"/>
        <v>3.9052530000000001</v>
      </c>
      <c r="K33" s="4090">
        <f t="shared" ca="1" si="8"/>
        <v>5.2070040000000004</v>
      </c>
      <c r="L33" s="4090">
        <f t="shared" ca="1" si="8"/>
        <v>5.2070040000000004</v>
      </c>
      <c r="M33" s="4090">
        <f t="shared" ca="1" si="8"/>
        <v>6.2484048000000012</v>
      </c>
      <c r="N33" s="875"/>
    </row>
    <row r="34" spans="2:14">
      <c r="B34" s="3119"/>
      <c r="C34" s="4047" t="s">
        <v>450</v>
      </c>
      <c r="D34" s="4048" t="s">
        <v>55</v>
      </c>
      <c r="E34" s="4090">
        <f t="shared" ca="1" si="8"/>
        <v>0</v>
      </c>
      <c r="F34" s="4090">
        <f t="shared" ca="1" si="8"/>
        <v>0</v>
      </c>
      <c r="G34" s="4090">
        <f t="shared" ca="1" si="8"/>
        <v>0</v>
      </c>
      <c r="H34" s="4090">
        <f t="shared" ca="1" si="8"/>
        <v>0</v>
      </c>
      <c r="I34" s="4090">
        <f t="shared" ca="1" si="8"/>
        <v>0</v>
      </c>
      <c r="J34" s="4090">
        <f t="shared" ca="1" si="8"/>
        <v>0</v>
      </c>
      <c r="K34" s="4090">
        <f t="shared" ca="1" si="8"/>
        <v>0</v>
      </c>
      <c r="L34" s="4090">
        <f t="shared" ca="1" si="8"/>
        <v>0</v>
      </c>
      <c r="M34" s="4090">
        <f t="shared" ca="1" si="8"/>
        <v>0</v>
      </c>
      <c r="N34" s="875"/>
    </row>
    <row r="35" spans="2:14">
      <c r="B35" s="3119"/>
      <c r="C35" s="4047" t="s">
        <v>451</v>
      </c>
      <c r="D35" s="4048" t="s">
        <v>400</v>
      </c>
      <c r="E35" s="4090">
        <f t="shared" ca="1" si="8"/>
        <v>0.74791511999999993</v>
      </c>
      <c r="F35" s="4090">
        <f t="shared" ca="1" si="8"/>
        <v>0.74791511999999993</v>
      </c>
      <c r="G35" s="4090">
        <f t="shared" ca="1" si="8"/>
        <v>0.74791511999999993</v>
      </c>
      <c r="H35" s="4090">
        <f t="shared" ca="1" si="8"/>
        <v>0.78946596000000002</v>
      </c>
      <c r="I35" s="4090">
        <f t="shared" ca="1" si="8"/>
        <v>0.78946596000000002</v>
      </c>
      <c r="J35" s="4090">
        <f t="shared" ca="1" si="8"/>
        <v>0.78946596000000002</v>
      </c>
      <c r="K35" s="4090">
        <f t="shared" ca="1" si="8"/>
        <v>0.78946596000000002</v>
      </c>
      <c r="L35" s="4090">
        <f t="shared" ca="1" si="8"/>
        <v>0.78946596000000002</v>
      </c>
      <c r="M35" s="4090">
        <f t="shared" ca="1" si="8"/>
        <v>0.78946596000000002</v>
      </c>
      <c r="N35" s="875"/>
    </row>
    <row r="36" spans="2:14">
      <c r="B36" s="3119"/>
      <c r="C36" s="4047" t="s">
        <v>440</v>
      </c>
      <c r="D36" s="4048" t="s">
        <v>391</v>
      </c>
      <c r="E36" s="4090">
        <f t="shared" ca="1" si="8"/>
        <v>2.5</v>
      </c>
      <c r="F36" s="4090">
        <f t="shared" ca="1" si="8"/>
        <v>2.5</v>
      </c>
      <c r="G36" s="4090">
        <f t="shared" ca="1" si="8"/>
        <v>2.5000000000000036</v>
      </c>
      <c r="H36" s="4090">
        <f t="shared" ca="1" si="8"/>
        <v>2.5000000000000036</v>
      </c>
      <c r="I36" s="4090">
        <f t="shared" ca="1" si="8"/>
        <v>-10.652664429668677</v>
      </c>
      <c r="J36" s="4090">
        <f t="shared" ca="1" si="8"/>
        <v>-30.098791217428818</v>
      </c>
      <c r="K36" s="4090">
        <f t="shared" ca="1" si="8"/>
        <v>-44.501054695560633</v>
      </c>
      <c r="L36" s="4090">
        <f t="shared" ca="1" si="8"/>
        <v>-60.816975780787857</v>
      </c>
      <c r="M36" s="4090">
        <f t="shared" ca="1" si="8"/>
        <v>-77.574734038121079</v>
      </c>
      <c r="N36" s="875"/>
    </row>
    <row r="37" spans="2:14">
      <c r="B37" s="3119"/>
      <c r="C37" s="4047" t="s">
        <v>102</v>
      </c>
      <c r="D37" s="4048" t="s">
        <v>92</v>
      </c>
      <c r="E37" s="4090">
        <f t="shared" ca="1" si="8"/>
        <v>0.11119904983501781</v>
      </c>
      <c r="F37" s="4090">
        <f t="shared" ca="1" si="8"/>
        <v>0.23024787332134827</v>
      </c>
      <c r="G37" s="4090">
        <f t="shared" ca="1" si="8"/>
        <v>0.19215404904246119</v>
      </c>
      <c r="H37" s="4090">
        <f t="shared" ca="1" si="8"/>
        <v>0.16256755073206205</v>
      </c>
      <c r="I37" s="4090">
        <f t="shared" ca="1" si="8"/>
        <v>0.13025315807559751</v>
      </c>
      <c r="J37" s="4090">
        <f t="shared" ca="1" si="8"/>
        <v>9.8473923807210109E-2</v>
      </c>
      <c r="K37" s="4090">
        <f t="shared" ca="1" si="8"/>
        <v>6.6374144344193087E-2</v>
      </c>
      <c r="L37" s="4090">
        <f t="shared" ca="1" si="8"/>
        <v>3.3366237861707504E-2</v>
      </c>
      <c r="M37" s="4090">
        <f t="shared" ca="1" si="8"/>
        <v>0</v>
      </c>
      <c r="N37" s="875"/>
    </row>
    <row r="38" spans="2:14">
      <c r="B38" s="3119"/>
      <c r="C38" s="4047" t="s">
        <v>453</v>
      </c>
      <c r="D38" s="4048" t="s">
        <v>402</v>
      </c>
      <c r="E38" s="4090">
        <f t="shared" ca="1" si="8"/>
        <v>0.76164924245884236</v>
      </c>
      <c r="F38" s="4090">
        <f t="shared" ca="1" si="8"/>
        <v>1.5775553566803318</v>
      </c>
      <c r="G38" s="4090">
        <f t="shared" ca="1" si="8"/>
        <v>5.3833406982345036</v>
      </c>
      <c r="H38" s="4090">
        <f t="shared" ca="1" si="8"/>
        <v>11.723268587003396</v>
      </c>
      <c r="I38" s="4090">
        <f t="shared" ca="1" si="8"/>
        <v>19.27666069016519</v>
      </c>
      <c r="J38" s="4090">
        <f t="shared" ca="1" si="8"/>
        <v>24.016689175657081</v>
      </c>
      <c r="K38" s="4090">
        <f t="shared" ca="1" si="8"/>
        <v>32.134064682425347</v>
      </c>
      <c r="L38" s="4090">
        <f t="shared" ca="1" si="8"/>
        <v>35.375529883026232</v>
      </c>
      <c r="M38" s="4090">
        <f t="shared" ca="1" si="8"/>
        <v>35.590190574510501</v>
      </c>
      <c r="N38" s="875"/>
    </row>
    <row r="39" spans="2:14">
      <c r="B39" s="3119"/>
      <c r="C39" s="4047" t="s">
        <v>452</v>
      </c>
      <c r="D39" s="4048" t="s">
        <v>401</v>
      </c>
      <c r="E39" s="4090">
        <f t="shared" ca="1" si="8"/>
        <v>0.31308333333333338</v>
      </c>
      <c r="F39" s="4090">
        <f t="shared" ca="1" si="8"/>
        <v>3.1030021015136149</v>
      </c>
      <c r="G39" s="4090">
        <f t="shared" ca="1" si="8"/>
        <v>10.829078746607582</v>
      </c>
      <c r="H39" s="4090">
        <f t="shared" ca="1" si="8"/>
        <v>19.766573720425786</v>
      </c>
      <c r="I39" s="4090">
        <f t="shared" ca="1" si="8"/>
        <v>30.517093697634575</v>
      </c>
      <c r="J39" s="4090">
        <f t="shared" ca="1" si="8"/>
        <v>44.707203811579298</v>
      </c>
      <c r="K39" s="4090">
        <f t="shared" ca="1" si="8"/>
        <v>62.656428421958964</v>
      </c>
      <c r="L39" s="4090">
        <f t="shared" ca="1" si="8"/>
        <v>81.62870870719199</v>
      </c>
      <c r="M39" s="4090">
        <f t="shared" ca="1" si="8"/>
        <v>103.3784393118105</v>
      </c>
      <c r="N39" s="875"/>
    </row>
    <row r="40" spans="2:14">
      <c r="B40" s="3119"/>
      <c r="C40" s="4047" t="s">
        <v>439</v>
      </c>
      <c r="D40" s="4048" t="s">
        <v>390</v>
      </c>
      <c r="E40" s="4090">
        <f t="shared" ca="1" si="8"/>
        <v>1.0954366666666666</v>
      </c>
      <c r="F40" s="4090">
        <f t="shared" ca="1" si="8"/>
        <v>1.2967</v>
      </c>
      <c r="G40" s="4090">
        <f t="shared" ca="1" si="8"/>
        <v>2.9119000000000002</v>
      </c>
      <c r="H40" s="4090">
        <f t="shared" ca="1" si="8"/>
        <v>-12.883921453370924</v>
      </c>
      <c r="I40" s="4090">
        <f t="shared" ca="1" si="8"/>
        <v>-27.976468589835875</v>
      </c>
      <c r="J40" s="4090">
        <f t="shared" ca="1" si="8"/>
        <v>-23.316859166197478</v>
      </c>
      <c r="K40" s="4090">
        <f t="shared" ca="1" si="8"/>
        <v>-39.595554960813011</v>
      </c>
      <c r="L40" s="4090">
        <f t="shared" ca="1" si="8"/>
        <v>-54.387755042114314</v>
      </c>
      <c r="M40" s="4090">
        <f t="shared" ca="1" si="8"/>
        <v>-69.532154317257508</v>
      </c>
      <c r="N40" s="875"/>
    </row>
    <row r="41" spans="2:14">
      <c r="B41" s="3119"/>
      <c r="C41" s="4047" t="s">
        <v>436</v>
      </c>
      <c r="D41" s="4048" t="s">
        <v>3434</v>
      </c>
      <c r="E41" s="4090">
        <f t="shared" ca="1" si="8"/>
        <v>8.4</v>
      </c>
      <c r="F41" s="4090">
        <f t="shared" ca="1" si="8"/>
        <v>7</v>
      </c>
      <c r="G41" s="4090">
        <f t="shared" ca="1" si="8"/>
        <v>2</v>
      </c>
      <c r="H41" s="4090">
        <f t="shared" ca="1" si="8"/>
        <v>2</v>
      </c>
      <c r="I41" s="4090">
        <f t="shared" ca="1" si="8"/>
        <v>0</v>
      </c>
      <c r="J41" s="4090">
        <f t="shared" ca="1" si="8"/>
        <v>0</v>
      </c>
      <c r="K41" s="4090">
        <f t="shared" ca="1" si="8"/>
        <v>0</v>
      </c>
      <c r="L41" s="4090">
        <f t="shared" ca="1" si="8"/>
        <v>0</v>
      </c>
      <c r="M41" s="4090">
        <f t="shared" ca="1" si="8"/>
        <v>0</v>
      </c>
      <c r="N41" s="875"/>
    </row>
    <row r="42" spans="2:14">
      <c r="B42" s="3119"/>
      <c r="C42" s="4047" t="s">
        <v>442</v>
      </c>
      <c r="D42" s="4048" t="s">
        <v>393</v>
      </c>
      <c r="E42" s="4090">
        <f t="shared" ca="1" si="8"/>
        <v>14.602281067209798</v>
      </c>
      <c r="F42" s="4090">
        <f t="shared" ca="1" si="8"/>
        <v>13.367884225892757</v>
      </c>
      <c r="G42" s="4090">
        <f t="shared" ca="1" si="8"/>
        <v>0.49575845114132866</v>
      </c>
      <c r="H42" s="4090">
        <f t="shared" ca="1" si="8"/>
        <v>-2.2402186688480645</v>
      </c>
      <c r="I42" s="4090">
        <f t="shared" ca="1" si="8"/>
        <v>-0.22914024705997099</v>
      </c>
      <c r="J42" s="4090">
        <f t="shared" ca="1" si="8"/>
        <v>-0.22533488167895965</v>
      </c>
      <c r="K42" s="4090">
        <f t="shared" ca="1" si="8"/>
        <v>-0.22186590218798416</v>
      </c>
      <c r="L42" s="4090">
        <f t="shared" ca="1" si="8"/>
        <v>-0.21811357288438121</v>
      </c>
      <c r="M42" s="4090">
        <f t="shared" ca="1" si="8"/>
        <v>-0.2136046021465092</v>
      </c>
      <c r="N42" s="875"/>
    </row>
    <row r="43" spans="2:14">
      <c r="B43" s="3119"/>
      <c r="C43" s="4047" t="s">
        <v>437</v>
      </c>
      <c r="D43" s="4048" t="s">
        <v>388</v>
      </c>
      <c r="E43" s="4090">
        <f t="shared" ca="1" si="8"/>
        <v>0</v>
      </c>
      <c r="F43" s="4090">
        <f t="shared" ca="1" si="8"/>
        <v>0</v>
      </c>
      <c r="G43" s="4090">
        <f t="shared" ca="1" si="8"/>
        <v>0</v>
      </c>
      <c r="H43" s="4090">
        <f t="shared" ca="1" si="8"/>
        <v>0</v>
      </c>
      <c r="I43" s="4090">
        <f t="shared" ca="1" si="8"/>
        <v>0</v>
      </c>
      <c r="J43" s="4090">
        <f t="shared" ca="1" si="8"/>
        <v>0</v>
      </c>
      <c r="K43" s="4090">
        <f t="shared" ca="1" si="8"/>
        <v>0</v>
      </c>
      <c r="L43" s="4090">
        <f t="shared" ca="1" si="8"/>
        <v>0</v>
      </c>
      <c r="M43" s="4090">
        <f t="shared" ca="1" si="8"/>
        <v>0</v>
      </c>
      <c r="N43" s="875"/>
    </row>
    <row r="44" spans="2:14">
      <c r="B44" s="3119"/>
      <c r="C44" s="4047" t="s">
        <v>443</v>
      </c>
      <c r="D44" s="4048" t="s">
        <v>394</v>
      </c>
      <c r="E44" s="4090">
        <f t="shared" ca="1" si="8"/>
        <v>76.341107777431446</v>
      </c>
      <c r="F44" s="4090">
        <f t="shared" ca="1" si="8"/>
        <v>70.428965076712089</v>
      </c>
      <c r="G44" s="4090">
        <f t="shared" ca="1" si="8"/>
        <v>66.132600914927124</v>
      </c>
      <c r="H44" s="4090">
        <f t="shared" ca="1" si="8"/>
        <v>61.70681606299398</v>
      </c>
      <c r="I44" s="4090">
        <f t="shared" ca="1" si="8"/>
        <v>58.853734589724091</v>
      </c>
      <c r="J44" s="4090">
        <f t="shared" ca="1" si="8"/>
        <v>56.055550717287325</v>
      </c>
      <c r="K44" s="4090">
        <f t="shared" ca="1" si="8"/>
        <v>53.466242556904533</v>
      </c>
      <c r="L44" s="4090">
        <f t="shared" ca="1" si="8"/>
        <v>50.942465881243002</v>
      </c>
      <c r="M44" s="4090">
        <f t="shared" ca="1" si="8"/>
        <v>48.624578735681354</v>
      </c>
      <c r="N44" s="875"/>
    </row>
    <row r="45" spans="2:14">
      <c r="B45" s="3119"/>
      <c r="C45" s="4047" t="s">
        <v>438</v>
      </c>
      <c r="D45" s="4048" t="s">
        <v>389</v>
      </c>
      <c r="E45" s="4090">
        <f t="shared" ca="1" si="8"/>
        <v>0</v>
      </c>
      <c r="F45" s="4090">
        <f t="shared" ca="1" si="8"/>
        <v>1.7555282514130199</v>
      </c>
      <c r="G45" s="4090">
        <f t="shared" ca="1" si="8"/>
        <v>35</v>
      </c>
      <c r="H45" s="4090">
        <f t="shared" ca="1" si="8"/>
        <v>10</v>
      </c>
      <c r="I45" s="4090">
        <f t="shared" ca="1" si="8"/>
        <v>0</v>
      </c>
      <c r="J45" s="4090">
        <f t="shared" ca="1" si="8"/>
        <v>0</v>
      </c>
      <c r="K45" s="4090">
        <f t="shared" ca="1" si="8"/>
        <v>0</v>
      </c>
      <c r="L45" s="4090">
        <f t="shared" ca="1" si="8"/>
        <v>0</v>
      </c>
      <c r="M45" s="4090">
        <f t="shared" ca="1" si="8"/>
        <v>0</v>
      </c>
      <c r="N45" s="875"/>
    </row>
    <row r="46" spans="2:14">
      <c r="B46" s="3119"/>
      <c r="C46" s="4047" t="s">
        <v>444</v>
      </c>
      <c r="D46" s="4048" t="s">
        <v>395</v>
      </c>
      <c r="E46" s="4090">
        <f t="shared" ca="1" si="8"/>
        <v>46.547614680811428</v>
      </c>
      <c r="F46" s="4090">
        <f t="shared" ca="1" si="8"/>
        <v>45.644258801899632</v>
      </c>
      <c r="G46" s="4090">
        <f t="shared" ca="1" si="8"/>
        <v>11.463075485516505</v>
      </c>
      <c r="H46" s="4090">
        <f t="shared" ca="1" si="8"/>
        <v>29.741491510161715</v>
      </c>
      <c r="I46" s="4090">
        <f t="shared" ca="1" si="8"/>
        <v>29.716870935553509</v>
      </c>
      <c r="J46" s="4090">
        <f t="shared" ca="1" si="8"/>
        <v>37.575562611620718</v>
      </c>
      <c r="K46" s="4090">
        <f t="shared" ca="1" si="8"/>
        <v>49.707610582817466</v>
      </c>
      <c r="L46" s="4090">
        <f t="shared" ca="1" si="8"/>
        <v>62.182671111735829</v>
      </c>
      <c r="M46" s="4090">
        <f t="shared" ca="1" si="8"/>
        <v>75.014269907136224</v>
      </c>
      <c r="N46" s="875"/>
    </row>
    <row r="47" spans="2:14" s="363" customFormat="1" ht="12.75">
      <c r="B47" s="4091"/>
      <c r="C47" s="4088"/>
      <c r="D47" s="4092" t="s">
        <v>3422</v>
      </c>
      <c r="E47" s="4093">
        <f ca="1">SUM(E29:E46)</f>
        <v>155.96268282517553</v>
      </c>
      <c r="F47" s="4093">
        <f t="shared" ref="F47:M47" ca="1" si="9">SUM(F29:F46)</f>
        <v>153.5686122091916</v>
      </c>
      <c r="G47" s="4093">
        <f t="shared" ca="1" si="9"/>
        <v>147.97503975911422</v>
      </c>
      <c r="H47" s="4093">
        <f t="shared" ca="1" si="9"/>
        <v>139.29230997141136</v>
      </c>
      <c r="I47" s="4093">
        <f t="shared" ca="1" si="9"/>
        <v>150.13778181594469</v>
      </c>
      <c r="J47" s="4093">
        <f t="shared" ca="1" si="9"/>
        <v>168.85400321866854</v>
      </c>
      <c r="K47" s="4093">
        <f t="shared" ca="1" si="9"/>
        <v>180.32039823317527</v>
      </c>
      <c r="L47" s="4093">
        <f t="shared" ca="1" si="9"/>
        <v>190.56285547966888</v>
      </c>
      <c r="M47" s="4093">
        <f t="shared" ca="1" si="9"/>
        <v>200.46144395453797</v>
      </c>
      <c r="N47" s="4094"/>
    </row>
    <row r="48" spans="2:14">
      <c r="B48" s="3375"/>
      <c r="C48" s="3375"/>
      <c r="D48" s="3375"/>
      <c r="E48" s="3375"/>
      <c r="F48" s="3375"/>
      <c r="G48" s="3375"/>
      <c r="H48" s="3375"/>
      <c r="I48" s="3375"/>
      <c r="J48" s="3375"/>
      <c r="K48" s="3375"/>
      <c r="L48" s="3375"/>
      <c r="M48" s="3375"/>
      <c r="N48" s="875"/>
    </row>
    <row r="49" spans="2:15">
      <c r="B49" s="3375"/>
      <c r="C49" s="4095" t="s">
        <v>3439</v>
      </c>
      <c r="D49" s="4096" t="s">
        <v>3440</v>
      </c>
      <c r="E49" s="4090"/>
      <c r="F49" s="4090"/>
      <c r="G49" s="4090"/>
      <c r="H49" s="4090"/>
      <c r="I49" s="4090"/>
      <c r="J49" s="4090"/>
      <c r="K49" s="4090"/>
      <c r="L49" s="4090"/>
      <c r="M49" s="4090"/>
      <c r="N49" s="875"/>
    </row>
    <row r="50" spans="2:15">
      <c r="B50" s="3375"/>
      <c r="C50" s="4047"/>
      <c r="D50" s="4048" t="s">
        <v>3423</v>
      </c>
      <c r="E50" s="4090">
        <f ca="1">E40</f>
        <v>1.0954366666666666</v>
      </c>
      <c r="F50" s="4090">
        <f t="shared" ref="F50:M50" ca="1" si="10">F40</f>
        <v>1.2967</v>
      </c>
      <c r="G50" s="4090">
        <f t="shared" ca="1" si="10"/>
        <v>2.9119000000000002</v>
      </c>
      <c r="H50" s="4090">
        <f t="shared" ca="1" si="10"/>
        <v>-12.883921453370924</v>
      </c>
      <c r="I50" s="4090">
        <f t="shared" ca="1" si="10"/>
        <v>-27.976468589835875</v>
      </c>
      <c r="J50" s="4090">
        <f t="shared" ca="1" si="10"/>
        <v>-23.316859166197478</v>
      </c>
      <c r="K50" s="4090">
        <f t="shared" ca="1" si="10"/>
        <v>-39.595554960813011</v>
      </c>
      <c r="L50" s="4090">
        <f t="shared" ca="1" si="10"/>
        <v>-54.387755042114314</v>
      </c>
      <c r="M50" s="4090">
        <f t="shared" ca="1" si="10"/>
        <v>-69.532154317257508</v>
      </c>
      <c r="N50" s="875"/>
    </row>
    <row r="51" spans="2:15">
      <c r="B51" s="3375"/>
      <c r="C51" s="4047"/>
      <c r="D51" s="4048" t="s">
        <v>3424</v>
      </c>
      <c r="E51" s="4090">
        <f ca="1">IF(SUM(E41:E42)&lt;0,-SUM(E41:E42),0)</f>
        <v>0</v>
      </c>
      <c r="F51" s="4090">
        <f t="shared" ref="F51:M51" ca="1" si="11">IF(SUM(F41:F42)&lt;0,-SUM(F41:F42),0)</f>
        <v>0</v>
      </c>
      <c r="G51" s="4090">
        <f t="shared" ca="1" si="11"/>
        <v>0</v>
      </c>
      <c r="H51" s="4090">
        <f t="shared" ca="1" si="11"/>
        <v>0.24021866884806453</v>
      </c>
      <c r="I51" s="4090">
        <f t="shared" ca="1" si="11"/>
        <v>0.22914024705997099</v>
      </c>
      <c r="J51" s="4090">
        <f t="shared" ca="1" si="11"/>
        <v>0.22533488167895965</v>
      </c>
      <c r="K51" s="4090">
        <f t="shared" ca="1" si="11"/>
        <v>0.22186590218798416</v>
      </c>
      <c r="L51" s="4090">
        <f t="shared" ca="1" si="11"/>
        <v>0.21811357288438121</v>
      </c>
      <c r="M51" s="4090">
        <f t="shared" ca="1" si="11"/>
        <v>0.2136046021465092</v>
      </c>
      <c r="N51" s="875"/>
    </row>
    <row r="52" spans="2:15">
      <c r="B52" s="3375"/>
      <c r="C52" s="4047"/>
      <c r="D52" s="4048" t="s">
        <v>3425</v>
      </c>
      <c r="E52" s="4090">
        <f ca="1">IF(SUM(E43:E44)&lt;0,-SUM(E43:E44),0)</f>
        <v>0</v>
      </c>
      <c r="F52" s="4090">
        <f t="shared" ref="F52:M52" ca="1" si="12">IF(SUM(F43:F44)&lt;0,-SUM(F43:F44),0)</f>
        <v>0</v>
      </c>
      <c r="G52" s="4090">
        <f t="shared" ca="1" si="12"/>
        <v>0</v>
      </c>
      <c r="H52" s="4090">
        <f t="shared" ca="1" si="12"/>
        <v>0</v>
      </c>
      <c r="I52" s="4090">
        <f t="shared" ca="1" si="12"/>
        <v>0</v>
      </c>
      <c r="J52" s="4090">
        <f t="shared" ca="1" si="12"/>
        <v>0</v>
      </c>
      <c r="K52" s="4090">
        <f t="shared" ca="1" si="12"/>
        <v>0</v>
      </c>
      <c r="L52" s="4090">
        <f t="shared" ca="1" si="12"/>
        <v>0</v>
      </c>
      <c r="M52" s="4090">
        <f t="shared" ca="1" si="12"/>
        <v>0</v>
      </c>
      <c r="N52" s="875"/>
    </row>
    <row r="53" spans="2:15">
      <c r="B53" s="3375"/>
      <c r="C53" s="4047"/>
      <c r="D53" s="4048" t="s">
        <v>3426</v>
      </c>
      <c r="E53" s="4090">
        <f ca="1">IF(SUM(E45:E46)&lt;0,-SUM(E45:E46),0)</f>
        <v>0</v>
      </c>
      <c r="F53" s="4090">
        <f t="shared" ref="F53:M53" ca="1" si="13">IF(SUM(F45:F46)&lt;0,-SUM(F45:F46),0)</f>
        <v>0</v>
      </c>
      <c r="G53" s="4090">
        <f t="shared" ca="1" si="13"/>
        <v>0</v>
      </c>
      <c r="H53" s="4090">
        <f t="shared" ca="1" si="13"/>
        <v>0</v>
      </c>
      <c r="I53" s="4090">
        <f t="shared" ca="1" si="13"/>
        <v>0</v>
      </c>
      <c r="J53" s="4090">
        <f t="shared" ca="1" si="13"/>
        <v>0</v>
      </c>
      <c r="K53" s="4090">
        <f t="shared" ca="1" si="13"/>
        <v>0</v>
      </c>
      <c r="L53" s="4090">
        <f t="shared" ca="1" si="13"/>
        <v>0</v>
      </c>
      <c r="M53" s="4090">
        <f t="shared" ca="1" si="13"/>
        <v>0</v>
      </c>
      <c r="N53" s="875"/>
    </row>
    <row r="54" spans="2:15">
      <c r="B54" s="3375"/>
      <c r="C54" s="4047"/>
      <c r="D54" s="4048" t="s">
        <v>3427</v>
      </c>
      <c r="E54" s="4090">
        <f ca="1">E50-SUM(E51:E53)</f>
        <v>1.0954366666666666</v>
      </c>
      <c r="F54" s="4090">
        <f t="shared" ref="F54:M54" ca="1" si="14">F50-SUM(F51:F53)</f>
        <v>1.2967</v>
      </c>
      <c r="G54" s="4090">
        <f t="shared" ca="1" si="14"/>
        <v>2.9119000000000002</v>
      </c>
      <c r="H54" s="4090">
        <f t="shared" ca="1" si="14"/>
        <v>-13.124140122218989</v>
      </c>
      <c r="I54" s="4090">
        <f t="shared" ca="1" si="14"/>
        <v>-28.205608836895845</v>
      </c>
      <c r="J54" s="4090">
        <f t="shared" ca="1" si="14"/>
        <v>-23.542194047876439</v>
      </c>
      <c r="K54" s="4090">
        <f t="shared" ca="1" si="14"/>
        <v>-39.817420863000997</v>
      </c>
      <c r="L54" s="4090">
        <f t="shared" ca="1" si="14"/>
        <v>-54.605868614998698</v>
      </c>
      <c r="M54" s="4090">
        <f t="shared" ca="1" si="14"/>
        <v>-69.745758919404011</v>
      </c>
      <c r="N54" s="875"/>
    </row>
    <row r="55" spans="2:15">
      <c r="B55" s="3375"/>
      <c r="C55" s="4047"/>
      <c r="D55" s="4048"/>
      <c r="E55" s="4090"/>
      <c r="F55" s="4090"/>
      <c r="G55" s="4090"/>
      <c r="H55" s="4090"/>
      <c r="I55" s="4090"/>
      <c r="J55" s="4090"/>
      <c r="K55" s="4090"/>
      <c r="L55" s="4090"/>
      <c r="M55" s="4090"/>
      <c r="N55" s="875"/>
    </row>
    <row r="56" spans="2:15">
      <c r="B56" s="3375"/>
      <c r="C56" s="3121" t="s">
        <v>3441</v>
      </c>
      <c r="D56" s="3375"/>
      <c r="E56" s="3375"/>
      <c r="F56" s="3375"/>
      <c r="G56" s="3375"/>
      <c r="H56" s="3375"/>
      <c r="I56" s="3375"/>
      <c r="J56" s="3375"/>
      <c r="K56" s="3375"/>
      <c r="L56" s="3375"/>
      <c r="M56" s="3122" t="str">
        <f>Preferences.EnergyUnits &amp; " / year"</f>
        <v>TWh / year</v>
      </c>
      <c r="N56" s="875"/>
    </row>
    <row r="57" spans="2:15">
      <c r="B57" s="3375"/>
      <c r="C57" s="3121"/>
      <c r="D57" s="3121"/>
      <c r="E57" s="3121"/>
      <c r="F57" s="3121"/>
      <c r="G57" s="3122"/>
      <c r="H57" s="3122"/>
      <c r="I57" s="3122"/>
      <c r="J57" s="3122"/>
      <c r="K57" s="3122"/>
      <c r="L57" s="3122"/>
      <c r="M57" s="3122"/>
      <c r="N57" s="875"/>
      <c r="O57" s="4013" t="s">
        <v>5</v>
      </c>
    </row>
    <row r="58" spans="2:15">
      <c r="B58" s="3375"/>
      <c r="C58" s="4088" t="s">
        <v>44</v>
      </c>
      <c r="D58" s="4089" t="s">
        <v>28</v>
      </c>
      <c r="E58" s="34">
        <v>2013</v>
      </c>
      <c r="F58" s="34">
        <v>2015</v>
      </c>
      <c r="G58" s="34">
        <v>2020</v>
      </c>
      <c r="H58" s="34">
        <v>2025</v>
      </c>
      <c r="I58" s="34">
        <v>2030</v>
      </c>
      <c r="J58" s="34">
        <v>2035</v>
      </c>
      <c r="K58" s="34">
        <v>2040</v>
      </c>
      <c r="L58" s="34">
        <v>2045</v>
      </c>
      <c r="M58" s="1126">
        <v>2050</v>
      </c>
      <c r="N58" s="875"/>
    </row>
    <row r="59" spans="2:15">
      <c r="B59" s="3375"/>
      <c r="C59" s="4047"/>
      <c r="D59" s="4048" t="s">
        <v>3437</v>
      </c>
      <c r="E59" s="4090">
        <f ca="1">MAX(IF(E46&lt;0,E45+E46,E45),0)</f>
        <v>0</v>
      </c>
      <c r="F59" s="4090">
        <f t="shared" ref="F59:M59" ca="1" si="15">MAX(IF(F46&lt;0,F45+F46,F45),0)</f>
        <v>1.7555282514130199</v>
      </c>
      <c r="G59" s="4090">
        <f t="shared" ca="1" si="15"/>
        <v>35</v>
      </c>
      <c r="H59" s="4090">
        <f t="shared" ca="1" si="15"/>
        <v>10</v>
      </c>
      <c r="I59" s="4090">
        <f t="shared" ca="1" si="15"/>
        <v>0</v>
      </c>
      <c r="J59" s="4090">
        <f t="shared" ca="1" si="15"/>
        <v>0</v>
      </c>
      <c r="K59" s="4090">
        <f t="shared" ca="1" si="15"/>
        <v>0</v>
      </c>
      <c r="L59" s="4090">
        <f t="shared" ca="1" si="15"/>
        <v>0</v>
      </c>
      <c r="M59" s="4090">
        <f t="shared" ca="1" si="15"/>
        <v>0</v>
      </c>
      <c r="N59" s="875"/>
    </row>
    <row r="60" spans="2:15">
      <c r="B60" s="3375"/>
      <c r="C60" s="4047"/>
      <c r="D60" s="4048" t="s">
        <v>3428</v>
      </c>
      <c r="E60" s="4090">
        <f ca="1">MAX(E46,0)</f>
        <v>46.547614680811428</v>
      </c>
      <c r="F60" s="4090">
        <f t="shared" ref="F60:M60" ca="1" si="16">MAX(F46,0)</f>
        <v>45.644258801899632</v>
      </c>
      <c r="G60" s="4090">
        <f t="shared" ca="1" si="16"/>
        <v>11.463075485516505</v>
      </c>
      <c r="H60" s="4090">
        <f t="shared" ca="1" si="16"/>
        <v>29.741491510161715</v>
      </c>
      <c r="I60" s="4090">
        <f t="shared" ca="1" si="16"/>
        <v>29.716870935553509</v>
      </c>
      <c r="J60" s="4090">
        <f t="shared" ca="1" si="16"/>
        <v>37.575562611620718</v>
      </c>
      <c r="K60" s="4090">
        <f t="shared" ca="1" si="16"/>
        <v>49.707610582817466</v>
      </c>
      <c r="L60" s="4090">
        <f t="shared" ca="1" si="16"/>
        <v>62.182671111735829</v>
      </c>
      <c r="M60" s="4090">
        <f t="shared" ca="1" si="16"/>
        <v>75.014269907136224</v>
      </c>
      <c r="N60" s="875"/>
    </row>
    <row r="61" spans="2:15">
      <c r="B61" s="3375"/>
      <c r="C61" s="4047"/>
      <c r="D61" s="4048" t="s">
        <v>3438</v>
      </c>
      <c r="E61" s="4090">
        <f ca="1">MAX(IF(E44&lt;0,E43+E44,E43),0)</f>
        <v>0</v>
      </c>
      <c r="F61" s="4090">
        <f t="shared" ref="F61:M61" ca="1" si="17">MAX(IF(F44&lt;0,F43+F44,F43),0)</f>
        <v>0</v>
      </c>
      <c r="G61" s="4090">
        <f t="shared" ca="1" si="17"/>
        <v>0</v>
      </c>
      <c r="H61" s="4090">
        <f t="shared" ca="1" si="17"/>
        <v>0</v>
      </c>
      <c r="I61" s="4090">
        <f t="shared" ca="1" si="17"/>
        <v>0</v>
      </c>
      <c r="J61" s="4090">
        <f t="shared" ca="1" si="17"/>
        <v>0</v>
      </c>
      <c r="K61" s="4090">
        <f t="shared" ca="1" si="17"/>
        <v>0</v>
      </c>
      <c r="L61" s="4090">
        <f t="shared" ca="1" si="17"/>
        <v>0</v>
      </c>
      <c r="M61" s="4090">
        <f t="shared" ca="1" si="17"/>
        <v>0</v>
      </c>
      <c r="N61" s="875"/>
    </row>
    <row r="62" spans="2:15">
      <c r="B62" s="3375"/>
      <c r="C62" s="4047"/>
      <c r="D62" s="4048" t="s">
        <v>3429</v>
      </c>
      <c r="E62" s="4090">
        <f ca="1">MAX(E44,0)</f>
        <v>76.341107777431446</v>
      </c>
      <c r="F62" s="4090">
        <f t="shared" ref="F62:M62" ca="1" si="18">MAX(F44,0)</f>
        <v>70.428965076712089</v>
      </c>
      <c r="G62" s="4090">
        <f t="shared" ca="1" si="18"/>
        <v>66.132600914927124</v>
      </c>
      <c r="H62" s="4090">
        <f t="shared" ca="1" si="18"/>
        <v>61.70681606299398</v>
      </c>
      <c r="I62" s="4090">
        <f t="shared" ca="1" si="18"/>
        <v>58.853734589724091</v>
      </c>
      <c r="J62" s="4090">
        <f t="shared" ca="1" si="18"/>
        <v>56.055550717287325</v>
      </c>
      <c r="K62" s="4090">
        <f t="shared" ca="1" si="18"/>
        <v>53.466242556904533</v>
      </c>
      <c r="L62" s="4090">
        <f t="shared" ca="1" si="18"/>
        <v>50.942465881243002</v>
      </c>
      <c r="M62" s="4090">
        <f t="shared" ca="1" si="18"/>
        <v>48.624578735681354</v>
      </c>
      <c r="N62" s="875"/>
    </row>
    <row r="63" spans="2:15">
      <c r="B63" s="3375"/>
      <c r="C63" s="4047"/>
      <c r="D63" s="4048" t="s">
        <v>3436</v>
      </c>
      <c r="E63" s="4090">
        <f ca="1">MAX(IF(E42&lt;0,SUM(E41:E42),E41),0)</f>
        <v>8.4</v>
      </c>
      <c r="F63" s="4090">
        <f t="shared" ref="F63:M63" ca="1" si="19">MAX(IF(F42&lt;0,SUM(F41:F42),F41),0)</f>
        <v>7</v>
      </c>
      <c r="G63" s="4090">
        <f t="shared" ca="1" si="19"/>
        <v>2</v>
      </c>
      <c r="H63" s="4090">
        <f t="shared" ca="1" si="19"/>
        <v>0</v>
      </c>
      <c r="I63" s="4090">
        <f t="shared" ca="1" si="19"/>
        <v>0</v>
      </c>
      <c r="J63" s="4090">
        <f t="shared" ca="1" si="19"/>
        <v>0</v>
      </c>
      <c r="K63" s="4090">
        <f t="shared" ca="1" si="19"/>
        <v>0</v>
      </c>
      <c r="L63" s="4090">
        <f t="shared" ca="1" si="19"/>
        <v>0</v>
      </c>
      <c r="M63" s="4090">
        <f t="shared" ca="1" si="19"/>
        <v>0</v>
      </c>
      <c r="N63" s="875"/>
    </row>
    <row r="64" spans="2:15">
      <c r="B64" s="3375"/>
      <c r="C64" s="4047"/>
      <c r="D64" s="4048" t="s">
        <v>3430</v>
      </c>
      <c r="E64" s="4090">
        <f ca="1">MAX(E42,0)</f>
        <v>14.602281067209798</v>
      </c>
      <c r="F64" s="4090">
        <f t="shared" ref="F64:M64" ca="1" si="20">MAX(F42,0)</f>
        <v>13.367884225892757</v>
      </c>
      <c r="G64" s="4090">
        <f t="shared" ca="1" si="20"/>
        <v>0.49575845114132866</v>
      </c>
      <c r="H64" s="4090">
        <f t="shared" ca="1" si="20"/>
        <v>0</v>
      </c>
      <c r="I64" s="4090">
        <f t="shared" ca="1" si="20"/>
        <v>0</v>
      </c>
      <c r="J64" s="4090">
        <f t="shared" ca="1" si="20"/>
        <v>0</v>
      </c>
      <c r="K64" s="4090">
        <f t="shared" ca="1" si="20"/>
        <v>0</v>
      </c>
      <c r="L64" s="4090">
        <f t="shared" ca="1" si="20"/>
        <v>0</v>
      </c>
      <c r="M64" s="4090">
        <f t="shared" ca="1" si="20"/>
        <v>0</v>
      </c>
      <c r="N64" s="875"/>
    </row>
    <row r="65" spans="2:14">
      <c r="B65" s="3375"/>
      <c r="C65" s="4047"/>
      <c r="D65" s="4048" t="s">
        <v>2755</v>
      </c>
      <c r="E65" s="4090">
        <f ca="1">IF(E54&lt;0,SUM(E38:E39,E54),SUM(E38:E39))</f>
        <v>1.0747325757921757</v>
      </c>
      <c r="F65" s="4090">
        <f t="shared" ref="F65:M65" ca="1" si="21">IF(F54&lt;0,SUM(F38:F39,F54),SUM(F38:F39))</f>
        <v>4.6805574581939471</v>
      </c>
      <c r="G65" s="4090">
        <f t="shared" ca="1" si="21"/>
        <v>16.212419444842084</v>
      </c>
      <c r="H65" s="4090">
        <f t="shared" ca="1" si="21"/>
        <v>18.365702185210193</v>
      </c>
      <c r="I65" s="4090">
        <f t="shared" ca="1" si="21"/>
        <v>21.588145550903921</v>
      </c>
      <c r="J65" s="4090">
        <f t="shared" ca="1" si="21"/>
        <v>45.181698939359947</v>
      </c>
      <c r="K65" s="4090">
        <f t="shared" ca="1" si="21"/>
        <v>54.973072241383313</v>
      </c>
      <c r="L65" s="4090">
        <f t="shared" ca="1" si="21"/>
        <v>62.398369975219524</v>
      </c>
      <c r="M65" s="4090">
        <f t="shared" ca="1" si="21"/>
        <v>69.222870966916986</v>
      </c>
      <c r="N65" s="875"/>
    </row>
    <row r="66" spans="2:14">
      <c r="B66" s="3375"/>
      <c r="C66" s="4047"/>
      <c r="D66" s="4048" t="s">
        <v>658</v>
      </c>
      <c r="E66" s="4090">
        <f ca="1">MAX(E54,0)</f>
        <v>1.0954366666666666</v>
      </c>
      <c r="F66" s="4090">
        <f t="shared" ref="F66:M66" ca="1" si="22">MAX(F54,0)</f>
        <v>1.2967</v>
      </c>
      <c r="G66" s="4090">
        <f t="shared" ca="1" si="22"/>
        <v>2.9119000000000002</v>
      </c>
      <c r="H66" s="4090">
        <f t="shared" ca="1" si="22"/>
        <v>0</v>
      </c>
      <c r="I66" s="4090">
        <f t="shared" ca="1" si="22"/>
        <v>0</v>
      </c>
      <c r="J66" s="4090">
        <f t="shared" ca="1" si="22"/>
        <v>0</v>
      </c>
      <c r="K66" s="4090">
        <f t="shared" ca="1" si="22"/>
        <v>0</v>
      </c>
      <c r="L66" s="4090">
        <f t="shared" ca="1" si="22"/>
        <v>0</v>
      </c>
      <c r="M66" s="4090">
        <f t="shared" ca="1" si="22"/>
        <v>0</v>
      </c>
      <c r="N66" s="875"/>
    </row>
    <row r="67" spans="2:14">
      <c r="B67" s="3375"/>
      <c r="C67" s="4047" t="s">
        <v>445</v>
      </c>
      <c r="D67" s="4048" t="s">
        <v>396</v>
      </c>
      <c r="E67" s="4090">
        <f ca="1">E29</f>
        <v>0</v>
      </c>
      <c r="F67" s="4090">
        <f t="shared" ref="F67:M67" ca="1" si="23">F29</f>
        <v>0</v>
      </c>
      <c r="G67" s="4090">
        <f t="shared" ca="1" si="23"/>
        <v>0</v>
      </c>
      <c r="H67" s="4090">
        <f t="shared" ca="1" si="23"/>
        <v>0</v>
      </c>
      <c r="I67" s="4090">
        <f t="shared" ca="1" si="23"/>
        <v>21.428000000000004</v>
      </c>
      <c r="J67" s="4090">
        <f t="shared" ca="1" si="23"/>
        <v>21.428000000000004</v>
      </c>
      <c r="K67" s="4090">
        <f t="shared" ca="1" si="23"/>
        <v>21.428000000000004</v>
      </c>
      <c r="L67" s="4090">
        <f t="shared" ca="1" si="23"/>
        <v>21.428000000000004</v>
      </c>
      <c r="M67" s="4090">
        <f t="shared" ca="1" si="23"/>
        <v>21.428000000000004</v>
      </c>
      <c r="N67" s="875"/>
    </row>
    <row r="68" spans="2:14">
      <c r="B68" s="3375"/>
      <c r="C68" s="4047" t="s">
        <v>447</v>
      </c>
      <c r="D68" s="4048" t="s">
        <v>397</v>
      </c>
      <c r="E68" s="4090">
        <f ca="1">E31</f>
        <v>4.5013410000000009</v>
      </c>
      <c r="F68" s="4090">
        <f t="shared" ref="F68:M68" ca="1" si="24">F31</f>
        <v>5.6172527999999993</v>
      </c>
      <c r="G68" s="4090">
        <f t="shared" ca="1" si="24"/>
        <v>9.3230792999999998</v>
      </c>
      <c r="H68" s="4090">
        <f t="shared" ca="1" si="24"/>
        <v>13.589929799999998</v>
      </c>
      <c r="I68" s="4090">
        <f t="shared" ca="1" si="24"/>
        <v>21.946119299999999</v>
      </c>
      <c r="J68" s="4090">
        <f t="shared" ca="1" si="24"/>
        <v>27.955212300000003</v>
      </c>
      <c r="K68" s="4090">
        <f t="shared" ca="1" si="24"/>
        <v>31.8999123</v>
      </c>
      <c r="L68" s="4090">
        <f t="shared" ca="1" si="24"/>
        <v>38.838201300000001</v>
      </c>
      <c r="M68" s="4090">
        <f t="shared" ca="1" si="24"/>
        <v>45.741426300000008</v>
      </c>
      <c r="N68" s="875"/>
    </row>
    <row r="69" spans="2:14">
      <c r="B69" s="3375"/>
      <c r="C69" s="4047" t="s">
        <v>446</v>
      </c>
      <c r="D69" s="4048" t="s">
        <v>79</v>
      </c>
      <c r="E69" s="4090">
        <f ca="1">E30</f>
        <v>4.1054887428987621E-2</v>
      </c>
      <c r="F69" s="4090">
        <f t="shared" ref="F69:M69" ca="1" si="25">F30</f>
        <v>0.29533988943004724</v>
      </c>
      <c r="G69" s="4090">
        <f t="shared" ca="1" si="25"/>
        <v>0.98311948364472168</v>
      </c>
      <c r="H69" s="4090">
        <f t="shared" ca="1" si="25"/>
        <v>1.7302356023133905</v>
      </c>
      <c r="I69" s="4090">
        <f t="shared" ca="1" si="25"/>
        <v>3.1032027513562515</v>
      </c>
      <c r="J69" s="4090">
        <f t="shared" ca="1" si="25"/>
        <v>4.3856969840221529</v>
      </c>
      <c r="K69" s="4090">
        <f t="shared" ca="1" si="25"/>
        <v>5.7058911432863937</v>
      </c>
      <c r="L69" s="4090">
        <f t="shared" ca="1" si="25"/>
        <v>7.0356787943966701</v>
      </c>
      <c r="M69" s="4090">
        <f t="shared" ca="1" si="25"/>
        <v>8.4425533229244625</v>
      </c>
      <c r="N69" s="875"/>
    </row>
    <row r="70" spans="2:14">
      <c r="B70" s="3375"/>
      <c r="C70" s="4047" t="s">
        <v>448</v>
      </c>
      <c r="D70" s="4048" t="s">
        <v>398</v>
      </c>
      <c r="E70" s="4090">
        <f ca="1">E32</f>
        <v>0</v>
      </c>
      <c r="F70" s="4090">
        <f t="shared" ref="F70:M70" ca="1" si="26">F32</f>
        <v>0</v>
      </c>
      <c r="G70" s="4090">
        <f t="shared" ca="1" si="26"/>
        <v>0</v>
      </c>
      <c r="H70" s="4090">
        <f t="shared" ca="1" si="26"/>
        <v>0.31557600000000013</v>
      </c>
      <c r="I70" s="4090">
        <f t="shared" ca="1" si="26"/>
        <v>0.63115200000000027</v>
      </c>
      <c r="J70" s="4090">
        <f t="shared" ca="1" si="26"/>
        <v>1.5778800000000002</v>
      </c>
      <c r="K70" s="4090">
        <f t="shared" ca="1" si="26"/>
        <v>1.5778800000000002</v>
      </c>
      <c r="L70" s="4090">
        <f t="shared" ca="1" si="26"/>
        <v>2.5246080000000011</v>
      </c>
      <c r="M70" s="4090">
        <f t="shared" ca="1" si="26"/>
        <v>2.5246080000000011</v>
      </c>
      <c r="N70" s="875"/>
    </row>
    <row r="71" spans="2:14">
      <c r="B71" s="3375"/>
      <c r="C71" s="4047" t="s">
        <v>449</v>
      </c>
      <c r="D71" s="4048" t="s">
        <v>399</v>
      </c>
      <c r="E71" s="4090">
        <f ca="1">E33</f>
        <v>0</v>
      </c>
      <c r="F71" s="4090">
        <f t="shared" ref="F71:M71" ca="1" si="27">F33</f>
        <v>3.9627123287671231E-3</v>
      </c>
      <c r="G71" s="4090">
        <f t="shared" ca="1" si="27"/>
        <v>1.3017510000000001E-2</v>
      </c>
      <c r="H71" s="4090">
        <f t="shared" ca="1" si="27"/>
        <v>0.39052530000000008</v>
      </c>
      <c r="I71" s="4090">
        <f t="shared" ca="1" si="27"/>
        <v>2.6035020000000002</v>
      </c>
      <c r="J71" s="4090">
        <f t="shared" ca="1" si="27"/>
        <v>3.9052530000000001</v>
      </c>
      <c r="K71" s="4090">
        <f t="shared" ca="1" si="27"/>
        <v>5.2070040000000004</v>
      </c>
      <c r="L71" s="4090">
        <f t="shared" ca="1" si="27"/>
        <v>5.2070040000000004</v>
      </c>
      <c r="M71" s="4090">
        <f t="shared" ca="1" si="27"/>
        <v>6.2484048000000012</v>
      </c>
      <c r="N71" s="875"/>
    </row>
    <row r="72" spans="2:14">
      <c r="B72" s="3375"/>
      <c r="C72" s="4047" t="s">
        <v>450</v>
      </c>
      <c r="D72" s="4048" t="s">
        <v>55</v>
      </c>
      <c r="E72" s="4090">
        <f ca="1">E34</f>
        <v>0</v>
      </c>
      <c r="F72" s="4090">
        <f t="shared" ref="F72:M72" ca="1" si="28">F34</f>
        <v>0</v>
      </c>
      <c r="G72" s="4090">
        <f t="shared" ca="1" si="28"/>
        <v>0</v>
      </c>
      <c r="H72" s="4090">
        <f t="shared" ca="1" si="28"/>
        <v>0</v>
      </c>
      <c r="I72" s="4090">
        <f t="shared" ca="1" si="28"/>
        <v>0</v>
      </c>
      <c r="J72" s="4090">
        <f t="shared" ca="1" si="28"/>
        <v>0</v>
      </c>
      <c r="K72" s="4090">
        <f t="shared" ca="1" si="28"/>
        <v>0</v>
      </c>
      <c r="L72" s="4090">
        <f t="shared" ca="1" si="28"/>
        <v>0</v>
      </c>
      <c r="M72" s="4090">
        <f t="shared" ca="1" si="28"/>
        <v>0</v>
      </c>
      <c r="N72" s="875"/>
    </row>
    <row r="73" spans="2:14">
      <c r="B73" s="3375"/>
      <c r="C73" s="4047" t="s">
        <v>451</v>
      </c>
      <c r="D73" s="4048" t="s">
        <v>400</v>
      </c>
      <c r="E73" s="4090">
        <f ca="1">E35</f>
        <v>0.74791511999999993</v>
      </c>
      <c r="F73" s="4090">
        <f t="shared" ref="F73:M73" ca="1" si="29">F35</f>
        <v>0.74791511999999993</v>
      </c>
      <c r="G73" s="4090">
        <f t="shared" ca="1" si="29"/>
        <v>0.74791511999999993</v>
      </c>
      <c r="H73" s="4090">
        <f t="shared" ca="1" si="29"/>
        <v>0.78946596000000002</v>
      </c>
      <c r="I73" s="4090">
        <f t="shared" ca="1" si="29"/>
        <v>0.78946596000000002</v>
      </c>
      <c r="J73" s="4090">
        <f t="shared" ca="1" si="29"/>
        <v>0.78946596000000002</v>
      </c>
      <c r="K73" s="4090">
        <f t="shared" ca="1" si="29"/>
        <v>0.78946596000000002</v>
      </c>
      <c r="L73" s="4090">
        <f t="shared" ca="1" si="29"/>
        <v>0.78946596000000002</v>
      </c>
      <c r="M73" s="4090">
        <f t="shared" ca="1" si="29"/>
        <v>0.78946596000000002</v>
      </c>
      <c r="N73" s="875"/>
    </row>
    <row r="74" spans="2:14">
      <c r="B74" s="3375"/>
      <c r="C74" s="4047" t="s">
        <v>440</v>
      </c>
      <c r="D74" s="4048" t="s">
        <v>564</v>
      </c>
      <c r="E74" s="4090">
        <f ca="1">MAX(E36,0)</f>
        <v>2.5</v>
      </c>
      <c r="F74" s="4090">
        <f t="shared" ref="F74:M74" ca="1" si="30">MAX(F36,0)</f>
        <v>2.5</v>
      </c>
      <c r="G74" s="4090">
        <f t="shared" ca="1" si="30"/>
        <v>2.5000000000000036</v>
      </c>
      <c r="H74" s="4090">
        <f t="shared" ca="1" si="30"/>
        <v>2.5000000000000036</v>
      </c>
      <c r="I74" s="4090">
        <f t="shared" ca="1" si="30"/>
        <v>0</v>
      </c>
      <c r="J74" s="4090">
        <f t="shared" ca="1" si="30"/>
        <v>0</v>
      </c>
      <c r="K74" s="4090">
        <f t="shared" ca="1" si="30"/>
        <v>0</v>
      </c>
      <c r="L74" s="4090">
        <f t="shared" ca="1" si="30"/>
        <v>0</v>
      </c>
      <c r="M74" s="4090">
        <f t="shared" ca="1" si="30"/>
        <v>0</v>
      </c>
      <c r="N74" s="875"/>
    </row>
    <row r="75" spans="2:14">
      <c r="B75" s="3375"/>
      <c r="C75" s="4047" t="s">
        <v>102</v>
      </c>
      <c r="D75" s="4048" t="s">
        <v>92</v>
      </c>
      <c r="E75" s="4090">
        <f ca="1">E37</f>
        <v>0.11119904983501781</v>
      </c>
      <c r="F75" s="4090">
        <f t="shared" ref="F75:M75" ca="1" si="31">F37</f>
        <v>0.23024787332134827</v>
      </c>
      <c r="G75" s="4090">
        <f t="shared" ca="1" si="31"/>
        <v>0.19215404904246119</v>
      </c>
      <c r="H75" s="4090">
        <f t="shared" ca="1" si="31"/>
        <v>0.16256755073206205</v>
      </c>
      <c r="I75" s="4090">
        <f t="shared" ca="1" si="31"/>
        <v>0.13025315807559751</v>
      </c>
      <c r="J75" s="4090">
        <f t="shared" ca="1" si="31"/>
        <v>9.8473923807210109E-2</v>
      </c>
      <c r="K75" s="4090">
        <f t="shared" ca="1" si="31"/>
        <v>6.6374144344193087E-2</v>
      </c>
      <c r="L75" s="4090">
        <f t="shared" ca="1" si="31"/>
        <v>3.3366237861707504E-2</v>
      </c>
      <c r="M75" s="4090">
        <f t="shared" ca="1" si="31"/>
        <v>0</v>
      </c>
      <c r="N75" s="875"/>
    </row>
    <row r="76" spans="2:14">
      <c r="B76" s="3375"/>
      <c r="C76" s="4047"/>
      <c r="D76" s="4048" t="s">
        <v>3435</v>
      </c>
      <c r="E76" s="4090">
        <f ca="1">E47</f>
        <v>155.96268282517553</v>
      </c>
      <c r="F76" s="4090">
        <f t="shared" ref="F76:M76" ca="1" si="32">F47</f>
        <v>153.5686122091916</v>
      </c>
      <c r="G76" s="4090">
        <f t="shared" ca="1" si="32"/>
        <v>147.97503975911422</v>
      </c>
      <c r="H76" s="4090">
        <f t="shared" ca="1" si="32"/>
        <v>139.29230997141136</v>
      </c>
      <c r="I76" s="4090">
        <f t="shared" ca="1" si="32"/>
        <v>150.13778181594469</v>
      </c>
      <c r="J76" s="4090">
        <f t="shared" ca="1" si="32"/>
        <v>168.85400321866854</v>
      </c>
      <c r="K76" s="4090">
        <f t="shared" ca="1" si="32"/>
        <v>180.32039823317527</v>
      </c>
      <c r="L76" s="4090">
        <f t="shared" ca="1" si="32"/>
        <v>190.56285547966888</v>
      </c>
      <c r="M76" s="4090">
        <f t="shared" ca="1" si="32"/>
        <v>200.46144395453797</v>
      </c>
      <c r="N76" s="875"/>
    </row>
    <row r="77" spans="2:14">
      <c r="B77" s="3375"/>
      <c r="C77" s="4047"/>
      <c r="D77" s="4048"/>
      <c r="E77" s="4090"/>
      <c r="F77" s="4090"/>
      <c r="G77" s="4090"/>
      <c r="H77" s="4090"/>
      <c r="I77" s="4090"/>
      <c r="J77" s="4090"/>
      <c r="K77" s="4090"/>
      <c r="L77" s="4090"/>
      <c r="M77" s="4090"/>
      <c r="N77" s="875"/>
    </row>
    <row r="78" spans="2:14">
      <c r="B78" s="3375"/>
      <c r="C78" s="4047"/>
      <c r="D78" s="4048"/>
      <c r="E78" s="3375"/>
      <c r="F78" s="3375"/>
      <c r="G78" s="3375"/>
      <c r="H78" s="3375"/>
      <c r="I78" s="3375"/>
      <c r="J78" s="3375"/>
      <c r="K78" s="3375"/>
      <c r="L78" s="3375"/>
      <c r="M78" s="3375"/>
      <c r="N78" s="87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sheetPr>
    <tabColor theme="5"/>
  </sheetPr>
  <dimension ref="A2:AB116"/>
  <sheetViews>
    <sheetView showGridLines="0" zoomScale="80" zoomScaleNormal="80" workbookViewId="0">
      <selection activeCell="Q19" sqref="Q19"/>
    </sheetView>
  </sheetViews>
  <sheetFormatPr defaultColWidth="11.42578125" defaultRowHeight="15"/>
  <cols>
    <col min="1" max="1" width="2.28515625" style="4012" customWidth="1"/>
    <col min="2" max="2" width="11.42578125" style="4012"/>
    <col min="3" max="3" width="5.42578125" style="4012" customWidth="1"/>
    <col min="4" max="4" width="38.7109375" style="4012" customWidth="1"/>
    <col min="5" max="16384" width="11.42578125" style="4012"/>
  </cols>
  <sheetData>
    <row r="2" spans="1:28" ht="23.25">
      <c r="A2" s="7"/>
      <c r="B2" s="511" t="s">
        <v>3393</v>
      </c>
      <c r="C2" s="512"/>
      <c r="D2" s="512"/>
      <c r="E2" s="512"/>
      <c r="F2" s="512"/>
      <c r="G2" s="512"/>
      <c r="H2" s="512"/>
      <c r="I2" s="512"/>
      <c r="J2" s="512"/>
      <c r="K2" s="512"/>
      <c r="L2" s="512"/>
      <c r="M2" s="512"/>
      <c r="N2" s="866"/>
    </row>
    <row r="3" spans="1:28" s="6" customFormat="1" ht="18" customHeight="1">
      <c r="B3" s="514"/>
      <c r="C3" s="515"/>
      <c r="D3" s="515"/>
      <c r="E3" s="515"/>
      <c r="F3" s="515"/>
      <c r="G3" s="515"/>
      <c r="H3" s="515"/>
      <c r="I3" s="515"/>
      <c r="J3" s="515"/>
      <c r="K3" s="515" t="s">
        <v>5</v>
      </c>
      <c r="L3" s="4029"/>
      <c r="M3" s="4001"/>
      <c r="N3" s="875"/>
      <c r="P3" s="4012"/>
      <c r="Q3" s="4012"/>
      <c r="R3" s="4012"/>
      <c r="S3" s="4012"/>
      <c r="T3" s="4012"/>
      <c r="U3" s="4012"/>
      <c r="V3" s="4012"/>
      <c r="W3" s="4012"/>
      <c r="X3" s="4012"/>
      <c r="Y3" s="4012"/>
      <c r="Z3" s="4012"/>
      <c r="AA3" s="4012"/>
      <c r="AB3" s="4012"/>
    </row>
    <row r="4" spans="1:28" s="6" customFormat="1" ht="18" customHeight="1">
      <c r="B4" s="515"/>
      <c r="C4" s="4059" t="s">
        <v>3404</v>
      </c>
      <c r="D4" s="4060"/>
      <c r="E4" s="4060"/>
      <c r="F4" s="4060"/>
      <c r="G4" s="4060"/>
      <c r="H4" s="4060"/>
      <c r="I4" s="4060"/>
      <c r="J4" s="4060"/>
      <c r="K4" s="4060"/>
      <c r="L4" s="4060"/>
      <c r="M4" s="4061" t="str">
        <f>Preferences.EnergyUnits &amp; " / year"</f>
        <v>TWh / year</v>
      </c>
      <c r="N4" s="17"/>
      <c r="P4" s="4012"/>
      <c r="Q4" s="4012"/>
      <c r="R4" s="4012"/>
      <c r="S4" s="4012"/>
      <c r="T4" s="4012"/>
      <c r="U4" s="4012"/>
      <c r="V4" s="4012"/>
      <c r="W4" s="4012"/>
      <c r="X4" s="4012"/>
      <c r="Y4" s="4012"/>
      <c r="Z4" s="4012"/>
      <c r="AA4" s="4012"/>
      <c r="AB4" s="4012"/>
    </row>
    <row r="5" spans="1:28" s="4030" customFormat="1" ht="18" customHeight="1">
      <c r="B5" s="12"/>
      <c r="C5" s="4060"/>
      <c r="D5" s="4060"/>
      <c r="E5" s="4060"/>
      <c r="F5" s="4060"/>
      <c r="G5" s="4060"/>
      <c r="H5" s="4060"/>
      <c r="I5" s="4060"/>
      <c r="J5" s="4060"/>
      <c r="K5" s="4060"/>
      <c r="L5" s="4060"/>
      <c r="M5" s="4062"/>
      <c r="N5" s="18"/>
      <c r="P5" s="302"/>
      <c r="Q5" s="302"/>
      <c r="R5" s="302"/>
      <c r="S5" s="302"/>
      <c r="T5" s="302"/>
      <c r="U5" s="302"/>
      <c r="V5" s="302"/>
      <c r="W5" s="302"/>
      <c r="X5" s="302"/>
      <c r="Y5" s="302"/>
      <c r="Z5" s="302"/>
      <c r="AA5" s="302"/>
      <c r="AB5" s="302"/>
    </row>
    <row r="6" spans="1:28" s="4030" customFormat="1" ht="18" customHeight="1">
      <c r="B6" s="12"/>
      <c r="C6" s="4060" t="s">
        <v>96</v>
      </c>
      <c r="D6" s="4050" t="s">
        <v>415</v>
      </c>
      <c r="E6" s="4051">
        <v>2013</v>
      </c>
      <c r="F6" s="4051">
        <v>2015</v>
      </c>
      <c r="G6" s="4051">
        <v>2020</v>
      </c>
      <c r="H6" s="4051">
        <v>2025</v>
      </c>
      <c r="I6" s="4051">
        <v>2030</v>
      </c>
      <c r="J6" s="4051">
        <v>2035</v>
      </c>
      <c r="K6" s="4051">
        <v>2040</v>
      </c>
      <c r="L6" s="4051">
        <v>2045</v>
      </c>
      <c r="M6" s="4051">
        <v>2050</v>
      </c>
      <c r="N6" s="18"/>
      <c r="P6" s="302"/>
      <c r="Q6" s="302"/>
      <c r="R6" s="302"/>
      <c r="S6" s="302"/>
      <c r="T6" s="302"/>
      <c r="U6" s="302"/>
      <c r="V6" s="302"/>
      <c r="W6" s="302"/>
      <c r="X6" s="302"/>
      <c r="Y6" s="302"/>
      <c r="Z6" s="302"/>
      <c r="AA6" s="302"/>
      <c r="AB6" s="302"/>
    </row>
    <row r="7" spans="1:28" s="4032" customFormat="1" ht="18" customHeight="1">
      <c r="B7" s="3125"/>
      <c r="C7" s="4063" t="s">
        <v>502</v>
      </c>
      <c r="D7" s="4055" t="s">
        <v>503</v>
      </c>
      <c r="E7" s="4054">
        <f ca="1">-INDEX(INDIRECT($C7&amp;".Outputs["&amp;E$6&amp;"]"),MATCH($C$6,INDIRECT($C7&amp;".Outputs[Vector]"),0))</f>
        <v>0</v>
      </c>
      <c r="F7" s="4054">
        <f t="shared" ref="F7:M7" ca="1" si="0">-INDEX(INDIRECT($C7&amp;".Outputs["&amp;F$6&amp;"]"),MATCH($C$6,INDIRECT($C7&amp;".Outputs[Vector]"),0))</f>
        <v>1.7733187096733852E-5</v>
      </c>
      <c r="G7" s="4054">
        <f t="shared" ca="1" si="0"/>
        <v>6.9162652051603802E-4</v>
      </c>
      <c r="H7" s="4054">
        <f t="shared" ca="1" si="0"/>
        <v>1.7037611386626409E-3</v>
      </c>
      <c r="I7" s="4054">
        <f t="shared" ca="1" si="0"/>
        <v>5.5554276646316691E-3</v>
      </c>
      <c r="J7" s="4054">
        <f t="shared" ca="1" si="0"/>
        <v>1.1099896063998645E-2</v>
      </c>
      <c r="K7" s="4054">
        <f t="shared" ca="1" si="0"/>
        <v>1.9443774880473393E-2</v>
      </c>
      <c r="L7" s="4054">
        <f t="shared" ca="1" si="0"/>
        <v>3.1021346596490303E-2</v>
      </c>
      <c r="M7" s="4054">
        <f t="shared" ca="1" si="0"/>
        <v>4.1184243088541655E-2</v>
      </c>
      <c r="N7" s="2938"/>
      <c r="O7" s="4033"/>
    </row>
    <row r="8" spans="1:28" s="4032" customFormat="1" ht="12.75">
      <c r="B8" s="3125"/>
      <c r="C8" s="4063" t="s">
        <v>510</v>
      </c>
      <c r="D8" s="4063" t="s">
        <v>511</v>
      </c>
      <c r="E8" s="4054">
        <f t="shared" ref="E8:M19" ca="1" si="1">-INDEX(INDIRECT($C8&amp;".Outputs["&amp;E$6&amp;"]"),MATCH($C$6,INDIRECT($C8&amp;".Outputs[Vector]"),0))</f>
        <v>0.54810000000000003</v>
      </c>
      <c r="F8" s="4054">
        <f t="shared" ca="1" si="1"/>
        <v>0.55057749288570401</v>
      </c>
      <c r="G8" s="4054">
        <f t="shared" ca="1" si="1"/>
        <v>0.55698168734508124</v>
      </c>
      <c r="H8" s="4054">
        <f t="shared" ca="1" si="1"/>
        <v>0.56367940163241814</v>
      </c>
      <c r="I8" s="4054">
        <f t="shared" ca="1" si="1"/>
        <v>0.57066193518791219</v>
      </c>
      <c r="J8" s="4054">
        <f t="shared" ca="1" si="1"/>
        <v>0.57792084535509036</v>
      </c>
      <c r="K8" s="4054">
        <f t="shared" ca="1" si="1"/>
        <v>0.58544793973599496</v>
      </c>
      <c r="L8" s="4054">
        <f t="shared" ca="1" si="1"/>
        <v>0.5932352687729916</v>
      </c>
      <c r="M8" s="4054">
        <f t="shared" ca="1" si="1"/>
        <v>0.60127511855044857</v>
      </c>
      <c r="N8" s="2938"/>
      <c r="O8" s="4033"/>
    </row>
    <row r="9" spans="1:28" s="4032" customFormat="1" ht="12.75">
      <c r="B9" s="3125"/>
      <c r="C9" s="4063" t="s">
        <v>25</v>
      </c>
      <c r="D9" s="4063" t="s">
        <v>26</v>
      </c>
      <c r="E9" s="4054">
        <f t="shared" ca="1" si="1"/>
        <v>2.9324919592134012E-3</v>
      </c>
      <c r="F9" s="4054">
        <f t="shared" ca="1" si="1"/>
        <v>2.1095706387860517E-2</v>
      </c>
      <c r="G9" s="4054">
        <f t="shared" ca="1" si="1"/>
        <v>3.9854891688908684E-2</v>
      </c>
      <c r="H9" s="4054">
        <f t="shared" ca="1" si="1"/>
        <v>6.285240016524217E-2</v>
      </c>
      <c r="I9" s="4054">
        <f t="shared" ca="1" si="1"/>
        <v>0.10018562509687508</v>
      </c>
      <c r="J9" s="4054">
        <f t="shared" ca="1" si="1"/>
        <v>0.13105649885872517</v>
      </c>
      <c r="K9" s="4054">
        <f t="shared" ca="1" si="1"/>
        <v>0.16462022452045666</v>
      </c>
      <c r="L9" s="4054">
        <f t="shared" ca="1" si="1"/>
        <v>0.22923712817119068</v>
      </c>
      <c r="M9" s="4054">
        <f t="shared" ca="1" si="1"/>
        <v>0.29936023735174733</v>
      </c>
      <c r="N9" s="2938"/>
      <c r="O9" s="4033"/>
    </row>
    <row r="10" spans="1:28" s="4032" customFormat="1" ht="12.75">
      <c r="B10" s="3125"/>
      <c r="C10" s="4063" t="s">
        <v>2</v>
      </c>
      <c r="D10" s="4063" t="s">
        <v>3</v>
      </c>
      <c r="E10" s="4054">
        <f t="shared" ca="1" si="1"/>
        <v>0.88256437808531207</v>
      </c>
      <c r="F10" s="4054">
        <f t="shared" ca="1" si="1"/>
        <v>1.4377484699588226</v>
      </c>
      <c r="G10" s="4054">
        <f t="shared" ca="1" si="1"/>
        <v>1.460457822648747</v>
      </c>
      <c r="H10" s="4054">
        <f t="shared" ca="1" si="1"/>
        <v>1.5751825966732684</v>
      </c>
      <c r="I10" s="4054">
        <f t="shared" ca="1" si="1"/>
        <v>1.6558259787752996</v>
      </c>
      <c r="J10" s="4054">
        <f t="shared" ca="1" si="1"/>
        <v>1.7495624120225663</v>
      </c>
      <c r="K10" s="4054">
        <f t="shared" ca="1" si="1"/>
        <v>1.8492049246245645</v>
      </c>
      <c r="L10" s="4054">
        <f t="shared" ca="1" si="1"/>
        <v>1.9266970572248459</v>
      </c>
      <c r="M10" s="4054">
        <f t="shared" ca="1" si="1"/>
        <v>1.9961524440419962</v>
      </c>
      <c r="N10" s="2938"/>
      <c r="O10" s="4033"/>
    </row>
    <row r="11" spans="1:28" s="4032" customFormat="1" ht="12.75">
      <c r="B11" s="3125"/>
      <c r="C11" s="4063" t="s">
        <v>465</v>
      </c>
      <c r="D11" s="4063" t="s">
        <v>466</v>
      </c>
      <c r="E11" s="4054">
        <f t="shared" ca="1" si="1"/>
        <v>3.3022499999999999</v>
      </c>
      <c r="F11" s="4054">
        <f t="shared" ca="1" si="1"/>
        <v>3.4672833333333331</v>
      </c>
      <c r="G11" s="4054">
        <f t="shared" ca="1" si="1"/>
        <v>3.4631285714285713</v>
      </c>
      <c r="H11" s="4054">
        <f t="shared" ca="1" si="1"/>
        <v>3.3169672619047619</v>
      </c>
      <c r="I11" s="4054">
        <f t="shared" ca="1" si="1"/>
        <v>3.1235285714285705</v>
      </c>
      <c r="J11" s="4054">
        <f t="shared" ca="1" si="1"/>
        <v>2.8828124999999996</v>
      </c>
      <c r="K11" s="4054">
        <f t="shared" ca="1" si="1"/>
        <v>2.5948190476190471</v>
      </c>
      <c r="L11" s="4054">
        <f t="shared" ca="1" si="1"/>
        <v>2.2595482142857137</v>
      </c>
      <c r="M11" s="4054">
        <f t="shared" ca="1" si="1"/>
        <v>1.877</v>
      </c>
      <c r="N11" s="2938"/>
      <c r="O11" s="4033"/>
    </row>
    <row r="12" spans="1:28" s="4032" customFormat="1" ht="12.75">
      <c r="B12" s="3125"/>
      <c r="C12" s="4063" t="s">
        <v>470</v>
      </c>
      <c r="D12" s="4063" t="s">
        <v>471</v>
      </c>
      <c r="E12" s="4054">
        <f t="shared" ca="1" si="1"/>
        <v>5.0505157520193107</v>
      </c>
      <c r="F12" s="4054">
        <f t="shared" ca="1" si="1"/>
        <v>5.0984970927343829</v>
      </c>
      <c r="G12" s="4054">
        <f t="shared" ca="1" si="1"/>
        <v>5.260733820060393</v>
      </c>
      <c r="H12" s="4054">
        <f t="shared" ca="1" si="1"/>
        <v>5.4342724758055327</v>
      </c>
      <c r="I12" s="4054">
        <f t="shared" ca="1" si="1"/>
        <v>5.6170229262762756</v>
      </c>
      <c r="J12" s="4054">
        <f t="shared" ca="1" si="1"/>
        <v>5.7917665756453065</v>
      </c>
      <c r="K12" s="4054">
        <f t="shared" ca="1" si="1"/>
        <v>5.929434432399237</v>
      </c>
      <c r="L12" s="4054">
        <f t="shared" ca="1" si="1"/>
        <v>6.0051027329882114</v>
      </c>
      <c r="M12" s="4054">
        <f t="shared" ca="1" si="1"/>
        <v>6.0488605289299739</v>
      </c>
      <c r="N12" s="2938"/>
      <c r="O12" s="4033"/>
    </row>
    <row r="13" spans="1:28" s="4032" customFormat="1" ht="12.75">
      <c r="B13" s="3125"/>
      <c r="C13" s="4063" t="s">
        <v>472</v>
      </c>
      <c r="D13" s="4063" t="s">
        <v>473</v>
      </c>
      <c r="E13" s="4054">
        <f t="shared" ca="1" si="1"/>
        <v>4.0419999999999998</v>
      </c>
      <c r="F13" s="4054">
        <f t="shared" ca="1" si="1"/>
        <v>4.0781081081081041</v>
      </c>
      <c r="G13" s="4054">
        <f t="shared" ca="1" si="1"/>
        <v>4.1683783783783737</v>
      </c>
      <c r="H13" s="4054">
        <f t="shared" ca="1" si="1"/>
        <v>4.2586486486486441</v>
      </c>
      <c r="I13" s="4054">
        <f t="shared" ca="1" si="1"/>
        <v>4.3489189189189137</v>
      </c>
      <c r="J13" s="4054">
        <f t="shared" ca="1" si="1"/>
        <v>4.4391891891891904</v>
      </c>
      <c r="K13" s="4054">
        <f t="shared" ca="1" si="1"/>
        <v>4.5294594594594599</v>
      </c>
      <c r="L13" s="4054">
        <f t="shared" ca="1" si="1"/>
        <v>4.6197297297297304</v>
      </c>
      <c r="M13" s="4054">
        <f t="shared" ca="1" si="1"/>
        <v>4.71</v>
      </c>
      <c r="N13" s="2938"/>
      <c r="O13" s="4033"/>
    </row>
    <row r="14" spans="1:28" s="4032" customFormat="1" ht="12.75">
      <c r="B14" s="3125"/>
      <c r="C14" s="4063" t="s">
        <v>475</v>
      </c>
      <c r="D14" s="4063" t="s">
        <v>476</v>
      </c>
      <c r="E14" s="4054">
        <f t="shared" ca="1" si="1"/>
        <v>9.2899999999999991</v>
      </c>
      <c r="F14" s="4054">
        <f t="shared" ca="1" si="1"/>
        <v>9.3655945702523091</v>
      </c>
      <c r="G14" s="4054">
        <f t="shared" ca="1" si="1"/>
        <v>9.5873506239776329</v>
      </c>
      <c r="H14" s="4054">
        <f t="shared" ca="1" si="1"/>
        <v>9.8548945507949384</v>
      </c>
      <c r="I14" s="4054">
        <f t="shared" ca="1" si="1"/>
        <v>10.167452419908624</v>
      </c>
      <c r="J14" s="4054">
        <f t="shared" ca="1" si="1"/>
        <v>10.524820012535409</v>
      </c>
      <c r="K14" s="4054">
        <f t="shared" ca="1" si="1"/>
        <v>10.927338917600434</v>
      </c>
      <c r="L14" s="4054">
        <f t="shared" ca="1" si="1"/>
        <v>11.375881400615459</v>
      </c>
      <c r="M14" s="4054">
        <f t="shared" ca="1" si="1"/>
        <v>11.871843568245758</v>
      </c>
      <c r="N14" s="2938"/>
      <c r="O14" s="4033"/>
    </row>
    <row r="15" spans="1:28" s="4032" customFormat="1" ht="12.75">
      <c r="B15" s="3125"/>
      <c r="C15" s="4063" t="s">
        <v>478</v>
      </c>
      <c r="D15" s="4063" t="s">
        <v>479</v>
      </c>
      <c r="E15" s="4054">
        <f t="shared" ca="1" si="1"/>
        <v>6.2120497891874918E-2</v>
      </c>
      <c r="F15" s="4054">
        <f t="shared" ca="1" si="1"/>
        <v>5.7819311214212923E-2</v>
      </c>
      <c r="G15" s="4054">
        <f t="shared" ca="1" si="1"/>
        <v>7.3891754277403451E-2</v>
      </c>
      <c r="H15" s="4054">
        <f t="shared" ca="1" si="1"/>
        <v>8.9494609635553585E-2</v>
      </c>
      <c r="I15" s="4054">
        <f t="shared" ca="1" si="1"/>
        <v>0.23216101436158487</v>
      </c>
      <c r="J15" s="4054">
        <f t="shared" ca="1" si="1"/>
        <v>0.37760546384703331</v>
      </c>
      <c r="K15" s="4054">
        <f t="shared" ca="1" si="1"/>
        <v>0.55189181444861812</v>
      </c>
      <c r="L15" s="4054">
        <f t="shared" ca="1" si="1"/>
        <v>0.74511531550862542</v>
      </c>
      <c r="M15" s="4054">
        <f t="shared" ca="1" si="1"/>
        <v>0.86275884221025234</v>
      </c>
      <c r="N15" s="2938"/>
      <c r="O15" s="4033"/>
    </row>
    <row r="16" spans="1:28" s="4032" customFormat="1" ht="12.75">
      <c r="B16" s="3125"/>
      <c r="C16" s="4063" t="s">
        <v>480</v>
      </c>
      <c r="D16" s="4063" t="s">
        <v>481</v>
      </c>
      <c r="E16" s="4054">
        <f t="shared" ca="1" si="1"/>
        <v>0</v>
      </c>
      <c r="F16" s="4054">
        <f t="shared" ca="1" si="1"/>
        <v>0</v>
      </c>
      <c r="G16" s="4054">
        <f t="shared" ca="1" si="1"/>
        <v>0</v>
      </c>
      <c r="H16" s="4054">
        <f t="shared" ca="1" si="1"/>
        <v>0</v>
      </c>
      <c r="I16" s="4054">
        <f t="shared" ca="1" si="1"/>
        <v>0</v>
      </c>
      <c r="J16" s="4054">
        <f t="shared" ca="1" si="1"/>
        <v>0</v>
      </c>
      <c r="K16" s="4054">
        <f t="shared" ca="1" si="1"/>
        <v>0</v>
      </c>
      <c r="L16" s="4054">
        <f t="shared" ca="1" si="1"/>
        <v>0</v>
      </c>
      <c r="M16" s="4054">
        <f t="shared" ca="1" si="1"/>
        <v>0</v>
      </c>
      <c r="N16" s="2938"/>
      <c r="O16" s="4033"/>
    </row>
    <row r="17" spans="2:15" s="4032" customFormat="1" ht="12.75">
      <c r="B17" s="3125"/>
      <c r="C17" s="4063" t="s">
        <v>494</v>
      </c>
      <c r="D17" s="4063" t="s">
        <v>495</v>
      </c>
      <c r="E17" s="4054">
        <f t="shared" ca="1" si="1"/>
        <v>0</v>
      </c>
      <c r="F17" s="4054">
        <f t="shared" ca="1" si="1"/>
        <v>0</v>
      </c>
      <c r="G17" s="4054">
        <f t="shared" ca="1" si="1"/>
        <v>0</v>
      </c>
      <c r="H17" s="4054">
        <f t="shared" ca="1" si="1"/>
        <v>0</v>
      </c>
      <c r="I17" s="4054">
        <f t="shared" ca="1" si="1"/>
        <v>0</v>
      </c>
      <c r="J17" s="4054">
        <f t="shared" ca="1" si="1"/>
        <v>0</v>
      </c>
      <c r="K17" s="4054">
        <f t="shared" ca="1" si="1"/>
        <v>0</v>
      </c>
      <c r="L17" s="4054">
        <f t="shared" ca="1" si="1"/>
        <v>0</v>
      </c>
      <c r="M17" s="4054">
        <f t="shared" ca="1" si="1"/>
        <v>0</v>
      </c>
      <c r="N17" s="2938"/>
      <c r="O17" s="4033"/>
    </row>
    <row r="18" spans="2:15" s="4032" customFormat="1" ht="12.75">
      <c r="B18" s="3125"/>
      <c r="C18" s="4063" t="s">
        <v>514</v>
      </c>
      <c r="D18" s="4063" t="s">
        <v>515</v>
      </c>
      <c r="E18" s="4054">
        <f t="shared" ca="1" si="1"/>
        <v>0.22598810482362028</v>
      </c>
      <c r="F18" s="4054">
        <f t="shared" ca="1" si="1"/>
        <v>0.22598810482362028</v>
      </c>
      <c r="G18" s="4054">
        <f t="shared" ca="1" si="1"/>
        <v>0.22598810482362028</v>
      </c>
      <c r="H18" s="4054">
        <f t="shared" ca="1" si="1"/>
        <v>0.22598810482362028</v>
      </c>
      <c r="I18" s="4054">
        <f t="shared" ca="1" si="1"/>
        <v>0.22598810482362028</v>
      </c>
      <c r="J18" s="4054">
        <f t="shared" ca="1" si="1"/>
        <v>0.22598810482362028</v>
      </c>
      <c r="K18" s="4054">
        <f t="shared" ca="1" si="1"/>
        <v>0.22598810482362028</v>
      </c>
      <c r="L18" s="4054">
        <f t="shared" ca="1" si="1"/>
        <v>0.22598810482362028</v>
      </c>
      <c r="M18" s="4054">
        <f t="shared" ca="1" si="1"/>
        <v>0.22598810482362028</v>
      </c>
      <c r="N18" s="2938"/>
      <c r="O18" s="4033"/>
    </row>
    <row r="19" spans="2:15" s="4032" customFormat="1" ht="12.75">
      <c r="B19" s="3125"/>
      <c r="C19" s="4063" t="s">
        <v>516</v>
      </c>
      <c r="D19" s="4063" t="s">
        <v>517</v>
      </c>
      <c r="E19" s="4054">
        <f t="shared" ca="1" si="1"/>
        <v>6.6380393902542884E-2</v>
      </c>
      <c r="F19" s="4054">
        <f t="shared" ca="1" si="1"/>
        <v>5.632506858883312E-2</v>
      </c>
      <c r="G19" s="4054">
        <f t="shared" ca="1" si="1"/>
        <v>3.5902839544807497E-2</v>
      </c>
      <c r="H19" s="4054">
        <f t="shared" ca="1" si="1"/>
        <v>2.154713679214617E-2</v>
      </c>
      <c r="I19" s="4054">
        <f t="shared" ca="1" si="1"/>
        <v>0</v>
      </c>
      <c r="J19" s="4054">
        <f t="shared" ca="1" si="1"/>
        <v>0</v>
      </c>
      <c r="K19" s="4054">
        <f t="shared" ca="1" si="1"/>
        <v>0</v>
      </c>
      <c r="L19" s="4054">
        <f t="shared" ca="1" si="1"/>
        <v>0</v>
      </c>
      <c r="M19" s="4054">
        <f t="shared" ca="1" si="1"/>
        <v>0</v>
      </c>
      <c r="N19" s="2938"/>
      <c r="O19" s="4033"/>
    </row>
    <row r="20" spans="2:15" s="4032" customFormat="1" ht="12.75">
      <c r="B20" s="3125"/>
      <c r="C20" s="4063" t="s">
        <v>542</v>
      </c>
      <c r="D20" s="4064" t="s">
        <v>543</v>
      </c>
      <c r="E20" s="4065">
        <f ca="1">-INDEX(INDIRECT($C20&amp;".Outputs["&amp;E$6&amp;"]"),MATCH("V.02",INDIRECT($C20&amp;".Outputs[Vector]"),0))</f>
        <v>3.7911428177742012E-3</v>
      </c>
      <c r="F20" s="4065">
        <f t="shared" ref="F20:M20" ca="1" si="2">-INDEX(INDIRECT($C20&amp;".Outputs["&amp;F$6&amp;"]"),MATCH("V.02",INDIRECT($C20&amp;".Outputs[Vector]"),0))</f>
        <v>3.7911428177742012E-3</v>
      </c>
      <c r="G20" s="4065">
        <f t="shared" ca="1" si="2"/>
        <v>3.7911428177742012E-3</v>
      </c>
      <c r="H20" s="4065">
        <f t="shared" ca="1" si="2"/>
        <v>3.7911428177742012E-3</v>
      </c>
      <c r="I20" s="4065">
        <f t="shared" ca="1" si="2"/>
        <v>3.7911428177742012E-3</v>
      </c>
      <c r="J20" s="4065">
        <f t="shared" ca="1" si="2"/>
        <v>3.7911428177742012E-3</v>
      </c>
      <c r="K20" s="4065">
        <f t="shared" ca="1" si="2"/>
        <v>3.7911428177742012E-3</v>
      </c>
      <c r="L20" s="4065">
        <f t="shared" ca="1" si="2"/>
        <v>3.7911428177742012E-3</v>
      </c>
      <c r="M20" s="4065">
        <f t="shared" ca="1" si="2"/>
        <v>3.7911428177742012E-3</v>
      </c>
      <c r="N20" s="2938"/>
      <c r="O20" s="4033"/>
    </row>
    <row r="21" spans="2:15" s="4032" customFormat="1" ht="12.75">
      <c r="B21" s="3125"/>
      <c r="C21" s="4063"/>
      <c r="D21" s="4063" t="s">
        <v>59</v>
      </c>
      <c r="E21" s="4066">
        <f ca="1">SUM(E7:E20)</f>
        <v>23.476642761499647</v>
      </c>
      <c r="F21" s="4066">
        <f t="shared" ref="F21:M21" ca="1" si="3">SUM(F7:F20)</f>
        <v>24.362846134292056</v>
      </c>
      <c r="G21" s="4066">
        <f t="shared" ca="1" si="3"/>
        <v>24.877151263511831</v>
      </c>
      <c r="H21" s="4066">
        <f t="shared" ca="1" si="3"/>
        <v>25.409022090832568</v>
      </c>
      <c r="I21" s="4066">
        <f t="shared" ca="1" si="3"/>
        <v>26.051092065260082</v>
      </c>
      <c r="J21" s="4066">
        <f t="shared" ca="1" si="3"/>
        <v>26.715612641158714</v>
      </c>
      <c r="K21" s="4066">
        <f t="shared" ca="1" si="3"/>
        <v>27.381439782929679</v>
      </c>
      <c r="L21" s="4066">
        <f t="shared" ca="1" si="3"/>
        <v>28.015347441534654</v>
      </c>
      <c r="M21" s="4066">
        <f t="shared" ca="1" si="3"/>
        <v>28.538214230060113</v>
      </c>
      <c r="N21" s="2938"/>
      <c r="O21" s="4033"/>
    </row>
    <row r="22" spans="2:15" s="4032" customFormat="1" ht="12.75">
      <c r="B22" s="3125"/>
      <c r="C22" s="4063"/>
      <c r="D22" s="4063"/>
      <c r="E22" s="4066"/>
      <c r="F22" s="4066"/>
      <c r="G22" s="4066"/>
      <c r="H22" s="4066"/>
      <c r="I22" s="4066"/>
      <c r="J22" s="4066"/>
      <c r="K22" s="4066"/>
      <c r="L22" s="4066"/>
      <c r="M22" s="4066"/>
      <c r="N22" s="2938"/>
      <c r="O22" s="4033"/>
    </row>
    <row r="23" spans="2:15" s="4032" customFormat="1" ht="14.25">
      <c r="B23" s="3125"/>
      <c r="C23" s="4067" t="s">
        <v>3405</v>
      </c>
      <c r="D23" s="4063"/>
      <c r="E23" s="4066"/>
      <c r="F23" s="4066"/>
      <c r="G23" s="4066"/>
      <c r="H23" s="4066"/>
      <c r="I23" s="4066"/>
      <c r="J23" s="4066"/>
      <c r="K23" s="4066"/>
      <c r="L23" s="4066"/>
      <c r="M23" s="4061" t="str">
        <f>Preferences.EnergyUnits &amp; " / year"</f>
        <v>TWh / year</v>
      </c>
      <c r="N23" s="2938"/>
      <c r="O23" s="4033"/>
    </row>
    <row r="24" spans="2:15" s="4032" customFormat="1" ht="12.75">
      <c r="B24" s="3125"/>
      <c r="C24" s="4063"/>
      <c r="D24" s="4063"/>
      <c r="E24" s="4066"/>
      <c r="F24" s="4066"/>
      <c r="G24" s="4066"/>
      <c r="H24" s="4066"/>
      <c r="I24" s="4066"/>
      <c r="J24" s="4066"/>
      <c r="K24" s="4066"/>
      <c r="L24" s="4066"/>
      <c r="M24" s="4066"/>
      <c r="N24" s="2938"/>
      <c r="O24" s="4033"/>
    </row>
    <row r="25" spans="2:15" s="4032" customFormat="1" ht="12.75">
      <c r="B25" s="3125"/>
      <c r="C25" s="4063"/>
      <c r="D25" s="4050" t="s">
        <v>415</v>
      </c>
      <c r="E25" s="4051">
        <v>2013</v>
      </c>
      <c r="F25" s="4051">
        <v>2015</v>
      </c>
      <c r="G25" s="4051">
        <v>2020</v>
      </c>
      <c r="H25" s="4051">
        <v>2025</v>
      </c>
      <c r="I25" s="4051">
        <v>2030</v>
      </c>
      <c r="J25" s="4051">
        <v>2035</v>
      </c>
      <c r="K25" s="4051">
        <v>2040</v>
      </c>
      <c r="L25" s="4051">
        <v>2045</v>
      </c>
      <c r="M25" s="4051">
        <v>2050</v>
      </c>
      <c r="N25" s="2938"/>
      <c r="O25" s="4033"/>
    </row>
    <row r="26" spans="2:15" s="4032" customFormat="1" ht="12.75">
      <c r="B26" s="3125"/>
      <c r="C26" s="4063"/>
      <c r="D26" s="4063" t="s">
        <v>491</v>
      </c>
      <c r="E26" s="4066">
        <f t="shared" ref="E26:M26" ca="1" si="4">SUM(E15:E16,E7)</f>
        <v>6.2120497891874918E-2</v>
      </c>
      <c r="F26" s="4066">
        <f t="shared" ca="1" si="4"/>
        <v>5.7837044401309656E-2</v>
      </c>
      <c r="G26" s="4066">
        <f t="shared" ca="1" si="4"/>
        <v>7.4583380797919485E-2</v>
      </c>
      <c r="H26" s="4066">
        <f t="shared" ca="1" si="4"/>
        <v>9.119837077421622E-2</v>
      </c>
      <c r="I26" s="4066">
        <f t="shared" ca="1" si="4"/>
        <v>0.23771644202621653</v>
      </c>
      <c r="J26" s="4066">
        <f t="shared" ca="1" si="4"/>
        <v>0.38870535991103194</v>
      </c>
      <c r="K26" s="4066">
        <f t="shared" ca="1" si="4"/>
        <v>0.57133558932909156</v>
      </c>
      <c r="L26" s="4066">
        <f t="shared" ca="1" si="4"/>
        <v>0.77613666210511567</v>
      </c>
      <c r="M26" s="4066">
        <f t="shared" ca="1" si="4"/>
        <v>0.90394308529879397</v>
      </c>
      <c r="N26" s="2938"/>
      <c r="O26" s="4033"/>
    </row>
    <row r="27" spans="2:15" s="4032" customFormat="1" ht="12.75">
      <c r="B27" s="3125"/>
      <c r="C27" s="4063"/>
      <c r="D27" s="4063" t="s">
        <v>368</v>
      </c>
      <c r="E27" s="4066">
        <f t="shared" ref="E27:M27" ca="1" si="5">SUM(E17:E19,E14,E8)</f>
        <v>10.130468498726161</v>
      </c>
      <c r="F27" s="4066">
        <f t="shared" ca="1" si="5"/>
        <v>10.198485236550466</v>
      </c>
      <c r="G27" s="4066">
        <f t="shared" ca="1" si="5"/>
        <v>10.406223255691142</v>
      </c>
      <c r="H27" s="4066">
        <f t="shared" ca="1" si="5"/>
        <v>10.666109194043123</v>
      </c>
      <c r="I27" s="4066">
        <f t="shared" ca="1" si="5"/>
        <v>10.964102459920158</v>
      </c>
      <c r="J27" s="4066">
        <f t="shared" ca="1" si="5"/>
        <v>11.32872896271412</v>
      </c>
      <c r="K27" s="4066">
        <f t="shared" ca="1" si="5"/>
        <v>11.738774962160049</v>
      </c>
      <c r="L27" s="4066">
        <f t="shared" ca="1" si="5"/>
        <v>12.195104774212071</v>
      </c>
      <c r="M27" s="4066">
        <f t="shared" ca="1" si="5"/>
        <v>12.699106791619828</v>
      </c>
      <c r="N27" s="2938"/>
      <c r="O27" s="4033"/>
    </row>
    <row r="28" spans="2:15" s="4032" customFormat="1" ht="12.75">
      <c r="B28" s="3125"/>
      <c r="C28" s="4063"/>
      <c r="D28" s="4063" t="s">
        <v>93</v>
      </c>
      <c r="E28" s="4066">
        <f t="shared" ref="E28:M28" ca="1" si="6">SUM(E9:E11,E20)</f>
        <v>4.1915380128622992</v>
      </c>
      <c r="F28" s="4066">
        <f t="shared" ca="1" si="6"/>
        <v>4.9299186524977907</v>
      </c>
      <c r="G28" s="4066">
        <f t="shared" ca="1" si="6"/>
        <v>4.9672324285840013</v>
      </c>
      <c r="H28" s="4066">
        <f t="shared" ca="1" si="6"/>
        <v>4.9587934015610466</v>
      </c>
      <c r="I28" s="4066">
        <f t="shared" ca="1" si="6"/>
        <v>4.8833313181185192</v>
      </c>
      <c r="J28" s="4066">
        <f t="shared" ca="1" si="6"/>
        <v>4.7672225536990647</v>
      </c>
      <c r="K28" s="4066">
        <f t="shared" ca="1" si="6"/>
        <v>4.6124353395818423</v>
      </c>
      <c r="L28" s="4066">
        <f t="shared" ca="1" si="6"/>
        <v>4.419273542499524</v>
      </c>
      <c r="M28" s="4066">
        <f t="shared" ca="1" si="6"/>
        <v>4.1763038242115176</v>
      </c>
      <c r="N28" s="2938"/>
      <c r="O28" s="4033"/>
    </row>
    <row r="29" spans="2:15" s="4032" customFormat="1" ht="12.75">
      <c r="B29" s="3125"/>
      <c r="C29" s="4063"/>
      <c r="D29" s="4064" t="s">
        <v>367</v>
      </c>
      <c r="E29" s="4068">
        <f t="shared" ref="E29:M29" ca="1" si="7">SUM(E12:E13)</f>
        <v>9.0925157520193096</v>
      </c>
      <c r="F29" s="4068">
        <f t="shared" ca="1" si="7"/>
        <v>9.1766052008424879</v>
      </c>
      <c r="G29" s="4068">
        <f t="shared" ca="1" si="7"/>
        <v>9.4291121984387658</v>
      </c>
      <c r="H29" s="4068">
        <f t="shared" ca="1" si="7"/>
        <v>9.6929211244541769</v>
      </c>
      <c r="I29" s="4068">
        <f t="shared" ca="1" si="7"/>
        <v>9.9659418451951893</v>
      </c>
      <c r="J29" s="4068">
        <f t="shared" ca="1" si="7"/>
        <v>10.230955764834498</v>
      </c>
      <c r="K29" s="4068">
        <f t="shared" ca="1" si="7"/>
        <v>10.458893891858697</v>
      </c>
      <c r="L29" s="4068">
        <f t="shared" ca="1" si="7"/>
        <v>10.624832462717942</v>
      </c>
      <c r="M29" s="4068">
        <f t="shared" ca="1" si="7"/>
        <v>10.758860528929974</v>
      </c>
      <c r="N29" s="2938"/>
      <c r="O29" s="4033"/>
    </row>
    <row r="30" spans="2:15" s="4032" customFormat="1" ht="12.75">
      <c r="B30" s="3125"/>
      <c r="C30" s="4063"/>
      <c r="D30" s="4063" t="s">
        <v>59</v>
      </c>
      <c r="E30" s="4066">
        <f t="shared" ref="E30:M30" ca="1" si="8">SUM(E26:E29)</f>
        <v>23.476642761499647</v>
      </c>
      <c r="F30" s="4066">
        <f t="shared" ca="1" si="8"/>
        <v>24.362846134292056</v>
      </c>
      <c r="G30" s="4066">
        <f t="shared" ca="1" si="8"/>
        <v>24.877151263511827</v>
      </c>
      <c r="H30" s="4066">
        <f t="shared" ca="1" si="8"/>
        <v>25.409022090832565</v>
      </c>
      <c r="I30" s="4066">
        <f t="shared" ca="1" si="8"/>
        <v>26.051092065260082</v>
      </c>
      <c r="J30" s="4066">
        <f t="shared" ca="1" si="8"/>
        <v>26.715612641158714</v>
      </c>
      <c r="K30" s="4066">
        <f t="shared" ca="1" si="8"/>
        <v>27.381439782929679</v>
      </c>
      <c r="L30" s="4066">
        <f t="shared" ca="1" si="8"/>
        <v>28.015347441534651</v>
      </c>
      <c r="M30" s="4066">
        <f t="shared" ca="1" si="8"/>
        <v>28.538214230060113</v>
      </c>
      <c r="N30" s="2938"/>
      <c r="O30" s="4033"/>
    </row>
    <row r="31" spans="2:15" s="4030" customFormat="1" ht="18.75">
      <c r="B31" s="4034"/>
      <c r="C31" s="4035"/>
      <c r="D31" s="18"/>
      <c r="E31" s="4036"/>
      <c r="F31" s="4036"/>
      <c r="G31" s="4036"/>
      <c r="H31" s="4036"/>
      <c r="I31" s="4036"/>
      <c r="J31" s="4036"/>
      <c r="K31" s="4036"/>
      <c r="L31" s="4036"/>
      <c r="M31" s="4036"/>
      <c r="N31" s="4037"/>
      <c r="O31" s="2444"/>
    </row>
    <row r="33" spans="2:14" ht="15.75">
      <c r="B33" s="4038" t="s">
        <v>3394</v>
      </c>
      <c r="C33" s="4039"/>
      <c r="D33" s="4039"/>
      <c r="E33" s="4039"/>
      <c r="F33" s="4039"/>
      <c r="G33" s="4039"/>
      <c r="H33" s="4039"/>
      <c r="I33" s="4039"/>
      <c r="J33" s="4039"/>
      <c r="K33" s="4039"/>
      <c r="L33" s="4039"/>
      <c r="M33" s="4039"/>
      <c r="N33" s="4040"/>
    </row>
    <row r="34" spans="2:14" s="398" customFormat="1">
      <c r="B34" s="515"/>
      <c r="C34" s="515"/>
      <c r="D34" s="515"/>
      <c r="E34" s="515"/>
      <c r="F34" s="515"/>
      <c r="G34" s="515"/>
      <c r="H34" s="515"/>
      <c r="I34" s="515"/>
      <c r="J34" s="515"/>
      <c r="K34" s="515"/>
      <c r="L34" s="515"/>
      <c r="M34" s="17"/>
      <c r="N34" s="17"/>
    </row>
    <row r="35" spans="2:14" s="398" customFormat="1" ht="15.75">
      <c r="B35" s="4041"/>
      <c r="C35" s="3121" t="s">
        <v>3406</v>
      </c>
      <c r="D35" s="515"/>
      <c r="E35" s="515"/>
      <c r="F35" s="515"/>
      <c r="G35" s="515"/>
      <c r="H35" s="515"/>
      <c r="I35" s="515"/>
      <c r="J35" s="515"/>
      <c r="K35" s="515"/>
      <c r="L35" s="515"/>
      <c r="M35" s="3092" t="str">
        <f>Preferences.EnergyUnits &amp; " / year"</f>
        <v>TWh / year</v>
      </c>
      <c r="N35" s="17"/>
    </row>
    <row r="36" spans="2:14" s="398" customFormat="1" ht="15.75">
      <c r="B36" s="4041"/>
      <c r="C36" s="12"/>
      <c r="D36" s="12"/>
      <c r="E36" s="12"/>
      <c r="F36" s="12"/>
      <c r="G36" s="12"/>
      <c r="H36" s="12"/>
      <c r="I36" s="12"/>
      <c r="J36" s="12"/>
      <c r="K36" s="12"/>
      <c r="L36" s="12"/>
      <c r="M36" s="18"/>
      <c r="N36" s="17"/>
    </row>
    <row r="37" spans="2:14" s="398" customFormat="1">
      <c r="B37" s="3121"/>
      <c r="C37" s="12" t="s">
        <v>97</v>
      </c>
      <c r="D37" s="4031" t="s">
        <v>415</v>
      </c>
      <c r="E37" s="3095">
        <v>2013</v>
      </c>
      <c r="F37" s="3095">
        <v>2015</v>
      </c>
      <c r="G37" s="3095">
        <v>2020</v>
      </c>
      <c r="H37" s="3095">
        <v>2025</v>
      </c>
      <c r="I37" s="3095">
        <v>2030</v>
      </c>
      <c r="J37" s="3095">
        <v>2035</v>
      </c>
      <c r="K37" s="3095">
        <v>2040</v>
      </c>
      <c r="L37" s="3095">
        <v>2045</v>
      </c>
      <c r="M37" s="3095">
        <v>2050</v>
      </c>
      <c r="N37" s="17"/>
    </row>
    <row r="38" spans="2:14" s="398" customFormat="1">
      <c r="B38" s="3121"/>
      <c r="C38" s="4042" t="s">
        <v>556</v>
      </c>
      <c r="D38" s="4043" t="s">
        <v>3407</v>
      </c>
      <c r="E38" s="4044">
        <f ca="1">INDEX(INDIRECT("'"&amp;E$37&amp;"'!Year.Matrix"), MATCH($C38, INDIRECT("'"&amp;E$37&amp;"'!Year.Modules"), 0), MATCH($C$37, INDIRECT("'"&amp;E$37&amp;"'!Year.Vectors"), 0))</f>
        <v>19.080008949093042</v>
      </c>
      <c r="F38" s="4044">
        <f t="shared" ref="F38:M40" ca="1" si="9">INDEX(INDIRECT("'"&amp;F$37&amp;"'!Year.Matrix"), MATCH($C38, INDIRECT("'"&amp;F$37&amp;"'!Year.Modules"), 0), MATCH($C$37, INDIRECT("'"&amp;F$37&amp;"'!Year.Vectors"), 0))</f>
        <v>18.970335288333835</v>
      </c>
      <c r="G38" s="4044">
        <f t="shared" ca="1" si="9"/>
        <v>14.050931397476216</v>
      </c>
      <c r="H38" s="4044">
        <f t="shared" ca="1" si="9"/>
        <v>7.7290717277325456</v>
      </c>
      <c r="I38" s="4044">
        <f t="shared" ca="1" si="9"/>
        <v>1.2272399999999999</v>
      </c>
      <c r="J38" s="4044">
        <f t="shared" ca="1" si="9"/>
        <v>7.2231840000000007</v>
      </c>
      <c r="K38" s="4044">
        <f t="shared" ca="1" si="9"/>
        <v>7.7140800000000009</v>
      </c>
      <c r="L38" s="4044">
        <f t="shared" ca="1" si="9"/>
        <v>7.7140800000000009</v>
      </c>
      <c r="M38" s="4044">
        <f t="shared" ca="1" si="9"/>
        <v>7.7140800000000009</v>
      </c>
      <c r="N38" s="17"/>
    </row>
    <row r="39" spans="2:14" s="398" customFormat="1">
      <c r="B39" s="3121"/>
      <c r="C39" s="4042" t="s">
        <v>2</v>
      </c>
      <c r="D39" s="4043" t="s">
        <v>3</v>
      </c>
      <c r="E39" s="4044">
        <f ca="1">INDEX(INDIRECT("'"&amp;E$37&amp;"'!Year.Matrix"), MATCH($C39, INDIRECT("'"&amp;E$37&amp;"'!Year.Modules"), 0), MATCH($C$37, INDIRECT("'"&amp;E$37&amp;"'!Year.Vectors"), 0))</f>
        <v>0</v>
      </c>
      <c r="F39" s="4044">
        <f t="shared" ca="1" si="9"/>
        <v>0</v>
      </c>
      <c r="G39" s="4044">
        <f t="shared" ca="1" si="9"/>
        <v>0</v>
      </c>
      <c r="H39" s="4044">
        <f t="shared" ca="1" si="9"/>
        <v>0</v>
      </c>
      <c r="I39" s="4044">
        <f t="shared" ca="1" si="9"/>
        <v>0</v>
      </c>
      <c r="J39" s="4044">
        <f t="shared" ca="1" si="9"/>
        <v>0</v>
      </c>
      <c r="K39" s="4044">
        <f t="shared" ca="1" si="9"/>
        <v>0</v>
      </c>
      <c r="L39" s="4044">
        <f t="shared" ca="1" si="9"/>
        <v>0</v>
      </c>
      <c r="M39" s="4044">
        <f t="shared" ca="1" si="9"/>
        <v>0</v>
      </c>
      <c r="N39" s="17"/>
    </row>
    <row r="40" spans="2:14" s="398" customFormat="1">
      <c r="B40" s="3121"/>
      <c r="C40" s="4042" t="s">
        <v>465</v>
      </c>
      <c r="D40" s="4045" t="s">
        <v>466</v>
      </c>
      <c r="E40" s="4046">
        <f ca="1">INDEX(INDIRECT("'"&amp;E$37&amp;"'!Year.Matrix"), MATCH($C40, INDIRECT("'"&amp;E$37&amp;"'!Year.Modules"), 0), MATCH($C$37, INDIRECT("'"&amp;E$37&amp;"'!Year.Vectors"), 0))</f>
        <v>0</v>
      </c>
      <c r="F40" s="4046">
        <f t="shared" ca="1" si="9"/>
        <v>0</v>
      </c>
      <c r="G40" s="4046">
        <f t="shared" ca="1" si="9"/>
        <v>1.3644642857142859</v>
      </c>
      <c r="H40" s="4046">
        <f t="shared" ca="1" si="9"/>
        <v>2.8642500000000002</v>
      </c>
      <c r="I40" s="4046">
        <f t="shared" ca="1" si="9"/>
        <v>4.4993571428571428</v>
      </c>
      <c r="J40" s="4046">
        <f t="shared" ca="1" si="9"/>
        <v>6.2697857142857147</v>
      </c>
      <c r="K40" s="4046">
        <f t="shared" ca="1" si="9"/>
        <v>8.175535714285715</v>
      </c>
      <c r="L40" s="4046">
        <f t="shared" ca="1" si="9"/>
        <v>10.216607142857143</v>
      </c>
      <c r="M40" s="4046">
        <f t="shared" ca="1" si="9"/>
        <v>12.392999999999999</v>
      </c>
      <c r="N40" s="17"/>
    </row>
    <row r="41" spans="2:14" s="398" customFormat="1">
      <c r="B41" s="3121"/>
      <c r="C41" s="4042"/>
      <c r="D41" s="4043" t="s">
        <v>3395</v>
      </c>
      <c r="E41" s="4044">
        <f ca="1">SUM(E38:E40)</f>
        <v>19.080008949093042</v>
      </c>
      <c r="F41" s="4044">
        <f t="shared" ref="F41:M41" ca="1" si="10">SUM(F38:F40)</f>
        <v>18.970335288333835</v>
      </c>
      <c r="G41" s="4044">
        <f t="shared" ca="1" si="10"/>
        <v>15.415395683190502</v>
      </c>
      <c r="H41" s="4044">
        <f t="shared" ca="1" si="10"/>
        <v>10.593321727732546</v>
      </c>
      <c r="I41" s="4044">
        <f t="shared" ca="1" si="10"/>
        <v>5.7265971428571429</v>
      </c>
      <c r="J41" s="4044">
        <f t="shared" ca="1" si="10"/>
        <v>13.492969714285715</v>
      </c>
      <c r="K41" s="4044">
        <f t="shared" ca="1" si="10"/>
        <v>15.889615714285716</v>
      </c>
      <c r="L41" s="4044">
        <f t="shared" ca="1" si="10"/>
        <v>17.930687142857145</v>
      </c>
      <c r="M41" s="4044">
        <f t="shared" ca="1" si="10"/>
        <v>20.10708</v>
      </c>
      <c r="N41" s="17"/>
    </row>
    <row r="42" spans="2:14" s="398" customFormat="1">
      <c r="B42" s="3121"/>
      <c r="C42" s="4042"/>
      <c r="D42" s="4043"/>
      <c r="E42" s="4044"/>
      <c r="F42" s="4044"/>
      <c r="G42" s="4044"/>
      <c r="H42" s="4044"/>
      <c r="I42" s="4044"/>
      <c r="J42" s="4044"/>
      <c r="K42" s="4044"/>
      <c r="L42" s="4044"/>
      <c r="M42" s="4044"/>
      <c r="N42" s="17"/>
    </row>
    <row r="43" spans="2:14" s="398" customFormat="1">
      <c r="B43" s="3121"/>
      <c r="C43" s="3121" t="s">
        <v>3396</v>
      </c>
      <c r="D43" s="515"/>
      <c r="E43" s="515"/>
      <c r="F43" s="515"/>
      <c r="G43" s="515"/>
      <c r="H43" s="515"/>
      <c r="I43" s="515"/>
      <c r="J43" s="515"/>
      <c r="K43" s="515"/>
      <c r="L43" s="515"/>
      <c r="M43" s="3092" t="str">
        <f>Preferences.EnergyUnits &amp; " / year"</f>
        <v>TWh / year</v>
      </c>
      <c r="N43" s="17"/>
    </row>
    <row r="44" spans="2:14" s="398" customFormat="1">
      <c r="B44" s="3121"/>
      <c r="C44" s="12"/>
      <c r="D44" s="12"/>
      <c r="E44" s="12"/>
      <c r="F44" s="12"/>
      <c r="G44" s="12"/>
      <c r="H44" s="12"/>
      <c r="I44" s="12"/>
      <c r="J44" s="12"/>
      <c r="K44" s="12"/>
      <c r="L44" s="12"/>
      <c r="M44" s="18"/>
      <c r="N44" s="17"/>
    </row>
    <row r="45" spans="2:14" s="398" customFormat="1">
      <c r="B45" s="3121"/>
      <c r="C45" s="12" t="s">
        <v>97</v>
      </c>
      <c r="D45" s="4031" t="s">
        <v>415</v>
      </c>
      <c r="E45" s="3095">
        <v>2013</v>
      </c>
      <c r="F45" s="3095">
        <v>2015</v>
      </c>
      <c r="G45" s="3095">
        <v>2020</v>
      </c>
      <c r="H45" s="3095">
        <v>2025</v>
      </c>
      <c r="I45" s="3095">
        <v>2030</v>
      </c>
      <c r="J45" s="3095">
        <v>2035</v>
      </c>
      <c r="K45" s="3095">
        <v>2040</v>
      </c>
      <c r="L45" s="3095">
        <v>2045</v>
      </c>
      <c r="M45" s="3095">
        <v>2050</v>
      </c>
      <c r="N45" s="17"/>
    </row>
    <row r="46" spans="2:14" s="398" customFormat="1">
      <c r="B46" s="3121"/>
      <c r="C46" s="4042"/>
      <c r="D46" s="4043" t="s">
        <v>3397</v>
      </c>
      <c r="E46" s="4044">
        <f ca="1">E41</f>
        <v>19.080008949093042</v>
      </c>
      <c r="F46" s="4044">
        <f t="shared" ref="F46:M46" ca="1" si="11">F41</f>
        <v>18.970335288333835</v>
      </c>
      <c r="G46" s="4044">
        <f t="shared" ca="1" si="11"/>
        <v>15.415395683190502</v>
      </c>
      <c r="H46" s="4044">
        <f t="shared" ca="1" si="11"/>
        <v>10.593321727732546</v>
      </c>
      <c r="I46" s="4044">
        <f t="shared" ca="1" si="11"/>
        <v>5.7265971428571429</v>
      </c>
      <c r="J46" s="4044">
        <f t="shared" ca="1" si="11"/>
        <v>13.492969714285715</v>
      </c>
      <c r="K46" s="4044">
        <f t="shared" ca="1" si="11"/>
        <v>15.889615714285716</v>
      </c>
      <c r="L46" s="4044">
        <f t="shared" ca="1" si="11"/>
        <v>17.930687142857145</v>
      </c>
      <c r="M46" s="4044">
        <f t="shared" ca="1" si="11"/>
        <v>20.10708</v>
      </c>
      <c r="N46" s="17"/>
    </row>
    <row r="47" spans="2:14" s="398" customFormat="1">
      <c r="B47" s="3121"/>
      <c r="C47" s="4042" t="s">
        <v>553</v>
      </c>
      <c r="D47" s="4043" t="s">
        <v>3398</v>
      </c>
      <c r="E47" s="4044">
        <f ca="1">INDEX(INDIRECT("'"&amp;E$45&amp;"'!Year.Matrix"), MATCH($C47, INDIRECT("'"&amp;E$37&amp;"'!Year.Modules"), 0), MATCH($C$45, INDIRECT("'"&amp;E$37&amp;"'!Year.Vectors"), 0))</f>
        <v>0</v>
      </c>
      <c r="F47" s="4044">
        <f t="shared" ref="F47:M47" ca="1" si="12">INDEX(INDIRECT("'"&amp;F$45&amp;"'!Year.Matrix"), MATCH($C47, INDIRECT("'"&amp;F$37&amp;"'!Year.Modules"), 0), MATCH($C$45, INDIRECT("'"&amp;F$37&amp;"'!Year.Vectors"), 0))</f>
        <v>0</v>
      </c>
      <c r="G47" s="4044">
        <f t="shared" ca="1" si="12"/>
        <v>0</v>
      </c>
      <c r="H47" s="4044">
        <f t="shared" ca="1" si="12"/>
        <v>0</v>
      </c>
      <c r="I47" s="4044">
        <f t="shared" ca="1" si="12"/>
        <v>0</v>
      </c>
      <c r="J47" s="4044">
        <f t="shared" ca="1" si="12"/>
        <v>3.3269161499999997</v>
      </c>
      <c r="K47" s="4044">
        <f t="shared" ca="1" si="12"/>
        <v>9.9919251000000013</v>
      </c>
      <c r="L47" s="4044">
        <f t="shared" ca="1" si="12"/>
        <v>16.671836249999998</v>
      </c>
      <c r="M47" s="4044">
        <f t="shared" ca="1" si="12"/>
        <v>23.470965</v>
      </c>
      <c r="N47" s="17"/>
    </row>
    <row r="48" spans="2:14" s="398" customFormat="1">
      <c r="B48" s="3121"/>
      <c r="C48" s="4042" t="s">
        <v>548</v>
      </c>
      <c r="D48" s="4043" t="s">
        <v>549</v>
      </c>
      <c r="E48" s="4044">
        <f t="shared" ref="E48:M55" ca="1" si="13">INDEX(INDIRECT("'"&amp;E$45&amp;"'!Year.Matrix"), MATCH($C48, INDIRECT("'"&amp;E$37&amp;"'!Year.Modules"), 0), MATCH($C$45, INDIRECT("'"&amp;E$37&amp;"'!Year.Vectors"), 0))</f>
        <v>0</v>
      </c>
      <c r="F48" s="4044">
        <f t="shared" ca="1" si="13"/>
        <v>0</v>
      </c>
      <c r="G48" s="4044">
        <f t="shared" ca="1" si="13"/>
        <v>0</v>
      </c>
      <c r="H48" s="4044">
        <f t="shared" ca="1" si="13"/>
        <v>0</v>
      </c>
      <c r="I48" s="4044">
        <f t="shared" ca="1" si="13"/>
        <v>7.0128000000000013</v>
      </c>
      <c r="J48" s="4044">
        <f t="shared" ca="1" si="13"/>
        <v>7.0128000000000013</v>
      </c>
      <c r="K48" s="4044">
        <f t="shared" ca="1" si="13"/>
        <v>7.0128000000000013</v>
      </c>
      <c r="L48" s="4044">
        <f t="shared" ca="1" si="13"/>
        <v>7.0128000000000013</v>
      </c>
      <c r="M48" s="4044">
        <f t="shared" ca="1" si="13"/>
        <v>7.0128000000000013</v>
      </c>
      <c r="N48" s="17"/>
    </row>
    <row r="49" spans="2:14" s="398" customFormat="1">
      <c r="B49" s="3121"/>
      <c r="C49" s="4042" t="s">
        <v>520</v>
      </c>
      <c r="D49" s="4043" t="s">
        <v>521</v>
      </c>
      <c r="E49" s="4044">
        <f t="shared" ca="1" si="13"/>
        <v>4.4180640000000011</v>
      </c>
      <c r="F49" s="4044">
        <f t="shared" ca="1" si="13"/>
        <v>5.5339757999999994</v>
      </c>
      <c r="G49" s="4044">
        <f t="shared" ca="1" si="13"/>
        <v>9.0250353000000008</v>
      </c>
      <c r="H49" s="4044">
        <f t="shared" ca="1" si="13"/>
        <v>13.291885799999999</v>
      </c>
      <c r="I49" s="4044">
        <f t="shared" ca="1" si="13"/>
        <v>19.756810799999997</v>
      </c>
      <c r="J49" s="4044">
        <f t="shared" ca="1" si="13"/>
        <v>22.3427808</v>
      </c>
      <c r="K49" s="4044">
        <f t="shared" ca="1" si="13"/>
        <v>22.3427808</v>
      </c>
      <c r="L49" s="4044">
        <f t="shared" ca="1" si="13"/>
        <v>22.3427808</v>
      </c>
      <c r="M49" s="4044">
        <f t="shared" ca="1" si="13"/>
        <v>22.3427808</v>
      </c>
      <c r="N49" s="17"/>
    </row>
    <row r="50" spans="2:14" s="398" customFormat="1">
      <c r="B50" s="3121"/>
      <c r="C50" s="4042" t="s">
        <v>522</v>
      </c>
      <c r="D50" s="4043" t="s">
        <v>523</v>
      </c>
      <c r="E50" s="4044">
        <f t="shared" ca="1" si="13"/>
        <v>8.3277000000000018E-2</v>
      </c>
      <c r="F50" s="4044">
        <f t="shared" ca="1" si="13"/>
        <v>8.3277000000000018E-2</v>
      </c>
      <c r="G50" s="4044">
        <f t="shared" ca="1" si="13"/>
        <v>8.7660000000000016E-2</v>
      </c>
      <c r="H50" s="4044">
        <f t="shared" ca="1" si="13"/>
        <v>8.7660000000000016E-2</v>
      </c>
      <c r="I50" s="4044">
        <f t="shared" ca="1" si="13"/>
        <v>1.9789245</v>
      </c>
      <c r="J50" s="4044">
        <f t="shared" ca="1" si="13"/>
        <v>5.2267275000000009</v>
      </c>
      <c r="K50" s="4044">
        <f t="shared" ca="1" si="13"/>
        <v>9.1714275000000018</v>
      </c>
      <c r="L50" s="4044">
        <f t="shared" ca="1" si="13"/>
        <v>16.074652500000003</v>
      </c>
      <c r="M50" s="4044">
        <f t="shared" ca="1" si="13"/>
        <v>22.977877500000002</v>
      </c>
      <c r="N50" s="17"/>
    </row>
    <row r="51" spans="2:14" s="398" customFormat="1">
      <c r="B51" s="3121"/>
      <c r="C51" s="4042" t="s">
        <v>524</v>
      </c>
      <c r="D51" s="4043" t="s">
        <v>525</v>
      </c>
      <c r="E51" s="4044">
        <f t="shared" ca="1" si="13"/>
        <v>0.74791511999999993</v>
      </c>
      <c r="F51" s="4044">
        <f t="shared" ca="1" si="13"/>
        <v>0.74791511999999993</v>
      </c>
      <c r="G51" s="4044">
        <f t="shared" ca="1" si="13"/>
        <v>0.74791511999999993</v>
      </c>
      <c r="H51" s="4044">
        <f t="shared" ca="1" si="13"/>
        <v>0.78946596000000002</v>
      </c>
      <c r="I51" s="4044">
        <f t="shared" ca="1" si="13"/>
        <v>0.78946596000000002</v>
      </c>
      <c r="J51" s="4044">
        <f t="shared" ca="1" si="13"/>
        <v>0.78946596000000002</v>
      </c>
      <c r="K51" s="4044">
        <f t="shared" ca="1" si="13"/>
        <v>0.78946596000000002</v>
      </c>
      <c r="L51" s="4044">
        <f t="shared" ca="1" si="13"/>
        <v>0.78946596000000002</v>
      </c>
      <c r="M51" s="4044">
        <f t="shared" ca="1" si="13"/>
        <v>0.78946596000000002</v>
      </c>
      <c r="N51" s="17"/>
    </row>
    <row r="52" spans="2:14" s="398" customFormat="1">
      <c r="B52" s="3121"/>
      <c r="C52" s="4042" t="s">
        <v>526</v>
      </c>
      <c r="D52" s="4043" t="s">
        <v>3399</v>
      </c>
      <c r="E52" s="4044">
        <f t="shared" ca="1" si="13"/>
        <v>0</v>
      </c>
      <c r="F52" s="4044">
        <f t="shared" ca="1" si="13"/>
        <v>3.9627123287671231E-3</v>
      </c>
      <c r="G52" s="4044">
        <f t="shared" ca="1" si="13"/>
        <v>1.3017510000000001E-2</v>
      </c>
      <c r="H52" s="4044">
        <f t="shared" ca="1" si="13"/>
        <v>0.70610130000000026</v>
      </c>
      <c r="I52" s="4044">
        <f t="shared" ca="1" si="13"/>
        <v>3.2346540000000004</v>
      </c>
      <c r="J52" s="4044">
        <f t="shared" ca="1" si="13"/>
        <v>5.4831330000000005</v>
      </c>
      <c r="K52" s="4044">
        <f t="shared" ca="1" si="13"/>
        <v>6.7848840000000008</v>
      </c>
      <c r="L52" s="4044">
        <f t="shared" ca="1" si="13"/>
        <v>7.7316120000000019</v>
      </c>
      <c r="M52" s="4044">
        <f t="shared" ca="1" si="13"/>
        <v>8.7730128000000018</v>
      </c>
      <c r="N52" s="17"/>
    </row>
    <row r="53" spans="2:14" s="398" customFormat="1">
      <c r="B53" s="3121"/>
      <c r="C53" s="4042" t="s">
        <v>528</v>
      </c>
      <c r="D53" s="4043" t="s">
        <v>529</v>
      </c>
      <c r="E53" s="4044">
        <f t="shared" ca="1" si="13"/>
        <v>0</v>
      </c>
      <c r="F53" s="4044">
        <f t="shared" ca="1" si="13"/>
        <v>0</v>
      </c>
      <c r="G53" s="4044">
        <f t="shared" ca="1" si="13"/>
        <v>0</v>
      </c>
      <c r="H53" s="4044">
        <f t="shared" ca="1" si="13"/>
        <v>0</v>
      </c>
      <c r="I53" s="4044">
        <f t="shared" ca="1" si="13"/>
        <v>0</v>
      </c>
      <c r="J53" s="4044">
        <f t="shared" ca="1" si="13"/>
        <v>0</v>
      </c>
      <c r="K53" s="4044">
        <f t="shared" ca="1" si="13"/>
        <v>0</v>
      </c>
      <c r="L53" s="4044">
        <f t="shared" ca="1" si="13"/>
        <v>0</v>
      </c>
      <c r="M53" s="4044">
        <f t="shared" ca="1" si="13"/>
        <v>0</v>
      </c>
      <c r="N53" s="17"/>
    </row>
    <row r="54" spans="2:14" s="398" customFormat="1">
      <c r="B54" s="3121"/>
      <c r="C54" s="4042" t="s">
        <v>534</v>
      </c>
      <c r="D54" s="4043" t="s">
        <v>535</v>
      </c>
      <c r="E54" s="4044">
        <f t="shared" ca="1" si="13"/>
        <v>0</v>
      </c>
      <c r="F54" s="4044">
        <f t="shared" ca="1" si="13"/>
        <v>0</v>
      </c>
      <c r="G54" s="4044">
        <f t="shared" ca="1" si="13"/>
        <v>0.425151</v>
      </c>
      <c r="H54" s="4044">
        <f t="shared" ca="1" si="13"/>
        <v>0.850302</v>
      </c>
      <c r="I54" s="4044">
        <f t="shared" ca="1" si="13"/>
        <v>1.700604</v>
      </c>
      <c r="J54" s="4044">
        <f t="shared" ca="1" si="13"/>
        <v>2.5509060000000003</v>
      </c>
      <c r="K54" s="4044">
        <f t="shared" ca="1" si="13"/>
        <v>3.401208</v>
      </c>
      <c r="L54" s="4044">
        <f t="shared" ca="1" si="13"/>
        <v>3.8263590000000001</v>
      </c>
      <c r="M54" s="4044">
        <f t="shared" ca="1" si="13"/>
        <v>4.2515099999999997</v>
      </c>
      <c r="N54" s="17"/>
    </row>
    <row r="55" spans="2:14" s="398" customFormat="1">
      <c r="B55" s="3121"/>
      <c r="C55" s="4042" t="s">
        <v>563</v>
      </c>
      <c r="D55" s="4045" t="s">
        <v>564</v>
      </c>
      <c r="E55" s="4046">
        <f t="shared" ca="1" si="13"/>
        <v>2.5</v>
      </c>
      <c r="F55" s="4046">
        <f t="shared" ca="1" si="13"/>
        <v>2.5</v>
      </c>
      <c r="G55" s="4046">
        <f t="shared" ca="1" si="13"/>
        <v>2.5</v>
      </c>
      <c r="H55" s="4046">
        <f t="shared" ca="1" si="13"/>
        <v>2.5</v>
      </c>
      <c r="I55" s="4046">
        <f t="shared" ca="1" si="13"/>
        <v>3.9</v>
      </c>
      <c r="J55" s="4046">
        <f t="shared" ca="1" si="13"/>
        <v>4.5999999999999996</v>
      </c>
      <c r="K55" s="4046">
        <f t="shared" ca="1" si="13"/>
        <v>7</v>
      </c>
      <c r="L55" s="4046">
        <f t="shared" ca="1" si="13"/>
        <v>9</v>
      </c>
      <c r="M55" s="4046">
        <f t="shared" ca="1" si="13"/>
        <v>10</v>
      </c>
      <c r="N55" s="17"/>
    </row>
    <row r="56" spans="2:14" s="398" customFormat="1">
      <c r="B56" s="3121"/>
      <c r="C56" s="4042"/>
      <c r="D56" s="4043" t="s">
        <v>59</v>
      </c>
      <c r="E56" s="4044">
        <f ca="1">SUM(E46:E55)</f>
        <v>26.82926506909304</v>
      </c>
      <c r="F56" s="4044">
        <f t="shared" ref="F56:M56" ca="1" si="14">SUM(F46:F55)</f>
        <v>27.839465920662601</v>
      </c>
      <c r="G56" s="4044">
        <f t="shared" ca="1" si="14"/>
        <v>28.214174613190501</v>
      </c>
      <c r="H56" s="4044">
        <f t="shared" ca="1" si="14"/>
        <v>28.818736787732547</v>
      </c>
      <c r="I56" s="4044">
        <f t="shared" ca="1" si="14"/>
        <v>44.099856402857135</v>
      </c>
      <c r="J56" s="4044">
        <f t="shared" ca="1" si="14"/>
        <v>64.82569912428572</v>
      </c>
      <c r="K56" s="4044">
        <f t="shared" ca="1" si="14"/>
        <v>82.384107074285723</v>
      </c>
      <c r="L56" s="4044">
        <f t="shared" ca="1" si="14"/>
        <v>101.38019365285714</v>
      </c>
      <c r="M56" s="4044">
        <f t="shared" ca="1" si="14"/>
        <v>119.72549206000001</v>
      </c>
      <c r="N56" s="17"/>
    </row>
    <row r="57" spans="2:14">
      <c r="B57" s="3375"/>
      <c r="C57" s="4047"/>
      <c r="D57" s="4048"/>
      <c r="E57" s="3375"/>
      <c r="F57" s="3375"/>
      <c r="G57" s="3375"/>
      <c r="H57" s="3375"/>
      <c r="I57" s="3375"/>
      <c r="J57" s="3375"/>
      <c r="K57" s="3375"/>
      <c r="L57" s="3375"/>
      <c r="M57" s="3375"/>
      <c r="N57" s="875"/>
    </row>
    <row r="59" spans="2:14" ht="15.75">
      <c r="B59" s="4038" t="s">
        <v>3400</v>
      </c>
      <c r="C59" s="4039"/>
      <c r="D59" s="4039"/>
      <c r="E59" s="4039"/>
      <c r="F59" s="4039"/>
      <c r="G59" s="4039"/>
      <c r="H59" s="4039"/>
      <c r="I59" s="4039"/>
      <c r="J59" s="4039"/>
      <c r="K59" s="4039"/>
      <c r="L59" s="4039"/>
      <c r="M59" s="4039"/>
      <c r="N59" s="4040"/>
    </row>
    <row r="60" spans="2:14">
      <c r="B60" s="515"/>
      <c r="C60" s="515"/>
      <c r="D60" s="515"/>
      <c r="E60" s="515"/>
      <c r="F60" s="515"/>
      <c r="G60" s="515"/>
      <c r="H60" s="515"/>
      <c r="I60" s="515"/>
      <c r="J60" s="515"/>
      <c r="K60" s="515"/>
      <c r="L60" s="515"/>
      <c r="M60" s="17"/>
      <c r="N60" s="17"/>
    </row>
    <row r="61" spans="2:14">
      <c r="B61" s="515"/>
      <c r="C61" s="515"/>
      <c r="D61" s="515"/>
      <c r="E61" s="515"/>
      <c r="F61" s="515"/>
      <c r="G61" s="515"/>
      <c r="H61" s="515"/>
      <c r="I61" s="515"/>
      <c r="J61" s="515"/>
      <c r="K61" s="515"/>
      <c r="L61" s="515"/>
      <c r="M61" s="3092" t="str">
        <f>Preferences.PowerUnits</f>
        <v>GW</v>
      </c>
      <c r="N61" s="17"/>
    </row>
    <row r="62" spans="2:14" ht="15.75">
      <c r="B62" s="4041"/>
      <c r="C62" s="3121"/>
      <c r="D62" s="515"/>
      <c r="E62" s="515"/>
      <c r="F62" s="515"/>
      <c r="G62" s="515"/>
      <c r="H62" s="515"/>
      <c r="I62" s="515"/>
      <c r="J62" s="515"/>
      <c r="K62" s="515"/>
      <c r="L62" s="515"/>
      <c r="M62" s="3092"/>
      <c r="N62" s="17"/>
    </row>
    <row r="63" spans="2:14" ht="15.75">
      <c r="B63" s="4041"/>
      <c r="C63" s="4049"/>
      <c r="D63" s="4050" t="s">
        <v>415</v>
      </c>
      <c r="E63" s="4051">
        <v>2013</v>
      </c>
      <c r="F63" s="4051">
        <v>2015</v>
      </c>
      <c r="G63" s="4051">
        <v>2020</v>
      </c>
      <c r="H63" s="4051">
        <v>2025</v>
      </c>
      <c r="I63" s="4051">
        <v>2030</v>
      </c>
      <c r="J63" s="4051">
        <v>2035</v>
      </c>
      <c r="K63" s="4051">
        <v>2040</v>
      </c>
      <c r="L63" s="4051">
        <v>2045</v>
      </c>
      <c r="M63" s="4051">
        <v>2050</v>
      </c>
      <c r="N63" s="17"/>
    </row>
    <row r="64" spans="2:14">
      <c r="B64" s="3121"/>
      <c r="C64" s="4069" t="s">
        <v>2400</v>
      </c>
      <c r="D64" s="4043" t="s">
        <v>2542</v>
      </c>
      <c r="E64" s="4052">
        <f ca="1">IFERROR(INDEX(INDIRECT($C64&amp;".info["&amp;E$63&amp;"]"), MATCH("B.02", INDIRECT($C64&amp;".info[Vector]"), 0)), 0)</f>
        <v>1.1000000000000001</v>
      </c>
      <c r="F64" s="4052">
        <f t="shared" ref="F64:M64" ca="1" si="15">IFERROR(INDEX(INDIRECT($C64&amp;".info["&amp;F$63&amp;"]"), MATCH("B.02", INDIRECT($C64&amp;".info[Vector]"), 0)), 0)</f>
        <v>0.91600000000000004</v>
      </c>
      <c r="G64" s="4052">
        <f t="shared" ca="1" si="15"/>
        <v>0.32400000000000001</v>
      </c>
      <c r="H64" s="4052">
        <f t="shared" ca="1" si="15"/>
        <v>0.32400000000000001</v>
      </c>
      <c r="I64" s="4052">
        <f t="shared" ca="1" si="15"/>
        <v>0.32400000000000001</v>
      </c>
      <c r="J64" s="4052">
        <f t="shared" ca="1" si="15"/>
        <v>0</v>
      </c>
      <c r="K64" s="4052">
        <f t="shared" ca="1" si="15"/>
        <v>0</v>
      </c>
      <c r="L64" s="4052">
        <f t="shared" ca="1" si="15"/>
        <v>0</v>
      </c>
      <c r="M64" s="4052">
        <f t="shared" ca="1" si="15"/>
        <v>0</v>
      </c>
      <c r="N64" s="17"/>
    </row>
    <row r="65" spans="2:14">
      <c r="B65" s="3121"/>
      <c r="C65" s="4069" t="s">
        <v>2401</v>
      </c>
      <c r="D65" s="4043" t="s">
        <v>3401</v>
      </c>
      <c r="E65" s="4052">
        <f t="shared" ref="E65:M77" ca="1" si="16">IFERROR(INDEX(INDIRECT($C65&amp;".info["&amp;E$63&amp;"]"), MATCH("B.02", INDIRECT($C65&amp;".info[Vector]"), 0)), 0)</f>
        <v>1.216</v>
      </c>
      <c r="F65" s="4052">
        <f t="shared" ca="1" si="16"/>
        <v>1.2009999999999998</v>
      </c>
      <c r="G65" s="4052">
        <f t="shared" ca="1" si="16"/>
        <v>0.91600000000000004</v>
      </c>
      <c r="H65" s="4052">
        <f t="shared" ca="1" si="16"/>
        <v>0.91600000000000004</v>
      </c>
      <c r="I65" s="4052">
        <f t="shared" ca="1" si="16"/>
        <v>0.63100000000000001</v>
      </c>
      <c r="J65" s="4052">
        <f t="shared" ca="1" si="16"/>
        <v>1.2010000000000001</v>
      </c>
      <c r="K65" s="4052">
        <f t="shared" ca="1" si="16"/>
        <v>1.2010000000000001</v>
      </c>
      <c r="L65" s="4052">
        <f t="shared" ca="1" si="16"/>
        <v>1.2010000000000001</v>
      </c>
      <c r="M65" s="4052">
        <f t="shared" ca="1" si="16"/>
        <v>1.2010000000000001</v>
      </c>
      <c r="N65" s="17"/>
    </row>
    <row r="66" spans="2:14">
      <c r="B66" s="3121"/>
      <c r="C66" s="4069" t="s">
        <v>2398</v>
      </c>
      <c r="D66" s="4043" t="s">
        <v>2543</v>
      </c>
      <c r="E66" s="4052">
        <f t="shared" ca="1" si="16"/>
        <v>3.5934362101223432</v>
      </c>
      <c r="F66" s="4052">
        <f t="shared" ca="1" si="16"/>
        <v>3.7038082004340493</v>
      </c>
      <c r="G66" s="4052">
        <f t="shared" ca="1" si="16"/>
        <v>2.7433334278341852</v>
      </c>
      <c r="H66" s="4052">
        <f t="shared" ca="1" si="16"/>
        <v>1.50904023633802</v>
      </c>
      <c r="I66" s="4052">
        <f t="shared" ca="1" si="16"/>
        <v>0</v>
      </c>
      <c r="J66" s="4052">
        <f t="shared" ca="1" si="16"/>
        <v>0</v>
      </c>
      <c r="K66" s="4052">
        <f t="shared" ca="1" si="16"/>
        <v>0</v>
      </c>
      <c r="L66" s="4052">
        <f t="shared" ca="1" si="16"/>
        <v>0</v>
      </c>
      <c r="M66" s="4052">
        <f t="shared" ca="1" si="16"/>
        <v>0</v>
      </c>
      <c r="N66" s="17"/>
    </row>
    <row r="67" spans="2:14">
      <c r="B67" s="3121"/>
      <c r="C67" s="4069" t="s">
        <v>553</v>
      </c>
      <c r="D67" s="4043" t="s">
        <v>3398</v>
      </c>
      <c r="E67" s="4052">
        <f t="shared" ca="1" si="16"/>
        <v>0</v>
      </c>
      <c r="F67" s="4052">
        <f t="shared" ca="1" si="16"/>
        <v>0</v>
      </c>
      <c r="G67" s="4052">
        <f t="shared" ca="1" si="16"/>
        <v>0</v>
      </c>
      <c r="H67" s="4052">
        <f t="shared" ca="1" si="16"/>
        <v>0</v>
      </c>
      <c r="I67" s="4052">
        <f t="shared" ca="1" si="16"/>
        <v>0</v>
      </c>
      <c r="J67" s="4052">
        <f t="shared" ca="1" si="16"/>
        <v>0.5</v>
      </c>
      <c r="K67" s="4052">
        <f t="shared" ca="1" si="16"/>
        <v>1.5</v>
      </c>
      <c r="L67" s="4052">
        <f t="shared" ca="1" si="16"/>
        <v>2.5</v>
      </c>
      <c r="M67" s="4052">
        <f t="shared" ca="1" si="16"/>
        <v>3.5</v>
      </c>
      <c r="N67" s="17"/>
    </row>
    <row r="68" spans="2:14">
      <c r="B68" s="3121"/>
      <c r="C68" s="4069" t="s">
        <v>548</v>
      </c>
      <c r="D68" s="4043" t="s">
        <v>549</v>
      </c>
      <c r="E68" s="4052">
        <f t="shared" ca="1" si="16"/>
        <v>0</v>
      </c>
      <c r="F68" s="4052">
        <f t="shared" ca="1" si="16"/>
        <v>0</v>
      </c>
      <c r="G68" s="4052">
        <f t="shared" ca="1" si="16"/>
        <v>0</v>
      </c>
      <c r="H68" s="4052">
        <f t="shared" ca="1" si="16"/>
        <v>0</v>
      </c>
      <c r="I68" s="4052">
        <f t="shared" ca="1" si="16"/>
        <v>1</v>
      </c>
      <c r="J68" s="4052">
        <f t="shared" ca="1" si="16"/>
        <v>1</v>
      </c>
      <c r="K68" s="4052">
        <f t="shared" ca="1" si="16"/>
        <v>1</v>
      </c>
      <c r="L68" s="4052">
        <f t="shared" ca="1" si="16"/>
        <v>1</v>
      </c>
      <c r="M68" s="4052">
        <f t="shared" ca="1" si="16"/>
        <v>1</v>
      </c>
      <c r="N68" s="17"/>
    </row>
    <row r="69" spans="2:14">
      <c r="B69" s="3121"/>
      <c r="C69" s="4070" t="s">
        <v>520</v>
      </c>
      <c r="D69" s="4049" t="s">
        <v>521</v>
      </c>
      <c r="E69" s="4052">
        <f t="shared" ca="1" si="16"/>
        <v>1.8</v>
      </c>
      <c r="F69" s="4052">
        <f t="shared" ca="1" si="16"/>
        <v>2.14</v>
      </c>
      <c r="G69" s="4052">
        <f t="shared" ca="1" si="16"/>
        <v>3.49</v>
      </c>
      <c r="H69" s="4052">
        <f t="shared" ca="1" si="16"/>
        <v>5.1400000000000006</v>
      </c>
      <c r="I69" s="4052">
        <f t="shared" ca="1" si="16"/>
        <v>7.6400000000000006</v>
      </c>
      <c r="J69" s="4052">
        <f t="shared" ca="1" si="16"/>
        <v>8.64</v>
      </c>
      <c r="K69" s="4052">
        <f t="shared" ca="1" si="16"/>
        <v>8.64</v>
      </c>
      <c r="L69" s="4052">
        <f t="shared" ca="1" si="16"/>
        <v>8.64</v>
      </c>
      <c r="M69" s="4053">
        <f t="shared" ca="1" si="16"/>
        <v>8.64</v>
      </c>
      <c r="N69" s="17"/>
    </row>
    <row r="70" spans="2:14">
      <c r="B70" s="3121"/>
      <c r="C70" s="4070" t="s">
        <v>522</v>
      </c>
      <c r="D70" s="4049" t="s">
        <v>523</v>
      </c>
      <c r="E70" s="4052">
        <f t="shared" ca="1" si="16"/>
        <v>2.5000000000000001E-2</v>
      </c>
      <c r="F70" s="4052">
        <f t="shared" ca="1" si="16"/>
        <v>2.5000000000000001E-2</v>
      </c>
      <c r="G70" s="4052">
        <f t="shared" ca="1" si="16"/>
        <v>2.5000000000000001E-2</v>
      </c>
      <c r="H70" s="4052">
        <f t="shared" ca="1" si="16"/>
        <v>2.5000000000000001E-2</v>
      </c>
      <c r="I70" s="4052">
        <f t="shared" ca="1" si="16"/>
        <v>0.52500000000000002</v>
      </c>
      <c r="J70" s="4052">
        <f t="shared" ca="1" si="16"/>
        <v>1.3250000000000002</v>
      </c>
      <c r="K70" s="4052">
        <f t="shared" ca="1" si="16"/>
        <v>2.3250000000000002</v>
      </c>
      <c r="L70" s="4052">
        <f t="shared" ca="1" si="16"/>
        <v>4.0750000000000002</v>
      </c>
      <c r="M70" s="4054">
        <f t="shared" ca="1" si="16"/>
        <v>5.8250000000000002</v>
      </c>
      <c r="N70" s="17"/>
    </row>
    <row r="71" spans="2:14">
      <c r="B71" s="3121"/>
      <c r="C71" s="4070" t="s">
        <v>524</v>
      </c>
      <c r="D71" s="4055" t="s">
        <v>525</v>
      </c>
      <c r="E71" s="4052">
        <f t="shared" ca="1" si="16"/>
        <v>0.23699999999999999</v>
      </c>
      <c r="F71" s="4054">
        <f t="shared" ca="1" si="16"/>
        <v>0.23699999999999999</v>
      </c>
      <c r="G71" s="4054">
        <f t="shared" ca="1" si="16"/>
        <v>0.23699999999999999</v>
      </c>
      <c r="H71" s="4054">
        <f t="shared" ca="1" si="16"/>
        <v>0.23699999999999999</v>
      </c>
      <c r="I71" s="4054">
        <f t="shared" ca="1" si="16"/>
        <v>0.23699999999999999</v>
      </c>
      <c r="J71" s="4054">
        <f t="shared" ca="1" si="16"/>
        <v>0.23699999999999999</v>
      </c>
      <c r="K71" s="4054">
        <f t="shared" ca="1" si="16"/>
        <v>0.23699999999999999</v>
      </c>
      <c r="L71" s="4054">
        <f t="shared" ca="1" si="16"/>
        <v>0.23699999999999999</v>
      </c>
      <c r="M71" s="4054">
        <f t="shared" ca="1" si="16"/>
        <v>0.23699999999999999</v>
      </c>
      <c r="N71" s="17"/>
    </row>
    <row r="72" spans="2:14">
      <c r="B72" s="3121"/>
      <c r="C72" s="4069" t="s">
        <v>627</v>
      </c>
      <c r="D72" s="4043" t="s">
        <v>399</v>
      </c>
      <c r="E72" s="4052">
        <f t="shared" ca="1" si="16"/>
        <v>0</v>
      </c>
      <c r="F72" s="4052">
        <f t="shared" ca="1" si="16"/>
        <v>1.5220700152207001E-3</v>
      </c>
      <c r="G72" s="4052">
        <f t="shared" ca="1" si="16"/>
        <v>5.0000000000000001E-3</v>
      </c>
      <c r="H72" s="4052">
        <f t="shared" ca="1" si="16"/>
        <v>0.15</v>
      </c>
      <c r="I72" s="4052">
        <f t="shared" ca="1" si="16"/>
        <v>1</v>
      </c>
      <c r="J72" s="4052">
        <f t="shared" ca="1" si="16"/>
        <v>1.5</v>
      </c>
      <c r="K72" s="4052">
        <f t="shared" ca="1" si="16"/>
        <v>2</v>
      </c>
      <c r="L72" s="4052">
        <f t="shared" ca="1" si="16"/>
        <v>2</v>
      </c>
      <c r="M72" s="4052">
        <f t="shared" ca="1" si="16"/>
        <v>2.4</v>
      </c>
      <c r="N72" s="17"/>
    </row>
    <row r="73" spans="2:14">
      <c r="B73" s="3121"/>
      <c r="C73" s="4069" t="s">
        <v>629</v>
      </c>
      <c r="D73" s="4043" t="s">
        <v>630</v>
      </c>
      <c r="E73" s="4052">
        <f t="shared" ca="1" si="16"/>
        <v>0</v>
      </c>
      <c r="F73" s="4052">
        <f t="shared" ca="1" si="16"/>
        <v>0</v>
      </c>
      <c r="G73" s="4052">
        <f t="shared" ca="1" si="16"/>
        <v>0</v>
      </c>
      <c r="H73" s="4052">
        <f t="shared" ca="1" si="16"/>
        <v>0.1</v>
      </c>
      <c r="I73" s="4052">
        <f t="shared" ca="1" si="16"/>
        <v>0.2</v>
      </c>
      <c r="J73" s="4052">
        <f t="shared" ca="1" si="16"/>
        <v>0.5</v>
      </c>
      <c r="K73" s="4052">
        <f t="shared" ca="1" si="16"/>
        <v>0.5</v>
      </c>
      <c r="L73" s="4052">
        <f t="shared" ca="1" si="16"/>
        <v>0.8</v>
      </c>
      <c r="M73" s="4052">
        <f t="shared" ca="1" si="16"/>
        <v>0.8</v>
      </c>
      <c r="N73" s="17"/>
    </row>
    <row r="74" spans="2:14">
      <c r="B74" s="3121"/>
      <c r="C74" s="4069" t="s">
        <v>631</v>
      </c>
      <c r="D74" s="4043" t="s">
        <v>632</v>
      </c>
      <c r="E74" s="4052">
        <f t="shared" ca="1" si="16"/>
        <v>0</v>
      </c>
      <c r="F74" s="4052">
        <f t="shared" ca="1" si="16"/>
        <v>0</v>
      </c>
      <c r="G74" s="4052">
        <f t="shared" ca="1" si="16"/>
        <v>0</v>
      </c>
      <c r="H74" s="4052">
        <f t="shared" ca="1" si="16"/>
        <v>0</v>
      </c>
      <c r="I74" s="4052">
        <f t="shared" ca="1" si="16"/>
        <v>0</v>
      </c>
      <c r="J74" s="4052">
        <f t="shared" ca="1" si="16"/>
        <v>0</v>
      </c>
      <c r="K74" s="4052">
        <f t="shared" ca="1" si="16"/>
        <v>0</v>
      </c>
      <c r="L74" s="4052">
        <f t="shared" ca="1" si="16"/>
        <v>0</v>
      </c>
      <c r="M74" s="4052">
        <f t="shared" ca="1" si="16"/>
        <v>0</v>
      </c>
      <c r="N74" s="17"/>
    </row>
    <row r="75" spans="2:14">
      <c r="B75" s="3121"/>
      <c r="C75" s="4069" t="s">
        <v>528</v>
      </c>
      <c r="D75" s="4043" t="s">
        <v>529</v>
      </c>
      <c r="E75" s="4052">
        <f t="shared" ca="1" si="16"/>
        <v>0</v>
      </c>
      <c r="F75" s="4052">
        <f t="shared" ca="1" si="16"/>
        <v>0</v>
      </c>
      <c r="G75" s="4052">
        <f t="shared" ca="1" si="16"/>
        <v>0</v>
      </c>
      <c r="H75" s="4052">
        <f t="shared" ca="1" si="16"/>
        <v>0</v>
      </c>
      <c r="I75" s="4052">
        <f t="shared" ca="1" si="16"/>
        <v>0</v>
      </c>
      <c r="J75" s="4052">
        <f t="shared" ca="1" si="16"/>
        <v>0</v>
      </c>
      <c r="K75" s="4052">
        <f t="shared" ca="1" si="16"/>
        <v>0</v>
      </c>
      <c r="L75" s="4052">
        <f t="shared" ca="1" si="16"/>
        <v>0</v>
      </c>
      <c r="M75" s="4052">
        <f t="shared" ca="1" si="16"/>
        <v>0</v>
      </c>
      <c r="N75" s="17"/>
    </row>
    <row r="76" spans="2:14">
      <c r="B76" s="3121"/>
      <c r="C76" s="4069" t="s">
        <v>534</v>
      </c>
      <c r="D76" s="4043" t="s">
        <v>535</v>
      </c>
      <c r="E76" s="4052">
        <f t="shared" ca="1" si="16"/>
        <v>0</v>
      </c>
      <c r="F76" s="4052">
        <f t="shared" ca="1" si="16"/>
        <v>0</v>
      </c>
      <c r="G76" s="4052">
        <f t="shared" ca="1" si="16"/>
        <v>0.5</v>
      </c>
      <c r="H76" s="4052">
        <f t="shared" ca="1" si="16"/>
        <v>1</v>
      </c>
      <c r="I76" s="4052">
        <f t="shared" ca="1" si="16"/>
        <v>2</v>
      </c>
      <c r="J76" s="4052">
        <f t="shared" ca="1" si="16"/>
        <v>3</v>
      </c>
      <c r="K76" s="4052">
        <f t="shared" ca="1" si="16"/>
        <v>4</v>
      </c>
      <c r="L76" s="4052">
        <f t="shared" ca="1" si="16"/>
        <v>4.5</v>
      </c>
      <c r="M76" s="4052">
        <f t="shared" ca="1" si="16"/>
        <v>5</v>
      </c>
      <c r="N76" s="17"/>
    </row>
    <row r="77" spans="2:14">
      <c r="B77" s="3121"/>
      <c r="C77" s="4069" t="s">
        <v>569</v>
      </c>
      <c r="D77" s="4045" t="s">
        <v>2544</v>
      </c>
      <c r="E77" s="4056">
        <f t="shared" ca="1" si="16"/>
        <v>0.41994376780032372</v>
      </c>
      <c r="F77" s="4056">
        <f t="shared" ca="1" si="16"/>
        <v>0.81620440698264951</v>
      </c>
      <c r="G77" s="4056">
        <f t="shared" ca="1" si="16"/>
        <v>0.87652592247498262</v>
      </c>
      <c r="H77" s="4056">
        <f t="shared" ca="1" si="16"/>
        <v>0</v>
      </c>
      <c r="I77" s="4056">
        <f t="shared" ca="1" si="16"/>
        <v>0</v>
      </c>
      <c r="J77" s="4056">
        <f t="shared" ca="1" si="16"/>
        <v>0</v>
      </c>
      <c r="K77" s="4056">
        <f t="shared" ca="1" si="16"/>
        <v>0</v>
      </c>
      <c r="L77" s="4056">
        <f t="shared" ca="1" si="16"/>
        <v>0</v>
      </c>
      <c r="M77" s="4056">
        <f t="shared" ca="1" si="16"/>
        <v>0</v>
      </c>
      <c r="N77" s="17"/>
    </row>
    <row r="78" spans="2:14">
      <c r="B78" s="3121"/>
      <c r="C78" s="4042"/>
      <c r="D78" s="4043" t="s">
        <v>1747</v>
      </c>
      <c r="E78" s="4052">
        <f ca="1">SUM(E64:E77)</f>
        <v>8.3913799779226679</v>
      </c>
      <c r="F78" s="4052">
        <f t="shared" ref="F78:M78" ca="1" si="17">SUM(F64:F77)</f>
        <v>9.0405346774319195</v>
      </c>
      <c r="G78" s="4052">
        <f t="shared" ca="1" si="17"/>
        <v>9.1168593503091682</v>
      </c>
      <c r="H78" s="4052">
        <f t="shared" ca="1" si="17"/>
        <v>9.4010402363380212</v>
      </c>
      <c r="I78" s="4052">
        <f t="shared" ca="1" si="17"/>
        <v>13.557</v>
      </c>
      <c r="J78" s="4052">
        <f t="shared" ca="1" si="17"/>
        <v>17.902999999999999</v>
      </c>
      <c r="K78" s="4052">
        <f t="shared" ca="1" si="17"/>
        <v>21.402999999999999</v>
      </c>
      <c r="L78" s="4052">
        <f t="shared" ca="1" si="17"/>
        <v>24.952999999999999</v>
      </c>
      <c r="M78" s="4052">
        <f t="shared" ca="1" si="17"/>
        <v>28.602999999999998</v>
      </c>
      <c r="N78" s="17"/>
    </row>
    <row r="79" spans="2:14">
      <c r="B79" s="3375"/>
      <c r="C79" s="4047"/>
      <c r="D79" s="4048"/>
      <c r="E79" s="3375"/>
      <c r="F79" s="3375"/>
      <c r="G79" s="3375"/>
      <c r="H79" s="3375"/>
      <c r="I79" s="3375"/>
      <c r="J79" s="3375"/>
      <c r="K79" s="3375"/>
      <c r="L79" s="3375"/>
      <c r="M79" s="3375"/>
      <c r="N79" s="875"/>
    </row>
    <row r="81" spans="2:15" ht="15.75">
      <c r="B81" s="4038" t="s">
        <v>3402</v>
      </c>
      <c r="C81" s="4039"/>
      <c r="D81" s="4039"/>
      <c r="E81" s="4039"/>
      <c r="F81" s="4039"/>
      <c r="G81" s="4039"/>
      <c r="H81" s="4039"/>
      <c r="I81" s="4039"/>
      <c r="J81" s="4039"/>
      <c r="K81" s="4039"/>
      <c r="L81" s="4039"/>
      <c r="M81" s="4039"/>
      <c r="N81" s="4040"/>
    </row>
    <row r="82" spans="2:15">
      <c r="B82" s="515"/>
      <c r="C82" s="515"/>
      <c r="D82" s="515"/>
      <c r="E82" s="515"/>
      <c r="F82" s="515"/>
      <c r="G82" s="515"/>
      <c r="H82" s="515"/>
      <c r="I82" s="515"/>
      <c r="J82" s="515"/>
      <c r="K82" s="515"/>
      <c r="L82" s="515"/>
      <c r="M82" s="17"/>
      <c r="N82" s="17"/>
    </row>
    <row r="83" spans="2:15">
      <c r="B83" s="515"/>
      <c r="C83" s="515"/>
      <c r="D83" s="3121" t="s">
        <v>3408</v>
      </c>
      <c r="E83" s="515"/>
      <c r="F83" s="515"/>
      <c r="G83" s="515"/>
      <c r="H83" s="515"/>
      <c r="I83" s="515"/>
      <c r="J83" s="515"/>
      <c r="K83" s="515"/>
      <c r="L83" s="515"/>
      <c r="M83" s="3092" t="s">
        <v>27</v>
      </c>
      <c r="N83" s="17"/>
    </row>
    <row r="84" spans="2:15" ht="15.75">
      <c r="B84" s="4041"/>
      <c r="C84" s="3121"/>
      <c r="D84" s="515"/>
      <c r="E84" s="515"/>
      <c r="F84" s="515"/>
      <c r="G84" s="515"/>
      <c r="H84" s="515"/>
      <c r="I84" s="515"/>
      <c r="J84" s="515"/>
      <c r="K84" s="515"/>
      <c r="L84" s="515"/>
      <c r="M84" s="3092"/>
      <c r="N84" s="17"/>
    </row>
    <row r="85" spans="2:15" ht="15.75">
      <c r="B85" s="4041"/>
      <c r="C85" s="4049"/>
      <c r="D85" s="4050" t="s">
        <v>132</v>
      </c>
      <c r="E85" s="4051">
        <v>2013</v>
      </c>
      <c r="F85" s="4051">
        <v>2015</v>
      </c>
      <c r="G85" s="4051">
        <v>2020</v>
      </c>
      <c r="H85" s="4051">
        <v>2025</v>
      </c>
      <c r="I85" s="4051">
        <v>2030</v>
      </c>
      <c r="J85" s="4051">
        <v>2035</v>
      </c>
      <c r="K85" s="4051">
        <v>2040</v>
      </c>
      <c r="L85" s="4051">
        <v>2045</v>
      </c>
      <c r="M85" s="4051">
        <v>2050</v>
      </c>
      <c r="N85" s="17"/>
    </row>
    <row r="86" spans="2:15">
      <c r="B86" s="3121"/>
      <c r="C86" s="4069" t="s">
        <v>2658</v>
      </c>
      <c r="D86" s="4043" t="s">
        <v>535</v>
      </c>
      <c r="E86" s="4071">
        <f ca="1">SUMIFS(INDIRECT("FlowsTable["&amp;E$85&amp;"]"),FlowsTable[From],$D86,FlowsTable[To],$C86)</f>
        <v>0</v>
      </c>
      <c r="F86" s="4071">
        <f ca="1">SUMIFS(INDIRECT("FlowsTable["&amp;F$85&amp;"]"),FlowsTable[From],$D86,FlowsTable[To],$C86)</f>
        <v>0</v>
      </c>
      <c r="G86" s="4071">
        <f ca="1">SUMIFS(INDIRECT("FlowsTable["&amp;G$85&amp;"]"),FlowsTable[From],$D86,FlowsTable[To],$C86)</f>
        <v>0.425151</v>
      </c>
      <c r="H86" s="4071">
        <f ca="1">SUMIFS(INDIRECT("FlowsTable["&amp;H$85&amp;"]"),FlowsTable[From],$D86,FlowsTable[To],$C86)</f>
        <v>0.850302</v>
      </c>
      <c r="I86" s="4071">
        <f ca="1">SUMIFS(INDIRECT("FlowsTable["&amp;I$85&amp;"]"),FlowsTable[From],$D86,FlowsTable[To],$C86)</f>
        <v>1.700604</v>
      </c>
      <c r="J86" s="4071">
        <f ca="1">SUMIFS(INDIRECT("FlowsTable["&amp;J$85&amp;"]"),FlowsTable[From],$D86,FlowsTable[To],$C86)</f>
        <v>2.5509060000000003</v>
      </c>
      <c r="K86" s="4071">
        <f ca="1">SUMIFS(INDIRECT("FlowsTable["&amp;K$85&amp;"]"),FlowsTable[From],$D86,FlowsTable[To],$C86)</f>
        <v>3.401208</v>
      </c>
      <c r="L86" s="4071">
        <f ca="1">SUMIFS(INDIRECT("FlowsTable["&amp;L$85&amp;"]"),FlowsTable[From],$D86,FlowsTable[To],$C86)</f>
        <v>3.8263590000000001</v>
      </c>
      <c r="M86" s="4071">
        <f ca="1">SUMIFS(INDIRECT("FlowsTable["&amp;M$85&amp;"]"),FlowsTable[From],$D86,FlowsTable[To],$C86)</f>
        <v>4.2515099999999997</v>
      </c>
      <c r="N86" s="17"/>
      <c r="O86" s="4012" t="s">
        <v>5</v>
      </c>
    </row>
    <row r="87" spans="2:15">
      <c r="B87" s="3121"/>
      <c r="C87" s="4069" t="s">
        <v>2658</v>
      </c>
      <c r="D87" s="4043" t="s">
        <v>397</v>
      </c>
      <c r="E87" s="4052">
        <f ca="1">SUMIFS(INDIRECT("FlowsTable["&amp;E$85&amp;"]"),FlowsTable[From],$D87,FlowsTable[To],$C87)</f>
        <v>4.5013410000000009</v>
      </c>
      <c r="F87" s="4052">
        <f ca="1">SUMIFS(INDIRECT("FlowsTable["&amp;F$85&amp;"]"),FlowsTable[From],$D87,FlowsTable[To],$C87)</f>
        <v>5.6172527999999993</v>
      </c>
      <c r="G87" s="4052">
        <f ca="1">SUMIFS(INDIRECT("FlowsTable["&amp;G$85&amp;"]"),FlowsTable[From],$D87,FlowsTable[To],$C87)</f>
        <v>9.3230792999999998</v>
      </c>
      <c r="H87" s="4052">
        <f ca="1">SUMIFS(INDIRECT("FlowsTable["&amp;H$85&amp;"]"),FlowsTable[From],$D87,FlowsTable[To],$C87)</f>
        <v>13.589929799999998</v>
      </c>
      <c r="I87" s="4052">
        <f ca="1">SUMIFS(INDIRECT("FlowsTable["&amp;I$85&amp;"]"),FlowsTable[From],$D87,FlowsTable[To],$C87)</f>
        <v>21.946119299999999</v>
      </c>
      <c r="J87" s="4052">
        <f ca="1">SUMIFS(INDIRECT("FlowsTable["&amp;J$85&amp;"]"),FlowsTable[From],$D87,FlowsTable[To],$C87)</f>
        <v>27.955212300000003</v>
      </c>
      <c r="K87" s="4052">
        <f ca="1">SUMIFS(INDIRECT("FlowsTable["&amp;K$85&amp;"]"),FlowsTable[From],$D87,FlowsTable[To],$C87)</f>
        <v>31.8999123</v>
      </c>
      <c r="L87" s="4052">
        <f ca="1">SUMIFS(INDIRECT("FlowsTable["&amp;L$85&amp;"]"),FlowsTable[From],$D87,FlowsTable[To],$C87)</f>
        <v>38.838201300000001</v>
      </c>
      <c r="M87" s="4052">
        <f ca="1">SUMIFS(INDIRECT("FlowsTable["&amp;M$85&amp;"]"),FlowsTable[From],$D87,FlowsTable[To],$C87)</f>
        <v>45.741426300000008</v>
      </c>
      <c r="N87" s="17"/>
    </row>
    <row r="88" spans="2:15">
      <c r="B88" s="3121"/>
      <c r="C88" s="4069" t="s">
        <v>2658</v>
      </c>
      <c r="D88" s="4043" t="s">
        <v>398</v>
      </c>
      <c r="E88" s="4052">
        <f ca="1">SUMIFS(INDIRECT("FlowsTable["&amp;E$85&amp;"]"),FlowsTable[From],$D88,FlowsTable[To],$C88)</f>
        <v>0</v>
      </c>
      <c r="F88" s="4052">
        <f ca="1">SUMIFS(INDIRECT("FlowsTable["&amp;F$85&amp;"]"),FlowsTable[From],$D88,FlowsTable[To],$C88)</f>
        <v>0</v>
      </c>
      <c r="G88" s="4052">
        <f ca="1">SUMIFS(INDIRECT("FlowsTable["&amp;G$85&amp;"]"),FlowsTable[From],$D88,FlowsTable[To],$C88)</f>
        <v>0</v>
      </c>
      <c r="H88" s="4052">
        <f ca="1">SUMIFS(INDIRECT("FlowsTable["&amp;H$85&amp;"]"),FlowsTable[From],$D88,FlowsTable[To],$C88)</f>
        <v>0.31557600000000013</v>
      </c>
      <c r="I88" s="4052">
        <f ca="1">SUMIFS(INDIRECT("FlowsTable["&amp;I$85&amp;"]"),FlowsTable[From],$D88,FlowsTable[To],$C88)</f>
        <v>0.63115200000000027</v>
      </c>
      <c r="J88" s="4052">
        <f ca="1">SUMIFS(INDIRECT("FlowsTable["&amp;J$85&amp;"]"),FlowsTable[From],$D88,FlowsTable[To],$C88)</f>
        <v>1.5778800000000002</v>
      </c>
      <c r="K88" s="4052">
        <f ca="1">SUMIFS(INDIRECT("FlowsTable["&amp;K$85&amp;"]"),FlowsTable[From],$D88,FlowsTable[To],$C88)</f>
        <v>1.5778800000000002</v>
      </c>
      <c r="L88" s="4052">
        <f ca="1">SUMIFS(INDIRECT("FlowsTable["&amp;L$85&amp;"]"),FlowsTable[From],$D88,FlowsTable[To],$C88)</f>
        <v>2.5246080000000011</v>
      </c>
      <c r="M88" s="4052">
        <f ca="1">SUMIFS(INDIRECT("FlowsTable["&amp;M$85&amp;"]"),FlowsTable[From],$D88,FlowsTable[To],$C88)</f>
        <v>2.5246080000000011</v>
      </c>
      <c r="N88" s="17"/>
    </row>
    <row r="89" spans="2:15">
      <c r="B89" s="3121"/>
      <c r="C89" s="4069" t="s">
        <v>2658</v>
      </c>
      <c r="D89" s="4043" t="s">
        <v>399</v>
      </c>
      <c r="E89" s="4052">
        <f ca="1">SUMIFS(INDIRECT("FlowsTable["&amp;E$85&amp;"]"),FlowsTable[From],$D89,FlowsTable[To],$C89)</f>
        <v>0</v>
      </c>
      <c r="F89" s="4052">
        <f ca="1">SUMIFS(INDIRECT("FlowsTable["&amp;F$85&amp;"]"),FlowsTable[From],$D89,FlowsTable[To],$C89)</f>
        <v>3.9627123287671231E-3</v>
      </c>
      <c r="G89" s="4052">
        <f ca="1">SUMIFS(INDIRECT("FlowsTable["&amp;G$85&amp;"]"),FlowsTable[From],$D89,FlowsTable[To],$C89)</f>
        <v>1.3017510000000001E-2</v>
      </c>
      <c r="H89" s="4052">
        <f ca="1">SUMIFS(INDIRECT("FlowsTable["&amp;H$85&amp;"]"),FlowsTable[From],$D89,FlowsTable[To],$C89)</f>
        <v>0.39052530000000008</v>
      </c>
      <c r="I89" s="4052">
        <f ca="1">SUMIFS(INDIRECT("FlowsTable["&amp;I$85&amp;"]"),FlowsTable[From],$D89,FlowsTable[To],$C89)</f>
        <v>2.6035020000000002</v>
      </c>
      <c r="J89" s="4052">
        <f ca="1">SUMIFS(INDIRECT("FlowsTable["&amp;J$85&amp;"]"),FlowsTable[From],$D89,FlowsTable[To],$C89)</f>
        <v>3.9052530000000001</v>
      </c>
      <c r="K89" s="4052">
        <f ca="1">SUMIFS(INDIRECT("FlowsTable["&amp;K$85&amp;"]"),FlowsTable[From],$D89,FlowsTable[To],$C89)</f>
        <v>5.2070040000000004</v>
      </c>
      <c r="L89" s="4052">
        <f ca="1">SUMIFS(INDIRECT("FlowsTable["&amp;L$85&amp;"]"),FlowsTable[From],$D89,FlowsTable[To],$C89)</f>
        <v>5.2070040000000004</v>
      </c>
      <c r="M89" s="4052">
        <f ca="1">SUMIFS(INDIRECT("FlowsTable["&amp;M$85&amp;"]"),FlowsTable[From],$D89,FlowsTable[To],$C89)</f>
        <v>6.2484048000000012</v>
      </c>
      <c r="N89" s="17"/>
    </row>
    <row r="90" spans="2:15">
      <c r="B90" s="3121"/>
      <c r="C90" s="4069" t="s">
        <v>2658</v>
      </c>
      <c r="D90" s="4043" t="s">
        <v>400</v>
      </c>
      <c r="E90" s="4052">
        <f ca="1">SUMIFS(INDIRECT("FlowsTable["&amp;E$85&amp;"]"),FlowsTable[From],$D90,FlowsTable[To],$C90)</f>
        <v>0.74791511999999993</v>
      </c>
      <c r="F90" s="4052">
        <f ca="1">SUMIFS(INDIRECT("FlowsTable["&amp;F$85&amp;"]"),FlowsTable[From],$D90,FlowsTable[To],$C90)</f>
        <v>0.74791511999999993</v>
      </c>
      <c r="G90" s="4052">
        <f ca="1">SUMIFS(INDIRECT("FlowsTable["&amp;G$85&amp;"]"),FlowsTable[From],$D90,FlowsTable[To],$C90)</f>
        <v>0.74791511999999993</v>
      </c>
      <c r="H90" s="4052">
        <f ca="1">SUMIFS(INDIRECT("FlowsTable["&amp;H$85&amp;"]"),FlowsTable[From],$D90,FlowsTable[To],$C90)</f>
        <v>0.78946596000000002</v>
      </c>
      <c r="I90" s="4052">
        <f ca="1">SUMIFS(INDIRECT("FlowsTable["&amp;I$85&amp;"]"),FlowsTable[From],$D90,FlowsTable[To],$C90)</f>
        <v>0.78946596000000002</v>
      </c>
      <c r="J90" s="4052">
        <f ca="1">SUMIFS(INDIRECT("FlowsTable["&amp;J$85&amp;"]"),FlowsTable[From],$D90,FlowsTable[To],$C90)</f>
        <v>0.78946596000000002</v>
      </c>
      <c r="K90" s="4052">
        <f ca="1">SUMIFS(INDIRECT("FlowsTable["&amp;K$85&amp;"]"),FlowsTable[From],$D90,FlowsTable[To],$C90)</f>
        <v>0.78946596000000002</v>
      </c>
      <c r="L90" s="4052">
        <f ca="1">SUMIFS(INDIRECT("FlowsTable["&amp;L$85&amp;"]"),FlowsTable[From],$D90,FlowsTable[To],$C90)</f>
        <v>0.78946596000000002</v>
      </c>
      <c r="M90" s="4052">
        <f ca="1">SUMIFS(INDIRECT("FlowsTable["&amp;M$85&amp;"]"),FlowsTable[From],$D90,FlowsTable[To],$C90)</f>
        <v>0.78946596000000002</v>
      </c>
      <c r="N90" s="17"/>
    </row>
    <row r="91" spans="2:15">
      <c r="B91" s="3121"/>
      <c r="C91" s="4069" t="s">
        <v>2658</v>
      </c>
      <c r="D91" s="4049" t="s">
        <v>55</v>
      </c>
      <c r="E91" s="4052">
        <f ca="1">SUMIFS(INDIRECT("FlowsTable["&amp;E$85&amp;"]"),FlowsTable[From],$D91,FlowsTable[To],$C91)</f>
        <v>0</v>
      </c>
      <c r="F91" s="4052">
        <f ca="1">SUMIFS(INDIRECT("FlowsTable["&amp;F$85&amp;"]"),FlowsTable[From],$D91,FlowsTable[To],$C91)</f>
        <v>0</v>
      </c>
      <c r="G91" s="4052">
        <f ca="1">SUMIFS(INDIRECT("FlowsTable["&amp;G$85&amp;"]"),FlowsTable[From],$D91,FlowsTable[To],$C91)</f>
        <v>0</v>
      </c>
      <c r="H91" s="4052">
        <f ca="1">SUMIFS(INDIRECT("FlowsTable["&amp;H$85&amp;"]"),FlowsTable[From],$D91,FlowsTable[To],$C91)</f>
        <v>0</v>
      </c>
      <c r="I91" s="4052">
        <f ca="1">SUMIFS(INDIRECT("FlowsTable["&amp;I$85&amp;"]"),FlowsTable[From],$D91,FlowsTable[To],$C91)</f>
        <v>0</v>
      </c>
      <c r="J91" s="4052">
        <f ca="1">SUMIFS(INDIRECT("FlowsTable["&amp;J$85&amp;"]"),FlowsTable[From],$D91,FlowsTable[To],$C91)</f>
        <v>0</v>
      </c>
      <c r="K91" s="4052">
        <f ca="1">SUMIFS(INDIRECT("FlowsTable["&amp;K$85&amp;"]"),FlowsTable[From],$D91,FlowsTable[To],$C91)</f>
        <v>0</v>
      </c>
      <c r="L91" s="4052">
        <f ca="1">SUMIFS(INDIRECT("FlowsTable["&amp;L$85&amp;"]"),FlowsTable[From],$D91,FlowsTable[To],$C91)</f>
        <v>0</v>
      </c>
      <c r="M91" s="4052">
        <f ca="1">SUMIFS(INDIRECT("FlowsTable["&amp;M$85&amp;"]"),FlowsTable[From],$D91,FlowsTable[To],$C91)</f>
        <v>0</v>
      </c>
      <c r="N91" s="17"/>
    </row>
    <row r="92" spans="2:15">
      <c r="B92" s="3121"/>
      <c r="C92" s="4069" t="s">
        <v>2658</v>
      </c>
      <c r="D92" s="4049" t="s">
        <v>564</v>
      </c>
      <c r="E92" s="4052">
        <f ca="1">SUMIFS(INDIRECT("FlowsTable["&amp;E$85&amp;"]"),FlowsTable[From],$D92,FlowsTable[To],$C92)</f>
        <v>2.5</v>
      </c>
      <c r="F92" s="4052">
        <f ca="1">SUMIFS(INDIRECT("FlowsTable["&amp;F$85&amp;"]"),FlowsTable[From],$D92,FlowsTable[To],$C92)</f>
        <v>2.5</v>
      </c>
      <c r="G92" s="4052">
        <f ca="1">SUMIFS(INDIRECT("FlowsTable["&amp;G$85&amp;"]"),FlowsTable[From],$D92,FlowsTable[To],$C92)</f>
        <v>2.5</v>
      </c>
      <c r="H92" s="4052">
        <f ca="1">SUMIFS(INDIRECT("FlowsTable["&amp;H$85&amp;"]"),FlowsTable[From],$D92,FlowsTable[To],$C92)</f>
        <v>2.5</v>
      </c>
      <c r="I92" s="4052">
        <f ca="1">SUMIFS(INDIRECT("FlowsTable["&amp;I$85&amp;"]"),FlowsTable[From],$D92,FlowsTable[To],$C92)</f>
        <v>3.9</v>
      </c>
      <c r="J92" s="4052">
        <f ca="1">SUMIFS(INDIRECT("FlowsTable["&amp;J$85&amp;"]"),FlowsTable[From],$D92,FlowsTable[To],$C92)</f>
        <v>4.5999999999999996</v>
      </c>
      <c r="K92" s="4052">
        <f ca="1">SUMIFS(INDIRECT("FlowsTable["&amp;K$85&amp;"]"),FlowsTable[From],$D92,FlowsTable[To],$C92)</f>
        <v>7</v>
      </c>
      <c r="L92" s="4052">
        <f ca="1">SUMIFS(INDIRECT("FlowsTable["&amp;L$85&amp;"]"),FlowsTable[From],$D92,FlowsTable[To],$C92)</f>
        <v>9</v>
      </c>
      <c r="M92" s="4052">
        <f ca="1">SUMIFS(INDIRECT("FlowsTable["&amp;M$85&amp;"]"),FlowsTable[From],$D92,FlowsTable[To],$C92)</f>
        <v>10</v>
      </c>
      <c r="N92" s="17"/>
    </row>
    <row r="93" spans="2:15">
      <c r="B93" s="3121"/>
      <c r="C93" s="4070" t="s">
        <v>2665</v>
      </c>
      <c r="D93" s="4049" t="s">
        <v>744</v>
      </c>
      <c r="E93" s="4052">
        <f ca="1">SUMIFS(INDIRECT("FlowsTable["&amp;E$85&amp;"]"),FlowsTable[From],$D93,FlowsTable[To],$C93)</f>
        <v>0</v>
      </c>
      <c r="F93" s="4052">
        <f ca="1">SUMIFS(INDIRECT("FlowsTable["&amp;F$85&amp;"]"),FlowsTable[From],$D93,FlowsTable[To],$C93)</f>
        <v>0</v>
      </c>
      <c r="G93" s="4052">
        <f ca="1">SUMIFS(INDIRECT("FlowsTable["&amp;G$85&amp;"]"),FlowsTable[From],$D93,FlowsTable[To],$C93)</f>
        <v>0</v>
      </c>
      <c r="H93" s="4052">
        <f ca="1">SUMIFS(INDIRECT("FlowsTable["&amp;H$85&amp;"]"),FlowsTable[From],$D93,FlowsTable[To],$C93)</f>
        <v>0</v>
      </c>
      <c r="I93" s="4052">
        <f ca="1">SUMIFS(INDIRECT("FlowsTable["&amp;I$85&amp;"]"),FlowsTable[From],$D93,FlowsTable[To],$C93)</f>
        <v>21.428000000000004</v>
      </c>
      <c r="J93" s="4052">
        <f ca="1">SUMIFS(INDIRECT("FlowsTable["&amp;J$85&amp;"]"),FlowsTable[From],$D93,FlowsTable[To],$C93)</f>
        <v>21.428000000000004</v>
      </c>
      <c r="K93" s="4052">
        <f ca="1">SUMIFS(INDIRECT("FlowsTable["&amp;K$85&amp;"]"),FlowsTable[From],$D93,FlowsTable[To],$C93)</f>
        <v>21.428000000000004</v>
      </c>
      <c r="L93" s="4052">
        <f ca="1">SUMIFS(INDIRECT("FlowsTable["&amp;L$85&amp;"]"),FlowsTable[From],$D93,FlowsTable[To],$C93)</f>
        <v>21.428000000000004</v>
      </c>
      <c r="M93" s="4052">
        <f ca="1">SUMIFS(INDIRECT("FlowsTable["&amp;M$85&amp;"]"),FlowsTable[From],$D93,FlowsTable[To],$C93)</f>
        <v>21.428000000000004</v>
      </c>
      <c r="N93" s="17"/>
    </row>
    <row r="94" spans="2:15">
      <c r="B94" s="3121"/>
      <c r="C94" s="4070" t="s">
        <v>2665</v>
      </c>
      <c r="D94" s="4055" t="s">
        <v>16</v>
      </c>
      <c r="E94" s="4052">
        <f ca="1">SUMIFS(INDIRECT("FlowsTable["&amp;E$85&amp;"]"),FlowsTable[From],$D94,FlowsTable[To],$C94)</f>
        <v>19.930507628592196</v>
      </c>
      <c r="F94" s="4052">
        <f ca="1">SUMIFS(INDIRECT("FlowsTable["&amp;F$85&amp;"]"),FlowsTable[From],$D94,FlowsTable[To],$C94)</f>
        <v>20.542670935872795</v>
      </c>
      <c r="G94" s="4052">
        <f ca="1">SUMIFS(INDIRECT("FlowsTable["&amp;G$85&amp;"]"),FlowsTable[From],$D94,FlowsTable[To],$C94)</f>
        <v>13.041880794577088</v>
      </c>
      <c r="H94" s="4052">
        <f ca="1">SUMIFS(INDIRECT("FlowsTable["&amp;H$85&amp;"]"),FlowsTable[From],$D94,FlowsTable[To],$C94)</f>
        <v>7.1740178123657694</v>
      </c>
      <c r="I94" s="4052">
        <f ca="1">SUMIFS(INDIRECT("FlowsTable["&amp;I$85&amp;"]"),FlowsTable[From],$D94,FlowsTable[To],$C94)</f>
        <v>3.6115919999999999</v>
      </c>
      <c r="J94" s="4052">
        <f ca="1">SUMIFS(INDIRECT("FlowsTable["&amp;J$85&amp;"]"),FlowsTable[From],$D94,FlowsTable[To],$C94)</f>
        <v>21.256798628571431</v>
      </c>
      <c r="K94" s="4052">
        <f ca="1">SUMIFS(INDIRECT("FlowsTable["&amp;K$85&amp;"]"),FlowsTable[From],$D94,FlowsTable[To],$C94)</f>
        <v>22.701435428571433</v>
      </c>
      <c r="L94" s="4052">
        <f ca="1">SUMIFS(INDIRECT("FlowsTable["&amp;L$85&amp;"]"),FlowsTable[From],$D94,FlowsTable[To],$C94)</f>
        <v>22.701435428571433</v>
      </c>
      <c r="M94" s="4052">
        <f ca="1">SUMIFS(INDIRECT("FlowsTable["&amp;M$85&amp;"]"),FlowsTable[From],$D94,FlowsTable[To],$C94)</f>
        <v>22.701435428571433</v>
      </c>
      <c r="N94" s="17"/>
    </row>
    <row r="95" spans="2:15">
      <c r="B95" s="3121"/>
      <c r="C95" s="4070" t="s">
        <v>2665</v>
      </c>
      <c r="D95" s="4043" t="s">
        <v>1712</v>
      </c>
      <c r="E95" s="4052">
        <f ca="1">SUMIFS(INDIRECT("FlowsTable["&amp;E$85&amp;"]"),FlowsTable[From],$D95,FlowsTable[To],$C95)</f>
        <v>2.6999280000000003</v>
      </c>
      <c r="F95" s="4052">
        <f ca="1">SUMIFS(INDIRECT("FlowsTable["&amp;F$85&amp;"]"),FlowsTable[From],$D95,FlowsTable[To],$C95)</f>
        <v>0</v>
      </c>
      <c r="G95" s="4052">
        <f ca="1">SUMIFS(INDIRECT("FlowsTable["&amp;G$85&amp;"]"),FlowsTable[From],$D95,FlowsTable[To],$C95)</f>
        <v>0</v>
      </c>
      <c r="H95" s="4052">
        <f ca="1">SUMIFS(INDIRECT("FlowsTable["&amp;H$85&amp;"]"),FlowsTable[From],$D95,FlowsTable[To],$C95)</f>
        <v>0</v>
      </c>
      <c r="I95" s="4052">
        <f ca="1">SUMIFS(INDIRECT("FlowsTable["&amp;I$85&amp;"]"),FlowsTable[From],$D95,FlowsTable[To],$C95)</f>
        <v>0</v>
      </c>
      <c r="J95" s="4052">
        <f ca="1">SUMIFS(INDIRECT("FlowsTable["&amp;J$85&amp;"]"),FlowsTable[From],$D95,FlowsTable[To],$C95)</f>
        <v>0</v>
      </c>
      <c r="K95" s="4052">
        <f ca="1">SUMIFS(INDIRECT("FlowsTable["&amp;K$85&amp;"]"),FlowsTable[From],$D95,FlowsTable[To],$C95)</f>
        <v>0</v>
      </c>
      <c r="L95" s="4052">
        <f ca="1">SUMIFS(INDIRECT("FlowsTable["&amp;L$85&amp;"]"),FlowsTable[From],$D95,FlowsTable[To],$C95)</f>
        <v>0</v>
      </c>
      <c r="M95" s="4052">
        <f ca="1">SUMIFS(INDIRECT("FlowsTable["&amp;M$85&amp;"]"),FlowsTable[From],$D95,FlowsTable[To],$C95)</f>
        <v>0</v>
      </c>
      <c r="N95" s="17"/>
    </row>
    <row r="96" spans="2:15">
      <c r="B96" s="3121"/>
      <c r="C96" s="4070" t="s">
        <v>2665</v>
      </c>
      <c r="D96" s="4045" t="s">
        <v>15</v>
      </c>
      <c r="E96" s="4056">
        <f ca="1">SUMIFS(INDIRECT("FlowsTable["&amp;E$85&amp;"]"),FlowsTable[From],$D96,FlowsTable[To],$C96)</f>
        <v>23.361847793789565</v>
      </c>
      <c r="F96" s="4056">
        <f ca="1">SUMIFS(INDIRECT("FlowsTable["&amp;F$85&amp;"]"),FlowsTable[From],$D96,FlowsTable[To],$C96)</f>
        <v>24.085043155421804</v>
      </c>
      <c r="G96" s="4056">
        <f ca="1">SUMIFS(INDIRECT("FlowsTable["&amp;G$85&amp;"]"),FlowsTable[From],$D96,FlowsTable[To],$C96)</f>
        <v>17.839288759972622</v>
      </c>
      <c r="H96" s="4056">
        <f ca="1">SUMIFS(INDIRECT("FlowsTable["&amp;H$85&amp;"]"),FlowsTable[From],$D96,FlowsTable[To],$C96)</f>
        <v>9.8129539243446295</v>
      </c>
      <c r="I96" s="4056">
        <f ca="1">SUMIFS(INDIRECT("FlowsTable["&amp;I$85&amp;"]"),FlowsTable[From],$D96,FlowsTable[To],$C96)</f>
        <v>0</v>
      </c>
      <c r="J96" s="4056">
        <f ca="1">SUMIFS(INDIRECT("FlowsTable["&amp;J$85&amp;"]"),FlowsTable[From],$D96,FlowsTable[To],$C96)</f>
        <v>6.0089516129032257</v>
      </c>
      <c r="K96" s="4056">
        <f ca="1">SUMIFS(INDIRECT("FlowsTable["&amp;K$85&amp;"]"),FlowsTable[From],$D96,FlowsTable[To],$C96)</f>
        <v>17.740714285714287</v>
      </c>
      <c r="L96" s="4056">
        <f ca="1">SUMIFS(INDIRECT("FlowsTable["&amp;L$85&amp;"]"),FlowsTable[From],$D96,FlowsTable[To],$C96)</f>
        <v>29.105859374999998</v>
      </c>
      <c r="M96" s="4056">
        <f ca="1">SUMIFS(INDIRECT("FlowsTable["&amp;M$85&amp;"]"),FlowsTable[From],$D96,FlowsTable[To],$C96)</f>
        <v>40.121307692307688</v>
      </c>
      <c r="N96" s="17"/>
    </row>
    <row r="97" spans="1:15">
      <c r="B97" s="3121"/>
      <c r="C97" s="4042"/>
      <c r="D97" s="4043" t="s">
        <v>59</v>
      </c>
      <c r="E97" s="4052">
        <f ca="1">SUM(E86:E96)</f>
        <v>53.741539542381759</v>
      </c>
      <c r="F97" s="4052">
        <f t="shared" ref="F97:M97" ca="1" si="18">SUM(F86:F96)</f>
        <v>53.496844723623369</v>
      </c>
      <c r="G97" s="4052">
        <f t="shared" ca="1" si="18"/>
        <v>43.890332484549702</v>
      </c>
      <c r="H97" s="4052">
        <f t="shared" ca="1" si="18"/>
        <v>35.422770796710395</v>
      </c>
      <c r="I97" s="4052">
        <f t="shared" ca="1" si="18"/>
        <v>56.610435260000003</v>
      </c>
      <c r="J97" s="4052">
        <f t="shared" ca="1" si="18"/>
        <v>90.072467501474677</v>
      </c>
      <c r="K97" s="4052">
        <f t="shared" ca="1" si="18"/>
        <v>111.74561997428573</v>
      </c>
      <c r="L97" s="4052">
        <f t="shared" ca="1" si="18"/>
        <v>133.42093306357145</v>
      </c>
      <c r="M97" s="4052">
        <f t="shared" ca="1" si="18"/>
        <v>153.80615818087915</v>
      </c>
      <c r="N97" s="17"/>
    </row>
    <row r="98" spans="1:15">
      <c r="B98" s="3375"/>
      <c r="C98" s="4047"/>
      <c r="D98" s="4048"/>
      <c r="E98" s="3375"/>
      <c r="F98" s="3375"/>
      <c r="G98" s="3375"/>
      <c r="H98" s="3375"/>
      <c r="I98" s="3375"/>
      <c r="J98" s="3375"/>
      <c r="K98" s="3375"/>
      <c r="L98" s="3375"/>
      <c r="M98" s="3375"/>
      <c r="N98" s="875"/>
    </row>
    <row r="100" spans="1:15" ht="15.75">
      <c r="A100"/>
      <c r="B100" s="4038" t="s">
        <v>3402</v>
      </c>
      <c r="C100" s="4039"/>
      <c r="D100" s="4039"/>
      <c r="E100" s="4039"/>
      <c r="F100" s="4039"/>
      <c r="G100" s="4039"/>
      <c r="H100" s="4039"/>
      <c r="I100" s="4039"/>
      <c r="J100" s="4039"/>
      <c r="K100" s="4039"/>
      <c r="L100" s="4039"/>
      <c r="M100" s="4039"/>
      <c r="N100" s="4040"/>
    </row>
    <row r="101" spans="1:15">
      <c r="B101" s="515"/>
      <c r="C101" s="515"/>
      <c r="D101" s="515"/>
      <c r="E101" s="515"/>
      <c r="F101" s="515"/>
      <c r="G101" s="515"/>
      <c r="H101" s="515"/>
      <c r="I101" s="515"/>
      <c r="J101" s="515"/>
      <c r="K101" s="515"/>
      <c r="L101" s="515"/>
      <c r="M101" s="17"/>
      <c r="N101" s="17"/>
    </row>
    <row r="102" spans="1:15">
      <c r="B102" s="515"/>
      <c r="C102" s="515"/>
      <c r="D102" s="3121" t="s">
        <v>3417</v>
      </c>
      <c r="E102" s="515"/>
      <c r="F102" s="515"/>
      <c r="G102" s="515"/>
      <c r="H102" s="515"/>
      <c r="I102" s="515"/>
      <c r="J102" s="515"/>
      <c r="K102" s="515"/>
      <c r="L102" s="515"/>
      <c r="M102" s="3092" t="s">
        <v>626</v>
      </c>
      <c r="N102" s="17"/>
    </row>
    <row r="103" spans="1:15" ht="15.75">
      <c r="B103" s="4041"/>
      <c r="C103" s="3121"/>
      <c r="D103" s="515"/>
      <c r="E103" s="515"/>
      <c r="F103" s="515"/>
      <c r="G103" s="515"/>
      <c r="H103" s="515"/>
      <c r="I103" s="515"/>
      <c r="J103" s="515"/>
      <c r="K103" s="515"/>
      <c r="L103" s="515"/>
      <c r="M103" s="3092"/>
      <c r="N103" s="17"/>
    </row>
    <row r="104" spans="1:15" ht="15.75">
      <c r="B104" s="4041"/>
      <c r="C104" s="4050" t="s">
        <v>28</v>
      </c>
      <c r="D104" s="4050" t="s">
        <v>132</v>
      </c>
      <c r="E104" s="4051">
        <v>2013</v>
      </c>
      <c r="F104" s="4051">
        <v>2015</v>
      </c>
      <c r="G104" s="4051">
        <v>2020</v>
      </c>
      <c r="H104" s="4051">
        <v>2025</v>
      </c>
      <c r="I104" s="4051">
        <v>2030</v>
      </c>
      <c r="J104" s="4051">
        <v>2035</v>
      </c>
      <c r="K104" s="4051">
        <v>2040</v>
      </c>
      <c r="L104" s="4051">
        <v>2045</v>
      </c>
      <c r="M104" s="4051">
        <v>2050</v>
      </c>
      <c r="N104" s="17"/>
    </row>
    <row r="105" spans="1:15">
      <c r="B105" s="3121"/>
      <c r="C105" s="4042" t="s">
        <v>98</v>
      </c>
      <c r="D105" s="4043" t="s">
        <v>16</v>
      </c>
      <c r="E105" s="4071">
        <f ca="1">INDEX(bioenergy.credit.factors[],MATCH($C105,bioenergy.credit.factors[Vector],0),MATCH(TEXT(E$104,"0000"),bioenergy.credit.factors[#Headers],0))*E94</f>
        <v>0.20387757716214921</v>
      </c>
      <c r="F105" s="4071">
        <f ca="1">INDEX(bioenergy.credit.factors[],MATCH($C105,bioenergy.credit.factors[Vector],0),MATCH(TEXT(F$104,"0000"),bioenergy.credit.factors[#Headers],0))*F94</f>
        <v>1.1015353921710058</v>
      </c>
      <c r="G105" s="4071">
        <f ca="1">INDEX(bioenergy.credit.factors[],MATCH($C105,bioenergy.credit.factors[Vector],0),MATCH(TEXT(G$104,"0000"),bioenergy.credit.factors[#Headers],0))*G94</f>
        <v>3.6888162834675171</v>
      </c>
      <c r="H105" s="4071">
        <f ca="1">INDEX(bioenergy.credit.factors[],MATCH($C105,bioenergy.credit.factors[Vector],0),MATCH(TEXT(H$104,"0000"),bioenergy.credit.factors[#Headers],0))*H94</f>
        <v>2.4264918624156118</v>
      </c>
      <c r="I105" s="4071">
        <f ca="1">INDEX(bioenergy.credit.factors[],MATCH($C105,bioenergy.credit.factors[Vector],0),MATCH(TEXT(I$104,"0000"),bioenergy.credit.factors[#Headers],0))*I94</f>
        <v>1.2215607526454402</v>
      </c>
      <c r="J105" s="4071">
        <f ca="1">INDEX(bioenergy.credit.factors[],MATCH($C105,bioenergy.credit.factors[Vector],0),MATCH(TEXT(J$104,"0000"),bioenergy.credit.factors[#Headers],0))*J94</f>
        <v>7.1897575727131633</v>
      </c>
      <c r="K105" s="4071">
        <f ca="1">INDEX(bioenergy.credit.factors[],MATCH($C105,bioenergy.credit.factors[Vector],0),MATCH(TEXT(K$104,"0000"),bioenergy.credit.factors[#Headers],0))*K94</f>
        <v>7.6783818737713396</v>
      </c>
      <c r="L105" s="4071">
        <f ca="1">INDEX(bioenergy.credit.factors[],MATCH($C105,bioenergy.credit.factors[Vector],0),MATCH(TEXT(L$104,"0000"),bioenergy.credit.factors[#Headers],0))*L94</f>
        <v>7.6783818737713396</v>
      </c>
      <c r="M105" s="4071">
        <f ca="1">INDEX(bioenergy.credit.factors[],MATCH($C105,bioenergy.credit.factors[Vector],0),MATCH(TEXT(M$104,"0000"),bioenergy.credit.factors[#Headers],0))*M94</f>
        <v>7.6783818737713396</v>
      </c>
      <c r="N105" s="17"/>
      <c r="O105" s="4013" t="s">
        <v>5</v>
      </c>
    </row>
    <row r="106" spans="1:15">
      <c r="B106" s="3121"/>
      <c r="C106" s="4042" t="s">
        <v>99</v>
      </c>
      <c r="D106" s="4043" t="s">
        <v>1712</v>
      </c>
      <c r="E106" s="4052">
        <f ca="1">INDEX(bioenergy.credit.factors[],MATCH($C106,bioenergy.credit.factors[Vector],0),MATCH(TEXT(E$104,"0000"),bioenergy.credit.factors[#Headers],0))*E95</f>
        <v>8.9077644269085175E-3</v>
      </c>
      <c r="F106" s="4052">
        <f ca="1">INDEX(bioenergy.credit.factors[],MATCH($C106,bioenergy.credit.factors[Vector],0),MATCH(TEXT(F$104,"0000"),bioenergy.credit.factors[#Headers],0))*F95</f>
        <v>0</v>
      </c>
      <c r="G106" s="4052">
        <f ca="1">INDEX(bioenergy.credit.factors[],MATCH($C106,bioenergy.credit.factors[Vector],0),MATCH(TEXT(G$104,"0000"),bioenergy.credit.factors[#Headers],0))*G95</f>
        <v>0</v>
      </c>
      <c r="H106" s="4052">
        <f ca="1">INDEX(bioenergy.credit.factors[],MATCH($C106,bioenergy.credit.factors[Vector],0),MATCH(TEXT(H$104,"0000"),bioenergy.credit.factors[#Headers],0))*H95</f>
        <v>0</v>
      </c>
      <c r="I106" s="4052">
        <f ca="1">INDEX(bioenergy.credit.factors[],MATCH($C106,bioenergy.credit.factors[Vector],0),MATCH(TEXT(I$104,"0000"),bioenergy.credit.factors[#Headers],0))*I95</f>
        <v>0</v>
      </c>
      <c r="J106" s="4052">
        <f ca="1">INDEX(bioenergy.credit.factors[],MATCH($C106,bioenergy.credit.factors[Vector],0),MATCH(TEXT(J$104,"0000"),bioenergy.credit.factors[#Headers],0))*J95</f>
        <v>0</v>
      </c>
      <c r="K106" s="4052">
        <f ca="1">INDEX(bioenergy.credit.factors[],MATCH($C106,bioenergy.credit.factors[Vector],0),MATCH(TEXT(K$104,"0000"),bioenergy.credit.factors[#Headers],0))*K95</f>
        <v>0</v>
      </c>
      <c r="L106" s="4052">
        <f ca="1">INDEX(bioenergy.credit.factors[],MATCH($C106,bioenergy.credit.factors[Vector],0),MATCH(TEXT(L$104,"0000"),bioenergy.credit.factors[#Headers],0))*L95</f>
        <v>0</v>
      </c>
      <c r="M106" s="4052">
        <f ca="1">INDEX(bioenergy.credit.factors[],MATCH($C106,bioenergy.credit.factors[Vector],0),MATCH(TEXT(M$104,"0000"),bioenergy.credit.factors[#Headers],0))*M95</f>
        <v>0</v>
      </c>
      <c r="N106" s="17"/>
    </row>
    <row r="107" spans="1:15">
      <c r="B107" s="3121"/>
      <c r="C107" s="4057" t="s">
        <v>100</v>
      </c>
      <c r="D107" s="4045" t="s">
        <v>15</v>
      </c>
      <c r="E107" s="4056">
        <f ca="1">INDEX(bioenergy.credit.factors[],MATCH($C107,bioenergy.credit.factors[Vector],0),MATCH(TEXT(E$104,"0000"),bioenergy.credit.factors[#Headers],0))*E96</f>
        <v>2.3663049282671142E-2</v>
      </c>
      <c r="F107" s="4056">
        <f ca="1">INDEX(bioenergy.credit.factors[],MATCH($C107,bioenergy.credit.factors[Vector],0),MATCH(TEXT(F$104,"0000"),bioenergy.credit.factors[#Headers],0))*F96</f>
        <v>3.7959374162614634E-2</v>
      </c>
      <c r="G107" s="4056">
        <f ca="1">INDEX(bioenergy.credit.factors[],MATCH($C107,bioenergy.credit.factors[Vector],0),MATCH(TEXT(G$104,"0000"),bioenergy.credit.factors[#Headers],0))*G96</f>
        <v>9.9565588288259579E-2</v>
      </c>
      <c r="H107" s="4056">
        <f ca="1">INDEX(bioenergy.credit.factors[],MATCH($C107,bioenergy.credit.factors[Vector],0),MATCH(TEXT(H$104,"0000"),bioenergy.credit.factors[#Headers],0))*H96</f>
        <v>0.13152213332187521</v>
      </c>
      <c r="I107" s="4056">
        <f ca="1">INDEX(bioenergy.credit.factors[],MATCH($C107,bioenergy.credit.factors[Vector],0),MATCH(TEXT(I$104,"0000"),bioenergy.credit.factors[#Headers],0))*I96</f>
        <v>0</v>
      </c>
      <c r="J107" s="4056">
        <f ca="1">INDEX(bioenergy.credit.factors[],MATCH($C107,bioenergy.credit.factors[Vector],0),MATCH(TEXT(J$104,"0000"),bioenergy.credit.factors[#Headers],0))*J96</f>
        <v>0.26774497756144899</v>
      </c>
      <c r="K107" s="4056">
        <f ca="1">INDEX(bioenergy.credit.factors[],MATCH($C107,bioenergy.credit.factors[Vector],0),MATCH(TEXT(K$104,"0000"),bioenergy.credit.factors[#Headers],0))*K96</f>
        <v>0.87301151378709085</v>
      </c>
      <c r="L107" s="4056">
        <f ca="1">INDEX(bioenergy.credit.factors[],MATCH($C107,bioenergy.credit.factors[Vector],0),MATCH(TEXT(L$104,"0000"),bioenergy.credit.factors[#Headers],0))*L96</f>
        <v>1.4672684483073304</v>
      </c>
      <c r="M107" s="4056">
        <f ca="1">INDEX(bioenergy.credit.factors[],MATCH($C107,bioenergy.credit.factors[Vector],0),MATCH(TEXT(M$104,"0000"),bioenergy.credit.factors[#Headers],0))*M96</f>
        <v>2.0118635785000909</v>
      </c>
      <c r="N107" s="17"/>
    </row>
    <row r="108" spans="1:15">
      <c r="B108" s="3121"/>
      <c r="C108" s="4042"/>
      <c r="D108" s="4043" t="s">
        <v>59</v>
      </c>
      <c r="E108" s="4052">
        <f ca="1">SUM(E105:E107)</f>
        <v>0.23644839087172886</v>
      </c>
      <c r="F108" s="4052">
        <f t="shared" ref="F108:M108" ca="1" si="19">SUM(F105:F107)</f>
        <v>1.1394947663336206</v>
      </c>
      <c r="G108" s="4052">
        <f t="shared" ca="1" si="19"/>
        <v>3.7883818717557767</v>
      </c>
      <c r="H108" s="4052">
        <f t="shared" ca="1" si="19"/>
        <v>2.558013995737487</v>
      </c>
      <c r="I108" s="4052">
        <f t="shared" ca="1" si="19"/>
        <v>1.2215607526454402</v>
      </c>
      <c r="J108" s="4052">
        <f t="shared" ca="1" si="19"/>
        <v>7.4575025502746124</v>
      </c>
      <c r="K108" s="4052">
        <f t="shared" ca="1" si="19"/>
        <v>8.5513933875584307</v>
      </c>
      <c r="L108" s="4052">
        <f t="shared" ca="1" si="19"/>
        <v>9.1456503220786693</v>
      </c>
      <c r="M108" s="4052">
        <f t="shared" ca="1" si="19"/>
        <v>9.6902454522714301</v>
      </c>
      <c r="N108" s="17"/>
    </row>
    <row r="109" spans="1:15">
      <c r="B109" s="3121"/>
      <c r="C109" s="4042"/>
      <c r="D109" s="4043"/>
      <c r="E109" s="4052"/>
      <c r="F109" s="4052"/>
      <c r="G109" s="4052"/>
      <c r="H109" s="4052"/>
      <c r="I109" s="4052"/>
      <c r="J109" s="4052"/>
      <c r="K109" s="4052"/>
      <c r="L109" s="4052"/>
      <c r="M109" s="4052"/>
      <c r="N109" s="17"/>
    </row>
    <row r="110" spans="1:15">
      <c r="B110" s="3121"/>
      <c r="C110" s="4042"/>
      <c r="D110" s="3121" t="s">
        <v>3417</v>
      </c>
      <c r="E110" s="515"/>
      <c r="F110" s="515"/>
      <c r="G110" s="515"/>
      <c r="H110" s="515"/>
      <c r="I110" s="515"/>
      <c r="J110" s="515"/>
      <c r="K110" s="515"/>
      <c r="L110" s="515"/>
      <c r="M110" s="3092" t="s">
        <v>626</v>
      </c>
      <c r="N110" s="17"/>
    </row>
    <row r="111" spans="1:15">
      <c r="B111" s="3121"/>
      <c r="C111" s="4042"/>
      <c r="D111" s="4043"/>
      <c r="E111" s="4052"/>
      <c r="F111" s="4052"/>
      <c r="G111" s="4052"/>
      <c r="H111" s="4052"/>
      <c r="I111" s="4052"/>
      <c r="J111" s="4052"/>
      <c r="K111" s="4052"/>
      <c r="L111" s="4052"/>
      <c r="M111" s="4052"/>
      <c r="N111" s="17"/>
    </row>
    <row r="112" spans="1:15">
      <c r="B112" s="3121"/>
      <c r="C112" s="4050" t="s">
        <v>415</v>
      </c>
      <c r="D112" s="4050" t="s">
        <v>2108</v>
      </c>
      <c r="E112" s="4051">
        <v>2013</v>
      </c>
      <c r="F112" s="4051">
        <v>2015</v>
      </c>
      <c r="G112" s="4051">
        <v>2020</v>
      </c>
      <c r="H112" s="4051">
        <v>2025</v>
      </c>
      <c r="I112" s="4051">
        <v>2030</v>
      </c>
      <c r="J112" s="4051">
        <v>2035</v>
      </c>
      <c r="K112" s="4051">
        <v>2040</v>
      </c>
      <c r="L112" s="4051">
        <v>2045</v>
      </c>
      <c r="M112" s="4051">
        <v>2050</v>
      </c>
      <c r="N112" s="17"/>
    </row>
    <row r="113" spans="2:14">
      <c r="B113" s="3121"/>
      <c r="C113" s="4042" t="s">
        <v>558</v>
      </c>
      <c r="D113" s="4052" t="s">
        <v>3403</v>
      </c>
      <c r="E113" s="4052">
        <f ca="1">SUMIFS(INDIRECT("'"&amp;E$112&amp;"'!Year.EmissionsBySector"), INDIRECT("'"&amp;E$112&amp;"'!Year.Modules"),$C113)</f>
        <v>12.653745820569476</v>
      </c>
      <c r="F113" s="4052">
        <f t="shared" ref="F113:M113" ca="1" si="20">SUMIFS(INDIRECT("'"&amp;F$112&amp;"'!Year.EmissionsBySector"), INDIRECT("'"&amp;F$112&amp;"'!Year.Modules"),$C113)</f>
        <v>12.306742678110057</v>
      </c>
      <c r="G113" s="4052">
        <f t="shared" ca="1" si="20"/>
        <v>8.3433212759556366</v>
      </c>
      <c r="H113" s="4052">
        <f t="shared" ca="1" si="20"/>
        <v>4.5894557994184604</v>
      </c>
      <c r="I113" s="4052">
        <f t="shared" ca="1" si="20"/>
        <v>1.2827491099669441</v>
      </c>
      <c r="J113" s="4052">
        <f t="shared" ca="1" si="20"/>
        <v>7.6928123877552137</v>
      </c>
      <c r="K113" s="4052">
        <f t="shared" ca="1" si="20"/>
        <v>8.4849416829636528</v>
      </c>
      <c r="L113" s="4052">
        <f t="shared" ca="1" si="20"/>
        <v>8.7552516575846333</v>
      </c>
      <c r="M113" s="4052">
        <f t="shared" ca="1" si="20"/>
        <v>9.0172444022172762</v>
      </c>
      <c r="N113" s="17"/>
    </row>
    <row r="114" spans="2:14">
      <c r="B114" s="3121"/>
      <c r="C114" s="4058"/>
      <c r="D114" s="4058" t="s">
        <v>413</v>
      </c>
      <c r="E114" s="4056">
        <f ca="1">-E108</f>
        <v>-0.23644839087172886</v>
      </c>
      <c r="F114" s="4056">
        <f t="shared" ref="F114:M114" ca="1" si="21">-F108</f>
        <v>-1.1394947663336206</v>
      </c>
      <c r="G114" s="4056">
        <f t="shared" ca="1" si="21"/>
        <v>-3.7883818717557767</v>
      </c>
      <c r="H114" s="4056">
        <f t="shared" ca="1" si="21"/>
        <v>-2.558013995737487</v>
      </c>
      <c r="I114" s="4056">
        <f t="shared" ca="1" si="21"/>
        <v>-1.2215607526454402</v>
      </c>
      <c r="J114" s="4056">
        <f t="shared" ca="1" si="21"/>
        <v>-7.4575025502746124</v>
      </c>
      <c r="K114" s="4056">
        <f t="shared" ca="1" si="21"/>
        <v>-8.5513933875584307</v>
      </c>
      <c r="L114" s="4056">
        <f t="shared" ca="1" si="21"/>
        <v>-9.1456503220786693</v>
      </c>
      <c r="M114" s="4056">
        <f t="shared" ca="1" si="21"/>
        <v>-9.6902454522714301</v>
      </c>
      <c r="N114" s="17"/>
    </row>
    <row r="115" spans="2:14">
      <c r="B115" s="3121"/>
      <c r="C115" s="4042"/>
      <c r="D115" s="4043" t="s">
        <v>59</v>
      </c>
      <c r="E115" s="4052">
        <f ca="1">SUM(E113:E114)</f>
        <v>12.417297429697747</v>
      </c>
      <c r="F115" s="4052">
        <f t="shared" ref="F115:M115" ca="1" si="22">SUM(F113:F114)</f>
        <v>11.167247911776435</v>
      </c>
      <c r="G115" s="4052">
        <f t="shared" ca="1" si="22"/>
        <v>4.5549394041998603</v>
      </c>
      <c r="H115" s="4052">
        <f t="shared" ca="1" si="22"/>
        <v>2.0314418036809734</v>
      </c>
      <c r="I115" s="4052">
        <f t="shared" ca="1" si="22"/>
        <v>6.1188357321503961E-2</v>
      </c>
      <c r="J115" s="4052">
        <f t="shared" ca="1" si="22"/>
        <v>0.2353098374806013</v>
      </c>
      <c r="K115" s="4052">
        <f t="shared" ca="1" si="22"/>
        <v>-6.6451704594777894E-2</v>
      </c>
      <c r="L115" s="4052">
        <f t="shared" ca="1" si="22"/>
        <v>-0.39039866449403604</v>
      </c>
      <c r="M115" s="4052">
        <f t="shared" ca="1" si="22"/>
        <v>-0.67300105005415389</v>
      </c>
      <c r="N115" s="17"/>
    </row>
    <row r="116" spans="2:14">
      <c r="B116" s="3375"/>
      <c r="C116" s="4047"/>
      <c r="D116" s="4048"/>
      <c r="E116" s="3375"/>
      <c r="F116" s="3375"/>
      <c r="G116" s="3375"/>
      <c r="H116" s="3375"/>
      <c r="I116" s="3375"/>
      <c r="J116" s="3375"/>
      <c r="K116" s="3375"/>
      <c r="L116" s="3375"/>
      <c r="M116" s="3375"/>
      <c r="N116" s="87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sheetPr>
    <tabColor theme="5"/>
  </sheetPr>
  <dimension ref="B1:Q147"/>
  <sheetViews>
    <sheetView showGridLines="0" zoomScale="80" zoomScaleNormal="80" workbookViewId="0">
      <selection activeCell="S4" sqref="S4"/>
    </sheetView>
  </sheetViews>
  <sheetFormatPr defaultColWidth="11.42578125" defaultRowHeight="15"/>
  <cols>
    <col min="1" max="1" width="3" style="4012" customWidth="1"/>
    <col min="2" max="3" width="11.42578125" style="4012"/>
    <col min="4" max="4" width="38.42578125" style="4012" customWidth="1"/>
    <col min="5" max="5" width="19.42578125" style="4012" bestFit="1" customWidth="1"/>
    <col min="6" max="16384" width="11.42578125" style="4012"/>
  </cols>
  <sheetData>
    <row r="1" spans="2:17" ht="8.25" customHeight="1"/>
    <row r="2" spans="2:17" ht="9" customHeight="1"/>
    <row r="3" spans="2:17">
      <c r="B3" s="4012" t="s">
        <v>3387</v>
      </c>
    </row>
    <row r="4" spans="2:17">
      <c r="B4" s="4012" t="s">
        <v>3367</v>
      </c>
    </row>
    <row r="5" spans="2:17">
      <c r="B5" s="4012" t="s">
        <v>3368</v>
      </c>
    </row>
    <row r="6" spans="2:17">
      <c r="B6" s="4012" t="s">
        <v>3369</v>
      </c>
    </row>
    <row r="8" spans="2:17" ht="15.75">
      <c r="B8" s="3295" t="s">
        <v>3370</v>
      </c>
      <c r="C8" s="3296"/>
      <c r="D8" s="3296"/>
      <c r="E8" s="3296"/>
      <c r="F8" s="3296"/>
      <c r="G8" s="3297"/>
      <c r="H8" s="3297"/>
      <c r="I8" s="3297"/>
      <c r="J8" s="3297"/>
      <c r="K8" s="3297"/>
      <c r="L8" s="3297"/>
      <c r="M8" s="3297"/>
      <c r="N8" s="3297"/>
      <c r="O8" s="3297"/>
      <c r="P8" s="3297"/>
      <c r="Q8" s="3298"/>
    </row>
    <row r="9" spans="2:17" ht="15.75">
      <c r="B9" s="3299"/>
      <c r="C9" s="3300"/>
      <c r="D9" s="3300"/>
      <c r="E9" s="3300"/>
      <c r="F9" s="3300"/>
      <c r="G9" s="3301"/>
      <c r="H9" s="3301"/>
      <c r="I9" s="3301"/>
      <c r="J9" s="3301"/>
      <c r="K9" s="3301"/>
      <c r="L9" s="3301"/>
      <c r="M9" s="3301"/>
      <c r="N9" s="3301"/>
      <c r="O9" s="3301"/>
      <c r="P9" s="3301"/>
      <c r="Q9" s="3302"/>
    </row>
    <row r="10" spans="2:17" ht="15.75">
      <c r="B10" s="3902"/>
      <c r="C10" s="4026" t="s">
        <v>3384</v>
      </c>
      <c r="D10" s="3304"/>
      <c r="E10" s="3304"/>
      <c r="F10" s="3304"/>
      <c r="G10" s="3903"/>
      <c r="H10" s="3903"/>
      <c r="I10" s="3903"/>
      <c r="J10" s="3903"/>
      <c r="K10" s="3903"/>
      <c r="L10" s="3903"/>
      <c r="M10" s="3903"/>
      <c r="N10" s="3903"/>
      <c r="O10" s="3903"/>
      <c r="P10" s="3903"/>
      <c r="Q10" s="3905"/>
    </row>
    <row r="11" spans="2:17" ht="15.75">
      <c r="B11" s="3902"/>
      <c r="C11" s="3304"/>
      <c r="D11" s="3304"/>
      <c r="E11" s="3304"/>
      <c r="F11" s="3304"/>
      <c r="G11" s="3903"/>
      <c r="H11" s="3903"/>
      <c r="I11" s="3903"/>
      <c r="J11" s="3903"/>
      <c r="K11" s="3903"/>
      <c r="L11" s="3903"/>
      <c r="M11" s="3904" t="str">
        <f>Preferences.EnergyUnits</f>
        <v>TWh</v>
      </c>
      <c r="N11" s="3903"/>
      <c r="O11" s="3903"/>
      <c r="P11" s="3903"/>
      <c r="Q11" s="3905"/>
    </row>
    <row r="12" spans="2:17">
      <c r="B12" s="3303"/>
      <c r="C12" s="3311" t="s">
        <v>44</v>
      </c>
      <c r="D12" s="3312" t="s">
        <v>28</v>
      </c>
      <c r="E12" s="3313">
        <v>2013</v>
      </c>
      <c r="F12" s="3313">
        <v>2015</v>
      </c>
      <c r="G12" s="3313">
        <v>2020</v>
      </c>
      <c r="H12" s="3313">
        <v>2025</v>
      </c>
      <c r="I12" s="3313">
        <v>2030</v>
      </c>
      <c r="J12" s="3313">
        <v>2035</v>
      </c>
      <c r="K12" s="3313">
        <v>2040</v>
      </c>
      <c r="L12" s="3313">
        <v>2045</v>
      </c>
      <c r="M12" s="3314">
        <v>2050</v>
      </c>
      <c r="N12" s="3318"/>
      <c r="O12" s="3318"/>
      <c r="P12" s="3318"/>
      <c r="Q12" s="3306"/>
    </row>
    <row r="13" spans="2:17">
      <c r="B13" s="3303"/>
      <c r="C13" s="3315" t="s">
        <v>445</v>
      </c>
      <c r="D13" s="3318" t="s">
        <v>396</v>
      </c>
      <c r="E13" s="4018">
        <f t="shared" ref="E13:E30" ca="1" si="0">MAX(-INDEX(INDIRECT("'"&amp;E$12&amp;"'!Year.NetBalance"), MATCH($C13, INDIRECT("'"&amp;E$12&amp;"'!Year.Vectors"), 0)),0)</f>
        <v>0</v>
      </c>
      <c r="F13" s="4018">
        <f t="shared" ref="F13:M13" ca="1" si="1">MAX(-INDEX(INDIRECT("'"&amp;F$12&amp;"'!Year.NetBalance"), MATCH($C13, INDIRECT("'"&amp;F$12&amp;"'!Year.Vectors"), 0)),0)</f>
        <v>0</v>
      </c>
      <c r="G13" s="4018">
        <f t="shared" ca="1" si="1"/>
        <v>0</v>
      </c>
      <c r="H13" s="4018">
        <f t="shared" ca="1" si="1"/>
        <v>0</v>
      </c>
      <c r="I13" s="4018">
        <f t="shared" ca="1" si="1"/>
        <v>21.428000000000004</v>
      </c>
      <c r="J13" s="4018">
        <f t="shared" ca="1" si="1"/>
        <v>21.428000000000004</v>
      </c>
      <c r="K13" s="4018">
        <f t="shared" ca="1" si="1"/>
        <v>21.428000000000004</v>
      </c>
      <c r="L13" s="4018">
        <f t="shared" ca="1" si="1"/>
        <v>21.428000000000004</v>
      </c>
      <c r="M13" s="4018">
        <f t="shared" ca="1" si="1"/>
        <v>21.428000000000004</v>
      </c>
      <c r="N13" s="3318"/>
      <c r="O13" s="3318"/>
      <c r="P13" s="3318"/>
      <c r="Q13" s="3306"/>
    </row>
    <row r="14" spans="2:17">
      <c r="B14" s="3303"/>
      <c r="C14" s="3315" t="s">
        <v>446</v>
      </c>
      <c r="D14" s="3318" t="s">
        <v>79</v>
      </c>
      <c r="E14" s="4018">
        <f t="shared" ca="1" si="0"/>
        <v>4.1054887428987621E-2</v>
      </c>
      <c r="F14" s="4018">
        <f t="shared" ref="F14:M23" ca="1" si="2">MAX(-INDEX(INDIRECT("'"&amp;F$12&amp;"'!Year.NetBalance"), MATCH($C14, INDIRECT("'"&amp;F$12&amp;"'!Year.Vectors"), 0)),0)</f>
        <v>0.29533988943004724</v>
      </c>
      <c r="G14" s="4018">
        <f t="shared" ca="1" si="2"/>
        <v>0.98311948364472168</v>
      </c>
      <c r="H14" s="4018">
        <f t="shared" ca="1" si="2"/>
        <v>1.7302356023133905</v>
      </c>
      <c r="I14" s="4018">
        <f t="shared" ca="1" si="2"/>
        <v>3.1032027513562515</v>
      </c>
      <c r="J14" s="4018">
        <f t="shared" ca="1" si="2"/>
        <v>4.3856969840221529</v>
      </c>
      <c r="K14" s="4018">
        <f t="shared" ca="1" si="2"/>
        <v>5.7058911432863937</v>
      </c>
      <c r="L14" s="4018">
        <f t="shared" ca="1" si="2"/>
        <v>7.0356787943966701</v>
      </c>
      <c r="M14" s="4018">
        <f t="shared" ca="1" si="2"/>
        <v>8.4425533229244625</v>
      </c>
      <c r="N14" s="3318"/>
      <c r="O14" s="3318"/>
      <c r="P14" s="3318"/>
      <c r="Q14" s="3306"/>
    </row>
    <row r="15" spans="2:17">
      <c r="B15" s="3303"/>
      <c r="C15" s="3315" t="s">
        <v>447</v>
      </c>
      <c r="D15" s="3318" t="s">
        <v>397</v>
      </c>
      <c r="E15" s="4018">
        <f t="shared" ca="1" si="0"/>
        <v>4.5013410000000009</v>
      </c>
      <c r="F15" s="4018">
        <f t="shared" ca="1" si="2"/>
        <v>5.6172527999999993</v>
      </c>
      <c r="G15" s="4018">
        <f t="shared" ca="1" si="2"/>
        <v>9.3230792999999998</v>
      </c>
      <c r="H15" s="4018">
        <f t="shared" ca="1" si="2"/>
        <v>13.589929799999998</v>
      </c>
      <c r="I15" s="4018">
        <f t="shared" ca="1" si="2"/>
        <v>21.946119299999999</v>
      </c>
      <c r="J15" s="4018">
        <f t="shared" ca="1" si="2"/>
        <v>27.955212300000003</v>
      </c>
      <c r="K15" s="4018">
        <f t="shared" ca="1" si="2"/>
        <v>31.8999123</v>
      </c>
      <c r="L15" s="4018">
        <f t="shared" ca="1" si="2"/>
        <v>38.838201300000001</v>
      </c>
      <c r="M15" s="4018">
        <f t="shared" ca="1" si="2"/>
        <v>45.741426300000008</v>
      </c>
      <c r="N15" s="3318"/>
      <c r="O15" s="3318"/>
      <c r="P15" s="3318"/>
      <c r="Q15" s="3306"/>
    </row>
    <row r="16" spans="2:17">
      <c r="B16" s="3303"/>
      <c r="C16" s="3315" t="s">
        <v>448</v>
      </c>
      <c r="D16" s="3318" t="s">
        <v>398</v>
      </c>
      <c r="E16" s="4018">
        <f t="shared" ca="1" si="0"/>
        <v>0</v>
      </c>
      <c r="F16" s="4018">
        <f t="shared" ca="1" si="2"/>
        <v>0</v>
      </c>
      <c r="G16" s="4018">
        <f t="shared" ca="1" si="2"/>
        <v>0</v>
      </c>
      <c r="H16" s="4018">
        <f t="shared" ca="1" si="2"/>
        <v>0.31557600000000013</v>
      </c>
      <c r="I16" s="4018">
        <f t="shared" ca="1" si="2"/>
        <v>0.63115200000000027</v>
      </c>
      <c r="J16" s="4018">
        <f t="shared" ca="1" si="2"/>
        <v>1.5778800000000002</v>
      </c>
      <c r="K16" s="4018">
        <f t="shared" ca="1" si="2"/>
        <v>1.5778800000000002</v>
      </c>
      <c r="L16" s="4018">
        <f t="shared" ca="1" si="2"/>
        <v>2.5246080000000011</v>
      </c>
      <c r="M16" s="4018">
        <f t="shared" ca="1" si="2"/>
        <v>2.5246080000000011</v>
      </c>
      <c r="N16" s="3318"/>
      <c r="O16" s="3318"/>
      <c r="P16" s="3318"/>
      <c r="Q16" s="3306"/>
    </row>
    <row r="17" spans="2:17">
      <c r="B17" s="3303"/>
      <c r="C17" s="3315" t="s">
        <v>449</v>
      </c>
      <c r="D17" s="3318" t="s">
        <v>399</v>
      </c>
      <c r="E17" s="4018">
        <f t="shared" ca="1" si="0"/>
        <v>0</v>
      </c>
      <c r="F17" s="4018">
        <f t="shared" ca="1" si="2"/>
        <v>3.9627123287671231E-3</v>
      </c>
      <c r="G17" s="4018">
        <f t="shared" ca="1" si="2"/>
        <v>1.3017510000000001E-2</v>
      </c>
      <c r="H17" s="4018">
        <f t="shared" ca="1" si="2"/>
        <v>0.39052530000000008</v>
      </c>
      <c r="I17" s="4018">
        <f t="shared" ca="1" si="2"/>
        <v>2.6035020000000002</v>
      </c>
      <c r="J17" s="4018">
        <f t="shared" ca="1" si="2"/>
        <v>3.9052530000000001</v>
      </c>
      <c r="K17" s="4018">
        <f t="shared" ca="1" si="2"/>
        <v>5.2070040000000004</v>
      </c>
      <c r="L17" s="4018">
        <f t="shared" ca="1" si="2"/>
        <v>5.2070040000000004</v>
      </c>
      <c r="M17" s="4018">
        <f t="shared" ca="1" si="2"/>
        <v>6.2484048000000012</v>
      </c>
      <c r="N17" s="3318"/>
      <c r="O17" s="3318"/>
      <c r="P17" s="3318"/>
      <c r="Q17" s="3306"/>
    </row>
    <row r="18" spans="2:17">
      <c r="B18" s="3303"/>
      <c r="C18" s="3315" t="s">
        <v>450</v>
      </c>
      <c r="D18" s="3318" t="s">
        <v>55</v>
      </c>
      <c r="E18" s="4018">
        <f t="shared" ca="1" si="0"/>
        <v>0</v>
      </c>
      <c r="F18" s="4018">
        <f t="shared" ca="1" si="2"/>
        <v>0</v>
      </c>
      <c r="G18" s="4018">
        <f t="shared" ca="1" si="2"/>
        <v>0</v>
      </c>
      <c r="H18" s="4018">
        <f t="shared" ca="1" si="2"/>
        <v>0</v>
      </c>
      <c r="I18" s="4018">
        <f t="shared" ca="1" si="2"/>
        <v>0</v>
      </c>
      <c r="J18" s="4018">
        <f t="shared" ca="1" si="2"/>
        <v>0</v>
      </c>
      <c r="K18" s="4018">
        <f t="shared" ca="1" si="2"/>
        <v>0</v>
      </c>
      <c r="L18" s="4018">
        <f t="shared" ca="1" si="2"/>
        <v>0</v>
      </c>
      <c r="M18" s="4018">
        <f t="shared" ca="1" si="2"/>
        <v>0</v>
      </c>
      <c r="N18" s="3318"/>
      <c r="O18" s="3318"/>
      <c r="P18" s="3318"/>
      <c r="Q18" s="3306"/>
    </row>
    <row r="19" spans="2:17">
      <c r="B19" s="3303"/>
      <c r="C19" s="3315" t="s">
        <v>451</v>
      </c>
      <c r="D19" s="3318" t="s">
        <v>400</v>
      </c>
      <c r="E19" s="4018">
        <f t="shared" ca="1" si="0"/>
        <v>0.74791511999999993</v>
      </c>
      <c r="F19" s="4018">
        <f t="shared" ca="1" si="2"/>
        <v>0.74791511999999993</v>
      </c>
      <c r="G19" s="4018">
        <f t="shared" ca="1" si="2"/>
        <v>0.74791511999999993</v>
      </c>
      <c r="H19" s="4018">
        <f t="shared" ca="1" si="2"/>
        <v>0.78946596000000002</v>
      </c>
      <c r="I19" s="4018">
        <f t="shared" ca="1" si="2"/>
        <v>0.78946596000000002</v>
      </c>
      <c r="J19" s="4018">
        <f t="shared" ca="1" si="2"/>
        <v>0.78946596000000002</v>
      </c>
      <c r="K19" s="4018">
        <f t="shared" ca="1" si="2"/>
        <v>0.78946596000000002</v>
      </c>
      <c r="L19" s="4018">
        <f t="shared" ca="1" si="2"/>
        <v>0.78946596000000002</v>
      </c>
      <c r="M19" s="4018">
        <f t="shared" ca="1" si="2"/>
        <v>0.78946596000000002</v>
      </c>
      <c r="N19" s="3318"/>
      <c r="O19" s="3318"/>
      <c r="P19" s="3318"/>
      <c r="Q19" s="3306"/>
    </row>
    <row r="20" spans="2:17">
      <c r="B20" s="3303"/>
      <c r="C20" s="3315" t="s">
        <v>440</v>
      </c>
      <c r="D20" s="3318" t="s">
        <v>391</v>
      </c>
      <c r="E20" s="4018">
        <f t="shared" ca="1" si="0"/>
        <v>2.5</v>
      </c>
      <c r="F20" s="4018">
        <f t="shared" ca="1" si="2"/>
        <v>2.5</v>
      </c>
      <c r="G20" s="4018">
        <f t="shared" ca="1" si="2"/>
        <v>2.5000000000000036</v>
      </c>
      <c r="H20" s="4018">
        <f t="shared" ca="1" si="2"/>
        <v>2.5000000000000036</v>
      </c>
      <c r="I20" s="4018">
        <f t="shared" ca="1" si="2"/>
        <v>0</v>
      </c>
      <c r="J20" s="4018">
        <f t="shared" ca="1" si="2"/>
        <v>0</v>
      </c>
      <c r="K20" s="4018">
        <f t="shared" ca="1" si="2"/>
        <v>0</v>
      </c>
      <c r="L20" s="4018">
        <f t="shared" ca="1" si="2"/>
        <v>0</v>
      </c>
      <c r="M20" s="4018">
        <f t="shared" ca="1" si="2"/>
        <v>0</v>
      </c>
      <c r="N20" s="3318"/>
      <c r="O20" s="3318"/>
      <c r="P20" s="3318"/>
      <c r="Q20" s="3306"/>
    </row>
    <row r="21" spans="2:17">
      <c r="B21" s="3303"/>
      <c r="C21" s="3315" t="s">
        <v>102</v>
      </c>
      <c r="D21" s="3318" t="s">
        <v>92</v>
      </c>
      <c r="E21" s="4018">
        <f t="shared" ca="1" si="0"/>
        <v>0.11119904983501781</v>
      </c>
      <c r="F21" s="4018">
        <f t="shared" ca="1" si="2"/>
        <v>0.23024787332134827</v>
      </c>
      <c r="G21" s="4018">
        <f t="shared" ca="1" si="2"/>
        <v>0.19215404904246119</v>
      </c>
      <c r="H21" s="4018">
        <f t="shared" ca="1" si="2"/>
        <v>0.16256755073206205</v>
      </c>
      <c r="I21" s="4018">
        <f t="shared" ca="1" si="2"/>
        <v>0.13025315807559751</v>
      </c>
      <c r="J21" s="4018">
        <f t="shared" ca="1" si="2"/>
        <v>9.8473923807210109E-2</v>
      </c>
      <c r="K21" s="4018">
        <f t="shared" ca="1" si="2"/>
        <v>6.6374144344193087E-2</v>
      </c>
      <c r="L21" s="4018">
        <f t="shared" ca="1" si="2"/>
        <v>3.3366237861707504E-2</v>
      </c>
      <c r="M21" s="4018">
        <f t="shared" ca="1" si="2"/>
        <v>0</v>
      </c>
      <c r="N21" s="3318"/>
      <c r="O21" s="3318"/>
      <c r="P21" s="3318"/>
      <c r="Q21" s="3306"/>
    </row>
    <row r="22" spans="2:17">
      <c r="B22" s="3303"/>
      <c r="C22" s="3315" t="s">
        <v>453</v>
      </c>
      <c r="D22" s="3318" t="s">
        <v>402</v>
      </c>
      <c r="E22" s="4018">
        <f t="shared" ca="1" si="0"/>
        <v>0.76164924245884236</v>
      </c>
      <c r="F22" s="4018">
        <f t="shared" ca="1" si="2"/>
        <v>1.5775553566803318</v>
      </c>
      <c r="G22" s="4018">
        <f t="shared" ca="1" si="2"/>
        <v>5.3833406982345036</v>
      </c>
      <c r="H22" s="4018">
        <f t="shared" ca="1" si="2"/>
        <v>11.723268587003396</v>
      </c>
      <c r="I22" s="4018">
        <f t="shared" ca="1" si="2"/>
        <v>19.27666069016519</v>
      </c>
      <c r="J22" s="4018">
        <f t="shared" ca="1" si="2"/>
        <v>24.016689175657081</v>
      </c>
      <c r="K22" s="4018">
        <f t="shared" ca="1" si="2"/>
        <v>32.134064682425347</v>
      </c>
      <c r="L22" s="4018">
        <f t="shared" ca="1" si="2"/>
        <v>35.375529883026232</v>
      </c>
      <c r="M22" s="4018">
        <f t="shared" ca="1" si="2"/>
        <v>35.590190574510501</v>
      </c>
      <c r="N22" s="3318"/>
      <c r="O22" s="3318"/>
      <c r="P22" s="3318"/>
      <c r="Q22" s="3306"/>
    </row>
    <row r="23" spans="2:17">
      <c r="B23" s="3303"/>
      <c r="C23" s="3315" t="s">
        <v>452</v>
      </c>
      <c r="D23" s="3318" t="s">
        <v>401</v>
      </c>
      <c r="E23" s="4018">
        <f t="shared" ca="1" si="0"/>
        <v>0.31308333333333338</v>
      </c>
      <c r="F23" s="4018">
        <f t="shared" ca="1" si="2"/>
        <v>3.1030021015136149</v>
      </c>
      <c r="G23" s="4018">
        <f t="shared" ca="1" si="2"/>
        <v>10.829078746607582</v>
      </c>
      <c r="H23" s="4018">
        <f t="shared" ca="1" si="2"/>
        <v>19.766573720425786</v>
      </c>
      <c r="I23" s="4018">
        <f t="shared" ca="1" si="2"/>
        <v>30.517093697634575</v>
      </c>
      <c r="J23" s="4018">
        <f t="shared" ca="1" si="2"/>
        <v>44.707203811579298</v>
      </c>
      <c r="K23" s="4018">
        <f t="shared" ca="1" si="2"/>
        <v>62.656428421958964</v>
      </c>
      <c r="L23" s="4018">
        <f t="shared" ca="1" si="2"/>
        <v>81.62870870719199</v>
      </c>
      <c r="M23" s="4018">
        <f t="shared" ca="1" si="2"/>
        <v>103.3784393118105</v>
      </c>
      <c r="N23" s="3318"/>
      <c r="O23" s="3318"/>
      <c r="P23" s="3318"/>
      <c r="Q23" s="3306"/>
    </row>
    <row r="24" spans="2:17">
      <c r="B24" s="3303"/>
      <c r="C24" s="3315" t="s">
        <v>439</v>
      </c>
      <c r="D24" s="3318" t="s">
        <v>390</v>
      </c>
      <c r="E24" s="4018">
        <f t="shared" ca="1" si="0"/>
        <v>1.0954366666666666</v>
      </c>
      <c r="F24" s="4018">
        <f t="shared" ref="F24:M30" ca="1" si="3">MAX(-INDEX(INDIRECT("'"&amp;F$12&amp;"'!Year.NetBalance"), MATCH($C24, INDIRECT("'"&amp;F$12&amp;"'!Year.Vectors"), 0)),0)</f>
        <v>1.2967</v>
      </c>
      <c r="G24" s="4018">
        <f t="shared" ca="1" si="3"/>
        <v>2.9119000000000002</v>
      </c>
      <c r="H24" s="4018">
        <f t="shared" ca="1" si="3"/>
        <v>0</v>
      </c>
      <c r="I24" s="4018">
        <f t="shared" ca="1" si="3"/>
        <v>0</v>
      </c>
      <c r="J24" s="4018">
        <f t="shared" ca="1" si="3"/>
        <v>0</v>
      </c>
      <c r="K24" s="4018">
        <f t="shared" ca="1" si="3"/>
        <v>0</v>
      </c>
      <c r="L24" s="4018">
        <f t="shared" ca="1" si="3"/>
        <v>0</v>
      </c>
      <c r="M24" s="4018">
        <f t="shared" ca="1" si="3"/>
        <v>0</v>
      </c>
      <c r="N24" s="3318"/>
      <c r="O24" s="3318"/>
      <c r="P24" s="3318"/>
      <c r="Q24" s="3306"/>
    </row>
    <row r="25" spans="2:17">
      <c r="B25" s="3303"/>
      <c r="C25" s="3315" t="s">
        <v>436</v>
      </c>
      <c r="D25" s="3318" t="s">
        <v>3386</v>
      </c>
      <c r="E25" s="4018">
        <f t="shared" ca="1" si="0"/>
        <v>8.4</v>
      </c>
      <c r="F25" s="4018">
        <f t="shared" ca="1" si="3"/>
        <v>7</v>
      </c>
      <c r="G25" s="4018">
        <f t="shared" ca="1" si="3"/>
        <v>2</v>
      </c>
      <c r="H25" s="4018">
        <f t="shared" ca="1" si="3"/>
        <v>2</v>
      </c>
      <c r="I25" s="4018">
        <f t="shared" ca="1" si="3"/>
        <v>0</v>
      </c>
      <c r="J25" s="4018">
        <f t="shared" ca="1" si="3"/>
        <v>0</v>
      </c>
      <c r="K25" s="4018">
        <f t="shared" ca="1" si="3"/>
        <v>0</v>
      </c>
      <c r="L25" s="4018">
        <f t="shared" ca="1" si="3"/>
        <v>0</v>
      </c>
      <c r="M25" s="4018">
        <f t="shared" ca="1" si="3"/>
        <v>0</v>
      </c>
      <c r="N25" s="3318"/>
      <c r="O25" s="3318"/>
      <c r="P25" s="3318"/>
      <c r="Q25" s="3306"/>
    </row>
    <row r="26" spans="2:17">
      <c r="B26" s="3303"/>
      <c r="C26" s="3315" t="s">
        <v>442</v>
      </c>
      <c r="D26" s="3318" t="s">
        <v>393</v>
      </c>
      <c r="E26" s="4018">
        <f t="shared" ca="1" si="0"/>
        <v>14.602281067209798</v>
      </c>
      <c r="F26" s="4018">
        <f t="shared" ca="1" si="3"/>
        <v>13.367884225892757</v>
      </c>
      <c r="G26" s="4018">
        <f t="shared" ca="1" si="3"/>
        <v>0.49575845114132866</v>
      </c>
      <c r="H26" s="4018">
        <f t="shared" ca="1" si="3"/>
        <v>0</v>
      </c>
      <c r="I26" s="4018">
        <f t="shared" ca="1" si="3"/>
        <v>0</v>
      </c>
      <c r="J26" s="4018">
        <f t="shared" ca="1" si="3"/>
        <v>0</v>
      </c>
      <c r="K26" s="4018">
        <f t="shared" ca="1" si="3"/>
        <v>0</v>
      </c>
      <c r="L26" s="4018">
        <f t="shared" ca="1" si="3"/>
        <v>0</v>
      </c>
      <c r="M26" s="4018">
        <f t="shared" ca="1" si="3"/>
        <v>0</v>
      </c>
      <c r="N26" s="3318"/>
      <c r="O26" s="3318"/>
      <c r="P26" s="3318"/>
      <c r="Q26" s="3306"/>
    </row>
    <row r="27" spans="2:17">
      <c r="B27" s="3303"/>
      <c r="C27" s="3315" t="s">
        <v>437</v>
      </c>
      <c r="D27" s="3318" t="s">
        <v>388</v>
      </c>
      <c r="E27" s="4018">
        <f t="shared" ca="1" si="0"/>
        <v>0</v>
      </c>
      <c r="F27" s="4018">
        <f t="shared" ca="1" si="3"/>
        <v>0</v>
      </c>
      <c r="G27" s="4018">
        <f t="shared" ca="1" si="3"/>
        <v>0</v>
      </c>
      <c r="H27" s="4018">
        <f t="shared" ca="1" si="3"/>
        <v>0</v>
      </c>
      <c r="I27" s="4018">
        <f t="shared" ca="1" si="3"/>
        <v>0</v>
      </c>
      <c r="J27" s="4018">
        <f t="shared" ca="1" si="3"/>
        <v>0</v>
      </c>
      <c r="K27" s="4018">
        <f t="shared" ca="1" si="3"/>
        <v>0</v>
      </c>
      <c r="L27" s="4018">
        <f t="shared" ca="1" si="3"/>
        <v>0</v>
      </c>
      <c r="M27" s="4018">
        <f t="shared" ca="1" si="3"/>
        <v>0</v>
      </c>
      <c r="N27" s="3318"/>
      <c r="O27" s="3318"/>
      <c r="P27" s="3318"/>
      <c r="Q27" s="3306"/>
    </row>
    <row r="28" spans="2:17">
      <c r="B28" s="3303"/>
      <c r="C28" s="3315" t="s">
        <v>443</v>
      </c>
      <c r="D28" s="3318" t="s">
        <v>394</v>
      </c>
      <c r="E28" s="4018">
        <f t="shared" ca="1" si="0"/>
        <v>76.341107777431446</v>
      </c>
      <c r="F28" s="4018">
        <f t="shared" ca="1" si="3"/>
        <v>70.428965076712089</v>
      </c>
      <c r="G28" s="4018">
        <f t="shared" ca="1" si="3"/>
        <v>66.132600914927124</v>
      </c>
      <c r="H28" s="4018">
        <f t="shared" ca="1" si="3"/>
        <v>61.70681606299398</v>
      </c>
      <c r="I28" s="4018">
        <f t="shared" ca="1" si="3"/>
        <v>58.853734589724091</v>
      </c>
      <c r="J28" s="4018">
        <f t="shared" ca="1" si="3"/>
        <v>56.055550717287325</v>
      </c>
      <c r="K28" s="4018">
        <f t="shared" ca="1" si="3"/>
        <v>53.466242556904533</v>
      </c>
      <c r="L28" s="4018">
        <f t="shared" ca="1" si="3"/>
        <v>50.942465881243002</v>
      </c>
      <c r="M28" s="4018">
        <f t="shared" ca="1" si="3"/>
        <v>48.624578735681354</v>
      </c>
      <c r="N28" s="3318"/>
      <c r="O28" s="3318"/>
      <c r="P28" s="3318"/>
      <c r="Q28" s="3306"/>
    </row>
    <row r="29" spans="2:17">
      <c r="B29" s="3303"/>
      <c r="C29" s="3315" t="s">
        <v>438</v>
      </c>
      <c r="D29" s="3318" t="s">
        <v>389</v>
      </c>
      <c r="E29" s="4018">
        <f t="shared" ca="1" si="0"/>
        <v>0</v>
      </c>
      <c r="F29" s="4018">
        <f t="shared" ca="1" si="3"/>
        <v>1.7555282514130199</v>
      </c>
      <c r="G29" s="4018">
        <f t="shared" ca="1" si="3"/>
        <v>35</v>
      </c>
      <c r="H29" s="4018">
        <f t="shared" ca="1" si="3"/>
        <v>10</v>
      </c>
      <c r="I29" s="4018">
        <f t="shared" ca="1" si="3"/>
        <v>0</v>
      </c>
      <c r="J29" s="4018">
        <f t="shared" ca="1" si="3"/>
        <v>0</v>
      </c>
      <c r="K29" s="4018">
        <f t="shared" ca="1" si="3"/>
        <v>0</v>
      </c>
      <c r="L29" s="4018">
        <f t="shared" ca="1" si="3"/>
        <v>0</v>
      </c>
      <c r="M29" s="4018">
        <f t="shared" ca="1" si="3"/>
        <v>0</v>
      </c>
      <c r="N29" s="3318"/>
      <c r="O29" s="3318"/>
      <c r="P29" s="3318"/>
      <c r="Q29" s="3306"/>
    </row>
    <row r="30" spans="2:17">
      <c r="B30" s="3303"/>
      <c r="C30" s="3315" t="s">
        <v>444</v>
      </c>
      <c r="D30" s="3318" t="s">
        <v>395</v>
      </c>
      <c r="E30" s="4018">
        <f t="shared" ca="1" si="0"/>
        <v>46.547614680811428</v>
      </c>
      <c r="F30" s="4018">
        <f t="shared" ca="1" si="3"/>
        <v>45.644258801899632</v>
      </c>
      <c r="G30" s="4018">
        <f t="shared" ca="1" si="3"/>
        <v>11.463075485516505</v>
      </c>
      <c r="H30" s="4018">
        <f t="shared" ca="1" si="3"/>
        <v>29.741491510161715</v>
      </c>
      <c r="I30" s="4018">
        <f t="shared" ca="1" si="3"/>
        <v>29.716870935553509</v>
      </c>
      <c r="J30" s="4018">
        <f t="shared" ca="1" si="3"/>
        <v>37.575562611620718</v>
      </c>
      <c r="K30" s="4018">
        <f t="shared" ca="1" si="3"/>
        <v>49.707610582817466</v>
      </c>
      <c r="L30" s="4018">
        <f t="shared" ca="1" si="3"/>
        <v>62.182671111735829</v>
      </c>
      <c r="M30" s="4018">
        <f t="shared" ca="1" si="3"/>
        <v>75.014269907136224</v>
      </c>
      <c r="N30" s="3318"/>
      <c r="O30" s="3318"/>
      <c r="P30" s="3318"/>
      <c r="Q30" s="3306"/>
    </row>
    <row r="31" spans="2:17">
      <c r="B31" s="3303"/>
      <c r="C31" s="3315"/>
      <c r="D31" s="3318" t="s">
        <v>3381</v>
      </c>
      <c r="E31" s="4018">
        <f ca="1">SUM(E13:E30)</f>
        <v>155.96268282517553</v>
      </c>
      <c r="F31" s="4018">
        <f t="shared" ref="F31:M31" ca="1" si="4">SUM(F13:F30)</f>
        <v>153.5686122091916</v>
      </c>
      <c r="G31" s="4018">
        <f t="shared" ca="1" si="4"/>
        <v>147.97503975911422</v>
      </c>
      <c r="H31" s="4018">
        <f t="shared" ca="1" si="4"/>
        <v>154.41645009363035</v>
      </c>
      <c r="I31" s="4018">
        <f t="shared" ca="1" si="4"/>
        <v>188.99605508250923</v>
      </c>
      <c r="J31" s="4018">
        <f t="shared" ca="1" si="4"/>
        <v>222.4949884839738</v>
      </c>
      <c r="K31" s="4018">
        <f t="shared" ca="1" si="4"/>
        <v>264.63887379173696</v>
      </c>
      <c r="L31" s="4018">
        <f t="shared" ca="1" si="4"/>
        <v>305.98569987545545</v>
      </c>
      <c r="M31" s="4018">
        <f t="shared" ca="1" si="4"/>
        <v>347.78193691206303</v>
      </c>
      <c r="N31" s="3318"/>
      <c r="O31" s="3318"/>
      <c r="P31" s="3318"/>
      <c r="Q31" s="3306"/>
    </row>
    <row r="32" spans="2:17">
      <c r="B32" s="3303"/>
      <c r="C32" s="3315"/>
      <c r="D32" s="3318"/>
      <c r="E32" s="3316"/>
      <c r="F32" s="3316"/>
      <c r="G32" s="3318"/>
      <c r="H32" s="3318"/>
      <c r="I32" s="3318"/>
      <c r="J32" s="3318"/>
      <c r="K32" s="3318"/>
      <c r="L32" s="3318"/>
      <c r="M32" s="3318"/>
      <c r="N32" s="3318"/>
      <c r="O32" s="3318"/>
      <c r="P32" s="3318"/>
      <c r="Q32" s="3306"/>
    </row>
    <row r="33" spans="2:17">
      <c r="B33" s="3303"/>
      <c r="C33" s="4006" t="s">
        <v>3382</v>
      </c>
      <c r="D33" s="3318"/>
      <c r="E33" s="3316"/>
      <c r="F33" s="3316"/>
      <c r="G33" s="3318"/>
      <c r="H33" s="3318"/>
      <c r="I33" s="3318"/>
      <c r="J33" s="3318"/>
      <c r="K33" s="3318"/>
      <c r="L33" s="3318"/>
      <c r="M33" s="3318"/>
      <c r="N33" s="3318"/>
      <c r="O33" s="3318"/>
      <c r="P33" s="3318"/>
      <c r="Q33" s="3306"/>
    </row>
    <row r="34" spans="2:17">
      <c r="B34" s="3303"/>
      <c r="C34" s="4006"/>
      <c r="D34" s="3318"/>
      <c r="E34" s="3316"/>
      <c r="F34" s="3316"/>
      <c r="G34" s="3318"/>
      <c r="H34" s="3318"/>
      <c r="I34" s="3318"/>
      <c r="J34" s="3318"/>
      <c r="K34" s="3318"/>
      <c r="L34" s="3318"/>
      <c r="M34" s="4019" t="s">
        <v>43</v>
      </c>
      <c r="N34" s="3318"/>
      <c r="O34" s="3318"/>
      <c r="P34" s="3318"/>
      <c r="Q34" s="3306"/>
    </row>
    <row r="35" spans="2:17">
      <c r="B35" s="3303"/>
      <c r="C35" s="3315"/>
      <c r="D35" s="3312" t="s">
        <v>28</v>
      </c>
      <c r="E35" s="3313">
        <v>2013</v>
      </c>
      <c r="F35" s="3313">
        <v>2015</v>
      </c>
      <c r="G35" s="3313">
        <v>2020</v>
      </c>
      <c r="H35" s="3313">
        <v>2025</v>
      </c>
      <c r="I35" s="3313">
        <v>2030</v>
      </c>
      <c r="J35" s="3313">
        <v>2035</v>
      </c>
      <c r="K35" s="3313">
        <v>2040</v>
      </c>
      <c r="L35" s="3313">
        <v>2045</v>
      </c>
      <c r="M35" s="3314">
        <v>2050</v>
      </c>
      <c r="N35" s="3318"/>
      <c r="O35" s="3318"/>
      <c r="P35" s="3318"/>
      <c r="Q35" s="3306"/>
    </row>
    <row r="36" spans="2:17">
      <c r="B36" s="3303"/>
      <c r="C36" s="3315"/>
      <c r="D36" s="3318" t="s">
        <v>396</v>
      </c>
      <c r="E36" s="4027">
        <f ca="1">E13/E$31</f>
        <v>0</v>
      </c>
      <c r="F36" s="4027">
        <f t="shared" ref="F36:M36" ca="1" si="5">F13/F$31</f>
        <v>0</v>
      </c>
      <c r="G36" s="4027">
        <f t="shared" ca="1" si="5"/>
        <v>0</v>
      </c>
      <c r="H36" s="4027">
        <f t="shared" ca="1" si="5"/>
        <v>0</v>
      </c>
      <c r="I36" s="4027">
        <f t="shared" ca="1" si="5"/>
        <v>0.11337802786754078</v>
      </c>
      <c r="J36" s="4027">
        <f t="shared" ca="1" si="5"/>
        <v>9.6307787182107488E-2</v>
      </c>
      <c r="K36" s="4027">
        <f t="shared" ca="1" si="5"/>
        <v>8.0970719429766067E-2</v>
      </c>
      <c r="L36" s="4027">
        <f t="shared" ca="1" si="5"/>
        <v>7.0029416435871961E-2</v>
      </c>
      <c r="M36" s="4027">
        <f t="shared" ca="1" si="5"/>
        <v>6.1613320663683843E-2</v>
      </c>
      <c r="N36" s="3318"/>
      <c r="O36" s="3318"/>
      <c r="P36" s="3318"/>
      <c r="Q36" s="3306"/>
    </row>
    <row r="37" spans="2:17">
      <c r="B37" s="3303"/>
      <c r="C37" s="3315"/>
      <c r="D37" s="3318" t="s">
        <v>79</v>
      </c>
      <c r="E37" s="4027">
        <f t="shared" ref="E37:M37" ca="1" si="6">E14/E$31</f>
        <v>2.6323532453598273E-4</v>
      </c>
      <c r="F37" s="4027">
        <f t="shared" ca="1" si="6"/>
        <v>1.9231787354289196E-3</v>
      </c>
      <c r="G37" s="4027">
        <f t="shared" ca="1" si="6"/>
        <v>6.6438196958427806E-3</v>
      </c>
      <c r="H37" s="4027">
        <f t="shared" ca="1" si="6"/>
        <v>1.120499533090071E-2</v>
      </c>
      <c r="I37" s="4027">
        <f t="shared" ca="1" si="6"/>
        <v>1.6419404891819034E-2</v>
      </c>
      <c r="J37" s="4027">
        <f t="shared" ca="1" si="6"/>
        <v>1.9711441654956884E-2</v>
      </c>
      <c r="K37" s="4027">
        <f t="shared" ca="1" si="6"/>
        <v>2.1561046801373419E-2</v>
      </c>
      <c r="L37" s="4027">
        <f t="shared" ca="1" si="6"/>
        <v>2.2993488902456501E-2</v>
      </c>
      <c r="M37" s="4027">
        <f t="shared" ca="1" si="6"/>
        <v>2.4275422116184168E-2</v>
      </c>
      <c r="N37" s="3318"/>
      <c r="O37" s="3318"/>
      <c r="P37" s="3318"/>
      <c r="Q37" s="3306"/>
    </row>
    <row r="38" spans="2:17">
      <c r="B38" s="3303"/>
      <c r="C38" s="3315"/>
      <c r="D38" s="3318" t="s">
        <v>397</v>
      </c>
      <c r="E38" s="4027">
        <f t="shared" ref="E38:M38" ca="1" si="7">E15/E$31</f>
        <v>2.8861654073017738E-2</v>
      </c>
      <c r="F38" s="4027">
        <f t="shared" ca="1" si="7"/>
        <v>3.6578130903131181E-2</v>
      </c>
      <c r="G38" s="4027">
        <f t="shared" ca="1" si="7"/>
        <v>6.3004404764322855E-2</v>
      </c>
      <c r="H38" s="4027">
        <f t="shared" ca="1" si="7"/>
        <v>8.8008303466112256E-2</v>
      </c>
      <c r="I38" s="4027">
        <f t="shared" ca="1" si="7"/>
        <v>0.11611945704591069</v>
      </c>
      <c r="J38" s="4027">
        <f t="shared" ca="1" si="7"/>
        <v>0.12564423356444993</v>
      </c>
      <c r="K38" s="4027">
        <f t="shared" ca="1" si="7"/>
        <v>0.12054129403945506</v>
      </c>
      <c r="L38" s="4027">
        <f t="shared" ca="1" si="7"/>
        <v>0.12692815813225328</v>
      </c>
      <c r="M38" s="4027">
        <f t="shared" ca="1" si="7"/>
        <v>0.13152329504555543</v>
      </c>
      <c r="N38" s="3318"/>
      <c r="O38" s="3318"/>
      <c r="P38" s="3318"/>
      <c r="Q38" s="3306"/>
    </row>
    <row r="39" spans="2:17">
      <c r="B39" s="3303"/>
      <c r="C39" s="3315"/>
      <c r="D39" s="3318" t="s">
        <v>398</v>
      </c>
      <c r="E39" s="4027">
        <f t="shared" ref="E39:M39" ca="1" si="8">E16/E$31</f>
        <v>0</v>
      </c>
      <c r="F39" s="4027">
        <f t="shared" ca="1" si="8"/>
        <v>0</v>
      </c>
      <c r="G39" s="4027">
        <f t="shared" ca="1" si="8"/>
        <v>0</v>
      </c>
      <c r="H39" s="4027">
        <f t="shared" ca="1" si="8"/>
        <v>2.0436682737405942E-3</v>
      </c>
      <c r="I39" s="4027">
        <f t="shared" ca="1" si="8"/>
        <v>3.3394982753712022E-3</v>
      </c>
      <c r="J39" s="4027">
        <f t="shared" ca="1" si="8"/>
        <v>7.0917552379551867E-3</v>
      </c>
      <c r="K39" s="4027">
        <f t="shared" ca="1" si="8"/>
        <v>5.9623893398282274E-3</v>
      </c>
      <c r="L39" s="4027">
        <f t="shared" ca="1" si="8"/>
        <v>8.2507385182627336E-3</v>
      </c>
      <c r="M39" s="4027">
        <f t="shared" ca="1" si="8"/>
        <v>7.2591694163758437E-3</v>
      </c>
      <c r="N39" s="3318"/>
      <c r="O39" s="3318"/>
      <c r="P39" s="3318"/>
      <c r="Q39" s="3306"/>
    </row>
    <row r="40" spans="2:17">
      <c r="B40" s="3303"/>
      <c r="C40" s="3315"/>
      <c r="D40" s="3318" t="s">
        <v>399</v>
      </c>
      <c r="E40" s="4027">
        <f t="shared" ref="E40:M40" ca="1" si="9">E17/E$31</f>
        <v>0</v>
      </c>
      <c r="F40" s="4027">
        <f t="shared" ca="1" si="9"/>
        <v>2.5804181412859973E-5</v>
      </c>
      <c r="G40" s="4027">
        <f t="shared" ca="1" si="9"/>
        <v>8.7970984979567906E-5</v>
      </c>
      <c r="H40" s="4027">
        <f t="shared" ca="1" si="9"/>
        <v>2.5290394887539846E-3</v>
      </c>
      <c r="I40" s="4027">
        <f t="shared" ca="1" si="9"/>
        <v>1.3775430385906203E-2</v>
      </c>
      <c r="J40" s="4027">
        <f t="shared" ca="1" si="9"/>
        <v>1.7552094213939086E-2</v>
      </c>
      <c r="K40" s="4027">
        <f t="shared" ca="1" si="9"/>
        <v>1.9675884821433152E-2</v>
      </c>
      <c r="L40" s="4027">
        <f t="shared" ca="1" si="9"/>
        <v>1.7017148193916885E-2</v>
      </c>
      <c r="M40" s="4027">
        <f t="shared" ca="1" si="9"/>
        <v>1.796644430553021E-2</v>
      </c>
      <c r="N40" s="3318"/>
      <c r="O40" s="3318"/>
      <c r="P40" s="3318"/>
      <c r="Q40" s="3306"/>
    </row>
    <row r="41" spans="2:17">
      <c r="B41" s="3303"/>
      <c r="C41" s="3315"/>
      <c r="D41" s="3318" t="s">
        <v>55</v>
      </c>
      <c r="E41" s="4027">
        <f t="shared" ref="E41:M41" ca="1" si="10">E18/E$31</f>
        <v>0</v>
      </c>
      <c r="F41" s="4027">
        <f t="shared" ca="1" si="10"/>
        <v>0</v>
      </c>
      <c r="G41" s="4027">
        <f t="shared" ca="1" si="10"/>
        <v>0</v>
      </c>
      <c r="H41" s="4027">
        <f t="shared" ca="1" si="10"/>
        <v>0</v>
      </c>
      <c r="I41" s="4027">
        <f t="shared" ca="1" si="10"/>
        <v>0</v>
      </c>
      <c r="J41" s="4027">
        <f t="shared" ca="1" si="10"/>
        <v>0</v>
      </c>
      <c r="K41" s="4027">
        <f t="shared" ca="1" si="10"/>
        <v>0</v>
      </c>
      <c r="L41" s="4027">
        <f t="shared" ca="1" si="10"/>
        <v>0</v>
      </c>
      <c r="M41" s="4027">
        <f t="shared" ca="1" si="10"/>
        <v>0</v>
      </c>
      <c r="N41" s="3318"/>
      <c r="O41" s="3318"/>
      <c r="P41" s="3318"/>
      <c r="Q41" s="3306"/>
    </row>
    <row r="42" spans="2:17">
      <c r="B42" s="3303"/>
      <c r="C42" s="3315"/>
      <c r="D42" s="3318" t="s">
        <v>400</v>
      </c>
      <c r="E42" s="4027">
        <f t="shared" ref="E42:M42" ca="1" si="11">E19/E$31</f>
        <v>4.7954748305937146E-3</v>
      </c>
      <c r="F42" s="4027">
        <f t="shared" ca="1" si="11"/>
        <v>4.8702342831697136E-3</v>
      </c>
      <c r="G42" s="4027">
        <f t="shared" ca="1" si="11"/>
        <v>5.0543329551897189E-3</v>
      </c>
      <c r="H42" s="4027">
        <f t="shared" ca="1" si="11"/>
        <v>5.1125767981410513E-3</v>
      </c>
      <c r="I42" s="4027">
        <f t="shared" ca="1" si="11"/>
        <v>4.177155759443477E-3</v>
      </c>
      <c r="J42" s="4027">
        <f t="shared" ca="1" si="11"/>
        <v>3.5482415373902449E-3</v>
      </c>
      <c r="K42" s="4027">
        <f t="shared" ca="1" si="11"/>
        <v>2.9831821330273895E-3</v>
      </c>
      <c r="L42" s="4027">
        <f t="shared" ca="1" si="11"/>
        <v>2.5800746908150748E-3</v>
      </c>
      <c r="M42" s="4027">
        <f t="shared" ca="1" si="11"/>
        <v>2.2700027695791952E-3</v>
      </c>
      <c r="N42" s="3318"/>
      <c r="O42" s="3318"/>
      <c r="P42" s="3318"/>
      <c r="Q42" s="3306"/>
    </row>
    <row r="43" spans="2:17">
      <c r="B43" s="3303"/>
      <c r="C43" s="3315"/>
      <c r="D43" s="3318" t="s">
        <v>564</v>
      </c>
      <c r="E43" s="4027">
        <f t="shared" ref="E43:M43" ca="1" si="12">E20/E$31</f>
        <v>1.6029475479094859E-2</v>
      </c>
      <c r="F43" s="4027">
        <f t="shared" ca="1" si="12"/>
        <v>1.6279368316453189E-2</v>
      </c>
      <c r="G43" s="4027">
        <f t="shared" ca="1" si="12"/>
        <v>1.6894741194661656E-2</v>
      </c>
      <c r="H43" s="4027">
        <f t="shared" ca="1" si="12"/>
        <v>1.6189984930259242E-2</v>
      </c>
      <c r="I43" s="4027">
        <f t="shared" ca="1" si="12"/>
        <v>0</v>
      </c>
      <c r="J43" s="4027">
        <f t="shared" ca="1" si="12"/>
        <v>0</v>
      </c>
      <c r="K43" s="4027">
        <f t="shared" ca="1" si="12"/>
        <v>0</v>
      </c>
      <c r="L43" s="4027">
        <f t="shared" ca="1" si="12"/>
        <v>0</v>
      </c>
      <c r="M43" s="4027">
        <f t="shared" ca="1" si="12"/>
        <v>0</v>
      </c>
      <c r="N43" s="3318"/>
      <c r="O43" s="3318"/>
      <c r="P43" s="3318"/>
      <c r="Q43" s="3306"/>
    </row>
    <row r="44" spans="2:17">
      <c r="B44" s="3303"/>
      <c r="C44" s="3315"/>
      <c r="D44" s="3318" t="s">
        <v>92</v>
      </c>
      <c r="E44" s="4027">
        <f t="shared" ref="E44:M44" ca="1" si="13">E21/E$31</f>
        <v>7.1298497705162608E-4</v>
      </c>
      <c r="F44" s="4027">
        <f t="shared" ca="1" si="13"/>
        <v>1.4993159735513138E-3</v>
      </c>
      <c r="G44" s="4027">
        <f t="shared" ca="1" si="13"/>
        <v>1.2985571712314803E-3</v>
      </c>
      <c r="H44" s="4027">
        <f t="shared" ca="1" si="13"/>
        <v>1.0527864786004943E-3</v>
      </c>
      <c r="I44" s="4027">
        <f t="shared" ca="1" si="13"/>
        <v>6.8918453360697623E-4</v>
      </c>
      <c r="J44" s="4027">
        <f t="shared" ca="1" si="13"/>
        <v>4.4258940157792875E-4</v>
      </c>
      <c r="K44" s="4027">
        <f t="shared" ca="1" si="13"/>
        <v>2.5081025849750098E-4</v>
      </c>
      <c r="L44" s="4027">
        <f t="shared" ca="1" si="13"/>
        <v>1.0904508895444616E-4</v>
      </c>
      <c r="M44" s="4027">
        <f t="shared" ca="1" si="13"/>
        <v>0</v>
      </c>
      <c r="N44" s="3318"/>
      <c r="O44" s="3318"/>
      <c r="P44" s="3318"/>
      <c r="Q44" s="3306"/>
    </row>
    <row r="45" spans="2:17">
      <c r="B45" s="3303"/>
      <c r="C45" s="3315"/>
      <c r="D45" s="3318" t="s">
        <v>402</v>
      </c>
      <c r="E45" s="4027">
        <f t="shared" ref="E45:M45" ca="1" si="14">E22/E$31</f>
        <v>4.8835351422660753E-3</v>
      </c>
      <c r="F45" s="4027">
        <f t="shared" ca="1" si="14"/>
        <v>1.0272641876397121E-2</v>
      </c>
      <c r="G45" s="4027">
        <f t="shared" ca="1" si="14"/>
        <v>3.6380059143744391E-2</v>
      </c>
      <c r="H45" s="4027">
        <f t="shared" ca="1" si="14"/>
        <v>7.5919816702786511E-2</v>
      </c>
      <c r="I45" s="4027">
        <f t="shared" ca="1" si="14"/>
        <v>0.10199504260419434</v>
      </c>
      <c r="J45" s="4027">
        <f t="shared" ca="1" si="14"/>
        <v>0.10794260733376919</v>
      </c>
      <c r="K45" s="4027">
        <f t="shared" ca="1" si="14"/>
        <v>0.1214260936876338</v>
      </c>
      <c r="L45" s="4027">
        <f t="shared" ca="1" si="14"/>
        <v>0.11561170962376686</v>
      </c>
      <c r="M45" s="4027">
        <f t="shared" ca="1" si="14"/>
        <v>0.10233478739728082</v>
      </c>
      <c r="N45" s="3318"/>
      <c r="O45" s="3318"/>
      <c r="P45" s="3318"/>
      <c r="Q45" s="3306"/>
    </row>
    <row r="46" spans="2:17">
      <c r="B46" s="3303"/>
      <c r="C46" s="3315"/>
      <c r="D46" s="3318" t="s">
        <v>401</v>
      </c>
      <c r="E46" s="4027">
        <f t="shared" ref="E46:M46" ca="1" si="15">E23/E$31</f>
        <v>2.0074246458319797E-3</v>
      </c>
      <c r="F46" s="4027">
        <f t="shared" ca="1" si="15"/>
        <v>2.020596563890736E-2</v>
      </c>
      <c r="G46" s="4027">
        <f t="shared" ca="1" si="15"/>
        <v>7.3181793120218344E-2</v>
      </c>
      <c r="H46" s="4027">
        <f t="shared" ca="1" si="15"/>
        <v>0.12800821226262055</v>
      </c>
      <c r="I46" s="4027">
        <f t="shared" ca="1" si="15"/>
        <v>0.1614694745047025</v>
      </c>
      <c r="J46" s="4027">
        <f t="shared" ca="1" si="15"/>
        <v>0.20093577889642911</v>
      </c>
      <c r="K46" s="4027">
        <f t="shared" ca="1" si="15"/>
        <v>0.23676199767713543</v>
      </c>
      <c r="L46" s="4027">
        <f t="shared" ca="1" si="15"/>
        <v>0.26677295292040482</v>
      </c>
      <c r="M46" s="4027">
        <f t="shared" ca="1" si="15"/>
        <v>0.29725074346788122</v>
      </c>
      <c r="N46" s="3318"/>
      <c r="O46" s="3318"/>
      <c r="P46" s="3318"/>
      <c r="Q46" s="3306"/>
    </row>
    <row r="47" spans="2:17">
      <c r="B47" s="3303"/>
      <c r="C47" s="3315"/>
      <c r="D47" s="3318" t="s">
        <v>2653</v>
      </c>
      <c r="E47" s="4027">
        <f t="shared" ref="E47:M47" ca="1" si="16">E24/E$31</f>
        <v>7.0237100748938965E-3</v>
      </c>
      <c r="F47" s="4027">
        <f t="shared" ca="1" si="16"/>
        <v>8.4437827583779389E-3</v>
      </c>
      <c r="G47" s="4027">
        <f t="shared" ca="1" si="16"/>
        <v>1.9678318753894083E-2</v>
      </c>
      <c r="H47" s="4027">
        <f t="shared" ca="1" si="16"/>
        <v>0</v>
      </c>
      <c r="I47" s="4027">
        <f t="shared" ca="1" si="16"/>
        <v>0</v>
      </c>
      <c r="J47" s="4027">
        <f t="shared" ca="1" si="16"/>
        <v>0</v>
      </c>
      <c r="K47" s="4027">
        <f t="shared" ca="1" si="16"/>
        <v>0</v>
      </c>
      <c r="L47" s="4027">
        <f t="shared" ca="1" si="16"/>
        <v>0</v>
      </c>
      <c r="M47" s="4027">
        <f t="shared" ca="1" si="16"/>
        <v>0</v>
      </c>
      <c r="N47" s="3318"/>
      <c r="O47" s="3318"/>
      <c r="P47" s="3318"/>
      <c r="Q47" s="3306"/>
    </row>
    <row r="48" spans="2:17">
      <c r="B48" s="3303"/>
      <c r="C48" s="3315"/>
      <c r="D48" s="3318" t="s">
        <v>3386</v>
      </c>
      <c r="E48" s="4027">
        <f t="shared" ref="E48:M48" ca="1" si="17">E25/E$31</f>
        <v>5.3859037609758728E-2</v>
      </c>
      <c r="F48" s="4027">
        <f t="shared" ca="1" si="17"/>
        <v>4.5582231286068926E-2</v>
      </c>
      <c r="G48" s="4027">
        <f t="shared" ca="1" si="17"/>
        <v>1.3515792955729305E-2</v>
      </c>
      <c r="H48" s="4027">
        <f t="shared" ca="1" si="17"/>
        <v>1.2951987944207375E-2</v>
      </c>
      <c r="I48" s="4027">
        <f t="shared" ca="1" si="17"/>
        <v>0</v>
      </c>
      <c r="J48" s="4027">
        <f t="shared" ca="1" si="17"/>
        <v>0</v>
      </c>
      <c r="K48" s="4027">
        <f t="shared" ca="1" si="17"/>
        <v>0</v>
      </c>
      <c r="L48" s="4027">
        <f t="shared" ca="1" si="17"/>
        <v>0</v>
      </c>
      <c r="M48" s="4027">
        <f t="shared" ca="1" si="17"/>
        <v>0</v>
      </c>
      <c r="N48" s="3318"/>
      <c r="O48" s="3318"/>
      <c r="P48" s="3318"/>
      <c r="Q48" s="3306"/>
    </row>
    <row r="49" spans="2:17">
      <c r="B49" s="3303"/>
      <c r="C49" s="3315"/>
      <c r="D49" s="3318" t="s">
        <v>2648</v>
      </c>
      <c r="E49" s="4027">
        <f t="shared" ref="E49:M49" ca="1" si="18">E26/E$31</f>
        <v>9.3626762522276225E-2</v>
      </c>
      <c r="F49" s="4027">
        <f t="shared" ca="1" si="18"/>
        <v>8.7048284370005169E-2</v>
      </c>
      <c r="G49" s="4027">
        <f t="shared" ca="1" si="18"/>
        <v>3.3502842908396204E-3</v>
      </c>
      <c r="H49" s="4027">
        <f t="shared" ca="1" si="18"/>
        <v>0</v>
      </c>
      <c r="I49" s="4027">
        <f t="shared" ca="1" si="18"/>
        <v>0</v>
      </c>
      <c r="J49" s="4027">
        <f t="shared" ca="1" si="18"/>
        <v>0</v>
      </c>
      <c r="K49" s="4027">
        <f t="shared" ca="1" si="18"/>
        <v>0</v>
      </c>
      <c r="L49" s="4027">
        <f t="shared" ca="1" si="18"/>
        <v>0</v>
      </c>
      <c r="M49" s="4027">
        <f t="shared" ca="1" si="18"/>
        <v>0</v>
      </c>
      <c r="N49" s="3318"/>
      <c r="O49" s="3318"/>
      <c r="P49" s="3318"/>
      <c r="Q49" s="3306"/>
    </row>
    <row r="50" spans="2:17">
      <c r="B50" s="3303"/>
      <c r="C50" s="3315"/>
      <c r="D50" s="3318" t="s">
        <v>388</v>
      </c>
      <c r="E50" s="4027">
        <f t="shared" ref="E50:M50" ca="1" si="19">E27/E$31</f>
        <v>0</v>
      </c>
      <c r="F50" s="4027">
        <f t="shared" ca="1" si="19"/>
        <v>0</v>
      </c>
      <c r="G50" s="4027">
        <f t="shared" ca="1" si="19"/>
        <v>0</v>
      </c>
      <c r="H50" s="4027">
        <f t="shared" ca="1" si="19"/>
        <v>0</v>
      </c>
      <c r="I50" s="4027">
        <f t="shared" ca="1" si="19"/>
        <v>0</v>
      </c>
      <c r="J50" s="4027">
        <f t="shared" ca="1" si="19"/>
        <v>0</v>
      </c>
      <c r="K50" s="4027">
        <f t="shared" ca="1" si="19"/>
        <v>0</v>
      </c>
      <c r="L50" s="4027">
        <f t="shared" ca="1" si="19"/>
        <v>0</v>
      </c>
      <c r="M50" s="4027">
        <f t="shared" ca="1" si="19"/>
        <v>0</v>
      </c>
      <c r="N50" s="3318"/>
      <c r="O50" s="3318"/>
      <c r="P50" s="3318"/>
      <c r="Q50" s="3306"/>
    </row>
    <row r="51" spans="2:17">
      <c r="B51" s="3303"/>
      <c r="C51" s="3315"/>
      <c r="D51" s="3318" t="s">
        <v>2650</v>
      </c>
      <c r="E51" s="4027">
        <f t="shared" ref="E51:M51" ca="1" si="20">E28/E$31</f>
        <v>0.48948316606611003</v>
      </c>
      <c r="F51" s="4027">
        <f t="shared" ca="1" si="20"/>
        <v>0.45861562505216596</v>
      </c>
      <c r="G51" s="4027">
        <f t="shared" ca="1" si="20"/>
        <v>0.44691727079501475</v>
      </c>
      <c r="H51" s="4027">
        <f t="shared" ca="1" si="20"/>
        <v>0.39961296886166003</v>
      </c>
      <c r="I51" s="4027">
        <f t="shared" ca="1" si="20"/>
        <v>0.31140192087094387</v>
      </c>
      <c r="J51" s="4027">
        <f t="shared" ca="1" si="20"/>
        <v>0.25194073403287004</v>
      </c>
      <c r="K51" s="4027">
        <f t="shared" ca="1" si="20"/>
        <v>0.20203472676119721</v>
      </c>
      <c r="L51" s="4027">
        <f t="shared" ca="1" si="20"/>
        <v>0.16648642698654864</v>
      </c>
      <c r="M51" s="4027">
        <f t="shared" ca="1" si="20"/>
        <v>0.13981341057392557</v>
      </c>
      <c r="N51" s="3318"/>
      <c r="O51" s="3318"/>
      <c r="P51" s="3318"/>
      <c r="Q51" s="3306"/>
    </row>
    <row r="52" spans="2:17">
      <c r="B52" s="3303"/>
      <c r="C52" s="3315"/>
      <c r="D52" s="3318" t="s">
        <v>389</v>
      </c>
      <c r="E52" s="4027">
        <f t="shared" ref="E52:M52" ca="1" si="21">E29/E$31</f>
        <v>0</v>
      </c>
      <c r="F52" s="4027">
        <f t="shared" ca="1" si="21"/>
        <v>1.1431556397876633E-2</v>
      </c>
      <c r="G52" s="4027">
        <f t="shared" ca="1" si="21"/>
        <v>0.23652637672526286</v>
      </c>
      <c r="H52" s="4027">
        <f t="shared" ca="1" si="21"/>
        <v>6.4759939721036872E-2</v>
      </c>
      <c r="I52" s="4027">
        <f t="shared" ca="1" si="21"/>
        <v>0</v>
      </c>
      <c r="J52" s="4027">
        <f t="shared" ca="1" si="21"/>
        <v>0</v>
      </c>
      <c r="K52" s="4027">
        <f t="shared" ca="1" si="21"/>
        <v>0</v>
      </c>
      <c r="L52" s="4027">
        <f t="shared" ca="1" si="21"/>
        <v>0</v>
      </c>
      <c r="M52" s="4027">
        <f t="shared" ca="1" si="21"/>
        <v>0</v>
      </c>
      <c r="N52" s="3318"/>
      <c r="O52" s="3318"/>
      <c r="P52" s="3318"/>
      <c r="Q52" s="3306"/>
    </row>
    <row r="53" spans="2:17">
      <c r="B53" s="3303"/>
      <c r="C53" s="3315"/>
      <c r="D53" s="3318" t="s">
        <v>2654</v>
      </c>
      <c r="E53" s="4027">
        <f t="shared" ref="E53:M53" ca="1" si="22">E30/E$31</f>
        <v>0.29845353925456902</v>
      </c>
      <c r="F53" s="4027">
        <f t="shared" ca="1" si="22"/>
        <v>0.29722388022705376</v>
      </c>
      <c r="G53" s="4027">
        <f t="shared" ca="1" si="22"/>
        <v>7.746627744906863E-2</v>
      </c>
      <c r="H53" s="4027">
        <f t="shared" ca="1" si="22"/>
        <v>0.19260571974118026</v>
      </c>
      <c r="I53" s="4027">
        <f t="shared" ca="1" si="22"/>
        <v>0.15723540326056085</v>
      </c>
      <c r="J53" s="4027">
        <f t="shared" ca="1" si="22"/>
        <v>0.16888273694455488</v>
      </c>
      <c r="K53" s="4027">
        <f t="shared" ca="1" si="22"/>
        <v>0.18783185505065253</v>
      </c>
      <c r="L53" s="4027">
        <f t="shared" ca="1" si="22"/>
        <v>0.20322084050674877</v>
      </c>
      <c r="M53" s="4027">
        <f t="shared" ca="1" si="22"/>
        <v>0.21569340424400377</v>
      </c>
      <c r="N53" s="3318"/>
      <c r="O53" s="3318"/>
      <c r="P53" s="3318"/>
      <c r="Q53" s="3306"/>
    </row>
    <row r="54" spans="2:17">
      <c r="B54" s="3303"/>
      <c r="C54" s="3315"/>
      <c r="D54" s="3318" t="s">
        <v>3383</v>
      </c>
      <c r="E54" s="4027">
        <f t="shared" ref="E54:M54" ca="1" si="23">E31/E$31</f>
        <v>1</v>
      </c>
      <c r="F54" s="4027">
        <f t="shared" ca="1" si="23"/>
        <v>1</v>
      </c>
      <c r="G54" s="4027">
        <f t="shared" ca="1" si="23"/>
        <v>1</v>
      </c>
      <c r="H54" s="4027">
        <f t="shared" ca="1" si="23"/>
        <v>1</v>
      </c>
      <c r="I54" s="4027">
        <f t="shared" ca="1" si="23"/>
        <v>1</v>
      </c>
      <c r="J54" s="4027">
        <f t="shared" ca="1" si="23"/>
        <v>1</v>
      </c>
      <c r="K54" s="4027">
        <f t="shared" ca="1" si="23"/>
        <v>1</v>
      </c>
      <c r="L54" s="4027">
        <f t="shared" ca="1" si="23"/>
        <v>1</v>
      </c>
      <c r="M54" s="4027">
        <f t="shared" ca="1" si="23"/>
        <v>1</v>
      </c>
      <c r="N54" s="3318"/>
      <c r="O54" s="3318"/>
      <c r="P54" s="3318"/>
      <c r="Q54" s="3306"/>
    </row>
    <row r="55" spans="2:17">
      <c r="B55" s="3303"/>
      <c r="C55" s="3315"/>
      <c r="D55" s="3318" t="s">
        <v>3371</v>
      </c>
      <c r="E55" s="4021" t="str">
        <f ca="1">IF(ROUND(E54,2)=1,"Ok","Error")</f>
        <v>Ok</v>
      </c>
      <c r="F55" s="4021" t="str">
        <f t="shared" ref="F55:M55" ca="1" si="24">IF(ROUND(F54,2)=1,"Ok","Error")</f>
        <v>Ok</v>
      </c>
      <c r="G55" s="4021" t="str">
        <f t="shared" ca="1" si="24"/>
        <v>Ok</v>
      </c>
      <c r="H55" s="4021" t="str">
        <f t="shared" ca="1" si="24"/>
        <v>Ok</v>
      </c>
      <c r="I55" s="4021" t="str">
        <f t="shared" ca="1" si="24"/>
        <v>Ok</v>
      </c>
      <c r="J55" s="4021" t="str">
        <f t="shared" ca="1" si="24"/>
        <v>Ok</v>
      </c>
      <c r="K55" s="4021" t="str">
        <f t="shared" ca="1" si="24"/>
        <v>Ok</v>
      </c>
      <c r="L55" s="4021" t="str">
        <f t="shared" ca="1" si="24"/>
        <v>Ok</v>
      </c>
      <c r="M55" s="4021" t="str">
        <f t="shared" ca="1" si="24"/>
        <v>Ok</v>
      </c>
      <c r="N55" s="3318"/>
      <c r="O55" s="3318"/>
      <c r="P55" s="3318"/>
      <c r="Q55" s="3306"/>
    </row>
    <row r="56" spans="2:17">
      <c r="B56" s="3303"/>
      <c r="C56" s="3315"/>
      <c r="D56" s="3318"/>
      <c r="E56" s="3316"/>
      <c r="F56" s="3316"/>
      <c r="G56" s="3318"/>
      <c r="H56" s="3318"/>
      <c r="I56" s="3318"/>
      <c r="J56" s="3318"/>
      <c r="K56" s="3318"/>
      <c r="L56" s="3318"/>
      <c r="M56" s="3318"/>
      <c r="N56" s="3318"/>
      <c r="O56" s="3318"/>
      <c r="P56" s="3318"/>
      <c r="Q56" s="3306"/>
    </row>
    <row r="57" spans="2:17">
      <c r="B57" s="3303"/>
      <c r="C57" s="4006" t="s">
        <v>3385</v>
      </c>
      <c r="D57" s="3318"/>
      <c r="E57" s="3316"/>
      <c r="F57" s="3316"/>
      <c r="G57" s="3318"/>
      <c r="H57" s="3318"/>
      <c r="I57" s="3318"/>
      <c r="J57" s="3318"/>
      <c r="K57" s="3318"/>
      <c r="L57" s="3318"/>
      <c r="M57" s="3318"/>
      <c r="N57" s="3318"/>
      <c r="O57" s="3318"/>
      <c r="P57" s="3318"/>
      <c r="Q57" s="3306"/>
    </row>
    <row r="58" spans="2:17">
      <c r="B58" s="3303"/>
      <c r="C58" s="4006"/>
      <c r="D58" s="3318"/>
      <c r="E58" s="3316"/>
      <c r="F58" s="3316"/>
      <c r="G58" s="3318"/>
      <c r="H58" s="3318"/>
      <c r="I58" s="3318"/>
      <c r="J58" s="3318"/>
      <c r="K58" s="3318"/>
      <c r="L58" s="3318"/>
      <c r="M58" s="4022" t="s">
        <v>3372</v>
      </c>
      <c r="N58" s="3318"/>
      <c r="O58" s="3318"/>
      <c r="P58" s="3318"/>
      <c r="Q58" s="3306"/>
    </row>
    <row r="59" spans="2:17">
      <c r="B59" s="3303"/>
      <c r="C59" s="4006"/>
      <c r="D59" s="3312" t="s">
        <v>28</v>
      </c>
      <c r="E59" s="3313">
        <v>2013</v>
      </c>
      <c r="F59" s="3313">
        <v>2015</v>
      </c>
      <c r="G59" s="3313">
        <v>2020</v>
      </c>
      <c r="H59" s="3313">
        <v>2025</v>
      </c>
      <c r="I59" s="3313">
        <v>2030</v>
      </c>
      <c r="J59" s="3313">
        <v>2035</v>
      </c>
      <c r="K59" s="3313">
        <v>2040</v>
      </c>
      <c r="L59" s="3313">
        <v>2045</v>
      </c>
      <c r="M59" s="3314">
        <v>2050</v>
      </c>
      <c r="N59" s="4014"/>
      <c r="O59" s="3318"/>
      <c r="P59" s="3318"/>
      <c r="Q59" s="3306"/>
    </row>
    <row r="60" spans="2:17">
      <c r="B60" s="3304"/>
      <c r="C60" s="4028" t="s">
        <v>3409</v>
      </c>
      <c r="D60" s="3318" t="s">
        <v>396</v>
      </c>
      <c r="E60" s="4023">
        <f ca="1">IF(E36&gt;0,-E36*LN(E36),0)</f>
        <v>0</v>
      </c>
      <c r="F60" s="4023">
        <f t="shared" ref="F60:M60" ca="1" si="25">IF(F36&gt;0,-F36*LN(F36),0)</f>
        <v>0</v>
      </c>
      <c r="G60" s="4023">
        <f t="shared" ca="1" si="25"/>
        <v>0</v>
      </c>
      <c r="H60" s="4023">
        <f t="shared" ca="1" si="25"/>
        <v>0</v>
      </c>
      <c r="I60" s="4023">
        <f t="shared" ca="1" si="25"/>
        <v>0.24682710318503814</v>
      </c>
      <c r="J60" s="4023">
        <f t="shared" ca="1" si="25"/>
        <v>0.22538007100894009</v>
      </c>
      <c r="K60" s="4023">
        <f t="shared" ca="1" si="25"/>
        <v>0.20353348030989443</v>
      </c>
      <c r="L60" s="4023">
        <f t="shared" ca="1" si="25"/>
        <v>0.18619700592172642</v>
      </c>
      <c r="M60" s="4023">
        <f t="shared" ca="1" si="25"/>
        <v>0.17170875779017694</v>
      </c>
      <c r="N60" s="3318"/>
      <c r="O60" s="3318"/>
      <c r="P60" s="3318"/>
      <c r="Q60" s="3306"/>
    </row>
    <row r="61" spans="2:17">
      <c r="B61" s="3303"/>
      <c r="C61" s="4006"/>
      <c r="D61" s="3318" t="s">
        <v>79</v>
      </c>
      <c r="E61" s="4023">
        <f t="shared" ref="E61:M61" ca="1" si="26">IF(E37&gt;0,-E37*LN(E37),0)</f>
        <v>2.1697072005459478E-3</v>
      </c>
      <c r="F61" s="4023">
        <f t="shared" ca="1" si="26"/>
        <v>1.2027128770387616E-2</v>
      </c>
      <c r="G61" s="4023">
        <f t="shared" ca="1" si="26"/>
        <v>3.3312565232821514E-2</v>
      </c>
      <c r="H61" s="4023">
        <f t="shared" ca="1" si="26"/>
        <v>5.0326066597554515E-2</v>
      </c>
      <c r="I61" s="4023">
        <f t="shared" ca="1" si="26"/>
        <v>6.7472119618832302E-2</v>
      </c>
      <c r="J61" s="4023">
        <f t="shared" ca="1" si="26"/>
        <v>7.739807983729298E-2</v>
      </c>
      <c r="K61" s="4023">
        <f t="shared" ca="1" si="26"/>
        <v>8.2726868551879232E-2</v>
      </c>
      <c r="L61" s="4023">
        <f t="shared" ca="1" si="26"/>
        <v>8.6743953066316951E-2</v>
      </c>
      <c r="M61" s="4023">
        <f t="shared" ca="1" si="26"/>
        <v>9.0263080566377343E-2</v>
      </c>
      <c r="N61" s="3318"/>
      <c r="O61" s="3318"/>
      <c r="P61" s="3318"/>
      <c r="Q61" s="3306"/>
    </row>
    <row r="62" spans="2:17">
      <c r="B62" s="3303"/>
      <c r="C62" s="4006"/>
      <c r="D62" s="3318" t="s">
        <v>397</v>
      </c>
      <c r="E62" s="4023">
        <f t="shared" ref="E62:M62" ca="1" si="27">IF(E38&gt;0,-E38*LN(E38),0)</f>
        <v>0.1023215312844114</v>
      </c>
      <c r="F62" s="4023">
        <f t="shared" ca="1" si="27"/>
        <v>0.12101160360819413</v>
      </c>
      <c r="G62" s="4023">
        <f t="shared" ca="1" si="27"/>
        <v>0.17417886739688138</v>
      </c>
      <c r="H62" s="4023">
        <f t="shared" ca="1" si="27"/>
        <v>0.21388870191585713</v>
      </c>
      <c r="I62" s="4023">
        <f t="shared" ca="1" si="27"/>
        <v>0.25002096185802392</v>
      </c>
      <c r="J62" s="4023">
        <f t="shared" ca="1" si="27"/>
        <v>0.26062394787918275</v>
      </c>
      <c r="K62" s="4023">
        <f t="shared" ca="1" si="27"/>
        <v>0.25503679732012474</v>
      </c>
      <c r="L62" s="4023">
        <f t="shared" ca="1" si="27"/>
        <v>0.26199673140133334</v>
      </c>
      <c r="M62" s="4023">
        <f t="shared" ca="1" si="27"/>
        <v>0.26680438087666741</v>
      </c>
      <c r="N62" s="3318"/>
      <c r="O62" s="3318"/>
      <c r="P62" s="3318"/>
      <c r="Q62" s="3306"/>
    </row>
    <row r="63" spans="2:17">
      <c r="B63" s="3303"/>
      <c r="C63" s="4006"/>
      <c r="D63" s="3318" t="s">
        <v>398</v>
      </c>
      <c r="E63" s="4023">
        <f t="shared" ref="E63:M63" ca="1" si="28">IF(E39&gt;0,-E39*LN(E39),0)</f>
        <v>0</v>
      </c>
      <c r="F63" s="4023">
        <f t="shared" ca="1" si="28"/>
        <v>0</v>
      </c>
      <c r="G63" s="4023">
        <f t="shared" ca="1" si="28"/>
        <v>0</v>
      </c>
      <c r="H63" s="4023">
        <f t="shared" ca="1" si="28"/>
        <v>1.265645583347323E-2</v>
      </c>
      <c r="I63" s="4023">
        <f t="shared" ca="1" si="28"/>
        <v>1.9041601097703826E-2</v>
      </c>
      <c r="J63" s="4023">
        <f t="shared" ca="1" si="28"/>
        <v>3.5095837203719692E-2</v>
      </c>
      <c r="K63" s="4023">
        <f t="shared" ca="1" si="28"/>
        <v>3.0541051411625605E-2</v>
      </c>
      <c r="L63" s="4023">
        <f t="shared" ca="1" si="28"/>
        <v>3.9582526669867717E-2</v>
      </c>
      <c r="M63" s="4023">
        <f t="shared" ca="1" si="28"/>
        <v>3.5754965367974817E-2</v>
      </c>
      <c r="N63" s="3318"/>
      <c r="O63" s="3318"/>
      <c r="P63" s="3318"/>
      <c r="Q63" s="3306"/>
    </row>
    <row r="64" spans="2:17">
      <c r="B64" s="3303"/>
      <c r="C64" s="4006"/>
      <c r="D64" s="3318" t="s">
        <v>399</v>
      </c>
      <c r="E64" s="4023">
        <f t="shared" ref="E64:M64" ca="1" si="29">IF(E40&gt;0,-E40*LN(E40),0)</f>
        <v>0</v>
      </c>
      <c r="F64" s="4023">
        <f t="shared" ca="1" si="29"/>
        <v>2.7262050594787778E-4</v>
      </c>
      <c r="G64" s="4023">
        <f t="shared" ca="1" si="29"/>
        <v>8.215173523613543E-4</v>
      </c>
      <c r="H64" s="4023">
        <f t="shared" ca="1" si="29"/>
        <v>1.5123442937237424E-2</v>
      </c>
      <c r="I64" s="4023">
        <f t="shared" ca="1" si="29"/>
        <v>5.9025910220224152E-2</v>
      </c>
      <c r="J64" s="4023">
        <f t="shared" ca="1" si="29"/>
        <v>7.0955780267774257E-2</v>
      </c>
      <c r="K64" s="4023">
        <f t="shared" ca="1" si="29"/>
        <v>7.7293988682979722E-2</v>
      </c>
      <c r="L64" s="4023">
        <f t="shared" ca="1" si="29"/>
        <v>6.9319927089113137E-2</v>
      </c>
      <c r="M64" s="4023">
        <f t="shared" ca="1" si="29"/>
        <v>7.221162168321095E-2</v>
      </c>
      <c r="N64" s="3318"/>
      <c r="O64" s="3318"/>
      <c r="P64" s="3318"/>
      <c r="Q64" s="3306"/>
    </row>
    <row r="65" spans="2:17">
      <c r="B65" s="3303"/>
      <c r="C65" s="4006"/>
      <c r="D65" s="3318" t="s">
        <v>55</v>
      </c>
      <c r="E65" s="4023">
        <f t="shared" ref="E65:M65" ca="1" si="30">IF(E41&gt;0,-E41*LN(E41),0)</f>
        <v>0</v>
      </c>
      <c r="F65" s="4023">
        <f t="shared" ca="1" si="30"/>
        <v>0</v>
      </c>
      <c r="G65" s="4023">
        <f t="shared" ca="1" si="30"/>
        <v>0</v>
      </c>
      <c r="H65" s="4023">
        <f t="shared" ca="1" si="30"/>
        <v>0</v>
      </c>
      <c r="I65" s="4023">
        <f t="shared" ca="1" si="30"/>
        <v>0</v>
      </c>
      <c r="J65" s="4023">
        <f t="shared" ca="1" si="30"/>
        <v>0</v>
      </c>
      <c r="K65" s="4023">
        <f t="shared" ca="1" si="30"/>
        <v>0</v>
      </c>
      <c r="L65" s="4023">
        <f t="shared" ca="1" si="30"/>
        <v>0</v>
      </c>
      <c r="M65" s="4023">
        <f t="shared" ca="1" si="30"/>
        <v>0</v>
      </c>
      <c r="N65" s="3318"/>
      <c r="O65" s="3318"/>
      <c r="P65" s="3318"/>
      <c r="Q65" s="3306"/>
    </row>
    <row r="66" spans="2:17">
      <c r="B66" s="3303"/>
      <c r="C66" s="4006"/>
      <c r="D66" s="3318" t="s">
        <v>400</v>
      </c>
      <c r="E66" s="4023">
        <f t="shared" ref="E66:M66" ca="1" si="31">IF(E42&gt;0,-E42*LN(E42),0)</f>
        <v>2.5608231458733557E-2</v>
      </c>
      <c r="F66" s="4023">
        <f t="shared" ca="1" si="31"/>
        <v>2.5932113924724623E-2</v>
      </c>
      <c r="G66" s="4023">
        <f t="shared" ca="1" si="31"/>
        <v>2.6724832974131779E-2</v>
      </c>
      <c r="H66" s="4023">
        <f t="shared" ca="1" si="31"/>
        <v>2.6974219691698754E-2</v>
      </c>
      <c r="I66" s="4023">
        <f t="shared" ca="1" si="31"/>
        <v>2.2882980159827891E-2</v>
      </c>
      <c r="J66" s="4023">
        <f t="shared" ca="1" si="31"/>
        <v>2.0016706125638412E-2</v>
      </c>
      <c r="K66" s="4023">
        <f t="shared" ca="1" si="31"/>
        <v>1.7346502215434271E-2</v>
      </c>
      <c r="L66" s="4023">
        <f t="shared" ca="1" si="31"/>
        <v>1.5377082433338603E-2</v>
      </c>
      <c r="M66" s="4023">
        <f t="shared" ca="1" si="31"/>
        <v>1.3819718357348888E-2</v>
      </c>
      <c r="N66" s="3318"/>
      <c r="O66" s="3318"/>
      <c r="P66" s="3318"/>
      <c r="Q66" s="3306"/>
    </row>
    <row r="67" spans="2:17">
      <c r="B67" s="3303"/>
      <c r="C67" s="4006"/>
      <c r="D67" s="3318" t="s">
        <v>564</v>
      </c>
      <c r="E67" s="4023">
        <f t="shared" ref="E67:M67" ca="1" si="32">IF(E43&gt;0,-E43*LN(E43),0)</f>
        <v>6.6255048310715783E-2</v>
      </c>
      <c r="F67" s="4023">
        <f t="shared" ca="1" si="32"/>
        <v>6.7036106225141834E-2</v>
      </c>
      <c r="G67" s="4023">
        <f t="shared" ca="1" si="32"/>
        <v>6.8943263742885841E-2</v>
      </c>
      <c r="H67" s="4023">
        <f t="shared" ca="1" si="32"/>
        <v>6.6757175799571813E-2</v>
      </c>
      <c r="I67" s="4023">
        <f t="shared" ca="1" si="32"/>
        <v>0</v>
      </c>
      <c r="J67" s="4023">
        <f t="shared" ca="1" si="32"/>
        <v>0</v>
      </c>
      <c r="K67" s="4023">
        <f t="shared" ca="1" si="32"/>
        <v>0</v>
      </c>
      <c r="L67" s="4023">
        <f t="shared" ca="1" si="32"/>
        <v>0</v>
      </c>
      <c r="M67" s="4023">
        <f t="shared" ca="1" si="32"/>
        <v>0</v>
      </c>
      <c r="N67" s="3318"/>
      <c r="O67" s="3318"/>
      <c r="P67" s="3318"/>
      <c r="Q67" s="3306"/>
    </row>
    <row r="68" spans="2:17">
      <c r="B68" s="3303"/>
      <c r="C68" s="4006"/>
      <c r="D68" s="3318" t="s">
        <v>92</v>
      </c>
      <c r="E68" s="4023">
        <f t="shared" ref="E68:M68" ca="1" si="33">IF(E44&gt;0,-E44*LN(E44),0)</f>
        <v>5.1663249411415908E-3</v>
      </c>
      <c r="F68" s="4023">
        <f t="shared" ca="1" si="33"/>
        <v>9.7496713883179608E-3</v>
      </c>
      <c r="G68" s="4023">
        <f t="shared" ca="1" si="33"/>
        <v>8.6308621853324313E-3</v>
      </c>
      <c r="H68" s="4023">
        <f t="shared" ca="1" si="33"/>
        <v>7.2182355573698212E-3</v>
      </c>
      <c r="I68" s="4023">
        <f t="shared" ca="1" si="33"/>
        <v>5.0172644347438343E-3</v>
      </c>
      <c r="J68" s="4023">
        <f t="shared" ca="1" si="33"/>
        <v>3.4180595604252186E-3</v>
      </c>
      <c r="K68" s="4023">
        <f t="shared" ca="1" si="33"/>
        <v>2.0794211641061667E-3</v>
      </c>
      <c r="L68" s="4023">
        <f t="shared" ca="1" si="33"/>
        <v>9.9490003233146276E-4</v>
      </c>
      <c r="M68" s="4023">
        <f t="shared" ca="1" si="33"/>
        <v>0</v>
      </c>
      <c r="N68" s="3318"/>
      <c r="O68" s="3318"/>
      <c r="P68" s="3318"/>
      <c r="Q68" s="3306"/>
    </row>
    <row r="69" spans="2:17">
      <c r="B69" s="3303"/>
      <c r="C69" s="4006"/>
      <c r="D69" s="3318" t="s">
        <v>402</v>
      </c>
      <c r="E69" s="4023">
        <f t="shared" ref="E69:M69" ca="1" si="34">IF(E45&gt;0,-E45*LN(E45),0)</f>
        <v>2.5989616849866205E-2</v>
      </c>
      <c r="F69" s="4023">
        <f t="shared" ca="1" si="34"/>
        <v>4.7030938868839585E-2</v>
      </c>
      <c r="G69" s="4023">
        <f t="shared" ca="1" si="34"/>
        <v>0.12055385637532558</v>
      </c>
      <c r="H69" s="4023">
        <f t="shared" ca="1" si="34"/>
        <v>0.19572717420874658</v>
      </c>
      <c r="I69" s="4023">
        <f t="shared" ca="1" si="34"/>
        <v>0.23283745212029588</v>
      </c>
      <c r="J69" s="4023">
        <f t="shared" ca="1" si="34"/>
        <v>0.24029704051619932</v>
      </c>
      <c r="K69" s="4023">
        <f t="shared" ca="1" si="34"/>
        <v>0.25602078454177707</v>
      </c>
      <c r="L69" s="4023">
        <f t="shared" ca="1" si="34"/>
        <v>0.24943434840288559</v>
      </c>
      <c r="M69" s="4023">
        <f t="shared" ca="1" si="34"/>
        <v>0.23327272207976213</v>
      </c>
      <c r="N69" s="3318"/>
      <c r="O69" s="3318"/>
      <c r="P69" s="3318"/>
      <c r="Q69" s="3306"/>
    </row>
    <row r="70" spans="2:17">
      <c r="B70" s="3303"/>
      <c r="C70" s="4006"/>
      <c r="D70" s="3318" t="s">
        <v>401</v>
      </c>
      <c r="E70" s="4023">
        <f t="shared" ref="E70:M70" ca="1" si="35">IF(E46&gt;0,-E46*LN(E46),0)</f>
        <v>1.246791905080832E-2</v>
      </c>
      <c r="F70" s="4023">
        <f t="shared" ca="1" si="35"/>
        <v>7.8839179863248621E-2</v>
      </c>
      <c r="G70" s="4023">
        <f t="shared" ca="1" si="35"/>
        <v>0.19135638324498647</v>
      </c>
      <c r="H70" s="4023">
        <f t="shared" ca="1" si="35"/>
        <v>0.26314147155564455</v>
      </c>
      <c r="I70" s="4023">
        <f t="shared" ca="1" si="35"/>
        <v>0.29442976401239274</v>
      </c>
      <c r="J70" s="4023">
        <f t="shared" ca="1" si="35"/>
        <v>0.32245569582499045</v>
      </c>
      <c r="K70" s="4023">
        <f t="shared" ca="1" si="35"/>
        <v>0.3411029796611148</v>
      </c>
      <c r="L70" s="4023">
        <f t="shared" ca="1" si="35"/>
        <v>0.35250240103950936</v>
      </c>
      <c r="M70" s="4023">
        <f t="shared" ca="1" si="35"/>
        <v>0.36061843172184216</v>
      </c>
      <c r="N70" s="3318"/>
      <c r="O70" s="3318"/>
      <c r="P70" s="3318"/>
      <c r="Q70" s="3306"/>
    </row>
    <row r="71" spans="2:17">
      <c r="B71" s="3303"/>
      <c r="C71" s="4006"/>
      <c r="D71" s="3318" t="s">
        <v>2653</v>
      </c>
      <c r="E71" s="4023">
        <f t="shared" ref="E71:M71" ca="1" si="36">IF(E47&gt;0,-E47*LN(E47),0)</f>
        <v>3.4826811444664339E-2</v>
      </c>
      <c r="F71" s="4023">
        <f t="shared" ca="1" si="36"/>
        <v>4.0313362076458935E-2</v>
      </c>
      <c r="G71" s="4023">
        <f t="shared" ca="1" si="36"/>
        <v>7.7301115966591477E-2</v>
      </c>
      <c r="H71" s="4023">
        <f t="shared" ca="1" si="36"/>
        <v>0</v>
      </c>
      <c r="I71" s="4023">
        <f t="shared" ca="1" si="36"/>
        <v>0</v>
      </c>
      <c r="J71" s="4023">
        <f t="shared" ca="1" si="36"/>
        <v>0</v>
      </c>
      <c r="K71" s="4023">
        <f t="shared" ca="1" si="36"/>
        <v>0</v>
      </c>
      <c r="L71" s="4023">
        <f t="shared" ca="1" si="36"/>
        <v>0</v>
      </c>
      <c r="M71" s="4023">
        <f t="shared" ca="1" si="36"/>
        <v>0</v>
      </c>
      <c r="N71" s="3318"/>
      <c r="O71" s="3318"/>
      <c r="P71" s="3318"/>
      <c r="Q71" s="3306"/>
    </row>
    <row r="72" spans="2:17">
      <c r="B72" s="3303"/>
      <c r="C72" s="4006"/>
      <c r="D72" s="3318" t="s">
        <v>387</v>
      </c>
      <c r="E72" s="4023">
        <f t="shared" ref="E72:M72" ca="1" si="37">IF(E48&gt;0,-E48*LN(E48),0)</f>
        <v>0.15734298782587181</v>
      </c>
      <c r="F72" s="4023">
        <f t="shared" ca="1" si="37"/>
        <v>0.14076874701981812</v>
      </c>
      <c r="G72" s="4023">
        <f t="shared" ca="1" si="37"/>
        <v>5.8170573033277627E-2</v>
      </c>
      <c r="H72" s="4023">
        <f t="shared" ca="1" si="37"/>
        <v>5.6295893226106647E-2</v>
      </c>
      <c r="I72" s="4023">
        <f t="shared" ca="1" si="37"/>
        <v>0</v>
      </c>
      <c r="J72" s="4023">
        <f t="shared" ca="1" si="37"/>
        <v>0</v>
      </c>
      <c r="K72" s="4023">
        <f t="shared" ca="1" si="37"/>
        <v>0</v>
      </c>
      <c r="L72" s="4023">
        <f t="shared" ca="1" si="37"/>
        <v>0</v>
      </c>
      <c r="M72" s="4023">
        <f t="shared" ca="1" si="37"/>
        <v>0</v>
      </c>
      <c r="N72" s="3318"/>
      <c r="O72" s="3318"/>
      <c r="P72" s="3318"/>
      <c r="Q72" s="3306"/>
    </row>
    <row r="73" spans="2:17">
      <c r="B73" s="3303"/>
      <c r="C73" s="4006"/>
      <c r="D73" s="3318" t="s">
        <v>2648</v>
      </c>
      <c r="E73" s="4023">
        <f t="shared" ref="E73:M73" ca="1" si="38">IF(E49&gt;0,-E49*LN(E49),0)</f>
        <v>0.22174927692350965</v>
      </c>
      <c r="F73" s="4023">
        <f t="shared" ca="1" si="38"/>
        <v>0.21251030823401748</v>
      </c>
      <c r="G73" s="4023">
        <f t="shared" ca="1" si="38"/>
        <v>1.9092298838330503E-2</v>
      </c>
      <c r="H73" s="4023">
        <f t="shared" ca="1" si="38"/>
        <v>0</v>
      </c>
      <c r="I73" s="4023">
        <f t="shared" ca="1" si="38"/>
        <v>0</v>
      </c>
      <c r="J73" s="4023">
        <f t="shared" ca="1" si="38"/>
        <v>0</v>
      </c>
      <c r="K73" s="4023">
        <f t="shared" ca="1" si="38"/>
        <v>0</v>
      </c>
      <c r="L73" s="4023">
        <f t="shared" ca="1" si="38"/>
        <v>0</v>
      </c>
      <c r="M73" s="4023">
        <f t="shared" ca="1" si="38"/>
        <v>0</v>
      </c>
      <c r="N73" s="3318"/>
      <c r="O73" s="3318"/>
      <c r="P73" s="3318"/>
      <c r="Q73" s="3306"/>
    </row>
    <row r="74" spans="2:17">
      <c r="B74" s="3303"/>
      <c r="C74" s="4006"/>
      <c r="D74" s="3318" t="s">
        <v>388</v>
      </c>
      <c r="E74" s="4023">
        <f t="shared" ref="E74:M74" ca="1" si="39">IF(E50&gt;0,-E50*LN(E50),0)</f>
        <v>0</v>
      </c>
      <c r="F74" s="4023">
        <f t="shared" ca="1" si="39"/>
        <v>0</v>
      </c>
      <c r="G74" s="4023">
        <f t="shared" ca="1" si="39"/>
        <v>0</v>
      </c>
      <c r="H74" s="4023">
        <f t="shared" ca="1" si="39"/>
        <v>0</v>
      </c>
      <c r="I74" s="4023">
        <f t="shared" ca="1" si="39"/>
        <v>0</v>
      </c>
      <c r="J74" s="4023">
        <f t="shared" ca="1" si="39"/>
        <v>0</v>
      </c>
      <c r="K74" s="4023">
        <f t="shared" ca="1" si="39"/>
        <v>0</v>
      </c>
      <c r="L74" s="4023">
        <f t="shared" ca="1" si="39"/>
        <v>0</v>
      </c>
      <c r="M74" s="4023">
        <f t="shared" ca="1" si="39"/>
        <v>0</v>
      </c>
      <c r="N74" s="3318"/>
      <c r="O74" s="3318"/>
      <c r="P74" s="3318"/>
      <c r="Q74" s="3306"/>
    </row>
    <row r="75" spans="2:17">
      <c r="B75" s="3303"/>
      <c r="C75" s="4006"/>
      <c r="D75" s="3318" t="s">
        <v>2650</v>
      </c>
      <c r="E75" s="4023">
        <f t="shared" ref="E75:M75" ca="1" si="40">IF(E51&gt;0,-E51*LN(E51),0)</f>
        <v>0.34968932290048466</v>
      </c>
      <c r="F75" s="4023">
        <f t="shared" ca="1" si="40"/>
        <v>0.35751052587637</v>
      </c>
      <c r="G75" s="4023">
        <f t="shared" ca="1" si="40"/>
        <v>0.3599390261800916</v>
      </c>
      <c r="H75" s="4023">
        <f t="shared" ca="1" si="40"/>
        <v>0.36654850354119739</v>
      </c>
      <c r="I75" s="4023">
        <f t="shared" ca="1" si="40"/>
        <v>0.36330354405702869</v>
      </c>
      <c r="J75" s="4023">
        <f t="shared" ca="1" si="40"/>
        <v>0.3473157714132889</v>
      </c>
      <c r="K75" s="4023">
        <f t="shared" ca="1" si="40"/>
        <v>0.32311730675658595</v>
      </c>
      <c r="L75" s="4023">
        <f t="shared" ca="1" si="40"/>
        <v>0.29848377423703387</v>
      </c>
      <c r="M75" s="4023">
        <f t="shared" ca="1" si="40"/>
        <v>0.27507540905204769</v>
      </c>
      <c r="N75" s="3318"/>
      <c r="O75" s="3318"/>
      <c r="P75" s="3318"/>
      <c r="Q75" s="3306"/>
    </row>
    <row r="76" spans="2:17">
      <c r="B76" s="3303"/>
      <c r="C76" s="4006"/>
      <c r="D76" s="3318" t="s">
        <v>389</v>
      </c>
      <c r="E76" s="4023">
        <f t="shared" ref="E76:M76" ca="1" si="41">IF(E52&gt;0,-E52*LN(E52),0)</f>
        <v>0</v>
      </c>
      <c r="F76" s="4023">
        <f t="shared" ca="1" si="41"/>
        <v>5.1114805698183052E-2</v>
      </c>
      <c r="G76" s="4023">
        <f t="shared" ca="1" si="41"/>
        <v>0.34099902425625583</v>
      </c>
      <c r="H76" s="4023">
        <f t="shared" ca="1" si="41"/>
        <v>0.17725236393654947</v>
      </c>
      <c r="I76" s="4023">
        <f t="shared" ca="1" si="41"/>
        <v>0</v>
      </c>
      <c r="J76" s="4023">
        <f t="shared" ca="1" si="41"/>
        <v>0</v>
      </c>
      <c r="K76" s="4023">
        <f t="shared" ca="1" si="41"/>
        <v>0</v>
      </c>
      <c r="L76" s="4023">
        <f t="shared" ca="1" si="41"/>
        <v>0</v>
      </c>
      <c r="M76" s="4023">
        <f t="shared" ca="1" si="41"/>
        <v>0</v>
      </c>
      <c r="N76" s="3318"/>
      <c r="O76" s="3318"/>
      <c r="P76" s="3318"/>
      <c r="Q76" s="3306"/>
    </row>
    <row r="77" spans="2:17">
      <c r="B77" s="3303"/>
      <c r="C77" s="4006"/>
      <c r="D77" s="3318" t="s">
        <v>2654</v>
      </c>
      <c r="E77" s="4023">
        <f t="shared" ref="E77:M77" ca="1" si="42">IF(E53&gt;0,-E53*LN(E53),0)</f>
        <v>0.36087241259471914</v>
      </c>
      <c r="F77" s="4023">
        <f t="shared" ca="1" si="42"/>
        <v>0.36061270382263455</v>
      </c>
      <c r="G77" s="4023">
        <f t="shared" ca="1" si="42"/>
        <v>0.19815196460635276</v>
      </c>
      <c r="H77" s="4023">
        <f t="shared" ca="1" si="42"/>
        <v>0.31724282294156503</v>
      </c>
      <c r="I77" s="4023">
        <f t="shared" ca="1" si="42"/>
        <v>0.29088725907522001</v>
      </c>
      <c r="J77" s="4023">
        <f t="shared" ca="1" si="42"/>
        <v>0.30036650479684951</v>
      </c>
      <c r="K77" s="4023">
        <f t="shared" ca="1" si="42"/>
        <v>0.31409395027722836</v>
      </c>
      <c r="L77" s="4023">
        <f t="shared" ca="1" si="42"/>
        <v>0.32382468837565703</v>
      </c>
      <c r="M77" s="4023">
        <f t="shared" ca="1" si="42"/>
        <v>0.33085153135362033</v>
      </c>
      <c r="N77" s="3318"/>
      <c r="O77" s="4014" t="s">
        <v>3373</v>
      </c>
      <c r="P77" s="3318"/>
      <c r="Q77" s="3306"/>
    </row>
    <row r="78" spans="2:17">
      <c r="B78" s="3303"/>
      <c r="C78" s="3315"/>
      <c r="D78" s="4014" t="s">
        <v>3374</v>
      </c>
      <c r="E78" s="4024">
        <f ca="1">SUM(E60:E77)</f>
        <v>1.3644591907854724</v>
      </c>
      <c r="F78" s="4024">
        <f t="shared" ref="F78:M78" ca="1" si="43">SUM(F60:F77)</f>
        <v>1.5247298158822842</v>
      </c>
      <c r="G78" s="4024">
        <f t="shared" ca="1" si="43"/>
        <v>1.6781761513856264</v>
      </c>
      <c r="H78" s="4024">
        <f t="shared" ca="1" si="43"/>
        <v>1.7691525277425724</v>
      </c>
      <c r="I78" s="4024">
        <f t="shared" ca="1" si="43"/>
        <v>1.8517459598393315</v>
      </c>
      <c r="J78" s="4024">
        <f t="shared" ca="1" si="43"/>
        <v>1.9033234944343016</v>
      </c>
      <c r="K78" s="4024">
        <f t="shared" ca="1" si="43"/>
        <v>1.9028931308927506</v>
      </c>
      <c r="L78" s="4024">
        <f t="shared" ca="1" si="43"/>
        <v>1.8844573386691137</v>
      </c>
      <c r="M78" s="4024">
        <f t="shared" ca="1" si="43"/>
        <v>1.8503806188490288</v>
      </c>
      <c r="N78" s="3318"/>
      <c r="O78" s="4025">
        <f ca="1">LN(COUNT(M60:M77))</f>
        <v>2.8903717578961645</v>
      </c>
      <c r="P78" s="3318"/>
      <c r="Q78" s="3306"/>
    </row>
    <row r="79" spans="2:17">
      <c r="B79" s="3303"/>
      <c r="C79" s="3315" t="s">
        <v>5</v>
      </c>
      <c r="D79" s="3315"/>
      <c r="E79" s="3316"/>
      <c r="F79" s="3316"/>
      <c r="G79" s="3318"/>
      <c r="H79" s="3318"/>
      <c r="I79" s="3318"/>
      <c r="J79" s="3318"/>
      <c r="K79" s="3318"/>
      <c r="L79" s="3318"/>
      <c r="M79" s="3318"/>
      <c r="N79" s="3318"/>
      <c r="O79" s="3318"/>
      <c r="P79" s="3318"/>
      <c r="Q79" s="3306"/>
    </row>
    <row r="81" spans="2:17" ht="15.75">
      <c r="B81" s="3295" t="s">
        <v>3375</v>
      </c>
      <c r="C81" s="3296"/>
      <c r="D81" s="3296"/>
      <c r="E81" s="3296"/>
      <c r="F81" s="3296"/>
      <c r="G81" s="3297"/>
      <c r="H81" s="3297"/>
      <c r="I81" s="3297"/>
      <c r="J81" s="3297"/>
      <c r="K81" s="3297"/>
      <c r="L81" s="3297"/>
      <c r="M81" s="3297"/>
      <c r="N81" s="3297"/>
      <c r="O81" s="3297"/>
      <c r="P81" s="3297"/>
      <c r="Q81" s="3298"/>
    </row>
    <row r="82" spans="2:17" ht="15.75">
      <c r="B82" s="3299"/>
      <c r="C82" s="3300"/>
      <c r="D82" s="3300"/>
      <c r="E82" s="3300"/>
      <c r="F82" s="3300"/>
      <c r="G82" s="3301"/>
      <c r="H82" s="3301"/>
      <c r="I82" s="3301"/>
      <c r="J82" s="3301"/>
      <c r="K82" s="3301"/>
      <c r="L82" s="3301"/>
      <c r="M82" s="3301"/>
      <c r="N82" s="3301"/>
      <c r="O82" s="3301"/>
      <c r="P82" s="3301"/>
      <c r="Q82" s="3302"/>
    </row>
    <row r="83" spans="2:17" ht="15.75">
      <c r="B83" s="3902"/>
      <c r="C83" s="3304" t="s">
        <v>3388</v>
      </c>
      <c r="D83" s="3304"/>
      <c r="E83" s="3304"/>
      <c r="F83" s="3304"/>
      <c r="G83" s="3903"/>
      <c r="H83" s="3903"/>
      <c r="I83" s="3903"/>
      <c r="J83" s="3903"/>
      <c r="K83" s="3903"/>
      <c r="L83" s="3903"/>
      <c r="M83" s="3903"/>
      <c r="N83" s="3903"/>
      <c r="O83" s="3903"/>
      <c r="P83" s="3903"/>
      <c r="Q83" s="3905"/>
    </row>
    <row r="84" spans="2:17" ht="15.75">
      <c r="B84" s="3902"/>
      <c r="C84" s="3304"/>
      <c r="D84" s="3304"/>
      <c r="E84" s="3304"/>
      <c r="F84" s="3304"/>
      <c r="G84" s="3903"/>
      <c r="H84" s="3903"/>
      <c r="I84" s="3903"/>
      <c r="J84" s="3903"/>
      <c r="K84" s="3903"/>
      <c r="L84" s="3903"/>
      <c r="M84" s="3904" t="str">
        <f>Preferences.EnergyUnits</f>
        <v>TWh</v>
      </c>
      <c r="N84" s="3903"/>
      <c r="O84" s="3903"/>
      <c r="P84" s="3903"/>
      <c r="Q84" s="3905"/>
    </row>
    <row r="85" spans="2:17">
      <c r="B85" s="3303"/>
      <c r="C85" s="3311" t="s">
        <v>44</v>
      </c>
      <c r="D85" s="3312" t="s">
        <v>28</v>
      </c>
      <c r="E85" s="3313">
        <v>2013</v>
      </c>
      <c r="F85" s="3313">
        <v>2015</v>
      </c>
      <c r="G85" s="3313">
        <v>2020</v>
      </c>
      <c r="H85" s="3313">
        <v>2025</v>
      </c>
      <c r="I85" s="3313">
        <v>2030</v>
      </c>
      <c r="J85" s="3313">
        <v>2035</v>
      </c>
      <c r="K85" s="3313">
        <v>2040</v>
      </c>
      <c r="L85" s="3313">
        <v>2045</v>
      </c>
      <c r="M85" s="3314">
        <v>2050</v>
      </c>
      <c r="N85" s="3318"/>
      <c r="O85" s="3318"/>
      <c r="P85" s="3318"/>
      <c r="Q85" s="3306"/>
    </row>
    <row r="86" spans="2:17">
      <c r="B86" s="3303"/>
      <c r="C86" s="3315" t="s">
        <v>445</v>
      </c>
      <c r="D86" s="3318" t="s">
        <v>396</v>
      </c>
      <c r="E86" s="4018">
        <f ca="1">-INDEX(INDIRECT("'"&amp;E$12&amp;"'!Year.NetBalance"), MATCH($C86, INDIRECT("'"&amp;E$12&amp;"'!Year.Vectors"), 0))</f>
        <v>0</v>
      </c>
      <c r="F86" s="4018">
        <f t="shared" ref="F86:M86" ca="1" si="44">-INDEX(INDIRECT("'"&amp;F$12&amp;"'!Year.NetBalance"), MATCH($C86, INDIRECT("'"&amp;F$12&amp;"'!Year.Vectors"), 0))</f>
        <v>0</v>
      </c>
      <c r="G86" s="4018">
        <f t="shared" ca="1" si="44"/>
        <v>0</v>
      </c>
      <c r="H86" s="4018">
        <f t="shared" ca="1" si="44"/>
        <v>0</v>
      </c>
      <c r="I86" s="4018">
        <f t="shared" ca="1" si="44"/>
        <v>21.428000000000004</v>
      </c>
      <c r="J86" s="4018">
        <f t="shared" ca="1" si="44"/>
        <v>21.428000000000004</v>
      </c>
      <c r="K86" s="4018">
        <f t="shared" ca="1" si="44"/>
        <v>21.428000000000004</v>
      </c>
      <c r="L86" s="4018">
        <f t="shared" ca="1" si="44"/>
        <v>21.428000000000004</v>
      </c>
      <c r="M86" s="4018">
        <f t="shared" ca="1" si="44"/>
        <v>21.428000000000004</v>
      </c>
      <c r="N86" s="3318"/>
      <c r="O86" s="3318"/>
      <c r="P86" s="3318"/>
      <c r="Q86" s="3306"/>
    </row>
    <row r="87" spans="2:17">
      <c r="B87" s="3303"/>
      <c r="C87" s="3315" t="s">
        <v>446</v>
      </c>
      <c r="D87" s="3318" t="s">
        <v>79</v>
      </c>
      <c r="E87" s="4018">
        <f t="shared" ref="E87:M103" ca="1" si="45">-INDEX(INDIRECT("'"&amp;E$12&amp;"'!Year.NetBalance"), MATCH($C87, INDIRECT("'"&amp;E$12&amp;"'!Year.Vectors"), 0))</f>
        <v>4.1054887428987621E-2</v>
      </c>
      <c r="F87" s="4018">
        <f t="shared" ca="1" si="45"/>
        <v>0.29533988943004724</v>
      </c>
      <c r="G87" s="4018">
        <f t="shared" ca="1" si="45"/>
        <v>0.98311948364472168</v>
      </c>
      <c r="H87" s="4018">
        <f t="shared" ca="1" si="45"/>
        <v>1.7302356023133905</v>
      </c>
      <c r="I87" s="4018">
        <f t="shared" ca="1" si="45"/>
        <v>3.1032027513562515</v>
      </c>
      <c r="J87" s="4018">
        <f t="shared" ca="1" si="45"/>
        <v>4.3856969840221529</v>
      </c>
      <c r="K87" s="4018">
        <f t="shared" ca="1" si="45"/>
        <v>5.7058911432863937</v>
      </c>
      <c r="L87" s="4018">
        <f t="shared" ca="1" si="45"/>
        <v>7.0356787943966701</v>
      </c>
      <c r="M87" s="4018">
        <f t="shared" ca="1" si="45"/>
        <v>8.4425533229244625</v>
      </c>
      <c r="N87" s="3318"/>
      <c r="O87" s="3318"/>
      <c r="P87" s="3318"/>
      <c r="Q87" s="3306"/>
    </row>
    <row r="88" spans="2:17">
      <c r="B88" s="3303"/>
      <c r="C88" s="3315" t="s">
        <v>447</v>
      </c>
      <c r="D88" s="3318" t="s">
        <v>397</v>
      </c>
      <c r="E88" s="4018">
        <f t="shared" ca="1" si="45"/>
        <v>4.5013410000000009</v>
      </c>
      <c r="F88" s="4018">
        <f t="shared" ca="1" si="45"/>
        <v>5.6172527999999993</v>
      </c>
      <c r="G88" s="4018">
        <f t="shared" ca="1" si="45"/>
        <v>9.3230792999999998</v>
      </c>
      <c r="H88" s="4018">
        <f t="shared" ca="1" si="45"/>
        <v>13.589929799999998</v>
      </c>
      <c r="I88" s="4018">
        <f t="shared" ca="1" si="45"/>
        <v>21.946119299999999</v>
      </c>
      <c r="J88" s="4018">
        <f t="shared" ca="1" si="45"/>
        <v>27.955212300000003</v>
      </c>
      <c r="K88" s="4018">
        <f t="shared" ca="1" si="45"/>
        <v>31.8999123</v>
      </c>
      <c r="L88" s="4018">
        <f t="shared" ca="1" si="45"/>
        <v>38.838201300000001</v>
      </c>
      <c r="M88" s="4018">
        <f t="shared" ca="1" si="45"/>
        <v>45.741426300000008</v>
      </c>
      <c r="N88" s="3318"/>
      <c r="O88" s="3318"/>
      <c r="P88" s="3318"/>
      <c r="Q88" s="3306"/>
    </row>
    <row r="89" spans="2:17">
      <c r="B89" s="3303"/>
      <c r="C89" s="3315" t="s">
        <v>448</v>
      </c>
      <c r="D89" s="3318" t="s">
        <v>398</v>
      </c>
      <c r="E89" s="4018">
        <f t="shared" ca="1" si="45"/>
        <v>0</v>
      </c>
      <c r="F89" s="4018">
        <f t="shared" ca="1" si="45"/>
        <v>0</v>
      </c>
      <c r="G89" s="4018">
        <f t="shared" ca="1" si="45"/>
        <v>0</v>
      </c>
      <c r="H89" s="4018">
        <f t="shared" ca="1" si="45"/>
        <v>0.31557600000000013</v>
      </c>
      <c r="I89" s="4018">
        <f t="shared" ca="1" si="45"/>
        <v>0.63115200000000027</v>
      </c>
      <c r="J89" s="4018">
        <f t="shared" ca="1" si="45"/>
        <v>1.5778800000000002</v>
      </c>
      <c r="K89" s="4018">
        <f t="shared" ca="1" si="45"/>
        <v>1.5778800000000002</v>
      </c>
      <c r="L89" s="4018">
        <f t="shared" ca="1" si="45"/>
        <v>2.5246080000000011</v>
      </c>
      <c r="M89" s="4018">
        <f t="shared" ca="1" si="45"/>
        <v>2.5246080000000011</v>
      </c>
      <c r="N89" s="3318"/>
      <c r="O89" s="3318"/>
      <c r="P89" s="3318"/>
      <c r="Q89" s="3306"/>
    </row>
    <row r="90" spans="2:17">
      <c r="B90" s="3303"/>
      <c r="C90" s="3315" t="s">
        <v>449</v>
      </c>
      <c r="D90" s="3318" t="s">
        <v>399</v>
      </c>
      <c r="E90" s="4018">
        <f t="shared" ca="1" si="45"/>
        <v>0</v>
      </c>
      <c r="F90" s="4018">
        <f t="shared" ca="1" si="45"/>
        <v>3.9627123287671231E-3</v>
      </c>
      <c r="G90" s="4018">
        <f t="shared" ca="1" si="45"/>
        <v>1.3017510000000001E-2</v>
      </c>
      <c r="H90" s="4018">
        <f t="shared" ca="1" si="45"/>
        <v>0.39052530000000008</v>
      </c>
      <c r="I90" s="4018">
        <f t="shared" ca="1" si="45"/>
        <v>2.6035020000000002</v>
      </c>
      <c r="J90" s="4018">
        <f t="shared" ca="1" si="45"/>
        <v>3.9052530000000001</v>
      </c>
      <c r="K90" s="4018">
        <f t="shared" ca="1" si="45"/>
        <v>5.2070040000000004</v>
      </c>
      <c r="L90" s="4018">
        <f t="shared" ca="1" si="45"/>
        <v>5.2070040000000004</v>
      </c>
      <c r="M90" s="4018">
        <f t="shared" ca="1" si="45"/>
        <v>6.2484048000000012</v>
      </c>
      <c r="N90" s="3318"/>
      <c r="O90" s="3318"/>
      <c r="P90" s="3318"/>
      <c r="Q90" s="3306"/>
    </row>
    <row r="91" spans="2:17">
      <c r="B91" s="3303"/>
      <c r="C91" s="3315" t="s">
        <v>450</v>
      </c>
      <c r="D91" s="3318" t="s">
        <v>55</v>
      </c>
      <c r="E91" s="4018">
        <f t="shared" ca="1" si="45"/>
        <v>0</v>
      </c>
      <c r="F91" s="4018">
        <f t="shared" ca="1" si="45"/>
        <v>0</v>
      </c>
      <c r="G91" s="4018">
        <f t="shared" ca="1" si="45"/>
        <v>0</v>
      </c>
      <c r="H91" s="4018">
        <f t="shared" ca="1" si="45"/>
        <v>0</v>
      </c>
      <c r="I91" s="4018">
        <f t="shared" ca="1" si="45"/>
        <v>0</v>
      </c>
      <c r="J91" s="4018">
        <f t="shared" ca="1" si="45"/>
        <v>0</v>
      </c>
      <c r="K91" s="4018">
        <f t="shared" ca="1" si="45"/>
        <v>0</v>
      </c>
      <c r="L91" s="4018">
        <f t="shared" ca="1" si="45"/>
        <v>0</v>
      </c>
      <c r="M91" s="4018">
        <f t="shared" ca="1" si="45"/>
        <v>0</v>
      </c>
      <c r="N91" s="3318"/>
      <c r="O91" s="3318"/>
      <c r="P91" s="3318"/>
      <c r="Q91" s="3306"/>
    </row>
    <row r="92" spans="2:17">
      <c r="B92" s="3303"/>
      <c r="C92" s="3315" t="s">
        <v>451</v>
      </c>
      <c r="D92" s="3318" t="s">
        <v>400</v>
      </c>
      <c r="E92" s="4018">
        <f t="shared" ca="1" si="45"/>
        <v>0.74791511999999993</v>
      </c>
      <c r="F92" s="4018">
        <f t="shared" ca="1" si="45"/>
        <v>0.74791511999999993</v>
      </c>
      <c r="G92" s="4018">
        <f t="shared" ca="1" si="45"/>
        <v>0.74791511999999993</v>
      </c>
      <c r="H92" s="4018">
        <f t="shared" ca="1" si="45"/>
        <v>0.78946596000000002</v>
      </c>
      <c r="I92" s="4018">
        <f t="shared" ca="1" si="45"/>
        <v>0.78946596000000002</v>
      </c>
      <c r="J92" s="4018">
        <f t="shared" ca="1" si="45"/>
        <v>0.78946596000000002</v>
      </c>
      <c r="K92" s="4018">
        <f t="shared" ca="1" si="45"/>
        <v>0.78946596000000002</v>
      </c>
      <c r="L92" s="4018">
        <f t="shared" ca="1" si="45"/>
        <v>0.78946596000000002</v>
      </c>
      <c r="M92" s="4018">
        <f t="shared" ca="1" si="45"/>
        <v>0.78946596000000002</v>
      </c>
      <c r="N92" s="3318"/>
      <c r="O92" s="3318"/>
      <c r="P92" s="3318"/>
      <c r="Q92" s="3306"/>
    </row>
    <row r="93" spans="2:17">
      <c r="B93" s="3303"/>
      <c r="C93" s="3315" t="s">
        <v>440</v>
      </c>
      <c r="D93" s="3318" t="s">
        <v>391</v>
      </c>
      <c r="E93" s="4018">
        <f t="shared" ca="1" si="45"/>
        <v>2.5</v>
      </c>
      <c r="F93" s="4018">
        <f t="shared" ca="1" si="45"/>
        <v>2.5</v>
      </c>
      <c r="G93" s="4018">
        <f t="shared" ca="1" si="45"/>
        <v>2.5000000000000036</v>
      </c>
      <c r="H93" s="4018">
        <f t="shared" ca="1" si="45"/>
        <v>2.5000000000000036</v>
      </c>
      <c r="I93" s="4018">
        <f t="shared" ca="1" si="45"/>
        <v>-10.652664429668677</v>
      </c>
      <c r="J93" s="4018">
        <f t="shared" ca="1" si="45"/>
        <v>-30.098791217428818</v>
      </c>
      <c r="K93" s="4018">
        <f t="shared" ca="1" si="45"/>
        <v>-44.501054695560633</v>
      </c>
      <c r="L93" s="4018">
        <f t="shared" ca="1" si="45"/>
        <v>-60.816975780787857</v>
      </c>
      <c r="M93" s="4018">
        <f t="shared" ca="1" si="45"/>
        <v>-77.574734038121079</v>
      </c>
      <c r="N93" s="3318"/>
      <c r="O93" s="3318"/>
      <c r="P93" s="3318"/>
      <c r="Q93" s="3306"/>
    </row>
    <row r="94" spans="2:17">
      <c r="B94" s="3303"/>
      <c r="C94" s="3315" t="s">
        <v>102</v>
      </c>
      <c r="D94" s="3318" t="s">
        <v>92</v>
      </c>
      <c r="E94" s="4018">
        <f t="shared" ca="1" si="45"/>
        <v>0.11119904983501781</v>
      </c>
      <c r="F94" s="4018">
        <f t="shared" ca="1" si="45"/>
        <v>0.23024787332134827</v>
      </c>
      <c r="G94" s="4018">
        <f t="shared" ca="1" si="45"/>
        <v>0.19215404904246119</v>
      </c>
      <c r="H94" s="4018">
        <f t="shared" ca="1" si="45"/>
        <v>0.16256755073206205</v>
      </c>
      <c r="I94" s="4018">
        <f t="shared" ca="1" si="45"/>
        <v>0.13025315807559751</v>
      </c>
      <c r="J94" s="4018">
        <f t="shared" ca="1" si="45"/>
        <v>9.8473923807210109E-2</v>
      </c>
      <c r="K94" s="4018">
        <f t="shared" ca="1" si="45"/>
        <v>6.6374144344193087E-2</v>
      </c>
      <c r="L94" s="4018">
        <f t="shared" ca="1" si="45"/>
        <v>3.3366237861707504E-2</v>
      </c>
      <c r="M94" s="4018">
        <f t="shared" ca="1" si="45"/>
        <v>0</v>
      </c>
      <c r="N94" s="3318"/>
      <c r="O94" s="3318"/>
      <c r="P94" s="3318"/>
      <c r="Q94" s="3306"/>
    </row>
    <row r="95" spans="2:17">
      <c r="B95" s="3303"/>
      <c r="C95" s="3315" t="s">
        <v>453</v>
      </c>
      <c r="D95" s="3318" t="s">
        <v>402</v>
      </c>
      <c r="E95" s="4018">
        <f t="shared" ca="1" si="45"/>
        <v>0.76164924245884236</v>
      </c>
      <c r="F95" s="4018">
        <f t="shared" ca="1" si="45"/>
        <v>1.5775553566803318</v>
      </c>
      <c r="G95" s="4018">
        <f t="shared" ca="1" si="45"/>
        <v>5.3833406982345036</v>
      </c>
      <c r="H95" s="4018">
        <f t="shared" ca="1" si="45"/>
        <v>11.723268587003396</v>
      </c>
      <c r="I95" s="4018">
        <f t="shared" ca="1" si="45"/>
        <v>19.27666069016519</v>
      </c>
      <c r="J95" s="4018">
        <f t="shared" ca="1" si="45"/>
        <v>24.016689175657081</v>
      </c>
      <c r="K95" s="4018">
        <f t="shared" ca="1" si="45"/>
        <v>32.134064682425347</v>
      </c>
      <c r="L95" s="4018">
        <f t="shared" ca="1" si="45"/>
        <v>35.375529883026232</v>
      </c>
      <c r="M95" s="4018">
        <f t="shared" ca="1" si="45"/>
        <v>35.590190574510501</v>
      </c>
      <c r="N95" s="3318"/>
      <c r="O95" s="3318"/>
      <c r="P95" s="3318"/>
      <c r="Q95" s="3306"/>
    </row>
    <row r="96" spans="2:17">
      <c r="B96" s="3303"/>
      <c r="C96" s="3315" t="s">
        <v>452</v>
      </c>
      <c r="D96" s="3318" t="s">
        <v>401</v>
      </c>
      <c r="E96" s="4018">
        <f t="shared" ca="1" si="45"/>
        <v>0.31308333333333338</v>
      </c>
      <c r="F96" s="4018">
        <f t="shared" ca="1" si="45"/>
        <v>3.1030021015136149</v>
      </c>
      <c r="G96" s="4018">
        <f t="shared" ca="1" si="45"/>
        <v>10.829078746607582</v>
      </c>
      <c r="H96" s="4018">
        <f t="shared" ca="1" si="45"/>
        <v>19.766573720425786</v>
      </c>
      <c r="I96" s="4018">
        <f t="shared" ca="1" si="45"/>
        <v>30.517093697634575</v>
      </c>
      <c r="J96" s="4018">
        <f t="shared" ca="1" si="45"/>
        <v>44.707203811579298</v>
      </c>
      <c r="K96" s="4018">
        <f t="shared" ca="1" si="45"/>
        <v>62.656428421958964</v>
      </c>
      <c r="L96" s="4018">
        <f t="shared" ca="1" si="45"/>
        <v>81.62870870719199</v>
      </c>
      <c r="M96" s="4018">
        <f t="shared" ca="1" si="45"/>
        <v>103.3784393118105</v>
      </c>
      <c r="N96" s="3318"/>
      <c r="O96" s="3318"/>
      <c r="P96" s="3318"/>
      <c r="Q96" s="3306"/>
    </row>
    <row r="97" spans="2:17">
      <c r="B97" s="3303"/>
      <c r="C97" s="3315" t="s">
        <v>439</v>
      </c>
      <c r="D97" s="3318" t="s">
        <v>390</v>
      </c>
      <c r="E97" s="4018">
        <f t="shared" ca="1" si="45"/>
        <v>1.0954366666666666</v>
      </c>
      <c r="F97" s="4018">
        <f t="shared" ca="1" si="45"/>
        <v>1.2967</v>
      </c>
      <c r="G97" s="4018">
        <f t="shared" ca="1" si="45"/>
        <v>2.9119000000000002</v>
      </c>
      <c r="H97" s="4018">
        <f t="shared" ca="1" si="45"/>
        <v>-12.883921453370924</v>
      </c>
      <c r="I97" s="4018">
        <f t="shared" ca="1" si="45"/>
        <v>-27.976468589835875</v>
      </c>
      <c r="J97" s="4018">
        <f t="shared" ca="1" si="45"/>
        <v>-23.316859166197478</v>
      </c>
      <c r="K97" s="4018">
        <f t="shared" ca="1" si="45"/>
        <v>-39.595554960813011</v>
      </c>
      <c r="L97" s="4018">
        <f t="shared" ca="1" si="45"/>
        <v>-54.387755042114314</v>
      </c>
      <c r="M97" s="4018">
        <f t="shared" ca="1" si="45"/>
        <v>-69.532154317257508</v>
      </c>
      <c r="N97" s="3318"/>
      <c r="O97" s="3318"/>
      <c r="P97" s="3318"/>
      <c r="Q97" s="3306"/>
    </row>
    <row r="98" spans="2:17">
      <c r="B98" s="3303"/>
      <c r="C98" s="3315" t="s">
        <v>436</v>
      </c>
      <c r="D98" s="3318" t="s">
        <v>387</v>
      </c>
      <c r="E98" s="4018">
        <f t="shared" ca="1" si="45"/>
        <v>8.4</v>
      </c>
      <c r="F98" s="4018">
        <f t="shared" ca="1" si="45"/>
        <v>7</v>
      </c>
      <c r="G98" s="4018">
        <f t="shared" ca="1" si="45"/>
        <v>2</v>
      </c>
      <c r="H98" s="4018">
        <f t="shared" ca="1" si="45"/>
        <v>2</v>
      </c>
      <c r="I98" s="4018">
        <f t="shared" ca="1" si="45"/>
        <v>0</v>
      </c>
      <c r="J98" s="4018">
        <f t="shared" ca="1" si="45"/>
        <v>0</v>
      </c>
      <c r="K98" s="4018">
        <f t="shared" ca="1" si="45"/>
        <v>0</v>
      </c>
      <c r="L98" s="4018">
        <f t="shared" ca="1" si="45"/>
        <v>0</v>
      </c>
      <c r="M98" s="4018">
        <f t="shared" ca="1" si="45"/>
        <v>0</v>
      </c>
      <c r="N98" s="3318"/>
      <c r="O98" s="3318"/>
      <c r="P98" s="3318"/>
      <c r="Q98" s="3306"/>
    </row>
    <row r="99" spans="2:17">
      <c r="B99" s="3303"/>
      <c r="C99" s="3315" t="s">
        <v>442</v>
      </c>
      <c r="D99" s="3318" t="s">
        <v>393</v>
      </c>
      <c r="E99" s="4018">
        <f t="shared" ca="1" si="45"/>
        <v>14.602281067209798</v>
      </c>
      <c r="F99" s="4018">
        <f t="shared" ca="1" si="45"/>
        <v>13.367884225892757</v>
      </c>
      <c r="G99" s="4018">
        <f t="shared" ca="1" si="45"/>
        <v>0.49575845114132866</v>
      </c>
      <c r="H99" s="4018">
        <f t="shared" ca="1" si="45"/>
        <v>-2.2402186688480645</v>
      </c>
      <c r="I99" s="4018">
        <f t="shared" ca="1" si="45"/>
        <v>-0.22914024705997099</v>
      </c>
      <c r="J99" s="4018">
        <f t="shared" ca="1" si="45"/>
        <v>-0.22533488167895965</v>
      </c>
      <c r="K99" s="4018">
        <f t="shared" ca="1" si="45"/>
        <v>-0.22186590218798416</v>
      </c>
      <c r="L99" s="4018">
        <f t="shared" ca="1" si="45"/>
        <v>-0.21811357288438121</v>
      </c>
      <c r="M99" s="4018">
        <f t="shared" ca="1" si="45"/>
        <v>-0.2136046021465092</v>
      </c>
      <c r="N99" s="3318"/>
      <c r="O99" s="3318"/>
      <c r="P99" s="3318"/>
      <c r="Q99" s="3306"/>
    </row>
    <row r="100" spans="2:17">
      <c r="B100" s="3303"/>
      <c r="C100" s="3315" t="s">
        <v>437</v>
      </c>
      <c r="D100" s="3318" t="s">
        <v>388</v>
      </c>
      <c r="E100" s="4018">
        <f t="shared" ca="1" si="45"/>
        <v>0</v>
      </c>
      <c r="F100" s="4018">
        <f t="shared" ca="1" si="45"/>
        <v>0</v>
      </c>
      <c r="G100" s="4018">
        <f t="shared" ca="1" si="45"/>
        <v>0</v>
      </c>
      <c r="H100" s="4018">
        <f t="shared" ca="1" si="45"/>
        <v>0</v>
      </c>
      <c r="I100" s="4018">
        <f t="shared" ca="1" si="45"/>
        <v>0</v>
      </c>
      <c r="J100" s="4018">
        <f t="shared" ca="1" si="45"/>
        <v>0</v>
      </c>
      <c r="K100" s="4018">
        <f t="shared" ca="1" si="45"/>
        <v>0</v>
      </c>
      <c r="L100" s="4018">
        <f t="shared" ca="1" si="45"/>
        <v>0</v>
      </c>
      <c r="M100" s="4018">
        <f t="shared" ca="1" si="45"/>
        <v>0</v>
      </c>
      <c r="N100" s="3318"/>
      <c r="O100" s="3318"/>
      <c r="P100" s="3318"/>
      <c r="Q100" s="3306"/>
    </row>
    <row r="101" spans="2:17">
      <c r="B101" s="3303"/>
      <c r="C101" s="3315" t="s">
        <v>443</v>
      </c>
      <c r="D101" s="3318" t="s">
        <v>394</v>
      </c>
      <c r="E101" s="4018">
        <f t="shared" ca="1" si="45"/>
        <v>76.341107777431446</v>
      </c>
      <c r="F101" s="4018">
        <f t="shared" ca="1" si="45"/>
        <v>70.428965076712089</v>
      </c>
      <c r="G101" s="4018">
        <f t="shared" ca="1" si="45"/>
        <v>66.132600914927124</v>
      </c>
      <c r="H101" s="4018">
        <f t="shared" ca="1" si="45"/>
        <v>61.70681606299398</v>
      </c>
      <c r="I101" s="4018">
        <f t="shared" ca="1" si="45"/>
        <v>58.853734589724091</v>
      </c>
      <c r="J101" s="4018">
        <f t="shared" ca="1" si="45"/>
        <v>56.055550717287325</v>
      </c>
      <c r="K101" s="4018">
        <f t="shared" ca="1" si="45"/>
        <v>53.466242556904533</v>
      </c>
      <c r="L101" s="4018">
        <f t="shared" ca="1" si="45"/>
        <v>50.942465881243002</v>
      </c>
      <c r="M101" s="4018">
        <f t="shared" ca="1" si="45"/>
        <v>48.624578735681354</v>
      </c>
      <c r="N101" s="3318"/>
      <c r="O101" s="3318"/>
      <c r="P101" s="3318"/>
      <c r="Q101" s="3306"/>
    </row>
    <row r="102" spans="2:17">
      <c r="B102" s="3303"/>
      <c r="C102" s="3315" t="s">
        <v>438</v>
      </c>
      <c r="D102" s="3318" t="s">
        <v>389</v>
      </c>
      <c r="E102" s="4018">
        <f t="shared" ca="1" si="45"/>
        <v>0</v>
      </c>
      <c r="F102" s="4018">
        <f t="shared" ca="1" si="45"/>
        <v>1.7555282514130199</v>
      </c>
      <c r="G102" s="4018">
        <f t="shared" ca="1" si="45"/>
        <v>35</v>
      </c>
      <c r="H102" s="4018">
        <f t="shared" ca="1" si="45"/>
        <v>10</v>
      </c>
      <c r="I102" s="4018">
        <f t="shared" ca="1" si="45"/>
        <v>0</v>
      </c>
      <c r="J102" s="4018">
        <f t="shared" ca="1" si="45"/>
        <v>0</v>
      </c>
      <c r="K102" s="4018">
        <f t="shared" ca="1" si="45"/>
        <v>0</v>
      </c>
      <c r="L102" s="4018">
        <f t="shared" ca="1" si="45"/>
        <v>0</v>
      </c>
      <c r="M102" s="4018">
        <f t="shared" ca="1" si="45"/>
        <v>0</v>
      </c>
      <c r="N102" s="3318"/>
      <c r="O102" s="3318"/>
      <c r="P102" s="3318"/>
      <c r="Q102" s="3306"/>
    </row>
    <row r="103" spans="2:17">
      <c r="B103" s="3303"/>
      <c r="C103" s="3315" t="s">
        <v>444</v>
      </c>
      <c r="D103" s="3318" t="s">
        <v>395</v>
      </c>
      <c r="E103" s="4018">
        <f t="shared" ca="1" si="45"/>
        <v>46.547614680811428</v>
      </c>
      <c r="F103" s="4018">
        <f t="shared" ca="1" si="45"/>
        <v>45.644258801899632</v>
      </c>
      <c r="G103" s="4018">
        <f t="shared" ca="1" si="45"/>
        <v>11.463075485516505</v>
      </c>
      <c r="H103" s="4018">
        <f t="shared" ca="1" si="45"/>
        <v>29.741491510161715</v>
      </c>
      <c r="I103" s="4018">
        <f t="shared" ca="1" si="45"/>
        <v>29.716870935553509</v>
      </c>
      <c r="J103" s="4018">
        <f t="shared" ca="1" si="45"/>
        <v>37.575562611620718</v>
      </c>
      <c r="K103" s="4018">
        <f t="shared" ca="1" si="45"/>
        <v>49.707610582817466</v>
      </c>
      <c r="L103" s="4018">
        <f t="shared" ca="1" si="45"/>
        <v>62.182671111735829</v>
      </c>
      <c r="M103" s="4018">
        <f t="shared" ca="1" si="45"/>
        <v>75.014269907136224</v>
      </c>
      <c r="N103" s="3318"/>
      <c r="O103" s="3318"/>
      <c r="P103" s="3318"/>
      <c r="Q103" s="3306"/>
    </row>
    <row r="104" spans="2:17">
      <c r="B104" s="3303"/>
      <c r="C104" s="3315"/>
      <c r="D104" s="3318" t="s">
        <v>3389</v>
      </c>
      <c r="E104" s="4018">
        <f ca="1">SUM(E86:E103)</f>
        <v>155.96268282517553</v>
      </c>
      <c r="F104" s="4018">
        <f t="shared" ref="F104:M104" ca="1" si="46">SUM(F86:F103)</f>
        <v>153.5686122091916</v>
      </c>
      <c r="G104" s="4018">
        <f t="shared" ca="1" si="46"/>
        <v>147.97503975911422</v>
      </c>
      <c r="H104" s="4018">
        <f t="shared" ca="1" si="46"/>
        <v>139.29230997141136</v>
      </c>
      <c r="I104" s="4018">
        <f t="shared" ca="1" si="46"/>
        <v>150.13778181594469</v>
      </c>
      <c r="J104" s="4018">
        <f t="shared" ca="1" si="46"/>
        <v>168.85400321866854</v>
      </c>
      <c r="K104" s="4018">
        <f t="shared" ca="1" si="46"/>
        <v>180.32039823317527</v>
      </c>
      <c r="L104" s="4018">
        <f t="shared" ca="1" si="46"/>
        <v>190.56285547966888</v>
      </c>
      <c r="M104" s="4018">
        <f t="shared" ca="1" si="46"/>
        <v>200.46144395453797</v>
      </c>
      <c r="N104" s="3318"/>
      <c r="O104" s="3318"/>
      <c r="P104" s="3318"/>
      <c r="Q104" s="3306"/>
    </row>
    <row r="105" spans="2:17">
      <c r="B105" s="3303"/>
      <c r="C105" s="3315"/>
      <c r="D105" s="3318"/>
      <c r="E105" s="4018"/>
      <c r="F105" s="4018"/>
      <c r="G105" s="4018"/>
      <c r="H105" s="4018"/>
      <c r="I105" s="4018"/>
      <c r="J105" s="4018"/>
      <c r="K105" s="4018"/>
      <c r="L105" s="4018"/>
      <c r="M105" s="4018"/>
      <c r="N105" s="3318"/>
      <c r="O105" s="3318"/>
      <c r="P105" s="3318"/>
      <c r="Q105" s="3306"/>
    </row>
    <row r="106" spans="2:17" ht="15.75">
      <c r="B106" s="3902"/>
      <c r="C106" s="3304" t="s">
        <v>3390</v>
      </c>
      <c r="D106" s="3304"/>
      <c r="E106" s="3304"/>
      <c r="F106" s="3304"/>
      <c r="G106" s="3903"/>
      <c r="H106" s="3903"/>
      <c r="I106" s="3903"/>
      <c r="J106" s="3903"/>
      <c r="K106" s="3903"/>
      <c r="L106" s="3903"/>
      <c r="M106" s="3903"/>
      <c r="N106" s="3903"/>
      <c r="O106" s="3903"/>
      <c r="P106" s="3903"/>
      <c r="Q106" s="3905"/>
    </row>
    <row r="107" spans="2:17" ht="15.75">
      <c r="B107" s="3902"/>
      <c r="C107" s="3304"/>
      <c r="D107" s="3304"/>
      <c r="E107" s="3304"/>
      <c r="F107" s="3304"/>
      <c r="G107" s="3903"/>
      <c r="H107" s="3903"/>
      <c r="I107" s="3903"/>
      <c r="J107" s="3903"/>
      <c r="K107" s="3903"/>
      <c r="L107" s="3903"/>
      <c r="M107" s="3904" t="str">
        <f>Preferences.EnergyUnits</f>
        <v>TWh</v>
      </c>
      <c r="N107" s="3903"/>
      <c r="O107" s="3903"/>
      <c r="P107" s="3903"/>
      <c r="Q107" s="3905"/>
    </row>
    <row r="108" spans="2:17">
      <c r="B108" s="3303"/>
      <c r="C108" s="3311" t="s">
        <v>44</v>
      </c>
      <c r="D108" s="3312" t="s">
        <v>28</v>
      </c>
      <c r="E108" s="3313">
        <v>2013</v>
      </c>
      <c r="F108" s="3313">
        <v>2015</v>
      </c>
      <c r="G108" s="3313">
        <v>2020</v>
      </c>
      <c r="H108" s="3313">
        <v>2025</v>
      </c>
      <c r="I108" s="3313">
        <v>2030</v>
      </c>
      <c r="J108" s="3313">
        <v>2035</v>
      </c>
      <c r="K108" s="3313">
        <v>2040</v>
      </c>
      <c r="L108" s="3313">
        <v>2045</v>
      </c>
      <c r="M108" s="3314">
        <v>2050</v>
      </c>
      <c r="N108" s="3318"/>
      <c r="O108" s="3318"/>
      <c r="P108" s="3318"/>
      <c r="Q108" s="3306"/>
    </row>
    <row r="109" spans="2:17">
      <c r="B109" s="3303"/>
      <c r="C109" s="3315" t="s">
        <v>445</v>
      </c>
      <c r="D109" s="3318" t="s">
        <v>763</v>
      </c>
      <c r="E109" s="4018">
        <f ca="1">MAX(E86,0)</f>
        <v>0</v>
      </c>
      <c r="F109" s="4018">
        <f t="shared" ref="F109:M109" ca="1" si="47">MAX(F86,0)</f>
        <v>0</v>
      </c>
      <c r="G109" s="4018">
        <f t="shared" ca="1" si="47"/>
        <v>0</v>
      </c>
      <c r="H109" s="4018">
        <f t="shared" ca="1" si="47"/>
        <v>0</v>
      </c>
      <c r="I109" s="4018">
        <f t="shared" ca="1" si="47"/>
        <v>21.428000000000004</v>
      </c>
      <c r="J109" s="4018">
        <f t="shared" ca="1" si="47"/>
        <v>21.428000000000004</v>
      </c>
      <c r="K109" s="4018">
        <f t="shared" ca="1" si="47"/>
        <v>21.428000000000004</v>
      </c>
      <c r="L109" s="4018">
        <f t="shared" ca="1" si="47"/>
        <v>21.428000000000004</v>
      </c>
      <c r="M109" s="4018">
        <f t="shared" ca="1" si="47"/>
        <v>21.428000000000004</v>
      </c>
      <c r="N109" s="3318"/>
      <c r="O109" s="3318"/>
      <c r="P109" s="3318"/>
      <c r="Q109" s="3306"/>
    </row>
    <row r="110" spans="2:17">
      <c r="B110" s="3303"/>
      <c r="C110" s="3315" t="s">
        <v>440</v>
      </c>
      <c r="D110" s="3318" t="s">
        <v>1242</v>
      </c>
      <c r="E110" s="4018">
        <f ca="1">MAX(E93,0)</f>
        <v>2.5</v>
      </c>
      <c r="F110" s="4018">
        <f t="shared" ref="F110:M110" ca="1" si="48">MAX(F93,0)</f>
        <v>2.5</v>
      </c>
      <c r="G110" s="4018">
        <f t="shared" ca="1" si="48"/>
        <v>2.5000000000000036</v>
      </c>
      <c r="H110" s="4018">
        <f t="shared" ca="1" si="48"/>
        <v>2.5000000000000036</v>
      </c>
      <c r="I110" s="4018">
        <f t="shared" ca="1" si="48"/>
        <v>0</v>
      </c>
      <c r="J110" s="4018">
        <f t="shared" ca="1" si="48"/>
        <v>0</v>
      </c>
      <c r="K110" s="4018">
        <f t="shared" ca="1" si="48"/>
        <v>0</v>
      </c>
      <c r="L110" s="4018">
        <f t="shared" ca="1" si="48"/>
        <v>0</v>
      </c>
      <c r="M110" s="4018">
        <f t="shared" ca="1" si="48"/>
        <v>0</v>
      </c>
      <c r="N110" s="3318"/>
      <c r="O110" s="3318"/>
      <c r="P110" s="3318"/>
      <c r="Q110" s="3306"/>
    </row>
    <row r="111" spans="2:17">
      <c r="B111" s="3303"/>
      <c r="C111" s="3315" t="s">
        <v>439</v>
      </c>
      <c r="D111" s="3318" t="s">
        <v>581</v>
      </c>
      <c r="E111" s="4018">
        <f ca="1">MAX(E97,0)</f>
        <v>1.0954366666666666</v>
      </c>
      <c r="F111" s="4018">
        <f t="shared" ref="F111:M111" ca="1" si="49">MAX(F97,0)</f>
        <v>1.2967</v>
      </c>
      <c r="G111" s="4018">
        <f t="shared" ca="1" si="49"/>
        <v>2.9119000000000002</v>
      </c>
      <c r="H111" s="4018">
        <f t="shared" ca="1" si="49"/>
        <v>0</v>
      </c>
      <c r="I111" s="4018">
        <f t="shared" ca="1" si="49"/>
        <v>0</v>
      </c>
      <c r="J111" s="4018">
        <f t="shared" ca="1" si="49"/>
        <v>0</v>
      </c>
      <c r="K111" s="4018">
        <f t="shared" ca="1" si="49"/>
        <v>0</v>
      </c>
      <c r="L111" s="4018">
        <f t="shared" ca="1" si="49"/>
        <v>0</v>
      </c>
      <c r="M111" s="4018">
        <f t="shared" ca="1" si="49"/>
        <v>0</v>
      </c>
      <c r="N111" s="3318"/>
      <c r="O111" s="3318"/>
      <c r="P111" s="3318"/>
      <c r="Q111" s="3306"/>
    </row>
    <row r="112" spans="2:17">
      <c r="B112" s="3303"/>
      <c r="C112" s="3315" t="s">
        <v>442</v>
      </c>
      <c r="D112" s="3318" t="s">
        <v>147</v>
      </c>
      <c r="E112" s="4018">
        <f ca="1">MAX(E99,0)</f>
        <v>14.602281067209798</v>
      </c>
      <c r="F112" s="4018">
        <f t="shared" ref="F112:M112" ca="1" si="50">MAX(F99,0)</f>
        <v>13.367884225892757</v>
      </c>
      <c r="G112" s="4018">
        <f t="shared" ca="1" si="50"/>
        <v>0.49575845114132866</v>
      </c>
      <c r="H112" s="4018">
        <f t="shared" ca="1" si="50"/>
        <v>0</v>
      </c>
      <c r="I112" s="4018">
        <f t="shared" ca="1" si="50"/>
        <v>0</v>
      </c>
      <c r="J112" s="4018">
        <f t="shared" ca="1" si="50"/>
        <v>0</v>
      </c>
      <c r="K112" s="4018">
        <f t="shared" ca="1" si="50"/>
        <v>0</v>
      </c>
      <c r="L112" s="4018">
        <f t="shared" ca="1" si="50"/>
        <v>0</v>
      </c>
      <c r="M112" s="4018">
        <f t="shared" ca="1" si="50"/>
        <v>0</v>
      </c>
      <c r="N112" s="3318"/>
      <c r="O112" s="3318"/>
      <c r="P112" s="3318"/>
      <c r="Q112" s="3306"/>
    </row>
    <row r="113" spans="2:17">
      <c r="B113" s="3303"/>
      <c r="C113" s="3315" t="s">
        <v>443</v>
      </c>
      <c r="D113" s="3318" t="s">
        <v>145</v>
      </c>
      <c r="E113" s="4018">
        <f ca="1">MAX(E101,0)</f>
        <v>76.341107777431446</v>
      </c>
      <c r="F113" s="4018">
        <f t="shared" ref="F113:M113" ca="1" si="51">MAX(F101,0)</f>
        <v>70.428965076712089</v>
      </c>
      <c r="G113" s="4018">
        <f t="shared" ca="1" si="51"/>
        <v>66.132600914927124</v>
      </c>
      <c r="H113" s="4018">
        <f t="shared" ca="1" si="51"/>
        <v>61.70681606299398</v>
      </c>
      <c r="I113" s="4018">
        <f t="shared" ca="1" si="51"/>
        <v>58.853734589724091</v>
      </c>
      <c r="J113" s="4018">
        <f t="shared" ca="1" si="51"/>
        <v>56.055550717287325</v>
      </c>
      <c r="K113" s="4018">
        <f t="shared" ca="1" si="51"/>
        <v>53.466242556904533</v>
      </c>
      <c r="L113" s="4018">
        <f t="shared" ca="1" si="51"/>
        <v>50.942465881243002</v>
      </c>
      <c r="M113" s="4018">
        <f t="shared" ca="1" si="51"/>
        <v>48.624578735681354</v>
      </c>
      <c r="N113" s="3318"/>
      <c r="O113" s="3318"/>
      <c r="P113" s="3318"/>
      <c r="Q113" s="3306"/>
    </row>
    <row r="114" spans="2:17">
      <c r="B114" s="3303"/>
      <c r="C114" s="3315" t="s">
        <v>444</v>
      </c>
      <c r="D114" s="3318" t="s">
        <v>15</v>
      </c>
      <c r="E114" s="4018">
        <f ca="1">MAX(E103,0)</f>
        <v>46.547614680811428</v>
      </c>
      <c r="F114" s="4018">
        <f t="shared" ref="F114:M114" ca="1" si="52">MAX(F103,0)</f>
        <v>45.644258801899632</v>
      </c>
      <c r="G114" s="4018">
        <f t="shared" ca="1" si="52"/>
        <v>11.463075485516505</v>
      </c>
      <c r="H114" s="4018">
        <f t="shared" ca="1" si="52"/>
        <v>29.741491510161715</v>
      </c>
      <c r="I114" s="4018">
        <f t="shared" ca="1" si="52"/>
        <v>29.716870935553509</v>
      </c>
      <c r="J114" s="4018">
        <f t="shared" ca="1" si="52"/>
        <v>37.575562611620718</v>
      </c>
      <c r="K114" s="4018">
        <f t="shared" ca="1" si="52"/>
        <v>49.707610582817466</v>
      </c>
      <c r="L114" s="4018">
        <f t="shared" ca="1" si="52"/>
        <v>62.182671111735829</v>
      </c>
      <c r="M114" s="4018">
        <f t="shared" ca="1" si="52"/>
        <v>75.014269907136224</v>
      </c>
      <c r="N114" s="3318"/>
      <c r="O114" s="3318"/>
      <c r="P114" s="3318"/>
      <c r="Q114" s="3306"/>
    </row>
    <row r="115" spans="2:17">
      <c r="B115" s="3303"/>
      <c r="C115" s="3315"/>
      <c r="D115" s="3318" t="s">
        <v>59</v>
      </c>
      <c r="E115" s="4018">
        <f ca="1">SUM(E109:E114)</f>
        <v>141.08644019211934</v>
      </c>
      <c r="F115" s="4018">
        <f t="shared" ref="F115:M115" ca="1" si="53">SUM(F109:F114)</f>
        <v>133.23780810450447</v>
      </c>
      <c r="G115" s="4018">
        <f t="shared" ca="1" si="53"/>
        <v>83.503334851584953</v>
      </c>
      <c r="H115" s="4018">
        <f t="shared" ca="1" si="53"/>
        <v>93.948307573155688</v>
      </c>
      <c r="I115" s="4018">
        <f t="shared" ca="1" si="53"/>
        <v>109.99860552527761</v>
      </c>
      <c r="J115" s="4018">
        <f t="shared" ca="1" si="53"/>
        <v>115.05911332890804</v>
      </c>
      <c r="K115" s="4018">
        <f t="shared" ca="1" si="53"/>
        <v>124.60185313972201</v>
      </c>
      <c r="L115" s="4018">
        <f t="shared" ca="1" si="53"/>
        <v>134.55313699297884</v>
      </c>
      <c r="M115" s="4018">
        <f t="shared" ca="1" si="53"/>
        <v>145.06684864281758</v>
      </c>
      <c r="N115" s="3318"/>
      <c r="O115" s="3318"/>
      <c r="P115" s="3318"/>
      <c r="Q115" s="3306"/>
    </row>
    <row r="116" spans="2:17">
      <c r="B116" s="3303"/>
      <c r="C116" s="3315"/>
      <c r="D116" s="3318"/>
      <c r="E116" s="4018"/>
      <c r="F116" s="4018"/>
      <c r="G116" s="4018"/>
      <c r="H116" s="4018"/>
      <c r="I116" s="4018"/>
      <c r="J116" s="4018"/>
      <c r="K116" s="4018"/>
      <c r="L116" s="4018"/>
      <c r="M116" s="4018"/>
      <c r="N116" s="3318"/>
      <c r="O116" s="3318"/>
      <c r="P116" s="3318"/>
      <c r="Q116" s="3306"/>
    </row>
    <row r="117" spans="2:17">
      <c r="B117" s="3303"/>
      <c r="C117" s="4006" t="s">
        <v>3391</v>
      </c>
      <c r="D117" s="3304"/>
      <c r="E117" s="3304"/>
      <c r="F117" s="3304"/>
      <c r="G117" s="3903"/>
      <c r="H117" s="3903"/>
      <c r="I117" s="3903"/>
      <c r="J117" s="3903"/>
      <c r="K117" s="3903"/>
      <c r="L117" s="3903"/>
      <c r="M117" s="3904"/>
      <c r="N117" s="3318"/>
      <c r="O117" s="3318"/>
      <c r="P117" s="3318"/>
      <c r="Q117" s="3306"/>
    </row>
    <row r="118" spans="2:17">
      <c r="B118" s="3303"/>
      <c r="C118" s="3315"/>
      <c r="D118" s="3304"/>
      <c r="E118" s="3304"/>
      <c r="F118" s="3304"/>
      <c r="G118" s="3903"/>
      <c r="H118" s="3903"/>
      <c r="I118" s="3903"/>
      <c r="J118" s="3903"/>
      <c r="K118" s="3903"/>
      <c r="L118" s="3903"/>
      <c r="M118" s="3904" t="str">
        <f>Preferences.EnergyUnits</f>
        <v>TWh</v>
      </c>
      <c r="N118" s="3318"/>
      <c r="O118" s="3318"/>
      <c r="P118" s="3318"/>
      <c r="Q118" s="3306"/>
    </row>
    <row r="119" spans="2:17">
      <c r="B119" s="3303"/>
      <c r="C119" s="3315"/>
      <c r="D119" s="3312" t="s">
        <v>28</v>
      </c>
      <c r="E119" s="3313">
        <v>2013</v>
      </c>
      <c r="F119" s="3313">
        <v>2015</v>
      </c>
      <c r="G119" s="3313">
        <v>2020</v>
      </c>
      <c r="H119" s="3313">
        <v>2025</v>
      </c>
      <c r="I119" s="3313">
        <v>2030</v>
      </c>
      <c r="J119" s="3313">
        <v>2035</v>
      </c>
      <c r="K119" s="3313">
        <v>2040</v>
      </c>
      <c r="L119" s="3313">
        <v>2045</v>
      </c>
      <c r="M119" s="3314">
        <v>2050</v>
      </c>
      <c r="N119" s="3318"/>
      <c r="O119" s="3318"/>
      <c r="P119" s="3318"/>
      <c r="Q119" s="3306"/>
    </row>
    <row r="120" spans="2:17">
      <c r="B120" s="3303"/>
      <c r="C120" s="3315" t="s">
        <v>445</v>
      </c>
      <c r="D120" s="3318" t="s">
        <v>763</v>
      </c>
      <c r="E120" s="4018">
        <f ca="1">E86</f>
        <v>0</v>
      </c>
      <c r="F120" s="4018">
        <f t="shared" ref="F120:M120" ca="1" si="54">F86</f>
        <v>0</v>
      </c>
      <c r="G120" s="4018">
        <f t="shared" ca="1" si="54"/>
        <v>0</v>
      </c>
      <c r="H120" s="4018">
        <f t="shared" ca="1" si="54"/>
        <v>0</v>
      </c>
      <c r="I120" s="4018">
        <f t="shared" ca="1" si="54"/>
        <v>21.428000000000004</v>
      </c>
      <c r="J120" s="4018">
        <f t="shared" ca="1" si="54"/>
        <v>21.428000000000004</v>
      </c>
      <c r="K120" s="4018">
        <f t="shared" ca="1" si="54"/>
        <v>21.428000000000004</v>
      </c>
      <c r="L120" s="4018">
        <f t="shared" ca="1" si="54"/>
        <v>21.428000000000004</v>
      </c>
      <c r="M120" s="4018">
        <f t="shared" ca="1" si="54"/>
        <v>21.428000000000004</v>
      </c>
      <c r="N120" s="3318"/>
      <c r="O120" s="3318"/>
      <c r="P120" s="3318"/>
      <c r="Q120" s="3306"/>
    </row>
    <row r="121" spans="2:17">
      <c r="B121" s="3303"/>
      <c r="C121" s="3315" t="s">
        <v>440</v>
      </c>
      <c r="D121" s="3318" t="s">
        <v>1242</v>
      </c>
      <c r="E121" s="4018">
        <f ca="1">SUM(E86:E93)</f>
        <v>7.790311007428989</v>
      </c>
      <c r="F121" s="4018">
        <f t="shared" ref="F121:M121" ca="1" si="55">SUM(F86:F93)</f>
        <v>9.1644705217588136</v>
      </c>
      <c r="G121" s="4018">
        <f t="shared" ca="1" si="55"/>
        <v>13.567131413644724</v>
      </c>
      <c r="H121" s="4018">
        <f t="shared" ca="1" si="55"/>
        <v>19.315732662313394</v>
      </c>
      <c r="I121" s="4018">
        <f t="shared" ca="1" si="55"/>
        <v>39.848777581687578</v>
      </c>
      <c r="J121" s="4018">
        <f t="shared" ca="1" si="55"/>
        <v>29.942717026593343</v>
      </c>
      <c r="K121" s="4018">
        <f t="shared" ca="1" si="55"/>
        <v>22.107098707725775</v>
      </c>
      <c r="L121" s="4018">
        <f t="shared" ca="1" si="55"/>
        <v>15.005982273608822</v>
      </c>
      <c r="M121" s="4018">
        <f t="shared" ca="1" si="55"/>
        <v>7.5997243448034055</v>
      </c>
      <c r="N121" s="3318"/>
      <c r="O121" s="3318"/>
      <c r="P121" s="3318"/>
      <c r="Q121" s="3306"/>
    </row>
    <row r="122" spans="2:17">
      <c r="B122" s="3303"/>
      <c r="C122" s="3315" t="s">
        <v>439</v>
      </c>
      <c r="D122" s="3318" t="s">
        <v>581</v>
      </c>
      <c r="E122" s="4018">
        <f ca="1">SUM(E95:E97)</f>
        <v>2.1701692424588424</v>
      </c>
      <c r="F122" s="4018">
        <f t="shared" ref="F122:M122" ca="1" si="56">SUM(F95:F97)</f>
        <v>5.9772574581939466</v>
      </c>
      <c r="G122" s="4018">
        <f t="shared" ca="1" si="56"/>
        <v>19.124319444842083</v>
      </c>
      <c r="H122" s="4018">
        <f t="shared" ca="1" si="56"/>
        <v>18.605920854058258</v>
      </c>
      <c r="I122" s="4018">
        <f t="shared" ca="1" si="56"/>
        <v>21.817285797963891</v>
      </c>
      <c r="J122" s="4018">
        <f t="shared" ca="1" si="56"/>
        <v>45.407033821038908</v>
      </c>
      <c r="K122" s="4018">
        <f t="shared" ca="1" si="56"/>
        <v>55.194938143571299</v>
      </c>
      <c r="L122" s="4018">
        <f t="shared" ca="1" si="56"/>
        <v>62.616483548103908</v>
      </c>
      <c r="M122" s="4018">
        <f t="shared" ca="1" si="56"/>
        <v>69.436475569063489</v>
      </c>
      <c r="N122" s="3318"/>
      <c r="O122" s="3318"/>
      <c r="P122" s="3318"/>
      <c r="Q122" s="3306"/>
    </row>
    <row r="123" spans="2:17">
      <c r="B123" s="3303"/>
      <c r="C123" s="3315" t="s">
        <v>442</v>
      </c>
      <c r="D123" s="3318" t="s">
        <v>147</v>
      </c>
      <c r="E123" s="4018">
        <f ca="1">SUM(E98:E99)</f>
        <v>23.0022810672098</v>
      </c>
      <c r="F123" s="4018">
        <f t="shared" ref="F123:M123" ca="1" si="57">SUM(F98:F99)</f>
        <v>20.367884225892759</v>
      </c>
      <c r="G123" s="4018">
        <f t="shared" ca="1" si="57"/>
        <v>2.4957584511413287</v>
      </c>
      <c r="H123" s="4018">
        <f t="shared" ca="1" si="57"/>
        <v>-0.24021866884806453</v>
      </c>
      <c r="I123" s="4018">
        <f t="shared" ca="1" si="57"/>
        <v>-0.22914024705997099</v>
      </c>
      <c r="J123" s="4018">
        <f t="shared" ca="1" si="57"/>
        <v>-0.22533488167895965</v>
      </c>
      <c r="K123" s="4018">
        <f t="shared" ca="1" si="57"/>
        <v>-0.22186590218798416</v>
      </c>
      <c r="L123" s="4018">
        <f t="shared" ca="1" si="57"/>
        <v>-0.21811357288438121</v>
      </c>
      <c r="M123" s="4018">
        <f t="shared" ca="1" si="57"/>
        <v>-0.2136046021465092</v>
      </c>
      <c r="N123" s="3318"/>
      <c r="O123" s="3318"/>
      <c r="P123" s="3318"/>
      <c r="Q123" s="3306"/>
    </row>
    <row r="124" spans="2:17">
      <c r="B124" s="3303"/>
      <c r="C124" s="3315" t="s">
        <v>443</v>
      </c>
      <c r="D124" s="3318" t="s">
        <v>145</v>
      </c>
      <c r="E124" s="4018">
        <f ca="1">SUM(E100:E101)</f>
        <v>76.341107777431446</v>
      </c>
      <c r="F124" s="4018">
        <f t="shared" ref="F124:M124" ca="1" si="58">SUM(F100:F101)</f>
        <v>70.428965076712089</v>
      </c>
      <c r="G124" s="4018">
        <f t="shared" ca="1" si="58"/>
        <v>66.132600914927124</v>
      </c>
      <c r="H124" s="4018">
        <f t="shared" ca="1" si="58"/>
        <v>61.70681606299398</v>
      </c>
      <c r="I124" s="4018">
        <f t="shared" ca="1" si="58"/>
        <v>58.853734589724091</v>
      </c>
      <c r="J124" s="4018">
        <f t="shared" ca="1" si="58"/>
        <v>56.055550717287325</v>
      </c>
      <c r="K124" s="4018">
        <f t="shared" ca="1" si="58"/>
        <v>53.466242556904533</v>
      </c>
      <c r="L124" s="4018">
        <f t="shared" ca="1" si="58"/>
        <v>50.942465881243002</v>
      </c>
      <c r="M124" s="4018">
        <f t="shared" ca="1" si="58"/>
        <v>48.624578735681354</v>
      </c>
      <c r="N124" s="3318"/>
      <c r="O124" s="3318"/>
      <c r="P124" s="3318"/>
      <c r="Q124" s="3306"/>
    </row>
    <row r="125" spans="2:17">
      <c r="B125" s="3303"/>
      <c r="C125" s="3315" t="s">
        <v>444</v>
      </c>
      <c r="D125" s="3318" t="s">
        <v>15</v>
      </c>
      <c r="E125" s="4018">
        <f ca="1">SUM(E102:E103)</f>
        <v>46.547614680811428</v>
      </c>
      <c r="F125" s="4018">
        <f t="shared" ref="F125:M125" ca="1" si="59">SUM(F102:F103)</f>
        <v>47.39978705331265</v>
      </c>
      <c r="G125" s="4018">
        <f t="shared" ca="1" si="59"/>
        <v>46.463075485516505</v>
      </c>
      <c r="H125" s="4018">
        <f t="shared" ca="1" si="59"/>
        <v>39.741491510161715</v>
      </c>
      <c r="I125" s="4018">
        <f t="shared" ca="1" si="59"/>
        <v>29.716870935553509</v>
      </c>
      <c r="J125" s="4018">
        <f t="shared" ca="1" si="59"/>
        <v>37.575562611620718</v>
      </c>
      <c r="K125" s="4018">
        <f t="shared" ca="1" si="59"/>
        <v>49.707610582817466</v>
      </c>
      <c r="L125" s="4018">
        <f t="shared" ca="1" si="59"/>
        <v>62.182671111735829</v>
      </c>
      <c r="M125" s="4018">
        <f t="shared" ca="1" si="59"/>
        <v>75.014269907136224</v>
      </c>
      <c r="N125" s="3318"/>
      <c r="O125" s="3318"/>
      <c r="P125" s="3318"/>
      <c r="Q125" s="3306"/>
    </row>
    <row r="126" spans="2:17">
      <c r="B126" s="3303"/>
      <c r="C126" s="3315"/>
      <c r="D126" s="3318" t="s">
        <v>59</v>
      </c>
      <c r="E126" s="4018">
        <f ca="1">E104</f>
        <v>155.96268282517553</v>
      </c>
      <c r="F126" s="4018">
        <f t="shared" ref="F126:M126" ca="1" si="60">F104</f>
        <v>153.5686122091916</v>
      </c>
      <c r="G126" s="4018">
        <f t="shared" ca="1" si="60"/>
        <v>147.97503975911422</v>
      </c>
      <c r="H126" s="4018">
        <f t="shared" ca="1" si="60"/>
        <v>139.29230997141136</v>
      </c>
      <c r="I126" s="4018">
        <f t="shared" ca="1" si="60"/>
        <v>150.13778181594469</v>
      </c>
      <c r="J126" s="4018">
        <f t="shared" ca="1" si="60"/>
        <v>168.85400321866854</v>
      </c>
      <c r="K126" s="4018">
        <f t="shared" ca="1" si="60"/>
        <v>180.32039823317527</v>
      </c>
      <c r="L126" s="4018">
        <f t="shared" ca="1" si="60"/>
        <v>190.56285547966888</v>
      </c>
      <c r="M126" s="4018">
        <f t="shared" ca="1" si="60"/>
        <v>200.46144395453797</v>
      </c>
      <c r="N126" s="3318"/>
      <c r="O126" s="3318"/>
      <c r="P126" s="3318"/>
      <c r="Q126" s="3306"/>
    </row>
    <row r="127" spans="2:17">
      <c r="B127" s="3303"/>
      <c r="C127" s="3315"/>
      <c r="D127" s="3318"/>
      <c r="E127" s="4018"/>
      <c r="F127" s="4018"/>
      <c r="G127" s="4018"/>
      <c r="H127" s="4018"/>
      <c r="I127" s="4018"/>
      <c r="J127" s="4018"/>
      <c r="K127" s="4018"/>
      <c r="L127" s="4018"/>
      <c r="M127" s="4018"/>
      <c r="N127" s="3318"/>
      <c r="O127" s="3318"/>
      <c r="P127" s="3318"/>
      <c r="Q127" s="3306"/>
    </row>
    <row r="128" spans="2:17">
      <c r="B128" s="3303"/>
      <c r="C128" s="4006" t="s">
        <v>3392</v>
      </c>
      <c r="D128" s="3318"/>
      <c r="E128" s="4018"/>
      <c r="F128" s="4018"/>
      <c r="G128" s="4018"/>
      <c r="H128" s="4018"/>
      <c r="I128" s="4018"/>
      <c r="J128" s="4018"/>
      <c r="K128" s="4018"/>
      <c r="L128" s="4018"/>
      <c r="M128" s="4018"/>
      <c r="N128" s="3318"/>
      <c r="O128" s="3318"/>
      <c r="P128" s="3318"/>
      <c r="Q128" s="3306"/>
    </row>
    <row r="129" spans="2:17">
      <c r="B129" s="3303"/>
      <c r="C129" s="3315"/>
      <c r="D129" s="3304"/>
      <c r="E129" s="3304"/>
      <c r="F129" s="3304"/>
      <c r="G129" s="3903"/>
      <c r="H129" s="3903"/>
      <c r="I129" s="3903"/>
      <c r="J129" s="3903"/>
      <c r="K129" s="3903"/>
      <c r="L129" s="3903"/>
      <c r="M129" s="3904" t="s">
        <v>43</v>
      </c>
      <c r="N129" s="3318"/>
      <c r="O129" s="3318"/>
      <c r="P129" s="3318"/>
      <c r="Q129" s="3306"/>
    </row>
    <row r="130" spans="2:17">
      <c r="B130" s="3303"/>
      <c r="C130" s="3315"/>
      <c r="D130" s="3312" t="s">
        <v>28</v>
      </c>
      <c r="E130" s="3313">
        <v>2013</v>
      </c>
      <c r="F130" s="3313">
        <v>2015</v>
      </c>
      <c r="G130" s="3313">
        <v>2020</v>
      </c>
      <c r="H130" s="3313">
        <v>2025</v>
      </c>
      <c r="I130" s="3313">
        <v>2030</v>
      </c>
      <c r="J130" s="3313">
        <v>2035</v>
      </c>
      <c r="K130" s="3313">
        <v>2040</v>
      </c>
      <c r="L130" s="3313">
        <v>2045</v>
      </c>
      <c r="M130" s="3314">
        <v>2050</v>
      </c>
      <c r="N130" s="3318"/>
      <c r="O130" s="3318"/>
      <c r="P130" s="3318"/>
      <c r="Q130" s="3306"/>
    </row>
    <row r="131" spans="2:17">
      <c r="B131" s="3303"/>
      <c r="C131" s="3315" t="s">
        <v>445</v>
      </c>
      <c r="D131" s="3318" t="s">
        <v>763</v>
      </c>
      <c r="E131" s="4020">
        <f ca="1">IFERROR(E109/E120,0)</f>
        <v>0</v>
      </c>
      <c r="F131" s="4020">
        <f t="shared" ref="F131:M131" ca="1" si="61">IFERROR(F109/F120,0)</f>
        <v>0</v>
      </c>
      <c r="G131" s="4020">
        <f t="shared" ca="1" si="61"/>
        <v>0</v>
      </c>
      <c r="H131" s="4020">
        <f t="shared" ca="1" si="61"/>
        <v>0</v>
      </c>
      <c r="I131" s="4020">
        <f t="shared" ca="1" si="61"/>
        <v>1</v>
      </c>
      <c r="J131" s="4020">
        <f t="shared" ca="1" si="61"/>
        <v>1</v>
      </c>
      <c r="K131" s="4020">
        <f t="shared" ca="1" si="61"/>
        <v>1</v>
      </c>
      <c r="L131" s="4020">
        <f t="shared" ca="1" si="61"/>
        <v>1</v>
      </c>
      <c r="M131" s="4020">
        <f t="shared" ca="1" si="61"/>
        <v>1</v>
      </c>
      <c r="N131" s="3318"/>
      <c r="O131" s="3318"/>
      <c r="P131" s="3318"/>
      <c r="Q131" s="3306"/>
    </row>
    <row r="132" spans="2:17">
      <c r="B132" s="3303"/>
      <c r="C132" s="3315" t="s">
        <v>440</v>
      </c>
      <c r="D132" s="3318" t="s">
        <v>1242</v>
      </c>
      <c r="E132" s="4020">
        <f t="shared" ref="E132:M137" ca="1" si="62">IFERROR(E110/E121,0)</f>
        <v>0.32091144982734993</v>
      </c>
      <c r="F132" s="4020">
        <f t="shared" ca="1" si="62"/>
        <v>0.27279262823360673</v>
      </c>
      <c r="G132" s="4020">
        <f t="shared" ca="1" si="62"/>
        <v>0.18426887186230875</v>
      </c>
      <c r="H132" s="4020">
        <f t="shared" ca="1" si="62"/>
        <v>0.12942817358813999</v>
      </c>
      <c r="I132" s="4020">
        <f t="shared" ca="1" si="62"/>
        <v>0</v>
      </c>
      <c r="J132" s="4020">
        <f t="shared" ca="1" si="62"/>
        <v>0</v>
      </c>
      <c r="K132" s="4020">
        <f t="shared" ca="1" si="62"/>
        <v>0</v>
      </c>
      <c r="L132" s="4020">
        <f t="shared" ca="1" si="62"/>
        <v>0</v>
      </c>
      <c r="M132" s="4020">
        <f t="shared" ca="1" si="62"/>
        <v>0</v>
      </c>
      <c r="N132" s="3318"/>
      <c r="O132" s="3318"/>
      <c r="P132" s="3318"/>
      <c r="Q132" s="3306"/>
    </row>
    <row r="133" spans="2:17">
      <c r="B133" s="3303"/>
      <c r="C133" s="3315" t="s">
        <v>439</v>
      </c>
      <c r="D133" s="3318" t="s">
        <v>581</v>
      </c>
      <c r="E133" s="4020">
        <f t="shared" ca="1" si="62"/>
        <v>0.50477015581767082</v>
      </c>
      <c r="F133" s="4020">
        <f t="shared" ca="1" si="62"/>
        <v>0.21693895721731271</v>
      </c>
      <c r="G133" s="4020">
        <f t="shared" ca="1" si="62"/>
        <v>0.15226162731690582</v>
      </c>
      <c r="H133" s="4020">
        <f t="shared" ca="1" si="62"/>
        <v>0</v>
      </c>
      <c r="I133" s="4020">
        <f t="shared" ca="1" si="62"/>
        <v>0</v>
      </c>
      <c r="J133" s="4020">
        <f t="shared" ca="1" si="62"/>
        <v>0</v>
      </c>
      <c r="K133" s="4020">
        <f t="shared" ca="1" si="62"/>
        <v>0</v>
      </c>
      <c r="L133" s="4020">
        <f t="shared" ca="1" si="62"/>
        <v>0</v>
      </c>
      <c r="M133" s="4020">
        <f t="shared" ca="1" si="62"/>
        <v>0</v>
      </c>
      <c r="N133" s="3318"/>
      <c r="O133" s="3318"/>
      <c r="P133" s="3318"/>
      <c r="Q133" s="3306"/>
    </row>
    <row r="134" spans="2:17">
      <c r="B134" s="3303"/>
      <c r="C134" s="3315" t="s">
        <v>442</v>
      </c>
      <c r="D134" s="3318" t="s">
        <v>147</v>
      </c>
      <c r="E134" s="4020">
        <f t="shared" ca="1" si="62"/>
        <v>0.63481882620874652</v>
      </c>
      <c r="F134" s="4020">
        <f t="shared" ca="1" si="62"/>
        <v>0.65632169142530661</v>
      </c>
      <c r="G134" s="4020">
        <f t="shared" ca="1" si="62"/>
        <v>0.19864039763728525</v>
      </c>
      <c r="H134" s="4020">
        <f t="shared" ca="1" si="62"/>
        <v>0</v>
      </c>
      <c r="I134" s="4020">
        <f t="shared" ca="1" si="62"/>
        <v>0</v>
      </c>
      <c r="J134" s="4020">
        <f t="shared" ca="1" si="62"/>
        <v>0</v>
      </c>
      <c r="K134" s="4020">
        <f t="shared" ca="1" si="62"/>
        <v>0</v>
      </c>
      <c r="L134" s="4020">
        <f t="shared" ca="1" si="62"/>
        <v>0</v>
      </c>
      <c r="M134" s="4020">
        <f t="shared" ca="1" si="62"/>
        <v>0</v>
      </c>
      <c r="N134" s="3318"/>
      <c r="O134" s="3318"/>
      <c r="P134" s="3318"/>
      <c r="Q134" s="3306"/>
    </row>
    <row r="135" spans="2:17">
      <c r="B135" s="3303"/>
      <c r="C135" s="3315" t="s">
        <v>443</v>
      </c>
      <c r="D135" s="3318" t="s">
        <v>145</v>
      </c>
      <c r="E135" s="4020">
        <f t="shared" ca="1" si="62"/>
        <v>1</v>
      </c>
      <c r="F135" s="4020">
        <f t="shared" ca="1" si="62"/>
        <v>1</v>
      </c>
      <c r="G135" s="4020">
        <f t="shared" ca="1" si="62"/>
        <v>1</v>
      </c>
      <c r="H135" s="4020">
        <f t="shared" ca="1" si="62"/>
        <v>1</v>
      </c>
      <c r="I135" s="4020">
        <f t="shared" ca="1" si="62"/>
        <v>1</v>
      </c>
      <c r="J135" s="4020">
        <f t="shared" ca="1" si="62"/>
        <v>1</v>
      </c>
      <c r="K135" s="4020">
        <f t="shared" ca="1" si="62"/>
        <v>1</v>
      </c>
      <c r="L135" s="4020">
        <f t="shared" ca="1" si="62"/>
        <v>1</v>
      </c>
      <c r="M135" s="4020">
        <f t="shared" ca="1" si="62"/>
        <v>1</v>
      </c>
      <c r="N135" s="3318"/>
      <c r="O135" s="3318"/>
      <c r="P135" s="3318"/>
      <c r="Q135" s="3306"/>
    </row>
    <row r="136" spans="2:17">
      <c r="B136" s="3303"/>
      <c r="C136" s="3315" t="s">
        <v>444</v>
      </c>
      <c r="D136" s="3318" t="s">
        <v>15</v>
      </c>
      <c r="E136" s="4020">
        <f t="shared" ca="1" si="62"/>
        <v>1</v>
      </c>
      <c r="F136" s="4020">
        <f t="shared" ca="1" si="62"/>
        <v>0.96296337261096765</v>
      </c>
      <c r="G136" s="4020">
        <f t="shared" ca="1" si="62"/>
        <v>0.24671366167075576</v>
      </c>
      <c r="H136" s="4020">
        <f t="shared" ca="1" si="62"/>
        <v>0.74837381235570777</v>
      </c>
      <c r="I136" s="4020">
        <f t="shared" ca="1" si="62"/>
        <v>1</v>
      </c>
      <c r="J136" s="4020">
        <f t="shared" ca="1" si="62"/>
        <v>1</v>
      </c>
      <c r="K136" s="4020">
        <f t="shared" ca="1" si="62"/>
        <v>1</v>
      </c>
      <c r="L136" s="4020">
        <f t="shared" ca="1" si="62"/>
        <v>1</v>
      </c>
      <c r="M136" s="4020">
        <f t="shared" ca="1" si="62"/>
        <v>1</v>
      </c>
      <c r="N136" s="3318"/>
      <c r="O136" s="3318"/>
      <c r="P136" s="3318"/>
      <c r="Q136" s="3306"/>
    </row>
    <row r="137" spans="2:17">
      <c r="B137" s="3303"/>
      <c r="C137" s="3315"/>
      <c r="D137" s="3318" t="s">
        <v>59</v>
      </c>
      <c r="E137" s="4020">
        <f t="shared" ca="1" si="62"/>
        <v>0.90461665339694408</v>
      </c>
      <c r="F137" s="4020">
        <f t="shared" ca="1" si="62"/>
        <v>0.86761094072405598</v>
      </c>
      <c r="G137" s="4020">
        <f t="shared" ca="1" si="62"/>
        <v>0.56430689248347865</v>
      </c>
      <c r="H137" s="4020">
        <f t="shared" ca="1" si="62"/>
        <v>0.67446873120589235</v>
      </c>
      <c r="I137" s="4020">
        <f t="shared" ca="1" si="62"/>
        <v>0.73265106354192666</v>
      </c>
      <c r="J137" s="4020">
        <f t="shared" ca="1" si="62"/>
        <v>0.68141181811309925</v>
      </c>
      <c r="K137" s="4020">
        <f t="shared" ca="1" si="62"/>
        <v>0.69100253970489411</v>
      </c>
      <c r="L137" s="4020">
        <f t="shared" ca="1" si="62"/>
        <v>0.70608270774644377</v>
      </c>
      <c r="M137" s="4020">
        <f t="shared" ca="1" si="62"/>
        <v>0.72366458996332894</v>
      </c>
      <c r="N137" s="3318"/>
      <c r="O137" s="3318"/>
      <c r="P137" s="3318"/>
      <c r="Q137" s="3306"/>
    </row>
    <row r="138" spans="2:17">
      <c r="B138" s="3303"/>
      <c r="C138" s="3315"/>
      <c r="D138" s="3318"/>
      <c r="E138" s="4018"/>
      <c r="F138" s="4018"/>
      <c r="G138" s="4018"/>
      <c r="H138" s="4018"/>
      <c r="I138" s="4018"/>
      <c r="J138" s="4018"/>
      <c r="K138" s="4018"/>
      <c r="L138" s="4018"/>
      <c r="M138" s="4018"/>
      <c r="N138" s="3318"/>
      <c r="O138" s="3318"/>
      <c r="P138" s="3318"/>
      <c r="Q138" s="3306"/>
    </row>
    <row r="140" spans="2:17" ht="15.75">
      <c r="B140" s="3295" t="s">
        <v>3376</v>
      </c>
      <c r="C140" s="3296"/>
      <c r="D140" s="3296"/>
      <c r="E140" s="3296"/>
      <c r="F140" s="3296"/>
      <c r="G140" s="3297"/>
      <c r="H140" s="3297"/>
      <c r="I140" s="3297"/>
      <c r="J140" s="3297"/>
      <c r="K140" s="3297"/>
      <c r="L140" s="3297"/>
      <c r="M140" s="3297"/>
      <c r="N140" s="3297"/>
      <c r="O140" s="3297"/>
      <c r="P140" s="3297"/>
      <c r="Q140" s="3298"/>
    </row>
    <row r="141" spans="2:17" ht="15.75">
      <c r="B141" s="3299"/>
      <c r="C141" s="3300"/>
      <c r="D141" s="3300"/>
      <c r="E141" s="3300"/>
      <c r="F141" s="3300"/>
      <c r="G141" s="3301"/>
      <c r="H141" s="3301"/>
      <c r="I141" s="3301"/>
      <c r="J141" s="3301"/>
      <c r="K141" s="3301"/>
      <c r="L141" s="3301"/>
      <c r="M141" s="3301" t="s">
        <v>5</v>
      </c>
      <c r="N141" s="3301"/>
      <c r="O141" s="3301"/>
      <c r="P141" s="3301"/>
      <c r="Q141" s="3302"/>
    </row>
    <row r="142" spans="2:17" ht="15.75">
      <c r="B142" s="3902"/>
      <c r="C142" s="3304" t="s">
        <v>3377</v>
      </c>
      <c r="D142" s="3304"/>
      <c r="E142" s="3304"/>
      <c r="F142" s="3304"/>
      <c r="G142" s="3903"/>
      <c r="H142" s="3903"/>
      <c r="I142" s="3903"/>
      <c r="J142" s="3903"/>
      <c r="K142" s="3903"/>
      <c r="L142" s="3903"/>
      <c r="M142" s="3903"/>
      <c r="N142" s="3903"/>
      <c r="O142" s="3903"/>
      <c r="P142" s="3903"/>
      <c r="Q142" s="3905"/>
    </row>
    <row r="143" spans="2:17" ht="15.75">
      <c r="B143" s="3902"/>
      <c r="C143" s="3304"/>
      <c r="D143" s="3304"/>
      <c r="E143" s="3304"/>
      <c r="F143" s="3304"/>
      <c r="G143" s="3903"/>
      <c r="H143" s="3903"/>
      <c r="I143" s="3903"/>
      <c r="J143" s="3903"/>
      <c r="K143" s="3903"/>
      <c r="L143" s="3903"/>
      <c r="M143" s="3904" t="str">
        <f>Preferences.PowerUnits</f>
        <v>GW</v>
      </c>
      <c r="N143" s="3903"/>
      <c r="O143" s="3903"/>
      <c r="P143" s="3903"/>
      <c r="Q143" s="3905"/>
    </row>
    <row r="144" spans="2:17">
      <c r="B144" s="3303"/>
      <c r="C144" s="3311"/>
      <c r="D144" s="3312" t="s">
        <v>3378</v>
      </c>
      <c r="E144" s="3313">
        <v>2013</v>
      </c>
      <c r="F144" s="3313">
        <v>2015</v>
      </c>
      <c r="G144" s="3313">
        <v>2020</v>
      </c>
      <c r="H144" s="3313">
        <v>2025</v>
      </c>
      <c r="I144" s="3313">
        <v>2030</v>
      </c>
      <c r="J144" s="3313">
        <v>2035</v>
      </c>
      <c r="K144" s="3313">
        <v>2040</v>
      </c>
      <c r="L144" s="3313">
        <v>2045</v>
      </c>
      <c r="M144" s="3314">
        <v>2050</v>
      </c>
      <c r="N144" s="3318"/>
      <c r="O144" s="3318"/>
      <c r="P144" s="3318"/>
      <c r="Q144" s="3306"/>
    </row>
    <row r="145" spans="2:17">
      <c r="B145" s="3303"/>
      <c r="C145" s="3315" t="s">
        <v>2398</v>
      </c>
      <c r="D145" s="3318" t="s">
        <v>3379</v>
      </c>
      <c r="E145" s="4018">
        <f ca="1">IFERROR(INDEX(INDIRECT($C145&amp;".info["&amp;E$144&amp;"]"), MATCH("B.02", INDIRECT($C145&amp;".info[Vector]"), 0)), 0)</f>
        <v>3.5934362101223432</v>
      </c>
      <c r="F145" s="4018">
        <f t="shared" ref="F145:M146" ca="1" si="63">IFERROR(INDEX(INDIRECT($C145&amp;".info["&amp;F$144&amp;"]"), MATCH("B.02", INDIRECT($C145&amp;".info[Vector]"), 0)), 0)</f>
        <v>3.7038082004340493</v>
      </c>
      <c r="G145" s="4018">
        <f t="shared" ca="1" si="63"/>
        <v>2.7433334278341852</v>
      </c>
      <c r="H145" s="4018">
        <f t="shared" ca="1" si="63"/>
        <v>1.50904023633802</v>
      </c>
      <c r="I145" s="4018">
        <f t="shared" ca="1" si="63"/>
        <v>0</v>
      </c>
      <c r="J145" s="4018">
        <f t="shared" ca="1" si="63"/>
        <v>0</v>
      </c>
      <c r="K145" s="4018">
        <f t="shared" ca="1" si="63"/>
        <v>0</v>
      </c>
      <c r="L145" s="4018">
        <f t="shared" ca="1" si="63"/>
        <v>0</v>
      </c>
      <c r="M145" s="4018">
        <f t="shared" ca="1" si="63"/>
        <v>0</v>
      </c>
      <c r="N145" s="3318"/>
      <c r="O145" s="3318"/>
      <c r="P145" s="3318"/>
      <c r="Q145" s="3306"/>
    </row>
    <row r="146" spans="2:17">
      <c r="B146" s="3303"/>
      <c r="C146" s="4018" t="s">
        <v>569</v>
      </c>
      <c r="D146" s="3318" t="s">
        <v>3380</v>
      </c>
      <c r="E146" s="4018">
        <f ca="1">IFERROR(INDEX(INDIRECT($C146&amp;".info["&amp;E$144&amp;"]"), MATCH("B.02", INDIRECT($C146&amp;".info[Vector]"), 0)), 0)</f>
        <v>0.41994376780032372</v>
      </c>
      <c r="F146" s="4018">
        <f t="shared" ca="1" si="63"/>
        <v>0.81620440698264951</v>
      </c>
      <c r="G146" s="4018">
        <f t="shared" ca="1" si="63"/>
        <v>0.87652592247498262</v>
      </c>
      <c r="H146" s="4018">
        <f t="shared" ca="1" si="63"/>
        <v>0</v>
      </c>
      <c r="I146" s="4018">
        <f t="shared" ca="1" si="63"/>
        <v>0</v>
      </c>
      <c r="J146" s="4018">
        <f t="shared" ca="1" si="63"/>
        <v>0</v>
      </c>
      <c r="K146" s="4018">
        <f t="shared" ca="1" si="63"/>
        <v>0</v>
      </c>
      <c r="L146" s="4018">
        <f t="shared" ca="1" si="63"/>
        <v>0</v>
      </c>
      <c r="M146" s="4018">
        <f t="shared" ca="1" si="63"/>
        <v>0</v>
      </c>
      <c r="N146" s="3318"/>
      <c r="O146" s="3318"/>
      <c r="P146" s="3318"/>
      <c r="Q146" s="3306"/>
    </row>
    <row r="147" spans="2:17">
      <c r="B147" s="3303"/>
      <c r="C147" s="3315"/>
      <c r="D147" s="3304"/>
      <c r="E147" s="3304"/>
      <c r="F147" s="3304"/>
      <c r="G147" s="3903"/>
      <c r="H147" s="3903"/>
      <c r="I147" s="3903"/>
      <c r="J147" s="3903"/>
      <c r="K147" s="3903"/>
      <c r="L147" s="3903"/>
      <c r="M147" s="3904"/>
      <c r="N147" s="3318"/>
      <c r="O147" s="3318"/>
      <c r="P147" s="3318"/>
      <c r="Q147" s="330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sheetPr>
    <tabColor theme="5"/>
  </sheetPr>
  <dimension ref="B1:AZ135"/>
  <sheetViews>
    <sheetView showGridLines="0" zoomScale="80" zoomScaleNormal="80" workbookViewId="0">
      <selection activeCell="D135" sqref="D135"/>
    </sheetView>
  </sheetViews>
  <sheetFormatPr defaultRowHeight="15"/>
  <cols>
    <col min="1" max="1" width="2.140625" style="1077" customWidth="1"/>
    <col min="2" max="2" width="3.42578125" style="1077" customWidth="1"/>
    <col min="3" max="3" width="22.140625" style="1077" bestFit="1" customWidth="1"/>
    <col min="4" max="4" width="29.42578125" style="1077" bestFit="1" customWidth="1"/>
    <col min="5" max="5" width="9.28515625" style="1077" bestFit="1" customWidth="1"/>
    <col min="6" max="14" width="9.140625" style="1077"/>
    <col min="15" max="15" width="1.7109375" customWidth="1"/>
    <col min="16" max="16" width="1.85546875" style="1077" customWidth="1"/>
    <col min="17" max="17" width="9.140625" style="1077"/>
    <col min="18" max="18" width="30.140625" style="1077" bestFit="1" customWidth="1"/>
    <col min="19" max="27" width="6.140625" style="86" customWidth="1"/>
    <col min="28" max="28" width="3.140625" style="86" customWidth="1"/>
    <col min="29" max="29" width="2.85546875" style="86" customWidth="1"/>
    <col min="30" max="38" width="6.140625" style="86" customWidth="1"/>
    <col min="39" max="39" width="3.42578125" style="86" customWidth="1"/>
    <col min="40" max="40" width="3.140625" style="86" customWidth="1"/>
    <col min="41" max="49" width="6.140625" style="86" customWidth="1"/>
    <col min="50" max="16384" width="9.140625" style="1077"/>
  </cols>
  <sheetData>
    <row r="1" spans="2:52">
      <c r="M1" s="365"/>
      <c r="N1" s="1077" t="s">
        <v>5</v>
      </c>
    </row>
    <row r="2" spans="2:52" ht="15.75">
      <c r="B2" s="3295" t="s">
        <v>3183</v>
      </c>
      <c r="C2" s="3296"/>
      <c r="D2" s="3296"/>
      <c r="E2" s="3297"/>
      <c r="F2" s="3297"/>
      <c r="G2" s="3297"/>
      <c r="H2" s="3297"/>
      <c r="I2" s="3297"/>
      <c r="J2" s="3297"/>
      <c r="K2" s="3297"/>
      <c r="L2" s="3297"/>
      <c r="M2" s="3297"/>
      <c r="N2" s="3298"/>
      <c r="Q2" s="3295" t="s">
        <v>3184</v>
      </c>
      <c r="R2" s="3296"/>
      <c r="S2" s="3898"/>
      <c r="T2" s="3898"/>
      <c r="U2" s="3898"/>
      <c r="V2" s="3899"/>
      <c r="W2" s="3899"/>
      <c r="X2" s="3899"/>
      <c r="Y2" s="3899"/>
      <c r="Z2" s="3899"/>
      <c r="AA2" s="3899"/>
      <c r="AB2" s="3899"/>
      <c r="AC2" s="3899"/>
      <c r="AD2" s="3899"/>
      <c r="AE2" s="3899"/>
      <c r="AF2" s="3899"/>
      <c r="AG2" s="3899"/>
      <c r="AH2" s="3899"/>
      <c r="AI2" s="3899"/>
      <c r="AJ2" s="3899"/>
      <c r="AK2" s="3899"/>
      <c r="AL2" s="3899"/>
      <c r="AM2" s="3899"/>
      <c r="AN2" s="3899"/>
      <c r="AO2" s="3899"/>
      <c r="AP2" s="3899"/>
      <c r="AQ2" s="3899"/>
      <c r="AR2" s="3899"/>
      <c r="AS2" s="3899"/>
      <c r="AT2" s="3899"/>
      <c r="AU2" s="3899"/>
      <c r="AV2" s="3899"/>
      <c r="AW2" s="3899"/>
      <c r="AX2" s="3298"/>
    </row>
    <row r="3" spans="2:52" ht="15.75">
      <c r="B3" s="3299"/>
      <c r="C3" s="3300"/>
      <c r="D3" s="3300"/>
      <c r="E3" s="3301"/>
      <c r="F3" s="3301"/>
      <c r="G3" s="3301"/>
      <c r="H3" s="3301"/>
      <c r="I3" s="3301"/>
      <c r="J3" s="3301"/>
      <c r="K3" s="3301"/>
      <c r="L3" s="3301"/>
      <c r="M3" s="3301"/>
      <c r="N3" s="3302"/>
      <c r="Q3" s="3299"/>
      <c r="R3" s="3300"/>
      <c r="S3" s="3900"/>
      <c r="T3" s="3900"/>
      <c r="U3" s="3900"/>
      <c r="V3" s="3901"/>
      <c r="W3" s="3901"/>
      <c r="X3" s="3901"/>
      <c r="Y3" s="3901"/>
      <c r="Z3" s="3901"/>
      <c r="AA3" s="3901"/>
      <c r="AB3" s="3901"/>
      <c r="AC3" s="3901"/>
      <c r="AD3" s="3901"/>
      <c r="AE3" s="3901"/>
      <c r="AF3" s="3901"/>
      <c r="AG3" s="3901"/>
      <c r="AH3" s="3901"/>
      <c r="AI3" s="3901"/>
      <c r="AJ3" s="3901"/>
      <c r="AK3" s="3901"/>
      <c r="AL3" s="3901"/>
      <c r="AM3" s="3901"/>
      <c r="AN3" s="3901"/>
      <c r="AO3" s="3901"/>
      <c r="AP3" s="3901"/>
      <c r="AQ3" s="3901"/>
      <c r="AR3" s="3901"/>
      <c r="AS3" s="3901"/>
      <c r="AT3" s="3901"/>
      <c r="AU3" s="3901"/>
      <c r="AV3" s="3901"/>
      <c r="AW3" s="3901"/>
      <c r="AX3" s="3302"/>
    </row>
    <row r="4" spans="2:52" ht="15.75">
      <c r="B4" s="3902"/>
      <c r="C4" s="3304"/>
      <c r="D4" s="3304"/>
      <c r="E4" s="3903"/>
      <c r="F4" s="3903"/>
      <c r="G4" s="3903"/>
      <c r="H4" s="3903"/>
      <c r="I4" s="3903"/>
      <c r="J4" s="3903"/>
      <c r="K4" s="3903"/>
      <c r="L4" s="3903"/>
      <c r="M4" s="3904" t="str">
        <f>Preferences.EnergyUnits</f>
        <v>TWh</v>
      </c>
      <c r="N4" s="3905"/>
      <c r="Q4" s="3902"/>
      <c r="R4" s="3313"/>
      <c r="S4" s="3319" t="s">
        <v>3185</v>
      </c>
      <c r="T4" s="3906"/>
      <c r="U4" s="3906"/>
      <c r="V4" s="3907"/>
      <c r="W4" s="3907"/>
      <c r="X4" s="3907"/>
      <c r="Y4" s="3907"/>
      <c r="Z4" s="3907"/>
      <c r="AA4" s="3907"/>
      <c r="AB4" s="3907"/>
      <c r="AC4" s="3907"/>
      <c r="AD4" s="3319" t="s">
        <v>3186</v>
      </c>
      <c r="AE4" s="3906"/>
      <c r="AF4" s="3906"/>
      <c r="AG4" s="3907"/>
      <c r="AH4" s="3907"/>
      <c r="AI4" s="3907"/>
      <c r="AJ4" s="3907"/>
      <c r="AK4" s="3907"/>
      <c r="AL4" s="3907"/>
      <c r="AM4" s="3907"/>
      <c r="AN4" s="3907"/>
      <c r="AO4" s="3906" t="s">
        <v>3187</v>
      </c>
      <c r="AP4" s="3906"/>
      <c r="AQ4" s="3906"/>
      <c r="AR4" s="3907"/>
      <c r="AS4" s="3907"/>
      <c r="AT4" s="3907"/>
      <c r="AU4" s="3907"/>
      <c r="AV4" s="3907"/>
      <c r="AW4" s="3907"/>
      <c r="AX4" s="3905"/>
    </row>
    <row r="5" spans="2:52" s="3889" customFormat="1" ht="15.75">
      <c r="B5" s="3303"/>
      <c r="C5" s="3311" t="s">
        <v>2641</v>
      </c>
      <c r="D5" s="3312" t="s">
        <v>2642</v>
      </c>
      <c r="E5" s="3313" t="s">
        <v>597</v>
      </c>
      <c r="F5" s="3313" t="s">
        <v>133</v>
      </c>
      <c r="G5" s="3313" t="s">
        <v>134</v>
      </c>
      <c r="H5" s="3313" t="s">
        <v>135</v>
      </c>
      <c r="I5" s="3313" t="s">
        <v>136</v>
      </c>
      <c r="J5" s="3313" t="s">
        <v>137</v>
      </c>
      <c r="K5" s="3313" t="s">
        <v>138</v>
      </c>
      <c r="L5" s="3313" t="s">
        <v>139</v>
      </c>
      <c r="M5" s="3314" t="s">
        <v>140</v>
      </c>
      <c r="N5" s="3306"/>
      <c r="O5"/>
      <c r="Q5" s="3902"/>
      <c r="R5" s="3313" t="s">
        <v>3188</v>
      </c>
      <c r="S5" s="3313">
        <v>2013</v>
      </c>
      <c r="T5" s="3313">
        <v>2015</v>
      </c>
      <c r="U5" s="3313">
        <v>2020</v>
      </c>
      <c r="V5" s="3313">
        <v>2025</v>
      </c>
      <c r="W5" s="3313">
        <v>2030</v>
      </c>
      <c r="X5" s="3313">
        <v>2035</v>
      </c>
      <c r="Y5" s="3313">
        <v>2040</v>
      </c>
      <c r="Z5" s="3313">
        <v>2045</v>
      </c>
      <c r="AA5" s="3314">
        <v>2050</v>
      </c>
      <c r="AB5" s="3314"/>
      <c r="AC5" s="3907"/>
      <c r="AD5" s="3313">
        <v>2013</v>
      </c>
      <c r="AE5" s="3313">
        <v>2015</v>
      </c>
      <c r="AF5" s="3313">
        <v>2020</v>
      </c>
      <c r="AG5" s="3313">
        <v>2025</v>
      </c>
      <c r="AH5" s="3313">
        <v>2030</v>
      </c>
      <c r="AI5" s="3313">
        <v>2035</v>
      </c>
      <c r="AJ5" s="3313">
        <v>2040</v>
      </c>
      <c r="AK5" s="3313">
        <v>2045</v>
      </c>
      <c r="AL5" s="3314">
        <v>2050</v>
      </c>
      <c r="AM5" s="3314"/>
      <c r="AN5" s="3907"/>
      <c r="AO5" s="3313">
        <v>2013</v>
      </c>
      <c r="AP5" s="3313">
        <v>2015</v>
      </c>
      <c r="AQ5" s="3313">
        <v>2020</v>
      </c>
      <c r="AR5" s="3313">
        <v>2025</v>
      </c>
      <c r="AS5" s="3313">
        <v>2030</v>
      </c>
      <c r="AT5" s="3313">
        <v>2035</v>
      </c>
      <c r="AU5" s="3313">
        <v>2040</v>
      </c>
      <c r="AV5" s="3313">
        <v>2045</v>
      </c>
      <c r="AW5" s="3314">
        <v>2050</v>
      </c>
      <c r="AX5" s="3905"/>
      <c r="AZ5" s="3949"/>
    </row>
    <row r="6" spans="2:52" s="3889" customFormat="1" ht="15.75">
      <c r="B6" s="3303"/>
      <c r="C6" s="3315" t="s">
        <v>2761</v>
      </c>
      <c r="D6" s="3318" t="s">
        <v>3227</v>
      </c>
      <c r="E6" s="3318">
        <f ca="1">-INDEX(INDIRECT("XV.b.Outputs["&amp;E$5&amp;"]"), MATCH("Q.01", INDIRECT("XV.b.Outputs[Vector]"), 0))</f>
        <v>8.4</v>
      </c>
      <c r="F6" s="3318">
        <f t="shared" ref="F6:M6" ca="1" si="0">-INDEX(INDIRECT("XV.b.Outputs["&amp;F$5&amp;"]"), MATCH("Q.01", INDIRECT("XV.b.Outputs[Vector]"), 0))</f>
        <v>7</v>
      </c>
      <c r="G6" s="3318">
        <f t="shared" ca="1" si="0"/>
        <v>2</v>
      </c>
      <c r="H6" s="3318">
        <f t="shared" ca="1" si="0"/>
        <v>2</v>
      </c>
      <c r="I6" s="3318">
        <f t="shared" ca="1" si="0"/>
        <v>0</v>
      </c>
      <c r="J6" s="3318">
        <f t="shared" ca="1" si="0"/>
        <v>0</v>
      </c>
      <c r="K6" s="3318">
        <f t="shared" ca="1" si="0"/>
        <v>0</v>
      </c>
      <c r="L6" s="3318">
        <f t="shared" ca="1" si="0"/>
        <v>0</v>
      </c>
      <c r="M6" s="3318">
        <f t="shared" ca="1" si="0"/>
        <v>0</v>
      </c>
      <c r="N6" s="3306"/>
      <c r="O6"/>
      <c r="Q6" s="3902"/>
      <c r="R6" s="3906" t="s">
        <v>2647</v>
      </c>
      <c r="S6" s="3908">
        <f t="shared" ref="S6:AA34" ca="1" si="1">SUMIF($C$6:$C$95,$R6,E$6:E$95)</f>
        <v>0.48272505083333339</v>
      </c>
      <c r="T6" s="3908">
        <f ca="1">SUMIF($C$6:$C$95,$R6,F$6:F$95)</f>
        <v>1.2523364966176467</v>
      </c>
      <c r="U6" s="3908">
        <f t="shared" ca="1" si="1"/>
        <v>4.4908824454992988</v>
      </c>
      <c r="V6" s="3908">
        <f t="shared" ca="1" si="1"/>
        <v>10.796843569939359</v>
      </c>
      <c r="W6" s="3908">
        <f t="shared" ca="1" si="1"/>
        <v>18.332655599384971</v>
      </c>
      <c r="X6" s="3908">
        <f t="shared" ca="1" si="1"/>
        <v>23.058809093645834</v>
      </c>
      <c r="Y6" s="3908">
        <f t="shared" ca="1" si="1"/>
        <v>31.161070609526313</v>
      </c>
      <c r="Z6" s="3908">
        <f t="shared" ca="1" si="1"/>
        <v>34.387748572658353</v>
      </c>
      <c r="AA6" s="3908">
        <f t="shared" ca="1" si="1"/>
        <v>34.589148940785606</v>
      </c>
      <c r="AB6" s="3908"/>
      <c r="AC6" s="3909"/>
      <c r="AD6" s="3908">
        <f>SUMIF($D$6:$D$95,$R6,E$6:E$95)</f>
        <v>0</v>
      </c>
      <c r="AE6" s="3908">
        <f t="shared" ref="AE6:AL6" si="2">SUMIF($D$6:$D$95,$R6,F$6:F$95)</f>
        <v>0</v>
      </c>
      <c r="AF6" s="3908">
        <f t="shared" si="2"/>
        <v>0</v>
      </c>
      <c r="AG6" s="3908">
        <f t="shared" si="2"/>
        <v>0</v>
      </c>
      <c r="AH6" s="3908">
        <f t="shared" si="2"/>
        <v>0</v>
      </c>
      <c r="AI6" s="3908">
        <f t="shared" si="2"/>
        <v>0</v>
      </c>
      <c r="AJ6" s="3908">
        <f t="shared" si="2"/>
        <v>0</v>
      </c>
      <c r="AK6" s="3908">
        <f t="shared" si="2"/>
        <v>0</v>
      </c>
      <c r="AL6" s="3908">
        <f t="shared" si="2"/>
        <v>0</v>
      </c>
      <c r="AM6" s="3908"/>
      <c r="AN6" s="3909"/>
      <c r="AO6" s="3910"/>
      <c r="AP6" s="3910"/>
      <c r="AQ6" s="3910"/>
      <c r="AR6" s="3910"/>
      <c r="AS6" s="3910"/>
      <c r="AT6" s="3910"/>
      <c r="AU6" s="3910"/>
      <c r="AV6" s="3910"/>
      <c r="AW6" s="3910"/>
      <c r="AX6" s="3905"/>
    </row>
    <row r="7" spans="2:52" s="3889" customFormat="1" ht="15.75">
      <c r="B7" s="3303"/>
      <c r="C7" s="3315" t="s">
        <v>2648</v>
      </c>
      <c r="D7" s="3318" t="s">
        <v>3227</v>
      </c>
      <c r="E7" s="3318">
        <f ca="1">MAX(-INDEX(INDIRECT("XVI.b.Inputs["&amp;E$5&amp;"]"), MATCH("Y.04", INDIRECT("XVI.b.Inputs[Vector]"), 0)),0)</f>
        <v>14.602281067209798</v>
      </c>
      <c r="F7" s="3318">
        <f t="shared" ref="F7:M7" ca="1" si="3">MAX(-INDEX(INDIRECT("XVI.b.Inputs["&amp;F$5&amp;"]"), MATCH("Y.04", INDIRECT("XVI.b.Inputs[Vector]"), 0)),0)</f>
        <v>13.367884225892757</v>
      </c>
      <c r="G7" s="3318">
        <f t="shared" ca="1" si="3"/>
        <v>0.49575845114132866</v>
      </c>
      <c r="H7" s="3318">
        <f t="shared" ca="1" si="3"/>
        <v>0</v>
      </c>
      <c r="I7" s="3318">
        <f t="shared" ca="1" si="3"/>
        <v>0</v>
      </c>
      <c r="J7" s="3318">
        <f t="shared" ca="1" si="3"/>
        <v>0</v>
      </c>
      <c r="K7" s="3318">
        <f t="shared" ca="1" si="3"/>
        <v>0</v>
      </c>
      <c r="L7" s="3318">
        <f t="shared" ca="1" si="3"/>
        <v>0</v>
      </c>
      <c r="M7" s="3318">
        <f t="shared" ca="1" si="3"/>
        <v>0</v>
      </c>
      <c r="N7" s="3306"/>
      <c r="O7"/>
      <c r="Q7" s="3902"/>
      <c r="R7" s="3906" t="s">
        <v>401</v>
      </c>
      <c r="S7" s="3908">
        <f t="shared" si="1"/>
        <v>0</v>
      </c>
      <c r="T7" s="3908">
        <f t="shared" si="1"/>
        <v>0</v>
      </c>
      <c r="U7" s="3908">
        <f t="shared" si="1"/>
        <v>0</v>
      </c>
      <c r="V7" s="3908">
        <f t="shared" si="1"/>
        <v>0</v>
      </c>
      <c r="W7" s="3908">
        <f t="shared" si="1"/>
        <v>0</v>
      </c>
      <c r="X7" s="3908">
        <f t="shared" si="1"/>
        <v>0</v>
      </c>
      <c r="Y7" s="3908">
        <f t="shared" si="1"/>
        <v>0</v>
      </c>
      <c r="Z7" s="3908">
        <f t="shared" si="1"/>
        <v>0</v>
      </c>
      <c r="AA7" s="3908">
        <f t="shared" si="1"/>
        <v>0</v>
      </c>
      <c r="AB7" s="3908"/>
      <c r="AC7" s="3909"/>
      <c r="AD7" s="3908">
        <f t="shared" ref="AD7:AD56" ca="1" si="4">SUMIF($D$6:$D$95,$R7,E$6:E$95)</f>
        <v>2.6100000000000003</v>
      </c>
      <c r="AE7" s="3908">
        <f t="shared" ref="AE7:AE56" ca="1" si="5">SUMIF($D$6:$D$95,$R7,F$6:F$95)</f>
        <v>2.621797585170019</v>
      </c>
      <c r="AF7" s="3908">
        <f t="shared" ref="AF7:AF56" ca="1" si="6">SUMIF($D$6:$D$95,$R7,G$6:G$95)</f>
        <v>2.6522937492622916</v>
      </c>
      <c r="AG7" s="3908">
        <f t="shared" ref="AG7:AG56" ca="1" si="7">SUMIF($D$6:$D$95,$R7,H$6:H$95)</f>
        <v>2.6841876268210387</v>
      </c>
      <c r="AH7" s="3908">
        <f t="shared" ref="AH7:AH56" ca="1" si="8">SUMIF($D$6:$D$95,$R7,I$6:I$95)</f>
        <v>2.7174377866091057</v>
      </c>
      <c r="AI7" s="3908">
        <f t="shared" ref="AI7:AI56" ca="1" si="9">SUMIF($D$6:$D$95,$R7,J$6:J$95)</f>
        <v>2.7520040255004306</v>
      </c>
      <c r="AJ7" s="3908">
        <f t="shared" ref="AJ7:AJ56" ca="1" si="10">SUMIF($D$6:$D$95,$R7,K$6:K$95)</f>
        <v>2.7878473320761668</v>
      </c>
      <c r="AK7" s="3908">
        <f t="shared" ref="AK7:AK56" ca="1" si="11">SUMIF($D$6:$D$95,$R7,L$6:L$95)</f>
        <v>2.8249298512999603</v>
      </c>
      <c r="AL7" s="3908">
        <f t="shared" ref="AL7:AL56" ca="1" si="12">SUMIF($D$6:$D$95,$R7,M$6:M$95)</f>
        <v>2.8632148502402313</v>
      </c>
      <c r="AM7" s="3908"/>
      <c r="AN7" s="3909"/>
      <c r="AO7" s="3910"/>
      <c r="AP7" s="3910"/>
      <c r="AQ7" s="3910"/>
      <c r="AR7" s="3910"/>
      <c r="AS7" s="3910"/>
      <c r="AT7" s="3910"/>
      <c r="AU7" s="3910"/>
      <c r="AV7" s="3910"/>
      <c r="AW7" s="3910"/>
      <c r="AX7" s="3910"/>
    </row>
    <row r="8" spans="2:52" s="3889" customFormat="1" ht="15.75">
      <c r="B8" s="3303"/>
      <c r="C8" s="3315" t="s">
        <v>388</v>
      </c>
      <c r="D8" s="3318" t="s">
        <v>145</v>
      </c>
      <c r="E8" s="3318">
        <f ca="1">-INDEX(INDIRECT("XV.b.Outputs["&amp;E$5&amp;"]"), MATCH("Q.02", INDIRECT("XV.b.Outputs[Vector]"), 0))</f>
        <v>0</v>
      </c>
      <c r="F8" s="3318">
        <f t="shared" ref="F8:M8" ca="1" si="13">-INDEX(INDIRECT("XV.b.Outputs["&amp;F$5&amp;"]"), MATCH("Q.02", INDIRECT("XV.b.Outputs[Vector]"), 0))</f>
        <v>0</v>
      </c>
      <c r="G8" s="3318">
        <f t="shared" ca="1" si="13"/>
        <v>0</v>
      </c>
      <c r="H8" s="3318">
        <f t="shared" ca="1" si="13"/>
        <v>0</v>
      </c>
      <c r="I8" s="3318">
        <f t="shared" ca="1" si="13"/>
        <v>0</v>
      </c>
      <c r="J8" s="3318">
        <f t="shared" ca="1" si="13"/>
        <v>0</v>
      </c>
      <c r="K8" s="3318">
        <f t="shared" ca="1" si="13"/>
        <v>0</v>
      </c>
      <c r="L8" s="3318">
        <f t="shared" ca="1" si="13"/>
        <v>0</v>
      </c>
      <c r="M8" s="3318">
        <f t="shared" ca="1" si="13"/>
        <v>0</v>
      </c>
      <c r="N8" s="3306"/>
      <c r="O8"/>
      <c r="Q8" s="3902"/>
      <c r="R8" s="3906" t="s">
        <v>2649</v>
      </c>
      <c r="S8" s="3908">
        <f t="shared" ca="1" si="1"/>
        <v>1.0109831949921757</v>
      </c>
      <c r="T8" s="3908">
        <f t="shared" ca="1" si="1"/>
        <v>4.6148694581939473</v>
      </c>
      <c r="U8" s="3908">
        <f t="shared" ca="1" si="1"/>
        <v>15.960718335902328</v>
      </c>
      <c r="V8" s="3908">
        <f t="shared" ca="1" si="1"/>
        <v>31.249623638581117</v>
      </c>
      <c r="W8" s="3908">
        <f t="shared" ca="1" si="1"/>
        <v>49.564614140739806</v>
      </c>
      <c r="X8" s="3908">
        <f t="shared" ca="1" si="1"/>
        <v>68.498558105557407</v>
      </c>
      <c r="Y8" s="3908">
        <f t="shared" ca="1" si="1"/>
        <v>94.568627202196325</v>
      </c>
      <c r="Z8" s="3908">
        <f t="shared" ca="1" si="1"/>
        <v>116.78612501733384</v>
      </c>
      <c r="AA8" s="3908">
        <f t="shared" ca="1" si="1"/>
        <v>138.75502528417448</v>
      </c>
      <c r="AB8" s="3908"/>
      <c r="AC8" s="3909"/>
      <c r="AD8" s="3908">
        <f t="shared" ca="1" si="4"/>
        <v>1.0109831949921757</v>
      </c>
      <c r="AE8" s="3908">
        <f t="shared" ca="1" si="5"/>
        <v>4.6148694581939464</v>
      </c>
      <c r="AF8" s="3908">
        <f t="shared" ca="1" si="6"/>
        <v>15.960718335902328</v>
      </c>
      <c r="AG8" s="3908">
        <f t="shared" ca="1" si="7"/>
        <v>31.249623638581117</v>
      </c>
      <c r="AH8" s="3908">
        <f t="shared" ca="1" si="8"/>
        <v>49.564614140739792</v>
      </c>
      <c r="AI8" s="3908">
        <f t="shared" ca="1" si="9"/>
        <v>68.498558105557407</v>
      </c>
      <c r="AJ8" s="3908">
        <f t="shared" ca="1" si="10"/>
        <v>94.568627202196339</v>
      </c>
      <c r="AK8" s="3908">
        <f t="shared" ca="1" si="11"/>
        <v>116.78612501733384</v>
      </c>
      <c r="AL8" s="3908">
        <f t="shared" ca="1" si="12"/>
        <v>138.75502528417448</v>
      </c>
      <c r="AM8" s="3908"/>
      <c r="AN8" s="3909"/>
      <c r="AO8" s="3910">
        <f t="shared" ref="AO8:AW8" ca="1" si="14">S8-AD8</f>
        <v>0</v>
      </c>
      <c r="AP8" s="3910">
        <f t="shared" ca="1" si="14"/>
        <v>0</v>
      </c>
      <c r="AQ8" s="3910">
        <f t="shared" ca="1" si="14"/>
        <v>0</v>
      </c>
      <c r="AR8" s="3910">
        <f t="shared" ca="1" si="14"/>
        <v>0</v>
      </c>
      <c r="AS8" s="3910">
        <f t="shared" ca="1" si="14"/>
        <v>0</v>
      </c>
      <c r="AT8" s="3910">
        <f t="shared" ca="1" si="14"/>
        <v>0</v>
      </c>
      <c r="AU8" s="3910">
        <f t="shared" ca="1" si="14"/>
        <v>0</v>
      </c>
      <c r="AV8" s="3910">
        <f t="shared" ca="1" si="14"/>
        <v>0</v>
      </c>
      <c r="AW8" s="3910">
        <f t="shared" ca="1" si="14"/>
        <v>0</v>
      </c>
      <c r="AX8" s="3910"/>
    </row>
    <row r="9" spans="2:52" s="3889" customFormat="1" ht="15.75">
      <c r="B9" s="3303"/>
      <c r="C9" s="3315" t="s">
        <v>2650</v>
      </c>
      <c r="D9" s="3318" t="s">
        <v>145</v>
      </c>
      <c r="E9" s="3318">
        <f ca="1">MAX(-INDEX(INDIRECT("XVI.b.Inputs["&amp;E$5&amp;"]"), MATCH("Y.05", INDIRECT("XVI.b.Inputs[Vector]"), 0)),0)</f>
        <v>76.341107777431446</v>
      </c>
      <c r="F9" s="3318">
        <f t="shared" ref="F9:M9" ca="1" si="15">MAX(-INDEX(INDIRECT("XVI.b.Inputs["&amp;F$5&amp;"]"), MATCH("Y.05", INDIRECT("XVI.b.Inputs[Vector]"), 0)),0)</f>
        <v>70.428965076712089</v>
      </c>
      <c r="G9" s="3318">
        <f t="shared" ca="1" si="15"/>
        <v>66.132600914927124</v>
      </c>
      <c r="H9" s="3318">
        <f t="shared" ca="1" si="15"/>
        <v>61.70681606299398</v>
      </c>
      <c r="I9" s="3318">
        <f t="shared" ca="1" si="15"/>
        <v>58.853734589724091</v>
      </c>
      <c r="J9" s="3318">
        <f t="shared" ca="1" si="15"/>
        <v>56.055550717287325</v>
      </c>
      <c r="K9" s="3318">
        <f t="shared" ca="1" si="15"/>
        <v>53.466242556904533</v>
      </c>
      <c r="L9" s="3318">
        <f t="shared" ca="1" si="15"/>
        <v>50.942465881243002</v>
      </c>
      <c r="M9" s="3318">
        <f t="shared" ca="1" si="15"/>
        <v>48.624578735681354</v>
      </c>
      <c r="N9" s="3306"/>
      <c r="O9"/>
      <c r="Q9" s="3902"/>
      <c r="R9" s="3906" t="s">
        <v>2651</v>
      </c>
      <c r="S9" s="3908">
        <f t="shared" ca="1" si="1"/>
        <v>0.91876999999999998</v>
      </c>
      <c r="T9" s="3908">
        <f t="shared" ca="1" si="1"/>
        <v>1.0467</v>
      </c>
      <c r="U9" s="3908">
        <f t="shared" ca="1" si="1"/>
        <v>1.5119</v>
      </c>
      <c r="V9" s="3908">
        <f t="shared" ca="1" si="1"/>
        <v>2.4963333333333302</v>
      </c>
      <c r="W9" s="3908">
        <f t="shared" ca="1" si="1"/>
        <v>3.5970666666666702</v>
      </c>
      <c r="X9" s="3908">
        <f t="shared" ca="1" si="1"/>
        <v>4.6978</v>
      </c>
      <c r="Y9" s="3908">
        <f t="shared" ca="1" si="1"/>
        <v>5.7985333333333298</v>
      </c>
      <c r="Z9" s="3908">
        <f t="shared" ca="1" si="1"/>
        <v>6.8992666666666702</v>
      </c>
      <c r="AA9" s="3908">
        <f t="shared" ca="1" si="1"/>
        <v>8</v>
      </c>
      <c r="AB9" s="3908"/>
      <c r="AC9" s="3909"/>
      <c r="AD9" s="3908">
        <f t="shared" si="4"/>
        <v>0</v>
      </c>
      <c r="AE9" s="3908">
        <f t="shared" si="5"/>
        <v>0</v>
      </c>
      <c r="AF9" s="3908">
        <f t="shared" si="6"/>
        <v>0</v>
      </c>
      <c r="AG9" s="3908">
        <f t="shared" si="7"/>
        <v>0</v>
      </c>
      <c r="AH9" s="3908">
        <f t="shared" si="8"/>
        <v>0</v>
      </c>
      <c r="AI9" s="3908">
        <f t="shared" si="9"/>
        <v>0</v>
      </c>
      <c r="AJ9" s="3908">
        <f t="shared" si="10"/>
        <v>0</v>
      </c>
      <c r="AK9" s="3908">
        <f t="shared" si="11"/>
        <v>0</v>
      </c>
      <c r="AL9" s="3908">
        <f t="shared" si="12"/>
        <v>0</v>
      </c>
      <c r="AM9" s="3908"/>
      <c r="AN9" s="3909"/>
      <c r="AO9" s="3910"/>
      <c r="AP9" s="3910"/>
      <c r="AQ9" s="3910"/>
      <c r="AR9" s="3910"/>
      <c r="AS9" s="3910"/>
      <c r="AT9" s="3910"/>
      <c r="AU9" s="3910"/>
      <c r="AV9" s="3910"/>
      <c r="AW9" s="3910"/>
      <c r="AX9" s="3910"/>
    </row>
    <row r="10" spans="2:52" s="3889" customFormat="1" ht="15.75">
      <c r="B10" s="3303"/>
      <c r="C10" s="3315" t="s">
        <v>389</v>
      </c>
      <c r="D10" s="3318" t="s">
        <v>847</v>
      </c>
      <c r="E10" s="3318">
        <f ca="1">-INDEX(INDIRECT("XV.b.Outputs["&amp;E$5&amp;"]"), MATCH("Q.03", INDIRECT("XV.b.Outputs[Vector]"), 0))</f>
        <v>0</v>
      </c>
      <c r="F10" s="3318">
        <f t="shared" ref="F10:M10" ca="1" si="16">-INDEX(INDIRECT("XV.b.Outputs["&amp;F$5&amp;"]"), MATCH("Q.03", INDIRECT("XV.b.Outputs[Vector]"), 0))</f>
        <v>1.7555282514130199</v>
      </c>
      <c r="G10" s="3318">
        <f t="shared" ca="1" si="16"/>
        <v>35</v>
      </c>
      <c r="H10" s="3318">
        <f t="shared" ca="1" si="16"/>
        <v>10</v>
      </c>
      <c r="I10" s="3318">
        <f t="shared" ca="1" si="16"/>
        <v>0</v>
      </c>
      <c r="J10" s="3318">
        <f t="shared" ca="1" si="16"/>
        <v>0</v>
      </c>
      <c r="K10" s="3318">
        <f t="shared" ca="1" si="16"/>
        <v>0</v>
      </c>
      <c r="L10" s="3318">
        <f t="shared" ca="1" si="16"/>
        <v>0</v>
      </c>
      <c r="M10" s="3318">
        <f t="shared" ca="1" si="16"/>
        <v>0</v>
      </c>
      <c r="N10" s="3306"/>
      <c r="O10"/>
      <c r="Q10" s="3902"/>
      <c r="R10" s="3906" t="s">
        <v>2653</v>
      </c>
      <c r="S10" s="3908">
        <f t="shared" ca="1" si="1"/>
        <v>0.17666666666666667</v>
      </c>
      <c r="T10" s="3908">
        <f t="shared" ca="1" si="1"/>
        <v>0.25</v>
      </c>
      <c r="U10" s="3908">
        <f t="shared" ca="1" si="1"/>
        <v>1.4</v>
      </c>
      <c r="V10" s="3908">
        <f t="shared" ca="1" si="1"/>
        <v>-15.380254786704254</v>
      </c>
      <c r="W10" s="3908">
        <f t="shared" ca="1" si="1"/>
        <v>-31.573535256502545</v>
      </c>
      <c r="X10" s="3908">
        <f t="shared" ca="1" si="1"/>
        <v>-28.014659166197479</v>
      </c>
      <c r="Y10" s="3908">
        <f t="shared" ca="1" si="1"/>
        <v>-45.394088294146343</v>
      </c>
      <c r="Z10" s="3908">
        <f t="shared" ca="1" si="1"/>
        <v>-61.287021708780983</v>
      </c>
      <c r="AA10" s="3908">
        <f t="shared" ca="1" si="1"/>
        <v>-77.532154317257508</v>
      </c>
      <c r="AB10" s="3908"/>
      <c r="AC10" s="3909"/>
      <c r="AD10" s="3908">
        <f t="shared" si="4"/>
        <v>0</v>
      </c>
      <c r="AE10" s="3908">
        <f t="shared" si="5"/>
        <v>0</v>
      </c>
      <c r="AF10" s="3908">
        <f t="shared" si="6"/>
        <v>0</v>
      </c>
      <c r="AG10" s="3908">
        <f t="shared" si="7"/>
        <v>0</v>
      </c>
      <c r="AH10" s="3908">
        <f t="shared" si="8"/>
        <v>0</v>
      </c>
      <c r="AI10" s="3908">
        <f t="shared" si="9"/>
        <v>0</v>
      </c>
      <c r="AJ10" s="3908">
        <f t="shared" si="10"/>
        <v>0</v>
      </c>
      <c r="AK10" s="3908">
        <f t="shared" si="11"/>
        <v>0</v>
      </c>
      <c r="AL10" s="3908">
        <f t="shared" si="12"/>
        <v>0</v>
      </c>
      <c r="AM10" s="3908"/>
      <c r="AN10" s="3909"/>
      <c r="AO10" s="3910"/>
      <c r="AP10" s="3910"/>
      <c r="AQ10" s="3910"/>
      <c r="AR10" s="3910"/>
      <c r="AS10" s="3910"/>
      <c r="AT10" s="3910"/>
      <c r="AU10" s="3910"/>
      <c r="AV10" s="3910"/>
      <c r="AW10" s="3910"/>
      <c r="AX10" s="3910"/>
    </row>
    <row r="11" spans="2:52" s="3889" customFormat="1" ht="15.75">
      <c r="B11" s="3303"/>
      <c r="C11" s="3315" t="s">
        <v>2654</v>
      </c>
      <c r="D11" s="3318" t="s">
        <v>847</v>
      </c>
      <c r="E11" s="3318">
        <f ca="1">MAX(-INDEX(INDIRECT("XVI.b.Inputs["&amp;E$5&amp;"]"), MATCH("Y.06", INDIRECT("XVI.b.Inputs[Vector]"), 0)),0)</f>
        <v>46.547614680811428</v>
      </c>
      <c r="F11" s="3318">
        <f t="shared" ref="F11:M11" ca="1" si="17">MAX(-INDEX(INDIRECT("XVI.b.Inputs["&amp;F$5&amp;"]"), MATCH("Y.06", INDIRECT("XVI.b.Inputs[Vector]"), 0)),0)</f>
        <v>45.644258801899632</v>
      </c>
      <c r="G11" s="3318">
        <f t="shared" ca="1" si="17"/>
        <v>11.463075485516505</v>
      </c>
      <c r="H11" s="3318">
        <f t="shared" ca="1" si="17"/>
        <v>29.741491510161715</v>
      </c>
      <c r="I11" s="3318">
        <f t="shared" ca="1" si="17"/>
        <v>29.716870935553509</v>
      </c>
      <c r="J11" s="3318">
        <f t="shared" ca="1" si="17"/>
        <v>37.575562611620718</v>
      </c>
      <c r="K11" s="3318">
        <f t="shared" ca="1" si="17"/>
        <v>49.707610582817466</v>
      </c>
      <c r="L11" s="3318">
        <f t="shared" ca="1" si="17"/>
        <v>62.182671111735829</v>
      </c>
      <c r="M11" s="3318">
        <f t="shared" ca="1" si="17"/>
        <v>75.014269907136224</v>
      </c>
      <c r="N11" s="3306"/>
      <c r="O11"/>
      <c r="Q11" s="3902"/>
      <c r="R11" s="3906" t="s">
        <v>2655</v>
      </c>
      <c r="S11" s="3908">
        <f t="shared" ca="1" si="1"/>
        <v>0</v>
      </c>
      <c r="T11" s="3908">
        <f t="shared" ca="1" si="1"/>
        <v>0</v>
      </c>
      <c r="U11" s="3908">
        <f t="shared" ca="1" si="1"/>
        <v>3.0321428571428575</v>
      </c>
      <c r="V11" s="3908">
        <f t="shared" ca="1" si="1"/>
        <v>6.3650000000000002</v>
      </c>
      <c r="W11" s="3908">
        <f t="shared" ca="1" si="1"/>
        <v>9.9985714285714309</v>
      </c>
      <c r="X11" s="3908">
        <f t="shared" ca="1" si="1"/>
        <v>13.932857142857145</v>
      </c>
      <c r="Y11" s="3908">
        <f t="shared" ca="1" si="1"/>
        <v>18.167857142857144</v>
      </c>
      <c r="Z11" s="3908">
        <f t="shared" ca="1" si="1"/>
        <v>22.703571428571429</v>
      </c>
      <c r="AA11" s="3908">
        <f t="shared" ca="1" si="1"/>
        <v>27.54</v>
      </c>
      <c r="AB11" s="3908"/>
      <c r="AC11" s="3909"/>
      <c r="AD11" s="3908">
        <f t="shared" ca="1" si="4"/>
        <v>0</v>
      </c>
      <c r="AE11" s="3908">
        <f t="shared" ca="1" si="5"/>
        <v>0</v>
      </c>
      <c r="AF11" s="3908">
        <f t="shared" ca="1" si="6"/>
        <v>3.0321428571428575</v>
      </c>
      <c r="AG11" s="3908">
        <f t="shared" ca="1" si="7"/>
        <v>6.3650000000000002</v>
      </c>
      <c r="AH11" s="3908">
        <f t="shared" ca="1" si="8"/>
        <v>9.9985714285714309</v>
      </c>
      <c r="AI11" s="3908">
        <f t="shared" ca="1" si="9"/>
        <v>13.932857142857143</v>
      </c>
      <c r="AJ11" s="3908">
        <f t="shared" ca="1" si="10"/>
        <v>18.167857142857144</v>
      </c>
      <c r="AK11" s="3908">
        <f t="shared" ca="1" si="11"/>
        <v>22.703571428571429</v>
      </c>
      <c r="AL11" s="3908">
        <f t="shared" ca="1" si="12"/>
        <v>27.539999999999996</v>
      </c>
      <c r="AM11" s="3908"/>
      <c r="AN11" s="3909" t="s">
        <v>5</v>
      </c>
      <c r="AO11" s="3910">
        <f t="shared" ref="AO11:AW12" ca="1" si="18">S11-AD11</f>
        <v>0</v>
      </c>
      <c r="AP11" s="3910">
        <f t="shared" ca="1" si="18"/>
        <v>0</v>
      </c>
      <c r="AQ11" s="3910">
        <f t="shared" ca="1" si="18"/>
        <v>0</v>
      </c>
      <c r="AR11" s="3910">
        <f t="shared" ca="1" si="18"/>
        <v>0</v>
      </c>
      <c r="AS11" s="3910">
        <f t="shared" ca="1" si="18"/>
        <v>0</v>
      </c>
      <c r="AT11" s="3910">
        <f t="shared" ca="1" si="18"/>
        <v>0</v>
      </c>
      <c r="AU11" s="3910">
        <f t="shared" ca="1" si="18"/>
        <v>0</v>
      </c>
      <c r="AV11" s="3910">
        <f t="shared" ca="1" si="18"/>
        <v>0</v>
      </c>
      <c r="AW11" s="3910">
        <f t="shared" ca="1" si="18"/>
        <v>0</v>
      </c>
      <c r="AX11" s="3910"/>
    </row>
    <row r="12" spans="2:52" s="3889" customFormat="1" ht="15.75">
      <c r="B12" s="3303"/>
      <c r="C12" s="3315" t="s">
        <v>3189</v>
      </c>
      <c r="D12" s="3318" t="s">
        <v>2649</v>
      </c>
      <c r="E12" s="3318">
        <f ca="1">-INDEX(INDIRECT("VI.a.Outputs["&amp;E$5&amp;"]"), MATCH("A.01", INDIRECT("VI.a.Outputs[Vector]"), 0))</f>
        <v>0.31308333333333338</v>
      </c>
      <c r="F12" s="3318">
        <f t="shared" ref="F12:M12" ca="1" si="19">-INDEX(INDIRECT("VI.a.Outputs["&amp;F$5&amp;"]"), MATCH("A.01", INDIRECT("VI.a.Outputs[Vector]"), 0))</f>
        <v>3.1030021015136149</v>
      </c>
      <c r="G12" s="3318">
        <f t="shared" ca="1" si="19"/>
        <v>10.829078746607582</v>
      </c>
      <c r="H12" s="3318">
        <f t="shared" ca="1" si="19"/>
        <v>19.727684831536898</v>
      </c>
      <c r="I12" s="3318">
        <f t="shared" ca="1" si="19"/>
        <v>29.933760364301243</v>
      </c>
      <c r="J12" s="3318">
        <f t="shared" ca="1" si="19"/>
        <v>41.596092700468184</v>
      </c>
      <c r="K12" s="3318">
        <f t="shared" ca="1" si="19"/>
        <v>54.878650644181185</v>
      </c>
      <c r="L12" s="3318">
        <f t="shared" ca="1" si="19"/>
        <v>69.962042040525318</v>
      </c>
      <c r="M12" s="3318">
        <f t="shared" ca="1" si="19"/>
        <v>87.045105978477153</v>
      </c>
      <c r="N12" s="3306"/>
      <c r="O12"/>
      <c r="Q12" s="3902"/>
      <c r="R12" s="3319" t="s">
        <v>3227</v>
      </c>
      <c r="S12" s="3908">
        <f t="shared" ca="1" si="1"/>
        <v>23.0022810672098</v>
      </c>
      <c r="T12" s="3908">
        <f t="shared" ca="1" si="1"/>
        <v>20.367884225892759</v>
      </c>
      <c r="U12" s="3908">
        <f t="shared" ca="1" si="1"/>
        <v>2.4957584511413287</v>
      </c>
      <c r="V12" s="3908">
        <f t="shared" ca="1" si="1"/>
        <v>2</v>
      </c>
      <c r="W12" s="3908">
        <f t="shared" ca="1" si="1"/>
        <v>0</v>
      </c>
      <c r="X12" s="3908">
        <f t="shared" ca="1" si="1"/>
        <v>0</v>
      </c>
      <c r="Y12" s="3908">
        <f t="shared" ca="1" si="1"/>
        <v>0</v>
      </c>
      <c r="Z12" s="3908">
        <f t="shared" ca="1" si="1"/>
        <v>0</v>
      </c>
      <c r="AA12" s="3908">
        <f t="shared" ca="1" si="1"/>
        <v>0</v>
      </c>
      <c r="AB12" s="3908"/>
      <c r="AC12" s="3909"/>
      <c r="AD12" s="3908">
        <f t="shared" ca="1" si="4"/>
        <v>23.0022810672098</v>
      </c>
      <c r="AE12" s="3908">
        <f t="shared" ca="1" si="5"/>
        <v>20.367884225892759</v>
      </c>
      <c r="AF12" s="3908">
        <f t="shared" ca="1" si="6"/>
        <v>2.4957584511413287</v>
      </c>
      <c r="AG12" s="3908">
        <f t="shared" ca="1" si="7"/>
        <v>2</v>
      </c>
      <c r="AH12" s="3908">
        <f t="shared" ca="1" si="8"/>
        <v>0</v>
      </c>
      <c r="AI12" s="3908">
        <f t="shared" ca="1" si="9"/>
        <v>0</v>
      </c>
      <c r="AJ12" s="3908">
        <f t="shared" ca="1" si="10"/>
        <v>0</v>
      </c>
      <c r="AK12" s="3908">
        <f t="shared" ca="1" si="11"/>
        <v>0</v>
      </c>
      <c r="AL12" s="3908">
        <f t="shared" ca="1" si="12"/>
        <v>0</v>
      </c>
      <c r="AM12" s="3908"/>
      <c r="AN12" s="3909"/>
      <c r="AO12" s="3910">
        <f t="shared" ca="1" si="18"/>
        <v>0</v>
      </c>
      <c r="AP12" s="3910">
        <f t="shared" ca="1" si="18"/>
        <v>0</v>
      </c>
      <c r="AQ12" s="3910">
        <f t="shared" ca="1" si="18"/>
        <v>0</v>
      </c>
      <c r="AR12" s="3910">
        <f t="shared" ca="1" si="18"/>
        <v>0</v>
      </c>
      <c r="AS12" s="3910">
        <f t="shared" ca="1" si="18"/>
        <v>0</v>
      </c>
      <c r="AT12" s="3910">
        <f t="shared" ca="1" si="18"/>
        <v>0</v>
      </c>
      <c r="AU12" s="3910">
        <f t="shared" ca="1" si="18"/>
        <v>0</v>
      </c>
      <c r="AV12" s="3910">
        <f t="shared" ca="1" si="18"/>
        <v>0</v>
      </c>
      <c r="AW12" s="3910">
        <f t="shared" ca="1" si="18"/>
        <v>0</v>
      </c>
      <c r="AX12" s="3910"/>
    </row>
    <row r="13" spans="2:52" s="3889" customFormat="1" ht="15.75">
      <c r="B13" s="3303"/>
      <c r="C13" s="3315" t="s">
        <v>507</v>
      </c>
      <c r="D13" s="3318" t="s">
        <v>2649</v>
      </c>
      <c r="E13" s="3318">
        <f ca="1">INDEX(INDIRECT("VI.c.Outputs["&amp;E$5&amp;"]"), MATCH("V.10", INDIRECT("VI.c.Outputs[Vector]"), 0))</f>
        <v>0</v>
      </c>
      <c r="F13" s="3318">
        <f t="shared" ref="F13:M13" ca="1" si="20">INDEX(INDIRECT("VI.c.Outputs["&amp;F$5&amp;"]"), MATCH("V.10", INDIRECT("VI.c.Outputs[Vector]"), 0))</f>
        <v>0</v>
      </c>
      <c r="G13" s="3318">
        <f t="shared" ca="1" si="20"/>
        <v>0</v>
      </c>
      <c r="H13" s="3318">
        <f t="shared" ca="1" si="20"/>
        <v>3.8888888888888896E-2</v>
      </c>
      <c r="I13" s="3318">
        <f t="shared" ca="1" si="20"/>
        <v>0.58333333333333337</v>
      </c>
      <c r="J13" s="3318">
        <f t="shared" ca="1" si="20"/>
        <v>3.1111111111111116</v>
      </c>
      <c r="K13" s="3318">
        <f t="shared" ca="1" si="20"/>
        <v>7.7777777777777786</v>
      </c>
      <c r="L13" s="3318">
        <f t="shared" ca="1" si="20"/>
        <v>11.666666666666668</v>
      </c>
      <c r="M13" s="3318">
        <f t="shared" ca="1" si="20"/>
        <v>16.333333333333336</v>
      </c>
      <c r="N13" s="3306"/>
      <c r="O13"/>
      <c r="Q13" s="3902"/>
      <c r="R13" s="3906" t="s">
        <v>2648</v>
      </c>
      <c r="S13" s="3908">
        <f t="shared" ca="1" si="1"/>
        <v>14.602281067209798</v>
      </c>
      <c r="T13" s="3908">
        <f t="shared" ca="1" si="1"/>
        <v>13.367884225892757</v>
      </c>
      <c r="U13" s="3908">
        <f t="shared" ca="1" si="1"/>
        <v>0.49575845114132866</v>
      </c>
      <c r="V13" s="3908">
        <f t="shared" ca="1" si="1"/>
        <v>0</v>
      </c>
      <c r="W13" s="3908">
        <f t="shared" ca="1" si="1"/>
        <v>0</v>
      </c>
      <c r="X13" s="3908">
        <f t="shared" ca="1" si="1"/>
        <v>0</v>
      </c>
      <c r="Y13" s="3908">
        <f t="shared" ca="1" si="1"/>
        <v>0</v>
      </c>
      <c r="Z13" s="3908">
        <f t="shared" ca="1" si="1"/>
        <v>0</v>
      </c>
      <c r="AA13" s="3908">
        <f t="shared" ca="1" si="1"/>
        <v>0</v>
      </c>
      <c r="AB13" s="3908"/>
      <c r="AC13" s="3909"/>
      <c r="AD13" s="3908">
        <f t="shared" si="4"/>
        <v>0</v>
      </c>
      <c r="AE13" s="3908">
        <f t="shared" si="5"/>
        <v>0</v>
      </c>
      <c r="AF13" s="3908">
        <f t="shared" si="6"/>
        <v>0</v>
      </c>
      <c r="AG13" s="3908">
        <f t="shared" si="7"/>
        <v>0</v>
      </c>
      <c r="AH13" s="3908">
        <f t="shared" si="8"/>
        <v>0</v>
      </c>
      <c r="AI13" s="3908">
        <f t="shared" si="9"/>
        <v>0</v>
      </c>
      <c r="AJ13" s="3908">
        <f t="shared" si="10"/>
        <v>0</v>
      </c>
      <c r="AK13" s="3908">
        <f t="shared" si="11"/>
        <v>0</v>
      </c>
      <c r="AL13" s="3908">
        <f t="shared" si="12"/>
        <v>0</v>
      </c>
      <c r="AM13" s="3908"/>
      <c r="AN13" s="3909"/>
      <c r="AO13" s="3910"/>
      <c r="AP13" s="3910"/>
      <c r="AQ13" s="3910"/>
      <c r="AR13" s="3910"/>
      <c r="AS13" s="3910"/>
      <c r="AT13" s="3910"/>
      <c r="AU13" s="3910"/>
      <c r="AV13" s="3910"/>
      <c r="AW13" s="3910"/>
      <c r="AX13" s="3910"/>
    </row>
    <row r="14" spans="2:52" s="3889" customFormat="1" ht="15.75">
      <c r="B14" s="3303"/>
      <c r="C14" s="3315" t="s">
        <v>2647</v>
      </c>
      <c r="D14" s="3318" t="s">
        <v>2649</v>
      </c>
      <c r="E14" s="3318">
        <f ca="1">-INDEX(INDIRECT("VI.a.Outputs["&amp;E$5&amp;"]"), MATCH("W.01", INDIRECT("VI.a.Outputs[Vector]"), 0))</f>
        <v>0.48272505083333339</v>
      </c>
      <c r="F14" s="3318">
        <f t="shared" ref="F14:M14" ca="1" si="21">-INDEX(INDIRECT("VI.a.Outputs["&amp;F$5&amp;"]"), MATCH("W.01", INDIRECT("VI.a.Outputs[Vector]"), 0))</f>
        <v>1.2523364966176467</v>
      </c>
      <c r="G14" s="3318">
        <f t="shared" ca="1" si="21"/>
        <v>4.4908824454992988</v>
      </c>
      <c r="H14" s="3318">
        <f t="shared" ca="1" si="21"/>
        <v>10.796843569939359</v>
      </c>
      <c r="I14" s="3318">
        <f t="shared" ca="1" si="21"/>
        <v>18.332655599384971</v>
      </c>
      <c r="J14" s="3318">
        <f t="shared" ca="1" si="21"/>
        <v>23.058809093645834</v>
      </c>
      <c r="K14" s="3318">
        <f t="shared" ca="1" si="21"/>
        <v>31.161070609526313</v>
      </c>
      <c r="L14" s="3318">
        <f t="shared" ca="1" si="21"/>
        <v>34.387748572658353</v>
      </c>
      <c r="M14" s="3318">
        <f t="shared" ca="1" si="21"/>
        <v>34.589148940785606</v>
      </c>
      <c r="N14" s="3306"/>
      <c r="O14"/>
      <c r="Q14" s="3902"/>
      <c r="R14" s="3319" t="s">
        <v>2761</v>
      </c>
      <c r="S14" s="3908">
        <f t="shared" ca="1" si="1"/>
        <v>8.4</v>
      </c>
      <c r="T14" s="3908">
        <f t="shared" ca="1" si="1"/>
        <v>7</v>
      </c>
      <c r="U14" s="3908">
        <f t="shared" ca="1" si="1"/>
        <v>2</v>
      </c>
      <c r="V14" s="3908">
        <f t="shared" ca="1" si="1"/>
        <v>2</v>
      </c>
      <c r="W14" s="3908">
        <f t="shared" ca="1" si="1"/>
        <v>0</v>
      </c>
      <c r="X14" s="3908">
        <f t="shared" ca="1" si="1"/>
        <v>0</v>
      </c>
      <c r="Y14" s="3908">
        <f t="shared" ca="1" si="1"/>
        <v>0</v>
      </c>
      <c r="Z14" s="3908">
        <f t="shared" ca="1" si="1"/>
        <v>0</v>
      </c>
      <c r="AA14" s="3908">
        <f t="shared" ca="1" si="1"/>
        <v>0</v>
      </c>
      <c r="AB14" s="3908"/>
      <c r="AC14" s="3909"/>
      <c r="AD14" s="3908">
        <f t="shared" si="4"/>
        <v>0</v>
      </c>
      <c r="AE14" s="3908">
        <f t="shared" si="5"/>
        <v>0</v>
      </c>
      <c r="AF14" s="3908">
        <f t="shared" si="6"/>
        <v>0</v>
      </c>
      <c r="AG14" s="3908">
        <f t="shared" si="7"/>
        <v>0</v>
      </c>
      <c r="AH14" s="3908">
        <f t="shared" si="8"/>
        <v>0</v>
      </c>
      <c r="AI14" s="3908">
        <f t="shared" si="9"/>
        <v>0</v>
      </c>
      <c r="AJ14" s="3908">
        <f t="shared" si="10"/>
        <v>0</v>
      </c>
      <c r="AK14" s="3908">
        <f t="shared" si="11"/>
        <v>0</v>
      </c>
      <c r="AL14" s="3908">
        <f t="shared" si="12"/>
        <v>0</v>
      </c>
      <c r="AM14" s="3908"/>
      <c r="AN14" s="3909"/>
      <c r="AO14" s="3910"/>
      <c r="AP14" s="3910"/>
      <c r="AQ14" s="3910"/>
      <c r="AR14" s="3910"/>
      <c r="AS14" s="3910"/>
      <c r="AT14" s="3910"/>
      <c r="AU14" s="3910"/>
      <c r="AV14" s="3910"/>
      <c r="AW14" s="3910"/>
      <c r="AX14" s="3910"/>
    </row>
    <row r="15" spans="2:52" s="3889" customFormat="1" ht="15.75">
      <c r="B15" s="3303"/>
      <c r="C15" s="3315" t="s">
        <v>2657</v>
      </c>
      <c r="D15" s="3318" t="s">
        <v>2649</v>
      </c>
      <c r="E15" s="3318">
        <f ca="1">-(INDEX(INDIRECT("VI.b.Outputs["&amp;E$5&amp;"]"), MATCH("W.01", INDIRECT("VI.b.Outputs[Vector]"), 0))+INDEX(INDIRECT("VI.b.Outputs["&amp;E$5&amp;"]"), MATCH("C.01", INDIRECT("VI.b.Outputs[Vector]"), 0)))</f>
        <v>0.21517481082550902</v>
      </c>
      <c r="F15" s="3318">
        <f t="shared" ref="F15:M15" ca="1" si="22">-(INDEX(INDIRECT("VI.b.Outputs["&amp;F$5&amp;"]"), MATCH("W.01", INDIRECT("VI.b.Outputs[Vector]"), 0))+INDEX(INDIRECT("VI.b.Outputs["&amp;F$5&amp;"]"), MATCH("C.01", INDIRECT("VI.b.Outputs[Vector]"), 0)))</f>
        <v>0.259530860062685</v>
      </c>
      <c r="G15" s="3318">
        <f t="shared" ca="1" si="22"/>
        <v>0.64075714379544702</v>
      </c>
      <c r="H15" s="3318">
        <f t="shared" ca="1" si="22"/>
        <v>0.68620634821597337</v>
      </c>
      <c r="I15" s="3318">
        <f t="shared" ca="1" si="22"/>
        <v>0.71486484372025005</v>
      </c>
      <c r="J15" s="3318">
        <f t="shared" ca="1" si="22"/>
        <v>0.73254520033228698</v>
      </c>
      <c r="K15" s="3318">
        <f t="shared" ca="1" si="22"/>
        <v>0.75112817071105165</v>
      </c>
      <c r="L15" s="3318">
        <f t="shared" ca="1" si="22"/>
        <v>0.76966773748349882</v>
      </c>
      <c r="M15" s="3318">
        <f t="shared" ca="1" si="22"/>
        <v>0.7874370315783894</v>
      </c>
      <c r="N15" s="3306"/>
      <c r="O15"/>
      <c r="Q15" s="3902"/>
      <c r="R15" s="3906" t="s">
        <v>545</v>
      </c>
      <c r="S15" s="3908">
        <f t="shared" ca="1" si="1"/>
        <v>2.6537999724419409E-2</v>
      </c>
      <c r="T15" s="3908">
        <f t="shared" ca="1" si="1"/>
        <v>2.6537999724419409E-2</v>
      </c>
      <c r="U15" s="3908">
        <f t="shared" ca="1" si="1"/>
        <v>2.6537999724419409E-2</v>
      </c>
      <c r="V15" s="3908">
        <f t="shared" ca="1" si="1"/>
        <v>2.6537999724419409E-2</v>
      </c>
      <c r="W15" s="3908">
        <f t="shared" ca="1" si="1"/>
        <v>2.6537999724419409E-2</v>
      </c>
      <c r="X15" s="3908">
        <f t="shared" ca="1" si="1"/>
        <v>2.6537999724419409E-2</v>
      </c>
      <c r="Y15" s="3908">
        <f t="shared" ca="1" si="1"/>
        <v>2.6537999724419409E-2</v>
      </c>
      <c r="Z15" s="3908">
        <f t="shared" ca="1" si="1"/>
        <v>2.6537999724419409E-2</v>
      </c>
      <c r="AA15" s="3908">
        <f t="shared" ca="1" si="1"/>
        <v>2.6537999724419409E-2</v>
      </c>
      <c r="AB15" s="3908"/>
      <c r="AC15" s="3909"/>
      <c r="AD15" s="3908">
        <f t="shared" ca="1" si="4"/>
        <v>2.6537999724419409E-2</v>
      </c>
      <c r="AE15" s="3908">
        <f t="shared" ca="1" si="5"/>
        <v>2.6537999724419409E-2</v>
      </c>
      <c r="AF15" s="3908">
        <f t="shared" ca="1" si="6"/>
        <v>2.6537999724419409E-2</v>
      </c>
      <c r="AG15" s="3908">
        <f t="shared" ca="1" si="7"/>
        <v>2.6537999724419409E-2</v>
      </c>
      <c r="AH15" s="3908">
        <f t="shared" ca="1" si="8"/>
        <v>2.6537999724419409E-2</v>
      </c>
      <c r="AI15" s="3908">
        <f t="shared" ca="1" si="9"/>
        <v>2.6537999724419409E-2</v>
      </c>
      <c r="AJ15" s="3908">
        <f t="shared" ca="1" si="10"/>
        <v>2.6537999724419409E-2</v>
      </c>
      <c r="AK15" s="3908">
        <f t="shared" ca="1" si="11"/>
        <v>2.6537999724419409E-2</v>
      </c>
      <c r="AL15" s="3908">
        <f t="shared" ca="1" si="12"/>
        <v>2.6537999724419409E-2</v>
      </c>
      <c r="AM15" s="3908"/>
      <c r="AN15" s="3909"/>
      <c r="AO15" s="3910">
        <f t="shared" ref="AO15:AW15" ca="1" si="23">S15-AD15</f>
        <v>0</v>
      </c>
      <c r="AP15" s="3910">
        <f t="shared" ca="1" si="23"/>
        <v>0</v>
      </c>
      <c r="AQ15" s="3910">
        <f t="shared" ca="1" si="23"/>
        <v>0</v>
      </c>
      <c r="AR15" s="3910">
        <f t="shared" ca="1" si="23"/>
        <v>0</v>
      </c>
      <c r="AS15" s="3910">
        <f t="shared" ca="1" si="23"/>
        <v>0</v>
      </c>
      <c r="AT15" s="3910">
        <f t="shared" ca="1" si="23"/>
        <v>0</v>
      </c>
      <c r="AU15" s="3910">
        <f t="shared" ca="1" si="23"/>
        <v>0</v>
      </c>
      <c r="AV15" s="3910">
        <f t="shared" ca="1" si="23"/>
        <v>0</v>
      </c>
      <c r="AW15" s="3910">
        <f t="shared" ca="1" si="23"/>
        <v>0</v>
      </c>
      <c r="AX15" s="3910"/>
    </row>
    <row r="16" spans="2:52" s="3889" customFormat="1" ht="15.75">
      <c r="B16" s="3303"/>
      <c r="C16" s="3315" t="s">
        <v>2657</v>
      </c>
      <c r="D16" s="3318" t="s">
        <v>16</v>
      </c>
      <c r="E16" s="3318">
        <f ca="1">INDEX(INDIRECT("VI.b.Outputs["&amp;E$5&amp;"]"), MATCH("C.01", INDIRECT("VI.b.Outputs[Vector]"), 0))</f>
        <v>6.3749380800000005E-2</v>
      </c>
      <c r="F16" s="3318">
        <f t="shared" ref="F16:M16" ca="1" si="24">INDEX(INDIRECT("VI.b.Outputs["&amp;F$5&amp;"]"), MATCH("C.01", INDIRECT("VI.b.Outputs[Vector]"), 0))</f>
        <v>6.568800000000001E-2</v>
      </c>
      <c r="G16" s="3318">
        <f t="shared" ca="1" si="24"/>
        <v>0.25170110893975794</v>
      </c>
      <c r="H16" s="3318">
        <f t="shared" ca="1" si="24"/>
        <v>0.24021866884806434</v>
      </c>
      <c r="I16" s="3318">
        <f t="shared" ca="1" si="24"/>
        <v>0.22914024705996922</v>
      </c>
      <c r="J16" s="3318">
        <f t="shared" ca="1" si="24"/>
        <v>0.22533488167895965</v>
      </c>
      <c r="K16" s="3318">
        <f t="shared" ca="1" si="24"/>
        <v>0.22186590218798416</v>
      </c>
      <c r="L16" s="3318">
        <f t="shared" ca="1" si="24"/>
        <v>0.21811357288438121</v>
      </c>
      <c r="M16" s="3318">
        <f t="shared" ca="1" si="24"/>
        <v>0.2136046021465092</v>
      </c>
      <c r="N16" s="3306"/>
      <c r="O16"/>
      <c r="Q16" s="3902"/>
      <c r="R16" s="3906" t="s">
        <v>371</v>
      </c>
      <c r="S16" s="3908">
        <f t="shared" si="1"/>
        <v>0</v>
      </c>
      <c r="T16" s="3908">
        <f t="shared" si="1"/>
        <v>0</v>
      </c>
      <c r="U16" s="3908">
        <f t="shared" si="1"/>
        <v>0</v>
      </c>
      <c r="V16" s="3908">
        <f t="shared" si="1"/>
        <v>0</v>
      </c>
      <c r="W16" s="3908">
        <f t="shared" si="1"/>
        <v>0</v>
      </c>
      <c r="X16" s="3908">
        <f t="shared" si="1"/>
        <v>0</v>
      </c>
      <c r="Y16" s="3908">
        <f t="shared" si="1"/>
        <v>0</v>
      </c>
      <c r="Z16" s="3908">
        <f t="shared" si="1"/>
        <v>0</v>
      </c>
      <c r="AA16" s="3908">
        <f t="shared" si="1"/>
        <v>0</v>
      </c>
      <c r="AB16" s="3908"/>
      <c r="AC16" s="3909"/>
      <c r="AD16" s="3908">
        <f t="shared" ca="1" si="4"/>
        <v>2.7179785187540276E-2</v>
      </c>
      <c r="AE16" s="3908">
        <f t="shared" ca="1" si="5"/>
        <v>2.6979176745363341E-2</v>
      </c>
      <c r="AF16" s="3908">
        <f t="shared" ca="1" si="6"/>
        <v>2.6748583502616049E-2</v>
      </c>
      <c r="AG16" s="3908">
        <f t="shared" ca="1" si="7"/>
        <v>2.6377315657889075E-2</v>
      </c>
      <c r="AH16" s="3908">
        <f t="shared" ca="1" si="8"/>
        <v>2.6013627209398826E-2</v>
      </c>
      <c r="AI16" s="3908">
        <f t="shared" ca="1" si="9"/>
        <v>2.5651802953474499E-2</v>
      </c>
      <c r="AJ16" s="3908">
        <f t="shared" ca="1" si="10"/>
        <v>2.5228818186920948E-2</v>
      </c>
      <c r="AK16" s="3908">
        <f t="shared" ca="1" si="11"/>
        <v>2.4811333961622644E-2</v>
      </c>
      <c r="AL16" s="3908">
        <f t="shared" ca="1" si="12"/>
        <v>2.4811333961622644E-2</v>
      </c>
      <c r="AM16" s="3908"/>
      <c r="AN16" s="3909"/>
      <c r="AO16" s="3910"/>
      <c r="AP16" s="3910"/>
      <c r="AQ16" s="3910"/>
      <c r="AR16" s="3910"/>
      <c r="AS16" s="3910"/>
      <c r="AT16" s="3910"/>
      <c r="AU16" s="3910"/>
      <c r="AV16" s="3910"/>
      <c r="AW16" s="3910"/>
      <c r="AX16" s="3910"/>
    </row>
    <row r="17" spans="2:50" s="3889" customFormat="1" ht="15.75">
      <c r="B17" s="3303"/>
      <c r="C17" s="3315" t="s">
        <v>2653</v>
      </c>
      <c r="D17" s="3318" t="s">
        <v>16</v>
      </c>
      <c r="E17" s="3318">
        <f ca="1">MAX(INDEX(INDIRECT("V.b.Outputs["&amp;E$5&amp;"]"), MATCH("V.03", INDIRECT("V.b.Outputs[Vector]"), 0)),0)-MAX(INDEX(INDIRECT("BioExports["&amp;E$5&amp;"]"), MATCH("V.03", INDIRECT("BioExports[Vector]"), 0)),0)</f>
        <v>0.17666666666666667</v>
      </c>
      <c r="F17" s="3318">
        <f t="shared" ref="F17:M17" ca="1" si="25">MAX(INDEX(INDIRECT("V.b.Outputs["&amp;F$5&amp;"]"), MATCH("V.03", INDIRECT("V.b.Outputs[Vector]"), 0)),0)-MAX(INDEX(INDIRECT("BioExports["&amp;F$5&amp;"]"), MATCH("V.03", INDIRECT("BioExports[Vector]"), 0)),0)</f>
        <v>0.25</v>
      </c>
      <c r="G17" s="3318">
        <f t="shared" ca="1" si="25"/>
        <v>1.4</v>
      </c>
      <c r="H17" s="3318">
        <f t="shared" ca="1" si="25"/>
        <v>-15.380254786704254</v>
      </c>
      <c r="I17" s="3318">
        <f t="shared" ca="1" si="25"/>
        <v>-31.573535256502545</v>
      </c>
      <c r="J17" s="3318">
        <f t="shared" ca="1" si="25"/>
        <v>-28.014659166197479</v>
      </c>
      <c r="K17" s="3318">
        <f t="shared" ca="1" si="25"/>
        <v>-45.394088294146343</v>
      </c>
      <c r="L17" s="3318">
        <f t="shared" ca="1" si="25"/>
        <v>-61.287021708780983</v>
      </c>
      <c r="M17" s="3318">
        <f t="shared" ca="1" si="25"/>
        <v>-77.532154317257508</v>
      </c>
      <c r="N17" s="3306" t="s">
        <v>3294</v>
      </c>
      <c r="O17"/>
      <c r="Q17" s="3902"/>
      <c r="R17" s="3906" t="s">
        <v>2658</v>
      </c>
      <c r="S17" s="3908">
        <f t="shared" ca="1" si="1"/>
        <v>26.825473926275269</v>
      </c>
      <c r="T17" s="3908">
        <f t="shared" ca="1" si="1"/>
        <v>27.835674777844826</v>
      </c>
      <c r="U17" s="3908">
        <f t="shared" ca="1" si="1"/>
        <v>28.420767470372727</v>
      </c>
      <c r="V17" s="3908">
        <f t="shared" ca="1" si="1"/>
        <v>29.025329644914766</v>
      </c>
      <c r="W17" s="3908">
        <f t="shared" ca="1" si="1"/>
        <v>44.306449260039379</v>
      </c>
      <c r="X17" s="3908">
        <f t="shared" ca="1" si="1"/>
        <v>65.207611981467963</v>
      </c>
      <c r="Y17" s="3908">
        <f t="shared" ca="1" si="1"/>
        <v>82.766019931467937</v>
      </c>
      <c r="Z17" s="3908">
        <f t="shared" ca="1" si="1"/>
        <v>101.79717051003935</v>
      </c>
      <c r="AA17" s="3908">
        <f t="shared" ca="1" si="1"/>
        <v>120.14246891718223</v>
      </c>
      <c r="AB17" s="3908"/>
      <c r="AC17" s="3909"/>
      <c r="AD17" s="3908">
        <f t="shared" ca="1" si="4"/>
        <v>26.825473926275265</v>
      </c>
      <c r="AE17" s="3908">
        <f t="shared" ca="1" si="5"/>
        <v>27.835674777844826</v>
      </c>
      <c r="AF17" s="3908">
        <f t="shared" ca="1" si="6"/>
        <v>28.420767470372727</v>
      </c>
      <c r="AG17" s="3908">
        <f t="shared" ca="1" si="7"/>
        <v>29.02532964491477</v>
      </c>
      <c r="AH17" s="3908">
        <f t="shared" ca="1" si="8"/>
        <v>44.306449260039365</v>
      </c>
      <c r="AI17" s="3908">
        <f t="shared" ca="1" si="9"/>
        <v>65.207611981467934</v>
      </c>
      <c r="AJ17" s="3908">
        <f t="shared" ca="1" si="10"/>
        <v>82.766019931467937</v>
      </c>
      <c r="AK17" s="3908">
        <f t="shared" ca="1" si="11"/>
        <v>101.79717051003938</v>
      </c>
      <c r="AL17" s="3908">
        <f t="shared" ca="1" si="12"/>
        <v>120.14246891718224</v>
      </c>
      <c r="AM17" s="3908"/>
      <c r="AN17" s="3909"/>
      <c r="AO17" s="3910">
        <f t="shared" ref="AO17:AW17" ca="1" si="26">S17-AD17</f>
        <v>0</v>
      </c>
      <c r="AP17" s="3910">
        <f t="shared" ca="1" si="26"/>
        <v>0</v>
      </c>
      <c r="AQ17" s="3910">
        <f t="shared" ca="1" si="26"/>
        <v>0</v>
      </c>
      <c r="AR17" s="3910">
        <f t="shared" ca="1" si="26"/>
        <v>0</v>
      </c>
      <c r="AS17" s="3910">
        <f t="shared" ca="1" si="26"/>
        <v>0</v>
      </c>
      <c r="AT17" s="3910">
        <f t="shared" ca="1" si="26"/>
        <v>0</v>
      </c>
      <c r="AU17" s="3910">
        <f t="shared" ca="1" si="26"/>
        <v>0</v>
      </c>
      <c r="AV17" s="3910">
        <f t="shared" ca="1" si="26"/>
        <v>0</v>
      </c>
      <c r="AW17" s="3910">
        <f t="shared" ca="1" si="26"/>
        <v>0</v>
      </c>
      <c r="AX17" s="3910"/>
    </row>
    <row r="18" spans="2:50" s="3889" customFormat="1" ht="15.75">
      <c r="B18" s="3303"/>
      <c r="C18" s="3315" t="s">
        <v>2651</v>
      </c>
      <c r="D18" s="3318" t="s">
        <v>1712</v>
      </c>
      <c r="E18" s="3318">
        <f ca="1">MAX(INDEX(INDIRECT("V.b.Outputs["&amp;E$5&amp;"]"), MATCH("V.04", INDIRECT("V.b.Outputs[Vector]"), 0)),0)-MAX(INDEX(INDIRECT("BioExports["&amp;E$5&amp;"]"), MATCH("V.04", INDIRECT("BioExports[Vector]"), 0)),0)</f>
        <v>0.91876999999999998</v>
      </c>
      <c r="F18" s="3318">
        <f t="shared" ref="F18:M18" ca="1" si="27">MAX(INDEX(INDIRECT("V.b.Outputs["&amp;F$5&amp;"]"), MATCH("V.04", INDIRECT("V.b.Outputs[Vector]"), 0)),0)-MAX(INDEX(INDIRECT("BioExports["&amp;F$5&amp;"]"), MATCH("V.04", INDIRECT("BioExports[Vector]"), 0)),0)</f>
        <v>1.0467</v>
      </c>
      <c r="G18" s="3318">
        <f t="shared" ca="1" si="27"/>
        <v>1.5119</v>
      </c>
      <c r="H18" s="3318">
        <f t="shared" ca="1" si="27"/>
        <v>2.4963333333333302</v>
      </c>
      <c r="I18" s="3318">
        <f t="shared" ca="1" si="27"/>
        <v>3.5970666666666702</v>
      </c>
      <c r="J18" s="3318">
        <f t="shared" ca="1" si="27"/>
        <v>4.6978</v>
      </c>
      <c r="K18" s="3318">
        <f t="shared" ca="1" si="27"/>
        <v>5.7985333333333298</v>
      </c>
      <c r="L18" s="3318">
        <f t="shared" ca="1" si="27"/>
        <v>6.8992666666666702</v>
      </c>
      <c r="M18" s="3318">
        <f t="shared" ca="1" si="27"/>
        <v>8</v>
      </c>
      <c r="N18" s="3306" t="s">
        <v>3294</v>
      </c>
      <c r="O18"/>
      <c r="Q18" s="3902"/>
      <c r="R18" s="3906" t="s">
        <v>564</v>
      </c>
      <c r="S18" s="3908">
        <f t="shared" ca="1" si="1"/>
        <v>2.5</v>
      </c>
      <c r="T18" s="3908">
        <f t="shared" ca="1" si="1"/>
        <v>2.5</v>
      </c>
      <c r="U18" s="3908">
        <f t="shared" ca="1" si="1"/>
        <v>2.5</v>
      </c>
      <c r="V18" s="3908">
        <f t="shared" ca="1" si="1"/>
        <v>2.5</v>
      </c>
      <c r="W18" s="3908">
        <f t="shared" ca="1" si="1"/>
        <v>3.9</v>
      </c>
      <c r="X18" s="3908">
        <f t="shared" ca="1" si="1"/>
        <v>4.5999999999999996</v>
      </c>
      <c r="Y18" s="3908">
        <f t="shared" ca="1" si="1"/>
        <v>7</v>
      </c>
      <c r="Z18" s="3908">
        <f t="shared" ca="1" si="1"/>
        <v>9</v>
      </c>
      <c r="AA18" s="3908">
        <f t="shared" ca="1" si="1"/>
        <v>10</v>
      </c>
      <c r="AB18" s="3908"/>
      <c r="AC18" s="3909"/>
      <c r="AD18" s="3908">
        <f t="shared" si="4"/>
        <v>0</v>
      </c>
      <c r="AE18" s="3908">
        <f t="shared" si="5"/>
        <v>0</v>
      </c>
      <c r="AF18" s="3908">
        <f t="shared" si="6"/>
        <v>0</v>
      </c>
      <c r="AG18" s="3908">
        <f t="shared" si="7"/>
        <v>0</v>
      </c>
      <c r="AH18" s="3908">
        <f t="shared" si="8"/>
        <v>0</v>
      </c>
      <c r="AI18" s="3908">
        <f t="shared" si="9"/>
        <v>0</v>
      </c>
      <c r="AJ18" s="3908">
        <f t="shared" si="10"/>
        <v>0</v>
      </c>
      <c r="AK18" s="3908">
        <f t="shared" si="11"/>
        <v>0</v>
      </c>
      <c r="AL18" s="3908">
        <f t="shared" si="12"/>
        <v>0</v>
      </c>
      <c r="AM18" s="3908"/>
      <c r="AN18" s="3909"/>
      <c r="AO18" s="3910"/>
      <c r="AP18" s="3910"/>
      <c r="AQ18" s="3910"/>
      <c r="AR18" s="3910"/>
      <c r="AS18" s="3910"/>
      <c r="AT18" s="3910"/>
      <c r="AU18" s="3910"/>
      <c r="AV18" s="3910"/>
      <c r="AW18" s="3910"/>
      <c r="AX18" s="3910"/>
    </row>
    <row r="19" spans="2:50" s="3889" customFormat="1" ht="15.75">
      <c r="B19" s="3303"/>
      <c r="C19" s="3315" t="s">
        <v>3227</v>
      </c>
      <c r="D19" s="3318" t="s">
        <v>16</v>
      </c>
      <c r="E19" s="3318">
        <f ca="1">E6+E7</f>
        <v>23.0022810672098</v>
      </c>
      <c r="F19" s="3318">
        <f t="shared" ref="F19:M19" ca="1" si="28">F6+F7</f>
        <v>20.367884225892759</v>
      </c>
      <c r="G19" s="3318">
        <f t="shared" ca="1" si="28"/>
        <v>2.4957584511413287</v>
      </c>
      <c r="H19" s="3318">
        <f t="shared" ca="1" si="28"/>
        <v>2</v>
      </c>
      <c r="I19" s="3318">
        <f t="shared" ca="1" si="28"/>
        <v>0</v>
      </c>
      <c r="J19" s="3318">
        <f t="shared" ca="1" si="28"/>
        <v>0</v>
      </c>
      <c r="K19" s="3318">
        <f t="shared" ca="1" si="28"/>
        <v>0</v>
      </c>
      <c r="L19" s="3318">
        <f t="shared" ca="1" si="28"/>
        <v>0</v>
      </c>
      <c r="M19" s="3318">
        <f t="shared" ca="1" si="28"/>
        <v>0</v>
      </c>
      <c r="N19" s="3306"/>
      <c r="O19"/>
      <c r="Q19" s="3902"/>
      <c r="R19" s="3906" t="s">
        <v>15</v>
      </c>
      <c r="S19" s="3917">
        <f t="shared" ca="1" si="1"/>
        <v>46.775359234591932</v>
      </c>
      <c r="T19" s="3917">
        <f t="shared" ca="1" si="1"/>
        <v>47.76162831564703</v>
      </c>
      <c r="U19" s="3917">
        <f t="shared" ca="1" si="1"/>
        <v>47.743982856399477</v>
      </c>
      <c r="V19" s="3908">
        <f t="shared" ca="1" si="1"/>
        <v>42.478226951004558</v>
      </c>
      <c r="W19" s="3908">
        <f t="shared" ca="1" si="1"/>
        <v>36.605077308659887</v>
      </c>
      <c r="X19" s="3908">
        <f t="shared" ca="1" si="1"/>
        <v>47.817341740852008</v>
      </c>
      <c r="Y19" s="3908">
        <f t="shared" ca="1" si="1"/>
        <v>65.108876604703596</v>
      </c>
      <c r="Z19" s="3908">
        <f t="shared" ca="1" si="1"/>
        <v>82.070270757944783</v>
      </c>
      <c r="AA19" s="3908">
        <f t="shared" ca="1" si="1"/>
        <v>98.838360518995387</v>
      </c>
      <c r="AB19" s="3908"/>
      <c r="AC19" s="3909"/>
      <c r="AD19" s="3917">
        <f t="shared" ca="1" si="4"/>
        <v>46.775359234591939</v>
      </c>
      <c r="AE19" s="3917">
        <f t="shared" ca="1" si="5"/>
        <v>47.76162831564703</v>
      </c>
      <c r="AF19" s="3917">
        <f t="shared" ca="1" si="6"/>
        <v>47.743982856399469</v>
      </c>
      <c r="AG19" s="3908">
        <f t="shared" ca="1" si="7"/>
        <v>42.478226951004558</v>
      </c>
      <c r="AH19" s="3908">
        <f t="shared" ca="1" si="8"/>
        <v>36.605077308659887</v>
      </c>
      <c r="AI19" s="3908">
        <f t="shared" ca="1" si="9"/>
        <v>47.817341740852008</v>
      </c>
      <c r="AJ19" s="3908">
        <f t="shared" ca="1" si="10"/>
        <v>65.10887660470361</v>
      </c>
      <c r="AK19" s="3908">
        <f t="shared" ca="1" si="11"/>
        <v>82.070270757944769</v>
      </c>
      <c r="AL19" s="3908">
        <f t="shared" ca="1" si="12"/>
        <v>98.838360518995373</v>
      </c>
      <c r="AM19" s="3908"/>
      <c r="AN19" s="3909"/>
      <c r="AO19" s="3915">
        <f t="shared" ref="AO19:AW19" ca="1" si="29">S19-AD19</f>
        <v>0</v>
      </c>
      <c r="AP19" s="3915">
        <f t="shared" ca="1" si="29"/>
        <v>0</v>
      </c>
      <c r="AQ19" s="3915">
        <f t="shared" ca="1" si="29"/>
        <v>0</v>
      </c>
      <c r="AR19" s="3915">
        <f t="shared" ca="1" si="29"/>
        <v>0</v>
      </c>
      <c r="AS19" s="3915">
        <f t="shared" ca="1" si="29"/>
        <v>0</v>
      </c>
      <c r="AT19" s="3915">
        <f t="shared" ca="1" si="29"/>
        <v>0</v>
      </c>
      <c r="AU19" s="3915">
        <f t="shared" ca="1" si="29"/>
        <v>0</v>
      </c>
      <c r="AV19" s="3915">
        <f t="shared" ca="1" si="29"/>
        <v>0</v>
      </c>
      <c r="AW19" s="3915">
        <f t="shared" ca="1" si="29"/>
        <v>0</v>
      </c>
      <c r="AX19" s="3910"/>
    </row>
    <row r="20" spans="2:50" s="3889" customFormat="1" ht="15.75">
      <c r="B20" s="3303"/>
      <c r="C20" s="3315" t="s">
        <v>145</v>
      </c>
      <c r="D20" s="3318" t="s">
        <v>1712</v>
      </c>
      <c r="E20" s="3318">
        <f ca="1">E8+E9</f>
        <v>76.341107777431446</v>
      </c>
      <c r="F20" s="3318">
        <f t="shared" ref="F20:M20" ca="1" si="30">F8+F9</f>
        <v>70.428965076712089</v>
      </c>
      <c r="G20" s="3318">
        <f t="shared" ca="1" si="30"/>
        <v>66.132600914927124</v>
      </c>
      <c r="H20" s="3318">
        <f t="shared" ca="1" si="30"/>
        <v>61.70681606299398</v>
      </c>
      <c r="I20" s="3318">
        <f t="shared" ca="1" si="30"/>
        <v>58.853734589724091</v>
      </c>
      <c r="J20" s="3318">
        <f t="shared" ca="1" si="30"/>
        <v>56.055550717287325</v>
      </c>
      <c r="K20" s="3318">
        <f t="shared" ca="1" si="30"/>
        <v>53.466242556904533</v>
      </c>
      <c r="L20" s="3318">
        <f t="shared" ca="1" si="30"/>
        <v>50.942465881243002</v>
      </c>
      <c r="M20" s="3318">
        <f t="shared" ca="1" si="30"/>
        <v>48.624578735681354</v>
      </c>
      <c r="N20" s="3306"/>
      <c r="O20"/>
      <c r="Q20" s="3902"/>
      <c r="R20" s="3906" t="s">
        <v>2654</v>
      </c>
      <c r="S20" s="3908">
        <f t="shared" ca="1" si="1"/>
        <v>46.547614680811428</v>
      </c>
      <c r="T20" s="3908">
        <f t="shared" ca="1" si="1"/>
        <v>45.644258801899632</v>
      </c>
      <c r="U20" s="3908">
        <f t="shared" ca="1" si="1"/>
        <v>11.463075485516505</v>
      </c>
      <c r="V20" s="3908">
        <f t="shared" ca="1" si="1"/>
        <v>29.741491510161715</v>
      </c>
      <c r="W20" s="3908">
        <f t="shared" ca="1" si="1"/>
        <v>29.716870935553509</v>
      </c>
      <c r="X20" s="3908">
        <f t="shared" ca="1" si="1"/>
        <v>37.575562611620718</v>
      </c>
      <c r="Y20" s="3908">
        <f t="shared" ca="1" si="1"/>
        <v>49.707610582817466</v>
      </c>
      <c r="Z20" s="3908">
        <f t="shared" ca="1" si="1"/>
        <v>62.182671111735829</v>
      </c>
      <c r="AA20" s="3908">
        <f t="shared" ca="1" si="1"/>
        <v>75.014269907136224</v>
      </c>
      <c r="AB20" s="3908"/>
      <c r="AC20" s="3909"/>
      <c r="AD20" s="3908">
        <f t="shared" si="4"/>
        <v>0</v>
      </c>
      <c r="AE20" s="3908">
        <f t="shared" si="5"/>
        <v>0</v>
      </c>
      <c r="AF20" s="3908">
        <f t="shared" si="6"/>
        <v>0</v>
      </c>
      <c r="AG20" s="3908">
        <f t="shared" si="7"/>
        <v>0</v>
      </c>
      <c r="AH20" s="3908">
        <f t="shared" si="8"/>
        <v>0</v>
      </c>
      <c r="AI20" s="3908">
        <f t="shared" si="9"/>
        <v>0</v>
      </c>
      <c r="AJ20" s="3908">
        <f t="shared" si="10"/>
        <v>0</v>
      </c>
      <c r="AK20" s="3908">
        <f t="shared" si="11"/>
        <v>0</v>
      </c>
      <c r="AL20" s="3908">
        <f t="shared" si="12"/>
        <v>0</v>
      </c>
      <c r="AM20" s="3908"/>
      <c r="AN20" s="3909"/>
      <c r="AO20" s="3910"/>
      <c r="AP20" s="3910"/>
      <c r="AQ20" s="3910"/>
      <c r="AR20" s="3910"/>
      <c r="AS20" s="3910"/>
      <c r="AT20" s="3910"/>
      <c r="AU20" s="3910"/>
      <c r="AV20" s="3910"/>
      <c r="AW20" s="3910"/>
      <c r="AX20" s="3910"/>
    </row>
    <row r="21" spans="2:50" s="3889" customFormat="1" ht="15.75">
      <c r="B21" s="3303"/>
      <c r="C21" s="3318" t="s">
        <v>847</v>
      </c>
      <c r="D21" s="3318" t="s">
        <v>15</v>
      </c>
      <c r="E21" s="3318">
        <f ca="1">E10+E11</f>
        <v>46.547614680811428</v>
      </c>
      <c r="F21" s="3318">
        <f t="shared" ref="F21:M21" ca="1" si="31">F10+F11</f>
        <v>47.39978705331265</v>
      </c>
      <c r="G21" s="3318">
        <f t="shared" ca="1" si="31"/>
        <v>46.463075485516505</v>
      </c>
      <c r="H21" s="3318">
        <f t="shared" ca="1" si="31"/>
        <v>39.741491510161715</v>
      </c>
      <c r="I21" s="3318">
        <f t="shared" ca="1" si="31"/>
        <v>29.716870935553509</v>
      </c>
      <c r="J21" s="3318">
        <f t="shared" ca="1" si="31"/>
        <v>37.575562611620718</v>
      </c>
      <c r="K21" s="3318">
        <f t="shared" ca="1" si="31"/>
        <v>49.707610582817466</v>
      </c>
      <c r="L21" s="3318">
        <f t="shared" ca="1" si="31"/>
        <v>62.182671111735829</v>
      </c>
      <c r="M21" s="3318">
        <f t="shared" ca="1" si="31"/>
        <v>75.014269907136224</v>
      </c>
      <c r="N21" s="3306"/>
      <c r="O21"/>
      <c r="Q21" s="3902"/>
      <c r="R21" s="3906" t="s">
        <v>389</v>
      </c>
      <c r="S21" s="3908">
        <f t="shared" ca="1" si="1"/>
        <v>0</v>
      </c>
      <c r="T21" s="3908">
        <f t="shared" ca="1" si="1"/>
        <v>1.7555282514130199</v>
      </c>
      <c r="U21" s="3908">
        <f t="shared" ca="1" si="1"/>
        <v>35</v>
      </c>
      <c r="V21" s="3908">
        <f t="shared" ca="1" si="1"/>
        <v>10</v>
      </c>
      <c r="W21" s="3908">
        <f t="shared" ca="1" si="1"/>
        <v>0</v>
      </c>
      <c r="X21" s="3908">
        <f t="shared" ca="1" si="1"/>
        <v>0</v>
      </c>
      <c r="Y21" s="3908">
        <f t="shared" ca="1" si="1"/>
        <v>0</v>
      </c>
      <c r="Z21" s="3908">
        <f t="shared" ca="1" si="1"/>
        <v>0</v>
      </c>
      <c r="AA21" s="3908">
        <f t="shared" ca="1" si="1"/>
        <v>0</v>
      </c>
      <c r="AB21" s="3908"/>
      <c r="AC21" s="3909"/>
      <c r="AD21" s="3908">
        <f t="shared" si="4"/>
        <v>0</v>
      </c>
      <c r="AE21" s="3908">
        <f t="shared" si="5"/>
        <v>0</v>
      </c>
      <c r="AF21" s="3908">
        <f t="shared" si="6"/>
        <v>0</v>
      </c>
      <c r="AG21" s="3908">
        <f t="shared" si="7"/>
        <v>0</v>
      </c>
      <c r="AH21" s="3908">
        <f t="shared" si="8"/>
        <v>0</v>
      </c>
      <c r="AI21" s="3908">
        <f t="shared" si="9"/>
        <v>0</v>
      </c>
      <c r="AJ21" s="3908">
        <f t="shared" si="10"/>
        <v>0</v>
      </c>
      <c r="AK21" s="3908">
        <f t="shared" si="11"/>
        <v>0</v>
      </c>
      <c r="AL21" s="3908">
        <f t="shared" si="12"/>
        <v>0</v>
      </c>
      <c r="AM21" s="3908"/>
      <c r="AN21" s="3909"/>
      <c r="AO21" s="3910"/>
      <c r="AP21" s="3910"/>
      <c r="AQ21" s="3910"/>
      <c r="AR21" s="3910"/>
      <c r="AS21" s="3910"/>
      <c r="AT21" s="3910"/>
      <c r="AU21" s="3910"/>
      <c r="AV21" s="3910"/>
      <c r="AW21" s="3910"/>
      <c r="AX21" s="3910"/>
    </row>
    <row r="22" spans="2:50" s="3889" customFormat="1" ht="15.75">
      <c r="B22" s="3303"/>
      <c r="C22" s="3315" t="s">
        <v>79</v>
      </c>
      <c r="D22" s="3318" t="s">
        <v>535</v>
      </c>
      <c r="E22" s="3318">
        <f ca="1">-INDEX(INDIRECT("IV.a.Outputs["&amp;E$5&amp;"]"), MATCH("R.01", INDIRECT("IV.a.Outputs[Vector]"), 0))</f>
        <v>0</v>
      </c>
      <c r="F22" s="3318">
        <f t="shared" ref="F22:M22" ca="1" si="32">-INDEX(INDIRECT("IV.a.Outputs["&amp;F$5&amp;"]"), MATCH("R.01", INDIRECT("IV.a.Outputs[Vector]"), 0))</f>
        <v>0</v>
      </c>
      <c r="G22" s="3318">
        <f t="shared" ca="1" si="32"/>
        <v>0.425151</v>
      </c>
      <c r="H22" s="3318">
        <f t="shared" ca="1" si="32"/>
        <v>0.850302</v>
      </c>
      <c r="I22" s="3318">
        <f t="shared" ca="1" si="32"/>
        <v>1.700604</v>
      </c>
      <c r="J22" s="3318">
        <f t="shared" ca="1" si="32"/>
        <v>2.5509060000000003</v>
      </c>
      <c r="K22" s="3318">
        <f t="shared" ca="1" si="32"/>
        <v>3.401208</v>
      </c>
      <c r="L22" s="3318">
        <f t="shared" ca="1" si="32"/>
        <v>3.8263590000000001</v>
      </c>
      <c r="M22" s="3318">
        <f t="shared" ca="1" si="32"/>
        <v>4.2515099999999997</v>
      </c>
      <c r="N22" s="3306"/>
      <c r="O22"/>
      <c r="Q22" s="3902"/>
      <c r="R22" s="3906" t="s">
        <v>495</v>
      </c>
      <c r="S22" s="3908">
        <f t="shared" si="1"/>
        <v>0</v>
      </c>
      <c r="T22" s="3908">
        <f t="shared" si="1"/>
        <v>0</v>
      </c>
      <c r="U22" s="3908">
        <f t="shared" si="1"/>
        <v>0</v>
      </c>
      <c r="V22" s="3908">
        <f t="shared" si="1"/>
        <v>0</v>
      </c>
      <c r="W22" s="3908">
        <f t="shared" si="1"/>
        <v>0</v>
      </c>
      <c r="X22" s="3908">
        <f t="shared" si="1"/>
        <v>0</v>
      </c>
      <c r="Y22" s="3908">
        <f t="shared" si="1"/>
        <v>0</v>
      </c>
      <c r="Z22" s="3908">
        <f t="shared" si="1"/>
        <v>0</v>
      </c>
      <c r="AA22" s="3908">
        <f t="shared" si="1"/>
        <v>0</v>
      </c>
      <c r="AB22" s="3908"/>
      <c r="AC22" s="3909"/>
      <c r="AD22" s="3908">
        <f t="shared" ca="1" si="4"/>
        <v>0</v>
      </c>
      <c r="AE22" s="3908">
        <f t="shared" ca="1" si="5"/>
        <v>0</v>
      </c>
      <c r="AF22" s="3908">
        <f t="shared" ca="1" si="6"/>
        <v>0</v>
      </c>
      <c r="AG22" s="3908">
        <f t="shared" ca="1" si="7"/>
        <v>0</v>
      </c>
      <c r="AH22" s="3908">
        <f t="shared" ca="1" si="8"/>
        <v>0</v>
      </c>
      <c r="AI22" s="3908">
        <f t="shared" ca="1" si="9"/>
        <v>0</v>
      </c>
      <c r="AJ22" s="3908">
        <f t="shared" ca="1" si="10"/>
        <v>0</v>
      </c>
      <c r="AK22" s="3908">
        <f t="shared" ca="1" si="11"/>
        <v>0</v>
      </c>
      <c r="AL22" s="3908">
        <f t="shared" ca="1" si="12"/>
        <v>0</v>
      </c>
      <c r="AM22" s="3908"/>
      <c r="AN22" s="3909"/>
      <c r="AO22" s="3910"/>
      <c r="AP22" s="3910"/>
      <c r="AQ22" s="3910"/>
      <c r="AR22" s="3910"/>
      <c r="AS22" s="3910"/>
      <c r="AT22" s="3910"/>
      <c r="AU22" s="3910"/>
      <c r="AV22" s="3910"/>
      <c r="AW22" s="3910"/>
      <c r="AX22" s="3910"/>
    </row>
    <row r="23" spans="2:50" s="3889" customFormat="1" ht="15.75">
      <c r="B23" s="3303"/>
      <c r="C23" s="3315" t="s">
        <v>535</v>
      </c>
      <c r="D23" s="3318" t="s">
        <v>2658</v>
      </c>
      <c r="E23" s="3318">
        <f ca="1">INDEX(INDIRECT("IV.a.Outputs["&amp;E$5&amp;"]"), MATCH("V.02", INDIRECT("IV.a.Outputs[Vector]"), 0))</f>
        <v>0</v>
      </c>
      <c r="F23" s="3318">
        <f t="shared" ref="F23:M23" ca="1" si="33">INDEX(INDIRECT("IV.a.Outputs["&amp;F$5&amp;"]"), MATCH("V.02", INDIRECT("IV.a.Outputs[Vector]"), 0))</f>
        <v>0</v>
      </c>
      <c r="G23" s="3318">
        <f t="shared" ca="1" si="33"/>
        <v>0.425151</v>
      </c>
      <c r="H23" s="3318">
        <f t="shared" ca="1" si="33"/>
        <v>0.850302</v>
      </c>
      <c r="I23" s="3318">
        <f t="shared" ca="1" si="33"/>
        <v>1.700604</v>
      </c>
      <c r="J23" s="3318">
        <f t="shared" ca="1" si="33"/>
        <v>2.5509060000000003</v>
      </c>
      <c r="K23" s="3318">
        <f t="shared" ca="1" si="33"/>
        <v>3.401208</v>
      </c>
      <c r="L23" s="3318">
        <f t="shared" ca="1" si="33"/>
        <v>3.8263590000000001</v>
      </c>
      <c r="M23" s="3318">
        <f t="shared" ca="1" si="33"/>
        <v>4.2515099999999997</v>
      </c>
      <c r="N23" s="3306"/>
      <c r="O23"/>
      <c r="Q23" s="3902"/>
      <c r="R23" s="3906" t="s">
        <v>55</v>
      </c>
      <c r="S23" s="3908">
        <f t="shared" si="1"/>
        <v>0</v>
      </c>
      <c r="T23" s="3908">
        <f t="shared" si="1"/>
        <v>0</v>
      </c>
      <c r="U23" s="3908">
        <f t="shared" si="1"/>
        <v>0</v>
      </c>
      <c r="V23" s="3908">
        <f t="shared" si="1"/>
        <v>0</v>
      </c>
      <c r="W23" s="3908">
        <f t="shared" si="1"/>
        <v>0</v>
      </c>
      <c r="X23" s="3908">
        <f t="shared" si="1"/>
        <v>0</v>
      </c>
      <c r="Y23" s="3908">
        <f t="shared" si="1"/>
        <v>0</v>
      </c>
      <c r="Z23" s="3908">
        <f t="shared" si="1"/>
        <v>0</v>
      </c>
      <c r="AA23" s="3908">
        <f t="shared" si="1"/>
        <v>0</v>
      </c>
      <c r="AB23" s="3908"/>
      <c r="AC23" s="3909"/>
      <c r="AD23" s="3908">
        <f t="shared" si="4"/>
        <v>0</v>
      </c>
      <c r="AE23" s="3908">
        <f t="shared" si="5"/>
        <v>0</v>
      </c>
      <c r="AF23" s="3908">
        <f t="shared" si="6"/>
        <v>0</v>
      </c>
      <c r="AG23" s="3908">
        <f t="shared" si="7"/>
        <v>0</v>
      </c>
      <c r="AH23" s="3908">
        <f t="shared" si="8"/>
        <v>0</v>
      </c>
      <c r="AI23" s="3908">
        <f t="shared" si="9"/>
        <v>0</v>
      </c>
      <c r="AJ23" s="3908">
        <f t="shared" si="10"/>
        <v>0</v>
      </c>
      <c r="AK23" s="3908">
        <f t="shared" si="11"/>
        <v>0</v>
      </c>
      <c r="AL23" s="3908">
        <f t="shared" si="12"/>
        <v>0</v>
      </c>
      <c r="AM23" s="3908"/>
      <c r="AN23" s="3909"/>
      <c r="AO23" s="3910"/>
      <c r="AP23" s="3910"/>
      <c r="AQ23" s="3910"/>
      <c r="AR23" s="3910"/>
      <c r="AS23" s="3910"/>
      <c r="AT23" s="3910"/>
      <c r="AU23" s="3910"/>
      <c r="AV23" s="3910"/>
      <c r="AW23" s="3910"/>
      <c r="AX23" s="3910"/>
    </row>
    <row r="24" spans="2:50" s="3889" customFormat="1" ht="15.75">
      <c r="B24" s="3303"/>
      <c r="C24" s="3315" t="s">
        <v>79</v>
      </c>
      <c r="D24" s="3318" t="s">
        <v>2659</v>
      </c>
      <c r="E24" s="3318">
        <f ca="1">-INDEX(INDIRECT("IV.b.Outputs["&amp;E$5&amp;"]"), MATCH("R.01", INDIRECT("IV.b.Outputs[Vector]"), 0))</f>
        <v>4.1054887428987621E-2</v>
      </c>
      <c r="F24" s="3318">
        <f t="shared" ref="F24:M24" ca="1" si="34">-INDEX(INDIRECT("IV.b.Outputs["&amp;F$5&amp;"]"), MATCH("R.01", INDIRECT("IV.b.Outputs[Vector]"), 0))</f>
        <v>0.29533988943004724</v>
      </c>
      <c r="G24" s="3318">
        <f t="shared" ca="1" si="34"/>
        <v>0.55796848364472162</v>
      </c>
      <c r="H24" s="3318">
        <f t="shared" ca="1" si="34"/>
        <v>0.87993360231339046</v>
      </c>
      <c r="I24" s="3318">
        <f t="shared" ca="1" si="34"/>
        <v>1.4025987513562512</v>
      </c>
      <c r="J24" s="3318">
        <f t="shared" ca="1" si="34"/>
        <v>1.8347909840221523</v>
      </c>
      <c r="K24" s="3318">
        <f t="shared" ca="1" si="34"/>
        <v>2.3046831432863932</v>
      </c>
      <c r="L24" s="3318">
        <f t="shared" ca="1" si="34"/>
        <v>3.2093197943966696</v>
      </c>
      <c r="M24" s="3318">
        <f t="shared" ca="1" si="34"/>
        <v>4.1910433229244628</v>
      </c>
      <c r="N24" s="3306"/>
      <c r="O24"/>
      <c r="Q24" s="3902"/>
      <c r="R24" s="3906" t="s">
        <v>385</v>
      </c>
      <c r="S24" s="3908">
        <f t="shared" ca="1" si="1"/>
        <v>9.8843865838814832E-5</v>
      </c>
      <c r="T24" s="3908">
        <f t="shared" ca="1" si="1"/>
        <v>1.0526549418152516E-4</v>
      </c>
      <c r="U24" s="3908">
        <f t="shared" ca="1" si="1"/>
        <v>1.4985241277847491E-3</v>
      </c>
      <c r="V24" s="3908">
        <f t="shared" ca="1" si="1"/>
        <v>3.1077607021923297E-3</v>
      </c>
      <c r="W24" s="3908">
        <f t="shared" ca="1" si="1"/>
        <v>8.5334544167595186E-3</v>
      </c>
      <c r="X24" s="3908">
        <f t="shared" ca="1" si="1"/>
        <v>1.4355027286859567E-2</v>
      </c>
      <c r="Y24" s="3908">
        <f t="shared" ca="1" si="1"/>
        <v>2.1173596359821727E-2</v>
      </c>
      <c r="Z24" s="3908">
        <f t="shared" ca="1" si="1"/>
        <v>2.8440030433297275E-2</v>
      </c>
      <c r="AA24" s="3908">
        <f t="shared" ca="1" si="1"/>
        <v>3.1711867178177075E-2</v>
      </c>
      <c r="AB24" s="3908"/>
      <c r="AC24" s="3909"/>
      <c r="AD24" s="3908">
        <f t="shared" ca="1" si="4"/>
        <v>9.8843865838814832E-5</v>
      </c>
      <c r="AE24" s="3908">
        <f t="shared" ca="1" si="5"/>
        <v>1.0526549418152516E-4</v>
      </c>
      <c r="AF24" s="3908">
        <f t="shared" ca="1" si="6"/>
        <v>1.4985241277847491E-3</v>
      </c>
      <c r="AG24" s="3908">
        <f t="shared" ca="1" si="7"/>
        <v>3.1077607021923297E-3</v>
      </c>
      <c r="AH24" s="3908">
        <f t="shared" ca="1" si="8"/>
        <v>8.5334544167595186E-3</v>
      </c>
      <c r="AI24" s="3908">
        <f t="shared" ca="1" si="9"/>
        <v>1.4355027286859567E-2</v>
      </c>
      <c r="AJ24" s="3908">
        <f t="shared" ca="1" si="10"/>
        <v>2.1173596359821727E-2</v>
      </c>
      <c r="AK24" s="3908">
        <f t="shared" ca="1" si="11"/>
        <v>2.8440030433297275E-2</v>
      </c>
      <c r="AL24" s="3908">
        <f t="shared" ca="1" si="12"/>
        <v>3.1711867178177075E-2</v>
      </c>
      <c r="AM24" s="3908"/>
      <c r="AN24" s="3909"/>
      <c r="AO24" s="3910">
        <f t="shared" ref="AO24:AW25" ca="1" si="35">S24-AD24</f>
        <v>0</v>
      </c>
      <c r="AP24" s="3910">
        <f t="shared" ca="1" si="35"/>
        <v>0</v>
      </c>
      <c r="AQ24" s="3910">
        <f t="shared" ca="1" si="35"/>
        <v>0</v>
      </c>
      <c r="AR24" s="3910">
        <f t="shared" ca="1" si="35"/>
        <v>0</v>
      </c>
      <c r="AS24" s="3910">
        <f t="shared" ca="1" si="35"/>
        <v>0</v>
      </c>
      <c r="AT24" s="3910">
        <f t="shared" ca="1" si="35"/>
        <v>0</v>
      </c>
      <c r="AU24" s="3910">
        <f t="shared" ca="1" si="35"/>
        <v>0</v>
      </c>
      <c r="AV24" s="3910">
        <f t="shared" ca="1" si="35"/>
        <v>0</v>
      </c>
      <c r="AW24" s="3910">
        <f t="shared" ca="1" si="35"/>
        <v>0</v>
      </c>
      <c r="AX24" s="3910"/>
    </row>
    <row r="25" spans="2:50" s="3889" customFormat="1" ht="15.75">
      <c r="B25" s="3303"/>
      <c r="C25" s="3315" t="s">
        <v>2649</v>
      </c>
      <c r="D25" s="3318" t="s">
        <v>16</v>
      </c>
      <c r="E25" s="3318">
        <f ca="1">INDEX(INDIRECT("V.a.Outputs["&amp;E$5&amp;"]"), MATCH("V.03", INDIRECT("V.a.Outputs[Vector]"), 0))</f>
        <v>0.54269113815300019</v>
      </c>
      <c r="F25" s="3318">
        <f t="shared" ref="F25:M25" ca="1" si="36">INDEX(INDIRECT("V.a.Outputs["&amp;F$5&amp;"]"), MATCH("V.03", INDIRECT("V.a.Outputs[Vector]"), 0))</f>
        <v>3.5997577180337856</v>
      </c>
      <c r="G25" s="3318">
        <f t="shared" ca="1" si="36"/>
        <v>12.629791105809554</v>
      </c>
      <c r="H25" s="3318">
        <f t="shared" ca="1" si="36"/>
        <v>26.304701876768743</v>
      </c>
      <c r="I25" s="3318">
        <f t="shared" ca="1" si="36"/>
        <v>38.956916202526862</v>
      </c>
      <c r="J25" s="3318">
        <f t="shared" ca="1" si="36"/>
        <v>53.077575694119567</v>
      </c>
      <c r="K25" s="3318">
        <f t="shared" ca="1" si="36"/>
        <v>71.9469181755818</v>
      </c>
      <c r="L25" s="3318">
        <f t="shared" ca="1" si="36"/>
        <v>87.895402623048938</v>
      </c>
      <c r="M25" s="3318">
        <f t="shared" ca="1" si="36"/>
        <v>104.20790982088215</v>
      </c>
      <c r="N25" s="3306"/>
      <c r="O25"/>
      <c r="Q25" s="3902"/>
      <c r="R25" s="3906" t="s">
        <v>2660</v>
      </c>
      <c r="S25" s="3908">
        <f t="shared" ca="1" si="1"/>
        <v>9.8843865838814832E-5</v>
      </c>
      <c r="T25" s="3908">
        <f t="shared" ca="1" si="1"/>
        <v>1.502541881540833E-4</v>
      </c>
      <c r="U25" s="3908">
        <f t="shared" ca="1" si="1"/>
        <v>2.1852535106282882E-3</v>
      </c>
      <c r="V25" s="3908">
        <f t="shared" ca="1" si="1"/>
        <v>4.4877911620809646E-3</v>
      </c>
      <c r="W25" s="3908">
        <f t="shared" ca="1" si="1"/>
        <v>1.2162046237227869E-2</v>
      </c>
      <c r="X25" s="3908">
        <f t="shared" ca="1" si="1"/>
        <v>2.012506121955044E-2</v>
      </c>
      <c r="Y25" s="3908">
        <f t="shared" ca="1" si="1"/>
        <v>2.9183629205991386E-2</v>
      </c>
      <c r="Z25" s="3908">
        <f t="shared" ca="1" si="1"/>
        <v>3.8241954323166336E-2</v>
      </c>
      <c r="AA25" s="3908">
        <f t="shared" ca="1" si="1"/>
        <v>4.1184243088541655E-2</v>
      </c>
      <c r="AB25" s="3908"/>
      <c r="AC25" s="3909"/>
      <c r="AD25" s="3908">
        <f t="shared" ca="1" si="4"/>
        <v>0</v>
      </c>
      <c r="AE25" s="3908">
        <f t="shared" ca="1" si="5"/>
        <v>1.5025418815408333E-4</v>
      </c>
      <c r="AF25" s="3908">
        <f t="shared" ca="1" si="6"/>
        <v>2.1852535106282882E-3</v>
      </c>
      <c r="AG25" s="3908">
        <f t="shared" ca="1" si="7"/>
        <v>4.4877911620809646E-3</v>
      </c>
      <c r="AH25" s="3908">
        <f t="shared" ca="1" si="8"/>
        <v>1.2161192891786193E-2</v>
      </c>
      <c r="AI25" s="3908">
        <f t="shared" ca="1" si="9"/>
        <v>2.0123625716821754E-2</v>
      </c>
      <c r="AJ25" s="3908">
        <f t="shared" ca="1" si="10"/>
        <v>2.9183629205991386E-2</v>
      </c>
      <c r="AK25" s="3908">
        <f t="shared" ca="1" si="11"/>
        <v>3.8241954323166336E-2</v>
      </c>
      <c r="AL25" s="3908">
        <f t="shared" ca="1" si="12"/>
        <v>4.1184243088541655E-2</v>
      </c>
      <c r="AM25" s="3908"/>
      <c r="AN25" s="3909"/>
      <c r="AO25" s="3910">
        <f t="shared" ca="1" si="35"/>
        <v>9.8843865838814832E-5</v>
      </c>
      <c r="AP25" s="3910">
        <f t="shared" ca="1" si="35"/>
        <v>0</v>
      </c>
      <c r="AQ25" s="3910">
        <f t="shared" ca="1" si="35"/>
        <v>0</v>
      </c>
      <c r="AR25" s="3910">
        <f t="shared" ca="1" si="35"/>
        <v>0</v>
      </c>
      <c r="AS25" s="3910">
        <f t="shared" ca="1" si="35"/>
        <v>8.5334544167557647E-7</v>
      </c>
      <c r="AT25" s="3910">
        <f t="shared" ca="1" si="35"/>
        <v>1.4355027286860889E-6</v>
      </c>
      <c r="AU25" s="3910">
        <f t="shared" ca="1" si="35"/>
        <v>0</v>
      </c>
      <c r="AV25" s="3910">
        <f t="shared" ca="1" si="35"/>
        <v>0</v>
      </c>
      <c r="AW25" s="3910">
        <f t="shared" ca="1" si="35"/>
        <v>0</v>
      </c>
      <c r="AX25" s="3910"/>
    </row>
    <row r="26" spans="2:50" s="3889" customFormat="1" ht="15.75">
      <c r="B26" s="3303"/>
      <c r="C26" s="3315" t="s">
        <v>2649</v>
      </c>
      <c r="D26" s="3318" t="s">
        <v>1712</v>
      </c>
      <c r="E26" s="3318">
        <f ca="1">INDEX(INDIRECT("V.a.Outputs["&amp;E$5&amp;"]"), MATCH("V.04", INDIRECT("V.a.Outputs[Vector]"), 0))</f>
        <v>4.4485000000000004E-2</v>
      </c>
      <c r="F26" s="3318">
        <f t="shared" ref="F26:M26" ca="1" si="37">INDEX(INDIRECT("V.a.Outputs["&amp;F$5&amp;"]"), MATCH("V.04", INDIRECT("V.a.Outputs[Vector]"), 0))</f>
        <v>5.5028044762011015E-2</v>
      </c>
      <c r="G26" s="3318">
        <f t="shared" ca="1" si="37"/>
        <v>8.3407241799860629E-2</v>
      </c>
      <c r="H26" s="3318">
        <f t="shared" ca="1" si="37"/>
        <v>0.117093819831379</v>
      </c>
      <c r="I26" s="3318">
        <f t="shared" ca="1" si="37"/>
        <v>0.1525758671279841</v>
      </c>
      <c r="J26" s="3318">
        <f t="shared" ca="1" si="37"/>
        <v>0.19175395542692011</v>
      </c>
      <c r="K26" s="3318">
        <f t="shared" ca="1" si="37"/>
        <v>0.23493597507424119</v>
      </c>
      <c r="L26" s="3318">
        <f t="shared" ca="1" si="37"/>
        <v>0.28245301287517371</v>
      </c>
      <c r="M26" s="3318">
        <f t="shared" ca="1" si="37"/>
        <v>0.3346610022486472</v>
      </c>
      <c r="N26" s="3306"/>
      <c r="O26"/>
      <c r="Q26" s="3902"/>
      <c r="R26" s="3906" t="s">
        <v>2661</v>
      </c>
      <c r="S26" s="3908">
        <f t="shared" si="1"/>
        <v>0</v>
      </c>
      <c r="T26" s="3908">
        <f t="shared" si="1"/>
        <v>0</v>
      </c>
      <c r="U26" s="3908">
        <f t="shared" si="1"/>
        <v>0</v>
      </c>
      <c r="V26" s="3908">
        <f t="shared" si="1"/>
        <v>0</v>
      </c>
      <c r="W26" s="3908">
        <f t="shared" si="1"/>
        <v>0</v>
      </c>
      <c r="X26" s="3908">
        <f t="shared" si="1"/>
        <v>0</v>
      </c>
      <c r="Y26" s="3908">
        <f t="shared" si="1"/>
        <v>0</v>
      </c>
      <c r="Z26" s="3908">
        <f t="shared" si="1"/>
        <v>0</v>
      </c>
      <c r="AA26" s="3908">
        <f t="shared" si="1"/>
        <v>0</v>
      </c>
      <c r="AB26" s="3908"/>
      <c r="AC26" s="3909"/>
      <c r="AD26" s="3908">
        <f t="shared" ca="1" si="4"/>
        <v>10.892112506073083</v>
      </c>
      <c r="AE26" s="3908">
        <f t="shared" ca="1" si="5"/>
        <v>11.279412872359739</v>
      </c>
      <c r="AF26" s="3908">
        <f t="shared" ca="1" si="6"/>
        <v>12.051079697917558</v>
      </c>
      <c r="AG26" s="3908">
        <f t="shared" ca="1" si="7"/>
        <v>12.501325369181417</v>
      </c>
      <c r="AH26" s="3908">
        <f t="shared" ca="1" si="8"/>
        <v>12.92040958328735</v>
      </c>
      <c r="AI26" s="3908">
        <f t="shared" ca="1" si="9"/>
        <v>13.308332340235369</v>
      </c>
      <c r="AJ26" s="3908">
        <f t="shared" ca="1" si="10"/>
        <v>13.665093640025455</v>
      </c>
      <c r="AK26" s="3908">
        <f t="shared" ca="1" si="11"/>
        <v>13.990693482657621</v>
      </c>
      <c r="AL26" s="3908">
        <f t="shared" ca="1" si="12"/>
        <v>14.28513186813187</v>
      </c>
      <c r="AM26" s="3908"/>
      <c r="AN26" s="3909"/>
      <c r="AO26" s="3910"/>
      <c r="AP26" s="3910"/>
      <c r="AQ26" s="3910"/>
      <c r="AR26" s="3910"/>
      <c r="AS26" s="3910"/>
      <c r="AT26" s="3910"/>
      <c r="AU26" s="3910"/>
      <c r="AV26" s="3910"/>
      <c r="AW26" s="3910"/>
      <c r="AX26" s="3910"/>
    </row>
    <row r="27" spans="2:50" s="3889" customFormat="1" ht="15.75">
      <c r="B27" s="3303"/>
      <c r="C27" s="3315" t="s">
        <v>2649</v>
      </c>
      <c r="D27" s="3318" t="s">
        <v>15</v>
      </c>
      <c r="E27" s="3318">
        <f ca="1">INDEX(INDIRECT("V.a.Outputs["&amp;E$5&amp;"]"), MATCH("V.05", INDIRECT("V.a.Outputs[Vector]"), 0))</f>
        <v>0.22774455378050898</v>
      </c>
      <c r="F27" s="3318">
        <f t="shared" ref="F27:M27" ca="1" si="38">INDEX(INDIRECT("V.a.Outputs["&amp;F$5&amp;"]"), MATCH("V.05", INDIRECT("V.a.Outputs[Vector]"), 0))</f>
        <v>0.36184126233438352</v>
      </c>
      <c r="G27" s="3318">
        <f t="shared" ca="1" si="38"/>
        <v>1.2809073708829677</v>
      </c>
      <c r="H27" s="3318">
        <f t="shared" ca="1" si="38"/>
        <v>2.7367354408428457</v>
      </c>
      <c r="I27" s="3318">
        <f t="shared" ca="1" si="38"/>
        <v>6.8882063731063781</v>
      </c>
      <c r="J27" s="3318">
        <f t="shared" ca="1" si="38"/>
        <v>10.241779129231292</v>
      </c>
      <c r="K27" s="3318">
        <f t="shared" ca="1" si="38"/>
        <v>15.401266021886139</v>
      </c>
      <c r="L27" s="3318">
        <f t="shared" ca="1" si="38"/>
        <v>19.887599646208944</v>
      </c>
      <c r="M27" s="3318">
        <f t="shared" ca="1" si="38"/>
        <v>23.824090611859152</v>
      </c>
      <c r="N27" s="3306"/>
      <c r="O27"/>
      <c r="Q27" s="3902"/>
      <c r="R27" s="3906" t="s">
        <v>2662</v>
      </c>
      <c r="S27" s="3908">
        <f t="shared" si="1"/>
        <v>0</v>
      </c>
      <c r="T27" s="3908">
        <f t="shared" si="1"/>
        <v>0</v>
      </c>
      <c r="U27" s="3908">
        <f t="shared" si="1"/>
        <v>0</v>
      </c>
      <c r="V27" s="3908">
        <f t="shared" si="1"/>
        <v>0</v>
      </c>
      <c r="W27" s="3908">
        <f t="shared" si="1"/>
        <v>0</v>
      </c>
      <c r="X27" s="3908">
        <f t="shared" si="1"/>
        <v>0</v>
      </c>
      <c r="Y27" s="3908">
        <f t="shared" si="1"/>
        <v>0</v>
      </c>
      <c r="Z27" s="3908">
        <f t="shared" si="1"/>
        <v>0</v>
      </c>
      <c r="AA27" s="3908">
        <f t="shared" si="1"/>
        <v>0</v>
      </c>
      <c r="AB27" s="3908"/>
      <c r="AC27" s="3909"/>
      <c r="AD27" s="3908">
        <f t="shared" ca="1" si="4"/>
        <v>26.088824704314053</v>
      </c>
      <c r="AE27" s="3908">
        <f t="shared" ca="1" si="5"/>
        <v>24.419114512455469</v>
      </c>
      <c r="AF27" s="3908">
        <f t="shared" ca="1" si="6"/>
        <v>23.252127528931958</v>
      </c>
      <c r="AG27" s="3908">
        <f t="shared" ca="1" si="7"/>
        <v>23.693432772261094</v>
      </c>
      <c r="AH27" s="3908">
        <f t="shared" ca="1" si="8"/>
        <v>23.87280554368072</v>
      </c>
      <c r="AI27" s="3908">
        <f t="shared" ca="1" si="9"/>
        <v>24.182022057999962</v>
      </c>
      <c r="AJ27" s="3908">
        <f t="shared" ca="1" si="10"/>
        <v>24.625918925786337</v>
      </c>
      <c r="AK27" s="3908">
        <f t="shared" ca="1" si="11"/>
        <v>25.26526230640583</v>
      </c>
      <c r="AL27" s="3908">
        <f t="shared" ca="1" si="12"/>
        <v>25.929362795953232</v>
      </c>
      <c r="AM27" s="3908"/>
      <c r="AN27" s="3909"/>
      <c r="AO27" s="3910"/>
      <c r="AP27" s="3910"/>
      <c r="AQ27" s="3910"/>
      <c r="AR27" s="3910"/>
      <c r="AS27" s="3910"/>
      <c r="AT27" s="3910"/>
      <c r="AU27" s="3910"/>
      <c r="AV27" s="3910"/>
      <c r="AW27" s="3910"/>
      <c r="AX27" s="3910"/>
    </row>
    <row r="28" spans="2:50" s="3889" customFormat="1" ht="15.75">
      <c r="B28" s="3303"/>
      <c r="C28" s="3315" t="s">
        <v>2649</v>
      </c>
      <c r="D28" s="3318" t="s">
        <v>1786</v>
      </c>
      <c r="E28" s="3318">
        <f ca="1">INDEX(INDIRECT("V.a.Outputs["&amp;E$5&amp;"]"), MATCH("X.01", INDIRECT("V.a.Outputs[Vector]"), 0))</f>
        <v>0.19606250305866657</v>
      </c>
      <c r="F28" s="3318">
        <f t="shared" ref="F28:M28" ca="1" si="39">INDEX(INDIRECT("V.a.Outputs["&amp;F$5&amp;"]"), MATCH("X.01", INDIRECT("V.a.Outputs[Vector]"), 0))</f>
        <v>0.59824243306376701</v>
      </c>
      <c r="G28" s="3318">
        <f t="shared" ca="1" si="39"/>
        <v>1.966612617409945</v>
      </c>
      <c r="H28" s="3318">
        <f t="shared" ca="1" si="39"/>
        <v>2.0910925011381494</v>
      </c>
      <c r="I28" s="3318">
        <f t="shared" ca="1" si="39"/>
        <v>3.5669156979785797</v>
      </c>
      <c r="J28" s="3318">
        <f t="shared" ca="1" si="39"/>
        <v>4.9874493267796325</v>
      </c>
      <c r="K28" s="3318">
        <f t="shared" ca="1" si="39"/>
        <v>6.9855070296541442</v>
      </c>
      <c r="L28" s="3318">
        <f t="shared" ca="1" si="39"/>
        <v>8.7206697352007865</v>
      </c>
      <c r="M28" s="3318">
        <f t="shared" ca="1" si="39"/>
        <v>10.388363849184515</v>
      </c>
      <c r="N28" s="3306"/>
      <c r="O28"/>
      <c r="Q28" s="3902"/>
      <c r="R28" s="3906" t="s">
        <v>400</v>
      </c>
      <c r="S28" s="3908">
        <f t="shared" ca="1" si="1"/>
        <v>0.74791511999999993</v>
      </c>
      <c r="T28" s="3908">
        <f t="shared" ca="1" si="1"/>
        <v>0.74791511999999993</v>
      </c>
      <c r="U28" s="3908">
        <f t="shared" ca="1" si="1"/>
        <v>0.74791511999999993</v>
      </c>
      <c r="V28" s="3908">
        <f t="shared" ca="1" si="1"/>
        <v>0.78946596000000002</v>
      </c>
      <c r="W28" s="3908">
        <f t="shared" ca="1" si="1"/>
        <v>0.78946596000000002</v>
      </c>
      <c r="X28" s="3908">
        <f t="shared" ca="1" si="1"/>
        <v>0.78946596000000002</v>
      </c>
      <c r="Y28" s="3908">
        <f t="shared" ca="1" si="1"/>
        <v>0.78946596000000002</v>
      </c>
      <c r="Z28" s="3908">
        <f t="shared" ca="1" si="1"/>
        <v>0.78946596000000002</v>
      </c>
      <c r="AA28" s="3908">
        <f t="shared" ca="1" si="1"/>
        <v>0.78946596000000002</v>
      </c>
      <c r="AB28" s="3908"/>
      <c r="AC28" s="3909"/>
      <c r="AD28" s="3908">
        <f t="shared" si="4"/>
        <v>0</v>
      </c>
      <c r="AE28" s="3908">
        <f t="shared" si="5"/>
        <v>0</v>
      </c>
      <c r="AF28" s="3908">
        <f t="shared" si="6"/>
        <v>0</v>
      </c>
      <c r="AG28" s="3908">
        <f t="shared" si="7"/>
        <v>0</v>
      </c>
      <c r="AH28" s="3908">
        <f t="shared" si="8"/>
        <v>0</v>
      </c>
      <c r="AI28" s="3908">
        <f t="shared" si="9"/>
        <v>0</v>
      </c>
      <c r="AJ28" s="3908">
        <f t="shared" si="10"/>
        <v>0</v>
      </c>
      <c r="AK28" s="3908">
        <f t="shared" si="11"/>
        <v>0</v>
      </c>
      <c r="AL28" s="3908">
        <f t="shared" si="12"/>
        <v>0</v>
      </c>
      <c r="AM28" s="3908"/>
      <c r="AN28" s="3909"/>
      <c r="AO28" s="3910"/>
      <c r="AP28" s="3910"/>
      <c r="AQ28" s="3910"/>
      <c r="AR28" s="3910"/>
      <c r="AS28" s="3910"/>
      <c r="AT28" s="3910"/>
      <c r="AU28" s="3910"/>
      <c r="AV28" s="3910"/>
      <c r="AW28" s="3910"/>
      <c r="AX28" s="3910"/>
    </row>
    <row r="29" spans="2:50" s="3889" customFormat="1" ht="15.75">
      <c r="B29" s="3303"/>
      <c r="C29" s="3315" t="s">
        <v>16</v>
      </c>
      <c r="D29" s="3318" t="s">
        <v>2663</v>
      </c>
      <c r="E29" s="3318">
        <f ca="1">MAX(INDEX(INDIRECT("'"&amp;E$5&amp;"'!Year.NetBalance"), MATCH("Y.04", INDIRECT("'"&amp;E$5&amp;"'!Year.Vectors"), 0)),0)</f>
        <v>0</v>
      </c>
      <c r="F29" s="3318">
        <f t="shared" ref="F29:M29" ca="1" si="40">MAX(INDEX(INDIRECT("'"&amp;F$5&amp;"'!Year.NetBalance"), MATCH("Y.04", INDIRECT("'"&amp;F$5&amp;"'!Year.Vectors"), 0)),0)</f>
        <v>0</v>
      </c>
      <c r="G29" s="3318">
        <f t="shared" ca="1" si="40"/>
        <v>0</v>
      </c>
      <c r="H29" s="3318">
        <f t="shared" ca="1" si="40"/>
        <v>2.2402186688480645</v>
      </c>
      <c r="I29" s="3318">
        <f t="shared" ca="1" si="40"/>
        <v>0.22914024705997099</v>
      </c>
      <c r="J29" s="3318">
        <f t="shared" ca="1" si="40"/>
        <v>0.22533488167895965</v>
      </c>
      <c r="K29" s="3318">
        <f t="shared" ca="1" si="40"/>
        <v>0.22186590218798416</v>
      </c>
      <c r="L29" s="3318">
        <f t="shared" ca="1" si="40"/>
        <v>0.21811357288438121</v>
      </c>
      <c r="M29" s="3318">
        <f t="shared" ca="1" si="40"/>
        <v>0.2136046021465092</v>
      </c>
      <c r="N29" s="3306"/>
      <c r="O29"/>
      <c r="Q29" s="3902"/>
      <c r="R29" s="3906" t="s">
        <v>368</v>
      </c>
      <c r="S29" s="3908">
        <f t="shared" si="1"/>
        <v>0</v>
      </c>
      <c r="T29" s="3908">
        <f t="shared" si="1"/>
        <v>0</v>
      </c>
      <c r="U29" s="3908">
        <f t="shared" si="1"/>
        <v>0</v>
      </c>
      <c r="V29" s="3908">
        <f t="shared" si="1"/>
        <v>0</v>
      </c>
      <c r="W29" s="3908">
        <f t="shared" si="1"/>
        <v>0</v>
      </c>
      <c r="X29" s="3908">
        <f t="shared" si="1"/>
        <v>0</v>
      </c>
      <c r="Y29" s="3908">
        <f t="shared" si="1"/>
        <v>0</v>
      </c>
      <c r="Z29" s="3908">
        <f t="shared" si="1"/>
        <v>0</v>
      </c>
      <c r="AA29" s="3908">
        <f t="shared" si="1"/>
        <v>0</v>
      </c>
      <c r="AB29" s="3908"/>
      <c r="AC29" s="3909"/>
      <c r="AD29" s="3908">
        <f t="shared" ca="1" si="4"/>
        <v>28.226219096440204</v>
      </c>
      <c r="AE29" s="3908">
        <f t="shared" ca="1" si="5"/>
        <v>28.541665223514258</v>
      </c>
      <c r="AF29" s="3908">
        <f t="shared" ca="1" si="6"/>
        <v>31.324217159184258</v>
      </c>
      <c r="AG29" s="3908">
        <f t="shared" ca="1" si="7"/>
        <v>30.412937126574864</v>
      </c>
      <c r="AH29" s="3908">
        <f t="shared" ca="1" si="8"/>
        <v>30.605464719177363</v>
      </c>
      <c r="AI29" s="3908">
        <f t="shared" ca="1" si="9"/>
        <v>31.605247682833998</v>
      </c>
      <c r="AJ29" s="3908">
        <f t="shared" ca="1" si="10"/>
        <v>32.731347396788784</v>
      </c>
      <c r="AK29" s="3908">
        <f t="shared" ca="1" si="11"/>
        <v>33.986204138829748</v>
      </c>
      <c r="AL29" s="3908">
        <f t="shared" ca="1" si="12"/>
        <v>35.373723701446693</v>
      </c>
      <c r="AM29" s="3908"/>
      <c r="AN29" s="3909"/>
      <c r="AO29" s="3910"/>
      <c r="AP29" s="3910"/>
      <c r="AQ29" s="3910"/>
      <c r="AR29" s="3910"/>
      <c r="AS29" s="3910"/>
      <c r="AT29" s="3910"/>
      <c r="AU29" s="3910"/>
      <c r="AV29" s="3910"/>
      <c r="AW29" s="3910"/>
      <c r="AX29" s="3910"/>
    </row>
    <row r="30" spans="2:50" s="3889" customFormat="1" ht="15.75">
      <c r="B30" s="3303"/>
      <c r="C30" s="3315" t="s">
        <v>1712</v>
      </c>
      <c r="D30" s="3318" t="s">
        <v>2663</v>
      </c>
      <c r="E30" s="3318">
        <f ca="1">MAX(INDEX(INDIRECT("'"&amp;E$5&amp;"'!Year.NetBalance"), MATCH("Y.03", INDIRECT("'"&amp;E$5&amp;"'!Year.Vectors"), 0))+INDEX(INDIRECT("'"&amp;E$5&amp;"'!Year.NetBalance"), MATCH("Y.05", INDIRECT("'"&amp;E$5&amp;"'!Year.Vectors"), 0)),0)</f>
        <v>0</v>
      </c>
      <c r="F30" s="3318">
        <f t="shared" ref="F30:M30" ca="1" si="41">MAX(INDEX(INDIRECT("'"&amp;F$5&amp;"'!Year.NetBalance"), MATCH("Y.03", INDIRECT("'"&amp;F$5&amp;"'!Year.Vectors"), 0))+INDEX(INDIRECT("'"&amp;F$5&amp;"'!Year.NetBalance"), MATCH("Y.05", INDIRECT("'"&amp;F$5&amp;"'!Year.Vectors"), 0)),0)</f>
        <v>0</v>
      </c>
      <c r="G30" s="3318">
        <f t="shared" ca="1" si="41"/>
        <v>0</v>
      </c>
      <c r="H30" s="3318">
        <f t="shared" ca="1" si="41"/>
        <v>0</v>
      </c>
      <c r="I30" s="3318">
        <f t="shared" ca="1" si="41"/>
        <v>0</v>
      </c>
      <c r="J30" s="3318">
        <f t="shared" ca="1" si="41"/>
        <v>0</v>
      </c>
      <c r="K30" s="3318">
        <f t="shared" ca="1" si="41"/>
        <v>0</v>
      </c>
      <c r="L30" s="3318">
        <f t="shared" ca="1" si="41"/>
        <v>0</v>
      </c>
      <c r="M30" s="3318">
        <f t="shared" ca="1" si="41"/>
        <v>0</v>
      </c>
      <c r="N30" s="3306"/>
      <c r="O30"/>
      <c r="Q30" s="3902"/>
      <c r="R30" s="3906" t="s">
        <v>373</v>
      </c>
      <c r="S30" s="3908">
        <f t="shared" si="1"/>
        <v>0</v>
      </c>
      <c r="T30" s="3908">
        <f t="shared" si="1"/>
        <v>0</v>
      </c>
      <c r="U30" s="3908">
        <f t="shared" si="1"/>
        <v>0</v>
      </c>
      <c r="V30" s="3908">
        <f t="shared" si="1"/>
        <v>0</v>
      </c>
      <c r="W30" s="3908">
        <f t="shared" si="1"/>
        <v>0</v>
      </c>
      <c r="X30" s="3908">
        <f t="shared" si="1"/>
        <v>0</v>
      </c>
      <c r="Y30" s="3908">
        <f t="shared" si="1"/>
        <v>0</v>
      </c>
      <c r="Z30" s="3908">
        <f t="shared" si="1"/>
        <v>0</v>
      </c>
      <c r="AA30" s="3908">
        <f t="shared" si="1"/>
        <v>0</v>
      </c>
      <c r="AB30" s="3908"/>
      <c r="AC30" s="3909"/>
      <c r="AD30" s="3908">
        <f t="shared" ca="1" si="4"/>
        <v>7.02</v>
      </c>
      <c r="AE30" s="3908">
        <f t="shared" ca="1" si="5"/>
        <v>6.8942086199999997</v>
      </c>
      <c r="AF30" s="3908">
        <f t="shared" ca="1" si="6"/>
        <v>7.4554183878892841</v>
      </c>
      <c r="AG30" s="3908">
        <f t="shared" ca="1" si="7"/>
        <v>8.0623123555082739</v>
      </c>
      <c r="AH30" s="3908">
        <f t="shared" ca="1" si="8"/>
        <v>8.7186093571046239</v>
      </c>
      <c r="AI30" s="3908">
        <f t="shared" ca="1" si="9"/>
        <v>9.4283309514618914</v>
      </c>
      <c r="AJ30" s="3908">
        <f t="shared" ca="1" si="10"/>
        <v>10.195826064607054</v>
      </c>
      <c r="AK30" s="3908">
        <f t="shared" ca="1" si="11"/>
        <v>11.025797638510145</v>
      </c>
      <c r="AL30" s="3908">
        <f t="shared" ca="1" si="12"/>
        <v>11.923331449069897</v>
      </c>
      <c r="AM30" s="3908"/>
      <c r="AN30" s="3909"/>
      <c r="AO30" s="3910"/>
      <c r="AP30" s="3910"/>
      <c r="AQ30" s="3910"/>
      <c r="AR30" s="3910"/>
      <c r="AS30" s="3910"/>
      <c r="AT30" s="3910"/>
      <c r="AU30" s="3910"/>
      <c r="AV30" s="3910"/>
      <c r="AW30" s="3910"/>
      <c r="AX30" s="3910"/>
    </row>
    <row r="31" spans="2:50" s="3889" customFormat="1" ht="15.75">
      <c r="B31" s="3303"/>
      <c r="C31" s="3315" t="s">
        <v>15</v>
      </c>
      <c r="D31" s="3318" t="s">
        <v>2663</v>
      </c>
      <c r="E31" s="3318">
        <f ca="1">MAX(INDEX(INDIRECT("'"&amp;E$5&amp;"'!Year.NetBalance"), MATCH("Y.06", INDIRECT("'"&amp;E$5&amp;"'!Year.Vectors"), 0)),0)</f>
        <v>0</v>
      </c>
      <c r="F31" s="3318">
        <f t="shared" ref="F31:M31" ca="1" si="42">MAX(INDEX(INDIRECT("'"&amp;F$5&amp;"'!Year.NetBalance"), MATCH("Y.06", INDIRECT("'"&amp;F$5&amp;"'!Year.Vectors"), 0)),0)</f>
        <v>0</v>
      </c>
      <c r="G31" s="3318">
        <f t="shared" ca="1" si="42"/>
        <v>0</v>
      </c>
      <c r="H31" s="3318">
        <f t="shared" ca="1" si="42"/>
        <v>0</v>
      </c>
      <c r="I31" s="3318">
        <f t="shared" ca="1" si="42"/>
        <v>0</v>
      </c>
      <c r="J31" s="3318">
        <f t="shared" ca="1" si="42"/>
        <v>0</v>
      </c>
      <c r="K31" s="3318">
        <f t="shared" ca="1" si="42"/>
        <v>0</v>
      </c>
      <c r="L31" s="3318">
        <f t="shared" ca="1" si="42"/>
        <v>0</v>
      </c>
      <c r="M31" s="3318">
        <f t="shared" ca="1" si="42"/>
        <v>0</v>
      </c>
      <c r="N31" s="3306"/>
      <c r="O31"/>
      <c r="Q31" s="3902"/>
      <c r="R31" s="3906" t="s">
        <v>374</v>
      </c>
      <c r="S31" s="3908">
        <f t="shared" si="1"/>
        <v>0</v>
      </c>
      <c r="T31" s="3908">
        <f t="shared" si="1"/>
        <v>0</v>
      </c>
      <c r="U31" s="3908">
        <f t="shared" si="1"/>
        <v>0</v>
      </c>
      <c r="V31" s="3908">
        <f t="shared" si="1"/>
        <v>0</v>
      </c>
      <c r="W31" s="3908">
        <f t="shared" si="1"/>
        <v>0</v>
      </c>
      <c r="X31" s="3908">
        <f t="shared" si="1"/>
        <v>0</v>
      </c>
      <c r="Y31" s="3908">
        <f t="shared" si="1"/>
        <v>0</v>
      </c>
      <c r="Z31" s="3908">
        <f t="shared" si="1"/>
        <v>0</v>
      </c>
      <c r="AA31" s="3908">
        <f t="shared" si="1"/>
        <v>0</v>
      </c>
      <c r="AB31" s="3908"/>
      <c r="AC31" s="3909"/>
      <c r="AD31" s="3908">
        <f t="shared" si="4"/>
        <v>0</v>
      </c>
      <c r="AE31" s="3908">
        <f t="shared" si="5"/>
        <v>0</v>
      </c>
      <c r="AF31" s="3908">
        <f t="shared" si="6"/>
        <v>0</v>
      </c>
      <c r="AG31" s="3908">
        <f t="shared" si="7"/>
        <v>0</v>
      </c>
      <c r="AH31" s="3908">
        <f t="shared" si="8"/>
        <v>0</v>
      </c>
      <c r="AI31" s="3908">
        <f t="shared" si="9"/>
        <v>0</v>
      </c>
      <c r="AJ31" s="3908">
        <f t="shared" si="10"/>
        <v>0</v>
      </c>
      <c r="AK31" s="3908">
        <f t="shared" si="11"/>
        <v>0</v>
      </c>
      <c r="AL31" s="3908">
        <f t="shared" si="12"/>
        <v>0</v>
      </c>
      <c r="AM31" s="3908"/>
      <c r="AN31" s="3909"/>
      <c r="AO31" s="3910"/>
      <c r="AP31" s="3910"/>
      <c r="AQ31" s="3910"/>
      <c r="AR31" s="3910"/>
      <c r="AS31" s="3910"/>
      <c r="AT31" s="3910"/>
      <c r="AU31" s="3910"/>
      <c r="AV31" s="3910"/>
      <c r="AW31" s="3910"/>
      <c r="AX31" s="3910"/>
    </row>
    <row r="32" spans="2:50" s="3889" customFormat="1" ht="15.75">
      <c r="B32" s="3303"/>
      <c r="C32" s="3315" t="s">
        <v>16</v>
      </c>
      <c r="D32" s="3318" t="s">
        <v>2665</v>
      </c>
      <c r="E32" s="3318">
        <f ca="1">-INDEX(INDIRECT("I.a.Outputs["&amp;E$5&amp;"]"), MATCH("V.03", INDIRECT("I.a.Outputs[Vector]"), 0))-INDEX(INDIRECT("I.b.Outputs["&amp;E$5&amp;"]"), MATCH("V.03", INDIRECT("I.b.Outputs[Vector]"), 0))</f>
        <v>19.930507628592196</v>
      </c>
      <c r="F32" s="3318">
        <f t="shared" ref="F32:M32" ca="1" si="43">-INDEX(INDIRECT("I.a.Outputs["&amp;F$5&amp;"]"), MATCH("V.03", INDIRECT("I.a.Outputs[Vector]"), 0))-INDEX(INDIRECT("I.b.Outputs["&amp;F$5&amp;"]"), MATCH("V.03", INDIRECT("I.b.Outputs[Vector]"), 0))</f>
        <v>20.542670935872795</v>
      </c>
      <c r="G32" s="3318">
        <f t="shared" ca="1" si="43"/>
        <v>13.041880794577088</v>
      </c>
      <c r="H32" s="3318">
        <f t="shared" ca="1" si="43"/>
        <v>7.1740178123657694</v>
      </c>
      <c r="I32" s="3318">
        <f t="shared" ca="1" si="43"/>
        <v>3.6115919999999999</v>
      </c>
      <c r="J32" s="3318">
        <f t="shared" ca="1" si="43"/>
        <v>21.256798628571431</v>
      </c>
      <c r="K32" s="3318">
        <f t="shared" ca="1" si="43"/>
        <v>22.701435428571433</v>
      </c>
      <c r="L32" s="3318">
        <f t="shared" ca="1" si="43"/>
        <v>22.701435428571433</v>
      </c>
      <c r="M32" s="3318">
        <f t="shared" ca="1" si="43"/>
        <v>22.701435428571433</v>
      </c>
      <c r="N32" s="3306"/>
      <c r="O32"/>
      <c r="Q32" s="3902"/>
      <c r="R32" s="3906" t="s">
        <v>2664</v>
      </c>
      <c r="S32" s="3908">
        <f t="shared" si="1"/>
        <v>0</v>
      </c>
      <c r="T32" s="3908">
        <f t="shared" si="1"/>
        <v>0</v>
      </c>
      <c r="U32" s="3908">
        <f t="shared" si="1"/>
        <v>0</v>
      </c>
      <c r="V32" s="3908">
        <f t="shared" si="1"/>
        <v>0</v>
      </c>
      <c r="W32" s="3908">
        <f t="shared" si="1"/>
        <v>0</v>
      </c>
      <c r="X32" s="3908">
        <f t="shared" si="1"/>
        <v>0</v>
      </c>
      <c r="Y32" s="3908">
        <f t="shared" si="1"/>
        <v>0</v>
      </c>
      <c r="Z32" s="3908">
        <f t="shared" si="1"/>
        <v>0</v>
      </c>
      <c r="AA32" s="3908">
        <f t="shared" si="1"/>
        <v>0</v>
      </c>
      <c r="AB32" s="3908"/>
      <c r="AC32" s="3909"/>
      <c r="AD32" s="3908">
        <f t="shared" ca="1" si="4"/>
        <v>4.5299999999999994</v>
      </c>
      <c r="AE32" s="3908">
        <f t="shared" ca="1" si="5"/>
        <v>4.5663243243243201</v>
      </c>
      <c r="AF32" s="3908">
        <f t="shared" ca="1" si="6"/>
        <v>4.65713513513513</v>
      </c>
      <c r="AG32" s="3908">
        <f t="shared" ca="1" si="7"/>
        <v>4.7479459459459399</v>
      </c>
      <c r="AH32" s="3908">
        <f t="shared" ca="1" si="8"/>
        <v>4.8387567567567498</v>
      </c>
      <c r="AI32" s="3908">
        <f t="shared" ca="1" si="9"/>
        <v>4.9295675675675703</v>
      </c>
      <c r="AJ32" s="3908">
        <f t="shared" ca="1" si="10"/>
        <v>5.0203783783783802</v>
      </c>
      <c r="AK32" s="3908">
        <f t="shared" ca="1" si="11"/>
        <v>5.1111891891891901</v>
      </c>
      <c r="AL32" s="3908">
        <f t="shared" ca="1" si="12"/>
        <v>5.202</v>
      </c>
      <c r="AM32" s="3908"/>
      <c r="AN32" s="3909"/>
      <c r="AO32" s="3910"/>
      <c r="AP32" s="3910"/>
      <c r="AQ32" s="3910"/>
      <c r="AR32" s="3910"/>
      <c r="AS32" s="3910"/>
      <c r="AT32" s="3910"/>
      <c r="AU32" s="3910"/>
      <c r="AV32" s="3910"/>
      <c r="AW32" s="3910"/>
      <c r="AX32" s="3910"/>
    </row>
    <row r="33" spans="2:51" s="3889" customFormat="1" ht="15.75">
      <c r="B33" s="3303"/>
      <c r="C33" s="3315" t="s">
        <v>1712</v>
      </c>
      <c r="D33" s="3318" t="s">
        <v>2665</v>
      </c>
      <c r="E33" s="3318">
        <f ca="1">-INDEX(INDIRECT("I.a.Outputs["&amp;E$5&amp;"]"), MATCH("V.04", INDIRECT("I.a.Outputs[Vector]"), 0))</f>
        <v>2.6999280000000003</v>
      </c>
      <c r="F33" s="3318">
        <f t="shared" ref="F33:M33" ca="1" si="44">-INDEX(INDIRECT("I.a.Outputs["&amp;F$5&amp;"]"), MATCH("V.04", INDIRECT("I.a.Outputs[Vector]"), 0))</f>
        <v>0</v>
      </c>
      <c r="G33" s="3318">
        <f t="shared" ca="1" si="44"/>
        <v>0</v>
      </c>
      <c r="H33" s="3318">
        <f t="shared" ca="1" si="44"/>
        <v>0</v>
      </c>
      <c r="I33" s="3318">
        <f t="shared" ca="1" si="44"/>
        <v>0</v>
      </c>
      <c r="J33" s="3318">
        <f t="shared" ca="1" si="44"/>
        <v>0</v>
      </c>
      <c r="K33" s="3318">
        <f t="shared" ca="1" si="44"/>
        <v>0</v>
      </c>
      <c r="L33" s="3318">
        <f t="shared" ca="1" si="44"/>
        <v>0</v>
      </c>
      <c r="M33" s="3318">
        <f t="shared" ca="1" si="44"/>
        <v>0</v>
      </c>
      <c r="N33" s="3306"/>
      <c r="O33"/>
      <c r="Q33" s="3902"/>
      <c r="R33" s="3906" t="s">
        <v>2666</v>
      </c>
      <c r="S33" s="3908">
        <f t="shared" si="1"/>
        <v>0</v>
      </c>
      <c r="T33" s="3908">
        <f t="shared" si="1"/>
        <v>0</v>
      </c>
      <c r="U33" s="3908">
        <f t="shared" si="1"/>
        <v>0</v>
      </c>
      <c r="V33" s="3908">
        <f t="shared" si="1"/>
        <v>0</v>
      </c>
      <c r="W33" s="3908">
        <f t="shared" si="1"/>
        <v>0</v>
      </c>
      <c r="X33" s="3908">
        <f t="shared" si="1"/>
        <v>0</v>
      </c>
      <c r="Y33" s="3908">
        <f t="shared" si="1"/>
        <v>0</v>
      </c>
      <c r="Z33" s="3908">
        <f t="shared" si="1"/>
        <v>0</v>
      </c>
      <c r="AA33" s="3908">
        <f t="shared" si="1"/>
        <v>0</v>
      </c>
      <c r="AB33" s="3908"/>
      <c r="AC33" s="3909"/>
      <c r="AD33" s="3908">
        <f t="shared" ca="1" si="4"/>
        <v>5.4581098435378728</v>
      </c>
      <c r="AE33" s="3908">
        <f t="shared" ca="1" si="5"/>
        <v>5.5283867832461304</v>
      </c>
      <c r="AF33" s="3908">
        <f t="shared" ca="1" si="6"/>
        <v>5.7212659877618552</v>
      </c>
      <c r="AG33" s="3908">
        <f t="shared" ca="1" si="7"/>
        <v>5.9313230280430149</v>
      </c>
      <c r="AH33" s="3908">
        <f t="shared" ca="1" si="8"/>
        <v>6.1658583543173542</v>
      </c>
      <c r="AI33" s="3908">
        <f t="shared" ca="1" si="9"/>
        <v>6.3854993759266288</v>
      </c>
      <c r="AJ33" s="3908">
        <f t="shared" ca="1" si="10"/>
        <v>6.5680276186931819</v>
      </c>
      <c r="AK33" s="3908">
        <f t="shared" ca="1" si="11"/>
        <v>6.7148943652240165</v>
      </c>
      <c r="AL33" s="3908">
        <f t="shared" ca="1" si="12"/>
        <v>6.8328725716284424</v>
      </c>
      <c r="AM33" s="3908"/>
      <c r="AN33" s="3909"/>
      <c r="AO33" s="3910"/>
      <c r="AP33" s="3910"/>
      <c r="AQ33" s="3910"/>
      <c r="AR33" s="3910"/>
      <c r="AS33" s="3910"/>
      <c r="AT33" s="3910"/>
      <c r="AU33" s="3910"/>
      <c r="AV33" s="3910"/>
      <c r="AW33" s="3910"/>
      <c r="AX33" s="3910"/>
    </row>
    <row r="34" spans="2:51" s="3889" customFormat="1" ht="15.75">
      <c r="B34" s="3303"/>
      <c r="C34" s="3315" t="s">
        <v>15</v>
      </c>
      <c r="D34" s="3318" t="s">
        <v>2665</v>
      </c>
      <c r="E34" s="3318">
        <f ca="1">-INDEX(INDIRECT("I.a.Outputs["&amp;E$5&amp;"]"), MATCH("V.05", INDIRECT("I.a.Outputs[Vector]"), 0))-INDEX(INDIRECT("I.b.Outputs["&amp;E$5&amp;"]"), MATCH("V.05", INDIRECT("I.b.Outputs[Vector]"), 0))</f>
        <v>23.361847793789565</v>
      </c>
      <c r="F34" s="3318">
        <f t="shared" ref="F34:M34" ca="1" si="45">-INDEX(INDIRECT("I.a.Outputs["&amp;F$5&amp;"]"), MATCH("V.05", INDIRECT("I.a.Outputs[Vector]"), 0))-INDEX(INDIRECT("I.b.Outputs["&amp;F$5&amp;"]"), MATCH("V.05", INDIRECT("I.b.Outputs[Vector]"), 0))</f>
        <v>24.085043155421804</v>
      </c>
      <c r="G34" s="3318">
        <f t="shared" ca="1" si="45"/>
        <v>17.839288759972622</v>
      </c>
      <c r="H34" s="3318">
        <f t="shared" ca="1" si="45"/>
        <v>9.8129539243446295</v>
      </c>
      <c r="I34" s="3318">
        <f t="shared" ca="1" si="45"/>
        <v>0</v>
      </c>
      <c r="J34" s="3318">
        <f t="shared" ca="1" si="45"/>
        <v>6.0089516129032257</v>
      </c>
      <c r="K34" s="3318">
        <f t="shared" ca="1" si="45"/>
        <v>17.740714285714287</v>
      </c>
      <c r="L34" s="3318">
        <f t="shared" ca="1" si="45"/>
        <v>29.105859374999998</v>
      </c>
      <c r="M34" s="3318">
        <f t="shared" ca="1" si="45"/>
        <v>40.121307692307688</v>
      </c>
      <c r="N34" s="3306"/>
      <c r="O34"/>
      <c r="Q34" s="3902"/>
      <c r="R34" s="3906" t="s">
        <v>1712</v>
      </c>
      <c r="S34" s="3908">
        <f t="shared" ca="1" si="1"/>
        <v>77.30436277743145</v>
      </c>
      <c r="T34" s="3908">
        <f t="shared" ca="1" si="1"/>
        <v>71.530693121474101</v>
      </c>
      <c r="U34" s="3908">
        <f t="shared" ca="1" si="1"/>
        <v>67.727908156726983</v>
      </c>
      <c r="V34" s="3908">
        <f t="shared" ref="V34:AA56" ca="1" si="46">SUMIF($C$6:$C$95,$R34,H$6:H$95)</f>
        <v>64.320243216158687</v>
      </c>
      <c r="W34" s="3908">
        <f t="shared" ca="1" si="46"/>
        <v>62.603377123518747</v>
      </c>
      <c r="X34" s="3908">
        <f t="shared" ca="1" si="46"/>
        <v>60.945104672714251</v>
      </c>
      <c r="Y34" s="3908">
        <f t="shared" ca="1" si="46"/>
        <v>59.499711865312094</v>
      </c>
      <c r="Z34" s="3908">
        <f t="shared" ca="1" si="46"/>
        <v>58.124185560784838</v>
      </c>
      <c r="AA34" s="3908">
        <f t="shared" ca="1" si="46"/>
        <v>56.959239737929998</v>
      </c>
      <c r="AB34" s="3908"/>
      <c r="AC34" s="3909"/>
      <c r="AD34" s="3908">
        <f t="shared" ca="1" si="4"/>
        <v>77.304362777431436</v>
      </c>
      <c r="AE34" s="3908">
        <f t="shared" ca="1" si="5"/>
        <v>71.530693121474101</v>
      </c>
      <c r="AF34" s="3908">
        <f t="shared" ca="1" si="6"/>
        <v>67.727908156726983</v>
      </c>
      <c r="AG34" s="3908">
        <f t="shared" ca="1" si="7"/>
        <v>64.320243216158687</v>
      </c>
      <c r="AH34" s="3908">
        <f t="shared" ca="1" si="8"/>
        <v>62.603377123518747</v>
      </c>
      <c r="AI34" s="3908">
        <f t="shared" ca="1" si="9"/>
        <v>60.945104672714244</v>
      </c>
      <c r="AJ34" s="3908">
        <f t="shared" ca="1" si="10"/>
        <v>59.499711865312108</v>
      </c>
      <c r="AK34" s="3908">
        <f t="shared" ca="1" si="11"/>
        <v>58.124185560784845</v>
      </c>
      <c r="AL34" s="3908">
        <f t="shared" ca="1" si="12"/>
        <v>56.959239737929998</v>
      </c>
      <c r="AM34" s="3908"/>
      <c r="AN34" s="3909"/>
      <c r="AO34" s="3910">
        <f t="shared" ref="AO34:AW34" ca="1" si="47">S34-AD34</f>
        <v>0</v>
      </c>
      <c r="AP34" s="3910">
        <f t="shared" ca="1" si="47"/>
        <v>0</v>
      </c>
      <c r="AQ34" s="3910">
        <f t="shared" ca="1" si="47"/>
        <v>0</v>
      </c>
      <c r="AR34" s="3910">
        <f t="shared" ca="1" si="47"/>
        <v>0</v>
      </c>
      <c r="AS34" s="3910">
        <f t="shared" ca="1" si="47"/>
        <v>0</v>
      </c>
      <c r="AT34" s="3910">
        <f t="shared" ca="1" si="47"/>
        <v>0</v>
      </c>
      <c r="AU34" s="3910">
        <f t="shared" ca="1" si="47"/>
        <v>0</v>
      </c>
      <c r="AV34" s="3910">
        <f t="shared" ca="1" si="47"/>
        <v>0</v>
      </c>
      <c r="AW34" s="3910">
        <f t="shared" ca="1" si="47"/>
        <v>0</v>
      </c>
      <c r="AX34" s="3910"/>
      <c r="AY34" s="386"/>
    </row>
    <row r="35" spans="2:51" s="3889" customFormat="1" ht="15.75">
      <c r="B35" s="3303"/>
      <c r="C35" s="3315" t="s">
        <v>744</v>
      </c>
      <c r="D35" s="3318" t="s">
        <v>2665</v>
      </c>
      <c r="E35" s="3318">
        <f ca="1">-INDEX(INDIRECT("II.a.Outputs["&amp;E$5&amp;"]"), MATCH("N.01", INDIRECT("II.a.Outputs[Vector]"), 0))</f>
        <v>0</v>
      </c>
      <c r="F35" s="3318">
        <f t="shared" ref="F35:M35" ca="1" si="48">-INDEX(INDIRECT("II.a.Outputs["&amp;F$5&amp;"]"), MATCH("N.01", INDIRECT("II.a.Outputs[Vector]"), 0))</f>
        <v>0</v>
      </c>
      <c r="G35" s="3318">
        <f t="shared" ca="1" si="48"/>
        <v>0</v>
      </c>
      <c r="H35" s="3318">
        <f t="shared" ca="1" si="48"/>
        <v>0</v>
      </c>
      <c r="I35" s="3318">
        <f t="shared" ca="1" si="48"/>
        <v>21.428000000000004</v>
      </c>
      <c r="J35" s="3318">
        <f t="shared" ca="1" si="48"/>
        <v>21.428000000000004</v>
      </c>
      <c r="K35" s="3318">
        <f t="shared" ca="1" si="48"/>
        <v>21.428000000000004</v>
      </c>
      <c r="L35" s="3318">
        <f t="shared" ca="1" si="48"/>
        <v>21.428000000000004</v>
      </c>
      <c r="M35" s="3318">
        <f t="shared" ca="1" si="48"/>
        <v>21.428000000000004</v>
      </c>
      <c r="N35" s="3306"/>
      <c r="O35"/>
      <c r="Q35" s="3902"/>
      <c r="R35" s="3906" t="s">
        <v>1786</v>
      </c>
      <c r="S35" s="3908">
        <f t="shared" ref="S35:U56" si="49">SUMIF($C$6:$C$95,$R35,E$6:E$95)</f>
        <v>0</v>
      </c>
      <c r="T35" s="3908">
        <f t="shared" si="49"/>
        <v>0</v>
      </c>
      <c r="U35" s="3908">
        <f t="shared" si="49"/>
        <v>0</v>
      </c>
      <c r="V35" s="3908">
        <f t="shared" si="46"/>
        <v>0</v>
      </c>
      <c r="W35" s="3908">
        <f t="shared" si="46"/>
        <v>0</v>
      </c>
      <c r="X35" s="3908">
        <f t="shared" si="46"/>
        <v>0</v>
      </c>
      <c r="Y35" s="3908">
        <f t="shared" si="46"/>
        <v>0</v>
      </c>
      <c r="Z35" s="3908">
        <f t="shared" si="46"/>
        <v>0</v>
      </c>
      <c r="AA35" s="3908">
        <f t="shared" si="46"/>
        <v>0</v>
      </c>
      <c r="AB35" s="3908"/>
      <c r="AC35" s="3909"/>
      <c r="AD35" s="3908">
        <f t="shared" ca="1" si="4"/>
        <v>31.252091340834504</v>
      </c>
      <c r="AE35" s="3908">
        <f t="shared" ca="1" si="5"/>
        <v>30.654889940119254</v>
      </c>
      <c r="AF35" s="3908">
        <f t="shared" ca="1" si="6"/>
        <v>23.575016494841631</v>
      </c>
      <c r="AG35" s="3908">
        <f t="shared" ca="1" si="7"/>
        <v>16.171537062985411</v>
      </c>
      <c r="AH35" s="3908">
        <f t="shared" ca="1" si="8"/>
        <v>25.492856064006311</v>
      </c>
      <c r="AI35" s="3908">
        <f t="shared" ca="1" si="9"/>
        <v>41.846911456224156</v>
      </c>
      <c r="AJ35" s="3908">
        <f t="shared" ca="1" si="10"/>
        <v>50.560812360248448</v>
      </c>
      <c r="AK35" s="3908">
        <f t="shared" ca="1" si="11"/>
        <v>57.702254659862511</v>
      </c>
      <c r="AL35" s="3908">
        <f t="shared" ca="1" si="12"/>
        <v>64.323884550449762</v>
      </c>
      <c r="AM35" s="3908"/>
      <c r="AN35" s="3909"/>
      <c r="AO35" s="3910"/>
      <c r="AP35" s="3910"/>
      <c r="AQ35" s="3910"/>
      <c r="AR35" s="3910"/>
      <c r="AS35" s="3910"/>
      <c r="AT35" s="3910"/>
      <c r="AU35" s="3910"/>
      <c r="AV35" s="3910"/>
      <c r="AW35" s="3910"/>
      <c r="AX35" s="3910"/>
    </row>
    <row r="36" spans="2:51" s="3889" customFormat="1" ht="15.75">
      <c r="B36" s="3303"/>
      <c r="C36" s="3315" t="s">
        <v>2665</v>
      </c>
      <c r="D36" s="3318" t="s">
        <v>545</v>
      </c>
      <c r="E36" s="3318">
        <f ca="1">INDEX(INDIRECT("XVII.a.Outputs["&amp;E$5&amp;"]"), MATCH("V.07", INDIRECT("XVII.a.Outputs[Vector]"), 0))</f>
        <v>2.6537999724419409E-2</v>
      </c>
      <c r="F36" s="3318">
        <f t="shared" ref="F36:M36" ca="1" si="50">INDEX(INDIRECT("XVII.a.Outputs["&amp;F$5&amp;"]"), MATCH("V.07", INDIRECT("XVII.a.Outputs[Vector]"), 0))</f>
        <v>2.6537999724419409E-2</v>
      </c>
      <c r="G36" s="3318">
        <f t="shared" ca="1" si="50"/>
        <v>2.6537999724419409E-2</v>
      </c>
      <c r="H36" s="3318">
        <f t="shared" ca="1" si="50"/>
        <v>2.6537999724419409E-2</v>
      </c>
      <c r="I36" s="3318">
        <f t="shared" ca="1" si="50"/>
        <v>2.6537999724419409E-2</v>
      </c>
      <c r="J36" s="3318">
        <f t="shared" ca="1" si="50"/>
        <v>2.6537999724419409E-2</v>
      </c>
      <c r="K36" s="3318">
        <f t="shared" ca="1" si="50"/>
        <v>2.6537999724419409E-2</v>
      </c>
      <c r="L36" s="3318">
        <f t="shared" ca="1" si="50"/>
        <v>2.6537999724419409E-2</v>
      </c>
      <c r="M36" s="3318">
        <f t="shared" ca="1" si="50"/>
        <v>2.6537999724419409E-2</v>
      </c>
      <c r="N36" s="3306"/>
      <c r="O36"/>
      <c r="Q36" s="3902"/>
      <c r="R36" s="3906" t="s">
        <v>507</v>
      </c>
      <c r="S36" s="3908">
        <f t="shared" ca="1" si="49"/>
        <v>0</v>
      </c>
      <c r="T36" s="3908">
        <f t="shared" ca="1" si="49"/>
        <v>0</v>
      </c>
      <c r="U36" s="3908">
        <f t="shared" ca="1" si="49"/>
        <v>0</v>
      </c>
      <c r="V36" s="3908">
        <f t="shared" ca="1" si="46"/>
        <v>3.8888888888888896E-2</v>
      </c>
      <c r="W36" s="3908">
        <f t="shared" ca="1" si="46"/>
        <v>0.58333333333333337</v>
      </c>
      <c r="X36" s="3908">
        <f t="shared" ca="1" si="46"/>
        <v>3.1111111111111116</v>
      </c>
      <c r="Y36" s="3908">
        <f t="shared" ca="1" si="46"/>
        <v>7.7777777777777786</v>
      </c>
      <c r="Z36" s="3908">
        <f t="shared" ca="1" si="46"/>
        <v>11.666666666666668</v>
      </c>
      <c r="AA36" s="3908">
        <f t="shared" ca="1" si="46"/>
        <v>16.333333333333336</v>
      </c>
      <c r="AB36" s="3908"/>
      <c r="AC36" s="3909"/>
      <c r="AD36" s="3908">
        <f t="shared" si="4"/>
        <v>0</v>
      </c>
      <c r="AE36" s="3908">
        <f t="shared" si="5"/>
        <v>0</v>
      </c>
      <c r="AF36" s="3908">
        <f t="shared" si="6"/>
        <v>0</v>
      </c>
      <c r="AG36" s="3908">
        <f t="shared" si="7"/>
        <v>0</v>
      </c>
      <c r="AH36" s="3908">
        <f t="shared" si="8"/>
        <v>0</v>
      </c>
      <c r="AI36" s="3908">
        <f t="shared" si="9"/>
        <v>0</v>
      </c>
      <c r="AJ36" s="3908">
        <f t="shared" si="10"/>
        <v>0</v>
      </c>
      <c r="AK36" s="3908">
        <f t="shared" si="11"/>
        <v>0</v>
      </c>
      <c r="AL36" s="3908">
        <f t="shared" si="12"/>
        <v>0</v>
      </c>
      <c r="AM36" s="3908"/>
      <c r="AN36" s="3909"/>
      <c r="AO36" s="3910"/>
      <c r="AP36" s="3910"/>
      <c r="AQ36" s="3910"/>
      <c r="AR36" s="3910"/>
      <c r="AS36" s="3910"/>
      <c r="AT36" s="3910"/>
      <c r="AU36" s="3910"/>
      <c r="AV36" s="3910"/>
      <c r="AW36" s="3910"/>
      <c r="AX36" s="3910"/>
      <c r="AY36" s="3966" t="s">
        <v>5</v>
      </c>
    </row>
    <row r="37" spans="2:51" s="3889" customFormat="1" ht="15.75">
      <c r="B37" s="3303"/>
      <c r="C37" s="3315" t="s">
        <v>2665</v>
      </c>
      <c r="D37" s="3318" t="s">
        <v>2658</v>
      </c>
      <c r="E37" s="3318">
        <f ca="1">INDEX(INDIRECT("I.a.Outputs["&amp;E$5&amp;"]"), MATCH("V.02", INDIRECT("I.a.Outputs[Vector]"), 0))+INDEX(INDIRECT("I.b.Outputs["&amp;E$5&amp;"]"), MATCH("V.02", INDIRECT("I.b.Outputs[Vector]"), 0))+INDEX(INDIRECT("II.a.Outputs["&amp;E$5&amp;"]"), MATCH("V.02", INDIRECT("II.a.Outputs[Vector]"), 0))+INDEX(INDIRECT("XVII.a.Outputs["&amp;E$5&amp;"]"), MATCH("V.02", INDIRECT("XVII.a.Outputs[Vector]"), 0))</f>
        <v>19.076217806275267</v>
      </c>
      <c r="F37" s="3318">
        <f t="shared" ref="F37:M37" ca="1" si="51">INDEX(INDIRECT("I.a.Outputs["&amp;F$5&amp;"]"), MATCH("V.02", INDIRECT("I.a.Outputs[Vector]"), 0))+INDEX(INDIRECT("I.b.Outputs["&amp;F$5&amp;"]"), MATCH("V.02", INDIRECT("I.b.Outputs[Vector]"), 0))+INDEX(INDIRECT("II.a.Outputs["&amp;F$5&amp;"]"), MATCH("V.02", INDIRECT("II.a.Outputs[Vector]"), 0))+INDEX(INDIRECT("XVII.a.Outputs["&amp;F$5&amp;"]"), MATCH("V.02", INDIRECT("XVII.a.Outputs[Vector]"), 0))</f>
        <v>18.96654414551606</v>
      </c>
      <c r="G37" s="3318">
        <f t="shared" ca="1" si="51"/>
        <v>14.047140254658441</v>
      </c>
      <c r="H37" s="3318">
        <f t="shared" ca="1" si="51"/>
        <v>7.7252805849147714</v>
      </c>
      <c r="I37" s="3318">
        <f t="shared" ca="1" si="51"/>
        <v>8.2362488571822254</v>
      </c>
      <c r="J37" s="3318">
        <f t="shared" ca="1" si="51"/>
        <v>17.559109007182226</v>
      </c>
      <c r="K37" s="3318">
        <f t="shared" ca="1" si="51"/>
        <v>24.715013957182229</v>
      </c>
      <c r="L37" s="3318">
        <f t="shared" ca="1" si="51"/>
        <v>31.394925107182228</v>
      </c>
      <c r="M37" s="3318">
        <f t="shared" ca="1" si="51"/>
        <v>38.194053857182226</v>
      </c>
      <c r="N37" s="3306"/>
      <c r="O37"/>
      <c r="Q37" s="3902"/>
      <c r="R37" s="3906" t="s">
        <v>372</v>
      </c>
      <c r="S37" s="3908">
        <f t="shared" si="49"/>
        <v>0</v>
      </c>
      <c r="T37" s="3908">
        <f t="shared" si="49"/>
        <v>0</v>
      </c>
      <c r="U37" s="3908">
        <f t="shared" si="49"/>
        <v>0</v>
      </c>
      <c r="V37" s="3908">
        <f t="shared" si="46"/>
        <v>0</v>
      </c>
      <c r="W37" s="3908">
        <f t="shared" si="46"/>
        <v>0</v>
      </c>
      <c r="X37" s="3908">
        <f t="shared" si="46"/>
        <v>0</v>
      </c>
      <c r="Y37" s="3908">
        <f t="shared" si="46"/>
        <v>0</v>
      </c>
      <c r="Z37" s="3908">
        <f t="shared" si="46"/>
        <v>0</v>
      </c>
      <c r="AA37" s="3908">
        <f t="shared" si="46"/>
        <v>0</v>
      </c>
      <c r="AB37" s="3908"/>
      <c r="AC37" s="3909"/>
      <c r="AD37" s="3908">
        <f t="shared" ca="1" si="4"/>
        <v>0.66</v>
      </c>
      <c r="AE37" s="3908">
        <f t="shared" ca="1" si="5"/>
        <v>0.66</v>
      </c>
      <c r="AF37" s="3908">
        <f t="shared" ca="1" si="6"/>
        <v>0.66</v>
      </c>
      <c r="AG37" s="3908">
        <f t="shared" ca="1" si="7"/>
        <v>0.66</v>
      </c>
      <c r="AH37" s="3908">
        <f t="shared" ca="1" si="8"/>
        <v>0.66</v>
      </c>
      <c r="AI37" s="3908">
        <f t="shared" ca="1" si="9"/>
        <v>0.66</v>
      </c>
      <c r="AJ37" s="3908">
        <f t="shared" ca="1" si="10"/>
        <v>0.66</v>
      </c>
      <c r="AK37" s="3908">
        <f t="shared" ca="1" si="11"/>
        <v>0.66</v>
      </c>
      <c r="AL37" s="3908">
        <f t="shared" ca="1" si="12"/>
        <v>0.66</v>
      </c>
      <c r="AM37" s="3908"/>
      <c r="AN37" s="3909"/>
      <c r="AO37" s="3910"/>
      <c r="AP37" s="3910"/>
      <c r="AQ37" s="3910"/>
      <c r="AR37" s="3910"/>
      <c r="AS37" s="3910"/>
      <c r="AT37" s="3910"/>
      <c r="AU37" s="3910"/>
      <c r="AV37" s="3910"/>
      <c r="AW37" s="3910"/>
      <c r="AX37" s="3910"/>
    </row>
    <row r="38" spans="2:51" s="3889" customFormat="1" ht="15.75">
      <c r="B38" s="3303"/>
      <c r="C38" s="3315" t="s">
        <v>2665</v>
      </c>
      <c r="D38" s="3318" t="s">
        <v>1786</v>
      </c>
      <c r="E38" s="3318">
        <f ca="1">INDEX(INDIRECT("I.a.Outputs["&amp;E$5&amp;"]"), MATCH("X.01", INDIRECT("I.a.Outputs[Vector]"), 0))+INDEX(INDIRECT("I.b.Outputs["&amp;E$5&amp;"]"), MATCH("X.01", INDIRECT("I.b.Outputs[Vector]"), 0))+INDEX(INDIRECT("II.a.Outputs["&amp;E$5&amp;"]"), MATCH("X.01", INDIRECT("II.a.Outputs[Vector]"), 0))+INDEX(INDIRECT("XVII.a.Outputs["&amp;E$5&amp;"]"), MATCH("X.01", INDIRECT("XVII.a.Outputs[Vector]"), 0))+INDEX(INDIRECT("I.a.Outputs["&amp;E$5&amp;"]"), MATCH("X.02", INDIRECT("I.a.Outputs[Vector]"), 0))+INDEX(INDIRECT("I.b.Outputs["&amp;E$5&amp;"]"), MATCH("X.02", INDIRECT("I.b.Outputs[Vector]"), 0))+INDEX(INDIRECT("II.a.Outputs["&amp;E$5&amp;"]"), MATCH("X.02", INDIRECT("II.a.Outputs[Vector]"), 0))</f>
        <v>26.889527616382075</v>
      </c>
      <c r="F38" s="3318">
        <f t="shared" ref="F38:M38" ca="1" si="52">INDEX(INDIRECT("I.a.Outputs["&amp;F$5&amp;"]"), MATCH("X.01", INDIRECT("I.a.Outputs[Vector]"), 0))+INDEX(INDIRECT("I.b.Outputs["&amp;F$5&amp;"]"), MATCH("X.01", INDIRECT("I.b.Outputs[Vector]"), 0))+INDEX(INDIRECT("II.a.Outputs["&amp;F$5&amp;"]"), MATCH("X.01", INDIRECT("II.a.Outputs[Vector]"), 0))+INDEX(INDIRECT("XVII.a.Outputs["&amp;F$5&amp;"]"), MATCH("X.01", INDIRECT("XVII.a.Outputs[Vector]"), 0))+INDEX(INDIRECT("I.a.Outputs["&amp;F$5&amp;"]"), MATCH("X.02", INDIRECT("I.a.Outputs[Vector]"), 0))+INDEX(INDIRECT("I.b.Outputs["&amp;F$5&amp;"]"), MATCH("X.02", INDIRECT("I.b.Outputs[Vector]"), 0))+INDEX(INDIRECT("II.a.Outputs["&amp;F$5&amp;"]"), MATCH("X.02", INDIRECT("II.a.Outputs[Vector]"), 0))</f>
        <v>25.634631946054117</v>
      </c>
      <c r="G38" s="3318">
        <f t="shared" ca="1" si="52"/>
        <v>16.807491300166845</v>
      </c>
      <c r="H38" s="3318">
        <f t="shared" ca="1" si="52"/>
        <v>9.2351531520712076</v>
      </c>
      <c r="I38" s="3318">
        <f t="shared" ca="1" si="52"/>
        <v>16.776805143093359</v>
      </c>
      <c r="J38" s="3318">
        <f t="shared" ca="1" si="52"/>
        <v>31.108103234568013</v>
      </c>
      <c r="K38" s="3318">
        <f t="shared" ca="1" si="52"/>
        <v>37.128597757379076</v>
      </c>
      <c r="L38" s="3318">
        <f t="shared" ca="1" si="52"/>
        <v>41.813831696664785</v>
      </c>
      <c r="M38" s="3318">
        <f t="shared" ca="1" si="52"/>
        <v>46.030151263972478</v>
      </c>
      <c r="N38" s="3306"/>
      <c r="O38"/>
      <c r="Q38" s="3902"/>
      <c r="R38" s="3319" t="s">
        <v>847</v>
      </c>
      <c r="S38" s="3908">
        <f t="shared" ca="1" si="49"/>
        <v>46.547614680811428</v>
      </c>
      <c r="T38" s="3908">
        <f t="shared" ca="1" si="49"/>
        <v>47.39978705331265</v>
      </c>
      <c r="U38" s="3908">
        <f t="shared" ca="1" si="49"/>
        <v>46.463075485516505</v>
      </c>
      <c r="V38" s="3908">
        <f t="shared" ca="1" si="46"/>
        <v>39.741491510161715</v>
      </c>
      <c r="W38" s="3908">
        <f t="shared" ca="1" si="46"/>
        <v>29.716870935553509</v>
      </c>
      <c r="X38" s="3908">
        <f t="shared" ca="1" si="46"/>
        <v>37.575562611620718</v>
      </c>
      <c r="Y38" s="3908">
        <f t="shared" ca="1" si="46"/>
        <v>49.707610582817466</v>
      </c>
      <c r="Z38" s="3908">
        <f t="shared" ca="1" si="46"/>
        <v>62.182671111735829</v>
      </c>
      <c r="AA38" s="3908">
        <f t="shared" ca="1" si="46"/>
        <v>75.014269907136224</v>
      </c>
      <c r="AB38" s="3908"/>
      <c r="AC38" s="3909"/>
      <c r="AD38" s="3908">
        <f t="shared" ca="1" si="4"/>
        <v>46.547614680811428</v>
      </c>
      <c r="AE38" s="3908">
        <f t="shared" ca="1" si="5"/>
        <v>47.39978705331265</v>
      </c>
      <c r="AF38" s="3908">
        <f t="shared" ca="1" si="6"/>
        <v>46.463075485516505</v>
      </c>
      <c r="AG38" s="3908">
        <f t="shared" ca="1" si="7"/>
        <v>39.741491510161715</v>
      </c>
      <c r="AH38" s="3908">
        <f t="shared" ca="1" si="8"/>
        <v>29.716870935553509</v>
      </c>
      <c r="AI38" s="3908">
        <f t="shared" ca="1" si="9"/>
        <v>37.575562611620718</v>
      </c>
      <c r="AJ38" s="3908">
        <f t="shared" ca="1" si="10"/>
        <v>49.707610582817466</v>
      </c>
      <c r="AK38" s="3908">
        <f t="shared" ca="1" si="11"/>
        <v>62.182671111735829</v>
      </c>
      <c r="AL38" s="3908">
        <f t="shared" ca="1" si="12"/>
        <v>75.014269907136224</v>
      </c>
      <c r="AM38" s="3908"/>
      <c r="AN38" s="3909"/>
      <c r="AO38" s="3910">
        <f t="shared" ref="AO38:AW38" ca="1" si="53">S38-AD38</f>
        <v>0</v>
      </c>
      <c r="AP38" s="3910">
        <f t="shared" ca="1" si="53"/>
        <v>0</v>
      </c>
      <c r="AQ38" s="3910">
        <f t="shared" ca="1" si="53"/>
        <v>0</v>
      </c>
      <c r="AR38" s="3910">
        <f t="shared" ca="1" si="53"/>
        <v>0</v>
      </c>
      <c r="AS38" s="3910">
        <f t="shared" ca="1" si="53"/>
        <v>0</v>
      </c>
      <c r="AT38" s="3910">
        <f t="shared" ca="1" si="53"/>
        <v>0</v>
      </c>
      <c r="AU38" s="3910">
        <f t="shared" ca="1" si="53"/>
        <v>0</v>
      </c>
      <c r="AV38" s="3910">
        <f t="shared" ca="1" si="53"/>
        <v>0</v>
      </c>
      <c r="AW38" s="3910">
        <f t="shared" ca="1" si="53"/>
        <v>0</v>
      </c>
      <c r="AX38" s="3910"/>
    </row>
    <row r="39" spans="2:51" s="3889" customFormat="1" ht="15.75">
      <c r="B39" s="3303"/>
      <c r="C39" s="3315" t="s">
        <v>16</v>
      </c>
      <c r="D39" s="3318" t="s">
        <v>2655</v>
      </c>
      <c r="E39" s="3318">
        <f ca="1">-INDEX(INDIRECT("IX.a.CHP.Outputs["&amp;E$5&amp;"]"), MATCH("V.03", INDIRECT("IX.a.CHP.Outputs[Vector]"), 0))-INDEX(INDIRECT("IX.c.CHP.Outputs["&amp;E$5&amp;"]"), MATCH("V.03", INDIRECT("IX.c.CHP.Outputs[Vector]"), 0))</f>
        <v>0</v>
      </c>
      <c r="F39" s="3318">
        <f t="shared" ref="F39:M39" ca="1" si="54">-INDEX(INDIRECT("IX.a.CHP.Outputs["&amp;F$5&amp;"]"), MATCH("V.03", INDIRECT("IX.a.CHP.Outputs[Vector]"), 0))-INDEX(INDIRECT("IX.c.CHP.Outputs["&amp;F$5&amp;"]"), MATCH("V.03", INDIRECT("IX.c.CHP.Outputs[Vector]"), 0))</f>
        <v>0</v>
      </c>
      <c r="G39" s="3318">
        <f t="shared" ca="1" si="54"/>
        <v>0</v>
      </c>
      <c r="H39" s="3318">
        <f t="shared" ca="1" si="54"/>
        <v>0</v>
      </c>
      <c r="I39" s="3318">
        <f t="shared" ca="1" si="54"/>
        <v>0</v>
      </c>
      <c r="J39" s="3318">
        <f t="shared" ca="1" si="54"/>
        <v>0</v>
      </c>
      <c r="K39" s="3318">
        <f t="shared" ca="1" si="54"/>
        <v>0</v>
      </c>
      <c r="L39" s="3318">
        <f t="shared" ca="1" si="54"/>
        <v>0</v>
      </c>
      <c r="M39" s="3318">
        <f t="shared" ca="1" si="54"/>
        <v>0</v>
      </c>
      <c r="N39" s="3306"/>
      <c r="O39"/>
      <c r="Q39" s="3902"/>
      <c r="R39" s="3906" t="s">
        <v>744</v>
      </c>
      <c r="S39" s="3908">
        <f t="shared" ca="1" si="49"/>
        <v>0</v>
      </c>
      <c r="T39" s="3908">
        <f t="shared" ca="1" si="49"/>
        <v>0</v>
      </c>
      <c r="U39" s="3908">
        <f t="shared" ca="1" si="49"/>
        <v>0</v>
      </c>
      <c r="V39" s="3908">
        <f t="shared" ca="1" si="46"/>
        <v>0</v>
      </c>
      <c r="W39" s="3908">
        <f t="shared" ca="1" si="46"/>
        <v>21.428000000000004</v>
      </c>
      <c r="X39" s="3908">
        <f t="shared" ca="1" si="46"/>
        <v>21.428000000000004</v>
      </c>
      <c r="Y39" s="3908">
        <f t="shared" ca="1" si="46"/>
        <v>21.428000000000004</v>
      </c>
      <c r="Z39" s="3908">
        <f t="shared" ca="1" si="46"/>
        <v>21.428000000000004</v>
      </c>
      <c r="AA39" s="3908">
        <f t="shared" ca="1" si="46"/>
        <v>21.428000000000004</v>
      </c>
      <c r="AB39" s="3908"/>
      <c r="AC39" s="3909"/>
      <c r="AD39" s="3908">
        <f t="shared" si="4"/>
        <v>0</v>
      </c>
      <c r="AE39" s="3908">
        <f t="shared" si="5"/>
        <v>0</v>
      </c>
      <c r="AF39" s="3908">
        <f t="shared" si="6"/>
        <v>0</v>
      </c>
      <c r="AG39" s="3908">
        <f t="shared" si="7"/>
        <v>0</v>
      </c>
      <c r="AH39" s="3908">
        <f t="shared" si="8"/>
        <v>0</v>
      </c>
      <c r="AI39" s="3908">
        <f t="shared" si="9"/>
        <v>0</v>
      </c>
      <c r="AJ39" s="3908">
        <f t="shared" si="10"/>
        <v>0</v>
      </c>
      <c r="AK39" s="3908">
        <f t="shared" si="11"/>
        <v>0</v>
      </c>
      <c r="AL39" s="3908">
        <f t="shared" si="12"/>
        <v>0</v>
      </c>
      <c r="AM39" s="3908"/>
      <c r="AN39" s="3909"/>
      <c r="AO39" s="3910"/>
      <c r="AP39" s="3910"/>
      <c r="AQ39" s="3910"/>
      <c r="AR39" s="3910"/>
      <c r="AS39" s="3910"/>
      <c r="AT39" s="3910"/>
      <c r="AU39" s="3910"/>
      <c r="AV39" s="3910"/>
      <c r="AW39" s="3910"/>
      <c r="AX39" s="3910"/>
    </row>
    <row r="40" spans="2:51" s="3889" customFormat="1" ht="15.75">
      <c r="B40" s="3303"/>
      <c r="C40" s="3315" t="s">
        <v>1712</v>
      </c>
      <c r="D40" s="3318" t="s">
        <v>2655</v>
      </c>
      <c r="E40" s="3318">
        <f ca="1">-INDEX(INDIRECT("IX.a.CHP.Outputs["&amp;E$5&amp;"]"), MATCH("V.04", INDIRECT("IX.a.CHP.Outputs[Vector]"), 0))-INDEX(INDIRECT("IX.c.CHP.Outputs["&amp;E$5&amp;"]"), MATCH("V.04", INDIRECT("IX.c.CHP.Outputs[Vector]"), 0))</f>
        <v>0</v>
      </c>
      <c r="F40" s="3318">
        <f t="shared" ref="F40:M40" ca="1" si="55">-INDEX(INDIRECT("IX.a.CHP.Outputs["&amp;F$5&amp;"]"), MATCH("V.04", INDIRECT("IX.a.CHP.Outputs[Vector]"), 0))-INDEX(INDIRECT("IX.c.CHP.Outputs["&amp;F$5&amp;"]"), MATCH("V.04", INDIRECT("IX.c.CHP.Outputs[Vector]"), 0))</f>
        <v>0</v>
      </c>
      <c r="G40" s="3318">
        <f t="shared" ca="1" si="55"/>
        <v>0</v>
      </c>
      <c r="H40" s="3318">
        <f t="shared" ca="1" si="55"/>
        <v>0</v>
      </c>
      <c r="I40" s="3318">
        <f t="shared" ca="1" si="55"/>
        <v>0</v>
      </c>
      <c r="J40" s="3318">
        <f t="shared" ca="1" si="55"/>
        <v>0</v>
      </c>
      <c r="K40" s="3318">
        <f t="shared" ca="1" si="55"/>
        <v>0</v>
      </c>
      <c r="L40" s="3318">
        <f t="shared" ca="1" si="55"/>
        <v>0</v>
      </c>
      <c r="M40" s="3318">
        <f t="shared" ca="1" si="55"/>
        <v>0</v>
      </c>
      <c r="N40" s="3306"/>
      <c r="O40"/>
      <c r="Q40" s="3902"/>
      <c r="R40" s="3906" t="s">
        <v>145</v>
      </c>
      <c r="S40" s="3908">
        <f t="shared" ca="1" si="49"/>
        <v>76.341107777431446</v>
      </c>
      <c r="T40" s="3908">
        <f t="shared" ca="1" si="49"/>
        <v>70.428965076712089</v>
      </c>
      <c r="U40" s="3908">
        <f t="shared" ca="1" si="49"/>
        <v>66.132600914927124</v>
      </c>
      <c r="V40" s="3908">
        <f t="shared" ca="1" si="46"/>
        <v>61.70681606299398</v>
      </c>
      <c r="W40" s="3908">
        <f t="shared" ca="1" si="46"/>
        <v>58.853734589724091</v>
      </c>
      <c r="X40" s="3908">
        <f t="shared" ca="1" si="46"/>
        <v>56.055550717287325</v>
      </c>
      <c r="Y40" s="3908">
        <f t="shared" ca="1" si="46"/>
        <v>53.466242556904533</v>
      </c>
      <c r="Z40" s="3908">
        <f t="shared" ca="1" si="46"/>
        <v>50.942465881243002</v>
      </c>
      <c r="AA40" s="3908">
        <f t="shared" ca="1" si="46"/>
        <v>48.624578735681354</v>
      </c>
      <c r="AB40" s="3908"/>
      <c r="AC40" s="3909"/>
      <c r="AD40" s="3908">
        <f t="shared" ca="1" si="4"/>
        <v>76.341107777431446</v>
      </c>
      <c r="AE40" s="3908">
        <f t="shared" ca="1" si="5"/>
        <v>70.428965076712089</v>
      </c>
      <c r="AF40" s="3908">
        <f t="shared" ca="1" si="6"/>
        <v>66.132600914927124</v>
      </c>
      <c r="AG40" s="3908">
        <f t="shared" ca="1" si="7"/>
        <v>61.70681606299398</v>
      </c>
      <c r="AH40" s="3908">
        <f t="shared" ca="1" si="8"/>
        <v>58.853734589724091</v>
      </c>
      <c r="AI40" s="3908">
        <f t="shared" ca="1" si="9"/>
        <v>56.055550717287325</v>
      </c>
      <c r="AJ40" s="3908">
        <f t="shared" ca="1" si="10"/>
        <v>53.466242556904533</v>
      </c>
      <c r="AK40" s="3908">
        <f t="shared" ca="1" si="11"/>
        <v>50.942465881243002</v>
      </c>
      <c r="AL40" s="3908">
        <f t="shared" ca="1" si="12"/>
        <v>48.624578735681354</v>
      </c>
      <c r="AM40" s="3908"/>
      <c r="AN40" s="3909"/>
      <c r="AO40" s="3910">
        <f t="shared" ref="AO40:AW40" ca="1" si="56">S40-AD40</f>
        <v>0</v>
      </c>
      <c r="AP40" s="3910">
        <f t="shared" ca="1" si="56"/>
        <v>0</v>
      </c>
      <c r="AQ40" s="3910">
        <f t="shared" ca="1" si="56"/>
        <v>0</v>
      </c>
      <c r="AR40" s="3910">
        <f t="shared" ca="1" si="56"/>
        <v>0</v>
      </c>
      <c r="AS40" s="3910">
        <f t="shared" ca="1" si="56"/>
        <v>0</v>
      </c>
      <c r="AT40" s="3910">
        <f t="shared" ca="1" si="56"/>
        <v>0</v>
      </c>
      <c r="AU40" s="3910">
        <f t="shared" ca="1" si="56"/>
        <v>0</v>
      </c>
      <c r="AV40" s="3910">
        <f t="shared" ca="1" si="56"/>
        <v>0</v>
      </c>
      <c r="AW40" s="3910">
        <f t="shared" ca="1" si="56"/>
        <v>0</v>
      </c>
      <c r="AX40" s="3910"/>
    </row>
    <row r="41" spans="2:51" s="3889" customFormat="1" ht="15.75">
      <c r="B41" s="3303"/>
      <c r="C41" s="3315" t="s">
        <v>15</v>
      </c>
      <c r="D41" s="3318" t="s">
        <v>2655</v>
      </c>
      <c r="E41" s="3318">
        <f ca="1">-INDEX(INDIRECT("IX.a.CHP.Outputs["&amp;E$5&amp;"]"), MATCH("V.05", INDIRECT("IX.a.CHP.Outputs[Vector]"), 0))-INDEX(INDIRECT("IX.c.CHP.Outputs["&amp;E$5&amp;"]"), MATCH("V.05", INDIRECT("IX.c.CHP.Outputs[Vector]"), 0))</f>
        <v>0</v>
      </c>
      <c r="F41" s="3318">
        <f t="shared" ref="F41:M41" ca="1" si="57">-INDEX(INDIRECT("IX.a.CHP.Outputs["&amp;F$5&amp;"]"), MATCH("V.05", INDIRECT("IX.a.CHP.Outputs[Vector]"), 0))-INDEX(INDIRECT("IX.c.CHP.Outputs["&amp;F$5&amp;"]"), MATCH("V.05", INDIRECT("IX.c.CHP.Outputs[Vector]"), 0))</f>
        <v>0</v>
      </c>
      <c r="G41" s="3318">
        <f t="shared" ca="1" si="57"/>
        <v>3.0321428571428575</v>
      </c>
      <c r="H41" s="3318">
        <f t="shared" ca="1" si="57"/>
        <v>6.3650000000000002</v>
      </c>
      <c r="I41" s="3318">
        <f t="shared" ca="1" si="57"/>
        <v>9.9985714285714309</v>
      </c>
      <c r="J41" s="3318">
        <f t="shared" ca="1" si="57"/>
        <v>13.932857142857143</v>
      </c>
      <c r="K41" s="3318">
        <f t="shared" ca="1" si="57"/>
        <v>18.167857142857144</v>
      </c>
      <c r="L41" s="3318">
        <f t="shared" ca="1" si="57"/>
        <v>22.703571428571429</v>
      </c>
      <c r="M41" s="3318">
        <f t="shared" ca="1" si="57"/>
        <v>27.539999999999996</v>
      </c>
      <c r="N41" s="3306"/>
      <c r="O41"/>
      <c r="Q41" s="3902"/>
      <c r="R41" s="3906" t="s">
        <v>2650</v>
      </c>
      <c r="S41" s="3908">
        <f t="shared" ca="1" si="49"/>
        <v>76.341107777431446</v>
      </c>
      <c r="T41" s="3908">
        <f t="shared" ca="1" si="49"/>
        <v>70.428965076712089</v>
      </c>
      <c r="U41" s="3908">
        <f t="shared" ca="1" si="49"/>
        <v>66.132600914927124</v>
      </c>
      <c r="V41" s="3908">
        <f t="shared" ca="1" si="46"/>
        <v>61.70681606299398</v>
      </c>
      <c r="W41" s="3908">
        <f t="shared" ca="1" si="46"/>
        <v>58.853734589724091</v>
      </c>
      <c r="X41" s="3908">
        <f t="shared" ca="1" si="46"/>
        <v>56.055550717287325</v>
      </c>
      <c r="Y41" s="3908">
        <f t="shared" ca="1" si="46"/>
        <v>53.466242556904533</v>
      </c>
      <c r="Z41" s="3908">
        <f t="shared" ca="1" si="46"/>
        <v>50.942465881243002</v>
      </c>
      <c r="AA41" s="3908">
        <f t="shared" ca="1" si="46"/>
        <v>48.624578735681354</v>
      </c>
      <c r="AB41" s="3908"/>
      <c r="AC41" s="3909"/>
      <c r="AD41" s="3908">
        <f t="shared" si="4"/>
        <v>0</v>
      </c>
      <c r="AE41" s="3908">
        <f t="shared" si="5"/>
        <v>0</v>
      </c>
      <c r="AF41" s="3908">
        <f t="shared" si="6"/>
        <v>0</v>
      </c>
      <c r="AG41" s="3908">
        <f t="shared" si="7"/>
        <v>0</v>
      </c>
      <c r="AH41" s="3908">
        <f t="shared" si="8"/>
        <v>0</v>
      </c>
      <c r="AI41" s="3908">
        <f t="shared" si="9"/>
        <v>0</v>
      </c>
      <c r="AJ41" s="3908">
        <f t="shared" si="10"/>
        <v>0</v>
      </c>
      <c r="AK41" s="3908">
        <f t="shared" si="11"/>
        <v>0</v>
      </c>
      <c r="AL41" s="3908">
        <f t="shared" si="12"/>
        <v>0</v>
      </c>
      <c r="AM41" s="3908"/>
      <c r="AN41" s="3909"/>
      <c r="AO41" s="3910"/>
      <c r="AP41" s="3910"/>
      <c r="AQ41" s="3910"/>
      <c r="AR41" s="3910"/>
      <c r="AS41" s="3910"/>
      <c r="AT41" s="3910"/>
      <c r="AU41" s="3910"/>
      <c r="AV41" s="3910"/>
      <c r="AW41" s="3910"/>
      <c r="AX41" s="3910"/>
    </row>
    <row r="42" spans="2:51" s="3889" customFormat="1" ht="15.75">
      <c r="B42" s="3303"/>
      <c r="C42" s="3315" t="s">
        <v>2655</v>
      </c>
      <c r="D42" s="3318" t="s">
        <v>2658</v>
      </c>
      <c r="E42" s="3318">
        <f ca="1">INDEX(INDIRECT("IX.a.CHP.Outputs["&amp;E$5&amp;"]"), MATCH("V.02", INDIRECT("IX.a.CHP.Outputs[Vector]"), 0))+INDEX(INDIRECT("IX.c.CHP.Outputs["&amp;E$5&amp;"]"), MATCH("V.02", INDIRECT("IX.c.CHP.Outputs[Vector]"), 0))</f>
        <v>0</v>
      </c>
      <c r="F42" s="3318">
        <f t="shared" ref="F42:M42" ca="1" si="58">INDEX(INDIRECT("IX.a.CHP.Outputs["&amp;F$5&amp;"]"), MATCH("V.02", INDIRECT("IX.a.CHP.Outputs[Vector]"), 0))+INDEX(INDIRECT("IX.c.CHP.Outputs["&amp;F$5&amp;"]"), MATCH("V.02", INDIRECT("IX.c.CHP.Outputs[Vector]"), 0))</f>
        <v>0</v>
      </c>
      <c r="G42" s="3318">
        <f t="shared" ca="1" si="58"/>
        <v>1.3644642857142859</v>
      </c>
      <c r="H42" s="3318">
        <f t="shared" ca="1" si="58"/>
        <v>2.8642500000000002</v>
      </c>
      <c r="I42" s="3318">
        <f t="shared" ca="1" si="58"/>
        <v>4.4993571428571437</v>
      </c>
      <c r="J42" s="3318">
        <f t="shared" ca="1" si="58"/>
        <v>6.2697857142857147</v>
      </c>
      <c r="K42" s="3318">
        <f t="shared" ca="1" si="58"/>
        <v>8.175535714285715</v>
      </c>
      <c r="L42" s="3318">
        <f t="shared" ca="1" si="58"/>
        <v>10.216607142857143</v>
      </c>
      <c r="M42" s="3318">
        <f t="shared" ca="1" si="58"/>
        <v>12.392999999999999</v>
      </c>
      <c r="N42" s="3306"/>
      <c r="O42"/>
      <c r="Q42" s="3902"/>
      <c r="R42" s="3906" t="s">
        <v>388</v>
      </c>
      <c r="S42" s="3908">
        <f t="shared" ca="1" si="49"/>
        <v>0</v>
      </c>
      <c r="T42" s="3908">
        <f t="shared" ca="1" si="49"/>
        <v>0</v>
      </c>
      <c r="U42" s="3908">
        <f t="shared" ca="1" si="49"/>
        <v>0</v>
      </c>
      <c r="V42" s="3908">
        <f t="shared" ca="1" si="46"/>
        <v>0</v>
      </c>
      <c r="W42" s="3908">
        <f t="shared" ca="1" si="46"/>
        <v>0</v>
      </c>
      <c r="X42" s="3908">
        <f t="shared" ca="1" si="46"/>
        <v>0</v>
      </c>
      <c r="Y42" s="3908">
        <f t="shared" ca="1" si="46"/>
        <v>0</v>
      </c>
      <c r="Z42" s="3908">
        <f t="shared" ca="1" si="46"/>
        <v>0</v>
      </c>
      <c r="AA42" s="3908">
        <f t="shared" ca="1" si="46"/>
        <v>0</v>
      </c>
      <c r="AB42" s="3908"/>
      <c r="AC42" s="3909"/>
      <c r="AD42" s="3908">
        <f t="shared" si="4"/>
        <v>0</v>
      </c>
      <c r="AE42" s="3908">
        <f t="shared" si="5"/>
        <v>0</v>
      </c>
      <c r="AF42" s="3908">
        <f t="shared" si="6"/>
        <v>0</v>
      </c>
      <c r="AG42" s="3908">
        <f t="shared" si="7"/>
        <v>0</v>
      </c>
      <c r="AH42" s="3908">
        <f t="shared" si="8"/>
        <v>0</v>
      </c>
      <c r="AI42" s="3908">
        <f t="shared" si="9"/>
        <v>0</v>
      </c>
      <c r="AJ42" s="3908">
        <f t="shared" si="10"/>
        <v>0</v>
      </c>
      <c r="AK42" s="3908">
        <f t="shared" si="11"/>
        <v>0</v>
      </c>
      <c r="AL42" s="3908">
        <f t="shared" si="12"/>
        <v>0</v>
      </c>
      <c r="AM42" s="3908"/>
      <c r="AN42" s="3909"/>
      <c r="AO42" s="3910"/>
      <c r="AP42" s="3910"/>
      <c r="AQ42" s="3910"/>
      <c r="AR42" s="3910"/>
      <c r="AS42" s="3910"/>
      <c r="AT42" s="3910"/>
      <c r="AU42" s="3910"/>
      <c r="AV42" s="3910"/>
      <c r="AW42" s="3910"/>
      <c r="AX42" s="3910"/>
    </row>
    <row r="43" spans="2:51" s="3889" customFormat="1" ht="15.75">
      <c r="B43" s="3303"/>
      <c r="C43" s="3315" t="s">
        <v>2655</v>
      </c>
      <c r="D43" s="3318" t="s">
        <v>1786</v>
      </c>
      <c r="E43" s="3318">
        <f ca="1">INDEX(INDIRECT("IX.a.CHP.Outputs["&amp;E$5&amp;"]"), MATCH("X.01", INDIRECT("IX.a.CHP.Outputs[Vector]"), 0))+INDEX(INDIRECT("IX.c.CHP.Outputs["&amp;E$5&amp;"]"), MATCH("X.01", INDIRECT("IX.c.CHP.Outputs[Vector]"), 0))</f>
        <v>0</v>
      </c>
      <c r="F43" s="3318">
        <f t="shared" ref="F43:M43" ca="1" si="59">INDEX(INDIRECT("IX.a.CHP.Outputs["&amp;F$5&amp;"]"), MATCH("X.01", INDIRECT("IX.a.CHP.Outputs[Vector]"), 0))+INDEX(INDIRECT("IX.c.CHP.Outputs["&amp;F$5&amp;"]"), MATCH("X.01", INDIRECT("IX.c.CHP.Outputs[Vector]"), 0))</f>
        <v>0</v>
      </c>
      <c r="G43" s="3318">
        <f t="shared" ca="1" si="59"/>
        <v>0.30321428571428577</v>
      </c>
      <c r="H43" s="3318">
        <f t="shared" ca="1" si="59"/>
        <v>0.63650000000000007</v>
      </c>
      <c r="I43" s="3318">
        <f t="shared" ca="1" si="59"/>
        <v>0.99985714285714311</v>
      </c>
      <c r="J43" s="3318">
        <f t="shared" ca="1" si="59"/>
        <v>1.3932857142857145</v>
      </c>
      <c r="K43" s="3318">
        <f t="shared" ca="1" si="59"/>
        <v>1.8167857142857144</v>
      </c>
      <c r="L43" s="3318">
        <f t="shared" ca="1" si="59"/>
        <v>2.2703571428571432</v>
      </c>
      <c r="M43" s="3318">
        <f t="shared" ca="1" si="59"/>
        <v>2.7539999999999996</v>
      </c>
      <c r="N43" s="3306"/>
      <c r="O43"/>
      <c r="Q43" s="3902"/>
      <c r="R43" s="3906" t="s">
        <v>2657</v>
      </c>
      <c r="S43" s="3908">
        <f t="shared" ca="1" si="49"/>
        <v>0.27892419162550902</v>
      </c>
      <c r="T43" s="3908">
        <f t="shared" ca="1" si="49"/>
        <v>0.32521886006268502</v>
      </c>
      <c r="U43" s="3908">
        <f t="shared" ca="1" si="49"/>
        <v>0.89245825273520496</v>
      </c>
      <c r="V43" s="3908">
        <f t="shared" ca="1" si="46"/>
        <v>0.92642501706403768</v>
      </c>
      <c r="W43" s="3908">
        <f t="shared" ca="1" si="46"/>
        <v>0.94400509078021932</v>
      </c>
      <c r="X43" s="3908">
        <f t="shared" ca="1" si="46"/>
        <v>0.95788008201124664</v>
      </c>
      <c r="Y43" s="3908">
        <f t="shared" ca="1" si="46"/>
        <v>0.97299407289903583</v>
      </c>
      <c r="Z43" s="3908">
        <f t="shared" ca="1" si="46"/>
        <v>0.98778131036788008</v>
      </c>
      <c r="AA43" s="3908">
        <f t="shared" ca="1" si="46"/>
        <v>1.0010416337248986</v>
      </c>
      <c r="AB43" s="3908"/>
      <c r="AC43" s="3909"/>
      <c r="AD43" s="3908">
        <f t="shared" si="4"/>
        <v>0</v>
      </c>
      <c r="AE43" s="3908">
        <f t="shared" si="5"/>
        <v>0</v>
      </c>
      <c r="AF43" s="3908">
        <f t="shared" si="6"/>
        <v>0</v>
      </c>
      <c r="AG43" s="3908">
        <f t="shared" si="7"/>
        <v>0</v>
      </c>
      <c r="AH43" s="3908">
        <f t="shared" si="8"/>
        <v>0</v>
      </c>
      <c r="AI43" s="3908">
        <f t="shared" si="9"/>
        <v>0</v>
      </c>
      <c r="AJ43" s="3908">
        <f t="shared" si="10"/>
        <v>0</v>
      </c>
      <c r="AK43" s="3908">
        <f t="shared" si="11"/>
        <v>0</v>
      </c>
      <c r="AL43" s="3908">
        <f t="shared" si="12"/>
        <v>0</v>
      </c>
      <c r="AM43" s="3908"/>
      <c r="AN43" s="3909"/>
      <c r="AO43" s="3910"/>
      <c r="AP43" s="3910"/>
      <c r="AQ43" s="3910"/>
      <c r="AR43" s="3910"/>
      <c r="AS43" s="3910"/>
      <c r="AT43" s="3910"/>
      <c r="AU43" s="3910"/>
      <c r="AV43" s="3910"/>
      <c r="AW43" s="3910"/>
      <c r="AX43" s="3910"/>
    </row>
    <row r="44" spans="2:51" s="3889" customFormat="1" ht="15.75">
      <c r="B44" s="3303"/>
      <c r="C44" s="3315" t="s">
        <v>564</v>
      </c>
      <c r="D44" s="3318" t="s">
        <v>2658</v>
      </c>
      <c r="E44" s="3318">
        <f ca="1">-INDEX(INDIRECT("VII.a.Outputs["&amp;E$5&amp;"]"), MATCH("Y.02", INDIRECT("VII.a.Outputs[Vector]"), 0))</f>
        <v>2.5</v>
      </c>
      <c r="F44" s="3318">
        <f t="shared" ref="F44:M44" ca="1" si="60">-INDEX(INDIRECT("VII.a.Outputs["&amp;F$5&amp;"]"), MATCH("Y.02", INDIRECT("VII.a.Outputs[Vector]"), 0))</f>
        <v>2.5</v>
      </c>
      <c r="G44" s="3318">
        <f t="shared" ca="1" si="60"/>
        <v>2.5</v>
      </c>
      <c r="H44" s="3318">
        <f t="shared" ca="1" si="60"/>
        <v>2.5</v>
      </c>
      <c r="I44" s="3318">
        <f t="shared" ca="1" si="60"/>
        <v>3.9</v>
      </c>
      <c r="J44" s="3318">
        <f t="shared" ca="1" si="60"/>
        <v>4.5999999999999996</v>
      </c>
      <c r="K44" s="3318">
        <f t="shared" ca="1" si="60"/>
        <v>7</v>
      </c>
      <c r="L44" s="3318">
        <f t="shared" ca="1" si="60"/>
        <v>9</v>
      </c>
      <c r="M44" s="3318">
        <f t="shared" ca="1" si="60"/>
        <v>10</v>
      </c>
      <c r="N44" s="3306"/>
      <c r="O44"/>
      <c r="Q44" s="3902"/>
      <c r="R44" s="3906" t="s">
        <v>2663</v>
      </c>
      <c r="S44" s="3908">
        <f t="shared" si="49"/>
        <v>0</v>
      </c>
      <c r="T44" s="3908">
        <f t="shared" si="49"/>
        <v>0</v>
      </c>
      <c r="U44" s="3908">
        <f t="shared" si="49"/>
        <v>0</v>
      </c>
      <c r="V44" s="3908">
        <f t="shared" si="46"/>
        <v>0</v>
      </c>
      <c r="W44" s="3908">
        <f t="shared" si="46"/>
        <v>0</v>
      </c>
      <c r="X44" s="3908">
        <f t="shared" si="46"/>
        <v>0</v>
      </c>
      <c r="Y44" s="3908">
        <f t="shared" si="46"/>
        <v>0</v>
      </c>
      <c r="Z44" s="3908">
        <f t="shared" si="46"/>
        <v>0</v>
      </c>
      <c r="AA44" s="3908">
        <f t="shared" si="46"/>
        <v>0</v>
      </c>
      <c r="AB44" s="3908"/>
      <c r="AC44" s="3909"/>
      <c r="AD44" s="3908">
        <f t="shared" ca="1" si="4"/>
        <v>0</v>
      </c>
      <c r="AE44" s="3908">
        <f t="shared" ca="1" si="5"/>
        <v>0</v>
      </c>
      <c r="AF44" s="3908">
        <f t="shared" ca="1" si="6"/>
        <v>0</v>
      </c>
      <c r="AG44" s="3908">
        <f t="shared" ca="1" si="7"/>
        <v>2.2402186688480645</v>
      </c>
      <c r="AH44" s="3908">
        <f t="shared" ca="1" si="8"/>
        <v>14.781804676728649</v>
      </c>
      <c r="AI44" s="3908">
        <f t="shared" ca="1" si="9"/>
        <v>34.924126099107781</v>
      </c>
      <c r="AJ44" s="3908">
        <f t="shared" ca="1" si="10"/>
        <v>51.722920597748619</v>
      </c>
      <c r="AK44" s="3908">
        <f t="shared" ca="1" si="11"/>
        <v>70.035089353672234</v>
      </c>
      <c r="AL44" s="3908">
        <f t="shared" ca="1" si="12"/>
        <v>87.788338640267582</v>
      </c>
      <c r="AM44" s="3908"/>
      <c r="AN44" s="3909"/>
      <c r="AO44" s="3910"/>
      <c r="AP44" s="3910"/>
      <c r="AQ44" s="3910"/>
      <c r="AR44" s="3910"/>
      <c r="AS44" s="3910"/>
      <c r="AT44" s="3910"/>
      <c r="AU44" s="3910"/>
      <c r="AV44" s="3910"/>
      <c r="AW44" s="3910"/>
      <c r="AX44" s="3910"/>
    </row>
    <row r="45" spans="2:51" s="3889" customFormat="1" ht="15.75">
      <c r="B45" s="3303"/>
      <c r="C45" s="3315" t="s">
        <v>397</v>
      </c>
      <c r="D45" s="3318" t="s">
        <v>2658</v>
      </c>
      <c r="E45" s="3318">
        <f ca="1">INDEX(INDIRECT("III.a.1.Outputs["&amp;E$5&amp;"]"), MATCH("V.02", INDIRECT("III.a.1.Outputs[Vector]"), 0))+INDEX(INDIRECT("III.a.2.Outputs["&amp;E$5&amp;"]"), MATCH("V.02", INDIRECT("III.a.2.Outputs[Vector]"), 0))+INDEX(INDIRECT("IV.c.Outputs["&amp;E$5&amp;"]"), MATCH("V.02", INDIRECT("IV.c.Outputs[Vector]"), 0))</f>
        <v>4.5013410000000009</v>
      </c>
      <c r="F45" s="3318">
        <f t="shared" ref="F45:M45" ca="1" si="61">INDEX(INDIRECT("III.a.1.Outputs["&amp;F$5&amp;"]"), MATCH("V.02", INDIRECT("III.a.1.Outputs[Vector]"), 0))+INDEX(INDIRECT("III.a.2.Outputs["&amp;F$5&amp;"]"), MATCH("V.02", INDIRECT("III.a.2.Outputs[Vector]"), 0))+INDEX(INDIRECT("IV.c.Outputs["&amp;F$5&amp;"]"), MATCH("V.02", INDIRECT("IV.c.Outputs[Vector]"), 0))</f>
        <v>5.6172527999999993</v>
      </c>
      <c r="G45" s="3318">
        <f t="shared" ca="1" si="61"/>
        <v>9.3230792999999998</v>
      </c>
      <c r="H45" s="3318">
        <f t="shared" ca="1" si="61"/>
        <v>13.589929799999998</v>
      </c>
      <c r="I45" s="3318">
        <f t="shared" ca="1" si="61"/>
        <v>21.946119299999999</v>
      </c>
      <c r="J45" s="3318">
        <f t="shared" ca="1" si="61"/>
        <v>27.955212300000003</v>
      </c>
      <c r="K45" s="3318">
        <f t="shared" ca="1" si="61"/>
        <v>31.8999123</v>
      </c>
      <c r="L45" s="3318">
        <f t="shared" ca="1" si="61"/>
        <v>38.838201300000001</v>
      </c>
      <c r="M45" s="3318">
        <f t="shared" ca="1" si="61"/>
        <v>45.741426300000008</v>
      </c>
      <c r="N45" s="3306"/>
      <c r="O45"/>
      <c r="Q45" s="3902"/>
      <c r="R45" s="3906" t="s">
        <v>2667</v>
      </c>
      <c r="S45" s="3908">
        <f t="shared" ca="1" si="49"/>
        <v>0.11119904983501781</v>
      </c>
      <c r="T45" s="3908">
        <f t="shared" ca="1" si="49"/>
        <v>0.23024787332134827</v>
      </c>
      <c r="U45" s="3908">
        <f t="shared" ca="1" si="49"/>
        <v>0.19215404904246119</v>
      </c>
      <c r="V45" s="3908">
        <f t="shared" ca="1" si="46"/>
        <v>0.16256755073206205</v>
      </c>
      <c r="W45" s="3908">
        <f t="shared" ca="1" si="46"/>
        <v>0.13025315807559751</v>
      </c>
      <c r="X45" s="3908">
        <f t="shared" ca="1" si="46"/>
        <v>9.8473923807210109E-2</v>
      </c>
      <c r="Y45" s="3908">
        <f t="shared" ca="1" si="46"/>
        <v>6.6374144344193087E-2</v>
      </c>
      <c r="Z45" s="3908">
        <f t="shared" ca="1" si="46"/>
        <v>3.3366237861707504E-2</v>
      </c>
      <c r="AA45" s="3908">
        <f t="shared" ca="1" si="46"/>
        <v>0</v>
      </c>
      <c r="AB45" s="3908"/>
      <c r="AC45" s="3909"/>
      <c r="AD45" s="3908">
        <f t="shared" si="4"/>
        <v>0</v>
      </c>
      <c r="AE45" s="3908">
        <f t="shared" si="5"/>
        <v>0</v>
      </c>
      <c r="AF45" s="3908">
        <f t="shared" si="6"/>
        <v>0</v>
      </c>
      <c r="AG45" s="3908">
        <f t="shared" si="7"/>
        <v>0</v>
      </c>
      <c r="AH45" s="3908">
        <f t="shared" si="8"/>
        <v>0</v>
      </c>
      <c r="AI45" s="3908">
        <f t="shared" si="9"/>
        <v>0</v>
      </c>
      <c r="AJ45" s="3908">
        <f t="shared" si="10"/>
        <v>0</v>
      </c>
      <c r="AK45" s="3908">
        <f t="shared" si="11"/>
        <v>0</v>
      </c>
      <c r="AL45" s="3908">
        <f t="shared" si="12"/>
        <v>0</v>
      </c>
      <c r="AM45" s="3908"/>
      <c r="AN45" s="3909"/>
      <c r="AO45" s="3910"/>
      <c r="AP45" s="3910"/>
      <c r="AQ45" s="3910"/>
      <c r="AR45" s="3910"/>
      <c r="AS45" s="3910"/>
      <c r="AT45" s="3910"/>
      <c r="AU45" s="3910"/>
      <c r="AV45" s="3910"/>
      <c r="AW45" s="3910"/>
      <c r="AX45" s="3910"/>
    </row>
    <row r="46" spans="2:51" s="3889" customFormat="1" ht="15.75">
      <c r="B46" s="3303"/>
      <c r="C46" s="3315" t="s">
        <v>398</v>
      </c>
      <c r="D46" s="3318" t="s">
        <v>2658</v>
      </c>
      <c r="E46" s="3318">
        <f ca="1">INDEX(INDIRECT("III.c.TidalRange.Outputs["&amp;E$5&amp;"]"), MATCH("V.02", INDIRECT("III.c.TidalRange.Outputs[Vector]"), 0))+INDEX(INDIRECT("III.c.TidalStream.Outputs["&amp;E$5&amp;"]"), MATCH("V.02", INDIRECT("III.c.TidalStream.Outputs[Vector]"), 0))</f>
        <v>0</v>
      </c>
      <c r="F46" s="3318">
        <f t="shared" ref="F46:M46" ca="1" si="62">INDEX(INDIRECT("III.c.TidalRange.Outputs["&amp;F$5&amp;"]"), MATCH("V.02", INDIRECT("III.c.TidalRange.Outputs[Vector]"), 0))+INDEX(INDIRECT("III.c.TidalStream.Outputs["&amp;F$5&amp;"]"), MATCH("V.02", INDIRECT("III.c.TidalStream.Outputs[Vector]"), 0))</f>
        <v>0</v>
      </c>
      <c r="G46" s="3318">
        <f t="shared" ca="1" si="62"/>
        <v>0</v>
      </c>
      <c r="H46" s="3318">
        <f t="shared" ca="1" si="62"/>
        <v>0.31557600000000013</v>
      </c>
      <c r="I46" s="3318">
        <f t="shared" ca="1" si="62"/>
        <v>0.63115200000000027</v>
      </c>
      <c r="J46" s="3318">
        <f t="shared" ca="1" si="62"/>
        <v>1.5778800000000002</v>
      </c>
      <c r="K46" s="3318">
        <f t="shared" ca="1" si="62"/>
        <v>1.5778800000000002</v>
      </c>
      <c r="L46" s="3318">
        <f t="shared" ca="1" si="62"/>
        <v>2.5246080000000011</v>
      </c>
      <c r="M46" s="3318">
        <f t="shared" ca="1" si="62"/>
        <v>2.5246080000000011</v>
      </c>
      <c r="N46" s="3306"/>
      <c r="O46"/>
      <c r="Q46" s="3902"/>
      <c r="R46" s="3906" t="s">
        <v>370</v>
      </c>
      <c r="S46" s="3908">
        <f t="shared" si="49"/>
        <v>0</v>
      </c>
      <c r="T46" s="3908">
        <f t="shared" si="49"/>
        <v>0</v>
      </c>
      <c r="U46" s="3908">
        <f t="shared" si="49"/>
        <v>0</v>
      </c>
      <c r="V46" s="3908">
        <f t="shared" si="46"/>
        <v>0</v>
      </c>
      <c r="W46" s="3908">
        <f t="shared" si="46"/>
        <v>0</v>
      </c>
      <c r="X46" s="3908">
        <f t="shared" si="46"/>
        <v>0</v>
      </c>
      <c r="Y46" s="3908">
        <f t="shared" si="46"/>
        <v>0</v>
      </c>
      <c r="Z46" s="3908">
        <f t="shared" si="46"/>
        <v>0</v>
      </c>
      <c r="AA46" s="3908">
        <f t="shared" si="46"/>
        <v>0</v>
      </c>
      <c r="AB46" s="3908"/>
      <c r="AC46" s="3909"/>
      <c r="AD46" s="3908">
        <f t="shared" ca="1" si="4"/>
        <v>0.3939854936866376</v>
      </c>
      <c r="AE46" s="3908">
        <f t="shared" ca="1" si="5"/>
        <v>0.45199457636929957</v>
      </c>
      <c r="AF46" s="3908">
        <f t="shared" ca="1" si="6"/>
        <v>0.43876387038956832</v>
      </c>
      <c r="AG46" s="3908">
        <f t="shared" ca="1" si="7"/>
        <v>0.42264386044609314</v>
      </c>
      <c r="AH46" s="3908">
        <f t="shared" ca="1" si="8"/>
        <v>0.40591861207029195</v>
      </c>
      <c r="AI46" s="3908">
        <f t="shared" ca="1" si="9"/>
        <v>0.3884627680202104</v>
      </c>
      <c r="AJ46" s="3908">
        <f t="shared" ca="1" si="10"/>
        <v>0.36938892884152924</v>
      </c>
      <c r="AK46" s="3908">
        <f t="shared" ca="1" si="11"/>
        <v>0.34962764034052646</v>
      </c>
      <c r="AL46" s="3908">
        <f t="shared" ca="1" si="12"/>
        <v>0.32657111326878496</v>
      </c>
      <c r="AM46" s="3908"/>
      <c r="AN46" s="3909"/>
      <c r="AO46" s="3910"/>
      <c r="AP46" s="3910"/>
      <c r="AQ46" s="3910"/>
      <c r="AR46" s="3910"/>
      <c r="AS46" s="3910"/>
      <c r="AT46" s="3910"/>
      <c r="AU46" s="3910"/>
      <c r="AV46" s="3910"/>
      <c r="AW46" s="3910"/>
      <c r="AX46" s="3910"/>
    </row>
    <row r="47" spans="2:51" s="3889" customFormat="1" ht="15.75">
      <c r="B47" s="3303"/>
      <c r="C47" s="3315" t="s">
        <v>399</v>
      </c>
      <c r="D47" s="3318" t="s">
        <v>2658</v>
      </c>
      <c r="E47" s="3318">
        <f ca="1">INDEX(INDIRECT("III.c.Wave.Outputs["&amp;E$5&amp;"]"), MATCH("V.02", INDIRECT("III.c.Wave.Outputs[Vector]"), 0))</f>
        <v>0</v>
      </c>
      <c r="F47" s="3318">
        <f t="shared" ref="F47:M47" ca="1" si="63">INDEX(INDIRECT("III.c.Wave.Outputs["&amp;F$5&amp;"]"), MATCH("V.02", INDIRECT("III.c.Wave.Outputs[Vector]"), 0))</f>
        <v>3.9627123287671231E-3</v>
      </c>
      <c r="G47" s="3318">
        <f t="shared" ca="1" si="63"/>
        <v>1.3017510000000001E-2</v>
      </c>
      <c r="H47" s="3318">
        <f t="shared" ca="1" si="63"/>
        <v>0.39052530000000008</v>
      </c>
      <c r="I47" s="3318">
        <f t="shared" ca="1" si="63"/>
        <v>2.6035020000000002</v>
      </c>
      <c r="J47" s="3318">
        <f t="shared" ca="1" si="63"/>
        <v>3.9052530000000001</v>
      </c>
      <c r="K47" s="3318">
        <f t="shared" ca="1" si="63"/>
        <v>5.2070040000000004</v>
      </c>
      <c r="L47" s="3318">
        <f t="shared" ca="1" si="63"/>
        <v>5.2070040000000004</v>
      </c>
      <c r="M47" s="3318">
        <f t="shared" ca="1" si="63"/>
        <v>6.2484048000000012</v>
      </c>
      <c r="N47" s="3306"/>
      <c r="O47"/>
      <c r="Q47" s="3902"/>
      <c r="R47" s="3906" t="s">
        <v>369</v>
      </c>
      <c r="S47" s="3908">
        <f t="shared" si="49"/>
        <v>0</v>
      </c>
      <c r="T47" s="3908">
        <f t="shared" si="49"/>
        <v>0</v>
      </c>
      <c r="U47" s="3908">
        <f t="shared" si="49"/>
        <v>0</v>
      </c>
      <c r="V47" s="3908">
        <f t="shared" si="46"/>
        <v>0</v>
      </c>
      <c r="W47" s="3908">
        <f t="shared" si="46"/>
        <v>0</v>
      </c>
      <c r="X47" s="3908">
        <f t="shared" si="46"/>
        <v>0</v>
      </c>
      <c r="Y47" s="3908">
        <f t="shared" si="46"/>
        <v>0</v>
      </c>
      <c r="Z47" s="3908">
        <f t="shared" si="46"/>
        <v>0</v>
      </c>
      <c r="AA47" s="3908">
        <f t="shared" si="46"/>
        <v>0</v>
      </c>
      <c r="AB47" s="3908"/>
      <c r="AC47" s="3909"/>
      <c r="AD47" s="3908">
        <f t="shared" ca="1" si="4"/>
        <v>38.777720899243057</v>
      </c>
      <c r="AE47" s="3908">
        <f t="shared" ca="1" si="5"/>
        <v>37.89730059516333</v>
      </c>
      <c r="AF47" s="3908">
        <f t="shared" ca="1" si="6"/>
        <v>36.134435164573652</v>
      </c>
      <c r="AG47" s="3908">
        <f t="shared" ca="1" si="7"/>
        <v>33.951749508261884</v>
      </c>
      <c r="AH47" s="3908">
        <f t="shared" ca="1" si="8"/>
        <v>33.687114265346466</v>
      </c>
      <c r="AI47" s="3908">
        <f t="shared" ca="1" si="9"/>
        <v>33.315436625723152</v>
      </c>
      <c r="AJ47" s="3908">
        <f t="shared" ca="1" si="10"/>
        <v>33.083990769818577</v>
      </c>
      <c r="AK47" s="3908">
        <f t="shared" ca="1" si="11"/>
        <v>32.880652873663266</v>
      </c>
      <c r="AL47" s="3908">
        <f t="shared" ca="1" si="12"/>
        <v>32.690001720662984</v>
      </c>
      <c r="AM47" s="3908"/>
      <c r="AN47" s="3909"/>
      <c r="AO47" s="3910"/>
      <c r="AP47" s="3910"/>
      <c r="AQ47" s="3910"/>
      <c r="AR47" s="3910"/>
      <c r="AS47" s="3910"/>
      <c r="AT47" s="3910"/>
      <c r="AU47" s="3910"/>
      <c r="AV47" s="3910"/>
      <c r="AW47" s="3910"/>
      <c r="AX47" s="3910"/>
    </row>
    <row r="48" spans="2:51" s="3889" customFormat="1" ht="15.75">
      <c r="B48" s="3303"/>
      <c r="C48" s="3315" t="s">
        <v>55</v>
      </c>
      <c r="D48" s="3318" t="s">
        <v>2658</v>
      </c>
      <c r="E48" s="3318"/>
      <c r="F48" s="3318"/>
      <c r="G48" s="3318"/>
      <c r="H48" s="3318"/>
      <c r="I48" s="3318"/>
      <c r="J48" s="3318"/>
      <c r="K48" s="3318"/>
      <c r="L48" s="3318"/>
      <c r="M48" s="3318"/>
      <c r="N48" s="3306"/>
      <c r="O48"/>
      <c r="Q48" s="3902"/>
      <c r="R48" s="3906" t="s">
        <v>79</v>
      </c>
      <c r="S48" s="3908">
        <f t="shared" ca="1" si="49"/>
        <v>4.1054887428987621E-2</v>
      </c>
      <c r="T48" s="3908">
        <f t="shared" ca="1" si="49"/>
        <v>0.29533988943004724</v>
      </c>
      <c r="U48" s="3908">
        <f t="shared" ca="1" si="49"/>
        <v>0.98311948364472168</v>
      </c>
      <c r="V48" s="3908">
        <f t="shared" ca="1" si="46"/>
        <v>1.7302356023133905</v>
      </c>
      <c r="W48" s="3908">
        <f t="shared" ca="1" si="46"/>
        <v>3.1032027513562515</v>
      </c>
      <c r="X48" s="3908">
        <f t="shared" ca="1" si="46"/>
        <v>4.3856969840221529</v>
      </c>
      <c r="Y48" s="3908">
        <f t="shared" ca="1" si="46"/>
        <v>5.7058911432863937</v>
      </c>
      <c r="Z48" s="3908">
        <f t="shared" ca="1" si="46"/>
        <v>7.0356787943966701</v>
      </c>
      <c r="AA48" s="3908">
        <f t="shared" ca="1" si="46"/>
        <v>8.4425533229244625</v>
      </c>
      <c r="AB48" s="3908"/>
      <c r="AC48" s="3909"/>
      <c r="AD48" s="3908">
        <f t="shared" si="4"/>
        <v>0</v>
      </c>
      <c r="AE48" s="3908">
        <f t="shared" si="5"/>
        <v>0</v>
      </c>
      <c r="AF48" s="3908">
        <f t="shared" si="6"/>
        <v>0</v>
      </c>
      <c r="AG48" s="3908">
        <f t="shared" si="7"/>
        <v>0</v>
      </c>
      <c r="AH48" s="3908">
        <f t="shared" si="8"/>
        <v>0</v>
      </c>
      <c r="AI48" s="3908">
        <f t="shared" si="9"/>
        <v>0</v>
      </c>
      <c r="AJ48" s="3908">
        <f t="shared" si="10"/>
        <v>0</v>
      </c>
      <c r="AK48" s="3908">
        <f t="shared" si="11"/>
        <v>0</v>
      </c>
      <c r="AL48" s="3908">
        <f t="shared" si="12"/>
        <v>0</v>
      </c>
      <c r="AM48" s="3908"/>
      <c r="AN48" s="3909"/>
      <c r="AO48" s="3910"/>
      <c r="AP48" s="3910"/>
      <c r="AQ48" s="3910"/>
      <c r="AR48" s="3910"/>
      <c r="AS48" s="3910"/>
      <c r="AT48" s="3910"/>
      <c r="AU48" s="3910"/>
      <c r="AV48" s="3910"/>
      <c r="AW48" s="3910"/>
      <c r="AX48" s="3910"/>
    </row>
    <row r="49" spans="2:51" s="3889" customFormat="1" ht="15.75">
      <c r="B49" s="3303"/>
      <c r="C49" s="3315" t="s">
        <v>400</v>
      </c>
      <c r="D49" s="3318" t="s">
        <v>2658</v>
      </c>
      <c r="E49" s="3318">
        <f ca="1">INDEX(INDIRECT("III.b.Outputs["&amp;E$5&amp;"]"), MATCH("V.02", INDIRECT("III.b.Outputs[Vector]"), 0))</f>
        <v>0.74791511999999993</v>
      </c>
      <c r="F49" s="3318">
        <f t="shared" ref="F49:M49" ca="1" si="64">INDEX(INDIRECT("III.b.Outputs["&amp;F$5&amp;"]"), MATCH("V.02", INDIRECT("III.b.Outputs[Vector]"), 0))</f>
        <v>0.74791511999999993</v>
      </c>
      <c r="G49" s="3318">
        <f t="shared" ca="1" si="64"/>
        <v>0.74791511999999993</v>
      </c>
      <c r="H49" s="3318">
        <f t="shared" ca="1" si="64"/>
        <v>0.78946596000000002</v>
      </c>
      <c r="I49" s="3318">
        <f t="shared" ca="1" si="64"/>
        <v>0.78946596000000002</v>
      </c>
      <c r="J49" s="3318">
        <f t="shared" ca="1" si="64"/>
        <v>0.78946596000000002</v>
      </c>
      <c r="K49" s="3318">
        <f t="shared" ca="1" si="64"/>
        <v>0.78946596000000002</v>
      </c>
      <c r="L49" s="3318">
        <f t="shared" ca="1" si="64"/>
        <v>0.78946596000000002</v>
      </c>
      <c r="M49" s="3318">
        <f t="shared" ca="1" si="64"/>
        <v>0.78946596000000002</v>
      </c>
      <c r="N49" s="3306"/>
      <c r="O49"/>
      <c r="Q49" s="3902"/>
      <c r="R49" s="3906" t="s">
        <v>535</v>
      </c>
      <c r="S49" s="3908">
        <f t="shared" ca="1" si="49"/>
        <v>0</v>
      </c>
      <c r="T49" s="3908">
        <f t="shared" ca="1" si="49"/>
        <v>0</v>
      </c>
      <c r="U49" s="3908">
        <f t="shared" ca="1" si="49"/>
        <v>0.425151</v>
      </c>
      <c r="V49" s="3908">
        <f t="shared" ca="1" si="46"/>
        <v>0.850302</v>
      </c>
      <c r="W49" s="3908">
        <f t="shared" ca="1" si="46"/>
        <v>1.700604</v>
      </c>
      <c r="X49" s="3908">
        <f t="shared" ca="1" si="46"/>
        <v>2.5509060000000003</v>
      </c>
      <c r="Y49" s="3908">
        <f t="shared" ca="1" si="46"/>
        <v>3.401208</v>
      </c>
      <c r="Z49" s="3908">
        <f t="shared" ca="1" si="46"/>
        <v>3.8263590000000001</v>
      </c>
      <c r="AA49" s="3908">
        <f t="shared" ca="1" si="46"/>
        <v>4.2515099999999997</v>
      </c>
      <c r="AB49" s="3908"/>
      <c r="AC49" s="3909"/>
      <c r="AD49" s="3908">
        <f t="shared" ca="1" si="4"/>
        <v>0</v>
      </c>
      <c r="AE49" s="3908">
        <f t="shared" ca="1" si="5"/>
        <v>0</v>
      </c>
      <c r="AF49" s="3908">
        <f t="shared" ca="1" si="6"/>
        <v>0.425151</v>
      </c>
      <c r="AG49" s="3908">
        <f t="shared" ca="1" si="7"/>
        <v>0.850302</v>
      </c>
      <c r="AH49" s="3908">
        <f t="shared" ca="1" si="8"/>
        <v>1.700604</v>
      </c>
      <c r="AI49" s="3908">
        <f t="shared" ca="1" si="9"/>
        <v>2.5509060000000003</v>
      </c>
      <c r="AJ49" s="3908">
        <f t="shared" ca="1" si="10"/>
        <v>3.401208</v>
      </c>
      <c r="AK49" s="3908">
        <f t="shared" ca="1" si="11"/>
        <v>3.8263590000000001</v>
      </c>
      <c r="AL49" s="3908">
        <f t="shared" ca="1" si="12"/>
        <v>4.2515099999999997</v>
      </c>
      <c r="AM49" s="3908"/>
      <c r="AN49" s="3909"/>
      <c r="AO49" s="3910">
        <f t="shared" ref="AO49:AW52" ca="1" si="65">S49-AD49</f>
        <v>0</v>
      </c>
      <c r="AP49" s="3910">
        <f t="shared" ca="1" si="65"/>
        <v>0</v>
      </c>
      <c r="AQ49" s="3910">
        <f t="shared" ca="1" si="65"/>
        <v>0</v>
      </c>
      <c r="AR49" s="3910">
        <f t="shared" ca="1" si="65"/>
        <v>0</v>
      </c>
      <c r="AS49" s="3910">
        <f t="shared" ca="1" si="65"/>
        <v>0</v>
      </c>
      <c r="AT49" s="3910">
        <f t="shared" ca="1" si="65"/>
        <v>0</v>
      </c>
      <c r="AU49" s="3910">
        <f t="shared" ca="1" si="65"/>
        <v>0</v>
      </c>
      <c r="AV49" s="3910">
        <f t="shared" ca="1" si="65"/>
        <v>0</v>
      </c>
      <c r="AW49" s="3910">
        <f t="shared" ca="1" si="65"/>
        <v>0</v>
      </c>
      <c r="AX49" s="3910"/>
    </row>
    <row r="50" spans="2:51" s="3889" customFormat="1" ht="15.75">
      <c r="B50" s="3303"/>
      <c r="C50" s="3315" t="s">
        <v>2658</v>
      </c>
      <c r="D50" s="3318" t="s">
        <v>2660</v>
      </c>
      <c r="E50" s="3318">
        <f ca="1">-INDEX(INDIRECT("VIII.a.Outputs["&amp;E$5&amp;"]"), MATCH("V.01", INDIRECT("VIII.a.Outputs[Vector]"), 0))</f>
        <v>0</v>
      </c>
      <c r="F50" s="3318">
        <f t="shared" ref="F50:M50" ca="1" si="66">-INDEX(INDIRECT("VIII.a.Outputs["&amp;F$5&amp;"]"), MATCH("V.01", INDIRECT("VIII.a.Outputs[Vector]"), 0))</f>
        <v>1.7733187096733852E-5</v>
      </c>
      <c r="G50" s="3318">
        <f t="shared" ca="1" si="66"/>
        <v>6.9162652051603802E-4</v>
      </c>
      <c r="H50" s="3318">
        <f t="shared" ca="1" si="66"/>
        <v>1.7037611386626409E-3</v>
      </c>
      <c r="I50" s="3318">
        <f t="shared" ca="1" si="66"/>
        <v>5.5554276646316691E-3</v>
      </c>
      <c r="J50" s="3318">
        <f t="shared" ca="1" si="66"/>
        <v>1.1099896063998645E-2</v>
      </c>
      <c r="K50" s="3318">
        <f t="shared" ca="1" si="66"/>
        <v>1.9443774880473393E-2</v>
      </c>
      <c r="L50" s="3318">
        <f t="shared" ca="1" si="66"/>
        <v>3.1021346596490303E-2</v>
      </c>
      <c r="M50" s="3318">
        <f t="shared" ca="1" si="66"/>
        <v>4.1184243088541655E-2</v>
      </c>
      <c r="N50" s="3306"/>
      <c r="O50"/>
      <c r="Q50" s="3902"/>
      <c r="R50" s="3906" t="s">
        <v>2659</v>
      </c>
      <c r="S50" s="3908">
        <f t="shared" ca="1" si="49"/>
        <v>4.1054887428987621E-2</v>
      </c>
      <c r="T50" s="3908">
        <f t="shared" ca="1" si="49"/>
        <v>0.29533988943004724</v>
      </c>
      <c r="U50" s="3908">
        <f t="shared" ca="1" si="49"/>
        <v>0.55796848364472162</v>
      </c>
      <c r="V50" s="3908">
        <f t="shared" ca="1" si="46"/>
        <v>0.87993360231339046</v>
      </c>
      <c r="W50" s="3908">
        <f t="shared" ca="1" si="46"/>
        <v>1.4025987513562512</v>
      </c>
      <c r="X50" s="3908">
        <f t="shared" ca="1" si="46"/>
        <v>1.8347909840221523</v>
      </c>
      <c r="Y50" s="3908">
        <f t="shared" ca="1" si="46"/>
        <v>2.3046831432863932</v>
      </c>
      <c r="Z50" s="3908">
        <f t="shared" ca="1" si="46"/>
        <v>3.2093197943966696</v>
      </c>
      <c r="AA50" s="3908">
        <f t="shared" ca="1" si="46"/>
        <v>4.1910433229244628</v>
      </c>
      <c r="AB50" s="3908"/>
      <c r="AC50" s="3909"/>
      <c r="AD50" s="3908">
        <f t="shared" ca="1" si="4"/>
        <v>4.1054887428987621E-2</v>
      </c>
      <c r="AE50" s="3908">
        <f t="shared" ca="1" si="5"/>
        <v>0.29533988943004724</v>
      </c>
      <c r="AF50" s="3908">
        <f t="shared" ca="1" si="6"/>
        <v>0.55796848364472162</v>
      </c>
      <c r="AG50" s="3908">
        <f t="shared" ca="1" si="7"/>
        <v>0.87993360231339046</v>
      </c>
      <c r="AH50" s="3908">
        <f t="shared" ca="1" si="8"/>
        <v>1.4025987513562512</v>
      </c>
      <c r="AI50" s="3908">
        <f t="shared" ca="1" si="9"/>
        <v>1.8347909840221523</v>
      </c>
      <c r="AJ50" s="3908">
        <f t="shared" ca="1" si="10"/>
        <v>2.3046831432863932</v>
      </c>
      <c r="AK50" s="3908">
        <f t="shared" ca="1" si="11"/>
        <v>3.2093197943966696</v>
      </c>
      <c r="AL50" s="3908">
        <f t="shared" ca="1" si="12"/>
        <v>4.1910433229244628</v>
      </c>
      <c r="AM50" s="3908"/>
      <c r="AN50" s="3909"/>
      <c r="AO50" s="3910">
        <f t="shared" ca="1" si="65"/>
        <v>0</v>
      </c>
      <c r="AP50" s="3910">
        <f t="shared" ca="1" si="65"/>
        <v>0</v>
      </c>
      <c r="AQ50" s="3910">
        <f t="shared" ca="1" si="65"/>
        <v>0</v>
      </c>
      <c r="AR50" s="3910">
        <f t="shared" ca="1" si="65"/>
        <v>0</v>
      </c>
      <c r="AS50" s="3910">
        <f t="shared" ca="1" si="65"/>
        <v>0</v>
      </c>
      <c r="AT50" s="3910">
        <f t="shared" ca="1" si="65"/>
        <v>0</v>
      </c>
      <c r="AU50" s="3910">
        <f t="shared" ca="1" si="65"/>
        <v>0</v>
      </c>
      <c r="AV50" s="3910">
        <f t="shared" ca="1" si="65"/>
        <v>0</v>
      </c>
      <c r="AW50" s="3910">
        <f t="shared" ca="1" si="65"/>
        <v>0</v>
      </c>
      <c r="AX50" s="3910"/>
    </row>
    <row r="51" spans="2:51" s="3889" customFormat="1" ht="15.75">
      <c r="B51" s="3303"/>
      <c r="C51" s="3315" t="s">
        <v>2658</v>
      </c>
      <c r="D51" s="3318" t="s">
        <v>2663</v>
      </c>
      <c r="E51" s="3318">
        <f ca="1">MAX(INDEX(INDIRECT("'"&amp;E$5&amp;"'!Year.NetBalance"), MATCH("Y.02", INDIRECT("'"&amp;E$5&amp;"'!Year.Vectors"), 0))+E44,0)</f>
        <v>0</v>
      </c>
      <c r="F51" s="3318">
        <f t="shared" ref="F51:M51" ca="1" si="67">MAX(INDEX(INDIRECT("'"&amp;F$5&amp;"'!Year.NetBalance"), MATCH("Y.02", INDIRECT("'"&amp;F$5&amp;"'!Year.Vectors"), 0))+F44,0)</f>
        <v>0</v>
      </c>
      <c r="G51" s="3318">
        <f t="shared" ca="1" si="67"/>
        <v>0</v>
      </c>
      <c r="H51" s="3318">
        <f t="shared" ca="1" si="67"/>
        <v>0</v>
      </c>
      <c r="I51" s="3318">
        <f t="shared" ca="1" si="67"/>
        <v>14.552664429668678</v>
      </c>
      <c r="J51" s="3318">
        <f t="shared" ca="1" si="67"/>
        <v>34.69879121742882</v>
      </c>
      <c r="K51" s="3318">
        <f t="shared" ca="1" si="67"/>
        <v>51.501054695560633</v>
      </c>
      <c r="L51" s="3318">
        <f t="shared" ca="1" si="67"/>
        <v>69.816975780787857</v>
      </c>
      <c r="M51" s="3318">
        <f t="shared" ca="1" si="67"/>
        <v>87.574734038121079</v>
      </c>
      <c r="N51" s="3306"/>
      <c r="O51"/>
      <c r="P51" s="1761"/>
      <c r="Q51" s="3902"/>
      <c r="R51" s="3906" t="s">
        <v>16</v>
      </c>
      <c r="S51" s="3908">
        <f t="shared" ca="1" si="49"/>
        <v>23.785388252829467</v>
      </c>
      <c r="T51" s="3908">
        <f t="shared" ca="1" si="49"/>
        <v>24.283329943926539</v>
      </c>
      <c r="U51" s="3908">
        <f t="shared" ca="1" si="49"/>
        <v>16.777250665890641</v>
      </c>
      <c r="V51" s="3908">
        <f t="shared" ca="1" si="46"/>
        <v>13.164665758912552</v>
      </c>
      <c r="W51" s="3908">
        <f t="shared" ca="1" si="46"/>
        <v>7.6125211930842864</v>
      </c>
      <c r="X51" s="3908">
        <f t="shared" ca="1" si="46"/>
        <v>25.288251409601049</v>
      </c>
      <c r="Y51" s="3908">
        <f t="shared" ca="1" si="46"/>
        <v>26.774695783623443</v>
      </c>
      <c r="Z51" s="3908">
        <f t="shared" ca="1" si="46"/>
        <v>26.826494487152331</v>
      </c>
      <c r="AA51" s="3908">
        <f t="shared" ca="1" si="46"/>
        <v>26.889360105771154</v>
      </c>
      <c r="AB51" s="3908"/>
      <c r="AC51" s="3909"/>
      <c r="AD51" s="3908">
        <f t="shared" ca="1" si="4"/>
        <v>23.785388252829467</v>
      </c>
      <c r="AE51" s="3908">
        <f t="shared" ca="1" si="5"/>
        <v>24.283329943926546</v>
      </c>
      <c r="AF51" s="3908">
        <f t="shared" ca="1" si="6"/>
        <v>16.777250665890641</v>
      </c>
      <c r="AG51" s="3908">
        <f t="shared" ca="1" si="7"/>
        <v>13.164665758912552</v>
      </c>
      <c r="AH51" s="3908">
        <f t="shared" ca="1" si="8"/>
        <v>7.6125211930842873</v>
      </c>
      <c r="AI51" s="3908">
        <f t="shared" ca="1" si="9"/>
        <v>25.288251409601049</v>
      </c>
      <c r="AJ51" s="3908">
        <f t="shared" ca="1" si="10"/>
        <v>26.774695783623443</v>
      </c>
      <c r="AK51" s="3908">
        <f t="shared" ca="1" si="11"/>
        <v>26.826494487152338</v>
      </c>
      <c r="AL51" s="3908">
        <f t="shared" ca="1" si="12"/>
        <v>26.889360105771146</v>
      </c>
      <c r="AM51" s="3908"/>
      <c r="AN51" s="3909"/>
      <c r="AO51" s="3910">
        <f t="shared" ca="1" si="65"/>
        <v>0</v>
      </c>
      <c r="AP51" s="3910">
        <f t="shared" ca="1" si="65"/>
        <v>0</v>
      </c>
      <c r="AQ51" s="3910">
        <f t="shared" ca="1" si="65"/>
        <v>0</v>
      </c>
      <c r="AR51" s="3910">
        <f t="shared" ca="1" si="65"/>
        <v>0</v>
      </c>
      <c r="AS51" s="3910">
        <f t="shared" ca="1" si="65"/>
        <v>0</v>
      </c>
      <c r="AT51" s="3910">
        <f t="shared" ca="1" si="65"/>
        <v>0</v>
      </c>
      <c r="AU51" s="3910">
        <f t="shared" ca="1" si="65"/>
        <v>0</v>
      </c>
      <c r="AV51" s="3910">
        <f t="shared" ca="1" si="65"/>
        <v>0</v>
      </c>
      <c r="AW51" s="3910">
        <f t="shared" ca="1" si="65"/>
        <v>0</v>
      </c>
      <c r="AX51" s="3910"/>
      <c r="AY51" s="386"/>
    </row>
    <row r="52" spans="2:51" s="3889" customFormat="1" ht="15.75">
      <c r="B52" s="3303"/>
      <c r="C52" s="3315" t="s">
        <v>2658</v>
      </c>
      <c r="D52" s="3318" t="s">
        <v>1786</v>
      </c>
      <c r="E52" s="3318">
        <f ca="1">INDEX(INDIRECT("VII.b.Outputs["&amp;E$5&amp;"]"), MATCH("X.02", INDIRECT("VII.b.Outputs[Vector]"), 0))</f>
        <v>3.3526223075933945</v>
      </c>
      <c r="F52" s="3318">
        <f t="shared" ref="F52:M52" ca="1" si="68">INDEX(INDIRECT("VII.b.Outputs["&amp;F$5&amp;"]"), MATCH("X.02", INDIRECT("VII.b.Outputs[Vector]"), 0))</f>
        <v>3.4766197863705459</v>
      </c>
      <c r="G52" s="3318">
        <f t="shared" ca="1" si="68"/>
        <v>3.5474073496786671</v>
      </c>
      <c r="H52" s="3318">
        <f t="shared" ca="1" si="68"/>
        <v>3.6200986968999831</v>
      </c>
      <c r="I52" s="3318">
        <f t="shared" ca="1" si="68"/>
        <v>3.7064839079283831</v>
      </c>
      <c r="J52" s="3318">
        <f t="shared" ca="1" si="68"/>
        <v>3.7969992656981884</v>
      </c>
      <c r="K52" s="3318">
        <f t="shared" ca="1" si="68"/>
        <v>3.8873165957953977</v>
      </c>
      <c r="L52" s="3318">
        <f t="shared" ca="1" si="68"/>
        <v>3.9686384305346207</v>
      </c>
      <c r="M52" s="3318">
        <f t="shared" ca="1" si="68"/>
        <v>4.0333117918188259</v>
      </c>
      <c r="N52" s="3306"/>
      <c r="O52"/>
      <c r="Q52" s="3902"/>
      <c r="R52" s="3906" t="s">
        <v>2665</v>
      </c>
      <c r="S52" s="3908">
        <f t="shared" ca="1" si="49"/>
        <v>45.99228342238176</v>
      </c>
      <c r="T52" s="3908">
        <f t="shared" ca="1" si="49"/>
        <v>44.627714091294592</v>
      </c>
      <c r="U52" s="3908">
        <f t="shared" ca="1" si="49"/>
        <v>30.881169554549707</v>
      </c>
      <c r="V52" s="3908">
        <f t="shared" ca="1" si="46"/>
        <v>16.986971736710398</v>
      </c>
      <c r="W52" s="3908">
        <f t="shared" ca="1" si="46"/>
        <v>25.039592000000006</v>
      </c>
      <c r="X52" s="3908">
        <f t="shared" ca="1" si="46"/>
        <v>48.69375024147466</v>
      </c>
      <c r="Y52" s="3908">
        <f t="shared" ca="1" si="46"/>
        <v>61.870149714285724</v>
      </c>
      <c r="Z52" s="3908">
        <f t="shared" ca="1" si="46"/>
        <v>73.235294803571435</v>
      </c>
      <c r="AA52" s="3908">
        <f t="shared" ca="1" si="46"/>
        <v>84.250743120879122</v>
      </c>
      <c r="AB52" s="3908"/>
      <c r="AC52" s="3909"/>
      <c r="AD52" s="3908">
        <f t="shared" ca="1" si="4"/>
        <v>45.99228342238176</v>
      </c>
      <c r="AE52" s="3908">
        <f t="shared" ca="1" si="5"/>
        <v>44.6277140912946</v>
      </c>
      <c r="AF52" s="3908">
        <f t="shared" ca="1" si="6"/>
        <v>30.881169554549707</v>
      </c>
      <c r="AG52" s="3908">
        <f t="shared" ca="1" si="7"/>
        <v>16.986971736710398</v>
      </c>
      <c r="AH52" s="3908">
        <f t="shared" ca="1" si="8"/>
        <v>25.039592000000006</v>
      </c>
      <c r="AI52" s="3908">
        <f t="shared" ca="1" si="9"/>
        <v>48.69375024147466</v>
      </c>
      <c r="AJ52" s="3908">
        <f t="shared" ca="1" si="10"/>
        <v>61.870149714285724</v>
      </c>
      <c r="AK52" s="3908">
        <f t="shared" ca="1" si="11"/>
        <v>73.235294803571435</v>
      </c>
      <c r="AL52" s="3908">
        <f t="shared" ca="1" si="12"/>
        <v>84.250743120879122</v>
      </c>
      <c r="AM52" s="3908"/>
      <c r="AN52" s="3909"/>
      <c r="AO52" s="3910">
        <f t="shared" ca="1" si="65"/>
        <v>0</v>
      </c>
      <c r="AP52" s="3910">
        <f t="shared" ca="1" si="65"/>
        <v>0</v>
      </c>
      <c r="AQ52" s="3910">
        <f t="shared" ca="1" si="65"/>
        <v>0</v>
      </c>
      <c r="AR52" s="3910">
        <f t="shared" ca="1" si="65"/>
        <v>0</v>
      </c>
      <c r="AS52" s="3910">
        <f t="shared" ca="1" si="65"/>
        <v>0</v>
      </c>
      <c r="AT52" s="3910">
        <f t="shared" ca="1" si="65"/>
        <v>0</v>
      </c>
      <c r="AU52" s="3910">
        <f t="shared" ca="1" si="65"/>
        <v>0</v>
      </c>
      <c r="AV52" s="3910">
        <f t="shared" ca="1" si="65"/>
        <v>0</v>
      </c>
      <c r="AW52" s="3910">
        <f t="shared" ca="1" si="65"/>
        <v>0</v>
      </c>
      <c r="AX52" s="3910"/>
    </row>
    <row r="53" spans="2:51" s="3889" customFormat="1" ht="15.75">
      <c r="B53" s="3303"/>
      <c r="C53" s="3315" t="s">
        <v>15</v>
      </c>
      <c r="D53" s="3318" t="s">
        <v>2660</v>
      </c>
      <c r="E53" s="3318">
        <f ca="1">-INDEX(INDIRECT("VIII.a.Outputs["&amp;E$5&amp;"]"), MATCH("V.05", INDIRECT("VIII.a.Outputs[Vector]"), 0))</f>
        <v>0</v>
      </c>
      <c r="F53" s="3318">
        <f t="shared" ref="F53:M53" ca="1" si="69">-INDEX(INDIRECT("VIII.a.Outputs["&amp;F$5&amp;"]"), MATCH("V.05", INDIRECT("VIII.a.Outputs[Vector]"), 0))</f>
        <v>1.3252100105734947E-4</v>
      </c>
      <c r="G53" s="3318">
        <f t="shared" ca="1" si="69"/>
        <v>1.4936269901122501E-3</v>
      </c>
      <c r="H53" s="3318">
        <f t="shared" ca="1" si="69"/>
        <v>2.7840300234183235E-3</v>
      </c>
      <c r="I53" s="3318">
        <f t="shared" ca="1" si="69"/>
        <v>6.6057652271545239E-3</v>
      </c>
      <c r="J53" s="3318">
        <f t="shared" ca="1" si="69"/>
        <v>9.023729652823111E-3</v>
      </c>
      <c r="K53" s="3318">
        <f t="shared" ca="1" si="69"/>
        <v>9.7398543255179937E-3</v>
      </c>
      <c r="L53" s="3318">
        <f t="shared" ca="1" si="69"/>
        <v>7.2206077266760305E-3</v>
      </c>
      <c r="M53" s="3318">
        <f t="shared" ca="1" si="69"/>
        <v>0</v>
      </c>
      <c r="N53" s="3306"/>
      <c r="O53"/>
      <c r="Q53" s="3902"/>
      <c r="R53" s="3906" t="s">
        <v>398</v>
      </c>
      <c r="S53" s="3908">
        <f t="shared" ca="1" si="49"/>
        <v>0</v>
      </c>
      <c r="T53" s="3908">
        <f t="shared" ca="1" si="49"/>
        <v>0</v>
      </c>
      <c r="U53" s="3908">
        <f t="shared" ca="1" si="49"/>
        <v>0</v>
      </c>
      <c r="V53" s="3908">
        <f t="shared" ca="1" si="46"/>
        <v>0.31557600000000013</v>
      </c>
      <c r="W53" s="3908">
        <f t="shared" ca="1" si="46"/>
        <v>0.63115200000000027</v>
      </c>
      <c r="X53" s="3908">
        <f t="shared" ca="1" si="46"/>
        <v>1.5778800000000002</v>
      </c>
      <c r="Y53" s="3908">
        <f t="shared" ca="1" si="46"/>
        <v>1.5778800000000002</v>
      </c>
      <c r="Z53" s="3908">
        <f t="shared" ca="1" si="46"/>
        <v>2.5246080000000011</v>
      </c>
      <c r="AA53" s="3908">
        <f t="shared" ca="1" si="46"/>
        <v>2.5246080000000011</v>
      </c>
      <c r="AB53" s="3908"/>
      <c r="AC53" s="3909"/>
      <c r="AD53" s="3908">
        <f t="shared" si="4"/>
        <v>0</v>
      </c>
      <c r="AE53" s="3908">
        <f t="shared" si="5"/>
        <v>0</v>
      </c>
      <c r="AF53" s="3908">
        <f t="shared" si="6"/>
        <v>0</v>
      </c>
      <c r="AG53" s="3908">
        <f t="shared" si="7"/>
        <v>0</v>
      </c>
      <c r="AH53" s="3908">
        <f t="shared" si="8"/>
        <v>0</v>
      </c>
      <c r="AI53" s="3908">
        <f t="shared" si="9"/>
        <v>0</v>
      </c>
      <c r="AJ53" s="3908">
        <f t="shared" si="10"/>
        <v>0</v>
      </c>
      <c r="AK53" s="3908">
        <f t="shared" si="11"/>
        <v>0</v>
      </c>
      <c r="AL53" s="3908">
        <f t="shared" si="12"/>
        <v>0</v>
      </c>
      <c r="AM53" s="3908"/>
      <c r="AN53" s="3909"/>
      <c r="AO53" s="3910"/>
      <c r="AP53" s="3910"/>
      <c r="AQ53" s="3910"/>
      <c r="AR53" s="3910"/>
      <c r="AS53" s="3910"/>
      <c r="AT53" s="3910"/>
      <c r="AU53" s="3910"/>
      <c r="AV53" s="3910"/>
      <c r="AW53" s="3910"/>
      <c r="AX53" s="3910"/>
    </row>
    <row r="54" spans="2:51" s="3889" customFormat="1" ht="15.75">
      <c r="B54" s="3303"/>
      <c r="C54" s="3315" t="s">
        <v>2660</v>
      </c>
      <c r="D54" s="3318" t="s">
        <v>385</v>
      </c>
      <c r="E54" s="3318">
        <f ca="1">INDEX(INDIRECT("VIII.a.Outputs["&amp;E$5&amp;"]"), MATCH("V.12", INDIRECT("VIII.a.Outputs[Vector]"), 0))</f>
        <v>9.8843865838814832E-5</v>
      </c>
      <c r="F54" s="3318">
        <f t="shared" ref="F54:M54" ca="1" si="70">INDEX(INDIRECT("VIII.a.Outputs["&amp;F$5&amp;"]"), MATCH("V.12", INDIRECT("VIII.a.Outputs[Vector]"), 0))</f>
        <v>1.0526549418152516E-4</v>
      </c>
      <c r="G54" s="3318">
        <f t="shared" ca="1" si="70"/>
        <v>1.4985241277847491E-3</v>
      </c>
      <c r="H54" s="3318">
        <f t="shared" ca="1" si="70"/>
        <v>3.1077607021923297E-3</v>
      </c>
      <c r="I54" s="3318">
        <f t="shared" ca="1" si="70"/>
        <v>8.5334544167595186E-3</v>
      </c>
      <c r="J54" s="3318">
        <f t="shared" ca="1" si="70"/>
        <v>1.4355027286859567E-2</v>
      </c>
      <c r="K54" s="3318">
        <f t="shared" ca="1" si="70"/>
        <v>2.1173596359821727E-2</v>
      </c>
      <c r="L54" s="3318">
        <f t="shared" ca="1" si="70"/>
        <v>2.8440030433297275E-2</v>
      </c>
      <c r="M54" s="3318">
        <f t="shared" ca="1" si="70"/>
        <v>3.1711867178177075E-2</v>
      </c>
      <c r="N54" s="3306"/>
      <c r="O54"/>
      <c r="Q54" s="3902"/>
      <c r="R54" s="3319" t="s">
        <v>3189</v>
      </c>
      <c r="S54" s="3908">
        <f t="shared" ca="1" si="49"/>
        <v>0.31308333333333338</v>
      </c>
      <c r="T54" s="3908">
        <f t="shared" ca="1" si="49"/>
        <v>3.1030021015136149</v>
      </c>
      <c r="U54" s="3908">
        <f t="shared" ca="1" si="49"/>
        <v>10.829078746607582</v>
      </c>
      <c r="V54" s="3908">
        <f t="shared" ca="1" si="46"/>
        <v>19.727684831536898</v>
      </c>
      <c r="W54" s="3908">
        <f t="shared" ca="1" si="46"/>
        <v>29.933760364301243</v>
      </c>
      <c r="X54" s="3908">
        <f t="shared" ca="1" si="46"/>
        <v>41.596092700468184</v>
      </c>
      <c r="Y54" s="3908">
        <f t="shared" ca="1" si="46"/>
        <v>54.878650644181185</v>
      </c>
      <c r="Z54" s="3908">
        <f t="shared" ca="1" si="46"/>
        <v>69.962042040525318</v>
      </c>
      <c r="AA54" s="3908">
        <f t="shared" ca="1" si="46"/>
        <v>87.045105978477153</v>
      </c>
      <c r="AB54" s="3908"/>
      <c r="AC54" s="3909"/>
      <c r="AD54" s="3908">
        <f t="shared" si="4"/>
        <v>0</v>
      </c>
      <c r="AE54" s="3908">
        <f t="shared" si="5"/>
        <v>0</v>
      </c>
      <c r="AF54" s="3908">
        <f t="shared" si="6"/>
        <v>0</v>
      </c>
      <c r="AG54" s="3908">
        <f t="shared" si="7"/>
        <v>0</v>
      </c>
      <c r="AH54" s="3908">
        <f t="shared" si="8"/>
        <v>0</v>
      </c>
      <c r="AI54" s="3908">
        <f t="shared" si="9"/>
        <v>0</v>
      </c>
      <c r="AJ54" s="3908">
        <f t="shared" si="10"/>
        <v>0</v>
      </c>
      <c r="AK54" s="3908">
        <f t="shared" si="11"/>
        <v>0</v>
      </c>
      <c r="AL54" s="3908">
        <f t="shared" si="12"/>
        <v>0</v>
      </c>
      <c r="AM54" s="3908"/>
      <c r="AN54" s="3909"/>
      <c r="AO54" s="3910"/>
      <c r="AP54" s="3910"/>
      <c r="AQ54" s="3910"/>
      <c r="AR54" s="3910"/>
      <c r="AS54" s="3910"/>
      <c r="AT54" s="3910"/>
      <c r="AU54" s="3910"/>
      <c r="AV54" s="3910"/>
      <c r="AW54" s="3910"/>
      <c r="AX54" s="3910"/>
    </row>
    <row r="55" spans="2:51" s="3889" customFormat="1" ht="15.75">
      <c r="B55" s="3303"/>
      <c r="C55" s="3315" t="s">
        <v>2660</v>
      </c>
      <c r="D55" s="3318" t="s">
        <v>1786</v>
      </c>
      <c r="E55" s="3318">
        <f ca="1">INDEX(INDIRECT("VIII.a.Outputs["&amp;E$5&amp;"]"), MATCH("X.01", INDIRECT("VIII.a.Outputs[Vector]"), 0))</f>
        <v>0</v>
      </c>
      <c r="F55" s="3318">
        <f t="shared" ref="F55:M55" ca="1" si="71">INDEX(INDIRECT("VIII.a.Outputs["&amp;F$5&amp;"]"), MATCH("X.01", INDIRECT("VIII.a.Outputs[Vector]"), 0))</f>
        <v>4.4988693972558154E-5</v>
      </c>
      <c r="G55" s="3318">
        <f t="shared" ca="1" si="71"/>
        <v>6.8672938284353895E-4</v>
      </c>
      <c r="H55" s="3318">
        <f t="shared" ca="1" si="71"/>
        <v>1.3800304598886345E-3</v>
      </c>
      <c r="I55" s="3318">
        <f t="shared" ca="1" si="71"/>
        <v>3.6285918204683495E-3</v>
      </c>
      <c r="J55" s="3318">
        <f t="shared" ca="1" si="71"/>
        <v>5.770033932690875E-3</v>
      </c>
      <c r="K55" s="3318">
        <f t="shared" ca="1" si="71"/>
        <v>8.0100328461696589E-3</v>
      </c>
      <c r="L55" s="3318">
        <f t="shared" ca="1" si="71"/>
        <v>9.8019238898690575E-3</v>
      </c>
      <c r="M55" s="3318">
        <f t="shared" ca="1" si="71"/>
        <v>9.4723759103645805E-3</v>
      </c>
      <c r="N55" s="3306"/>
      <c r="O55"/>
      <c r="Q55" s="3902"/>
      <c r="R55" s="3906" t="s">
        <v>399</v>
      </c>
      <c r="S55" s="3908">
        <f t="shared" ca="1" si="49"/>
        <v>0</v>
      </c>
      <c r="T55" s="3908">
        <f t="shared" ca="1" si="49"/>
        <v>3.9627123287671231E-3</v>
      </c>
      <c r="U55" s="3908">
        <f t="shared" ca="1" si="49"/>
        <v>1.3017510000000001E-2</v>
      </c>
      <c r="V55" s="3908">
        <f t="shared" ca="1" si="46"/>
        <v>0.39052530000000008</v>
      </c>
      <c r="W55" s="3908">
        <f t="shared" ca="1" si="46"/>
        <v>2.6035020000000002</v>
      </c>
      <c r="X55" s="3908">
        <f t="shared" ca="1" si="46"/>
        <v>3.9052530000000001</v>
      </c>
      <c r="Y55" s="3908">
        <f t="shared" ca="1" si="46"/>
        <v>5.2070040000000004</v>
      </c>
      <c r="Z55" s="3908">
        <f t="shared" ca="1" si="46"/>
        <v>5.2070040000000004</v>
      </c>
      <c r="AA55" s="3908">
        <f t="shared" ca="1" si="46"/>
        <v>6.2484048000000012</v>
      </c>
      <c r="AB55" s="3908"/>
      <c r="AC55" s="3909"/>
      <c r="AD55" s="3908">
        <f t="shared" si="4"/>
        <v>0</v>
      </c>
      <c r="AE55" s="3908">
        <f t="shared" si="5"/>
        <v>0</v>
      </c>
      <c r="AF55" s="3908">
        <f t="shared" si="6"/>
        <v>0</v>
      </c>
      <c r="AG55" s="3908">
        <f t="shared" si="7"/>
        <v>0</v>
      </c>
      <c r="AH55" s="3908">
        <f t="shared" si="8"/>
        <v>0</v>
      </c>
      <c r="AI55" s="3908">
        <f t="shared" si="9"/>
        <v>0</v>
      </c>
      <c r="AJ55" s="3908">
        <f t="shared" si="10"/>
        <v>0</v>
      </c>
      <c r="AK55" s="3908">
        <f t="shared" si="11"/>
        <v>0</v>
      </c>
      <c r="AL55" s="3908">
        <f t="shared" si="12"/>
        <v>0</v>
      </c>
      <c r="AM55" s="3908"/>
      <c r="AN55" s="3909"/>
      <c r="AO55" s="3910"/>
      <c r="AP55" s="3910"/>
      <c r="AQ55" s="3910"/>
      <c r="AR55" s="3910"/>
      <c r="AS55" s="3910"/>
      <c r="AT55" s="3910"/>
      <c r="AU55" s="3910"/>
      <c r="AV55" s="3910"/>
      <c r="AW55" s="3910"/>
      <c r="AX55" s="3910"/>
    </row>
    <row r="56" spans="2:51" s="3889" customFormat="1" ht="15.75">
      <c r="B56" s="3303"/>
      <c r="C56" s="3315" t="s">
        <v>2659</v>
      </c>
      <c r="D56" s="3318" t="s">
        <v>2662</v>
      </c>
      <c r="E56" s="3318">
        <f ca="1">INDEX(INDIRECT("IV.b.Outputs["&amp;E$5&amp;"]"), MATCH("V.11", INDIRECT("IV.b.Outputs[Vector]"), 0))</f>
        <v>4.1054887428987621E-2</v>
      </c>
      <c r="F56" s="3318">
        <f t="shared" ref="F56:M56" ca="1" si="72">INDEX(INDIRECT("IV.b.Outputs["&amp;F$5&amp;"]"), MATCH("V.11", INDIRECT("IV.b.Outputs[Vector]"), 0))</f>
        <v>0.29533988943004724</v>
      </c>
      <c r="G56" s="3318">
        <f t="shared" ca="1" si="72"/>
        <v>0.55796848364472162</v>
      </c>
      <c r="H56" s="3318">
        <f t="shared" ca="1" si="72"/>
        <v>0.87993360231339046</v>
      </c>
      <c r="I56" s="3318">
        <f t="shared" ca="1" si="72"/>
        <v>1.4025987513562512</v>
      </c>
      <c r="J56" s="3318">
        <f t="shared" ca="1" si="72"/>
        <v>1.8347909840221523</v>
      </c>
      <c r="K56" s="3318">
        <f t="shared" ca="1" si="72"/>
        <v>2.3046831432863932</v>
      </c>
      <c r="L56" s="3318">
        <f t="shared" ca="1" si="72"/>
        <v>3.2093197943966696</v>
      </c>
      <c r="M56" s="3318">
        <f t="shared" ca="1" si="72"/>
        <v>4.1910433229244628</v>
      </c>
      <c r="N56" s="3306"/>
      <c r="O56"/>
      <c r="Q56" s="3902"/>
      <c r="R56" s="3906" t="s">
        <v>397</v>
      </c>
      <c r="S56" s="3908">
        <f t="shared" ca="1" si="49"/>
        <v>4.5013410000000009</v>
      </c>
      <c r="T56" s="3908">
        <f t="shared" ca="1" si="49"/>
        <v>5.6172527999999993</v>
      </c>
      <c r="U56" s="3908">
        <f t="shared" ca="1" si="49"/>
        <v>9.3230792999999998</v>
      </c>
      <c r="V56" s="3908">
        <f t="shared" ca="1" si="46"/>
        <v>13.589929799999998</v>
      </c>
      <c r="W56" s="3908">
        <f t="shared" ca="1" si="46"/>
        <v>21.946119299999999</v>
      </c>
      <c r="X56" s="3908">
        <f t="shared" ca="1" si="46"/>
        <v>27.955212300000003</v>
      </c>
      <c r="Y56" s="3908">
        <f t="shared" ca="1" si="46"/>
        <v>31.8999123</v>
      </c>
      <c r="Z56" s="3908">
        <f t="shared" ca="1" si="46"/>
        <v>38.838201300000001</v>
      </c>
      <c r="AA56" s="3908">
        <f t="shared" ca="1" si="46"/>
        <v>45.741426300000008</v>
      </c>
      <c r="AB56" s="3908"/>
      <c r="AC56" s="3909"/>
      <c r="AD56" s="3908">
        <f t="shared" si="4"/>
        <v>0</v>
      </c>
      <c r="AE56" s="3908">
        <f t="shared" si="5"/>
        <v>0</v>
      </c>
      <c r="AF56" s="3908">
        <f t="shared" si="6"/>
        <v>0</v>
      </c>
      <c r="AG56" s="3908">
        <f t="shared" si="7"/>
        <v>0</v>
      </c>
      <c r="AH56" s="3908">
        <f t="shared" si="8"/>
        <v>0</v>
      </c>
      <c r="AI56" s="3908">
        <f t="shared" si="9"/>
        <v>0</v>
      </c>
      <c r="AJ56" s="3908">
        <f t="shared" si="10"/>
        <v>0</v>
      </c>
      <c r="AK56" s="3908">
        <f t="shared" si="11"/>
        <v>0</v>
      </c>
      <c r="AL56" s="3908">
        <f t="shared" si="12"/>
        <v>0</v>
      </c>
      <c r="AM56" s="3908"/>
      <c r="AN56" s="3909"/>
      <c r="AO56" s="3910"/>
      <c r="AP56" s="3910"/>
      <c r="AQ56" s="3910"/>
      <c r="AR56" s="3910"/>
      <c r="AS56" s="3910"/>
      <c r="AT56" s="3910"/>
      <c r="AU56" s="3910"/>
      <c r="AV56" s="3910"/>
      <c r="AW56" s="3910"/>
      <c r="AX56" s="3910"/>
    </row>
    <row r="57" spans="2:51" s="3889" customFormat="1" ht="15.75">
      <c r="B57" s="3303"/>
      <c r="C57" s="3315" t="s">
        <v>385</v>
      </c>
      <c r="D57" s="3318" t="s">
        <v>369</v>
      </c>
      <c r="E57" s="3318">
        <f ca="1">-INDEX(INDIRECT("XII.a.Road.Outputs["&amp;E$5&amp;"]"), MATCH("V.12", INDIRECT("XII.a.Road.Outputs[Vector]"), 0))</f>
        <v>9.8843865838814832E-5</v>
      </c>
      <c r="F57" s="3318">
        <f t="shared" ref="F57:M57" ca="1" si="73">-INDEX(INDIRECT("XII.a.Road.Outputs["&amp;F$5&amp;"]"), MATCH("V.12", INDIRECT("XII.a.Road.Outputs[Vector]"), 0))</f>
        <v>1.0526549418152516E-4</v>
      </c>
      <c r="G57" s="3318">
        <f t="shared" ca="1" si="73"/>
        <v>1.4985241277847491E-3</v>
      </c>
      <c r="H57" s="3318">
        <f t="shared" ca="1" si="73"/>
        <v>3.1077607021923297E-3</v>
      </c>
      <c r="I57" s="3318">
        <f t="shared" ca="1" si="73"/>
        <v>8.5334544167595186E-3</v>
      </c>
      <c r="J57" s="3318">
        <f t="shared" ca="1" si="73"/>
        <v>1.4355027286859567E-2</v>
      </c>
      <c r="K57" s="3318">
        <f t="shared" ca="1" si="73"/>
        <v>2.1173596359821727E-2</v>
      </c>
      <c r="L57" s="3318">
        <f t="shared" ca="1" si="73"/>
        <v>2.8440030433297275E-2</v>
      </c>
      <c r="M57" s="3318">
        <f t="shared" ca="1" si="73"/>
        <v>3.1711867178177075E-2</v>
      </c>
      <c r="N57" s="3306"/>
      <c r="O57"/>
      <c r="Q57" s="3902"/>
      <c r="R57" s="3304"/>
      <c r="S57" s="3906"/>
      <c r="T57" s="3906"/>
      <c r="U57" s="3906"/>
      <c r="V57" s="3907"/>
      <c r="W57" s="3907"/>
      <c r="X57" s="3907"/>
      <c r="Y57" s="3907"/>
      <c r="Z57" s="3907"/>
      <c r="AA57" s="3907"/>
      <c r="AB57" s="3907"/>
      <c r="AC57" s="3907"/>
      <c r="AD57" s="3907"/>
      <c r="AE57" s="3907"/>
      <c r="AF57" s="3907"/>
      <c r="AG57" s="3907"/>
      <c r="AH57" s="3907"/>
      <c r="AI57" s="3907"/>
      <c r="AJ57" s="3907"/>
      <c r="AK57" s="3907"/>
      <c r="AL57" s="3907"/>
      <c r="AM57" s="3907"/>
      <c r="AN57" s="3907"/>
      <c r="AO57" s="3907"/>
      <c r="AP57" s="3907"/>
      <c r="AQ57" s="3907"/>
      <c r="AR57" s="3907"/>
      <c r="AS57" s="3907"/>
      <c r="AT57" s="3907"/>
      <c r="AU57" s="3907"/>
      <c r="AV57" s="3907"/>
      <c r="AW57" s="3907"/>
      <c r="AX57" s="3903"/>
    </row>
    <row r="58" spans="2:51" s="3889" customFormat="1">
      <c r="B58" s="3303"/>
      <c r="C58" s="3315" t="s">
        <v>2667</v>
      </c>
      <c r="D58" s="3318" t="s">
        <v>2662</v>
      </c>
      <c r="E58" s="3318">
        <f ca="1">-INDEX(INDIRECT("IX.a.Outputs["&amp;E$5&amp;"]"), MATCH("R.07", INDIRECT("IX.a.Outputs[Vector]"), 0))</f>
        <v>4.9849049835017811E-2</v>
      </c>
      <c r="F58" s="3318">
        <f t="shared" ref="F58:M58" ca="1" si="74">-INDEX(INDIRECT("IX.a.Outputs["&amp;F$5&amp;"]"), MATCH("R.07", INDIRECT("IX.a.Outputs[Vector]"), 0))</f>
        <v>0.16713120665468159</v>
      </c>
      <c r="G58" s="3318">
        <f t="shared" ca="1" si="74"/>
        <v>0.13378262047103262</v>
      </c>
      <c r="H58" s="3318">
        <f t="shared" ca="1" si="74"/>
        <v>0.11151397930349062</v>
      </c>
      <c r="I58" s="3318">
        <f t="shared" ca="1" si="74"/>
        <v>8.7481729504168951E-2</v>
      </c>
      <c r="J58" s="3318">
        <f t="shared" ca="1" si="74"/>
        <v>6.4948923807210096E-2</v>
      </c>
      <c r="K58" s="3318">
        <f t="shared" ca="1" si="74"/>
        <v>4.3059858629907362E-2</v>
      </c>
      <c r="L58" s="3318">
        <f t="shared" ca="1" si="74"/>
        <v>2.1226952147421783E-2</v>
      </c>
      <c r="M58" s="3318">
        <f t="shared" ca="1" si="74"/>
        <v>0</v>
      </c>
      <c r="N58" s="3306"/>
      <c r="O58"/>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row>
    <row r="59" spans="2:51" s="3889" customFormat="1">
      <c r="B59" s="3303"/>
      <c r="C59" s="3315" t="s">
        <v>2667</v>
      </c>
      <c r="D59" s="3318" t="s">
        <v>2661</v>
      </c>
      <c r="E59" s="3318">
        <f ca="1">-INDEX(INDIRECT("IX.c.Outputs["&amp;E$5&amp;"]"), MATCH("R.07", INDIRECT("IX.c.Outputs[Vector]"), 0))</f>
        <v>6.1350000000000002E-2</v>
      </c>
      <c r="F59" s="3318">
        <f t="shared" ref="F59:M59" ca="1" si="75">-INDEX(INDIRECT("IX.c.Outputs["&amp;F$5&amp;"]"), MATCH("R.07", INDIRECT("IX.c.Outputs[Vector]"), 0))</f>
        <v>6.3116666666666668E-2</v>
      </c>
      <c r="G59" s="3318">
        <f t="shared" ca="1" si="75"/>
        <v>5.8371428571428581E-2</v>
      </c>
      <c r="H59" s="3318">
        <f t="shared" ca="1" si="75"/>
        <v>5.1053571428571434E-2</v>
      </c>
      <c r="I59" s="3318">
        <f t="shared" ca="1" si="75"/>
        <v>4.2771428571428571E-2</v>
      </c>
      <c r="J59" s="3318">
        <f t="shared" ca="1" si="75"/>
        <v>3.3525000000000013E-2</v>
      </c>
      <c r="K59" s="3318">
        <f t="shared" ca="1" si="75"/>
        <v>2.3314285714285725E-2</v>
      </c>
      <c r="L59" s="3318">
        <f t="shared" ca="1" si="75"/>
        <v>1.2139285714285724E-2</v>
      </c>
      <c r="M59" s="3318">
        <f t="shared" ca="1" si="75"/>
        <v>0</v>
      </c>
      <c r="N59" s="3306"/>
      <c r="O59"/>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row>
    <row r="60" spans="2:51" s="3889" customFormat="1">
      <c r="B60" s="3303"/>
      <c r="C60" s="3315" t="s">
        <v>2655</v>
      </c>
      <c r="D60" s="3318" t="s">
        <v>2662</v>
      </c>
      <c r="E60" s="3318">
        <f ca="1">INDEX(INDIRECT("IX.a.CHP.Outputs["&amp;E$5&amp;"]"), MATCH("H.01", INDIRECT("IX.a.CHP.Outputs[Vector]"), 0))</f>
        <v>0</v>
      </c>
      <c r="F60" s="3318">
        <f t="shared" ref="F60:M60" ca="1" si="76">INDEX(INDIRECT("IX.a.CHP.Outputs["&amp;F$5&amp;"]"), MATCH("H.01", INDIRECT("IX.a.CHP.Outputs[Vector]"), 0))</f>
        <v>0</v>
      </c>
      <c r="G60" s="3318">
        <f t="shared" ca="1" si="76"/>
        <v>0</v>
      </c>
      <c r="H60" s="3318">
        <f t="shared" ca="1" si="76"/>
        <v>0</v>
      </c>
      <c r="I60" s="3318">
        <f t="shared" ca="1" si="76"/>
        <v>0</v>
      </c>
      <c r="J60" s="3318">
        <f t="shared" ca="1" si="76"/>
        <v>0</v>
      </c>
      <c r="K60" s="3318">
        <f t="shared" ca="1" si="76"/>
        <v>0</v>
      </c>
      <c r="L60" s="3318">
        <f t="shared" ca="1" si="76"/>
        <v>0</v>
      </c>
      <c r="M60" s="3318">
        <f t="shared" ca="1" si="76"/>
        <v>0</v>
      </c>
      <c r="N60" s="3306"/>
      <c r="O60"/>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row>
    <row r="61" spans="2:51" s="3889" customFormat="1">
      <c r="B61" s="3303"/>
      <c r="C61" s="3315" t="s">
        <v>2655</v>
      </c>
      <c r="D61" s="3318" t="s">
        <v>2661</v>
      </c>
      <c r="E61" s="3318">
        <f ca="1">INDEX(INDIRECT("IX.c.CHP.Outputs["&amp;E$5&amp;"]"), MATCH("H.01", INDIRECT("IX.c.CHP.Outputs[Vector]"), 0))</f>
        <v>0</v>
      </c>
      <c r="F61" s="3318">
        <f t="shared" ref="F61:M61" ca="1" si="77">INDEX(INDIRECT("IX.c.CHP.Outputs["&amp;F$5&amp;"]"), MATCH("H.01", INDIRECT("IX.c.CHP.Outputs[Vector]"), 0))</f>
        <v>0</v>
      </c>
      <c r="G61" s="3318">
        <f t="shared" ca="1" si="77"/>
        <v>1.3644642857142859</v>
      </c>
      <c r="H61" s="3318">
        <f t="shared" ca="1" si="77"/>
        <v>2.8642500000000002</v>
      </c>
      <c r="I61" s="3318">
        <f t="shared" ca="1" si="77"/>
        <v>4.4993571428571437</v>
      </c>
      <c r="J61" s="3318">
        <f t="shared" ca="1" si="77"/>
        <v>6.2697857142857147</v>
      </c>
      <c r="K61" s="3318">
        <f t="shared" ca="1" si="77"/>
        <v>8.175535714285715</v>
      </c>
      <c r="L61" s="3318">
        <f t="shared" ca="1" si="77"/>
        <v>10.216607142857143</v>
      </c>
      <c r="M61" s="3318">
        <f t="shared" ca="1" si="77"/>
        <v>12.392999999999999</v>
      </c>
      <c r="N61" s="3306"/>
      <c r="O61"/>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row>
    <row r="62" spans="2:51" s="3889" customFormat="1">
      <c r="B62" s="3303"/>
      <c r="C62" s="3315" t="s">
        <v>545</v>
      </c>
      <c r="D62" s="3318" t="s">
        <v>2662</v>
      </c>
      <c r="E62" s="3318">
        <f ca="1">-INDEX(INDIRECT("IX.a.Outputs["&amp;E$5&amp;"]"), MATCH("V.07", INDIRECT("IX.a.Outputs[Vector]"), 0))</f>
        <v>0</v>
      </c>
      <c r="F62" s="3318">
        <f t="shared" ref="F62:M62" ca="1" si="78">-INDEX(INDIRECT("IX.a.Outputs["&amp;F$5&amp;"]"), MATCH("V.07", INDIRECT("IX.a.Outputs[Vector]"), 0))</f>
        <v>0</v>
      </c>
      <c r="G62" s="3318">
        <f t="shared" ca="1" si="78"/>
        <v>0</v>
      </c>
      <c r="H62" s="3318">
        <f t="shared" ca="1" si="78"/>
        <v>0</v>
      </c>
      <c r="I62" s="3318">
        <f t="shared" ca="1" si="78"/>
        <v>0</v>
      </c>
      <c r="J62" s="3318">
        <f t="shared" ca="1" si="78"/>
        <v>0</v>
      </c>
      <c r="K62" s="3318">
        <f t="shared" ca="1" si="78"/>
        <v>0</v>
      </c>
      <c r="L62" s="3318">
        <f t="shared" ca="1" si="78"/>
        <v>0</v>
      </c>
      <c r="M62" s="3318">
        <f t="shared" ca="1" si="78"/>
        <v>0</v>
      </c>
      <c r="N62" s="3306"/>
      <c r="O6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row>
    <row r="63" spans="2:51" s="3889" customFormat="1">
      <c r="B63" s="3303"/>
      <c r="C63" s="3315" t="s">
        <v>545</v>
      </c>
      <c r="D63" s="3318" t="s">
        <v>2661</v>
      </c>
      <c r="E63" s="3318">
        <f ca="1">-INDEX(INDIRECT("IX.c.Outputs["&amp;E$5&amp;"]"), MATCH("V.07", INDIRECT("IX.c.Outputs[Vector]"), 0))</f>
        <v>0</v>
      </c>
      <c r="F63" s="3318">
        <f t="shared" ref="F63:M63" ca="1" si="79">-INDEX(INDIRECT("IX.c.Outputs["&amp;F$5&amp;"]"), MATCH("V.07", INDIRECT("IX.c.Outputs[Vector]"), 0))</f>
        <v>0</v>
      </c>
      <c r="G63" s="3318">
        <f t="shared" ca="1" si="79"/>
        <v>0</v>
      </c>
      <c r="H63" s="3318">
        <f t="shared" ca="1" si="79"/>
        <v>0</v>
      </c>
      <c r="I63" s="3318">
        <f t="shared" ca="1" si="79"/>
        <v>0</v>
      </c>
      <c r="J63" s="3318">
        <f t="shared" ca="1" si="79"/>
        <v>0</v>
      </c>
      <c r="K63" s="3318">
        <f t="shared" ca="1" si="79"/>
        <v>0</v>
      </c>
      <c r="L63" s="3318">
        <f t="shared" ca="1" si="79"/>
        <v>0</v>
      </c>
      <c r="M63" s="3318">
        <f t="shared" ca="1" si="79"/>
        <v>0</v>
      </c>
      <c r="N63" s="3306"/>
      <c r="O63"/>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row>
    <row r="64" spans="2:51" s="3889" customFormat="1">
      <c r="B64" s="3303"/>
      <c r="C64" s="3315" t="s">
        <v>545</v>
      </c>
      <c r="D64" s="3318" t="s">
        <v>3191</v>
      </c>
      <c r="E64" s="3318">
        <f ca="1">-INDEX(INDIRECT("XI.a.Outputs["&amp;E$5&amp;"]"), MATCH("V.07", INDIRECT("XI.a.Outputs[Vector]"), 0))-INDEX(INDIRECT("XV.a.Outputs["&amp;E$5&amp;"]"), MATCH("V.07", INDIRECT("XV.a.Outputs[Vector]"), 0))</f>
        <v>2.6537999724419409E-2</v>
      </c>
      <c r="F64" s="3318">
        <f t="shared" ref="F64:M64" ca="1" si="80">-INDEX(INDIRECT("XI.a.Outputs["&amp;F$5&amp;"]"), MATCH("V.07", INDIRECT("XI.a.Outputs[Vector]"), 0))-INDEX(INDIRECT("XV.a.Outputs["&amp;F$5&amp;"]"), MATCH("V.07", INDIRECT("XV.a.Outputs[Vector]"), 0))</f>
        <v>2.6537999724419409E-2</v>
      </c>
      <c r="G64" s="3318">
        <f t="shared" ca="1" si="80"/>
        <v>2.6537999724419409E-2</v>
      </c>
      <c r="H64" s="3318">
        <f t="shared" ca="1" si="80"/>
        <v>2.6537999724419409E-2</v>
      </c>
      <c r="I64" s="3318">
        <f t="shared" ca="1" si="80"/>
        <v>2.6537999724419409E-2</v>
      </c>
      <c r="J64" s="3318">
        <f t="shared" ca="1" si="80"/>
        <v>2.6537999724419409E-2</v>
      </c>
      <c r="K64" s="3318">
        <f t="shared" ca="1" si="80"/>
        <v>2.6537999724419409E-2</v>
      </c>
      <c r="L64" s="3318">
        <f t="shared" ca="1" si="80"/>
        <v>2.6537999724419409E-2</v>
      </c>
      <c r="M64" s="3318">
        <f t="shared" ca="1" si="80"/>
        <v>2.6537999724419409E-2</v>
      </c>
      <c r="N64" s="3306"/>
      <c r="O64"/>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row>
    <row r="65" spans="2:49" s="3889" customFormat="1">
      <c r="B65" s="3303"/>
      <c r="C65" s="3315" t="s">
        <v>2658</v>
      </c>
      <c r="D65" s="3318" t="s">
        <v>2662</v>
      </c>
      <c r="E65" s="3318">
        <f ca="1">-INDEX(INDIRECT("IX.a.NoCHP.Outputs["&amp;E$5&amp;"]"), MATCH("V.01", INDIRECT("IX.a.NoCHP.Outputs[Vector]"), 0))</f>
        <v>0.88256437808531207</v>
      </c>
      <c r="F65" s="3318">
        <f t="shared" ref="F65:M65" ca="1" si="81">-INDEX(INDIRECT("IX.a.NoCHP.Outputs["&amp;F$5&amp;"]"), MATCH("V.01", INDIRECT("IX.a.NoCHP.Outputs[Vector]"), 0))</f>
        <v>1.4377484699588226</v>
      </c>
      <c r="G65" s="3318">
        <f t="shared" ca="1" si="81"/>
        <v>1.460457822648747</v>
      </c>
      <c r="H65" s="3318">
        <f t="shared" ca="1" si="81"/>
        <v>1.5751825966732684</v>
      </c>
      <c r="I65" s="3318">
        <f t="shared" ca="1" si="81"/>
        <v>1.6558259787752996</v>
      </c>
      <c r="J65" s="3318">
        <f t="shared" ca="1" si="81"/>
        <v>1.7495624120225663</v>
      </c>
      <c r="K65" s="3318">
        <f t="shared" ca="1" si="81"/>
        <v>1.8492049246245645</v>
      </c>
      <c r="L65" s="3318">
        <f t="shared" ca="1" si="81"/>
        <v>1.9266970572248459</v>
      </c>
      <c r="M65" s="3318">
        <f t="shared" ca="1" si="81"/>
        <v>1.9961524440419962</v>
      </c>
      <c r="N65" s="3306"/>
      <c r="O65"/>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row>
    <row r="66" spans="2:49" s="3889" customFormat="1">
      <c r="B66" s="3303"/>
      <c r="C66" s="3315" t="s">
        <v>16</v>
      </c>
      <c r="D66" s="3318" t="s">
        <v>2662</v>
      </c>
      <c r="E66" s="3318">
        <f ca="1">-INDEX(INDIRECT("IX.a.NoCHP.Outputs["&amp;E$5&amp;"]"), MATCH("V.03", INDIRECT("IX.a.NoCHP.Outputs[Vector]"), 0))</f>
        <v>0.41220752781623782</v>
      </c>
      <c r="F66" s="3318">
        <f t="shared" ref="F66:M66" ca="1" si="82">-INDEX(INDIRECT("IX.a.NoCHP.Outputs["&amp;F$5&amp;"]"), MATCH("V.03", INDIRECT("IX.a.NoCHP.Outputs[Vector]"), 0))</f>
        <v>0.26352704049482828</v>
      </c>
      <c r="G66" s="3318">
        <f t="shared" ca="1" si="82"/>
        <v>0.21143772455169493</v>
      </c>
      <c r="H66" s="3318">
        <f t="shared" ca="1" si="82"/>
        <v>0.17624833604772824</v>
      </c>
      <c r="I66" s="3318">
        <f t="shared" ca="1" si="82"/>
        <v>0.13819323886480134</v>
      </c>
      <c r="J66" s="3318">
        <f t="shared" ca="1" si="82"/>
        <v>0.10257271542282514</v>
      </c>
      <c r="K66" s="3318">
        <f t="shared" ca="1" si="82"/>
        <v>6.7969281007703761E-2</v>
      </c>
      <c r="L66" s="3318">
        <f t="shared" ca="1" si="82"/>
        <v>3.3417807674940292E-2</v>
      </c>
      <c r="M66" s="3318">
        <f t="shared" ca="1" si="82"/>
        <v>0</v>
      </c>
      <c r="N66" s="3306"/>
      <c r="O66"/>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row>
    <row r="67" spans="2:49" s="3889" customFormat="1">
      <c r="B67" s="3303"/>
      <c r="C67" s="3315" t="s">
        <v>1712</v>
      </c>
      <c r="D67" s="3318" t="s">
        <v>2662</v>
      </c>
      <c r="E67" s="3318">
        <f ca="1">-INDEX(INDIRECT("IX.a.NoCHP.Outputs["&amp;E$5&amp;"]"), MATCH("V.04", INDIRECT("IX.a.NoCHP.Outputs[Vector]"), 0))</f>
        <v>15.256778003771721</v>
      </c>
      <c r="F67" s="3318">
        <f t="shared" ref="F67:M67" ca="1" si="83">-INDEX(INDIRECT("IX.a.NoCHP.Outputs["&amp;F$5&amp;"]"), MATCH("V.04", INDIRECT("IX.a.NoCHP.Outputs[Vector]"), 0))</f>
        <v>12.999761739873746</v>
      </c>
      <c r="G67" s="3318">
        <f t="shared" ca="1" si="83"/>
        <v>10.43020115443155</v>
      </c>
      <c r="H67" s="3318">
        <f t="shared" ca="1" si="83"/>
        <v>8.694312247302884</v>
      </c>
      <c r="I67" s="3318">
        <f t="shared" ca="1" si="83"/>
        <v>6.8170582264749946</v>
      </c>
      <c r="J67" s="3318">
        <f t="shared" ca="1" si="83"/>
        <v>5.0599014773012208</v>
      </c>
      <c r="K67" s="3318">
        <f t="shared" ca="1" si="83"/>
        <v>3.3529176249676542</v>
      </c>
      <c r="L67" s="3318">
        <f t="shared" ca="1" si="83"/>
        <v>1.6484970074699921</v>
      </c>
      <c r="M67" s="3318">
        <f t="shared" ca="1" si="83"/>
        <v>0</v>
      </c>
      <c r="N67" s="3306"/>
      <c r="O67"/>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row>
    <row r="68" spans="2:49" s="3889" customFormat="1">
      <c r="B68" s="3303"/>
      <c r="C68" s="3315" t="s">
        <v>15</v>
      </c>
      <c r="D68" s="3318" t="s">
        <v>2662</v>
      </c>
      <c r="E68" s="3318">
        <f ca="1">-INDEX(INDIRECT("IX.a.NoCHP.Outputs["&amp;E$5&amp;"]"), MATCH("V.05", INDIRECT("IX.a.NoCHP.Outputs[Vector]"), 0))</f>
        <v>9.4463708573767775</v>
      </c>
      <c r="F68" s="3318">
        <f t="shared" ref="F68:M68" ca="1" si="84">-INDEX(INDIRECT("IX.a.NoCHP.Outputs["&amp;F$5&amp;"]"), MATCH("V.05", INDIRECT("IX.a.NoCHP.Outputs[Vector]"), 0))</f>
        <v>9.2556061660433429</v>
      </c>
      <c r="G68" s="3318">
        <f t="shared" ca="1" si="84"/>
        <v>10.45827972318421</v>
      </c>
      <c r="H68" s="3318">
        <f t="shared" ca="1" si="84"/>
        <v>12.256242010620332</v>
      </c>
      <c r="I68" s="3318">
        <f t="shared" ca="1" si="84"/>
        <v>13.771647618705204</v>
      </c>
      <c r="J68" s="3318">
        <f t="shared" ca="1" si="84"/>
        <v>15.370245545423987</v>
      </c>
      <c r="K68" s="3318">
        <f t="shared" ca="1" si="84"/>
        <v>17.008084093270114</v>
      </c>
      <c r="L68" s="3318">
        <f t="shared" ca="1" si="84"/>
        <v>18.42610368749196</v>
      </c>
      <c r="M68" s="3318">
        <f t="shared" ca="1" si="84"/>
        <v>19.742167028986774</v>
      </c>
      <c r="N68" s="3306"/>
      <c r="O68"/>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row>
    <row r="69" spans="2:49" s="3889" customFormat="1">
      <c r="B69" s="3303"/>
      <c r="C69" s="3315" t="s">
        <v>2658</v>
      </c>
      <c r="D69" s="3318" t="s">
        <v>2661</v>
      </c>
      <c r="E69" s="3318">
        <f ca="1">-INDEX(INDIRECT("IX.c.NoCHP.Outputs["&amp;E$5&amp;"]"), MATCH("V.01", INDIRECT("IX.c.NoCHP.Outputs[Vector]"), 0))</f>
        <v>3.3022499999999999</v>
      </c>
      <c r="F69" s="3318">
        <f t="shared" ref="F69:M69" ca="1" si="85">-INDEX(INDIRECT("IX.c.NoCHP.Outputs["&amp;F$5&amp;"]"), MATCH("V.01", INDIRECT("IX.c.NoCHP.Outputs[Vector]"), 0))</f>
        <v>3.4672833333333331</v>
      </c>
      <c r="G69" s="3318">
        <f t="shared" ca="1" si="85"/>
        <v>3.4631285714285713</v>
      </c>
      <c r="H69" s="3318">
        <f t="shared" ca="1" si="85"/>
        <v>3.3169672619047619</v>
      </c>
      <c r="I69" s="3318">
        <f t="shared" ca="1" si="85"/>
        <v>3.1235285714285705</v>
      </c>
      <c r="J69" s="3318">
        <f t="shared" ca="1" si="85"/>
        <v>2.8828124999999996</v>
      </c>
      <c r="K69" s="3318">
        <f t="shared" ca="1" si="85"/>
        <v>2.5948190476190471</v>
      </c>
      <c r="L69" s="3318">
        <f t="shared" ca="1" si="85"/>
        <v>2.2595482142857137</v>
      </c>
      <c r="M69" s="3318">
        <f t="shared" ca="1" si="85"/>
        <v>1.877</v>
      </c>
      <c r="N69" s="3306"/>
      <c r="O69"/>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row>
    <row r="70" spans="2:49" s="3889" customFormat="1">
      <c r="B70" s="3303"/>
      <c r="C70" s="3315" t="s">
        <v>16</v>
      </c>
      <c r="D70" s="3318" t="s">
        <v>2661</v>
      </c>
      <c r="E70" s="3318">
        <f ca="1">-INDEX(INDIRECT("IX.c.NoCHP.Outputs["&amp;E$5&amp;"]"), MATCH("V.03", INDIRECT("IX.c.NoCHP.Outputs[Vector]"), 0))</f>
        <v>0.32965517241379305</v>
      </c>
      <c r="F70" s="3318">
        <f t="shared" ref="F70:M70" ca="1" si="86">-INDEX(INDIRECT("IX.c.NoCHP.Outputs["&amp;F$5&amp;"]"), MATCH("V.03", INDIRECT("IX.c.NoCHP.Outputs[Vector]"), 0))</f>
        <v>0.33931034482758621</v>
      </c>
      <c r="G70" s="3318">
        <f t="shared" ca="1" si="86"/>
        <v>0.31366995073891629</v>
      </c>
      <c r="H70" s="3318">
        <f t="shared" ca="1" si="86"/>
        <v>0.27435344827586206</v>
      </c>
      <c r="I70" s="3318">
        <f t="shared" ca="1" si="86"/>
        <v>0.22985221674876849</v>
      </c>
      <c r="J70" s="3318">
        <f t="shared" ca="1" si="86"/>
        <v>0.18016625615763548</v>
      </c>
      <c r="K70" s="3318">
        <f t="shared" ca="1" si="86"/>
        <v>0.1252955665024631</v>
      </c>
      <c r="L70" s="3318">
        <f t="shared" ca="1" si="86"/>
        <v>6.5240147783251268E-2</v>
      </c>
      <c r="M70" s="3318">
        <f t="shared" ca="1" si="86"/>
        <v>0</v>
      </c>
      <c r="N70" s="3306"/>
      <c r="O70"/>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row>
    <row r="71" spans="2:49" s="3889" customFormat="1">
      <c r="B71" s="3303"/>
      <c r="C71" s="3315" t="s">
        <v>1712</v>
      </c>
      <c r="D71" s="3318" t="s">
        <v>2661</v>
      </c>
      <c r="E71" s="3318">
        <f ca="1">-INDEX(INDIRECT("IX.c.NoCHP.Outputs["&amp;E$5&amp;"]"), MATCH("V.04", INDIRECT("IX.c.NoCHP.Outputs[Vector]"), 0))</f>
        <v>2.2668041237113408</v>
      </c>
      <c r="F71" s="3318">
        <f t="shared" ref="F71:M71" ca="1" si="87">-INDEX(INDIRECT("IX.c.NoCHP.Outputs["&amp;F$5&amp;"]"), MATCH("V.04", INDIRECT("IX.c.NoCHP.Outputs[Vector]"), 0))</f>
        <v>2.3331958762886598</v>
      </c>
      <c r="G71" s="3318">
        <f t="shared" ca="1" si="87"/>
        <v>2.1568851251840946</v>
      </c>
      <c r="H71" s="3318">
        <f t="shared" ca="1" si="87"/>
        <v>1.886533505154639</v>
      </c>
      <c r="I71" s="3318">
        <f t="shared" ca="1" si="87"/>
        <v>1.5805301914580263</v>
      </c>
      <c r="J71" s="3318">
        <f t="shared" ca="1" si="87"/>
        <v>1.2388751840942562</v>
      </c>
      <c r="K71" s="3318">
        <f t="shared" ca="1" si="87"/>
        <v>0.86156848306332812</v>
      </c>
      <c r="L71" s="3318">
        <f t="shared" ca="1" si="87"/>
        <v>0.44861008836524285</v>
      </c>
      <c r="M71" s="3318">
        <f t="shared" ca="1" si="87"/>
        <v>0</v>
      </c>
      <c r="N71" s="3306"/>
      <c r="O71"/>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row>
    <row r="72" spans="2:49" s="3889" customFormat="1">
      <c r="B72" s="3303"/>
      <c r="C72" s="3315" t="s">
        <v>15</v>
      </c>
      <c r="D72" s="3318" t="s">
        <v>2661</v>
      </c>
      <c r="E72" s="3318">
        <f ca="1">-INDEX(INDIRECT("IX.c.NoCHP.Outputs["&amp;E$5&amp;"]"), MATCH("V.05", INDIRECT("IX.c.NoCHP.Outputs[Vector]"), 0))</f>
        <v>4.9320532099479477</v>
      </c>
      <c r="F72" s="3318">
        <f t="shared" ref="F72:M72" ca="1" si="88">-INDEX(INDIRECT("IX.c.NoCHP.Outputs["&amp;F$5&amp;"]"), MATCH("V.05", INDIRECT("IX.c.NoCHP.Outputs[Vector]"), 0))</f>
        <v>5.0765066512434931</v>
      </c>
      <c r="G72" s="3318">
        <f t="shared" ca="1" si="88"/>
        <v>4.6945603362802615</v>
      </c>
      <c r="H72" s="3318">
        <f t="shared" ca="1" si="88"/>
        <v>4.1081675824175825</v>
      </c>
      <c r="I72" s="3318">
        <f t="shared" ca="1" si="88"/>
        <v>3.4443700322234125</v>
      </c>
      <c r="J72" s="3318">
        <f t="shared" ca="1" si="88"/>
        <v>2.7031676856977622</v>
      </c>
      <c r="K72" s="3318">
        <f t="shared" ca="1" si="88"/>
        <v>1.8845605428406174</v>
      </c>
      <c r="L72" s="3318">
        <f t="shared" ca="1" si="88"/>
        <v>0.98854860365198505</v>
      </c>
      <c r="M72" s="3318">
        <f t="shared" ca="1" si="88"/>
        <v>1.5131868131870618E-2</v>
      </c>
      <c r="N72" s="3306"/>
      <c r="O7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row>
    <row r="73" spans="2:49" s="3889" customFormat="1">
      <c r="B73" s="3303"/>
      <c r="C73" s="3315" t="s">
        <v>2658</v>
      </c>
      <c r="D73" s="3318" t="s">
        <v>2666</v>
      </c>
      <c r="E73" s="3318">
        <f ca="1">-INDEX(INDIRECT("X.a.Outputs["&amp;E$5&amp;"]"), MATCH("V.01", INDIRECT("X.a.Outputs[Vector]"), 0))-INDEX(INDIRECT("IV.b.Outputs["&amp;E$5&amp;"]"), MATCH("V.01", INDIRECT("IV.b.Outputs[Vector]"), 0))</f>
        <v>5.053448243978524</v>
      </c>
      <c r="F73" s="3318">
        <f t="shared" ref="F73:M73" ca="1" si="89">-INDEX(INDIRECT("X.a.Outputs["&amp;F$5&amp;"]"), MATCH("V.01", INDIRECT("X.a.Outputs[Vector]"), 0))-INDEX(INDIRECT("IV.b.Outputs["&amp;F$5&amp;"]"), MATCH("V.01", INDIRECT("IV.b.Outputs[Vector]"), 0))</f>
        <v>5.1195927991222439</v>
      </c>
      <c r="G73" s="3318">
        <f t="shared" ca="1" si="89"/>
        <v>5.3005887117493016</v>
      </c>
      <c r="H73" s="3318">
        <f t="shared" ca="1" si="89"/>
        <v>5.4971248759707745</v>
      </c>
      <c r="I73" s="3318">
        <f t="shared" ca="1" si="89"/>
        <v>5.717208551373151</v>
      </c>
      <c r="J73" s="3318">
        <f t="shared" ca="1" si="89"/>
        <v>5.9228230745040316</v>
      </c>
      <c r="K73" s="3318">
        <f t="shared" ca="1" si="89"/>
        <v>6.0940546569196936</v>
      </c>
      <c r="L73" s="3318">
        <f t="shared" ca="1" si="89"/>
        <v>6.2343398611594019</v>
      </c>
      <c r="M73" s="3318">
        <f t="shared" ca="1" si="89"/>
        <v>6.3482207662817212</v>
      </c>
      <c r="N73" s="3306"/>
      <c r="O73"/>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row>
    <row r="74" spans="2:49" s="3889" customFormat="1">
      <c r="B74" s="3303"/>
      <c r="C74" s="3315" t="s">
        <v>15</v>
      </c>
      <c r="D74" s="3318" t="s">
        <v>2666</v>
      </c>
      <c r="E74" s="3318">
        <f ca="1">-INDEX(INDIRECT("X.a.Outputs["&amp;E$5&amp;"]"), MATCH("V.05", INDIRECT("X.a.Outputs[Vector]"), 0))</f>
        <v>0.40466159955934872</v>
      </c>
      <c r="F74" s="3318">
        <f t="shared" ref="F74:M74" ca="1" si="90">-INDEX(INDIRECT("X.a.Outputs["&amp;F$5&amp;"]"), MATCH("V.05", INDIRECT("X.a.Outputs[Vector]"), 0))</f>
        <v>0.40879398412388662</v>
      </c>
      <c r="G74" s="3318">
        <f t="shared" ca="1" si="90"/>
        <v>0.42067727601255323</v>
      </c>
      <c r="H74" s="3318">
        <f t="shared" ca="1" si="90"/>
        <v>0.43419815207224072</v>
      </c>
      <c r="I74" s="3318">
        <f t="shared" ca="1" si="90"/>
        <v>0.44864980294420276</v>
      </c>
      <c r="J74" s="3318">
        <f t="shared" ca="1" si="90"/>
        <v>0.4626763014225968</v>
      </c>
      <c r="K74" s="3318">
        <f t="shared" ca="1" si="90"/>
        <v>0.47397296177348791</v>
      </c>
      <c r="L74" s="3318">
        <f t="shared" ca="1" si="90"/>
        <v>0.48055450406461453</v>
      </c>
      <c r="M74" s="3318">
        <f t="shared" ca="1" si="90"/>
        <v>0.48465180534672125</v>
      </c>
      <c r="N74" s="3306"/>
      <c r="O74"/>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row>
    <row r="75" spans="2:49" s="3889" customFormat="1">
      <c r="B75" s="3303"/>
      <c r="C75" s="3315" t="s">
        <v>2658</v>
      </c>
      <c r="D75" s="3318" t="s">
        <v>2664</v>
      </c>
      <c r="E75" s="3318">
        <f ca="1">-INDEX(INDIRECT("X.b.Outputs["&amp;E$5&amp;"]"), MATCH("V.01", INDIRECT("X.b.Outputs[Vector]"), 0))</f>
        <v>4.0419999999999998</v>
      </c>
      <c r="F75" s="3318">
        <f t="shared" ref="F75:M75" ca="1" si="91">-INDEX(INDIRECT("X.b.Outputs["&amp;F$5&amp;"]"), MATCH("V.01", INDIRECT("X.b.Outputs[Vector]"), 0))</f>
        <v>4.0781081081081041</v>
      </c>
      <c r="G75" s="3318">
        <f t="shared" ca="1" si="91"/>
        <v>4.1683783783783737</v>
      </c>
      <c r="H75" s="3318">
        <f t="shared" ca="1" si="91"/>
        <v>4.2586486486486441</v>
      </c>
      <c r="I75" s="3318">
        <f t="shared" ca="1" si="91"/>
        <v>4.3489189189189137</v>
      </c>
      <c r="J75" s="3318">
        <f t="shared" ca="1" si="91"/>
        <v>4.4391891891891904</v>
      </c>
      <c r="K75" s="3318">
        <f t="shared" ca="1" si="91"/>
        <v>4.5294594594594599</v>
      </c>
      <c r="L75" s="3318">
        <f t="shared" ca="1" si="91"/>
        <v>4.6197297297297304</v>
      </c>
      <c r="M75" s="3318">
        <f t="shared" ca="1" si="91"/>
        <v>4.71</v>
      </c>
      <c r="N75" s="3306"/>
      <c r="O75"/>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row>
    <row r="76" spans="2:49" s="3889" customFormat="1">
      <c r="B76" s="3303"/>
      <c r="C76" s="3315" t="s">
        <v>15</v>
      </c>
      <c r="D76" s="3318" t="s">
        <v>2664</v>
      </c>
      <c r="E76" s="3318">
        <f ca="1">-INDEX(INDIRECT("X.b.Outputs["&amp;E$5&amp;"]"), MATCH("V.05", INDIRECT("X.b.Outputs[Vector]"), 0))</f>
        <v>0.48799999999999999</v>
      </c>
      <c r="F76" s="3318">
        <f t="shared" ref="F76:M76" ca="1" si="92">-INDEX(INDIRECT("X.b.Outputs["&amp;F$5&amp;"]"), MATCH("V.05", INDIRECT("X.b.Outputs[Vector]"), 0))</f>
        <v>0.48821621621621603</v>
      </c>
      <c r="G76" s="3318">
        <f t="shared" ca="1" si="92"/>
        <v>0.48875675675675601</v>
      </c>
      <c r="H76" s="3318">
        <f t="shared" ca="1" si="92"/>
        <v>0.48929729729729604</v>
      </c>
      <c r="I76" s="3318">
        <f t="shared" ca="1" si="92"/>
        <v>0.48983783783783602</v>
      </c>
      <c r="J76" s="3318">
        <f t="shared" ca="1" si="92"/>
        <v>0.49037837837838005</v>
      </c>
      <c r="K76" s="3318">
        <f t="shared" ca="1" si="92"/>
        <v>0.49091891891892003</v>
      </c>
      <c r="L76" s="3318">
        <f t="shared" ca="1" si="92"/>
        <v>0.49145945945946007</v>
      </c>
      <c r="M76" s="3318">
        <f t="shared" ca="1" si="92"/>
        <v>0.49199999999999999</v>
      </c>
      <c r="N76" s="3306"/>
      <c r="O76"/>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row>
    <row r="77" spans="2:49" s="3889" customFormat="1">
      <c r="B77" s="3303"/>
      <c r="C77" s="3315" t="s">
        <v>2658</v>
      </c>
      <c r="D77" s="3318" t="s">
        <v>368</v>
      </c>
      <c r="E77" s="3318">
        <f ca="1">-INDEX(INDIRECT("XI.a.Outputs["&amp;E$5&amp;"]"), MATCH("V.01", INDIRECT("XI.a.Outputs[Vector]"), 0))-INDEX(INDIRECT("XV.a.Outputs["&amp;E$5&amp;"]"), MATCH("V.01", INDIRECT("XV.a.Outputs[Vector]"), 0))-INDEX(INDIRECT("XV.b.Outputs["&amp;E$5&amp;"]"), MATCH("V.01", INDIRECT("XV.b.Outputs[Vector]"), 0))</f>
        <v>9.5823684987261633</v>
      </c>
      <c r="F77" s="3318">
        <f t="shared" ref="F77:M77" ca="1" si="93">-INDEX(INDIRECT("XI.a.Outputs["&amp;F$5&amp;"]"), MATCH("V.01", INDIRECT("XI.a.Outputs[Vector]"), 0))-INDEX(INDIRECT("XV.a.Outputs["&amp;F$5&amp;"]"), MATCH("V.01", INDIRECT("XV.a.Outputs[Vector]"), 0))-INDEX(INDIRECT("XV.b.Outputs["&amp;F$5&amp;"]"), MATCH("V.01", INDIRECT("XV.b.Outputs[Vector]"), 0))</f>
        <v>9.6479077436647636</v>
      </c>
      <c r="G77" s="3318">
        <f t="shared" ca="1" si="93"/>
        <v>9.849241568346061</v>
      </c>
      <c r="H77" s="3318">
        <f t="shared" ca="1" si="93"/>
        <v>10.102429792410705</v>
      </c>
      <c r="I77" s="3318">
        <f t="shared" ca="1" si="93"/>
        <v>10.393440524732245</v>
      </c>
      <c r="J77" s="3318">
        <f t="shared" ca="1" si="93"/>
        <v>10.75080811735903</v>
      </c>
      <c r="K77" s="3318">
        <f t="shared" ca="1" si="93"/>
        <v>11.153327022424055</v>
      </c>
      <c r="L77" s="3318">
        <f t="shared" ca="1" si="93"/>
        <v>11.60186950543908</v>
      </c>
      <c r="M77" s="3318">
        <f t="shared" ca="1" si="93"/>
        <v>12.097831673069379</v>
      </c>
      <c r="N77" s="3306"/>
      <c r="O77"/>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row>
    <row r="78" spans="2:49" s="3889" customFormat="1">
      <c r="B78" s="3303"/>
      <c r="C78" s="3315" t="s">
        <v>16</v>
      </c>
      <c r="D78" s="3318" t="s">
        <v>368</v>
      </c>
      <c r="E78" s="3318">
        <f ca="1">-INDEX(INDIRECT("XI.a.Outputs["&amp;E$5&amp;"]"), MATCH("V.03", INDIRECT("XI.a.Outputs[Vector]"), 0))-INDEX(INDIRECT("XV.b.Outputs["&amp;E$5&amp;"]"), MATCH("V.03", INDIRECT("XV.b.Outputs[Vector]"), 0))</f>
        <v>3.1130179240072393</v>
      </c>
      <c r="F78" s="3318">
        <f t="shared" ref="F78:M78" ca="1" si="94">-INDEX(INDIRECT("XI.a.Outputs["&amp;F$5&amp;"]"), MATCH("V.03", INDIRECT("XI.a.Outputs[Vector]"), 0))-INDEX(INDIRECT("XV.b.Outputs["&amp;F$5&amp;"]"), MATCH("V.03", INDIRECT("XV.b.Outputs[Vector]"), 0))</f>
        <v>3.1378216227313307</v>
      </c>
      <c r="G78" s="3318">
        <f t="shared" ca="1" si="94"/>
        <v>3.2102621960229407</v>
      </c>
      <c r="H78" s="3318">
        <f t="shared" ca="1" si="94"/>
        <v>3.2998274933751279</v>
      </c>
      <c r="I78" s="3318">
        <f t="shared" ca="1" si="94"/>
        <v>3.4037434904107453</v>
      </c>
      <c r="J78" s="3318">
        <f t="shared" ca="1" si="94"/>
        <v>3.5233789277701968</v>
      </c>
      <c r="K78" s="3318">
        <f t="shared" ca="1" si="94"/>
        <v>3.6581296053538592</v>
      </c>
      <c r="L78" s="3318">
        <f t="shared" ca="1" si="94"/>
        <v>3.8082875302383297</v>
      </c>
      <c r="M78" s="3318">
        <f t="shared" ca="1" si="94"/>
        <v>3.9743200750532086</v>
      </c>
      <c r="N78" s="3306"/>
      <c r="O78"/>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row>
    <row r="79" spans="2:49" s="3889" customFormat="1">
      <c r="B79" s="3303"/>
      <c r="C79" s="3315" t="s">
        <v>1712</v>
      </c>
      <c r="D79" s="3318" t="s">
        <v>368</v>
      </c>
      <c r="E79" s="3318">
        <f ca="1">-INDEX(INDIRECT("XI.a.Outputs["&amp;E$5&amp;"]"), MATCH("V.04", INDIRECT("XI.a.Outputs[Vector]"), 0))-INDEX(INDIRECT("XV.a.Outputs["&amp;E$5&amp;"]"), MATCH("V.04", INDIRECT("XV.a.Outputs[Vector]"), 0))</f>
        <v>8.2022858135888708</v>
      </c>
      <c r="F79" s="3318">
        <f t="shared" ref="F79:M79" ca="1" si="95">-INDEX(INDIRECT("XI.a.Outputs["&amp;F$5&amp;"]"), MATCH("V.04", INDIRECT("XI.a.Outputs[Vector]"), 0))-INDEX(INDIRECT("XV.a.Outputs["&amp;F$5&amp;"]"), MATCH("V.04", INDIRECT("XV.a.Outputs[Vector]"), 0))</f>
        <v>8.2539570214577793</v>
      </c>
      <c r="G79" s="3318">
        <f t="shared" ca="1" si="95"/>
        <v>8.4055340872441953</v>
      </c>
      <c r="H79" s="3318">
        <f t="shared" ca="1" si="95"/>
        <v>8.5884085689761545</v>
      </c>
      <c r="I79" s="3318">
        <f t="shared" ca="1" si="95"/>
        <v>8.8020514612120984</v>
      </c>
      <c r="J79" s="3318">
        <f t="shared" ca="1" si="95"/>
        <v>9.046323174148597</v>
      </c>
      <c r="K79" s="3318">
        <f t="shared" ca="1" si="95"/>
        <v>9.3214571942953022</v>
      </c>
      <c r="L79" s="3318">
        <f t="shared" ca="1" si="95"/>
        <v>9.6280497418889972</v>
      </c>
      <c r="M79" s="3318">
        <f t="shared" ca="1" si="95"/>
        <v>9.9670550986653588</v>
      </c>
      <c r="N79" s="3306"/>
      <c r="O79"/>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row>
    <row r="80" spans="2:49" s="3889" customFormat="1">
      <c r="B80" s="3303"/>
      <c r="C80" s="3315" t="s">
        <v>15</v>
      </c>
      <c r="D80" s="3318" t="s">
        <v>368</v>
      </c>
      <c r="E80" s="3318">
        <f ca="1">-INDEX(INDIRECT("XI.a.Outputs["&amp;E$5&amp;"]"), MATCH("V.05", INDIRECT("XI.a.Outputs[Vector]"), 0))-INDEX(INDIRECT("XV.a.Outputs["&amp;E$5&amp;"]"), MATCH("V.05", INDIRECT("XV.a.Outputs[Vector]"), 0))-INDEX(INDIRECT("XV.b.Outputs["&amp;E$5&amp;"]"), MATCH("V.05", INDIRECT("XV.b.Outputs[Vector]"), 0))</f>
        <v>7.3285468601179335</v>
      </c>
      <c r="F80" s="3318">
        <f t="shared" ref="F80:M80" ca="1" si="96">-INDEX(INDIRECT("XI.a.Outputs["&amp;F$5&amp;"]"), MATCH("V.05", INDIRECT("XI.a.Outputs[Vector]"), 0))-INDEX(INDIRECT("XV.a.Outputs["&amp;F$5&amp;"]"), MATCH("V.05", INDIRECT("XV.a.Outputs[Vector]"), 0))-INDEX(INDIRECT("XV.b.Outputs["&amp;F$5&amp;"]"), MATCH("V.05", INDIRECT("XV.b.Outputs[Vector]"), 0))</f>
        <v>7.5019788356603838</v>
      </c>
      <c r="G80" s="3318">
        <f t="shared" ca="1" si="96"/>
        <v>9.8591793075710594</v>
      </c>
      <c r="H80" s="3318">
        <f t="shared" ca="1" si="96"/>
        <v>8.4222712718128783</v>
      </c>
      <c r="I80" s="3318">
        <f t="shared" ca="1" si="96"/>
        <v>8.0062292428222719</v>
      </c>
      <c r="J80" s="3318">
        <f t="shared" ca="1" si="96"/>
        <v>8.284737463556171</v>
      </c>
      <c r="K80" s="3318">
        <f t="shared" ca="1" si="96"/>
        <v>8.5984335747155658</v>
      </c>
      <c r="L80" s="3318">
        <f t="shared" ca="1" si="96"/>
        <v>8.9479973612633366</v>
      </c>
      <c r="M80" s="3318">
        <f t="shared" ca="1" si="96"/>
        <v>9.3345168546587463</v>
      </c>
      <c r="N80" s="3306"/>
      <c r="O80"/>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row>
    <row r="81" spans="2:49" s="3889" customFormat="1">
      <c r="B81" s="3303"/>
      <c r="C81" s="3315" t="s">
        <v>2658</v>
      </c>
      <c r="D81" s="3318" t="s">
        <v>401</v>
      </c>
      <c r="E81" s="3318">
        <f ca="1">-INDEX(INDIRECT("VI.a.Outputs["&amp;E$5&amp;"]"), MATCH("V.01", INDIRECT("VI.a.Outputs[Vector]"), 0))</f>
        <v>0.54810000000000003</v>
      </c>
      <c r="F81" s="3318">
        <f t="shared" ref="F81:M81" ca="1" si="97">-INDEX(INDIRECT("VI.a.Outputs["&amp;F$5&amp;"]"), MATCH("V.01", INDIRECT("VI.a.Outputs[Vector]"), 0))</f>
        <v>0.55057749288570401</v>
      </c>
      <c r="G81" s="3318">
        <f t="shared" ca="1" si="97"/>
        <v>0.55698168734508124</v>
      </c>
      <c r="H81" s="3318">
        <f t="shared" ca="1" si="97"/>
        <v>0.56367940163241814</v>
      </c>
      <c r="I81" s="3318">
        <f t="shared" ca="1" si="97"/>
        <v>0.57066193518791219</v>
      </c>
      <c r="J81" s="3318">
        <f t="shared" ca="1" si="97"/>
        <v>0.57792084535509036</v>
      </c>
      <c r="K81" s="3318">
        <f t="shared" ca="1" si="97"/>
        <v>0.58544793973599496</v>
      </c>
      <c r="L81" s="3318">
        <f t="shared" ca="1" si="97"/>
        <v>0.5932352687729916</v>
      </c>
      <c r="M81" s="3318">
        <f t="shared" ca="1" si="97"/>
        <v>0.60127511855044857</v>
      </c>
      <c r="N81" s="3306"/>
      <c r="O81"/>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row>
    <row r="82" spans="2:49" s="3889" customFormat="1">
      <c r="B82" s="3303"/>
      <c r="C82" s="3315" t="s">
        <v>16</v>
      </c>
      <c r="D82" s="3318" t="s">
        <v>401</v>
      </c>
      <c r="E82" s="3318">
        <f ca="1">-INDEX(INDIRECT("VI.a.Outputs["&amp;E$5&amp;"]"), MATCH("V.03", INDIRECT("VI.a.Outputs[Vector]"), 0))</f>
        <v>0</v>
      </c>
      <c r="F82" s="3318">
        <f t="shared" ref="F82:M82" ca="1" si="98">-INDEX(INDIRECT("VI.a.Outputs["&amp;F$5&amp;"]"), MATCH("V.03", INDIRECT("VI.a.Outputs[Vector]"), 0))</f>
        <v>0</v>
      </c>
      <c r="G82" s="3318">
        <f t="shared" ca="1" si="98"/>
        <v>0</v>
      </c>
      <c r="H82" s="3318">
        <f t="shared" ca="1" si="98"/>
        <v>0</v>
      </c>
      <c r="I82" s="3318">
        <f t="shared" ca="1" si="98"/>
        <v>0</v>
      </c>
      <c r="J82" s="3318">
        <f t="shared" ca="1" si="98"/>
        <v>0</v>
      </c>
      <c r="K82" s="3318">
        <f t="shared" ca="1" si="98"/>
        <v>0</v>
      </c>
      <c r="L82" s="3318">
        <f t="shared" ca="1" si="98"/>
        <v>0</v>
      </c>
      <c r="M82" s="3318">
        <f t="shared" ca="1" si="98"/>
        <v>0</v>
      </c>
      <c r="N82" s="3306"/>
      <c r="O8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row>
    <row r="83" spans="2:49" s="3889" customFormat="1">
      <c r="B83" s="3303"/>
      <c r="C83" s="3315" t="s">
        <v>1712</v>
      </c>
      <c r="D83" s="3318" t="s">
        <v>401</v>
      </c>
      <c r="E83" s="3318">
        <f ca="1">-INDEX(INDIRECT("VI.a.Outputs["&amp;E$5&amp;"]"), MATCH("V.04", INDIRECT("VI.a.Outputs[Vector]"), 0))</f>
        <v>2.0619000000000005</v>
      </c>
      <c r="F83" s="3318">
        <f t="shared" ref="F83:M83" ca="1" si="99">-INDEX(INDIRECT("VI.a.Outputs["&amp;F$5&amp;"]"), MATCH("V.04", INDIRECT("VI.a.Outputs[Vector]"), 0))</f>
        <v>2.0712200922843151</v>
      </c>
      <c r="G83" s="3318">
        <f t="shared" ca="1" si="99"/>
        <v>2.0953120619172103</v>
      </c>
      <c r="H83" s="3318">
        <f t="shared" ca="1" si="99"/>
        <v>2.1205082251886207</v>
      </c>
      <c r="I83" s="3318">
        <f t="shared" ca="1" si="99"/>
        <v>2.1467758514211934</v>
      </c>
      <c r="J83" s="3318">
        <f t="shared" ca="1" si="99"/>
        <v>2.1740831801453404</v>
      </c>
      <c r="K83" s="3318">
        <f t="shared" ca="1" si="99"/>
        <v>2.2023993923401717</v>
      </c>
      <c r="L83" s="3318">
        <f t="shared" ca="1" si="99"/>
        <v>2.2316945825269685</v>
      </c>
      <c r="M83" s="3318">
        <f t="shared" ca="1" si="99"/>
        <v>2.2619397316897829</v>
      </c>
      <c r="N83" s="3306"/>
      <c r="O83"/>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row>
    <row r="84" spans="2:49" s="3889" customFormat="1">
      <c r="B84" s="3303"/>
      <c r="C84" s="3315" t="s">
        <v>15</v>
      </c>
      <c r="D84" s="3318" t="s">
        <v>401</v>
      </c>
      <c r="E84" s="3318">
        <f ca="1">-INDEX(INDIRECT("VI.a.Outputs["&amp;E$5&amp;"]"), MATCH("V.05", INDIRECT("VI.a.Outputs[Vector]"), 0))</f>
        <v>0</v>
      </c>
      <c r="F84" s="3318">
        <f t="shared" ref="F84:M84" ca="1" si="100">-INDEX(INDIRECT("VI.a.Outputs["&amp;F$5&amp;"]"), MATCH("V.05", INDIRECT("VI.a.Outputs[Vector]"), 0))</f>
        <v>0</v>
      </c>
      <c r="G84" s="3318">
        <f t="shared" ca="1" si="100"/>
        <v>0</v>
      </c>
      <c r="H84" s="3318">
        <f t="shared" ca="1" si="100"/>
        <v>0</v>
      </c>
      <c r="I84" s="3318">
        <f t="shared" ca="1" si="100"/>
        <v>0</v>
      </c>
      <c r="J84" s="3318">
        <f t="shared" ca="1" si="100"/>
        <v>0</v>
      </c>
      <c r="K84" s="3318">
        <f t="shared" ca="1" si="100"/>
        <v>0</v>
      </c>
      <c r="L84" s="3318">
        <f t="shared" ca="1" si="100"/>
        <v>0</v>
      </c>
      <c r="M84" s="3318">
        <f t="shared" ca="1" si="100"/>
        <v>0</v>
      </c>
      <c r="N84" s="3306"/>
      <c r="O84"/>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row>
    <row r="85" spans="2:49" s="3889" customFormat="1">
      <c r="B85" s="3303"/>
      <c r="C85" s="3315" t="s">
        <v>2658</v>
      </c>
      <c r="D85" s="3318" t="s">
        <v>369</v>
      </c>
      <c r="E85" s="3318">
        <f ca="1">-INDEX(INDIRECT("XII.a.Road.Outputs["&amp;E$5&amp;"]"), MATCH("V.01", INDIRECT("XII.a.Road.Outputs[Vector]"), 0))-INDEX(INDIRECT("XII.b.Road.Outputs["&amp;E$5&amp;"]"), MATCH("V.01", INDIRECT("XII.b.Road.Outputs[Vector]"), 0))</f>
        <v>0</v>
      </c>
      <c r="F85" s="3318">
        <f t="shared" ref="F85:M85" ca="1" si="101">-INDEX(INDIRECT("XII.a.Road.Outputs["&amp;F$5&amp;"]"), MATCH("V.01", INDIRECT("XII.a.Road.Outputs[Vector]"), 0))-INDEX(INDIRECT("XII.b.Road.Outputs["&amp;F$5&amp;"]"), MATCH("V.01", INDIRECT("XII.b.Road.Outputs[Vector]"), 0))</f>
        <v>4.6844461095062705E-4</v>
      </c>
      <c r="G85" s="3318">
        <f t="shared" ca="1" si="101"/>
        <v>1.7140115199768186E-2</v>
      </c>
      <c r="H85" s="3318">
        <f t="shared" ca="1" si="101"/>
        <v>3.3556653385884719E-2</v>
      </c>
      <c r="I85" s="3318">
        <f t="shared" ca="1" si="101"/>
        <v>0.1770662662170166</v>
      </c>
      <c r="J85" s="3318">
        <f t="shared" ca="1" si="101"/>
        <v>0.32339283103119359</v>
      </c>
      <c r="K85" s="3318">
        <f t="shared" ca="1" si="101"/>
        <v>0.49867728219826768</v>
      </c>
      <c r="L85" s="3318">
        <f t="shared" ca="1" si="101"/>
        <v>0.6929353344118272</v>
      </c>
      <c r="M85" s="3318">
        <f t="shared" ca="1" si="101"/>
        <v>0.83383886111345407</v>
      </c>
      <c r="N85" s="3306"/>
      <c r="O85"/>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row>
    <row r="86" spans="2:49" s="3889" customFormat="1">
      <c r="B86" s="3303"/>
      <c r="C86" s="3315" t="s">
        <v>1712</v>
      </c>
      <c r="D86" s="3318" t="s">
        <v>369</v>
      </c>
      <c r="E86" s="3318">
        <f ca="1">-INDEX(INDIRECT("XII.a.Road.Outputs["&amp;E$5&amp;"]"), MATCH("V.04", INDIRECT("XII.a.Road.Outputs[Vector]"), 0))-INDEX(INDIRECT("XII.b.Road.Outputs["&amp;E$5&amp;"]"), MATCH("V.04", INDIRECT("XII.b.Road.Outputs[Vector]"), 0))</f>
        <v>38.777622055377222</v>
      </c>
      <c r="F86" s="3318">
        <f t="shared" ref="F86:M86" ca="1" si="102">-INDEX(INDIRECT("XII.a.Road.Outputs["&amp;F$5&amp;"]"), MATCH("V.04", INDIRECT("XII.a.Road.Outputs[Vector]"), 0))-INDEX(INDIRECT("XII.b.Road.Outputs["&amp;F$5&amp;"]"), MATCH("V.04", INDIRECT("XII.b.Road.Outputs[Vector]"), 0))</f>
        <v>37.8967268850582</v>
      </c>
      <c r="G86" s="3318">
        <f t="shared" ca="1" si="102"/>
        <v>36.115796525246097</v>
      </c>
      <c r="H86" s="3318">
        <f t="shared" ca="1" si="102"/>
        <v>33.915085094173804</v>
      </c>
      <c r="I86" s="3318">
        <f t="shared" ca="1" si="102"/>
        <v>33.501514544712691</v>
      </c>
      <c r="J86" s="3318">
        <f t="shared" ca="1" si="102"/>
        <v>32.977688767405098</v>
      </c>
      <c r="K86" s="3318">
        <f t="shared" ca="1" si="102"/>
        <v>32.564139891260488</v>
      </c>
      <c r="L86" s="3318">
        <f t="shared" ca="1" si="102"/>
        <v>32.159277508818143</v>
      </c>
      <c r="M86" s="3318">
        <f t="shared" ca="1" si="102"/>
        <v>31.824450992371354</v>
      </c>
      <c r="N86" s="3306"/>
      <c r="O86"/>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row>
    <row r="87" spans="2:49" s="3889" customFormat="1">
      <c r="B87" s="3303"/>
      <c r="C87" s="3315" t="s">
        <v>2658</v>
      </c>
      <c r="D87" s="3318" t="s">
        <v>370</v>
      </c>
      <c r="E87" s="3318">
        <f ca="1">-INDEX(INDIRECT("XII.a.Rail.Outputs["&amp;E$5&amp;"]"), MATCH("V.01", INDIRECT("XII.a.Rail.Outputs[Vector]"), 0))-INDEX(INDIRECT("XII.b.Rail.Outputs["&amp;E$5&amp;"]"), MATCH("V.01", INDIRECT("XII.b.Rail.Outputs[Vector]"), 0))</f>
        <v>6.2120497891874918E-2</v>
      </c>
      <c r="F87" s="3318">
        <f t="shared" ref="F87:M87" ca="1" si="103">-INDEX(INDIRECT("XII.a.Rail.Outputs["&amp;F$5&amp;"]"), MATCH("V.01", INDIRECT("XII.a.Rail.Outputs[Vector]"), 0))-INDEX(INDIRECT("XII.b.Rail.Outputs["&amp;F$5&amp;"]"), MATCH("V.01", INDIRECT("XII.b.Rail.Outputs[Vector]"), 0))</f>
        <v>5.7350866603262288E-2</v>
      </c>
      <c r="G87" s="3318">
        <f t="shared" ca="1" si="103"/>
        <v>5.6751639077635266E-2</v>
      </c>
      <c r="H87" s="3318">
        <f t="shared" ca="1" si="103"/>
        <v>5.5937956249668852E-2</v>
      </c>
      <c r="I87" s="3318">
        <f t="shared" ca="1" si="103"/>
        <v>5.5094748144568259E-2</v>
      </c>
      <c r="J87" s="3318">
        <f t="shared" ca="1" si="103"/>
        <v>5.4212632815839726E-2</v>
      </c>
      <c r="K87" s="3318">
        <f t="shared" ca="1" si="103"/>
        <v>5.3214532250350458E-2</v>
      </c>
      <c r="L87" s="3318">
        <f t="shared" ca="1" si="103"/>
        <v>5.2179981096798264E-2</v>
      </c>
      <c r="M87" s="3318">
        <f t="shared" ca="1" si="103"/>
        <v>2.8919981096798261E-2</v>
      </c>
      <c r="N87" s="3306"/>
      <c r="O87"/>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row>
    <row r="88" spans="2:49" s="3889" customFormat="1">
      <c r="B88" s="3303"/>
      <c r="C88" s="3315" t="s">
        <v>1712</v>
      </c>
      <c r="D88" s="3318" t="s">
        <v>370</v>
      </c>
      <c r="E88" s="3318">
        <f ca="1">-INDEX(INDIRECT("XII.a.Rail.Outputs["&amp;E$5&amp;"]"), MATCH("V.04", INDIRECT("XII.a.Rail.Outputs[Vector]"), 0))-INDEX(INDIRECT("XII.b.Rail.Outputs["&amp;E$5&amp;"]"), MATCH("V.04", INDIRECT("XII.b.Rail.Outputs[Vector]"), 0))</f>
        <v>0.3318649957947627</v>
      </c>
      <c r="F88" s="3318">
        <f t="shared" ref="F88:M88" ca="1" si="104">-INDEX(INDIRECT("XII.a.Rail.Outputs["&amp;F$5&amp;"]"), MATCH("V.04", INDIRECT("XII.a.Rail.Outputs[Vector]"), 0))-INDEX(INDIRECT("XII.b.Rail.Outputs["&amp;F$5&amp;"]"), MATCH("V.04", INDIRECT("XII.b.Rail.Outputs[Vector]"), 0))</f>
        <v>0.3946437097660373</v>
      </c>
      <c r="G88" s="3318">
        <f t="shared" ca="1" si="104"/>
        <v>0.38201223131193307</v>
      </c>
      <c r="H88" s="3318">
        <f t="shared" ca="1" si="104"/>
        <v>0.36670590419642429</v>
      </c>
      <c r="I88" s="3318">
        <f t="shared" ca="1" si="104"/>
        <v>0.35082386392572368</v>
      </c>
      <c r="J88" s="3318">
        <f t="shared" ca="1" si="104"/>
        <v>0.33425013520437069</v>
      </c>
      <c r="K88" s="3318">
        <f t="shared" ca="1" si="104"/>
        <v>0.3161743965911788</v>
      </c>
      <c r="L88" s="3318">
        <f t="shared" ca="1" si="104"/>
        <v>0.29744765924372818</v>
      </c>
      <c r="M88" s="3318">
        <f t="shared" ca="1" si="104"/>
        <v>0.29765113217198669</v>
      </c>
      <c r="N88" s="3306"/>
      <c r="O88"/>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row>
    <row r="89" spans="2:49" s="3889" customFormat="1">
      <c r="B89" s="3303"/>
      <c r="C89" s="3315" t="s">
        <v>1712</v>
      </c>
      <c r="D89" s="3318" t="s">
        <v>371</v>
      </c>
      <c r="E89" s="3318">
        <f ca="1">-INDEX(INDIRECT("XII.a.Aviation.Outputs["&amp;E$5&amp;"]"), MATCH("V.04", INDIRECT("XII.a.Aviation.Outputs[Vector]"), 0))</f>
        <v>2.7179785187540276E-2</v>
      </c>
      <c r="F89" s="3318">
        <f t="shared" ref="F89:M89" ca="1" si="105">-INDEX(INDIRECT("XII.a.Aviation.Outputs["&amp;F$5&amp;"]"), MATCH("V.04", INDIRECT("XII.a.Aviation.Outputs[Vector]"), 0))</f>
        <v>2.6979176745363341E-2</v>
      </c>
      <c r="G89" s="3318">
        <f t="shared" ca="1" si="105"/>
        <v>2.6748583502616049E-2</v>
      </c>
      <c r="H89" s="3318">
        <f t="shared" ca="1" si="105"/>
        <v>2.6377315657889075E-2</v>
      </c>
      <c r="I89" s="3318">
        <f t="shared" ca="1" si="105"/>
        <v>2.6013627209398826E-2</v>
      </c>
      <c r="J89" s="3318">
        <f t="shared" ca="1" si="105"/>
        <v>2.5651802953474499E-2</v>
      </c>
      <c r="K89" s="3318">
        <f t="shared" ca="1" si="105"/>
        <v>2.5228818186920948E-2</v>
      </c>
      <c r="L89" s="3318">
        <f t="shared" ca="1" si="105"/>
        <v>2.4811333961622644E-2</v>
      </c>
      <c r="M89" s="3318">
        <f t="shared" ca="1" si="105"/>
        <v>2.4811333961622644E-2</v>
      </c>
      <c r="N89" s="3306"/>
      <c r="O89"/>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row>
    <row r="90" spans="2:49" s="3889" customFormat="1">
      <c r="B90" s="3303"/>
      <c r="C90" s="3315" t="s">
        <v>1712</v>
      </c>
      <c r="D90" s="3318" t="s">
        <v>372</v>
      </c>
      <c r="E90" s="3318">
        <f ca="1">-INDEX(INDIRECT("XII.b.nationalnavigation.Outputs["&amp;E$5&amp;"]"), MATCH("V.04", INDIRECT("XII.b.nationalnavigation.Outputs[Vector]"), 0))</f>
        <v>0.66</v>
      </c>
      <c r="F90" s="3318">
        <f t="shared" ref="F90:M90" ca="1" si="106">-INDEX(INDIRECT("XII.b.nationalnavigation.Outputs["&amp;F$5&amp;"]"), MATCH("V.04", INDIRECT("XII.b.nationalnavigation.Outputs[Vector]"), 0))</f>
        <v>0.66</v>
      </c>
      <c r="G90" s="3318">
        <f t="shared" ca="1" si="106"/>
        <v>0.66</v>
      </c>
      <c r="H90" s="3318">
        <f t="shared" ca="1" si="106"/>
        <v>0.66</v>
      </c>
      <c r="I90" s="3318">
        <f t="shared" ca="1" si="106"/>
        <v>0.66</v>
      </c>
      <c r="J90" s="3318">
        <f t="shared" ca="1" si="106"/>
        <v>0.66</v>
      </c>
      <c r="K90" s="3318">
        <f t="shared" ca="1" si="106"/>
        <v>0.66</v>
      </c>
      <c r="L90" s="3318">
        <f t="shared" ca="1" si="106"/>
        <v>0.66</v>
      </c>
      <c r="M90" s="3318">
        <f t="shared" ca="1" si="106"/>
        <v>0.66</v>
      </c>
      <c r="N90" s="3306"/>
      <c r="O90"/>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row>
    <row r="91" spans="2:49" s="3889" customFormat="1">
      <c r="B91" s="3303"/>
      <c r="C91" s="3315" t="s">
        <v>1712</v>
      </c>
      <c r="D91" s="3318" t="s">
        <v>373</v>
      </c>
      <c r="E91" s="3318">
        <f ca="1">-INDEX(INDIRECT("XII.c.Outputs["&amp;E$5&amp;"]"), MATCH("V.04", INDIRECT("XII.c.Outputs[Vector]"), 0))</f>
        <v>7.02</v>
      </c>
      <c r="F91" s="3318">
        <f t="shared" ref="F91:M91" ca="1" si="107">-INDEX(INDIRECT("XII.c.Outputs["&amp;F$5&amp;"]"), MATCH("V.04", INDIRECT("XII.c.Outputs[Vector]"), 0))</f>
        <v>6.8942086199999997</v>
      </c>
      <c r="G91" s="3318">
        <f t="shared" ca="1" si="107"/>
        <v>7.4554183878892841</v>
      </c>
      <c r="H91" s="3318">
        <f t="shared" ca="1" si="107"/>
        <v>8.0623123555082739</v>
      </c>
      <c r="I91" s="3318">
        <f t="shared" ca="1" si="107"/>
        <v>8.7186093571046239</v>
      </c>
      <c r="J91" s="3318">
        <f t="shared" ca="1" si="107"/>
        <v>9.4283309514618914</v>
      </c>
      <c r="K91" s="3318">
        <f t="shared" ca="1" si="107"/>
        <v>10.195826064607054</v>
      </c>
      <c r="L91" s="3318">
        <f t="shared" ca="1" si="107"/>
        <v>11.025797638510145</v>
      </c>
      <c r="M91" s="3318">
        <f t="shared" ca="1" si="107"/>
        <v>11.923331449069897</v>
      </c>
      <c r="N91" s="3306"/>
      <c r="O91"/>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row>
    <row r="92" spans="2:49" s="3889" customFormat="1">
      <c r="B92" s="3303"/>
      <c r="C92" s="3315" t="s">
        <v>1712</v>
      </c>
      <c r="D92" s="3318" t="s">
        <v>3226</v>
      </c>
      <c r="E92" s="3318"/>
      <c r="F92" s="3318"/>
      <c r="G92" s="3318"/>
      <c r="H92" s="3318"/>
      <c r="I92" s="3318"/>
      <c r="J92" s="3318"/>
      <c r="K92" s="3318"/>
      <c r="L92" s="3318"/>
      <c r="M92" s="3318"/>
      <c r="N92" s="3306"/>
      <c r="O9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row>
    <row r="93" spans="2:49" s="3889" customFormat="1">
      <c r="B93" s="3303"/>
      <c r="C93" s="3315" t="s">
        <v>2658</v>
      </c>
      <c r="D93" s="3318" t="s">
        <v>495</v>
      </c>
      <c r="E93" s="3318">
        <f ca="1">-INDEX(INDIRECT("XIV.a.Outputs["&amp;E$5&amp;"]"), MATCH("V.01", INDIRECT("XIV.a.Outputs[Vector]"), 0))</f>
        <v>0</v>
      </c>
      <c r="F93" s="3318">
        <f t="shared" ref="F93:M93" ca="1" si="108">-INDEX(INDIRECT("XIV.a.Outputs["&amp;F$5&amp;"]"), MATCH("V.01", INDIRECT("XIV.a.Outputs[Vector]"), 0))</f>
        <v>0</v>
      </c>
      <c r="G93" s="3318">
        <f t="shared" ca="1" si="108"/>
        <v>0</v>
      </c>
      <c r="H93" s="3318">
        <f t="shared" ca="1" si="108"/>
        <v>0</v>
      </c>
      <c r="I93" s="3318">
        <f t="shared" ca="1" si="108"/>
        <v>0</v>
      </c>
      <c r="J93" s="3318">
        <f t="shared" ca="1" si="108"/>
        <v>0</v>
      </c>
      <c r="K93" s="3318">
        <f t="shared" ca="1" si="108"/>
        <v>0</v>
      </c>
      <c r="L93" s="3318">
        <f t="shared" ca="1" si="108"/>
        <v>0</v>
      </c>
      <c r="M93" s="3318">
        <f t="shared" ca="1" si="108"/>
        <v>0</v>
      </c>
      <c r="N93" s="3306"/>
      <c r="O93"/>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row>
    <row r="94" spans="2:49" s="3889" customFormat="1">
      <c r="B94" s="3918" t="s">
        <v>65</v>
      </c>
      <c r="C94" s="3315" t="s">
        <v>15</v>
      </c>
      <c r="D94" s="3318" t="s">
        <v>1786</v>
      </c>
      <c r="E94" s="3318">
        <f ca="1">INDEX(INDIRECT("VII.c.Outputs["&amp;E$5&amp;"]"), MATCH("X.01", INDIRECT("VII.c.Outputs[Vector]"), 0))+INDEX(INDIRECT("XVI.a.Outputs["&amp;E$5&amp;"]"), MATCH("X.02", INDIRECT("XVI.a.Outputs[Vector]"), 0))+INDEX(INDIRECT("VII.c.Outputs["&amp;E$5&amp;"]"), MATCH("X.02", INDIRECT("VII.c.Outputs[Vector]"), 0))</f>
        <v>0.81387891380036448</v>
      </c>
      <c r="F94" s="3318">
        <f t="shared" ref="F94:M94" ca="1" si="109">INDEX(INDIRECT("VII.c.Outputs["&amp;F$5&amp;"]"), MATCH("X.01", INDIRECT("VII.c.Outputs[Vector]"), 0))+INDEX(INDIRECT("XVI.a.Outputs["&amp;F$5&amp;"]"), MATCH("X.02", INDIRECT("XVI.a.Outputs[Vector]"), 0))+INDEX(INDIRECT("VII.c.Outputs["&amp;F$5&amp;"]"), MATCH("X.02", INDIRECT("VII.c.Outputs[Vector]"), 0))</f>
        <v>0.94535078593685362</v>
      </c>
      <c r="G94" s="3318">
        <f t="shared" ca="1" si="109"/>
        <v>0.94960421248904414</v>
      </c>
      <c r="H94" s="3318">
        <f t="shared" ca="1" si="109"/>
        <v>0.58731268241618295</v>
      </c>
      <c r="I94" s="3318">
        <f t="shared" ca="1" si="109"/>
        <v>0.43916558032837694</v>
      </c>
      <c r="J94" s="3318">
        <f t="shared" ca="1" si="109"/>
        <v>0.55530388095991212</v>
      </c>
      <c r="K94" s="3318">
        <f t="shared" ca="1" si="109"/>
        <v>0.73459523028794282</v>
      </c>
      <c r="L94" s="3318">
        <f t="shared" ca="1" si="109"/>
        <v>0.91895573071530778</v>
      </c>
      <c r="M94" s="3318">
        <f t="shared" ca="1" si="109"/>
        <v>1.1085852695635894</v>
      </c>
      <c r="N94" s="3306"/>
      <c r="O94"/>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row>
    <row r="95" spans="2:49" s="3889" customFormat="1">
      <c r="B95" s="3303"/>
      <c r="C95" s="3315"/>
      <c r="D95" s="3318"/>
      <c r="E95" s="3318"/>
      <c r="F95" s="3318"/>
      <c r="G95" s="3318"/>
      <c r="H95" s="3318"/>
      <c r="I95" s="3318"/>
      <c r="J95" s="3318"/>
      <c r="K95" s="3318"/>
      <c r="L95" s="3318"/>
      <c r="M95" s="3318"/>
      <c r="N95" s="3306"/>
      <c r="O95"/>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row>
    <row r="96" spans="2:49">
      <c r="B96" s="3919" t="s">
        <v>65</v>
      </c>
      <c r="C96" s="3920" t="s">
        <v>3229</v>
      </c>
    </row>
    <row r="97" spans="2:16" ht="15.75">
      <c r="B97" s="3295" t="s">
        <v>3410</v>
      </c>
      <c r="C97" s="3296"/>
      <c r="D97" s="3296"/>
      <c r="E97" s="3297"/>
      <c r="F97" s="3297"/>
      <c r="G97" s="3297"/>
      <c r="H97" s="3297"/>
      <c r="I97" s="3297"/>
      <c r="J97" s="3297"/>
      <c r="K97" s="3297"/>
      <c r="L97" s="3297"/>
      <c r="M97" s="3297"/>
      <c r="N97" s="3298"/>
    </row>
    <row r="98" spans="2:16" ht="15.75">
      <c r="B98" s="3299"/>
      <c r="C98" s="3300"/>
      <c r="D98" s="3300"/>
      <c r="E98" s="3301"/>
      <c r="F98" s="3301"/>
      <c r="G98" s="3301"/>
      <c r="H98" s="3301"/>
      <c r="I98" s="3301"/>
      <c r="J98" s="3301"/>
      <c r="K98" s="3301"/>
      <c r="L98" s="3301"/>
      <c r="M98" s="3301"/>
      <c r="N98" s="3302"/>
    </row>
    <row r="99" spans="2:16" ht="15.75">
      <c r="B99" s="3902"/>
      <c r="C99" s="3304"/>
      <c r="D99" s="3304"/>
      <c r="E99" s="3903"/>
      <c r="F99" s="3903"/>
      <c r="G99" s="3903"/>
      <c r="H99" s="3903"/>
      <c r="I99" s="3903"/>
      <c r="J99" s="3903"/>
      <c r="K99" s="3903"/>
      <c r="L99" s="3903"/>
      <c r="M99" s="3904" t="str">
        <f>Preferences.EnergyUnits</f>
        <v>TWh</v>
      </c>
      <c r="N99" s="3905"/>
    </row>
    <row r="100" spans="2:16" ht="15.75">
      <c r="B100" s="3902"/>
      <c r="C100" s="3311" t="s">
        <v>2641</v>
      </c>
      <c r="D100" s="3312" t="s">
        <v>2642</v>
      </c>
      <c r="E100" s="3313">
        <v>2013</v>
      </c>
      <c r="F100" s="3313">
        <v>2015</v>
      </c>
      <c r="G100" s="3313">
        <v>2020</v>
      </c>
      <c r="H100" s="3313">
        <v>2025</v>
      </c>
      <c r="I100" s="3313">
        <v>2030</v>
      </c>
      <c r="J100" s="3313">
        <v>2035</v>
      </c>
      <c r="K100" s="3313">
        <v>2040</v>
      </c>
      <c r="L100" s="3313">
        <v>2045</v>
      </c>
      <c r="M100" s="3314">
        <v>2050</v>
      </c>
      <c r="N100" s="3905"/>
    </row>
    <row r="101" spans="2:16" ht="15.75">
      <c r="B101" s="3902"/>
      <c r="C101" s="3906" t="s">
        <v>3411</v>
      </c>
      <c r="D101" s="3906" t="s">
        <v>16</v>
      </c>
      <c r="E101" s="3907">
        <f ca="1">E17+E25</f>
        <v>0.71935780481966682</v>
      </c>
      <c r="F101" s="3907">
        <f t="shared" ref="F101:M102" ca="1" si="110">F17+F25</f>
        <v>3.8497577180337856</v>
      </c>
      <c r="G101" s="3907">
        <f t="shared" ca="1" si="110"/>
        <v>14.029791105809554</v>
      </c>
      <c r="H101" s="3907">
        <f t="shared" ca="1" si="110"/>
        <v>10.924447090064488</v>
      </c>
      <c r="I101" s="3907">
        <f t="shared" ca="1" si="110"/>
        <v>7.3833809460243174</v>
      </c>
      <c r="J101" s="3907">
        <f t="shared" ca="1" si="110"/>
        <v>25.062916527922088</v>
      </c>
      <c r="K101" s="3907">
        <f t="shared" ca="1" si="110"/>
        <v>26.552829881435457</v>
      </c>
      <c r="L101" s="3907">
        <f t="shared" ca="1" si="110"/>
        <v>26.608380914267954</v>
      </c>
      <c r="M101" s="3907">
        <f t="shared" ca="1" si="110"/>
        <v>26.675755503624643</v>
      </c>
      <c r="N101" s="3905"/>
    </row>
    <row r="102" spans="2:16" ht="15.75">
      <c r="B102" s="3902"/>
      <c r="C102" s="3906" t="s">
        <v>3411</v>
      </c>
      <c r="D102" s="3906" t="s">
        <v>1712</v>
      </c>
      <c r="E102" s="3907">
        <f ca="1">E18+E26</f>
        <v>0.96325499999999997</v>
      </c>
      <c r="F102" s="3907">
        <f t="shared" ca="1" si="110"/>
        <v>1.101728044762011</v>
      </c>
      <c r="G102" s="3907">
        <f t="shared" ca="1" si="110"/>
        <v>1.5953072417998606</v>
      </c>
      <c r="H102" s="3907">
        <f t="shared" ca="1" si="110"/>
        <v>2.6134271531647091</v>
      </c>
      <c r="I102" s="3907">
        <f t="shared" ca="1" si="110"/>
        <v>3.7496425337946544</v>
      </c>
      <c r="J102" s="3907">
        <f t="shared" ca="1" si="110"/>
        <v>4.8895539554269201</v>
      </c>
      <c r="K102" s="3907">
        <f t="shared" ca="1" si="110"/>
        <v>6.0334693084075708</v>
      </c>
      <c r="L102" s="3907">
        <f t="shared" ca="1" si="110"/>
        <v>7.1817196795418443</v>
      </c>
      <c r="M102" s="3907">
        <f t="shared" ca="1" si="110"/>
        <v>8.334661002248648</v>
      </c>
      <c r="N102" s="3905"/>
    </row>
    <row r="103" spans="2:16" ht="15.75">
      <c r="B103" s="3902"/>
      <c r="C103" s="3906" t="s">
        <v>3411</v>
      </c>
      <c r="D103" s="3906" t="s">
        <v>15</v>
      </c>
      <c r="E103" s="3907">
        <f ca="1">E27</f>
        <v>0.22774455378050898</v>
      </c>
      <c r="F103" s="3907">
        <f t="shared" ref="F103:M103" ca="1" si="111">F27</f>
        <v>0.36184126233438352</v>
      </c>
      <c r="G103" s="3907">
        <f t="shared" ca="1" si="111"/>
        <v>1.2809073708829677</v>
      </c>
      <c r="H103" s="3907">
        <f t="shared" ca="1" si="111"/>
        <v>2.7367354408428457</v>
      </c>
      <c r="I103" s="3907">
        <f t="shared" ca="1" si="111"/>
        <v>6.8882063731063781</v>
      </c>
      <c r="J103" s="3907">
        <f t="shared" ca="1" si="111"/>
        <v>10.241779129231292</v>
      </c>
      <c r="K103" s="3907">
        <f t="shared" ca="1" si="111"/>
        <v>15.401266021886139</v>
      </c>
      <c r="L103" s="3907">
        <f t="shared" ca="1" si="111"/>
        <v>19.887599646208944</v>
      </c>
      <c r="M103" s="3907">
        <f t="shared" ca="1" si="111"/>
        <v>23.824090611859152</v>
      </c>
      <c r="N103" s="3905"/>
    </row>
    <row r="104" spans="2:16" ht="15.75">
      <c r="B104" s="3902"/>
      <c r="C104" s="3906"/>
      <c r="D104" s="3906"/>
      <c r="E104" s="3907"/>
      <c r="F104" s="3907"/>
      <c r="G104" s="3907"/>
      <c r="H104" s="3907"/>
      <c r="I104" s="3907"/>
      <c r="J104" s="3907"/>
      <c r="K104" s="3907"/>
      <c r="L104" s="3907"/>
      <c r="M104" s="3907"/>
      <c r="N104" s="3905"/>
    </row>
    <row r="105" spans="2:16" ht="15.75">
      <c r="B105" s="3902"/>
      <c r="C105" s="3906"/>
      <c r="D105" s="3906"/>
      <c r="E105" s="3907"/>
      <c r="F105" s="3907"/>
      <c r="G105" s="3907"/>
      <c r="H105" s="3907"/>
      <c r="I105" s="3907"/>
      <c r="J105" s="3907"/>
      <c r="K105" s="3907"/>
      <c r="L105" s="3907"/>
      <c r="M105" s="3904" t="str">
        <f>Preferences.EnergyUnits</f>
        <v>TWh</v>
      </c>
      <c r="N105" s="3905"/>
      <c r="P105"/>
    </row>
    <row r="106" spans="2:16" ht="15.75">
      <c r="B106" s="3902"/>
      <c r="C106" s="3313"/>
      <c r="D106" s="3313" t="s">
        <v>3412</v>
      </c>
      <c r="E106" s="3313">
        <v>2013</v>
      </c>
      <c r="F106" s="3313">
        <v>2015</v>
      </c>
      <c r="G106" s="3313">
        <v>2020</v>
      </c>
      <c r="H106" s="3313">
        <v>2025</v>
      </c>
      <c r="I106" s="3313">
        <v>2030</v>
      </c>
      <c r="J106" s="3313">
        <v>2035</v>
      </c>
      <c r="K106" s="3313">
        <v>2040</v>
      </c>
      <c r="L106" s="3313">
        <v>2045</v>
      </c>
      <c r="M106" s="3314">
        <v>2050</v>
      </c>
      <c r="N106" s="3905"/>
    </row>
    <row r="107" spans="2:16" ht="15.75">
      <c r="B107" s="3902"/>
      <c r="C107" s="3906" t="s">
        <v>98</v>
      </c>
      <c r="D107" s="3906" t="s">
        <v>16</v>
      </c>
      <c r="E107" s="3907">
        <f ca="1">S51</f>
        <v>23.785388252829467</v>
      </c>
      <c r="F107" s="3907">
        <f t="shared" ref="F107:M107" ca="1" si="112">T51</f>
        <v>24.283329943926539</v>
      </c>
      <c r="G107" s="3907">
        <f t="shared" ca="1" si="112"/>
        <v>16.777250665890641</v>
      </c>
      <c r="H107" s="3907">
        <f t="shared" ca="1" si="112"/>
        <v>13.164665758912552</v>
      </c>
      <c r="I107" s="3907">
        <f t="shared" ca="1" si="112"/>
        <v>7.6125211930842864</v>
      </c>
      <c r="J107" s="3907">
        <f t="shared" ca="1" si="112"/>
        <v>25.288251409601049</v>
      </c>
      <c r="K107" s="3907">
        <f t="shared" ca="1" si="112"/>
        <v>26.774695783623443</v>
      </c>
      <c r="L107" s="3907">
        <f t="shared" ca="1" si="112"/>
        <v>26.826494487152331</v>
      </c>
      <c r="M107" s="3907">
        <f t="shared" ca="1" si="112"/>
        <v>26.889360105771154</v>
      </c>
      <c r="N107" s="3905"/>
    </row>
    <row r="108" spans="2:16" ht="15.75">
      <c r="B108" s="3902"/>
      <c r="C108" s="3906" t="s">
        <v>99</v>
      </c>
      <c r="D108" s="3906" t="s">
        <v>1712</v>
      </c>
      <c r="E108" s="3907">
        <f ca="1">S34</f>
        <v>77.30436277743145</v>
      </c>
      <c r="F108" s="3907">
        <f t="shared" ref="F108:M108" ca="1" si="113">T34</f>
        <v>71.530693121474101</v>
      </c>
      <c r="G108" s="3907">
        <f t="shared" ca="1" si="113"/>
        <v>67.727908156726983</v>
      </c>
      <c r="H108" s="3907">
        <f t="shared" ca="1" si="113"/>
        <v>64.320243216158687</v>
      </c>
      <c r="I108" s="3907">
        <f t="shared" ca="1" si="113"/>
        <v>62.603377123518747</v>
      </c>
      <c r="J108" s="3907">
        <f t="shared" ca="1" si="113"/>
        <v>60.945104672714251</v>
      </c>
      <c r="K108" s="3907">
        <f t="shared" ca="1" si="113"/>
        <v>59.499711865312094</v>
      </c>
      <c r="L108" s="3907">
        <f t="shared" ca="1" si="113"/>
        <v>58.124185560784838</v>
      </c>
      <c r="M108" s="3907">
        <f t="shared" ca="1" si="113"/>
        <v>56.959239737929998</v>
      </c>
      <c r="N108" s="3905"/>
    </row>
    <row r="109" spans="2:16" ht="15.75">
      <c r="B109" s="3902"/>
      <c r="C109" s="3906" t="s">
        <v>100</v>
      </c>
      <c r="D109" s="3906" t="s">
        <v>15</v>
      </c>
      <c r="E109" s="3907">
        <f ca="1">S19</f>
        <v>46.775359234591932</v>
      </c>
      <c r="F109" s="3907">
        <f t="shared" ref="F109:M109" ca="1" si="114">T19</f>
        <v>47.76162831564703</v>
      </c>
      <c r="G109" s="3907">
        <f t="shared" ca="1" si="114"/>
        <v>47.743982856399477</v>
      </c>
      <c r="H109" s="3907">
        <f t="shared" ca="1" si="114"/>
        <v>42.478226951004558</v>
      </c>
      <c r="I109" s="3907">
        <f t="shared" ca="1" si="114"/>
        <v>36.605077308659887</v>
      </c>
      <c r="J109" s="3907">
        <f t="shared" ca="1" si="114"/>
        <v>47.817341740852008</v>
      </c>
      <c r="K109" s="3907">
        <f t="shared" ca="1" si="114"/>
        <v>65.108876604703596</v>
      </c>
      <c r="L109" s="3907">
        <f t="shared" ca="1" si="114"/>
        <v>82.070270757944783</v>
      </c>
      <c r="M109" s="3907">
        <f t="shared" ca="1" si="114"/>
        <v>98.838360518995387</v>
      </c>
      <c r="N109" s="3905"/>
    </row>
    <row r="110" spans="2:16" ht="15.75">
      <c r="B110" s="3902"/>
      <c r="C110" s="3906"/>
      <c r="D110" s="3906"/>
      <c r="E110" s="3907"/>
      <c r="F110" s="3907"/>
      <c r="G110" s="3907"/>
      <c r="H110" s="3907"/>
      <c r="I110" s="3907"/>
      <c r="J110" s="3907"/>
      <c r="K110" s="3907"/>
      <c r="L110" s="3907"/>
      <c r="M110" s="3907"/>
      <c r="N110" s="3905"/>
    </row>
    <row r="111" spans="2:16" ht="15.75">
      <c r="B111" s="3902"/>
      <c r="C111" s="3906"/>
      <c r="D111" s="3906"/>
      <c r="E111" s="3907"/>
      <c r="F111" s="3907"/>
      <c r="G111" s="3907"/>
      <c r="H111" s="3907"/>
      <c r="I111" s="3907"/>
      <c r="J111" s="3907"/>
      <c r="K111" s="3907"/>
      <c r="L111" s="3907"/>
      <c r="M111" s="3904" t="str">
        <f>Preferences.EnergyUnits</f>
        <v>TWh</v>
      </c>
      <c r="N111" s="3905"/>
    </row>
    <row r="112" spans="2:16" ht="15.75">
      <c r="B112" s="3902"/>
      <c r="C112" s="3906"/>
      <c r="D112" s="3313" t="s">
        <v>3413</v>
      </c>
      <c r="E112" s="3313">
        <v>2013</v>
      </c>
      <c r="F112" s="3313">
        <v>2015</v>
      </c>
      <c r="G112" s="3313">
        <v>2020</v>
      </c>
      <c r="H112" s="3313">
        <v>2025</v>
      </c>
      <c r="I112" s="3313">
        <v>2030</v>
      </c>
      <c r="J112" s="3313">
        <v>2035</v>
      </c>
      <c r="K112" s="3313">
        <v>2040</v>
      </c>
      <c r="L112" s="3313">
        <v>2045</v>
      </c>
      <c r="M112" s="3314">
        <v>2050</v>
      </c>
      <c r="N112" s="3905"/>
    </row>
    <row r="113" spans="2:14" ht="15.75">
      <c r="B113" s="3902"/>
      <c r="C113" s="3906" t="s">
        <v>2663</v>
      </c>
      <c r="D113" s="3906" t="s">
        <v>16</v>
      </c>
      <c r="E113" s="3907">
        <f ca="1">SUMIFS(INDIRECT("FlowsTable["&amp;E$112&amp;"]"),FlowsTable[From],$D113,FlowsTable[To],$C113)</f>
        <v>0</v>
      </c>
      <c r="F113" s="3907">
        <f ca="1">SUMIFS(INDIRECT("FlowsTable["&amp;F$112&amp;"]"),FlowsTable[From],$D113,FlowsTable[To],$C113)</f>
        <v>0</v>
      </c>
      <c r="G113" s="3907">
        <f ca="1">SUMIFS(INDIRECT("FlowsTable["&amp;G$112&amp;"]"),FlowsTable[From],$D113,FlowsTable[To],$C113)</f>
        <v>0</v>
      </c>
      <c r="H113" s="3907">
        <f ca="1">SUMIFS(INDIRECT("FlowsTable["&amp;H$112&amp;"]"),FlowsTable[From],$D113,FlowsTable[To],$C113)</f>
        <v>2.2402186688480645</v>
      </c>
      <c r="I113" s="3907">
        <f ca="1">SUMIFS(INDIRECT("FlowsTable["&amp;I$112&amp;"]"),FlowsTable[From],$D113,FlowsTable[To],$C113)</f>
        <v>0.22914024705997099</v>
      </c>
      <c r="J113" s="3907">
        <f ca="1">SUMIFS(INDIRECT("FlowsTable["&amp;J$112&amp;"]"),FlowsTable[From],$D113,FlowsTable[To],$C113)</f>
        <v>0.22533488167895965</v>
      </c>
      <c r="K113" s="3907">
        <f ca="1">SUMIFS(INDIRECT("FlowsTable["&amp;K$112&amp;"]"),FlowsTable[From],$D113,FlowsTable[To],$C113)</f>
        <v>0.22186590218798416</v>
      </c>
      <c r="L113" s="3907">
        <f ca="1">SUMIFS(INDIRECT("FlowsTable["&amp;L$112&amp;"]"),FlowsTable[From],$D113,FlowsTable[To],$C113)</f>
        <v>0.21811357288438121</v>
      </c>
      <c r="M113" s="3907">
        <f ca="1">SUMIFS(INDIRECT("FlowsTable["&amp;M$112&amp;"]"),FlowsTable[From],$D113,FlowsTable[To],$C113)</f>
        <v>0.2136046021465092</v>
      </c>
      <c r="N113" s="3905"/>
    </row>
    <row r="114" spans="2:14" ht="15.75">
      <c r="B114" s="3902"/>
      <c r="C114" s="3906" t="s">
        <v>2663</v>
      </c>
      <c r="D114" s="3906" t="s">
        <v>1712</v>
      </c>
      <c r="E114" s="3907">
        <f ca="1">SUMIFS(INDIRECT("FlowsTable["&amp;E$112&amp;"]"),FlowsTable[From],$D114,FlowsTable[To],$C114)</f>
        <v>0</v>
      </c>
      <c r="F114" s="3907">
        <f ca="1">SUMIFS(INDIRECT("FlowsTable["&amp;F$112&amp;"]"),FlowsTable[From],$D114,FlowsTable[To],$C114)</f>
        <v>0</v>
      </c>
      <c r="G114" s="3907">
        <f ca="1">SUMIFS(INDIRECT("FlowsTable["&amp;G$112&amp;"]"),FlowsTable[From],$D114,FlowsTable[To],$C114)</f>
        <v>0</v>
      </c>
      <c r="H114" s="3907">
        <f ca="1">SUMIFS(INDIRECT("FlowsTable["&amp;H$112&amp;"]"),FlowsTable[From],$D114,FlowsTable[To],$C114)</f>
        <v>0</v>
      </c>
      <c r="I114" s="3907">
        <f ca="1">SUMIFS(INDIRECT("FlowsTable["&amp;I$112&amp;"]"),FlowsTable[From],$D114,FlowsTable[To],$C114)</f>
        <v>0</v>
      </c>
      <c r="J114" s="3907">
        <f ca="1">SUMIFS(INDIRECT("FlowsTable["&amp;J$112&amp;"]"),FlowsTable[From],$D114,FlowsTable[To],$C114)</f>
        <v>0</v>
      </c>
      <c r="K114" s="3907">
        <f ca="1">SUMIFS(INDIRECT("FlowsTable["&amp;K$112&amp;"]"),FlowsTable[From],$D114,FlowsTable[To],$C114)</f>
        <v>0</v>
      </c>
      <c r="L114" s="3907">
        <f ca="1">SUMIFS(INDIRECT("FlowsTable["&amp;L$112&amp;"]"),FlowsTable[From],$D114,FlowsTable[To],$C114)</f>
        <v>0</v>
      </c>
      <c r="M114" s="3907">
        <f ca="1">SUMIFS(INDIRECT("FlowsTable["&amp;M$112&amp;"]"),FlowsTable[From],$D114,FlowsTable[To],$C114)</f>
        <v>0</v>
      </c>
      <c r="N114" s="3905"/>
    </row>
    <row r="115" spans="2:14" ht="15.75">
      <c r="B115" s="3902"/>
      <c r="C115" s="3906" t="s">
        <v>2663</v>
      </c>
      <c r="D115" s="3906" t="s">
        <v>15</v>
      </c>
      <c r="E115" s="3907">
        <f ca="1">SUMIFS(INDIRECT("FlowsTable["&amp;E$112&amp;"]"),FlowsTable[From],$D115,FlowsTable[To],$C115)</f>
        <v>0</v>
      </c>
      <c r="F115" s="3907">
        <f ca="1">SUMIFS(INDIRECT("FlowsTable["&amp;F$112&amp;"]"),FlowsTable[From],$D115,FlowsTable[To],$C115)</f>
        <v>0</v>
      </c>
      <c r="G115" s="3907">
        <f ca="1">SUMIFS(INDIRECT("FlowsTable["&amp;G$112&amp;"]"),FlowsTable[From],$D115,FlowsTable[To],$C115)</f>
        <v>0</v>
      </c>
      <c r="H115" s="3907">
        <f ca="1">SUMIFS(INDIRECT("FlowsTable["&amp;H$112&amp;"]"),FlowsTable[From],$D115,FlowsTable[To],$C115)</f>
        <v>0</v>
      </c>
      <c r="I115" s="3907">
        <f ca="1">SUMIFS(INDIRECT("FlowsTable["&amp;I$112&amp;"]"),FlowsTable[From],$D115,FlowsTable[To],$C115)</f>
        <v>0</v>
      </c>
      <c r="J115" s="3907">
        <f ca="1">SUMIFS(INDIRECT("FlowsTable["&amp;J$112&amp;"]"),FlowsTable[From],$D115,FlowsTable[To],$C115)</f>
        <v>0</v>
      </c>
      <c r="K115" s="3907">
        <f ca="1">SUMIFS(INDIRECT("FlowsTable["&amp;K$112&amp;"]"),FlowsTable[From],$D115,FlowsTable[To],$C115)</f>
        <v>0</v>
      </c>
      <c r="L115" s="3907">
        <f ca="1">SUMIFS(INDIRECT("FlowsTable["&amp;L$112&amp;"]"),FlowsTable[From],$D115,FlowsTable[To],$C115)</f>
        <v>0</v>
      </c>
      <c r="M115" s="3907">
        <f ca="1">SUMIFS(INDIRECT("FlowsTable["&amp;M$112&amp;"]"),FlowsTable[From],$D115,FlowsTable[To],$C115)</f>
        <v>0</v>
      </c>
      <c r="N115" s="3905"/>
    </row>
    <row r="116" spans="2:14" ht="15.75">
      <c r="B116" s="3902"/>
      <c r="C116" s="3906"/>
      <c r="D116" s="3906"/>
      <c r="E116" s="3907"/>
      <c r="F116" s="3907"/>
      <c r="G116" s="3907"/>
      <c r="H116" s="3907"/>
      <c r="I116" s="3907"/>
      <c r="J116" s="3907"/>
      <c r="K116" s="3907"/>
      <c r="L116" s="3907"/>
      <c r="M116" s="3907"/>
      <c r="N116" s="3905"/>
    </row>
    <row r="117" spans="2:14" ht="15.75">
      <c r="B117" s="3902"/>
      <c r="C117" s="3906"/>
      <c r="D117" s="3906"/>
      <c r="E117" s="3907"/>
      <c r="F117" s="3907"/>
      <c r="G117" s="3907"/>
      <c r="H117" s="3907"/>
      <c r="I117" s="3907"/>
      <c r="J117" s="3907"/>
      <c r="K117" s="3907"/>
      <c r="L117" s="3907"/>
      <c r="M117" s="3904" t="str">
        <f>Preferences.EnergyUnits</f>
        <v>TWh</v>
      </c>
      <c r="N117" s="3905"/>
    </row>
    <row r="118" spans="2:14" ht="15.75">
      <c r="B118" s="3902"/>
      <c r="C118" s="3313"/>
      <c r="D118" s="3313" t="s">
        <v>3414</v>
      </c>
      <c r="E118" s="3313">
        <v>2013</v>
      </c>
      <c r="F118" s="3313">
        <v>2015</v>
      </c>
      <c r="G118" s="3313">
        <v>2020</v>
      </c>
      <c r="H118" s="3313">
        <v>2025</v>
      </c>
      <c r="I118" s="3313">
        <v>2030</v>
      </c>
      <c r="J118" s="3313">
        <v>2035</v>
      </c>
      <c r="K118" s="3313">
        <v>2040</v>
      </c>
      <c r="L118" s="3313">
        <v>2045</v>
      </c>
      <c r="M118" s="3314">
        <v>2050</v>
      </c>
      <c r="N118" s="3905"/>
    </row>
    <row r="119" spans="2:14" ht="15.75">
      <c r="B119" s="3902"/>
      <c r="C119" s="3906" t="s">
        <v>98</v>
      </c>
      <c r="D119" s="3906" t="s">
        <v>16</v>
      </c>
      <c r="E119" s="4072">
        <f ca="1">E107-E113</f>
        <v>23.785388252829467</v>
      </c>
      <c r="F119" s="4072">
        <f t="shared" ref="F119:M119" ca="1" si="115">F107-F113</f>
        <v>24.283329943926539</v>
      </c>
      <c r="G119" s="4072">
        <f t="shared" ca="1" si="115"/>
        <v>16.777250665890641</v>
      </c>
      <c r="H119" s="4072">
        <f t="shared" ca="1" si="115"/>
        <v>10.924447090064486</v>
      </c>
      <c r="I119" s="4072">
        <f t="shared" ca="1" si="115"/>
        <v>7.3833809460243156</v>
      </c>
      <c r="J119" s="4072">
        <f t="shared" ca="1" si="115"/>
        <v>25.062916527922088</v>
      </c>
      <c r="K119" s="4072">
        <f t="shared" ca="1" si="115"/>
        <v>26.552829881435457</v>
      </c>
      <c r="L119" s="4072">
        <f t="shared" ca="1" si="115"/>
        <v>26.608380914267951</v>
      </c>
      <c r="M119" s="4072">
        <f t="shared" ca="1" si="115"/>
        <v>26.675755503624643</v>
      </c>
      <c r="N119" s="3905"/>
    </row>
    <row r="120" spans="2:14" ht="15.75">
      <c r="B120" s="3902"/>
      <c r="C120" s="3906" t="s">
        <v>99</v>
      </c>
      <c r="D120" s="3906" t="s">
        <v>1712</v>
      </c>
      <c r="E120" s="4072">
        <f t="shared" ref="E120:M121" ca="1" si="116">E108-E114</f>
        <v>77.30436277743145</v>
      </c>
      <c r="F120" s="4072">
        <f t="shared" ca="1" si="116"/>
        <v>71.530693121474101</v>
      </c>
      <c r="G120" s="4072">
        <f t="shared" ca="1" si="116"/>
        <v>67.727908156726983</v>
      </c>
      <c r="H120" s="4072">
        <f t="shared" ca="1" si="116"/>
        <v>64.320243216158687</v>
      </c>
      <c r="I120" s="4072">
        <f t="shared" ca="1" si="116"/>
        <v>62.603377123518747</v>
      </c>
      <c r="J120" s="4072">
        <f t="shared" ca="1" si="116"/>
        <v>60.945104672714251</v>
      </c>
      <c r="K120" s="4072">
        <f t="shared" ca="1" si="116"/>
        <v>59.499711865312094</v>
      </c>
      <c r="L120" s="4072">
        <f t="shared" ca="1" si="116"/>
        <v>58.124185560784838</v>
      </c>
      <c r="M120" s="4072">
        <f t="shared" ca="1" si="116"/>
        <v>56.959239737929998</v>
      </c>
      <c r="N120" s="3905"/>
    </row>
    <row r="121" spans="2:14" ht="15.75">
      <c r="B121" s="3902"/>
      <c r="C121" s="3906" t="s">
        <v>100</v>
      </c>
      <c r="D121" s="3906" t="s">
        <v>15</v>
      </c>
      <c r="E121" s="4072">
        <f t="shared" ca="1" si="116"/>
        <v>46.775359234591932</v>
      </c>
      <c r="F121" s="4072">
        <f t="shared" ca="1" si="116"/>
        <v>47.76162831564703</v>
      </c>
      <c r="G121" s="4072">
        <f t="shared" ca="1" si="116"/>
        <v>47.743982856399477</v>
      </c>
      <c r="H121" s="4072">
        <f t="shared" ca="1" si="116"/>
        <v>42.478226951004558</v>
      </c>
      <c r="I121" s="4072">
        <f t="shared" ca="1" si="116"/>
        <v>36.605077308659887</v>
      </c>
      <c r="J121" s="4072">
        <f t="shared" ca="1" si="116"/>
        <v>47.817341740852008</v>
      </c>
      <c r="K121" s="4072">
        <f t="shared" ca="1" si="116"/>
        <v>65.108876604703596</v>
      </c>
      <c r="L121" s="4072">
        <f t="shared" ca="1" si="116"/>
        <v>82.070270757944783</v>
      </c>
      <c r="M121" s="4072">
        <f t="shared" ca="1" si="116"/>
        <v>98.838360518995387</v>
      </c>
      <c r="N121" s="3905"/>
    </row>
    <row r="122" spans="2:14" ht="15.75">
      <c r="B122" s="3902"/>
      <c r="C122" s="3906"/>
      <c r="D122" s="3906"/>
      <c r="E122" s="3907"/>
      <c r="F122" s="3907"/>
      <c r="G122" s="3907"/>
      <c r="H122" s="3907"/>
      <c r="I122" s="3907"/>
      <c r="J122" s="3907"/>
      <c r="K122" s="3907"/>
      <c r="L122" s="3907"/>
      <c r="M122" s="3907"/>
      <c r="N122" s="3905"/>
    </row>
    <row r="123" spans="2:14" ht="15.75">
      <c r="B123" s="3902"/>
      <c r="C123" s="3906"/>
      <c r="D123" s="3906"/>
      <c r="E123" s="3907"/>
      <c r="F123" s="3907"/>
      <c r="G123" s="3907"/>
      <c r="H123" s="3907"/>
      <c r="I123" s="3907"/>
      <c r="J123" s="3907"/>
      <c r="K123" s="3907"/>
      <c r="L123" s="3907"/>
      <c r="M123" s="3904" t="s">
        <v>43</v>
      </c>
      <c r="N123" s="3905"/>
    </row>
    <row r="124" spans="2:14" ht="15.75">
      <c r="B124" s="3902"/>
      <c r="C124" s="3313" t="s">
        <v>28</v>
      </c>
      <c r="D124" s="3313" t="s">
        <v>3415</v>
      </c>
      <c r="E124" s="3313">
        <v>2013</v>
      </c>
      <c r="F124" s="3313">
        <v>2015</v>
      </c>
      <c r="G124" s="3313">
        <v>2020</v>
      </c>
      <c r="H124" s="3313">
        <v>2025</v>
      </c>
      <c r="I124" s="3313">
        <v>2030</v>
      </c>
      <c r="J124" s="3313">
        <v>2035</v>
      </c>
      <c r="K124" s="3313">
        <v>2040</v>
      </c>
      <c r="L124" s="3313">
        <v>2045</v>
      </c>
      <c r="M124" s="3314">
        <v>2050</v>
      </c>
      <c r="N124" s="3905"/>
    </row>
    <row r="125" spans="2:14" ht="15.75">
      <c r="B125" s="3902"/>
      <c r="C125" s="3906" t="s">
        <v>98</v>
      </c>
      <c r="D125" s="3906" t="s">
        <v>16</v>
      </c>
      <c r="E125" s="4073">
        <f ca="1">MIN(E101/E119,1)</f>
        <v>3.0243685626367412E-2</v>
      </c>
      <c r="F125" s="4073">
        <f t="shared" ref="F125:M125" ca="1" si="117">MIN(F101/F119,1)</f>
        <v>0.15853500022127903</v>
      </c>
      <c r="G125" s="4073">
        <f t="shared" ca="1" si="117"/>
        <v>0.8362389872574969</v>
      </c>
      <c r="H125" s="4073">
        <f t="shared" ca="1" si="117"/>
        <v>1</v>
      </c>
      <c r="I125" s="4073">
        <f t="shared" ca="1" si="117"/>
        <v>1</v>
      </c>
      <c r="J125" s="4073">
        <f t="shared" ca="1" si="117"/>
        <v>1</v>
      </c>
      <c r="K125" s="4073">
        <f t="shared" ca="1" si="117"/>
        <v>1</v>
      </c>
      <c r="L125" s="4073">
        <f t="shared" ca="1" si="117"/>
        <v>1</v>
      </c>
      <c r="M125" s="4073">
        <f t="shared" ca="1" si="117"/>
        <v>1</v>
      </c>
      <c r="N125" s="3905"/>
    </row>
    <row r="126" spans="2:14" ht="15.75">
      <c r="B126" s="3902"/>
      <c r="C126" s="3906" t="s">
        <v>99</v>
      </c>
      <c r="D126" s="3906" t="s">
        <v>1712</v>
      </c>
      <c r="E126" s="4073">
        <f t="shared" ref="E126:M127" ca="1" si="118">MIN(E102/E120,1)</f>
        <v>1.2460551583269974E-2</v>
      </c>
      <c r="F126" s="4073">
        <f t="shared" ca="1" si="118"/>
        <v>1.540217208424146E-2</v>
      </c>
      <c r="G126" s="4073">
        <f t="shared" ca="1" si="118"/>
        <v>2.3554651032602559E-2</v>
      </c>
      <c r="H126" s="4073">
        <f t="shared" ca="1" si="118"/>
        <v>4.0631487421181854E-2</v>
      </c>
      <c r="I126" s="4073">
        <f t="shared" ca="1" si="118"/>
        <v>5.9895211825337677E-2</v>
      </c>
      <c r="J126" s="4073">
        <f t="shared" ca="1" si="118"/>
        <v>8.0228822014248233E-2</v>
      </c>
      <c r="K126" s="4073">
        <f t="shared" ca="1" si="118"/>
        <v>0.10140333657523205</v>
      </c>
      <c r="L126" s="4073">
        <f t="shared" ca="1" si="118"/>
        <v>0.1235581988848924</v>
      </c>
      <c r="M126" s="4073">
        <f t="shared" ca="1" si="118"/>
        <v>0.14632675998830921</v>
      </c>
      <c r="N126" s="3905"/>
    </row>
    <row r="127" spans="2:14" ht="15.75">
      <c r="B127" s="3902"/>
      <c r="C127" s="3906" t="s">
        <v>100</v>
      </c>
      <c r="D127" s="3906" t="s">
        <v>15</v>
      </c>
      <c r="E127" s="4073">
        <f t="shared" ca="1" si="118"/>
        <v>4.8689001539957031E-3</v>
      </c>
      <c r="F127" s="4073">
        <f t="shared" ca="1" si="118"/>
        <v>7.5759825427861695E-3</v>
      </c>
      <c r="G127" s="4073">
        <f t="shared" ca="1" si="118"/>
        <v>2.6828666027624428E-2</v>
      </c>
      <c r="H127" s="4073">
        <f t="shared" ca="1" si="118"/>
        <v>6.4426781372006525E-2</v>
      </c>
      <c r="I127" s="4073">
        <f t="shared" ca="1" si="118"/>
        <v>0.18817625530534784</v>
      </c>
      <c r="J127" s="4073">
        <f t="shared" ca="1" si="118"/>
        <v>0.21418545566035482</v>
      </c>
      <c r="K127" s="4073">
        <f t="shared" ca="1" si="118"/>
        <v>0.23654633323489904</v>
      </c>
      <c r="L127" s="4073">
        <f t="shared" ca="1" si="118"/>
        <v>0.24232404088034196</v>
      </c>
      <c r="M127" s="4073">
        <f t="shared" ca="1" si="118"/>
        <v>0.24104093275890068</v>
      </c>
      <c r="N127" s="3905"/>
    </row>
    <row r="128" spans="2:14" ht="15.75">
      <c r="B128" s="3902"/>
      <c r="C128" s="3906"/>
      <c r="D128" s="3304"/>
      <c r="E128" s="4073"/>
      <c r="F128" s="4073"/>
      <c r="G128" s="4073"/>
      <c r="H128" s="4073"/>
      <c r="I128" s="4073"/>
      <c r="J128" s="4073"/>
      <c r="K128" s="4073"/>
      <c r="L128" s="4073"/>
      <c r="M128" s="4073"/>
      <c r="N128" s="3905"/>
    </row>
    <row r="129" spans="2:15" ht="15.75">
      <c r="B129" s="3902"/>
      <c r="C129" s="3906"/>
      <c r="D129" s="3906"/>
      <c r="E129" s="4073"/>
      <c r="F129" s="4073"/>
      <c r="G129" s="4073"/>
      <c r="H129" s="4073"/>
      <c r="I129" s="4073"/>
      <c r="J129" s="4073"/>
      <c r="K129" s="4073"/>
      <c r="L129" s="4073"/>
      <c r="M129" s="4074" t="str">
        <f>"Mt CO2e per " &amp; Preferences.EnergyUnits</f>
        <v>Mt CO2e per TWh</v>
      </c>
      <c r="N129" s="3905"/>
    </row>
    <row r="130" spans="2:15" ht="15.75">
      <c r="B130" s="3902"/>
      <c r="C130" s="3313" t="s">
        <v>28</v>
      </c>
      <c r="D130" s="3313" t="s">
        <v>3416</v>
      </c>
      <c r="E130" s="3313" t="s">
        <v>597</v>
      </c>
      <c r="F130" s="3313" t="s">
        <v>133</v>
      </c>
      <c r="G130" s="3313" t="s">
        <v>134</v>
      </c>
      <c r="H130" s="3313" t="s">
        <v>135</v>
      </c>
      <c r="I130" s="3313" t="s">
        <v>136</v>
      </c>
      <c r="J130" s="3313" t="s">
        <v>137</v>
      </c>
      <c r="K130" s="3313" t="s">
        <v>138</v>
      </c>
      <c r="L130" s="3313" t="s">
        <v>139</v>
      </c>
      <c r="M130" s="4076" t="s">
        <v>140</v>
      </c>
      <c r="N130" s="3905"/>
    </row>
    <row r="131" spans="2:15" ht="15.75">
      <c r="B131" s="3902"/>
      <c r="C131" s="3906" t="s">
        <v>98</v>
      </c>
      <c r="D131" s="3906" t="s">
        <v>16</v>
      </c>
      <c r="E131" s="4075">
        <f ca="1">INDEX(EF[CO2e], MATCH($C131, EF[Vector], 0))*(E125)</f>
        <v>1.0229422198442532E-2</v>
      </c>
      <c r="F131" s="4075">
        <f ca="1">INDEX(EF[CO2e], MATCH($C131, EF[Vector], 0))*(F125)</f>
        <v>5.3621819461043954E-2</v>
      </c>
      <c r="G131" s="4075">
        <f ca="1">INDEX(EF[CO2e], MATCH($C131, EF[Vector], 0))*(G125)</f>
        <v>0.2828438889735409</v>
      </c>
      <c r="H131" s="4075">
        <f ca="1">INDEX(EF[CO2e], MATCH($C131, EF[Vector], 0))*(H125)</f>
        <v>0.33823332000000006</v>
      </c>
      <c r="I131" s="4075">
        <f ca="1">INDEX(EF[CO2e], MATCH($C131, EF[Vector], 0))*(I125)</f>
        <v>0.33823332000000006</v>
      </c>
      <c r="J131" s="4075">
        <f ca="1">INDEX(EF[CO2e], MATCH($C131, EF[Vector], 0))*(J125)</f>
        <v>0.33823332000000006</v>
      </c>
      <c r="K131" s="4075">
        <f ca="1">INDEX(EF[CO2e], MATCH($C131, EF[Vector], 0))*(K125)</f>
        <v>0.33823332000000006</v>
      </c>
      <c r="L131" s="4075">
        <f ca="1">INDEX(EF[CO2e], MATCH($C131, EF[Vector], 0))*(L125)</f>
        <v>0.33823332000000006</v>
      </c>
      <c r="M131" s="4075">
        <f ca="1">INDEX(EF[CO2e], MATCH($C131, EF[Vector], 0))*(M125)</f>
        <v>0.33823332000000006</v>
      </c>
      <c r="N131" s="3905"/>
      <c r="O131" s="4013" t="s">
        <v>5</v>
      </c>
    </row>
    <row r="132" spans="2:15" ht="15.75">
      <c r="B132" s="3902"/>
      <c r="C132" s="3906" t="s">
        <v>99</v>
      </c>
      <c r="D132" s="3906" t="s">
        <v>1712</v>
      </c>
      <c r="E132" s="4075">
        <f ca="1">INDEX(EF[CO2e], MATCH($C132, EF[Vector], 0))*(E126)</f>
        <v>3.2992599902325237E-3</v>
      </c>
      <c r="F132" s="4075">
        <f ca="1">INDEX(EF[CO2e], MATCH($C132, EF[Vector], 0))*(F126)</f>
        <v>4.0781316766459498E-3</v>
      </c>
      <c r="G132" s="4075">
        <f ca="1">INDEX(EF[CO2e], MATCH($C132, EF[Vector], 0))*(G126)</f>
        <v>6.2367157036687876E-3</v>
      </c>
      <c r="H132" s="4075">
        <f ca="1">INDEX(EF[CO2e], MATCH($C132, EF[Vector], 0))*(H126)</f>
        <v>1.0758258966025815E-2</v>
      </c>
      <c r="I132" s="4075">
        <f ca="1">INDEX(EF[CO2e], MATCH($C132, EF[Vector], 0))*(I126)</f>
        <v>1.5858838564350337E-2</v>
      </c>
      <c r="J132" s="4075">
        <f ca="1">INDEX(EF[CO2e], MATCH($C132, EF[Vector], 0))*(J126)</f>
        <v>2.1242698669173395E-2</v>
      </c>
      <c r="K132" s="4075">
        <f ca="1">INDEX(EF[CO2e], MATCH($C132, EF[Vector], 0))*(K126)</f>
        <v>2.684921040637827E-2</v>
      </c>
      <c r="L132" s="4075">
        <f ca="1">INDEX(EF[CO2e], MATCH($C132, EF[Vector], 0))*(L126)</f>
        <v>3.2715295091225824E-2</v>
      </c>
      <c r="M132" s="4075">
        <f ca="1">INDEX(EF[CO2e], MATCH($C132, EF[Vector], 0))*(M126)</f>
        <v>3.8743872733368552E-2</v>
      </c>
      <c r="N132" s="3905"/>
    </row>
    <row r="133" spans="2:15" ht="15.75">
      <c r="B133" s="3902"/>
      <c r="C133" s="3906" t="s">
        <v>100</v>
      </c>
      <c r="D133" s="3906" t="s">
        <v>15</v>
      </c>
      <c r="E133" s="4075">
        <f ca="1">INDEX(EF[CO2e], MATCH($C133, EF[Vector], 0))*(E127)</f>
        <v>1.012892879516219E-3</v>
      </c>
      <c r="F133" s="4075">
        <f ca="1">INDEX(EF[CO2e], MATCH($C133, EF[Vector], 0))*(F127)</f>
        <v>1.5760558915199438E-3</v>
      </c>
      <c r="G133" s="4075">
        <f ca="1">INDEX(EF[CO2e], MATCH($C133, EF[Vector], 0))*(G127)</f>
        <v>5.5812532454579981E-3</v>
      </c>
      <c r="H133" s="4075">
        <f ca="1">INDEX(EF[CO2e], MATCH($C133, EF[Vector], 0))*(H127)</f>
        <v>1.3402909494518908E-2</v>
      </c>
      <c r="I133" s="4075">
        <f ca="1">INDEX(EF[CO2e], MATCH($C133, EF[Vector], 0))*(I127)</f>
        <v>3.9146908555188487E-2</v>
      </c>
      <c r="J133" s="4075">
        <f ca="1">INDEX(EF[CO2e], MATCH($C133, EF[Vector], 0))*(J127)</f>
        <v>4.4557685734481725E-2</v>
      </c>
      <c r="K133" s="4075">
        <f ca="1">INDEX(EF[CO2e], MATCH($C133, EF[Vector], 0))*(K127)</f>
        <v>4.9209490651122401E-2</v>
      </c>
      <c r="L133" s="4075">
        <f ca="1">INDEX(EF[CO2e], MATCH($C133, EF[Vector], 0))*(L127)</f>
        <v>5.0411445661268352E-2</v>
      </c>
      <c r="M133" s="4075">
        <f ca="1">INDEX(EF[CO2e], MATCH($C133, EF[Vector], 0))*(M127)</f>
        <v>5.0144516572818938E-2</v>
      </c>
      <c r="N133" s="3905"/>
    </row>
    <row r="134" spans="2:15" ht="15.75">
      <c r="B134" s="3902"/>
      <c r="C134" s="3906"/>
      <c r="D134" s="3906"/>
      <c r="E134" s="4073"/>
      <c r="F134" s="4073"/>
      <c r="G134" s="4073"/>
      <c r="H134" s="4073"/>
      <c r="I134" s="4073"/>
      <c r="J134" s="4073"/>
      <c r="K134" s="4073"/>
      <c r="L134" s="4073"/>
      <c r="M134" s="4073"/>
      <c r="N134" s="3905"/>
    </row>
    <row r="135" spans="2:15" ht="15.75">
      <c r="B135" s="3902"/>
      <c r="C135" s="3304"/>
      <c r="D135" s="3304"/>
      <c r="E135" s="3903"/>
      <c r="F135" s="3903"/>
      <c r="G135" s="3903"/>
      <c r="H135" s="3903"/>
      <c r="I135" s="3903"/>
      <c r="J135" s="3903"/>
      <c r="K135" s="3903"/>
      <c r="L135" s="3903"/>
      <c r="M135" s="3904"/>
      <c r="N135" s="3905"/>
    </row>
  </sheetData>
  <conditionalFormatting sqref="AO7:AX56 AO6:AW56">
    <cfRule type="cellIs" dxfId="3006" priority="4" operator="between">
      <formula>-1</formula>
      <formula>1</formula>
    </cfRule>
  </conditionalFormatting>
  <pageMargins left="0.7" right="0.7" top="0.75" bottom="0.75" header="0.3" footer="0.3"/>
  <pageSetup orientation="portrait" r:id="rId1"/>
  <tableParts count="2">
    <tablePart r:id="rId2"/>
    <tablePart r:id="rId3"/>
  </tableParts>
</worksheet>
</file>

<file path=xl/worksheets/sheet9.xml><?xml version="1.0" encoding="utf-8"?>
<worksheet xmlns="http://schemas.openxmlformats.org/spreadsheetml/2006/main" xmlns:r="http://schemas.openxmlformats.org/officeDocument/2006/relationships">
  <sheetPr codeName="Sheet3">
    <tabColor theme="7" tint="0.39997558519241921"/>
    <pageSetUpPr autoPageBreaks="0"/>
  </sheetPr>
  <dimension ref="A3:G11"/>
  <sheetViews>
    <sheetView showGridLines="0" workbookViewId="0">
      <selection activeCell="C19" sqref="C19"/>
    </sheetView>
  </sheetViews>
  <sheetFormatPr defaultColWidth="8.85546875" defaultRowHeight="12.75"/>
  <cols>
    <col min="1" max="1" width="3.7109375" style="2070" customWidth="1"/>
    <col min="2" max="2" width="24.28515625" style="2070" bestFit="1" customWidth="1"/>
    <col min="3" max="3" width="20.28515625" style="2070" customWidth="1"/>
    <col min="4" max="4" width="4.28515625" style="2070" customWidth="1"/>
    <col min="5" max="5" width="12.28515625" style="2070" bestFit="1" customWidth="1"/>
    <col min="6" max="6" width="10.140625" style="2070" bestFit="1" customWidth="1"/>
    <col min="7" max="16384" width="8.85546875" style="2070"/>
  </cols>
  <sheetData>
    <row r="3" spans="1:7" s="2072" customFormat="1" ht="21">
      <c r="A3" s="2415"/>
      <c r="B3" s="2078" t="s">
        <v>1871</v>
      </c>
      <c r="C3" s="2416" t="s">
        <v>27</v>
      </c>
      <c r="E3" s="2072" t="s">
        <v>1872</v>
      </c>
      <c r="F3" s="2417">
        <f>1/Unit.J</f>
        <v>3599999999999999.5</v>
      </c>
      <c r="G3" s="2072" t="s">
        <v>78</v>
      </c>
    </row>
    <row r="5" spans="1:7" ht="21">
      <c r="A5" s="2418"/>
      <c r="B5" s="2078" t="s">
        <v>1873</v>
      </c>
      <c r="C5" s="2416" t="s">
        <v>280</v>
      </c>
      <c r="E5" s="2072" t="s">
        <v>1872</v>
      </c>
      <c r="F5" s="2417">
        <f>1/Unit.W</f>
        <v>999999999.99999988</v>
      </c>
      <c r="G5" s="2072" t="s">
        <v>1595</v>
      </c>
    </row>
    <row r="7" spans="1:7" ht="21">
      <c r="A7" s="2418"/>
      <c r="B7" s="2078" t="s">
        <v>1874</v>
      </c>
      <c r="C7" s="2416" t="s">
        <v>877</v>
      </c>
      <c r="E7" s="2072" t="s">
        <v>1872</v>
      </c>
      <c r="F7" s="2417">
        <f>1/Unit.m2</f>
        <v>1000000</v>
      </c>
      <c r="G7" s="2072" t="s">
        <v>1638</v>
      </c>
    </row>
    <row r="9" spans="1:7" ht="15">
      <c r="B9"/>
      <c r="C9" s="3978"/>
      <c r="D9"/>
      <c r="E9"/>
      <c r="F9" s="2417"/>
      <c r="G9" s="2072"/>
    </row>
    <row r="11" spans="1:7">
      <c r="C11" s="3978"/>
    </row>
  </sheetData>
  <dataValidations count="3">
    <dataValidation type="list" allowBlank="1" showInputMessage="1" showErrorMessage="1" sqref="C7">
      <formula1>Conversions.Area.Units</formula1>
    </dataValidation>
    <dataValidation type="list" allowBlank="1" showInputMessage="1" showErrorMessage="1" sqref="C5">
      <formula1>Conversions.Power.Units</formula1>
    </dataValidation>
    <dataValidation type="list" allowBlank="1" showInputMessage="1" showErrorMessage="1" sqref="C3">
      <formula1>Conversions.Energy.Units</formula1>
    </dataValidation>
  </dataValidations>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sheetPr codeName="Sheet8">
    <tabColor theme="7" tint="0.39997558519241921"/>
    <pageSetUpPr autoPageBreaks="0"/>
  </sheetPr>
  <dimension ref="A2:AP105"/>
  <sheetViews>
    <sheetView showGridLines="0" zoomScale="80" zoomScaleNormal="80" workbookViewId="0">
      <selection activeCell="G40" sqref="G40"/>
    </sheetView>
  </sheetViews>
  <sheetFormatPr defaultColWidth="8.85546875" defaultRowHeight="12.75"/>
  <cols>
    <col min="1" max="1" width="3.7109375" style="2070" customWidth="1"/>
    <col min="2" max="2" width="16.140625" style="2070" customWidth="1"/>
    <col min="3" max="3" width="28.42578125" style="2070" bestFit="1" customWidth="1"/>
    <col min="4" max="4" width="23.7109375" style="2070" customWidth="1"/>
    <col min="5" max="5" width="14.85546875" style="2070" customWidth="1"/>
    <col min="6" max="6" width="13.85546875" style="2070" bestFit="1" customWidth="1"/>
    <col min="7" max="7" width="8.85546875" style="2070"/>
    <col min="8" max="8" width="10.42578125" style="2070" bestFit="1" customWidth="1"/>
    <col min="9" max="9" width="15.140625" style="2070" customWidth="1"/>
    <col min="10" max="10" width="13.28515625" style="2070" bestFit="1" customWidth="1"/>
    <col min="11" max="11" width="17" style="2070" customWidth="1"/>
    <col min="12" max="12" width="13.42578125" style="2070" customWidth="1"/>
    <col min="13" max="13" width="53.7109375" style="2070" customWidth="1"/>
    <col min="14" max="15" width="10.42578125" style="2070" bestFit="1" customWidth="1"/>
    <col min="16" max="16" width="12.7109375" style="2070" customWidth="1"/>
    <col min="17" max="22" width="8.85546875" style="2070" customWidth="1"/>
    <col min="23" max="24" width="8.85546875" style="2070"/>
    <col min="25" max="25" width="13.140625" style="2070" customWidth="1"/>
    <col min="26" max="16384" width="8.85546875" style="2070"/>
  </cols>
  <sheetData>
    <row r="2" spans="1:42" ht="18">
      <c r="B2" s="2071" t="s">
        <v>1534</v>
      </c>
      <c r="C2" s="2071"/>
      <c r="H2" s="2071" t="s">
        <v>1535</v>
      </c>
    </row>
    <row r="3" spans="1:42" ht="4.5" customHeight="1"/>
    <row r="4" spans="1:42" s="2072" customFormat="1" ht="20.25" customHeight="1">
      <c r="B4" s="2073" t="s">
        <v>895</v>
      </c>
      <c r="C4" s="2073" t="s">
        <v>29</v>
      </c>
      <c r="D4" s="2073" t="s">
        <v>1536</v>
      </c>
      <c r="E4" s="2074" t="s">
        <v>78</v>
      </c>
      <c r="F4" s="2074" t="str">
        <f>Preferences.EnergyUnits</f>
        <v>TWh</v>
      </c>
      <c r="H4" s="2075">
        <v>1</v>
      </c>
      <c r="I4" s="2076" t="s">
        <v>1537</v>
      </c>
      <c r="J4" s="2072" t="s">
        <v>1538</v>
      </c>
      <c r="K4" s="2077">
        <f>H4*INDEX(Conversions.Energy.Joules, MATCH(I4, Conversions.Energy.Units, 0))/INDEX(Conversions.Energy.Joules, MATCH(L4, Conversions.Energy.Units, 0))</f>
        <v>3.1688810807659062E-2</v>
      </c>
      <c r="L4" s="2076" t="s">
        <v>1539</v>
      </c>
    </row>
    <row r="5" spans="1:42" s="2072" customFormat="1" ht="15.75">
      <c r="A5" s="2078"/>
      <c r="B5" s="2079" t="s">
        <v>1537</v>
      </c>
      <c r="C5" s="2079" t="s">
        <v>1540</v>
      </c>
      <c r="D5" s="2080" t="s">
        <v>1541</v>
      </c>
      <c r="E5" s="2081">
        <f>10^15</f>
        <v>1000000000000000</v>
      </c>
      <c r="F5" s="2081">
        <f t="shared" ref="F5:F23" si="0">$E5/INDEX(Conversions.Energy.Joules, MATCH(F$4, Conversions.Energy.Units, 0))</f>
        <v>0.27777777777777779</v>
      </c>
    </row>
    <row r="6" spans="1:42" s="2072" customFormat="1" ht="15.75">
      <c r="A6" s="2078"/>
      <c r="B6" s="2079" t="s">
        <v>1542</v>
      </c>
      <c r="C6" s="2079" t="s">
        <v>1543</v>
      </c>
      <c r="D6" s="2080" t="s">
        <v>1544</v>
      </c>
      <c r="E6" s="2081">
        <f>10^12</f>
        <v>1000000000000</v>
      </c>
      <c r="F6" s="2081">
        <f t="shared" si="0"/>
        <v>2.7777777777777778E-4</v>
      </c>
      <c r="H6" s="2082"/>
      <c r="I6" s="2082"/>
      <c r="J6" s="2082"/>
      <c r="K6" s="2083"/>
      <c r="L6" s="2082"/>
      <c r="M6" s="2082"/>
      <c r="N6" s="2082"/>
      <c r="O6" s="2082"/>
      <c r="P6" s="2082"/>
      <c r="Q6" s="2082"/>
      <c r="R6" s="2082"/>
      <c r="S6" s="2082"/>
      <c r="T6" s="2082"/>
      <c r="U6" s="2082"/>
      <c r="V6" s="2082"/>
      <c r="W6" s="2082"/>
      <c r="X6" s="2082"/>
      <c r="Y6" s="2082"/>
      <c r="Z6" s="2082"/>
      <c r="AA6" s="2082"/>
      <c r="AB6" s="2082"/>
      <c r="AC6" s="2082"/>
      <c r="AD6" s="2082"/>
      <c r="AE6" s="2082"/>
      <c r="AF6" s="2082"/>
      <c r="AG6" s="2082"/>
      <c r="AH6" s="2082"/>
      <c r="AI6" s="2082"/>
      <c r="AJ6" s="2082"/>
      <c r="AK6" s="2082"/>
      <c r="AL6" s="2082"/>
      <c r="AM6" s="2082"/>
      <c r="AN6" s="2082"/>
      <c r="AO6" s="2082"/>
      <c r="AP6" s="2082"/>
    </row>
    <row r="7" spans="1:42" s="2072" customFormat="1" ht="15.75">
      <c r="A7" s="2078"/>
      <c r="B7" s="2079" t="s">
        <v>1545</v>
      </c>
      <c r="C7" s="2079" t="s">
        <v>1546</v>
      </c>
      <c r="D7" s="2080" t="s">
        <v>1547</v>
      </c>
      <c r="E7" s="2081">
        <f>10^9</f>
        <v>1000000000</v>
      </c>
      <c r="F7" s="2081">
        <f t="shared" si="0"/>
        <v>2.7777777777777776E-7</v>
      </c>
      <c r="H7" s="2082"/>
      <c r="I7" s="2082"/>
      <c r="J7" s="2082"/>
      <c r="K7" s="2082"/>
      <c r="L7" s="2084"/>
      <c r="M7" s="2082"/>
      <c r="N7" s="2082"/>
      <c r="O7" s="2082"/>
      <c r="P7" s="2082"/>
      <c r="Q7" s="2082"/>
      <c r="R7" s="2082"/>
      <c r="S7" s="2082"/>
      <c r="T7" s="2082"/>
      <c r="U7" s="2082"/>
      <c r="V7" s="2082"/>
      <c r="W7" s="2082"/>
      <c r="X7" s="2082"/>
      <c r="Y7" s="2082"/>
      <c r="Z7" s="2082"/>
      <c r="AA7" s="2082"/>
      <c r="AB7" s="2082"/>
      <c r="AC7" s="2082"/>
      <c r="AD7" s="2082"/>
      <c r="AE7" s="2082"/>
      <c r="AF7" s="2082"/>
      <c r="AG7" s="2082"/>
      <c r="AH7" s="2082"/>
      <c r="AI7" s="2082"/>
      <c r="AJ7" s="2082"/>
      <c r="AK7" s="2082"/>
      <c r="AL7" s="2082"/>
      <c r="AM7" s="2082"/>
      <c r="AN7" s="2082"/>
      <c r="AO7" s="2082"/>
      <c r="AP7" s="2082"/>
    </row>
    <row r="8" spans="1:42" s="2072" customFormat="1" ht="15.75">
      <c r="A8" s="2078"/>
      <c r="B8" s="2079" t="s">
        <v>1548</v>
      </c>
      <c r="C8" s="2079" t="s">
        <v>78</v>
      </c>
      <c r="D8" s="2080" t="s">
        <v>1549</v>
      </c>
      <c r="E8" s="2081">
        <v>1</v>
      </c>
      <c r="F8" s="2081">
        <f t="shared" si="0"/>
        <v>2.777777777777778E-16</v>
      </c>
      <c r="H8" s="2082"/>
      <c r="I8" s="2085"/>
      <c r="J8" s="2082"/>
      <c r="K8" s="2082"/>
      <c r="L8" s="2086"/>
      <c r="M8" s="2082"/>
      <c r="N8" s="2082"/>
      <c r="O8" s="2082"/>
      <c r="P8" s="2082"/>
      <c r="Q8" s="2082"/>
      <c r="R8" s="2082"/>
      <c r="S8" s="2082"/>
      <c r="T8" s="2082"/>
      <c r="U8" s="2082"/>
      <c r="V8" s="2082"/>
      <c r="W8" s="2082"/>
      <c r="X8" s="2082"/>
      <c r="Y8" s="2082"/>
      <c r="Z8" s="2082"/>
      <c r="AA8" s="2082"/>
      <c r="AB8" s="2082"/>
      <c r="AC8" s="2082"/>
      <c r="AD8" s="2082"/>
      <c r="AE8" s="2082"/>
      <c r="AF8" s="2082"/>
      <c r="AG8" s="2082"/>
      <c r="AH8" s="2082"/>
      <c r="AI8" s="2082"/>
      <c r="AJ8" s="2082"/>
      <c r="AK8" s="2082"/>
      <c r="AL8" s="2082"/>
      <c r="AM8" s="2082"/>
      <c r="AN8" s="2082"/>
      <c r="AO8" s="2082"/>
      <c r="AP8" s="2082"/>
    </row>
    <row r="9" spans="1:42" s="2072" customFormat="1" ht="15.75">
      <c r="A9" s="2078"/>
      <c r="B9" s="2079" t="s">
        <v>1550</v>
      </c>
      <c r="C9" s="2079" t="s">
        <v>1551</v>
      </c>
      <c r="D9" s="2080" t="s">
        <v>1552</v>
      </c>
      <c r="E9" s="2081">
        <f>10^6</f>
        <v>1000000</v>
      </c>
      <c r="F9" s="2081">
        <f t="shared" si="0"/>
        <v>2.7777777777777777E-10</v>
      </c>
      <c r="H9" s="2082"/>
      <c r="I9" s="2082"/>
      <c r="J9" s="2082"/>
      <c r="K9" s="2082"/>
      <c r="L9" s="2087"/>
      <c r="M9" s="2087"/>
      <c r="N9" s="2087"/>
      <c r="O9" s="2087"/>
      <c r="P9" s="2087"/>
      <c r="Q9" s="2087"/>
      <c r="R9" s="2087"/>
      <c r="S9" s="2087"/>
      <c r="T9" s="2087"/>
      <c r="U9" s="2087"/>
      <c r="V9" s="2087"/>
      <c r="W9" s="2087"/>
      <c r="X9" s="2082"/>
      <c r="Y9" s="2082"/>
      <c r="Z9" s="2082"/>
      <c r="AA9" s="2082"/>
      <c r="AB9" s="2082"/>
      <c r="AC9" s="2082"/>
      <c r="AD9" s="2082"/>
      <c r="AE9" s="2082"/>
      <c r="AF9" s="2082"/>
      <c r="AG9" s="2082"/>
      <c r="AH9" s="2082"/>
      <c r="AI9" s="2082"/>
      <c r="AJ9" s="2082"/>
      <c r="AK9" s="2082"/>
      <c r="AL9" s="2082"/>
      <c r="AM9" s="2082"/>
      <c r="AN9" s="2082"/>
      <c r="AO9" s="2082"/>
      <c r="AP9" s="2082"/>
    </row>
    <row r="10" spans="1:42" s="2072" customFormat="1" ht="15.75">
      <c r="A10" s="2078"/>
      <c r="B10" s="2079" t="s">
        <v>1553</v>
      </c>
      <c r="C10" s="2079" t="s">
        <v>1554</v>
      </c>
      <c r="D10" s="2080" t="s">
        <v>1555</v>
      </c>
      <c r="E10" s="2081">
        <f>10^3*60*60</f>
        <v>3600000</v>
      </c>
      <c r="F10" s="2081">
        <f t="shared" si="0"/>
        <v>1.0000000000000001E-9</v>
      </c>
      <c r="H10" s="2082"/>
      <c r="I10" s="2082"/>
      <c r="J10" s="2082"/>
      <c r="K10" s="2088"/>
      <c r="L10" s="2087"/>
      <c r="M10" s="2089"/>
      <c r="N10" s="2089"/>
      <c r="O10" s="2089"/>
      <c r="P10" s="2089"/>
      <c r="Q10" s="2089"/>
      <c r="R10" s="2089"/>
      <c r="S10" s="2089"/>
      <c r="T10" s="2089"/>
      <c r="U10" s="2089"/>
      <c r="V10" s="2089"/>
      <c r="W10" s="2089"/>
      <c r="X10" s="2082"/>
      <c r="Y10" s="2082"/>
      <c r="Z10" s="2082"/>
      <c r="AA10" s="2082"/>
      <c r="AB10" s="2082"/>
      <c r="AC10" s="2082"/>
      <c r="AD10" s="2082"/>
      <c r="AE10" s="2082"/>
      <c r="AF10" s="2082"/>
      <c r="AG10" s="2082"/>
      <c r="AH10" s="2082"/>
      <c r="AI10" s="2082"/>
      <c r="AJ10" s="2082"/>
      <c r="AK10" s="2082"/>
      <c r="AL10" s="2082"/>
      <c r="AM10" s="2082"/>
      <c r="AN10" s="2082"/>
      <c r="AO10" s="2082"/>
      <c r="AP10" s="2082"/>
    </row>
    <row r="11" spans="1:42" s="2072" customFormat="1" ht="15.75">
      <c r="A11" s="2078"/>
      <c r="B11" s="2079" t="s">
        <v>2847</v>
      </c>
      <c r="C11" s="2079" t="s">
        <v>1556</v>
      </c>
      <c r="D11" s="2080" t="s">
        <v>1557</v>
      </c>
      <c r="E11" s="2129">
        <f>1000*60*60*365.25*4600000</f>
        <v>6048540000000000</v>
      </c>
      <c r="F11" s="2129">
        <f t="shared" si="0"/>
        <v>1.68015</v>
      </c>
      <c r="H11" s="2082"/>
      <c r="I11" s="2082"/>
      <c r="J11" s="2082"/>
      <c r="K11" s="2082"/>
      <c r="L11" s="2087"/>
      <c r="M11" s="2089"/>
      <c r="N11" s="2089"/>
      <c r="O11" s="2089"/>
      <c r="P11" s="2089"/>
      <c r="Q11" s="2089"/>
      <c r="R11" s="2089"/>
      <c r="S11" s="2089"/>
      <c r="T11" s="2089"/>
      <c r="U11" s="2089"/>
      <c r="V11" s="2089"/>
      <c r="W11" s="2089"/>
      <c r="X11" s="2082"/>
      <c r="Y11" s="2082"/>
      <c r="Z11" s="2082"/>
      <c r="AA11" s="2082"/>
      <c r="AB11" s="2082"/>
      <c r="AC11" s="2082"/>
      <c r="AD11" s="2082"/>
      <c r="AE11" s="2082"/>
      <c r="AF11" s="2082"/>
      <c r="AG11" s="2082"/>
      <c r="AH11" s="2082"/>
      <c r="AI11" s="2082"/>
      <c r="AJ11" s="2082"/>
      <c r="AK11" s="2082"/>
      <c r="AL11" s="2082"/>
      <c r="AM11" s="2082"/>
      <c r="AN11" s="2082"/>
      <c r="AO11" s="2082"/>
      <c r="AP11" s="2082"/>
    </row>
    <row r="12" spans="1:42" s="2072" customFormat="1" ht="15.75">
      <c r="A12" s="2078"/>
      <c r="B12" s="2079" t="s">
        <v>27</v>
      </c>
      <c r="C12" s="2079" t="s">
        <v>1558</v>
      </c>
      <c r="D12" s="2080" t="s">
        <v>1559</v>
      </c>
      <c r="E12" s="2081">
        <f>10^12*60*60</f>
        <v>3600000000000000</v>
      </c>
      <c r="F12" s="2081">
        <f t="shared" si="0"/>
        <v>1</v>
      </c>
      <c r="H12" s="2082"/>
      <c r="I12" s="2082"/>
      <c r="J12" s="2082"/>
      <c r="K12" s="2082"/>
      <c r="L12" s="2087"/>
      <c r="M12" s="2089"/>
      <c r="N12" s="2089"/>
      <c r="O12" s="2089"/>
      <c r="P12" s="2089"/>
      <c r="Q12" s="2089"/>
      <c r="R12" s="2089"/>
      <c r="S12" s="2089"/>
      <c r="T12" s="2089"/>
      <c r="U12" s="2089"/>
      <c r="V12" s="2089"/>
      <c r="W12" s="2089"/>
      <c r="X12" s="2082"/>
      <c r="Y12" s="2082"/>
      <c r="Z12" s="2082"/>
      <c r="AA12" s="2082"/>
      <c r="AB12" s="2082"/>
      <c r="AC12" s="2082"/>
      <c r="AD12" s="2082"/>
      <c r="AE12" s="2082"/>
      <c r="AF12" s="2082"/>
      <c r="AG12" s="2082"/>
      <c r="AH12" s="2082"/>
      <c r="AI12" s="2082"/>
      <c r="AJ12" s="2082"/>
      <c r="AK12" s="2082"/>
      <c r="AL12" s="2082"/>
      <c r="AM12" s="2082"/>
      <c r="AN12" s="2082"/>
      <c r="AO12" s="2082"/>
      <c r="AP12" s="2082"/>
    </row>
    <row r="13" spans="1:42" s="2072" customFormat="1" ht="15.75">
      <c r="A13" s="2078"/>
      <c r="B13" s="2079" t="s">
        <v>1560</v>
      </c>
      <c r="C13" s="2079" t="s">
        <v>1561</v>
      </c>
      <c r="D13" s="2080" t="s">
        <v>1562</v>
      </c>
      <c r="E13" s="2081">
        <f>10^9*60*60</f>
        <v>3600000000000</v>
      </c>
      <c r="F13" s="2081">
        <f t="shared" si="0"/>
        <v>1E-3</v>
      </c>
      <c r="H13" s="2082"/>
      <c r="I13" s="2082"/>
      <c r="J13" s="2082"/>
      <c r="K13" s="2082"/>
      <c r="L13" s="2082"/>
      <c r="M13" s="2089"/>
      <c r="N13" s="2085"/>
      <c r="O13" s="2082"/>
      <c r="P13" s="2089"/>
      <c r="Q13" s="2089"/>
      <c r="R13" s="2089"/>
      <c r="S13" s="2089"/>
      <c r="T13" s="2089"/>
      <c r="U13" s="2089"/>
      <c r="V13" s="2089"/>
      <c r="W13" s="2089"/>
      <c r="X13" s="2082"/>
      <c r="Y13" s="2082"/>
      <c r="Z13" s="2082"/>
      <c r="AA13" s="2082"/>
      <c r="AB13" s="2082"/>
      <c r="AC13" s="2082"/>
      <c r="AD13" s="2082"/>
      <c r="AE13" s="2082"/>
      <c r="AF13" s="2082"/>
      <c r="AG13" s="2082"/>
      <c r="AH13" s="2082"/>
      <c r="AI13" s="2082"/>
      <c r="AJ13" s="2082"/>
      <c r="AK13" s="2082"/>
      <c r="AL13" s="2082"/>
      <c r="AM13" s="2082"/>
      <c r="AN13" s="2082"/>
      <c r="AO13" s="2082"/>
      <c r="AP13" s="2082"/>
    </row>
    <row r="14" spans="1:42" s="2072" customFormat="1" ht="15.75">
      <c r="A14" s="2078"/>
      <c r="B14" s="2079" t="s">
        <v>1563</v>
      </c>
      <c r="C14" s="2079" t="s">
        <v>1564</v>
      </c>
      <c r="D14" s="2080" t="s">
        <v>1565</v>
      </c>
      <c r="E14" s="2081">
        <f>10^6*60*60</f>
        <v>3600000000</v>
      </c>
      <c r="F14" s="2081">
        <f t="shared" si="0"/>
        <v>9.9999999999999995E-7</v>
      </c>
      <c r="H14" s="2082"/>
      <c r="I14" s="2082"/>
      <c r="J14" s="2082"/>
      <c r="K14" s="2082"/>
      <c r="L14" s="2087"/>
      <c r="M14" s="2089"/>
      <c r="N14" s="2090"/>
      <c r="O14" s="2089"/>
      <c r="P14" s="2089"/>
      <c r="Q14" s="2089"/>
      <c r="R14" s="2089"/>
      <c r="S14" s="2089"/>
      <c r="T14" s="2089"/>
      <c r="U14" s="2089"/>
      <c r="V14" s="2089"/>
      <c r="W14" s="2089"/>
      <c r="X14" s="2082"/>
      <c r="Y14" s="2091"/>
      <c r="Z14" s="2082"/>
      <c r="AA14" s="2082"/>
      <c r="AB14" s="2082"/>
      <c r="AC14" s="2082"/>
      <c r="AD14" s="2082"/>
      <c r="AE14" s="2082"/>
      <c r="AF14" s="2082"/>
      <c r="AG14" s="2082"/>
      <c r="AH14" s="2082"/>
      <c r="AI14" s="2082"/>
      <c r="AJ14" s="2082"/>
      <c r="AK14" s="2082"/>
      <c r="AL14" s="2082"/>
      <c r="AM14" s="2082"/>
      <c r="AN14" s="2082"/>
      <c r="AO14" s="2082"/>
      <c r="AP14" s="2082"/>
    </row>
    <row r="15" spans="1:42" s="2072" customFormat="1" ht="15.75">
      <c r="A15" s="2078"/>
      <c r="B15" s="2079" t="s">
        <v>1566</v>
      </c>
      <c r="C15" s="2079" t="s">
        <v>1567</v>
      </c>
      <c r="D15" s="2080" t="s">
        <v>1568</v>
      </c>
      <c r="E15" s="2081">
        <f>5861520000000000/1000000</f>
        <v>5861520000</v>
      </c>
      <c r="F15" s="2081">
        <f t="shared" si="0"/>
        <v>1.6281999999999999E-6</v>
      </c>
      <c r="H15" s="2082"/>
      <c r="I15" s="2082"/>
      <c r="J15" s="2082"/>
      <c r="K15" s="2082"/>
      <c r="L15" s="2082"/>
      <c r="M15" s="2082"/>
      <c r="N15" s="2092"/>
      <c r="O15" s="2092"/>
      <c r="P15" s="2092"/>
      <c r="Q15" s="2092"/>
      <c r="R15" s="2092"/>
      <c r="S15" s="2092"/>
      <c r="T15" s="2092"/>
      <c r="U15" s="2092"/>
      <c r="V15" s="2089"/>
      <c r="W15" s="2089"/>
      <c r="X15" s="2082"/>
      <c r="Y15" s="2082"/>
      <c r="Z15" s="2082"/>
      <c r="AA15" s="2082"/>
      <c r="AB15" s="2082"/>
      <c r="AC15" s="2082"/>
      <c r="AD15" s="2082"/>
      <c r="AE15" s="2082"/>
      <c r="AF15" s="2082"/>
      <c r="AG15" s="2082"/>
      <c r="AH15" s="2082"/>
      <c r="AI15" s="2082"/>
      <c r="AJ15" s="2082"/>
      <c r="AK15" s="2082"/>
      <c r="AL15" s="2082"/>
      <c r="AM15" s="2082"/>
      <c r="AN15" s="2082"/>
      <c r="AO15" s="2082"/>
      <c r="AP15" s="2082"/>
    </row>
    <row r="16" spans="1:42" s="2072" customFormat="1" ht="15.75">
      <c r="A16" s="2078"/>
      <c r="B16" s="2079" t="s">
        <v>1569</v>
      </c>
      <c r="C16" s="2079" t="s">
        <v>1570</v>
      </c>
      <c r="D16" s="2080" t="s">
        <v>1571</v>
      </c>
      <c r="E16" s="2081">
        <v>5861520000000000</v>
      </c>
      <c r="F16" s="2081">
        <f>$E16/INDEX(Conversions.Energy.Joules, MATCH(F$4, Conversions.Energy.Units, 0))</f>
        <v>1.6282000000000001</v>
      </c>
      <c r="H16" s="2082"/>
      <c r="I16" s="2082"/>
      <c r="J16" s="2082"/>
      <c r="K16" s="2082"/>
      <c r="L16" s="2089"/>
      <c r="M16" s="2089"/>
      <c r="N16" s="2093"/>
      <c r="O16" s="2093"/>
      <c r="P16" s="2093"/>
      <c r="Q16" s="2093"/>
      <c r="R16" s="2093"/>
      <c r="S16" s="2093"/>
      <c r="T16" s="2093"/>
      <c r="U16" s="2093"/>
      <c r="V16" s="2089"/>
      <c r="W16" s="2089"/>
      <c r="X16" s="2082"/>
      <c r="Y16" s="2091"/>
      <c r="Z16" s="2082"/>
      <c r="AA16" s="2082"/>
      <c r="AB16" s="2082"/>
      <c r="AC16" s="2082"/>
      <c r="AD16" s="2082"/>
      <c r="AE16" s="2082"/>
      <c r="AF16" s="2082"/>
      <c r="AG16" s="2082"/>
      <c r="AH16" s="2082"/>
      <c r="AI16" s="2082"/>
      <c r="AJ16" s="2082"/>
      <c r="AK16" s="2082"/>
      <c r="AL16" s="2082"/>
      <c r="AM16" s="2082"/>
      <c r="AN16" s="2082"/>
      <c r="AO16" s="2082"/>
      <c r="AP16" s="2082"/>
    </row>
    <row r="17" spans="1:42" s="2072" customFormat="1" ht="15.75">
      <c r="A17" s="2078"/>
      <c r="B17" s="2079" t="s">
        <v>1572</v>
      </c>
      <c r="C17" s="2079" t="s">
        <v>1573</v>
      </c>
      <c r="D17" s="2080" t="s">
        <v>1574</v>
      </c>
      <c r="E17" s="2081">
        <f>41.868*10^9</f>
        <v>41868000000</v>
      </c>
      <c r="F17" s="2081">
        <f t="shared" si="0"/>
        <v>1.163E-5</v>
      </c>
      <c r="H17" s="2082"/>
      <c r="I17" s="2082"/>
      <c r="J17" s="2082"/>
      <c r="K17" s="2082"/>
      <c r="L17" s="2089"/>
      <c r="M17" s="2089"/>
      <c r="N17" s="2094"/>
      <c r="O17" s="2094"/>
      <c r="P17" s="2094"/>
      <c r="Q17" s="2094"/>
      <c r="R17" s="2094"/>
      <c r="S17" s="2094"/>
      <c r="T17" s="2094"/>
      <c r="U17" s="2094"/>
      <c r="V17" s="2089"/>
      <c r="W17" s="2089"/>
      <c r="X17" s="2082"/>
      <c r="Y17" s="2082"/>
      <c r="Z17" s="2082"/>
      <c r="AA17" s="2082"/>
      <c r="AB17" s="2082"/>
      <c r="AC17" s="2082"/>
      <c r="AD17" s="2082"/>
      <c r="AE17" s="2082"/>
      <c r="AF17" s="2082"/>
      <c r="AG17" s="2082"/>
      <c r="AH17" s="2082"/>
      <c r="AI17" s="2082"/>
      <c r="AJ17" s="2082"/>
      <c r="AK17" s="2082"/>
      <c r="AL17" s="2082"/>
      <c r="AM17" s="2082"/>
      <c r="AN17" s="2082"/>
      <c r="AO17" s="2082"/>
      <c r="AP17" s="2082"/>
    </row>
    <row r="18" spans="1:42" s="2072" customFormat="1" ht="15.75">
      <c r="A18" s="2078"/>
      <c r="B18" s="2079" t="s">
        <v>1417</v>
      </c>
      <c r="C18" s="2079" t="s">
        <v>1575</v>
      </c>
      <c r="D18" s="2080" t="s">
        <v>1576</v>
      </c>
      <c r="E18" s="2081">
        <f>E17*1000</f>
        <v>41868000000000</v>
      </c>
      <c r="F18" s="2081">
        <f t="shared" si="0"/>
        <v>1.163E-2</v>
      </c>
      <c r="H18" s="2082"/>
      <c r="I18" s="2082"/>
      <c r="J18" s="2082"/>
      <c r="K18" s="2082"/>
      <c r="L18" s="2095"/>
      <c r="M18" s="2089"/>
      <c r="N18" s="2094"/>
      <c r="O18" s="2094"/>
      <c r="P18" s="2094"/>
      <c r="Q18" s="2094"/>
      <c r="R18" s="2094"/>
      <c r="S18" s="2094"/>
      <c r="T18" s="2094"/>
      <c r="U18" s="2094"/>
      <c r="V18" s="2089"/>
      <c r="W18" s="2089"/>
      <c r="X18" s="2082"/>
      <c r="Y18" s="2082"/>
      <c r="Z18" s="2082"/>
      <c r="AA18" s="2082"/>
      <c r="AB18" s="2082"/>
      <c r="AC18" s="2082"/>
      <c r="AD18" s="2082"/>
      <c r="AE18" s="2082"/>
      <c r="AF18" s="2082"/>
      <c r="AG18" s="2082"/>
      <c r="AH18" s="2082"/>
      <c r="AI18" s="2082"/>
      <c r="AJ18" s="2082"/>
      <c r="AK18" s="2082"/>
      <c r="AL18" s="2082"/>
      <c r="AM18" s="2082"/>
      <c r="AN18" s="2082"/>
      <c r="AO18" s="2082"/>
      <c r="AP18" s="2082"/>
    </row>
    <row r="19" spans="1:42" s="2072" customFormat="1" ht="15.75">
      <c r="A19" s="2078"/>
      <c r="B19" s="2079" t="s">
        <v>1577</v>
      </c>
      <c r="C19" s="2079" t="s">
        <v>1578</v>
      </c>
      <c r="D19" s="2080" t="s">
        <v>1579</v>
      </c>
      <c r="E19" s="2081">
        <f>E17*1000000</f>
        <v>4.1868E+16</v>
      </c>
      <c r="F19" s="2081">
        <f t="shared" si="0"/>
        <v>11.63</v>
      </c>
      <c r="H19" s="2082"/>
      <c r="I19" s="2082"/>
      <c r="J19" s="2082"/>
      <c r="K19" s="2082"/>
      <c r="L19" s="2089"/>
      <c r="M19" s="2089"/>
      <c r="N19" s="2082"/>
      <c r="O19" s="2082"/>
      <c r="P19" s="2082"/>
      <c r="Q19" s="2082"/>
      <c r="R19" s="2082"/>
      <c r="S19" s="2082"/>
      <c r="T19" s="2082"/>
      <c r="U19" s="2082"/>
      <c r="V19" s="2089"/>
      <c r="W19" s="2089"/>
      <c r="X19" s="2082"/>
      <c r="Y19" s="2082"/>
      <c r="Z19" s="2082"/>
      <c r="AA19" s="2082"/>
      <c r="AB19" s="2082"/>
      <c r="AC19" s="2082"/>
      <c r="AD19" s="2082"/>
      <c r="AE19" s="2082"/>
      <c r="AF19" s="2082"/>
      <c r="AG19" s="2082"/>
      <c r="AH19" s="2082"/>
      <c r="AI19" s="2082"/>
      <c r="AJ19" s="2082"/>
      <c r="AK19" s="2082"/>
      <c r="AL19" s="2082"/>
      <c r="AM19" s="2082"/>
      <c r="AN19" s="2082"/>
      <c r="AO19" s="2082"/>
      <c r="AP19" s="2082"/>
    </row>
    <row r="20" spans="1:42" s="2072" customFormat="1" ht="15.75">
      <c r="A20" s="2078"/>
      <c r="B20" s="2079" t="s">
        <v>1580</v>
      </c>
      <c r="C20" s="2079" t="s">
        <v>1581</v>
      </c>
      <c r="D20" s="2080" t="s">
        <v>1582</v>
      </c>
      <c r="E20" s="2081">
        <f>41.868*10^9/396.83</f>
        <v>105506136.12882091</v>
      </c>
      <c r="F20" s="2081">
        <f t="shared" si="0"/>
        <v>2.9307260035783588E-8</v>
      </c>
      <c r="H20" s="2082"/>
      <c r="I20" s="2082"/>
      <c r="J20" s="2082"/>
      <c r="K20" s="2082"/>
      <c r="L20" s="2087"/>
      <c r="M20" s="2089"/>
      <c r="N20" s="2094"/>
      <c r="O20" s="2094"/>
      <c r="P20" s="2094"/>
      <c r="Q20" s="2094"/>
      <c r="R20" s="2094"/>
      <c r="S20" s="2094"/>
      <c r="T20" s="2094"/>
      <c r="U20" s="2094"/>
      <c r="V20" s="2089"/>
      <c r="W20" s="2082"/>
      <c r="X20" s="2082"/>
      <c r="Y20" s="2096"/>
      <c r="Z20" s="2082"/>
      <c r="AA20" s="2082"/>
      <c r="AB20" s="2082"/>
      <c r="AC20" s="2082"/>
      <c r="AD20" s="2082"/>
      <c r="AE20" s="2082"/>
      <c r="AF20" s="2082"/>
      <c r="AG20" s="2082"/>
      <c r="AH20" s="2082"/>
      <c r="AI20" s="2082"/>
      <c r="AJ20" s="2082"/>
      <c r="AK20" s="2082"/>
      <c r="AL20" s="2082"/>
      <c r="AM20" s="2082"/>
      <c r="AN20" s="2082"/>
      <c r="AO20" s="2082"/>
      <c r="AP20" s="2082"/>
    </row>
    <row r="21" spans="1:42" s="2072" customFormat="1" ht="15.75">
      <c r="A21" s="2078"/>
      <c r="B21" s="2079" t="s">
        <v>1583</v>
      </c>
      <c r="C21" s="2079" t="s">
        <v>1584</v>
      </c>
      <c r="D21" s="2080" t="s">
        <v>1585</v>
      </c>
      <c r="E21" s="2081">
        <f>E20/100000</f>
        <v>1055.0613612882091</v>
      </c>
      <c r="F21" s="2081">
        <f t="shared" si="0"/>
        <v>2.9307260035783586E-13</v>
      </c>
      <c r="H21" s="2082"/>
      <c r="I21" s="2082"/>
      <c r="J21" s="2082"/>
      <c r="K21" s="2082"/>
      <c r="L21" s="2087"/>
      <c r="M21" s="2089"/>
      <c r="N21" s="4149"/>
      <c r="O21" s="4149"/>
      <c r="P21" s="4149"/>
      <c r="Q21" s="4149"/>
      <c r="R21" s="2097"/>
      <c r="S21" s="2098"/>
      <c r="T21" s="2098"/>
      <c r="U21" s="2098"/>
      <c r="V21" s="2089"/>
      <c r="W21" s="2089"/>
      <c r="X21" s="2082"/>
      <c r="Y21" s="2082"/>
      <c r="Z21" s="2082"/>
      <c r="AA21" s="2082"/>
      <c r="AB21" s="2082"/>
      <c r="AC21" s="2082"/>
      <c r="AD21" s="2082"/>
      <c r="AE21" s="2082"/>
      <c r="AF21" s="2082"/>
      <c r="AG21" s="2082"/>
      <c r="AH21" s="2082"/>
      <c r="AI21" s="2082"/>
      <c r="AJ21" s="2082"/>
      <c r="AK21" s="2082"/>
      <c r="AL21" s="2082"/>
      <c r="AM21" s="2082"/>
      <c r="AN21" s="2082"/>
      <c r="AO21" s="2082"/>
      <c r="AP21" s="2082"/>
    </row>
    <row r="22" spans="1:42" s="2072" customFormat="1" ht="15.75">
      <c r="A22" s="2078"/>
      <c r="B22" s="2079" t="s">
        <v>1586</v>
      </c>
      <c r="C22" s="2079" t="s">
        <v>1587</v>
      </c>
      <c r="D22" s="2080" t="s">
        <v>1588</v>
      </c>
      <c r="E22" s="2081">
        <v>4.1840000000000002</v>
      </c>
      <c r="F22" s="2081">
        <f t="shared" si="0"/>
        <v>1.1622222222222223E-15</v>
      </c>
      <c r="H22" s="2082"/>
      <c r="I22" s="2082"/>
      <c r="J22" s="2082"/>
      <c r="K22" s="2082"/>
      <c r="L22" s="2087"/>
      <c r="M22" s="2089"/>
      <c r="N22" s="4147"/>
      <c r="O22" s="4148"/>
      <c r="P22" s="4147"/>
      <c r="Q22" s="4148"/>
      <c r="R22" s="4147"/>
      <c r="S22" s="4148"/>
      <c r="T22" s="4147"/>
      <c r="U22" s="4148"/>
      <c r="V22" s="2089"/>
      <c r="W22" s="2089"/>
      <c r="X22" s="2082"/>
      <c r="Y22" s="2082"/>
      <c r="Z22" s="2082"/>
      <c r="AA22" s="2082"/>
      <c r="AB22" s="2082"/>
      <c r="AC22" s="2082"/>
      <c r="AD22" s="2082"/>
      <c r="AE22" s="2082"/>
      <c r="AF22" s="2082"/>
      <c r="AG22" s="2082"/>
      <c r="AH22" s="2082"/>
      <c r="AI22" s="2082"/>
      <c r="AJ22" s="2082"/>
      <c r="AK22" s="2082"/>
      <c r="AL22" s="2082"/>
      <c r="AM22" s="2082"/>
      <c r="AN22" s="2082"/>
      <c r="AO22" s="2082"/>
      <c r="AP22" s="2082"/>
    </row>
    <row r="23" spans="1:42" s="2072" customFormat="1" ht="15.75">
      <c r="A23" s="2078"/>
      <c r="B23" s="2079" t="s">
        <v>1539</v>
      </c>
      <c r="C23" s="2079" t="s">
        <v>1589</v>
      </c>
      <c r="D23" s="2080" t="s">
        <v>1590</v>
      </c>
      <c r="E23" s="2081">
        <f>10^9*60*60*8765.8</f>
        <v>3.1556879999999996E+16</v>
      </c>
      <c r="F23" s="2081">
        <f t="shared" si="0"/>
        <v>8.7657999999999987</v>
      </c>
      <c r="H23" s="2082"/>
      <c r="I23" s="2082"/>
      <c r="J23" s="2082"/>
      <c r="K23" s="2099"/>
      <c r="L23" s="2100"/>
      <c r="M23" s="2100"/>
      <c r="N23" s="2101"/>
      <c r="O23" s="2101"/>
      <c r="P23" s="2102"/>
      <c r="Q23" s="2102"/>
      <c r="R23" s="2101"/>
      <c r="S23" s="2101"/>
      <c r="T23" s="2101"/>
      <c r="U23" s="2101"/>
      <c r="V23" s="2089"/>
      <c r="W23" s="2089"/>
      <c r="X23" s="2082"/>
      <c r="Y23" s="2082"/>
      <c r="Z23" s="2082"/>
      <c r="AA23" s="2082"/>
      <c r="AB23" s="2082"/>
      <c r="AC23" s="2082"/>
      <c r="AD23" s="2082"/>
      <c r="AE23" s="2082"/>
      <c r="AF23" s="2082"/>
      <c r="AG23" s="2082"/>
      <c r="AH23" s="2082"/>
      <c r="AI23" s="2082"/>
      <c r="AJ23" s="2082"/>
      <c r="AK23" s="2082"/>
      <c r="AL23" s="2082"/>
      <c r="AM23" s="2082"/>
      <c r="AN23" s="2082"/>
      <c r="AO23" s="2082"/>
      <c r="AP23" s="2082"/>
    </row>
    <row r="24" spans="1:42" s="2072" customFormat="1" ht="15.75">
      <c r="A24" s="2078"/>
      <c r="B24" s="2103" t="s">
        <v>1591</v>
      </c>
      <c r="C24" s="2103" t="s">
        <v>1592</v>
      </c>
      <c r="D24" s="2104" t="s">
        <v>1593</v>
      </c>
      <c r="E24" s="2105">
        <f>F24*Unit.J</f>
        <v>2.5252525252525255E-17</v>
      </c>
      <c r="F24" s="2105">
        <f>1/11</f>
        <v>9.0909090909090912E-2</v>
      </c>
      <c r="H24" s="2082"/>
      <c r="I24" s="2082"/>
      <c r="J24" s="2082"/>
      <c r="K24" s="2099"/>
      <c r="L24" s="2100"/>
      <c r="M24" s="2100"/>
      <c r="N24" s="2101"/>
      <c r="O24" s="2101"/>
      <c r="P24" s="2102"/>
      <c r="Q24" s="2102"/>
      <c r="R24" s="2101"/>
      <c r="S24" s="2101"/>
      <c r="T24" s="2101"/>
      <c r="U24" s="2101"/>
      <c r="V24" s="2089"/>
      <c r="W24" s="2089"/>
      <c r="X24" s="2082"/>
      <c r="Y24" s="2082"/>
      <c r="Z24" s="2082"/>
      <c r="AA24" s="2082"/>
      <c r="AB24" s="2082"/>
      <c r="AC24" s="2082"/>
      <c r="AD24" s="2082"/>
      <c r="AE24" s="2082"/>
      <c r="AF24" s="2082"/>
      <c r="AG24" s="2082"/>
      <c r="AH24" s="2082"/>
      <c r="AI24" s="2082"/>
      <c r="AJ24" s="2082"/>
      <c r="AK24" s="2082"/>
      <c r="AL24" s="2082"/>
      <c r="AM24" s="2082"/>
      <c r="AN24" s="2082"/>
      <c r="AO24" s="2082"/>
      <c r="AP24" s="2082"/>
    </row>
    <row r="25" spans="1:42">
      <c r="H25" s="2092"/>
      <c r="I25" s="2092"/>
      <c r="J25" s="2092"/>
      <c r="K25" s="2092"/>
      <c r="L25" s="2087"/>
      <c r="M25" s="2089"/>
      <c r="N25" s="2089"/>
      <c r="O25" s="2089"/>
      <c r="P25" s="2089"/>
      <c r="Q25" s="2089"/>
      <c r="R25" s="2089"/>
      <c r="S25" s="2089"/>
      <c r="T25" s="2089"/>
      <c r="U25" s="2089"/>
      <c r="V25" s="2089"/>
      <c r="W25" s="2089"/>
      <c r="X25" s="2092"/>
      <c r="Y25" s="2106"/>
      <c r="Z25" s="2092"/>
      <c r="AA25" s="2092"/>
      <c r="AB25" s="2092"/>
      <c r="AC25" s="2092"/>
      <c r="AD25" s="2092"/>
      <c r="AE25" s="2092"/>
      <c r="AF25" s="2092"/>
      <c r="AG25" s="2092"/>
      <c r="AH25" s="2092"/>
      <c r="AI25" s="2092"/>
      <c r="AJ25" s="2092"/>
      <c r="AK25" s="2092"/>
      <c r="AL25" s="2092"/>
      <c r="AM25" s="2092"/>
      <c r="AN25" s="2092"/>
      <c r="AO25" s="2092"/>
      <c r="AP25" s="2092"/>
    </row>
    <row r="26" spans="1:42">
      <c r="E26" s="2107"/>
      <c r="F26" s="2107"/>
      <c r="H26" s="2092"/>
      <c r="I26" s="2092"/>
      <c r="J26" s="2092"/>
      <c r="K26" s="2092"/>
      <c r="L26" s="2087"/>
      <c r="M26" s="2089"/>
      <c r="N26" s="2089"/>
      <c r="O26" s="2092"/>
      <c r="P26" s="2108"/>
      <c r="Q26" s="2108"/>
      <c r="R26" s="2109"/>
      <c r="S26" s="2109"/>
      <c r="T26" s="2109"/>
      <c r="U26" s="2109"/>
      <c r="V26" s="2109"/>
      <c r="W26" s="2109"/>
      <c r="X26" s="2109"/>
      <c r="Y26" s="2109"/>
      <c r="Z26" s="2109"/>
      <c r="AA26" s="2092"/>
      <c r="AB26" s="2092"/>
      <c r="AC26" s="2092"/>
      <c r="AD26" s="2092"/>
      <c r="AE26" s="2092"/>
      <c r="AF26" s="2092"/>
      <c r="AG26" s="2092"/>
      <c r="AH26" s="2092"/>
      <c r="AI26" s="2092"/>
      <c r="AJ26" s="2092"/>
      <c r="AK26" s="2092"/>
      <c r="AL26" s="2092"/>
      <c r="AM26" s="2092"/>
      <c r="AN26" s="2092"/>
      <c r="AO26" s="2092"/>
      <c r="AP26" s="2092"/>
    </row>
    <row r="27" spans="1:42" ht="18">
      <c r="B27" s="2071" t="s">
        <v>1594</v>
      </c>
      <c r="C27" s="2071"/>
      <c r="H27" s="2092"/>
      <c r="I27" s="2092"/>
      <c r="J27" s="2092"/>
      <c r="K27" s="2092"/>
      <c r="L27" s="2092"/>
      <c r="M27" s="2092"/>
      <c r="N27" s="2092"/>
      <c r="O27" s="2092"/>
      <c r="P27" s="2092"/>
      <c r="Q27" s="2092"/>
      <c r="R27" s="2108"/>
      <c r="S27" s="2092"/>
      <c r="T27" s="2092"/>
      <c r="U27" s="2092"/>
      <c r="V27" s="2092"/>
      <c r="W27" s="2092"/>
      <c r="X27" s="2092"/>
      <c r="Y27" s="2092"/>
      <c r="Z27" s="2092"/>
      <c r="AA27" s="2092"/>
      <c r="AB27" s="2092"/>
      <c r="AC27" s="2092"/>
      <c r="AD27" s="2092"/>
      <c r="AE27" s="2092"/>
      <c r="AF27" s="2092"/>
      <c r="AG27" s="2092"/>
      <c r="AH27" s="2092"/>
      <c r="AI27" s="2092"/>
      <c r="AJ27" s="2092"/>
      <c r="AK27" s="2092"/>
      <c r="AL27" s="2092"/>
      <c r="AM27" s="2092"/>
      <c r="AN27" s="2092"/>
      <c r="AO27" s="2092"/>
      <c r="AP27" s="2092"/>
    </row>
    <row r="28" spans="1:42" ht="18" customHeight="1">
      <c r="H28" s="2092"/>
      <c r="I28" s="2092"/>
      <c r="J28" s="2092"/>
      <c r="K28" s="2092"/>
      <c r="L28" s="2092"/>
      <c r="M28" s="2092"/>
      <c r="N28" s="2092"/>
      <c r="O28" s="2092"/>
      <c r="P28" s="2092"/>
      <c r="Q28" s="2092"/>
      <c r="R28" s="2092"/>
      <c r="S28" s="2092"/>
      <c r="T28" s="2092"/>
      <c r="U28" s="2092"/>
      <c r="V28" s="2092"/>
      <c r="W28" s="2092"/>
      <c r="X28" s="2092"/>
      <c r="Y28" s="2092"/>
      <c r="Z28" s="2092"/>
      <c r="AA28" s="2092"/>
      <c r="AB28" s="2092"/>
      <c r="AC28" s="2092"/>
      <c r="AD28" s="2092"/>
      <c r="AE28" s="2092"/>
      <c r="AF28" s="2092"/>
      <c r="AG28" s="2092"/>
      <c r="AH28" s="2092"/>
      <c r="AI28" s="2092"/>
      <c r="AJ28" s="2092"/>
      <c r="AK28" s="2092"/>
      <c r="AL28" s="2092"/>
      <c r="AM28" s="2092"/>
      <c r="AN28" s="2092"/>
      <c r="AO28" s="2092"/>
      <c r="AP28" s="2092"/>
    </row>
    <row r="29" spans="1:42" ht="15.75">
      <c r="A29" s="2110"/>
      <c r="B29" s="2073" t="s">
        <v>895</v>
      </c>
      <c r="C29" s="2073" t="s">
        <v>29</v>
      </c>
      <c r="D29" s="2073" t="s">
        <v>1536</v>
      </c>
      <c r="E29" s="2074" t="s">
        <v>1595</v>
      </c>
      <c r="F29" s="2074" t="str">
        <f>Preferences.PowerUnits</f>
        <v>GW</v>
      </c>
      <c r="H29" s="2092"/>
      <c r="I29" s="2111"/>
      <c r="J29" s="2092"/>
      <c r="K29" s="2092"/>
      <c r="L29" s="2092"/>
      <c r="M29" s="2092"/>
      <c r="N29" s="2092"/>
      <c r="O29" s="2092"/>
      <c r="P29" s="2092"/>
      <c r="Q29" s="2092"/>
      <c r="R29" s="2098"/>
      <c r="S29" s="2108"/>
      <c r="T29" s="2092"/>
      <c r="U29" s="2092"/>
      <c r="V29" s="2092"/>
      <c r="W29" s="2092"/>
      <c r="X29" s="2092"/>
      <c r="Y29" s="2092"/>
      <c r="Z29" s="2092"/>
      <c r="AA29" s="2092"/>
      <c r="AB29" s="2092"/>
      <c r="AC29" s="2092"/>
      <c r="AD29" s="2092"/>
      <c r="AE29" s="2092"/>
      <c r="AF29" s="2092"/>
      <c r="AG29" s="2092"/>
      <c r="AH29" s="2092"/>
      <c r="AI29" s="2092"/>
      <c r="AJ29" s="2092"/>
      <c r="AK29" s="2092"/>
      <c r="AL29" s="2092"/>
      <c r="AM29" s="2092"/>
      <c r="AN29" s="2092"/>
      <c r="AO29" s="2092"/>
      <c r="AP29" s="2092"/>
    </row>
    <row r="30" spans="1:42" ht="15.75">
      <c r="A30" s="2110"/>
      <c r="B30" s="2079" t="s">
        <v>280</v>
      </c>
      <c r="C30" s="2079" t="s">
        <v>1596</v>
      </c>
      <c r="D30" s="2080" t="s">
        <v>1597</v>
      </c>
      <c r="E30" s="2081">
        <v>1000000000</v>
      </c>
      <c r="F30" s="2081">
        <f t="shared" ref="F30:F35" si="1">$E30/INDEX(Conversions.Power.Watts, MATCH(F$29, Conversions.Power.Units, 0))</f>
        <v>1</v>
      </c>
      <c r="H30" s="2092"/>
      <c r="I30" s="2092"/>
      <c r="J30" s="2092"/>
      <c r="K30" s="2092"/>
      <c r="L30" s="2092"/>
      <c r="M30" s="2092"/>
      <c r="N30" s="2092"/>
      <c r="O30" s="2092"/>
      <c r="P30" s="2092"/>
      <c r="Q30" s="2092"/>
      <c r="R30" s="2092"/>
      <c r="S30" s="2098"/>
      <c r="T30" s="2092"/>
      <c r="U30" s="2092"/>
      <c r="V30" s="2092"/>
      <c r="W30" s="2092"/>
      <c r="X30" s="2092"/>
      <c r="Y30" s="2092"/>
      <c r="Z30" s="2092"/>
      <c r="AA30" s="2092"/>
      <c r="AB30" s="2092"/>
      <c r="AC30" s="2092"/>
      <c r="AD30" s="2092"/>
      <c r="AE30" s="2092"/>
      <c r="AF30" s="2092"/>
      <c r="AG30" s="2092"/>
      <c r="AH30" s="2092"/>
      <c r="AI30" s="2092"/>
      <c r="AJ30" s="2092"/>
      <c r="AK30" s="2092"/>
      <c r="AL30" s="2092"/>
      <c r="AM30" s="2092"/>
      <c r="AN30" s="2092"/>
      <c r="AO30" s="2092"/>
      <c r="AP30" s="2092"/>
    </row>
    <row r="31" spans="1:42" ht="15.75">
      <c r="A31" s="2110"/>
      <c r="B31" s="2079" t="s">
        <v>1598</v>
      </c>
      <c r="C31" s="2079" t="s">
        <v>1599</v>
      </c>
      <c r="D31" s="2080" t="s">
        <v>1600</v>
      </c>
      <c r="E31" s="2081">
        <v>1000000</v>
      </c>
      <c r="F31" s="2081">
        <f t="shared" si="1"/>
        <v>1E-3</v>
      </c>
      <c r="H31" s="2092"/>
      <c r="I31" s="2092"/>
      <c r="J31" s="2092"/>
      <c r="K31" s="2092"/>
      <c r="L31" s="2092"/>
      <c r="M31" s="2092"/>
      <c r="N31" s="2092"/>
      <c r="O31" s="2092"/>
      <c r="P31" s="2092"/>
      <c r="Q31" s="2092"/>
      <c r="R31" s="2092"/>
      <c r="S31" s="2092"/>
      <c r="T31" s="2092"/>
      <c r="U31" s="2092"/>
      <c r="V31" s="2092"/>
      <c r="W31" s="2092"/>
      <c r="X31" s="2092"/>
      <c r="Y31" s="2092"/>
      <c r="Z31" s="2092"/>
      <c r="AA31" s="2092"/>
      <c r="AB31" s="2092"/>
      <c r="AC31" s="2092"/>
      <c r="AD31" s="2092"/>
      <c r="AE31" s="2092"/>
      <c r="AF31" s="2092"/>
      <c r="AG31" s="2092"/>
      <c r="AH31" s="2092"/>
      <c r="AI31" s="2092"/>
      <c r="AJ31" s="2092"/>
      <c r="AK31" s="2092"/>
      <c r="AL31" s="2092"/>
      <c r="AM31" s="2092"/>
      <c r="AN31" s="2092"/>
      <c r="AO31" s="2092"/>
      <c r="AP31" s="2092"/>
    </row>
    <row r="32" spans="1:42" ht="15.75">
      <c r="A32" s="2110"/>
      <c r="B32" s="2070" t="s">
        <v>1601</v>
      </c>
      <c r="C32" s="2070" t="s">
        <v>1602</v>
      </c>
      <c r="D32" s="2080" t="s">
        <v>1603</v>
      </c>
      <c r="E32" s="2081">
        <v>1000</v>
      </c>
      <c r="F32" s="2081">
        <f t="shared" si="1"/>
        <v>9.9999999999999995E-7</v>
      </c>
      <c r="H32" s="2092"/>
      <c r="I32" s="2092"/>
      <c r="J32" s="2092"/>
      <c r="K32" s="2092"/>
      <c r="L32" s="2092"/>
      <c r="M32" s="2092"/>
      <c r="N32" s="2092"/>
      <c r="O32" s="2092"/>
      <c r="P32" s="2092"/>
      <c r="Q32" s="2092"/>
      <c r="R32" s="2092"/>
      <c r="S32" s="2092"/>
      <c r="T32" s="2092"/>
      <c r="U32" s="2092"/>
      <c r="V32" s="2092"/>
      <c r="W32" s="2092"/>
      <c r="X32" s="2092"/>
      <c r="Y32" s="2092"/>
      <c r="Z32" s="2092"/>
      <c r="AA32" s="2092"/>
      <c r="AB32" s="2092"/>
      <c r="AC32" s="2092"/>
      <c r="AD32" s="2092"/>
      <c r="AE32" s="2092"/>
      <c r="AF32" s="2092"/>
      <c r="AG32" s="2092"/>
      <c r="AH32" s="2092"/>
      <c r="AI32" s="2092"/>
      <c r="AJ32" s="2092"/>
      <c r="AK32" s="2092"/>
      <c r="AL32" s="2092"/>
      <c r="AM32" s="2092"/>
      <c r="AN32" s="2092"/>
      <c r="AO32" s="2092"/>
      <c r="AP32" s="2092"/>
    </row>
    <row r="33" spans="1:42" ht="15.75">
      <c r="A33" s="2110"/>
      <c r="B33" s="2070" t="s">
        <v>1604</v>
      </c>
      <c r="C33" s="2070" t="s">
        <v>1595</v>
      </c>
      <c r="D33" s="2080" t="s">
        <v>1605</v>
      </c>
      <c r="E33" s="2081">
        <v>1</v>
      </c>
      <c r="F33" s="2081">
        <f t="shared" si="1"/>
        <v>1.0000000000000001E-9</v>
      </c>
      <c r="H33" s="2092"/>
      <c r="I33" s="2092"/>
      <c r="J33" s="2092"/>
      <c r="K33" s="2092"/>
      <c r="L33" s="2092"/>
      <c r="M33" s="2092"/>
      <c r="N33" s="2092"/>
      <c r="O33" s="2092"/>
      <c r="P33" s="2092"/>
      <c r="Q33" s="2092"/>
      <c r="R33" s="2092"/>
      <c r="S33" s="2092"/>
      <c r="T33" s="2092"/>
      <c r="U33" s="2092"/>
      <c r="V33" s="2092"/>
      <c r="W33" s="2092"/>
      <c r="X33" s="2092"/>
      <c r="Y33" s="2092"/>
      <c r="Z33" s="2092"/>
      <c r="AA33" s="2092"/>
      <c r="AB33" s="2092"/>
      <c r="AC33" s="2092"/>
      <c r="AD33" s="2092"/>
      <c r="AE33" s="2092"/>
      <c r="AF33" s="2092"/>
      <c r="AG33" s="2092"/>
      <c r="AH33" s="2092"/>
      <c r="AI33" s="2092"/>
      <c r="AJ33" s="2092"/>
      <c r="AK33" s="2092"/>
      <c r="AL33" s="2092"/>
      <c r="AM33" s="2092"/>
      <c r="AN33" s="2092"/>
      <c r="AO33" s="2092"/>
      <c r="AP33" s="2092"/>
    </row>
    <row r="34" spans="1:42" ht="15.75">
      <c r="A34" s="2110"/>
      <c r="B34" s="2070" t="s">
        <v>1606</v>
      </c>
      <c r="C34" s="2070" t="s">
        <v>1607</v>
      </c>
      <c r="D34" s="2080" t="s">
        <v>1608</v>
      </c>
      <c r="E34" s="2081">
        <f>29000000*1000000/(24*60*60)</f>
        <v>335648148.14814812</v>
      </c>
      <c r="F34" s="2081">
        <f t="shared" si="1"/>
        <v>0.33564814814814814</v>
      </c>
      <c r="H34" s="2092"/>
      <c r="I34" s="2092"/>
      <c r="J34" s="2092"/>
      <c r="K34" s="2092"/>
      <c r="L34" s="2092"/>
      <c r="M34" s="2092"/>
      <c r="N34" s="2092"/>
      <c r="O34" s="2092"/>
      <c r="P34" s="2092"/>
      <c r="Q34" s="2092"/>
      <c r="R34" s="2092"/>
      <c r="S34" s="2092"/>
      <c r="T34" s="2092"/>
      <c r="U34" s="2092"/>
      <c r="V34" s="2092"/>
      <c r="W34" s="2092"/>
      <c r="X34" s="2092"/>
      <c r="Y34" s="2092"/>
      <c r="Z34" s="2092"/>
      <c r="AA34" s="2092"/>
      <c r="AB34" s="2092"/>
      <c r="AC34" s="2092"/>
      <c r="AD34" s="2092"/>
      <c r="AE34" s="2092"/>
      <c r="AF34" s="2092"/>
      <c r="AG34" s="2092"/>
      <c r="AH34" s="2092"/>
      <c r="AI34" s="2092"/>
      <c r="AJ34" s="2092"/>
      <c r="AK34" s="2092"/>
      <c r="AL34" s="2092"/>
      <c r="AM34" s="2092"/>
      <c r="AN34" s="2092"/>
      <c r="AO34" s="2092"/>
      <c r="AP34" s="2092"/>
    </row>
    <row r="35" spans="1:42">
      <c r="B35" s="2112" t="s">
        <v>1609</v>
      </c>
      <c r="C35" s="2112" t="s">
        <v>1610</v>
      </c>
      <c r="D35" s="2113" t="s">
        <v>1611</v>
      </c>
      <c r="E35" s="2114">
        <f>$E$19/Unit.year</f>
        <v>1326716860.597764</v>
      </c>
      <c r="F35" s="2114">
        <f t="shared" si="1"/>
        <v>1.3267168605977639</v>
      </c>
      <c r="H35" s="2092"/>
      <c r="I35" s="2092"/>
      <c r="J35" s="2092"/>
      <c r="K35" s="2092"/>
      <c r="L35" s="2087"/>
      <c r="M35" s="2089"/>
      <c r="N35" s="2089"/>
      <c r="O35" s="2089"/>
      <c r="P35" s="2089"/>
      <c r="Q35" s="2089"/>
      <c r="R35" s="2089"/>
      <c r="S35" s="2089"/>
      <c r="T35" s="2089"/>
      <c r="U35" s="2089"/>
      <c r="V35" s="2089"/>
      <c r="W35" s="2089"/>
      <c r="X35" s="2092"/>
      <c r="Y35" s="2092"/>
      <c r="Z35" s="2092"/>
      <c r="AA35" s="2092"/>
      <c r="AB35" s="2092"/>
      <c r="AC35" s="2092"/>
      <c r="AD35" s="2092"/>
      <c r="AE35" s="2092"/>
      <c r="AF35" s="2092"/>
      <c r="AG35" s="2092"/>
      <c r="AH35" s="2092"/>
      <c r="AI35" s="2092"/>
      <c r="AJ35" s="2092"/>
      <c r="AK35" s="2092"/>
      <c r="AL35" s="2092"/>
      <c r="AM35" s="2092"/>
      <c r="AN35" s="2092"/>
      <c r="AO35" s="2092"/>
      <c r="AP35" s="2092"/>
    </row>
    <row r="36" spans="1:42">
      <c r="H36" s="2092"/>
      <c r="I36" s="2092"/>
      <c r="J36" s="2092"/>
      <c r="K36" s="2092"/>
      <c r="L36" s="2087"/>
      <c r="M36" s="2089"/>
      <c r="N36" s="2089"/>
      <c r="O36" s="2089"/>
      <c r="P36" s="2089"/>
      <c r="Q36" s="2089"/>
      <c r="R36" s="2089"/>
      <c r="S36" s="2089"/>
      <c r="T36" s="2089"/>
      <c r="U36" s="2089"/>
      <c r="V36" s="2089"/>
      <c r="W36" s="2089"/>
      <c r="X36" s="2092"/>
      <c r="Y36" s="2092"/>
      <c r="Z36" s="2092"/>
      <c r="AA36" s="2092"/>
      <c r="AB36" s="2092"/>
      <c r="AC36" s="2092"/>
      <c r="AD36" s="2092"/>
      <c r="AE36" s="2092"/>
      <c r="AF36" s="2092"/>
      <c r="AG36" s="2092"/>
      <c r="AH36" s="2092"/>
      <c r="AI36" s="2092"/>
      <c r="AJ36" s="2092"/>
      <c r="AK36" s="2092"/>
      <c r="AL36" s="2092"/>
      <c r="AM36" s="2092"/>
      <c r="AN36" s="2092"/>
      <c r="AO36" s="2092"/>
      <c r="AP36" s="2092"/>
    </row>
    <row r="37" spans="1:42" ht="15" customHeight="1">
      <c r="B37" s="2071" t="s">
        <v>1612</v>
      </c>
      <c r="C37" s="2071"/>
      <c r="H37" s="2092"/>
      <c r="I37" s="2092"/>
      <c r="J37" s="2092"/>
      <c r="K37" s="2092"/>
      <c r="L37" s="2087"/>
      <c r="M37" s="2089"/>
      <c r="N37" s="2089"/>
      <c r="O37" s="2089"/>
      <c r="P37" s="2089"/>
      <c r="Q37" s="2089"/>
      <c r="R37" s="2089"/>
      <c r="S37" s="2089"/>
      <c r="T37" s="2089"/>
      <c r="U37" s="2089"/>
      <c r="V37" s="2089"/>
      <c r="W37" s="2089"/>
      <c r="X37" s="2092"/>
      <c r="Y37" s="2092"/>
      <c r="Z37" s="2092"/>
      <c r="AA37" s="2092"/>
      <c r="AB37" s="2092"/>
      <c r="AC37" s="2092"/>
      <c r="AD37" s="2092"/>
      <c r="AE37" s="2092"/>
      <c r="AF37" s="2092"/>
      <c r="AG37" s="2092"/>
      <c r="AH37" s="2092"/>
      <c r="AI37" s="2092"/>
      <c r="AJ37" s="2092"/>
      <c r="AK37" s="2092"/>
      <c r="AL37" s="2092"/>
      <c r="AM37" s="2092"/>
      <c r="AN37" s="2092"/>
      <c r="AO37" s="2092"/>
      <c r="AP37" s="2092"/>
    </row>
    <row r="38" spans="1:42" ht="15.75">
      <c r="A38" s="2110"/>
      <c r="H38" s="2092"/>
      <c r="I38" s="2092"/>
      <c r="J38" s="2092"/>
      <c r="K38" s="2092"/>
      <c r="L38" s="2092"/>
      <c r="M38" s="2089"/>
      <c r="N38" s="2089"/>
      <c r="O38" s="2092"/>
      <c r="P38" s="2083"/>
      <c r="Q38" s="2089"/>
      <c r="R38" s="2089"/>
      <c r="S38" s="2115"/>
      <c r="T38" s="2089"/>
      <c r="U38" s="2089"/>
      <c r="V38" s="2092"/>
      <c r="W38" s="2089"/>
      <c r="X38" s="2092"/>
      <c r="Y38" s="2092"/>
      <c r="Z38" s="2092"/>
      <c r="AA38" s="2092"/>
      <c r="AB38" s="2092"/>
      <c r="AC38" s="2092"/>
      <c r="AD38" s="2092"/>
      <c r="AE38" s="2092"/>
      <c r="AF38" s="2092"/>
      <c r="AG38" s="2092"/>
      <c r="AH38" s="2092"/>
      <c r="AI38" s="2092"/>
      <c r="AJ38" s="2092"/>
      <c r="AK38" s="2092"/>
      <c r="AL38" s="2092"/>
      <c r="AM38" s="2092"/>
      <c r="AN38" s="2092"/>
      <c r="AO38" s="2092"/>
      <c r="AP38" s="2092"/>
    </row>
    <row r="39" spans="1:42" ht="15.75">
      <c r="A39" s="2110"/>
      <c r="B39" s="2073" t="s">
        <v>895</v>
      </c>
      <c r="C39" s="2073" t="s">
        <v>29</v>
      </c>
      <c r="D39" s="2073" t="s">
        <v>1536</v>
      </c>
      <c r="E39" s="2074"/>
      <c r="F39" s="2074" t="s">
        <v>1613</v>
      </c>
      <c r="H39" s="2092"/>
      <c r="I39" s="2092"/>
      <c r="J39" s="2092"/>
      <c r="K39" s="2092"/>
      <c r="L39" s="2082"/>
      <c r="M39" s="2089"/>
      <c r="N39" s="2089"/>
      <c r="O39" s="2116"/>
      <c r="P39" s="2089"/>
      <c r="Q39" s="2089"/>
      <c r="R39" s="2089"/>
      <c r="S39" s="2089"/>
      <c r="T39" s="2089"/>
      <c r="U39" s="2089"/>
      <c r="V39" s="2089"/>
      <c r="W39" s="2089"/>
      <c r="X39" s="2092"/>
      <c r="Y39" s="2092"/>
      <c r="Z39" s="2092"/>
      <c r="AA39" s="2092"/>
      <c r="AB39" s="2092"/>
      <c r="AC39" s="2092"/>
      <c r="AD39" s="2092"/>
      <c r="AE39" s="2092"/>
      <c r="AF39" s="2092"/>
      <c r="AG39" s="2092"/>
      <c r="AH39" s="2092"/>
      <c r="AI39" s="2092"/>
      <c r="AJ39" s="2092"/>
      <c r="AK39" s="2092"/>
      <c r="AL39" s="2092"/>
      <c r="AM39" s="2092"/>
      <c r="AN39" s="2092"/>
      <c r="AO39" s="2092"/>
      <c r="AP39" s="2092"/>
    </row>
    <row r="40" spans="1:42">
      <c r="B40" s="2079" t="s">
        <v>1614</v>
      </c>
      <c r="C40" s="2079" t="s">
        <v>1483</v>
      </c>
      <c r="D40" s="2080" t="s">
        <v>1615</v>
      </c>
      <c r="E40" s="2081"/>
      <c r="F40" s="2081">
        <f>365.25*Unit.day</f>
        <v>31557600</v>
      </c>
      <c r="H40" s="2092"/>
      <c r="I40" s="2092"/>
      <c r="J40" s="2092"/>
      <c r="K40" s="2092"/>
      <c r="L40" s="2117"/>
      <c r="M40" s="2089"/>
      <c r="N40" s="2089"/>
      <c r="O40" s="2089"/>
      <c r="P40" s="2089"/>
      <c r="Q40" s="2089"/>
      <c r="R40" s="2089"/>
      <c r="S40" s="2089"/>
      <c r="T40" s="2089"/>
      <c r="U40" s="2089"/>
      <c r="V40" s="2089"/>
      <c r="W40" s="2089"/>
      <c r="X40" s="2092"/>
      <c r="Y40" s="2092"/>
      <c r="Z40" s="2092"/>
      <c r="AA40" s="2092"/>
      <c r="AB40" s="2092"/>
      <c r="AC40" s="2092"/>
      <c r="AD40" s="2092"/>
      <c r="AE40" s="2092"/>
      <c r="AF40" s="2092"/>
      <c r="AG40" s="2092"/>
      <c r="AH40" s="2092"/>
      <c r="AI40" s="2092"/>
      <c r="AJ40" s="2092"/>
      <c r="AK40" s="2092"/>
      <c r="AL40" s="2092"/>
      <c r="AM40" s="2092"/>
      <c r="AN40" s="2092"/>
      <c r="AO40" s="2092"/>
      <c r="AP40" s="2092"/>
    </row>
    <row r="41" spans="1:42" ht="15">
      <c r="B41" s="2079" t="s">
        <v>1616</v>
      </c>
      <c r="C41" s="2079" t="s">
        <v>1617</v>
      </c>
      <c r="D41" s="2080" t="s">
        <v>1618</v>
      </c>
      <c r="E41" s="2118"/>
      <c r="F41" s="2119">
        <f>Unit.hour*24</f>
        <v>86400</v>
      </c>
      <c r="H41" s="2092"/>
      <c r="I41" s="2092"/>
      <c r="J41" s="2092"/>
      <c r="K41" s="2092"/>
      <c r="L41" s="2087"/>
      <c r="M41" s="2089"/>
      <c r="N41" s="2089"/>
      <c r="O41" s="2089"/>
      <c r="P41" s="2089"/>
      <c r="Q41" s="2089"/>
      <c r="R41" s="2089"/>
      <c r="S41" s="2089"/>
      <c r="T41" s="2089"/>
      <c r="U41" s="2089"/>
      <c r="V41" s="2089"/>
      <c r="W41" s="2089"/>
      <c r="X41" s="2092"/>
      <c r="Y41" s="2092"/>
      <c r="Z41" s="2092"/>
      <c r="AA41" s="2092"/>
      <c r="AB41" s="2092"/>
      <c r="AC41" s="2092"/>
      <c r="AD41" s="2092"/>
      <c r="AE41" s="2092"/>
      <c r="AF41" s="2092"/>
      <c r="AG41" s="2092"/>
      <c r="AH41" s="2092"/>
      <c r="AI41" s="2092"/>
      <c r="AJ41" s="2092"/>
      <c r="AK41" s="2092"/>
      <c r="AL41" s="2092"/>
      <c r="AM41" s="2092"/>
      <c r="AN41" s="2092"/>
      <c r="AO41" s="2092"/>
      <c r="AP41" s="2092"/>
    </row>
    <row r="42" spans="1:42" ht="15">
      <c r="B42" s="2070" t="s">
        <v>1619</v>
      </c>
      <c r="C42" s="2070" t="s">
        <v>1620</v>
      </c>
      <c r="D42" s="2120" t="s">
        <v>1621</v>
      </c>
      <c r="F42" s="2121">
        <f>Unit.minute*60</f>
        <v>3600</v>
      </c>
      <c r="H42" s="2092"/>
      <c r="I42" s="2092"/>
      <c r="J42" s="2092"/>
      <c r="K42" s="2092"/>
      <c r="L42" s="2087"/>
      <c r="M42" s="2089"/>
      <c r="N42" s="2089"/>
      <c r="O42" s="2089"/>
      <c r="P42" s="2089"/>
      <c r="Q42" s="2089"/>
      <c r="R42" s="2089"/>
      <c r="S42" s="2089"/>
      <c r="T42" s="2089"/>
      <c r="U42" s="2089"/>
      <c r="V42" s="2089"/>
      <c r="W42" s="2089"/>
      <c r="X42" s="2092"/>
      <c r="Y42" s="2092"/>
      <c r="Z42" s="2092"/>
      <c r="AA42" s="2092"/>
      <c r="AB42" s="2092"/>
      <c r="AC42" s="2092"/>
      <c r="AD42" s="2092"/>
      <c r="AE42" s="2092"/>
      <c r="AF42" s="2092"/>
      <c r="AG42" s="2092"/>
      <c r="AH42" s="2092"/>
      <c r="AI42" s="2092"/>
      <c r="AJ42" s="2092"/>
      <c r="AK42" s="2092"/>
      <c r="AL42" s="2092"/>
      <c r="AM42" s="2092"/>
      <c r="AN42" s="2092"/>
      <c r="AO42" s="2092"/>
      <c r="AP42" s="2092"/>
    </row>
    <row r="43" spans="1:42" ht="15.75">
      <c r="A43" s="2110"/>
      <c r="B43" s="2122" t="s">
        <v>1622</v>
      </c>
      <c r="C43" s="2122" t="s">
        <v>1623</v>
      </c>
      <c r="D43" s="2123" t="s">
        <v>1624</v>
      </c>
      <c r="E43" s="2122"/>
      <c r="F43" s="2124">
        <v>60</v>
      </c>
      <c r="H43" s="2092"/>
      <c r="I43" s="2125"/>
      <c r="J43" s="2092"/>
      <c r="K43" s="2126"/>
      <c r="L43" s="2126"/>
      <c r="M43" s="2127"/>
      <c r="N43" s="2127"/>
      <c r="O43" s="2127"/>
      <c r="P43" s="2128"/>
      <c r="Q43" s="2089"/>
      <c r="R43" s="2089"/>
      <c r="S43" s="2089"/>
      <c r="T43" s="2089"/>
      <c r="U43" s="2089"/>
      <c r="V43" s="2089"/>
      <c r="W43" s="2089"/>
      <c r="X43" s="2092"/>
      <c r="Y43" s="2092"/>
      <c r="Z43" s="2092"/>
      <c r="AA43" s="2092"/>
      <c r="AB43" s="2092"/>
      <c r="AC43" s="2092"/>
      <c r="AD43" s="2092"/>
      <c r="AE43" s="2092"/>
      <c r="AF43" s="2092"/>
      <c r="AG43" s="2092"/>
      <c r="AH43" s="2092"/>
      <c r="AI43" s="2092"/>
      <c r="AJ43" s="2092"/>
      <c r="AK43" s="2092"/>
      <c r="AL43" s="2092"/>
      <c r="AM43" s="2092"/>
      <c r="AN43" s="2092"/>
      <c r="AO43" s="2092"/>
      <c r="AP43" s="2092"/>
    </row>
    <row r="44" spans="1:42">
      <c r="H44" s="2092"/>
      <c r="I44" s="2092"/>
      <c r="J44" s="2092"/>
      <c r="K44" s="2092"/>
      <c r="L44" s="2087"/>
      <c r="M44" s="2089"/>
      <c r="N44" s="2089"/>
      <c r="O44" s="2089"/>
      <c r="P44" s="2089"/>
      <c r="Q44" s="2089"/>
      <c r="R44" s="2089"/>
      <c r="S44" s="2089"/>
      <c r="T44" s="2089"/>
      <c r="U44" s="2089"/>
      <c r="V44" s="2089"/>
      <c r="W44" s="2089"/>
      <c r="X44" s="2092"/>
      <c r="Y44" s="2092"/>
      <c r="Z44" s="2092"/>
      <c r="AA44" s="2092"/>
      <c r="AB44" s="2092"/>
      <c r="AC44" s="2092"/>
      <c r="AD44" s="2092"/>
      <c r="AE44" s="2092"/>
      <c r="AF44" s="2092"/>
      <c r="AG44" s="2092"/>
      <c r="AH44" s="2092"/>
      <c r="AI44" s="2092"/>
      <c r="AJ44" s="2092"/>
      <c r="AK44" s="2092"/>
      <c r="AL44" s="2092"/>
      <c r="AM44" s="2092"/>
      <c r="AN44" s="2092"/>
      <c r="AO44" s="2092"/>
      <c r="AP44" s="2092"/>
    </row>
    <row r="45" spans="1:42" ht="18">
      <c r="B45" s="2071" t="s">
        <v>1625</v>
      </c>
      <c r="C45" s="2071"/>
      <c r="H45" s="2092"/>
      <c r="I45" s="2092"/>
      <c r="J45" s="2092"/>
      <c r="K45" s="2092"/>
      <c r="L45" s="2087"/>
      <c r="M45" s="2089"/>
      <c r="N45" s="2089"/>
      <c r="O45" s="2089"/>
      <c r="P45" s="2089"/>
      <c r="Q45" s="2089"/>
      <c r="R45" s="2089"/>
      <c r="S45" s="2089"/>
      <c r="T45" s="2089"/>
      <c r="U45" s="2089"/>
      <c r="V45" s="2089"/>
      <c r="W45" s="2089"/>
      <c r="X45" s="2092"/>
      <c r="Y45" s="2092"/>
      <c r="Z45" s="2092"/>
      <c r="AA45" s="2092"/>
      <c r="AB45" s="2092"/>
      <c r="AC45" s="2092"/>
      <c r="AD45" s="2092"/>
      <c r="AE45" s="2092"/>
      <c r="AF45" s="2092"/>
      <c r="AG45" s="2092"/>
      <c r="AH45" s="2092"/>
      <c r="AI45" s="2092"/>
      <c r="AJ45" s="2092"/>
      <c r="AK45" s="2092"/>
      <c r="AL45" s="2092"/>
      <c r="AM45" s="2092"/>
      <c r="AN45" s="2092"/>
      <c r="AO45" s="2092"/>
      <c r="AP45" s="2092"/>
    </row>
    <row r="46" spans="1:42" ht="15.75">
      <c r="A46" s="2110"/>
      <c r="H46" s="2092"/>
      <c r="I46" s="2092"/>
      <c r="J46" s="2092"/>
      <c r="K46" s="2092"/>
      <c r="L46" s="2087"/>
      <c r="M46" s="2089"/>
      <c r="N46" s="2089"/>
      <c r="O46" s="2089"/>
      <c r="P46" s="2089"/>
      <c r="Q46" s="2089"/>
      <c r="R46" s="2089"/>
      <c r="S46" s="2089"/>
      <c r="T46" s="2089"/>
      <c r="U46" s="2089"/>
      <c r="V46" s="2089"/>
      <c r="W46" s="2089"/>
      <c r="X46" s="2092"/>
      <c r="Y46" s="2092"/>
      <c r="Z46" s="2092"/>
      <c r="AA46" s="2092"/>
      <c r="AB46" s="2092"/>
      <c r="AC46" s="2092"/>
      <c r="AD46" s="2092"/>
      <c r="AE46" s="2092"/>
      <c r="AF46" s="2092"/>
      <c r="AG46" s="2092"/>
      <c r="AH46" s="2092"/>
      <c r="AI46" s="2092"/>
      <c r="AJ46" s="2092"/>
      <c r="AK46" s="2092"/>
      <c r="AL46" s="2092"/>
      <c r="AM46" s="2092"/>
      <c r="AN46" s="2092"/>
      <c r="AO46" s="2092"/>
      <c r="AP46" s="2092"/>
    </row>
    <row r="47" spans="1:42" ht="15.75">
      <c r="A47" s="2110"/>
      <c r="B47" s="2073" t="s">
        <v>895</v>
      </c>
      <c r="C47" s="2073" t="s">
        <v>29</v>
      </c>
      <c r="D47" s="2073" t="s">
        <v>1536</v>
      </c>
      <c r="E47" s="2074" t="s">
        <v>1626</v>
      </c>
      <c r="F47" s="2074" t="str">
        <f>Preferences.AreaUnits</f>
        <v>km^2</v>
      </c>
      <c r="H47" s="2092"/>
      <c r="I47" s="2092"/>
      <c r="J47" s="2092"/>
      <c r="K47" s="2092"/>
      <c r="L47" s="2087"/>
      <c r="M47" s="2089"/>
      <c r="N47" s="2089"/>
      <c r="O47" s="2089"/>
      <c r="P47" s="2089"/>
      <c r="Q47" s="2089"/>
      <c r="R47" s="2089"/>
      <c r="S47" s="2089"/>
      <c r="T47" s="2089"/>
      <c r="U47" s="2089"/>
      <c r="V47" s="2089"/>
      <c r="W47" s="2089"/>
      <c r="X47" s="2092"/>
      <c r="Y47" s="2092"/>
      <c r="Z47" s="2092"/>
      <c r="AA47" s="2092"/>
      <c r="AB47" s="2092"/>
      <c r="AC47" s="2092"/>
      <c r="AD47" s="2092"/>
      <c r="AE47" s="2092"/>
      <c r="AF47" s="2092"/>
      <c r="AG47" s="2092"/>
      <c r="AH47" s="2092"/>
      <c r="AI47" s="2092"/>
      <c r="AJ47" s="2092"/>
      <c r="AK47" s="2092"/>
      <c r="AL47" s="2092"/>
      <c r="AM47" s="2092"/>
      <c r="AN47" s="2092"/>
      <c r="AO47" s="2092"/>
      <c r="AP47" s="2092"/>
    </row>
    <row r="48" spans="1:42" ht="15.75">
      <c r="A48" s="2110"/>
      <c r="B48" s="2079" t="s">
        <v>1627</v>
      </c>
      <c r="C48" s="2079" t="s">
        <v>1628</v>
      </c>
      <c r="D48" s="2080" t="s">
        <v>1629</v>
      </c>
      <c r="E48" s="2081">
        <f>100^2</f>
        <v>10000</v>
      </c>
      <c r="F48" s="2081">
        <f t="shared" ref="F48:F53" si="2">$E48/INDEX(Conversions.Area.m2, MATCH(F$47, Conversions.Area.Units, 0))</f>
        <v>0.01</v>
      </c>
      <c r="H48" s="2092"/>
      <c r="I48" s="2092"/>
      <c r="J48" s="2092"/>
      <c r="K48" s="2092"/>
      <c r="L48" s="2087"/>
      <c r="M48" s="2089"/>
      <c r="N48" s="2089"/>
      <c r="O48" s="2089"/>
      <c r="P48" s="2089"/>
      <c r="Q48" s="2089"/>
      <c r="R48" s="2089"/>
      <c r="S48" s="2089"/>
      <c r="T48" s="2089"/>
      <c r="U48" s="2089"/>
      <c r="V48" s="2089"/>
      <c r="W48" s="2089"/>
      <c r="X48" s="2092"/>
      <c r="Y48" s="2092"/>
      <c r="Z48" s="2092"/>
      <c r="AA48" s="2092"/>
      <c r="AB48" s="2092"/>
      <c r="AC48" s="2092"/>
      <c r="AD48" s="2092"/>
      <c r="AE48" s="2092"/>
      <c r="AF48" s="2092"/>
      <c r="AG48" s="2092"/>
      <c r="AH48" s="2092"/>
      <c r="AI48" s="2092"/>
      <c r="AJ48" s="2092"/>
      <c r="AK48" s="2092"/>
      <c r="AL48" s="2092"/>
      <c r="AM48" s="2092"/>
      <c r="AN48" s="2092"/>
      <c r="AO48" s="2092"/>
      <c r="AP48" s="2092"/>
    </row>
    <row r="49" spans="1:42" ht="15.75">
      <c r="A49" s="2110"/>
      <c r="B49" s="2079" t="s">
        <v>1630</v>
      </c>
      <c r="C49" s="2079" t="s">
        <v>1631</v>
      </c>
      <c r="D49" s="2080" t="s">
        <v>1632</v>
      </c>
      <c r="E49" s="2081">
        <f>E48*1000000</f>
        <v>10000000000</v>
      </c>
      <c r="F49" s="2081">
        <f t="shared" si="2"/>
        <v>10000</v>
      </c>
      <c r="H49" s="2129"/>
      <c r="I49" s="2092"/>
      <c r="J49" s="2092"/>
      <c r="K49" s="2092"/>
      <c r="L49" s="2087"/>
      <c r="M49" s="2089"/>
      <c r="N49" s="2089"/>
      <c r="O49" s="2089"/>
      <c r="P49" s="2089"/>
      <c r="Q49" s="2089"/>
      <c r="R49" s="2089"/>
      <c r="S49" s="2089"/>
      <c r="T49" s="2089"/>
      <c r="U49" s="2089"/>
      <c r="V49" s="2089"/>
      <c r="W49" s="2089"/>
      <c r="X49" s="2092"/>
      <c r="Y49" s="2092"/>
      <c r="Z49" s="2092"/>
      <c r="AA49" s="2092"/>
      <c r="AB49" s="2092"/>
      <c r="AC49" s="2092"/>
      <c r="AD49" s="2092"/>
      <c r="AE49" s="2092"/>
      <c r="AF49" s="2092"/>
      <c r="AG49" s="2092"/>
      <c r="AH49" s="2092"/>
      <c r="AI49" s="2092"/>
      <c r="AJ49" s="2092"/>
      <c r="AK49" s="2092"/>
      <c r="AL49" s="2092"/>
      <c r="AM49" s="2092"/>
      <c r="AN49" s="2092"/>
      <c r="AO49" s="2092"/>
      <c r="AP49" s="2092"/>
    </row>
    <row r="50" spans="1:42" ht="15.75">
      <c r="A50" s="2110"/>
      <c r="B50" s="2079" t="s">
        <v>1633</v>
      </c>
      <c r="C50" s="2079" t="s">
        <v>1634</v>
      </c>
      <c r="D50" s="2080" t="s">
        <v>1635</v>
      </c>
      <c r="E50" s="2081">
        <v>4046.8564224000002</v>
      </c>
      <c r="F50" s="2081">
        <f t="shared" si="2"/>
        <v>4.0468564224000001E-3</v>
      </c>
      <c r="H50" s="2092"/>
      <c r="I50" s="2092"/>
      <c r="J50" s="2092"/>
      <c r="K50" s="2092"/>
      <c r="L50" s="2087"/>
      <c r="M50" s="2089"/>
      <c r="N50" s="2089"/>
      <c r="O50" s="2089"/>
      <c r="P50" s="2089"/>
      <c r="Q50" s="2089"/>
      <c r="R50" s="2089"/>
      <c r="S50" s="2089"/>
      <c r="T50" s="2089"/>
      <c r="U50" s="2089"/>
      <c r="V50" s="2089"/>
      <c r="W50" s="2089"/>
      <c r="X50" s="2092"/>
      <c r="Y50" s="2092"/>
      <c r="Z50" s="2092"/>
      <c r="AA50" s="2092"/>
      <c r="AB50" s="2092"/>
      <c r="AC50" s="2092"/>
      <c r="AD50" s="2092"/>
      <c r="AE50" s="2092"/>
      <c r="AF50" s="2092"/>
      <c r="AG50" s="2092"/>
      <c r="AH50" s="2092"/>
      <c r="AI50" s="2092"/>
      <c r="AJ50" s="2092"/>
      <c r="AK50" s="2092"/>
      <c r="AL50" s="2092"/>
      <c r="AM50" s="2092"/>
      <c r="AN50" s="2092"/>
      <c r="AO50" s="2092"/>
      <c r="AP50" s="2092"/>
    </row>
    <row r="51" spans="1:42" ht="15.75">
      <c r="A51" s="2110"/>
      <c r="B51" s="2070" t="s">
        <v>877</v>
      </c>
      <c r="C51" s="2070" t="s">
        <v>1636</v>
      </c>
      <c r="D51" s="2080" t="s">
        <v>1637</v>
      </c>
      <c r="E51" s="2081">
        <f>1000^2</f>
        <v>1000000</v>
      </c>
      <c r="F51" s="2081">
        <f t="shared" si="2"/>
        <v>1</v>
      </c>
      <c r="H51" s="2092"/>
      <c r="I51" s="2092"/>
      <c r="J51" s="2092"/>
      <c r="K51" s="2092"/>
      <c r="L51" s="2087"/>
      <c r="M51" s="2089"/>
      <c r="N51" s="2089"/>
      <c r="O51" s="2089"/>
      <c r="P51" s="2089"/>
      <c r="Q51" s="2089"/>
      <c r="R51" s="2089"/>
      <c r="S51" s="2089"/>
      <c r="T51" s="2089"/>
      <c r="U51" s="2089"/>
      <c r="V51" s="2089"/>
      <c r="W51" s="2089"/>
      <c r="X51" s="2092"/>
      <c r="Y51" s="2092"/>
      <c r="Z51" s="2092"/>
      <c r="AA51" s="2092"/>
      <c r="AB51" s="2092"/>
      <c r="AC51" s="2092"/>
      <c r="AD51" s="2092"/>
      <c r="AE51" s="2092"/>
      <c r="AF51" s="2092"/>
      <c r="AG51" s="2092"/>
      <c r="AH51" s="2092"/>
      <c r="AI51" s="2092"/>
      <c r="AJ51" s="2092"/>
      <c r="AK51" s="2092"/>
      <c r="AL51" s="2092"/>
      <c r="AM51" s="2092"/>
      <c r="AN51" s="2092"/>
      <c r="AO51" s="2092"/>
      <c r="AP51" s="2092"/>
    </row>
    <row r="52" spans="1:42" ht="15.75">
      <c r="A52" s="2110"/>
      <c r="B52" s="2070" t="s">
        <v>1626</v>
      </c>
      <c r="C52" s="2070" t="s">
        <v>1638</v>
      </c>
      <c r="D52" s="2080" t="s">
        <v>1639</v>
      </c>
      <c r="E52" s="2081">
        <v>1</v>
      </c>
      <c r="F52" s="2081">
        <f t="shared" si="2"/>
        <v>9.9999999999999995E-7</v>
      </c>
      <c r="H52" s="2092"/>
      <c r="I52" s="2092"/>
      <c r="J52" s="2092"/>
      <c r="K52" s="2092"/>
      <c r="L52" s="2087"/>
      <c r="M52" s="2089"/>
      <c r="N52" s="2089"/>
      <c r="O52" s="2089"/>
      <c r="P52" s="2089"/>
      <c r="Q52" s="2089"/>
      <c r="R52" s="2089"/>
      <c r="S52" s="2089"/>
      <c r="T52" s="2089"/>
      <c r="U52" s="2089"/>
      <c r="V52" s="2089"/>
      <c r="W52" s="2089"/>
      <c r="X52" s="2092"/>
      <c r="Y52" s="2092"/>
      <c r="Z52" s="2092"/>
      <c r="AA52" s="2092"/>
      <c r="AB52" s="2092"/>
      <c r="AC52" s="2092"/>
      <c r="AD52" s="2092"/>
      <c r="AE52" s="2092"/>
      <c r="AF52" s="2092"/>
      <c r="AG52" s="2092"/>
      <c r="AH52" s="2092"/>
      <c r="AI52" s="2092"/>
      <c r="AJ52" s="2092"/>
      <c r="AK52" s="2092"/>
      <c r="AL52" s="2092"/>
      <c r="AM52" s="2092"/>
      <c r="AN52" s="2092"/>
      <c r="AO52" s="2092"/>
      <c r="AP52" s="2092"/>
    </row>
    <row r="53" spans="1:42" ht="15.75">
      <c r="A53" s="2110"/>
      <c r="B53" s="2112" t="s">
        <v>3465</v>
      </c>
      <c r="C53" s="2112" t="s">
        <v>3463</v>
      </c>
      <c r="D53" s="2113" t="s">
        <v>3464</v>
      </c>
      <c r="E53" s="2114">
        <f>7500*E51</f>
        <v>7500000000</v>
      </c>
      <c r="F53" s="2114">
        <f t="shared" si="2"/>
        <v>7500</v>
      </c>
      <c r="H53" s="2092"/>
      <c r="I53" s="2092"/>
      <c r="J53" s="2092"/>
      <c r="K53" s="2092"/>
      <c r="L53" s="2087"/>
      <c r="M53" s="2089"/>
      <c r="N53" s="2089"/>
      <c r="O53" s="2089"/>
      <c r="P53" s="2089"/>
      <c r="Q53" s="2089"/>
      <c r="R53" s="2089"/>
      <c r="S53" s="2089"/>
      <c r="T53" s="2089"/>
      <c r="U53" s="2089"/>
      <c r="V53" s="2089"/>
      <c r="W53" s="2089"/>
      <c r="X53" s="2092"/>
      <c r="Y53" s="2092"/>
      <c r="Z53" s="2092"/>
      <c r="AA53" s="2092"/>
      <c r="AB53" s="2092"/>
      <c r="AC53" s="2092"/>
      <c r="AD53" s="2092"/>
      <c r="AE53" s="2092"/>
      <c r="AF53" s="2092"/>
      <c r="AG53" s="2092"/>
      <c r="AH53" s="2092"/>
      <c r="AI53" s="2092"/>
      <c r="AJ53" s="2092"/>
      <c r="AK53" s="2092"/>
      <c r="AL53" s="2092"/>
      <c r="AM53" s="2092"/>
      <c r="AN53" s="2092"/>
      <c r="AO53" s="2092"/>
      <c r="AP53" s="2092"/>
    </row>
    <row r="54" spans="1:42">
      <c r="B54" s="2118"/>
      <c r="C54" s="2118"/>
      <c r="D54" s="2120"/>
      <c r="E54" s="2130"/>
      <c r="F54" s="2130"/>
      <c r="H54" s="2092"/>
      <c r="I54" s="2092"/>
      <c r="J54" s="2092"/>
      <c r="K54" s="2092"/>
      <c r="L54" s="2087"/>
      <c r="M54" s="2089"/>
      <c r="N54" s="2089"/>
      <c r="O54" s="2089"/>
      <c r="P54" s="2089"/>
      <c r="Q54" s="2089"/>
      <c r="R54" s="2089"/>
      <c r="S54" s="2089"/>
      <c r="T54" s="2089"/>
      <c r="U54" s="2089"/>
      <c r="V54" s="2089"/>
      <c r="W54" s="2089"/>
      <c r="X54" s="2092"/>
      <c r="Y54" s="2092"/>
      <c r="Z54" s="2092"/>
      <c r="AA54" s="2092"/>
      <c r="AB54" s="2092"/>
      <c r="AC54" s="2092"/>
      <c r="AD54" s="2092"/>
      <c r="AE54" s="2092"/>
      <c r="AF54" s="2092"/>
      <c r="AG54" s="2092"/>
      <c r="AH54" s="2092"/>
      <c r="AI54" s="2092"/>
      <c r="AJ54" s="2092"/>
      <c r="AK54" s="2092"/>
      <c r="AL54" s="2092"/>
      <c r="AM54" s="2092"/>
      <c r="AN54" s="2092"/>
      <c r="AO54" s="2092"/>
      <c r="AP54" s="2092"/>
    </row>
    <row r="55" spans="1:42" ht="18">
      <c r="B55" s="2071" t="s">
        <v>1640</v>
      </c>
      <c r="H55" s="2092"/>
      <c r="I55" s="2092"/>
      <c r="J55" s="2092"/>
      <c r="K55" s="2092"/>
      <c r="L55" s="2087"/>
      <c r="M55" s="2089"/>
      <c r="N55" s="2089"/>
      <c r="O55" s="2089"/>
      <c r="P55" s="2089"/>
      <c r="Q55" s="2089"/>
      <c r="R55" s="2089"/>
      <c r="S55" s="2089"/>
      <c r="T55" s="2089"/>
      <c r="U55" s="2089"/>
      <c r="V55" s="2089"/>
      <c r="W55" s="2089"/>
      <c r="X55" s="2092"/>
      <c r="Y55" s="2092"/>
      <c r="Z55" s="2092"/>
      <c r="AA55" s="2092"/>
      <c r="AB55" s="2092"/>
      <c r="AC55" s="2092"/>
      <c r="AD55" s="2092"/>
      <c r="AE55" s="2092"/>
      <c r="AF55" s="2092"/>
      <c r="AG55" s="2092"/>
      <c r="AH55" s="2092"/>
      <c r="AI55" s="2092"/>
      <c r="AJ55" s="2092"/>
      <c r="AK55" s="2092"/>
      <c r="AL55" s="2092"/>
      <c r="AM55" s="2092"/>
      <c r="AN55" s="2092"/>
      <c r="AO55" s="2092"/>
      <c r="AP55" s="2092"/>
    </row>
    <row r="56" spans="1:42" ht="4.5" customHeight="1">
      <c r="A56" s="2110"/>
      <c r="B56" s="2071"/>
      <c r="H56" s="2092"/>
      <c r="I56" s="2092"/>
      <c r="J56" s="2092"/>
      <c r="K56" s="2092"/>
      <c r="L56" s="2087"/>
      <c r="M56" s="2089"/>
      <c r="N56" s="2089"/>
      <c r="O56" s="2089"/>
      <c r="P56" s="2089"/>
      <c r="Q56" s="2089"/>
      <c r="R56" s="2089"/>
      <c r="S56" s="2089"/>
      <c r="T56" s="2089"/>
      <c r="U56" s="2089"/>
      <c r="V56" s="2089"/>
      <c r="W56" s="2089"/>
      <c r="X56" s="2092"/>
      <c r="Y56" s="2092"/>
      <c r="Z56" s="2092"/>
      <c r="AA56" s="2092"/>
      <c r="AB56" s="2092"/>
      <c r="AC56" s="2092"/>
      <c r="AD56" s="2092"/>
      <c r="AE56" s="2092"/>
      <c r="AF56" s="2092"/>
      <c r="AG56" s="2092"/>
      <c r="AH56" s="2092"/>
      <c r="AI56" s="2092"/>
      <c r="AJ56" s="2092"/>
      <c r="AK56" s="2092"/>
      <c r="AL56" s="2092"/>
      <c r="AM56" s="2092"/>
      <c r="AN56" s="2092"/>
      <c r="AO56" s="2092"/>
      <c r="AP56" s="2092"/>
    </row>
    <row r="57" spans="1:42" ht="15.75">
      <c r="A57" s="2110"/>
      <c r="B57" s="2073" t="s">
        <v>1641</v>
      </c>
      <c r="C57" s="2073" t="s">
        <v>29</v>
      </c>
      <c r="D57" s="2073" t="s">
        <v>1536</v>
      </c>
      <c r="E57" s="2074" t="s">
        <v>1642</v>
      </c>
      <c r="F57" s="2073" t="s">
        <v>1643</v>
      </c>
      <c r="H57" s="2092"/>
      <c r="I57" s="2092"/>
      <c r="J57" s="2092"/>
      <c r="K57" s="2092"/>
      <c r="L57" s="2087"/>
      <c r="M57" s="2089"/>
      <c r="N57" s="2089"/>
      <c r="O57" s="2089"/>
      <c r="P57" s="2089"/>
      <c r="Q57" s="2089"/>
      <c r="R57" s="2089"/>
      <c r="S57" s="2089"/>
      <c r="T57" s="2089"/>
      <c r="U57" s="2089"/>
      <c r="V57" s="2089"/>
      <c r="W57" s="2089"/>
      <c r="X57" s="2092"/>
      <c r="Y57" s="2092"/>
      <c r="Z57" s="2092"/>
      <c r="AA57" s="2092"/>
      <c r="AB57" s="2092"/>
      <c r="AC57" s="2092"/>
      <c r="AD57" s="2092"/>
      <c r="AE57" s="2092"/>
      <c r="AF57" s="2092"/>
      <c r="AG57" s="2092"/>
      <c r="AH57" s="2092"/>
      <c r="AI57" s="2092"/>
      <c r="AJ57" s="2092"/>
      <c r="AK57" s="2092"/>
      <c r="AL57" s="2092"/>
      <c r="AM57" s="2092"/>
      <c r="AN57" s="2092"/>
      <c r="AO57" s="2092"/>
      <c r="AP57" s="2092"/>
    </row>
    <row r="58" spans="1:42" ht="15.75">
      <c r="A58" s="2110"/>
      <c r="B58" s="2079" t="str">
        <f>Preferences.EnergyUnits</f>
        <v>TWh</v>
      </c>
      <c r="C58" s="2079" t="s">
        <v>1644</v>
      </c>
      <c r="D58" s="2080" t="s">
        <v>1645</v>
      </c>
      <c r="E58" s="2131">
        <f>(1/Unit.J)*(1/Unit.year)*Unit.W</f>
        <v>0.1140771161305042</v>
      </c>
      <c r="F58" s="2132" t="str">
        <f>Preferences.PowerUnits</f>
        <v>GW</v>
      </c>
      <c r="H58" s="2092"/>
      <c r="I58" s="2092"/>
      <c r="J58" s="2092"/>
      <c r="K58" s="2092"/>
      <c r="L58" s="2087"/>
      <c r="M58" s="2089"/>
      <c r="N58" s="2089"/>
      <c r="O58" s="2089"/>
      <c r="P58" s="2089"/>
      <c r="Q58" s="2089"/>
      <c r="R58" s="2089"/>
      <c r="S58" s="2089"/>
      <c r="T58" s="2089"/>
      <c r="U58" s="2089"/>
      <c r="V58" s="2089"/>
      <c r="W58" s="2089"/>
      <c r="X58" s="2092"/>
      <c r="Y58" s="2092"/>
      <c r="Z58" s="2092"/>
      <c r="AA58" s="2092"/>
      <c r="AB58" s="2092"/>
      <c r="AC58" s="2092"/>
      <c r="AD58" s="2092"/>
      <c r="AE58" s="2092"/>
      <c r="AF58" s="2092"/>
      <c r="AG58" s="2092"/>
      <c r="AH58" s="2092"/>
      <c r="AI58" s="2092"/>
      <c r="AJ58" s="2092"/>
      <c r="AK58" s="2092"/>
      <c r="AL58" s="2092"/>
      <c r="AM58" s="2092"/>
      <c r="AN58" s="2092"/>
      <c r="AO58" s="2092"/>
      <c r="AP58" s="2092"/>
    </row>
    <row r="59" spans="1:42" ht="15.75">
      <c r="A59" s="2110"/>
      <c r="B59" s="2132" t="str">
        <f>Preferences.PowerUnits</f>
        <v>GW</v>
      </c>
      <c r="C59" s="2079" t="s">
        <v>1646</v>
      </c>
      <c r="D59" s="2080" t="s">
        <v>1647</v>
      </c>
      <c r="E59" s="2070">
        <f>(1/Unit.W)*Unit.year*Unit.J</f>
        <v>8.766</v>
      </c>
      <c r="F59" s="2133" t="str">
        <f>Preferences.EnergyUnits</f>
        <v>TWh</v>
      </c>
      <c r="H59" s="2092"/>
      <c r="I59" s="2092"/>
      <c r="J59" s="2092"/>
      <c r="K59" s="2092"/>
      <c r="L59" s="2087"/>
      <c r="M59" s="2089"/>
      <c r="N59" s="2089"/>
      <c r="O59" s="2089"/>
      <c r="P59" s="2089"/>
      <c r="Q59" s="2089"/>
      <c r="R59" s="2089"/>
      <c r="S59" s="2089"/>
      <c r="T59" s="2089"/>
      <c r="U59" s="2089"/>
      <c r="V59" s="2089"/>
      <c r="W59" s="2089"/>
      <c r="X59" s="2092"/>
      <c r="Y59" s="2092"/>
      <c r="Z59" s="2092"/>
      <c r="AA59" s="2092"/>
      <c r="AB59" s="2092"/>
      <c r="AC59" s="2092"/>
      <c r="AD59" s="2092"/>
      <c r="AE59" s="2092"/>
      <c r="AF59" s="2092"/>
      <c r="AG59" s="2092"/>
      <c r="AH59" s="2092"/>
      <c r="AI59" s="2092"/>
      <c r="AJ59" s="2092"/>
      <c r="AK59" s="2092"/>
      <c r="AL59" s="2092"/>
      <c r="AM59" s="2092"/>
      <c r="AN59" s="2092"/>
      <c r="AO59" s="2092"/>
      <c r="AP59" s="2092"/>
    </row>
    <row r="60" spans="1:42" ht="15">
      <c r="B60" s="2134" t="str">
        <f>Preferences.PowerUnits</f>
        <v>GW</v>
      </c>
      <c r="C60" s="2122" t="s">
        <v>1648</v>
      </c>
      <c r="D60" s="2104" t="s">
        <v>1649</v>
      </c>
      <c r="E60" s="2122">
        <f>Unit.J/Unit.W</f>
        <v>2.7777777777777776E-7</v>
      </c>
      <c r="F60" s="2135" t="str">
        <f>Preferences.EnergyUnits&amp;"/s"</f>
        <v>TWh/s</v>
      </c>
      <c r="L60" s="2087"/>
      <c r="M60" s="2089"/>
      <c r="N60" s="2089"/>
      <c r="O60" s="2089"/>
      <c r="P60" s="2089"/>
      <c r="Q60" s="2089"/>
      <c r="R60" s="2089"/>
      <c r="S60" s="2089"/>
      <c r="T60" s="2089"/>
      <c r="U60" s="2089"/>
      <c r="V60" s="2089"/>
      <c r="W60" s="2089"/>
      <c r="X60" s="2092"/>
    </row>
    <row r="61" spans="1:42">
      <c r="L61" s="2087"/>
      <c r="M61" s="2089"/>
      <c r="N61" s="2089"/>
      <c r="O61" s="2089"/>
      <c r="P61" s="2089"/>
      <c r="Q61" s="2089"/>
      <c r="R61" s="2089"/>
      <c r="S61" s="2089"/>
      <c r="T61" s="2089"/>
      <c r="U61" s="2089"/>
      <c r="V61" s="2089"/>
      <c r="W61" s="2089"/>
      <c r="X61" s="2092"/>
    </row>
    <row r="62" spans="1:42" ht="18">
      <c r="B62" s="2071" t="s">
        <v>1650</v>
      </c>
      <c r="C62" s="2071"/>
      <c r="L62" s="2087"/>
      <c r="M62" s="2089"/>
      <c r="N62" s="2089"/>
      <c r="O62" s="2089"/>
      <c r="P62" s="2089"/>
      <c r="Q62" s="2089"/>
      <c r="R62" s="2089"/>
      <c r="S62" s="2089"/>
      <c r="T62" s="2089"/>
      <c r="U62" s="2089"/>
      <c r="V62" s="2089"/>
      <c r="W62" s="2089"/>
      <c r="X62" s="2092"/>
    </row>
    <row r="63" spans="1:42" ht="4.5" customHeight="1">
      <c r="L63" s="2087"/>
      <c r="M63" s="2089"/>
      <c r="N63" s="2089"/>
      <c r="O63" s="2089"/>
      <c r="P63" s="2089"/>
      <c r="Q63" s="2089"/>
      <c r="R63" s="2089"/>
      <c r="S63" s="2089"/>
      <c r="T63" s="2089"/>
      <c r="U63" s="2089"/>
      <c r="V63" s="2089"/>
      <c r="W63" s="2089"/>
      <c r="X63" s="2092"/>
    </row>
    <row r="64" spans="1:42">
      <c r="B64" s="2073" t="s">
        <v>1641</v>
      </c>
      <c r="C64" s="2073" t="s">
        <v>29</v>
      </c>
      <c r="D64" s="2073" t="s">
        <v>1536</v>
      </c>
      <c r="E64" s="2074" t="s">
        <v>1642</v>
      </c>
      <c r="F64" s="2073" t="s">
        <v>1643</v>
      </c>
      <c r="L64" s="2087"/>
      <c r="M64" s="2089"/>
      <c r="N64" s="2089"/>
      <c r="O64" s="2089"/>
      <c r="P64" s="2089"/>
      <c r="Q64" s="2089"/>
      <c r="R64" s="2089"/>
      <c r="S64" s="2089"/>
      <c r="T64" s="2089"/>
      <c r="U64" s="2089"/>
      <c r="V64" s="2089"/>
      <c r="W64" s="2089"/>
      <c r="X64" s="2092"/>
    </row>
    <row r="65" spans="2:24">
      <c r="B65" s="2070" t="s">
        <v>2848</v>
      </c>
      <c r="C65" s="2070" t="s">
        <v>2849</v>
      </c>
      <c r="D65" s="2070" t="s">
        <v>2850</v>
      </c>
      <c r="E65" s="2070">
        <v>4.5460900000000004</v>
      </c>
      <c r="F65" s="2070" t="s">
        <v>1651</v>
      </c>
      <c r="L65" s="2087"/>
      <c r="M65" s="2089"/>
      <c r="N65" s="2089"/>
      <c r="O65" s="2089"/>
      <c r="P65" s="2089"/>
      <c r="Q65" s="2089"/>
      <c r="R65" s="2089"/>
      <c r="S65" s="2089"/>
      <c r="T65" s="2089"/>
      <c r="U65" s="2089"/>
      <c r="V65" s="2089"/>
      <c r="W65" s="2089"/>
      <c r="X65" s="2092"/>
    </row>
    <row r="66" spans="2:24">
      <c r="B66" s="2122" t="s">
        <v>1652</v>
      </c>
      <c r="C66" s="2122" t="s">
        <v>1653</v>
      </c>
      <c r="D66" s="2122" t="s">
        <v>1654</v>
      </c>
      <c r="E66" s="2122">
        <v>3.7854109999999999</v>
      </c>
      <c r="F66" s="2122" t="s">
        <v>1651</v>
      </c>
      <c r="L66" s="2087"/>
      <c r="M66" s="2089"/>
      <c r="N66" s="2089"/>
      <c r="O66" s="2089"/>
      <c r="P66" s="2089"/>
      <c r="Q66" s="2089"/>
      <c r="R66" s="2089"/>
      <c r="S66" s="2089"/>
      <c r="T66" s="2089"/>
      <c r="U66" s="2089"/>
      <c r="V66" s="2089"/>
      <c r="W66" s="2089"/>
      <c r="X66" s="2092"/>
    </row>
    <row r="67" spans="2:24">
      <c r="L67" s="2087"/>
      <c r="M67" s="2089"/>
      <c r="N67" s="2089"/>
      <c r="O67" s="2089"/>
      <c r="P67" s="2089"/>
      <c r="Q67" s="2089"/>
      <c r="R67" s="2089"/>
      <c r="S67" s="2089"/>
      <c r="T67" s="2089"/>
      <c r="U67" s="2089"/>
      <c r="V67" s="2089"/>
      <c r="W67" s="2089"/>
      <c r="X67" s="2092"/>
    </row>
    <row r="68" spans="2:24" ht="18">
      <c r="B68" s="2071" t="s">
        <v>2786</v>
      </c>
      <c r="C68" s="2071"/>
      <c r="L68" s="2087"/>
      <c r="M68" s="2089"/>
      <c r="N68" s="2089"/>
      <c r="O68" s="2089"/>
      <c r="P68" s="2089"/>
      <c r="Q68" s="2089"/>
      <c r="R68" s="2089"/>
      <c r="S68" s="2089"/>
      <c r="T68" s="2089"/>
      <c r="U68" s="2089"/>
      <c r="V68" s="2089"/>
      <c r="W68" s="2089"/>
      <c r="X68" s="2092"/>
    </row>
    <row r="69" spans="2:24">
      <c r="L69" s="2087"/>
      <c r="M69" s="2089"/>
      <c r="N69" s="2089"/>
      <c r="O69" s="2089"/>
      <c r="P69" s="2089"/>
      <c r="Q69" s="2089"/>
      <c r="R69" s="2089"/>
      <c r="S69" s="2089"/>
      <c r="T69" s="2089"/>
      <c r="U69" s="2089"/>
      <c r="V69" s="2089"/>
      <c r="W69" s="2089"/>
      <c r="X69" s="2092"/>
    </row>
    <row r="70" spans="2:24">
      <c r="B70" s="2136" t="s">
        <v>895</v>
      </c>
      <c r="C70" s="2137" t="s">
        <v>29</v>
      </c>
      <c r="D70" s="2137" t="s">
        <v>1536</v>
      </c>
      <c r="E70" s="2138"/>
      <c r="F70" s="2139" t="s">
        <v>2809</v>
      </c>
      <c r="L70" s="2087"/>
      <c r="M70" s="2089"/>
      <c r="N70" s="2089"/>
      <c r="O70" s="2089"/>
      <c r="P70" s="2089"/>
      <c r="Q70" s="2089"/>
      <c r="R70" s="2089"/>
      <c r="S70" s="2089"/>
      <c r="T70" s="2089"/>
      <c r="U70" s="2089"/>
      <c r="V70" s="2089"/>
      <c r="W70" s="2089"/>
      <c r="X70" s="2092"/>
    </row>
    <row r="71" spans="2:24" ht="15">
      <c r="B71" s="2140" t="s">
        <v>2810</v>
      </c>
      <c r="C71" s="2079" t="s">
        <v>2921</v>
      </c>
      <c r="D71" s="2080"/>
      <c r="E71" s="2119"/>
      <c r="F71" s="2141"/>
      <c r="L71" s="2087"/>
      <c r="M71" s="2089"/>
      <c r="N71" s="2089"/>
      <c r="O71" s="2089"/>
      <c r="P71" s="2089"/>
      <c r="Q71" s="2089"/>
      <c r="R71" s="2089"/>
      <c r="S71" s="2089"/>
      <c r="T71" s="2089"/>
      <c r="U71" s="2089"/>
      <c r="V71" s="2089"/>
      <c r="W71" s="2089"/>
      <c r="X71" s="2092"/>
    </row>
    <row r="72" spans="2:24" ht="15">
      <c r="B72" s="2140" t="s">
        <v>2811</v>
      </c>
      <c r="C72" s="2079" t="s">
        <v>2922</v>
      </c>
      <c r="D72" s="2080"/>
      <c r="E72" s="2119"/>
      <c r="F72" s="2141"/>
      <c r="L72" s="2087"/>
      <c r="M72" s="2089"/>
      <c r="N72" s="2089"/>
      <c r="O72" s="2089"/>
      <c r="P72" s="2089"/>
      <c r="Q72" s="2089"/>
      <c r="R72" s="2089"/>
      <c r="S72" s="2089"/>
      <c r="T72" s="2089"/>
      <c r="U72" s="2089"/>
      <c r="V72" s="2089"/>
      <c r="W72" s="2089"/>
      <c r="X72" s="2092"/>
    </row>
    <row r="73" spans="2:24" ht="15">
      <c r="B73" s="2140" t="s">
        <v>2812</v>
      </c>
      <c r="C73" s="2079" t="s">
        <v>2923</v>
      </c>
      <c r="D73" s="2080"/>
      <c r="E73" s="2119"/>
      <c r="F73" s="2141"/>
      <c r="L73" s="2087"/>
      <c r="M73" s="2089"/>
      <c r="N73" s="2089"/>
      <c r="O73" s="2089"/>
      <c r="P73" s="2089"/>
      <c r="Q73" s="2089"/>
      <c r="R73" s="2089"/>
      <c r="S73" s="2089"/>
      <c r="T73" s="2089"/>
      <c r="U73" s="2089"/>
      <c r="V73" s="2089"/>
      <c r="W73" s="2089"/>
      <c r="X73" s="2092"/>
    </row>
    <row r="74" spans="2:24" ht="15">
      <c r="B74" s="2140" t="s">
        <v>2813</v>
      </c>
      <c r="C74" s="2079" t="s">
        <v>2924</v>
      </c>
      <c r="D74" s="2080"/>
      <c r="E74" s="2119"/>
      <c r="F74" s="2141"/>
      <c r="L74" s="2087"/>
      <c r="M74" s="2089"/>
      <c r="N74" s="2089"/>
      <c r="O74" s="2089"/>
      <c r="P74" s="2089"/>
      <c r="Q74" s="2089"/>
      <c r="R74" s="2089"/>
      <c r="S74" s="2089"/>
      <c r="T74" s="2089"/>
      <c r="U74" s="2089"/>
      <c r="V74" s="2089"/>
      <c r="W74" s="2089"/>
      <c r="X74" s="2092"/>
    </row>
    <row r="75" spans="2:24" ht="15">
      <c r="B75" s="2140" t="s">
        <v>1655</v>
      </c>
      <c r="C75" s="2079" t="s">
        <v>1656</v>
      </c>
      <c r="D75" s="2080"/>
      <c r="E75" s="2119"/>
      <c r="F75" s="2141"/>
      <c r="L75" s="2087"/>
      <c r="M75" s="2089"/>
      <c r="N75" s="2089"/>
      <c r="O75" s="2089"/>
      <c r="P75" s="2089"/>
      <c r="Q75" s="2089"/>
      <c r="R75" s="2089"/>
      <c r="S75" s="2089"/>
      <c r="T75" s="2089"/>
      <c r="U75" s="2089"/>
      <c r="V75" s="2089"/>
      <c r="W75" s="2089"/>
      <c r="X75" s="2092"/>
    </row>
    <row r="76" spans="2:24" ht="15">
      <c r="B76" s="2140" t="s">
        <v>1657</v>
      </c>
      <c r="C76" s="2079" t="s">
        <v>1658</v>
      </c>
      <c r="D76" s="2080"/>
      <c r="E76" s="2119"/>
      <c r="F76" s="2141"/>
      <c r="L76" s="2087"/>
      <c r="M76" s="2089"/>
      <c r="N76" s="2089"/>
      <c r="O76" s="2089"/>
      <c r="P76" s="2089"/>
      <c r="Q76" s="2089"/>
      <c r="R76" s="2089"/>
      <c r="S76" s="2089"/>
      <c r="T76" s="2089"/>
      <c r="U76" s="2089"/>
      <c r="V76" s="2089"/>
      <c r="W76" s="2089"/>
      <c r="X76" s="2092"/>
    </row>
    <row r="77" spans="2:24" ht="15">
      <c r="B77" s="2140" t="s">
        <v>1659</v>
      </c>
      <c r="C77" s="2079" t="s">
        <v>1660</v>
      </c>
      <c r="D77" s="2080"/>
      <c r="E77" s="2119"/>
      <c r="F77" s="2141"/>
      <c r="L77" s="2087"/>
      <c r="M77" s="2089"/>
      <c r="N77" s="2089"/>
      <c r="O77" s="2089"/>
      <c r="P77" s="2089"/>
      <c r="Q77" s="2089"/>
      <c r="R77" s="2089"/>
      <c r="S77" s="2089"/>
      <c r="T77" s="2089"/>
      <c r="U77" s="2089"/>
      <c r="V77" s="2089"/>
      <c r="W77" s="2089"/>
      <c r="X77" s="2092"/>
    </row>
    <row r="78" spans="2:24" ht="15">
      <c r="B78" s="2142" t="s">
        <v>2809</v>
      </c>
      <c r="C78" s="2103" t="s">
        <v>2925</v>
      </c>
      <c r="D78" s="2104"/>
      <c r="E78" s="2124"/>
      <c r="F78" s="2143"/>
      <c r="L78" s="2087"/>
      <c r="M78" s="2089"/>
      <c r="N78" s="2089"/>
      <c r="O78" s="2089"/>
      <c r="P78" s="2089"/>
      <c r="Q78" s="2089"/>
      <c r="R78" s="2089"/>
      <c r="S78" s="2089"/>
      <c r="T78" s="2089"/>
      <c r="U78" s="2089"/>
      <c r="V78" s="2089"/>
      <c r="W78" s="2089"/>
      <c r="X78" s="2092"/>
    </row>
    <row r="79" spans="2:24">
      <c r="L79" s="2087"/>
      <c r="M79" s="2089"/>
      <c r="N79" s="2089"/>
      <c r="O79" s="2089"/>
      <c r="P79" s="2089"/>
      <c r="Q79" s="2089"/>
      <c r="R79" s="2089"/>
      <c r="S79" s="2089"/>
      <c r="T79" s="2089"/>
      <c r="U79" s="2089"/>
      <c r="V79" s="2089"/>
      <c r="W79" s="2089"/>
      <c r="X79" s="2092"/>
    </row>
    <row r="80" spans="2:24" ht="18">
      <c r="B80" s="2071" t="s">
        <v>2787</v>
      </c>
      <c r="L80" s="2087"/>
      <c r="M80" s="2089"/>
      <c r="N80" s="2089"/>
      <c r="O80" s="2089"/>
      <c r="P80" s="2089"/>
      <c r="Q80" s="2089"/>
      <c r="R80" s="2089"/>
      <c r="S80" s="2089"/>
      <c r="T80" s="2089"/>
      <c r="U80" s="2089"/>
      <c r="V80" s="2089"/>
      <c r="W80" s="2089"/>
      <c r="X80" s="2092"/>
    </row>
    <row r="81" spans="2:24">
      <c r="L81" s="2087"/>
      <c r="M81" s="2089"/>
      <c r="N81" s="2089"/>
      <c r="O81" s="2089"/>
      <c r="P81" s="2089"/>
      <c r="Q81" s="2089"/>
      <c r="R81" s="2089"/>
      <c r="S81" s="2089"/>
      <c r="T81" s="2089"/>
      <c r="U81" s="2089"/>
      <c r="V81" s="2089"/>
      <c r="W81" s="2089"/>
      <c r="X81" s="2092"/>
    </row>
    <row r="82" spans="2:24">
      <c r="B82" s="2144" t="s">
        <v>1661</v>
      </c>
      <c r="C82" s="2145"/>
      <c r="D82" s="2146"/>
      <c r="L82" s="2087"/>
      <c r="M82" s="2089"/>
      <c r="N82" s="2089"/>
      <c r="O82" s="2089"/>
      <c r="P82" s="2089"/>
      <c r="Q82" s="2089"/>
      <c r="R82" s="2089"/>
      <c r="S82" s="2089"/>
      <c r="T82" s="2089"/>
      <c r="U82" s="2089"/>
      <c r="V82" s="2089"/>
      <c r="W82" s="2089"/>
      <c r="X82" s="2092"/>
    </row>
    <row r="83" spans="2:24">
      <c r="B83" s="2147"/>
      <c r="C83" s="2118"/>
      <c r="D83" s="2148"/>
      <c r="L83" s="2087"/>
      <c r="M83" s="2089"/>
      <c r="N83" s="2089"/>
      <c r="O83" s="2089"/>
      <c r="P83" s="2089"/>
      <c r="Q83" s="2089"/>
      <c r="R83" s="2089"/>
      <c r="S83" s="2089"/>
      <c r="T83" s="2089"/>
      <c r="U83" s="2089"/>
      <c r="V83" s="2089"/>
      <c r="W83" s="2089"/>
      <c r="X83" s="2092"/>
    </row>
    <row r="84" spans="2:24">
      <c r="B84" s="2147" t="s">
        <v>1662</v>
      </c>
      <c r="C84" s="2118"/>
      <c r="D84" s="2148"/>
      <c r="L84" s="2087"/>
      <c r="M84" s="2089"/>
      <c r="N84" s="2089"/>
      <c r="O84" s="2089"/>
      <c r="P84" s="2089"/>
      <c r="Q84" s="2089"/>
      <c r="R84" s="2089"/>
      <c r="S84" s="2089"/>
      <c r="T84" s="2089"/>
      <c r="U84" s="2089"/>
      <c r="V84" s="2089"/>
      <c r="W84" s="2089"/>
      <c r="X84" s="2092"/>
    </row>
    <row r="85" spans="2:24">
      <c r="B85" s="2147" t="s">
        <v>1663</v>
      </c>
      <c r="C85" s="2118"/>
      <c r="D85" s="2148"/>
      <c r="L85" s="2087"/>
      <c r="M85" s="2089"/>
      <c r="N85" s="2089"/>
      <c r="O85" s="2089"/>
      <c r="P85" s="2089"/>
      <c r="Q85" s="2089"/>
      <c r="R85" s="2089"/>
      <c r="S85" s="2089"/>
      <c r="T85" s="2089"/>
      <c r="U85" s="2089"/>
      <c r="V85" s="2089"/>
      <c r="W85" s="2089"/>
      <c r="X85" s="2092"/>
    </row>
    <row r="86" spans="2:24">
      <c r="B86" s="2147" t="s">
        <v>1664</v>
      </c>
      <c r="C86" s="2118"/>
      <c r="D86" s="2148"/>
      <c r="L86" s="2087"/>
      <c r="M86" s="2089"/>
      <c r="N86" s="2089"/>
      <c r="O86" s="2089"/>
      <c r="P86" s="2089"/>
      <c r="Q86" s="2089"/>
      <c r="R86" s="2089"/>
      <c r="S86" s="2089"/>
      <c r="T86" s="2089"/>
      <c r="U86" s="2089"/>
      <c r="V86" s="2089"/>
      <c r="W86" s="2089"/>
      <c r="X86" s="2092"/>
    </row>
    <row r="87" spans="2:24">
      <c r="B87" s="2147" t="s">
        <v>1665</v>
      </c>
      <c r="C87" s="2118"/>
      <c r="D87" s="2148"/>
      <c r="L87" s="2087"/>
      <c r="M87" s="2089"/>
      <c r="N87" s="2089"/>
      <c r="O87" s="2089"/>
      <c r="P87" s="2089"/>
      <c r="Q87" s="2089"/>
      <c r="R87" s="2089"/>
      <c r="S87" s="2089"/>
      <c r="T87" s="2089"/>
      <c r="U87" s="2089"/>
      <c r="V87" s="2089"/>
      <c r="W87" s="2089"/>
      <c r="X87" s="2092"/>
    </row>
    <row r="88" spans="2:24">
      <c r="B88" s="2147" t="s">
        <v>1666</v>
      </c>
      <c r="C88" s="2118"/>
      <c r="D88" s="2148"/>
      <c r="L88" s="2087"/>
      <c r="M88" s="2089"/>
      <c r="N88" s="2089"/>
      <c r="O88" s="2089"/>
      <c r="P88" s="2089"/>
      <c r="Q88" s="2089"/>
      <c r="R88" s="2089"/>
      <c r="S88" s="2089"/>
      <c r="T88" s="2089"/>
      <c r="U88" s="2089"/>
      <c r="V88" s="2089"/>
      <c r="W88" s="2089"/>
      <c r="X88" s="2092"/>
    </row>
    <row r="89" spans="2:24">
      <c r="B89" s="2147" t="s">
        <v>1667</v>
      </c>
      <c r="C89" s="2118"/>
      <c r="D89" s="2148"/>
      <c r="L89" s="2087"/>
      <c r="M89" s="2089"/>
      <c r="N89" s="2089"/>
      <c r="O89" s="2089"/>
      <c r="P89" s="2089"/>
      <c r="Q89" s="2089"/>
      <c r="R89" s="2089"/>
      <c r="S89" s="2089"/>
      <c r="T89" s="2089"/>
      <c r="U89" s="2089"/>
      <c r="V89" s="2089"/>
      <c r="W89" s="2089"/>
      <c r="X89" s="2092"/>
    </row>
    <row r="90" spans="2:24">
      <c r="B90" s="2147" t="s">
        <v>1668</v>
      </c>
      <c r="C90" s="2118"/>
      <c r="D90" s="2148"/>
      <c r="L90" s="2087"/>
      <c r="M90" s="2089"/>
      <c r="N90" s="2089"/>
      <c r="O90" s="2089"/>
      <c r="P90" s="2089"/>
      <c r="Q90" s="2089"/>
      <c r="R90" s="2089"/>
      <c r="S90" s="2089"/>
      <c r="T90" s="2089"/>
      <c r="U90" s="2089"/>
      <c r="V90" s="2089"/>
      <c r="W90" s="2089"/>
      <c r="X90" s="2092"/>
    </row>
    <row r="91" spans="2:24">
      <c r="B91" s="2147" t="s">
        <v>1669</v>
      </c>
      <c r="C91" s="2118"/>
      <c r="D91" s="2148"/>
      <c r="L91" s="2087"/>
      <c r="M91" s="2089"/>
      <c r="N91" s="2089"/>
      <c r="O91" s="2089"/>
      <c r="P91" s="2089"/>
      <c r="Q91" s="2089"/>
      <c r="R91" s="2089"/>
      <c r="S91" s="2089"/>
      <c r="T91" s="2089"/>
      <c r="U91" s="2089"/>
      <c r="V91" s="2089"/>
      <c r="W91" s="2089"/>
      <c r="X91" s="2092"/>
    </row>
    <row r="92" spans="2:24">
      <c r="B92" s="2147" t="s">
        <v>1670</v>
      </c>
      <c r="C92" s="2118"/>
      <c r="D92" s="2148"/>
      <c r="L92" s="2087"/>
      <c r="M92" s="2089"/>
      <c r="N92" s="2089"/>
      <c r="O92" s="2089"/>
      <c r="P92" s="2089"/>
      <c r="Q92" s="2089"/>
      <c r="R92" s="2089"/>
      <c r="S92" s="2089"/>
      <c r="T92" s="2089"/>
      <c r="U92" s="2089"/>
      <c r="V92" s="2089"/>
      <c r="W92" s="2089"/>
      <c r="X92" s="2092"/>
    </row>
    <row r="93" spans="2:24">
      <c r="B93" s="2147" t="s">
        <v>1671</v>
      </c>
      <c r="C93" s="2118"/>
      <c r="D93" s="2148"/>
      <c r="L93" s="2087"/>
      <c r="M93" s="2089"/>
      <c r="N93" s="2089"/>
      <c r="O93" s="2089"/>
      <c r="P93" s="2089"/>
      <c r="Q93" s="2089"/>
      <c r="R93" s="2089"/>
      <c r="S93" s="2089"/>
      <c r="T93" s="2089"/>
      <c r="U93" s="2089"/>
      <c r="V93" s="2089"/>
      <c r="W93" s="2089"/>
      <c r="X93" s="2092"/>
    </row>
    <row r="94" spans="2:24">
      <c r="B94" s="2147" t="s">
        <v>1672</v>
      </c>
      <c r="C94" s="2118"/>
      <c r="D94" s="2148"/>
      <c r="L94" s="2087"/>
      <c r="M94" s="2089"/>
      <c r="N94" s="2089"/>
      <c r="O94" s="2089"/>
      <c r="P94" s="2089"/>
      <c r="Q94" s="2089"/>
      <c r="R94" s="2089"/>
      <c r="S94" s="2089"/>
      <c r="T94" s="2089"/>
      <c r="U94" s="2089"/>
      <c r="V94" s="2089"/>
      <c r="W94" s="2089"/>
      <c r="X94" s="2092"/>
    </row>
    <row r="95" spans="2:24">
      <c r="B95" s="2147" t="s">
        <v>1673</v>
      </c>
      <c r="C95" s="2118"/>
      <c r="D95" s="2148"/>
      <c r="L95" s="2092"/>
      <c r="M95" s="2092"/>
      <c r="N95" s="2092"/>
      <c r="O95" s="2092"/>
      <c r="P95" s="2092"/>
      <c r="Q95" s="2092"/>
      <c r="R95" s="2092"/>
      <c r="S95" s="2092"/>
      <c r="T95" s="2092"/>
      <c r="U95" s="2092"/>
      <c r="V95" s="2092"/>
      <c r="W95" s="2092"/>
      <c r="X95" s="2092"/>
    </row>
    <row r="96" spans="2:24">
      <c r="B96" s="2147" t="s">
        <v>1674</v>
      </c>
      <c r="C96" s="2118"/>
      <c r="D96" s="2148"/>
      <c r="L96" s="2092"/>
      <c r="M96" s="2092"/>
      <c r="N96" s="2092"/>
      <c r="O96" s="2092"/>
      <c r="P96" s="2092"/>
      <c r="Q96" s="2092"/>
      <c r="R96" s="2092"/>
      <c r="S96" s="2092"/>
      <c r="T96" s="2092"/>
      <c r="U96" s="2092"/>
      <c r="V96" s="2092"/>
      <c r="W96" s="2092"/>
      <c r="X96" s="2092"/>
    </row>
    <row r="97" spans="2:4">
      <c r="B97" s="2147" t="s">
        <v>1675</v>
      </c>
      <c r="C97" s="2118"/>
      <c r="D97" s="2148"/>
    </row>
    <row r="98" spans="2:4">
      <c r="B98" s="2147" t="s">
        <v>1676</v>
      </c>
      <c r="C98" s="2118"/>
      <c r="D98" s="2148"/>
    </row>
    <row r="99" spans="2:4">
      <c r="B99" s="2147" t="s">
        <v>1677</v>
      </c>
      <c r="C99" s="2118"/>
      <c r="D99" s="2148"/>
    </row>
    <row r="100" spans="2:4">
      <c r="B100" s="2147" t="s">
        <v>1678</v>
      </c>
      <c r="C100" s="2118"/>
      <c r="D100" s="2148"/>
    </row>
    <row r="101" spans="2:4">
      <c r="B101" s="2147" t="s">
        <v>766</v>
      </c>
      <c r="C101" s="2118"/>
      <c r="D101" s="2148"/>
    </row>
    <row r="102" spans="2:4">
      <c r="B102" s="2147" t="s">
        <v>1679</v>
      </c>
      <c r="C102" s="2118"/>
      <c r="D102" s="2148"/>
    </row>
    <row r="103" spans="2:4">
      <c r="B103" s="2147" t="s">
        <v>1680</v>
      </c>
      <c r="C103" s="2118"/>
      <c r="D103" s="2148"/>
    </row>
    <row r="104" spans="2:4">
      <c r="B104" s="2147" t="s">
        <v>1029</v>
      </c>
      <c r="C104" s="2118"/>
      <c r="D104" s="2148"/>
    </row>
    <row r="105" spans="2:4">
      <c r="B105" s="2149">
        <v>2011</v>
      </c>
      <c r="C105" s="2150"/>
      <c r="D105" s="2151"/>
    </row>
  </sheetData>
  <mergeCells count="6">
    <mergeCell ref="T22:U22"/>
    <mergeCell ref="N21:O21"/>
    <mergeCell ref="P21:Q21"/>
    <mergeCell ref="N22:O22"/>
    <mergeCell ref="P22:Q22"/>
    <mergeCell ref="R22:S22"/>
  </mergeCells>
  <dataValidations count="1">
    <dataValidation type="list" allowBlank="1" showInputMessage="1" showErrorMessage="1" sqref="I4 L4">
      <formula1>Conversions.Energy.Units</formula1>
    </dataValidation>
  </dataValidations>
  <pageMargins left="0.7" right="0.7" top="0.75" bottom="0.75" header="0.3" footer="0.3"/>
  <pageSetup paperSize="9" orientation="portrait" horizontalDpi="4294967292" verticalDpi="4294967292"/>
</worksheet>
</file>

<file path=xl/worksheets/sheet11.xml><?xml version="1.0" encoding="utf-8"?>
<worksheet xmlns="http://schemas.openxmlformats.org/spreadsheetml/2006/main" xmlns:r="http://schemas.openxmlformats.org/officeDocument/2006/relationships">
  <sheetPr codeName="Sheet4">
    <tabColor theme="7" tint="0.39997558519241921"/>
  </sheetPr>
  <dimension ref="A1:R87"/>
  <sheetViews>
    <sheetView zoomScale="80" zoomScaleNormal="80" workbookViewId="0">
      <selection activeCell="E20" sqref="E20"/>
    </sheetView>
  </sheetViews>
  <sheetFormatPr defaultColWidth="8.85546875" defaultRowHeight="15"/>
  <cols>
    <col min="1" max="1" width="4.42578125" customWidth="1"/>
    <col min="2" max="2" width="27.28515625" customWidth="1"/>
    <col min="3" max="3" width="27.42578125" customWidth="1"/>
    <col min="4" max="4" width="13.85546875" customWidth="1"/>
    <col min="5" max="5" width="18.85546875" bestFit="1" customWidth="1"/>
    <col min="6" max="6" width="16.7109375" customWidth="1"/>
    <col min="7" max="7" width="11.42578125" customWidth="1"/>
    <col min="8" max="8" width="10.28515625" customWidth="1"/>
    <col min="9" max="9" width="9.42578125" bestFit="1" customWidth="1"/>
    <col min="14" max="15" width="13.140625" customWidth="1"/>
  </cols>
  <sheetData>
    <row r="1" spans="1:18">
      <c r="B1" t="s">
        <v>1481</v>
      </c>
    </row>
    <row r="3" spans="1:18" ht="18">
      <c r="B3" s="2043" t="s">
        <v>1482</v>
      </c>
    </row>
    <row r="5" spans="1:18" ht="22.5" customHeight="1">
      <c r="B5" s="857" t="s">
        <v>1483</v>
      </c>
      <c r="C5" s="857" t="s">
        <v>1200</v>
      </c>
      <c r="D5" s="857" t="s">
        <v>182</v>
      </c>
      <c r="E5" s="3577"/>
      <c r="F5" s="363" t="s">
        <v>1484</v>
      </c>
      <c r="G5" s="3577"/>
    </row>
    <row r="6" spans="1:18" ht="15.75">
      <c r="A6" s="443"/>
      <c r="B6" s="6">
        <v>2013</v>
      </c>
      <c r="C6" s="424">
        <v>4593100</v>
      </c>
      <c r="D6" s="424">
        <v>1672651.1289147851</v>
      </c>
      <c r="F6" s="382" t="s">
        <v>1485</v>
      </c>
      <c r="G6" t="s">
        <v>1486</v>
      </c>
      <c r="K6" s="994"/>
      <c r="L6" s="994"/>
      <c r="M6" s="994"/>
      <c r="N6" s="994"/>
      <c r="O6" s="994"/>
      <c r="P6" s="994"/>
      <c r="Q6" s="994"/>
      <c r="R6" s="994"/>
    </row>
    <row r="7" spans="1:18" ht="15.75">
      <c r="A7" s="443"/>
      <c r="B7" s="6">
        <v>2015</v>
      </c>
      <c r="C7" s="424">
        <v>4661392.6513631651</v>
      </c>
      <c r="D7" s="424">
        <v>1724685.0990151383</v>
      </c>
      <c r="F7" s="382" t="s">
        <v>1487</v>
      </c>
      <c r="G7" t="s">
        <v>1488</v>
      </c>
      <c r="N7" s="1188"/>
    </row>
    <row r="8" spans="1:18" ht="15.75">
      <c r="A8" s="443"/>
      <c r="B8" s="6">
        <v>2020</v>
      </c>
      <c r="C8" s="424">
        <v>4836599.7922269069</v>
      </c>
      <c r="D8" s="424">
        <v>1818612.4430257217</v>
      </c>
      <c r="F8" s="382" t="s">
        <v>1489</v>
      </c>
      <c r="G8" s="3936" t="s">
        <v>3274</v>
      </c>
      <c r="N8" s="1188"/>
    </row>
    <row r="9" spans="1:18" ht="15.75">
      <c r="A9" s="443"/>
      <c r="B9" s="6">
        <v>2025</v>
      </c>
      <c r="C9" s="424">
        <v>5002284.3389555048</v>
      </c>
      <c r="D9" s="424">
        <v>1912005.4807283345</v>
      </c>
      <c r="I9" s="382"/>
      <c r="N9" s="1188"/>
    </row>
    <row r="10" spans="1:18" ht="15.75">
      <c r="A10" s="443"/>
      <c r="B10" s="6">
        <v>2030</v>
      </c>
      <c r="C10" s="424">
        <v>5146142.1789294351</v>
      </c>
      <c r="D10" s="424">
        <v>2000055.258037091</v>
      </c>
      <c r="F10" s="382"/>
      <c r="I10" s="382"/>
      <c r="N10" s="1188"/>
    </row>
    <row r="11" spans="1:18" ht="15.75">
      <c r="A11" s="443"/>
      <c r="B11" s="6">
        <v>2035</v>
      </c>
      <c r="C11" s="424">
        <v>5294960.6340748798</v>
      </c>
      <c r="D11" s="424">
        <v>2093076.6415949718</v>
      </c>
      <c r="I11" s="382"/>
      <c r="N11" s="1188"/>
    </row>
    <row r="12" spans="1:18" ht="15.75">
      <c r="A12" s="443"/>
      <c r="B12" s="6">
        <v>2040</v>
      </c>
      <c r="C12" s="424">
        <v>5447747.5813575322</v>
      </c>
      <c r="D12" s="424">
        <v>2190930.0548391445</v>
      </c>
      <c r="I12" s="382"/>
      <c r="J12" s="2044"/>
      <c r="N12" s="1188"/>
    </row>
    <row r="13" spans="1:18" ht="15.75">
      <c r="A13" s="443"/>
      <c r="B13" s="6">
        <v>2045</v>
      </c>
      <c r="C13" s="424">
        <v>5590613.2982971575</v>
      </c>
      <c r="D13" s="424">
        <v>2288187.1680332171</v>
      </c>
      <c r="I13" s="382"/>
      <c r="N13" s="1188"/>
    </row>
    <row r="14" spans="1:18">
      <c r="B14" s="6">
        <v>2050</v>
      </c>
      <c r="C14" s="424">
        <v>5737225.6302867383</v>
      </c>
      <c r="D14" s="424">
        <v>2390510.6792861409</v>
      </c>
      <c r="F14" s="4138"/>
      <c r="N14" s="1188"/>
    </row>
    <row r="15" spans="1:18">
      <c r="B15" s="1036"/>
      <c r="C15" s="2045">
        <f>SUBTOTAL(101,[Population])</f>
        <v>5145562.9006101461</v>
      </c>
      <c r="D15" s="2045"/>
    </row>
    <row r="16" spans="1:18" s="2503" customFormat="1">
      <c r="B16" s="1036"/>
      <c r="C16" s="2045"/>
      <c r="D16" s="2045"/>
      <c r="E16" s="1036"/>
      <c r="F16" s="2045"/>
      <c r="G16" s="2046"/>
    </row>
    <row r="17" spans="2:13" ht="18">
      <c r="B17" s="2043" t="s">
        <v>70</v>
      </c>
    </row>
    <row r="18" spans="2:13">
      <c r="I18" t="s">
        <v>5</v>
      </c>
    </row>
    <row r="19" spans="2:13">
      <c r="B19" s="2047" t="s">
        <v>1490</v>
      </c>
      <c r="C19" s="2047" t="s">
        <v>1491</v>
      </c>
      <c r="D19" s="2047" t="s">
        <v>1492</v>
      </c>
    </row>
    <row r="20" spans="2:13" ht="15.75">
      <c r="B20" s="424" t="s">
        <v>2851</v>
      </c>
      <c r="C20" s="729" t="s">
        <v>1493</v>
      </c>
      <c r="D20">
        <v>100</v>
      </c>
      <c r="M20" s="398"/>
    </row>
    <row r="21" spans="2:13" ht="15.75">
      <c r="B21" s="437" t="s">
        <v>2852</v>
      </c>
      <c r="C21" s="2048" t="s">
        <v>1493</v>
      </c>
      <c r="D21" s="1239">
        <v>110</v>
      </c>
      <c r="E21" s="4140"/>
    </row>
    <row r="23" spans="2:13">
      <c r="H23" t="s">
        <v>5</v>
      </c>
    </row>
    <row r="24" spans="2:13" ht="18">
      <c r="B24" s="2043" t="s">
        <v>2785</v>
      </c>
    </row>
    <row r="26" spans="2:13">
      <c r="B26" s="2049" t="s">
        <v>1483</v>
      </c>
      <c r="C26" s="2050">
        <v>2010</v>
      </c>
      <c r="D26" s="2050">
        <v>2015</v>
      </c>
      <c r="E26" s="2050">
        <v>2020</v>
      </c>
      <c r="F26" s="2050">
        <v>2025</v>
      </c>
      <c r="G26" s="2050">
        <v>2030</v>
      </c>
      <c r="H26" s="2050">
        <v>2035</v>
      </c>
      <c r="I26" s="2050">
        <v>2040</v>
      </c>
      <c r="J26" s="2050">
        <v>2045</v>
      </c>
      <c r="K26" s="2050">
        <v>2050</v>
      </c>
      <c r="L26" s="773"/>
    </row>
    <row r="27" spans="2:13">
      <c r="B27" s="2051" t="s">
        <v>1494</v>
      </c>
      <c r="C27" s="2052">
        <v>3.5000000000000003E-2</v>
      </c>
      <c r="D27" s="2053"/>
      <c r="E27" s="2053"/>
      <c r="F27" s="2053"/>
      <c r="G27" s="2053"/>
      <c r="H27" s="2053"/>
      <c r="I27" s="2053"/>
      <c r="J27" s="2054"/>
      <c r="K27" s="2054"/>
      <c r="L27" s="773"/>
    </row>
    <row r="28" spans="2:13">
      <c r="B28" s="2055" t="s">
        <v>1495</v>
      </c>
      <c r="C28" s="2056">
        <v>1</v>
      </c>
      <c r="D28" s="2056"/>
      <c r="E28" s="2056"/>
      <c r="F28" s="2056"/>
      <c r="G28" s="2056"/>
      <c r="H28" s="2056"/>
      <c r="I28" s="2056"/>
      <c r="J28" s="2056"/>
      <c r="K28" s="2056"/>
      <c r="L28" s="773"/>
    </row>
    <row r="31" spans="2:13" ht="18">
      <c r="B31" s="2043" t="s">
        <v>2957</v>
      </c>
      <c r="C31" s="418"/>
      <c r="D31" s="745"/>
      <c r="E31" s="745"/>
      <c r="F31" s="745"/>
      <c r="G31" s="745"/>
      <c r="H31" s="745"/>
      <c r="I31" s="745"/>
    </row>
    <row r="32" spans="2:13">
      <c r="C32" s="418"/>
      <c r="D32" s="4150" t="s">
        <v>20</v>
      </c>
      <c r="E32" s="4150"/>
      <c r="F32" s="4150" t="s">
        <v>1496</v>
      </c>
      <c r="G32" s="4150"/>
      <c r="H32" s="4150" t="s">
        <v>22</v>
      </c>
      <c r="I32" s="4150"/>
    </row>
    <row r="33" spans="2:11">
      <c r="B33" s="2057" t="s">
        <v>415</v>
      </c>
      <c r="C33" s="2058"/>
      <c r="D33" s="2059" t="s">
        <v>1497</v>
      </c>
      <c r="E33" s="2060" t="s">
        <v>972</v>
      </c>
      <c r="F33" s="2059" t="s">
        <v>1497</v>
      </c>
      <c r="G33" s="2060" t="s">
        <v>972</v>
      </c>
      <c r="H33" s="2059" t="s">
        <v>1497</v>
      </c>
      <c r="I33" s="2060" t="s">
        <v>972</v>
      </c>
    </row>
    <row r="34" spans="2:11">
      <c r="B34" s="773"/>
      <c r="C34" s="398"/>
      <c r="D34" s="2049"/>
      <c r="E34" s="2061"/>
      <c r="F34" s="2049"/>
      <c r="G34" s="2061"/>
      <c r="H34" s="2049"/>
      <c r="I34" s="2061"/>
      <c r="K34" t="s">
        <v>1498</v>
      </c>
    </row>
    <row r="35" spans="2:11">
      <c r="B35" s="773"/>
      <c r="C35" s="1720" t="s">
        <v>1499</v>
      </c>
      <c r="D35" s="2062">
        <v>0</v>
      </c>
      <c r="E35" s="2063">
        <v>5</v>
      </c>
      <c r="F35" s="2062">
        <v>7.0000000000000007E-2</v>
      </c>
      <c r="G35" s="2063">
        <v>15</v>
      </c>
      <c r="H35" s="2062">
        <v>0.1</v>
      </c>
      <c r="I35" s="2063">
        <v>15</v>
      </c>
      <c r="K35" t="s">
        <v>1500</v>
      </c>
    </row>
    <row r="36" spans="2:11">
      <c r="B36" s="773"/>
      <c r="C36" s="398"/>
      <c r="D36" s="2062"/>
      <c r="E36" s="2063"/>
      <c r="F36" s="2062"/>
      <c r="G36" s="2063"/>
      <c r="H36" s="2062"/>
      <c r="I36" s="2063"/>
    </row>
    <row r="37" spans="2:11">
      <c r="B37" s="2051" t="s">
        <v>556</v>
      </c>
      <c r="C37" s="453" t="s">
        <v>1501</v>
      </c>
      <c r="D37" s="2064">
        <v>0</v>
      </c>
      <c r="E37" s="2065">
        <v>20</v>
      </c>
      <c r="F37" s="2064">
        <v>7.0000000000000007E-2</v>
      </c>
      <c r="G37" s="2065">
        <v>20</v>
      </c>
      <c r="H37" s="2064">
        <v>0.1</v>
      </c>
      <c r="I37" s="2065">
        <v>20</v>
      </c>
    </row>
    <row r="38" spans="2:11">
      <c r="B38" s="2051" t="s">
        <v>553</v>
      </c>
      <c r="C38" s="453" t="s">
        <v>1502</v>
      </c>
      <c r="D38" s="2064">
        <v>0</v>
      </c>
      <c r="E38" s="2065">
        <v>30</v>
      </c>
      <c r="F38" s="2064">
        <v>7.0000000000000007E-2</v>
      </c>
      <c r="G38" s="2065">
        <v>30</v>
      </c>
      <c r="H38" s="2064">
        <v>0.1</v>
      </c>
      <c r="I38" s="2065">
        <v>30</v>
      </c>
    </row>
    <row r="39" spans="2:11">
      <c r="B39" s="2051" t="s">
        <v>548</v>
      </c>
      <c r="C39" s="453" t="s">
        <v>549</v>
      </c>
      <c r="D39" s="2064">
        <v>0</v>
      </c>
      <c r="E39" s="2065">
        <v>30</v>
      </c>
      <c r="F39" s="2064">
        <v>7.0000000000000007E-2</v>
      </c>
      <c r="G39" s="2065">
        <v>30</v>
      </c>
      <c r="H39" s="2064">
        <v>0.1</v>
      </c>
      <c r="I39" s="2065">
        <v>30</v>
      </c>
    </row>
    <row r="40" spans="2:11">
      <c r="B40" s="2051" t="s">
        <v>520</v>
      </c>
      <c r="C40" s="453" t="s">
        <v>521</v>
      </c>
      <c r="D40" s="2064">
        <v>0</v>
      </c>
      <c r="E40" s="2065">
        <v>20</v>
      </c>
      <c r="F40" s="2064">
        <v>7.0000000000000007E-2</v>
      </c>
      <c r="G40" s="2065">
        <v>20</v>
      </c>
      <c r="H40" s="2064">
        <v>0.1</v>
      </c>
      <c r="I40" s="2065">
        <v>20</v>
      </c>
    </row>
    <row r="41" spans="2:11">
      <c r="B41" s="2051" t="s">
        <v>522</v>
      </c>
      <c r="C41" s="453" t="s">
        <v>523</v>
      </c>
      <c r="D41" s="2064">
        <v>0</v>
      </c>
      <c r="E41" s="2065">
        <v>20</v>
      </c>
      <c r="F41" s="2064">
        <v>7.0000000000000007E-2</v>
      </c>
      <c r="G41" s="2065">
        <v>20</v>
      </c>
      <c r="H41" s="2064">
        <v>0.1</v>
      </c>
      <c r="I41" s="2065">
        <v>20</v>
      </c>
    </row>
    <row r="42" spans="2:11">
      <c r="B42" s="2051" t="s">
        <v>524</v>
      </c>
      <c r="C42" s="453" t="s">
        <v>1503</v>
      </c>
      <c r="D42" s="2064">
        <v>0</v>
      </c>
      <c r="E42" s="2065">
        <v>30</v>
      </c>
      <c r="F42" s="2064">
        <v>7.0000000000000007E-2</v>
      </c>
      <c r="G42" s="2065">
        <v>30</v>
      </c>
      <c r="H42" s="2064">
        <v>0.1</v>
      </c>
      <c r="I42" s="2065">
        <v>30</v>
      </c>
    </row>
    <row r="43" spans="2:11">
      <c r="B43" s="2051" t="s">
        <v>526</v>
      </c>
      <c r="C43" s="453" t="s">
        <v>1504</v>
      </c>
      <c r="D43" s="2064">
        <v>0</v>
      </c>
      <c r="E43" s="2065">
        <v>30</v>
      </c>
      <c r="F43" s="2064">
        <v>7.0000000000000007E-2</v>
      </c>
      <c r="G43" s="2065">
        <v>30</v>
      </c>
      <c r="H43" s="2064">
        <v>0.1</v>
      </c>
      <c r="I43" s="2065">
        <v>30</v>
      </c>
    </row>
    <row r="44" spans="2:11">
      <c r="B44" s="2051" t="s">
        <v>528</v>
      </c>
      <c r="C44" s="453" t="s">
        <v>55</v>
      </c>
      <c r="D44" s="2064">
        <v>0</v>
      </c>
      <c r="E44" s="2065">
        <v>25</v>
      </c>
      <c r="F44" s="2064">
        <v>7.0000000000000007E-2</v>
      </c>
      <c r="G44" s="2065">
        <v>25</v>
      </c>
      <c r="H44" s="2064">
        <v>0.1</v>
      </c>
      <c r="I44" s="2065">
        <v>25</v>
      </c>
    </row>
    <row r="45" spans="2:11">
      <c r="B45" s="2051" t="s">
        <v>534</v>
      </c>
      <c r="C45" s="453" t="s">
        <v>1505</v>
      </c>
      <c r="D45" s="2064">
        <v>0</v>
      </c>
      <c r="E45" s="2065">
        <v>25</v>
      </c>
      <c r="F45" s="2064">
        <v>7.0000000000000007E-2</v>
      </c>
      <c r="G45" s="2065">
        <v>25</v>
      </c>
      <c r="H45" s="2064">
        <v>0.1</v>
      </c>
      <c r="I45" s="2065">
        <v>25</v>
      </c>
    </row>
    <row r="46" spans="2:11">
      <c r="B46" s="2051" t="s">
        <v>25</v>
      </c>
      <c r="C46" s="453" t="s">
        <v>1506</v>
      </c>
      <c r="D46" s="2064">
        <v>0</v>
      </c>
      <c r="E46" s="2065">
        <v>20</v>
      </c>
      <c r="F46" s="2064">
        <v>7.0000000000000007E-2</v>
      </c>
      <c r="G46" s="2065">
        <v>20</v>
      </c>
      <c r="H46" s="2064">
        <v>0.1</v>
      </c>
      <c r="I46" s="2065">
        <v>20</v>
      </c>
    </row>
    <row r="47" spans="2:11">
      <c r="B47" s="2051" t="s">
        <v>536</v>
      </c>
      <c r="C47" s="453" t="s">
        <v>1507</v>
      </c>
      <c r="D47" s="2064">
        <v>0</v>
      </c>
      <c r="E47" s="2065">
        <v>25</v>
      </c>
      <c r="F47" s="2064">
        <v>7.0000000000000007E-2</v>
      </c>
      <c r="G47" s="2065">
        <v>25</v>
      </c>
      <c r="H47" s="2064">
        <v>0.1</v>
      </c>
      <c r="I47" s="2065">
        <v>25</v>
      </c>
    </row>
    <row r="48" spans="2:11">
      <c r="B48" s="2051" t="s">
        <v>575</v>
      </c>
      <c r="C48" s="453" t="s">
        <v>1508</v>
      </c>
      <c r="D48" s="2064">
        <v>0</v>
      </c>
      <c r="E48" s="2065">
        <v>30</v>
      </c>
      <c r="F48" s="2064">
        <v>7.0000000000000007E-2</v>
      </c>
      <c r="G48" s="2065">
        <v>30</v>
      </c>
      <c r="H48" s="2064">
        <v>0.1</v>
      </c>
      <c r="I48" s="2065">
        <v>30</v>
      </c>
    </row>
    <row r="49" spans="2:9">
      <c r="B49" s="2051"/>
      <c r="C49" s="453"/>
      <c r="D49" s="2064"/>
      <c r="E49" s="2065"/>
      <c r="F49" s="2064"/>
      <c r="G49" s="2065"/>
      <c r="H49" s="2064"/>
      <c r="I49" s="2065"/>
    </row>
    <row r="50" spans="2:9">
      <c r="B50" s="2051"/>
      <c r="C50" s="453"/>
      <c r="D50" s="2064"/>
      <c r="E50" s="2065"/>
      <c r="F50" s="2064"/>
      <c r="G50" s="2065"/>
      <c r="H50" s="2064"/>
      <c r="I50" s="2065"/>
    </row>
    <row r="51" spans="2:9">
      <c r="B51" s="2051"/>
      <c r="C51" s="453"/>
      <c r="D51" s="2064"/>
      <c r="E51" s="2065"/>
      <c r="F51" s="2064"/>
      <c r="G51" s="2065"/>
      <c r="H51" s="2064"/>
      <c r="I51" s="2065"/>
    </row>
    <row r="52" spans="2:9">
      <c r="B52" s="2051" t="s">
        <v>1509</v>
      </c>
      <c r="C52" s="453" t="s">
        <v>1510</v>
      </c>
      <c r="D52" s="2064">
        <v>0</v>
      </c>
      <c r="E52" s="2065">
        <v>15</v>
      </c>
      <c r="F52" s="2064">
        <v>7.0000000000000007E-2</v>
      </c>
      <c r="G52" s="2065">
        <v>15</v>
      </c>
      <c r="H52" s="2064">
        <v>0.1</v>
      </c>
      <c r="I52" s="2065">
        <v>15</v>
      </c>
    </row>
    <row r="53" spans="2:9">
      <c r="B53" s="2051" t="s">
        <v>1511</v>
      </c>
      <c r="C53" s="453" t="s">
        <v>1512</v>
      </c>
      <c r="D53" s="2064">
        <v>0</v>
      </c>
      <c r="E53" s="2065">
        <v>15</v>
      </c>
      <c r="F53" s="2064">
        <v>7.0000000000000007E-2</v>
      </c>
      <c r="G53" s="2065">
        <v>15</v>
      </c>
      <c r="H53" s="2064">
        <v>0.1</v>
      </c>
      <c r="I53" s="2065">
        <v>15</v>
      </c>
    </row>
    <row r="54" spans="2:9">
      <c r="B54" s="2051"/>
      <c r="C54" s="453"/>
      <c r="D54" s="2064"/>
      <c r="E54" s="2065"/>
      <c r="F54" s="2064"/>
      <c r="G54" s="2065"/>
      <c r="H54" s="2064"/>
      <c r="I54" s="2065"/>
    </row>
    <row r="55" spans="2:9">
      <c r="B55" s="2051"/>
      <c r="C55" s="453"/>
      <c r="D55" s="2064"/>
      <c r="E55" s="2065"/>
      <c r="F55" s="2064"/>
      <c r="G55" s="2065"/>
      <c r="H55" s="2064"/>
      <c r="I55" s="2065"/>
    </row>
    <row r="56" spans="2:9">
      <c r="B56" s="2051"/>
      <c r="C56" s="453"/>
      <c r="D56" s="2064"/>
      <c r="E56" s="2065"/>
      <c r="F56" s="2064"/>
      <c r="G56" s="2065"/>
      <c r="H56" s="2064"/>
      <c r="I56" s="2065"/>
    </row>
    <row r="57" spans="2:9">
      <c r="B57" s="2051" t="s">
        <v>567</v>
      </c>
      <c r="C57" s="453" t="s">
        <v>568</v>
      </c>
      <c r="D57" s="2064">
        <v>0</v>
      </c>
      <c r="E57" s="2065">
        <v>20</v>
      </c>
      <c r="F57" s="2064">
        <v>7.0000000000000007E-2</v>
      </c>
      <c r="G57" s="2065">
        <v>20</v>
      </c>
      <c r="H57" s="2064">
        <v>0.1</v>
      </c>
      <c r="I57" s="2065">
        <v>20</v>
      </c>
    </row>
    <row r="58" spans="2:9">
      <c r="B58" s="2051" t="s">
        <v>569</v>
      </c>
      <c r="C58" s="453" t="s">
        <v>1513</v>
      </c>
      <c r="D58" s="2064">
        <v>0</v>
      </c>
      <c r="E58" s="2065">
        <v>15</v>
      </c>
      <c r="F58" s="2064">
        <v>7.0000000000000007E-2</v>
      </c>
      <c r="G58" s="2065">
        <v>15</v>
      </c>
      <c r="H58" s="2064">
        <v>0.1</v>
      </c>
      <c r="I58" s="2065">
        <v>15</v>
      </c>
    </row>
    <row r="59" spans="2:9">
      <c r="B59" s="2051" t="s">
        <v>502</v>
      </c>
      <c r="C59" s="453" t="s">
        <v>505</v>
      </c>
      <c r="D59" s="2064">
        <v>0</v>
      </c>
      <c r="E59" s="2065">
        <v>25</v>
      </c>
      <c r="F59" s="2064">
        <v>7.0000000000000007E-2</v>
      </c>
      <c r="G59" s="2065">
        <v>25</v>
      </c>
      <c r="H59" s="2064">
        <v>0.1</v>
      </c>
      <c r="I59" s="2065">
        <v>25</v>
      </c>
    </row>
    <row r="60" spans="2:9">
      <c r="B60" s="2051" t="s">
        <v>1514</v>
      </c>
      <c r="C60" s="453" t="s">
        <v>1515</v>
      </c>
      <c r="D60" s="2064">
        <v>0</v>
      </c>
      <c r="E60" s="2065">
        <v>15</v>
      </c>
      <c r="F60" s="2064">
        <v>7.0000000000000007E-2</v>
      </c>
      <c r="G60" s="2065">
        <v>15</v>
      </c>
      <c r="H60" s="2064">
        <v>0.1</v>
      </c>
      <c r="I60" s="2065">
        <v>15</v>
      </c>
    </row>
    <row r="61" spans="2:9">
      <c r="B61" s="2051" t="s">
        <v>1516</v>
      </c>
      <c r="C61" s="453" t="s">
        <v>1517</v>
      </c>
      <c r="D61" s="2064">
        <v>0</v>
      </c>
      <c r="E61" s="2065">
        <v>30</v>
      </c>
      <c r="F61" s="2064">
        <v>7.0000000000000007E-2</v>
      </c>
      <c r="G61" s="2065">
        <v>30</v>
      </c>
      <c r="H61" s="2064">
        <v>0.1</v>
      </c>
      <c r="I61" s="2065">
        <v>30</v>
      </c>
    </row>
    <row r="62" spans="2:9">
      <c r="B62" s="2051" t="s">
        <v>465</v>
      </c>
      <c r="C62" s="453" t="s">
        <v>466</v>
      </c>
      <c r="D62" s="2064">
        <v>0</v>
      </c>
      <c r="E62" s="2065">
        <v>15</v>
      </c>
      <c r="F62" s="2064">
        <v>7.0000000000000007E-2</v>
      </c>
      <c r="G62" s="2065">
        <v>15</v>
      </c>
      <c r="H62" s="2064">
        <v>0.1</v>
      </c>
      <c r="I62" s="2065">
        <v>15</v>
      </c>
    </row>
    <row r="63" spans="2:9">
      <c r="B63" s="2051" t="s">
        <v>470</v>
      </c>
      <c r="C63" s="453" t="s">
        <v>471</v>
      </c>
      <c r="D63" s="2064">
        <v>0</v>
      </c>
      <c r="E63" s="2065">
        <v>15</v>
      </c>
      <c r="F63" s="2064">
        <v>7.0000000000000007E-2</v>
      </c>
      <c r="G63" s="2065">
        <v>15</v>
      </c>
      <c r="H63" s="2064">
        <v>0.1</v>
      </c>
      <c r="I63" s="2065">
        <v>15</v>
      </c>
    </row>
    <row r="64" spans="2:9">
      <c r="B64" s="2051"/>
      <c r="C64" s="453"/>
      <c r="D64" s="2064"/>
      <c r="E64" s="2065"/>
      <c r="F64" s="2064"/>
      <c r="G64" s="2065"/>
      <c r="H64" s="2064"/>
      <c r="I64" s="2065"/>
    </row>
    <row r="65" spans="2:9">
      <c r="B65" s="2051"/>
      <c r="C65" s="453"/>
      <c r="D65" s="2064"/>
      <c r="E65" s="2065"/>
      <c r="F65" s="2064"/>
      <c r="G65" s="2065"/>
      <c r="H65" s="2064"/>
      <c r="I65" s="2065"/>
    </row>
    <row r="66" spans="2:9">
      <c r="B66" s="2051" t="s">
        <v>1518</v>
      </c>
      <c r="C66" s="453" t="s">
        <v>1519</v>
      </c>
      <c r="D66" s="2064">
        <v>0</v>
      </c>
      <c r="E66" s="2065">
        <v>15</v>
      </c>
      <c r="F66" s="2064">
        <v>7.0000000000000007E-2</v>
      </c>
      <c r="G66" s="2065">
        <v>15</v>
      </c>
      <c r="H66" s="2064">
        <v>0.1</v>
      </c>
      <c r="I66" s="2065">
        <v>15</v>
      </c>
    </row>
    <row r="67" spans="2:9">
      <c r="B67" s="2051" t="s">
        <v>1520</v>
      </c>
      <c r="C67" s="453" t="s">
        <v>1521</v>
      </c>
      <c r="D67" s="2064">
        <v>0</v>
      </c>
      <c r="E67" s="2065">
        <v>15</v>
      </c>
      <c r="F67" s="2064">
        <v>7.0000000000000007E-2</v>
      </c>
      <c r="G67" s="2065">
        <v>15</v>
      </c>
      <c r="H67" s="2064">
        <v>0.1</v>
      </c>
      <c r="I67" s="2065">
        <v>15</v>
      </c>
    </row>
    <row r="68" spans="2:9">
      <c r="B68" s="2051" t="s">
        <v>1522</v>
      </c>
      <c r="C68" s="453" t="s">
        <v>1523</v>
      </c>
      <c r="D68" s="2064">
        <v>0</v>
      </c>
      <c r="E68" s="2065">
        <v>15</v>
      </c>
      <c r="F68" s="2064">
        <v>7.0000000000000007E-2</v>
      </c>
      <c r="G68" s="2065">
        <v>15</v>
      </c>
      <c r="H68" s="2064">
        <v>0.1</v>
      </c>
      <c r="I68" s="2065">
        <v>15</v>
      </c>
    </row>
    <row r="69" spans="2:9">
      <c r="B69" s="2051" t="s">
        <v>1524</v>
      </c>
      <c r="C69" s="453" t="s">
        <v>1525</v>
      </c>
      <c r="D69" s="2064">
        <v>0</v>
      </c>
      <c r="E69" s="2065">
        <v>15</v>
      </c>
      <c r="F69" s="2064">
        <v>7.0000000000000007E-2</v>
      </c>
      <c r="G69" s="2065">
        <v>15</v>
      </c>
      <c r="H69" s="2064">
        <v>0.1</v>
      </c>
      <c r="I69" s="2065">
        <v>15</v>
      </c>
    </row>
    <row r="70" spans="2:9">
      <c r="B70" s="2051" t="s">
        <v>1526</v>
      </c>
      <c r="C70" s="453" t="s">
        <v>1527</v>
      </c>
      <c r="D70" s="2064">
        <v>0</v>
      </c>
      <c r="E70" s="2065">
        <v>5</v>
      </c>
      <c r="F70" s="2064">
        <v>7.0000000000000007E-2</v>
      </c>
      <c r="G70" s="2065">
        <v>5</v>
      </c>
      <c r="H70" s="2064">
        <v>0.1</v>
      </c>
      <c r="I70" s="2065">
        <v>5</v>
      </c>
    </row>
    <row r="71" spans="2:9">
      <c r="B71" s="2051" t="s">
        <v>1528</v>
      </c>
      <c r="C71" s="453" t="s">
        <v>1246</v>
      </c>
      <c r="D71" s="2064">
        <v>0</v>
      </c>
      <c r="E71" s="2065">
        <v>30</v>
      </c>
      <c r="F71" s="2064">
        <v>7.0000000000000007E-2</v>
      </c>
      <c r="G71" s="2065">
        <v>30</v>
      </c>
      <c r="H71" s="2064">
        <v>0.1</v>
      </c>
      <c r="I71" s="2065">
        <v>30</v>
      </c>
    </row>
    <row r="72" spans="2:9">
      <c r="B72" s="2051" t="s">
        <v>1529</v>
      </c>
      <c r="C72" s="453" t="s">
        <v>371</v>
      </c>
      <c r="D72" s="2064">
        <v>0</v>
      </c>
      <c r="E72" s="2065">
        <v>30</v>
      </c>
      <c r="F72" s="2064">
        <v>7.0000000000000007E-2</v>
      </c>
      <c r="G72" s="2065">
        <v>30</v>
      </c>
      <c r="H72" s="2064">
        <v>0.1</v>
      </c>
      <c r="I72" s="2065">
        <v>30</v>
      </c>
    </row>
    <row r="73" spans="2:9">
      <c r="B73" s="2051" t="s">
        <v>480</v>
      </c>
      <c r="C73" s="453" t="s">
        <v>481</v>
      </c>
      <c r="D73" s="2064">
        <v>0</v>
      </c>
      <c r="E73" s="2065">
        <v>10</v>
      </c>
      <c r="F73" s="2064">
        <v>7.0000000000000007E-2</v>
      </c>
      <c r="G73" s="2065">
        <v>10</v>
      </c>
      <c r="H73" s="2064">
        <v>0.1</v>
      </c>
      <c r="I73" s="2065">
        <v>10</v>
      </c>
    </row>
    <row r="74" spans="2:9">
      <c r="B74" s="2051" t="s">
        <v>482</v>
      </c>
      <c r="C74" s="453" t="s">
        <v>373</v>
      </c>
      <c r="D74" s="2064">
        <v>0</v>
      </c>
      <c r="E74" s="2065">
        <v>15</v>
      </c>
      <c r="F74" s="2064">
        <v>7.0000000000000007E-2</v>
      </c>
      <c r="G74" s="2065">
        <v>15</v>
      </c>
      <c r="H74" s="2064">
        <v>0.1</v>
      </c>
      <c r="I74" s="2065">
        <v>15</v>
      </c>
    </row>
    <row r="75" spans="2:9">
      <c r="B75" s="2051" t="s">
        <v>486</v>
      </c>
      <c r="C75" s="453" t="s">
        <v>1530</v>
      </c>
      <c r="D75" s="2064">
        <v>0</v>
      </c>
      <c r="E75" s="2065">
        <v>15</v>
      </c>
      <c r="F75" s="2064">
        <v>7.0000000000000007E-2</v>
      </c>
      <c r="G75" s="2065">
        <v>15</v>
      </c>
      <c r="H75" s="2064">
        <v>0.1</v>
      </c>
      <c r="I75" s="2065">
        <v>15</v>
      </c>
    </row>
    <row r="76" spans="2:9">
      <c r="B76" s="2051"/>
      <c r="C76" s="453"/>
      <c r="D76" s="2064"/>
      <c r="E76" s="2065"/>
      <c r="F76" s="2064"/>
      <c r="G76" s="2065"/>
      <c r="H76" s="2064"/>
      <c r="I76" s="2065"/>
    </row>
    <row r="77" spans="2:9">
      <c r="B77" s="2051" t="s">
        <v>514</v>
      </c>
      <c r="C77" s="453" t="s">
        <v>515</v>
      </c>
      <c r="D77" s="2064">
        <v>0</v>
      </c>
      <c r="E77" s="2065">
        <v>15</v>
      </c>
      <c r="F77" s="2064">
        <v>7.0000000000000007E-2</v>
      </c>
      <c r="G77" s="2065">
        <v>15</v>
      </c>
      <c r="H77" s="2064">
        <v>0.1</v>
      </c>
      <c r="I77" s="2065">
        <v>15</v>
      </c>
    </row>
    <row r="78" spans="2:9">
      <c r="B78" s="2051"/>
      <c r="C78" s="453"/>
      <c r="D78" s="2064"/>
      <c r="E78" s="2065"/>
      <c r="F78" s="2064"/>
      <c r="G78" s="2065"/>
      <c r="H78" s="2064"/>
      <c r="I78" s="2065"/>
    </row>
    <row r="79" spans="2:9">
      <c r="B79" s="2051"/>
      <c r="C79" s="453"/>
      <c r="D79" s="2064"/>
      <c r="E79" s="2065"/>
      <c r="F79" s="2064"/>
      <c r="G79" s="2065"/>
      <c r="H79" s="2064"/>
      <c r="I79" s="2065"/>
    </row>
    <row r="80" spans="2:9">
      <c r="B80" s="2051"/>
      <c r="C80" s="453"/>
      <c r="D80" s="2064"/>
      <c r="E80" s="2065"/>
      <c r="F80" s="2064"/>
      <c r="G80" s="2065"/>
      <c r="H80" s="2064"/>
      <c r="I80" s="2065"/>
    </row>
    <row r="81" spans="2:9">
      <c r="B81" s="2051" t="s">
        <v>583</v>
      </c>
      <c r="C81" s="453" t="s">
        <v>584</v>
      </c>
      <c r="D81" s="2064">
        <v>0</v>
      </c>
      <c r="E81" s="2065">
        <v>15</v>
      </c>
      <c r="F81" s="2064">
        <v>7.0000000000000007E-2</v>
      </c>
      <c r="G81" s="2065">
        <v>15</v>
      </c>
      <c r="H81" s="2064">
        <v>0.1</v>
      </c>
      <c r="I81" s="2065">
        <v>15</v>
      </c>
    </row>
    <row r="82" spans="2:9">
      <c r="B82" s="2051"/>
      <c r="C82" s="453"/>
      <c r="D82" s="2064"/>
      <c r="E82" s="2065"/>
      <c r="F82" s="2064"/>
      <c r="G82" s="2065"/>
      <c r="H82" s="2064"/>
      <c r="I82" s="2065"/>
    </row>
    <row r="83" spans="2:9">
      <c r="B83" s="2051"/>
      <c r="C83" s="453"/>
      <c r="D83" s="2064"/>
      <c r="E83" s="2065"/>
      <c r="F83" s="2064"/>
      <c r="G83" s="2065"/>
      <c r="H83" s="2064"/>
      <c r="I83" s="2065"/>
    </row>
    <row r="84" spans="2:9">
      <c r="B84" s="2051"/>
      <c r="C84" s="453"/>
      <c r="D84" s="2064"/>
      <c r="E84" s="2065"/>
      <c r="F84" s="2064"/>
      <c r="G84" s="2065"/>
      <c r="H84" s="2064"/>
      <c r="I84" s="2065"/>
    </row>
    <row r="85" spans="2:9">
      <c r="B85" s="2051" t="s">
        <v>542</v>
      </c>
      <c r="C85" s="453" t="s">
        <v>543</v>
      </c>
      <c r="D85" s="2064">
        <v>0</v>
      </c>
      <c r="E85" s="2065">
        <v>15</v>
      </c>
      <c r="F85" s="2064">
        <v>7.0000000000000007E-2</v>
      </c>
      <c r="G85" s="2065">
        <v>15</v>
      </c>
      <c r="H85" s="2064">
        <v>0.1</v>
      </c>
      <c r="I85" s="2065">
        <v>15</v>
      </c>
    </row>
    <row r="86" spans="2:9">
      <c r="B86" s="2066" t="s">
        <v>1531</v>
      </c>
      <c r="C86" s="2067" t="s">
        <v>1532</v>
      </c>
      <c r="D86" s="2068">
        <v>0</v>
      </c>
      <c r="E86" s="2069">
        <v>15</v>
      </c>
      <c r="F86" s="2068">
        <v>7.0000000000000007E-2</v>
      </c>
      <c r="G86" s="2069">
        <v>15</v>
      </c>
      <c r="H86" s="2068">
        <v>0.1</v>
      </c>
      <c r="I86" s="2069">
        <v>15</v>
      </c>
    </row>
    <row r="87" spans="2:9">
      <c r="B87" s="414" t="s">
        <v>1533</v>
      </c>
    </row>
  </sheetData>
  <mergeCells count="3">
    <mergeCell ref="D32:E32"/>
    <mergeCell ref="F32:G32"/>
    <mergeCell ref="H32:I32"/>
  </mergeCells>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sheetPr codeName="Sheet10">
    <tabColor theme="7" tint="0.39997558519241921"/>
    <pageSetUpPr autoPageBreaks="0"/>
  </sheetPr>
  <dimension ref="A1:K92"/>
  <sheetViews>
    <sheetView showGridLines="0" workbookViewId="0">
      <selection activeCell="E40" sqref="E40"/>
    </sheetView>
  </sheetViews>
  <sheetFormatPr defaultColWidth="8.85546875" defaultRowHeight="12.75"/>
  <cols>
    <col min="1" max="1" width="2.85546875" style="2070" customWidth="1"/>
    <col min="2" max="2" width="35" style="2070" customWidth="1"/>
    <col min="3" max="3" width="26.28515625" style="2070" customWidth="1"/>
    <col min="4" max="4" width="8.85546875" style="2070"/>
    <col min="5" max="5" width="18.7109375" style="2070" bestFit="1" customWidth="1"/>
    <col min="6" max="8" width="14.140625" style="2070" customWidth="1"/>
    <col min="9" max="9" width="11.42578125" style="2070" bestFit="1" customWidth="1"/>
    <col min="10" max="10" width="24.140625" style="2070" customWidth="1"/>
    <col min="11" max="11" width="12.28515625" style="2070" bestFit="1" customWidth="1"/>
    <col min="12" max="16384" width="8.85546875" style="2070"/>
  </cols>
  <sheetData>
    <row r="1" spans="1:11">
      <c r="B1" s="2070" t="s">
        <v>1681</v>
      </c>
    </row>
    <row r="2" spans="1:11" ht="15">
      <c r="E2"/>
      <c r="F2"/>
    </row>
    <row r="4" spans="1:11" ht="18" customHeight="1">
      <c r="B4" s="2071" t="s">
        <v>1682</v>
      </c>
      <c r="E4" s="2071" t="s">
        <v>1683</v>
      </c>
      <c r="H4" s="2152" t="str">
        <f>"per " &amp; Preferences.EnergyUnits</f>
        <v>per TWh</v>
      </c>
      <c r="J4" s="2071" t="s">
        <v>1684</v>
      </c>
      <c r="K4" s="2071"/>
    </row>
    <row r="5" spans="1:11" ht="6.75" customHeight="1">
      <c r="B5" s="2153"/>
      <c r="E5" s="2153"/>
      <c r="J5" s="2153"/>
      <c r="K5" s="2153"/>
    </row>
    <row r="6" spans="1:11" ht="6.75" customHeight="1">
      <c r="B6" s="2153"/>
      <c r="E6" s="2153"/>
      <c r="J6" s="2153"/>
      <c r="K6" s="2153"/>
    </row>
    <row r="7" spans="1:11" ht="18.75" customHeight="1">
      <c r="B7" s="2073" t="s">
        <v>1685</v>
      </c>
      <c r="C7" s="2154" t="str">
        <f>Preferences.EnergyUnits &amp; " / kg"</f>
        <v>TWh / kg</v>
      </c>
      <c r="E7" s="2073" t="s">
        <v>1686</v>
      </c>
      <c r="F7" s="2074" t="s">
        <v>1687</v>
      </c>
      <c r="G7" s="2074" t="s">
        <v>1688</v>
      </c>
      <c r="H7" s="2074" t="s">
        <v>1689</v>
      </c>
      <c r="J7" s="2073" t="s">
        <v>15</v>
      </c>
      <c r="K7" s="2073" t="s">
        <v>1690</v>
      </c>
    </row>
    <row r="8" spans="1:11" ht="15.75">
      <c r="A8" s="2110"/>
      <c r="B8" s="2079" t="s">
        <v>2967</v>
      </c>
      <c r="C8" s="2155">
        <f>(0.589*Unit.toe)/1000</f>
        <v>6.8500700000000001E-9</v>
      </c>
      <c r="D8"/>
      <c r="E8" s="2079" t="s">
        <v>147</v>
      </c>
      <c r="F8" s="3760">
        <f>(93.784/(10^6))/Unit.TJ</f>
        <v>0.33762240000000004</v>
      </c>
      <c r="G8" s="2107">
        <f>((0.7/10^9)/Unit.TJ)*GWP.CH4</f>
        <v>5.2920000000000002E-5</v>
      </c>
      <c r="H8" s="3765">
        <f>((0.5/10^9)/Unit.TJ)*GWP.N2O</f>
        <v>5.5800000000000001E-4</v>
      </c>
      <c r="J8" s="2079" t="s">
        <v>1691</v>
      </c>
      <c r="K8" s="2079">
        <v>1</v>
      </c>
    </row>
    <row r="9" spans="1:11" ht="15.75">
      <c r="A9" s="2110"/>
      <c r="B9" s="2079" t="s">
        <v>2968</v>
      </c>
      <c r="C9" s="2155">
        <f>(0.665*Unit.toe)/1000</f>
        <v>7.7339500000000006E-9</v>
      </c>
      <c r="D9"/>
      <c r="E9" s="2070" t="s">
        <v>1453</v>
      </c>
      <c r="F9" s="3761">
        <f>(116.089/10^6)/Unit.TJ</f>
        <v>0.41792039999999997</v>
      </c>
      <c r="G9" s="2107">
        <f>((3/10^9)/Unit.TJ)*GWP.CH4</f>
        <v>2.2680000000000001E-4</v>
      </c>
      <c r="H9" s="3766">
        <f>((7/10^9)/Unit.TJ)*GWP.N2O</f>
        <v>7.8119999999999995E-3</v>
      </c>
      <c r="J9" s="2079" t="s">
        <v>1692</v>
      </c>
      <c r="K9" s="2079">
        <v>21</v>
      </c>
    </row>
    <row r="10" spans="1:11" ht="15.75">
      <c r="A10" s="2110"/>
      <c r="B10" s="2079" t="s">
        <v>2969</v>
      </c>
      <c r="C10" s="2155">
        <f>(0.4733*Unit.toe)/1000</f>
        <v>5.5044790000000005E-9</v>
      </c>
      <c r="D10"/>
      <c r="E10" s="2079" t="s">
        <v>1271</v>
      </c>
      <c r="F10" s="3760">
        <f>(73.3/(10^6))/Unit.TJ</f>
        <v>0.26387999999999995</v>
      </c>
      <c r="G10" s="2107">
        <f>((3/10^9)/Unit.TJ)*GWP.CH4</f>
        <v>2.2680000000000001E-4</v>
      </c>
      <c r="H10" s="3766">
        <f>((0.6/10^9)/Unit.TJ)*GWP.N2O</f>
        <v>6.6960000000000001E-4</v>
      </c>
      <c r="J10" s="2079" t="s">
        <v>1693</v>
      </c>
      <c r="K10" s="2079">
        <v>310</v>
      </c>
    </row>
    <row r="11" spans="1:11" ht="15.75">
      <c r="A11" s="2110"/>
      <c r="B11" s="2103" t="s">
        <v>2970</v>
      </c>
      <c r="C11" s="2156">
        <f>(0.1798*Unit.toe)/1000</f>
        <v>2.0910739999999999E-9</v>
      </c>
      <c r="D11"/>
      <c r="E11" s="2103" t="s">
        <v>142</v>
      </c>
      <c r="F11" s="3762">
        <f>(56.867/(10^6))/Unit.TJ</f>
        <v>0.20472119999999999</v>
      </c>
      <c r="G11" s="3763">
        <f>((1/10^9)/Unit.TJ)*GWP.CH4</f>
        <v>7.5600000000000008E-5</v>
      </c>
      <c r="H11" s="3763">
        <f>((2.9/10^9)/Unit.TJ)*GWP.N2O</f>
        <v>3.2364E-3</v>
      </c>
      <c r="J11" s="2079" t="s">
        <v>1694</v>
      </c>
      <c r="K11" s="2157" t="s">
        <v>1695</v>
      </c>
    </row>
    <row r="12" spans="1:11" ht="15.75">
      <c r="A12" s="2110"/>
      <c r="B12" s="2079"/>
      <c r="C12" s="2080" t="s">
        <v>5</v>
      </c>
      <c r="E12" s="398"/>
      <c r="F12" s="398"/>
      <c r="G12" s="398"/>
      <c r="H12" s="398"/>
      <c r="J12" s="2079" t="s">
        <v>1696</v>
      </c>
      <c r="K12" s="2157" t="s">
        <v>1697</v>
      </c>
    </row>
    <row r="13" spans="1:11" ht="15.75">
      <c r="A13" s="2110"/>
      <c r="B13" s="2158" t="s">
        <v>1698</v>
      </c>
      <c r="C13" s="2159" t="str">
        <f>Preferences.EnergyUnits &amp; " / kg"</f>
        <v>TWh / kg</v>
      </c>
      <c r="E13"/>
      <c r="F13"/>
      <c r="G13"/>
      <c r="H13"/>
      <c r="J13" s="2103" t="s">
        <v>1699</v>
      </c>
      <c r="K13" s="2160">
        <v>23900</v>
      </c>
    </row>
    <row r="14" spans="1:11" ht="15.75">
      <c r="A14" s="2110"/>
      <c r="B14" s="2161" t="s">
        <v>2971</v>
      </c>
      <c r="C14" s="2155">
        <f>(1.0226*Unit.toe)/1000</f>
        <v>1.1892837999999999E-8</v>
      </c>
      <c r="E14" s="2163" t="s">
        <v>1702</v>
      </c>
      <c r="H14"/>
      <c r="J14" s="2079"/>
      <c r="K14" s="2162"/>
    </row>
    <row r="15" spans="1:11" ht="15.75">
      <c r="A15" s="2110"/>
      <c r="B15" s="2079" t="s">
        <v>2974</v>
      </c>
      <c r="C15" s="2155">
        <f>(0.9849*Unit.toe)/1000</f>
        <v>1.1454387E-8</v>
      </c>
      <c r="E15" s="3758" t="s">
        <v>2980</v>
      </c>
      <c r="F15" s="3757"/>
      <c r="G15" s="3757"/>
      <c r="H15"/>
    </row>
    <row r="16" spans="1:11" ht="15.75">
      <c r="A16" s="2110"/>
      <c r="B16" s="2079" t="s">
        <v>2972</v>
      </c>
      <c r="C16" s="2155">
        <f>(1.065*Unit.toe)/1000</f>
        <v>1.238595E-8</v>
      </c>
      <c r="E16" s="3758" t="s">
        <v>2981</v>
      </c>
      <c r="F16" s="3757"/>
      <c r="G16" s="3757"/>
      <c r="H16"/>
      <c r="J16" s="2163" t="s">
        <v>1703</v>
      </c>
    </row>
    <row r="17" spans="1:10" ht="15.75">
      <c r="A17" s="2110"/>
      <c r="B17" s="2079" t="s">
        <v>1700</v>
      </c>
      <c r="C17" s="2155">
        <f>(1.0344*Unit.toe)/1000</f>
        <v>1.2030072000000001E-8</v>
      </c>
      <c r="E17"/>
      <c r="F17"/>
      <c r="G17"/>
      <c r="H17"/>
      <c r="J17" s="2153" t="s">
        <v>2982</v>
      </c>
    </row>
    <row r="18" spans="1:10" ht="15.75">
      <c r="A18" s="2110"/>
      <c r="B18" s="2103" t="s">
        <v>2973</v>
      </c>
      <c r="C18" s="2156">
        <f>(1.065*Unit.toe)/1000</f>
        <v>1.238595E-8</v>
      </c>
      <c r="E18"/>
      <c r="F18"/>
      <c r="G18"/>
      <c r="H18"/>
    </row>
    <row r="19" spans="1:10" ht="15" customHeight="1">
      <c r="B19" s="2079"/>
      <c r="C19" s="2080"/>
    </row>
    <row r="20" spans="1:10" ht="15.75">
      <c r="A20" s="2110"/>
      <c r="B20" s="2158" t="s">
        <v>1701</v>
      </c>
      <c r="C20" s="2159" t="str">
        <f>Preferences.EnergyUnits &amp; " / cubic metre"</f>
        <v>TWh / cubic metre</v>
      </c>
      <c r="E20" s="2163"/>
      <c r="J20" s="2163"/>
    </row>
    <row r="21" spans="1:10" ht="15.75">
      <c r="A21" s="2110"/>
      <c r="B21" s="2164" t="s">
        <v>2975</v>
      </c>
      <c r="C21" s="2155">
        <f>34.784*Unit.MJ</f>
        <v>9.6622222222222208E-9</v>
      </c>
      <c r="E21" s="3758"/>
      <c r="F21" s="3757"/>
      <c r="G21" s="3757"/>
      <c r="H21" s="3757"/>
      <c r="I21" s="3757"/>
      <c r="J21" s="2153"/>
    </row>
    <row r="22" spans="1:10" ht="15.75">
      <c r="A22" s="2110"/>
      <c r="B22" s="2079" t="s">
        <v>2976</v>
      </c>
      <c r="C22" s="2155">
        <f>35.793*Unit.MJ</f>
        <v>9.9424999999999995E-9</v>
      </c>
      <c r="E22" s="3758"/>
      <c r="F22" s="3757"/>
      <c r="G22" s="3757"/>
      <c r="J22" s="2153"/>
    </row>
    <row r="23" spans="1:10" ht="15.75">
      <c r="A23" s="2110"/>
      <c r="B23" s="2079" t="s">
        <v>1704</v>
      </c>
      <c r="C23" s="2155">
        <f>16.2*Unit.MJ</f>
        <v>4.4999999999999998E-9</v>
      </c>
      <c r="E23" s="2153"/>
    </row>
    <row r="24" spans="1:10" ht="15.75">
      <c r="A24" s="2110"/>
      <c r="B24" s="2079" t="s">
        <v>378</v>
      </c>
      <c r="C24" s="2155">
        <f>3*Unit.MJ</f>
        <v>8.3333333333333335E-10</v>
      </c>
      <c r="E24" s="2153"/>
    </row>
    <row r="25" spans="1:10" ht="15.75">
      <c r="A25" s="2110"/>
      <c r="B25" s="2079" t="s">
        <v>1705</v>
      </c>
      <c r="C25" s="2155">
        <f>23*Unit.MJ</f>
        <v>6.3888888888888885E-9</v>
      </c>
    </row>
    <row r="26" spans="1:10" ht="15.75">
      <c r="A26" s="2110"/>
      <c r="B26" s="2103" t="s">
        <v>1706</v>
      </c>
      <c r="C26" s="2156">
        <f>23*Unit.MJ</f>
        <v>6.3888888888888885E-9</v>
      </c>
      <c r="E26" s="3895"/>
      <c r="F26" s="3757"/>
      <c r="G26" s="3757"/>
      <c r="H26" s="3757"/>
      <c r="I26" s="3757"/>
    </row>
    <row r="27" spans="1:10">
      <c r="C27" s="2070" t="s">
        <v>5</v>
      </c>
      <c r="E27" s="3896"/>
      <c r="F27" s="3757"/>
      <c r="G27" s="3757"/>
      <c r="H27" s="3757"/>
      <c r="I27" s="3757"/>
    </row>
    <row r="28" spans="1:10">
      <c r="B28" s="2163" t="s">
        <v>1703</v>
      </c>
      <c r="E28" s="3896"/>
      <c r="F28" s="3757"/>
      <c r="G28" s="3757"/>
      <c r="H28" s="3757"/>
      <c r="I28" s="3757"/>
    </row>
    <row r="29" spans="1:10">
      <c r="B29" s="2153" t="s">
        <v>2978</v>
      </c>
      <c r="E29" s="3896"/>
      <c r="F29" s="3757"/>
      <c r="G29" s="3757"/>
      <c r="H29" s="3757"/>
      <c r="I29" s="3757"/>
    </row>
    <row r="30" spans="1:10">
      <c r="E30" s="3757"/>
      <c r="F30" s="3757"/>
      <c r="G30" s="3757"/>
      <c r="H30" s="3757"/>
      <c r="I30" s="3757"/>
    </row>
    <row r="32" spans="1:10" ht="18">
      <c r="B32" s="2071" t="s">
        <v>1707</v>
      </c>
      <c r="E32" s="2070" t="s">
        <v>1708</v>
      </c>
    </row>
    <row r="33" spans="1:9" ht="4.5" customHeight="1">
      <c r="B33" s="2153"/>
    </row>
    <row r="34" spans="1:9" ht="15.75">
      <c r="A34" s="2110"/>
      <c r="B34" s="2073" t="s">
        <v>1709</v>
      </c>
      <c r="C34" s="2154" t="s">
        <v>1710</v>
      </c>
      <c r="E34" s="2070" t="s">
        <v>1711</v>
      </c>
      <c r="F34" s="2070" t="s">
        <v>261</v>
      </c>
      <c r="G34" s="2070" t="s">
        <v>263</v>
      </c>
      <c r="H34" s="2070" t="s">
        <v>265</v>
      </c>
      <c r="I34" s="2070" t="s">
        <v>267</v>
      </c>
    </row>
    <row r="35" spans="1:9" ht="15.75">
      <c r="A35" s="2110"/>
      <c r="B35" s="2079" t="s">
        <v>2972</v>
      </c>
      <c r="C35" s="2155">
        <v>0.77500000000000002</v>
      </c>
      <c r="E35" s="2070" t="s">
        <v>16</v>
      </c>
      <c r="F35" s="2165">
        <v>4.1883435413393535</v>
      </c>
      <c r="G35" s="2165">
        <v>0.76884878586155336</v>
      </c>
      <c r="H35" s="2165">
        <v>1.1643824604548389E-2</v>
      </c>
      <c r="I35" s="2165">
        <v>15.32101270801348</v>
      </c>
    </row>
    <row r="36" spans="1:9" ht="15.75">
      <c r="A36" s="2110"/>
      <c r="B36" s="2079" t="s">
        <v>2977</v>
      </c>
      <c r="C36" s="2155">
        <v>0.84499999999999997</v>
      </c>
      <c r="E36" s="2070" t="s">
        <v>1712</v>
      </c>
      <c r="F36" s="2165">
        <v>4.6844827796160651</v>
      </c>
      <c r="G36" s="2165">
        <v>0.23047708742545636</v>
      </c>
      <c r="H36" s="2165">
        <v>1.3065148833871658E-2</v>
      </c>
      <c r="I36" s="2165">
        <v>8.5906552123944682</v>
      </c>
    </row>
    <row r="37" spans="1:9" ht="15.75">
      <c r="A37" s="2110"/>
      <c r="B37" s="2079" t="s">
        <v>1713</v>
      </c>
      <c r="C37" s="2155">
        <v>0.755</v>
      </c>
      <c r="E37" s="2070" t="s">
        <v>15</v>
      </c>
      <c r="F37" s="2165">
        <v>10.039877780604778</v>
      </c>
      <c r="G37" s="2165">
        <v>0.57381656809661186</v>
      </c>
      <c r="H37" s="2165">
        <v>0</v>
      </c>
      <c r="I37" s="2165">
        <v>1.6277314142584762</v>
      </c>
    </row>
    <row r="38" spans="1:9" ht="15.75">
      <c r="A38" s="2110"/>
      <c r="B38" s="2103" t="s">
        <v>2976</v>
      </c>
      <c r="C38" s="2156">
        <v>0.77390000000000003</v>
      </c>
      <c r="E38" s="2118"/>
      <c r="F38" s="3894" t="s">
        <v>5</v>
      </c>
      <c r="G38" s="3894"/>
      <c r="H38" s="3894"/>
      <c r="I38" s="3894"/>
    </row>
    <row r="39" spans="1:9">
      <c r="B39" s="2082" t="s">
        <v>1703</v>
      </c>
    </row>
    <row r="40" spans="1:9">
      <c r="B40" s="2153" t="s">
        <v>2978</v>
      </c>
      <c r="D40" s="2070" t="s">
        <v>5</v>
      </c>
      <c r="E40" s="3897" t="s">
        <v>3169</v>
      </c>
    </row>
    <row r="42" spans="1:9" ht="18">
      <c r="B42" s="2071" t="s">
        <v>1714</v>
      </c>
    </row>
    <row r="43" spans="1:9">
      <c r="B43" s="2070" t="s">
        <v>1715</v>
      </c>
      <c r="H43" s="2152" t="str">
        <f>"Mt CO2e per " &amp; Preferences.EnergyUnits</f>
        <v>Mt CO2e per TWh</v>
      </c>
    </row>
    <row r="44" spans="1:9" ht="6" customHeight="1"/>
    <row r="45" spans="1:9" ht="18.75">
      <c r="A45" s="2166"/>
      <c r="B45" s="2072" t="s">
        <v>28</v>
      </c>
      <c r="C45" s="2072" t="s">
        <v>72</v>
      </c>
      <c r="D45" s="2072" t="s">
        <v>253</v>
      </c>
      <c r="E45" s="2072" t="s">
        <v>255</v>
      </c>
      <c r="F45" s="2072" t="s">
        <v>256</v>
      </c>
      <c r="G45" s="2072" t="s">
        <v>1716</v>
      </c>
      <c r="H45" s="2072" t="s">
        <v>1717</v>
      </c>
    </row>
    <row r="46" spans="1:9" ht="15.75">
      <c r="A46" s="2110"/>
      <c r="B46" s="2072" t="s">
        <v>104</v>
      </c>
      <c r="C46" s="6" t="str">
        <f>INDEX(Vectors[Description], MATCH([Vector], Vectors[Code], 0))</f>
        <v>Conversion losses</v>
      </c>
      <c r="D46" s="2167">
        <v>0</v>
      </c>
      <c r="E46" s="2167">
        <v>0</v>
      </c>
      <c r="F46" s="2167">
        <v>0</v>
      </c>
      <c r="G46" s="2167">
        <f>SUM(EF[[#This Row],[CO2]:[N2O]])</f>
        <v>0</v>
      </c>
      <c r="H46" s="2072"/>
    </row>
    <row r="47" spans="1:9" ht="15.75">
      <c r="A47" s="2110"/>
      <c r="B47" s="2072" t="s">
        <v>454</v>
      </c>
      <c r="C47" s="6" t="str">
        <f>INDEX(Vectors[Description], MATCH([Vector], Vectors[Code], 0))</f>
        <v>Distribution losses and own use</v>
      </c>
      <c r="D47" s="2167">
        <v>0</v>
      </c>
      <c r="E47" s="2167">
        <v>0</v>
      </c>
      <c r="F47" s="2167">
        <v>0</v>
      </c>
      <c r="G47" s="2167">
        <f>SUM(EF[[#This Row],[CO2]:[N2O]])</f>
        <v>0</v>
      </c>
      <c r="H47" s="2072"/>
    </row>
    <row r="48" spans="1:9" ht="15.75">
      <c r="A48" s="2110"/>
      <c r="B48" s="2072" t="s">
        <v>455</v>
      </c>
      <c r="C48" s="6" t="str">
        <f>INDEX(Vectors[Description], MATCH([Vector], Vectors[Code], 0))</f>
        <v>Unallocated</v>
      </c>
      <c r="D48" s="2167">
        <v>0</v>
      </c>
      <c r="E48" s="2167">
        <v>0</v>
      </c>
      <c r="F48" s="2167">
        <v>0</v>
      </c>
      <c r="G48" s="2167">
        <f>SUM(EF[[#This Row],[CO2]:[N2O]])</f>
        <v>0</v>
      </c>
      <c r="H48" s="2072"/>
    </row>
    <row r="49" spans="1:8" ht="15.75">
      <c r="A49" s="2110"/>
      <c r="B49" s="2072" t="s">
        <v>418</v>
      </c>
      <c r="C49" s="6" t="str">
        <f>INDEX(Vectors[Description], MATCH([Vector], Vectors[Code], 0))</f>
        <v>Road transport</v>
      </c>
      <c r="D49" s="2167">
        <v>0</v>
      </c>
      <c r="E49" s="2167">
        <v>0</v>
      </c>
      <c r="F49" s="2167">
        <v>0</v>
      </c>
      <c r="G49" s="2167">
        <f>SUM(EF[[#This Row],[CO2]:[N2O]])</f>
        <v>0</v>
      </c>
      <c r="H49" s="2072"/>
    </row>
    <row r="50" spans="1:8" ht="15.75">
      <c r="A50" s="2110"/>
      <c r="B50" s="2072" t="s">
        <v>419</v>
      </c>
      <c r="C50" s="6" t="str">
        <f>INDEX(Vectors[Description], MATCH([Vector], Vectors[Code], 0))</f>
        <v>Rail transport</v>
      </c>
      <c r="D50" s="2167">
        <v>0</v>
      </c>
      <c r="E50" s="2167">
        <v>0</v>
      </c>
      <c r="F50" s="2167">
        <v>0</v>
      </c>
      <c r="G50" s="2167">
        <f>SUM(EF[[#This Row],[CO2]:[N2O]])</f>
        <v>0</v>
      </c>
      <c r="H50" s="2072"/>
    </row>
    <row r="51" spans="1:8" ht="15.75">
      <c r="A51" s="2110"/>
      <c r="B51" s="2072" t="s">
        <v>420</v>
      </c>
      <c r="C51" s="6" t="str">
        <f>INDEX(Vectors[Description], MATCH([Vector], Vectors[Code], 0))</f>
        <v>Domestic aviation</v>
      </c>
      <c r="D51" s="2167">
        <v>0</v>
      </c>
      <c r="E51" s="2167">
        <v>0</v>
      </c>
      <c r="F51" s="2167">
        <v>0</v>
      </c>
      <c r="G51" s="2167">
        <f>SUM(EF[[#This Row],[CO2]:[N2O]])</f>
        <v>0</v>
      </c>
      <c r="H51" s="2072"/>
    </row>
    <row r="52" spans="1:8" ht="15.75">
      <c r="A52" s="2110"/>
      <c r="B52" s="2072" t="s">
        <v>421</v>
      </c>
      <c r="C52" s="6" t="str">
        <f>INDEX(Vectors[Description], MATCH([Vector], Vectors[Code], 0))</f>
        <v>National navigation</v>
      </c>
      <c r="D52" s="2167">
        <v>0</v>
      </c>
      <c r="E52" s="2167">
        <v>0</v>
      </c>
      <c r="F52" s="2167">
        <v>0</v>
      </c>
      <c r="G52" s="2167">
        <f>SUM(EF[[#This Row],[CO2]:[N2O]])</f>
        <v>0</v>
      </c>
      <c r="H52" s="2072"/>
    </row>
    <row r="53" spans="1:8" ht="15.75">
      <c r="A53" s="2110"/>
      <c r="B53" s="2072" t="s">
        <v>422</v>
      </c>
      <c r="C53" s="6" t="str">
        <f>INDEX(Vectors[Description], MATCH([Vector], Vectors[Code], 0))</f>
        <v>International aviation</v>
      </c>
      <c r="D53" s="2167">
        <v>0</v>
      </c>
      <c r="E53" s="2167">
        <v>0</v>
      </c>
      <c r="F53" s="2167">
        <v>0</v>
      </c>
      <c r="G53" s="2167">
        <f>SUM(EF[[#This Row],[CO2]:[N2O]])</f>
        <v>0</v>
      </c>
      <c r="H53" s="2072"/>
    </row>
    <row r="54" spans="1:8" ht="15.75">
      <c r="A54" s="2110"/>
      <c r="B54" s="2072" t="s">
        <v>423</v>
      </c>
      <c r="C54" s="6" t="str">
        <f>INDEX(Vectors[Description], MATCH([Vector], Vectors[Code], 0))</f>
        <v>International shipping</v>
      </c>
      <c r="D54" s="2167">
        <v>0</v>
      </c>
      <c r="E54" s="2167">
        <v>0</v>
      </c>
      <c r="F54" s="2167">
        <v>0</v>
      </c>
      <c r="G54" s="2167">
        <f>SUM(EF[[#This Row],[CO2]:[N2O]])</f>
        <v>0</v>
      </c>
      <c r="H54" s="2072"/>
    </row>
    <row r="55" spans="1:8" ht="15.75">
      <c r="A55" s="2110"/>
      <c r="B55" s="2072" t="s">
        <v>417</v>
      </c>
      <c r="C55" s="6" t="str">
        <f>INDEX(Vectors[Description], MATCH([Vector], Vectors[Code], 0))</f>
        <v>Industry</v>
      </c>
      <c r="D55" s="2167">
        <v>0</v>
      </c>
      <c r="E55" s="2167">
        <v>0</v>
      </c>
      <c r="F55" s="2167">
        <v>0</v>
      </c>
      <c r="G55" s="2167">
        <f>SUM(EF[[#This Row],[CO2]:[N2O]])</f>
        <v>0</v>
      </c>
      <c r="H55" s="2072"/>
    </row>
    <row r="56" spans="1:8" ht="15.75">
      <c r="A56" s="2110"/>
      <c r="B56" s="2072" t="s">
        <v>103</v>
      </c>
      <c r="C56" s="6" t="str">
        <f>INDEX(Vectors[Description], MATCH([Vector], Vectors[Code], 0))</f>
        <v>Heating and cooling</v>
      </c>
      <c r="D56" s="2167">
        <v>0</v>
      </c>
      <c r="E56" s="2167">
        <v>0</v>
      </c>
      <c r="F56" s="2167">
        <v>0</v>
      </c>
      <c r="G56" s="2167">
        <f>SUM(EF[[#This Row],[CO2]:[N2O]])</f>
        <v>0</v>
      </c>
      <c r="H56" s="2072"/>
    </row>
    <row r="57" spans="1:8" ht="15.75">
      <c r="A57" s="2110"/>
      <c r="B57" s="2072" t="s">
        <v>416</v>
      </c>
      <c r="C57" s="6" t="str">
        <f>INDEX(Vectors[Description], MATCH([Vector], Vectors[Code], 0))</f>
        <v>Lighting &amp; appliances</v>
      </c>
      <c r="D57" s="2167">
        <v>0</v>
      </c>
      <c r="E57" s="2167">
        <v>0</v>
      </c>
      <c r="F57" s="2167">
        <v>0</v>
      </c>
      <c r="G57" s="2167">
        <f>SUM(EF[[#This Row],[CO2]:[N2O]])</f>
        <v>0</v>
      </c>
      <c r="H57" s="2072"/>
    </row>
    <row r="58" spans="1:8" ht="15.75">
      <c r="A58" s="2110"/>
      <c r="B58" s="2072" t="s">
        <v>424</v>
      </c>
      <c r="C58" s="6" t="str">
        <f>INDEX(Vectors[Description], MATCH([Vector], Vectors[Code], 0))</f>
        <v>Food consumption (unused)</v>
      </c>
      <c r="D58" s="2167">
        <v>0</v>
      </c>
      <c r="E58" s="2167">
        <v>0</v>
      </c>
      <c r="F58" s="2167">
        <v>0</v>
      </c>
      <c r="G58" s="2167">
        <f>SUM(EF[[#This Row],[CO2]:[N2O]])</f>
        <v>0</v>
      </c>
      <c r="H58" s="2072"/>
    </row>
    <row r="59" spans="1:8" ht="15.75">
      <c r="A59" s="2110"/>
      <c r="B59" s="2072" t="s">
        <v>445</v>
      </c>
      <c r="C59" s="6" t="str">
        <f>INDEX(Vectors[Description], MATCH([Vector], Vectors[Code], 0))</f>
        <v>Nuclear fission</v>
      </c>
      <c r="D59" s="2167">
        <v>0</v>
      </c>
      <c r="E59" s="2167">
        <v>0</v>
      </c>
      <c r="F59" s="2167">
        <v>0</v>
      </c>
      <c r="G59" s="2167">
        <f>SUM(EF[[#This Row],[CO2]:[N2O]])</f>
        <v>0</v>
      </c>
      <c r="H59" s="2072"/>
    </row>
    <row r="60" spans="1:8" ht="15.75">
      <c r="A60" s="2110"/>
      <c r="B60" s="2072" t="s">
        <v>446</v>
      </c>
      <c r="C60" s="6" t="str">
        <f>INDEX(Vectors[Description], MATCH([Vector], Vectors[Code], 0))</f>
        <v>Solar</v>
      </c>
      <c r="D60" s="2167">
        <v>0</v>
      </c>
      <c r="E60" s="2167">
        <v>0</v>
      </c>
      <c r="F60" s="2167">
        <v>0</v>
      </c>
      <c r="G60" s="2167">
        <f>SUM(EF[[#This Row],[CO2]:[N2O]])</f>
        <v>0</v>
      </c>
      <c r="H60" s="2072"/>
    </row>
    <row r="61" spans="1:8" ht="15.75">
      <c r="A61" s="2110"/>
      <c r="B61" s="2072" t="s">
        <v>447</v>
      </c>
      <c r="C61" s="6" t="str">
        <f>INDEX(Vectors[Description], MATCH([Vector], Vectors[Code], 0))</f>
        <v>Wind</v>
      </c>
      <c r="D61" s="2167">
        <v>0</v>
      </c>
      <c r="E61" s="2167">
        <v>0</v>
      </c>
      <c r="F61" s="2167">
        <v>0</v>
      </c>
      <c r="G61" s="2167">
        <f>SUM(EF[[#This Row],[CO2]:[N2O]])</f>
        <v>0</v>
      </c>
      <c r="H61" s="2072"/>
    </row>
    <row r="62" spans="1:8" ht="15.75">
      <c r="A62" s="2110"/>
      <c r="B62" s="2072" t="s">
        <v>448</v>
      </c>
      <c r="C62" s="6" t="str">
        <f>INDEX(Vectors[Description], MATCH([Vector], Vectors[Code], 0))</f>
        <v>Tidal</v>
      </c>
      <c r="D62" s="2167">
        <v>0</v>
      </c>
      <c r="E62" s="2167">
        <v>0</v>
      </c>
      <c r="F62" s="2167">
        <v>0</v>
      </c>
      <c r="G62" s="2167">
        <f>SUM(EF[[#This Row],[CO2]:[N2O]])</f>
        <v>0</v>
      </c>
      <c r="H62" s="2072"/>
    </row>
    <row r="63" spans="1:8" ht="15.75">
      <c r="A63" s="2110"/>
      <c r="B63" s="2072" t="s">
        <v>449</v>
      </c>
      <c r="C63" s="6" t="str">
        <f>INDEX(Vectors[Description], MATCH([Vector], Vectors[Code], 0))</f>
        <v>Wave</v>
      </c>
      <c r="D63" s="2167">
        <v>0</v>
      </c>
      <c r="E63" s="2167">
        <v>0</v>
      </c>
      <c r="F63" s="2167">
        <v>0</v>
      </c>
      <c r="G63" s="2167">
        <f>SUM(EF[[#This Row],[CO2]:[N2O]])</f>
        <v>0</v>
      </c>
      <c r="H63" s="2072"/>
    </row>
    <row r="64" spans="1:8" ht="15.75">
      <c r="A64" s="2110"/>
      <c r="B64" s="2072" t="s">
        <v>450</v>
      </c>
      <c r="C64" s="6" t="str">
        <f>INDEX(Vectors[Description], MATCH([Vector], Vectors[Code], 0))</f>
        <v>Geothermal</v>
      </c>
      <c r="D64" s="2167">
        <v>0</v>
      </c>
      <c r="E64" s="2167">
        <v>0</v>
      </c>
      <c r="F64" s="2167">
        <v>0</v>
      </c>
      <c r="G64" s="2167">
        <f>SUM(EF[[#This Row],[CO2]:[N2O]])</f>
        <v>0</v>
      </c>
      <c r="H64" s="2072"/>
    </row>
    <row r="65" spans="1:8" ht="15.75">
      <c r="A65" s="2110"/>
      <c r="B65" s="2072" t="s">
        <v>451</v>
      </c>
      <c r="C65" s="6" t="str">
        <f>INDEX(Vectors[Description], MATCH([Vector], Vectors[Code], 0))</f>
        <v>Hydro</v>
      </c>
      <c r="D65" s="2167">
        <v>0</v>
      </c>
      <c r="E65" s="2167">
        <v>0</v>
      </c>
      <c r="F65" s="2167">
        <v>0</v>
      </c>
      <c r="G65" s="2167">
        <f>SUM(EF[[#This Row],[CO2]:[N2O]])</f>
        <v>0</v>
      </c>
      <c r="H65" s="2072"/>
    </row>
    <row r="66" spans="1:8" ht="15.75">
      <c r="A66" s="2110"/>
      <c r="B66" s="2072" t="s">
        <v>102</v>
      </c>
      <c r="C66" s="6" t="str">
        <f>INDEX(Vectors[Description], MATCH([Vector], Vectors[Code], 0))</f>
        <v>Environmental heat</v>
      </c>
      <c r="D66" s="2167">
        <v>0</v>
      </c>
      <c r="E66" s="2167">
        <v>0</v>
      </c>
      <c r="F66" s="2167">
        <v>0</v>
      </c>
      <c r="G66" s="2167">
        <f>SUM(EF[[#This Row],[CO2]:[N2O]])</f>
        <v>0</v>
      </c>
      <c r="H66" s="2072"/>
    </row>
    <row r="67" spans="1:8" ht="15.75">
      <c r="A67" s="2110"/>
      <c r="B67" s="2072" t="s">
        <v>452</v>
      </c>
      <c r="C67" s="6" t="str">
        <f>INDEX(Vectors[Description], MATCH([Vector], Vectors[Code], 0))</f>
        <v>Agriculture</v>
      </c>
      <c r="D67" s="2167">
        <v>0</v>
      </c>
      <c r="E67" s="2167">
        <v>0</v>
      </c>
      <c r="F67" s="2167">
        <v>0</v>
      </c>
      <c r="G67" s="2167">
        <f>SUM(EF[[#This Row],[CO2]:[N2O]])</f>
        <v>0</v>
      </c>
      <c r="H67" s="2072"/>
    </row>
    <row r="68" spans="1:8" ht="15.75">
      <c r="A68" s="2110"/>
      <c r="B68" s="2072" t="s">
        <v>453</v>
      </c>
      <c r="C68" s="6" t="str">
        <f>INDEX(Vectors[Description], MATCH([Vector], Vectors[Code], 0))</f>
        <v>Waste (all forms of biomass)</v>
      </c>
      <c r="D68" s="2167">
        <v>0</v>
      </c>
      <c r="E68" s="2167">
        <v>0</v>
      </c>
      <c r="F68" s="2167">
        <v>0</v>
      </c>
      <c r="G68" s="2167">
        <f>SUM(EF[[#This Row],[CO2]:[N2O]])</f>
        <v>0</v>
      </c>
      <c r="H68" s="2072"/>
    </row>
    <row r="69" spans="1:8" ht="15.75">
      <c r="A69" s="2110"/>
      <c r="B69" s="2072" t="s">
        <v>439</v>
      </c>
      <c r="C69" s="6" t="str">
        <f>INDEX(Vectors[Description], MATCH([Vector], Vectors[Code], 0))</f>
        <v>Biomass imports (exports in parenthesis)</v>
      </c>
      <c r="D69" s="2167">
        <v>0</v>
      </c>
      <c r="E69" s="2167">
        <v>0</v>
      </c>
      <c r="F69" s="2167">
        <v>0</v>
      </c>
      <c r="G69" s="2167">
        <f>SUM(EF[[#This Row],[CO2]:[N2O]])</f>
        <v>0</v>
      </c>
      <c r="H69" s="2072"/>
    </row>
    <row r="70" spans="1:8" ht="15.75">
      <c r="A70" s="2110"/>
      <c r="B70" s="2072" t="s">
        <v>440</v>
      </c>
      <c r="C70" s="6" t="str">
        <f>INDEX(Vectors[Description], MATCH([Vector], Vectors[Code], 0))</f>
        <v>Electricity imports (exports in paranthesis)</v>
      </c>
      <c r="D70" s="2167">
        <v>0</v>
      </c>
      <c r="E70" s="2167">
        <v>0</v>
      </c>
      <c r="F70" s="2167">
        <v>0</v>
      </c>
      <c r="G70" s="2167">
        <f>SUM(EF[[#This Row],[CO2]:[N2O]])</f>
        <v>0</v>
      </c>
      <c r="H70" s="2072"/>
    </row>
    <row r="71" spans="1:8" ht="15.75">
      <c r="A71" s="2110"/>
      <c r="B71" s="2072" t="s">
        <v>441</v>
      </c>
      <c r="C71" s="6" t="str">
        <f>INDEX(Vectors[Description], MATCH([Vector], Vectors[Code], 0))</f>
        <v>Petroleum products oversupply</v>
      </c>
      <c r="D71" s="2167">
        <v>0</v>
      </c>
      <c r="E71" s="2167">
        <v>0</v>
      </c>
      <c r="F71" s="2167">
        <v>0</v>
      </c>
      <c r="G71" s="2167">
        <f>SUM(EF[[#This Row],[CO2]:[N2O]])</f>
        <v>0</v>
      </c>
      <c r="H71" s="2072"/>
    </row>
    <row r="72" spans="1:8" ht="15.75">
      <c r="A72" s="2110"/>
      <c r="B72" s="2072" t="s">
        <v>442</v>
      </c>
      <c r="C72" s="6" t="str">
        <f>INDEX(Vectors[Description], MATCH([Vector], Vectors[Code], 0))</f>
        <v>Coal imports (exports in paranthesis)</v>
      </c>
      <c r="D72" s="2167">
        <v>0</v>
      </c>
      <c r="E72" s="2167">
        <v>0</v>
      </c>
      <c r="F72" s="2167">
        <v>0</v>
      </c>
      <c r="G72" s="2167">
        <f>SUM(EF[[#This Row],[CO2]:[N2O]])</f>
        <v>0</v>
      </c>
      <c r="H72" s="2072"/>
    </row>
    <row r="73" spans="1:8" ht="15.75">
      <c r="A73" s="2110"/>
      <c r="B73" s="2072" t="s">
        <v>443</v>
      </c>
      <c r="C73" s="6" t="str">
        <f>INDEX(Vectors[Description], MATCH([Vector], Vectors[Code], 0))</f>
        <v>Oil and petroleum products imports (exports in parenthesis)</v>
      </c>
      <c r="D73" s="2167">
        <v>0</v>
      </c>
      <c r="E73" s="2167">
        <v>0</v>
      </c>
      <c r="F73" s="2167">
        <v>0</v>
      </c>
      <c r="G73" s="2167">
        <f>SUM(EF[[#This Row],[CO2]:[N2O]])</f>
        <v>0</v>
      </c>
      <c r="H73" s="2072"/>
    </row>
    <row r="74" spans="1:8" ht="15.75">
      <c r="A74" s="2110"/>
      <c r="B74" s="2072" t="s">
        <v>444</v>
      </c>
      <c r="C74" s="6" t="str">
        <f>INDEX(Vectors[Description], MATCH([Vector], Vectors[Code], 0))</f>
        <v>Gas imports (exports in parenthesis)</v>
      </c>
      <c r="D74" s="2167">
        <v>0</v>
      </c>
      <c r="E74" s="2167">
        <v>0</v>
      </c>
      <c r="F74" s="2167">
        <v>0</v>
      </c>
      <c r="G74" s="2167">
        <f>SUM(EF[[#This Row],[CO2]:[N2O]])</f>
        <v>0</v>
      </c>
      <c r="H74" s="2072"/>
    </row>
    <row r="75" spans="1:8" ht="15.75">
      <c r="A75" s="2110"/>
      <c r="B75" s="2072" t="s">
        <v>436</v>
      </c>
      <c r="C75" s="6" t="str">
        <f>INDEX(Vectors[Description], MATCH([Vector], Vectors[Code], 0))</f>
        <v>Peat reserves</v>
      </c>
      <c r="D75" s="2155">
        <f>EF.Peat.CO2</f>
        <v>0.41792039999999997</v>
      </c>
      <c r="E75" s="2155">
        <f>EF.Peat.CH4</f>
        <v>2.2680000000000001E-4</v>
      </c>
      <c r="F75" s="2155">
        <f>EF.Peat.N2O</f>
        <v>7.8119999999999995E-3</v>
      </c>
      <c r="G75" s="2155">
        <f>SUM(EF[[#This Row],[CO2]:[N2O]])</f>
        <v>0.42595919999999998</v>
      </c>
      <c r="H75" s="2072" t="s">
        <v>2979</v>
      </c>
    </row>
    <row r="76" spans="1:8" ht="15.75">
      <c r="A76" s="2110"/>
      <c r="B76" s="2072" t="s">
        <v>437</v>
      </c>
      <c r="C76" s="6" t="str">
        <f>INDEX(Vectors[Description], MATCH([Vector], Vectors[Code], 0))</f>
        <v>Oil reserves</v>
      </c>
      <c r="D76" s="2155">
        <f>EF.Diesel.CO2</f>
        <v>0.26387999999999995</v>
      </c>
      <c r="E76" s="2155">
        <f>EF.Diesel.CH4</f>
        <v>2.2680000000000001E-4</v>
      </c>
      <c r="F76" s="2155">
        <f>EF.Diesel.N2O</f>
        <v>6.6960000000000001E-4</v>
      </c>
      <c r="G76" s="2155">
        <f>SUM(EF[[#This Row],[CO2]:[N2O]])</f>
        <v>0.26477639999999997</v>
      </c>
      <c r="H76" s="2072" t="s">
        <v>1719</v>
      </c>
    </row>
    <row r="77" spans="1:8" ht="15.75">
      <c r="A77" s="2110"/>
      <c r="B77" s="2072" t="s">
        <v>438</v>
      </c>
      <c r="C77" s="6" t="str">
        <f>INDEX(Vectors[Description], MATCH([Vector], Vectors[Code], 0))</f>
        <v>Gas reserves</v>
      </c>
      <c r="D77" s="2155">
        <f>EF.NaturalGas.CO2</f>
        <v>0.20472119999999999</v>
      </c>
      <c r="E77" s="2155">
        <f>EF.NaturalGas.CH4</f>
        <v>7.5600000000000008E-5</v>
      </c>
      <c r="F77" s="2155">
        <f>EF.NaturalGas.N2O</f>
        <v>3.2364E-3</v>
      </c>
      <c r="G77" s="2155">
        <f>SUM(EF[[#This Row],[CO2]:[N2O]])</f>
        <v>0.2080332</v>
      </c>
      <c r="H77" s="2072" t="s">
        <v>1720</v>
      </c>
    </row>
    <row r="78" spans="1:8" ht="15.75">
      <c r="A78" s="2110"/>
      <c r="B78" s="2072" t="s">
        <v>425</v>
      </c>
      <c r="C78" s="6" t="str">
        <f>INDEX(Vectors[Description], MATCH([Vector], Vectors[Code], 0))</f>
        <v>Coal, peat and solid fuels</v>
      </c>
      <c r="D78" s="2155">
        <f>EF.IndustrialCoal.CO2</f>
        <v>0.33762240000000004</v>
      </c>
      <c r="E78" s="2155">
        <f>EF.IndustrialCoal.CH4</f>
        <v>5.2920000000000002E-5</v>
      </c>
      <c r="F78" s="2155">
        <f>EF.IndustrialCoal.N2O</f>
        <v>5.5800000000000001E-4</v>
      </c>
      <c r="G78" s="2155">
        <f>SUM(EF[[#This Row],[CO2]:[N2O]])</f>
        <v>0.33823332000000006</v>
      </c>
      <c r="H78" s="2072" t="s">
        <v>1718</v>
      </c>
    </row>
    <row r="79" spans="1:8" ht="15.75">
      <c r="A79" s="2110"/>
      <c r="B79" s="2072" t="s">
        <v>426</v>
      </c>
      <c r="C79" s="6" t="str">
        <f>INDEX(Vectors[Description], MATCH([Vector], Vectors[Code], 0))</f>
        <v>Oil and petroleum products</v>
      </c>
      <c r="D79" s="2155">
        <f>EF.Diesel.CO2</f>
        <v>0.26387999999999995</v>
      </c>
      <c r="E79" s="2155">
        <f>EF.Diesel.CH4</f>
        <v>2.2680000000000001E-4</v>
      </c>
      <c r="F79" s="2155">
        <f>EF.Diesel.N2O</f>
        <v>6.6960000000000001E-4</v>
      </c>
      <c r="G79" s="2155">
        <f>SUM(EF[[#This Row],[CO2]:[N2O]])</f>
        <v>0.26477639999999997</v>
      </c>
      <c r="H79" s="2072" t="s">
        <v>1719</v>
      </c>
    </row>
    <row r="80" spans="1:8" ht="15.75">
      <c r="A80" s="2110"/>
      <c r="B80" s="2072" t="s">
        <v>427</v>
      </c>
      <c r="C80" s="6" t="str">
        <f>INDEX(Vectors[Description], MATCH([Vector], Vectors[Code], 0))</f>
        <v>Natural gas</v>
      </c>
      <c r="D80" s="2155">
        <f>EF.NaturalGas.CO2</f>
        <v>0.20472119999999999</v>
      </c>
      <c r="E80" s="2155">
        <f>EF.NaturalGas.CH4</f>
        <v>7.5600000000000008E-5</v>
      </c>
      <c r="F80" s="2155">
        <f>EF.NaturalGas.N2O</f>
        <v>3.2364E-3</v>
      </c>
      <c r="G80" s="2155">
        <f>SUM(EF[[#This Row],[CO2]:[N2O]])</f>
        <v>0.2080332</v>
      </c>
      <c r="H80" s="2072" t="s">
        <v>1720</v>
      </c>
    </row>
    <row r="81" spans="1:11" ht="15.75">
      <c r="A81" s="2110"/>
      <c r="B81" s="2072" t="s">
        <v>96</v>
      </c>
      <c r="C81" s="6" t="str">
        <f>INDEX(Vectors[Description], MATCH([Vector], Vectors[Code], 0))</f>
        <v>Electricity (delivered to end user)</v>
      </c>
      <c r="D81" s="2167">
        <v>0</v>
      </c>
      <c r="E81" s="2167">
        <v>0</v>
      </c>
      <c r="F81" s="2167">
        <v>0</v>
      </c>
      <c r="G81" s="2167">
        <f>SUM(EF[[#This Row],[CO2]:[N2O]])</f>
        <v>0</v>
      </c>
      <c r="H81" s="2072"/>
      <c r="K81" s="2107"/>
    </row>
    <row r="82" spans="1:11" ht="15.75">
      <c r="A82" s="2110"/>
      <c r="B82" s="2072" t="s">
        <v>97</v>
      </c>
      <c r="C82" s="6" t="str">
        <f>INDEX(Vectors[Description], MATCH([Vector], Vectors[Code], 0))</f>
        <v>Electricity (supplied to grid)</v>
      </c>
      <c r="D82" s="2167">
        <v>0</v>
      </c>
      <c r="E82" s="2167">
        <v>0</v>
      </c>
      <c r="F82" s="2167">
        <v>0</v>
      </c>
      <c r="G82" s="2167">
        <f>SUM(EF[[#This Row],[CO2]:[N2O]])</f>
        <v>0</v>
      </c>
      <c r="H82" s="2072"/>
      <c r="K82" s="2107"/>
    </row>
    <row r="83" spans="1:11" ht="15.75">
      <c r="A83" s="2110"/>
      <c r="B83" s="2072" t="s">
        <v>98</v>
      </c>
      <c r="C83" s="6" t="str">
        <f>INDEX(Vectors[Description], MATCH([Vector], Vectors[Code], 0))</f>
        <v>Solid hydrocarbons</v>
      </c>
      <c r="D83" s="2155">
        <f>EF.IndustrialCoal.CO2</f>
        <v>0.33762240000000004</v>
      </c>
      <c r="E83" s="2155">
        <f>EF.IndustrialCoal.CH4</f>
        <v>5.2920000000000002E-5</v>
      </c>
      <c r="F83" s="2155">
        <f>EF.IndustrialCoal.N2O</f>
        <v>5.5800000000000001E-4</v>
      </c>
      <c r="G83" s="2155">
        <f>SUM(EF[[#This Row],[CO2]:[N2O]])</f>
        <v>0.33823332000000006</v>
      </c>
      <c r="H83" s="2072" t="s">
        <v>1718</v>
      </c>
    </row>
    <row r="84" spans="1:11" ht="15.75">
      <c r="A84" s="2110"/>
      <c r="B84" s="2072" t="s">
        <v>99</v>
      </c>
      <c r="C84" s="6" t="str">
        <f>INDEX(Vectors[Description], MATCH([Vector], Vectors[Code], 0))</f>
        <v>Liquid hydrocarbons</v>
      </c>
      <c r="D84" s="2155">
        <f>EF.Diesel.CO2</f>
        <v>0.26387999999999995</v>
      </c>
      <c r="E84" s="2155">
        <f>EF.Diesel.CH4</f>
        <v>2.2680000000000001E-4</v>
      </c>
      <c r="F84" s="2155">
        <f>EF.Diesel.N2O</f>
        <v>6.6960000000000001E-4</v>
      </c>
      <c r="G84" s="2155">
        <f>SUM(EF[[#This Row],[CO2]:[N2O]])</f>
        <v>0.26477639999999997</v>
      </c>
      <c r="H84" s="2072" t="s">
        <v>1719</v>
      </c>
    </row>
    <row r="85" spans="1:11" ht="15.75">
      <c r="A85" s="2110"/>
      <c r="B85" s="2072" t="s">
        <v>100</v>
      </c>
      <c r="C85" s="6" t="str">
        <f>INDEX(Vectors[Description], MATCH([Vector], Vectors[Code], 0))</f>
        <v>Gaseous hydrocarbons</v>
      </c>
      <c r="D85" s="2155">
        <f>EF.NaturalGas.CO2</f>
        <v>0.20472119999999999</v>
      </c>
      <c r="E85" s="2155">
        <f>EF.NaturalGas.CH4</f>
        <v>7.5600000000000008E-5</v>
      </c>
      <c r="F85" s="2155">
        <f>EF.NaturalGas.N2O</f>
        <v>3.2364E-3</v>
      </c>
      <c r="G85" s="2155">
        <f>SUM(EF[[#This Row],[CO2]:[N2O]])</f>
        <v>0.2080332</v>
      </c>
      <c r="H85" s="2072" t="s">
        <v>1720</v>
      </c>
    </row>
    <row r="86" spans="1:11" ht="15.75">
      <c r="A86" s="2110"/>
      <c r="B86" s="2072" t="s">
        <v>428</v>
      </c>
      <c r="C86" s="6" t="str">
        <f>INDEX(Vectors[Description], MATCH([Vector], Vectors[Code], 0))</f>
        <v>Blast furnace gas</v>
      </c>
      <c r="D86" s="2167">
        <v>0</v>
      </c>
      <c r="E86" s="2167">
        <v>0</v>
      </c>
      <c r="F86" s="2167">
        <v>0</v>
      </c>
      <c r="G86" s="2167">
        <v>0</v>
      </c>
      <c r="H86" s="2072"/>
    </row>
    <row r="87" spans="1:11" ht="15.75">
      <c r="A87" s="2110"/>
      <c r="B87" s="2072" t="s">
        <v>101</v>
      </c>
      <c r="C87" s="6" t="str">
        <f>INDEX(Vectors[Description], MATCH([Vector], Vectors[Code], 0))</f>
        <v>Heat transport</v>
      </c>
      <c r="D87" s="2167">
        <v>0</v>
      </c>
      <c r="E87" s="2167">
        <v>0</v>
      </c>
      <c r="F87" s="2167">
        <v>0</v>
      </c>
      <c r="G87" s="2167">
        <f>SUM(EF[[#This Row],[CO2]:[N2O]])</f>
        <v>0</v>
      </c>
      <c r="H87" s="2072"/>
    </row>
    <row r="88" spans="1:11" ht="15.75">
      <c r="A88" s="2110"/>
      <c r="B88" s="2072" t="s">
        <v>429</v>
      </c>
      <c r="C88" s="6" t="str">
        <f>INDEX(Vectors[Description], MATCH([Vector], Vectors[Code], 0))</f>
        <v>Edible biomass</v>
      </c>
      <c r="D88" s="2167">
        <v>0</v>
      </c>
      <c r="E88" s="2167">
        <v>0</v>
      </c>
      <c r="F88" s="2167">
        <v>0</v>
      </c>
      <c r="G88" s="2167">
        <f>SUM(EF[[#This Row],[CO2]:[N2O]])</f>
        <v>0</v>
      </c>
      <c r="H88" s="2072"/>
    </row>
    <row r="89" spans="1:11" ht="15.75">
      <c r="A89" s="2110"/>
      <c r="B89" s="2072" t="s">
        <v>432</v>
      </c>
      <c r="C89" s="6" t="str">
        <f>INDEX(Vectors[Description], MATCH([Vector], Vectors[Code], 0))</f>
        <v>Dry biomass and waste</v>
      </c>
      <c r="D89" s="2167">
        <v>0</v>
      </c>
      <c r="E89" s="2167">
        <v>0</v>
      </c>
      <c r="F89" s="2167">
        <v>0</v>
      </c>
      <c r="G89" s="2167">
        <f>SUM(EF[[#This Row],[CO2]:[N2O]])</f>
        <v>0</v>
      </c>
      <c r="H89" s="2072"/>
    </row>
    <row r="90" spans="1:11" ht="15.75">
      <c r="A90" s="2110"/>
      <c r="B90" s="2072" t="s">
        <v>433</v>
      </c>
      <c r="C90" s="6" t="str">
        <f>INDEX(Vectors[Description], MATCH([Vector], Vectors[Code], 0))</f>
        <v>Wet biomass and waste</v>
      </c>
      <c r="D90" s="2167">
        <v>0</v>
      </c>
      <c r="E90" s="2167">
        <v>0</v>
      </c>
      <c r="F90" s="2167">
        <v>0</v>
      </c>
      <c r="G90" s="2167">
        <f>SUM(EF[[#This Row],[CO2]:[N2O]])</f>
        <v>0</v>
      </c>
      <c r="H90" s="2072"/>
    </row>
    <row r="91" spans="1:11" ht="15.75">
      <c r="A91" s="2110"/>
      <c r="B91" s="2079" t="s">
        <v>31</v>
      </c>
      <c r="C91" s="6" t="str">
        <f>INDEX(Vectors[Description], MATCH([Vector], Vectors[Code], 0))</f>
        <v>Domestic solar thermal</v>
      </c>
      <c r="D91" s="2168">
        <v>0</v>
      </c>
      <c r="E91" s="2168">
        <v>0</v>
      </c>
      <c r="F91" s="2168">
        <v>0</v>
      </c>
      <c r="G91" s="2168">
        <f>SUM(EF[[#This Row],[CO2]:[N2O]])</f>
        <v>0</v>
      </c>
      <c r="H91" s="2079"/>
    </row>
    <row r="92" spans="1:11" ht="15">
      <c r="B92" s="2072"/>
      <c r="C92" s="2372"/>
      <c r="D92" s="2380"/>
      <c r="E92" s="2380"/>
      <c r="F92" s="2380"/>
      <c r="G92" s="2381">
        <f>SUM(EF[[#This Row],[CO2]:[N2O]])</f>
        <v>0</v>
      </c>
      <c r="H92" s="2072"/>
    </row>
  </sheetData>
  <pageMargins left="0.7" right="0.7" top="0.75" bottom="0.75" header="0.3" footer="0.3"/>
  <pageSetup paperSize="9" orientation="portrait" r:id="rId1"/>
  <tableParts count="2">
    <tablePart r:id="rId2"/>
    <tablePart r:id="rId3"/>
  </tableParts>
</worksheet>
</file>

<file path=xl/worksheets/sheet13.xml><?xml version="1.0" encoding="utf-8"?>
<worksheet xmlns="http://schemas.openxmlformats.org/spreadsheetml/2006/main" xmlns:r="http://schemas.openxmlformats.org/officeDocument/2006/relationships">
  <sheetPr codeName="Sheet5">
    <tabColor theme="5" tint="0.39997558519241921"/>
    <pageSetUpPr autoPageBreaks="0"/>
  </sheetPr>
  <dimension ref="A1:Z80"/>
  <sheetViews>
    <sheetView showGridLines="0" zoomScale="85" zoomScaleNormal="85" workbookViewId="0">
      <selection activeCell="P35" sqref="P35"/>
    </sheetView>
  </sheetViews>
  <sheetFormatPr defaultColWidth="8.85546875" defaultRowHeight="15.75"/>
  <cols>
    <col min="1" max="1" width="1" style="2070" customWidth="1"/>
    <col min="2" max="2" width="8.42578125" style="2070" customWidth="1"/>
    <col min="3" max="3" width="41.7109375" style="2070" customWidth="1"/>
    <col min="4" max="4" width="5.7109375" style="2070" customWidth="1"/>
    <col min="5" max="5" width="1" style="2070" customWidth="1"/>
    <col min="6" max="6" width="8.42578125" style="2070" customWidth="1"/>
    <col min="7" max="7" width="32" style="2070" bestFit="1" customWidth="1"/>
    <col min="8" max="8" width="10.42578125" style="2070" bestFit="1" customWidth="1"/>
    <col min="9" max="9" width="32" style="2070" customWidth="1"/>
    <col min="10" max="10" width="43.42578125" style="2070" customWidth="1"/>
    <col min="11" max="11" width="5.7109375" style="2070" customWidth="1"/>
    <col min="12" max="12" width="1" style="2110" customWidth="1"/>
    <col min="13" max="13" width="16.140625" style="2110" bestFit="1" customWidth="1"/>
    <col min="14" max="14" width="21" style="2382" bestFit="1" customWidth="1"/>
    <col min="15" max="15" width="9.42578125" style="2163" bestFit="1" customWidth="1"/>
    <col min="16" max="16" width="29.42578125" style="2110" bestFit="1" customWidth="1"/>
    <col min="17" max="17" width="38.140625" style="2383" customWidth="1"/>
    <col min="18" max="18" width="8.85546875" style="2070"/>
    <col min="19" max="19" width="1" style="2070" customWidth="1"/>
    <col min="20" max="20" width="14.42578125" style="2070" customWidth="1"/>
    <col min="21" max="21" width="35.7109375" style="2070" bestFit="1" customWidth="1"/>
    <col min="22" max="22" width="61" style="2070" bestFit="1" customWidth="1"/>
    <col min="23" max="23" width="8.85546875" style="2070"/>
    <col min="24" max="24" width="9" style="2070" customWidth="1"/>
    <col min="25" max="25" width="26.85546875" style="2070" bestFit="1" customWidth="1"/>
    <col min="26" max="26" width="13.42578125" style="2070" customWidth="1"/>
    <col min="27" max="16384" width="8.85546875" style="2070"/>
  </cols>
  <sheetData>
    <row r="1" spans="1:26">
      <c r="B1" s="2070" t="s">
        <v>1773</v>
      </c>
      <c r="S1" s="2110"/>
    </row>
    <row r="2" spans="1:26">
      <c r="B2" s="2070" t="s">
        <v>1774</v>
      </c>
      <c r="S2" s="2110"/>
    </row>
    <row r="3" spans="1:26">
      <c r="A3" s="2110"/>
      <c r="E3" s="2110"/>
      <c r="S3" s="2110"/>
    </row>
    <row r="4" spans="1:26" ht="18.75">
      <c r="A4" s="2110"/>
      <c r="B4" s="2384" t="s">
        <v>1775</v>
      </c>
      <c r="E4" s="2110"/>
      <c r="F4" s="2384" t="s">
        <v>1776</v>
      </c>
      <c r="G4" s="2384"/>
      <c r="H4" s="2384"/>
      <c r="I4" s="2384"/>
      <c r="L4" s="2078"/>
      <c r="M4" s="2384" t="s">
        <v>1777</v>
      </c>
      <c r="N4" s="2385"/>
      <c r="O4" s="2386"/>
      <c r="P4" s="2386"/>
      <c r="Q4" s="2387"/>
      <c r="S4" s="2388"/>
      <c r="T4" s="2389" t="s">
        <v>1778</v>
      </c>
      <c r="X4" s="2389" t="s">
        <v>2931</v>
      </c>
    </row>
    <row r="5" spans="1:26">
      <c r="A5" s="2110"/>
      <c r="E5" s="2110"/>
      <c r="L5" s="2078"/>
      <c r="M5" s="2390"/>
      <c r="N5" s="2385"/>
      <c r="O5" s="2386"/>
      <c r="P5" s="2386"/>
      <c r="Q5" s="2387"/>
      <c r="S5" s="2078"/>
    </row>
    <row r="6" spans="1:26" ht="19.5" thickBot="1">
      <c r="A6" s="2166"/>
      <c r="B6" s="2391" t="s">
        <v>44</v>
      </c>
      <c r="C6" s="2391" t="s">
        <v>1779</v>
      </c>
      <c r="E6" s="2166"/>
      <c r="F6" s="2392" t="s">
        <v>44</v>
      </c>
      <c r="G6" s="2392" t="s">
        <v>131</v>
      </c>
      <c r="H6" s="2392" t="s">
        <v>1780</v>
      </c>
      <c r="I6" s="2392" t="s">
        <v>1779</v>
      </c>
      <c r="J6" s="2392" t="s">
        <v>1717</v>
      </c>
      <c r="L6" s="2388"/>
      <c r="M6" s="2393" t="s">
        <v>1781</v>
      </c>
      <c r="N6" s="2393" t="s">
        <v>1782</v>
      </c>
      <c r="O6" s="2393" t="s">
        <v>44</v>
      </c>
      <c r="P6" s="2393" t="s">
        <v>72</v>
      </c>
      <c r="Q6" s="2394" t="s">
        <v>34</v>
      </c>
      <c r="S6" s="2078"/>
      <c r="T6" s="2072" t="s">
        <v>1783</v>
      </c>
      <c r="U6" s="2072" t="s">
        <v>1784</v>
      </c>
      <c r="V6" s="2072" t="s">
        <v>34</v>
      </c>
      <c r="X6" s="2395" t="s">
        <v>44</v>
      </c>
      <c r="Y6" s="2395" t="s">
        <v>72</v>
      </c>
      <c r="Z6" s="2396" t="s">
        <v>34</v>
      </c>
    </row>
    <row r="7" spans="1:26" s="2398" customFormat="1" ht="16.5" thickTop="1">
      <c r="A7" s="2397"/>
      <c r="B7" s="2398" t="s">
        <v>558</v>
      </c>
      <c r="C7" s="2398" t="s">
        <v>559</v>
      </c>
      <c r="E7" s="2399"/>
      <c r="F7" s="2398" t="s">
        <v>556</v>
      </c>
      <c r="G7" s="2072" t="s">
        <v>2763</v>
      </c>
      <c r="H7" s="2400" t="str">
        <f>LEFT([Code], FIND(".", [Code])-1)</f>
        <v>I</v>
      </c>
      <c r="I7" s="2400" t="str">
        <f>INDEX(Workstreams[Workstream], MATCH([WS Code], Workstreams[Code], 0))</f>
        <v>Hydrocarbon fuel power generation</v>
      </c>
      <c r="J7" s="2072" t="s">
        <v>3171</v>
      </c>
      <c r="L7" s="2399"/>
      <c r="M7" s="2386" t="s">
        <v>1785</v>
      </c>
      <c r="N7" s="2386" t="s">
        <v>1786</v>
      </c>
      <c r="O7" s="2163" t="s">
        <v>104</v>
      </c>
      <c r="P7" s="2386" t="s">
        <v>94</v>
      </c>
      <c r="Q7" s="2387"/>
      <c r="S7" s="2078"/>
      <c r="T7" s="2401" t="s">
        <v>307</v>
      </c>
      <c r="U7" s="2072" t="s">
        <v>308</v>
      </c>
      <c r="V7" s="2072" t="s">
        <v>1787</v>
      </c>
      <c r="W7" s="2070"/>
      <c r="X7" s="2402"/>
      <c r="Y7" s="2402"/>
      <c r="Z7" s="2403"/>
    </row>
    <row r="8" spans="1:26" s="2398" customFormat="1">
      <c r="A8" s="2397"/>
      <c r="B8" s="2398" t="s">
        <v>550</v>
      </c>
      <c r="C8" s="2398" t="s">
        <v>551</v>
      </c>
      <c r="E8" s="2399"/>
      <c r="F8" s="2398" t="s">
        <v>553</v>
      </c>
      <c r="G8" s="2072" t="s">
        <v>554</v>
      </c>
      <c r="H8" s="2400" t="str">
        <f>LEFT([Code], FIND(".", [Code])-1)</f>
        <v>I</v>
      </c>
      <c r="I8" s="2404" t="str">
        <f>INDEX(Workstreams[Workstream], MATCH([WS Code], Workstreams[Code], 0))</f>
        <v>Hydrocarbon fuel power generation</v>
      </c>
      <c r="J8" s="2072"/>
      <c r="L8" s="2399"/>
      <c r="M8" s="2386" t="s">
        <v>1785</v>
      </c>
      <c r="N8" s="2386" t="s">
        <v>1786</v>
      </c>
      <c r="O8" s="2163" t="s">
        <v>454</v>
      </c>
      <c r="P8" s="2386" t="s">
        <v>404</v>
      </c>
      <c r="Q8" s="2387"/>
      <c r="S8" s="2078"/>
      <c r="T8" s="2401" t="s">
        <v>456</v>
      </c>
      <c r="U8" s="2072" t="s">
        <v>407</v>
      </c>
      <c r="V8" s="2072"/>
      <c r="W8" s="2070"/>
      <c r="X8" s="2402"/>
      <c r="Y8" s="2402"/>
      <c r="Z8" s="2403"/>
    </row>
    <row r="9" spans="1:26" s="2398" customFormat="1">
      <c r="A9" s="2397"/>
      <c r="B9" s="2398" t="s">
        <v>532</v>
      </c>
      <c r="C9" s="2398" t="s">
        <v>533</v>
      </c>
      <c r="E9" s="2399"/>
      <c r="F9" s="2133" t="s">
        <v>548</v>
      </c>
      <c r="G9" s="2079" t="s">
        <v>549</v>
      </c>
      <c r="H9" s="2404" t="str">
        <f>LEFT([Code], FIND(".", [Code])-1)</f>
        <v>II</v>
      </c>
      <c r="I9" s="2404" t="str">
        <f>INDEX(Workstreams[Workstream], MATCH([WS Code], Workstreams[Code], 0))</f>
        <v>Nuclear power generation</v>
      </c>
      <c r="J9" s="2079"/>
      <c r="L9" s="2399"/>
      <c r="M9" s="2386" t="s">
        <v>1785</v>
      </c>
      <c r="N9" s="2163" t="s">
        <v>406</v>
      </c>
      <c r="O9" s="2163" t="s">
        <v>455</v>
      </c>
      <c r="P9" s="2386" t="s">
        <v>406</v>
      </c>
      <c r="Q9" s="2387"/>
      <c r="S9" s="2078"/>
      <c r="T9" s="2072">
        <v>2</v>
      </c>
      <c r="U9" s="2072" t="s">
        <v>408</v>
      </c>
      <c r="V9" s="2072"/>
      <c r="W9" s="2070"/>
      <c r="X9" s="2405" t="s">
        <v>324</v>
      </c>
      <c r="Y9" s="2406" t="s">
        <v>325</v>
      </c>
      <c r="Z9" s="2407"/>
    </row>
    <row r="10" spans="1:26" s="2398" customFormat="1">
      <c r="A10" s="2397"/>
      <c r="B10" s="2398" t="s">
        <v>538</v>
      </c>
      <c r="C10" s="2398" t="s">
        <v>539</v>
      </c>
      <c r="E10" s="2399"/>
      <c r="F10" s="2133" t="s">
        <v>520</v>
      </c>
      <c r="G10" s="2079" t="s">
        <v>521</v>
      </c>
      <c r="H10" s="2404" t="str">
        <f>LEFT([Code], FIND(".", [Code])-1)</f>
        <v>III</v>
      </c>
      <c r="I10" s="2404" t="str">
        <f>INDEX(Workstreams[Workstream], MATCH([WS Code], Workstreams[Code], 0))</f>
        <v>National renewable power generation</v>
      </c>
      <c r="J10" s="2079"/>
      <c r="L10" s="2399"/>
      <c r="M10" s="2072" t="s">
        <v>659</v>
      </c>
      <c r="N10" s="2163" t="s">
        <v>1788</v>
      </c>
      <c r="O10" s="2163" t="s">
        <v>418</v>
      </c>
      <c r="P10" s="2072" t="s">
        <v>369</v>
      </c>
      <c r="Q10" s="2387"/>
      <c r="S10" s="2078"/>
      <c r="T10" s="2072">
        <v>3</v>
      </c>
      <c r="U10" s="2072" t="s">
        <v>409</v>
      </c>
      <c r="V10" s="2072" t="s">
        <v>3173</v>
      </c>
      <c r="W10" s="2070"/>
      <c r="X10" s="2405" t="s">
        <v>326</v>
      </c>
      <c r="Y10" s="2406" t="s">
        <v>327</v>
      </c>
      <c r="Z10" s="2407"/>
    </row>
    <row r="11" spans="1:26" s="2398" customFormat="1">
      <c r="A11" s="2397"/>
      <c r="B11" s="2398" t="s">
        <v>580</v>
      </c>
      <c r="C11" s="2398" t="s">
        <v>581</v>
      </c>
      <c r="E11" s="2399"/>
      <c r="F11" s="2133" t="s">
        <v>522</v>
      </c>
      <c r="G11" s="2079" t="s">
        <v>523</v>
      </c>
      <c r="H11" s="2404" t="str">
        <f>LEFT([Code], FIND(".", [Code])-1)</f>
        <v>III</v>
      </c>
      <c r="I11" s="2404" t="str">
        <f>INDEX(Workstreams[Workstream], MATCH([WS Code], Workstreams[Code], 0))</f>
        <v>National renewable power generation</v>
      </c>
      <c r="J11" s="2079"/>
      <c r="L11" s="2399"/>
      <c r="M11" s="2072" t="s">
        <v>659</v>
      </c>
      <c r="N11" s="2163" t="s">
        <v>1788</v>
      </c>
      <c r="O11" s="2163" t="s">
        <v>419</v>
      </c>
      <c r="P11" s="2072" t="s">
        <v>370</v>
      </c>
      <c r="Q11" s="2387"/>
      <c r="S11" s="2078"/>
      <c r="T11" s="2072">
        <v>4</v>
      </c>
      <c r="U11" s="2072" t="s">
        <v>401</v>
      </c>
      <c r="V11" s="2072" t="s">
        <v>1789</v>
      </c>
      <c r="W11" s="2070"/>
      <c r="X11" s="2405" t="s">
        <v>328</v>
      </c>
      <c r="Y11" s="2406" t="s">
        <v>329</v>
      </c>
      <c r="Z11" s="2407"/>
    </row>
    <row r="12" spans="1:26" s="2398" customFormat="1">
      <c r="A12" s="2397"/>
      <c r="B12" s="2398" t="s">
        <v>512</v>
      </c>
      <c r="C12" s="2398" t="s">
        <v>513</v>
      </c>
      <c r="E12" s="2399"/>
      <c r="F12" s="2133" t="s">
        <v>524</v>
      </c>
      <c r="G12" s="2079" t="s">
        <v>525</v>
      </c>
      <c r="H12" s="2404" t="str">
        <f>LEFT([Code], FIND(".", [Code])-1)</f>
        <v>III</v>
      </c>
      <c r="I12" s="2404" t="str">
        <f>INDEX(Workstreams[Workstream], MATCH([WS Code], Workstreams[Code], 0))</f>
        <v>National renewable power generation</v>
      </c>
      <c r="J12" s="2079" t="s">
        <v>1790</v>
      </c>
      <c r="L12" s="2399"/>
      <c r="M12" s="2072" t="s">
        <v>659</v>
      </c>
      <c r="N12" s="2163" t="s">
        <v>1788</v>
      </c>
      <c r="O12" s="2163" t="s">
        <v>420</v>
      </c>
      <c r="P12" s="2072" t="s">
        <v>371</v>
      </c>
      <c r="Q12" s="2387"/>
      <c r="S12" s="2078"/>
      <c r="T12" s="2072">
        <v>5</v>
      </c>
      <c r="U12" s="2072" t="s">
        <v>410</v>
      </c>
      <c r="V12" s="2072"/>
      <c r="W12" s="2070"/>
      <c r="X12" s="2405" t="s">
        <v>331</v>
      </c>
      <c r="Y12" s="2406" t="s">
        <v>332</v>
      </c>
      <c r="Z12" s="2407"/>
    </row>
    <row r="13" spans="1:26" s="2398" customFormat="1">
      <c r="A13" s="2397"/>
      <c r="B13" s="2398" t="s">
        <v>571</v>
      </c>
      <c r="C13" s="2398" t="s">
        <v>572</v>
      </c>
      <c r="E13" s="2399"/>
      <c r="F13" s="2133" t="s">
        <v>526</v>
      </c>
      <c r="G13" s="2079" t="s">
        <v>527</v>
      </c>
      <c r="H13" s="2404" t="str">
        <f>LEFT([Code], FIND(".", [Code])-1)</f>
        <v>III</v>
      </c>
      <c r="I13" s="2404" t="str">
        <f>INDEX(Workstreams[Workstream], MATCH([WS Code], Workstreams[Code], 0))</f>
        <v>National renewable power generation</v>
      </c>
      <c r="J13" s="2079"/>
      <c r="L13" s="2399"/>
      <c r="M13" s="2072" t="s">
        <v>659</v>
      </c>
      <c r="N13" s="2163" t="s">
        <v>1788</v>
      </c>
      <c r="O13" s="2163" t="s">
        <v>421</v>
      </c>
      <c r="P13" s="2072" t="s">
        <v>372</v>
      </c>
      <c r="Q13" s="2387"/>
      <c r="S13" s="2110"/>
      <c r="T13" s="2072">
        <v>6</v>
      </c>
      <c r="U13" s="2072" t="s">
        <v>402</v>
      </c>
      <c r="V13" s="2072"/>
      <c r="W13" s="2070"/>
      <c r="X13" s="2405" t="s">
        <v>333</v>
      </c>
      <c r="Y13" s="2406" t="s">
        <v>334</v>
      </c>
      <c r="Z13" s="2407"/>
    </row>
    <row r="14" spans="1:26" s="2398" customFormat="1">
      <c r="A14" s="2397"/>
      <c r="B14" s="2398" t="s">
        <v>504</v>
      </c>
      <c r="C14" s="2398" t="s">
        <v>505</v>
      </c>
      <c r="E14" s="2399"/>
      <c r="F14" s="2133" t="s">
        <v>627</v>
      </c>
      <c r="G14" s="2079" t="s">
        <v>399</v>
      </c>
      <c r="H14" s="2404" t="str">
        <f>LEFT([Code], FIND(".", [Code])-1)</f>
        <v>III</v>
      </c>
      <c r="I14" s="2404" t="str">
        <f>INDEX(Workstreams[Workstream], MATCH([WS Code], Workstreams[Code], 0))</f>
        <v>National renewable power generation</v>
      </c>
      <c r="J14" s="2079"/>
      <c r="L14" s="2399"/>
      <c r="M14" s="2072" t="s">
        <v>659</v>
      </c>
      <c r="N14" s="2070" t="s">
        <v>1788</v>
      </c>
      <c r="O14" s="2070" t="s">
        <v>422</v>
      </c>
      <c r="P14" s="2072" t="s">
        <v>373</v>
      </c>
      <c r="Q14" s="2387"/>
      <c r="S14" s="2110"/>
      <c r="T14" s="2072">
        <v>7</v>
      </c>
      <c r="U14" s="2072" t="s">
        <v>411</v>
      </c>
      <c r="V14" s="2072"/>
      <c r="W14" s="2070"/>
      <c r="X14" s="2405" t="s">
        <v>335</v>
      </c>
      <c r="Y14" s="2406" t="s">
        <v>336</v>
      </c>
      <c r="Z14" s="2407"/>
    </row>
    <row r="15" spans="1:26" s="2398" customFormat="1">
      <c r="A15" s="2397"/>
      <c r="B15" s="2398" t="s">
        <v>0</v>
      </c>
      <c r="C15" s="2398" t="s">
        <v>1</v>
      </c>
      <c r="E15" s="2399"/>
      <c r="F15" s="2133" t="s">
        <v>629</v>
      </c>
      <c r="G15" s="2079" t="s">
        <v>630</v>
      </c>
      <c r="H15" s="2404" t="str">
        <f>LEFT([Code], FIND(".", [Code])-1)</f>
        <v>III</v>
      </c>
      <c r="I15" s="2404" t="str">
        <f>INDEX(Workstreams[Workstream], MATCH([WS Code], Workstreams[Code], 0))</f>
        <v>National renewable power generation</v>
      </c>
      <c r="J15" s="2079"/>
      <c r="L15" s="2399"/>
      <c r="M15" s="2072" t="s">
        <v>659</v>
      </c>
      <c r="N15" s="2070" t="s">
        <v>1788</v>
      </c>
      <c r="O15" s="2070" t="s">
        <v>423</v>
      </c>
      <c r="P15" s="2072" t="s">
        <v>374</v>
      </c>
      <c r="Q15" s="2387"/>
      <c r="S15" s="2110"/>
      <c r="T15" s="2157" t="s">
        <v>457</v>
      </c>
      <c r="U15" s="2079" t="s">
        <v>412</v>
      </c>
      <c r="V15" s="2079" t="s">
        <v>1791</v>
      </c>
      <c r="W15" s="2070"/>
      <c r="X15" s="2405" t="s">
        <v>771</v>
      </c>
      <c r="Y15" s="2406" t="s">
        <v>772</v>
      </c>
      <c r="Z15" s="2407"/>
    </row>
    <row r="16" spans="1:26" s="2398" customFormat="1">
      <c r="A16" s="2397"/>
      <c r="B16" s="2398" t="s">
        <v>474</v>
      </c>
      <c r="C16" s="2398" t="s">
        <v>83</v>
      </c>
      <c r="E16" s="2399"/>
      <c r="F16" s="2133" t="s">
        <v>631</v>
      </c>
      <c r="G16" s="2079" t="s">
        <v>632</v>
      </c>
      <c r="H16" s="2404" t="str">
        <f>LEFT([Code], FIND(".", [Code])-1)</f>
        <v>III</v>
      </c>
      <c r="I16" s="2404" t="str">
        <f>INDEX(Workstreams[Workstream], MATCH([WS Code], Workstreams[Code], 0))</f>
        <v>National renewable power generation</v>
      </c>
      <c r="J16" s="2079"/>
      <c r="L16" s="2399"/>
      <c r="M16" s="2072" t="s">
        <v>659</v>
      </c>
      <c r="N16" s="2163" t="s">
        <v>368</v>
      </c>
      <c r="O16" s="2163" t="s">
        <v>417</v>
      </c>
      <c r="P16" s="2072" t="s">
        <v>368</v>
      </c>
      <c r="Q16" s="2391" t="s">
        <v>1792</v>
      </c>
      <c r="S16" s="2070"/>
      <c r="T16" s="2157" t="s">
        <v>458</v>
      </c>
      <c r="U16" s="2079" t="s">
        <v>413</v>
      </c>
      <c r="V16" s="2079" t="s">
        <v>1793</v>
      </c>
      <c r="W16" s="2070"/>
      <c r="X16" s="2405" t="s">
        <v>773</v>
      </c>
      <c r="Y16" s="2406" t="s">
        <v>774</v>
      </c>
      <c r="Z16" s="2407"/>
    </row>
    <row r="17" spans="1:26" s="2398" customFormat="1" ht="25.5">
      <c r="A17" s="2397"/>
      <c r="B17" s="2398" t="s">
        <v>477</v>
      </c>
      <c r="C17" s="2398" t="s">
        <v>368</v>
      </c>
      <c r="E17" s="2399"/>
      <c r="F17" s="2133" t="s">
        <v>528</v>
      </c>
      <c r="G17" s="2079" t="s">
        <v>529</v>
      </c>
      <c r="H17" s="2404" t="str">
        <f>LEFT([Code], FIND(".", [Code])-1)</f>
        <v>III</v>
      </c>
      <c r="I17" s="2404" t="str">
        <f>INDEX(Workstreams[Workstream], MATCH([WS Code], Workstreams[Code], 0))</f>
        <v>National renewable power generation</v>
      </c>
      <c r="J17" s="2079"/>
      <c r="L17" s="2399"/>
      <c r="M17" s="2072" t="s">
        <v>659</v>
      </c>
      <c r="N17" s="2070" t="s">
        <v>93</v>
      </c>
      <c r="O17" s="2163" t="s">
        <v>103</v>
      </c>
      <c r="P17" s="2072" t="s">
        <v>93</v>
      </c>
      <c r="Q17" s="2391" t="s">
        <v>1794</v>
      </c>
      <c r="S17" s="2070"/>
      <c r="T17" s="2157" t="s">
        <v>459</v>
      </c>
      <c r="U17" s="2079" t="s">
        <v>414</v>
      </c>
      <c r="V17" s="2079" t="s">
        <v>1795</v>
      </c>
      <c r="W17" s="2070"/>
      <c r="X17" s="2405" t="s">
        <v>775</v>
      </c>
      <c r="Y17" s="2406" t="s">
        <v>776</v>
      </c>
      <c r="Z17" s="2407"/>
    </row>
    <row r="18" spans="1:26" s="2398" customFormat="1" ht="25.5">
      <c r="A18" s="2397"/>
      <c r="B18" s="2398" t="s">
        <v>490</v>
      </c>
      <c r="C18" s="2398" t="s">
        <v>491</v>
      </c>
      <c r="E18" s="2399"/>
      <c r="F18" s="2133" t="s">
        <v>534</v>
      </c>
      <c r="G18" s="2079" t="s">
        <v>535</v>
      </c>
      <c r="H18" s="2404" t="str">
        <f>LEFT([Code], FIND(".", [Code])-1)</f>
        <v>IV</v>
      </c>
      <c r="I18" s="2404" t="str">
        <f>INDEX(Workstreams[Workstream], MATCH([WS Code], Workstreams[Code], 0))</f>
        <v>Distributed renewable power generation</v>
      </c>
      <c r="J18" s="2079"/>
      <c r="L18" s="2399"/>
      <c r="M18" s="2072" t="s">
        <v>659</v>
      </c>
      <c r="N18" s="2163" t="s">
        <v>83</v>
      </c>
      <c r="O18" s="2163" t="s">
        <v>416</v>
      </c>
      <c r="P18" s="2386" t="s">
        <v>367</v>
      </c>
      <c r="Q18" s="2391" t="s">
        <v>1796</v>
      </c>
      <c r="S18" s="2070"/>
      <c r="T18" s="2070"/>
      <c r="U18" s="2070"/>
      <c r="V18" s="2070"/>
      <c r="W18" s="2070"/>
    </row>
    <row r="19" spans="1:26" s="2398" customFormat="1">
      <c r="A19" s="2397"/>
      <c r="B19" s="2398" t="s">
        <v>493</v>
      </c>
      <c r="C19" s="2398" t="s">
        <v>3172</v>
      </c>
      <c r="E19" s="2399"/>
      <c r="F19" s="2133" t="s">
        <v>25</v>
      </c>
      <c r="G19" s="2079" t="s">
        <v>26</v>
      </c>
      <c r="H19" s="2404" t="str">
        <f>LEFT([Code], FIND(".", [Code])-1)</f>
        <v>IV</v>
      </c>
      <c r="I19" s="2404" t="str">
        <f>INDEX(Workstreams[Workstream], MATCH([WS Code], Workstreams[Code], 0))</f>
        <v>Distributed renewable power generation</v>
      </c>
      <c r="J19" s="2079"/>
      <c r="L19" s="2399"/>
      <c r="M19" s="2072" t="s">
        <v>659</v>
      </c>
      <c r="N19" s="2163" t="s">
        <v>1797</v>
      </c>
      <c r="O19" s="2163" t="s">
        <v>424</v>
      </c>
      <c r="P19" s="2072" t="s">
        <v>2966</v>
      </c>
      <c r="Q19" s="2391" t="s">
        <v>1798</v>
      </c>
      <c r="S19" s="2070"/>
      <c r="T19" s="2070"/>
      <c r="U19" s="2070"/>
      <c r="V19" s="2070"/>
      <c r="W19" s="2070"/>
      <c r="X19" s="2408" t="s">
        <v>1799</v>
      </c>
    </row>
    <row r="20" spans="1:26" s="2398" customFormat="1" ht="25.5">
      <c r="A20" s="2397"/>
      <c r="B20" s="2398" t="s">
        <v>496</v>
      </c>
      <c r="C20" s="2398" t="s">
        <v>495</v>
      </c>
      <c r="E20" s="2399"/>
      <c r="F20" s="2133" t="s">
        <v>536</v>
      </c>
      <c r="G20" s="2079" t="s">
        <v>537</v>
      </c>
      <c r="H20" s="2404" t="str">
        <f>LEFT([Code], FIND(".", [Code])-1)</f>
        <v>IV</v>
      </c>
      <c r="I20" s="2404" t="str">
        <f>INDEX(Workstreams[Workstream], MATCH([WS Code], Workstreams[Code], 0))</f>
        <v>Distributed renewable power generation</v>
      </c>
      <c r="J20" s="2079"/>
      <c r="L20" s="2399"/>
      <c r="M20" s="2072" t="s">
        <v>1800</v>
      </c>
      <c r="N20" s="2386" t="s">
        <v>744</v>
      </c>
      <c r="O20" s="2386" t="s">
        <v>445</v>
      </c>
      <c r="P20" s="2072" t="s">
        <v>396</v>
      </c>
      <c r="Q20" s="2391" t="s">
        <v>1801</v>
      </c>
      <c r="S20" s="2078"/>
      <c r="T20" s="2389" t="s">
        <v>1802</v>
      </c>
      <c r="U20" s="2070"/>
      <c r="V20" s="2070"/>
      <c r="W20" s="2070"/>
    </row>
    <row r="21" spans="1:26">
      <c r="A21" s="2110"/>
      <c r="B21" s="2133" t="s">
        <v>518</v>
      </c>
      <c r="C21" s="2133" t="s">
        <v>519</v>
      </c>
      <c r="E21" s="2399"/>
      <c r="F21" s="2133" t="s">
        <v>575</v>
      </c>
      <c r="G21" s="2079" t="s">
        <v>576</v>
      </c>
      <c r="H21" s="2404" t="str">
        <f>LEFT([Code], FIND(".", [Code])-1)</f>
        <v>V</v>
      </c>
      <c r="I21" s="2404" t="str">
        <f>INDEX(Workstreams[Workstream], MATCH([WS Code], Workstreams[Code], 0))</f>
        <v>Bioenergy</v>
      </c>
      <c r="J21" s="2079"/>
      <c r="L21" s="2399"/>
      <c r="M21" s="2072" t="s">
        <v>1800</v>
      </c>
      <c r="N21" s="2072" t="s">
        <v>1803</v>
      </c>
      <c r="O21" s="2386" t="s">
        <v>446</v>
      </c>
      <c r="P21" s="2386" t="s">
        <v>79</v>
      </c>
      <c r="Q21" s="2387"/>
      <c r="S21" s="2078"/>
      <c r="X21" s="2398" t="s">
        <v>44</v>
      </c>
      <c r="Y21" s="2398" t="s">
        <v>72</v>
      </c>
      <c r="Z21" s="2398" t="s">
        <v>1717</v>
      </c>
    </row>
    <row r="22" spans="1:26">
      <c r="B22" s="2133" t="s">
        <v>588</v>
      </c>
      <c r="C22" s="2133" t="s">
        <v>589</v>
      </c>
      <c r="E22" s="2399"/>
      <c r="F22" s="2133" t="s">
        <v>578</v>
      </c>
      <c r="G22" s="2079" t="s">
        <v>579</v>
      </c>
      <c r="H22" s="2404" t="str">
        <f>LEFT([Code], FIND(".", [Code])-1)</f>
        <v>V</v>
      </c>
      <c r="I22" s="2404" t="str">
        <f>INDEX(Workstreams[Workstream], MATCH([WS Code], Workstreams[Code], 0))</f>
        <v>Bioenergy</v>
      </c>
      <c r="J22" s="2079"/>
      <c r="L22" s="2399"/>
      <c r="M22" s="2072" t="s">
        <v>1800</v>
      </c>
      <c r="N22" s="2072" t="s">
        <v>1803</v>
      </c>
      <c r="O22" s="2386" t="s">
        <v>447</v>
      </c>
      <c r="P22" s="2386" t="s">
        <v>397</v>
      </c>
      <c r="Q22" s="2387"/>
      <c r="S22" s="2078"/>
      <c r="T22" s="2072" t="s">
        <v>1804</v>
      </c>
      <c r="U22" s="2072" t="s">
        <v>1805</v>
      </c>
      <c r="V22" s="2072" t="s">
        <v>34</v>
      </c>
      <c r="X22" s="2398" t="s">
        <v>260</v>
      </c>
      <c r="Y22" s="2398" t="s">
        <v>261</v>
      </c>
      <c r="Z22" s="2398"/>
    </row>
    <row r="23" spans="1:26">
      <c r="B23" s="2133" t="s">
        <v>544</v>
      </c>
      <c r="C23" s="2133" t="s">
        <v>545</v>
      </c>
      <c r="E23" s="2399"/>
      <c r="F23" s="2133" t="s">
        <v>510</v>
      </c>
      <c r="G23" s="2079" t="s">
        <v>511</v>
      </c>
      <c r="H23" s="2404" t="str">
        <f>LEFT([Code], FIND(".", [Code])-1)</f>
        <v>VI</v>
      </c>
      <c r="I23" s="2404" t="str">
        <f>INDEX(Workstreams[Workstream], MATCH([WS Code], Workstreams[Code], 0))</f>
        <v>Agriculture and waste</v>
      </c>
      <c r="J23" s="2079"/>
      <c r="L23" s="2399"/>
      <c r="M23" s="2072" t="s">
        <v>1800</v>
      </c>
      <c r="N23" s="2072" t="s">
        <v>1803</v>
      </c>
      <c r="O23" s="2386" t="s">
        <v>448</v>
      </c>
      <c r="P23" s="2386" t="s">
        <v>398</v>
      </c>
      <c r="Q23" s="2387"/>
      <c r="S23" s="2078"/>
      <c r="T23" s="2072" t="s">
        <v>253</v>
      </c>
      <c r="U23" s="2072" t="s">
        <v>1085</v>
      </c>
      <c r="V23" s="2072"/>
      <c r="X23" s="2398" t="s">
        <v>262</v>
      </c>
      <c r="Y23" s="2398" t="s">
        <v>263</v>
      </c>
      <c r="Z23" s="2398"/>
    </row>
    <row r="24" spans="1:26">
      <c r="B24" s="2133" t="s">
        <v>1806</v>
      </c>
      <c r="C24" s="2404" t="s">
        <v>1532</v>
      </c>
      <c r="E24" s="2399"/>
      <c r="F24" s="2133" t="s">
        <v>508</v>
      </c>
      <c r="G24" s="2079" t="s">
        <v>509</v>
      </c>
      <c r="H24" s="2404" t="str">
        <f>LEFT([Code], FIND(".", [Code])-1)</f>
        <v>VI</v>
      </c>
      <c r="I24" s="2404" t="str">
        <f>INDEX(Workstreams[Workstream], MATCH([WS Code], Workstreams[Code], 0))</f>
        <v>Agriculture and waste</v>
      </c>
      <c r="J24" s="2079"/>
      <c r="L24" s="2399"/>
      <c r="M24" s="2072" t="s">
        <v>1800</v>
      </c>
      <c r="N24" s="2072" t="s">
        <v>1803</v>
      </c>
      <c r="O24" s="2386" t="s">
        <v>449</v>
      </c>
      <c r="P24" s="2386" t="s">
        <v>399</v>
      </c>
      <c r="Q24" s="2387"/>
      <c r="S24" s="2078"/>
      <c r="T24" s="2072" t="s">
        <v>255</v>
      </c>
      <c r="U24" s="2072" t="s">
        <v>1087</v>
      </c>
      <c r="V24" s="2072"/>
      <c r="X24" s="2398" t="s">
        <v>264</v>
      </c>
      <c r="Y24" s="2398" t="s">
        <v>265</v>
      </c>
      <c r="Z24" s="2398"/>
    </row>
    <row r="25" spans="1:26" ht="15">
      <c r="E25" s="2399"/>
      <c r="F25" s="2133" t="s">
        <v>506</v>
      </c>
      <c r="G25" s="2079" t="s">
        <v>507</v>
      </c>
      <c r="H25" s="2404" t="s">
        <v>512</v>
      </c>
      <c r="I25" s="2404" t="str">
        <f>INDEX(Workstreams[Workstream], MATCH([WS Code], Workstreams[Code], 0))</f>
        <v>Agriculture and waste</v>
      </c>
      <c r="J25" s="2079"/>
      <c r="L25" s="2399"/>
      <c r="M25" s="2072" t="s">
        <v>1800</v>
      </c>
      <c r="N25" s="2072" t="s">
        <v>1803</v>
      </c>
      <c r="O25" s="2072" t="s">
        <v>450</v>
      </c>
      <c r="P25" s="2386" t="s">
        <v>55</v>
      </c>
      <c r="Q25" s="2387"/>
      <c r="T25" s="2072" t="s">
        <v>256</v>
      </c>
      <c r="U25" s="2072" t="s">
        <v>1089</v>
      </c>
      <c r="V25" s="2072"/>
      <c r="X25" s="2398" t="s">
        <v>266</v>
      </c>
      <c r="Y25" s="2398" t="s">
        <v>267</v>
      </c>
    </row>
    <row r="26" spans="1:26" ht="15">
      <c r="E26" s="2399"/>
      <c r="F26" s="2133" t="s">
        <v>563</v>
      </c>
      <c r="G26" s="2079" t="s">
        <v>564</v>
      </c>
      <c r="H26" s="2404" t="str">
        <f>LEFT([Code], FIND(".", [Code])-1)</f>
        <v>VII</v>
      </c>
      <c r="I26" s="2404" t="str">
        <f>INDEX(Workstreams[Workstream], MATCH([WS Code], Workstreams[Code], 0))</f>
        <v>Electricity distribution, storage, and balancing</v>
      </c>
      <c r="J26" s="2079"/>
      <c r="L26" s="2399"/>
      <c r="M26" s="2072" t="s">
        <v>1800</v>
      </c>
      <c r="N26" s="2072" t="s">
        <v>1803</v>
      </c>
      <c r="O26" s="2072" t="s">
        <v>451</v>
      </c>
      <c r="P26" s="2386" t="s">
        <v>400</v>
      </c>
      <c r="Q26" s="2387"/>
      <c r="T26" s="2072" t="s">
        <v>460</v>
      </c>
      <c r="U26" s="2072" t="s">
        <v>1091</v>
      </c>
      <c r="V26" s="2072"/>
      <c r="X26" s="2398"/>
      <c r="Y26" s="2398"/>
    </row>
    <row r="27" spans="1:26" ht="15">
      <c r="E27" s="2399"/>
      <c r="F27" s="2133" t="s">
        <v>567</v>
      </c>
      <c r="G27" s="2079" t="s">
        <v>568</v>
      </c>
      <c r="H27" s="2404" t="str">
        <f>LEFT([Code], FIND(".", [Code])-1)</f>
        <v>VII</v>
      </c>
      <c r="I27" s="2404" t="str">
        <f>INDEX(Workstreams[Workstream], MATCH([WS Code], Workstreams[Code], 0))</f>
        <v>Electricity distribution, storage, and balancing</v>
      </c>
      <c r="J27" s="2079"/>
      <c r="L27" s="2399"/>
      <c r="M27" s="2072" t="s">
        <v>1800</v>
      </c>
      <c r="N27" s="2072" t="s">
        <v>1803</v>
      </c>
      <c r="O27" s="2072" t="s">
        <v>102</v>
      </c>
      <c r="P27" s="2072" t="s">
        <v>92</v>
      </c>
      <c r="Q27" s="2391" t="s">
        <v>1807</v>
      </c>
    </row>
    <row r="28" spans="1:26" ht="15">
      <c r="E28" s="2399"/>
      <c r="F28" s="2133" t="s">
        <v>569</v>
      </c>
      <c r="G28" s="2079" t="s">
        <v>570</v>
      </c>
      <c r="H28" s="2404" t="str">
        <f>LEFT([Code], FIND(".", [Code])-1)</f>
        <v>VII</v>
      </c>
      <c r="I28" s="2404" t="str">
        <f>INDEX(Workstreams[Workstream], MATCH([WS Code], Workstreams[Code], 0))</f>
        <v>Electricity distribution, storage, and balancing</v>
      </c>
      <c r="J28" s="2079" t="s">
        <v>1810</v>
      </c>
      <c r="L28" s="2399"/>
      <c r="M28" s="2072" t="s">
        <v>1800</v>
      </c>
      <c r="N28" s="2072" t="s">
        <v>1803</v>
      </c>
      <c r="O28" s="2072" t="s">
        <v>452</v>
      </c>
      <c r="P28" s="2072" t="s">
        <v>401</v>
      </c>
      <c r="Q28" s="2391" t="s">
        <v>1808</v>
      </c>
      <c r="T28" s="2070" t="s">
        <v>1809</v>
      </c>
    </row>
    <row r="29" spans="1:26" ht="15">
      <c r="E29" s="2399"/>
      <c r="F29" s="2133" t="s">
        <v>502</v>
      </c>
      <c r="G29" s="2079" t="s">
        <v>503</v>
      </c>
      <c r="H29" s="2404" t="str">
        <f>LEFT([Code], FIND(".", [Code])-1)</f>
        <v>VIII</v>
      </c>
      <c r="I29" s="2404" t="str">
        <f>INDEX(Workstreams[Workstream], MATCH([WS Code], Workstreams[Code], 0))</f>
        <v>H2 Production</v>
      </c>
      <c r="J29" s="2079"/>
      <c r="L29" s="2399"/>
      <c r="M29" s="2072" t="s">
        <v>1800</v>
      </c>
      <c r="N29" s="2386" t="s">
        <v>402</v>
      </c>
      <c r="O29" s="2386" t="s">
        <v>453</v>
      </c>
      <c r="P29" s="2072" t="s">
        <v>2938</v>
      </c>
      <c r="Q29" s="2391" t="s">
        <v>1811</v>
      </c>
    </row>
    <row r="30" spans="1:26" ht="38.25">
      <c r="E30" s="2399"/>
      <c r="F30" s="2133" t="s">
        <v>2</v>
      </c>
      <c r="G30" s="2079" t="s">
        <v>3</v>
      </c>
      <c r="H30" s="2404" t="str">
        <f>LEFT([Code], FIND(".", [Code])-1)</f>
        <v>IX</v>
      </c>
      <c r="I30" s="2404" t="str">
        <f>INDEX(Workstreams[Workstream], MATCH([WS Code], Workstreams[Code], 0))</f>
        <v>Heating</v>
      </c>
      <c r="J30" s="2079"/>
      <c r="L30" s="2399"/>
      <c r="M30" s="2072" t="s">
        <v>1800</v>
      </c>
      <c r="N30" s="2072" t="s">
        <v>1812</v>
      </c>
      <c r="O30" s="2386" t="s">
        <v>439</v>
      </c>
      <c r="P30" s="3724" t="s">
        <v>3257</v>
      </c>
      <c r="Q30" s="2391" t="s">
        <v>1813</v>
      </c>
      <c r="T30" s="2070" t="s">
        <v>1814</v>
      </c>
    </row>
    <row r="31" spans="1:26" ht="15">
      <c r="E31" s="2399"/>
      <c r="F31" s="2133" t="s">
        <v>1815</v>
      </c>
      <c r="G31" s="2079" t="s">
        <v>1816</v>
      </c>
      <c r="H31" s="2404" t="str">
        <f>LEFT([Code], FIND(".", [Code])-1)</f>
        <v>IX</v>
      </c>
      <c r="I31" s="2404" t="str">
        <f>INDEX(Workstreams[Workstream], MATCH([WS Code], Workstreams[Code], 0))</f>
        <v>Heating</v>
      </c>
      <c r="J31" s="2079"/>
      <c r="L31" s="2399"/>
      <c r="M31" s="2072" t="s">
        <v>1800</v>
      </c>
      <c r="N31" s="2163" t="s">
        <v>1812</v>
      </c>
      <c r="O31" s="2163" t="s">
        <v>440</v>
      </c>
      <c r="P31" s="2072" t="s">
        <v>3256</v>
      </c>
      <c r="Q31" s="2387"/>
    </row>
    <row r="32" spans="1:26" ht="15">
      <c r="E32" s="2399"/>
      <c r="F32" s="2133" t="s">
        <v>1822</v>
      </c>
      <c r="G32" s="2079" t="s">
        <v>1823</v>
      </c>
      <c r="H32" s="2404" t="str">
        <f>LEFT([Code], FIND(".", [Code])-1)</f>
        <v>IX</v>
      </c>
      <c r="I32" s="2404" t="str">
        <f>INDEX(Workstreams[Workstream], MATCH([WS Code], Workstreams[Code], 0))</f>
        <v>Heating</v>
      </c>
      <c r="J32" s="2079"/>
      <c r="L32" s="2399"/>
      <c r="M32" s="2072" t="s">
        <v>1800</v>
      </c>
      <c r="N32" s="2070" t="s">
        <v>1812</v>
      </c>
      <c r="O32" s="2070" t="s">
        <v>441</v>
      </c>
      <c r="P32" s="2072" t="s">
        <v>392</v>
      </c>
      <c r="Q32" s="2391" t="s">
        <v>1817</v>
      </c>
      <c r="T32" s="2070" t="s">
        <v>1818</v>
      </c>
      <c r="U32" s="2070" t="s">
        <v>1819</v>
      </c>
      <c r="V32" s="2070" t="s">
        <v>1820</v>
      </c>
      <c r="W32" s="2070" t="s">
        <v>1821</v>
      </c>
    </row>
    <row r="33" spans="5:23" ht="15">
      <c r="E33" s="2399"/>
      <c r="F33" s="2133" t="s">
        <v>1827</v>
      </c>
      <c r="G33" s="2079" t="s">
        <v>1828</v>
      </c>
      <c r="H33" s="2404" t="s">
        <v>0</v>
      </c>
      <c r="I33" s="2404" t="s">
        <v>1</v>
      </c>
      <c r="J33" s="2079"/>
      <c r="L33" s="2399"/>
      <c r="M33" s="2072" t="s">
        <v>1800</v>
      </c>
      <c r="N33" s="2070" t="s">
        <v>1812</v>
      </c>
      <c r="O33" s="2070" t="s">
        <v>442</v>
      </c>
      <c r="P33" s="2072" t="s">
        <v>3255</v>
      </c>
      <c r="Q33" s="2387"/>
      <c r="T33" s="2070" t="s">
        <v>1824</v>
      </c>
      <c r="U33" s="2070" t="s">
        <v>1825</v>
      </c>
      <c r="V33" s="2070" t="s">
        <v>1826</v>
      </c>
    </row>
    <row r="34" spans="5:23" ht="25.5">
      <c r="E34" s="2399"/>
      <c r="F34" s="2133" t="s">
        <v>465</v>
      </c>
      <c r="G34" s="2079" t="s">
        <v>466</v>
      </c>
      <c r="H34" s="2404" t="str">
        <f>LEFT([Code], FIND(".", [Code])-1)</f>
        <v>IX</v>
      </c>
      <c r="I34" s="2404" t="str">
        <f>INDEX(Workstreams[Workstream], MATCH([WS Code], Workstreams[Code], 0))</f>
        <v>Heating</v>
      </c>
      <c r="J34" s="2079"/>
      <c r="L34" s="2399"/>
      <c r="M34" s="2072" t="s">
        <v>1800</v>
      </c>
      <c r="N34" s="2070" t="s">
        <v>1812</v>
      </c>
      <c r="O34" s="2070" t="s">
        <v>443</v>
      </c>
      <c r="P34" s="3724" t="s">
        <v>3258</v>
      </c>
      <c r="Q34" s="2391" t="s">
        <v>1829</v>
      </c>
      <c r="T34" s="2070" t="s">
        <v>1830</v>
      </c>
      <c r="U34" s="2070" t="s">
        <v>411</v>
      </c>
      <c r="V34" s="2070" t="s">
        <v>3170</v>
      </c>
    </row>
    <row r="35" spans="5:23" ht="15">
      <c r="E35" s="2399"/>
      <c r="F35" s="2133" t="s">
        <v>470</v>
      </c>
      <c r="G35" s="2079" t="s">
        <v>471</v>
      </c>
      <c r="H35" s="2404" t="str">
        <f>LEFT([Code], FIND(".", [Code])-1)</f>
        <v>X</v>
      </c>
      <c r="I35" s="2404" t="str">
        <f>INDEX(Workstreams[Workstream], MATCH([WS Code], Workstreams[Code], 0))</f>
        <v>Lighting and appliances</v>
      </c>
      <c r="J35" s="2079"/>
      <c r="L35" s="2399"/>
      <c r="M35" s="2072" t="s">
        <v>1800</v>
      </c>
      <c r="N35" s="2070" t="s">
        <v>1812</v>
      </c>
      <c r="O35" s="2070" t="s">
        <v>444</v>
      </c>
      <c r="P35" s="2072" t="s">
        <v>3254</v>
      </c>
      <c r="Q35" s="2387"/>
      <c r="T35" s="2070" t="s">
        <v>1831</v>
      </c>
      <c r="U35" s="2070" t="s">
        <v>145</v>
      </c>
      <c r="V35" s="2070" t="s">
        <v>1832</v>
      </c>
    </row>
    <row r="36" spans="5:23" ht="15">
      <c r="E36" s="2399"/>
      <c r="F36" s="2133" t="s">
        <v>472</v>
      </c>
      <c r="G36" s="2079" t="s">
        <v>473</v>
      </c>
      <c r="H36" s="2404" t="str">
        <f>LEFT([Code], FIND(".", [Code])-1)</f>
        <v>X</v>
      </c>
      <c r="I36" s="2404" t="str">
        <f>INDEX(Workstreams[Workstream], MATCH([WS Code], Workstreams[Code], 0))</f>
        <v>Lighting and appliances</v>
      </c>
      <c r="J36" s="2079"/>
      <c r="L36" s="2399"/>
      <c r="M36" s="2072" t="s">
        <v>1800</v>
      </c>
      <c r="N36" s="2070" t="s">
        <v>1833</v>
      </c>
      <c r="O36" s="2070" t="s">
        <v>436</v>
      </c>
      <c r="P36" s="2072" t="s">
        <v>2761</v>
      </c>
      <c r="Q36" s="2391"/>
      <c r="T36" s="2070" t="s">
        <v>1834</v>
      </c>
      <c r="U36" s="2070" t="s">
        <v>847</v>
      </c>
      <c r="V36" s="2070" t="s">
        <v>1835</v>
      </c>
      <c r="W36" s="2070" t="s">
        <v>1836</v>
      </c>
    </row>
    <row r="37" spans="5:23" ht="15">
      <c r="E37" s="2399"/>
      <c r="F37" s="2133" t="s">
        <v>475</v>
      </c>
      <c r="G37" s="2079" t="s">
        <v>476</v>
      </c>
      <c r="H37" s="2404" t="str">
        <f>LEFT([Code], FIND(".", [Code])-1)</f>
        <v>XI</v>
      </c>
      <c r="I37" s="2404" t="str">
        <f>INDEX(Workstreams[Workstream], MATCH([WS Code], Workstreams[Code], 0))</f>
        <v>Industry</v>
      </c>
      <c r="J37" s="2079"/>
      <c r="L37" s="2399"/>
      <c r="M37" s="2072" t="s">
        <v>1800</v>
      </c>
      <c r="N37" s="2070" t="s">
        <v>1833</v>
      </c>
      <c r="O37" s="2070" t="s">
        <v>437</v>
      </c>
      <c r="P37" s="2072" t="s">
        <v>388</v>
      </c>
      <c r="Q37" s="2391"/>
      <c r="T37" s="2070" t="s">
        <v>1837</v>
      </c>
      <c r="U37" s="2070" t="s">
        <v>1838</v>
      </c>
      <c r="V37" s="2070" t="s">
        <v>1839</v>
      </c>
      <c r="W37" s="2070" t="s">
        <v>1840</v>
      </c>
    </row>
    <row r="38" spans="5:23" ht="15">
      <c r="E38" s="2409"/>
      <c r="F38" s="2133" t="s">
        <v>478</v>
      </c>
      <c r="G38" s="2079" t="s">
        <v>479</v>
      </c>
      <c r="H38" s="2404" t="str">
        <f>LEFT([Code], FIND(".", [Code])-1)</f>
        <v>XII</v>
      </c>
      <c r="I38" s="2404" t="str">
        <f>INDEX(Workstreams[Workstream], MATCH([WS Code], Workstreams[Code], 0))</f>
        <v>Transport</v>
      </c>
      <c r="J38" s="2079"/>
      <c r="L38" s="2409"/>
      <c r="M38" s="2072" t="s">
        <v>1800</v>
      </c>
      <c r="N38" s="2070" t="s">
        <v>1833</v>
      </c>
      <c r="O38" s="2070" t="s">
        <v>438</v>
      </c>
      <c r="P38" s="2072" t="s">
        <v>389</v>
      </c>
      <c r="Q38" s="2391"/>
      <c r="T38" s="2070" t="s">
        <v>1841</v>
      </c>
      <c r="U38" s="2070" t="s">
        <v>411</v>
      </c>
      <c r="V38" s="2070" t="s">
        <v>3170</v>
      </c>
    </row>
    <row r="39" spans="5:23" ht="25.5">
      <c r="E39" s="2409"/>
      <c r="F39" s="2133" t="s">
        <v>480</v>
      </c>
      <c r="G39" s="2079" t="s">
        <v>481</v>
      </c>
      <c r="H39" s="2404" t="str">
        <f>LEFT([Code], FIND(".", [Code])-1)</f>
        <v>XII</v>
      </c>
      <c r="I39" s="2404" t="str">
        <f>INDEX(Workstreams[Workstream], MATCH([WS Code], Workstreams[Code], 0))</f>
        <v>Transport</v>
      </c>
      <c r="J39" s="2079"/>
      <c r="L39" s="2409"/>
      <c r="M39" s="2072" t="s">
        <v>28</v>
      </c>
      <c r="N39" s="2072" t="s">
        <v>1842</v>
      </c>
      <c r="O39" s="2386" t="s">
        <v>425</v>
      </c>
      <c r="P39" s="3724" t="s">
        <v>2964</v>
      </c>
      <c r="Q39" s="2391" t="s">
        <v>1843</v>
      </c>
    </row>
    <row r="40" spans="5:23" ht="25.5">
      <c r="E40" s="2409"/>
      <c r="F40" s="2133" t="s">
        <v>482</v>
      </c>
      <c r="G40" s="2079" t="s">
        <v>373</v>
      </c>
      <c r="H40" s="2404" t="str">
        <f>LEFT([Code], FIND(".", [Code])-1)</f>
        <v>XII</v>
      </c>
      <c r="I40" s="2404" t="str">
        <f>INDEX(Workstreams[Workstream], MATCH([WS Code], Workstreams[Code], 0))</f>
        <v>Transport</v>
      </c>
      <c r="J40" s="2079"/>
      <c r="L40" s="2409"/>
      <c r="M40" s="3581" t="s">
        <v>28</v>
      </c>
      <c r="N40" s="3581" t="s">
        <v>1842</v>
      </c>
      <c r="O40" s="3581" t="s">
        <v>426</v>
      </c>
      <c r="P40" s="2072" t="s">
        <v>377</v>
      </c>
      <c r="Q40" s="2391" t="s">
        <v>1843</v>
      </c>
      <c r="S40" s="2070" t="s">
        <v>5</v>
      </c>
    </row>
    <row r="41" spans="5:23" ht="25.5">
      <c r="E41" s="2409"/>
      <c r="F41" s="2133" t="s">
        <v>486</v>
      </c>
      <c r="G41" s="2079" t="s">
        <v>374</v>
      </c>
      <c r="H41" s="2404" t="str">
        <f>LEFT([Code], FIND(".", [Code])-1)</f>
        <v>XII</v>
      </c>
      <c r="I41" s="2404" t="str">
        <f>INDEX(Workstreams[Workstream], MATCH([WS Code], Workstreams[Code], 0))</f>
        <v>Transport</v>
      </c>
      <c r="J41" s="2079"/>
      <c r="L41" s="2409"/>
      <c r="M41" s="2072" t="s">
        <v>28</v>
      </c>
      <c r="N41" s="2072" t="s">
        <v>1842</v>
      </c>
      <c r="O41" s="2386" t="s">
        <v>427</v>
      </c>
      <c r="P41" s="2072" t="s">
        <v>142</v>
      </c>
      <c r="Q41" s="2391" t="s">
        <v>1843</v>
      </c>
    </row>
    <row r="42" spans="5:23" ht="15">
      <c r="E42" s="2409"/>
      <c r="F42" s="2133" t="s">
        <v>492</v>
      </c>
      <c r="G42" s="2079" t="s">
        <v>3172</v>
      </c>
      <c r="H42" s="2404" t="str">
        <f>LEFT([Code], FIND(".", [Code])-1)</f>
        <v>XIII</v>
      </c>
      <c r="I42" s="2404" t="str">
        <f>INDEX(Workstreams[Workstream], MATCH([WS Code], Workstreams[Code], 0))</f>
        <v>Food consumption [unused]</v>
      </c>
      <c r="J42" s="2079"/>
      <c r="L42" s="2409"/>
      <c r="M42" s="2072" t="s">
        <v>28</v>
      </c>
      <c r="N42" s="2072" t="s">
        <v>1242</v>
      </c>
      <c r="O42" s="2386" t="s">
        <v>96</v>
      </c>
      <c r="P42" s="2386" t="s">
        <v>86</v>
      </c>
      <c r="Q42" s="2072"/>
    </row>
    <row r="43" spans="5:23" ht="15">
      <c r="E43" s="2409"/>
      <c r="F43" s="2133" t="s">
        <v>494</v>
      </c>
      <c r="G43" s="2079" t="s">
        <v>495</v>
      </c>
      <c r="H43" s="2404" t="str">
        <f>LEFT([Code], FIND(".", [Code])-1)</f>
        <v>XIV</v>
      </c>
      <c r="I43" s="2404" t="str">
        <f>INDEX(Workstreams[Workstream], MATCH([WS Code], Workstreams[Code], 0))</f>
        <v>Geosequestration</v>
      </c>
      <c r="J43" s="2079"/>
      <c r="L43" s="2409"/>
      <c r="M43" s="2072" t="s">
        <v>28</v>
      </c>
      <c r="N43" s="2072" t="s">
        <v>1242</v>
      </c>
      <c r="O43" s="2386" t="s">
        <v>97</v>
      </c>
      <c r="P43" s="2072" t="s">
        <v>87</v>
      </c>
      <c r="Q43" s="2387"/>
    </row>
    <row r="44" spans="5:23" ht="15">
      <c r="E44" s="2409"/>
      <c r="F44" s="2133" t="s">
        <v>514</v>
      </c>
      <c r="G44" s="2079" t="s">
        <v>515</v>
      </c>
      <c r="H44" s="2404" t="str">
        <f>LEFT([Code], FIND(".", [Code])-1)</f>
        <v>XV</v>
      </c>
      <c r="I44" s="2404" t="str">
        <f>INDEX(Workstreams[Workstream], MATCH([WS Code], Workstreams[Code], 0))</f>
        <v>Fossil fuel production</v>
      </c>
      <c r="J44" s="2079"/>
      <c r="L44" s="2409"/>
      <c r="M44" s="2072" t="s">
        <v>28</v>
      </c>
      <c r="N44" s="2072" t="s">
        <v>1844</v>
      </c>
      <c r="O44" s="2072" t="s">
        <v>98</v>
      </c>
      <c r="P44" s="2386" t="s">
        <v>88</v>
      </c>
      <c r="Q44" s="2391" t="s">
        <v>1845</v>
      </c>
    </row>
    <row r="45" spans="5:23" ht="15">
      <c r="E45" s="2409"/>
      <c r="F45" s="2133" t="s">
        <v>516</v>
      </c>
      <c r="G45" s="2079" t="s">
        <v>517</v>
      </c>
      <c r="H45" s="2404" t="str">
        <f>LEFT([Code], FIND(".", [Code])-1)</f>
        <v>XV</v>
      </c>
      <c r="I45" s="2404" t="str">
        <f>INDEX(Workstreams[Workstream], MATCH([WS Code], Workstreams[Code], 0))</f>
        <v>Fossil fuel production</v>
      </c>
      <c r="J45" s="2079"/>
      <c r="L45" s="2409"/>
      <c r="M45" s="2072" t="s">
        <v>28</v>
      </c>
      <c r="N45" s="2072" t="s">
        <v>1844</v>
      </c>
      <c r="O45" s="2072" t="s">
        <v>99</v>
      </c>
      <c r="P45" s="2386" t="s">
        <v>89</v>
      </c>
      <c r="Q45" s="2391" t="s">
        <v>1846</v>
      </c>
    </row>
    <row r="46" spans="5:23" ht="15">
      <c r="E46" s="2409"/>
      <c r="F46" s="2133" t="s">
        <v>583</v>
      </c>
      <c r="G46" s="2079" t="s">
        <v>584</v>
      </c>
      <c r="H46" s="2404" t="str">
        <f>LEFT([Code], FIND(".", [Code])-1)</f>
        <v>XVI</v>
      </c>
      <c r="I46" s="2404" t="str">
        <f>INDEX(Workstreams[Workstream], MATCH([WS Code], Workstreams[Code], 0))</f>
        <v>Transfers</v>
      </c>
      <c r="J46" s="2079" t="s">
        <v>1852</v>
      </c>
      <c r="L46" s="2409"/>
      <c r="M46" s="2072" t="s">
        <v>28</v>
      </c>
      <c r="N46" s="2072" t="s">
        <v>1844</v>
      </c>
      <c r="O46" s="2072" t="s">
        <v>100</v>
      </c>
      <c r="P46" s="2072" t="s">
        <v>90</v>
      </c>
      <c r="Q46" s="2391" t="s">
        <v>1847</v>
      </c>
    </row>
    <row r="47" spans="5:23" ht="15">
      <c r="E47" s="2409"/>
      <c r="F47" s="2133" t="s">
        <v>586</v>
      </c>
      <c r="G47" s="2079" t="s">
        <v>587</v>
      </c>
      <c r="H47" s="2404" t="str">
        <f>LEFT([Code], FIND(".", [Code])-1)</f>
        <v>XVI</v>
      </c>
      <c r="I47" s="2404" t="str">
        <f>INDEX(Workstreams[Workstream], MATCH([WS Code], Workstreams[Code], 0))</f>
        <v>Transfers</v>
      </c>
      <c r="J47" s="2079"/>
      <c r="L47" s="2409"/>
      <c r="M47" s="2072" t="s">
        <v>28</v>
      </c>
      <c r="N47" s="2072" t="s">
        <v>1844</v>
      </c>
      <c r="O47" s="2072" t="s">
        <v>428</v>
      </c>
      <c r="P47" s="2072" t="s">
        <v>378</v>
      </c>
      <c r="Q47" s="2391"/>
    </row>
    <row r="48" spans="5:23" ht="25.5">
      <c r="E48" s="2409"/>
      <c r="F48" s="2133" t="s">
        <v>542</v>
      </c>
      <c r="G48" s="2079" t="s">
        <v>543</v>
      </c>
      <c r="H48" s="2404" t="str">
        <f>LEFT([Code], FIND(".", [Code])-1)</f>
        <v>XVII</v>
      </c>
      <c r="I48" s="2404" t="str">
        <f>INDEX(Workstreams[Workstream], MATCH([WS Code], Workstreams[Code], 0))</f>
        <v>District heating</v>
      </c>
      <c r="J48" s="2079" t="s">
        <v>1855</v>
      </c>
      <c r="L48" s="2409"/>
      <c r="M48" s="2072" t="s">
        <v>28</v>
      </c>
      <c r="N48" s="2072" t="s">
        <v>1431</v>
      </c>
      <c r="O48" s="2072" t="s">
        <v>101</v>
      </c>
      <c r="P48" s="2072" t="s">
        <v>91</v>
      </c>
      <c r="Q48" s="2391" t="s">
        <v>1848</v>
      </c>
    </row>
    <row r="49" spans="5:17" ht="15">
      <c r="E49" s="2409"/>
      <c r="F49" s="2133" t="s">
        <v>1531</v>
      </c>
      <c r="G49" s="2079" t="s">
        <v>1532</v>
      </c>
      <c r="H49" s="2404" t="s">
        <v>1806</v>
      </c>
      <c r="I49" s="2404" t="s">
        <v>1532</v>
      </c>
      <c r="J49" s="2079"/>
      <c r="L49" s="2409"/>
      <c r="M49" s="2072" t="s">
        <v>28</v>
      </c>
      <c r="N49" s="2072" t="s">
        <v>1849</v>
      </c>
      <c r="O49" s="2072" t="s">
        <v>429</v>
      </c>
      <c r="P49" s="2072" t="s">
        <v>379</v>
      </c>
      <c r="Q49" s="2391" t="s">
        <v>1850</v>
      </c>
    </row>
    <row r="50" spans="5:17" ht="51">
      <c r="E50" s="2409"/>
      <c r="F50" s="2133"/>
      <c r="G50" s="2079"/>
      <c r="H50" s="2404"/>
      <c r="I50" s="2404"/>
      <c r="J50" s="2079"/>
      <c r="L50" s="2409"/>
      <c r="M50" s="2072" t="s">
        <v>28</v>
      </c>
      <c r="N50" s="2072" t="s">
        <v>1849</v>
      </c>
      <c r="O50" s="2072" t="s">
        <v>432</v>
      </c>
      <c r="P50" s="2072" t="s">
        <v>382</v>
      </c>
      <c r="Q50" s="2391" t="s">
        <v>1851</v>
      </c>
    </row>
    <row r="51" spans="5:17" ht="25.5">
      <c r="E51" s="2409"/>
      <c r="F51" s="2133"/>
      <c r="G51" s="2079"/>
      <c r="H51" s="2404"/>
      <c r="I51" s="2404"/>
      <c r="J51" s="2079"/>
      <c r="L51" s="2409"/>
      <c r="M51" s="2072" t="s">
        <v>28</v>
      </c>
      <c r="N51" s="2072" t="s">
        <v>1243</v>
      </c>
      <c r="O51" s="2072" t="s">
        <v>433</v>
      </c>
      <c r="P51" s="2072" t="s">
        <v>383</v>
      </c>
      <c r="Q51" s="2391" t="s">
        <v>1853</v>
      </c>
    </row>
    <row r="52" spans="5:17" ht="15">
      <c r="E52" s="2409"/>
      <c r="L52" s="2409"/>
      <c r="M52" s="2410" t="s">
        <v>28</v>
      </c>
      <c r="N52" s="2118" t="s">
        <v>148</v>
      </c>
      <c r="O52" s="2410" t="s">
        <v>434</v>
      </c>
      <c r="P52" s="2411" t="s">
        <v>384</v>
      </c>
      <c r="Q52" s="2412" t="s">
        <v>1854</v>
      </c>
    </row>
    <row r="53" spans="5:17" ht="15">
      <c r="E53" s="2409"/>
      <c r="L53" s="2409"/>
      <c r="M53" s="2410" t="s">
        <v>28</v>
      </c>
      <c r="N53" s="2118" t="s">
        <v>1788</v>
      </c>
      <c r="O53" s="2118" t="s">
        <v>31</v>
      </c>
      <c r="P53" s="2079" t="s">
        <v>32</v>
      </c>
      <c r="Q53" s="2413" t="s">
        <v>1856</v>
      </c>
    </row>
    <row r="54" spans="5:17" ht="15">
      <c r="E54" s="2409"/>
      <c r="L54" s="2409"/>
      <c r="M54" s="2410" t="s">
        <v>28</v>
      </c>
      <c r="N54" s="2072" t="s">
        <v>1243</v>
      </c>
      <c r="O54" s="2072" t="s">
        <v>435</v>
      </c>
      <c r="P54" s="2386" t="s">
        <v>1857</v>
      </c>
      <c r="Q54" s="2412"/>
    </row>
    <row r="55" spans="5:17" ht="15">
      <c r="E55" s="2409"/>
      <c r="L55" s="2409"/>
      <c r="M55" s="2410" t="s">
        <v>28</v>
      </c>
      <c r="N55" s="2118" t="s">
        <v>148</v>
      </c>
      <c r="O55" s="2118" t="s">
        <v>430</v>
      </c>
      <c r="P55" s="2079" t="s">
        <v>380</v>
      </c>
      <c r="Q55" s="2413" t="s">
        <v>1858</v>
      </c>
    </row>
    <row r="56" spans="5:17" ht="15">
      <c r="E56" s="2409"/>
      <c r="L56" s="2409"/>
      <c r="M56" s="2410" t="s">
        <v>28</v>
      </c>
      <c r="N56" s="2118" t="s">
        <v>148</v>
      </c>
      <c r="O56" s="2410" t="s">
        <v>431</v>
      </c>
      <c r="P56" s="2079" t="s">
        <v>381</v>
      </c>
      <c r="Q56" s="2413" t="s">
        <v>1859</v>
      </c>
    </row>
    <row r="57" spans="5:17" ht="15">
      <c r="E57" s="2409"/>
      <c r="L57" s="2399"/>
      <c r="M57" s="2410" t="s">
        <v>313</v>
      </c>
      <c r="N57" s="2118" t="s">
        <v>1860</v>
      </c>
      <c r="O57" s="2410" t="s">
        <v>887</v>
      </c>
      <c r="P57" s="2079" t="s">
        <v>2760</v>
      </c>
      <c r="Q57" s="2412"/>
    </row>
    <row r="58" spans="5:17" ht="15">
      <c r="E58" s="2409"/>
      <c r="L58" s="2399"/>
      <c r="M58" s="2410" t="s">
        <v>313</v>
      </c>
      <c r="N58" s="2118" t="s">
        <v>1860</v>
      </c>
      <c r="O58" s="2410" t="s">
        <v>878</v>
      </c>
      <c r="P58" s="2411" t="s">
        <v>3174</v>
      </c>
      <c r="Q58" s="2412"/>
    </row>
    <row r="59" spans="5:17" ht="15">
      <c r="L59" s="2399"/>
      <c r="M59" s="2410" t="s">
        <v>313</v>
      </c>
      <c r="N59" s="2410" t="s">
        <v>1860</v>
      </c>
      <c r="O59" s="2410" t="s">
        <v>1861</v>
      </c>
      <c r="P59" s="2411" t="s">
        <v>1862</v>
      </c>
      <c r="Q59" s="2412"/>
    </row>
    <row r="60" spans="5:17" ht="15">
      <c r="L60" s="2399"/>
      <c r="M60" s="2410" t="s">
        <v>313</v>
      </c>
      <c r="N60" s="2118" t="s">
        <v>1863</v>
      </c>
      <c r="O60" s="2118" t="s">
        <v>935</v>
      </c>
      <c r="P60" s="2079" t="s">
        <v>1864</v>
      </c>
      <c r="Q60" s="2412"/>
    </row>
    <row r="61" spans="5:17" ht="15">
      <c r="L61" s="2399"/>
      <c r="M61" s="2410" t="s">
        <v>313</v>
      </c>
      <c r="N61" s="2410" t="s">
        <v>1757</v>
      </c>
      <c r="O61" s="2410" t="s">
        <v>767</v>
      </c>
      <c r="P61" s="2411" t="s">
        <v>768</v>
      </c>
      <c r="Q61" s="2412"/>
    </row>
    <row r="62" spans="5:17" ht="15">
      <c r="L62" s="2399"/>
      <c r="M62" s="2118" t="s">
        <v>313</v>
      </c>
      <c r="N62" s="2118" t="s">
        <v>1757</v>
      </c>
      <c r="O62" s="2118" t="s">
        <v>769</v>
      </c>
      <c r="P62" s="2079" t="s">
        <v>733</v>
      </c>
      <c r="Q62" s="2412"/>
    </row>
    <row r="63" spans="5:17" ht="15">
      <c r="L63" s="2399"/>
      <c r="M63" s="2410" t="s">
        <v>313</v>
      </c>
      <c r="N63" s="2118" t="s">
        <v>1757</v>
      </c>
      <c r="O63" s="2410" t="s">
        <v>316</v>
      </c>
      <c r="P63" s="2411" t="s">
        <v>3180</v>
      </c>
      <c r="Q63" s="2412"/>
    </row>
    <row r="64" spans="5:17" ht="15">
      <c r="L64" s="2399"/>
      <c r="M64" s="2410" t="s">
        <v>313</v>
      </c>
      <c r="N64" s="2410" t="s">
        <v>1785</v>
      </c>
      <c r="O64" s="2410" t="s">
        <v>1865</v>
      </c>
      <c r="P64" s="2411" t="s">
        <v>622</v>
      </c>
      <c r="Q64" s="2412" t="s">
        <v>1866</v>
      </c>
    </row>
    <row r="65" spans="12:17" ht="15">
      <c r="L65" s="2399"/>
      <c r="M65" s="2118" t="s">
        <v>313</v>
      </c>
      <c r="N65" s="2118" t="s">
        <v>1785</v>
      </c>
      <c r="O65" s="2118" t="s">
        <v>1258</v>
      </c>
      <c r="P65" s="2079" t="s">
        <v>1259</v>
      </c>
      <c r="Q65" s="2413" t="s">
        <v>1867</v>
      </c>
    </row>
    <row r="66" spans="12:17" ht="15">
      <c r="L66" s="2399"/>
      <c r="M66" s="2118" t="s">
        <v>313</v>
      </c>
      <c r="N66" s="2118" t="s">
        <v>1785</v>
      </c>
      <c r="O66" s="2118" t="s">
        <v>318</v>
      </c>
      <c r="P66" s="2079" t="s">
        <v>319</v>
      </c>
      <c r="Q66" s="2413" t="s">
        <v>1867</v>
      </c>
    </row>
    <row r="67" spans="12:17" ht="15">
      <c r="L67" s="2399"/>
      <c r="M67" s="2118" t="s">
        <v>313</v>
      </c>
      <c r="N67" s="2118" t="s">
        <v>1785</v>
      </c>
      <c r="O67" s="2118" t="s">
        <v>320</v>
      </c>
      <c r="P67" s="2079" t="s">
        <v>321</v>
      </c>
      <c r="Q67" s="2413" t="s">
        <v>1867</v>
      </c>
    </row>
    <row r="68" spans="12:17" ht="15">
      <c r="L68" s="2399"/>
      <c r="M68" s="2118" t="s">
        <v>313</v>
      </c>
      <c r="N68" s="2118" t="s">
        <v>1785</v>
      </c>
      <c r="O68" s="2118" t="s">
        <v>1868</v>
      </c>
      <c r="P68" s="2079" t="s">
        <v>1869</v>
      </c>
      <c r="Q68" s="2413" t="s">
        <v>1867</v>
      </c>
    </row>
    <row r="69" spans="12:17" ht="15">
      <c r="L69" s="2399"/>
      <c r="M69" s="2163"/>
      <c r="P69" s="2163"/>
      <c r="Q69" s="2387"/>
    </row>
    <row r="70" spans="12:17" ht="15">
      <c r="L70" s="2399"/>
      <c r="M70" s="2163"/>
      <c r="P70" s="2163"/>
      <c r="Q70" s="2387"/>
    </row>
    <row r="71" spans="12:17" ht="12.75">
      <c r="L71" s="2163"/>
      <c r="M71" s="2163"/>
      <c r="P71" s="2163"/>
      <c r="Q71" s="2387"/>
    </row>
    <row r="72" spans="12:17" ht="12.75">
      <c r="L72" s="2163"/>
      <c r="M72" s="2163"/>
      <c r="P72" s="2163"/>
      <c r="Q72" s="2387"/>
    </row>
    <row r="73" spans="12:17" ht="12.75">
      <c r="L73" s="2163"/>
      <c r="M73" s="2163"/>
      <c r="P73" s="2163"/>
      <c r="Q73" s="2387"/>
    </row>
    <row r="74" spans="12:17" ht="12.75">
      <c r="L74" s="2163"/>
      <c r="M74" s="2163"/>
      <c r="P74" s="2163"/>
      <c r="Q74" s="2387"/>
    </row>
    <row r="75" spans="12:17" ht="12.75">
      <c r="L75" s="2163"/>
      <c r="M75" s="2163"/>
      <c r="P75" s="2163"/>
      <c r="Q75" s="2387"/>
    </row>
    <row r="76" spans="12:17" ht="12.75">
      <c r="L76" s="2163"/>
      <c r="M76" s="2163"/>
      <c r="P76" s="2163"/>
      <c r="Q76" s="2387"/>
    </row>
    <row r="77" spans="12:17" ht="12.75">
      <c r="L77" s="2163"/>
      <c r="M77" s="2163"/>
      <c r="P77" s="2163"/>
      <c r="Q77" s="2387"/>
    </row>
    <row r="78" spans="12:17" ht="12.75">
      <c r="L78" s="2163"/>
      <c r="M78" s="2163"/>
      <c r="P78" s="2163"/>
      <c r="Q78" s="2387"/>
    </row>
    <row r="79" spans="12:17" ht="12.75">
      <c r="L79" s="2163"/>
      <c r="M79" s="2163"/>
      <c r="P79" s="2163"/>
      <c r="Q79" s="2387"/>
    </row>
    <row r="80" spans="12:17" ht="12.75">
      <c r="L80" s="2163"/>
      <c r="M80" s="2163"/>
      <c r="P80" s="2163"/>
      <c r="Q80" s="2387"/>
    </row>
  </sheetData>
  <pageMargins left="0.7" right="0.7" top="0.75" bottom="0.75" header="0.3" footer="0.3"/>
  <pageSetup paperSize="9" orientation="landscape" horizontalDpi="300" verticalDpi="300"/>
  <tableParts count="7">
    <tablePart r:id="rId1"/>
    <tablePart r:id="rId2"/>
    <tablePart r:id="rId3"/>
    <tablePart r:id="rId4"/>
    <tablePart r:id="rId5"/>
    <tablePart r:id="rId6"/>
    <tablePart r:id="rId7"/>
  </tableParts>
</worksheet>
</file>

<file path=xl/worksheets/sheet14.xml><?xml version="1.0" encoding="utf-8"?>
<worksheet xmlns="http://schemas.openxmlformats.org/spreadsheetml/2006/main" xmlns:r="http://schemas.openxmlformats.org/officeDocument/2006/relationships">
  <sheetPr codeName="Sheet6">
    <tabColor theme="9"/>
  </sheetPr>
  <dimension ref="A1:XFC423"/>
  <sheetViews>
    <sheetView showGridLines="0" zoomScale="80" zoomScaleNormal="80" workbookViewId="0">
      <selection activeCell="J3" sqref="J3"/>
    </sheetView>
  </sheetViews>
  <sheetFormatPr defaultColWidth="8.85546875" defaultRowHeight="15"/>
  <cols>
    <col min="1" max="1" width="7.7109375" customWidth="1"/>
    <col min="2" max="2" width="5.85546875" customWidth="1"/>
    <col min="3" max="3" width="30.5703125" customWidth="1"/>
    <col min="4" max="4" width="30.7109375" customWidth="1"/>
    <col min="5" max="5" width="20.7109375" customWidth="1"/>
    <col min="6" max="14" width="17.7109375" customWidth="1"/>
    <col min="15" max="15" width="2" customWidth="1"/>
    <col min="16" max="16" width="10.85546875" customWidth="1"/>
    <col min="17" max="27" width="13.28515625" customWidth="1"/>
  </cols>
  <sheetData>
    <row r="1" spans="1:114" ht="20.25">
      <c r="A1" s="1016" t="s">
        <v>558</v>
      </c>
      <c r="B1" s="1016" t="s">
        <v>559</v>
      </c>
      <c r="C1" s="1016"/>
    </row>
    <row r="2" spans="1:114" s="6" customFormat="1" ht="15.75">
      <c r="A2" s="864" t="s">
        <v>556</v>
      </c>
      <c r="B2" s="864" t="s">
        <v>2763</v>
      </c>
      <c r="C2" s="864"/>
      <c r="E2" s="5"/>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row>
    <row r="3" spans="1:114" s="6" customFormat="1" ht="15.75">
      <c r="A3"/>
      <c r="B3" s="864"/>
      <c r="C3" s="864"/>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row>
    <row r="4" spans="1:114" ht="23.25">
      <c r="A4" s="7"/>
      <c r="B4" s="511" t="s">
        <v>361</v>
      </c>
      <c r="C4" s="865"/>
      <c r="D4" s="512"/>
      <c r="E4" s="513"/>
      <c r="F4" s="512"/>
      <c r="G4" s="512"/>
      <c r="H4" s="512"/>
      <c r="I4" s="512"/>
      <c r="J4" s="512"/>
      <c r="K4" s="512"/>
      <c r="L4" s="512"/>
      <c r="M4" s="512"/>
      <c r="N4" s="512"/>
      <c r="O4" s="866"/>
    </row>
    <row r="5" spans="1:114">
      <c r="B5" s="871"/>
      <c r="C5" s="12"/>
      <c r="D5" s="515"/>
      <c r="E5" s="516"/>
      <c r="F5" s="515"/>
      <c r="G5" s="515"/>
      <c r="H5" s="515"/>
      <c r="I5" s="515"/>
      <c r="J5" s="515"/>
      <c r="K5" s="515"/>
      <c r="L5" s="515"/>
      <c r="M5" s="515"/>
      <c r="N5" s="515"/>
      <c r="O5" s="867"/>
    </row>
    <row r="6" spans="1:114" ht="15.75">
      <c r="B6" s="1017"/>
      <c r="C6" s="515"/>
      <c r="D6" s="16" t="s">
        <v>7</v>
      </c>
      <c r="E6" s="16" t="s">
        <v>8</v>
      </c>
      <c r="F6" s="515"/>
      <c r="G6" s="515"/>
      <c r="H6" s="515"/>
      <c r="I6" s="515"/>
      <c r="J6" s="515"/>
      <c r="K6" s="515"/>
      <c r="L6" s="515"/>
      <c r="M6" s="515"/>
      <c r="N6" s="515"/>
      <c r="O6" s="867"/>
    </row>
    <row r="7" spans="1:114" ht="15.75">
      <c r="B7" s="1017"/>
      <c r="C7" s="515"/>
      <c r="D7" s="868" t="s">
        <v>8</v>
      </c>
      <c r="E7" s="868">
        <f>I.a.Scenario</f>
        <v>4</v>
      </c>
      <c r="F7" s="515"/>
      <c r="G7" s="515"/>
      <c r="H7" s="515"/>
      <c r="I7" s="515"/>
      <c r="J7" s="515"/>
      <c r="K7" s="515"/>
      <c r="L7" s="515"/>
      <c r="M7" s="515"/>
      <c r="N7" s="515"/>
      <c r="O7" s="867"/>
    </row>
    <row r="8" spans="1:114" ht="15.75">
      <c r="B8" s="1020"/>
      <c r="C8" s="452"/>
      <c r="D8" s="452"/>
      <c r="E8" s="452"/>
      <c r="F8" s="869"/>
      <c r="G8" s="869"/>
      <c r="H8" s="869"/>
      <c r="I8" s="869"/>
      <c r="J8" s="869"/>
      <c r="K8" s="869"/>
      <c r="L8" s="869"/>
      <c r="M8" s="869"/>
      <c r="N8" s="869"/>
      <c r="O8" s="870"/>
    </row>
    <row r="10" spans="1:114" ht="23.25">
      <c r="A10" s="7"/>
      <c r="B10" s="511" t="s">
        <v>24</v>
      </c>
      <c r="C10" s="512"/>
      <c r="D10" s="512"/>
      <c r="E10" s="512"/>
      <c r="F10" s="512"/>
      <c r="G10" s="512"/>
      <c r="H10" s="512"/>
      <c r="I10" s="512"/>
      <c r="J10" s="512"/>
      <c r="K10" s="512"/>
      <c r="L10" s="512"/>
      <c r="M10" s="512"/>
      <c r="N10" s="512"/>
      <c r="O10" s="866"/>
    </row>
    <row r="11" spans="1:114">
      <c r="B11" s="514"/>
      <c r="C11" s="515"/>
      <c r="D11" s="515"/>
      <c r="E11" s="515"/>
      <c r="F11" s="515"/>
      <c r="G11" s="515"/>
      <c r="H11" s="515"/>
      <c r="I11" s="515"/>
      <c r="J11" s="515"/>
      <c r="K11" s="515"/>
      <c r="L11" s="515"/>
      <c r="M11" s="515"/>
      <c r="N11" s="515"/>
      <c r="O11" s="867"/>
    </row>
    <row r="12" spans="1:114">
      <c r="B12" s="514"/>
      <c r="C12" s="34" t="s">
        <v>728</v>
      </c>
      <c r="D12" s="515"/>
      <c r="E12" s="515"/>
      <c r="F12" s="515"/>
      <c r="G12" s="515"/>
      <c r="H12" s="515"/>
      <c r="I12" s="515"/>
      <c r="J12" s="515"/>
      <c r="K12" s="515"/>
      <c r="L12" s="515"/>
      <c r="M12" s="515"/>
      <c r="N12" s="516" t="str">
        <f>Preferences.EnergyUnits</f>
        <v>TWh</v>
      </c>
      <c r="O12" s="867"/>
    </row>
    <row r="13" spans="1:114">
      <c r="B13" s="514"/>
      <c r="C13" s="12"/>
      <c r="D13" s="515"/>
      <c r="E13" s="516"/>
      <c r="F13" s="515"/>
      <c r="G13" s="515"/>
      <c r="H13" s="515"/>
      <c r="I13" s="515"/>
      <c r="J13" s="515"/>
      <c r="K13" s="515"/>
      <c r="L13" s="515"/>
      <c r="M13" s="515"/>
      <c r="N13" s="515"/>
      <c r="O13" s="867"/>
    </row>
    <row r="14" spans="1:114" s="6" customFormat="1" ht="15.75">
      <c r="A14"/>
      <c r="B14" s="19"/>
      <c r="C14" s="873" t="s">
        <v>28</v>
      </c>
      <c r="D14" s="873" t="s">
        <v>29</v>
      </c>
      <c r="E14" s="873" t="s">
        <v>30</v>
      </c>
      <c r="F14" s="873" t="s">
        <v>597</v>
      </c>
      <c r="G14" s="873" t="s">
        <v>133</v>
      </c>
      <c r="H14" s="873" t="s">
        <v>134</v>
      </c>
      <c r="I14" s="873" t="s">
        <v>135</v>
      </c>
      <c r="J14" s="873" t="s">
        <v>136</v>
      </c>
      <c r="K14" s="873" t="s">
        <v>137</v>
      </c>
      <c r="L14" s="873" t="s">
        <v>138</v>
      </c>
      <c r="M14" s="873" t="s">
        <v>139</v>
      </c>
      <c r="N14" s="873" t="s">
        <v>140</v>
      </c>
      <c r="O14" s="87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row>
    <row r="15" spans="1:114" s="859" customFormat="1" ht="15.75">
      <c r="A15" s="39"/>
      <c r="B15" s="19"/>
      <c r="C15" s="873" t="s">
        <v>96</v>
      </c>
      <c r="D15" s="873" t="s">
        <v>86</v>
      </c>
      <c r="E15" s="873"/>
      <c r="F15" s="1336">
        <f ca="1">INDEX(INDIRECT("'"&amp;I.a.Inputs[#Headers]&amp;"'!Year.Matrix"), MATCH("Subtotal."&amp;$A$2, INDIRECT("'"&amp;I.a.Inputs[#Headers]&amp;"'!Year.Modules"), 0), MATCH([Vector], INDIRECT("'"&amp;I.a.Inputs[#Headers]&amp;"'!Year.Vectors"), 0))</f>
        <v>-23.472851618681876</v>
      </c>
      <c r="G15" s="1336">
        <f ca="1">INDEX(INDIRECT("'"&amp;I.a.Inputs[#Headers]&amp;"'!Year.Matrix"), MATCH("Subtotal."&amp;$A$2, INDIRECT("'"&amp;I.a.Inputs[#Headers]&amp;"'!Year.Modules"), 0), MATCH([Vector], INDIRECT("'"&amp;I.a.Inputs[#Headers]&amp;"'!Year.Vectors"), 0))</f>
        <v>-24.359054991474284</v>
      </c>
      <c r="H15" s="1336">
        <f ca="1">INDEX(INDIRECT("'"&amp;I.a.Inputs[#Headers]&amp;"'!Year.Matrix"), MATCH("Subtotal."&amp;$A$2, INDIRECT("'"&amp;I.a.Inputs[#Headers]&amp;"'!Year.Modules"), 0), MATCH([Vector], INDIRECT("'"&amp;I.a.Inputs[#Headers]&amp;"'!Year.Vectors"), 0))</f>
        <v>-24.873360120694059</v>
      </c>
      <c r="I15" s="1336">
        <f ca="1">INDEX(INDIRECT("'"&amp;I.a.Inputs[#Headers]&amp;"'!Year.Matrix"), MATCH("Subtotal."&amp;$A$2, INDIRECT("'"&amp;I.a.Inputs[#Headers]&amp;"'!Year.Modules"), 0), MATCH([Vector], INDIRECT("'"&amp;I.a.Inputs[#Headers]&amp;"'!Year.Vectors"), 0))</f>
        <v>-25.405230948014786</v>
      </c>
      <c r="J15" s="1336">
        <f ca="1">INDEX(INDIRECT("'"&amp;I.a.Inputs[#Headers]&amp;"'!Year.Matrix"), MATCH("Subtotal."&amp;$A$2, INDIRECT("'"&amp;I.a.Inputs[#Headers]&amp;"'!Year.Modules"), 0), MATCH([Vector], INDIRECT("'"&amp;I.a.Inputs[#Headers]&amp;"'!Year.Vectors"), 0))</f>
        <v>-26.047300922442304</v>
      </c>
      <c r="K15" s="1336">
        <f ca="1">INDEX(INDIRECT("'"&amp;I.a.Inputs[#Headers]&amp;"'!Year.Matrix"), MATCH("Subtotal."&amp;$A$2, INDIRECT("'"&amp;I.a.Inputs[#Headers]&amp;"'!Year.Modules"), 0), MATCH([Vector], INDIRECT("'"&amp;I.a.Inputs[#Headers]&amp;"'!Year.Vectors"), 0))</f>
        <v>-26.711821498340946</v>
      </c>
      <c r="L15" s="1336">
        <f ca="1">INDEX(INDIRECT("'"&amp;I.a.Inputs[#Headers]&amp;"'!Year.Matrix"), MATCH("Subtotal."&amp;$A$2, INDIRECT("'"&amp;I.a.Inputs[#Headers]&amp;"'!Year.Modules"), 0), MATCH([Vector], INDIRECT("'"&amp;I.a.Inputs[#Headers]&amp;"'!Year.Vectors"), 0))</f>
        <v>-27.377648640111907</v>
      </c>
      <c r="M15" s="1336">
        <f ca="1">INDEX(INDIRECT("'"&amp;I.a.Inputs[#Headers]&amp;"'!Year.Matrix"), MATCH("Subtotal."&amp;$A$2, INDIRECT("'"&amp;I.a.Inputs[#Headers]&amp;"'!Year.Modules"), 0), MATCH([Vector], INDIRECT("'"&amp;I.a.Inputs[#Headers]&amp;"'!Year.Vectors"), 0))</f>
        <v>-28.011556298716879</v>
      </c>
      <c r="N15" s="1336">
        <f ca="1">INDEX(INDIRECT("'"&amp;I.a.Inputs[#Headers]&amp;"'!Year.Matrix"), MATCH("Subtotal."&amp;$A$2, INDIRECT("'"&amp;I.a.Inputs[#Headers]&amp;"'!Year.Modules"), 0), MATCH([Vector], INDIRECT("'"&amp;I.a.Inputs[#Headers]&amp;"'!Year.Vectors"), 0))</f>
        <v>-28.534423087242338</v>
      </c>
      <c r="O15" s="1336">
        <v>-24.21</v>
      </c>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row>
    <row r="16" spans="1:114" s="859" customFormat="1" ht="15.75">
      <c r="A16" s="39"/>
      <c r="B16" s="19"/>
      <c r="C16" s="17" t="s">
        <v>97</v>
      </c>
      <c r="D16" s="17" t="s">
        <v>87</v>
      </c>
      <c r="E16" s="17"/>
      <c r="F16" s="1336">
        <f ca="1">INDEX(INDIRECT("'"&amp;I.a.Inputs[#Headers]&amp;"'!Year.Matrix"), MATCH("Subtotal."&amp;$A$2, INDIRECT("'"&amp;I.a.Inputs[#Headers]&amp;"'!Year.Modules"), 0), MATCH([Vector], INDIRECT("'"&amp;I.a.Inputs[#Headers]&amp;"'!Year.Vectors"), 0))</f>
        <v>4.3928426695888341</v>
      </c>
      <c r="G16" s="1336">
        <f ca="1">INDEX(INDIRECT("'"&amp;I.a.Inputs[#Headers]&amp;"'!Year.Matrix"), MATCH("Subtotal."&amp;$A$2, INDIRECT("'"&amp;I.a.Inputs[#Headers]&amp;"'!Year.Modules"), 0), MATCH([Vector], INDIRECT("'"&amp;I.a.Inputs[#Headers]&amp;"'!Year.Vectors"), 0))</f>
        <v>5.3887197031404472</v>
      </c>
      <c r="H16" s="1336">
        <f ca="1">INDEX(INDIRECT("'"&amp;I.a.Inputs[#Headers]&amp;"'!Year.Matrix"), MATCH("Subtotal."&amp;$A$2, INDIRECT("'"&amp;I.a.Inputs[#Headers]&amp;"'!Year.Modules"), 0), MATCH([Vector], INDIRECT("'"&amp;I.a.Inputs[#Headers]&amp;"'!Year.Vectors"), 0))</f>
        <v>10.822428723217843</v>
      </c>
      <c r="I16" s="1336">
        <f ca="1">INDEX(INDIRECT("'"&amp;I.a.Inputs[#Headers]&amp;"'!Year.Matrix"), MATCH("Subtotal."&amp;$A$2, INDIRECT("'"&amp;I.a.Inputs[#Headers]&amp;"'!Year.Modules"), 0), MATCH([Vector], INDIRECT("'"&amp;I.a.Inputs[#Headers]&amp;"'!Year.Vectors"), 0))</f>
        <v>17.676159220282241</v>
      </c>
      <c r="J16" s="1336">
        <f ca="1">INDEX(INDIRECT("'"&amp;I.a.Inputs[#Headers]&amp;"'!Year.Matrix"), MATCH("Subtotal."&amp;$A$2, INDIRECT("'"&amp;I.a.Inputs[#Headers]&amp;"'!Year.Modules"), 0), MATCH([Vector], INDIRECT("'"&amp;I.a.Inputs[#Headers]&amp;"'!Year.Vectors"), 0))</f>
        <v>39.372725352110983</v>
      </c>
      <c r="K16" s="1336">
        <f ca="1">INDEX(INDIRECT("'"&amp;I.a.Inputs[#Headers]&amp;"'!Year.Matrix"), MATCH("Subtotal."&amp;$A$2, INDIRECT("'"&amp;I.a.Inputs[#Headers]&amp;"'!Year.Modules"), 0), MATCH([Vector], INDIRECT("'"&amp;I.a.Inputs[#Headers]&amp;"'!Year.Vectors"), 0))</f>
        <v>54.187428715769762</v>
      </c>
      <c r="L16" s="1336">
        <f ca="1">INDEX(INDIRECT("'"&amp;I.a.Inputs[#Headers]&amp;"'!Year.Matrix"), MATCH("Subtotal."&amp;$A$2, INDIRECT("'"&amp;I.a.Inputs[#Headers]&amp;"'!Year.Modules"), 0), MATCH([Vector], INDIRECT("'"&amp;I.a.Inputs[#Headers]&amp;"'!Year.Vectors"), 0))</f>
        <v>71.164623335672545</v>
      </c>
      <c r="M16" s="1336">
        <f ca="1">INDEX(INDIRECT("'"&amp;I.a.Inputs[#Headers]&amp;"'!Year.Matrix"), MATCH("Subtotal."&amp;$A$2, INDIRECT("'"&amp;I.a.Inputs[#Headers]&amp;"'!Year.Modules"), 0), MATCH([Vector], INDIRECT("'"&amp;I.a.Inputs[#Headers]&amp;"'!Year.Vectors"), 0))</f>
        <v>90.114452079504744</v>
      </c>
      <c r="N16" s="1336">
        <f ca="1">INDEX(INDIRECT("'"&amp;I.a.Inputs[#Headers]&amp;"'!Year.Matrix"), MATCH("Subtotal."&amp;$A$2, INDIRECT("'"&amp;I.a.Inputs[#Headers]&amp;"'!Year.Modules"), 0), MATCH([Vector], INDIRECT("'"&amp;I.a.Inputs[#Headers]&amp;"'!Year.Vectors"), 0))</f>
        <v>108.3950771253634</v>
      </c>
      <c r="O16" s="875"/>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row>
    <row r="17" spans="1:114">
      <c r="B17" s="1252"/>
      <c r="C17" s="2371"/>
      <c r="D17" s="869"/>
      <c r="E17" s="869"/>
      <c r="F17" s="869"/>
      <c r="G17" s="869"/>
      <c r="H17" s="869"/>
      <c r="I17" s="869"/>
      <c r="J17" s="869"/>
      <c r="K17" s="869"/>
      <c r="L17" s="869"/>
      <c r="M17" s="869"/>
      <c r="N17" s="869"/>
      <c r="O17" s="870"/>
    </row>
    <row r="18" spans="1:114">
      <c r="F18" s="2378" t="s">
        <v>5</v>
      </c>
    </row>
    <row r="19" spans="1:114" s="6" customFormat="1" ht="23.25">
      <c r="A19" s="7"/>
      <c r="B19" s="878" t="s">
        <v>33</v>
      </c>
      <c r="C19" s="1021"/>
      <c r="D19" s="879"/>
      <c r="E19" s="879"/>
      <c r="F19" s="879"/>
      <c r="G19" s="879"/>
      <c r="H19" s="879"/>
      <c r="I19" s="879"/>
      <c r="J19" s="879"/>
      <c r="K19" s="879"/>
      <c r="L19" s="879"/>
      <c r="M19" s="879"/>
      <c r="N19" s="879"/>
      <c r="O19" s="880"/>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row>
    <row r="20" spans="1:114">
      <c r="B20" s="884"/>
      <c r="C20" s="67"/>
      <c r="D20" s="67"/>
      <c r="E20" s="67"/>
      <c r="F20" s="67"/>
      <c r="G20" s="67"/>
      <c r="H20" s="67"/>
      <c r="I20" s="67"/>
      <c r="J20" s="67"/>
      <c r="K20" s="67"/>
      <c r="L20" s="67"/>
      <c r="M20" s="67"/>
      <c r="N20" s="67"/>
      <c r="O20" s="885"/>
    </row>
    <row r="21" spans="1:114">
      <c r="B21" s="884"/>
      <c r="C21" s="49" t="str">
        <f>"Biomass installed capacity, cumulative,  " &amp; (Preferences.PowerUnits)</f>
        <v>Biomass installed capacity, cumulative,  GW</v>
      </c>
      <c r="D21" s="67"/>
      <c r="E21" s="943" t="s">
        <v>65</v>
      </c>
      <c r="F21" s="67"/>
      <c r="G21" s="67"/>
      <c r="H21" s="67"/>
      <c r="I21" s="67"/>
      <c r="J21" s="67"/>
      <c r="K21" s="67"/>
      <c r="L21" s="67"/>
      <c r="M21" s="67"/>
      <c r="N21" s="51"/>
      <c r="O21" s="885"/>
    </row>
    <row r="22" spans="1:114">
      <c r="B22" s="884"/>
      <c r="C22" s="67"/>
      <c r="D22" s="67"/>
      <c r="E22" s="67"/>
      <c r="F22" s="67"/>
      <c r="G22" s="67"/>
      <c r="H22" s="67"/>
      <c r="I22" s="67"/>
      <c r="J22" s="67"/>
      <c r="K22" s="67"/>
      <c r="L22" s="67"/>
      <c r="M22" s="67"/>
      <c r="N22" s="67"/>
      <c r="O22" s="885"/>
    </row>
    <row r="23" spans="1:114" ht="15.75">
      <c r="B23" s="886"/>
      <c r="C23" s="887" t="s">
        <v>8</v>
      </c>
      <c r="D23" s="887" t="s">
        <v>72</v>
      </c>
      <c r="E23" s="887" t="s">
        <v>30</v>
      </c>
      <c r="F23" s="888">
        <v>2013</v>
      </c>
      <c r="G23" s="2171">
        <v>2015</v>
      </c>
      <c r="H23" s="2171">
        <v>2020</v>
      </c>
      <c r="I23" s="2171">
        <v>2025</v>
      </c>
      <c r="J23" s="2171">
        <v>2030</v>
      </c>
      <c r="K23" s="2171">
        <v>2035</v>
      </c>
      <c r="L23" s="2171">
        <v>2040</v>
      </c>
      <c r="M23" s="2171">
        <v>2045</v>
      </c>
      <c r="N23" s="2171">
        <v>2050</v>
      </c>
      <c r="O23" s="885"/>
    </row>
    <row r="24" spans="1:114" ht="15.75">
      <c r="B24" s="886"/>
      <c r="C24" s="65">
        <v>1</v>
      </c>
      <c r="D24" s="108"/>
      <c r="E24" s="890"/>
      <c r="F24" s="905">
        <f>(Unit.GW)*0.023</f>
        <v>2.3E-2</v>
      </c>
      <c r="G24" s="59">
        <f t="shared" ref="G24:J27" si="0">(Unit.GW)*0.035</f>
        <v>3.5000000000000003E-2</v>
      </c>
      <c r="H24" s="59">
        <f t="shared" si="0"/>
        <v>3.5000000000000003E-2</v>
      </c>
      <c r="I24" s="59">
        <f t="shared" si="0"/>
        <v>3.5000000000000003E-2</v>
      </c>
      <c r="J24" s="59">
        <f t="shared" si="0"/>
        <v>3.5000000000000003E-2</v>
      </c>
      <c r="K24" s="59">
        <v>0</v>
      </c>
      <c r="L24" s="59">
        <v>0</v>
      </c>
      <c r="M24" s="59">
        <v>0</v>
      </c>
      <c r="N24" s="59">
        <v>0</v>
      </c>
      <c r="O24" s="885"/>
      <c r="P24" s="4137" t="s">
        <v>5</v>
      </c>
    </row>
    <row r="25" spans="1:114" ht="15.75">
      <c r="B25" s="886"/>
      <c r="C25" s="65">
        <v>2</v>
      </c>
      <c r="D25" s="108"/>
      <c r="E25" s="108" t="s">
        <v>5</v>
      </c>
      <c r="F25" s="905">
        <f>(Unit.GW)*0.023</f>
        <v>2.3E-2</v>
      </c>
      <c r="G25" s="59">
        <f t="shared" si="0"/>
        <v>3.5000000000000003E-2</v>
      </c>
      <c r="H25" s="59">
        <f t="shared" si="0"/>
        <v>3.5000000000000003E-2</v>
      </c>
      <c r="I25" s="59">
        <f t="shared" ref="H25:J26" si="1">(Unit.GW)*0.105</f>
        <v>0.105</v>
      </c>
      <c r="J25" s="59">
        <f t="shared" si="1"/>
        <v>0.105</v>
      </c>
      <c r="K25" s="59">
        <v>0</v>
      </c>
      <c r="L25" s="59">
        <v>0</v>
      </c>
      <c r="M25" s="59">
        <v>0</v>
      </c>
      <c r="N25" s="59">
        <v>0</v>
      </c>
      <c r="O25" s="885"/>
      <c r="P25" s="4009" t="s">
        <v>5</v>
      </c>
      <c r="Q25" s="3580" t="s">
        <v>5</v>
      </c>
    </row>
    <row r="26" spans="1:114" ht="15.75">
      <c r="B26" s="886"/>
      <c r="C26" s="65">
        <v>3</v>
      </c>
      <c r="D26" s="108"/>
      <c r="E26" s="108"/>
      <c r="F26" s="905">
        <f>(Unit.GW)*0.023</f>
        <v>2.3E-2</v>
      </c>
      <c r="G26" s="59">
        <f t="shared" si="0"/>
        <v>3.5000000000000003E-2</v>
      </c>
      <c r="H26" s="59">
        <f t="shared" si="1"/>
        <v>0.105</v>
      </c>
      <c r="I26" s="59">
        <f t="shared" si="1"/>
        <v>0.105</v>
      </c>
      <c r="J26" s="59">
        <f>(Unit.GW)*0.175</f>
        <v>0.17499999999999999</v>
      </c>
      <c r="K26" s="59">
        <f>(Unit.GW)*0.175</f>
        <v>0.17499999999999999</v>
      </c>
      <c r="L26" s="59">
        <f>(Unit.GW)*0.245</f>
        <v>0.245</v>
      </c>
      <c r="M26" s="59">
        <f>(Unit.GW)*0.245</f>
        <v>0.245</v>
      </c>
      <c r="N26" s="59">
        <f>(Unit.GW)*0.245</f>
        <v>0.245</v>
      </c>
      <c r="O26" s="885"/>
      <c r="Q26" s="3580" t="s">
        <v>5</v>
      </c>
    </row>
    <row r="27" spans="1:114" ht="15.75">
      <c r="B27" s="886"/>
      <c r="C27" s="896">
        <v>4</v>
      </c>
      <c r="D27" s="897"/>
      <c r="E27" s="897"/>
      <c r="F27" s="905">
        <f>(Unit.GW)*0.023</f>
        <v>2.3E-2</v>
      </c>
      <c r="G27" s="59">
        <f t="shared" si="0"/>
        <v>3.5000000000000003E-2</v>
      </c>
      <c r="H27" s="1023">
        <f>(Unit.GW)*0.105</f>
        <v>0.105</v>
      </c>
      <c r="I27" s="1023">
        <f>(Unit.GW)*0.105</f>
        <v>0.105</v>
      </c>
      <c r="J27" s="1023">
        <f>(Unit.GW)*0.175</f>
        <v>0.17499999999999999</v>
      </c>
      <c r="K27" s="1023">
        <f>(Unit.GW)*0.855+K26</f>
        <v>1.03</v>
      </c>
      <c r="L27" s="1023">
        <f>(Unit.GW)*0.855+L26</f>
        <v>1.1000000000000001</v>
      </c>
      <c r="M27" s="1023">
        <f>(Unit.GW)*0.855+M26</f>
        <v>1.1000000000000001</v>
      </c>
      <c r="N27" s="1023">
        <f>(Unit.GW)*0.855+N26</f>
        <v>1.1000000000000001</v>
      </c>
      <c r="O27" s="885"/>
      <c r="P27" s="3580" t="s">
        <v>5</v>
      </c>
      <c r="Q27" s="3580" t="s">
        <v>5</v>
      </c>
    </row>
    <row r="28" spans="1:114" ht="15.75">
      <c r="B28" s="55"/>
      <c r="C28" s="1024" t="s">
        <v>37</v>
      </c>
      <c r="D28" s="901"/>
      <c r="E28" s="901"/>
      <c r="F28" s="902">
        <f>(INDEX(F$24:F$27,ROUNDDOWN($E$7,0))*(1-MOD($E$7,1)))+(INDEX(F$24:F$27,ROUNDUP($E$7,0))*MOD($E$7,1))</f>
        <v>2.3E-2</v>
      </c>
      <c r="G28" s="902">
        <f t="shared" ref="G28:N28" si="2">(INDEX(G$24:G$27,ROUNDDOWN($E$7,0))*(1-MOD($E$7,1)))+(INDEX(G$24:G$27,ROUNDUP($E$7,0))*MOD($E$7,1))</f>
        <v>3.5000000000000003E-2</v>
      </c>
      <c r="H28" s="1157">
        <f t="shared" si="2"/>
        <v>0.105</v>
      </c>
      <c r="I28" s="1157">
        <f t="shared" si="2"/>
        <v>0.105</v>
      </c>
      <c r="J28" s="1157">
        <f t="shared" si="2"/>
        <v>0.17499999999999999</v>
      </c>
      <c r="K28" s="1157">
        <f t="shared" si="2"/>
        <v>1.03</v>
      </c>
      <c r="L28" s="1157">
        <f t="shared" si="2"/>
        <v>1.1000000000000001</v>
      </c>
      <c r="M28" s="1157">
        <f t="shared" si="2"/>
        <v>1.1000000000000001</v>
      </c>
      <c r="N28" s="1158">
        <f t="shared" si="2"/>
        <v>1.1000000000000001</v>
      </c>
      <c r="O28" s="885"/>
    </row>
    <row r="29" spans="1:114">
      <c r="B29" s="884"/>
      <c r="C29" s="67"/>
      <c r="D29" s="67"/>
      <c r="E29" s="67"/>
      <c r="F29" s="67"/>
      <c r="G29" s="67"/>
      <c r="H29" s="67" t="s">
        <v>5</v>
      </c>
      <c r="I29" s="67" t="s">
        <v>5</v>
      </c>
      <c r="J29" s="67"/>
      <c r="K29" s="67"/>
      <c r="L29" s="67" t="s">
        <v>5</v>
      </c>
      <c r="M29" s="67"/>
      <c r="N29" s="67"/>
      <c r="O29" s="885"/>
    </row>
    <row r="30" spans="1:114" s="3579" customFormat="1">
      <c r="A30" s="3579" t="s">
        <v>5</v>
      </c>
      <c r="B30" s="884"/>
      <c r="C30" s="49" t="str">
        <f>"Existing coal plants converted to biomass - cumulative,  " &amp; Preferences.PowerUnits &amp; "  [No longer used]"</f>
        <v>Existing coal plants converted to biomass - cumulative,  GW  [No longer used]</v>
      </c>
      <c r="D30" s="67"/>
      <c r="E30" s="67"/>
      <c r="F30" s="67"/>
      <c r="G30" s="67"/>
      <c r="H30" s="67"/>
      <c r="I30" s="67"/>
      <c r="J30" s="67" t="s">
        <v>5</v>
      </c>
      <c r="K30" s="67" t="s">
        <v>5</v>
      </c>
      <c r="L30" s="67"/>
      <c r="M30" s="67"/>
      <c r="N30" s="67"/>
      <c r="O30" s="885"/>
    </row>
    <row r="31" spans="1:114" s="3579" customFormat="1">
      <c r="B31" s="884"/>
      <c r="C31" s="67"/>
      <c r="D31" s="67"/>
      <c r="E31" s="67"/>
      <c r="F31" s="67"/>
      <c r="G31" s="67"/>
      <c r="H31" s="67"/>
      <c r="I31" s="67"/>
      <c r="J31" s="67"/>
      <c r="K31" s="67"/>
      <c r="L31" s="67"/>
      <c r="M31" s="67"/>
      <c r="N31" s="67"/>
      <c r="O31" s="885"/>
    </row>
    <row r="32" spans="1:114" s="3579" customFormat="1">
      <c r="B32" s="884"/>
      <c r="C32" s="887" t="s">
        <v>8</v>
      </c>
      <c r="D32" s="887" t="s">
        <v>72</v>
      </c>
      <c r="E32" s="887" t="s">
        <v>30</v>
      </c>
      <c r="F32" s="888">
        <v>2013</v>
      </c>
      <c r="G32" s="2171">
        <v>2015</v>
      </c>
      <c r="H32" s="2171">
        <v>2020</v>
      </c>
      <c r="I32" s="2171">
        <v>2025</v>
      </c>
      <c r="J32" s="2171">
        <v>2030</v>
      </c>
      <c r="K32" s="2171">
        <v>2035</v>
      </c>
      <c r="L32" s="2171">
        <v>2040</v>
      </c>
      <c r="M32" s="2171">
        <v>2045</v>
      </c>
      <c r="N32" s="2171">
        <v>2050</v>
      </c>
      <c r="O32" s="885"/>
    </row>
    <row r="33" spans="2:16" s="3579" customFormat="1">
      <c r="B33" s="884"/>
      <c r="C33" s="65">
        <v>1</v>
      </c>
      <c r="D33" s="108"/>
      <c r="E33" s="890"/>
      <c r="F33" s="905">
        <v>0</v>
      </c>
      <c r="G33" s="59">
        <v>0</v>
      </c>
      <c r="H33" s="59">
        <v>0</v>
      </c>
      <c r="I33" s="59">
        <v>0</v>
      </c>
      <c r="J33" s="59">
        <v>0</v>
      </c>
      <c r="K33" s="59">
        <v>0</v>
      </c>
      <c r="L33" s="59">
        <v>0</v>
      </c>
      <c r="M33" s="59">
        <v>0</v>
      </c>
      <c r="N33" s="59">
        <v>0</v>
      </c>
      <c r="O33" s="885"/>
    </row>
    <row r="34" spans="2:16" s="3579" customFormat="1">
      <c r="B34" s="884"/>
      <c r="C34" s="65">
        <v>2</v>
      </c>
      <c r="D34" s="108"/>
      <c r="E34" s="108"/>
      <c r="F34" s="905">
        <v>0</v>
      </c>
      <c r="G34" s="59">
        <v>0</v>
      </c>
      <c r="H34" s="59">
        <v>0</v>
      </c>
      <c r="I34" s="59">
        <v>0</v>
      </c>
      <c r="J34" s="59">
        <v>0</v>
      </c>
      <c r="K34" s="59">
        <v>0</v>
      </c>
      <c r="L34" s="59">
        <v>0</v>
      </c>
      <c r="M34" s="59">
        <v>0</v>
      </c>
      <c r="N34" s="59">
        <v>0</v>
      </c>
      <c r="O34" s="885"/>
    </row>
    <row r="35" spans="2:16" s="3579" customFormat="1">
      <c r="B35" s="884"/>
      <c r="C35" s="65">
        <v>3</v>
      </c>
      <c r="D35" s="108"/>
      <c r="E35" s="108"/>
      <c r="F35" s="905">
        <v>0</v>
      </c>
      <c r="G35" s="59">
        <v>0</v>
      </c>
      <c r="H35" s="59">
        <v>0</v>
      </c>
      <c r="I35" s="59">
        <v>0</v>
      </c>
      <c r="J35" s="59">
        <v>0</v>
      </c>
      <c r="K35" s="59">
        <v>0</v>
      </c>
      <c r="L35" s="59">
        <v>0</v>
      </c>
      <c r="M35" s="59">
        <v>0</v>
      </c>
      <c r="N35" s="59">
        <v>0</v>
      </c>
      <c r="O35" s="885"/>
    </row>
    <row r="36" spans="2:16" s="3579" customFormat="1">
      <c r="B36" s="884"/>
      <c r="C36" s="896">
        <v>4</v>
      </c>
      <c r="D36" s="897"/>
      <c r="E36" s="897"/>
      <c r="F36" s="905">
        <v>0</v>
      </c>
      <c r="G36" s="59">
        <v>0</v>
      </c>
      <c r="H36" s="59">
        <v>0</v>
      </c>
      <c r="I36" s="59">
        <v>0</v>
      </c>
      <c r="J36" s="59">
        <v>0</v>
      </c>
      <c r="K36" s="59">
        <f>(Unit.GW)*-0.855</f>
        <v>-0.85499999999999998</v>
      </c>
      <c r="L36" s="59">
        <f>(Unit.GW)*-0.855</f>
        <v>-0.85499999999999998</v>
      </c>
      <c r="M36" s="59">
        <f>(Unit.GW)*-0.855</f>
        <v>-0.85499999999999998</v>
      </c>
      <c r="N36" s="59">
        <f>(Unit.GW)*-0.855</f>
        <v>-0.85499999999999998</v>
      </c>
      <c r="O36" s="885"/>
      <c r="P36" s="3854" t="s">
        <v>5</v>
      </c>
    </row>
    <row r="37" spans="2:16" s="3579" customFormat="1">
      <c r="B37" s="884"/>
      <c r="C37" s="1024" t="s">
        <v>37</v>
      </c>
      <c r="D37" s="901"/>
      <c r="E37" s="901"/>
      <c r="F37" s="902">
        <f>(INDEX(F$33:F$36,ROUNDDOWN($E$7,0))*(1-MOD($E$7,1)))+(INDEX(F$33:F$36,ROUNDUP($E$7,0))*MOD($E$7,1))</f>
        <v>0</v>
      </c>
      <c r="G37" s="902">
        <f t="shared" ref="G37:N37" si="3">(INDEX(G$33:G$36,ROUNDDOWN($E$7,0))*(1-MOD($E$7,1)))+(INDEX(G$33:G$36,ROUNDUP($E$7,0))*MOD($E$7,1))</f>
        <v>0</v>
      </c>
      <c r="H37" s="902">
        <f t="shared" si="3"/>
        <v>0</v>
      </c>
      <c r="I37" s="902">
        <f t="shared" si="3"/>
        <v>0</v>
      </c>
      <c r="J37" s="902">
        <f t="shared" si="3"/>
        <v>0</v>
      </c>
      <c r="K37" s="902">
        <f t="shared" si="3"/>
        <v>-0.85499999999999998</v>
      </c>
      <c r="L37" s="902">
        <f t="shared" si="3"/>
        <v>-0.85499999999999998</v>
      </c>
      <c r="M37" s="902">
        <f t="shared" si="3"/>
        <v>-0.85499999999999998</v>
      </c>
      <c r="N37" s="902">
        <f t="shared" si="3"/>
        <v>-0.85499999999999998</v>
      </c>
      <c r="O37" s="885"/>
    </row>
    <row r="38" spans="2:16" s="3579" customFormat="1">
      <c r="B38" s="884"/>
      <c r="C38" s="67"/>
      <c r="D38" s="67"/>
      <c r="E38" s="67"/>
      <c r="F38" s="67"/>
      <c r="G38" s="67"/>
      <c r="H38" s="67"/>
      <c r="I38" s="67"/>
      <c r="J38" s="67"/>
      <c r="K38" s="67"/>
      <c r="L38" s="67"/>
      <c r="M38" s="67"/>
      <c r="N38" s="67"/>
      <c r="O38" s="885"/>
    </row>
    <row r="39" spans="2:16">
      <c r="B39" s="884"/>
      <c r="C39" s="49" t="str">
        <f>"Existing peat plants converted to biomass - cumulative,  " &amp; Preferences.PowerUnits</f>
        <v>Existing peat plants converted to biomass - cumulative,  GW</v>
      </c>
      <c r="D39" s="67"/>
      <c r="E39" s="67"/>
      <c r="F39" s="67"/>
      <c r="G39" s="67"/>
      <c r="H39" s="67"/>
      <c r="I39" s="67"/>
      <c r="J39" s="67"/>
      <c r="K39" s="67" t="s">
        <v>5</v>
      </c>
      <c r="L39" s="67"/>
      <c r="M39" s="67"/>
      <c r="N39" s="67"/>
      <c r="O39" s="885"/>
    </row>
    <row r="40" spans="2:16">
      <c r="B40" s="884"/>
      <c r="C40" s="67"/>
      <c r="D40" s="67"/>
      <c r="E40" s="67"/>
      <c r="F40" s="67"/>
      <c r="G40" s="67"/>
      <c r="H40" s="67"/>
      <c r="I40" s="67"/>
      <c r="J40" s="67"/>
      <c r="K40" s="67"/>
      <c r="L40" s="67"/>
      <c r="M40" s="67"/>
      <c r="N40" s="67"/>
      <c r="O40" s="885"/>
    </row>
    <row r="41" spans="2:16">
      <c r="B41" s="884"/>
      <c r="C41" s="887" t="s">
        <v>8</v>
      </c>
      <c r="D41" s="887" t="s">
        <v>72</v>
      </c>
      <c r="E41" s="887" t="s">
        <v>30</v>
      </c>
      <c r="F41" s="888">
        <v>2013</v>
      </c>
      <c r="G41" s="2171">
        <v>2015</v>
      </c>
      <c r="H41" s="2171">
        <v>2020</v>
      </c>
      <c r="I41" s="2171">
        <v>2025</v>
      </c>
      <c r="J41" s="2171">
        <v>2030</v>
      </c>
      <c r="K41" s="2171">
        <v>2035</v>
      </c>
      <c r="L41" s="2171">
        <v>2040</v>
      </c>
      <c r="M41" s="2171">
        <v>2045</v>
      </c>
      <c r="N41" s="2171">
        <v>2050</v>
      </c>
      <c r="O41" s="885"/>
    </row>
    <row r="42" spans="2:16">
      <c r="B42" s="884"/>
      <c r="C42" s="65">
        <v>1</v>
      </c>
      <c r="D42" s="108"/>
      <c r="E42" s="890"/>
      <c r="F42" s="905">
        <f>(Unit.GW)*-0.02</f>
        <v>-0.02</v>
      </c>
      <c r="G42" s="59">
        <f t="shared" ref="G42:N44" si="4">G24*-1</f>
        <v>-3.5000000000000003E-2</v>
      </c>
      <c r="H42" s="59">
        <f t="shared" si="4"/>
        <v>-3.5000000000000003E-2</v>
      </c>
      <c r="I42" s="59">
        <f t="shared" si="4"/>
        <v>-3.5000000000000003E-2</v>
      </c>
      <c r="J42" s="59">
        <f t="shared" si="4"/>
        <v>-3.5000000000000003E-2</v>
      </c>
      <c r="K42" s="59">
        <f t="shared" si="4"/>
        <v>0</v>
      </c>
      <c r="L42" s="59">
        <f t="shared" si="4"/>
        <v>0</v>
      </c>
      <c r="M42" s="59">
        <f t="shared" si="4"/>
        <v>0</v>
      </c>
      <c r="N42" s="59">
        <f t="shared" si="4"/>
        <v>0</v>
      </c>
      <c r="O42" s="885"/>
    </row>
    <row r="43" spans="2:16">
      <c r="B43" s="884"/>
      <c r="C43" s="65">
        <v>2</v>
      </c>
      <c r="D43" s="108"/>
      <c r="E43" s="108"/>
      <c r="F43" s="905">
        <f>(Unit.GW)*-0.02</f>
        <v>-0.02</v>
      </c>
      <c r="G43" s="59">
        <f t="shared" si="4"/>
        <v>-3.5000000000000003E-2</v>
      </c>
      <c r="H43" s="59">
        <f t="shared" si="4"/>
        <v>-3.5000000000000003E-2</v>
      </c>
      <c r="I43" s="59">
        <f t="shared" si="4"/>
        <v>-0.105</v>
      </c>
      <c r="J43" s="59">
        <f t="shared" si="4"/>
        <v>-0.105</v>
      </c>
      <c r="K43" s="59">
        <f t="shared" si="4"/>
        <v>0</v>
      </c>
      <c r="L43" s="59">
        <f t="shared" si="4"/>
        <v>0</v>
      </c>
      <c r="M43" s="59">
        <f t="shared" si="4"/>
        <v>0</v>
      </c>
      <c r="N43" s="59">
        <f t="shared" si="4"/>
        <v>0</v>
      </c>
      <c r="O43" s="885"/>
    </row>
    <row r="44" spans="2:16">
      <c r="B44" s="884"/>
      <c r="C44" s="65">
        <v>3</v>
      </c>
      <c r="D44" s="108"/>
      <c r="E44" s="108"/>
      <c r="F44" s="905">
        <f>(Unit.GW)*-0.02</f>
        <v>-0.02</v>
      </c>
      <c r="G44" s="59">
        <f t="shared" si="4"/>
        <v>-3.5000000000000003E-2</v>
      </c>
      <c r="H44" s="59">
        <f t="shared" si="4"/>
        <v>-0.105</v>
      </c>
      <c r="I44" s="59">
        <f t="shared" si="4"/>
        <v>-0.105</v>
      </c>
      <c r="J44" s="59">
        <f t="shared" si="4"/>
        <v>-0.17499999999999999</v>
      </c>
      <c r="K44" s="59">
        <f t="shared" si="4"/>
        <v>-0.17499999999999999</v>
      </c>
      <c r="L44" s="59">
        <f t="shared" si="4"/>
        <v>-0.245</v>
      </c>
      <c r="M44" s="59">
        <f t="shared" si="4"/>
        <v>-0.245</v>
      </c>
      <c r="N44" s="59">
        <f t="shared" si="4"/>
        <v>-0.245</v>
      </c>
      <c r="O44" s="885"/>
    </row>
    <row r="45" spans="2:16">
      <c r="B45" s="884"/>
      <c r="C45" s="896">
        <v>4</v>
      </c>
      <c r="D45" s="897"/>
      <c r="E45" s="897"/>
      <c r="F45" s="905">
        <f>(Unit.GW)*-0.02</f>
        <v>-0.02</v>
      </c>
      <c r="G45" s="59">
        <f t="shared" ref="G45:N45" si="5">G26*-1</f>
        <v>-3.5000000000000003E-2</v>
      </c>
      <c r="H45" s="59">
        <f t="shared" si="5"/>
        <v>-0.105</v>
      </c>
      <c r="I45" s="59">
        <f t="shared" si="5"/>
        <v>-0.105</v>
      </c>
      <c r="J45" s="59">
        <f t="shared" si="5"/>
        <v>-0.17499999999999999</v>
      </c>
      <c r="K45" s="59">
        <f t="shared" si="5"/>
        <v>-0.17499999999999999</v>
      </c>
      <c r="L45" s="59">
        <f t="shared" si="5"/>
        <v>-0.245</v>
      </c>
      <c r="M45" s="59">
        <f t="shared" si="5"/>
        <v>-0.245</v>
      </c>
      <c r="N45" s="59">
        <f t="shared" si="5"/>
        <v>-0.245</v>
      </c>
      <c r="O45" s="885"/>
    </row>
    <row r="46" spans="2:16" ht="15.75">
      <c r="B46" s="55"/>
      <c r="C46" s="1024" t="s">
        <v>37</v>
      </c>
      <c r="D46" s="901"/>
      <c r="E46" s="901"/>
      <c r="F46" s="902">
        <f>(INDEX(F$42:F$45,ROUNDDOWN($E$7,0))*(1-MOD($E$7,1)))+(INDEX(F$42:F$45,ROUNDUP($E$7,0))*MOD($E$7,1))</f>
        <v>-0.02</v>
      </c>
      <c r="G46" s="902">
        <f t="shared" ref="G46:N46" si="6">(INDEX(G$42:G$45,ROUNDDOWN($E$7,0))*(1-MOD($E$7,1)))+(INDEX(G$42:G$45,ROUNDUP($E$7,0))*MOD($E$7,1))</f>
        <v>-3.5000000000000003E-2</v>
      </c>
      <c r="H46" s="902">
        <f t="shared" si="6"/>
        <v>-0.105</v>
      </c>
      <c r="I46" s="902">
        <f t="shared" si="6"/>
        <v>-0.105</v>
      </c>
      <c r="J46" s="902">
        <f t="shared" si="6"/>
        <v>-0.17499999999999999</v>
      </c>
      <c r="K46" s="902">
        <f t="shared" si="6"/>
        <v>-0.17499999999999999</v>
      </c>
      <c r="L46" s="902">
        <f t="shared" si="6"/>
        <v>-0.245</v>
      </c>
      <c r="M46" s="902">
        <f t="shared" si="6"/>
        <v>-0.245</v>
      </c>
      <c r="N46" s="2172">
        <f t="shared" si="6"/>
        <v>-0.245</v>
      </c>
      <c r="O46" s="885"/>
    </row>
    <row r="47" spans="2:16">
      <c r="B47" s="884"/>
      <c r="C47" s="67"/>
      <c r="D47" s="67"/>
      <c r="E47" s="67"/>
      <c r="F47" s="67"/>
      <c r="G47" s="67"/>
      <c r="H47" s="67"/>
      <c r="I47" s="67" t="s">
        <v>5</v>
      </c>
      <c r="J47" s="67"/>
      <c r="K47" s="67"/>
      <c r="L47" s="67"/>
      <c r="M47" s="67"/>
      <c r="N47" s="67"/>
      <c r="O47" s="885"/>
    </row>
    <row r="48" spans="2:16">
      <c r="B48" s="884"/>
      <c r="C48" s="3862" t="s">
        <v>64</v>
      </c>
      <c r="D48" s="67"/>
      <c r="E48" s="67"/>
      <c r="F48" s="67"/>
      <c r="G48" s="67"/>
      <c r="H48" s="67"/>
      <c r="I48" s="67"/>
      <c r="J48" s="67"/>
      <c r="K48" s="67"/>
      <c r="L48" s="67"/>
      <c r="M48" s="67"/>
      <c r="N48" s="67"/>
      <c r="O48" s="885"/>
    </row>
    <row r="49" spans="1:114">
      <c r="B49" s="884"/>
      <c r="C49" s="929" t="s">
        <v>65</v>
      </c>
      <c r="D49" s="3869" t="s">
        <v>3493</v>
      </c>
      <c r="E49" s="67"/>
      <c r="F49" s="67"/>
      <c r="G49" s="67"/>
      <c r="H49" s="67"/>
      <c r="I49" s="67"/>
      <c r="J49" s="67"/>
      <c r="K49" s="67"/>
      <c r="L49" s="67"/>
      <c r="M49" s="67"/>
      <c r="N49" s="67"/>
      <c r="O49" s="885"/>
    </row>
    <row r="50" spans="1:114">
      <c r="B50" s="884"/>
      <c r="C50" s="1170"/>
      <c r="D50" s="3869" t="s">
        <v>3074</v>
      </c>
      <c r="E50" s="67"/>
      <c r="F50" s="67"/>
      <c r="G50" s="67"/>
      <c r="H50" s="67"/>
      <c r="I50" s="67"/>
      <c r="J50" s="67"/>
      <c r="K50" s="67"/>
      <c r="L50" s="67"/>
      <c r="M50" s="67"/>
      <c r="N50" s="67"/>
      <c r="O50" s="885"/>
    </row>
    <row r="51" spans="1:114">
      <c r="B51" s="884"/>
      <c r="C51" s="1170"/>
      <c r="D51" s="3869"/>
      <c r="E51" s="67"/>
      <c r="F51" s="67"/>
      <c r="G51" s="67"/>
      <c r="H51" s="67"/>
      <c r="I51" s="67"/>
      <c r="J51" s="67"/>
      <c r="K51" s="67"/>
      <c r="L51" s="67"/>
      <c r="M51" s="67"/>
      <c r="N51" s="67"/>
      <c r="O51" s="885"/>
    </row>
    <row r="52" spans="1:114">
      <c r="B52" s="884"/>
      <c r="C52" s="67"/>
      <c r="D52" s="3869"/>
      <c r="E52" s="67"/>
      <c r="F52" s="67"/>
      <c r="G52" s="67"/>
      <c r="H52" s="67"/>
      <c r="I52" s="67"/>
      <c r="J52" s="67"/>
      <c r="K52" s="67"/>
      <c r="L52" s="67"/>
      <c r="M52" s="67"/>
      <c r="N52" s="67"/>
      <c r="O52" s="885"/>
    </row>
    <row r="55" spans="1:114" s="6" customFormat="1" ht="23.25">
      <c r="A55" s="7"/>
      <c r="B55" s="878" t="s">
        <v>70</v>
      </c>
      <c r="C55" s="879"/>
      <c r="D55" s="879"/>
      <c r="E55" s="879"/>
      <c r="F55" s="879"/>
      <c r="G55" s="879"/>
      <c r="H55" s="879"/>
      <c r="I55" s="879"/>
      <c r="J55" s="879"/>
      <c r="K55" s="879"/>
      <c r="L55" s="879"/>
      <c r="M55" s="879"/>
      <c r="N55" s="879"/>
      <c r="O55" s="880"/>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row>
    <row r="56" spans="1:114">
      <c r="B56" s="2173"/>
      <c r="C56" s="882"/>
      <c r="D56" s="882"/>
      <c r="E56" s="882"/>
      <c r="F56" s="882"/>
      <c r="G56" s="882"/>
      <c r="H56" s="882"/>
      <c r="I56" s="882"/>
      <c r="J56" s="882"/>
      <c r="K56" s="882"/>
      <c r="L56" s="882"/>
      <c r="M56" s="882"/>
      <c r="N56" s="882"/>
      <c r="O56" s="883"/>
    </row>
    <row r="57" spans="1:114">
      <c r="B57" s="110"/>
      <c r="C57" s="49" t="s">
        <v>1721</v>
      </c>
      <c r="D57" s="67"/>
      <c r="E57" s="67"/>
      <c r="F57" s="67"/>
      <c r="G57" s="67"/>
      <c r="H57" s="67"/>
      <c r="I57" s="67"/>
      <c r="J57" s="67"/>
      <c r="K57" s="67"/>
      <c r="L57" s="67"/>
      <c r="M57" s="67"/>
      <c r="N57" s="67"/>
      <c r="O57" s="885"/>
    </row>
    <row r="58" spans="1:114">
      <c r="B58" s="110"/>
      <c r="C58" s="67"/>
      <c r="D58" s="67"/>
      <c r="E58" s="67"/>
      <c r="F58" s="67"/>
      <c r="G58" s="67"/>
      <c r="H58" s="67"/>
      <c r="I58" s="67"/>
      <c r="J58" s="67"/>
      <c r="K58" s="67"/>
      <c r="L58" s="67"/>
      <c r="M58" s="67"/>
      <c r="N58" s="67"/>
      <c r="O58" s="885"/>
    </row>
    <row r="59" spans="1:114" ht="15.75">
      <c r="B59" s="55"/>
      <c r="C59" s="887" t="s">
        <v>132</v>
      </c>
      <c r="D59" s="887" t="s">
        <v>731</v>
      </c>
      <c r="E59" s="887" t="s">
        <v>30</v>
      </c>
      <c r="F59" s="909">
        <v>2013</v>
      </c>
      <c r="G59" s="909" t="s">
        <v>133</v>
      </c>
      <c r="H59" s="909" t="s">
        <v>134</v>
      </c>
      <c r="I59" s="909" t="s">
        <v>135</v>
      </c>
      <c r="J59" s="909" t="s">
        <v>136</v>
      </c>
      <c r="K59" s="909" t="s">
        <v>137</v>
      </c>
      <c r="L59" s="909" t="s">
        <v>138</v>
      </c>
      <c r="M59" s="909" t="s">
        <v>139</v>
      </c>
      <c r="N59" s="909" t="s">
        <v>140</v>
      </c>
      <c r="O59" s="885"/>
    </row>
    <row r="60" spans="1:114" ht="15.75">
      <c r="A60" s="39"/>
      <c r="B60" s="55"/>
      <c r="C60" s="57" t="s">
        <v>98</v>
      </c>
      <c r="D60" s="108" t="s">
        <v>1722</v>
      </c>
      <c r="E60" s="122"/>
      <c r="F60" s="915">
        <v>0.03</v>
      </c>
      <c r="G60" s="915">
        <v>0.03</v>
      </c>
      <c r="H60" s="915">
        <v>0.03</v>
      </c>
      <c r="I60" s="915">
        <v>0.03</v>
      </c>
      <c r="J60" s="915">
        <v>0.03</v>
      </c>
      <c r="K60" s="915">
        <v>0.03</v>
      </c>
      <c r="L60" s="915">
        <v>0.03</v>
      </c>
      <c r="M60" s="915">
        <v>0.03</v>
      </c>
      <c r="N60" s="915">
        <v>0.03</v>
      </c>
      <c r="O60" s="885"/>
    </row>
    <row r="61" spans="1:114" ht="15.75">
      <c r="A61" s="39"/>
      <c r="B61" s="55"/>
      <c r="C61" s="57" t="s">
        <v>99</v>
      </c>
      <c r="D61" s="57" t="s">
        <v>1723</v>
      </c>
      <c r="E61" s="122"/>
      <c r="F61" s="915">
        <v>0.2</v>
      </c>
      <c r="G61" s="96">
        <v>0.2</v>
      </c>
      <c r="H61" s="96">
        <v>0.2</v>
      </c>
      <c r="I61" s="96">
        <v>0.2</v>
      </c>
      <c r="J61" s="96">
        <v>0.2</v>
      </c>
      <c r="K61" s="96">
        <v>0.2</v>
      </c>
      <c r="L61" s="96">
        <v>0.2</v>
      </c>
      <c r="M61" s="96">
        <v>0.2</v>
      </c>
      <c r="N61" s="96">
        <v>0.2</v>
      </c>
      <c r="O61" s="885"/>
    </row>
    <row r="62" spans="1:114" s="3889" customFormat="1" ht="15.75">
      <c r="A62" s="39"/>
      <c r="B62" s="55"/>
      <c r="C62" s="61" t="s">
        <v>100</v>
      </c>
      <c r="D62" s="62" t="s">
        <v>1724</v>
      </c>
      <c r="E62" s="62"/>
      <c r="F62" s="1037">
        <v>1.9761196093076236E-2</v>
      </c>
      <c r="G62" s="99">
        <v>0.02</v>
      </c>
      <c r="H62" s="99">
        <v>0.02</v>
      </c>
      <c r="I62" s="99">
        <v>0.02</v>
      </c>
      <c r="J62" s="99">
        <v>0.02</v>
      </c>
      <c r="K62" s="99">
        <v>0.02</v>
      </c>
      <c r="L62" s="99">
        <v>0.02</v>
      </c>
      <c r="M62" s="99">
        <v>0.02</v>
      </c>
      <c r="N62" s="99">
        <v>0.02</v>
      </c>
      <c r="O62" s="885"/>
    </row>
    <row r="63" spans="1:114">
      <c r="B63" s="110"/>
      <c r="C63" s="67"/>
      <c r="D63" s="67"/>
      <c r="E63" s="67"/>
      <c r="F63" s="67"/>
      <c r="G63" s="67"/>
      <c r="H63" s="67"/>
      <c r="I63" s="67"/>
      <c r="J63" s="67"/>
      <c r="K63" s="67"/>
      <c r="L63" s="67"/>
      <c r="M63" s="67"/>
      <c r="N63" s="67"/>
      <c r="O63" s="885"/>
    </row>
    <row r="64" spans="1:114">
      <c r="B64" s="135"/>
      <c r="C64" s="49" t="s">
        <v>732</v>
      </c>
      <c r="D64" s="67"/>
      <c r="E64" s="67"/>
      <c r="F64" s="67"/>
      <c r="G64" s="77"/>
      <c r="H64" s="77"/>
      <c r="I64" s="67"/>
      <c r="J64" s="67"/>
      <c r="K64" s="67"/>
      <c r="L64" s="67"/>
      <c r="M64" s="67"/>
      <c r="N64" s="67"/>
      <c r="O64" s="885"/>
    </row>
    <row r="65" spans="1:114">
      <c r="B65" s="110"/>
      <c r="C65" s="67"/>
      <c r="D65" s="67"/>
      <c r="E65" s="67"/>
      <c r="F65" s="67"/>
      <c r="G65" s="67"/>
      <c r="H65" s="67"/>
      <c r="I65" s="67"/>
      <c r="J65" s="67"/>
      <c r="K65" s="67"/>
      <c r="L65" s="67"/>
      <c r="M65" s="67"/>
      <c r="N65" s="67"/>
      <c r="O65" s="885"/>
    </row>
    <row r="66" spans="1:114" ht="15.75">
      <c r="B66" s="55"/>
      <c r="C66" s="887" t="s">
        <v>132</v>
      </c>
      <c r="D66" s="887" t="s">
        <v>731</v>
      </c>
      <c r="E66" s="887" t="s">
        <v>30</v>
      </c>
      <c r="F66" s="909">
        <v>2013</v>
      </c>
      <c r="G66" s="909" t="s">
        <v>133</v>
      </c>
      <c r="H66" s="909" t="s">
        <v>134</v>
      </c>
      <c r="I66" s="909" t="s">
        <v>135</v>
      </c>
      <c r="J66" s="909" t="s">
        <v>136</v>
      </c>
      <c r="K66" s="909" t="s">
        <v>137</v>
      </c>
      <c r="L66" s="909" t="s">
        <v>138</v>
      </c>
      <c r="M66" s="909" t="s">
        <v>139</v>
      </c>
      <c r="N66" s="909" t="s">
        <v>140</v>
      </c>
      <c r="O66" s="885"/>
    </row>
    <row r="67" spans="1:114" s="6" customFormat="1" ht="15.75">
      <c r="A67" s="39"/>
      <c r="B67" s="975"/>
      <c r="C67" s="56" t="s">
        <v>98</v>
      </c>
      <c r="D67" s="108" t="s">
        <v>1722</v>
      </c>
      <c r="E67" s="108" t="s">
        <v>65</v>
      </c>
      <c r="F67" s="301">
        <v>0.3</v>
      </c>
      <c r="G67" s="301">
        <v>0.3</v>
      </c>
      <c r="H67" s="301">
        <v>0.35</v>
      </c>
      <c r="I67" s="301">
        <v>0.35</v>
      </c>
      <c r="J67" s="301">
        <v>0.35</v>
      </c>
      <c r="K67" s="301">
        <v>0.35</v>
      </c>
      <c r="L67" s="301">
        <v>0.35</v>
      </c>
      <c r="M67" s="301">
        <v>0.35</v>
      </c>
      <c r="N67" s="301">
        <v>0.35</v>
      </c>
      <c r="O67" s="893"/>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s="6" customFormat="1" ht="15.75">
      <c r="A68" s="39"/>
      <c r="B68" s="975"/>
      <c r="C68" s="56" t="s">
        <v>99</v>
      </c>
      <c r="D68" s="57" t="s">
        <v>1723</v>
      </c>
      <c r="E68" s="57"/>
      <c r="F68" s="915">
        <v>0.3</v>
      </c>
      <c r="G68" s="93">
        <v>0.3</v>
      </c>
      <c r="H68" s="93">
        <v>0.3</v>
      </c>
      <c r="I68" s="93">
        <v>0.3</v>
      </c>
      <c r="J68" s="93">
        <v>0.3</v>
      </c>
      <c r="K68" s="93">
        <v>0.3</v>
      </c>
      <c r="L68" s="93">
        <v>0.3</v>
      </c>
      <c r="M68" s="93">
        <v>0.3</v>
      </c>
      <c r="N68" s="93">
        <v>0.3</v>
      </c>
      <c r="O68" s="893"/>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s="6" customFormat="1" ht="15.75">
      <c r="A69" s="39"/>
      <c r="B69" s="975"/>
      <c r="C69" s="61" t="s">
        <v>100</v>
      </c>
      <c r="D69" s="62" t="s">
        <v>1725</v>
      </c>
      <c r="E69" s="62" t="s">
        <v>67</v>
      </c>
      <c r="F69" s="1037">
        <v>0.55000000000000004</v>
      </c>
      <c r="G69" s="1037">
        <v>0.55000000000000004</v>
      </c>
      <c r="H69" s="1037">
        <v>0.55000000000000004</v>
      </c>
      <c r="I69" s="1037">
        <v>0.55000000000000004</v>
      </c>
      <c r="J69" s="1037">
        <v>0.55000000000000004</v>
      </c>
      <c r="K69" s="1037">
        <v>0.55000000000000004</v>
      </c>
      <c r="L69" s="1037">
        <v>0.55000000000000004</v>
      </c>
      <c r="M69" s="1037">
        <v>0.55000000000000004</v>
      </c>
      <c r="N69" s="1037">
        <v>0.55000000000000004</v>
      </c>
      <c r="O69" s="893"/>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c r="B70" s="110"/>
      <c r="C70" s="67"/>
      <c r="D70" s="67"/>
      <c r="E70" s="67"/>
      <c r="F70" s="67"/>
      <c r="G70" s="67"/>
      <c r="H70" s="67"/>
      <c r="I70" s="67"/>
      <c r="J70" s="67"/>
      <c r="K70" s="67"/>
      <c r="L70" s="67"/>
      <c r="M70" s="67"/>
      <c r="N70" s="67"/>
      <c r="O70" s="885"/>
    </row>
    <row r="71" spans="1:114">
      <c r="B71" s="135"/>
      <c r="C71" s="49" t="s">
        <v>733</v>
      </c>
      <c r="D71" s="67"/>
      <c r="E71" s="67" t="s">
        <v>5</v>
      </c>
      <c r="F71" s="67"/>
      <c r="G71" s="67"/>
      <c r="H71" s="67"/>
      <c r="I71" s="67"/>
      <c r="J71" s="67"/>
      <c r="K71" s="67"/>
      <c r="L71" s="67"/>
      <c r="M71" s="67"/>
      <c r="N71" s="67"/>
      <c r="O71" s="885"/>
    </row>
    <row r="72" spans="1:114">
      <c r="B72" s="110"/>
      <c r="C72" s="67"/>
      <c r="D72" s="67"/>
      <c r="E72" s="67"/>
      <c r="F72" s="67"/>
      <c r="G72" s="67"/>
      <c r="H72" s="67"/>
      <c r="I72" s="67"/>
      <c r="J72" s="67"/>
      <c r="K72" s="67"/>
      <c r="L72" s="67"/>
      <c r="M72" s="67"/>
      <c r="N72" s="67"/>
      <c r="O72" s="885"/>
    </row>
    <row r="73" spans="1:114" ht="15.75">
      <c r="B73" s="55"/>
      <c r="C73" s="887" t="s">
        <v>132</v>
      </c>
      <c r="D73" s="887" t="s">
        <v>731</v>
      </c>
      <c r="E73" s="887" t="s">
        <v>30</v>
      </c>
      <c r="F73" s="909">
        <v>2013</v>
      </c>
      <c r="G73" s="909" t="s">
        <v>133</v>
      </c>
      <c r="H73" s="909" t="s">
        <v>134</v>
      </c>
      <c r="I73" s="909" t="s">
        <v>135</v>
      </c>
      <c r="J73" s="909" t="s">
        <v>136</v>
      </c>
      <c r="K73" s="909" t="s">
        <v>137</v>
      </c>
      <c r="L73" s="909" t="s">
        <v>138</v>
      </c>
      <c r="M73" s="909" t="s">
        <v>139</v>
      </c>
      <c r="N73" s="909" t="s">
        <v>140</v>
      </c>
      <c r="O73" s="885"/>
    </row>
    <row r="74" spans="1:114" s="6" customFormat="1" ht="15.75">
      <c r="A74" s="39"/>
      <c r="B74" s="975"/>
      <c r="C74" s="56" t="s">
        <v>99</v>
      </c>
      <c r="D74" s="57" t="s">
        <v>1723</v>
      </c>
      <c r="E74" s="108" t="s">
        <v>65</v>
      </c>
      <c r="F74" s="301">
        <v>7.0000000000000007E-2</v>
      </c>
      <c r="G74" s="301">
        <v>0</v>
      </c>
      <c r="H74" s="301">
        <v>0</v>
      </c>
      <c r="I74" s="301">
        <v>0</v>
      </c>
      <c r="J74" s="301">
        <v>0</v>
      </c>
      <c r="K74" s="301">
        <v>0</v>
      </c>
      <c r="L74" s="301">
        <v>0</v>
      </c>
      <c r="M74" s="301">
        <v>0</v>
      </c>
      <c r="N74" s="301">
        <v>0</v>
      </c>
      <c r="O74" s="893"/>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s="6" customFormat="1" ht="15.75">
      <c r="A75" s="39"/>
      <c r="B75" s="975"/>
      <c r="C75" s="146" t="s">
        <v>100</v>
      </c>
      <c r="D75" s="125" t="s">
        <v>1724</v>
      </c>
      <c r="E75" s="199" t="s">
        <v>65</v>
      </c>
      <c r="F75" s="1160">
        <v>0.4</v>
      </c>
      <c r="G75" s="1160">
        <v>0.4</v>
      </c>
      <c r="H75" s="1160">
        <v>0.4</v>
      </c>
      <c r="I75" s="1160">
        <v>0.4</v>
      </c>
      <c r="J75" s="1160">
        <v>0.4</v>
      </c>
      <c r="K75" s="1160">
        <v>0.4</v>
      </c>
      <c r="L75" s="1160">
        <v>0.4</v>
      </c>
      <c r="M75" s="1160">
        <v>0.4</v>
      </c>
      <c r="N75" s="1160">
        <v>0.4</v>
      </c>
      <c r="O75" s="893"/>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s="6" customFormat="1" ht="15.75">
      <c r="A76"/>
      <c r="B76" s="975"/>
      <c r="C76" s="65"/>
      <c r="D76" s="57"/>
      <c r="E76" s="57"/>
      <c r="F76" s="301"/>
      <c r="G76" s="93"/>
      <c r="H76" s="93"/>
      <c r="I76" s="93"/>
      <c r="J76" s="93"/>
      <c r="K76" s="93"/>
      <c r="L76" s="93"/>
      <c r="M76" s="93"/>
      <c r="N76" s="93"/>
      <c r="O76" s="893"/>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s="6" customFormat="1" ht="15.75">
      <c r="A77"/>
      <c r="B77" s="975"/>
      <c r="C77" s="89" t="s">
        <v>1726</v>
      </c>
      <c r="D77" s="57"/>
      <c r="E77" s="57"/>
      <c r="F77" s="301"/>
      <c r="G77" s="93"/>
      <c r="H77" s="93"/>
      <c r="I77" s="93"/>
      <c r="J77" s="93"/>
      <c r="K77" s="93"/>
      <c r="L77" s="93"/>
      <c r="M77" s="93"/>
      <c r="N77" s="93"/>
      <c r="O77" s="893"/>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s="6" customFormat="1" ht="15.75">
      <c r="A78"/>
      <c r="B78" s="975"/>
      <c r="C78" s="89"/>
      <c r="D78" s="57"/>
      <c r="E78" s="57"/>
      <c r="F78" s="301"/>
      <c r="G78" s="93"/>
      <c r="H78" s="93"/>
      <c r="I78" s="93"/>
      <c r="J78" s="93"/>
      <c r="K78" s="93"/>
      <c r="L78" s="93"/>
      <c r="M78" s="93"/>
      <c r="N78" s="93"/>
      <c r="O78" s="893"/>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s="6" customFormat="1" ht="15.75">
      <c r="A79"/>
      <c r="B79" s="975"/>
      <c r="C79" s="961" t="s">
        <v>2764</v>
      </c>
      <c r="D79" s="3584">
        <v>0.8</v>
      </c>
      <c r="E79" s="57"/>
      <c r="F79" s="301"/>
      <c r="G79" s="93"/>
      <c r="H79" s="93"/>
      <c r="I79" s="93"/>
      <c r="J79" s="93"/>
      <c r="K79" s="93"/>
      <c r="L79" s="93"/>
      <c r="M79" s="93"/>
      <c r="N79" s="93"/>
      <c r="O79" s="893"/>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c r="B80" s="110"/>
      <c r="C80" s="65"/>
      <c r="D80" s="57"/>
      <c r="E80" s="67"/>
      <c r="F80" s="67"/>
      <c r="G80" s="67"/>
      <c r="H80" s="67"/>
      <c r="I80" s="67"/>
      <c r="J80" s="67"/>
      <c r="K80" s="67"/>
      <c r="L80" s="67"/>
      <c r="M80" s="67"/>
      <c r="N80" s="67"/>
      <c r="O80" s="885"/>
    </row>
    <row r="81" spans="1:15">
      <c r="B81" s="110"/>
      <c r="C81" s="49" t="s">
        <v>3311</v>
      </c>
      <c r="D81" s="67"/>
      <c r="E81" s="51"/>
      <c r="F81" s="67"/>
      <c r="G81" s="67"/>
      <c r="H81" s="67"/>
      <c r="I81" s="67"/>
      <c r="J81" s="67"/>
      <c r="K81" s="67"/>
      <c r="L81" s="67"/>
      <c r="M81" s="67"/>
      <c r="N81" s="51" t="str">
        <f>Preferences.PowerUnits</f>
        <v>GW</v>
      </c>
      <c r="O81" s="885"/>
    </row>
    <row r="82" spans="1:15">
      <c r="B82" s="110"/>
      <c r="C82" s="67"/>
      <c r="D82" s="67"/>
      <c r="E82" s="67"/>
      <c r="F82" s="67"/>
      <c r="G82" s="67"/>
      <c r="H82" s="67"/>
      <c r="I82" s="67"/>
      <c r="J82" s="67"/>
      <c r="K82" s="67"/>
      <c r="L82" s="67"/>
      <c r="M82" s="67"/>
      <c r="N82" s="67"/>
      <c r="O82" s="885"/>
    </row>
    <row r="83" spans="1:15" ht="15.75">
      <c r="B83" s="55"/>
      <c r="C83" s="887"/>
      <c r="D83" s="887" t="s">
        <v>731</v>
      </c>
      <c r="E83" s="887" t="s">
        <v>30</v>
      </c>
      <c r="F83" s="909">
        <v>2013</v>
      </c>
      <c r="G83" s="909" t="s">
        <v>133</v>
      </c>
      <c r="H83" s="909" t="s">
        <v>134</v>
      </c>
      <c r="I83" s="909" t="s">
        <v>135</v>
      </c>
      <c r="J83" s="909" t="s">
        <v>136</v>
      </c>
      <c r="K83" s="909" t="s">
        <v>137</v>
      </c>
      <c r="L83" s="909" t="s">
        <v>138</v>
      </c>
      <c r="M83" s="909" t="s">
        <v>139</v>
      </c>
      <c r="N83" s="909" t="s">
        <v>140</v>
      </c>
      <c r="O83" s="885"/>
    </row>
    <row r="84" spans="1:15" ht="15.75">
      <c r="B84" s="55"/>
      <c r="C84" s="56"/>
      <c r="D84" s="108" t="s">
        <v>147</v>
      </c>
      <c r="E84" s="57" t="s">
        <v>106</v>
      </c>
      <c r="F84" s="59">
        <f>(Unit.GW)*0.855</f>
        <v>0.85499999999999998</v>
      </c>
      <c r="G84" s="59">
        <f>(Unit.GW)*0.855</f>
        <v>0.85499999999999998</v>
      </c>
      <c r="H84" s="59">
        <f>(Unit.GW)*(0.855-0.285)</f>
        <v>0.57000000000000006</v>
      </c>
      <c r="I84" s="59">
        <f>(Unit.GW)*(0.855-0.285)</f>
        <v>0.57000000000000006</v>
      </c>
      <c r="J84" s="59">
        <f>(Unit.GW)*(0.855-0.285-0.285)</f>
        <v>0.28500000000000009</v>
      </c>
      <c r="K84" s="59">
        <v>0</v>
      </c>
      <c r="L84" s="59">
        <v>0</v>
      </c>
      <c r="M84" s="59">
        <v>0</v>
      </c>
      <c r="N84" s="59">
        <v>0</v>
      </c>
      <c r="O84" s="885"/>
    </row>
    <row r="85" spans="1:15" s="3415" customFormat="1" ht="15.75">
      <c r="B85" s="55"/>
      <c r="C85" s="56"/>
      <c r="D85" s="108" t="s">
        <v>1453</v>
      </c>
      <c r="E85" s="108" t="s">
        <v>106</v>
      </c>
      <c r="F85" s="59">
        <f t="shared" ref="F85:N85" si="7">(Unit.GW)*0.346</f>
        <v>0.34599999999999997</v>
      </c>
      <c r="G85" s="59">
        <f t="shared" si="7"/>
        <v>0.34599999999999997</v>
      </c>
      <c r="H85" s="59">
        <f t="shared" si="7"/>
        <v>0.34599999999999997</v>
      </c>
      <c r="I85" s="59">
        <f t="shared" si="7"/>
        <v>0.34599999999999997</v>
      </c>
      <c r="J85" s="59">
        <f t="shared" si="7"/>
        <v>0.34599999999999997</v>
      </c>
      <c r="K85" s="59">
        <f t="shared" si="7"/>
        <v>0.34599999999999997</v>
      </c>
      <c r="L85" s="59">
        <f t="shared" si="7"/>
        <v>0.34599999999999997</v>
      </c>
      <c r="M85" s="59">
        <f t="shared" si="7"/>
        <v>0.34599999999999997</v>
      </c>
      <c r="N85" s="59">
        <f t="shared" si="7"/>
        <v>0.34599999999999997</v>
      </c>
      <c r="O85" s="885"/>
    </row>
    <row r="86" spans="1:15" ht="15.75">
      <c r="B86" s="55"/>
      <c r="C86" s="146"/>
      <c r="D86" s="125" t="s">
        <v>1723</v>
      </c>
      <c r="E86" s="125" t="s">
        <v>106</v>
      </c>
      <c r="F86" s="1023">
        <f>(Unit.GW)*1.1</f>
        <v>1.1000000000000001</v>
      </c>
      <c r="G86" s="1158">
        <f>(Unit.GW)*0.916</f>
        <v>0.91600000000000004</v>
      </c>
      <c r="H86" s="1158">
        <f>(Unit.GW)*0.324</f>
        <v>0.32400000000000001</v>
      </c>
      <c r="I86" s="1158">
        <f>(Unit.GW)*0.324</f>
        <v>0.32400000000000001</v>
      </c>
      <c r="J86" s="1158">
        <f>(Unit.GW)*0.324</f>
        <v>0.32400000000000001</v>
      </c>
      <c r="K86" s="1158">
        <v>0</v>
      </c>
      <c r="L86" s="1158">
        <v>0</v>
      </c>
      <c r="M86" s="1158">
        <v>0</v>
      </c>
      <c r="N86" s="1158">
        <v>0</v>
      </c>
      <c r="O86" s="885"/>
    </row>
    <row r="87" spans="1:15">
      <c r="B87" s="110"/>
      <c r="C87" s="67"/>
      <c r="D87" s="67"/>
      <c r="E87" s="67"/>
      <c r="F87" s="67"/>
      <c r="G87" s="67"/>
      <c r="H87" s="67"/>
      <c r="I87" s="67"/>
      <c r="J87" s="67"/>
      <c r="K87" s="67" t="s">
        <v>5</v>
      </c>
      <c r="L87" s="67"/>
      <c r="M87" s="67"/>
      <c r="N87" s="67"/>
      <c r="O87" s="885"/>
    </row>
    <row r="88" spans="1:15">
      <c r="B88" s="110"/>
      <c r="C88" s="67"/>
      <c r="D88" s="67"/>
      <c r="E88" s="67"/>
      <c r="F88" s="67"/>
      <c r="G88" s="67"/>
      <c r="H88" s="67"/>
      <c r="I88" s="67"/>
      <c r="J88" s="67"/>
      <c r="K88" s="67"/>
      <c r="L88" s="67"/>
      <c r="M88" s="67"/>
      <c r="N88" s="67"/>
      <c r="O88" s="885"/>
    </row>
    <row r="89" spans="1:15">
      <c r="B89" s="110"/>
      <c r="C89" s="49" t="s">
        <v>1728</v>
      </c>
      <c r="D89" s="67"/>
      <c r="E89" s="67"/>
      <c r="F89" s="67"/>
      <c r="G89" s="67"/>
      <c r="H89" s="67"/>
      <c r="I89" s="67"/>
      <c r="J89" s="67"/>
      <c r="K89" s="67"/>
      <c r="L89" s="67"/>
      <c r="M89" s="67"/>
      <c r="N89" s="67"/>
      <c r="O89" s="885"/>
    </row>
    <row r="90" spans="1:15">
      <c r="B90" s="110"/>
      <c r="C90" s="67"/>
      <c r="D90" s="67"/>
      <c r="E90" s="67"/>
      <c r="F90" s="67"/>
      <c r="G90" s="67"/>
      <c r="H90" s="67"/>
      <c r="I90" s="67"/>
      <c r="J90" s="67"/>
      <c r="K90" s="67"/>
      <c r="L90" s="67"/>
      <c r="M90" s="67"/>
      <c r="N90" s="67"/>
      <c r="O90" s="885"/>
    </row>
    <row r="91" spans="1:15">
      <c r="B91" s="110"/>
      <c r="C91" s="887"/>
      <c r="D91" s="887" t="s">
        <v>731</v>
      </c>
      <c r="E91" s="887" t="s">
        <v>30</v>
      </c>
      <c r="F91" s="909">
        <v>2013</v>
      </c>
      <c r="G91" s="909" t="s">
        <v>133</v>
      </c>
      <c r="H91" s="909" t="s">
        <v>134</v>
      </c>
      <c r="I91" s="909" t="s">
        <v>135</v>
      </c>
      <c r="J91" s="909" t="s">
        <v>136</v>
      </c>
      <c r="K91" s="909" t="s">
        <v>137</v>
      </c>
      <c r="L91" s="909" t="s">
        <v>138</v>
      </c>
      <c r="M91" s="909" t="s">
        <v>139</v>
      </c>
      <c r="N91" s="909" t="s">
        <v>140</v>
      </c>
      <c r="O91" s="885"/>
    </row>
    <row r="92" spans="1:15" ht="15.75">
      <c r="A92" s="39"/>
      <c r="B92" s="55"/>
      <c r="C92" s="2174"/>
      <c r="D92" s="2175" t="s">
        <v>1729</v>
      </c>
      <c r="E92" s="917" t="s">
        <v>65</v>
      </c>
      <c r="F92" s="2176">
        <f>0.460713557918747</f>
        <v>0.46071355791874702</v>
      </c>
      <c r="G92" s="2176">
        <f t="shared" ref="G92:N92" si="8">0.460713557918747</f>
        <v>0.46071355791874702</v>
      </c>
      <c r="H92" s="2176">
        <f t="shared" si="8"/>
        <v>0.46071355791874702</v>
      </c>
      <c r="I92" s="2176">
        <f t="shared" si="8"/>
        <v>0.46071355791874702</v>
      </c>
      <c r="J92" s="2176">
        <f t="shared" si="8"/>
        <v>0.46071355791874702</v>
      </c>
      <c r="K92" s="2176">
        <f t="shared" si="8"/>
        <v>0.46071355791874702</v>
      </c>
      <c r="L92" s="2176">
        <f t="shared" si="8"/>
        <v>0.46071355791874702</v>
      </c>
      <c r="M92" s="2176">
        <f t="shared" si="8"/>
        <v>0.46071355791874702</v>
      </c>
      <c r="N92" s="2176">
        <f t="shared" si="8"/>
        <v>0.46071355791874702</v>
      </c>
      <c r="O92" s="885"/>
    </row>
    <row r="93" spans="1:15">
      <c r="B93" s="110"/>
      <c r="C93" s="65"/>
      <c r="D93" s="67"/>
      <c r="E93" s="67"/>
      <c r="F93" s="2419"/>
      <c r="G93" s="67"/>
      <c r="H93" s="67"/>
      <c r="I93" s="67"/>
      <c r="J93" s="67"/>
      <c r="K93" s="67"/>
      <c r="L93" s="67"/>
      <c r="M93" s="67"/>
      <c r="N93" s="67"/>
      <c r="O93" s="885"/>
    </row>
    <row r="94" spans="1:15" ht="15.75">
      <c r="B94" s="55"/>
      <c r="C94" s="49" t="s">
        <v>735</v>
      </c>
      <c r="D94" s="67"/>
      <c r="E94" s="67"/>
      <c r="F94" s="67"/>
      <c r="G94" s="67"/>
      <c r="H94" s="67"/>
      <c r="I94" s="67" t="s">
        <v>5</v>
      </c>
      <c r="J94" s="67"/>
      <c r="K94" s="67"/>
      <c r="L94" s="67"/>
      <c r="M94" s="67"/>
      <c r="N94" s="67"/>
      <c r="O94" s="885"/>
    </row>
    <row r="95" spans="1:15" ht="15.75">
      <c r="B95" s="55"/>
      <c r="C95" s="67"/>
      <c r="D95" s="67"/>
      <c r="E95" s="67"/>
      <c r="F95" s="67"/>
      <c r="G95" s="67"/>
      <c r="H95" s="67"/>
      <c r="I95" s="67"/>
      <c r="J95" s="67"/>
      <c r="K95" s="67"/>
      <c r="L95" s="67"/>
      <c r="M95" s="67"/>
      <c r="N95" s="67"/>
      <c r="O95" s="885"/>
    </row>
    <row r="96" spans="1:15" ht="15.75">
      <c r="B96" s="55"/>
      <c r="C96" s="1548"/>
      <c r="D96" s="2177" t="s">
        <v>737</v>
      </c>
      <c r="E96" s="1548"/>
      <c r="F96" s="1592" t="str">
        <f>Preferences.PowerUnits&amp;"peak"</f>
        <v>GWpeak</v>
      </c>
      <c r="G96" s="1224"/>
      <c r="H96" s="67"/>
      <c r="I96" s="920"/>
      <c r="J96" s="920"/>
      <c r="K96" s="920"/>
      <c r="L96" s="920"/>
      <c r="M96" s="920"/>
      <c r="N96" s="920"/>
      <c r="O96" s="885"/>
    </row>
    <row r="97" spans="2:15" ht="15.75">
      <c r="B97" s="55"/>
      <c r="C97" s="1179"/>
      <c r="D97" s="973" t="s">
        <v>147</v>
      </c>
      <c r="E97" s="977"/>
      <c r="F97" s="2178">
        <f>0.855*Unit.GW</f>
        <v>0.85499999999999998</v>
      </c>
      <c r="G97" s="943"/>
      <c r="H97" s="67"/>
      <c r="I97" s="59"/>
      <c r="J97" s="59"/>
      <c r="K97" s="59"/>
      <c r="L97" s="59"/>
      <c r="M97" s="59"/>
      <c r="N97" s="59"/>
      <c r="O97" s="885"/>
    </row>
    <row r="98" spans="2:15" s="3415" customFormat="1" ht="15.75">
      <c r="B98" s="55"/>
      <c r="C98" s="65"/>
      <c r="D98" s="67" t="s">
        <v>1453</v>
      </c>
      <c r="E98" s="108"/>
      <c r="F98" s="1207">
        <f>0.1*Unit.GW</f>
        <v>0.1</v>
      </c>
      <c r="G98" s="943"/>
      <c r="H98" s="67"/>
      <c r="I98" s="59"/>
      <c r="J98" s="59"/>
      <c r="K98" s="59"/>
      <c r="L98" s="59"/>
      <c r="M98" s="59"/>
      <c r="N98" s="59"/>
      <c r="O98" s="885"/>
    </row>
    <row r="99" spans="2:15" ht="15.75">
      <c r="B99" s="55"/>
      <c r="C99" s="65"/>
      <c r="D99" s="108" t="s">
        <v>145</v>
      </c>
      <c r="E99" s="108"/>
      <c r="F99" s="1207">
        <f>0.25*Unit.GW</f>
        <v>0.25</v>
      </c>
      <c r="G99" s="943"/>
      <c r="H99" s="67"/>
      <c r="I99" s="59"/>
      <c r="J99" s="59"/>
      <c r="K99" s="59"/>
      <c r="L99" s="59"/>
      <c r="M99" s="59"/>
      <c r="N99" s="59"/>
      <c r="O99" s="885"/>
    </row>
    <row r="100" spans="2:15" ht="15.75">
      <c r="B100" s="55"/>
      <c r="C100" s="65"/>
      <c r="D100" s="108" t="s">
        <v>15</v>
      </c>
      <c r="E100" s="108"/>
      <c r="F100" s="1207">
        <f>0.5*Unit.GW</f>
        <v>0.5</v>
      </c>
      <c r="G100" s="943"/>
      <c r="H100" s="67"/>
      <c r="I100" s="59"/>
      <c r="J100" s="59"/>
      <c r="K100" s="59"/>
      <c r="L100" s="59"/>
      <c r="M100" s="59"/>
      <c r="N100" s="59"/>
      <c r="O100" s="885"/>
    </row>
    <row r="101" spans="2:15" ht="15.75">
      <c r="B101" s="55"/>
      <c r="C101" s="926"/>
      <c r="D101" s="199" t="s">
        <v>148</v>
      </c>
      <c r="E101" s="199"/>
      <c r="F101" s="1072">
        <f>0.1*Unit.GW</f>
        <v>0.1</v>
      </c>
      <c r="G101" s="943"/>
      <c r="H101" s="67"/>
      <c r="I101" s="59"/>
      <c r="J101" s="59"/>
      <c r="K101" s="59"/>
      <c r="L101" s="59"/>
      <c r="M101" s="59"/>
      <c r="N101" s="59"/>
      <c r="O101" s="885"/>
    </row>
    <row r="102" spans="2:15" ht="15.75">
      <c r="B102" s="55"/>
      <c r="C102" s="65"/>
      <c r="D102" s="108"/>
      <c r="E102" s="108"/>
      <c r="F102" s="172"/>
      <c r="G102" s="943"/>
      <c r="H102" s="67"/>
      <c r="I102" s="59"/>
      <c r="J102" s="59"/>
      <c r="K102" s="59"/>
      <c r="L102" s="59"/>
      <c r="M102" s="59"/>
      <c r="N102" s="59"/>
      <c r="O102" s="885"/>
    </row>
    <row r="103" spans="2:15" ht="15.75">
      <c r="B103" s="55"/>
      <c r="C103" s="89" t="s">
        <v>798</v>
      </c>
      <c r="D103" s="108"/>
      <c r="E103" s="108"/>
      <c r="F103" s="172"/>
      <c r="G103" s="943" t="s">
        <v>5</v>
      </c>
      <c r="H103" s="67"/>
      <c r="I103" s="59"/>
      <c r="J103" s="59"/>
      <c r="K103" s="59"/>
      <c r="L103" s="59"/>
      <c r="M103" s="59"/>
      <c r="N103" s="2479" t="str">
        <f>"Kte/"&amp;Preferences.EnergyUnits</f>
        <v>Kte/TWh</v>
      </c>
      <c r="O103" s="885"/>
    </row>
    <row r="104" spans="2:15" ht="15.75">
      <c r="B104" s="55"/>
      <c r="C104" s="89"/>
      <c r="D104" s="108"/>
      <c r="E104" s="108"/>
      <c r="F104" s="172"/>
      <c r="G104" s="943" t="s">
        <v>5</v>
      </c>
      <c r="H104" s="67"/>
      <c r="I104" s="59"/>
      <c r="J104" s="59"/>
      <c r="K104" s="59"/>
      <c r="L104" s="59"/>
      <c r="M104" s="59"/>
      <c r="N104" s="1070"/>
      <c r="O104" s="67"/>
    </row>
    <row r="105" spans="2:15" ht="15.75">
      <c r="B105" s="55"/>
      <c r="C105" s="887"/>
      <c r="D105" s="887" t="s">
        <v>132</v>
      </c>
      <c r="E105" s="887" t="s">
        <v>30</v>
      </c>
      <c r="F105" s="909">
        <v>2013</v>
      </c>
      <c r="G105" s="909" t="s">
        <v>133</v>
      </c>
      <c r="H105" s="909" t="s">
        <v>134</v>
      </c>
      <c r="I105" s="909" t="s">
        <v>135</v>
      </c>
      <c r="J105" s="909" t="s">
        <v>136</v>
      </c>
      <c r="K105" s="909" t="s">
        <v>137</v>
      </c>
      <c r="L105" s="909" t="s">
        <v>138</v>
      </c>
      <c r="M105" s="909" t="s">
        <v>139</v>
      </c>
      <c r="N105" s="909" t="s">
        <v>140</v>
      </c>
      <c r="O105" s="59"/>
    </row>
    <row r="106" spans="2:15" ht="15.75">
      <c r="B106" s="55"/>
      <c r="C106" s="57"/>
      <c r="D106" s="2278" t="s">
        <v>1730</v>
      </c>
      <c r="E106" s="57"/>
      <c r="F106" s="3582">
        <f>0.00926404891829348*(1/Unit.TWh)</f>
        <v>9.2640489182934799E-3</v>
      </c>
      <c r="G106" s="3583">
        <f>0.00621900785422844*(1/Unit.TWh)</f>
        <v>6.2190078542284401E-3</v>
      </c>
      <c r="H106" s="3583">
        <f>0.00621900785422844*(1/Unit.TWh)</f>
        <v>6.2190078542284401E-3</v>
      </c>
      <c r="I106" s="3583">
        <f t="shared" ref="I106:N106" si="9">0.00572952284099682*(1/Unit.TWh)</f>
        <v>5.7295228409968198E-3</v>
      </c>
      <c r="J106" s="3583">
        <f t="shared" si="9"/>
        <v>5.7295228409968198E-3</v>
      </c>
      <c r="K106" s="3583">
        <f t="shared" si="9"/>
        <v>5.7295228409968198E-3</v>
      </c>
      <c r="L106" s="3583">
        <f t="shared" si="9"/>
        <v>5.7295228409968198E-3</v>
      </c>
      <c r="M106" s="3583">
        <f t="shared" si="9"/>
        <v>5.7295228409968198E-3</v>
      </c>
      <c r="N106" s="3583">
        <f t="shared" si="9"/>
        <v>5.7295228409968198E-3</v>
      </c>
      <c r="O106" s="59"/>
    </row>
    <row r="107" spans="2:15" ht="15.75">
      <c r="B107" s="55"/>
      <c r="C107" s="1374"/>
      <c r="D107" s="194" t="s">
        <v>1731</v>
      </c>
      <c r="E107" s="1374"/>
      <c r="F107" s="2420">
        <f>0.168606*(1/Unit.TWh)</f>
        <v>0.16860600000000001</v>
      </c>
      <c r="G107" s="2179">
        <f>0.120570666666667*(1/Unit.TWh)</f>
        <v>0.12057066666666701</v>
      </c>
      <c r="H107" s="2179">
        <f>0.0725353333333333*(1/Unit.TWh)</f>
        <v>7.2535333333333299E-2</v>
      </c>
      <c r="I107" s="2179">
        <f t="shared" ref="I107:N107" si="10">0.0245*(1/Unit.TWh)</f>
        <v>2.4500000000000001E-2</v>
      </c>
      <c r="J107" s="2421">
        <f t="shared" si="10"/>
        <v>2.4500000000000001E-2</v>
      </c>
      <c r="K107" s="2421">
        <f t="shared" si="10"/>
        <v>2.4500000000000001E-2</v>
      </c>
      <c r="L107" s="2421">
        <f t="shared" si="10"/>
        <v>2.4500000000000001E-2</v>
      </c>
      <c r="M107" s="2421">
        <f t="shared" si="10"/>
        <v>2.4500000000000001E-2</v>
      </c>
      <c r="N107" s="2421">
        <f t="shared" si="10"/>
        <v>2.4500000000000001E-2</v>
      </c>
      <c r="O107" s="59"/>
    </row>
    <row r="108" spans="2:15" ht="15.75">
      <c r="B108" s="55"/>
      <c r="C108" s="1374"/>
      <c r="D108" s="194" t="s">
        <v>89</v>
      </c>
      <c r="E108" s="1374"/>
      <c r="F108" s="2420">
        <f t="shared" ref="F108:N108" si="11">0.0489942785685536*(1/Unit.TWh)</f>
        <v>4.8994278568553602E-2</v>
      </c>
      <c r="G108" s="2179">
        <f t="shared" si="11"/>
        <v>4.8994278568553602E-2</v>
      </c>
      <c r="H108" s="2179">
        <f t="shared" si="11"/>
        <v>4.8994278568553602E-2</v>
      </c>
      <c r="I108" s="2179">
        <f t="shared" si="11"/>
        <v>4.8994278568553602E-2</v>
      </c>
      <c r="J108" s="2421">
        <f t="shared" si="11"/>
        <v>4.8994278568553602E-2</v>
      </c>
      <c r="K108" s="2421">
        <f t="shared" si="11"/>
        <v>4.8994278568553602E-2</v>
      </c>
      <c r="L108" s="2421">
        <f t="shared" si="11"/>
        <v>4.8994278568553602E-2</v>
      </c>
      <c r="M108" s="2421">
        <f t="shared" si="11"/>
        <v>4.8994278568553602E-2</v>
      </c>
      <c r="N108" s="2421">
        <f t="shared" si="11"/>
        <v>4.8994278568553602E-2</v>
      </c>
      <c r="O108" s="59"/>
    </row>
    <row r="109" spans="2:15" ht="15.75">
      <c r="B109" s="55"/>
      <c r="C109" s="2180"/>
      <c r="D109" s="198" t="s">
        <v>90</v>
      </c>
      <c r="E109" s="2180"/>
      <c r="F109" s="2422">
        <f>0.00278035848453654*(1/Unit.TWh)</f>
        <v>2.7803584845365399E-3</v>
      </c>
      <c r="G109" s="2181">
        <f>0.00309728804586587*(1/Unit.TWh)</f>
        <v>3.0972880458658698E-3</v>
      </c>
      <c r="H109" s="2181">
        <f>0.00309726437565347*(1/Unit.TWh)</f>
        <v>3.0972643756534699E-3</v>
      </c>
      <c r="I109" s="2181">
        <f>0.00309723515657493*(1/Unit.TWh)</f>
        <v>3.0972351565749299E-3</v>
      </c>
      <c r="J109" s="2423">
        <f>0.00309727451363559*(1/Unit.TWh)</f>
        <v>3.0972745136355899E-3</v>
      </c>
      <c r="K109" s="2423">
        <f>0.00309727451363559*(1/Unit.TWh)</f>
        <v>3.0972745136355899E-3</v>
      </c>
      <c r="L109" s="2423">
        <f>0.00309727451363559*(1/Unit.TWh)</f>
        <v>3.0972745136355899E-3</v>
      </c>
      <c r="M109" s="2423">
        <f>0.00309727451363559*(1/Unit.TWh)</f>
        <v>3.0972745136355899E-3</v>
      </c>
      <c r="N109" s="2423">
        <f>0.00309727451363559*(1/Unit.TWh)</f>
        <v>3.0972745136355899E-3</v>
      </c>
      <c r="O109" s="59"/>
    </row>
    <row r="110" spans="2:15" ht="15.75">
      <c r="B110" s="55"/>
      <c r="C110" s="65"/>
      <c r="D110" s="108"/>
      <c r="E110" s="108"/>
      <c r="F110" s="172"/>
      <c r="G110" s="943"/>
      <c r="H110" s="67"/>
      <c r="I110" s="59"/>
      <c r="J110" s="59"/>
      <c r="K110" s="59"/>
      <c r="L110" s="59"/>
      <c r="M110" s="59"/>
      <c r="N110" s="59"/>
      <c r="O110" s="885"/>
    </row>
    <row r="111" spans="2:15" ht="15.75">
      <c r="B111" s="55"/>
      <c r="C111" s="89" t="s">
        <v>800</v>
      </c>
      <c r="D111" s="108"/>
      <c r="E111" s="108"/>
      <c r="F111" s="172"/>
      <c r="G111" s="943"/>
      <c r="H111" s="67"/>
      <c r="I111" s="59"/>
      <c r="J111" s="59"/>
      <c r="K111" s="59"/>
      <c r="L111" s="59"/>
      <c r="M111" s="59"/>
      <c r="N111" s="2479" t="str">
        <f>"Kte/"&amp;Preferences.EnergyUnits</f>
        <v>Kte/TWh</v>
      </c>
      <c r="O111" s="885"/>
    </row>
    <row r="112" spans="2:15" ht="15.75">
      <c r="B112" s="55"/>
      <c r="C112" s="89"/>
      <c r="D112" s="108"/>
      <c r="E112" s="108"/>
      <c r="F112" s="172"/>
      <c r="G112" s="943"/>
      <c r="H112" s="67"/>
      <c r="I112" s="59"/>
      <c r="J112" s="59"/>
      <c r="K112" s="59"/>
      <c r="L112" s="59"/>
      <c r="M112" s="59"/>
      <c r="N112" s="1070"/>
      <c r="O112" s="67"/>
    </row>
    <row r="113" spans="2:15" ht="15.75">
      <c r="B113" s="55"/>
      <c r="C113" s="887"/>
      <c r="D113" s="887" t="s">
        <v>132</v>
      </c>
      <c r="E113" s="887" t="s">
        <v>30</v>
      </c>
      <c r="F113" s="909">
        <v>2013</v>
      </c>
      <c r="G113" s="909" t="s">
        <v>133</v>
      </c>
      <c r="H113" s="909" t="s">
        <v>134</v>
      </c>
      <c r="I113" s="909" t="s">
        <v>135</v>
      </c>
      <c r="J113" s="909" t="s">
        <v>136</v>
      </c>
      <c r="K113" s="909" t="s">
        <v>137</v>
      </c>
      <c r="L113" s="909" t="s">
        <v>138</v>
      </c>
      <c r="M113" s="909" t="s">
        <v>139</v>
      </c>
      <c r="N113" s="909" t="s">
        <v>140</v>
      </c>
      <c r="O113" s="59"/>
    </row>
    <row r="114" spans="2:15" ht="15.75">
      <c r="B114" s="55"/>
      <c r="C114" s="57"/>
      <c r="D114" s="2278" t="s">
        <v>1730</v>
      </c>
      <c r="E114" s="57"/>
      <c r="F114" s="3582">
        <f>0.5950486199862*(1/Unit.TWh)</f>
        <v>0.59504861998619996</v>
      </c>
      <c r="G114" s="3583">
        <f>0.410909829058898*(1/Unit.TWh)</f>
        <v>0.410909829058898</v>
      </c>
      <c r="H114" s="3583">
        <f>0.261585866598581*(1/Unit.TWh)</f>
        <v>0.26158586659858102</v>
      </c>
      <c r="I114" s="3583">
        <f t="shared" ref="I114:N114" si="12">0.257011569300937*(1/Unit.TWh)</f>
        <v>0.25701156930093699</v>
      </c>
      <c r="J114" s="3583">
        <f t="shared" si="12"/>
        <v>0.25701156930093699</v>
      </c>
      <c r="K114" s="3583">
        <f t="shared" si="12"/>
        <v>0.25701156930093699</v>
      </c>
      <c r="L114" s="3583">
        <f t="shared" si="12"/>
        <v>0.25701156930093699</v>
      </c>
      <c r="M114" s="3583">
        <f t="shared" si="12"/>
        <v>0.25701156930093699</v>
      </c>
      <c r="N114" s="3583">
        <f t="shared" si="12"/>
        <v>0.25701156930093699</v>
      </c>
      <c r="O114" s="59"/>
    </row>
    <row r="115" spans="2:15" ht="15.75">
      <c r="B115" s="55"/>
      <c r="C115" s="1374"/>
      <c r="D115" s="194" t="s">
        <v>1731</v>
      </c>
      <c r="E115" s="1374"/>
      <c r="F115" s="2420">
        <f>0.354042*(1/Unit.TWh)</f>
        <v>0.35404200000000002</v>
      </c>
      <c r="G115" s="2179">
        <f>0.338361333333333*(1/Unit.TWh)</f>
        <v>0.33836133333333301</v>
      </c>
      <c r="H115" s="2179">
        <f>0.322680666666667*(1/Unit.TWh)</f>
        <v>0.322680666666667</v>
      </c>
      <c r="I115" s="2179">
        <f t="shared" ref="I115:N115" si="13">0.307*(1/Unit.TWh)</f>
        <v>0.307</v>
      </c>
      <c r="J115" s="2421">
        <f t="shared" si="13"/>
        <v>0.307</v>
      </c>
      <c r="K115" s="2421">
        <f t="shared" si="13"/>
        <v>0.307</v>
      </c>
      <c r="L115" s="2421">
        <f t="shared" si="13"/>
        <v>0.307</v>
      </c>
      <c r="M115" s="2421">
        <f t="shared" si="13"/>
        <v>0.307</v>
      </c>
      <c r="N115" s="2421">
        <f t="shared" si="13"/>
        <v>0.307</v>
      </c>
      <c r="O115" s="59"/>
    </row>
    <row r="116" spans="2:15" ht="15.75">
      <c r="B116" s="55"/>
      <c r="C116" s="1374"/>
      <c r="D116" s="194" t="s">
        <v>89</v>
      </c>
      <c r="E116" s="1374"/>
      <c r="F116" s="2420">
        <f t="shared" ref="F116:N116" si="14">0.976131038603633*(1/Unit.TWh)</f>
        <v>0.97613103860363304</v>
      </c>
      <c r="G116" s="2179">
        <f t="shared" si="14"/>
        <v>0.97613103860363304</v>
      </c>
      <c r="H116" s="2179">
        <f t="shared" si="14"/>
        <v>0.97613103860363304</v>
      </c>
      <c r="I116" s="2179">
        <f t="shared" si="14"/>
        <v>0.97613103860363304</v>
      </c>
      <c r="J116" s="2421">
        <f t="shared" si="14"/>
        <v>0.97613103860363304</v>
      </c>
      <c r="K116" s="2421">
        <f t="shared" si="14"/>
        <v>0.97613103860363304</v>
      </c>
      <c r="L116" s="2421">
        <f t="shared" si="14"/>
        <v>0.97613103860363304</v>
      </c>
      <c r="M116" s="2421">
        <f t="shared" si="14"/>
        <v>0.97613103860363304</v>
      </c>
      <c r="N116" s="2421">
        <f t="shared" si="14"/>
        <v>0.97613103860363304</v>
      </c>
      <c r="O116" s="59"/>
    </row>
    <row r="117" spans="2:15" ht="15.75">
      <c r="B117" s="55"/>
      <c r="C117" s="2180"/>
      <c r="D117" s="198" t="s">
        <v>90</v>
      </c>
      <c r="E117" s="2180"/>
      <c r="F117" s="2422">
        <f>0.123050674970797*(1/Unit.TWh)</f>
        <v>0.123050674970797</v>
      </c>
      <c r="G117" s="2181">
        <f>0.127930570228309*(1/Unit.TWh)</f>
        <v>0.127930570228309</v>
      </c>
      <c r="H117" s="2181">
        <f>0.115766100034766*(1/Unit.TWh)</f>
        <v>0.11576610003476601</v>
      </c>
      <c r="I117" s="2181">
        <f>0.126726412997109*(1/Unit.TWh)</f>
        <v>0.12672641299710899</v>
      </c>
      <c r="J117" s="2423">
        <f>0.126179432674123*(1/Unit.TWh)</f>
        <v>0.12617943267412299</v>
      </c>
      <c r="K117" s="2423">
        <f>0.126179432674123*(1/Unit.TWh)</f>
        <v>0.12617943267412299</v>
      </c>
      <c r="L117" s="2423">
        <f>0.126179432674123*(1/Unit.TWh)</f>
        <v>0.12617943267412299</v>
      </c>
      <c r="M117" s="2423">
        <f>0.126179432674123*(1/Unit.TWh)</f>
        <v>0.12617943267412299</v>
      </c>
      <c r="N117" s="2423">
        <f>0.126179432674123*(1/Unit.TWh)</f>
        <v>0.12617943267412299</v>
      </c>
      <c r="O117" s="59"/>
    </row>
    <row r="118" spans="2:15" ht="15.75">
      <c r="B118" s="55"/>
      <c r="C118" s="2182"/>
      <c r="D118" s="2183"/>
      <c r="E118" s="2183"/>
      <c r="F118" s="2184"/>
      <c r="G118" s="2185"/>
      <c r="H118" s="2185"/>
      <c r="I118" s="2185"/>
      <c r="J118" s="2185"/>
      <c r="K118" s="2185"/>
      <c r="L118" s="2185"/>
      <c r="M118" s="2185"/>
      <c r="N118" s="2185"/>
      <c r="O118" s="885"/>
    </row>
    <row r="119" spans="2:15" ht="15.75">
      <c r="B119" s="55"/>
      <c r="C119" s="89" t="s">
        <v>801</v>
      </c>
      <c r="D119" s="108"/>
      <c r="E119" s="108"/>
      <c r="F119" s="172"/>
      <c r="G119" s="943"/>
      <c r="H119" s="67"/>
      <c r="I119" s="59"/>
      <c r="J119" s="59"/>
      <c r="K119" s="59"/>
      <c r="L119" s="59"/>
      <c r="M119" s="59"/>
      <c r="N119" s="2479" t="str">
        <f>"Kte/"&amp;Preferences.EnergyUnits</f>
        <v>Kte/TWh</v>
      </c>
      <c r="O119" s="885"/>
    </row>
    <row r="120" spans="2:15" ht="15.75">
      <c r="B120" s="55"/>
      <c r="C120" s="89"/>
      <c r="D120" s="108"/>
      <c r="E120" s="108"/>
      <c r="F120" s="172"/>
      <c r="G120" s="943"/>
      <c r="H120" s="67"/>
      <c r="I120" s="59"/>
      <c r="J120" s="59"/>
      <c r="K120" s="59"/>
      <c r="L120" s="59"/>
      <c r="M120" s="59"/>
      <c r="N120" s="1070"/>
      <c r="O120" s="67"/>
    </row>
    <row r="121" spans="2:15" ht="15.75">
      <c r="B121" s="55"/>
      <c r="C121" s="887"/>
      <c r="D121" s="887" t="s">
        <v>132</v>
      </c>
      <c r="E121" s="887" t="s">
        <v>30</v>
      </c>
      <c r="F121" s="909">
        <v>2013</v>
      </c>
      <c r="G121" s="909" t="s">
        <v>133</v>
      </c>
      <c r="H121" s="909" t="s">
        <v>134</v>
      </c>
      <c r="I121" s="909" t="s">
        <v>135</v>
      </c>
      <c r="J121" s="909" t="s">
        <v>136</v>
      </c>
      <c r="K121" s="909" t="s">
        <v>137</v>
      </c>
      <c r="L121" s="909" t="s">
        <v>138</v>
      </c>
      <c r="M121" s="909" t="s">
        <v>139</v>
      </c>
      <c r="N121" s="909" t="s">
        <v>140</v>
      </c>
      <c r="O121" s="59"/>
    </row>
    <row r="122" spans="2:15" ht="15.75">
      <c r="B122" s="55"/>
      <c r="C122" s="57"/>
      <c r="D122" s="2278" t="s">
        <v>1730</v>
      </c>
      <c r="E122" s="57"/>
      <c r="F122" s="3582">
        <f>0.392720353768974*(1/Unit.TWh)</f>
        <v>0.39272035376897402</v>
      </c>
      <c r="G122" s="3583">
        <f>0.255262077087497*(1/Unit.TWh)</f>
        <v>0.25526207708749699</v>
      </c>
      <c r="H122" s="3583">
        <f>0.248871589064033*(1/Unit.TWh)</f>
        <v>0.24887158906403301</v>
      </c>
      <c r="I122" s="3583">
        <f t="shared" ref="I122:N122" si="15">0.243293504284017*(1/Unit.TWh)</f>
        <v>0.243293504284017</v>
      </c>
      <c r="J122" s="3583">
        <f t="shared" si="15"/>
        <v>0.243293504284017</v>
      </c>
      <c r="K122" s="3583">
        <f t="shared" si="15"/>
        <v>0.243293504284017</v>
      </c>
      <c r="L122" s="3583">
        <f t="shared" si="15"/>
        <v>0.243293504284017</v>
      </c>
      <c r="M122" s="3583">
        <f t="shared" si="15"/>
        <v>0.243293504284017</v>
      </c>
      <c r="N122" s="3583">
        <f t="shared" si="15"/>
        <v>0.243293504284017</v>
      </c>
      <c r="O122" s="59"/>
    </row>
    <row r="123" spans="2:15" ht="15.75">
      <c r="B123" s="55"/>
      <c r="C123" s="1374"/>
      <c r="D123" s="194" t="s">
        <v>1731</v>
      </c>
      <c r="E123" s="1374"/>
      <c r="F123" s="2420">
        <f>0.0359129355007782*(1/Unit.TWh)</f>
        <v>3.5912935500778197E-2</v>
      </c>
      <c r="G123" s="2179">
        <f t="shared" ref="G123:N123" si="16">0.0360674041701294*(1/Unit.TWh)</f>
        <v>3.6067404170129401E-2</v>
      </c>
      <c r="H123" s="2179">
        <f t="shared" si="16"/>
        <v>3.6067404170129401E-2</v>
      </c>
      <c r="I123" s="2179">
        <f t="shared" si="16"/>
        <v>3.6067404170129401E-2</v>
      </c>
      <c r="J123" s="2421">
        <f t="shared" si="16"/>
        <v>3.6067404170129401E-2</v>
      </c>
      <c r="K123" s="2421">
        <f t="shared" si="16"/>
        <v>3.6067404170129401E-2</v>
      </c>
      <c r="L123" s="2421">
        <f t="shared" si="16"/>
        <v>3.6067404170129401E-2</v>
      </c>
      <c r="M123" s="2421">
        <f t="shared" si="16"/>
        <v>3.6067404170129401E-2</v>
      </c>
      <c r="N123" s="2421">
        <f t="shared" si="16"/>
        <v>3.6067404170129401E-2</v>
      </c>
      <c r="O123" s="59"/>
    </row>
    <row r="124" spans="2:15" ht="15.75">
      <c r="B124" s="55"/>
      <c r="C124" s="1374"/>
      <c r="D124" s="194" t="s">
        <v>89</v>
      </c>
      <c r="E124" s="1374"/>
      <c r="F124" s="2420">
        <f t="shared" ref="F124:N124" si="17">0.685723850317848*(1/Unit.TWh)</f>
        <v>0.68572385031784799</v>
      </c>
      <c r="G124" s="2179">
        <f t="shared" si="17"/>
        <v>0.68572385031784799</v>
      </c>
      <c r="H124" s="2179">
        <f t="shared" si="17"/>
        <v>0.68572385031784799</v>
      </c>
      <c r="I124" s="2179">
        <f t="shared" si="17"/>
        <v>0.68572385031784799</v>
      </c>
      <c r="J124" s="2421">
        <f t="shared" si="17"/>
        <v>0.68572385031784799</v>
      </c>
      <c r="K124" s="2421">
        <f t="shared" si="17"/>
        <v>0.68572385031784799</v>
      </c>
      <c r="L124" s="2421">
        <f t="shared" si="17"/>
        <v>0.68572385031784799</v>
      </c>
      <c r="M124" s="2421">
        <f t="shared" si="17"/>
        <v>0.68572385031784799</v>
      </c>
      <c r="N124" s="2421">
        <f t="shared" si="17"/>
        <v>0.68572385031784799</v>
      </c>
      <c r="O124" s="59"/>
    </row>
    <row r="125" spans="2:15" ht="15.75">
      <c r="B125" s="55"/>
      <c r="C125" s="2180"/>
      <c r="D125" s="198" t="s">
        <v>90</v>
      </c>
      <c r="E125" s="2180"/>
      <c r="F125" s="2422">
        <f>0.00181607897153511*(1/Unit.TWh)</f>
        <v>1.81607897153511E-3</v>
      </c>
      <c r="G125" s="2181">
        <f>0.0023443095515625*(1/Unit.TWh)</f>
        <v>2.3443095515624998E-3</v>
      </c>
      <c r="H125" s="2181">
        <f>0.00234138971705812*(1/Unit.TWh)</f>
        <v>2.3413897170581201E-3</v>
      </c>
      <c r="I125" s="2181">
        <f>0.00233778540323651*(1/Unit.TWh)</f>
        <v>2.3377854032365099E-3</v>
      </c>
      <c r="J125" s="2423">
        <f>0.00234264028589595*(1/Unit.TWh)</f>
        <v>2.3426402858959501E-3</v>
      </c>
      <c r="K125" s="2423">
        <f>0.00234264028589595*(1/Unit.TWh)</f>
        <v>2.3426402858959501E-3</v>
      </c>
      <c r="L125" s="2423">
        <f>0.00234264028589595*(1/Unit.TWh)</f>
        <v>2.3426402858959501E-3</v>
      </c>
      <c r="M125" s="2423">
        <f>0.00234264028589595*(1/Unit.TWh)</f>
        <v>2.3426402858959501E-3</v>
      </c>
      <c r="N125" s="2423">
        <f>0.00234264028589595*(1/Unit.TWh)</f>
        <v>2.3426402858959501E-3</v>
      </c>
      <c r="O125" s="59"/>
    </row>
    <row r="126" spans="2:15" ht="15.75">
      <c r="B126" s="55"/>
      <c r="C126" s="65"/>
      <c r="D126" s="108"/>
      <c r="E126" s="108"/>
      <c r="F126" s="172"/>
      <c r="G126" s="943"/>
      <c r="H126" s="67"/>
      <c r="I126" s="59"/>
      <c r="J126" s="59"/>
      <c r="K126" s="59"/>
      <c r="L126" s="59"/>
      <c r="M126" s="59"/>
      <c r="N126" s="59"/>
      <c r="O126" s="885"/>
    </row>
    <row r="127" spans="2:15" ht="15.75">
      <c r="B127" s="55"/>
      <c r="C127" s="89" t="s">
        <v>802</v>
      </c>
      <c r="D127" s="108"/>
      <c r="E127" s="108"/>
      <c r="F127" s="172"/>
      <c r="G127" s="943"/>
      <c r="H127" s="67"/>
      <c r="I127" s="59"/>
      <c r="J127" s="59"/>
      <c r="K127" s="59"/>
      <c r="L127" s="59"/>
      <c r="M127" s="59"/>
      <c r="N127" s="2479" t="str">
        <f>"Kte/"&amp;Preferences.EnergyUnits</f>
        <v>Kte/TWh</v>
      </c>
      <c r="O127" s="885"/>
    </row>
    <row r="128" spans="2:15" ht="15.75">
      <c r="B128" s="55"/>
      <c r="C128" s="89"/>
      <c r="D128" s="108"/>
      <c r="E128" s="108"/>
      <c r="F128" s="172"/>
      <c r="G128" s="943"/>
      <c r="H128" s="67"/>
      <c r="I128" s="59"/>
      <c r="J128" s="59"/>
      <c r="K128" s="59"/>
      <c r="L128" s="59"/>
      <c r="M128" s="59"/>
      <c r="N128" s="1070"/>
      <c r="O128" s="67"/>
    </row>
    <row r="129" spans="1:114" ht="15.75">
      <c r="B129" s="55"/>
      <c r="C129" s="887"/>
      <c r="D129" s="887" t="s">
        <v>132</v>
      </c>
      <c r="E129" s="887" t="s">
        <v>30</v>
      </c>
      <c r="F129" s="909">
        <v>2013</v>
      </c>
      <c r="G129" s="909" t="s">
        <v>133</v>
      </c>
      <c r="H129" s="909" t="s">
        <v>134</v>
      </c>
      <c r="I129" s="909" t="s">
        <v>135</v>
      </c>
      <c r="J129" s="909" t="s">
        <v>136</v>
      </c>
      <c r="K129" s="909" t="s">
        <v>137</v>
      </c>
      <c r="L129" s="909" t="s">
        <v>138</v>
      </c>
      <c r="M129" s="909" t="s">
        <v>139</v>
      </c>
      <c r="N129" s="909" t="s">
        <v>140</v>
      </c>
      <c r="O129" s="59"/>
    </row>
    <row r="130" spans="1:114" ht="15.75">
      <c r="B130" s="55"/>
      <c r="C130" s="57"/>
      <c r="D130" s="2278" t="s">
        <v>1730</v>
      </c>
      <c r="E130" s="57"/>
      <c r="F130" s="3582">
        <f>0.00257521766005439*(1/Unit.TWh)</f>
        <v>2.5752176600543899E-3</v>
      </c>
      <c r="G130" s="3583">
        <f>0.00251349544448512*(1/Unit.TWh)</f>
        <v>2.5134954444851199E-3</v>
      </c>
      <c r="H130" s="3583">
        <f>0.00251449039415792*(1/Unit.TWh)</f>
        <v>2.5144903941579201E-3</v>
      </c>
      <c r="I130" s="3583">
        <f>0.00251660725789183*(1/Unit.TWh)</f>
        <v>2.51660725789183E-3</v>
      </c>
      <c r="J130" s="3583">
        <f>0.0025207932619345*(1/Unit.TWh)</f>
        <v>2.5207932619345E-3</v>
      </c>
      <c r="K130" s="3583">
        <f>0.0025207932619345*(1/Unit.TWh)</f>
        <v>2.5207932619345E-3</v>
      </c>
      <c r="L130" s="3583">
        <f>0.0025207932619345*(1/Unit.TWh)</f>
        <v>2.5207932619345E-3</v>
      </c>
      <c r="M130" s="3583">
        <f>0.0025207932619345*(1/Unit.TWh)</f>
        <v>2.5207932619345E-3</v>
      </c>
      <c r="N130" s="3583">
        <f>0.0025207932619345*(1/Unit.TWh)</f>
        <v>2.5207932619345E-3</v>
      </c>
      <c r="O130" s="59"/>
    </row>
    <row r="131" spans="1:114" ht="15.75">
      <c r="B131" s="55"/>
      <c r="C131" s="1374"/>
      <c r="D131" s="194" t="s">
        <v>1731</v>
      </c>
      <c r="E131" s="1374"/>
      <c r="F131" s="2420">
        <f>0.0562206573743901*(1/Unit.TWh)</f>
        <v>5.6220657374390103E-2</v>
      </c>
      <c r="G131" s="2179">
        <f t="shared" ref="G131:N131" si="18">0.0695658398524502*(1/Unit.TWh)</f>
        <v>6.9565839852450198E-2</v>
      </c>
      <c r="H131" s="2179">
        <f t="shared" si="18"/>
        <v>6.9565839852450198E-2</v>
      </c>
      <c r="I131" s="2179">
        <f t="shared" si="18"/>
        <v>6.9565839852450198E-2</v>
      </c>
      <c r="J131" s="2421">
        <f t="shared" si="18"/>
        <v>6.9565839852450198E-2</v>
      </c>
      <c r="K131" s="2421">
        <f t="shared" si="18"/>
        <v>6.9565839852450198E-2</v>
      </c>
      <c r="L131" s="2421">
        <f t="shared" si="18"/>
        <v>6.9565839852450198E-2</v>
      </c>
      <c r="M131" s="2421">
        <f t="shared" si="18"/>
        <v>6.9565839852450198E-2</v>
      </c>
      <c r="N131" s="2421">
        <f t="shared" si="18"/>
        <v>6.9565839852450198E-2</v>
      </c>
      <c r="O131" s="59"/>
    </row>
    <row r="132" spans="1:114" ht="15.75">
      <c r="B132" s="55"/>
      <c r="C132" s="1374"/>
      <c r="D132" s="194" t="s">
        <v>89</v>
      </c>
      <c r="E132" s="1374"/>
      <c r="F132" s="2420">
        <f t="shared" ref="F132:N132" si="19">0.00620662344249255*(1/Unit.TWh)</f>
        <v>6.2066234424925501E-3</v>
      </c>
      <c r="G132" s="2179">
        <f t="shared" si="19"/>
        <v>6.2066234424925501E-3</v>
      </c>
      <c r="H132" s="2179">
        <f t="shared" si="19"/>
        <v>6.2066234424925501E-3</v>
      </c>
      <c r="I132" s="2179">
        <f t="shared" si="19"/>
        <v>6.2066234424925501E-3</v>
      </c>
      <c r="J132" s="2421">
        <f t="shared" si="19"/>
        <v>6.2066234424925501E-3</v>
      </c>
      <c r="K132" s="2421">
        <f t="shared" si="19"/>
        <v>6.2066234424925501E-3</v>
      </c>
      <c r="L132" s="2421">
        <f t="shared" si="19"/>
        <v>6.2066234424925501E-3</v>
      </c>
      <c r="M132" s="2421">
        <f t="shared" si="19"/>
        <v>6.2066234424925501E-3</v>
      </c>
      <c r="N132" s="2421">
        <f t="shared" si="19"/>
        <v>6.2066234424925501E-3</v>
      </c>
      <c r="O132" s="59"/>
    </row>
    <row r="133" spans="1:114" ht="15.75">
      <c r="B133" s="55"/>
      <c r="C133" s="2180"/>
      <c r="D133" s="198" t="s">
        <v>90</v>
      </c>
      <c r="E133" s="2180"/>
      <c r="F133" s="2422">
        <f>0.00419060073008392*(1/Unit.TWh)</f>
        <v>4.1906007300839196E-3</v>
      </c>
      <c r="G133" s="2181">
        <f>0.00422133980427538*(1/Unit.TWh)</f>
        <v>4.22133980427538E-3</v>
      </c>
      <c r="H133" s="2181">
        <f>0.00422141672632296*(1/Unit.TWh)</f>
        <v>4.2214167263229596E-3</v>
      </c>
      <c r="I133" s="2181">
        <f>0.00422151168074551*(1/Unit.TWh)</f>
        <v>4.2215116807455101E-3</v>
      </c>
      <c r="J133" s="2423">
        <f>0.00422138378051199*(1/Unit.TWh)</f>
        <v>4.2213837805119897E-3</v>
      </c>
      <c r="K133" s="2423">
        <f>0.00422138378051199*(1/Unit.TWh)</f>
        <v>4.2213837805119897E-3</v>
      </c>
      <c r="L133" s="2423">
        <f>0.00422138378051199*(1/Unit.TWh)</f>
        <v>4.2213837805119897E-3</v>
      </c>
      <c r="M133" s="2423">
        <f>0.00422138378051199*(1/Unit.TWh)</f>
        <v>4.2213837805119897E-3</v>
      </c>
      <c r="N133" s="2423">
        <f>0.00422138378051199*(1/Unit.TWh)</f>
        <v>4.2213837805119897E-3</v>
      </c>
      <c r="O133" s="59"/>
    </row>
    <row r="134" spans="1:114" ht="15.75">
      <c r="B134" s="55"/>
      <c r="C134" s="65"/>
      <c r="D134" s="108"/>
      <c r="E134" s="108"/>
      <c r="F134" s="172"/>
      <c r="G134" s="943"/>
      <c r="H134" s="67"/>
      <c r="I134" s="59"/>
      <c r="J134" s="59"/>
      <c r="K134" s="59"/>
      <c r="L134" s="59"/>
      <c r="M134" s="59"/>
      <c r="N134" s="59"/>
      <c r="O134" s="885"/>
    </row>
    <row r="135" spans="1:114">
      <c r="B135" s="45"/>
      <c r="C135" s="67"/>
      <c r="D135" s="200"/>
      <c r="E135" s="67"/>
      <c r="F135" s="67"/>
      <c r="G135" s="67"/>
      <c r="H135" s="67"/>
      <c r="I135" s="67"/>
      <c r="J135" s="67"/>
      <c r="K135" s="67"/>
      <c r="L135" s="67"/>
      <c r="M135" s="67"/>
      <c r="N135" s="67"/>
      <c r="O135" s="885"/>
    </row>
    <row r="136" spans="1:114">
      <c r="B136" s="45"/>
      <c r="C136" s="3862" t="s">
        <v>64</v>
      </c>
      <c r="D136" s="200"/>
      <c r="E136" s="67"/>
      <c r="F136" s="67"/>
      <c r="G136" s="67"/>
      <c r="H136" s="67"/>
      <c r="I136" s="67"/>
      <c r="J136" s="67"/>
      <c r="K136" s="67"/>
      <c r="L136" s="67"/>
      <c r="M136" s="67"/>
      <c r="N136" s="67"/>
      <c r="O136" s="885"/>
    </row>
    <row r="137" spans="1:114" s="927" customFormat="1">
      <c r="A137"/>
      <c r="B137" s="1169"/>
      <c r="C137" s="929" t="s">
        <v>65</v>
      </c>
      <c r="D137" s="933" t="s">
        <v>3058</v>
      </c>
      <c r="E137" s="931"/>
      <c r="F137" s="931"/>
      <c r="G137" s="931"/>
      <c r="H137" s="931"/>
      <c r="I137" s="931"/>
      <c r="J137" s="931"/>
      <c r="K137" s="931"/>
      <c r="L137" s="931"/>
      <c r="M137" s="931"/>
      <c r="N137" s="931"/>
      <c r="O137" s="932"/>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row>
    <row r="138" spans="1:114" s="927" customFormat="1">
      <c r="A138"/>
      <c r="B138" s="1169"/>
      <c r="C138" s="929"/>
      <c r="D138" s="933" t="s">
        <v>3057</v>
      </c>
      <c r="E138" s="931"/>
      <c r="F138" s="931"/>
      <c r="G138" s="931"/>
      <c r="H138" s="931"/>
      <c r="I138" s="931"/>
      <c r="J138" s="931"/>
      <c r="K138" s="931"/>
      <c r="L138" s="931"/>
      <c r="M138" s="931"/>
      <c r="N138" s="931"/>
      <c r="O138" s="932"/>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row>
    <row r="139" spans="1:114" s="927" customFormat="1">
      <c r="A139"/>
      <c r="B139" s="1169"/>
      <c r="C139" s="929"/>
      <c r="D139" s="933" t="s">
        <v>3059</v>
      </c>
      <c r="E139" s="931"/>
      <c r="F139" s="931"/>
      <c r="G139" s="931"/>
      <c r="H139" s="931"/>
      <c r="I139" s="931"/>
      <c r="J139" s="931"/>
      <c r="K139" s="931"/>
      <c r="L139" s="931"/>
      <c r="M139" s="931"/>
      <c r="N139" s="931"/>
      <c r="O139" s="932"/>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row>
    <row r="140" spans="1:114" s="927" customFormat="1">
      <c r="A140"/>
      <c r="B140" s="1169"/>
      <c r="C140" s="929" t="s">
        <v>67</v>
      </c>
      <c r="D140" s="933" t="s">
        <v>1732</v>
      </c>
      <c r="E140" s="931"/>
      <c r="F140" s="931"/>
      <c r="G140" s="931"/>
      <c r="H140" s="931"/>
      <c r="I140" s="931"/>
      <c r="J140" s="931"/>
      <c r="K140" s="931"/>
      <c r="L140" s="931"/>
      <c r="M140" s="931"/>
      <c r="N140" s="931"/>
      <c r="O140" s="932"/>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row>
    <row r="141" spans="1:114" s="927" customFormat="1">
      <c r="A141"/>
      <c r="B141" s="1169"/>
      <c r="C141" s="929" t="s">
        <v>106</v>
      </c>
      <c r="D141" s="933" t="s">
        <v>3073</v>
      </c>
      <c r="E141" s="931"/>
      <c r="F141" s="931"/>
      <c r="G141" s="931"/>
      <c r="H141" s="931"/>
      <c r="I141" s="931"/>
      <c r="J141" s="931"/>
      <c r="K141" s="931"/>
      <c r="L141" s="931"/>
      <c r="M141" s="931"/>
      <c r="N141" s="931"/>
      <c r="O141" s="932"/>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row>
    <row r="142" spans="1:114" s="927" customFormat="1">
      <c r="A142"/>
      <c r="B142" s="1169"/>
      <c r="C142" s="1170"/>
      <c r="D142" s="931"/>
      <c r="E142" s="931"/>
      <c r="F142" s="931"/>
      <c r="G142" s="931"/>
      <c r="H142" s="931"/>
      <c r="I142" s="931"/>
      <c r="J142" s="931"/>
      <c r="K142" s="931"/>
      <c r="L142" s="931"/>
      <c r="M142" s="931"/>
      <c r="N142" s="931"/>
      <c r="O142" s="93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row>
    <row r="143" spans="1:114">
      <c r="B143" s="1172"/>
      <c r="C143" s="1074"/>
      <c r="D143" s="1074"/>
      <c r="E143" s="1074"/>
      <c r="F143" s="1074"/>
      <c r="G143" s="1074"/>
      <c r="H143" s="1074"/>
      <c r="I143" s="1074"/>
      <c r="J143" s="1074"/>
      <c r="K143" s="1074"/>
      <c r="L143" s="1074"/>
      <c r="M143" s="1074"/>
      <c r="N143" s="1074"/>
      <c r="O143" s="1109"/>
    </row>
    <row r="144" spans="1:114">
      <c r="B144" s="877"/>
    </row>
    <row r="145" spans="1:16383" s="6" customFormat="1" ht="23.25">
      <c r="A145" s="7"/>
      <c r="B145" s="2186" t="s">
        <v>2794</v>
      </c>
      <c r="C145" s="2187"/>
      <c r="D145" s="2187"/>
      <c r="E145" s="2187"/>
      <c r="F145" s="2187"/>
      <c r="G145" s="2187"/>
      <c r="H145" s="2187"/>
      <c r="I145" s="2187"/>
      <c r="J145" s="2187"/>
      <c r="K145" s="2187"/>
      <c r="L145" s="2187"/>
      <c r="M145" s="2187"/>
      <c r="N145" s="2187"/>
      <c r="O145" s="2188"/>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row>
    <row r="146" spans="1:16383" s="6" customFormat="1" hidden="1">
      <c r="A146"/>
      <c r="B146" s="955"/>
      <c r="C146" s="939"/>
      <c r="D146" s="939"/>
      <c r="E146" s="939"/>
      <c r="F146" s="939"/>
      <c r="G146" s="939"/>
      <c r="H146" s="939"/>
      <c r="I146" s="939"/>
      <c r="J146" s="939"/>
      <c r="K146" s="939"/>
      <c r="L146" s="939"/>
      <c r="M146" s="939"/>
      <c r="N146" s="939"/>
      <c r="O146" s="1057"/>
      <c r="P146" s="1173"/>
      <c r="Q146" s="1173"/>
      <c r="R146" s="1173"/>
      <c r="S146" s="1173"/>
      <c r="T146" s="1173"/>
      <c r="U146" s="1173"/>
      <c r="V146" s="1173"/>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row>
    <row r="147" spans="1:16383" s="6" customFormat="1" hidden="1">
      <c r="A147"/>
      <c r="B147" s="955"/>
      <c r="C147" s="49" t="s">
        <v>1733</v>
      </c>
      <c r="D147" s="924"/>
      <c r="E147" s="941"/>
      <c r="F147" s="942"/>
      <c r="G147" s="943"/>
      <c r="H147" s="943"/>
      <c r="I147" s="943"/>
      <c r="J147" s="943"/>
      <c r="K147" s="943"/>
      <c r="L147" s="943"/>
      <c r="M147" s="943"/>
      <c r="N147" s="944" t="s">
        <v>2814</v>
      </c>
      <c r="O147" s="1057"/>
      <c r="P147" s="1173"/>
      <c r="Q147" s="656"/>
      <c r="R147" s="656"/>
      <c r="S147" s="1173"/>
      <c r="T147" s="1173"/>
      <c r="U147" s="1173"/>
      <c r="V147" s="1173"/>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row>
    <row r="148" spans="1:16383" s="6" customFormat="1" hidden="1">
      <c r="A148"/>
      <c r="B148" s="955"/>
      <c r="C148" s="946"/>
      <c r="D148" s="924"/>
      <c r="E148" s="941"/>
      <c r="F148" s="942"/>
      <c r="G148" s="943"/>
      <c r="H148" s="943"/>
      <c r="I148" s="943"/>
      <c r="J148" s="943"/>
      <c r="K148" s="943"/>
      <c r="L148" s="943"/>
      <c r="M148" s="943"/>
      <c r="N148" s="67"/>
      <c r="O148" s="1057"/>
      <c r="P148" s="1173"/>
      <c r="Q148" s="656"/>
      <c r="R148" s="656"/>
      <c r="S148" s="1173"/>
      <c r="T148" s="1173"/>
      <c r="U148" s="1173"/>
      <c r="V148" s="1173"/>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row>
    <row r="149" spans="1:16383" s="6" customFormat="1" hidden="1">
      <c r="A149"/>
      <c r="B149" s="955"/>
      <c r="C149" s="1078" t="s">
        <v>145</v>
      </c>
      <c r="D149" s="1079" t="s">
        <v>1877</v>
      </c>
      <c r="E149" s="980" t="s">
        <v>160</v>
      </c>
      <c r="F149" s="981">
        <v>2013</v>
      </c>
      <c r="G149" s="974">
        <v>2015</v>
      </c>
      <c r="H149" s="974">
        <v>2020</v>
      </c>
      <c r="I149" s="974">
        <v>2025</v>
      </c>
      <c r="J149" s="974">
        <v>2030</v>
      </c>
      <c r="K149" s="974">
        <v>2035</v>
      </c>
      <c r="L149" s="974">
        <v>2040</v>
      </c>
      <c r="M149" s="974">
        <v>2045</v>
      </c>
      <c r="N149" s="974">
        <v>2050</v>
      </c>
      <c r="O149" s="1057"/>
      <c r="P149" s="1173"/>
      <c r="Q149" s="656"/>
      <c r="R149" s="656"/>
      <c r="S149" s="1173"/>
      <c r="T149" s="1173"/>
      <c r="U149" s="1173"/>
      <c r="V149" s="1173"/>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row>
    <row r="150" spans="1:16383" s="6" customFormat="1" hidden="1">
      <c r="A150"/>
      <c r="B150" s="955"/>
      <c r="C150" s="976" t="s">
        <v>738</v>
      </c>
      <c r="D150" s="1079"/>
      <c r="E150" s="2424"/>
      <c r="F150" s="2427"/>
      <c r="G150" s="2427"/>
      <c r="H150" s="2427"/>
      <c r="I150" s="2427"/>
      <c r="J150" s="2427"/>
      <c r="K150" s="2427"/>
      <c r="L150" s="2427"/>
      <c r="M150" s="2427"/>
      <c r="N150" s="2427"/>
      <c r="O150" s="1057"/>
      <c r="P150" s="1173"/>
      <c r="Q150" s="656"/>
      <c r="R150" s="2189"/>
      <c r="S150" s="1173"/>
      <c r="T150" s="1173"/>
      <c r="U150" s="1173"/>
      <c r="V150" s="1173"/>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row>
    <row r="151" spans="1:16383" s="6" customFormat="1" hidden="1">
      <c r="A151"/>
      <c r="B151" s="955"/>
      <c r="C151" s="952" t="s">
        <v>739</v>
      </c>
      <c r="D151" s="924"/>
      <c r="E151" s="2425"/>
      <c r="F151" s="2428"/>
      <c r="G151" s="2428"/>
      <c r="H151" s="2428"/>
      <c r="I151" s="2428"/>
      <c r="J151" s="2428"/>
      <c r="K151" s="2428"/>
      <c r="L151" s="2428"/>
      <c r="M151" s="2428"/>
      <c r="N151" s="2428"/>
      <c r="O151" s="1057"/>
      <c r="P151" s="1173"/>
      <c r="Q151" s="656"/>
      <c r="R151" s="2189"/>
      <c r="S151" s="1173"/>
      <c r="T151" s="1173"/>
      <c r="U151" s="1173"/>
      <c r="V151" s="1173"/>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row>
    <row r="152" spans="1:16383" s="6" customFormat="1" hidden="1">
      <c r="A152"/>
      <c r="B152" s="955"/>
      <c r="C152" s="956" t="s">
        <v>740</v>
      </c>
      <c r="D152" s="957"/>
      <c r="E152" s="2426"/>
      <c r="F152" s="2429"/>
      <c r="G152" s="2429"/>
      <c r="H152" s="2429"/>
      <c r="I152" s="2429"/>
      <c r="J152" s="2429"/>
      <c r="K152" s="2429"/>
      <c r="L152" s="2429"/>
      <c r="M152" s="2429"/>
      <c r="N152" s="2429"/>
      <c r="O152" s="1057"/>
      <c r="P152" s="1173"/>
      <c r="Q152" s="656"/>
      <c r="R152" s="2189"/>
      <c r="S152" s="1173"/>
      <c r="T152" s="1173"/>
      <c r="U152" s="1173"/>
      <c r="V152" s="1173"/>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row>
    <row r="153" spans="1:16383" s="6" customFormat="1" hidden="1">
      <c r="A153"/>
      <c r="B153" s="955"/>
      <c r="C153" s="945"/>
      <c r="D153" s="945"/>
      <c r="E153" s="945"/>
      <c r="F153" s="945"/>
      <c r="G153" s="945"/>
      <c r="H153" s="945"/>
      <c r="I153" s="945"/>
      <c r="J153" s="945"/>
      <c r="K153" s="945"/>
      <c r="L153" s="945"/>
      <c r="M153" s="945"/>
      <c r="N153" s="945"/>
      <c r="O153" s="1057"/>
      <c r="P153" s="1173"/>
      <c r="Q153" s="656"/>
      <c r="R153" s="656"/>
      <c r="S153" s="1173"/>
      <c r="T153" s="1173"/>
      <c r="U153" s="1173"/>
      <c r="V153" s="117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row>
    <row r="154" spans="1:16383" s="6" customFormat="1" hidden="1">
      <c r="A154"/>
      <c r="B154" s="955"/>
      <c r="C154" s="945"/>
      <c r="D154" s="945"/>
      <c r="E154" s="945"/>
      <c r="F154" s="945"/>
      <c r="G154" s="945"/>
      <c r="H154" s="945"/>
      <c r="I154" s="945"/>
      <c r="J154" s="945"/>
      <c r="K154" s="945"/>
      <c r="L154" s="945"/>
      <c r="M154" s="945"/>
      <c r="N154" s="944" t="s">
        <v>2814</v>
      </c>
      <c r="O154" s="1057"/>
      <c r="P154" s="1173"/>
      <c r="Q154" s="656"/>
      <c r="R154" s="656"/>
      <c r="S154" s="1173"/>
      <c r="T154" s="1173"/>
      <c r="U154" s="1173"/>
      <c r="V154" s="1173"/>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row>
    <row r="155" spans="1:16383" s="1057" customFormat="1" hidden="1">
      <c r="A155" s="398"/>
      <c r="B155" s="2190"/>
      <c r="C155" s="1078" t="s">
        <v>147</v>
      </c>
      <c r="D155" s="1079" t="s">
        <v>1877</v>
      </c>
      <c r="E155" s="980" t="s">
        <v>160</v>
      </c>
      <c r="F155" s="981">
        <v>2013</v>
      </c>
      <c r="G155" s="974">
        <v>2015</v>
      </c>
      <c r="H155" s="974">
        <v>2020</v>
      </c>
      <c r="I155" s="974">
        <v>2025</v>
      </c>
      <c r="J155" s="974">
        <v>2030</v>
      </c>
      <c r="K155" s="974">
        <v>2035</v>
      </c>
      <c r="L155" s="974">
        <v>2040</v>
      </c>
      <c r="M155" s="974">
        <v>2045</v>
      </c>
      <c r="N155" s="974">
        <v>2050</v>
      </c>
      <c r="P155" s="1173"/>
      <c r="Q155" s="2191"/>
      <c r="R155" s="2191"/>
      <c r="S155" s="1173"/>
      <c r="T155" s="1173"/>
      <c r="U155" s="1173"/>
      <c r="V155" s="1173"/>
      <c r="W155" s="398"/>
      <c r="X155" s="398"/>
      <c r="Y155" s="398"/>
      <c r="Z155" s="398"/>
      <c r="AA155" s="398"/>
      <c r="AB155" s="398"/>
      <c r="AC155" s="398"/>
      <c r="AD155" s="398"/>
      <c r="AE155" s="398"/>
      <c r="AF155" s="398"/>
      <c r="AG155" s="398"/>
      <c r="AH155" s="398"/>
      <c r="AI155" s="398"/>
      <c r="AJ155" s="398"/>
      <c r="AK155" s="398"/>
      <c r="AL155" s="398"/>
      <c r="AM155" s="398"/>
      <c r="AN155" s="398"/>
      <c r="AO155" s="398"/>
      <c r="AP155" s="398"/>
      <c r="AQ155" s="398"/>
      <c r="AR155" s="398"/>
      <c r="AS155" s="398"/>
      <c r="AT155" s="398"/>
      <c r="AU155" s="398"/>
      <c r="AV155" s="398"/>
      <c r="AW155" s="398"/>
      <c r="AX155" s="398"/>
      <c r="AY155" s="398"/>
      <c r="AZ155" s="398"/>
      <c r="BA155" s="398"/>
      <c r="BB155" s="398"/>
      <c r="BC155" s="398"/>
      <c r="BD155" s="398"/>
      <c r="BE155" s="398"/>
      <c r="BF155" s="398"/>
      <c r="BG155" s="398"/>
      <c r="BH155" s="398"/>
      <c r="BI155" s="398"/>
      <c r="BJ155" s="398"/>
      <c r="BK155" s="398"/>
      <c r="BL155" s="398"/>
      <c r="BM155" s="398"/>
      <c r="BN155" s="398"/>
      <c r="BO155" s="398"/>
      <c r="BP155" s="398"/>
      <c r="BQ155" s="398"/>
      <c r="BR155" s="398"/>
      <c r="BS155" s="398"/>
      <c r="BT155" s="398"/>
      <c r="BU155" s="398"/>
      <c r="BV155" s="398"/>
      <c r="BW155" s="398"/>
      <c r="BX155" s="398"/>
      <c r="BY155" s="398"/>
      <c r="BZ155" s="398"/>
      <c r="CA155" s="398"/>
      <c r="CB155" s="398"/>
      <c r="CC155" s="398"/>
      <c r="CD155" s="398"/>
      <c r="CE155" s="398"/>
      <c r="CF155" s="398"/>
      <c r="CG155" s="398"/>
      <c r="CH155" s="398"/>
      <c r="CI155" s="398"/>
      <c r="CJ155" s="398"/>
      <c r="CK155" s="398"/>
      <c r="CL155" s="398"/>
      <c r="CM155" s="398"/>
      <c r="CN155" s="398"/>
      <c r="CO155" s="398"/>
      <c r="CP155" s="398"/>
      <c r="CQ155" s="398"/>
      <c r="CR155" s="398"/>
      <c r="CS155" s="398"/>
      <c r="CT155" s="398"/>
      <c r="CU155" s="398"/>
      <c r="CV155" s="398"/>
      <c r="CW155" s="398"/>
      <c r="CX155" s="398"/>
      <c r="CY155" s="398"/>
      <c r="CZ155" s="398"/>
      <c r="DA155" s="398"/>
      <c r="DB155" s="398"/>
      <c r="DC155" s="398"/>
      <c r="DD155" s="398"/>
      <c r="DE155" s="398"/>
      <c r="DF155" s="398"/>
      <c r="DG155" s="398"/>
      <c r="DH155" s="398"/>
      <c r="DI155" s="398"/>
      <c r="DJ155" s="398"/>
      <c r="DK155" s="398"/>
      <c r="DL155" s="398"/>
      <c r="DM155" s="398"/>
      <c r="DN155" s="398"/>
      <c r="DO155" s="398"/>
      <c r="DP155" s="398"/>
      <c r="DQ155" s="398"/>
      <c r="DR155" s="398"/>
      <c r="DS155" s="398"/>
      <c r="DT155" s="398"/>
      <c r="DU155" s="398"/>
      <c r="DV155" s="398"/>
      <c r="DW155" s="398"/>
      <c r="DX155" s="398"/>
      <c r="DY155" s="398"/>
      <c r="DZ155" s="398"/>
      <c r="EA155" s="398"/>
      <c r="EB155" s="398"/>
      <c r="EC155" s="398"/>
      <c r="ED155" s="398"/>
      <c r="EE155" s="398"/>
      <c r="EF155" s="398"/>
      <c r="EG155" s="398"/>
      <c r="EH155" s="398"/>
      <c r="EI155" s="398"/>
      <c r="EJ155" s="398"/>
      <c r="EK155" s="398"/>
      <c r="EL155" s="398"/>
      <c r="EM155" s="398"/>
      <c r="EN155" s="398"/>
      <c r="EO155" s="398"/>
      <c r="EP155" s="398"/>
      <c r="EQ155" s="398"/>
      <c r="ER155" s="398"/>
      <c r="ES155" s="398"/>
      <c r="ET155" s="398"/>
      <c r="EU155" s="398"/>
      <c r="EV155" s="398"/>
      <c r="EW155" s="398"/>
      <c r="EX155" s="398"/>
      <c r="EY155" s="398"/>
      <c r="EZ155" s="398"/>
      <c r="FA155" s="398"/>
      <c r="FB155" s="398"/>
      <c r="FC155" s="398"/>
      <c r="FD155" s="398"/>
      <c r="FE155" s="398"/>
      <c r="FF155" s="398"/>
      <c r="FG155" s="398"/>
      <c r="FH155" s="398"/>
      <c r="FI155" s="398"/>
      <c r="FJ155" s="398"/>
      <c r="FK155" s="398"/>
      <c r="FL155" s="398"/>
      <c r="FM155" s="398"/>
      <c r="FN155" s="398"/>
      <c r="FO155" s="398"/>
      <c r="FP155" s="398"/>
      <c r="FQ155" s="398"/>
      <c r="FR155" s="398"/>
      <c r="FS155" s="398"/>
      <c r="FT155" s="398"/>
      <c r="FU155" s="398"/>
      <c r="FV155" s="398"/>
      <c r="FW155" s="398"/>
      <c r="FX155" s="398"/>
      <c r="FY155" s="398"/>
      <c r="FZ155" s="398"/>
      <c r="GA155" s="398"/>
      <c r="GB155" s="398"/>
      <c r="GC155" s="398"/>
      <c r="GD155" s="398"/>
      <c r="GE155" s="398"/>
      <c r="GF155" s="398"/>
      <c r="GG155" s="398"/>
      <c r="GH155" s="398"/>
      <c r="GI155" s="398"/>
      <c r="GJ155" s="398"/>
      <c r="GK155" s="398"/>
      <c r="GL155" s="398"/>
      <c r="GM155" s="398"/>
      <c r="GN155" s="398"/>
      <c r="GO155" s="398"/>
      <c r="GP155" s="398"/>
      <c r="GQ155" s="398"/>
      <c r="GR155" s="398"/>
      <c r="GS155" s="398"/>
      <c r="GT155" s="398"/>
      <c r="GU155" s="398"/>
      <c r="GV155" s="398"/>
      <c r="GW155" s="398"/>
      <c r="GX155" s="398"/>
      <c r="GY155" s="398"/>
      <c r="GZ155" s="398"/>
      <c r="HA155" s="398"/>
      <c r="HB155" s="398"/>
      <c r="HC155" s="398"/>
      <c r="HD155" s="398"/>
      <c r="HE155" s="398"/>
      <c r="HF155" s="398"/>
      <c r="HG155" s="398"/>
      <c r="HH155" s="398"/>
      <c r="HI155" s="398"/>
      <c r="HJ155" s="398"/>
      <c r="HK155" s="398"/>
      <c r="HL155" s="398"/>
      <c r="HM155" s="398"/>
      <c r="HN155" s="398"/>
      <c r="HO155" s="398"/>
      <c r="HP155" s="398"/>
      <c r="HQ155" s="398"/>
      <c r="HR155" s="398"/>
      <c r="HS155" s="398"/>
      <c r="HT155" s="398"/>
      <c r="HU155" s="398"/>
      <c r="HV155" s="398"/>
      <c r="HW155" s="398"/>
      <c r="HX155" s="398"/>
      <c r="HY155" s="398"/>
      <c r="HZ155" s="398"/>
      <c r="IA155" s="398"/>
      <c r="IB155" s="398"/>
      <c r="IC155" s="398"/>
      <c r="ID155" s="398"/>
      <c r="IE155" s="398"/>
      <c r="IF155" s="398"/>
      <c r="IG155" s="398"/>
      <c r="IH155" s="398"/>
      <c r="II155" s="398"/>
      <c r="IJ155" s="398"/>
      <c r="IK155" s="398"/>
      <c r="IL155" s="398"/>
      <c r="IM155" s="398"/>
      <c r="IN155" s="398"/>
      <c r="IO155" s="398"/>
      <c r="IP155" s="398"/>
      <c r="IQ155" s="398"/>
      <c r="IR155" s="398"/>
      <c r="IS155" s="398"/>
      <c r="IT155" s="398"/>
      <c r="IU155" s="398"/>
      <c r="IV155" s="398"/>
      <c r="IW155" s="398"/>
      <c r="IX155" s="398"/>
      <c r="IY155" s="398"/>
      <c r="IZ155" s="398"/>
      <c r="JA155" s="398"/>
      <c r="JB155" s="398"/>
      <c r="JC155" s="398"/>
      <c r="JD155" s="398"/>
      <c r="JE155" s="398"/>
      <c r="JF155" s="398"/>
      <c r="JG155" s="398"/>
      <c r="JH155" s="398"/>
      <c r="JI155" s="398"/>
      <c r="JJ155" s="398"/>
      <c r="JK155" s="398"/>
      <c r="JL155" s="398"/>
      <c r="JM155" s="398"/>
      <c r="JN155" s="398"/>
      <c r="JO155" s="398"/>
      <c r="JP155" s="398"/>
      <c r="JQ155" s="398"/>
      <c r="JR155" s="398"/>
      <c r="JS155" s="398"/>
      <c r="JT155" s="398"/>
      <c r="JU155" s="398"/>
      <c r="JV155" s="398"/>
      <c r="JW155" s="398"/>
      <c r="JX155" s="398"/>
      <c r="JY155" s="398"/>
      <c r="JZ155" s="398"/>
      <c r="KA155" s="398"/>
      <c r="KB155" s="398"/>
      <c r="KC155" s="398"/>
      <c r="KD155" s="398"/>
      <c r="KE155" s="398"/>
      <c r="KF155" s="398"/>
      <c r="KG155" s="398"/>
      <c r="KH155" s="398"/>
      <c r="KI155" s="398"/>
      <c r="KJ155" s="398"/>
      <c r="KK155" s="398"/>
      <c r="KL155" s="398"/>
      <c r="KM155" s="398"/>
      <c r="KN155" s="398"/>
      <c r="KO155" s="398"/>
      <c r="KP155" s="398"/>
      <c r="KQ155" s="398"/>
      <c r="KR155" s="398"/>
      <c r="KS155" s="398"/>
      <c r="KT155" s="398"/>
      <c r="KU155" s="398"/>
      <c r="KV155" s="398"/>
      <c r="KW155" s="398"/>
      <c r="KX155" s="398"/>
      <c r="KY155" s="398"/>
      <c r="KZ155" s="398"/>
      <c r="LA155" s="398"/>
      <c r="LB155" s="398"/>
      <c r="LC155" s="398"/>
      <c r="LD155" s="398"/>
      <c r="LE155" s="398"/>
      <c r="LF155" s="398"/>
      <c r="LG155" s="398"/>
      <c r="LH155" s="398"/>
      <c r="LI155" s="398"/>
      <c r="LJ155" s="398"/>
      <c r="LK155" s="398"/>
      <c r="LL155" s="398"/>
      <c r="LM155" s="398"/>
      <c r="LN155" s="398"/>
      <c r="LO155" s="398"/>
      <c r="LP155" s="398"/>
      <c r="LQ155" s="398"/>
      <c r="LR155" s="398"/>
      <c r="LS155" s="398"/>
      <c r="LT155" s="398"/>
      <c r="LU155" s="398"/>
      <c r="LV155" s="398"/>
      <c r="LW155" s="398"/>
      <c r="LX155" s="398"/>
      <c r="LY155" s="398"/>
      <c r="LZ155" s="398"/>
      <c r="MA155" s="398"/>
      <c r="MB155" s="398"/>
      <c r="MC155" s="398"/>
      <c r="MD155" s="398"/>
      <c r="ME155" s="398"/>
      <c r="MF155" s="398"/>
      <c r="MG155" s="398"/>
      <c r="MH155" s="398"/>
      <c r="MI155" s="398"/>
      <c r="MJ155" s="398"/>
      <c r="MK155" s="398"/>
      <c r="ML155" s="398"/>
      <c r="MM155" s="398"/>
      <c r="MN155" s="398"/>
      <c r="MO155" s="398"/>
      <c r="MP155" s="398"/>
      <c r="MQ155" s="398"/>
      <c r="MR155" s="398"/>
      <c r="MS155" s="398"/>
      <c r="MT155" s="398"/>
      <c r="MU155" s="398"/>
      <c r="MV155" s="398"/>
      <c r="MW155" s="398"/>
      <c r="MX155" s="398"/>
      <c r="MY155" s="398"/>
      <c r="MZ155" s="398"/>
      <c r="NA155" s="398"/>
      <c r="NB155" s="398"/>
      <c r="NC155" s="398"/>
      <c r="ND155" s="398"/>
      <c r="NE155" s="398"/>
      <c r="NF155" s="398"/>
      <c r="NG155" s="398"/>
      <c r="NH155" s="398"/>
      <c r="NI155" s="398"/>
      <c r="NJ155" s="398"/>
      <c r="NK155" s="398"/>
      <c r="NL155" s="398"/>
      <c r="NM155" s="398"/>
      <c r="NN155" s="398"/>
      <c r="NO155" s="398"/>
      <c r="NP155" s="398"/>
      <c r="NQ155" s="398"/>
      <c r="NR155" s="398"/>
      <c r="NS155" s="398"/>
      <c r="NT155" s="398"/>
      <c r="NU155" s="398"/>
      <c r="NV155" s="398"/>
      <c r="NW155" s="398"/>
      <c r="NX155" s="398"/>
      <c r="NY155" s="398"/>
      <c r="NZ155" s="398"/>
      <c r="OA155" s="398"/>
      <c r="OB155" s="398"/>
      <c r="OC155" s="398"/>
      <c r="OD155" s="398"/>
      <c r="OE155" s="398"/>
      <c r="OF155" s="398"/>
      <c r="OG155" s="398"/>
      <c r="OH155" s="398"/>
      <c r="OI155" s="398"/>
      <c r="OJ155" s="398"/>
      <c r="OK155" s="398"/>
      <c r="OL155" s="398"/>
      <c r="OM155" s="398"/>
      <c r="ON155" s="398"/>
      <c r="OO155" s="398"/>
      <c r="OP155" s="398"/>
      <c r="OQ155" s="398"/>
      <c r="OR155" s="398"/>
      <c r="OS155" s="398"/>
      <c r="OT155" s="398"/>
      <c r="OU155" s="398"/>
      <c r="OV155" s="398"/>
      <c r="OW155" s="398"/>
      <c r="OX155" s="398"/>
      <c r="OY155" s="398"/>
      <c r="OZ155" s="398"/>
      <c r="PA155" s="398"/>
      <c r="PB155" s="398"/>
      <c r="PC155" s="398"/>
      <c r="PD155" s="398"/>
      <c r="PE155" s="398"/>
      <c r="PF155" s="398"/>
      <c r="PG155" s="398"/>
      <c r="PH155" s="398"/>
      <c r="PI155" s="398"/>
      <c r="PJ155" s="398"/>
      <c r="PK155" s="398"/>
      <c r="PL155" s="398"/>
      <c r="PM155" s="398"/>
      <c r="PN155" s="398"/>
      <c r="PO155" s="398"/>
      <c r="PP155" s="398"/>
      <c r="PQ155" s="398"/>
      <c r="PR155" s="398"/>
      <c r="PS155" s="398"/>
      <c r="PT155" s="398"/>
      <c r="PU155" s="398"/>
      <c r="PV155" s="398"/>
      <c r="PW155" s="398"/>
      <c r="PX155" s="398"/>
      <c r="PY155" s="398"/>
      <c r="PZ155" s="398"/>
      <c r="QA155" s="398"/>
      <c r="QB155" s="398"/>
      <c r="QC155" s="398"/>
      <c r="QD155" s="398"/>
      <c r="QE155" s="398"/>
      <c r="QF155" s="398"/>
      <c r="QG155" s="398"/>
      <c r="QH155" s="398"/>
      <c r="QI155" s="398"/>
      <c r="QJ155" s="398"/>
      <c r="QK155" s="398"/>
      <c r="QL155" s="398"/>
      <c r="QM155" s="398"/>
      <c r="QN155" s="398"/>
      <c r="QO155" s="398"/>
      <c r="QP155" s="398"/>
      <c r="QQ155" s="398"/>
      <c r="QR155" s="398"/>
      <c r="QS155" s="398"/>
      <c r="QT155" s="398"/>
      <c r="QU155" s="398"/>
      <c r="QV155" s="398"/>
      <c r="QW155" s="398"/>
      <c r="QX155" s="398"/>
      <c r="QY155" s="398"/>
      <c r="QZ155" s="398"/>
      <c r="RA155" s="398"/>
      <c r="RB155" s="398"/>
      <c r="RC155" s="398"/>
      <c r="RD155" s="398"/>
      <c r="RE155" s="398"/>
      <c r="RF155" s="398"/>
      <c r="RG155" s="398"/>
      <c r="RH155" s="398"/>
      <c r="RI155" s="398"/>
      <c r="RJ155" s="398"/>
      <c r="RK155" s="398"/>
      <c r="RL155" s="398"/>
      <c r="RM155" s="398"/>
      <c r="RN155" s="398"/>
      <c r="RO155" s="398"/>
      <c r="RP155" s="398"/>
      <c r="RQ155" s="398"/>
      <c r="RR155" s="398"/>
      <c r="RS155" s="398"/>
      <c r="RT155" s="398"/>
      <c r="RU155" s="398"/>
      <c r="RV155" s="398"/>
      <c r="RW155" s="398"/>
      <c r="RX155" s="398"/>
      <c r="RY155" s="398"/>
      <c r="RZ155" s="398"/>
      <c r="SA155" s="398"/>
      <c r="SB155" s="398"/>
      <c r="SC155" s="398"/>
      <c r="SD155" s="398"/>
      <c r="SE155" s="398"/>
      <c r="SF155" s="398"/>
      <c r="SG155" s="398"/>
      <c r="SH155" s="398"/>
      <c r="SI155" s="398"/>
      <c r="SJ155" s="398"/>
      <c r="SK155" s="398"/>
      <c r="SL155" s="398"/>
      <c r="SM155" s="398"/>
      <c r="SN155" s="398"/>
      <c r="SO155" s="398"/>
      <c r="SP155" s="398"/>
      <c r="SQ155" s="398"/>
      <c r="SR155" s="398"/>
      <c r="SS155" s="398"/>
      <c r="ST155" s="398"/>
      <c r="SU155" s="398"/>
      <c r="SV155" s="398"/>
      <c r="SW155" s="398"/>
      <c r="SX155" s="398"/>
      <c r="SY155" s="398"/>
      <c r="SZ155" s="398"/>
      <c r="TA155" s="398"/>
      <c r="TB155" s="398"/>
      <c r="TC155" s="398"/>
      <c r="TD155" s="398"/>
      <c r="TE155" s="398"/>
      <c r="TF155" s="398"/>
      <c r="TG155" s="398"/>
      <c r="TH155" s="398"/>
      <c r="TI155" s="398"/>
      <c r="TJ155" s="398"/>
      <c r="TK155" s="398"/>
      <c r="TL155" s="398"/>
      <c r="TM155" s="398"/>
      <c r="TN155" s="398"/>
      <c r="TO155" s="398"/>
      <c r="TP155" s="398"/>
      <c r="TQ155" s="398"/>
      <c r="TR155" s="398"/>
      <c r="TS155" s="398"/>
      <c r="TT155" s="398"/>
      <c r="TU155" s="398"/>
      <c r="TV155" s="398"/>
      <c r="TW155" s="398"/>
      <c r="TX155" s="398"/>
      <c r="TY155" s="398"/>
      <c r="TZ155" s="398"/>
      <c r="UA155" s="398"/>
      <c r="UB155" s="398"/>
      <c r="UC155" s="398"/>
      <c r="UD155" s="398"/>
      <c r="UE155" s="398"/>
      <c r="UF155" s="398"/>
      <c r="UG155" s="398"/>
      <c r="UH155" s="398"/>
      <c r="UI155" s="398"/>
      <c r="UJ155" s="398"/>
      <c r="UK155" s="398"/>
      <c r="UL155" s="398"/>
      <c r="UM155" s="398"/>
      <c r="UN155" s="398"/>
      <c r="UO155" s="398"/>
      <c r="UP155" s="398"/>
      <c r="UQ155" s="398"/>
      <c r="UR155" s="398"/>
      <c r="US155" s="398"/>
      <c r="UT155" s="398"/>
      <c r="UU155" s="398"/>
      <c r="UV155" s="398"/>
      <c r="UW155" s="398"/>
      <c r="UX155" s="398"/>
      <c r="UY155" s="398"/>
      <c r="UZ155" s="398"/>
      <c r="VA155" s="398"/>
      <c r="VB155" s="398"/>
      <c r="VC155" s="398"/>
      <c r="VD155" s="398"/>
      <c r="VE155" s="398"/>
      <c r="VF155" s="398"/>
      <c r="VG155" s="398"/>
      <c r="VH155" s="398"/>
      <c r="VI155" s="398"/>
      <c r="VJ155" s="398"/>
      <c r="VK155" s="398"/>
      <c r="VL155" s="398"/>
      <c r="VM155" s="398"/>
      <c r="VN155" s="398"/>
      <c r="VO155" s="398"/>
      <c r="VP155" s="398"/>
      <c r="VQ155" s="398"/>
      <c r="VR155" s="398"/>
      <c r="VS155" s="398"/>
      <c r="VT155" s="398"/>
      <c r="VU155" s="398"/>
      <c r="VV155" s="398"/>
      <c r="VW155" s="398"/>
      <c r="VX155" s="398"/>
      <c r="VY155" s="398"/>
      <c r="VZ155" s="398"/>
      <c r="WA155" s="398"/>
      <c r="WB155" s="398"/>
      <c r="WC155" s="398"/>
      <c r="WD155" s="398"/>
      <c r="WE155" s="398"/>
      <c r="WF155" s="398"/>
      <c r="WG155" s="398"/>
      <c r="WH155" s="398"/>
      <c r="WI155" s="398"/>
      <c r="WJ155" s="398"/>
      <c r="WK155" s="398"/>
      <c r="WL155" s="398"/>
      <c r="WM155" s="398"/>
      <c r="WN155" s="398"/>
      <c r="WO155" s="398"/>
      <c r="WP155" s="398"/>
      <c r="WQ155" s="398"/>
      <c r="WR155" s="398"/>
      <c r="WS155" s="398"/>
      <c r="WT155" s="398"/>
      <c r="WU155" s="398"/>
      <c r="WV155" s="398"/>
      <c r="WW155" s="398"/>
      <c r="WX155" s="398"/>
      <c r="WY155" s="398"/>
      <c r="WZ155" s="398"/>
      <c r="XA155" s="398"/>
      <c r="XB155" s="398"/>
      <c r="XC155" s="398"/>
      <c r="XD155" s="398"/>
      <c r="XE155" s="398"/>
      <c r="XF155" s="398"/>
      <c r="XG155" s="398"/>
      <c r="XH155" s="398"/>
      <c r="XI155" s="398"/>
      <c r="XJ155" s="398"/>
      <c r="XK155" s="398"/>
      <c r="XL155" s="398"/>
      <c r="XM155" s="398"/>
      <c r="XN155" s="398"/>
      <c r="XO155" s="398"/>
      <c r="XP155" s="398"/>
      <c r="XQ155" s="398"/>
      <c r="XR155" s="398"/>
      <c r="XS155" s="398"/>
      <c r="XT155" s="398"/>
      <c r="XU155" s="398"/>
      <c r="XV155" s="398"/>
      <c r="XW155" s="398"/>
      <c r="XX155" s="398"/>
      <c r="XY155" s="398"/>
      <c r="XZ155" s="398"/>
      <c r="YA155" s="398"/>
      <c r="YB155" s="398"/>
      <c r="YC155" s="398"/>
      <c r="YD155" s="398"/>
      <c r="YE155" s="398"/>
      <c r="YF155" s="398"/>
      <c r="YG155" s="398"/>
      <c r="YH155" s="398"/>
      <c r="YI155" s="398"/>
      <c r="YJ155" s="398"/>
      <c r="YK155" s="398"/>
      <c r="YL155" s="398"/>
      <c r="YM155" s="398"/>
      <c r="YN155" s="398"/>
      <c r="YO155" s="398"/>
      <c r="YP155" s="398"/>
      <c r="YQ155" s="398"/>
      <c r="YR155" s="398"/>
      <c r="YS155" s="398"/>
      <c r="YT155" s="398"/>
      <c r="YU155" s="398"/>
      <c r="YV155" s="398"/>
      <c r="YW155" s="398"/>
      <c r="YX155" s="398"/>
      <c r="YY155" s="398"/>
      <c r="YZ155" s="398"/>
      <c r="ZA155" s="398"/>
      <c r="ZB155" s="398"/>
      <c r="ZC155" s="398"/>
      <c r="ZD155" s="398"/>
      <c r="ZE155" s="398"/>
      <c r="ZF155" s="398"/>
      <c r="ZG155" s="398"/>
      <c r="ZH155" s="398"/>
      <c r="ZI155" s="398"/>
      <c r="ZJ155" s="398"/>
      <c r="ZK155" s="398"/>
      <c r="ZL155" s="398"/>
      <c r="ZM155" s="398"/>
      <c r="ZN155" s="398"/>
      <c r="ZO155" s="398"/>
      <c r="ZP155" s="398"/>
      <c r="ZQ155" s="398"/>
      <c r="ZR155" s="398"/>
      <c r="ZS155" s="398"/>
      <c r="ZT155" s="398"/>
      <c r="ZU155" s="398"/>
      <c r="ZV155" s="398"/>
      <c r="ZW155" s="398"/>
      <c r="ZX155" s="398"/>
      <c r="ZY155" s="398"/>
      <c r="ZZ155" s="398"/>
      <c r="AAA155" s="398"/>
      <c r="AAB155" s="398"/>
      <c r="AAC155" s="398"/>
      <c r="AAD155" s="398"/>
      <c r="AAE155" s="398"/>
      <c r="AAF155" s="398"/>
      <c r="AAG155" s="398"/>
      <c r="AAH155" s="398"/>
      <c r="AAI155" s="398"/>
      <c r="AAJ155" s="398"/>
      <c r="AAK155" s="398"/>
      <c r="AAL155" s="398"/>
      <c r="AAM155" s="398"/>
      <c r="AAN155" s="398"/>
      <c r="AAO155" s="398"/>
      <c r="AAP155" s="398"/>
      <c r="AAQ155" s="398"/>
      <c r="AAR155" s="398"/>
      <c r="AAS155" s="398"/>
      <c r="AAT155" s="398"/>
      <c r="AAU155" s="398"/>
      <c r="AAV155" s="398"/>
      <c r="AAW155" s="398"/>
      <c r="AAX155" s="398"/>
      <c r="AAY155" s="398"/>
      <c r="AAZ155" s="398"/>
      <c r="ABA155" s="398"/>
      <c r="ABB155" s="398"/>
      <c r="ABC155" s="398"/>
      <c r="ABD155" s="398"/>
      <c r="ABE155" s="398"/>
      <c r="ABF155" s="398"/>
      <c r="ABG155" s="398"/>
      <c r="ABH155" s="398"/>
      <c r="ABI155" s="398"/>
      <c r="ABJ155" s="398"/>
      <c r="ABK155" s="398"/>
      <c r="ABL155" s="398"/>
      <c r="ABM155" s="398"/>
      <c r="ABN155" s="398"/>
      <c r="ABO155" s="398"/>
      <c r="ABP155" s="398"/>
      <c r="ABQ155" s="398"/>
      <c r="ABR155" s="398"/>
      <c r="ABS155" s="398"/>
      <c r="ABT155" s="398"/>
      <c r="ABU155" s="398"/>
      <c r="ABV155" s="398"/>
      <c r="ABW155" s="398"/>
      <c r="ABX155" s="398"/>
      <c r="ABY155" s="398"/>
      <c r="ABZ155" s="398"/>
      <c r="ACA155" s="398"/>
      <c r="ACB155" s="398"/>
      <c r="ACC155" s="398"/>
      <c r="ACD155" s="398"/>
      <c r="ACE155" s="398"/>
      <c r="ACF155" s="398"/>
      <c r="ACG155" s="398"/>
      <c r="ACH155" s="398"/>
      <c r="ACI155" s="398"/>
      <c r="ACJ155" s="398"/>
      <c r="ACK155" s="398"/>
      <c r="ACL155" s="398"/>
      <c r="ACM155" s="398"/>
      <c r="ACN155" s="398"/>
      <c r="ACO155" s="398"/>
      <c r="ACP155" s="398"/>
      <c r="ACQ155" s="398"/>
      <c r="ACR155" s="398"/>
      <c r="ACS155" s="398"/>
      <c r="ACT155" s="398"/>
      <c r="ACU155" s="398"/>
      <c r="ACV155" s="398"/>
      <c r="ACW155" s="398"/>
      <c r="ACX155" s="398"/>
      <c r="ACY155" s="398"/>
      <c r="ACZ155" s="398"/>
      <c r="ADA155" s="398"/>
      <c r="ADB155" s="398"/>
      <c r="ADC155" s="398"/>
      <c r="ADD155" s="398"/>
      <c r="ADE155" s="398"/>
      <c r="ADF155" s="398"/>
      <c r="ADG155" s="398"/>
      <c r="ADH155" s="398"/>
      <c r="ADI155" s="398"/>
      <c r="ADJ155" s="398"/>
      <c r="ADK155" s="398"/>
      <c r="ADL155" s="398"/>
      <c r="ADM155" s="398"/>
      <c r="ADN155" s="398"/>
      <c r="ADO155" s="398"/>
      <c r="ADP155" s="398"/>
      <c r="ADQ155" s="398"/>
      <c r="ADR155" s="398"/>
      <c r="ADS155" s="398"/>
      <c r="ADT155" s="398"/>
      <c r="ADU155" s="398"/>
      <c r="ADV155" s="398"/>
      <c r="ADW155" s="398"/>
      <c r="ADX155" s="398"/>
      <c r="ADY155" s="398"/>
      <c r="ADZ155" s="398"/>
      <c r="AEA155" s="398"/>
      <c r="AEB155" s="398"/>
      <c r="AEC155" s="398"/>
      <c r="AED155" s="398"/>
      <c r="AEE155" s="398"/>
      <c r="AEF155" s="398"/>
      <c r="AEG155" s="398"/>
      <c r="AEH155" s="398"/>
      <c r="AEI155" s="398"/>
      <c r="AEJ155" s="398"/>
      <c r="AEK155" s="398"/>
      <c r="AEL155" s="398"/>
      <c r="AEM155" s="398"/>
      <c r="AEN155" s="398"/>
      <c r="AEO155" s="398"/>
      <c r="AEP155" s="398"/>
      <c r="AEQ155" s="398"/>
      <c r="AER155" s="398"/>
      <c r="AES155" s="398"/>
      <c r="AET155" s="398"/>
      <c r="AEU155" s="398"/>
      <c r="AEV155" s="398"/>
      <c r="AEW155" s="398"/>
      <c r="AEX155" s="398"/>
      <c r="AEY155" s="398"/>
      <c r="AEZ155" s="398"/>
      <c r="AFA155" s="398"/>
      <c r="AFB155" s="398"/>
      <c r="AFC155" s="398"/>
      <c r="AFD155" s="398"/>
      <c r="AFE155" s="398"/>
      <c r="AFF155" s="398"/>
      <c r="AFG155" s="398"/>
      <c r="AFH155" s="398"/>
      <c r="AFI155" s="398"/>
      <c r="AFJ155" s="398"/>
      <c r="AFK155" s="398"/>
      <c r="AFL155" s="398"/>
      <c r="AFM155" s="398"/>
      <c r="AFN155" s="398"/>
      <c r="AFO155" s="398"/>
      <c r="AFP155" s="398"/>
      <c r="AFQ155" s="398"/>
      <c r="AFR155" s="398"/>
      <c r="AFS155" s="398"/>
      <c r="AFT155" s="398"/>
      <c r="AFU155" s="398"/>
      <c r="AFV155" s="398"/>
      <c r="AFW155" s="398"/>
      <c r="AFX155" s="398"/>
      <c r="AFY155" s="398"/>
      <c r="AFZ155" s="398"/>
      <c r="AGA155" s="398"/>
      <c r="AGB155" s="398"/>
      <c r="AGC155" s="398"/>
      <c r="AGD155" s="398"/>
      <c r="AGE155" s="398"/>
      <c r="AGF155" s="398"/>
      <c r="AGG155" s="398"/>
      <c r="AGH155" s="398"/>
      <c r="AGI155" s="398"/>
      <c r="AGJ155" s="398"/>
      <c r="AGK155" s="398"/>
      <c r="AGL155" s="398"/>
      <c r="AGM155" s="398"/>
      <c r="AGN155" s="398"/>
      <c r="AGO155" s="398"/>
      <c r="AGP155" s="398"/>
      <c r="AGQ155" s="398"/>
      <c r="AGR155" s="398"/>
      <c r="AGS155" s="398"/>
      <c r="AGT155" s="398"/>
      <c r="AGU155" s="398"/>
      <c r="AGV155" s="398"/>
      <c r="AGW155" s="398"/>
      <c r="AGX155" s="398"/>
      <c r="AGY155" s="398"/>
      <c r="AGZ155" s="398"/>
      <c r="AHA155" s="398"/>
      <c r="AHB155" s="398"/>
      <c r="AHC155" s="398"/>
      <c r="AHD155" s="398"/>
      <c r="AHE155" s="398"/>
      <c r="AHF155" s="398"/>
      <c r="AHG155" s="398"/>
      <c r="AHH155" s="398"/>
      <c r="AHI155" s="398"/>
      <c r="AHJ155" s="398"/>
      <c r="AHK155" s="398"/>
      <c r="AHL155" s="398"/>
      <c r="AHM155" s="398"/>
      <c r="AHN155" s="398"/>
      <c r="AHO155" s="398"/>
      <c r="AHP155" s="398"/>
      <c r="AHQ155" s="398"/>
      <c r="AHR155" s="398"/>
      <c r="AHS155" s="398"/>
      <c r="AHT155" s="398"/>
      <c r="AHU155" s="398"/>
      <c r="AHV155" s="398"/>
      <c r="AHW155" s="398"/>
      <c r="AHX155" s="398"/>
      <c r="AHY155" s="398"/>
      <c r="AHZ155" s="398"/>
      <c r="AIA155" s="398"/>
      <c r="AIB155" s="398"/>
      <c r="AIC155" s="398"/>
      <c r="AID155" s="398"/>
      <c r="AIE155" s="398"/>
      <c r="AIF155" s="398"/>
      <c r="AIG155" s="398"/>
      <c r="AIH155" s="398"/>
      <c r="AII155" s="398"/>
      <c r="AIJ155" s="398"/>
      <c r="AIK155" s="398"/>
      <c r="AIL155" s="398"/>
      <c r="AIM155" s="398"/>
      <c r="AIN155" s="398"/>
      <c r="AIO155" s="398"/>
      <c r="AIP155" s="398"/>
      <c r="AIQ155" s="398"/>
      <c r="AIR155" s="398"/>
      <c r="AIS155" s="398"/>
      <c r="AIT155" s="398"/>
      <c r="AIU155" s="398"/>
      <c r="AIV155" s="398"/>
      <c r="AIW155" s="398"/>
      <c r="AIX155" s="398"/>
      <c r="AIY155" s="398"/>
      <c r="AIZ155" s="398"/>
      <c r="AJA155" s="398"/>
      <c r="AJB155" s="398"/>
      <c r="AJC155" s="398"/>
      <c r="AJD155" s="398"/>
      <c r="AJE155" s="398"/>
      <c r="AJF155" s="398"/>
      <c r="AJG155" s="398"/>
      <c r="AJH155" s="398"/>
      <c r="AJI155" s="398"/>
      <c r="AJJ155" s="398"/>
      <c r="AJK155" s="398"/>
      <c r="AJL155" s="398"/>
      <c r="AJM155" s="398"/>
      <c r="AJN155" s="398"/>
      <c r="AJO155" s="398"/>
      <c r="AJP155" s="398"/>
      <c r="AJQ155" s="398"/>
      <c r="AJR155" s="398"/>
      <c r="AJS155" s="398"/>
      <c r="AJT155" s="398"/>
      <c r="AJU155" s="398"/>
      <c r="AJV155" s="398"/>
      <c r="AJW155" s="398"/>
      <c r="AJX155" s="398"/>
      <c r="AJY155" s="398"/>
      <c r="AJZ155" s="398"/>
      <c r="AKA155" s="398"/>
      <c r="AKB155" s="398"/>
      <c r="AKC155" s="398"/>
      <c r="AKD155" s="398"/>
      <c r="AKE155" s="398"/>
      <c r="AKF155" s="398"/>
      <c r="AKG155" s="398"/>
      <c r="AKH155" s="398"/>
      <c r="AKI155" s="398"/>
      <c r="AKJ155" s="398"/>
      <c r="AKK155" s="398"/>
      <c r="AKL155" s="398"/>
      <c r="AKM155" s="398"/>
      <c r="AKN155" s="398"/>
      <c r="AKO155" s="398"/>
      <c r="AKP155" s="398"/>
      <c r="AKQ155" s="398"/>
      <c r="AKR155" s="398"/>
      <c r="AKS155" s="398"/>
      <c r="AKT155" s="398"/>
      <c r="AKU155" s="398"/>
      <c r="AKV155" s="398"/>
      <c r="AKW155" s="398"/>
      <c r="AKX155" s="398"/>
      <c r="AKY155" s="398"/>
      <c r="AKZ155" s="398"/>
      <c r="ALA155" s="398"/>
      <c r="ALB155" s="398"/>
      <c r="ALC155" s="398"/>
      <c r="ALD155" s="398"/>
      <c r="ALE155" s="398"/>
      <c r="ALF155" s="398"/>
      <c r="ALG155" s="398"/>
      <c r="ALH155" s="398"/>
      <c r="ALI155" s="398"/>
      <c r="ALJ155" s="398"/>
      <c r="ALK155" s="398"/>
      <c r="ALL155" s="398"/>
      <c r="ALM155" s="398"/>
      <c r="ALN155" s="398"/>
      <c r="ALO155" s="398"/>
      <c r="ALP155" s="398"/>
      <c r="ALQ155" s="398"/>
      <c r="ALR155" s="398"/>
      <c r="ALS155" s="398"/>
      <c r="ALT155" s="398"/>
      <c r="ALU155" s="398"/>
      <c r="ALV155" s="398"/>
      <c r="ALW155" s="398"/>
      <c r="ALX155" s="398"/>
      <c r="ALY155" s="398"/>
      <c r="ALZ155" s="398"/>
      <c r="AMA155" s="398"/>
      <c r="AMB155" s="398"/>
      <c r="AMC155" s="398"/>
      <c r="AMD155" s="398"/>
      <c r="AME155" s="398"/>
      <c r="AMF155" s="398"/>
      <c r="AMG155" s="398"/>
      <c r="AMH155" s="398"/>
      <c r="AMI155" s="398"/>
      <c r="AMJ155" s="398"/>
      <c r="AMK155" s="398"/>
      <c r="AML155" s="398"/>
      <c r="AMM155" s="398"/>
      <c r="AMN155" s="398"/>
      <c r="AMO155" s="398"/>
      <c r="AMP155" s="398"/>
      <c r="AMQ155" s="398"/>
      <c r="AMR155" s="398"/>
      <c r="AMS155" s="398"/>
      <c r="AMT155" s="398"/>
      <c r="AMU155" s="398"/>
      <c r="AMV155" s="398"/>
      <c r="AMW155" s="398"/>
      <c r="AMX155" s="398"/>
      <c r="AMY155" s="398"/>
      <c r="AMZ155" s="398"/>
      <c r="ANA155" s="398"/>
      <c r="ANB155" s="398"/>
      <c r="ANC155" s="398"/>
      <c r="AND155" s="398"/>
      <c r="ANE155" s="398"/>
      <c r="ANF155" s="398"/>
      <c r="ANG155" s="398"/>
      <c r="ANH155" s="398"/>
      <c r="ANI155" s="398"/>
      <c r="ANJ155" s="398"/>
      <c r="ANK155" s="398"/>
      <c r="ANL155" s="398"/>
      <c r="ANM155" s="398"/>
      <c r="ANN155" s="398"/>
      <c r="ANO155" s="398"/>
      <c r="ANP155" s="398"/>
      <c r="ANQ155" s="398"/>
      <c r="ANR155" s="398"/>
      <c r="ANS155" s="398"/>
      <c r="ANT155" s="398"/>
      <c r="ANU155" s="398"/>
      <c r="ANV155" s="398"/>
      <c r="ANW155" s="398"/>
      <c r="ANX155" s="398"/>
      <c r="ANY155" s="398"/>
      <c r="ANZ155" s="398"/>
      <c r="AOA155" s="398"/>
      <c r="AOB155" s="398"/>
      <c r="AOC155" s="398"/>
      <c r="AOD155" s="398"/>
      <c r="AOE155" s="398"/>
      <c r="AOF155" s="398"/>
      <c r="AOG155" s="398"/>
      <c r="AOH155" s="398"/>
      <c r="AOI155" s="398"/>
      <c r="AOJ155" s="398"/>
      <c r="AOK155" s="398"/>
      <c r="AOL155" s="398"/>
      <c r="AOM155" s="398"/>
      <c r="AON155" s="398"/>
      <c r="AOO155" s="398"/>
      <c r="AOP155" s="398"/>
      <c r="AOQ155" s="398"/>
      <c r="AOR155" s="398"/>
      <c r="AOS155" s="398"/>
      <c r="AOT155" s="398"/>
      <c r="AOU155" s="398"/>
      <c r="AOV155" s="398"/>
      <c r="AOW155" s="398"/>
      <c r="AOX155" s="398"/>
      <c r="AOY155" s="398"/>
      <c r="AOZ155" s="398"/>
      <c r="APA155" s="398"/>
      <c r="APB155" s="398"/>
      <c r="APC155" s="398"/>
      <c r="APD155" s="398"/>
      <c r="APE155" s="398"/>
      <c r="APF155" s="398"/>
      <c r="APG155" s="398"/>
      <c r="APH155" s="398"/>
      <c r="API155" s="398"/>
      <c r="APJ155" s="398"/>
      <c r="APK155" s="398"/>
      <c r="APL155" s="398"/>
      <c r="APM155" s="398"/>
      <c r="APN155" s="398"/>
      <c r="APO155" s="398"/>
      <c r="APP155" s="398"/>
      <c r="APQ155" s="398"/>
      <c r="APR155" s="398"/>
      <c r="APS155" s="398"/>
      <c r="APT155" s="398"/>
      <c r="APU155" s="398"/>
      <c r="APV155" s="398"/>
      <c r="APW155" s="398"/>
      <c r="APX155" s="398"/>
      <c r="APY155" s="398"/>
      <c r="APZ155" s="398"/>
      <c r="AQA155" s="398"/>
      <c r="AQB155" s="398"/>
      <c r="AQC155" s="398"/>
      <c r="AQD155" s="398"/>
      <c r="AQE155" s="398"/>
      <c r="AQF155" s="398"/>
      <c r="AQG155" s="398"/>
      <c r="AQH155" s="398"/>
      <c r="AQI155" s="398"/>
      <c r="AQJ155" s="398"/>
      <c r="AQK155" s="398"/>
      <c r="AQL155" s="398"/>
      <c r="AQM155" s="398"/>
      <c r="AQN155" s="398"/>
      <c r="AQO155" s="398"/>
      <c r="AQP155" s="398"/>
      <c r="AQQ155" s="398"/>
      <c r="AQR155" s="398"/>
      <c r="AQS155" s="398"/>
      <c r="AQT155" s="398"/>
      <c r="AQU155" s="398"/>
      <c r="AQV155" s="398"/>
      <c r="AQW155" s="398"/>
      <c r="AQX155" s="398"/>
      <c r="AQY155" s="398"/>
      <c r="AQZ155" s="398"/>
      <c r="ARA155" s="398"/>
      <c r="ARB155" s="398"/>
      <c r="ARC155" s="398"/>
      <c r="ARD155" s="398"/>
      <c r="ARE155" s="398"/>
      <c r="ARF155" s="398"/>
      <c r="ARG155" s="398"/>
      <c r="ARH155" s="398"/>
      <c r="ARI155" s="398"/>
      <c r="ARJ155" s="398"/>
      <c r="ARK155" s="398"/>
      <c r="ARL155" s="398"/>
      <c r="ARM155" s="398"/>
      <c r="ARN155" s="398"/>
      <c r="ARO155" s="398"/>
      <c r="ARP155" s="398"/>
      <c r="ARQ155" s="398"/>
      <c r="ARR155" s="398"/>
      <c r="ARS155" s="398"/>
      <c r="ART155" s="398"/>
      <c r="ARU155" s="398"/>
      <c r="ARV155" s="398"/>
      <c r="ARW155" s="398"/>
      <c r="ARX155" s="398"/>
      <c r="ARY155" s="398"/>
      <c r="ARZ155" s="398"/>
      <c r="ASA155" s="398"/>
      <c r="ASB155" s="398"/>
      <c r="ASC155" s="398"/>
      <c r="ASD155" s="398"/>
      <c r="ASE155" s="398"/>
      <c r="ASF155" s="398"/>
      <c r="ASG155" s="398"/>
      <c r="ASH155" s="398"/>
      <c r="ASI155" s="398"/>
      <c r="ASJ155" s="398"/>
      <c r="ASK155" s="398"/>
      <c r="ASL155" s="398"/>
      <c r="ASM155" s="398"/>
      <c r="ASN155" s="398"/>
      <c r="ASO155" s="398"/>
      <c r="ASP155" s="398"/>
      <c r="ASQ155" s="398"/>
      <c r="ASR155" s="398"/>
      <c r="ASS155" s="398"/>
      <c r="AST155" s="398"/>
      <c r="ASU155" s="398"/>
      <c r="ASV155" s="398"/>
      <c r="ASW155" s="398"/>
      <c r="ASX155" s="398"/>
      <c r="ASY155" s="398"/>
      <c r="ASZ155" s="398"/>
      <c r="ATA155" s="398"/>
      <c r="ATB155" s="398"/>
      <c r="ATC155" s="398"/>
      <c r="ATD155" s="398"/>
      <c r="ATE155" s="398"/>
      <c r="ATF155" s="398"/>
      <c r="ATG155" s="398"/>
      <c r="ATH155" s="398"/>
      <c r="ATI155" s="398"/>
      <c r="ATJ155" s="398"/>
      <c r="ATK155" s="398"/>
      <c r="ATL155" s="398"/>
      <c r="ATM155" s="398"/>
      <c r="ATN155" s="398"/>
      <c r="ATO155" s="398"/>
      <c r="ATP155" s="398"/>
      <c r="ATQ155" s="398"/>
      <c r="ATR155" s="398"/>
      <c r="ATS155" s="398"/>
      <c r="ATT155" s="398"/>
      <c r="ATU155" s="398"/>
      <c r="ATV155" s="398"/>
      <c r="ATW155" s="398"/>
      <c r="ATX155" s="398"/>
      <c r="ATY155" s="398"/>
      <c r="ATZ155" s="398"/>
      <c r="AUA155" s="398"/>
      <c r="AUB155" s="398"/>
      <c r="AUC155" s="398"/>
      <c r="AUD155" s="398"/>
      <c r="AUE155" s="398"/>
      <c r="AUF155" s="398"/>
      <c r="AUG155" s="398"/>
      <c r="AUH155" s="398"/>
      <c r="AUI155" s="398"/>
      <c r="AUJ155" s="398"/>
      <c r="AUK155" s="398"/>
      <c r="AUL155" s="398"/>
      <c r="AUM155" s="398"/>
      <c r="AUN155" s="398"/>
      <c r="AUO155" s="398"/>
      <c r="AUP155" s="398"/>
      <c r="AUQ155" s="398"/>
      <c r="AUR155" s="398"/>
      <c r="AUS155" s="398"/>
      <c r="AUT155" s="398"/>
      <c r="AUU155" s="398"/>
      <c r="AUV155" s="398"/>
      <c r="AUW155" s="398"/>
      <c r="AUX155" s="398"/>
      <c r="AUY155" s="398"/>
      <c r="AUZ155" s="398"/>
      <c r="AVA155" s="398"/>
      <c r="AVB155" s="398"/>
      <c r="AVC155" s="398"/>
      <c r="AVD155" s="398"/>
      <c r="AVE155" s="398"/>
      <c r="AVF155" s="398"/>
      <c r="AVG155" s="398"/>
      <c r="AVH155" s="398"/>
      <c r="AVI155" s="398"/>
      <c r="AVJ155" s="398"/>
      <c r="AVK155" s="398"/>
      <c r="AVL155" s="398"/>
      <c r="AVM155" s="398"/>
      <c r="AVN155" s="398"/>
      <c r="AVO155" s="398"/>
      <c r="AVP155" s="398"/>
      <c r="AVQ155" s="398"/>
      <c r="AVR155" s="398"/>
      <c r="AVS155" s="398"/>
      <c r="AVT155" s="398"/>
      <c r="AVU155" s="398"/>
      <c r="AVV155" s="398"/>
      <c r="AVW155" s="398"/>
      <c r="AVX155" s="398"/>
      <c r="AVY155" s="398"/>
      <c r="AVZ155" s="398"/>
      <c r="AWA155" s="398"/>
      <c r="AWB155" s="398"/>
      <c r="AWC155" s="398"/>
      <c r="AWD155" s="398"/>
      <c r="AWE155" s="398"/>
      <c r="AWF155" s="398"/>
      <c r="AWG155" s="398"/>
      <c r="AWH155" s="398"/>
      <c r="AWI155" s="398"/>
      <c r="AWJ155" s="398"/>
      <c r="AWK155" s="398"/>
      <c r="AWL155" s="398"/>
      <c r="AWM155" s="398"/>
      <c r="AWN155" s="398"/>
      <c r="AWO155" s="398"/>
      <c r="AWP155" s="398"/>
      <c r="AWQ155" s="398"/>
      <c r="AWR155" s="398"/>
      <c r="AWS155" s="398"/>
      <c r="AWT155" s="398"/>
      <c r="AWU155" s="398"/>
      <c r="AWV155" s="398"/>
      <c r="AWW155" s="398"/>
      <c r="AWX155" s="398"/>
      <c r="AWY155" s="398"/>
      <c r="AWZ155" s="398"/>
      <c r="AXA155" s="398"/>
      <c r="AXB155" s="398"/>
      <c r="AXC155" s="398"/>
      <c r="AXD155" s="398"/>
      <c r="AXE155" s="398"/>
      <c r="AXF155" s="398"/>
      <c r="AXG155" s="398"/>
      <c r="AXH155" s="398"/>
      <c r="AXI155" s="398"/>
      <c r="AXJ155" s="398"/>
      <c r="AXK155" s="398"/>
      <c r="AXL155" s="398"/>
      <c r="AXM155" s="398"/>
      <c r="AXN155" s="398"/>
      <c r="AXO155" s="398"/>
      <c r="AXP155" s="398"/>
      <c r="AXQ155" s="398"/>
      <c r="AXR155" s="398"/>
      <c r="AXS155" s="398"/>
      <c r="AXT155" s="398"/>
      <c r="AXU155" s="398"/>
      <c r="AXV155" s="398"/>
      <c r="AXW155" s="398"/>
      <c r="AXX155" s="398"/>
      <c r="AXY155" s="398"/>
      <c r="AXZ155" s="398"/>
      <c r="AYA155" s="398"/>
      <c r="AYB155" s="398"/>
      <c r="AYC155" s="398"/>
      <c r="AYD155" s="398"/>
      <c r="AYE155" s="398"/>
      <c r="AYF155" s="398"/>
      <c r="AYG155" s="398"/>
      <c r="AYH155" s="398"/>
      <c r="AYI155" s="398"/>
      <c r="AYJ155" s="398"/>
      <c r="AYK155" s="398"/>
      <c r="AYL155" s="398"/>
      <c r="AYM155" s="398"/>
      <c r="AYN155" s="398"/>
      <c r="AYO155" s="398"/>
      <c r="AYP155" s="398"/>
      <c r="AYQ155" s="398"/>
      <c r="AYR155" s="398"/>
      <c r="AYS155" s="398"/>
      <c r="AYT155" s="398"/>
      <c r="AYU155" s="398"/>
      <c r="AYV155" s="398"/>
      <c r="AYW155" s="398"/>
      <c r="AYX155" s="398"/>
      <c r="AYY155" s="398"/>
      <c r="AYZ155" s="398"/>
      <c r="AZA155" s="398"/>
      <c r="AZB155" s="398"/>
      <c r="AZC155" s="398"/>
      <c r="AZD155" s="398"/>
      <c r="AZE155" s="398"/>
      <c r="AZF155" s="398"/>
      <c r="AZG155" s="398"/>
      <c r="AZH155" s="398"/>
      <c r="AZI155" s="398"/>
      <c r="AZJ155" s="398"/>
      <c r="AZK155" s="398"/>
      <c r="AZL155" s="398"/>
      <c r="AZM155" s="398"/>
      <c r="AZN155" s="398"/>
      <c r="AZO155" s="398"/>
      <c r="AZP155" s="398"/>
      <c r="AZQ155" s="398"/>
      <c r="AZR155" s="398"/>
      <c r="AZS155" s="398"/>
      <c r="AZT155" s="398"/>
      <c r="AZU155" s="398"/>
      <c r="AZV155" s="398"/>
      <c r="AZW155" s="398"/>
      <c r="AZX155" s="398"/>
      <c r="AZY155" s="398"/>
      <c r="AZZ155" s="398"/>
      <c r="BAA155" s="398"/>
      <c r="BAB155" s="398"/>
      <c r="BAC155" s="398"/>
      <c r="BAD155" s="398"/>
      <c r="BAE155" s="398"/>
      <c r="BAF155" s="398"/>
      <c r="BAG155" s="398"/>
      <c r="BAH155" s="398"/>
      <c r="BAI155" s="398"/>
      <c r="BAJ155" s="398"/>
      <c r="BAK155" s="398"/>
      <c r="BAL155" s="398"/>
      <c r="BAM155" s="398"/>
      <c r="BAN155" s="398"/>
      <c r="BAO155" s="398"/>
      <c r="BAP155" s="398"/>
      <c r="BAQ155" s="398"/>
      <c r="BAR155" s="398"/>
      <c r="BAS155" s="398"/>
      <c r="BAT155" s="398"/>
      <c r="BAU155" s="398"/>
      <c r="BAV155" s="398"/>
      <c r="BAW155" s="398"/>
      <c r="BAX155" s="398"/>
      <c r="BAY155" s="398"/>
      <c r="BAZ155" s="398"/>
      <c r="BBA155" s="398"/>
      <c r="BBB155" s="398"/>
      <c r="BBC155" s="398"/>
      <c r="BBD155" s="398"/>
      <c r="BBE155" s="398"/>
      <c r="BBF155" s="398"/>
      <c r="BBG155" s="398"/>
      <c r="BBH155" s="398"/>
      <c r="BBI155" s="398"/>
      <c r="BBJ155" s="398"/>
      <c r="BBK155" s="398"/>
      <c r="BBL155" s="398"/>
      <c r="BBM155" s="398"/>
      <c r="BBN155" s="398"/>
      <c r="BBO155" s="398"/>
      <c r="BBP155" s="398"/>
      <c r="BBQ155" s="398"/>
      <c r="BBR155" s="398"/>
      <c r="BBS155" s="398"/>
      <c r="BBT155" s="398"/>
      <c r="BBU155" s="398"/>
      <c r="BBV155" s="398"/>
      <c r="BBW155" s="398"/>
      <c r="BBX155" s="398"/>
      <c r="BBY155" s="398"/>
      <c r="BBZ155" s="398"/>
      <c r="BCA155" s="398"/>
      <c r="BCB155" s="398"/>
      <c r="BCC155" s="398"/>
      <c r="BCD155" s="398"/>
      <c r="BCE155" s="398"/>
      <c r="BCF155" s="398"/>
      <c r="BCG155" s="398"/>
      <c r="BCH155" s="398"/>
      <c r="BCI155" s="398"/>
      <c r="BCJ155" s="398"/>
      <c r="BCK155" s="398"/>
      <c r="BCL155" s="398"/>
      <c r="BCM155" s="398"/>
      <c r="BCN155" s="398"/>
      <c r="BCO155" s="398"/>
      <c r="BCP155" s="398"/>
      <c r="BCQ155" s="398"/>
      <c r="BCR155" s="398"/>
      <c r="BCS155" s="398"/>
      <c r="BCT155" s="398"/>
      <c r="BCU155" s="398"/>
      <c r="BCV155" s="398"/>
      <c r="BCW155" s="398"/>
      <c r="BCX155" s="398"/>
      <c r="BCY155" s="398"/>
      <c r="BCZ155" s="398"/>
      <c r="BDA155" s="398"/>
      <c r="BDB155" s="398"/>
      <c r="BDC155" s="398"/>
      <c r="BDD155" s="398"/>
      <c r="BDE155" s="398"/>
      <c r="BDF155" s="398"/>
      <c r="BDG155" s="398"/>
      <c r="BDH155" s="398"/>
      <c r="BDI155" s="398"/>
      <c r="BDJ155" s="398"/>
      <c r="BDK155" s="398"/>
      <c r="BDL155" s="398"/>
      <c r="BDM155" s="398"/>
      <c r="BDN155" s="398"/>
      <c r="BDO155" s="398"/>
      <c r="BDP155" s="398"/>
      <c r="BDQ155" s="398"/>
      <c r="BDR155" s="398"/>
      <c r="BDS155" s="398"/>
      <c r="BDT155" s="398"/>
      <c r="BDU155" s="398"/>
      <c r="BDV155" s="398"/>
      <c r="BDW155" s="398"/>
      <c r="BDX155" s="398"/>
      <c r="BDY155" s="398"/>
      <c r="BDZ155" s="398"/>
      <c r="BEA155" s="398"/>
      <c r="BEB155" s="398"/>
      <c r="BEC155" s="398"/>
      <c r="BED155" s="398"/>
      <c r="BEE155" s="398"/>
      <c r="BEF155" s="398"/>
      <c r="BEG155" s="398"/>
      <c r="BEH155" s="398"/>
      <c r="BEI155" s="398"/>
      <c r="BEJ155" s="398"/>
      <c r="BEK155" s="398"/>
      <c r="BEL155" s="398"/>
      <c r="BEM155" s="398"/>
      <c r="BEN155" s="398"/>
      <c r="BEO155" s="398"/>
      <c r="BEP155" s="398"/>
      <c r="BEQ155" s="398"/>
      <c r="BER155" s="398"/>
      <c r="BES155" s="398"/>
      <c r="BET155" s="398"/>
      <c r="BEU155" s="398"/>
      <c r="BEV155" s="398"/>
      <c r="BEW155" s="398"/>
      <c r="BEX155" s="398"/>
      <c r="BEY155" s="398"/>
      <c r="BEZ155" s="398"/>
      <c r="BFA155" s="398"/>
      <c r="BFB155" s="398"/>
      <c r="BFC155" s="398"/>
      <c r="BFD155" s="398"/>
      <c r="BFE155" s="398"/>
      <c r="BFF155" s="398"/>
      <c r="BFG155" s="398"/>
      <c r="BFH155" s="398"/>
      <c r="BFI155" s="398"/>
      <c r="BFJ155" s="398"/>
      <c r="BFK155" s="398"/>
      <c r="BFL155" s="398"/>
      <c r="BFM155" s="398"/>
      <c r="BFN155" s="398"/>
      <c r="BFO155" s="398"/>
      <c r="BFP155" s="398"/>
      <c r="BFQ155" s="398"/>
      <c r="BFR155" s="398"/>
      <c r="BFS155" s="398"/>
      <c r="BFT155" s="398"/>
      <c r="BFU155" s="398"/>
      <c r="BFV155" s="398"/>
      <c r="BFW155" s="398"/>
      <c r="BFX155" s="398"/>
      <c r="BFY155" s="398"/>
      <c r="BFZ155" s="398"/>
      <c r="BGA155" s="398"/>
      <c r="BGB155" s="398"/>
      <c r="BGC155" s="398"/>
      <c r="BGD155" s="398"/>
      <c r="BGE155" s="398"/>
      <c r="BGF155" s="398"/>
      <c r="BGG155" s="398"/>
      <c r="BGH155" s="398"/>
      <c r="BGI155" s="398"/>
      <c r="BGJ155" s="398"/>
      <c r="BGK155" s="398"/>
      <c r="BGL155" s="398"/>
      <c r="BGM155" s="398"/>
      <c r="BGN155" s="398"/>
      <c r="BGO155" s="398"/>
      <c r="BGP155" s="398"/>
      <c r="BGQ155" s="398"/>
      <c r="BGR155" s="398"/>
      <c r="BGS155" s="398"/>
      <c r="BGT155" s="398"/>
      <c r="BGU155" s="398"/>
      <c r="BGV155" s="398"/>
      <c r="BGW155" s="398"/>
      <c r="BGX155" s="398"/>
      <c r="BGY155" s="398"/>
      <c r="BGZ155" s="398"/>
      <c r="BHA155" s="398"/>
      <c r="BHB155" s="398"/>
      <c r="BHC155" s="398"/>
      <c r="BHD155" s="398"/>
      <c r="BHE155" s="398"/>
      <c r="BHF155" s="398"/>
      <c r="BHG155" s="398"/>
      <c r="BHH155" s="398"/>
      <c r="BHI155" s="398"/>
      <c r="BHJ155" s="398"/>
      <c r="BHK155" s="398"/>
      <c r="BHL155" s="398"/>
      <c r="BHM155" s="398"/>
      <c r="BHN155" s="398"/>
      <c r="BHO155" s="398"/>
      <c r="BHP155" s="398"/>
      <c r="BHQ155" s="398"/>
      <c r="BHR155" s="398"/>
      <c r="BHS155" s="398"/>
      <c r="BHT155" s="398"/>
      <c r="BHU155" s="398"/>
      <c r="BHV155" s="398"/>
      <c r="BHW155" s="398"/>
      <c r="BHX155" s="398"/>
      <c r="BHY155" s="398"/>
      <c r="BHZ155" s="398"/>
      <c r="BIA155" s="398"/>
      <c r="BIB155" s="398"/>
      <c r="BIC155" s="398"/>
      <c r="BID155" s="398"/>
      <c r="BIE155" s="398"/>
      <c r="BIF155" s="398"/>
      <c r="BIG155" s="398"/>
      <c r="BIH155" s="398"/>
      <c r="BII155" s="398"/>
      <c r="BIJ155" s="398"/>
      <c r="BIK155" s="398"/>
      <c r="BIL155" s="398"/>
      <c r="BIM155" s="398"/>
      <c r="BIN155" s="398"/>
      <c r="BIO155" s="398"/>
      <c r="BIP155" s="398"/>
      <c r="BIQ155" s="398"/>
      <c r="BIR155" s="398"/>
      <c r="BIS155" s="398"/>
      <c r="BIT155" s="398"/>
      <c r="BIU155" s="398"/>
      <c r="BIV155" s="398"/>
      <c r="BIW155" s="398"/>
      <c r="BIX155" s="398"/>
      <c r="BIY155" s="398"/>
      <c r="BIZ155" s="398"/>
      <c r="BJA155" s="398"/>
      <c r="BJB155" s="398"/>
      <c r="BJC155" s="398"/>
      <c r="BJD155" s="398"/>
      <c r="BJE155" s="398"/>
      <c r="BJF155" s="398"/>
      <c r="BJG155" s="398"/>
      <c r="BJH155" s="398"/>
      <c r="BJI155" s="398"/>
      <c r="BJJ155" s="398"/>
      <c r="BJK155" s="398"/>
      <c r="BJL155" s="398"/>
      <c r="BJM155" s="398"/>
      <c r="BJN155" s="398"/>
      <c r="BJO155" s="398"/>
      <c r="BJP155" s="398"/>
      <c r="BJQ155" s="398"/>
      <c r="BJR155" s="398"/>
      <c r="BJS155" s="398"/>
      <c r="BJT155" s="398"/>
      <c r="BJU155" s="398"/>
      <c r="BJV155" s="398"/>
      <c r="BJW155" s="398"/>
      <c r="BJX155" s="398"/>
      <c r="BJY155" s="398"/>
      <c r="BJZ155" s="398"/>
      <c r="BKA155" s="398"/>
      <c r="BKB155" s="398"/>
      <c r="BKC155" s="398"/>
      <c r="BKD155" s="398"/>
      <c r="BKE155" s="398"/>
      <c r="BKF155" s="398"/>
      <c r="BKG155" s="398"/>
      <c r="BKH155" s="398"/>
      <c r="BKI155" s="398"/>
      <c r="BKJ155" s="398"/>
      <c r="BKK155" s="398"/>
      <c r="BKL155" s="398"/>
      <c r="BKM155" s="398"/>
      <c r="BKN155" s="398"/>
      <c r="BKO155" s="398"/>
      <c r="BKP155" s="398"/>
      <c r="BKQ155" s="398"/>
      <c r="BKR155" s="398"/>
      <c r="BKS155" s="398"/>
      <c r="BKT155" s="398"/>
      <c r="BKU155" s="398"/>
      <c r="BKV155" s="398"/>
      <c r="BKW155" s="398"/>
      <c r="BKX155" s="398"/>
      <c r="BKY155" s="398"/>
      <c r="BKZ155" s="398"/>
      <c r="BLA155" s="398"/>
      <c r="BLB155" s="398"/>
      <c r="BLC155" s="398"/>
      <c r="BLD155" s="398"/>
      <c r="BLE155" s="398"/>
      <c r="BLF155" s="398"/>
      <c r="BLG155" s="398"/>
      <c r="BLH155" s="398"/>
      <c r="BLI155" s="398"/>
      <c r="BLJ155" s="398"/>
      <c r="BLK155" s="398"/>
      <c r="BLL155" s="398"/>
      <c r="BLM155" s="398"/>
      <c r="BLN155" s="398"/>
      <c r="BLO155" s="398"/>
      <c r="BLP155" s="398"/>
      <c r="BLQ155" s="398"/>
      <c r="BLR155" s="398"/>
      <c r="BLS155" s="398"/>
      <c r="BLT155" s="398"/>
      <c r="BLU155" s="398"/>
      <c r="BLV155" s="398"/>
      <c r="BLW155" s="398"/>
      <c r="BLX155" s="398"/>
      <c r="BLY155" s="398"/>
      <c r="BLZ155" s="398"/>
      <c r="BMA155" s="398"/>
      <c r="BMB155" s="398"/>
      <c r="BMC155" s="398"/>
      <c r="BMD155" s="398"/>
      <c r="BME155" s="398"/>
      <c r="BMF155" s="398"/>
      <c r="BMG155" s="398"/>
      <c r="BMH155" s="398"/>
      <c r="BMI155" s="398"/>
      <c r="BMJ155" s="398"/>
      <c r="BMK155" s="398"/>
      <c r="BML155" s="398"/>
      <c r="BMM155" s="398"/>
      <c r="BMN155" s="398"/>
      <c r="BMO155" s="398"/>
      <c r="BMP155" s="398"/>
      <c r="BMQ155" s="398"/>
      <c r="BMR155" s="398"/>
      <c r="BMS155" s="398"/>
      <c r="BMT155" s="398"/>
      <c r="BMU155" s="398"/>
      <c r="BMV155" s="398"/>
      <c r="BMW155" s="398"/>
      <c r="BMX155" s="398"/>
      <c r="BMY155" s="398"/>
      <c r="BMZ155" s="398"/>
      <c r="BNA155" s="398"/>
      <c r="BNB155" s="398"/>
      <c r="BNC155" s="398"/>
      <c r="BND155" s="398"/>
      <c r="BNE155" s="398"/>
      <c r="BNF155" s="398"/>
      <c r="BNG155" s="398"/>
      <c r="BNH155" s="398"/>
      <c r="BNI155" s="398"/>
      <c r="BNJ155" s="398"/>
      <c r="BNK155" s="398"/>
      <c r="BNL155" s="398"/>
      <c r="BNM155" s="398"/>
      <c r="BNN155" s="398"/>
      <c r="BNO155" s="398"/>
      <c r="BNP155" s="398"/>
      <c r="BNQ155" s="398"/>
      <c r="BNR155" s="398"/>
      <c r="BNS155" s="398"/>
      <c r="BNT155" s="398"/>
      <c r="BNU155" s="398"/>
      <c r="BNV155" s="398"/>
      <c r="BNW155" s="398"/>
      <c r="BNX155" s="398"/>
      <c r="BNY155" s="398"/>
      <c r="BNZ155" s="398"/>
      <c r="BOA155" s="398"/>
      <c r="BOB155" s="398"/>
      <c r="BOC155" s="398"/>
      <c r="BOD155" s="398"/>
      <c r="BOE155" s="398"/>
      <c r="BOF155" s="398"/>
      <c r="BOG155" s="398"/>
      <c r="BOH155" s="398"/>
      <c r="BOI155" s="398"/>
      <c r="BOJ155" s="398"/>
      <c r="BOK155" s="398"/>
      <c r="BOL155" s="398"/>
      <c r="BOM155" s="398"/>
      <c r="BON155" s="398"/>
      <c r="BOO155" s="398"/>
      <c r="BOP155" s="398"/>
      <c r="BOQ155" s="398"/>
      <c r="BOR155" s="398"/>
      <c r="BOS155" s="398"/>
      <c r="BOT155" s="398"/>
      <c r="BOU155" s="398"/>
      <c r="BOV155" s="398"/>
      <c r="BOW155" s="398"/>
      <c r="BOX155" s="398"/>
      <c r="BOY155" s="398"/>
      <c r="BOZ155" s="398"/>
      <c r="BPA155" s="398"/>
      <c r="BPB155" s="398"/>
      <c r="BPC155" s="398"/>
      <c r="BPD155" s="398"/>
      <c r="BPE155" s="398"/>
      <c r="BPF155" s="398"/>
      <c r="BPG155" s="398"/>
      <c r="BPH155" s="398"/>
      <c r="BPI155" s="398"/>
      <c r="BPJ155" s="398"/>
      <c r="BPK155" s="398"/>
      <c r="BPL155" s="398"/>
      <c r="BPM155" s="398"/>
      <c r="BPN155" s="398"/>
      <c r="BPO155" s="398"/>
      <c r="BPP155" s="398"/>
      <c r="BPQ155" s="398"/>
      <c r="BPR155" s="398"/>
      <c r="BPS155" s="398"/>
      <c r="BPT155" s="398"/>
      <c r="BPU155" s="398"/>
      <c r="BPV155" s="398"/>
      <c r="BPW155" s="398"/>
      <c r="BPX155" s="398"/>
      <c r="BPY155" s="398"/>
      <c r="BPZ155" s="398"/>
      <c r="BQA155" s="398"/>
      <c r="BQB155" s="398"/>
      <c r="BQC155" s="398"/>
      <c r="BQD155" s="398"/>
      <c r="BQE155" s="398"/>
      <c r="BQF155" s="398"/>
      <c r="BQG155" s="398"/>
      <c r="BQH155" s="398"/>
      <c r="BQI155" s="398"/>
      <c r="BQJ155" s="398"/>
      <c r="BQK155" s="398"/>
      <c r="BQL155" s="398"/>
      <c r="BQM155" s="398"/>
      <c r="BQN155" s="398"/>
      <c r="BQO155" s="398"/>
      <c r="BQP155" s="398"/>
      <c r="BQQ155" s="398"/>
      <c r="BQR155" s="398"/>
      <c r="BQS155" s="398"/>
      <c r="BQT155" s="398"/>
      <c r="BQU155" s="398"/>
      <c r="BQV155" s="398"/>
      <c r="BQW155" s="398"/>
      <c r="BQX155" s="398"/>
      <c r="BQY155" s="398"/>
      <c r="BQZ155" s="398"/>
      <c r="BRA155" s="398"/>
      <c r="BRB155" s="398"/>
      <c r="BRC155" s="398"/>
      <c r="BRD155" s="398"/>
      <c r="BRE155" s="398"/>
      <c r="BRF155" s="398"/>
      <c r="BRG155" s="398"/>
      <c r="BRH155" s="398"/>
      <c r="BRI155" s="398"/>
      <c r="BRJ155" s="398"/>
      <c r="BRK155" s="398"/>
      <c r="BRL155" s="398"/>
      <c r="BRM155" s="398"/>
      <c r="BRN155" s="398"/>
      <c r="BRO155" s="398"/>
      <c r="BRP155" s="398"/>
      <c r="BRQ155" s="398"/>
      <c r="BRR155" s="398"/>
      <c r="BRS155" s="398"/>
      <c r="BRT155" s="398"/>
      <c r="BRU155" s="398"/>
      <c r="BRV155" s="398"/>
      <c r="BRW155" s="398"/>
      <c r="BRX155" s="398"/>
      <c r="BRY155" s="398"/>
      <c r="BRZ155" s="398"/>
      <c r="BSA155" s="398"/>
      <c r="BSB155" s="398"/>
      <c r="BSC155" s="398"/>
      <c r="BSD155" s="398"/>
      <c r="BSE155" s="398"/>
      <c r="BSF155" s="398"/>
      <c r="BSG155" s="398"/>
      <c r="BSH155" s="398"/>
      <c r="BSI155" s="398"/>
      <c r="BSJ155" s="398"/>
      <c r="BSK155" s="398"/>
      <c r="BSL155" s="398"/>
      <c r="BSM155" s="398"/>
      <c r="BSN155" s="398"/>
      <c r="BSO155" s="398"/>
      <c r="BSP155" s="398"/>
      <c r="BSQ155" s="398"/>
      <c r="BSR155" s="398"/>
      <c r="BSS155" s="398"/>
      <c r="BST155" s="398"/>
      <c r="BSU155" s="398"/>
      <c r="BSV155" s="398"/>
      <c r="BSW155" s="398"/>
      <c r="BSX155" s="398"/>
      <c r="BSY155" s="398"/>
      <c r="BSZ155" s="398"/>
      <c r="BTA155" s="398"/>
      <c r="BTB155" s="398"/>
      <c r="BTC155" s="398"/>
      <c r="BTD155" s="398"/>
      <c r="BTE155" s="398"/>
      <c r="BTF155" s="398"/>
      <c r="BTG155" s="398"/>
      <c r="BTH155" s="398"/>
      <c r="BTI155" s="398"/>
      <c r="BTJ155" s="398"/>
      <c r="BTK155" s="398"/>
      <c r="BTL155" s="398"/>
      <c r="BTM155" s="398"/>
      <c r="BTN155" s="398"/>
      <c r="BTO155" s="398"/>
      <c r="BTP155" s="398"/>
      <c r="BTQ155" s="398"/>
      <c r="BTR155" s="398"/>
      <c r="BTS155" s="398"/>
      <c r="BTT155" s="398"/>
      <c r="BTU155" s="398"/>
      <c r="BTV155" s="398"/>
      <c r="BTW155" s="398"/>
      <c r="BTX155" s="398"/>
      <c r="BTY155" s="398"/>
      <c r="BTZ155" s="398"/>
      <c r="BUA155" s="398"/>
      <c r="BUB155" s="398"/>
      <c r="BUC155" s="398"/>
      <c r="BUD155" s="398"/>
      <c r="BUE155" s="398"/>
      <c r="BUF155" s="398"/>
      <c r="BUG155" s="398"/>
      <c r="BUH155" s="398"/>
      <c r="BUI155" s="398"/>
      <c r="BUJ155" s="398"/>
      <c r="BUK155" s="398"/>
      <c r="BUL155" s="398"/>
      <c r="BUM155" s="398"/>
      <c r="BUN155" s="398"/>
      <c r="BUO155" s="398"/>
      <c r="BUP155" s="398"/>
      <c r="BUQ155" s="398"/>
      <c r="BUR155" s="398"/>
      <c r="BUS155" s="398"/>
      <c r="BUT155" s="398"/>
      <c r="BUU155" s="398"/>
      <c r="BUV155" s="398"/>
      <c r="BUW155" s="398"/>
      <c r="BUX155" s="398"/>
      <c r="BUY155" s="398"/>
      <c r="BUZ155" s="398"/>
      <c r="BVA155" s="398"/>
      <c r="BVB155" s="398"/>
      <c r="BVC155" s="398"/>
      <c r="BVD155" s="398"/>
      <c r="BVE155" s="398"/>
      <c r="BVF155" s="398"/>
      <c r="BVG155" s="398"/>
      <c r="BVH155" s="398"/>
      <c r="BVI155" s="398"/>
      <c r="BVJ155" s="398"/>
      <c r="BVK155" s="398"/>
      <c r="BVL155" s="398"/>
      <c r="BVM155" s="398"/>
      <c r="BVN155" s="398"/>
      <c r="BVO155" s="398"/>
      <c r="BVP155" s="398"/>
      <c r="BVQ155" s="398"/>
      <c r="BVR155" s="398"/>
      <c r="BVS155" s="398"/>
      <c r="BVT155" s="398"/>
      <c r="BVU155" s="398"/>
      <c r="BVV155" s="398"/>
      <c r="BVW155" s="398"/>
      <c r="BVX155" s="398"/>
      <c r="BVY155" s="398"/>
      <c r="BVZ155" s="398"/>
      <c r="BWA155" s="398"/>
      <c r="BWB155" s="398"/>
      <c r="BWC155" s="398"/>
      <c r="BWD155" s="398"/>
      <c r="BWE155" s="398"/>
      <c r="BWF155" s="398"/>
      <c r="BWG155" s="398"/>
      <c r="BWH155" s="398"/>
      <c r="BWI155" s="398"/>
      <c r="BWJ155" s="398"/>
      <c r="BWK155" s="398"/>
      <c r="BWL155" s="398"/>
      <c r="BWM155" s="398"/>
      <c r="BWN155" s="398"/>
      <c r="BWO155" s="398"/>
      <c r="BWP155" s="398"/>
      <c r="BWQ155" s="398"/>
      <c r="BWR155" s="398"/>
      <c r="BWS155" s="398"/>
      <c r="BWT155" s="398"/>
      <c r="BWU155" s="398"/>
      <c r="BWV155" s="398"/>
      <c r="BWW155" s="398"/>
      <c r="BWX155" s="398"/>
      <c r="BWY155" s="398"/>
      <c r="BWZ155" s="398"/>
      <c r="BXA155" s="398"/>
      <c r="BXB155" s="398"/>
      <c r="BXC155" s="398"/>
      <c r="BXD155" s="398"/>
      <c r="BXE155" s="398"/>
      <c r="BXF155" s="398"/>
      <c r="BXG155" s="398"/>
      <c r="BXH155" s="398"/>
      <c r="BXI155" s="398"/>
      <c r="BXJ155" s="398"/>
      <c r="BXK155" s="398"/>
      <c r="BXL155" s="398"/>
      <c r="BXM155" s="398"/>
      <c r="BXN155" s="398"/>
      <c r="BXO155" s="398"/>
      <c r="BXP155" s="398"/>
      <c r="BXQ155" s="398"/>
      <c r="BXR155" s="398"/>
      <c r="BXS155" s="398"/>
      <c r="BXT155" s="398"/>
      <c r="BXU155" s="398"/>
      <c r="BXV155" s="398"/>
      <c r="BXW155" s="398"/>
      <c r="BXX155" s="398"/>
      <c r="BXY155" s="398"/>
      <c r="BXZ155" s="398"/>
      <c r="BYA155" s="398"/>
      <c r="BYB155" s="398"/>
      <c r="BYC155" s="398"/>
      <c r="BYD155" s="398"/>
      <c r="BYE155" s="398"/>
      <c r="BYF155" s="398"/>
      <c r="BYG155" s="398"/>
      <c r="BYH155" s="398"/>
      <c r="BYI155" s="398"/>
      <c r="BYJ155" s="398"/>
      <c r="BYK155" s="398"/>
      <c r="BYL155" s="398"/>
      <c r="BYM155" s="398"/>
      <c r="BYN155" s="398"/>
      <c r="BYO155" s="398"/>
      <c r="BYP155" s="398"/>
      <c r="BYQ155" s="398"/>
      <c r="BYR155" s="398"/>
      <c r="BYS155" s="398"/>
      <c r="BYT155" s="398"/>
      <c r="BYU155" s="398"/>
      <c r="BYV155" s="398"/>
      <c r="BYW155" s="398"/>
      <c r="BYX155" s="398"/>
      <c r="BYY155" s="398"/>
      <c r="BYZ155" s="398"/>
      <c r="BZA155" s="398"/>
      <c r="BZB155" s="398"/>
      <c r="BZC155" s="398"/>
      <c r="BZD155" s="398"/>
      <c r="BZE155" s="398"/>
      <c r="BZF155" s="398"/>
      <c r="BZG155" s="398"/>
      <c r="BZH155" s="398"/>
      <c r="BZI155" s="398"/>
      <c r="BZJ155" s="398"/>
      <c r="BZK155" s="398"/>
      <c r="BZL155" s="398"/>
      <c r="BZM155" s="398"/>
      <c r="BZN155" s="398"/>
      <c r="BZO155" s="398"/>
      <c r="BZP155" s="398"/>
      <c r="BZQ155" s="398"/>
      <c r="BZR155" s="398"/>
      <c r="BZS155" s="398"/>
      <c r="BZT155" s="398"/>
      <c r="BZU155" s="398"/>
      <c r="BZV155" s="398"/>
      <c r="BZW155" s="398"/>
      <c r="BZX155" s="398"/>
      <c r="BZY155" s="398"/>
      <c r="BZZ155" s="398"/>
      <c r="CAA155" s="398"/>
      <c r="CAB155" s="398"/>
      <c r="CAC155" s="398"/>
      <c r="CAD155" s="398"/>
      <c r="CAE155" s="398"/>
      <c r="CAF155" s="398"/>
      <c r="CAG155" s="398"/>
      <c r="CAH155" s="398"/>
      <c r="CAI155" s="398"/>
      <c r="CAJ155" s="398"/>
      <c r="CAK155" s="398"/>
      <c r="CAL155" s="398"/>
      <c r="CAM155" s="398"/>
      <c r="CAN155" s="398"/>
      <c r="CAO155" s="398"/>
      <c r="CAP155" s="398"/>
      <c r="CAQ155" s="398"/>
      <c r="CAR155" s="398"/>
      <c r="CAS155" s="398"/>
      <c r="CAT155" s="398"/>
      <c r="CAU155" s="398"/>
      <c r="CAV155" s="398"/>
      <c r="CAW155" s="398"/>
      <c r="CAX155" s="398"/>
      <c r="CAY155" s="398"/>
      <c r="CAZ155" s="398"/>
      <c r="CBA155" s="398"/>
      <c r="CBB155" s="398"/>
      <c r="CBC155" s="398"/>
      <c r="CBD155" s="398"/>
      <c r="CBE155" s="398"/>
      <c r="CBF155" s="398"/>
      <c r="CBG155" s="398"/>
      <c r="CBH155" s="398"/>
      <c r="CBI155" s="398"/>
      <c r="CBJ155" s="398"/>
      <c r="CBK155" s="398"/>
      <c r="CBL155" s="398"/>
      <c r="CBM155" s="398"/>
      <c r="CBN155" s="398"/>
      <c r="CBO155" s="398"/>
      <c r="CBP155" s="398"/>
      <c r="CBQ155" s="398"/>
      <c r="CBR155" s="398"/>
      <c r="CBS155" s="398"/>
      <c r="CBT155" s="398"/>
      <c r="CBU155" s="398"/>
      <c r="CBV155" s="398"/>
      <c r="CBW155" s="398"/>
      <c r="CBX155" s="398"/>
      <c r="CBY155" s="398"/>
      <c r="CBZ155" s="398"/>
      <c r="CCA155" s="398"/>
      <c r="CCB155" s="398"/>
      <c r="CCC155" s="398"/>
      <c r="CCD155" s="398"/>
      <c r="CCE155" s="398"/>
      <c r="CCF155" s="398"/>
      <c r="CCG155" s="398"/>
      <c r="CCH155" s="398"/>
      <c r="CCI155" s="398"/>
      <c r="CCJ155" s="398"/>
      <c r="CCK155" s="398"/>
      <c r="CCL155" s="398"/>
      <c r="CCM155" s="398"/>
      <c r="CCN155" s="398"/>
      <c r="CCO155" s="398"/>
      <c r="CCP155" s="398"/>
      <c r="CCQ155" s="398"/>
      <c r="CCR155" s="398"/>
      <c r="CCS155" s="398"/>
      <c r="CCT155" s="398"/>
      <c r="CCU155" s="398"/>
      <c r="CCV155" s="398"/>
      <c r="CCW155" s="398"/>
      <c r="CCX155" s="398"/>
      <c r="CCY155" s="398"/>
      <c r="CCZ155" s="398"/>
      <c r="CDA155" s="398"/>
      <c r="CDB155" s="398"/>
      <c r="CDC155" s="398"/>
      <c r="CDD155" s="398"/>
      <c r="CDE155" s="398"/>
      <c r="CDF155" s="398"/>
      <c r="CDG155" s="398"/>
      <c r="CDH155" s="398"/>
      <c r="CDI155" s="398"/>
      <c r="CDJ155" s="398"/>
      <c r="CDK155" s="398"/>
      <c r="CDL155" s="398"/>
      <c r="CDM155" s="398"/>
      <c r="CDN155" s="398"/>
      <c r="CDO155" s="398"/>
      <c r="CDP155" s="398"/>
      <c r="CDQ155" s="398"/>
      <c r="CDR155" s="398"/>
      <c r="CDS155" s="398"/>
      <c r="CDT155" s="398"/>
      <c r="CDU155" s="398"/>
      <c r="CDV155" s="398"/>
      <c r="CDW155" s="398"/>
      <c r="CDX155" s="398"/>
      <c r="CDY155" s="398"/>
      <c r="CDZ155" s="398"/>
      <c r="CEA155" s="398"/>
      <c r="CEB155" s="398"/>
      <c r="CEC155" s="398"/>
      <c r="CED155" s="398"/>
      <c r="CEE155" s="398"/>
      <c r="CEF155" s="398"/>
      <c r="CEG155" s="398"/>
      <c r="CEH155" s="398"/>
      <c r="CEI155" s="398"/>
      <c r="CEJ155" s="398"/>
      <c r="CEK155" s="398"/>
      <c r="CEL155" s="398"/>
      <c r="CEM155" s="398"/>
      <c r="CEN155" s="398"/>
      <c r="CEO155" s="398"/>
      <c r="CEP155" s="398"/>
      <c r="CEQ155" s="398"/>
      <c r="CER155" s="398"/>
      <c r="CES155" s="398"/>
      <c r="CET155" s="398"/>
      <c r="CEU155" s="398"/>
      <c r="CEV155" s="398"/>
      <c r="CEW155" s="398"/>
      <c r="CEX155" s="398"/>
      <c r="CEY155" s="398"/>
      <c r="CEZ155" s="398"/>
      <c r="CFA155" s="398"/>
      <c r="CFB155" s="398"/>
      <c r="CFC155" s="398"/>
      <c r="CFD155" s="398"/>
      <c r="CFE155" s="398"/>
      <c r="CFF155" s="398"/>
      <c r="CFG155" s="398"/>
      <c r="CFH155" s="398"/>
      <c r="CFI155" s="398"/>
      <c r="CFJ155" s="398"/>
      <c r="CFK155" s="398"/>
      <c r="CFL155" s="398"/>
      <c r="CFM155" s="398"/>
      <c r="CFN155" s="398"/>
      <c r="CFO155" s="398"/>
      <c r="CFP155" s="398"/>
      <c r="CFQ155" s="398"/>
      <c r="CFR155" s="398"/>
      <c r="CFS155" s="398"/>
      <c r="CFT155" s="398"/>
      <c r="CFU155" s="398"/>
      <c r="CFV155" s="398"/>
      <c r="CFW155" s="398"/>
      <c r="CFX155" s="398"/>
      <c r="CFY155" s="398"/>
      <c r="CFZ155" s="398"/>
      <c r="CGA155" s="398"/>
      <c r="CGB155" s="398"/>
      <c r="CGC155" s="398"/>
      <c r="CGD155" s="398"/>
      <c r="CGE155" s="398"/>
      <c r="CGF155" s="398"/>
      <c r="CGG155" s="398"/>
      <c r="CGH155" s="398"/>
      <c r="CGI155" s="398"/>
      <c r="CGJ155" s="398"/>
      <c r="CGK155" s="398"/>
      <c r="CGL155" s="398"/>
      <c r="CGM155" s="398"/>
      <c r="CGN155" s="398"/>
      <c r="CGO155" s="398"/>
      <c r="CGP155" s="398"/>
      <c r="CGQ155" s="398"/>
      <c r="CGR155" s="398"/>
      <c r="CGS155" s="398"/>
      <c r="CGT155" s="398"/>
      <c r="CGU155" s="398"/>
      <c r="CGV155" s="398"/>
      <c r="CGW155" s="398"/>
      <c r="CGX155" s="398"/>
      <c r="CGY155" s="398"/>
      <c r="CGZ155" s="398"/>
      <c r="CHA155" s="398"/>
      <c r="CHB155" s="398"/>
      <c r="CHC155" s="398"/>
      <c r="CHD155" s="398"/>
      <c r="CHE155" s="398"/>
      <c r="CHF155" s="398"/>
      <c r="CHG155" s="398"/>
      <c r="CHH155" s="398"/>
      <c r="CHI155" s="398"/>
      <c r="CHJ155" s="398"/>
      <c r="CHK155" s="398"/>
      <c r="CHL155" s="398"/>
      <c r="CHM155" s="398"/>
      <c r="CHN155" s="398"/>
      <c r="CHO155" s="398"/>
      <c r="CHP155" s="398"/>
      <c r="CHQ155" s="398"/>
      <c r="CHR155" s="398"/>
      <c r="CHS155" s="398"/>
      <c r="CHT155" s="398"/>
      <c r="CHU155" s="398"/>
      <c r="CHV155" s="398"/>
      <c r="CHW155" s="398"/>
      <c r="CHX155" s="398"/>
      <c r="CHY155" s="398"/>
      <c r="CHZ155" s="398"/>
      <c r="CIA155" s="398"/>
      <c r="CIB155" s="398"/>
      <c r="CIC155" s="398"/>
      <c r="CID155" s="398"/>
      <c r="CIE155" s="398"/>
      <c r="CIF155" s="398"/>
      <c r="CIG155" s="398"/>
      <c r="CIH155" s="398"/>
      <c r="CII155" s="398"/>
      <c r="CIJ155" s="398"/>
      <c r="CIK155" s="398"/>
      <c r="CIL155" s="398"/>
      <c r="CIM155" s="398"/>
      <c r="CIN155" s="398"/>
      <c r="CIO155" s="398"/>
      <c r="CIP155" s="398"/>
      <c r="CIQ155" s="398"/>
      <c r="CIR155" s="398"/>
      <c r="CIS155" s="398"/>
      <c r="CIT155" s="398"/>
      <c r="CIU155" s="398"/>
      <c r="CIV155" s="398"/>
      <c r="CIW155" s="398"/>
      <c r="CIX155" s="398"/>
      <c r="CIY155" s="398"/>
      <c r="CIZ155" s="398"/>
      <c r="CJA155" s="398"/>
      <c r="CJB155" s="398"/>
      <c r="CJC155" s="398"/>
      <c r="CJD155" s="398"/>
      <c r="CJE155" s="398"/>
      <c r="CJF155" s="398"/>
      <c r="CJG155" s="398"/>
      <c r="CJH155" s="398"/>
      <c r="CJI155" s="398"/>
      <c r="CJJ155" s="398"/>
      <c r="CJK155" s="398"/>
      <c r="CJL155" s="398"/>
      <c r="CJM155" s="398"/>
      <c r="CJN155" s="398"/>
      <c r="CJO155" s="398"/>
      <c r="CJP155" s="398"/>
      <c r="CJQ155" s="398"/>
      <c r="CJR155" s="398"/>
      <c r="CJS155" s="398"/>
      <c r="CJT155" s="398"/>
      <c r="CJU155" s="398"/>
      <c r="CJV155" s="398"/>
      <c r="CJW155" s="398"/>
      <c r="CJX155" s="398"/>
      <c r="CJY155" s="398"/>
      <c r="CJZ155" s="398"/>
      <c r="CKA155" s="398"/>
      <c r="CKB155" s="398"/>
      <c r="CKC155" s="398"/>
      <c r="CKD155" s="398"/>
      <c r="CKE155" s="398"/>
      <c r="CKF155" s="398"/>
      <c r="CKG155" s="398"/>
      <c r="CKH155" s="398"/>
      <c r="CKI155" s="398"/>
      <c r="CKJ155" s="398"/>
      <c r="CKK155" s="398"/>
      <c r="CKL155" s="398"/>
      <c r="CKM155" s="398"/>
      <c r="CKN155" s="398"/>
      <c r="CKO155" s="398"/>
      <c r="CKP155" s="398"/>
      <c r="CKQ155" s="398"/>
      <c r="CKR155" s="398"/>
      <c r="CKS155" s="398"/>
      <c r="CKT155" s="398"/>
      <c r="CKU155" s="398"/>
      <c r="CKV155" s="398"/>
      <c r="CKW155" s="398"/>
      <c r="CKX155" s="398"/>
      <c r="CKY155" s="398"/>
      <c r="CKZ155" s="398"/>
      <c r="CLA155" s="398"/>
      <c r="CLB155" s="398"/>
      <c r="CLC155" s="398"/>
      <c r="CLD155" s="398"/>
      <c r="CLE155" s="398"/>
      <c r="CLF155" s="398"/>
      <c r="CLG155" s="398"/>
      <c r="CLH155" s="398"/>
      <c r="CLI155" s="398"/>
      <c r="CLJ155" s="398"/>
      <c r="CLK155" s="398"/>
      <c r="CLL155" s="398"/>
      <c r="CLM155" s="398"/>
      <c r="CLN155" s="398"/>
      <c r="CLO155" s="398"/>
      <c r="CLP155" s="398"/>
      <c r="CLQ155" s="398"/>
      <c r="CLR155" s="398"/>
      <c r="CLS155" s="398"/>
      <c r="CLT155" s="398"/>
      <c r="CLU155" s="398"/>
      <c r="CLV155" s="398"/>
      <c r="CLW155" s="398"/>
      <c r="CLX155" s="398"/>
      <c r="CLY155" s="398"/>
      <c r="CLZ155" s="398"/>
      <c r="CMA155" s="398"/>
      <c r="CMB155" s="398"/>
      <c r="CMC155" s="398"/>
      <c r="CMD155" s="398"/>
      <c r="CME155" s="398"/>
      <c r="CMF155" s="398"/>
      <c r="CMG155" s="398"/>
      <c r="CMH155" s="398"/>
      <c r="CMI155" s="398"/>
      <c r="CMJ155" s="398"/>
      <c r="CMK155" s="398"/>
      <c r="CML155" s="398"/>
      <c r="CMM155" s="398"/>
      <c r="CMN155" s="398"/>
      <c r="CMO155" s="398"/>
      <c r="CMP155" s="398"/>
      <c r="CMQ155" s="398"/>
      <c r="CMR155" s="398"/>
      <c r="CMS155" s="398"/>
      <c r="CMT155" s="398"/>
      <c r="CMU155" s="398"/>
      <c r="CMV155" s="398"/>
      <c r="CMW155" s="398"/>
      <c r="CMX155" s="398"/>
      <c r="CMY155" s="398"/>
      <c r="CMZ155" s="398"/>
      <c r="CNA155" s="398"/>
      <c r="CNB155" s="398"/>
      <c r="CNC155" s="398"/>
      <c r="CND155" s="398"/>
      <c r="CNE155" s="398"/>
      <c r="CNF155" s="398"/>
      <c r="CNG155" s="398"/>
      <c r="CNH155" s="398"/>
      <c r="CNI155" s="398"/>
      <c r="CNJ155" s="398"/>
      <c r="CNK155" s="398"/>
      <c r="CNL155" s="398"/>
      <c r="CNM155" s="398"/>
      <c r="CNN155" s="398"/>
      <c r="CNO155" s="398"/>
      <c r="CNP155" s="398"/>
      <c r="CNQ155" s="398"/>
      <c r="CNR155" s="398"/>
      <c r="CNS155" s="398"/>
      <c r="CNT155" s="398"/>
      <c r="CNU155" s="398"/>
      <c r="CNV155" s="398"/>
      <c r="CNW155" s="398"/>
      <c r="CNX155" s="398"/>
      <c r="CNY155" s="398"/>
      <c r="CNZ155" s="398"/>
      <c r="COA155" s="398"/>
      <c r="COB155" s="398"/>
      <c r="COC155" s="398"/>
      <c r="COD155" s="398"/>
      <c r="COE155" s="398"/>
      <c r="COF155" s="398"/>
      <c r="COG155" s="398"/>
      <c r="COH155" s="398"/>
      <c r="COI155" s="398"/>
      <c r="COJ155" s="398"/>
      <c r="COK155" s="398"/>
      <c r="COL155" s="398"/>
      <c r="COM155" s="398"/>
      <c r="CON155" s="398"/>
      <c r="COO155" s="398"/>
      <c r="COP155" s="398"/>
      <c r="COQ155" s="398"/>
      <c r="COR155" s="398"/>
      <c r="COS155" s="398"/>
      <c r="COT155" s="398"/>
      <c r="COU155" s="398"/>
      <c r="COV155" s="398"/>
      <c r="COW155" s="398"/>
      <c r="COX155" s="398"/>
      <c r="COY155" s="398"/>
      <c r="COZ155" s="398"/>
      <c r="CPA155" s="398"/>
      <c r="CPB155" s="398"/>
      <c r="CPC155" s="398"/>
      <c r="CPD155" s="398"/>
      <c r="CPE155" s="398"/>
      <c r="CPF155" s="398"/>
      <c r="CPG155" s="398"/>
      <c r="CPH155" s="398"/>
      <c r="CPI155" s="398"/>
      <c r="CPJ155" s="398"/>
      <c r="CPK155" s="398"/>
      <c r="CPL155" s="398"/>
      <c r="CPM155" s="398"/>
      <c r="CPN155" s="398"/>
      <c r="CPO155" s="398"/>
      <c r="CPP155" s="398"/>
      <c r="CPQ155" s="398"/>
      <c r="CPR155" s="398"/>
      <c r="CPS155" s="398"/>
      <c r="CPT155" s="398"/>
      <c r="CPU155" s="398"/>
      <c r="CPV155" s="398"/>
      <c r="CPW155" s="398"/>
      <c r="CPX155" s="398"/>
      <c r="CPY155" s="398"/>
      <c r="CPZ155" s="398"/>
      <c r="CQA155" s="398"/>
      <c r="CQB155" s="398"/>
      <c r="CQC155" s="398"/>
      <c r="CQD155" s="398"/>
      <c r="CQE155" s="398"/>
      <c r="CQF155" s="398"/>
      <c r="CQG155" s="398"/>
      <c r="CQH155" s="398"/>
      <c r="CQI155" s="398"/>
      <c r="CQJ155" s="398"/>
      <c r="CQK155" s="398"/>
      <c r="CQL155" s="398"/>
      <c r="CQM155" s="398"/>
      <c r="CQN155" s="398"/>
      <c r="CQO155" s="398"/>
      <c r="CQP155" s="398"/>
      <c r="CQQ155" s="398"/>
      <c r="CQR155" s="398"/>
      <c r="CQS155" s="398"/>
      <c r="CQT155" s="398"/>
      <c r="CQU155" s="398"/>
      <c r="CQV155" s="398"/>
      <c r="CQW155" s="398"/>
      <c r="CQX155" s="398"/>
      <c r="CQY155" s="398"/>
      <c r="CQZ155" s="398"/>
      <c r="CRA155" s="398"/>
      <c r="CRB155" s="398"/>
      <c r="CRC155" s="398"/>
      <c r="CRD155" s="398"/>
      <c r="CRE155" s="398"/>
      <c r="CRF155" s="398"/>
      <c r="CRG155" s="398"/>
      <c r="CRH155" s="398"/>
      <c r="CRI155" s="398"/>
      <c r="CRJ155" s="398"/>
      <c r="CRK155" s="398"/>
      <c r="CRL155" s="398"/>
      <c r="CRM155" s="398"/>
      <c r="CRN155" s="398"/>
      <c r="CRO155" s="398"/>
      <c r="CRP155" s="398"/>
      <c r="CRQ155" s="398"/>
      <c r="CRR155" s="398"/>
      <c r="CRS155" s="398"/>
      <c r="CRT155" s="398"/>
      <c r="CRU155" s="398"/>
      <c r="CRV155" s="398"/>
      <c r="CRW155" s="398"/>
      <c r="CRX155" s="398"/>
      <c r="CRY155" s="398"/>
      <c r="CRZ155" s="398"/>
      <c r="CSA155" s="398"/>
      <c r="CSB155" s="398"/>
      <c r="CSC155" s="398"/>
      <c r="CSD155" s="398"/>
      <c r="CSE155" s="398"/>
      <c r="CSF155" s="398"/>
      <c r="CSG155" s="398"/>
      <c r="CSH155" s="398"/>
      <c r="CSI155" s="398"/>
      <c r="CSJ155" s="398"/>
      <c r="CSK155" s="398"/>
      <c r="CSL155" s="398"/>
      <c r="CSM155" s="398"/>
      <c r="CSN155" s="398"/>
      <c r="CSO155" s="398"/>
      <c r="CSP155" s="398"/>
      <c r="CSQ155" s="398"/>
      <c r="CSR155" s="398"/>
      <c r="CSS155" s="398"/>
      <c r="CST155" s="398"/>
      <c r="CSU155" s="398"/>
      <c r="CSV155" s="398"/>
      <c r="CSW155" s="398"/>
      <c r="CSX155" s="398"/>
      <c r="CSY155" s="398"/>
      <c r="CSZ155" s="398"/>
      <c r="CTA155" s="398"/>
      <c r="CTB155" s="398"/>
      <c r="CTC155" s="398"/>
      <c r="CTD155" s="398"/>
      <c r="CTE155" s="398"/>
      <c r="CTF155" s="398"/>
      <c r="CTG155" s="398"/>
      <c r="CTH155" s="398"/>
      <c r="CTI155" s="398"/>
      <c r="CTJ155" s="398"/>
      <c r="CTK155" s="398"/>
      <c r="CTL155" s="398"/>
      <c r="CTM155" s="398"/>
      <c r="CTN155" s="398"/>
      <c r="CTO155" s="398"/>
      <c r="CTP155" s="398"/>
      <c r="CTQ155" s="398"/>
      <c r="CTR155" s="398"/>
      <c r="CTS155" s="398"/>
      <c r="CTT155" s="398"/>
      <c r="CTU155" s="398"/>
      <c r="CTV155" s="398"/>
      <c r="CTW155" s="398"/>
      <c r="CTX155" s="398"/>
      <c r="CTY155" s="398"/>
      <c r="CTZ155" s="398"/>
      <c r="CUA155" s="398"/>
      <c r="CUB155" s="398"/>
      <c r="CUC155" s="398"/>
      <c r="CUD155" s="398"/>
      <c r="CUE155" s="398"/>
      <c r="CUF155" s="398"/>
      <c r="CUG155" s="398"/>
      <c r="CUH155" s="398"/>
      <c r="CUI155" s="398"/>
      <c r="CUJ155" s="398"/>
      <c r="CUK155" s="398"/>
      <c r="CUL155" s="398"/>
      <c r="CUM155" s="398"/>
      <c r="CUN155" s="398"/>
      <c r="CUO155" s="398"/>
      <c r="CUP155" s="398"/>
      <c r="CUQ155" s="398"/>
      <c r="CUR155" s="398"/>
      <c r="CUS155" s="398"/>
      <c r="CUT155" s="398"/>
      <c r="CUU155" s="398"/>
      <c r="CUV155" s="398"/>
      <c r="CUW155" s="398"/>
      <c r="CUX155" s="398"/>
      <c r="CUY155" s="398"/>
      <c r="CUZ155" s="398"/>
      <c r="CVA155" s="398"/>
      <c r="CVB155" s="398"/>
      <c r="CVC155" s="398"/>
      <c r="CVD155" s="398"/>
      <c r="CVE155" s="398"/>
      <c r="CVF155" s="398"/>
      <c r="CVG155" s="398"/>
      <c r="CVH155" s="398"/>
      <c r="CVI155" s="398"/>
      <c r="CVJ155" s="398"/>
      <c r="CVK155" s="398"/>
      <c r="CVL155" s="398"/>
      <c r="CVM155" s="398"/>
      <c r="CVN155" s="398"/>
      <c r="CVO155" s="398"/>
      <c r="CVP155" s="398"/>
      <c r="CVQ155" s="398"/>
      <c r="CVR155" s="398"/>
      <c r="CVS155" s="398"/>
      <c r="CVT155" s="398"/>
      <c r="CVU155" s="398"/>
      <c r="CVV155" s="398"/>
      <c r="CVW155" s="398"/>
      <c r="CVX155" s="398"/>
      <c r="CVY155" s="398"/>
      <c r="CVZ155" s="398"/>
      <c r="CWA155" s="398"/>
      <c r="CWB155" s="398"/>
      <c r="CWC155" s="398"/>
      <c r="CWD155" s="398"/>
      <c r="CWE155" s="398"/>
      <c r="CWF155" s="398"/>
      <c r="CWG155" s="398"/>
      <c r="CWH155" s="398"/>
      <c r="CWI155" s="398"/>
      <c r="CWJ155" s="398"/>
      <c r="CWK155" s="398"/>
      <c r="CWL155" s="398"/>
      <c r="CWM155" s="398"/>
      <c r="CWN155" s="398"/>
      <c r="CWO155" s="398"/>
      <c r="CWP155" s="398"/>
      <c r="CWQ155" s="398"/>
      <c r="CWR155" s="398"/>
      <c r="CWS155" s="398"/>
      <c r="CWT155" s="398"/>
      <c r="CWU155" s="398"/>
      <c r="CWV155" s="398"/>
      <c r="CWW155" s="398"/>
      <c r="CWX155" s="398"/>
      <c r="CWY155" s="398"/>
      <c r="CWZ155" s="398"/>
      <c r="CXA155" s="398"/>
      <c r="CXB155" s="398"/>
      <c r="CXC155" s="398"/>
      <c r="CXD155" s="398"/>
      <c r="CXE155" s="398"/>
      <c r="CXF155" s="398"/>
      <c r="CXG155" s="398"/>
      <c r="CXH155" s="398"/>
      <c r="CXI155" s="398"/>
      <c r="CXJ155" s="398"/>
      <c r="CXK155" s="398"/>
      <c r="CXL155" s="398"/>
      <c r="CXM155" s="398"/>
      <c r="CXN155" s="398"/>
      <c r="CXO155" s="398"/>
      <c r="CXP155" s="398"/>
      <c r="CXQ155" s="398"/>
      <c r="CXR155" s="398"/>
      <c r="CXS155" s="398"/>
      <c r="CXT155" s="398"/>
      <c r="CXU155" s="398"/>
      <c r="CXV155" s="398"/>
      <c r="CXW155" s="398"/>
      <c r="CXX155" s="398"/>
      <c r="CXY155" s="398"/>
      <c r="CXZ155" s="398"/>
      <c r="CYA155" s="398"/>
      <c r="CYB155" s="398"/>
      <c r="CYC155" s="398"/>
      <c r="CYD155" s="398"/>
      <c r="CYE155" s="398"/>
      <c r="CYF155" s="398"/>
      <c r="CYG155" s="398"/>
      <c r="CYH155" s="398"/>
      <c r="CYI155" s="398"/>
      <c r="CYJ155" s="398"/>
      <c r="CYK155" s="398"/>
      <c r="CYL155" s="398"/>
      <c r="CYM155" s="398"/>
      <c r="CYN155" s="398"/>
      <c r="CYO155" s="398"/>
      <c r="CYP155" s="398"/>
      <c r="CYQ155" s="398"/>
      <c r="CYR155" s="398"/>
      <c r="CYS155" s="398"/>
      <c r="CYT155" s="398"/>
      <c r="CYU155" s="398"/>
      <c r="CYV155" s="398"/>
      <c r="CYW155" s="398"/>
      <c r="CYX155" s="398"/>
      <c r="CYY155" s="398"/>
      <c r="CYZ155" s="398"/>
      <c r="CZA155" s="398"/>
      <c r="CZB155" s="398"/>
      <c r="CZC155" s="398"/>
      <c r="CZD155" s="398"/>
      <c r="CZE155" s="398"/>
      <c r="CZF155" s="398"/>
      <c r="CZG155" s="398"/>
      <c r="CZH155" s="398"/>
      <c r="CZI155" s="398"/>
      <c r="CZJ155" s="398"/>
      <c r="CZK155" s="398"/>
      <c r="CZL155" s="398"/>
      <c r="CZM155" s="398"/>
      <c r="CZN155" s="398"/>
      <c r="CZO155" s="398"/>
      <c r="CZP155" s="398"/>
      <c r="CZQ155" s="398"/>
      <c r="CZR155" s="398"/>
      <c r="CZS155" s="398"/>
      <c r="CZT155" s="398"/>
      <c r="CZU155" s="398"/>
      <c r="CZV155" s="398"/>
      <c r="CZW155" s="398"/>
      <c r="CZX155" s="398"/>
      <c r="CZY155" s="398"/>
      <c r="CZZ155" s="398"/>
      <c r="DAA155" s="398"/>
      <c r="DAB155" s="398"/>
      <c r="DAC155" s="398"/>
      <c r="DAD155" s="398"/>
      <c r="DAE155" s="398"/>
      <c r="DAF155" s="398"/>
      <c r="DAG155" s="398"/>
      <c r="DAH155" s="398"/>
      <c r="DAI155" s="398"/>
      <c r="DAJ155" s="398"/>
      <c r="DAK155" s="398"/>
      <c r="DAL155" s="398"/>
      <c r="DAM155" s="398"/>
      <c r="DAN155" s="398"/>
      <c r="DAO155" s="398"/>
      <c r="DAP155" s="398"/>
      <c r="DAQ155" s="398"/>
      <c r="DAR155" s="398"/>
      <c r="DAS155" s="398"/>
      <c r="DAT155" s="398"/>
      <c r="DAU155" s="398"/>
      <c r="DAV155" s="398"/>
      <c r="DAW155" s="398"/>
      <c r="DAX155" s="398"/>
      <c r="DAY155" s="398"/>
      <c r="DAZ155" s="398"/>
      <c r="DBA155" s="398"/>
      <c r="DBB155" s="398"/>
      <c r="DBC155" s="398"/>
      <c r="DBD155" s="398"/>
      <c r="DBE155" s="398"/>
      <c r="DBF155" s="398"/>
      <c r="DBG155" s="398"/>
      <c r="DBH155" s="398"/>
      <c r="DBI155" s="398"/>
      <c r="DBJ155" s="398"/>
      <c r="DBK155" s="398"/>
      <c r="DBL155" s="398"/>
      <c r="DBM155" s="398"/>
      <c r="DBN155" s="398"/>
      <c r="DBO155" s="398"/>
      <c r="DBP155" s="398"/>
      <c r="DBQ155" s="398"/>
      <c r="DBR155" s="398"/>
      <c r="DBS155" s="398"/>
      <c r="DBT155" s="398"/>
      <c r="DBU155" s="398"/>
      <c r="DBV155" s="398"/>
      <c r="DBW155" s="398"/>
      <c r="DBX155" s="398"/>
      <c r="DBY155" s="398"/>
      <c r="DBZ155" s="398"/>
      <c r="DCA155" s="398"/>
      <c r="DCB155" s="398"/>
      <c r="DCC155" s="398"/>
      <c r="DCD155" s="398"/>
      <c r="DCE155" s="398"/>
      <c r="DCF155" s="398"/>
      <c r="DCG155" s="398"/>
      <c r="DCH155" s="398"/>
      <c r="DCI155" s="398"/>
      <c r="DCJ155" s="398"/>
      <c r="DCK155" s="398"/>
      <c r="DCL155" s="398"/>
      <c r="DCM155" s="398"/>
      <c r="DCN155" s="398"/>
      <c r="DCO155" s="398"/>
      <c r="DCP155" s="398"/>
      <c r="DCQ155" s="398"/>
      <c r="DCR155" s="398"/>
      <c r="DCS155" s="398"/>
      <c r="DCT155" s="398"/>
      <c r="DCU155" s="398"/>
      <c r="DCV155" s="398"/>
      <c r="DCW155" s="398"/>
      <c r="DCX155" s="398"/>
      <c r="DCY155" s="398"/>
      <c r="DCZ155" s="398"/>
      <c r="DDA155" s="398"/>
      <c r="DDB155" s="398"/>
      <c r="DDC155" s="398"/>
      <c r="DDD155" s="398"/>
      <c r="DDE155" s="398"/>
      <c r="DDF155" s="398"/>
      <c r="DDG155" s="398"/>
      <c r="DDH155" s="398"/>
      <c r="DDI155" s="398"/>
      <c r="DDJ155" s="398"/>
      <c r="DDK155" s="398"/>
      <c r="DDL155" s="398"/>
      <c r="DDM155" s="398"/>
      <c r="DDN155" s="398"/>
      <c r="DDO155" s="398"/>
      <c r="DDP155" s="398"/>
      <c r="DDQ155" s="398"/>
      <c r="DDR155" s="398"/>
      <c r="DDS155" s="398"/>
      <c r="DDT155" s="398"/>
      <c r="DDU155" s="398"/>
      <c r="DDV155" s="398"/>
      <c r="DDW155" s="398"/>
      <c r="DDX155" s="398"/>
      <c r="DDY155" s="398"/>
      <c r="DDZ155" s="398"/>
      <c r="DEA155" s="398"/>
      <c r="DEB155" s="398"/>
      <c r="DEC155" s="398"/>
      <c r="DED155" s="398"/>
      <c r="DEE155" s="398"/>
      <c r="DEF155" s="398"/>
      <c r="DEG155" s="398"/>
      <c r="DEH155" s="398"/>
      <c r="DEI155" s="398"/>
      <c r="DEJ155" s="398"/>
      <c r="DEK155" s="398"/>
      <c r="DEL155" s="398"/>
      <c r="DEM155" s="398"/>
      <c r="DEN155" s="398"/>
      <c r="DEO155" s="398"/>
      <c r="DEP155" s="398"/>
      <c r="DEQ155" s="398"/>
      <c r="DER155" s="398"/>
      <c r="DES155" s="398"/>
      <c r="DET155" s="398"/>
      <c r="DEU155" s="398"/>
      <c r="DEV155" s="398"/>
      <c r="DEW155" s="398"/>
      <c r="DEX155" s="398"/>
      <c r="DEY155" s="398"/>
      <c r="DEZ155" s="398"/>
      <c r="DFA155" s="398"/>
      <c r="DFB155" s="398"/>
      <c r="DFC155" s="398"/>
      <c r="DFD155" s="398"/>
      <c r="DFE155" s="398"/>
      <c r="DFF155" s="398"/>
      <c r="DFG155" s="398"/>
      <c r="DFH155" s="398"/>
      <c r="DFI155" s="398"/>
      <c r="DFJ155" s="398"/>
      <c r="DFK155" s="398"/>
      <c r="DFL155" s="398"/>
      <c r="DFM155" s="398"/>
      <c r="DFN155" s="398"/>
      <c r="DFO155" s="398"/>
      <c r="DFP155" s="398"/>
      <c r="DFQ155" s="398"/>
      <c r="DFR155" s="398"/>
      <c r="DFS155" s="398"/>
      <c r="DFT155" s="398"/>
      <c r="DFU155" s="398"/>
      <c r="DFV155" s="398"/>
      <c r="DFW155" s="398"/>
      <c r="DFX155" s="398"/>
      <c r="DFY155" s="398"/>
      <c r="DFZ155" s="398"/>
      <c r="DGA155" s="398"/>
      <c r="DGB155" s="398"/>
      <c r="DGC155" s="398"/>
      <c r="DGD155" s="398"/>
      <c r="DGE155" s="398"/>
      <c r="DGF155" s="398"/>
      <c r="DGG155" s="398"/>
      <c r="DGH155" s="398"/>
      <c r="DGI155" s="398"/>
      <c r="DGJ155" s="398"/>
      <c r="DGK155" s="398"/>
      <c r="DGL155" s="398"/>
      <c r="DGM155" s="398"/>
      <c r="DGN155" s="398"/>
      <c r="DGO155" s="398"/>
      <c r="DGP155" s="398"/>
      <c r="DGQ155" s="398"/>
      <c r="DGR155" s="398"/>
      <c r="DGS155" s="398"/>
      <c r="DGT155" s="398"/>
      <c r="DGU155" s="398"/>
      <c r="DGV155" s="398"/>
      <c r="DGW155" s="398"/>
      <c r="DGX155" s="398"/>
      <c r="DGY155" s="398"/>
      <c r="DGZ155" s="398"/>
      <c r="DHA155" s="398"/>
      <c r="DHB155" s="398"/>
      <c r="DHC155" s="398"/>
      <c r="DHD155" s="398"/>
      <c r="DHE155" s="398"/>
      <c r="DHF155" s="398"/>
      <c r="DHG155" s="398"/>
      <c r="DHH155" s="398"/>
      <c r="DHI155" s="398"/>
      <c r="DHJ155" s="398"/>
      <c r="DHK155" s="398"/>
      <c r="DHL155" s="398"/>
      <c r="DHM155" s="398"/>
      <c r="DHN155" s="398"/>
      <c r="DHO155" s="398"/>
      <c r="DHP155" s="398"/>
      <c r="DHQ155" s="398"/>
      <c r="DHR155" s="398"/>
      <c r="DHS155" s="398"/>
      <c r="DHT155" s="398"/>
      <c r="DHU155" s="398"/>
      <c r="DHV155" s="398"/>
      <c r="DHW155" s="398"/>
      <c r="DHX155" s="398"/>
      <c r="DHY155" s="398"/>
      <c r="DHZ155" s="398"/>
      <c r="DIA155" s="398"/>
      <c r="DIB155" s="398"/>
      <c r="DIC155" s="398"/>
      <c r="DID155" s="398"/>
      <c r="DIE155" s="398"/>
      <c r="DIF155" s="398"/>
      <c r="DIG155" s="398"/>
      <c r="DIH155" s="398"/>
      <c r="DII155" s="398"/>
      <c r="DIJ155" s="398"/>
      <c r="DIK155" s="398"/>
      <c r="DIL155" s="398"/>
      <c r="DIM155" s="398"/>
      <c r="DIN155" s="398"/>
      <c r="DIO155" s="398"/>
      <c r="DIP155" s="398"/>
      <c r="DIQ155" s="398"/>
      <c r="DIR155" s="398"/>
      <c r="DIS155" s="398"/>
      <c r="DIT155" s="398"/>
      <c r="DIU155" s="398"/>
      <c r="DIV155" s="398"/>
      <c r="DIW155" s="398"/>
      <c r="DIX155" s="398"/>
      <c r="DIY155" s="398"/>
      <c r="DIZ155" s="398"/>
      <c r="DJA155" s="398"/>
      <c r="DJB155" s="398"/>
      <c r="DJC155" s="398"/>
      <c r="DJD155" s="398"/>
      <c r="DJE155" s="398"/>
      <c r="DJF155" s="398"/>
      <c r="DJG155" s="398"/>
      <c r="DJH155" s="398"/>
      <c r="DJI155" s="398"/>
      <c r="DJJ155" s="398"/>
      <c r="DJK155" s="398"/>
      <c r="DJL155" s="398"/>
      <c r="DJM155" s="398"/>
      <c r="DJN155" s="398"/>
      <c r="DJO155" s="398"/>
      <c r="DJP155" s="398"/>
      <c r="DJQ155" s="398"/>
      <c r="DJR155" s="398"/>
      <c r="DJS155" s="398"/>
      <c r="DJT155" s="398"/>
      <c r="DJU155" s="398"/>
      <c r="DJV155" s="398"/>
      <c r="DJW155" s="398"/>
      <c r="DJX155" s="398"/>
      <c r="DJY155" s="398"/>
      <c r="DJZ155" s="398"/>
      <c r="DKA155" s="398"/>
      <c r="DKB155" s="398"/>
      <c r="DKC155" s="398"/>
      <c r="DKD155" s="398"/>
      <c r="DKE155" s="398"/>
      <c r="DKF155" s="398"/>
      <c r="DKG155" s="398"/>
      <c r="DKH155" s="398"/>
      <c r="DKI155" s="398"/>
      <c r="DKJ155" s="398"/>
      <c r="DKK155" s="398"/>
      <c r="DKL155" s="398"/>
      <c r="DKM155" s="398"/>
      <c r="DKN155" s="398"/>
      <c r="DKO155" s="398"/>
      <c r="DKP155" s="398"/>
      <c r="DKQ155" s="398"/>
      <c r="DKR155" s="398"/>
      <c r="DKS155" s="398"/>
      <c r="DKT155" s="398"/>
      <c r="DKU155" s="398"/>
      <c r="DKV155" s="398"/>
      <c r="DKW155" s="398"/>
      <c r="DKX155" s="398"/>
      <c r="DKY155" s="398"/>
      <c r="DKZ155" s="398"/>
      <c r="DLA155" s="398"/>
      <c r="DLB155" s="398"/>
      <c r="DLC155" s="398"/>
      <c r="DLD155" s="398"/>
      <c r="DLE155" s="398"/>
      <c r="DLF155" s="398"/>
      <c r="DLG155" s="398"/>
      <c r="DLH155" s="398"/>
      <c r="DLI155" s="398"/>
      <c r="DLJ155" s="398"/>
      <c r="DLK155" s="398"/>
      <c r="DLL155" s="398"/>
      <c r="DLM155" s="398"/>
      <c r="DLN155" s="398"/>
      <c r="DLO155" s="398"/>
      <c r="DLP155" s="398"/>
      <c r="DLQ155" s="398"/>
      <c r="DLR155" s="398"/>
      <c r="DLS155" s="398"/>
      <c r="DLT155" s="398"/>
      <c r="DLU155" s="398"/>
      <c r="DLV155" s="398"/>
      <c r="DLW155" s="398"/>
      <c r="DLX155" s="398"/>
      <c r="DLY155" s="398"/>
      <c r="DLZ155" s="398"/>
      <c r="DMA155" s="398"/>
      <c r="DMB155" s="398"/>
      <c r="DMC155" s="398"/>
      <c r="DMD155" s="398"/>
      <c r="DME155" s="398"/>
      <c r="DMF155" s="398"/>
      <c r="DMG155" s="398"/>
      <c r="DMH155" s="398"/>
      <c r="DMI155" s="398"/>
      <c r="DMJ155" s="398"/>
      <c r="DMK155" s="398"/>
      <c r="DML155" s="398"/>
      <c r="DMM155" s="398"/>
      <c r="DMN155" s="398"/>
      <c r="DMO155" s="398"/>
      <c r="DMP155" s="398"/>
      <c r="DMQ155" s="398"/>
      <c r="DMR155" s="398"/>
      <c r="DMS155" s="398"/>
      <c r="DMT155" s="398"/>
      <c r="DMU155" s="398"/>
      <c r="DMV155" s="398"/>
      <c r="DMW155" s="398"/>
      <c r="DMX155" s="398"/>
      <c r="DMY155" s="398"/>
      <c r="DMZ155" s="398"/>
      <c r="DNA155" s="398"/>
      <c r="DNB155" s="398"/>
      <c r="DNC155" s="398"/>
      <c r="DND155" s="398"/>
      <c r="DNE155" s="398"/>
      <c r="DNF155" s="398"/>
      <c r="DNG155" s="398"/>
      <c r="DNH155" s="398"/>
      <c r="DNI155" s="398"/>
      <c r="DNJ155" s="398"/>
      <c r="DNK155" s="398"/>
      <c r="DNL155" s="398"/>
      <c r="DNM155" s="398"/>
      <c r="DNN155" s="398"/>
      <c r="DNO155" s="398"/>
      <c r="DNP155" s="398"/>
      <c r="DNQ155" s="398"/>
      <c r="DNR155" s="398"/>
      <c r="DNS155" s="398"/>
      <c r="DNT155" s="398"/>
      <c r="DNU155" s="398"/>
      <c r="DNV155" s="398"/>
      <c r="DNW155" s="398"/>
      <c r="DNX155" s="398"/>
      <c r="DNY155" s="398"/>
      <c r="DNZ155" s="398"/>
      <c r="DOA155" s="398"/>
      <c r="DOB155" s="398"/>
      <c r="DOC155" s="398"/>
      <c r="DOD155" s="398"/>
      <c r="DOE155" s="398"/>
      <c r="DOF155" s="398"/>
      <c r="DOG155" s="398"/>
      <c r="DOH155" s="398"/>
      <c r="DOI155" s="398"/>
      <c r="DOJ155" s="398"/>
      <c r="DOK155" s="398"/>
      <c r="DOL155" s="398"/>
      <c r="DOM155" s="398"/>
      <c r="DON155" s="398"/>
      <c r="DOO155" s="398"/>
      <c r="DOP155" s="398"/>
      <c r="DOQ155" s="398"/>
      <c r="DOR155" s="398"/>
      <c r="DOS155" s="398"/>
      <c r="DOT155" s="398"/>
      <c r="DOU155" s="398"/>
      <c r="DOV155" s="398"/>
      <c r="DOW155" s="398"/>
      <c r="DOX155" s="398"/>
      <c r="DOY155" s="398"/>
      <c r="DOZ155" s="398"/>
      <c r="DPA155" s="398"/>
      <c r="DPB155" s="398"/>
      <c r="DPC155" s="398"/>
      <c r="DPD155" s="398"/>
      <c r="DPE155" s="398"/>
      <c r="DPF155" s="398"/>
      <c r="DPG155" s="398"/>
      <c r="DPH155" s="398"/>
      <c r="DPI155" s="398"/>
      <c r="DPJ155" s="398"/>
      <c r="DPK155" s="398"/>
      <c r="DPL155" s="398"/>
      <c r="DPM155" s="398"/>
      <c r="DPN155" s="398"/>
      <c r="DPO155" s="398"/>
      <c r="DPP155" s="398"/>
      <c r="DPQ155" s="398"/>
      <c r="DPR155" s="398"/>
      <c r="DPS155" s="398"/>
      <c r="DPT155" s="398"/>
      <c r="DPU155" s="398"/>
      <c r="DPV155" s="398"/>
      <c r="DPW155" s="398"/>
      <c r="DPX155" s="398"/>
      <c r="DPY155" s="398"/>
      <c r="DPZ155" s="398"/>
      <c r="DQA155" s="398"/>
      <c r="DQB155" s="398"/>
      <c r="DQC155" s="398"/>
      <c r="DQD155" s="398"/>
      <c r="DQE155" s="398"/>
      <c r="DQF155" s="398"/>
      <c r="DQG155" s="398"/>
      <c r="DQH155" s="398"/>
      <c r="DQI155" s="398"/>
      <c r="DQJ155" s="398"/>
      <c r="DQK155" s="398"/>
      <c r="DQL155" s="398"/>
      <c r="DQM155" s="398"/>
      <c r="DQN155" s="398"/>
      <c r="DQO155" s="398"/>
      <c r="DQP155" s="398"/>
      <c r="DQQ155" s="398"/>
      <c r="DQR155" s="398"/>
      <c r="DQS155" s="398"/>
      <c r="DQT155" s="398"/>
      <c r="DQU155" s="398"/>
      <c r="DQV155" s="398"/>
      <c r="DQW155" s="398"/>
      <c r="DQX155" s="398"/>
      <c r="DQY155" s="398"/>
      <c r="DQZ155" s="398"/>
      <c r="DRA155" s="398"/>
      <c r="DRB155" s="398"/>
      <c r="DRC155" s="398"/>
      <c r="DRD155" s="398"/>
      <c r="DRE155" s="398"/>
      <c r="DRF155" s="398"/>
      <c r="DRG155" s="398"/>
      <c r="DRH155" s="398"/>
      <c r="DRI155" s="398"/>
      <c r="DRJ155" s="398"/>
      <c r="DRK155" s="398"/>
      <c r="DRL155" s="398"/>
      <c r="DRM155" s="398"/>
      <c r="DRN155" s="398"/>
      <c r="DRO155" s="398"/>
      <c r="DRP155" s="398"/>
      <c r="DRQ155" s="398"/>
      <c r="DRR155" s="398"/>
      <c r="DRS155" s="398"/>
      <c r="DRT155" s="398"/>
      <c r="DRU155" s="398"/>
      <c r="DRV155" s="398"/>
      <c r="DRW155" s="398"/>
      <c r="DRX155" s="398"/>
      <c r="DRY155" s="398"/>
      <c r="DRZ155" s="398"/>
      <c r="DSA155" s="398"/>
      <c r="DSB155" s="398"/>
      <c r="DSC155" s="398"/>
      <c r="DSD155" s="398"/>
      <c r="DSE155" s="398"/>
      <c r="DSF155" s="398"/>
      <c r="DSG155" s="398"/>
      <c r="DSH155" s="398"/>
      <c r="DSI155" s="398"/>
      <c r="DSJ155" s="398"/>
      <c r="DSK155" s="398"/>
      <c r="DSL155" s="398"/>
      <c r="DSM155" s="398"/>
      <c r="DSN155" s="398"/>
      <c r="DSO155" s="398"/>
      <c r="DSP155" s="398"/>
      <c r="DSQ155" s="398"/>
      <c r="DSR155" s="398"/>
      <c r="DSS155" s="398"/>
      <c r="DST155" s="398"/>
      <c r="DSU155" s="398"/>
      <c r="DSV155" s="398"/>
      <c r="DSW155" s="398"/>
      <c r="DSX155" s="398"/>
      <c r="DSY155" s="398"/>
      <c r="DSZ155" s="398"/>
      <c r="DTA155" s="398"/>
      <c r="DTB155" s="398"/>
      <c r="DTC155" s="398"/>
      <c r="DTD155" s="398"/>
      <c r="DTE155" s="398"/>
      <c r="DTF155" s="398"/>
      <c r="DTG155" s="398"/>
      <c r="DTH155" s="398"/>
      <c r="DTI155" s="398"/>
      <c r="DTJ155" s="398"/>
      <c r="DTK155" s="398"/>
      <c r="DTL155" s="398"/>
      <c r="DTM155" s="398"/>
      <c r="DTN155" s="398"/>
      <c r="DTO155" s="398"/>
      <c r="DTP155" s="398"/>
      <c r="DTQ155" s="398"/>
      <c r="DTR155" s="398"/>
      <c r="DTS155" s="398"/>
      <c r="DTT155" s="398"/>
      <c r="DTU155" s="398"/>
      <c r="DTV155" s="398"/>
      <c r="DTW155" s="398"/>
      <c r="DTX155" s="398"/>
      <c r="DTY155" s="398"/>
      <c r="DTZ155" s="398"/>
      <c r="DUA155" s="398"/>
      <c r="DUB155" s="398"/>
      <c r="DUC155" s="398"/>
      <c r="DUD155" s="398"/>
      <c r="DUE155" s="398"/>
      <c r="DUF155" s="398"/>
      <c r="DUG155" s="398"/>
      <c r="DUH155" s="398"/>
      <c r="DUI155" s="398"/>
      <c r="DUJ155" s="398"/>
      <c r="DUK155" s="398"/>
      <c r="DUL155" s="398"/>
      <c r="DUM155" s="398"/>
      <c r="DUN155" s="398"/>
      <c r="DUO155" s="398"/>
      <c r="DUP155" s="398"/>
      <c r="DUQ155" s="398"/>
      <c r="DUR155" s="398"/>
      <c r="DUS155" s="398"/>
      <c r="DUT155" s="398"/>
      <c r="DUU155" s="398"/>
      <c r="DUV155" s="398"/>
      <c r="DUW155" s="398"/>
      <c r="DUX155" s="398"/>
      <c r="DUY155" s="398"/>
      <c r="DUZ155" s="398"/>
      <c r="DVA155" s="398"/>
      <c r="DVB155" s="398"/>
      <c r="DVC155" s="398"/>
      <c r="DVD155" s="398"/>
      <c r="DVE155" s="398"/>
      <c r="DVF155" s="398"/>
      <c r="DVG155" s="398"/>
      <c r="DVH155" s="398"/>
      <c r="DVI155" s="398"/>
      <c r="DVJ155" s="398"/>
      <c r="DVK155" s="398"/>
      <c r="DVL155" s="398"/>
      <c r="DVM155" s="398"/>
      <c r="DVN155" s="398"/>
      <c r="DVO155" s="398"/>
      <c r="DVP155" s="398"/>
      <c r="DVQ155" s="398"/>
      <c r="DVR155" s="398"/>
      <c r="DVS155" s="398"/>
      <c r="DVT155" s="398"/>
      <c r="DVU155" s="398"/>
      <c r="DVV155" s="398"/>
      <c r="DVW155" s="398"/>
      <c r="DVX155" s="398"/>
      <c r="DVY155" s="398"/>
      <c r="DVZ155" s="398"/>
      <c r="DWA155" s="398"/>
      <c r="DWB155" s="398"/>
      <c r="DWC155" s="398"/>
      <c r="DWD155" s="398"/>
      <c r="DWE155" s="398"/>
      <c r="DWF155" s="398"/>
      <c r="DWG155" s="398"/>
      <c r="DWH155" s="398"/>
      <c r="DWI155" s="398"/>
      <c r="DWJ155" s="398"/>
      <c r="DWK155" s="398"/>
      <c r="DWL155" s="398"/>
      <c r="DWM155" s="398"/>
      <c r="DWN155" s="398"/>
      <c r="DWO155" s="398"/>
      <c r="DWP155" s="398"/>
      <c r="DWQ155" s="398"/>
      <c r="DWR155" s="398"/>
      <c r="DWS155" s="398"/>
      <c r="DWT155" s="398"/>
      <c r="DWU155" s="398"/>
      <c r="DWV155" s="398"/>
      <c r="DWW155" s="398"/>
      <c r="DWX155" s="398"/>
      <c r="DWY155" s="398"/>
      <c r="DWZ155" s="398"/>
      <c r="DXA155" s="398"/>
      <c r="DXB155" s="398"/>
      <c r="DXC155" s="398"/>
      <c r="DXD155" s="398"/>
      <c r="DXE155" s="398"/>
      <c r="DXF155" s="398"/>
      <c r="DXG155" s="398"/>
      <c r="DXH155" s="398"/>
      <c r="DXI155" s="398"/>
      <c r="DXJ155" s="398"/>
      <c r="DXK155" s="398"/>
      <c r="DXL155" s="398"/>
      <c r="DXM155" s="398"/>
      <c r="DXN155" s="398"/>
      <c r="DXO155" s="398"/>
      <c r="DXP155" s="398"/>
      <c r="DXQ155" s="398"/>
      <c r="DXR155" s="398"/>
      <c r="DXS155" s="398"/>
      <c r="DXT155" s="398"/>
      <c r="DXU155" s="398"/>
      <c r="DXV155" s="398"/>
      <c r="DXW155" s="398"/>
      <c r="DXX155" s="398"/>
      <c r="DXY155" s="398"/>
      <c r="DXZ155" s="398"/>
      <c r="DYA155" s="398"/>
      <c r="DYB155" s="398"/>
      <c r="DYC155" s="398"/>
      <c r="DYD155" s="398"/>
      <c r="DYE155" s="398"/>
      <c r="DYF155" s="398"/>
      <c r="DYG155" s="398"/>
      <c r="DYH155" s="398"/>
      <c r="DYI155" s="398"/>
      <c r="DYJ155" s="398"/>
      <c r="DYK155" s="398"/>
      <c r="DYL155" s="398"/>
      <c r="DYM155" s="398"/>
      <c r="DYN155" s="398"/>
      <c r="DYO155" s="398"/>
      <c r="DYP155" s="398"/>
      <c r="DYQ155" s="398"/>
      <c r="DYR155" s="398"/>
      <c r="DYS155" s="398"/>
      <c r="DYT155" s="398"/>
      <c r="DYU155" s="398"/>
      <c r="DYV155" s="398"/>
      <c r="DYW155" s="398"/>
      <c r="DYX155" s="398"/>
      <c r="DYY155" s="398"/>
      <c r="DYZ155" s="398"/>
      <c r="DZA155" s="398"/>
      <c r="DZB155" s="398"/>
      <c r="DZC155" s="398"/>
      <c r="DZD155" s="398"/>
      <c r="DZE155" s="398"/>
      <c r="DZF155" s="398"/>
      <c r="DZG155" s="398"/>
      <c r="DZH155" s="398"/>
      <c r="DZI155" s="398"/>
      <c r="DZJ155" s="398"/>
      <c r="DZK155" s="398"/>
      <c r="DZL155" s="398"/>
      <c r="DZM155" s="398"/>
      <c r="DZN155" s="398"/>
      <c r="DZO155" s="398"/>
      <c r="DZP155" s="398"/>
      <c r="DZQ155" s="398"/>
      <c r="DZR155" s="398"/>
      <c r="DZS155" s="398"/>
      <c r="DZT155" s="398"/>
      <c r="DZU155" s="398"/>
      <c r="DZV155" s="398"/>
      <c r="DZW155" s="398"/>
      <c r="DZX155" s="398"/>
      <c r="DZY155" s="398"/>
      <c r="DZZ155" s="398"/>
      <c r="EAA155" s="398"/>
      <c r="EAB155" s="398"/>
      <c r="EAC155" s="398"/>
      <c r="EAD155" s="398"/>
      <c r="EAE155" s="398"/>
      <c r="EAF155" s="398"/>
      <c r="EAG155" s="398"/>
      <c r="EAH155" s="398"/>
      <c r="EAI155" s="398"/>
      <c r="EAJ155" s="398"/>
      <c r="EAK155" s="398"/>
      <c r="EAL155" s="398"/>
      <c r="EAM155" s="398"/>
      <c r="EAN155" s="398"/>
      <c r="EAO155" s="398"/>
      <c r="EAP155" s="398"/>
      <c r="EAQ155" s="398"/>
      <c r="EAR155" s="398"/>
      <c r="EAS155" s="398"/>
      <c r="EAT155" s="398"/>
      <c r="EAU155" s="398"/>
      <c r="EAV155" s="398"/>
      <c r="EAW155" s="398"/>
      <c r="EAX155" s="398"/>
      <c r="EAY155" s="398"/>
      <c r="EAZ155" s="398"/>
      <c r="EBA155" s="398"/>
      <c r="EBB155" s="398"/>
      <c r="EBC155" s="398"/>
      <c r="EBD155" s="398"/>
      <c r="EBE155" s="398"/>
      <c r="EBF155" s="398"/>
      <c r="EBG155" s="398"/>
      <c r="EBH155" s="398"/>
      <c r="EBI155" s="398"/>
      <c r="EBJ155" s="398"/>
      <c r="EBK155" s="398"/>
      <c r="EBL155" s="398"/>
      <c r="EBM155" s="398"/>
      <c r="EBN155" s="398"/>
      <c r="EBO155" s="398"/>
      <c r="EBP155" s="398"/>
      <c r="EBQ155" s="398"/>
      <c r="EBR155" s="398"/>
      <c r="EBS155" s="398"/>
      <c r="EBT155" s="398"/>
      <c r="EBU155" s="398"/>
      <c r="EBV155" s="398"/>
      <c r="EBW155" s="398"/>
      <c r="EBX155" s="398"/>
      <c r="EBY155" s="398"/>
      <c r="EBZ155" s="398"/>
      <c r="ECA155" s="398"/>
      <c r="ECB155" s="398"/>
      <c r="ECC155" s="398"/>
      <c r="ECD155" s="398"/>
      <c r="ECE155" s="398"/>
      <c r="ECF155" s="398"/>
      <c r="ECG155" s="398"/>
      <c r="ECH155" s="398"/>
      <c r="ECI155" s="398"/>
      <c r="ECJ155" s="398"/>
      <c r="ECK155" s="398"/>
      <c r="ECL155" s="398"/>
      <c r="ECM155" s="398"/>
      <c r="ECN155" s="398"/>
      <c r="ECO155" s="398"/>
      <c r="ECP155" s="398"/>
      <c r="ECQ155" s="398"/>
      <c r="ECR155" s="398"/>
      <c r="ECS155" s="398"/>
      <c r="ECT155" s="398"/>
      <c r="ECU155" s="398"/>
      <c r="ECV155" s="398"/>
      <c r="ECW155" s="398"/>
      <c r="ECX155" s="398"/>
      <c r="ECY155" s="398"/>
      <c r="ECZ155" s="398"/>
      <c r="EDA155" s="398"/>
      <c r="EDB155" s="398"/>
      <c r="EDC155" s="398"/>
      <c r="EDD155" s="398"/>
      <c r="EDE155" s="398"/>
      <c r="EDF155" s="398"/>
      <c r="EDG155" s="398"/>
      <c r="EDH155" s="398"/>
      <c r="EDI155" s="398"/>
      <c r="EDJ155" s="398"/>
      <c r="EDK155" s="398"/>
      <c r="EDL155" s="398"/>
      <c r="EDM155" s="398"/>
      <c r="EDN155" s="398"/>
      <c r="EDO155" s="398"/>
      <c r="EDP155" s="398"/>
      <c r="EDQ155" s="398"/>
      <c r="EDR155" s="398"/>
      <c r="EDS155" s="398"/>
      <c r="EDT155" s="398"/>
      <c r="EDU155" s="398"/>
      <c r="EDV155" s="398"/>
      <c r="EDW155" s="398"/>
      <c r="EDX155" s="398"/>
      <c r="EDY155" s="398"/>
      <c r="EDZ155" s="398"/>
      <c r="EEA155" s="398"/>
      <c r="EEB155" s="398"/>
      <c r="EEC155" s="398"/>
      <c r="EED155" s="398"/>
      <c r="EEE155" s="398"/>
      <c r="EEF155" s="398"/>
      <c r="EEG155" s="398"/>
      <c r="EEH155" s="398"/>
      <c r="EEI155" s="398"/>
      <c r="EEJ155" s="398"/>
      <c r="EEK155" s="398"/>
      <c r="EEL155" s="398"/>
      <c r="EEM155" s="398"/>
      <c r="EEN155" s="398"/>
      <c r="EEO155" s="398"/>
      <c r="EEP155" s="398"/>
      <c r="EEQ155" s="398"/>
      <c r="EER155" s="398"/>
      <c r="EES155" s="398"/>
      <c r="EET155" s="398"/>
      <c r="EEU155" s="398"/>
      <c r="EEV155" s="398"/>
      <c r="EEW155" s="398"/>
      <c r="EEX155" s="398"/>
      <c r="EEY155" s="398"/>
      <c r="EEZ155" s="398"/>
      <c r="EFA155" s="398"/>
      <c r="EFB155" s="398"/>
      <c r="EFC155" s="398"/>
      <c r="EFD155" s="398"/>
      <c r="EFE155" s="398"/>
      <c r="EFF155" s="398"/>
      <c r="EFG155" s="398"/>
      <c r="EFH155" s="398"/>
      <c r="EFI155" s="398"/>
      <c r="EFJ155" s="398"/>
      <c r="EFK155" s="398"/>
      <c r="EFL155" s="398"/>
      <c r="EFM155" s="398"/>
      <c r="EFN155" s="398"/>
      <c r="EFO155" s="398"/>
      <c r="EFP155" s="398"/>
      <c r="EFQ155" s="398"/>
      <c r="EFR155" s="398"/>
      <c r="EFS155" s="398"/>
      <c r="EFT155" s="398"/>
      <c r="EFU155" s="398"/>
      <c r="EFV155" s="398"/>
      <c r="EFW155" s="398"/>
      <c r="EFX155" s="398"/>
      <c r="EFY155" s="398"/>
      <c r="EFZ155" s="398"/>
      <c r="EGA155" s="398"/>
      <c r="EGB155" s="398"/>
      <c r="EGC155" s="398"/>
      <c r="EGD155" s="398"/>
      <c r="EGE155" s="398"/>
      <c r="EGF155" s="398"/>
      <c r="EGG155" s="398"/>
      <c r="EGH155" s="398"/>
      <c r="EGI155" s="398"/>
      <c r="EGJ155" s="398"/>
      <c r="EGK155" s="398"/>
      <c r="EGL155" s="398"/>
      <c r="EGM155" s="398"/>
      <c r="EGN155" s="398"/>
      <c r="EGO155" s="398"/>
      <c r="EGP155" s="398"/>
      <c r="EGQ155" s="398"/>
      <c r="EGR155" s="398"/>
      <c r="EGS155" s="398"/>
      <c r="EGT155" s="398"/>
      <c r="EGU155" s="398"/>
      <c r="EGV155" s="398"/>
      <c r="EGW155" s="398"/>
      <c r="EGX155" s="398"/>
      <c r="EGY155" s="398"/>
      <c r="EGZ155" s="398"/>
      <c r="EHA155" s="398"/>
      <c r="EHB155" s="398"/>
      <c r="EHC155" s="398"/>
      <c r="EHD155" s="398"/>
      <c r="EHE155" s="398"/>
      <c r="EHF155" s="398"/>
      <c r="EHG155" s="398"/>
      <c r="EHH155" s="398"/>
      <c r="EHI155" s="398"/>
      <c r="EHJ155" s="398"/>
      <c r="EHK155" s="398"/>
      <c r="EHL155" s="398"/>
      <c r="EHM155" s="398"/>
      <c r="EHN155" s="398"/>
      <c r="EHO155" s="398"/>
      <c r="EHP155" s="398"/>
      <c r="EHQ155" s="398"/>
      <c r="EHR155" s="398"/>
      <c r="EHS155" s="398"/>
      <c r="EHT155" s="398"/>
      <c r="EHU155" s="398"/>
      <c r="EHV155" s="398"/>
      <c r="EHW155" s="398"/>
      <c r="EHX155" s="398"/>
      <c r="EHY155" s="398"/>
      <c r="EHZ155" s="398"/>
      <c r="EIA155" s="398"/>
      <c r="EIB155" s="398"/>
      <c r="EIC155" s="398"/>
      <c r="EID155" s="398"/>
      <c r="EIE155" s="398"/>
      <c r="EIF155" s="398"/>
      <c r="EIG155" s="398"/>
      <c r="EIH155" s="398"/>
      <c r="EII155" s="398"/>
      <c r="EIJ155" s="398"/>
      <c r="EIK155" s="398"/>
      <c r="EIL155" s="398"/>
      <c r="EIM155" s="398"/>
      <c r="EIN155" s="398"/>
      <c r="EIO155" s="398"/>
      <c r="EIP155" s="398"/>
      <c r="EIQ155" s="398"/>
      <c r="EIR155" s="398"/>
      <c r="EIS155" s="398"/>
      <c r="EIT155" s="398"/>
      <c r="EIU155" s="398"/>
      <c r="EIV155" s="398"/>
      <c r="EIW155" s="398"/>
      <c r="EIX155" s="398"/>
      <c r="EIY155" s="398"/>
      <c r="EIZ155" s="398"/>
      <c r="EJA155" s="398"/>
      <c r="EJB155" s="398"/>
      <c r="EJC155" s="398"/>
      <c r="EJD155" s="398"/>
      <c r="EJE155" s="398"/>
      <c r="EJF155" s="398"/>
      <c r="EJG155" s="398"/>
      <c r="EJH155" s="398"/>
      <c r="EJI155" s="398"/>
      <c r="EJJ155" s="398"/>
      <c r="EJK155" s="398"/>
      <c r="EJL155" s="398"/>
      <c r="EJM155" s="398"/>
      <c r="EJN155" s="398"/>
      <c r="EJO155" s="398"/>
      <c r="EJP155" s="398"/>
      <c r="EJQ155" s="398"/>
      <c r="EJR155" s="398"/>
      <c r="EJS155" s="398"/>
      <c r="EJT155" s="398"/>
      <c r="EJU155" s="398"/>
      <c r="EJV155" s="398"/>
      <c r="EJW155" s="398"/>
      <c r="EJX155" s="398"/>
      <c r="EJY155" s="398"/>
      <c r="EJZ155" s="398"/>
      <c r="EKA155" s="398"/>
      <c r="EKB155" s="398"/>
      <c r="EKC155" s="398"/>
      <c r="EKD155" s="398"/>
      <c r="EKE155" s="398"/>
      <c r="EKF155" s="398"/>
      <c r="EKG155" s="398"/>
      <c r="EKH155" s="398"/>
      <c r="EKI155" s="398"/>
      <c r="EKJ155" s="398"/>
      <c r="EKK155" s="398"/>
      <c r="EKL155" s="398"/>
      <c r="EKM155" s="398"/>
      <c r="EKN155" s="398"/>
      <c r="EKO155" s="398"/>
      <c r="EKP155" s="398"/>
      <c r="EKQ155" s="398"/>
      <c r="EKR155" s="398"/>
      <c r="EKS155" s="398"/>
      <c r="EKT155" s="398"/>
      <c r="EKU155" s="398"/>
      <c r="EKV155" s="398"/>
      <c r="EKW155" s="398"/>
      <c r="EKX155" s="398"/>
      <c r="EKY155" s="398"/>
      <c r="EKZ155" s="398"/>
      <c r="ELA155" s="398"/>
      <c r="ELB155" s="398"/>
      <c r="ELC155" s="398"/>
      <c r="ELD155" s="398"/>
      <c r="ELE155" s="398"/>
      <c r="ELF155" s="398"/>
      <c r="ELG155" s="398"/>
      <c r="ELH155" s="398"/>
      <c r="ELI155" s="398"/>
      <c r="ELJ155" s="398"/>
      <c r="ELK155" s="398"/>
      <c r="ELL155" s="398"/>
      <c r="ELM155" s="398"/>
      <c r="ELN155" s="398"/>
      <c r="ELO155" s="398"/>
      <c r="ELP155" s="398"/>
      <c r="ELQ155" s="398"/>
      <c r="ELR155" s="398"/>
      <c r="ELS155" s="398"/>
      <c r="ELT155" s="398"/>
      <c r="ELU155" s="398"/>
      <c r="ELV155" s="398"/>
      <c r="ELW155" s="398"/>
      <c r="ELX155" s="398"/>
      <c r="ELY155" s="398"/>
      <c r="ELZ155" s="398"/>
      <c r="EMA155" s="398"/>
      <c r="EMB155" s="398"/>
      <c r="EMC155" s="398"/>
      <c r="EMD155" s="398"/>
      <c r="EME155" s="398"/>
      <c r="EMF155" s="398"/>
      <c r="EMG155" s="398"/>
      <c r="EMH155" s="398"/>
      <c r="EMI155" s="398"/>
      <c r="EMJ155" s="398"/>
      <c r="EMK155" s="398"/>
      <c r="EML155" s="398"/>
      <c r="EMM155" s="398"/>
      <c r="EMN155" s="398"/>
      <c r="EMO155" s="398"/>
      <c r="EMP155" s="398"/>
      <c r="EMQ155" s="398"/>
      <c r="EMR155" s="398"/>
      <c r="EMS155" s="398"/>
      <c r="EMT155" s="398"/>
      <c r="EMU155" s="398"/>
      <c r="EMV155" s="398"/>
      <c r="EMW155" s="398"/>
      <c r="EMX155" s="398"/>
      <c r="EMY155" s="398"/>
      <c r="EMZ155" s="398"/>
      <c r="ENA155" s="398"/>
      <c r="ENB155" s="398"/>
      <c r="ENC155" s="398"/>
      <c r="END155" s="398"/>
      <c r="ENE155" s="398"/>
      <c r="ENF155" s="398"/>
      <c r="ENG155" s="398"/>
      <c r="ENH155" s="398"/>
      <c r="ENI155" s="398"/>
      <c r="ENJ155" s="398"/>
      <c r="ENK155" s="398"/>
      <c r="ENL155" s="398"/>
      <c r="ENM155" s="398"/>
      <c r="ENN155" s="398"/>
      <c r="ENO155" s="398"/>
      <c r="ENP155" s="398"/>
      <c r="ENQ155" s="398"/>
      <c r="ENR155" s="398"/>
      <c r="ENS155" s="398"/>
      <c r="ENT155" s="398"/>
      <c r="ENU155" s="398"/>
      <c r="ENV155" s="398"/>
      <c r="ENW155" s="398"/>
      <c r="ENX155" s="398"/>
      <c r="ENY155" s="398"/>
      <c r="ENZ155" s="398"/>
      <c r="EOA155" s="398"/>
      <c r="EOB155" s="398"/>
      <c r="EOC155" s="398"/>
      <c r="EOD155" s="398"/>
      <c r="EOE155" s="398"/>
      <c r="EOF155" s="398"/>
      <c r="EOG155" s="398"/>
      <c r="EOH155" s="398"/>
      <c r="EOI155" s="398"/>
      <c r="EOJ155" s="398"/>
      <c r="EOK155" s="398"/>
      <c r="EOL155" s="398"/>
      <c r="EOM155" s="398"/>
      <c r="EON155" s="398"/>
      <c r="EOO155" s="398"/>
      <c r="EOP155" s="398"/>
      <c r="EOQ155" s="398"/>
      <c r="EOR155" s="398"/>
      <c r="EOS155" s="398"/>
      <c r="EOT155" s="398"/>
      <c r="EOU155" s="398"/>
      <c r="EOV155" s="398"/>
      <c r="EOW155" s="398"/>
      <c r="EOX155" s="398"/>
      <c r="EOY155" s="398"/>
      <c r="EOZ155" s="398"/>
      <c r="EPA155" s="398"/>
      <c r="EPB155" s="398"/>
      <c r="EPC155" s="398"/>
      <c r="EPD155" s="398"/>
      <c r="EPE155" s="398"/>
      <c r="EPF155" s="398"/>
      <c r="EPG155" s="398"/>
      <c r="EPH155" s="398"/>
      <c r="EPI155" s="398"/>
      <c r="EPJ155" s="398"/>
      <c r="EPK155" s="398"/>
      <c r="EPL155" s="398"/>
      <c r="EPM155" s="398"/>
      <c r="EPN155" s="398"/>
      <c r="EPO155" s="398"/>
      <c r="EPP155" s="398"/>
      <c r="EPQ155" s="398"/>
      <c r="EPR155" s="398"/>
      <c r="EPS155" s="398"/>
      <c r="EPT155" s="398"/>
      <c r="EPU155" s="398"/>
      <c r="EPV155" s="398"/>
      <c r="EPW155" s="398"/>
      <c r="EPX155" s="398"/>
      <c r="EPY155" s="398"/>
      <c r="EPZ155" s="398"/>
      <c r="EQA155" s="398"/>
      <c r="EQB155" s="398"/>
      <c r="EQC155" s="398"/>
      <c r="EQD155" s="398"/>
      <c r="EQE155" s="398"/>
      <c r="EQF155" s="398"/>
      <c r="EQG155" s="398"/>
      <c r="EQH155" s="398"/>
      <c r="EQI155" s="398"/>
      <c r="EQJ155" s="398"/>
      <c r="EQK155" s="398"/>
      <c r="EQL155" s="398"/>
      <c r="EQM155" s="398"/>
      <c r="EQN155" s="398"/>
      <c r="EQO155" s="398"/>
      <c r="EQP155" s="398"/>
      <c r="EQQ155" s="398"/>
      <c r="EQR155" s="398"/>
      <c r="EQS155" s="398"/>
      <c r="EQT155" s="398"/>
      <c r="EQU155" s="398"/>
      <c r="EQV155" s="398"/>
      <c r="EQW155" s="398"/>
      <c r="EQX155" s="398"/>
      <c r="EQY155" s="398"/>
      <c r="EQZ155" s="398"/>
      <c r="ERA155" s="398"/>
      <c r="ERB155" s="398"/>
      <c r="ERC155" s="398"/>
      <c r="ERD155" s="398"/>
      <c r="ERE155" s="398"/>
      <c r="ERF155" s="398"/>
      <c r="ERG155" s="398"/>
      <c r="ERH155" s="398"/>
      <c r="ERI155" s="398"/>
      <c r="ERJ155" s="398"/>
      <c r="ERK155" s="398"/>
      <c r="ERL155" s="398"/>
      <c r="ERM155" s="398"/>
      <c r="ERN155" s="398"/>
      <c r="ERO155" s="398"/>
      <c r="ERP155" s="398"/>
      <c r="ERQ155" s="398"/>
      <c r="ERR155" s="398"/>
      <c r="ERS155" s="398"/>
      <c r="ERT155" s="398"/>
      <c r="ERU155" s="398"/>
      <c r="ERV155" s="398"/>
      <c r="ERW155" s="398"/>
      <c r="ERX155" s="398"/>
      <c r="ERY155" s="398"/>
      <c r="ERZ155" s="398"/>
      <c r="ESA155" s="398"/>
      <c r="ESB155" s="398"/>
      <c r="ESC155" s="398"/>
      <c r="ESD155" s="398"/>
      <c r="ESE155" s="398"/>
      <c r="ESF155" s="398"/>
      <c r="ESG155" s="398"/>
      <c r="ESH155" s="398"/>
      <c r="ESI155" s="398"/>
      <c r="ESJ155" s="398"/>
      <c r="ESK155" s="398"/>
      <c r="ESL155" s="398"/>
      <c r="ESM155" s="398"/>
      <c r="ESN155" s="398"/>
      <c r="ESO155" s="398"/>
      <c r="ESP155" s="398"/>
      <c r="ESQ155" s="398"/>
      <c r="ESR155" s="398"/>
      <c r="ESS155" s="398"/>
      <c r="EST155" s="398"/>
      <c r="ESU155" s="398"/>
      <c r="ESV155" s="398"/>
      <c r="ESW155" s="398"/>
      <c r="ESX155" s="398"/>
      <c r="ESY155" s="398"/>
      <c r="ESZ155" s="398"/>
      <c r="ETA155" s="398"/>
      <c r="ETB155" s="398"/>
      <c r="ETC155" s="398"/>
      <c r="ETD155" s="398"/>
      <c r="ETE155" s="398"/>
      <c r="ETF155" s="398"/>
      <c r="ETG155" s="398"/>
      <c r="ETH155" s="398"/>
      <c r="ETI155" s="398"/>
      <c r="ETJ155" s="398"/>
      <c r="ETK155" s="398"/>
      <c r="ETL155" s="398"/>
      <c r="ETM155" s="398"/>
      <c r="ETN155" s="398"/>
      <c r="ETO155" s="398"/>
      <c r="ETP155" s="398"/>
      <c r="ETQ155" s="398"/>
      <c r="ETR155" s="398"/>
      <c r="ETS155" s="398"/>
      <c r="ETT155" s="398"/>
      <c r="ETU155" s="398"/>
      <c r="ETV155" s="398"/>
      <c r="ETW155" s="398"/>
      <c r="ETX155" s="398"/>
      <c r="ETY155" s="398"/>
      <c r="ETZ155" s="398"/>
      <c r="EUA155" s="398"/>
      <c r="EUB155" s="398"/>
      <c r="EUC155" s="398"/>
      <c r="EUD155" s="398"/>
      <c r="EUE155" s="398"/>
      <c r="EUF155" s="398"/>
      <c r="EUG155" s="398"/>
      <c r="EUH155" s="398"/>
      <c r="EUI155" s="398"/>
      <c r="EUJ155" s="398"/>
      <c r="EUK155" s="398"/>
      <c r="EUL155" s="398"/>
      <c r="EUM155" s="398"/>
      <c r="EUN155" s="398"/>
      <c r="EUO155" s="398"/>
      <c r="EUP155" s="398"/>
      <c r="EUQ155" s="398"/>
      <c r="EUR155" s="398"/>
      <c r="EUS155" s="398"/>
      <c r="EUT155" s="398"/>
      <c r="EUU155" s="398"/>
      <c r="EUV155" s="398"/>
      <c r="EUW155" s="398"/>
      <c r="EUX155" s="398"/>
      <c r="EUY155" s="398"/>
      <c r="EUZ155" s="398"/>
      <c r="EVA155" s="398"/>
      <c r="EVB155" s="398"/>
      <c r="EVC155" s="398"/>
      <c r="EVD155" s="398"/>
      <c r="EVE155" s="398"/>
      <c r="EVF155" s="398"/>
      <c r="EVG155" s="398"/>
      <c r="EVH155" s="398"/>
      <c r="EVI155" s="398"/>
      <c r="EVJ155" s="398"/>
      <c r="EVK155" s="398"/>
      <c r="EVL155" s="398"/>
      <c r="EVM155" s="398"/>
      <c r="EVN155" s="398"/>
      <c r="EVO155" s="398"/>
      <c r="EVP155" s="398"/>
      <c r="EVQ155" s="398"/>
      <c r="EVR155" s="398"/>
      <c r="EVS155" s="398"/>
      <c r="EVT155" s="398"/>
      <c r="EVU155" s="398"/>
      <c r="EVV155" s="398"/>
      <c r="EVW155" s="398"/>
      <c r="EVX155" s="398"/>
      <c r="EVY155" s="398"/>
      <c r="EVZ155" s="398"/>
      <c r="EWA155" s="398"/>
      <c r="EWB155" s="398"/>
      <c r="EWC155" s="398"/>
      <c r="EWD155" s="398"/>
      <c r="EWE155" s="398"/>
      <c r="EWF155" s="398"/>
      <c r="EWG155" s="398"/>
      <c r="EWH155" s="398"/>
      <c r="EWI155" s="398"/>
      <c r="EWJ155" s="398"/>
      <c r="EWK155" s="398"/>
      <c r="EWL155" s="398"/>
      <c r="EWM155" s="398"/>
      <c r="EWN155" s="398"/>
      <c r="EWO155" s="398"/>
      <c r="EWP155" s="398"/>
      <c r="EWQ155" s="398"/>
      <c r="EWR155" s="398"/>
      <c r="EWS155" s="398"/>
      <c r="EWT155" s="398"/>
      <c r="EWU155" s="398"/>
      <c r="EWV155" s="398"/>
      <c r="EWW155" s="398"/>
      <c r="EWX155" s="398"/>
      <c r="EWY155" s="398"/>
      <c r="EWZ155" s="398"/>
      <c r="EXA155" s="398"/>
      <c r="EXB155" s="398"/>
      <c r="EXC155" s="398"/>
      <c r="EXD155" s="398"/>
      <c r="EXE155" s="398"/>
      <c r="EXF155" s="398"/>
      <c r="EXG155" s="398"/>
      <c r="EXH155" s="398"/>
      <c r="EXI155" s="398"/>
      <c r="EXJ155" s="398"/>
      <c r="EXK155" s="398"/>
      <c r="EXL155" s="398"/>
      <c r="EXM155" s="398"/>
      <c r="EXN155" s="398"/>
      <c r="EXO155" s="398"/>
      <c r="EXP155" s="398"/>
      <c r="EXQ155" s="398"/>
      <c r="EXR155" s="398"/>
      <c r="EXS155" s="398"/>
      <c r="EXT155" s="398"/>
      <c r="EXU155" s="398"/>
      <c r="EXV155" s="398"/>
      <c r="EXW155" s="398"/>
      <c r="EXX155" s="398"/>
      <c r="EXY155" s="398"/>
      <c r="EXZ155" s="398"/>
      <c r="EYA155" s="398"/>
      <c r="EYB155" s="398"/>
      <c r="EYC155" s="398"/>
      <c r="EYD155" s="398"/>
      <c r="EYE155" s="398"/>
      <c r="EYF155" s="398"/>
      <c r="EYG155" s="398"/>
      <c r="EYH155" s="398"/>
      <c r="EYI155" s="398"/>
      <c r="EYJ155" s="398"/>
      <c r="EYK155" s="398"/>
      <c r="EYL155" s="398"/>
      <c r="EYM155" s="398"/>
      <c r="EYN155" s="398"/>
      <c r="EYO155" s="398"/>
      <c r="EYP155" s="398"/>
      <c r="EYQ155" s="398"/>
      <c r="EYR155" s="398"/>
      <c r="EYS155" s="398"/>
      <c r="EYT155" s="398"/>
      <c r="EYU155" s="398"/>
      <c r="EYV155" s="398"/>
      <c r="EYW155" s="398"/>
      <c r="EYX155" s="398"/>
      <c r="EYY155" s="398"/>
      <c r="EYZ155" s="398"/>
      <c r="EZA155" s="398"/>
      <c r="EZB155" s="398"/>
      <c r="EZC155" s="398"/>
      <c r="EZD155" s="398"/>
      <c r="EZE155" s="398"/>
      <c r="EZF155" s="398"/>
      <c r="EZG155" s="398"/>
      <c r="EZH155" s="398"/>
      <c r="EZI155" s="398"/>
      <c r="EZJ155" s="398"/>
      <c r="EZK155" s="398"/>
      <c r="EZL155" s="398"/>
      <c r="EZM155" s="398"/>
      <c r="EZN155" s="398"/>
      <c r="EZO155" s="398"/>
      <c r="EZP155" s="398"/>
      <c r="EZQ155" s="398"/>
      <c r="EZR155" s="398"/>
      <c r="EZS155" s="398"/>
      <c r="EZT155" s="398"/>
      <c r="EZU155" s="398"/>
      <c r="EZV155" s="398"/>
      <c r="EZW155" s="398"/>
      <c r="EZX155" s="398"/>
      <c r="EZY155" s="398"/>
      <c r="EZZ155" s="398"/>
      <c r="FAA155" s="398"/>
      <c r="FAB155" s="398"/>
      <c r="FAC155" s="398"/>
      <c r="FAD155" s="398"/>
      <c r="FAE155" s="398"/>
      <c r="FAF155" s="398"/>
      <c r="FAG155" s="398"/>
      <c r="FAH155" s="398"/>
      <c r="FAI155" s="398"/>
      <c r="FAJ155" s="398"/>
      <c r="FAK155" s="398"/>
      <c r="FAL155" s="398"/>
      <c r="FAM155" s="398"/>
      <c r="FAN155" s="398"/>
      <c r="FAO155" s="398"/>
      <c r="FAP155" s="398"/>
      <c r="FAQ155" s="398"/>
      <c r="FAR155" s="398"/>
      <c r="FAS155" s="398"/>
      <c r="FAT155" s="398"/>
      <c r="FAU155" s="398"/>
      <c r="FAV155" s="398"/>
      <c r="FAW155" s="398"/>
      <c r="FAX155" s="398"/>
      <c r="FAY155" s="398"/>
      <c r="FAZ155" s="398"/>
      <c r="FBA155" s="398"/>
      <c r="FBB155" s="398"/>
      <c r="FBC155" s="398"/>
      <c r="FBD155" s="398"/>
      <c r="FBE155" s="398"/>
      <c r="FBF155" s="398"/>
      <c r="FBG155" s="398"/>
      <c r="FBH155" s="398"/>
      <c r="FBI155" s="398"/>
      <c r="FBJ155" s="398"/>
      <c r="FBK155" s="398"/>
      <c r="FBL155" s="398"/>
      <c r="FBM155" s="398"/>
      <c r="FBN155" s="398"/>
      <c r="FBO155" s="398"/>
      <c r="FBP155" s="398"/>
      <c r="FBQ155" s="398"/>
      <c r="FBR155" s="398"/>
      <c r="FBS155" s="398"/>
      <c r="FBT155" s="398"/>
      <c r="FBU155" s="398"/>
      <c r="FBV155" s="398"/>
      <c r="FBW155" s="398"/>
      <c r="FBX155" s="398"/>
      <c r="FBY155" s="398"/>
      <c r="FBZ155" s="398"/>
      <c r="FCA155" s="398"/>
      <c r="FCB155" s="398"/>
      <c r="FCC155" s="398"/>
      <c r="FCD155" s="398"/>
      <c r="FCE155" s="398"/>
      <c r="FCF155" s="398"/>
      <c r="FCG155" s="398"/>
      <c r="FCH155" s="398"/>
      <c r="FCI155" s="398"/>
      <c r="FCJ155" s="398"/>
      <c r="FCK155" s="398"/>
      <c r="FCL155" s="398"/>
      <c r="FCM155" s="398"/>
      <c r="FCN155" s="398"/>
      <c r="FCO155" s="398"/>
      <c r="FCP155" s="398"/>
      <c r="FCQ155" s="398"/>
      <c r="FCR155" s="398"/>
      <c r="FCS155" s="398"/>
      <c r="FCT155" s="398"/>
      <c r="FCU155" s="398"/>
      <c r="FCV155" s="398"/>
      <c r="FCW155" s="398"/>
      <c r="FCX155" s="398"/>
      <c r="FCY155" s="398"/>
      <c r="FCZ155" s="398"/>
      <c r="FDA155" s="398"/>
      <c r="FDB155" s="398"/>
      <c r="FDC155" s="398"/>
      <c r="FDD155" s="398"/>
      <c r="FDE155" s="398"/>
      <c r="FDF155" s="398"/>
      <c r="FDG155" s="398"/>
      <c r="FDH155" s="398"/>
      <c r="FDI155" s="398"/>
      <c r="FDJ155" s="398"/>
      <c r="FDK155" s="398"/>
      <c r="FDL155" s="398"/>
      <c r="FDM155" s="398"/>
      <c r="FDN155" s="398"/>
      <c r="FDO155" s="398"/>
      <c r="FDP155" s="398"/>
      <c r="FDQ155" s="398"/>
      <c r="FDR155" s="398"/>
      <c r="FDS155" s="398"/>
      <c r="FDT155" s="398"/>
      <c r="FDU155" s="398"/>
      <c r="FDV155" s="398"/>
      <c r="FDW155" s="398"/>
      <c r="FDX155" s="398"/>
      <c r="FDY155" s="398"/>
      <c r="FDZ155" s="398"/>
      <c r="FEA155" s="398"/>
      <c r="FEB155" s="398"/>
      <c r="FEC155" s="398"/>
      <c r="FED155" s="398"/>
      <c r="FEE155" s="398"/>
      <c r="FEF155" s="398"/>
      <c r="FEG155" s="398"/>
      <c r="FEH155" s="398"/>
      <c r="FEI155" s="398"/>
      <c r="FEJ155" s="398"/>
      <c r="FEK155" s="398"/>
      <c r="FEL155" s="398"/>
      <c r="FEM155" s="398"/>
      <c r="FEN155" s="398"/>
      <c r="FEO155" s="398"/>
      <c r="FEP155" s="398"/>
      <c r="FEQ155" s="398"/>
      <c r="FER155" s="398"/>
      <c r="FES155" s="398"/>
      <c r="FET155" s="398"/>
      <c r="FEU155" s="398"/>
      <c r="FEV155" s="398"/>
      <c r="FEW155" s="398"/>
      <c r="FEX155" s="398"/>
      <c r="FEY155" s="398"/>
      <c r="FEZ155" s="398"/>
      <c r="FFA155" s="398"/>
      <c r="FFB155" s="398"/>
      <c r="FFC155" s="398"/>
      <c r="FFD155" s="398"/>
      <c r="FFE155" s="398"/>
      <c r="FFF155" s="398"/>
      <c r="FFG155" s="398"/>
      <c r="FFH155" s="398"/>
      <c r="FFI155" s="398"/>
      <c r="FFJ155" s="398"/>
      <c r="FFK155" s="398"/>
      <c r="FFL155" s="398"/>
      <c r="FFM155" s="398"/>
      <c r="FFN155" s="398"/>
      <c r="FFO155" s="398"/>
      <c r="FFP155" s="398"/>
      <c r="FFQ155" s="398"/>
      <c r="FFR155" s="398"/>
      <c r="FFS155" s="398"/>
      <c r="FFT155" s="398"/>
      <c r="FFU155" s="398"/>
      <c r="FFV155" s="398"/>
      <c r="FFW155" s="398"/>
      <c r="FFX155" s="398"/>
      <c r="FFY155" s="398"/>
      <c r="FFZ155" s="398"/>
      <c r="FGA155" s="398"/>
      <c r="FGB155" s="398"/>
      <c r="FGC155" s="398"/>
      <c r="FGD155" s="398"/>
      <c r="FGE155" s="398"/>
      <c r="FGF155" s="398"/>
      <c r="FGG155" s="398"/>
      <c r="FGH155" s="398"/>
      <c r="FGI155" s="398"/>
      <c r="FGJ155" s="398"/>
      <c r="FGK155" s="398"/>
      <c r="FGL155" s="398"/>
      <c r="FGM155" s="398"/>
      <c r="FGN155" s="398"/>
      <c r="FGO155" s="398"/>
      <c r="FGP155" s="398"/>
      <c r="FGQ155" s="398"/>
      <c r="FGR155" s="398"/>
      <c r="FGS155" s="398"/>
      <c r="FGT155" s="398"/>
      <c r="FGU155" s="398"/>
      <c r="FGV155" s="398"/>
      <c r="FGW155" s="398"/>
      <c r="FGX155" s="398"/>
      <c r="FGY155" s="398"/>
      <c r="FGZ155" s="398"/>
      <c r="FHA155" s="398"/>
      <c r="FHB155" s="398"/>
      <c r="FHC155" s="398"/>
      <c r="FHD155" s="398"/>
      <c r="FHE155" s="398"/>
      <c r="FHF155" s="398"/>
      <c r="FHG155" s="398"/>
      <c r="FHH155" s="398"/>
      <c r="FHI155" s="398"/>
      <c r="FHJ155" s="398"/>
      <c r="FHK155" s="398"/>
      <c r="FHL155" s="398"/>
      <c r="FHM155" s="398"/>
      <c r="FHN155" s="398"/>
      <c r="FHO155" s="398"/>
      <c r="FHP155" s="398"/>
      <c r="FHQ155" s="398"/>
      <c r="FHR155" s="398"/>
      <c r="FHS155" s="398"/>
      <c r="FHT155" s="398"/>
      <c r="FHU155" s="398"/>
      <c r="FHV155" s="398"/>
      <c r="FHW155" s="398"/>
      <c r="FHX155" s="398"/>
      <c r="FHY155" s="398"/>
      <c r="FHZ155" s="398"/>
      <c r="FIA155" s="398"/>
      <c r="FIB155" s="398"/>
      <c r="FIC155" s="398"/>
      <c r="FID155" s="398"/>
      <c r="FIE155" s="398"/>
      <c r="FIF155" s="398"/>
      <c r="FIG155" s="398"/>
      <c r="FIH155" s="398"/>
      <c r="FII155" s="398"/>
      <c r="FIJ155" s="398"/>
      <c r="FIK155" s="398"/>
      <c r="FIL155" s="398"/>
      <c r="FIM155" s="398"/>
      <c r="FIN155" s="398"/>
      <c r="FIO155" s="398"/>
      <c r="FIP155" s="398"/>
      <c r="FIQ155" s="398"/>
      <c r="FIR155" s="398"/>
      <c r="FIS155" s="398"/>
      <c r="FIT155" s="398"/>
      <c r="FIU155" s="398"/>
      <c r="FIV155" s="398"/>
      <c r="FIW155" s="398"/>
      <c r="FIX155" s="398"/>
      <c r="FIY155" s="398"/>
      <c r="FIZ155" s="398"/>
      <c r="FJA155" s="398"/>
      <c r="FJB155" s="398"/>
      <c r="FJC155" s="398"/>
      <c r="FJD155" s="398"/>
      <c r="FJE155" s="398"/>
      <c r="FJF155" s="398"/>
      <c r="FJG155" s="398"/>
      <c r="FJH155" s="398"/>
      <c r="FJI155" s="398"/>
      <c r="FJJ155" s="398"/>
      <c r="FJK155" s="398"/>
      <c r="FJL155" s="398"/>
      <c r="FJM155" s="398"/>
      <c r="FJN155" s="398"/>
      <c r="FJO155" s="398"/>
      <c r="FJP155" s="398"/>
      <c r="FJQ155" s="398"/>
      <c r="FJR155" s="398"/>
      <c r="FJS155" s="398"/>
      <c r="FJT155" s="398"/>
      <c r="FJU155" s="398"/>
      <c r="FJV155" s="398"/>
      <c r="FJW155" s="398"/>
      <c r="FJX155" s="398"/>
      <c r="FJY155" s="398"/>
      <c r="FJZ155" s="398"/>
      <c r="FKA155" s="398"/>
      <c r="FKB155" s="398"/>
      <c r="FKC155" s="398"/>
      <c r="FKD155" s="398"/>
      <c r="FKE155" s="398"/>
      <c r="FKF155" s="398"/>
      <c r="FKG155" s="398"/>
      <c r="FKH155" s="398"/>
      <c r="FKI155" s="398"/>
      <c r="FKJ155" s="398"/>
      <c r="FKK155" s="398"/>
      <c r="FKL155" s="398"/>
      <c r="FKM155" s="398"/>
      <c r="FKN155" s="398"/>
      <c r="FKO155" s="398"/>
      <c r="FKP155" s="398"/>
      <c r="FKQ155" s="398"/>
      <c r="FKR155" s="398"/>
      <c r="FKS155" s="398"/>
      <c r="FKT155" s="398"/>
      <c r="FKU155" s="398"/>
      <c r="FKV155" s="398"/>
      <c r="FKW155" s="398"/>
      <c r="FKX155" s="398"/>
      <c r="FKY155" s="398"/>
      <c r="FKZ155" s="398"/>
      <c r="FLA155" s="398"/>
      <c r="FLB155" s="398"/>
      <c r="FLC155" s="398"/>
      <c r="FLD155" s="398"/>
      <c r="FLE155" s="398"/>
      <c r="FLF155" s="398"/>
      <c r="FLG155" s="398"/>
      <c r="FLH155" s="398"/>
      <c r="FLI155" s="398"/>
      <c r="FLJ155" s="398"/>
      <c r="FLK155" s="398"/>
      <c r="FLL155" s="398"/>
      <c r="FLM155" s="398"/>
      <c r="FLN155" s="398"/>
      <c r="FLO155" s="398"/>
      <c r="FLP155" s="398"/>
      <c r="FLQ155" s="398"/>
      <c r="FLR155" s="398"/>
      <c r="FLS155" s="398"/>
      <c r="FLT155" s="398"/>
      <c r="FLU155" s="398"/>
      <c r="FLV155" s="398"/>
      <c r="FLW155" s="398"/>
      <c r="FLX155" s="398"/>
      <c r="FLY155" s="398"/>
      <c r="FLZ155" s="398"/>
      <c r="FMA155" s="398"/>
      <c r="FMB155" s="398"/>
      <c r="FMC155" s="398"/>
      <c r="FMD155" s="398"/>
      <c r="FME155" s="398"/>
      <c r="FMF155" s="398"/>
      <c r="FMG155" s="398"/>
      <c r="FMH155" s="398"/>
      <c r="FMI155" s="398"/>
      <c r="FMJ155" s="398"/>
      <c r="FMK155" s="398"/>
      <c r="FML155" s="398"/>
      <c r="FMM155" s="398"/>
      <c r="FMN155" s="398"/>
      <c r="FMO155" s="398"/>
      <c r="FMP155" s="398"/>
      <c r="FMQ155" s="398"/>
      <c r="FMR155" s="398"/>
      <c r="FMS155" s="398"/>
      <c r="FMT155" s="398"/>
      <c r="FMU155" s="398"/>
      <c r="FMV155" s="398"/>
      <c r="FMW155" s="398"/>
      <c r="FMX155" s="398"/>
      <c r="FMY155" s="398"/>
      <c r="FMZ155" s="398"/>
      <c r="FNA155" s="398"/>
      <c r="FNB155" s="398"/>
      <c r="FNC155" s="398"/>
      <c r="FND155" s="398"/>
      <c r="FNE155" s="398"/>
      <c r="FNF155" s="398"/>
      <c r="FNG155" s="398"/>
      <c r="FNH155" s="398"/>
      <c r="FNI155" s="398"/>
      <c r="FNJ155" s="398"/>
      <c r="FNK155" s="398"/>
      <c r="FNL155" s="398"/>
      <c r="FNM155" s="398"/>
      <c r="FNN155" s="398"/>
      <c r="FNO155" s="398"/>
      <c r="FNP155" s="398"/>
      <c r="FNQ155" s="398"/>
      <c r="FNR155" s="398"/>
      <c r="FNS155" s="398"/>
      <c r="FNT155" s="398"/>
      <c r="FNU155" s="398"/>
      <c r="FNV155" s="398"/>
      <c r="FNW155" s="398"/>
      <c r="FNX155" s="398"/>
      <c r="FNY155" s="398"/>
      <c r="FNZ155" s="398"/>
      <c r="FOA155" s="398"/>
      <c r="FOB155" s="398"/>
      <c r="FOC155" s="398"/>
      <c r="FOD155" s="398"/>
      <c r="FOE155" s="398"/>
      <c r="FOF155" s="398"/>
      <c r="FOG155" s="398"/>
      <c r="FOH155" s="398"/>
      <c r="FOI155" s="398"/>
      <c r="FOJ155" s="398"/>
      <c r="FOK155" s="398"/>
      <c r="FOL155" s="398"/>
      <c r="FOM155" s="398"/>
      <c r="FON155" s="398"/>
      <c r="FOO155" s="398"/>
      <c r="FOP155" s="398"/>
      <c r="FOQ155" s="398"/>
      <c r="FOR155" s="398"/>
      <c r="FOS155" s="398"/>
      <c r="FOT155" s="398"/>
      <c r="FOU155" s="398"/>
      <c r="FOV155" s="398"/>
      <c r="FOW155" s="398"/>
      <c r="FOX155" s="398"/>
      <c r="FOY155" s="398"/>
      <c r="FOZ155" s="398"/>
      <c r="FPA155" s="398"/>
      <c r="FPB155" s="398"/>
      <c r="FPC155" s="398"/>
      <c r="FPD155" s="398"/>
      <c r="FPE155" s="398"/>
      <c r="FPF155" s="398"/>
      <c r="FPG155" s="398"/>
      <c r="FPH155" s="398"/>
      <c r="FPI155" s="398"/>
      <c r="FPJ155" s="398"/>
      <c r="FPK155" s="398"/>
      <c r="FPL155" s="398"/>
      <c r="FPM155" s="398"/>
      <c r="FPN155" s="398"/>
      <c r="FPO155" s="398"/>
      <c r="FPP155" s="398"/>
      <c r="FPQ155" s="398"/>
      <c r="FPR155" s="398"/>
      <c r="FPS155" s="398"/>
      <c r="FPT155" s="398"/>
      <c r="FPU155" s="398"/>
      <c r="FPV155" s="398"/>
      <c r="FPW155" s="398"/>
      <c r="FPX155" s="398"/>
      <c r="FPY155" s="398"/>
      <c r="FPZ155" s="398"/>
      <c r="FQA155" s="398"/>
      <c r="FQB155" s="398"/>
      <c r="FQC155" s="398"/>
      <c r="FQD155" s="398"/>
      <c r="FQE155" s="398"/>
      <c r="FQF155" s="398"/>
      <c r="FQG155" s="398"/>
      <c r="FQH155" s="398"/>
      <c r="FQI155" s="398"/>
      <c r="FQJ155" s="398"/>
      <c r="FQK155" s="398"/>
      <c r="FQL155" s="398"/>
      <c r="FQM155" s="398"/>
      <c r="FQN155" s="398"/>
      <c r="FQO155" s="398"/>
      <c r="FQP155" s="398"/>
      <c r="FQQ155" s="398"/>
      <c r="FQR155" s="398"/>
      <c r="FQS155" s="398"/>
      <c r="FQT155" s="398"/>
      <c r="FQU155" s="398"/>
      <c r="FQV155" s="398"/>
      <c r="FQW155" s="398"/>
      <c r="FQX155" s="398"/>
      <c r="FQY155" s="398"/>
      <c r="FQZ155" s="398"/>
      <c r="FRA155" s="398"/>
      <c r="FRB155" s="398"/>
      <c r="FRC155" s="398"/>
      <c r="FRD155" s="398"/>
      <c r="FRE155" s="398"/>
      <c r="FRF155" s="398"/>
      <c r="FRG155" s="398"/>
      <c r="FRH155" s="398"/>
      <c r="FRI155" s="398"/>
      <c r="FRJ155" s="398"/>
      <c r="FRK155" s="398"/>
      <c r="FRL155" s="398"/>
      <c r="FRM155" s="398"/>
      <c r="FRN155" s="398"/>
      <c r="FRO155" s="398"/>
      <c r="FRP155" s="398"/>
      <c r="FRQ155" s="398"/>
      <c r="FRR155" s="398"/>
      <c r="FRS155" s="398"/>
      <c r="FRT155" s="398"/>
      <c r="FRU155" s="398"/>
      <c r="FRV155" s="398"/>
      <c r="FRW155" s="398"/>
      <c r="FRX155" s="398"/>
      <c r="FRY155" s="398"/>
      <c r="FRZ155" s="398"/>
      <c r="FSA155" s="398"/>
      <c r="FSB155" s="398"/>
      <c r="FSC155" s="398"/>
      <c r="FSD155" s="398"/>
      <c r="FSE155" s="398"/>
      <c r="FSF155" s="398"/>
      <c r="FSG155" s="398"/>
      <c r="FSH155" s="398"/>
      <c r="FSI155" s="398"/>
      <c r="FSJ155" s="398"/>
      <c r="FSK155" s="398"/>
      <c r="FSL155" s="398"/>
      <c r="FSM155" s="398"/>
      <c r="FSN155" s="398"/>
      <c r="FSO155" s="398"/>
      <c r="FSP155" s="398"/>
      <c r="FSQ155" s="398"/>
      <c r="FSR155" s="398"/>
      <c r="FSS155" s="398"/>
      <c r="FST155" s="398"/>
      <c r="FSU155" s="398"/>
      <c r="FSV155" s="398"/>
      <c r="FSW155" s="398"/>
      <c r="FSX155" s="398"/>
      <c r="FSY155" s="398"/>
      <c r="FSZ155" s="398"/>
      <c r="FTA155" s="398"/>
      <c r="FTB155" s="398"/>
      <c r="FTC155" s="398"/>
      <c r="FTD155" s="398"/>
      <c r="FTE155" s="398"/>
      <c r="FTF155" s="398"/>
      <c r="FTG155" s="398"/>
      <c r="FTH155" s="398"/>
      <c r="FTI155" s="398"/>
      <c r="FTJ155" s="398"/>
      <c r="FTK155" s="398"/>
      <c r="FTL155" s="398"/>
      <c r="FTM155" s="398"/>
      <c r="FTN155" s="398"/>
      <c r="FTO155" s="398"/>
      <c r="FTP155" s="398"/>
      <c r="FTQ155" s="398"/>
      <c r="FTR155" s="398"/>
      <c r="FTS155" s="398"/>
      <c r="FTT155" s="398"/>
      <c r="FTU155" s="398"/>
      <c r="FTV155" s="398"/>
      <c r="FTW155" s="398"/>
      <c r="FTX155" s="398"/>
      <c r="FTY155" s="398"/>
      <c r="FTZ155" s="398"/>
      <c r="FUA155" s="398"/>
      <c r="FUB155" s="398"/>
      <c r="FUC155" s="398"/>
      <c r="FUD155" s="398"/>
      <c r="FUE155" s="398"/>
      <c r="FUF155" s="398"/>
      <c r="FUG155" s="398"/>
      <c r="FUH155" s="398"/>
      <c r="FUI155" s="398"/>
      <c r="FUJ155" s="398"/>
      <c r="FUK155" s="398"/>
      <c r="FUL155" s="398"/>
      <c r="FUM155" s="398"/>
      <c r="FUN155" s="398"/>
      <c r="FUO155" s="398"/>
      <c r="FUP155" s="398"/>
      <c r="FUQ155" s="398"/>
      <c r="FUR155" s="398"/>
      <c r="FUS155" s="398"/>
      <c r="FUT155" s="398"/>
      <c r="FUU155" s="398"/>
      <c r="FUV155" s="398"/>
      <c r="FUW155" s="398"/>
      <c r="FUX155" s="398"/>
      <c r="FUY155" s="398"/>
      <c r="FUZ155" s="398"/>
      <c r="FVA155" s="398"/>
      <c r="FVB155" s="398"/>
      <c r="FVC155" s="398"/>
      <c r="FVD155" s="398"/>
      <c r="FVE155" s="398"/>
      <c r="FVF155" s="398"/>
      <c r="FVG155" s="398"/>
      <c r="FVH155" s="398"/>
      <c r="FVI155" s="398"/>
      <c r="FVJ155" s="398"/>
      <c r="FVK155" s="398"/>
      <c r="FVL155" s="398"/>
      <c r="FVM155" s="398"/>
      <c r="FVN155" s="398"/>
      <c r="FVO155" s="398"/>
      <c r="FVP155" s="398"/>
      <c r="FVQ155" s="398"/>
      <c r="FVR155" s="398"/>
      <c r="FVS155" s="398"/>
      <c r="FVT155" s="398"/>
      <c r="FVU155" s="398"/>
      <c r="FVV155" s="398"/>
      <c r="FVW155" s="398"/>
      <c r="FVX155" s="398"/>
      <c r="FVY155" s="398"/>
      <c r="FVZ155" s="398"/>
      <c r="FWA155" s="398"/>
      <c r="FWB155" s="398"/>
      <c r="FWC155" s="398"/>
      <c r="FWD155" s="398"/>
      <c r="FWE155" s="398"/>
      <c r="FWF155" s="398"/>
      <c r="FWG155" s="398"/>
      <c r="FWH155" s="398"/>
      <c r="FWI155" s="398"/>
      <c r="FWJ155" s="398"/>
      <c r="FWK155" s="398"/>
      <c r="FWL155" s="398"/>
      <c r="FWM155" s="398"/>
      <c r="FWN155" s="398"/>
      <c r="FWO155" s="398"/>
      <c r="FWP155" s="398"/>
      <c r="FWQ155" s="398"/>
      <c r="FWR155" s="398"/>
      <c r="FWS155" s="398"/>
      <c r="FWT155" s="398"/>
      <c r="FWU155" s="398"/>
      <c r="FWV155" s="398"/>
      <c r="FWW155" s="398"/>
      <c r="FWX155" s="398"/>
      <c r="FWY155" s="398"/>
      <c r="FWZ155" s="398"/>
      <c r="FXA155" s="398"/>
      <c r="FXB155" s="398"/>
      <c r="FXC155" s="398"/>
      <c r="FXD155" s="398"/>
      <c r="FXE155" s="398"/>
      <c r="FXF155" s="398"/>
      <c r="FXG155" s="398"/>
      <c r="FXH155" s="398"/>
      <c r="FXI155" s="398"/>
      <c r="FXJ155" s="398"/>
      <c r="FXK155" s="398"/>
      <c r="FXL155" s="398"/>
      <c r="FXM155" s="398"/>
      <c r="FXN155" s="398"/>
      <c r="FXO155" s="398"/>
      <c r="FXP155" s="398"/>
      <c r="FXQ155" s="398"/>
      <c r="FXR155" s="398"/>
      <c r="FXS155" s="398"/>
      <c r="FXT155" s="398"/>
      <c r="FXU155" s="398"/>
      <c r="FXV155" s="398"/>
      <c r="FXW155" s="398"/>
      <c r="FXX155" s="398"/>
      <c r="FXY155" s="398"/>
      <c r="FXZ155" s="398"/>
      <c r="FYA155" s="398"/>
      <c r="FYB155" s="398"/>
      <c r="FYC155" s="398"/>
      <c r="FYD155" s="398"/>
      <c r="FYE155" s="398"/>
      <c r="FYF155" s="398"/>
      <c r="FYG155" s="398"/>
      <c r="FYH155" s="398"/>
      <c r="FYI155" s="398"/>
      <c r="FYJ155" s="398"/>
      <c r="FYK155" s="398"/>
      <c r="FYL155" s="398"/>
      <c r="FYM155" s="398"/>
      <c r="FYN155" s="398"/>
      <c r="FYO155" s="398"/>
      <c r="FYP155" s="398"/>
      <c r="FYQ155" s="398"/>
      <c r="FYR155" s="398"/>
      <c r="FYS155" s="398"/>
      <c r="FYT155" s="398"/>
      <c r="FYU155" s="398"/>
      <c r="FYV155" s="398"/>
      <c r="FYW155" s="398"/>
      <c r="FYX155" s="398"/>
      <c r="FYY155" s="398"/>
      <c r="FYZ155" s="398"/>
      <c r="FZA155" s="398"/>
      <c r="FZB155" s="398"/>
      <c r="FZC155" s="398"/>
      <c r="FZD155" s="398"/>
      <c r="FZE155" s="398"/>
      <c r="FZF155" s="398"/>
      <c r="FZG155" s="398"/>
      <c r="FZH155" s="398"/>
      <c r="FZI155" s="398"/>
      <c r="FZJ155" s="398"/>
      <c r="FZK155" s="398"/>
      <c r="FZL155" s="398"/>
      <c r="FZM155" s="398"/>
      <c r="FZN155" s="398"/>
      <c r="FZO155" s="398"/>
      <c r="FZP155" s="398"/>
      <c r="FZQ155" s="398"/>
      <c r="FZR155" s="398"/>
      <c r="FZS155" s="398"/>
      <c r="FZT155" s="398"/>
      <c r="FZU155" s="398"/>
      <c r="FZV155" s="398"/>
      <c r="FZW155" s="398"/>
      <c r="FZX155" s="398"/>
      <c r="FZY155" s="398"/>
      <c r="FZZ155" s="398"/>
      <c r="GAA155" s="398"/>
      <c r="GAB155" s="398"/>
      <c r="GAC155" s="398"/>
      <c r="GAD155" s="398"/>
      <c r="GAE155" s="398"/>
      <c r="GAF155" s="398"/>
      <c r="GAG155" s="398"/>
      <c r="GAH155" s="398"/>
      <c r="GAI155" s="398"/>
      <c r="GAJ155" s="398"/>
      <c r="GAK155" s="398"/>
      <c r="GAL155" s="398"/>
      <c r="GAM155" s="398"/>
      <c r="GAN155" s="398"/>
      <c r="GAO155" s="398"/>
      <c r="GAP155" s="398"/>
      <c r="GAQ155" s="398"/>
      <c r="GAR155" s="398"/>
      <c r="GAS155" s="398"/>
      <c r="GAT155" s="398"/>
      <c r="GAU155" s="398"/>
      <c r="GAV155" s="398"/>
      <c r="GAW155" s="398"/>
      <c r="GAX155" s="398"/>
      <c r="GAY155" s="398"/>
      <c r="GAZ155" s="398"/>
      <c r="GBA155" s="398"/>
      <c r="GBB155" s="398"/>
      <c r="GBC155" s="398"/>
      <c r="GBD155" s="398"/>
      <c r="GBE155" s="398"/>
      <c r="GBF155" s="398"/>
      <c r="GBG155" s="398"/>
      <c r="GBH155" s="398"/>
      <c r="GBI155" s="398"/>
      <c r="GBJ155" s="398"/>
      <c r="GBK155" s="398"/>
      <c r="GBL155" s="398"/>
      <c r="GBM155" s="398"/>
      <c r="GBN155" s="398"/>
      <c r="GBO155" s="398"/>
      <c r="GBP155" s="398"/>
      <c r="GBQ155" s="398"/>
      <c r="GBR155" s="398"/>
      <c r="GBS155" s="398"/>
      <c r="GBT155" s="398"/>
      <c r="GBU155" s="398"/>
      <c r="GBV155" s="398"/>
      <c r="GBW155" s="398"/>
      <c r="GBX155" s="398"/>
      <c r="GBY155" s="398"/>
      <c r="GBZ155" s="398"/>
      <c r="GCA155" s="398"/>
      <c r="GCB155" s="398"/>
      <c r="GCC155" s="398"/>
      <c r="GCD155" s="398"/>
      <c r="GCE155" s="398"/>
      <c r="GCF155" s="398"/>
      <c r="GCG155" s="398"/>
      <c r="GCH155" s="398"/>
      <c r="GCI155" s="398"/>
      <c r="GCJ155" s="398"/>
      <c r="GCK155" s="398"/>
      <c r="GCL155" s="398"/>
      <c r="GCM155" s="398"/>
      <c r="GCN155" s="398"/>
      <c r="GCO155" s="398"/>
      <c r="GCP155" s="398"/>
      <c r="GCQ155" s="398"/>
      <c r="GCR155" s="398"/>
      <c r="GCS155" s="398"/>
      <c r="GCT155" s="398"/>
      <c r="GCU155" s="398"/>
      <c r="GCV155" s="398"/>
      <c r="GCW155" s="398"/>
      <c r="GCX155" s="398"/>
      <c r="GCY155" s="398"/>
      <c r="GCZ155" s="398"/>
      <c r="GDA155" s="398"/>
      <c r="GDB155" s="398"/>
      <c r="GDC155" s="398"/>
      <c r="GDD155" s="398"/>
      <c r="GDE155" s="398"/>
      <c r="GDF155" s="398"/>
      <c r="GDG155" s="398"/>
      <c r="GDH155" s="398"/>
      <c r="GDI155" s="398"/>
      <c r="GDJ155" s="398"/>
      <c r="GDK155" s="398"/>
      <c r="GDL155" s="398"/>
      <c r="GDM155" s="398"/>
      <c r="GDN155" s="398"/>
      <c r="GDO155" s="398"/>
      <c r="GDP155" s="398"/>
      <c r="GDQ155" s="398"/>
      <c r="GDR155" s="398"/>
      <c r="GDS155" s="398"/>
      <c r="GDT155" s="398"/>
      <c r="GDU155" s="398"/>
      <c r="GDV155" s="398"/>
      <c r="GDW155" s="398"/>
      <c r="GDX155" s="398"/>
      <c r="GDY155" s="398"/>
      <c r="GDZ155" s="398"/>
      <c r="GEA155" s="398"/>
      <c r="GEB155" s="398"/>
      <c r="GEC155" s="398"/>
      <c r="GED155" s="398"/>
      <c r="GEE155" s="398"/>
      <c r="GEF155" s="398"/>
      <c r="GEG155" s="398"/>
      <c r="GEH155" s="398"/>
      <c r="GEI155" s="398"/>
      <c r="GEJ155" s="398"/>
      <c r="GEK155" s="398"/>
      <c r="GEL155" s="398"/>
      <c r="GEM155" s="398"/>
      <c r="GEN155" s="398"/>
      <c r="GEO155" s="398"/>
      <c r="GEP155" s="398"/>
      <c r="GEQ155" s="398"/>
      <c r="GER155" s="398"/>
      <c r="GES155" s="398"/>
      <c r="GET155" s="398"/>
      <c r="GEU155" s="398"/>
      <c r="GEV155" s="398"/>
      <c r="GEW155" s="398"/>
      <c r="GEX155" s="398"/>
      <c r="GEY155" s="398"/>
      <c r="GEZ155" s="398"/>
      <c r="GFA155" s="398"/>
      <c r="GFB155" s="398"/>
      <c r="GFC155" s="398"/>
      <c r="GFD155" s="398"/>
      <c r="GFE155" s="398"/>
      <c r="GFF155" s="398"/>
      <c r="GFG155" s="398"/>
      <c r="GFH155" s="398"/>
      <c r="GFI155" s="398"/>
      <c r="GFJ155" s="398"/>
      <c r="GFK155" s="398"/>
      <c r="GFL155" s="398"/>
      <c r="GFM155" s="398"/>
      <c r="GFN155" s="398"/>
      <c r="GFO155" s="398"/>
      <c r="GFP155" s="398"/>
      <c r="GFQ155" s="398"/>
      <c r="GFR155" s="398"/>
      <c r="GFS155" s="398"/>
      <c r="GFT155" s="398"/>
      <c r="GFU155" s="398"/>
      <c r="GFV155" s="398"/>
      <c r="GFW155" s="398"/>
      <c r="GFX155" s="398"/>
      <c r="GFY155" s="398"/>
      <c r="GFZ155" s="398"/>
      <c r="GGA155" s="398"/>
      <c r="GGB155" s="398"/>
      <c r="GGC155" s="398"/>
      <c r="GGD155" s="398"/>
      <c r="GGE155" s="398"/>
      <c r="GGF155" s="398"/>
      <c r="GGG155" s="398"/>
      <c r="GGH155" s="398"/>
      <c r="GGI155" s="398"/>
      <c r="GGJ155" s="398"/>
      <c r="GGK155" s="398"/>
      <c r="GGL155" s="398"/>
      <c r="GGM155" s="398"/>
      <c r="GGN155" s="398"/>
      <c r="GGO155" s="398"/>
      <c r="GGP155" s="398"/>
      <c r="GGQ155" s="398"/>
      <c r="GGR155" s="398"/>
      <c r="GGS155" s="398"/>
      <c r="GGT155" s="398"/>
      <c r="GGU155" s="398"/>
      <c r="GGV155" s="398"/>
      <c r="GGW155" s="398"/>
      <c r="GGX155" s="398"/>
      <c r="GGY155" s="398"/>
      <c r="GGZ155" s="398"/>
      <c r="GHA155" s="398"/>
      <c r="GHB155" s="398"/>
      <c r="GHC155" s="398"/>
      <c r="GHD155" s="398"/>
      <c r="GHE155" s="398"/>
      <c r="GHF155" s="398"/>
      <c r="GHG155" s="398"/>
      <c r="GHH155" s="398"/>
      <c r="GHI155" s="398"/>
      <c r="GHJ155" s="398"/>
      <c r="GHK155" s="398"/>
      <c r="GHL155" s="398"/>
      <c r="GHM155" s="398"/>
      <c r="GHN155" s="398"/>
      <c r="GHO155" s="398"/>
      <c r="GHP155" s="398"/>
      <c r="GHQ155" s="398"/>
      <c r="GHR155" s="398"/>
      <c r="GHS155" s="398"/>
      <c r="GHT155" s="398"/>
      <c r="GHU155" s="398"/>
      <c r="GHV155" s="398"/>
      <c r="GHW155" s="398"/>
      <c r="GHX155" s="398"/>
      <c r="GHY155" s="398"/>
      <c r="GHZ155" s="398"/>
      <c r="GIA155" s="398"/>
      <c r="GIB155" s="398"/>
      <c r="GIC155" s="398"/>
      <c r="GID155" s="398"/>
      <c r="GIE155" s="398"/>
      <c r="GIF155" s="398"/>
      <c r="GIG155" s="398"/>
      <c r="GIH155" s="398"/>
      <c r="GII155" s="398"/>
      <c r="GIJ155" s="398"/>
      <c r="GIK155" s="398"/>
      <c r="GIL155" s="398"/>
      <c r="GIM155" s="398"/>
      <c r="GIN155" s="398"/>
      <c r="GIO155" s="398"/>
      <c r="GIP155" s="398"/>
      <c r="GIQ155" s="398"/>
      <c r="GIR155" s="398"/>
      <c r="GIS155" s="398"/>
      <c r="GIT155" s="398"/>
      <c r="GIU155" s="398"/>
      <c r="GIV155" s="398"/>
      <c r="GIW155" s="398"/>
      <c r="GIX155" s="398"/>
      <c r="GIY155" s="398"/>
      <c r="GIZ155" s="398"/>
      <c r="GJA155" s="398"/>
      <c r="GJB155" s="398"/>
      <c r="GJC155" s="398"/>
      <c r="GJD155" s="398"/>
      <c r="GJE155" s="398"/>
      <c r="GJF155" s="398"/>
      <c r="GJG155" s="398"/>
      <c r="GJH155" s="398"/>
      <c r="GJI155" s="398"/>
      <c r="GJJ155" s="398"/>
      <c r="GJK155" s="398"/>
      <c r="GJL155" s="398"/>
      <c r="GJM155" s="398"/>
      <c r="GJN155" s="398"/>
      <c r="GJO155" s="398"/>
      <c r="GJP155" s="398"/>
      <c r="GJQ155" s="398"/>
      <c r="GJR155" s="398"/>
      <c r="GJS155" s="398"/>
      <c r="GJT155" s="398"/>
      <c r="GJU155" s="398"/>
      <c r="GJV155" s="398"/>
      <c r="GJW155" s="398"/>
      <c r="GJX155" s="398"/>
      <c r="GJY155" s="398"/>
      <c r="GJZ155" s="398"/>
      <c r="GKA155" s="398"/>
      <c r="GKB155" s="398"/>
      <c r="GKC155" s="398"/>
      <c r="GKD155" s="398"/>
      <c r="GKE155" s="398"/>
      <c r="GKF155" s="398"/>
      <c r="GKG155" s="398"/>
      <c r="GKH155" s="398"/>
      <c r="GKI155" s="398"/>
      <c r="GKJ155" s="398"/>
      <c r="GKK155" s="398"/>
      <c r="GKL155" s="398"/>
      <c r="GKM155" s="398"/>
      <c r="GKN155" s="398"/>
      <c r="GKO155" s="398"/>
      <c r="GKP155" s="398"/>
      <c r="GKQ155" s="398"/>
      <c r="GKR155" s="398"/>
      <c r="GKS155" s="398"/>
      <c r="GKT155" s="398"/>
      <c r="GKU155" s="398"/>
      <c r="GKV155" s="398"/>
      <c r="GKW155" s="398"/>
      <c r="GKX155" s="398"/>
      <c r="GKY155" s="398"/>
      <c r="GKZ155" s="398"/>
      <c r="GLA155" s="398"/>
      <c r="GLB155" s="398"/>
      <c r="GLC155" s="398"/>
      <c r="GLD155" s="398"/>
      <c r="GLE155" s="398"/>
      <c r="GLF155" s="398"/>
      <c r="GLG155" s="398"/>
      <c r="GLH155" s="398"/>
      <c r="GLI155" s="398"/>
      <c r="GLJ155" s="398"/>
      <c r="GLK155" s="398"/>
      <c r="GLL155" s="398"/>
      <c r="GLM155" s="398"/>
      <c r="GLN155" s="398"/>
      <c r="GLO155" s="398"/>
      <c r="GLP155" s="398"/>
      <c r="GLQ155" s="398"/>
      <c r="GLR155" s="398"/>
      <c r="GLS155" s="398"/>
      <c r="GLT155" s="398"/>
      <c r="GLU155" s="398"/>
      <c r="GLV155" s="398"/>
      <c r="GLW155" s="398"/>
      <c r="GLX155" s="398"/>
      <c r="GLY155" s="398"/>
      <c r="GLZ155" s="398"/>
      <c r="GMA155" s="398"/>
      <c r="GMB155" s="398"/>
      <c r="GMC155" s="398"/>
      <c r="GMD155" s="398"/>
      <c r="GME155" s="398"/>
      <c r="GMF155" s="398"/>
      <c r="GMG155" s="398"/>
      <c r="GMH155" s="398"/>
      <c r="GMI155" s="398"/>
      <c r="GMJ155" s="398"/>
      <c r="GMK155" s="398"/>
      <c r="GML155" s="398"/>
      <c r="GMM155" s="398"/>
      <c r="GMN155" s="398"/>
      <c r="GMO155" s="398"/>
      <c r="GMP155" s="398"/>
      <c r="GMQ155" s="398"/>
      <c r="GMR155" s="398"/>
      <c r="GMS155" s="398"/>
      <c r="GMT155" s="398"/>
      <c r="GMU155" s="398"/>
      <c r="GMV155" s="398"/>
      <c r="GMW155" s="398"/>
      <c r="GMX155" s="398"/>
      <c r="GMY155" s="398"/>
      <c r="GMZ155" s="398"/>
      <c r="GNA155" s="398"/>
      <c r="GNB155" s="398"/>
      <c r="GNC155" s="398"/>
      <c r="GND155" s="398"/>
      <c r="GNE155" s="398"/>
      <c r="GNF155" s="398"/>
      <c r="GNG155" s="398"/>
      <c r="GNH155" s="398"/>
      <c r="GNI155" s="398"/>
      <c r="GNJ155" s="398"/>
      <c r="GNK155" s="398"/>
      <c r="GNL155" s="398"/>
      <c r="GNM155" s="398"/>
      <c r="GNN155" s="398"/>
      <c r="GNO155" s="398"/>
      <c r="GNP155" s="398"/>
      <c r="GNQ155" s="398"/>
      <c r="GNR155" s="398"/>
      <c r="GNS155" s="398"/>
      <c r="GNT155" s="398"/>
      <c r="GNU155" s="398"/>
      <c r="GNV155" s="398"/>
      <c r="GNW155" s="398"/>
      <c r="GNX155" s="398"/>
      <c r="GNY155" s="398"/>
      <c r="GNZ155" s="398"/>
      <c r="GOA155" s="398"/>
      <c r="GOB155" s="398"/>
      <c r="GOC155" s="398"/>
      <c r="GOD155" s="398"/>
      <c r="GOE155" s="398"/>
      <c r="GOF155" s="398"/>
      <c r="GOG155" s="398"/>
      <c r="GOH155" s="398"/>
      <c r="GOI155" s="398"/>
      <c r="GOJ155" s="398"/>
      <c r="GOK155" s="398"/>
      <c r="GOL155" s="398"/>
      <c r="GOM155" s="398"/>
      <c r="GON155" s="398"/>
      <c r="GOO155" s="398"/>
      <c r="GOP155" s="398"/>
      <c r="GOQ155" s="398"/>
      <c r="GOR155" s="398"/>
      <c r="GOS155" s="398"/>
      <c r="GOT155" s="398"/>
      <c r="GOU155" s="398"/>
      <c r="GOV155" s="398"/>
      <c r="GOW155" s="398"/>
      <c r="GOX155" s="398"/>
      <c r="GOY155" s="398"/>
      <c r="GOZ155" s="398"/>
      <c r="GPA155" s="398"/>
      <c r="GPB155" s="398"/>
      <c r="GPC155" s="398"/>
      <c r="GPD155" s="398"/>
      <c r="GPE155" s="398"/>
      <c r="GPF155" s="398"/>
      <c r="GPG155" s="398"/>
      <c r="GPH155" s="398"/>
      <c r="GPI155" s="398"/>
      <c r="GPJ155" s="398"/>
      <c r="GPK155" s="398"/>
      <c r="GPL155" s="398"/>
      <c r="GPM155" s="398"/>
      <c r="GPN155" s="398"/>
      <c r="GPO155" s="398"/>
      <c r="GPP155" s="398"/>
      <c r="GPQ155" s="398"/>
      <c r="GPR155" s="398"/>
      <c r="GPS155" s="398"/>
      <c r="GPT155" s="398"/>
      <c r="GPU155" s="398"/>
      <c r="GPV155" s="398"/>
      <c r="GPW155" s="398"/>
      <c r="GPX155" s="398"/>
      <c r="GPY155" s="398"/>
      <c r="GPZ155" s="398"/>
      <c r="GQA155" s="398"/>
      <c r="GQB155" s="398"/>
      <c r="GQC155" s="398"/>
      <c r="GQD155" s="398"/>
      <c r="GQE155" s="398"/>
      <c r="GQF155" s="398"/>
      <c r="GQG155" s="398"/>
      <c r="GQH155" s="398"/>
      <c r="GQI155" s="398"/>
      <c r="GQJ155" s="398"/>
      <c r="GQK155" s="398"/>
      <c r="GQL155" s="398"/>
      <c r="GQM155" s="398"/>
      <c r="GQN155" s="398"/>
      <c r="GQO155" s="398"/>
      <c r="GQP155" s="398"/>
      <c r="GQQ155" s="398"/>
      <c r="GQR155" s="398"/>
      <c r="GQS155" s="398"/>
      <c r="GQT155" s="398"/>
      <c r="GQU155" s="398"/>
      <c r="GQV155" s="398"/>
      <c r="GQW155" s="398"/>
      <c r="GQX155" s="398"/>
      <c r="GQY155" s="398"/>
      <c r="GQZ155" s="398"/>
      <c r="GRA155" s="398"/>
      <c r="GRB155" s="398"/>
      <c r="GRC155" s="398"/>
      <c r="GRD155" s="398"/>
      <c r="GRE155" s="398"/>
      <c r="GRF155" s="398"/>
      <c r="GRG155" s="398"/>
      <c r="GRH155" s="398"/>
      <c r="GRI155" s="398"/>
      <c r="GRJ155" s="398"/>
      <c r="GRK155" s="398"/>
      <c r="GRL155" s="398"/>
      <c r="GRM155" s="398"/>
      <c r="GRN155" s="398"/>
      <c r="GRO155" s="398"/>
      <c r="GRP155" s="398"/>
      <c r="GRQ155" s="398"/>
      <c r="GRR155" s="398"/>
      <c r="GRS155" s="398"/>
      <c r="GRT155" s="398"/>
      <c r="GRU155" s="398"/>
      <c r="GRV155" s="398"/>
      <c r="GRW155" s="398"/>
      <c r="GRX155" s="398"/>
      <c r="GRY155" s="398"/>
      <c r="GRZ155" s="398"/>
      <c r="GSA155" s="398"/>
      <c r="GSB155" s="398"/>
      <c r="GSC155" s="398"/>
      <c r="GSD155" s="398"/>
      <c r="GSE155" s="398"/>
      <c r="GSF155" s="398"/>
      <c r="GSG155" s="398"/>
      <c r="GSH155" s="398"/>
      <c r="GSI155" s="398"/>
      <c r="GSJ155" s="398"/>
      <c r="GSK155" s="398"/>
      <c r="GSL155" s="398"/>
      <c r="GSM155" s="398"/>
      <c r="GSN155" s="398"/>
      <c r="GSO155" s="398"/>
      <c r="GSP155" s="398"/>
      <c r="GSQ155" s="398"/>
      <c r="GSR155" s="398"/>
      <c r="GSS155" s="398"/>
      <c r="GST155" s="398"/>
      <c r="GSU155" s="398"/>
      <c r="GSV155" s="398"/>
      <c r="GSW155" s="398"/>
      <c r="GSX155" s="398"/>
      <c r="GSY155" s="398"/>
      <c r="GSZ155" s="398"/>
      <c r="GTA155" s="398"/>
      <c r="GTB155" s="398"/>
      <c r="GTC155" s="398"/>
      <c r="GTD155" s="398"/>
      <c r="GTE155" s="398"/>
      <c r="GTF155" s="398"/>
      <c r="GTG155" s="398"/>
      <c r="GTH155" s="398"/>
      <c r="GTI155" s="398"/>
      <c r="GTJ155" s="398"/>
      <c r="GTK155" s="398"/>
      <c r="GTL155" s="398"/>
      <c r="GTM155" s="398"/>
      <c r="GTN155" s="398"/>
      <c r="GTO155" s="398"/>
      <c r="GTP155" s="398"/>
      <c r="GTQ155" s="398"/>
      <c r="GTR155" s="398"/>
      <c r="GTS155" s="398"/>
      <c r="GTT155" s="398"/>
      <c r="GTU155" s="398"/>
      <c r="GTV155" s="398"/>
      <c r="GTW155" s="398"/>
      <c r="GTX155" s="398"/>
      <c r="GTY155" s="398"/>
      <c r="GTZ155" s="398"/>
      <c r="GUA155" s="398"/>
      <c r="GUB155" s="398"/>
      <c r="GUC155" s="398"/>
      <c r="GUD155" s="398"/>
      <c r="GUE155" s="398"/>
      <c r="GUF155" s="398"/>
      <c r="GUG155" s="398"/>
      <c r="GUH155" s="398"/>
      <c r="GUI155" s="398"/>
      <c r="GUJ155" s="398"/>
      <c r="GUK155" s="398"/>
      <c r="GUL155" s="398"/>
      <c r="GUM155" s="398"/>
      <c r="GUN155" s="398"/>
      <c r="GUO155" s="398"/>
      <c r="GUP155" s="398"/>
      <c r="GUQ155" s="398"/>
      <c r="GUR155" s="398"/>
      <c r="GUS155" s="398"/>
      <c r="GUT155" s="398"/>
      <c r="GUU155" s="398"/>
      <c r="GUV155" s="398"/>
      <c r="GUW155" s="398"/>
      <c r="GUX155" s="398"/>
      <c r="GUY155" s="398"/>
      <c r="GUZ155" s="398"/>
      <c r="GVA155" s="398"/>
      <c r="GVB155" s="398"/>
      <c r="GVC155" s="398"/>
      <c r="GVD155" s="398"/>
      <c r="GVE155" s="398"/>
      <c r="GVF155" s="398"/>
      <c r="GVG155" s="398"/>
      <c r="GVH155" s="398"/>
      <c r="GVI155" s="398"/>
      <c r="GVJ155" s="398"/>
      <c r="GVK155" s="398"/>
      <c r="GVL155" s="398"/>
      <c r="GVM155" s="398"/>
      <c r="GVN155" s="398"/>
      <c r="GVO155" s="398"/>
      <c r="GVP155" s="398"/>
      <c r="GVQ155" s="398"/>
      <c r="GVR155" s="398"/>
      <c r="GVS155" s="398"/>
      <c r="GVT155" s="398"/>
      <c r="GVU155" s="398"/>
      <c r="GVV155" s="398"/>
      <c r="GVW155" s="398"/>
      <c r="GVX155" s="398"/>
      <c r="GVY155" s="398"/>
      <c r="GVZ155" s="398"/>
      <c r="GWA155" s="398"/>
      <c r="GWB155" s="398"/>
      <c r="GWC155" s="398"/>
      <c r="GWD155" s="398"/>
      <c r="GWE155" s="398"/>
      <c r="GWF155" s="398"/>
      <c r="GWG155" s="398"/>
      <c r="GWH155" s="398"/>
      <c r="GWI155" s="398"/>
      <c r="GWJ155" s="398"/>
      <c r="GWK155" s="398"/>
      <c r="GWL155" s="398"/>
      <c r="GWM155" s="398"/>
      <c r="GWN155" s="398"/>
      <c r="GWO155" s="398"/>
      <c r="GWP155" s="398"/>
      <c r="GWQ155" s="398"/>
      <c r="GWR155" s="398"/>
      <c r="GWS155" s="398"/>
      <c r="GWT155" s="398"/>
      <c r="GWU155" s="398"/>
      <c r="GWV155" s="398"/>
      <c r="GWW155" s="398"/>
      <c r="GWX155" s="398"/>
      <c r="GWY155" s="398"/>
      <c r="GWZ155" s="398"/>
      <c r="GXA155" s="398"/>
      <c r="GXB155" s="398"/>
      <c r="GXC155" s="398"/>
      <c r="GXD155" s="398"/>
      <c r="GXE155" s="398"/>
      <c r="GXF155" s="398"/>
      <c r="GXG155" s="398"/>
      <c r="GXH155" s="398"/>
      <c r="GXI155" s="398"/>
      <c r="GXJ155" s="398"/>
      <c r="GXK155" s="398"/>
      <c r="GXL155" s="398"/>
      <c r="GXM155" s="398"/>
      <c r="GXN155" s="398"/>
      <c r="GXO155" s="398"/>
      <c r="GXP155" s="398"/>
      <c r="GXQ155" s="398"/>
      <c r="GXR155" s="398"/>
      <c r="GXS155" s="398"/>
      <c r="GXT155" s="398"/>
      <c r="GXU155" s="398"/>
      <c r="GXV155" s="398"/>
      <c r="GXW155" s="398"/>
      <c r="GXX155" s="398"/>
      <c r="GXY155" s="398"/>
      <c r="GXZ155" s="398"/>
      <c r="GYA155" s="398"/>
      <c r="GYB155" s="398"/>
      <c r="GYC155" s="398"/>
      <c r="GYD155" s="398"/>
      <c r="GYE155" s="398"/>
      <c r="GYF155" s="398"/>
      <c r="GYG155" s="398"/>
      <c r="GYH155" s="398"/>
      <c r="GYI155" s="398"/>
      <c r="GYJ155" s="398"/>
      <c r="GYK155" s="398"/>
      <c r="GYL155" s="398"/>
      <c r="GYM155" s="398"/>
      <c r="GYN155" s="398"/>
      <c r="GYO155" s="398"/>
      <c r="GYP155" s="398"/>
      <c r="GYQ155" s="398"/>
      <c r="GYR155" s="398"/>
      <c r="GYS155" s="398"/>
      <c r="GYT155" s="398"/>
      <c r="GYU155" s="398"/>
      <c r="GYV155" s="398"/>
      <c r="GYW155" s="398"/>
      <c r="GYX155" s="398"/>
      <c r="GYY155" s="398"/>
      <c r="GYZ155" s="398"/>
      <c r="GZA155" s="398"/>
      <c r="GZB155" s="398"/>
      <c r="GZC155" s="398"/>
      <c r="GZD155" s="398"/>
      <c r="GZE155" s="398"/>
      <c r="GZF155" s="398"/>
      <c r="GZG155" s="398"/>
      <c r="GZH155" s="398"/>
      <c r="GZI155" s="398"/>
      <c r="GZJ155" s="398"/>
      <c r="GZK155" s="398"/>
      <c r="GZL155" s="398"/>
      <c r="GZM155" s="398"/>
      <c r="GZN155" s="398"/>
      <c r="GZO155" s="398"/>
      <c r="GZP155" s="398"/>
      <c r="GZQ155" s="398"/>
      <c r="GZR155" s="398"/>
      <c r="GZS155" s="398"/>
      <c r="GZT155" s="398"/>
      <c r="GZU155" s="398"/>
      <c r="GZV155" s="398"/>
      <c r="GZW155" s="398"/>
      <c r="GZX155" s="398"/>
      <c r="GZY155" s="398"/>
      <c r="GZZ155" s="398"/>
      <c r="HAA155" s="398"/>
      <c r="HAB155" s="398"/>
      <c r="HAC155" s="398"/>
      <c r="HAD155" s="398"/>
      <c r="HAE155" s="398"/>
      <c r="HAF155" s="398"/>
      <c r="HAG155" s="398"/>
      <c r="HAH155" s="398"/>
      <c r="HAI155" s="398"/>
      <c r="HAJ155" s="398"/>
      <c r="HAK155" s="398"/>
      <c r="HAL155" s="398"/>
      <c r="HAM155" s="398"/>
      <c r="HAN155" s="398"/>
      <c r="HAO155" s="398"/>
      <c r="HAP155" s="398"/>
      <c r="HAQ155" s="398"/>
      <c r="HAR155" s="398"/>
      <c r="HAS155" s="398"/>
      <c r="HAT155" s="398"/>
      <c r="HAU155" s="398"/>
      <c r="HAV155" s="398"/>
      <c r="HAW155" s="398"/>
      <c r="HAX155" s="398"/>
      <c r="HAY155" s="398"/>
      <c r="HAZ155" s="398"/>
      <c r="HBA155" s="398"/>
      <c r="HBB155" s="398"/>
      <c r="HBC155" s="398"/>
      <c r="HBD155" s="398"/>
      <c r="HBE155" s="398"/>
      <c r="HBF155" s="398"/>
      <c r="HBG155" s="398"/>
      <c r="HBH155" s="398"/>
      <c r="HBI155" s="398"/>
      <c r="HBJ155" s="398"/>
      <c r="HBK155" s="398"/>
      <c r="HBL155" s="398"/>
      <c r="HBM155" s="398"/>
      <c r="HBN155" s="398"/>
      <c r="HBO155" s="398"/>
      <c r="HBP155" s="398"/>
      <c r="HBQ155" s="398"/>
      <c r="HBR155" s="398"/>
      <c r="HBS155" s="398"/>
      <c r="HBT155" s="398"/>
      <c r="HBU155" s="398"/>
      <c r="HBV155" s="398"/>
      <c r="HBW155" s="398"/>
      <c r="HBX155" s="398"/>
      <c r="HBY155" s="398"/>
      <c r="HBZ155" s="398"/>
      <c r="HCA155" s="398"/>
      <c r="HCB155" s="398"/>
      <c r="HCC155" s="398"/>
      <c r="HCD155" s="398"/>
      <c r="HCE155" s="398"/>
      <c r="HCF155" s="398"/>
      <c r="HCG155" s="398"/>
      <c r="HCH155" s="398"/>
      <c r="HCI155" s="398"/>
      <c r="HCJ155" s="398"/>
      <c r="HCK155" s="398"/>
      <c r="HCL155" s="398"/>
      <c r="HCM155" s="398"/>
      <c r="HCN155" s="398"/>
      <c r="HCO155" s="398"/>
      <c r="HCP155" s="398"/>
      <c r="HCQ155" s="398"/>
      <c r="HCR155" s="398"/>
      <c r="HCS155" s="398"/>
      <c r="HCT155" s="398"/>
      <c r="HCU155" s="398"/>
      <c r="HCV155" s="398"/>
      <c r="HCW155" s="398"/>
      <c r="HCX155" s="398"/>
      <c r="HCY155" s="398"/>
      <c r="HCZ155" s="398"/>
      <c r="HDA155" s="398"/>
      <c r="HDB155" s="398"/>
      <c r="HDC155" s="398"/>
      <c r="HDD155" s="398"/>
      <c r="HDE155" s="398"/>
      <c r="HDF155" s="398"/>
      <c r="HDG155" s="398"/>
      <c r="HDH155" s="398"/>
      <c r="HDI155" s="398"/>
      <c r="HDJ155" s="398"/>
      <c r="HDK155" s="398"/>
      <c r="HDL155" s="398"/>
      <c r="HDM155" s="398"/>
      <c r="HDN155" s="398"/>
      <c r="HDO155" s="398"/>
      <c r="HDP155" s="398"/>
      <c r="HDQ155" s="398"/>
      <c r="HDR155" s="398"/>
      <c r="HDS155" s="398"/>
      <c r="HDT155" s="398"/>
      <c r="HDU155" s="398"/>
      <c r="HDV155" s="398"/>
      <c r="HDW155" s="398"/>
      <c r="HDX155" s="398"/>
      <c r="HDY155" s="398"/>
      <c r="HDZ155" s="398"/>
      <c r="HEA155" s="398"/>
      <c r="HEB155" s="398"/>
      <c r="HEC155" s="398"/>
      <c r="HED155" s="398"/>
      <c r="HEE155" s="398"/>
      <c r="HEF155" s="398"/>
      <c r="HEG155" s="398"/>
      <c r="HEH155" s="398"/>
      <c r="HEI155" s="398"/>
      <c r="HEJ155" s="398"/>
      <c r="HEK155" s="398"/>
      <c r="HEL155" s="398"/>
      <c r="HEM155" s="398"/>
      <c r="HEN155" s="398"/>
      <c r="HEO155" s="398"/>
      <c r="HEP155" s="398"/>
      <c r="HEQ155" s="398"/>
      <c r="HER155" s="398"/>
      <c r="HES155" s="398"/>
      <c r="HET155" s="398"/>
      <c r="HEU155" s="398"/>
      <c r="HEV155" s="398"/>
      <c r="HEW155" s="398"/>
      <c r="HEX155" s="398"/>
      <c r="HEY155" s="398"/>
      <c r="HEZ155" s="398"/>
      <c r="HFA155" s="398"/>
      <c r="HFB155" s="398"/>
      <c r="HFC155" s="398"/>
      <c r="HFD155" s="398"/>
      <c r="HFE155" s="398"/>
      <c r="HFF155" s="398"/>
      <c r="HFG155" s="398"/>
      <c r="HFH155" s="398"/>
      <c r="HFI155" s="398"/>
      <c r="HFJ155" s="398"/>
      <c r="HFK155" s="398"/>
      <c r="HFL155" s="398"/>
      <c r="HFM155" s="398"/>
      <c r="HFN155" s="398"/>
      <c r="HFO155" s="398"/>
      <c r="HFP155" s="398"/>
      <c r="HFQ155" s="398"/>
      <c r="HFR155" s="398"/>
      <c r="HFS155" s="398"/>
      <c r="HFT155" s="398"/>
      <c r="HFU155" s="398"/>
      <c r="HFV155" s="398"/>
      <c r="HFW155" s="398"/>
      <c r="HFX155" s="398"/>
      <c r="HFY155" s="398"/>
      <c r="HFZ155" s="398"/>
      <c r="HGA155" s="398"/>
      <c r="HGB155" s="398"/>
      <c r="HGC155" s="398"/>
      <c r="HGD155" s="398"/>
      <c r="HGE155" s="398"/>
      <c r="HGF155" s="398"/>
      <c r="HGG155" s="398"/>
      <c r="HGH155" s="398"/>
      <c r="HGI155" s="398"/>
      <c r="HGJ155" s="398"/>
      <c r="HGK155" s="398"/>
      <c r="HGL155" s="398"/>
      <c r="HGM155" s="398"/>
      <c r="HGN155" s="398"/>
      <c r="HGO155" s="398"/>
      <c r="HGP155" s="398"/>
      <c r="HGQ155" s="398"/>
      <c r="HGR155" s="398"/>
      <c r="HGS155" s="398"/>
      <c r="HGT155" s="398"/>
      <c r="HGU155" s="398"/>
      <c r="HGV155" s="398"/>
      <c r="HGW155" s="398"/>
      <c r="HGX155" s="398"/>
      <c r="HGY155" s="398"/>
      <c r="HGZ155" s="398"/>
      <c r="HHA155" s="398"/>
      <c r="HHB155" s="398"/>
      <c r="HHC155" s="398"/>
      <c r="HHD155" s="398"/>
      <c r="HHE155" s="398"/>
      <c r="HHF155" s="398"/>
      <c r="HHG155" s="398"/>
      <c r="HHH155" s="398"/>
      <c r="HHI155" s="398"/>
      <c r="HHJ155" s="398"/>
      <c r="HHK155" s="398"/>
      <c r="HHL155" s="398"/>
      <c r="HHM155" s="398"/>
      <c r="HHN155" s="398"/>
      <c r="HHO155" s="398"/>
      <c r="HHP155" s="398"/>
      <c r="HHQ155" s="398"/>
      <c r="HHR155" s="398"/>
      <c r="HHS155" s="398"/>
      <c r="HHT155" s="398"/>
      <c r="HHU155" s="398"/>
      <c r="HHV155" s="398"/>
      <c r="HHW155" s="398"/>
      <c r="HHX155" s="398"/>
      <c r="HHY155" s="398"/>
      <c r="HHZ155" s="398"/>
      <c r="HIA155" s="398"/>
      <c r="HIB155" s="398"/>
      <c r="HIC155" s="398"/>
      <c r="HID155" s="398"/>
      <c r="HIE155" s="398"/>
      <c r="HIF155" s="398"/>
      <c r="HIG155" s="398"/>
      <c r="HIH155" s="398"/>
      <c r="HII155" s="398"/>
      <c r="HIJ155" s="398"/>
      <c r="HIK155" s="398"/>
      <c r="HIL155" s="398"/>
      <c r="HIM155" s="398"/>
      <c r="HIN155" s="398"/>
      <c r="HIO155" s="398"/>
      <c r="HIP155" s="398"/>
      <c r="HIQ155" s="398"/>
      <c r="HIR155" s="398"/>
      <c r="HIS155" s="398"/>
      <c r="HIT155" s="398"/>
      <c r="HIU155" s="398"/>
      <c r="HIV155" s="398"/>
      <c r="HIW155" s="398"/>
      <c r="HIX155" s="398"/>
      <c r="HIY155" s="398"/>
      <c r="HIZ155" s="398"/>
      <c r="HJA155" s="398"/>
      <c r="HJB155" s="398"/>
      <c r="HJC155" s="398"/>
      <c r="HJD155" s="398"/>
      <c r="HJE155" s="398"/>
      <c r="HJF155" s="398"/>
      <c r="HJG155" s="398"/>
      <c r="HJH155" s="398"/>
      <c r="HJI155" s="398"/>
      <c r="HJJ155" s="398"/>
      <c r="HJK155" s="398"/>
      <c r="HJL155" s="398"/>
      <c r="HJM155" s="398"/>
      <c r="HJN155" s="398"/>
      <c r="HJO155" s="398"/>
      <c r="HJP155" s="398"/>
      <c r="HJQ155" s="398"/>
      <c r="HJR155" s="398"/>
      <c r="HJS155" s="398"/>
      <c r="HJT155" s="398"/>
      <c r="HJU155" s="398"/>
      <c r="HJV155" s="398"/>
      <c r="HJW155" s="398"/>
      <c r="HJX155" s="398"/>
      <c r="HJY155" s="398"/>
      <c r="HJZ155" s="398"/>
      <c r="HKA155" s="398"/>
      <c r="HKB155" s="398"/>
      <c r="HKC155" s="398"/>
      <c r="HKD155" s="398"/>
      <c r="HKE155" s="398"/>
      <c r="HKF155" s="398"/>
      <c r="HKG155" s="398"/>
      <c r="HKH155" s="398"/>
      <c r="HKI155" s="398"/>
      <c r="HKJ155" s="398"/>
      <c r="HKK155" s="398"/>
      <c r="HKL155" s="398"/>
      <c r="HKM155" s="398"/>
      <c r="HKN155" s="398"/>
      <c r="HKO155" s="398"/>
      <c r="HKP155" s="398"/>
      <c r="HKQ155" s="398"/>
      <c r="HKR155" s="398"/>
      <c r="HKS155" s="398"/>
      <c r="HKT155" s="398"/>
      <c r="HKU155" s="398"/>
      <c r="HKV155" s="398"/>
      <c r="HKW155" s="398"/>
      <c r="HKX155" s="398"/>
      <c r="HKY155" s="398"/>
      <c r="HKZ155" s="398"/>
      <c r="HLA155" s="398"/>
      <c r="HLB155" s="398"/>
      <c r="HLC155" s="398"/>
      <c r="HLD155" s="398"/>
      <c r="HLE155" s="398"/>
      <c r="HLF155" s="398"/>
      <c r="HLG155" s="398"/>
      <c r="HLH155" s="398"/>
      <c r="HLI155" s="398"/>
      <c r="HLJ155" s="398"/>
      <c r="HLK155" s="398"/>
      <c r="HLL155" s="398"/>
      <c r="HLM155" s="398"/>
      <c r="HLN155" s="398"/>
      <c r="HLO155" s="398"/>
      <c r="HLP155" s="398"/>
      <c r="HLQ155" s="398"/>
      <c r="HLR155" s="398"/>
      <c r="HLS155" s="398"/>
      <c r="HLT155" s="398"/>
      <c r="HLU155" s="398"/>
      <c r="HLV155" s="398"/>
      <c r="HLW155" s="398"/>
      <c r="HLX155" s="398"/>
      <c r="HLY155" s="398"/>
      <c r="HLZ155" s="398"/>
      <c r="HMA155" s="398"/>
      <c r="HMB155" s="398"/>
      <c r="HMC155" s="398"/>
      <c r="HMD155" s="398"/>
      <c r="HME155" s="398"/>
      <c r="HMF155" s="398"/>
      <c r="HMG155" s="398"/>
      <c r="HMH155" s="398"/>
      <c r="HMI155" s="398"/>
      <c r="HMJ155" s="398"/>
      <c r="HMK155" s="398"/>
      <c r="HML155" s="398"/>
      <c r="HMM155" s="398"/>
      <c r="HMN155" s="398"/>
      <c r="HMO155" s="398"/>
      <c r="HMP155" s="398"/>
      <c r="HMQ155" s="398"/>
      <c r="HMR155" s="398"/>
      <c r="HMS155" s="398"/>
      <c r="HMT155" s="398"/>
      <c r="HMU155" s="398"/>
      <c r="HMV155" s="398"/>
      <c r="HMW155" s="398"/>
      <c r="HMX155" s="398"/>
      <c r="HMY155" s="398"/>
      <c r="HMZ155" s="398"/>
      <c r="HNA155" s="398"/>
      <c r="HNB155" s="398"/>
      <c r="HNC155" s="398"/>
      <c r="HND155" s="398"/>
      <c r="HNE155" s="398"/>
      <c r="HNF155" s="398"/>
      <c r="HNG155" s="398"/>
      <c r="HNH155" s="398"/>
      <c r="HNI155" s="398"/>
      <c r="HNJ155" s="398"/>
      <c r="HNK155" s="398"/>
      <c r="HNL155" s="398"/>
      <c r="HNM155" s="398"/>
      <c r="HNN155" s="398"/>
      <c r="HNO155" s="398"/>
      <c r="HNP155" s="398"/>
      <c r="HNQ155" s="398"/>
      <c r="HNR155" s="398"/>
      <c r="HNS155" s="398"/>
      <c r="HNT155" s="398"/>
      <c r="HNU155" s="398"/>
      <c r="HNV155" s="398"/>
      <c r="HNW155" s="398"/>
      <c r="HNX155" s="398"/>
      <c r="HNY155" s="398"/>
      <c r="HNZ155" s="398"/>
      <c r="HOA155" s="398"/>
      <c r="HOB155" s="398"/>
      <c r="HOC155" s="398"/>
      <c r="HOD155" s="398"/>
      <c r="HOE155" s="398"/>
      <c r="HOF155" s="398"/>
      <c r="HOG155" s="398"/>
      <c r="HOH155" s="398"/>
      <c r="HOI155" s="398"/>
      <c r="HOJ155" s="398"/>
      <c r="HOK155" s="398"/>
      <c r="HOL155" s="398"/>
      <c r="HOM155" s="398"/>
      <c r="HON155" s="398"/>
      <c r="HOO155" s="398"/>
      <c r="HOP155" s="398"/>
      <c r="HOQ155" s="398"/>
      <c r="HOR155" s="398"/>
      <c r="HOS155" s="398"/>
      <c r="HOT155" s="398"/>
      <c r="HOU155" s="398"/>
      <c r="HOV155" s="398"/>
      <c r="HOW155" s="398"/>
      <c r="HOX155" s="398"/>
      <c r="HOY155" s="398"/>
      <c r="HOZ155" s="398"/>
      <c r="HPA155" s="398"/>
      <c r="HPB155" s="398"/>
      <c r="HPC155" s="398"/>
      <c r="HPD155" s="398"/>
      <c r="HPE155" s="398"/>
      <c r="HPF155" s="398"/>
      <c r="HPG155" s="398"/>
      <c r="HPH155" s="398"/>
      <c r="HPI155" s="398"/>
      <c r="HPJ155" s="398"/>
      <c r="HPK155" s="398"/>
      <c r="HPL155" s="398"/>
      <c r="HPM155" s="398"/>
      <c r="HPN155" s="398"/>
      <c r="HPO155" s="398"/>
      <c r="HPP155" s="398"/>
      <c r="HPQ155" s="398"/>
      <c r="HPR155" s="398"/>
      <c r="HPS155" s="398"/>
      <c r="HPT155" s="398"/>
      <c r="HPU155" s="398"/>
      <c r="HPV155" s="398"/>
      <c r="HPW155" s="398"/>
      <c r="HPX155" s="398"/>
      <c r="HPY155" s="398"/>
      <c r="HPZ155" s="398"/>
      <c r="HQA155" s="398"/>
      <c r="HQB155" s="398"/>
      <c r="HQC155" s="398"/>
      <c r="HQD155" s="398"/>
      <c r="HQE155" s="398"/>
      <c r="HQF155" s="398"/>
      <c r="HQG155" s="398"/>
      <c r="HQH155" s="398"/>
      <c r="HQI155" s="398"/>
      <c r="HQJ155" s="398"/>
      <c r="HQK155" s="398"/>
      <c r="HQL155" s="398"/>
      <c r="HQM155" s="398"/>
      <c r="HQN155" s="398"/>
      <c r="HQO155" s="398"/>
      <c r="HQP155" s="398"/>
      <c r="HQQ155" s="398"/>
      <c r="HQR155" s="398"/>
      <c r="HQS155" s="398"/>
      <c r="HQT155" s="398"/>
      <c r="HQU155" s="398"/>
      <c r="HQV155" s="398"/>
      <c r="HQW155" s="398"/>
      <c r="HQX155" s="398"/>
      <c r="HQY155" s="398"/>
      <c r="HQZ155" s="398"/>
      <c r="HRA155" s="398"/>
      <c r="HRB155" s="398"/>
      <c r="HRC155" s="398"/>
      <c r="HRD155" s="398"/>
      <c r="HRE155" s="398"/>
      <c r="HRF155" s="398"/>
      <c r="HRG155" s="398"/>
      <c r="HRH155" s="398"/>
      <c r="HRI155" s="398"/>
      <c r="HRJ155" s="398"/>
      <c r="HRK155" s="398"/>
      <c r="HRL155" s="398"/>
      <c r="HRM155" s="398"/>
      <c r="HRN155" s="398"/>
      <c r="HRO155" s="398"/>
      <c r="HRP155" s="398"/>
      <c r="HRQ155" s="398"/>
      <c r="HRR155" s="398"/>
      <c r="HRS155" s="398"/>
      <c r="HRT155" s="398"/>
      <c r="HRU155" s="398"/>
      <c r="HRV155" s="398"/>
      <c r="HRW155" s="398"/>
      <c r="HRX155" s="398"/>
      <c r="HRY155" s="398"/>
      <c r="HRZ155" s="398"/>
      <c r="HSA155" s="398"/>
      <c r="HSB155" s="398"/>
      <c r="HSC155" s="398"/>
      <c r="HSD155" s="398"/>
      <c r="HSE155" s="398"/>
      <c r="HSF155" s="398"/>
      <c r="HSG155" s="398"/>
      <c r="HSH155" s="398"/>
      <c r="HSI155" s="398"/>
      <c r="HSJ155" s="398"/>
      <c r="HSK155" s="398"/>
      <c r="HSL155" s="398"/>
      <c r="HSM155" s="398"/>
      <c r="HSN155" s="398"/>
      <c r="HSO155" s="398"/>
      <c r="HSP155" s="398"/>
      <c r="HSQ155" s="398"/>
      <c r="HSR155" s="398"/>
      <c r="HSS155" s="398"/>
      <c r="HST155" s="398"/>
      <c r="HSU155" s="398"/>
      <c r="HSV155" s="398"/>
      <c r="HSW155" s="398"/>
      <c r="HSX155" s="398"/>
      <c r="HSY155" s="398"/>
      <c r="HSZ155" s="398"/>
      <c r="HTA155" s="398"/>
      <c r="HTB155" s="398"/>
      <c r="HTC155" s="398"/>
      <c r="HTD155" s="398"/>
      <c r="HTE155" s="398"/>
      <c r="HTF155" s="398"/>
      <c r="HTG155" s="398"/>
      <c r="HTH155" s="398"/>
      <c r="HTI155" s="398"/>
      <c r="HTJ155" s="398"/>
      <c r="HTK155" s="398"/>
      <c r="HTL155" s="398"/>
      <c r="HTM155" s="398"/>
      <c r="HTN155" s="398"/>
      <c r="HTO155" s="398"/>
      <c r="HTP155" s="398"/>
      <c r="HTQ155" s="398"/>
      <c r="HTR155" s="398"/>
      <c r="HTS155" s="398"/>
      <c r="HTT155" s="398"/>
      <c r="HTU155" s="398"/>
      <c r="HTV155" s="398"/>
      <c r="HTW155" s="398"/>
      <c r="HTX155" s="398"/>
      <c r="HTY155" s="398"/>
      <c r="HTZ155" s="398"/>
      <c r="HUA155" s="398"/>
      <c r="HUB155" s="398"/>
      <c r="HUC155" s="398"/>
      <c r="HUD155" s="398"/>
      <c r="HUE155" s="398"/>
      <c r="HUF155" s="398"/>
      <c r="HUG155" s="398"/>
      <c r="HUH155" s="398"/>
      <c r="HUI155" s="398"/>
      <c r="HUJ155" s="398"/>
      <c r="HUK155" s="398"/>
      <c r="HUL155" s="398"/>
      <c r="HUM155" s="398"/>
      <c r="HUN155" s="398"/>
      <c r="HUO155" s="398"/>
      <c r="HUP155" s="398"/>
      <c r="HUQ155" s="398"/>
      <c r="HUR155" s="398"/>
      <c r="HUS155" s="398"/>
      <c r="HUT155" s="398"/>
      <c r="HUU155" s="398"/>
      <c r="HUV155" s="398"/>
      <c r="HUW155" s="398"/>
      <c r="HUX155" s="398"/>
      <c r="HUY155" s="398"/>
      <c r="HUZ155" s="398"/>
      <c r="HVA155" s="398"/>
      <c r="HVB155" s="398"/>
      <c r="HVC155" s="398"/>
      <c r="HVD155" s="398"/>
      <c r="HVE155" s="398"/>
      <c r="HVF155" s="398"/>
      <c r="HVG155" s="398"/>
      <c r="HVH155" s="398"/>
      <c r="HVI155" s="398"/>
      <c r="HVJ155" s="398"/>
      <c r="HVK155" s="398"/>
      <c r="HVL155" s="398"/>
      <c r="HVM155" s="398"/>
      <c r="HVN155" s="398"/>
      <c r="HVO155" s="398"/>
      <c r="HVP155" s="398"/>
      <c r="HVQ155" s="398"/>
      <c r="HVR155" s="398"/>
      <c r="HVS155" s="398"/>
      <c r="HVT155" s="398"/>
      <c r="HVU155" s="398"/>
      <c r="HVV155" s="398"/>
      <c r="HVW155" s="398"/>
      <c r="HVX155" s="398"/>
      <c r="HVY155" s="398"/>
      <c r="HVZ155" s="398"/>
      <c r="HWA155" s="398"/>
      <c r="HWB155" s="398"/>
      <c r="HWC155" s="398"/>
      <c r="HWD155" s="398"/>
      <c r="HWE155" s="398"/>
      <c r="HWF155" s="398"/>
      <c r="HWG155" s="398"/>
      <c r="HWH155" s="398"/>
      <c r="HWI155" s="398"/>
      <c r="HWJ155" s="398"/>
      <c r="HWK155" s="398"/>
      <c r="HWL155" s="398"/>
      <c r="HWM155" s="398"/>
      <c r="HWN155" s="398"/>
      <c r="HWO155" s="398"/>
      <c r="HWP155" s="398"/>
      <c r="HWQ155" s="398"/>
      <c r="HWR155" s="398"/>
      <c r="HWS155" s="398"/>
      <c r="HWT155" s="398"/>
      <c r="HWU155" s="398"/>
      <c r="HWV155" s="398"/>
      <c r="HWW155" s="398"/>
      <c r="HWX155" s="398"/>
      <c r="HWY155" s="398"/>
      <c r="HWZ155" s="398"/>
      <c r="HXA155" s="398"/>
      <c r="HXB155" s="398"/>
      <c r="HXC155" s="398"/>
      <c r="HXD155" s="398"/>
      <c r="HXE155" s="398"/>
      <c r="HXF155" s="398"/>
      <c r="HXG155" s="398"/>
      <c r="HXH155" s="398"/>
      <c r="HXI155" s="398"/>
      <c r="HXJ155" s="398"/>
      <c r="HXK155" s="398"/>
      <c r="HXL155" s="398"/>
      <c r="HXM155" s="398"/>
      <c r="HXN155" s="398"/>
      <c r="HXO155" s="398"/>
      <c r="HXP155" s="398"/>
      <c r="HXQ155" s="398"/>
      <c r="HXR155" s="398"/>
      <c r="HXS155" s="398"/>
      <c r="HXT155" s="398"/>
      <c r="HXU155" s="398"/>
      <c r="HXV155" s="398"/>
      <c r="HXW155" s="398"/>
      <c r="HXX155" s="398"/>
      <c r="HXY155" s="398"/>
      <c r="HXZ155" s="398"/>
      <c r="HYA155" s="398"/>
      <c r="HYB155" s="398"/>
      <c r="HYC155" s="398"/>
      <c r="HYD155" s="398"/>
      <c r="HYE155" s="398"/>
      <c r="HYF155" s="398"/>
      <c r="HYG155" s="398"/>
      <c r="HYH155" s="398"/>
      <c r="HYI155" s="398"/>
      <c r="HYJ155" s="398"/>
      <c r="HYK155" s="398"/>
      <c r="HYL155" s="398"/>
      <c r="HYM155" s="398"/>
      <c r="HYN155" s="398"/>
      <c r="HYO155" s="398"/>
      <c r="HYP155" s="398"/>
      <c r="HYQ155" s="398"/>
      <c r="HYR155" s="398"/>
      <c r="HYS155" s="398"/>
      <c r="HYT155" s="398"/>
      <c r="HYU155" s="398"/>
      <c r="HYV155" s="398"/>
      <c r="HYW155" s="398"/>
      <c r="HYX155" s="398"/>
      <c r="HYY155" s="398"/>
      <c r="HYZ155" s="398"/>
      <c r="HZA155" s="398"/>
      <c r="HZB155" s="398"/>
      <c r="HZC155" s="398"/>
      <c r="HZD155" s="398"/>
      <c r="HZE155" s="398"/>
      <c r="HZF155" s="398"/>
      <c r="HZG155" s="398"/>
      <c r="HZH155" s="398"/>
      <c r="HZI155" s="398"/>
      <c r="HZJ155" s="398"/>
      <c r="HZK155" s="398"/>
      <c r="HZL155" s="398"/>
      <c r="HZM155" s="398"/>
      <c r="HZN155" s="398"/>
      <c r="HZO155" s="398"/>
      <c r="HZP155" s="398"/>
      <c r="HZQ155" s="398"/>
      <c r="HZR155" s="398"/>
      <c r="HZS155" s="398"/>
      <c r="HZT155" s="398"/>
      <c r="HZU155" s="398"/>
      <c r="HZV155" s="398"/>
      <c r="HZW155" s="398"/>
      <c r="HZX155" s="398"/>
      <c r="HZY155" s="398"/>
      <c r="HZZ155" s="398"/>
      <c r="IAA155" s="398"/>
      <c r="IAB155" s="398"/>
      <c r="IAC155" s="398"/>
      <c r="IAD155" s="398"/>
      <c r="IAE155" s="398"/>
      <c r="IAF155" s="398"/>
      <c r="IAG155" s="398"/>
      <c r="IAH155" s="398"/>
      <c r="IAI155" s="398"/>
      <c r="IAJ155" s="398"/>
      <c r="IAK155" s="398"/>
      <c r="IAL155" s="398"/>
      <c r="IAM155" s="398"/>
      <c r="IAN155" s="398"/>
      <c r="IAO155" s="398"/>
      <c r="IAP155" s="398"/>
      <c r="IAQ155" s="398"/>
      <c r="IAR155" s="398"/>
      <c r="IAS155" s="398"/>
      <c r="IAT155" s="398"/>
      <c r="IAU155" s="398"/>
      <c r="IAV155" s="398"/>
      <c r="IAW155" s="398"/>
      <c r="IAX155" s="398"/>
      <c r="IAY155" s="398"/>
      <c r="IAZ155" s="398"/>
      <c r="IBA155" s="398"/>
      <c r="IBB155" s="398"/>
      <c r="IBC155" s="398"/>
      <c r="IBD155" s="398"/>
      <c r="IBE155" s="398"/>
      <c r="IBF155" s="398"/>
      <c r="IBG155" s="398"/>
      <c r="IBH155" s="398"/>
      <c r="IBI155" s="398"/>
      <c r="IBJ155" s="398"/>
      <c r="IBK155" s="398"/>
      <c r="IBL155" s="398"/>
      <c r="IBM155" s="398"/>
      <c r="IBN155" s="398"/>
      <c r="IBO155" s="398"/>
      <c r="IBP155" s="398"/>
      <c r="IBQ155" s="398"/>
      <c r="IBR155" s="398"/>
      <c r="IBS155" s="398"/>
      <c r="IBT155" s="398"/>
      <c r="IBU155" s="398"/>
      <c r="IBV155" s="398"/>
      <c r="IBW155" s="398"/>
      <c r="IBX155" s="398"/>
      <c r="IBY155" s="398"/>
      <c r="IBZ155" s="398"/>
      <c r="ICA155" s="398"/>
      <c r="ICB155" s="398"/>
      <c r="ICC155" s="398"/>
      <c r="ICD155" s="398"/>
      <c r="ICE155" s="398"/>
      <c r="ICF155" s="398"/>
      <c r="ICG155" s="398"/>
      <c r="ICH155" s="398"/>
      <c r="ICI155" s="398"/>
      <c r="ICJ155" s="398"/>
      <c r="ICK155" s="398"/>
      <c r="ICL155" s="398"/>
      <c r="ICM155" s="398"/>
      <c r="ICN155" s="398"/>
      <c r="ICO155" s="398"/>
      <c r="ICP155" s="398"/>
      <c r="ICQ155" s="398"/>
      <c r="ICR155" s="398"/>
      <c r="ICS155" s="398"/>
      <c r="ICT155" s="398"/>
      <c r="ICU155" s="398"/>
      <c r="ICV155" s="398"/>
      <c r="ICW155" s="398"/>
      <c r="ICX155" s="398"/>
      <c r="ICY155" s="398"/>
      <c r="ICZ155" s="398"/>
      <c r="IDA155" s="398"/>
      <c r="IDB155" s="398"/>
      <c r="IDC155" s="398"/>
      <c r="IDD155" s="398"/>
      <c r="IDE155" s="398"/>
      <c r="IDF155" s="398"/>
      <c r="IDG155" s="398"/>
      <c r="IDH155" s="398"/>
      <c r="IDI155" s="398"/>
      <c r="IDJ155" s="398"/>
      <c r="IDK155" s="398"/>
      <c r="IDL155" s="398"/>
      <c r="IDM155" s="398"/>
      <c r="IDN155" s="398"/>
      <c r="IDO155" s="398"/>
      <c r="IDP155" s="398"/>
      <c r="IDQ155" s="398"/>
      <c r="IDR155" s="398"/>
      <c r="IDS155" s="398"/>
      <c r="IDT155" s="398"/>
      <c r="IDU155" s="398"/>
      <c r="IDV155" s="398"/>
      <c r="IDW155" s="398"/>
      <c r="IDX155" s="398"/>
      <c r="IDY155" s="398"/>
      <c r="IDZ155" s="398"/>
      <c r="IEA155" s="398"/>
      <c r="IEB155" s="398"/>
      <c r="IEC155" s="398"/>
      <c r="IED155" s="398"/>
      <c r="IEE155" s="398"/>
      <c r="IEF155" s="398"/>
      <c r="IEG155" s="398"/>
      <c r="IEH155" s="398"/>
      <c r="IEI155" s="398"/>
      <c r="IEJ155" s="398"/>
      <c r="IEK155" s="398"/>
      <c r="IEL155" s="398"/>
      <c r="IEM155" s="398"/>
      <c r="IEN155" s="398"/>
      <c r="IEO155" s="398"/>
      <c r="IEP155" s="398"/>
      <c r="IEQ155" s="398"/>
      <c r="IER155" s="398"/>
      <c r="IES155" s="398"/>
      <c r="IET155" s="398"/>
      <c r="IEU155" s="398"/>
      <c r="IEV155" s="398"/>
      <c r="IEW155" s="398"/>
      <c r="IEX155" s="398"/>
      <c r="IEY155" s="398"/>
      <c r="IEZ155" s="398"/>
      <c r="IFA155" s="398"/>
      <c r="IFB155" s="398"/>
      <c r="IFC155" s="398"/>
      <c r="IFD155" s="398"/>
      <c r="IFE155" s="398"/>
      <c r="IFF155" s="398"/>
      <c r="IFG155" s="398"/>
      <c r="IFH155" s="398"/>
      <c r="IFI155" s="398"/>
      <c r="IFJ155" s="398"/>
      <c r="IFK155" s="398"/>
      <c r="IFL155" s="398"/>
      <c r="IFM155" s="398"/>
      <c r="IFN155" s="398"/>
      <c r="IFO155" s="398"/>
      <c r="IFP155" s="398"/>
      <c r="IFQ155" s="398"/>
      <c r="IFR155" s="398"/>
      <c r="IFS155" s="398"/>
      <c r="IFT155" s="398"/>
      <c r="IFU155" s="398"/>
      <c r="IFV155" s="398"/>
      <c r="IFW155" s="398"/>
      <c r="IFX155" s="398"/>
      <c r="IFY155" s="398"/>
      <c r="IFZ155" s="398"/>
      <c r="IGA155" s="398"/>
      <c r="IGB155" s="398"/>
      <c r="IGC155" s="398"/>
      <c r="IGD155" s="398"/>
      <c r="IGE155" s="398"/>
      <c r="IGF155" s="398"/>
      <c r="IGG155" s="398"/>
      <c r="IGH155" s="398"/>
      <c r="IGI155" s="398"/>
      <c r="IGJ155" s="398"/>
      <c r="IGK155" s="398"/>
      <c r="IGL155" s="398"/>
      <c r="IGM155" s="398"/>
      <c r="IGN155" s="398"/>
      <c r="IGO155" s="398"/>
      <c r="IGP155" s="398"/>
      <c r="IGQ155" s="398"/>
      <c r="IGR155" s="398"/>
      <c r="IGS155" s="398"/>
      <c r="IGT155" s="398"/>
      <c r="IGU155" s="398"/>
      <c r="IGV155" s="398"/>
      <c r="IGW155" s="398"/>
      <c r="IGX155" s="398"/>
      <c r="IGY155" s="398"/>
      <c r="IGZ155" s="398"/>
      <c r="IHA155" s="398"/>
      <c r="IHB155" s="398"/>
      <c r="IHC155" s="398"/>
      <c r="IHD155" s="398"/>
      <c r="IHE155" s="398"/>
      <c r="IHF155" s="398"/>
      <c r="IHG155" s="398"/>
      <c r="IHH155" s="398"/>
      <c r="IHI155" s="398"/>
      <c r="IHJ155" s="398"/>
      <c r="IHK155" s="398"/>
      <c r="IHL155" s="398"/>
      <c r="IHM155" s="398"/>
      <c r="IHN155" s="398"/>
      <c r="IHO155" s="398"/>
      <c r="IHP155" s="398"/>
      <c r="IHQ155" s="398"/>
      <c r="IHR155" s="398"/>
      <c r="IHS155" s="398"/>
      <c r="IHT155" s="398"/>
      <c r="IHU155" s="398"/>
      <c r="IHV155" s="398"/>
      <c r="IHW155" s="398"/>
      <c r="IHX155" s="398"/>
      <c r="IHY155" s="398"/>
      <c r="IHZ155" s="398"/>
      <c r="IIA155" s="398"/>
      <c r="IIB155" s="398"/>
      <c r="IIC155" s="398"/>
      <c r="IID155" s="398"/>
      <c r="IIE155" s="398"/>
      <c r="IIF155" s="398"/>
      <c r="IIG155" s="398"/>
      <c r="IIH155" s="398"/>
      <c r="III155" s="398"/>
      <c r="IIJ155" s="398"/>
      <c r="IIK155" s="398"/>
      <c r="IIL155" s="398"/>
      <c r="IIM155" s="398"/>
      <c r="IIN155" s="398"/>
      <c r="IIO155" s="398"/>
      <c r="IIP155" s="398"/>
      <c r="IIQ155" s="398"/>
      <c r="IIR155" s="398"/>
      <c r="IIS155" s="398"/>
      <c r="IIT155" s="398"/>
      <c r="IIU155" s="398"/>
      <c r="IIV155" s="398"/>
      <c r="IIW155" s="398"/>
      <c r="IIX155" s="398"/>
      <c r="IIY155" s="398"/>
      <c r="IIZ155" s="398"/>
      <c r="IJA155" s="398"/>
      <c r="IJB155" s="398"/>
      <c r="IJC155" s="398"/>
      <c r="IJD155" s="398"/>
      <c r="IJE155" s="398"/>
      <c r="IJF155" s="398"/>
      <c r="IJG155" s="398"/>
      <c r="IJH155" s="398"/>
      <c r="IJI155" s="398"/>
      <c r="IJJ155" s="398"/>
      <c r="IJK155" s="398"/>
      <c r="IJL155" s="398"/>
      <c r="IJM155" s="398"/>
      <c r="IJN155" s="398"/>
      <c r="IJO155" s="398"/>
      <c r="IJP155" s="398"/>
      <c r="IJQ155" s="398"/>
      <c r="IJR155" s="398"/>
      <c r="IJS155" s="398"/>
      <c r="IJT155" s="398"/>
      <c r="IJU155" s="398"/>
      <c r="IJV155" s="398"/>
      <c r="IJW155" s="398"/>
      <c r="IJX155" s="398"/>
      <c r="IJY155" s="398"/>
      <c r="IJZ155" s="398"/>
      <c r="IKA155" s="398"/>
      <c r="IKB155" s="398"/>
      <c r="IKC155" s="398"/>
      <c r="IKD155" s="398"/>
      <c r="IKE155" s="398"/>
      <c r="IKF155" s="398"/>
      <c r="IKG155" s="398"/>
      <c r="IKH155" s="398"/>
      <c r="IKI155" s="398"/>
      <c r="IKJ155" s="398"/>
      <c r="IKK155" s="398"/>
      <c r="IKL155" s="398"/>
      <c r="IKM155" s="398"/>
      <c r="IKN155" s="398"/>
      <c r="IKO155" s="398"/>
      <c r="IKP155" s="398"/>
      <c r="IKQ155" s="398"/>
      <c r="IKR155" s="398"/>
      <c r="IKS155" s="398"/>
      <c r="IKT155" s="398"/>
      <c r="IKU155" s="398"/>
      <c r="IKV155" s="398"/>
      <c r="IKW155" s="398"/>
      <c r="IKX155" s="398"/>
      <c r="IKY155" s="398"/>
      <c r="IKZ155" s="398"/>
      <c r="ILA155" s="398"/>
      <c r="ILB155" s="398"/>
      <c r="ILC155" s="398"/>
      <c r="ILD155" s="398"/>
      <c r="ILE155" s="398"/>
      <c r="ILF155" s="398"/>
      <c r="ILG155" s="398"/>
      <c r="ILH155" s="398"/>
      <c r="ILI155" s="398"/>
      <c r="ILJ155" s="398"/>
      <c r="ILK155" s="398"/>
      <c r="ILL155" s="398"/>
      <c r="ILM155" s="398"/>
      <c r="ILN155" s="398"/>
      <c r="ILO155" s="398"/>
      <c r="ILP155" s="398"/>
      <c r="ILQ155" s="398"/>
      <c r="ILR155" s="398"/>
      <c r="ILS155" s="398"/>
      <c r="ILT155" s="398"/>
      <c r="ILU155" s="398"/>
      <c r="ILV155" s="398"/>
      <c r="ILW155" s="398"/>
      <c r="ILX155" s="398"/>
      <c r="ILY155" s="398"/>
      <c r="ILZ155" s="398"/>
      <c r="IMA155" s="398"/>
      <c r="IMB155" s="398"/>
      <c r="IMC155" s="398"/>
      <c r="IMD155" s="398"/>
      <c r="IME155" s="398"/>
      <c r="IMF155" s="398"/>
      <c r="IMG155" s="398"/>
      <c r="IMH155" s="398"/>
      <c r="IMI155" s="398"/>
      <c r="IMJ155" s="398"/>
      <c r="IMK155" s="398"/>
      <c r="IML155" s="398"/>
      <c r="IMM155" s="398"/>
      <c r="IMN155" s="398"/>
      <c r="IMO155" s="398"/>
      <c r="IMP155" s="398"/>
      <c r="IMQ155" s="398"/>
      <c r="IMR155" s="398"/>
      <c r="IMS155" s="398"/>
      <c r="IMT155" s="398"/>
      <c r="IMU155" s="398"/>
      <c r="IMV155" s="398"/>
      <c r="IMW155" s="398"/>
      <c r="IMX155" s="398"/>
      <c r="IMY155" s="398"/>
      <c r="IMZ155" s="398"/>
      <c r="INA155" s="398"/>
      <c r="INB155" s="398"/>
      <c r="INC155" s="398"/>
      <c r="IND155" s="398"/>
      <c r="INE155" s="398"/>
      <c r="INF155" s="398"/>
      <c r="ING155" s="398"/>
      <c r="INH155" s="398"/>
      <c r="INI155" s="398"/>
      <c r="INJ155" s="398"/>
      <c r="INK155" s="398"/>
      <c r="INL155" s="398"/>
      <c r="INM155" s="398"/>
      <c r="INN155" s="398"/>
      <c r="INO155" s="398"/>
      <c r="INP155" s="398"/>
      <c r="INQ155" s="398"/>
      <c r="INR155" s="398"/>
      <c r="INS155" s="398"/>
      <c r="INT155" s="398"/>
      <c r="INU155" s="398"/>
      <c r="INV155" s="398"/>
      <c r="INW155" s="398"/>
      <c r="INX155" s="398"/>
      <c r="INY155" s="398"/>
      <c r="INZ155" s="398"/>
      <c r="IOA155" s="398"/>
      <c r="IOB155" s="398"/>
      <c r="IOC155" s="398"/>
      <c r="IOD155" s="398"/>
      <c r="IOE155" s="398"/>
      <c r="IOF155" s="398"/>
      <c r="IOG155" s="398"/>
      <c r="IOH155" s="398"/>
      <c r="IOI155" s="398"/>
      <c r="IOJ155" s="398"/>
      <c r="IOK155" s="398"/>
      <c r="IOL155" s="398"/>
      <c r="IOM155" s="398"/>
      <c r="ION155" s="398"/>
      <c r="IOO155" s="398"/>
      <c r="IOP155" s="398"/>
      <c r="IOQ155" s="398"/>
      <c r="IOR155" s="398"/>
      <c r="IOS155" s="398"/>
      <c r="IOT155" s="398"/>
      <c r="IOU155" s="398"/>
      <c r="IOV155" s="398"/>
      <c r="IOW155" s="398"/>
      <c r="IOX155" s="398"/>
      <c r="IOY155" s="398"/>
      <c r="IOZ155" s="398"/>
      <c r="IPA155" s="398"/>
      <c r="IPB155" s="398"/>
      <c r="IPC155" s="398"/>
      <c r="IPD155" s="398"/>
      <c r="IPE155" s="398"/>
      <c r="IPF155" s="398"/>
      <c r="IPG155" s="398"/>
      <c r="IPH155" s="398"/>
      <c r="IPI155" s="398"/>
      <c r="IPJ155" s="398"/>
      <c r="IPK155" s="398"/>
      <c r="IPL155" s="398"/>
      <c r="IPM155" s="398"/>
      <c r="IPN155" s="398"/>
      <c r="IPO155" s="398"/>
      <c r="IPP155" s="398"/>
      <c r="IPQ155" s="398"/>
      <c r="IPR155" s="398"/>
      <c r="IPS155" s="398"/>
      <c r="IPT155" s="398"/>
      <c r="IPU155" s="398"/>
      <c r="IPV155" s="398"/>
      <c r="IPW155" s="398"/>
      <c r="IPX155" s="398"/>
      <c r="IPY155" s="398"/>
      <c r="IPZ155" s="398"/>
      <c r="IQA155" s="398"/>
      <c r="IQB155" s="398"/>
      <c r="IQC155" s="398"/>
      <c r="IQD155" s="398"/>
      <c r="IQE155" s="398"/>
      <c r="IQF155" s="398"/>
      <c r="IQG155" s="398"/>
      <c r="IQH155" s="398"/>
      <c r="IQI155" s="398"/>
      <c r="IQJ155" s="398"/>
      <c r="IQK155" s="398"/>
      <c r="IQL155" s="398"/>
      <c r="IQM155" s="398"/>
      <c r="IQN155" s="398"/>
      <c r="IQO155" s="398"/>
      <c r="IQP155" s="398"/>
      <c r="IQQ155" s="398"/>
      <c r="IQR155" s="398"/>
      <c r="IQS155" s="398"/>
      <c r="IQT155" s="398"/>
      <c r="IQU155" s="398"/>
      <c r="IQV155" s="398"/>
      <c r="IQW155" s="398"/>
      <c r="IQX155" s="398"/>
      <c r="IQY155" s="398"/>
      <c r="IQZ155" s="398"/>
      <c r="IRA155" s="398"/>
      <c r="IRB155" s="398"/>
      <c r="IRC155" s="398"/>
      <c r="IRD155" s="398"/>
      <c r="IRE155" s="398"/>
      <c r="IRF155" s="398"/>
      <c r="IRG155" s="398"/>
      <c r="IRH155" s="398"/>
      <c r="IRI155" s="398"/>
      <c r="IRJ155" s="398"/>
      <c r="IRK155" s="398"/>
      <c r="IRL155" s="398"/>
      <c r="IRM155" s="398"/>
      <c r="IRN155" s="398"/>
      <c r="IRO155" s="398"/>
      <c r="IRP155" s="398"/>
      <c r="IRQ155" s="398"/>
      <c r="IRR155" s="398"/>
      <c r="IRS155" s="398"/>
      <c r="IRT155" s="398"/>
      <c r="IRU155" s="398"/>
      <c r="IRV155" s="398"/>
      <c r="IRW155" s="398"/>
      <c r="IRX155" s="398"/>
      <c r="IRY155" s="398"/>
      <c r="IRZ155" s="398"/>
      <c r="ISA155" s="398"/>
      <c r="ISB155" s="398"/>
      <c r="ISC155" s="398"/>
      <c r="ISD155" s="398"/>
      <c r="ISE155" s="398"/>
      <c r="ISF155" s="398"/>
      <c r="ISG155" s="398"/>
      <c r="ISH155" s="398"/>
      <c r="ISI155" s="398"/>
      <c r="ISJ155" s="398"/>
      <c r="ISK155" s="398"/>
      <c r="ISL155" s="398"/>
      <c r="ISM155" s="398"/>
      <c r="ISN155" s="398"/>
      <c r="ISO155" s="398"/>
      <c r="ISP155" s="398"/>
      <c r="ISQ155" s="398"/>
      <c r="ISR155" s="398"/>
      <c r="ISS155" s="398"/>
      <c r="IST155" s="398"/>
      <c r="ISU155" s="398"/>
      <c r="ISV155" s="398"/>
      <c r="ISW155" s="398"/>
      <c r="ISX155" s="398"/>
      <c r="ISY155" s="398"/>
      <c r="ISZ155" s="398"/>
      <c r="ITA155" s="398"/>
      <c r="ITB155" s="398"/>
      <c r="ITC155" s="398"/>
      <c r="ITD155" s="398"/>
      <c r="ITE155" s="398"/>
      <c r="ITF155" s="398"/>
      <c r="ITG155" s="398"/>
      <c r="ITH155" s="398"/>
      <c r="ITI155" s="398"/>
      <c r="ITJ155" s="398"/>
      <c r="ITK155" s="398"/>
      <c r="ITL155" s="398"/>
      <c r="ITM155" s="398"/>
      <c r="ITN155" s="398"/>
      <c r="ITO155" s="398"/>
      <c r="ITP155" s="398"/>
      <c r="ITQ155" s="398"/>
      <c r="ITR155" s="398"/>
      <c r="ITS155" s="398"/>
      <c r="ITT155" s="398"/>
      <c r="ITU155" s="398"/>
      <c r="ITV155" s="398"/>
      <c r="ITW155" s="398"/>
      <c r="ITX155" s="398"/>
      <c r="ITY155" s="398"/>
      <c r="ITZ155" s="398"/>
      <c r="IUA155" s="398"/>
      <c r="IUB155" s="398"/>
      <c r="IUC155" s="398"/>
      <c r="IUD155" s="398"/>
      <c r="IUE155" s="398"/>
      <c r="IUF155" s="398"/>
      <c r="IUG155" s="398"/>
      <c r="IUH155" s="398"/>
      <c r="IUI155" s="398"/>
      <c r="IUJ155" s="398"/>
      <c r="IUK155" s="398"/>
      <c r="IUL155" s="398"/>
      <c r="IUM155" s="398"/>
      <c r="IUN155" s="398"/>
      <c r="IUO155" s="398"/>
      <c r="IUP155" s="398"/>
      <c r="IUQ155" s="398"/>
      <c r="IUR155" s="398"/>
      <c r="IUS155" s="398"/>
      <c r="IUT155" s="398"/>
      <c r="IUU155" s="398"/>
      <c r="IUV155" s="398"/>
      <c r="IUW155" s="398"/>
      <c r="IUX155" s="398"/>
      <c r="IUY155" s="398"/>
      <c r="IUZ155" s="398"/>
      <c r="IVA155" s="398"/>
      <c r="IVB155" s="398"/>
      <c r="IVC155" s="398"/>
      <c r="IVD155" s="398"/>
      <c r="IVE155" s="398"/>
      <c r="IVF155" s="398"/>
      <c r="IVG155" s="398"/>
      <c r="IVH155" s="398"/>
      <c r="IVI155" s="398"/>
      <c r="IVJ155" s="398"/>
      <c r="IVK155" s="398"/>
      <c r="IVL155" s="398"/>
      <c r="IVM155" s="398"/>
      <c r="IVN155" s="398"/>
      <c r="IVO155" s="398"/>
      <c r="IVP155" s="398"/>
      <c r="IVQ155" s="398"/>
      <c r="IVR155" s="398"/>
      <c r="IVS155" s="398"/>
      <c r="IVT155" s="398"/>
      <c r="IVU155" s="398"/>
      <c r="IVV155" s="398"/>
      <c r="IVW155" s="398"/>
      <c r="IVX155" s="398"/>
      <c r="IVY155" s="398"/>
      <c r="IVZ155" s="398"/>
      <c r="IWA155" s="398"/>
      <c r="IWB155" s="398"/>
      <c r="IWC155" s="398"/>
      <c r="IWD155" s="398"/>
      <c r="IWE155" s="398"/>
      <c r="IWF155" s="398"/>
      <c r="IWG155" s="398"/>
      <c r="IWH155" s="398"/>
      <c r="IWI155" s="398"/>
      <c r="IWJ155" s="398"/>
      <c r="IWK155" s="398"/>
      <c r="IWL155" s="398"/>
      <c r="IWM155" s="398"/>
      <c r="IWN155" s="398"/>
      <c r="IWO155" s="398"/>
      <c r="IWP155" s="398"/>
      <c r="IWQ155" s="398"/>
      <c r="IWR155" s="398"/>
      <c r="IWS155" s="398"/>
      <c r="IWT155" s="398"/>
      <c r="IWU155" s="398"/>
      <c r="IWV155" s="398"/>
      <c r="IWW155" s="398"/>
      <c r="IWX155" s="398"/>
      <c r="IWY155" s="398"/>
      <c r="IWZ155" s="398"/>
      <c r="IXA155" s="398"/>
      <c r="IXB155" s="398"/>
      <c r="IXC155" s="398"/>
      <c r="IXD155" s="398"/>
      <c r="IXE155" s="398"/>
      <c r="IXF155" s="398"/>
      <c r="IXG155" s="398"/>
      <c r="IXH155" s="398"/>
      <c r="IXI155" s="398"/>
      <c r="IXJ155" s="398"/>
      <c r="IXK155" s="398"/>
      <c r="IXL155" s="398"/>
      <c r="IXM155" s="398"/>
      <c r="IXN155" s="398"/>
      <c r="IXO155" s="398"/>
      <c r="IXP155" s="398"/>
      <c r="IXQ155" s="398"/>
      <c r="IXR155" s="398"/>
      <c r="IXS155" s="398"/>
      <c r="IXT155" s="398"/>
      <c r="IXU155" s="398"/>
      <c r="IXV155" s="398"/>
      <c r="IXW155" s="398"/>
      <c r="IXX155" s="398"/>
      <c r="IXY155" s="398"/>
      <c r="IXZ155" s="398"/>
      <c r="IYA155" s="398"/>
      <c r="IYB155" s="398"/>
      <c r="IYC155" s="398"/>
      <c r="IYD155" s="398"/>
      <c r="IYE155" s="398"/>
      <c r="IYF155" s="398"/>
      <c r="IYG155" s="398"/>
      <c r="IYH155" s="398"/>
      <c r="IYI155" s="398"/>
      <c r="IYJ155" s="398"/>
      <c r="IYK155" s="398"/>
      <c r="IYL155" s="398"/>
      <c r="IYM155" s="398"/>
      <c r="IYN155" s="398"/>
      <c r="IYO155" s="398"/>
      <c r="IYP155" s="398"/>
      <c r="IYQ155" s="398"/>
      <c r="IYR155" s="398"/>
      <c r="IYS155" s="398"/>
      <c r="IYT155" s="398"/>
      <c r="IYU155" s="398"/>
      <c r="IYV155" s="398"/>
      <c r="IYW155" s="398"/>
      <c r="IYX155" s="398"/>
      <c r="IYY155" s="398"/>
      <c r="IYZ155" s="398"/>
      <c r="IZA155" s="398"/>
      <c r="IZB155" s="398"/>
      <c r="IZC155" s="398"/>
      <c r="IZD155" s="398"/>
      <c r="IZE155" s="398"/>
      <c r="IZF155" s="398"/>
      <c r="IZG155" s="398"/>
      <c r="IZH155" s="398"/>
      <c r="IZI155" s="398"/>
      <c r="IZJ155" s="398"/>
      <c r="IZK155" s="398"/>
      <c r="IZL155" s="398"/>
      <c r="IZM155" s="398"/>
      <c r="IZN155" s="398"/>
      <c r="IZO155" s="398"/>
      <c r="IZP155" s="398"/>
      <c r="IZQ155" s="398"/>
      <c r="IZR155" s="398"/>
      <c r="IZS155" s="398"/>
      <c r="IZT155" s="398"/>
      <c r="IZU155" s="398"/>
      <c r="IZV155" s="398"/>
      <c r="IZW155" s="398"/>
      <c r="IZX155" s="398"/>
      <c r="IZY155" s="398"/>
      <c r="IZZ155" s="398"/>
      <c r="JAA155" s="398"/>
      <c r="JAB155" s="398"/>
      <c r="JAC155" s="398"/>
      <c r="JAD155" s="398"/>
      <c r="JAE155" s="398"/>
      <c r="JAF155" s="398"/>
      <c r="JAG155" s="398"/>
      <c r="JAH155" s="398"/>
      <c r="JAI155" s="398"/>
      <c r="JAJ155" s="398"/>
      <c r="JAK155" s="398"/>
      <c r="JAL155" s="398"/>
      <c r="JAM155" s="398"/>
      <c r="JAN155" s="398"/>
      <c r="JAO155" s="398"/>
      <c r="JAP155" s="398"/>
      <c r="JAQ155" s="398"/>
      <c r="JAR155" s="398"/>
      <c r="JAS155" s="398"/>
      <c r="JAT155" s="398"/>
      <c r="JAU155" s="398"/>
      <c r="JAV155" s="398"/>
      <c r="JAW155" s="398"/>
      <c r="JAX155" s="398"/>
      <c r="JAY155" s="398"/>
      <c r="JAZ155" s="398"/>
      <c r="JBA155" s="398"/>
      <c r="JBB155" s="398"/>
      <c r="JBC155" s="398"/>
      <c r="JBD155" s="398"/>
      <c r="JBE155" s="398"/>
      <c r="JBF155" s="398"/>
      <c r="JBG155" s="398"/>
      <c r="JBH155" s="398"/>
      <c r="JBI155" s="398"/>
      <c r="JBJ155" s="398"/>
      <c r="JBK155" s="398"/>
      <c r="JBL155" s="398"/>
      <c r="JBM155" s="398"/>
      <c r="JBN155" s="398"/>
      <c r="JBO155" s="398"/>
      <c r="JBP155" s="398"/>
      <c r="JBQ155" s="398"/>
      <c r="JBR155" s="398"/>
      <c r="JBS155" s="398"/>
      <c r="JBT155" s="398"/>
      <c r="JBU155" s="398"/>
      <c r="JBV155" s="398"/>
      <c r="JBW155" s="398"/>
      <c r="JBX155" s="398"/>
      <c r="JBY155" s="398"/>
      <c r="JBZ155" s="398"/>
      <c r="JCA155" s="398"/>
      <c r="JCB155" s="398"/>
      <c r="JCC155" s="398"/>
      <c r="JCD155" s="398"/>
      <c r="JCE155" s="398"/>
      <c r="JCF155" s="398"/>
      <c r="JCG155" s="398"/>
      <c r="JCH155" s="398"/>
      <c r="JCI155" s="398"/>
      <c r="JCJ155" s="398"/>
      <c r="JCK155" s="398"/>
      <c r="JCL155" s="398"/>
      <c r="JCM155" s="398"/>
      <c r="JCN155" s="398"/>
      <c r="JCO155" s="398"/>
      <c r="JCP155" s="398"/>
      <c r="JCQ155" s="398"/>
      <c r="JCR155" s="398"/>
      <c r="JCS155" s="398"/>
      <c r="JCT155" s="398"/>
      <c r="JCU155" s="398"/>
      <c r="JCV155" s="398"/>
      <c r="JCW155" s="398"/>
      <c r="JCX155" s="398"/>
      <c r="JCY155" s="398"/>
      <c r="JCZ155" s="398"/>
      <c r="JDA155" s="398"/>
      <c r="JDB155" s="398"/>
      <c r="JDC155" s="398"/>
      <c r="JDD155" s="398"/>
      <c r="JDE155" s="398"/>
      <c r="JDF155" s="398"/>
      <c r="JDG155" s="398"/>
      <c r="JDH155" s="398"/>
      <c r="JDI155" s="398"/>
      <c r="JDJ155" s="398"/>
      <c r="JDK155" s="398"/>
      <c r="JDL155" s="398"/>
      <c r="JDM155" s="398"/>
      <c r="JDN155" s="398"/>
      <c r="JDO155" s="398"/>
      <c r="JDP155" s="398"/>
      <c r="JDQ155" s="398"/>
      <c r="JDR155" s="398"/>
      <c r="JDS155" s="398"/>
      <c r="JDT155" s="398"/>
      <c r="JDU155" s="398"/>
      <c r="JDV155" s="398"/>
      <c r="JDW155" s="398"/>
      <c r="JDX155" s="398"/>
      <c r="JDY155" s="398"/>
      <c r="JDZ155" s="398"/>
      <c r="JEA155" s="398"/>
      <c r="JEB155" s="398"/>
      <c r="JEC155" s="398"/>
      <c r="JED155" s="398"/>
      <c r="JEE155" s="398"/>
      <c r="JEF155" s="398"/>
      <c r="JEG155" s="398"/>
      <c r="JEH155" s="398"/>
      <c r="JEI155" s="398"/>
      <c r="JEJ155" s="398"/>
      <c r="JEK155" s="398"/>
      <c r="JEL155" s="398"/>
      <c r="JEM155" s="398"/>
      <c r="JEN155" s="398"/>
      <c r="JEO155" s="398"/>
      <c r="JEP155" s="398"/>
      <c r="JEQ155" s="398"/>
      <c r="JER155" s="398"/>
      <c r="JES155" s="398"/>
      <c r="JET155" s="398"/>
      <c r="JEU155" s="398"/>
      <c r="JEV155" s="398"/>
      <c r="JEW155" s="398"/>
      <c r="JEX155" s="398"/>
      <c r="JEY155" s="398"/>
      <c r="JEZ155" s="398"/>
      <c r="JFA155" s="398"/>
      <c r="JFB155" s="398"/>
      <c r="JFC155" s="398"/>
      <c r="JFD155" s="398"/>
      <c r="JFE155" s="398"/>
      <c r="JFF155" s="398"/>
      <c r="JFG155" s="398"/>
      <c r="JFH155" s="398"/>
      <c r="JFI155" s="398"/>
      <c r="JFJ155" s="398"/>
      <c r="JFK155" s="398"/>
      <c r="JFL155" s="398"/>
      <c r="JFM155" s="398"/>
      <c r="JFN155" s="398"/>
      <c r="JFO155" s="398"/>
      <c r="JFP155" s="398"/>
      <c r="JFQ155" s="398"/>
      <c r="JFR155" s="398"/>
      <c r="JFS155" s="398"/>
      <c r="JFT155" s="398"/>
      <c r="JFU155" s="398"/>
      <c r="JFV155" s="398"/>
      <c r="JFW155" s="398"/>
      <c r="JFX155" s="398"/>
      <c r="JFY155" s="398"/>
      <c r="JFZ155" s="398"/>
      <c r="JGA155" s="398"/>
      <c r="JGB155" s="398"/>
      <c r="JGC155" s="398"/>
      <c r="JGD155" s="398"/>
      <c r="JGE155" s="398"/>
      <c r="JGF155" s="398"/>
      <c r="JGG155" s="398"/>
      <c r="JGH155" s="398"/>
      <c r="JGI155" s="398"/>
      <c r="JGJ155" s="398"/>
      <c r="JGK155" s="398"/>
      <c r="JGL155" s="398"/>
      <c r="JGM155" s="398"/>
      <c r="JGN155" s="398"/>
      <c r="JGO155" s="398"/>
      <c r="JGP155" s="398"/>
      <c r="JGQ155" s="398"/>
      <c r="JGR155" s="398"/>
      <c r="JGS155" s="398"/>
      <c r="JGT155" s="398"/>
      <c r="JGU155" s="398"/>
      <c r="JGV155" s="398"/>
      <c r="JGW155" s="398"/>
      <c r="JGX155" s="398"/>
      <c r="JGY155" s="398"/>
      <c r="JGZ155" s="398"/>
      <c r="JHA155" s="398"/>
      <c r="JHB155" s="398"/>
      <c r="JHC155" s="398"/>
      <c r="JHD155" s="398"/>
      <c r="JHE155" s="398"/>
      <c r="JHF155" s="398"/>
      <c r="JHG155" s="398"/>
      <c r="JHH155" s="398"/>
      <c r="JHI155" s="398"/>
      <c r="JHJ155" s="398"/>
      <c r="JHK155" s="398"/>
      <c r="JHL155" s="398"/>
      <c r="JHM155" s="398"/>
      <c r="JHN155" s="398"/>
      <c r="JHO155" s="398"/>
      <c r="JHP155" s="398"/>
      <c r="JHQ155" s="398"/>
      <c r="JHR155" s="398"/>
      <c r="JHS155" s="398"/>
      <c r="JHT155" s="398"/>
      <c r="JHU155" s="398"/>
      <c r="JHV155" s="398"/>
      <c r="JHW155" s="398"/>
      <c r="JHX155" s="398"/>
      <c r="JHY155" s="398"/>
      <c r="JHZ155" s="398"/>
      <c r="JIA155" s="398"/>
      <c r="JIB155" s="398"/>
      <c r="JIC155" s="398"/>
      <c r="JID155" s="398"/>
      <c r="JIE155" s="398"/>
      <c r="JIF155" s="398"/>
      <c r="JIG155" s="398"/>
      <c r="JIH155" s="398"/>
      <c r="JII155" s="398"/>
      <c r="JIJ155" s="398"/>
      <c r="JIK155" s="398"/>
      <c r="JIL155" s="398"/>
      <c r="JIM155" s="398"/>
      <c r="JIN155" s="398"/>
      <c r="JIO155" s="398"/>
      <c r="JIP155" s="398"/>
      <c r="JIQ155" s="398"/>
      <c r="JIR155" s="398"/>
      <c r="JIS155" s="398"/>
      <c r="JIT155" s="398"/>
      <c r="JIU155" s="398"/>
      <c r="JIV155" s="398"/>
      <c r="JIW155" s="398"/>
      <c r="JIX155" s="398"/>
      <c r="JIY155" s="398"/>
      <c r="JIZ155" s="398"/>
      <c r="JJA155" s="398"/>
      <c r="JJB155" s="398"/>
      <c r="JJC155" s="398"/>
      <c r="JJD155" s="398"/>
      <c r="JJE155" s="398"/>
      <c r="JJF155" s="398"/>
      <c r="JJG155" s="398"/>
      <c r="JJH155" s="398"/>
      <c r="JJI155" s="398"/>
      <c r="JJJ155" s="398"/>
      <c r="JJK155" s="398"/>
      <c r="JJL155" s="398"/>
      <c r="JJM155" s="398"/>
      <c r="JJN155" s="398"/>
      <c r="JJO155" s="398"/>
      <c r="JJP155" s="398"/>
      <c r="JJQ155" s="398"/>
      <c r="JJR155" s="398"/>
      <c r="JJS155" s="398"/>
      <c r="JJT155" s="398"/>
      <c r="JJU155" s="398"/>
      <c r="JJV155" s="398"/>
      <c r="JJW155" s="398"/>
      <c r="JJX155" s="398"/>
      <c r="JJY155" s="398"/>
      <c r="JJZ155" s="398"/>
      <c r="JKA155" s="398"/>
      <c r="JKB155" s="398"/>
      <c r="JKC155" s="398"/>
      <c r="JKD155" s="398"/>
      <c r="JKE155" s="398"/>
      <c r="JKF155" s="398"/>
      <c r="JKG155" s="398"/>
      <c r="JKH155" s="398"/>
      <c r="JKI155" s="398"/>
      <c r="JKJ155" s="398"/>
      <c r="JKK155" s="398"/>
      <c r="JKL155" s="398"/>
      <c r="JKM155" s="398"/>
      <c r="JKN155" s="398"/>
      <c r="JKO155" s="398"/>
      <c r="JKP155" s="398"/>
      <c r="JKQ155" s="398"/>
      <c r="JKR155" s="398"/>
      <c r="JKS155" s="398"/>
      <c r="JKT155" s="398"/>
      <c r="JKU155" s="398"/>
      <c r="JKV155" s="398"/>
      <c r="JKW155" s="398"/>
      <c r="JKX155" s="398"/>
      <c r="JKY155" s="398"/>
      <c r="JKZ155" s="398"/>
      <c r="JLA155" s="398"/>
      <c r="JLB155" s="398"/>
      <c r="JLC155" s="398"/>
      <c r="JLD155" s="398"/>
      <c r="JLE155" s="398"/>
      <c r="JLF155" s="398"/>
      <c r="JLG155" s="398"/>
      <c r="JLH155" s="398"/>
      <c r="JLI155" s="398"/>
      <c r="JLJ155" s="398"/>
      <c r="JLK155" s="398"/>
      <c r="JLL155" s="398"/>
      <c r="JLM155" s="398"/>
      <c r="JLN155" s="398"/>
      <c r="JLO155" s="398"/>
      <c r="JLP155" s="398"/>
      <c r="JLQ155" s="398"/>
      <c r="JLR155" s="398"/>
      <c r="JLS155" s="398"/>
      <c r="JLT155" s="398"/>
      <c r="JLU155" s="398"/>
      <c r="JLV155" s="398"/>
      <c r="JLW155" s="398"/>
      <c r="JLX155" s="398"/>
      <c r="JLY155" s="398"/>
      <c r="JLZ155" s="398"/>
      <c r="JMA155" s="398"/>
      <c r="JMB155" s="398"/>
      <c r="JMC155" s="398"/>
      <c r="JMD155" s="398"/>
      <c r="JME155" s="398"/>
      <c r="JMF155" s="398"/>
      <c r="JMG155" s="398"/>
      <c r="JMH155" s="398"/>
      <c r="JMI155" s="398"/>
      <c r="JMJ155" s="398"/>
      <c r="JMK155" s="398"/>
      <c r="JML155" s="398"/>
      <c r="JMM155" s="398"/>
      <c r="JMN155" s="398"/>
      <c r="JMO155" s="398"/>
      <c r="JMP155" s="398"/>
      <c r="JMQ155" s="398"/>
      <c r="JMR155" s="398"/>
      <c r="JMS155" s="398"/>
      <c r="JMT155" s="398"/>
      <c r="JMU155" s="398"/>
      <c r="JMV155" s="398"/>
      <c r="JMW155" s="398"/>
      <c r="JMX155" s="398"/>
      <c r="JMY155" s="398"/>
      <c r="JMZ155" s="398"/>
      <c r="JNA155" s="398"/>
      <c r="JNB155" s="398"/>
      <c r="JNC155" s="398"/>
      <c r="JND155" s="398"/>
      <c r="JNE155" s="398"/>
      <c r="JNF155" s="398"/>
      <c r="JNG155" s="398"/>
      <c r="JNH155" s="398"/>
      <c r="JNI155" s="398"/>
      <c r="JNJ155" s="398"/>
      <c r="JNK155" s="398"/>
      <c r="JNL155" s="398"/>
      <c r="JNM155" s="398"/>
      <c r="JNN155" s="398"/>
      <c r="JNO155" s="398"/>
      <c r="JNP155" s="398"/>
      <c r="JNQ155" s="398"/>
      <c r="JNR155" s="398"/>
      <c r="JNS155" s="398"/>
      <c r="JNT155" s="398"/>
      <c r="JNU155" s="398"/>
      <c r="JNV155" s="398"/>
      <c r="JNW155" s="398"/>
      <c r="JNX155" s="398"/>
      <c r="JNY155" s="398"/>
      <c r="JNZ155" s="398"/>
      <c r="JOA155" s="398"/>
      <c r="JOB155" s="398"/>
      <c r="JOC155" s="398"/>
      <c r="JOD155" s="398"/>
      <c r="JOE155" s="398"/>
      <c r="JOF155" s="398"/>
      <c r="JOG155" s="398"/>
      <c r="JOH155" s="398"/>
      <c r="JOI155" s="398"/>
      <c r="JOJ155" s="398"/>
      <c r="JOK155" s="398"/>
      <c r="JOL155" s="398"/>
      <c r="JOM155" s="398"/>
      <c r="JON155" s="398"/>
      <c r="JOO155" s="398"/>
      <c r="JOP155" s="398"/>
      <c r="JOQ155" s="398"/>
      <c r="JOR155" s="398"/>
      <c r="JOS155" s="398"/>
      <c r="JOT155" s="398"/>
      <c r="JOU155" s="398"/>
      <c r="JOV155" s="398"/>
      <c r="JOW155" s="398"/>
      <c r="JOX155" s="398"/>
      <c r="JOY155" s="398"/>
      <c r="JOZ155" s="398"/>
      <c r="JPA155" s="398"/>
      <c r="JPB155" s="398"/>
      <c r="JPC155" s="398"/>
      <c r="JPD155" s="398"/>
      <c r="JPE155" s="398"/>
      <c r="JPF155" s="398"/>
      <c r="JPG155" s="398"/>
      <c r="JPH155" s="398"/>
      <c r="JPI155" s="398"/>
      <c r="JPJ155" s="398"/>
      <c r="JPK155" s="398"/>
      <c r="JPL155" s="398"/>
      <c r="JPM155" s="398"/>
      <c r="JPN155" s="398"/>
      <c r="JPO155" s="398"/>
      <c r="JPP155" s="398"/>
      <c r="JPQ155" s="398"/>
      <c r="JPR155" s="398"/>
      <c r="JPS155" s="398"/>
      <c r="JPT155" s="398"/>
      <c r="JPU155" s="398"/>
      <c r="JPV155" s="398"/>
      <c r="JPW155" s="398"/>
      <c r="JPX155" s="398"/>
      <c r="JPY155" s="398"/>
      <c r="JPZ155" s="398"/>
      <c r="JQA155" s="398"/>
      <c r="JQB155" s="398"/>
      <c r="JQC155" s="398"/>
      <c r="JQD155" s="398"/>
      <c r="JQE155" s="398"/>
      <c r="JQF155" s="398"/>
      <c r="JQG155" s="398"/>
      <c r="JQH155" s="398"/>
      <c r="JQI155" s="398"/>
      <c r="JQJ155" s="398"/>
      <c r="JQK155" s="398"/>
      <c r="JQL155" s="398"/>
      <c r="JQM155" s="398"/>
      <c r="JQN155" s="398"/>
      <c r="JQO155" s="398"/>
      <c r="JQP155" s="398"/>
      <c r="JQQ155" s="398"/>
      <c r="JQR155" s="398"/>
      <c r="JQS155" s="398"/>
      <c r="JQT155" s="398"/>
      <c r="JQU155" s="398"/>
      <c r="JQV155" s="398"/>
      <c r="JQW155" s="398"/>
      <c r="JQX155" s="398"/>
      <c r="JQY155" s="398"/>
      <c r="JQZ155" s="398"/>
      <c r="JRA155" s="398"/>
      <c r="JRB155" s="398"/>
      <c r="JRC155" s="398"/>
      <c r="JRD155" s="398"/>
      <c r="JRE155" s="398"/>
      <c r="JRF155" s="398"/>
      <c r="JRG155" s="398"/>
      <c r="JRH155" s="398"/>
      <c r="JRI155" s="398"/>
      <c r="JRJ155" s="398"/>
      <c r="JRK155" s="398"/>
      <c r="JRL155" s="398"/>
      <c r="JRM155" s="398"/>
      <c r="JRN155" s="398"/>
      <c r="JRO155" s="398"/>
      <c r="JRP155" s="398"/>
      <c r="JRQ155" s="398"/>
      <c r="JRR155" s="398"/>
      <c r="JRS155" s="398"/>
      <c r="JRT155" s="398"/>
      <c r="JRU155" s="398"/>
      <c r="JRV155" s="398"/>
      <c r="JRW155" s="398"/>
      <c r="JRX155" s="398"/>
      <c r="JRY155" s="398"/>
      <c r="JRZ155" s="398"/>
      <c r="JSA155" s="398"/>
      <c r="JSB155" s="398"/>
      <c r="JSC155" s="398"/>
      <c r="JSD155" s="398"/>
      <c r="JSE155" s="398"/>
      <c r="JSF155" s="398"/>
      <c r="JSG155" s="398"/>
      <c r="JSH155" s="398"/>
      <c r="JSI155" s="398"/>
      <c r="JSJ155" s="398"/>
      <c r="JSK155" s="398"/>
      <c r="JSL155" s="398"/>
      <c r="JSM155" s="398"/>
      <c r="JSN155" s="398"/>
      <c r="JSO155" s="398"/>
      <c r="JSP155" s="398"/>
      <c r="JSQ155" s="398"/>
      <c r="JSR155" s="398"/>
      <c r="JSS155" s="398"/>
      <c r="JST155" s="398"/>
      <c r="JSU155" s="398"/>
      <c r="JSV155" s="398"/>
      <c r="JSW155" s="398"/>
      <c r="JSX155" s="398"/>
      <c r="JSY155" s="398"/>
      <c r="JSZ155" s="398"/>
      <c r="JTA155" s="398"/>
      <c r="JTB155" s="398"/>
      <c r="JTC155" s="398"/>
      <c r="JTD155" s="398"/>
      <c r="JTE155" s="398"/>
      <c r="JTF155" s="398"/>
      <c r="JTG155" s="398"/>
      <c r="JTH155" s="398"/>
      <c r="JTI155" s="398"/>
      <c r="JTJ155" s="398"/>
      <c r="JTK155" s="398"/>
      <c r="JTL155" s="398"/>
      <c r="JTM155" s="398"/>
      <c r="JTN155" s="398"/>
      <c r="JTO155" s="398"/>
      <c r="JTP155" s="398"/>
      <c r="JTQ155" s="398"/>
      <c r="JTR155" s="398"/>
      <c r="JTS155" s="398"/>
      <c r="JTT155" s="398"/>
      <c r="JTU155" s="398"/>
      <c r="JTV155" s="398"/>
      <c r="JTW155" s="398"/>
      <c r="JTX155" s="398"/>
      <c r="JTY155" s="398"/>
      <c r="JTZ155" s="398"/>
      <c r="JUA155" s="398"/>
      <c r="JUB155" s="398"/>
      <c r="JUC155" s="398"/>
      <c r="JUD155" s="398"/>
      <c r="JUE155" s="398"/>
      <c r="JUF155" s="398"/>
      <c r="JUG155" s="398"/>
      <c r="JUH155" s="398"/>
      <c r="JUI155" s="398"/>
      <c r="JUJ155" s="398"/>
      <c r="JUK155" s="398"/>
      <c r="JUL155" s="398"/>
      <c r="JUM155" s="398"/>
      <c r="JUN155" s="398"/>
      <c r="JUO155" s="398"/>
      <c r="JUP155" s="398"/>
      <c r="JUQ155" s="398"/>
      <c r="JUR155" s="398"/>
      <c r="JUS155" s="398"/>
      <c r="JUT155" s="398"/>
      <c r="JUU155" s="398"/>
      <c r="JUV155" s="398"/>
      <c r="JUW155" s="398"/>
      <c r="JUX155" s="398"/>
      <c r="JUY155" s="398"/>
      <c r="JUZ155" s="398"/>
      <c r="JVA155" s="398"/>
      <c r="JVB155" s="398"/>
      <c r="JVC155" s="398"/>
      <c r="JVD155" s="398"/>
      <c r="JVE155" s="398"/>
      <c r="JVF155" s="398"/>
      <c r="JVG155" s="398"/>
      <c r="JVH155" s="398"/>
      <c r="JVI155" s="398"/>
      <c r="JVJ155" s="398"/>
      <c r="JVK155" s="398"/>
      <c r="JVL155" s="398"/>
      <c r="JVM155" s="398"/>
      <c r="JVN155" s="398"/>
      <c r="JVO155" s="398"/>
      <c r="JVP155" s="398"/>
      <c r="JVQ155" s="398"/>
      <c r="JVR155" s="398"/>
      <c r="JVS155" s="398"/>
      <c r="JVT155" s="398"/>
      <c r="JVU155" s="398"/>
      <c r="JVV155" s="398"/>
      <c r="JVW155" s="398"/>
      <c r="JVX155" s="398"/>
      <c r="JVY155" s="398"/>
      <c r="JVZ155" s="398"/>
      <c r="JWA155" s="398"/>
      <c r="JWB155" s="398"/>
      <c r="JWC155" s="398"/>
      <c r="JWD155" s="398"/>
      <c r="JWE155" s="398"/>
      <c r="JWF155" s="398"/>
      <c r="JWG155" s="398"/>
      <c r="JWH155" s="398"/>
      <c r="JWI155" s="398"/>
      <c r="JWJ155" s="398"/>
      <c r="JWK155" s="398"/>
      <c r="JWL155" s="398"/>
      <c r="JWM155" s="398"/>
      <c r="JWN155" s="398"/>
      <c r="JWO155" s="398"/>
      <c r="JWP155" s="398"/>
      <c r="JWQ155" s="398"/>
      <c r="JWR155" s="398"/>
      <c r="JWS155" s="398"/>
      <c r="JWT155" s="398"/>
      <c r="JWU155" s="398"/>
      <c r="JWV155" s="398"/>
      <c r="JWW155" s="398"/>
      <c r="JWX155" s="398"/>
      <c r="JWY155" s="398"/>
      <c r="JWZ155" s="398"/>
      <c r="JXA155" s="398"/>
      <c r="JXB155" s="398"/>
      <c r="JXC155" s="398"/>
      <c r="JXD155" s="398"/>
      <c r="JXE155" s="398"/>
      <c r="JXF155" s="398"/>
      <c r="JXG155" s="398"/>
      <c r="JXH155" s="398"/>
      <c r="JXI155" s="398"/>
      <c r="JXJ155" s="398"/>
      <c r="JXK155" s="398"/>
      <c r="JXL155" s="398"/>
      <c r="JXM155" s="398"/>
      <c r="JXN155" s="398"/>
      <c r="JXO155" s="398"/>
      <c r="JXP155" s="398"/>
      <c r="JXQ155" s="398"/>
      <c r="JXR155" s="398"/>
      <c r="JXS155" s="398"/>
      <c r="JXT155" s="398"/>
      <c r="JXU155" s="398"/>
      <c r="JXV155" s="398"/>
      <c r="JXW155" s="398"/>
      <c r="JXX155" s="398"/>
      <c r="JXY155" s="398"/>
      <c r="JXZ155" s="398"/>
      <c r="JYA155" s="398"/>
      <c r="JYB155" s="398"/>
      <c r="JYC155" s="398"/>
      <c r="JYD155" s="398"/>
      <c r="JYE155" s="398"/>
      <c r="JYF155" s="398"/>
      <c r="JYG155" s="398"/>
      <c r="JYH155" s="398"/>
      <c r="JYI155" s="398"/>
      <c r="JYJ155" s="398"/>
      <c r="JYK155" s="398"/>
      <c r="JYL155" s="398"/>
      <c r="JYM155" s="398"/>
      <c r="JYN155" s="398"/>
      <c r="JYO155" s="398"/>
      <c r="JYP155" s="398"/>
      <c r="JYQ155" s="398"/>
      <c r="JYR155" s="398"/>
      <c r="JYS155" s="398"/>
      <c r="JYT155" s="398"/>
      <c r="JYU155" s="398"/>
      <c r="JYV155" s="398"/>
      <c r="JYW155" s="398"/>
      <c r="JYX155" s="398"/>
      <c r="JYY155" s="398"/>
      <c r="JYZ155" s="398"/>
      <c r="JZA155" s="398"/>
      <c r="JZB155" s="398"/>
      <c r="JZC155" s="398"/>
      <c r="JZD155" s="398"/>
      <c r="JZE155" s="398"/>
      <c r="JZF155" s="398"/>
      <c r="JZG155" s="398"/>
      <c r="JZH155" s="398"/>
      <c r="JZI155" s="398"/>
      <c r="JZJ155" s="398"/>
      <c r="JZK155" s="398"/>
      <c r="JZL155" s="398"/>
      <c r="JZM155" s="398"/>
      <c r="JZN155" s="398"/>
      <c r="JZO155" s="398"/>
      <c r="JZP155" s="398"/>
      <c r="JZQ155" s="398"/>
      <c r="JZR155" s="398"/>
      <c r="JZS155" s="398"/>
      <c r="JZT155" s="398"/>
      <c r="JZU155" s="398"/>
      <c r="JZV155" s="398"/>
      <c r="JZW155" s="398"/>
      <c r="JZX155" s="398"/>
      <c r="JZY155" s="398"/>
      <c r="JZZ155" s="398"/>
      <c r="KAA155" s="398"/>
      <c r="KAB155" s="398"/>
      <c r="KAC155" s="398"/>
      <c r="KAD155" s="398"/>
      <c r="KAE155" s="398"/>
      <c r="KAF155" s="398"/>
      <c r="KAG155" s="398"/>
      <c r="KAH155" s="398"/>
      <c r="KAI155" s="398"/>
      <c r="KAJ155" s="398"/>
      <c r="KAK155" s="398"/>
      <c r="KAL155" s="398"/>
      <c r="KAM155" s="398"/>
      <c r="KAN155" s="398"/>
      <c r="KAO155" s="398"/>
      <c r="KAP155" s="398"/>
      <c r="KAQ155" s="398"/>
      <c r="KAR155" s="398"/>
      <c r="KAS155" s="398"/>
      <c r="KAT155" s="398"/>
      <c r="KAU155" s="398"/>
      <c r="KAV155" s="398"/>
      <c r="KAW155" s="398"/>
      <c r="KAX155" s="398"/>
      <c r="KAY155" s="398"/>
      <c r="KAZ155" s="398"/>
      <c r="KBA155" s="398"/>
      <c r="KBB155" s="398"/>
      <c r="KBC155" s="398"/>
      <c r="KBD155" s="398"/>
      <c r="KBE155" s="398"/>
      <c r="KBF155" s="398"/>
      <c r="KBG155" s="398"/>
      <c r="KBH155" s="398"/>
      <c r="KBI155" s="398"/>
      <c r="KBJ155" s="398"/>
      <c r="KBK155" s="398"/>
      <c r="KBL155" s="398"/>
      <c r="KBM155" s="398"/>
      <c r="KBN155" s="398"/>
      <c r="KBO155" s="398"/>
      <c r="KBP155" s="398"/>
      <c r="KBQ155" s="398"/>
      <c r="KBR155" s="398"/>
      <c r="KBS155" s="398"/>
      <c r="KBT155" s="398"/>
      <c r="KBU155" s="398"/>
      <c r="KBV155" s="398"/>
      <c r="KBW155" s="398"/>
      <c r="KBX155" s="398"/>
      <c r="KBY155" s="398"/>
      <c r="KBZ155" s="398"/>
      <c r="KCA155" s="398"/>
      <c r="KCB155" s="398"/>
      <c r="KCC155" s="398"/>
      <c r="KCD155" s="398"/>
      <c r="KCE155" s="398"/>
      <c r="KCF155" s="398"/>
      <c r="KCG155" s="398"/>
      <c r="KCH155" s="398"/>
      <c r="KCI155" s="398"/>
      <c r="KCJ155" s="398"/>
      <c r="KCK155" s="398"/>
      <c r="KCL155" s="398"/>
      <c r="KCM155" s="398"/>
      <c r="KCN155" s="398"/>
      <c r="KCO155" s="398"/>
      <c r="KCP155" s="398"/>
      <c r="KCQ155" s="398"/>
      <c r="KCR155" s="398"/>
      <c r="KCS155" s="398"/>
      <c r="KCT155" s="398"/>
      <c r="KCU155" s="398"/>
      <c r="KCV155" s="398"/>
      <c r="KCW155" s="398"/>
      <c r="KCX155" s="398"/>
      <c r="KCY155" s="398"/>
      <c r="KCZ155" s="398"/>
      <c r="KDA155" s="398"/>
      <c r="KDB155" s="398"/>
      <c r="KDC155" s="398"/>
      <c r="KDD155" s="398"/>
      <c r="KDE155" s="398"/>
      <c r="KDF155" s="398"/>
      <c r="KDG155" s="398"/>
      <c r="KDH155" s="398"/>
      <c r="KDI155" s="398"/>
      <c r="KDJ155" s="398"/>
      <c r="KDK155" s="398"/>
      <c r="KDL155" s="398"/>
      <c r="KDM155" s="398"/>
      <c r="KDN155" s="398"/>
      <c r="KDO155" s="398"/>
      <c r="KDP155" s="398"/>
      <c r="KDQ155" s="398"/>
      <c r="KDR155" s="398"/>
      <c r="KDS155" s="398"/>
      <c r="KDT155" s="398"/>
      <c r="KDU155" s="398"/>
      <c r="KDV155" s="398"/>
      <c r="KDW155" s="398"/>
      <c r="KDX155" s="398"/>
      <c r="KDY155" s="398"/>
      <c r="KDZ155" s="398"/>
      <c r="KEA155" s="398"/>
      <c r="KEB155" s="398"/>
      <c r="KEC155" s="398"/>
      <c r="KED155" s="398"/>
      <c r="KEE155" s="398"/>
      <c r="KEF155" s="398"/>
      <c r="KEG155" s="398"/>
      <c r="KEH155" s="398"/>
      <c r="KEI155" s="398"/>
      <c r="KEJ155" s="398"/>
      <c r="KEK155" s="398"/>
      <c r="KEL155" s="398"/>
      <c r="KEM155" s="398"/>
      <c r="KEN155" s="398"/>
      <c r="KEO155" s="398"/>
      <c r="KEP155" s="398"/>
      <c r="KEQ155" s="398"/>
      <c r="KER155" s="398"/>
      <c r="KES155" s="398"/>
      <c r="KET155" s="398"/>
      <c r="KEU155" s="398"/>
      <c r="KEV155" s="398"/>
      <c r="KEW155" s="398"/>
      <c r="KEX155" s="398"/>
      <c r="KEY155" s="398"/>
      <c r="KEZ155" s="398"/>
      <c r="KFA155" s="398"/>
      <c r="KFB155" s="398"/>
      <c r="KFC155" s="398"/>
      <c r="KFD155" s="398"/>
      <c r="KFE155" s="398"/>
      <c r="KFF155" s="398"/>
      <c r="KFG155" s="398"/>
      <c r="KFH155" s="398"/>
      <c r="KFI155" s="398"/>
      <c r="KFJ155" s="398"/>
      <c r="KFK155" s="398"/>
      <c r="KFL155" s="398"/>
      <c r="KFM155" s="398"/>
      <c r="KFN155" s="398"/>
      <c r="KFO155" s="398"/>
      <c r="KFP155" s="398"/>
      <c r="KFQ155" s="398"/>
      <c r="KFR155" s="398"/>
      <c r="KFS155" s="398"/>
      <c r="KFT155" s="398"/>
      <c r="KFU155" s="398"/>
      <c r="KFV155" s="398"/>
      <c r="KFW155" s="398"/>
      <c r="KFX155" s="398"/>
      <c r="KFY155" s="398"/>
      <c r="KFZ155" s="398"/>
      <c r="KGA155" s="398"/>
      <c r="KGB155" s="398"/>
      <c r="KGC155" s="398"/>
      <c r="KGD155" s="398"/>
      <c r="KGE155" s="398"/>
      <c r="KGF155" s="398"/>
      <c r="KGG155" s="398"/>
      <c r="KGH155" s="398"/>
      <c r="KGI155" s="398"/>
      <c r="KGJ155" s="398"/>
      <c r="KGK155" s="398"/>
      <c r="KGL155" s="398"/>
      <c r="KGM155" s="398"/>
      <c r="KGN155" s="398"/>
      <c r="KGO155" s="398"/>
      <c r="KGP155" s="398"/>
      <c r="KGQ155" s="398"/>
      <c r="KGR155" s="398"/>
      <c r="KGS155" s="398"/>
      <c r="KGT155" s="398"/>
      <c r="KGU155" s="398"/>
      <c r="KGV155" s="398"/>
      <c r="KGW155" s="398"/>
      <c r="KGX155" s="398"/>
      <c r="KGY155" s="398"/>
      <c r="KGZ155" s="398"/>
      <c r="KHA155" s="398"/>
      <c r="KHB155" s="398"/>
      <c r="KHC155" s="398"/>
      <c r="KHD155" s="398"/>
      <c r="KHE155" s="398"/>
      <c r="KHF155" s="398"/>
      <c r="KHG155" s="398"/>
      <c r="KHH155" s="398"/>
      <c r="KHI155" s="398"/>
      <c r="KHJ155" s="398"/>
      <c r="KHK155" s="398"/>
      <c r="KHL155" s="398"/>
      <c r="KHM155" s="398"/>
      <c r="KHN155" s="398"/>
      <c r="KHO155" s="398"/>
      <c r="KHP155" s="398"/>
      <c r="KHQ155" s="398"/>
      <c r="KHR155" s="398"/>
      <c r="KHS155" s="398"/>
      <c r="KHT155" s="398"/>
      <c r="KHU155" s="398"/>
      <c r="KHV155" s="398"/>
      <c r="KHW155" s="398"/>
      <c r="KHX155" s="398"/>
      <c r="KHY155" s="398"/>
      <c r="KHZ155" s="398"/>
      <c r="KIA155" s="398"/>
      <c r="KIB155" s="398"/>
      <c r="KIC155" s="398"/>
      <c r="KID155" s="398"/>
      <c r="KIE155" s="398"/>
      <c r="KIF155" s="398"/>
      <c r="KIG155" s="398"/>
      <c r="KIH155" s="398"/>
      <c r="KII155" s="398"/>
      <c r="KIJ155" s="398"/>
      <c r="KIK155" s="398"/>
      <c r="KIL155" s="398"/>
      <c r="KIM155" s="398"/>
      <c r="KIN155" s="398"/>
      <c r="KIO155" s="398"/>
      <c r="KIP155" s="398"/>
      <c r="KIQ155" s="398"/>
      <c r="KIR155" s="398"/>
      <c r="KIS155" s="398"/>
      <c r="KIT155" s="398"/>
      <c r="KIU155" s="398"/>
      <c r="KIV155" s="398"/>
      <c r="KIW155" s="398"/>
      <c r="KIX155" s="398"/>
      <c r="KIY155" s="398"/>
      <c r="KIZ155" s="398"/>
      <c r="KJA155" s="398"/>
      <c r="KJB155" s="398"/>
      <c r="KJC155" s="398"/>
      <c r="KJD155" s="398"/>
      <c r="KJE155" s="398"/>
      <c r="KJF155" s="398"/>
      <c r="KJG155" s="398"/>
      <c r="KJH155" s="398"/>
      <c r="KJI155" s="398"/>
      <c r="KJJ155" s="398"/>
      <c r="KJK155" s="398"/>
      <c r="KJL155" s="398"/>
      <c r="KJM155" s="398"/>
      <c r="KJN155" s="398"/>
      <c r="KJO155" s="398"/>
      <c r="KJP155" s="398"/>
      <c r="KJQ155" s="398"/>
      <c r="KJR155" s="398"/>
      <c r="KJS155" s="398"/>
      <c r="KJT155" s="398"/>
      <c r="KJU155" s="398"/>
      <c r="KJV155" s="398"/>
      <c r="KJW155" s="398"/>
      <c r="KJX155" s="398"/>
      <c r="KJY155" s="398"/>
      <c r="KJZ155" s="398"/>
      <c r="KKA155" s="398"/>
      <c r="KKB155" s="398"/>
      <c r="KKC155" s="398"/>
      <c r="KKD155" s="398"/>
      <c r="KKE155" s="398"/>
      <c r="KKF155" s="398"/>
      <c r="KKG155" s="398"/>
      <c r="KKH155" s="398"/>
      <c r="KKI155" s="398"/>
      <c r="KKJ155" s="398"/>
      <c r="KKK155" s="398"/>
      <c r="KKL155" s="398"/>
      <c r="KKM155" s="398"/>
      <c r="KKN155" s="398"/>
      <c r="KKO155" s="398"/>
      <c r="KKP155" s="398"/>
      <c r="KKQ155" s="398"/>
      <c r="KKR155" s="398"/>
      <c r="KKS155" s="398"/>
      <c r="KKT155" s="398"/>
      <c r="KKU155" s="398"/>
      <c r="KKV155" s="398"/>
      <c r="KKW155" s="398"/>
      <c r="KKX155" s="398"/>
      <c r="KKY155" s="398"/>
      <c r="KKZ155" s="398"/>
      <c r="KLA155" s="398"/>
      <c r="KLB155" s="398"/>
      <c r="KLC155" s="398"/>
      <c r="KLD155" s="398"/>
      <c r="KLE155" s="398"/>
      <c r="KLF155" s="398"/>
      <c r="KLG155" s="398"/>
      <c r="KLH155" s="398"/>
      <c r="KLI155" s="398"/>
      <c r="KLJ155" s="398"/>
      <c r="KLK155" s="398"/>
      <c r="KLL155" s="398"/>
      <c r="KLM155" s="398"/>
      <c r="KLN155" s="398"/>
      <c r="KLO155" s="398"/>
      <c r="KLP155" s="398"/>
      <c r="KLQ155" s="398"/>
      <c r="KLR155" s="398"/>
      <c r="KLS155" s="398"/>
      <c r="KLT155" s="398"/>
      <c r="KLU155" s="398"/>
      <c r="KLV155" s="398"/>
      <c r="KLW155" s="398"/>
      <c r="KLX155" s="398"/>
      <c r="KLY155" s="398"/>
      <c r="KLZ155" s="398"/>
      <c r="KMA155" s="398"/>
      <c r="KMB155" s="398"/>
      <c r="KMC155" s="398"/>
      <c r="KMD155" s="398"/>
      <c r="KME155" s="398"/>
      <c r="KMF155" s="398"/>
      <c r="KMG155" s="398"/>
      <c r="KMH155" s="398"/>
      <c r="KMI155" s="398"/>
      <c r="KMJ155" s="398"/>
      <c r="KMK155" s="398"/>
      <c r="KML155" s="398"/>
      <c r="KMM155" s="398"/>
      <c r="KMN155" s="398"/>
      <c r="KMO155" s="398"/>
      <c r="KMP155" s="398"/>
      <c r="KMQ155" s="398"/>
      <c r="KMR155" s="398"/>
      <c r="KMS155" s="398"/>
      <c r="KMT155" s="398"/>
      <c r="KMU155" s="398"/>
      <c r="KMV155" s="398"/>
      <c r="KMW155" s="398"/>
      <c r="KMX155" s="398"/>
      <c r="KMY155" s="398"/>
      <c r="KMZ155" s="398"/>
      <c r="KNA155" s="398"/>
      <c r="KNB155" s="398"/>
      <c r="KNC155" s="398"/>
      <c r="KND155" s="398"/>
      <c r="KNE155" s="398"/>
      <c r="KNF155" s="398"/>
      <c r="KNG155" s="398"/>
      <c r="KNH155" s="398"/>
      <c r="KNI155" s="398"/>
      <c r="KNJ155" s="398"/>
      <c r="KNK155" s="398"/>
      <c r="KNL155" s="398"/>
      <c r="KNM155" s="398"/>
      <c r="KNN155" s="398"/>
      <c r="KNO155" s="398"/>
      <c r="KNP155" s="398"/>
      <c r="KNQ155" s="398"/>
      <c r="KNR155" s="398"/>
      <c r="KNS155" s="398"/>
      <c r="KNT155" s="398"/>
      <c r="KNU155" s="398"/>
      <c r="KNV155" s="398"/>
      <c r="KNW155" s="398"/>
      <c r="KNX155" s="398"/>
      <c r="KNY155" s="398"/>
      <c r="KNZ155" s="398"/>
      <c r="KOA155" s="398"/>
      <c r="KOB155" s="398"/>
      <c r="KOC155" s="398"/>
      <c r="KOD155" s="398"/>
      <c r="KOE155" s="398"/>
      <c r="KOF155" s="398"/>
      <c r="KOG155" s="398"/>
      <c r="KOH155" s="398"/>
      <c r="KOI155" s="398"/>
      <c r="KOJ155" s="398"/>
      <c r="KOK155" s="398"/>
      <c r="KOL155" s="398"/>
      <c r="KOM155" s="398"/>
      <c r="KON155" s="398"/>
      <c r="KOO155" s="398"/>
      <c r="KOP155" s="398"/>
      <c r="KOQ155" s="398"/>
      <c r="KOR155" s="398"/>
      <c r="KOS155" s="398"/>
      <c r="KOT155" s="398"/>
      <c r="KOU155" s="398"/>
      <c r="KOV155" s="398"/>
      <c r="KOW155" s="398"/>
      <c r="KOX155" s="398"/>
      <c r="KOY155" s="398"/>
      <c r="KOZ155" s="398"/>
      <c r="KPA155" s="398"/>
      <c r="KPB155" s="398"/>
      <c r="KPC155" s="398"/>
      <c r="KPD155" s="398"/>
      <c r="KPE155" s="398"/>
      <c r="KPF155" s="398"/>
      <c r="KPG155" s="398"/>
      <c r="KPH155" s="398"/>
      <c r="KPI155" s="398"/>
      <c r="KPJ155" s="398"/>
      <c r="KPK155" s="398"/>
      <c r="KPL155" s="398"/>
      <c r="KPM155" s="398"/>
      <c r="KPN155" s="398"/>
      <c r="KPO155" s="398"/>
      <c r="KPP155" s="398"/>
      <c r="KPQ155" s="398"/>
      <c r="KPR155" s="398"/>
      <c r="KPS155" s="398"/>
      <c r="KPT155" s="398"/>
      <c r="KPU155" s="398"/>
      <c r="KPV155" s="398"/>
      <c r="KPW155" s="398"/>
      <c r="KPX155" s="398"/>
      <c r="KPY155" s="398"/>
      <c r="KPZ155" s="398"/>
      <c r="KQA155" s="398"/>
      <c r="KQB155" s="398"/>
      <c r="KQC155" s="398"/>
      <c r="KQD155" s="398"/>
      <c r="KQE155" s="398"/>
      <c r="KQF155" s="398"/>
      <c r="KQG155" s="398"/>
      <c r="KQH155" s="398"/>
      <c r="KQI155" s="398"/>
      <c r="KQJ155" s="398"/>
      <c r="KQK155" s="398"/>
      <c r="KQL155" s="398"/>
      <c r="KQM155" s="398"/>
      <c r="KQN155" s="398"/>
      <c r="KQO155" s="398"/>
      <c r="KQP155" s="398"/>
      <c r="KQQ155" s="398"/>
      <c r="KQR155" s="398"/>
      <c r="KQS155" s="398"/>
      <c r="KQT155" s="398"/>
      <c r="KQU155" s="398"/>
      <c r="KQV155" s="398"/>
      <c r="KQW155" s="398"/>
      <c r="KQX155" s="398"/>
      <c r="KQY155" s="398"/>
      <c r="KQZ155" s="398"/>
      <c r="KRA155" s="398"/>
      <c r="KRB155" s="398"/>
      <c r="KRC155" s="398"/>
      <c r="KRD155" s="398"/>
      <c r="KRE155" s="398"/>
      <c r="KRF155" s="398"/>
      <c r="KRG155" s="398"/>
      <c r="KRH155" s="398"/>
      <c r="KRI155" s="398"/>
      <c r="KRJ155" s="398"/>
      <c r="KRK155" s="398"/>
      <c r="KRL155" s="398"/>
      <c r="KRM155" s="398"/>
      <c r="KRN155" s="398"/>
      <c r="KRO155" s="398"/>
      <c r="KRP155" s="398"/>
      <c r="KRQ155" s="398"/>
      <c r="KRR155" s="398"/>
      <c r="KRS155" s="398"/>
      <c r="KRT155" s="398"/>
      <c r="KRU155" s="398"/>
      <c r="KRV155" s="398"/>
      <c r="KRW155" s="398"/>
      <c r="KRX155" s="398"/>
      <c r="KRY155" s="398"/>
      <c r="KRZ155" s="398"/>
      <c r="KSA155" s="398"/>
      <c r="KSB155" s="398"/>
      <c r="KSC155" s="398"/>
      <c r="KSD155" s="398"/>
      <c r="KSE155" s="398"/>
      <c r="KSF155" s="398"/>
      <c r="KSG155" s="398"/>
      <c r="KSH155" s="398"/>
      <c r="KSI155" s="398"/>
      <c r="KSJ155" s="398"/>
      <c r="KSK155" s="398"/>
      <c r="KSL155" s="398"/>
      <c r="KSM155" s="398"/>
      <c r="KSN155" s="398"/>
      <c r="KSO155" s="398"/>
      <c r="KSP155" s="398"/>
      <c r="KSQ155" s="398"/>
      <c r="KSR155" s="398"/>
      <c r="KSS155" s="398"/>
      <c r="KST155" s="398"/>
      <c r="KSU155" s="398"/>
      <c r="KSV155" s="398"/>
      <c r="KSW155" s="398"/>
      <c r="KSX155" s="398"/>
      <c r="KSY155" s="398"/>
      <c r="KSZ155" s="398"/>
      <c r="KTA155" s="398"/>
      <c r="KTB155" s="398"/>
      <c r="KTC155" s="398"/>
      <c r="KTD155" s="398"/>
      <c r="KTE155" s="398"/>
      <c r="KTF155" s="398"/>
      <c r="KTG155" s="398"/>
      <c r="KTH155" s="398"/>
      <c r="KTI155" s="398"/>
      <c r="KTJ155" s="398"/>
      <c r="KTK155" s="398"/>
      <c r="KTL155" s="398"/>
      <c r="KTM155" s="398"/>
      <c r="KTN155" s="398"/>
      <c r="KTO155" s="398"/>
      <c r="KTP155" s="398"/>
      <c r="KTQ155" s="398"/>
      <c r="KTR155" s="398"/>
      <c r="KTS155" s="398"/>
      <c r="KTT155" s="398"/>
      <c r="KTU155" s="398"/>
      <c r="KTV155" s="398"/>
      <c r="KTW155" s="398"/>
      <c r="KTX155" s="398"/>
      <c r="KTY155" s="398"/>
      <c r="KTZ155" s="398"/>
      <c r="KUA155" s="398"/>
      <c r="KUB155" s="398"/>
      <c r="KUC155" s="398"/>
      <c r="KUD155" s="398"/>
      <c r="KUE155" s="398"/>
      <c r="KUF155" s="398"/>
      <c r="KUG155" s="398"/>
      <c r="KUH155" s="398"/>
      <c r="KUI155" s="398"/>
      <c r="KUJ155" s="398"/>
      <c r="KUK155" s="398"/>
      <c r="KUL155" s="398"/>
      <c r="KUM155" s="398"/>
      <c r="KUN155" s="398"/>
      <c r="KUO155" s="398"/>
      <c r="KUP155" s="398"/>
      <c r="KUQ155" s="398"/>
      <c r="KUR155" s="398"/>
      <c r="KUS155" s="398"/>
      <c r="KUT155" s="398"/>
      <c r="KUU155" s="398"/>
      <c r="KUV155" s="398"/>
      <c r="KUW155" s="398"/>
      <c r="KUX155" s="398"/>
      <c r="KUY155" s="398"/>
      <c r="KUZ155" s="398"/>
      <c r="KVA155" s="398"/>
      <c r="KVB155" s="398"/>
      <c r="KVC155" s="398"/>
      <c r="KVD155" s="398"/>
      <c r="KVE155" s="398"/>
      <c r="KVF155" s="398"/>
      <c r="KVG155" s="398"/>
      <c r="KVH155" s="398"/>
      <c r="KVI155" s="398"/>
      <c r="KVJ155" s="398"/>
      <c r="KVK155" s="398"/>
      <c r="KVL155" s="398"/>
      <c r="KVM155" s="398"/>
      <c r="KVN155" s="398"/>
      <c r="KVO155" s="398"/>
      <c r="KVP155" s="398"/>
      <c r="KVQ155" s="398"/>
      <c r="KVR155" s="398"/>
      <c r="KVS155" s="398"/>
      <c r="KVT155" s="398"/>
      <c r="KVU155" s="398"/>
      <c r="KVV155" s="398"/>
      <c r="KVW155" s="398"/>
      <c r="KVX155" s="398"/>
      <c r="KVY155" s="398"/>
      <c r="KVZ155" s="398"/>
      <c r="KWA155" s="398"/>
      <c r="KWB155" s="398"/>
      <c r="KWC155" s="398"/>
      <c r="KWD155" s="398"/>
      <c r="KWE155" s="398"/>
      <c r="KWF155" s="398"/>
      <c r="KWG155" s="398"/>
      <c r="KWH155" s="398"/>
      <c r="KWI155" s="398"/>
      <c r="KWJ155" s="398"/>
      <c r="KWK155" s="398"/>
      <c r="KWL155" s="398"/>
      <c r="KWM155" s="398"/>
      <c r="KWN155" s="398"/>
      <c r="KWO155" s="398"/>
      <c r="KWP155" s="398"/>
      <c r="KWQ155" s="398"/>
      <c r="KWR155" s="398"/>
      <c r="KWS155" s="398"/>
      <c r="KWT155" s="398"/>
      <c r="KWU155" s="398"/>
      <c r="KWV155" s="398"/>
      <c r="KWW155" s="398"/>
      <c r="KWX155" s="398"/>
      <c r="KWY155" s="398"/>
      <c r="KWZ155" s="398"/>
      <c r="KXA155" s="398"/>
      <c r="KXB155" s="398"/>
      <c r="KXC155" s="398"/>
      <c r="KXD155" s="398"/>
      <c r="KXE155" s="398"/>
      <c r="KXF155" s="398"/>
      <c r="KXG155" s="398"/>
      <c r="KXH155" s="398"/>
      <c r="KXI155" s="398"/>
      <c r="KXJ155" s="398"/>
      <c r="KXK155" s="398"/>
      <c r="KXL155" s="398"/>
      <c r="KXM155" s="398"/>
      <c r="KXN155" s="398"/>
      <c r="KXO155" s="398"/>
      <c r="KXP155" s="398"/>
      <c r="KXQ155" s="398"/>
      <c r="KXR155" s="398"/>
      <c r="KXS155" s="398"/>
      <c r="KXT155" s="398"/>
      <c r="KXU155" s="398"/>
      <c r="KXV155" s="398"/>
      <c r="KXW155" s="398"/>
      <c r="KXX155" s="398"/>
      <c r="KXY155" s="398"/>
      <c r="KXZ155" s="398"/>
      <c r="KYA155" s="398"/>
      <c r="KYB155" s="398"/>
      <c r="KYC155" s="398"/>
      <c r="KYD155" s="398"/>
      <c r="KYE155" s="398"/>
      <c r="KYF155" s="398"/>
      <c r="KYG155" s="398"/>
      <c r="KYH155" s="398"/>
      <c r="KYI155" s="398"/>
      <c r="KYJ155" s="398"/>
      <c r="KYK155" s="398"/>
      <c r="KYL155" s="398"/>
      <c r="KYM155" s="398"/>
      <c r="KYN155" s="398"/>
      <c r="KYO155" s="398"/>
      <c r="KYP155" s="398"/>
      <c r="KYQ155" s="398"/>
      <c r="KYR155" s="398"/>
      <c r="KYS155" s="398"/>
      <c r="KYT155" s="398"/>
      <c r="KYU155" s="398"/>
      <c r="KYV155" s="398"/>
      <c r="KYW155" s="398"/>
      <c r="KYX155" s="398"/>
      <c r="KYY155" s="398"/>
      <c r="KYZ155" s="398"/>
      <c r="KZA155" s="398"/>
      <c r="KZB155" s="398"/>
      <c r="KZC155" s="398"/>
      <c r="KZD155" s="398"/>
      <c r="KZE155" s="398"/>
      <c r="KZF155" s="398"/>
      <c r="KZG155" s="398"/>
      <c r="KZH155" s="398"/>
      <c r="KZI155" s="398"/>
      <c r="KZJ155" s="398"/>
      <c r="KZK155" s="398"/>
      <c r="KZL155" s="398"/>
      <c r="KZM155" s="398"/>
      <c r="KZN155" s="398"/>
      <c r="KZO155" s="398"/>
      <c r="KZP155" s="398"/>
      <c r="KZQ155" s="398"/>
      <c r="KZR155" s="398"/>
      <c r="KZS155" s="398"/>
      <c r="KZT155" s="398"/>
      <c r="KZU155" s="398"/>
      <c r="KZV155" s="398"/>
      <c r="KZW155" s="398"/>
      <c r="KZX155" s="398"/>
      <c r="KZY155" s="398"/>
      <c r="KZZ155" s="398"/>
      <c r="LAA155" s="398"/>
      <c r="LAB155" s="398"/>
      <c r="LAC155" s="398"/>
      <c r="LAD155" s="398"/>
      <c r="LAE155" s="398"/>
      <c r="LAF155" s="398"/>
      <c r="LAG155" s="398"/>
      <c r="LAH155" s="398"/>
      <c r="LAI155" s="398"/>
      <c r="LAJ155" s="398"/>
      <c r="LAK155" s="398"/>
      <c r="LAL155" s="398"/>
      <c r="LAM155" s="398"/>
      <c r="LAN155" s="398"/>
      <c r="LAO155" s="398"/>
      <c r="LAP155" s="398"/>
      <c r="LAQ155" s="398"/>
      <c r="LAR155" s="398"/>
      <c r="LAS155" s="398"/>
      <c r="LAT155" s="398"/>
      <c r="LAU155" s="398"/>
      <c r="LAV155" s="398"/>
      <c r="LAW155" s="398"/>
      <c r="LAX155" s="398"/>
      <c r="LAY155" s="398"/>
      <c r="LAZ155" s="398"/>
      <c r="LBA155" s="398"/>
      <c r="LBB155" s="398"/>
      <c r="LBC155" s="398"/>
      <c r="LBD155" s="398"/>
      <c r="LBE155" s="398"/>
      <c r="LBF155" s="398"/>
      <c r="LBG155" s="398"/>
      <c r="LBH155" s="398"/>
      <c r="LBI155" s="398"/>
      <c r="LBJ155" s="398"/>
      <c r="LBK155" s="398"/>
      <c r="LBL155" s="398"/>
      <c r="LBM155" s="398"/>
      <c r="LBN155" s="398"/>
      <c r="LBO155" s="398"/>
      <c r="LBP155" s="398"/>
      <c r="LBQ155" s="398"/>
      <c r="LBR155" s="398"/>
      <c r="LBS155" s="398"/>
      <c r="LBT155" s="398"/>
      <c r="LBU155" s="398"/>
      <c r="LBV155" s="398"/>
      <c r="LBW155" s="398"/>
      <c r="LBX155" s="398"/>
      <c r="LBY155" s="398"/>
      <c r="LBZ155" s="398"/>
      <c r="LCA155" s="398"/>
      <c r="LCB155" s="398"/>
      <c r="LCC155" s="398"/>
      <c r="LCD155" s="398"/>
      <c r="LCE155" s="398"/>
      <c r="LCF155" s="398"/>
      <c r="LCG155" s="398"/>
      <c r="LCH155" s="398"/>
      <c r="LCI155" s="398"/>
      <c r="LCJ155" s="398"/>
      <c r="LCK155" s="398"/>
      <c r="LCL155" s="398"/>
      <c r="LCM155" s="398"/>
      <c r="LCN155" s="398"/>
      <c r="LCO155" s="398"/>
      <c r="LCP155" s="398"/>
      <c r="LCQ155" s="398"/>
      <c r="LCR155" s="398"/>
      <c r="LCS155" s="398"/>
      <c r="LCT155" s="398"/>
      <c r="LCU155" s="398"/>
      <c r="LCV155" s="398"/>
      <c r="LCW155" s="398"/>
      <c r="LCX155" s="398"/>
      <c r="LCY155" s="398"/>
      <c r="LCZ155" s="398"/>
      <c r="LDA155" s="398"/>
      <c r="LDB155" s="398"/>
      <c r="LDC155" s="398"/>
      <c r="LDD155" s="398"/>
      <c r="LDE155" s="398"/>
      <c r="LDF155" s="398"/>
      <c r="LDG155" s="398"/>
      <c r="LDH155" s="398"/>
      <c r="LDI155" s="398"/>
      <c r="LDJ155" s="398"/>
      <c r="LDK155" s="398"/>
      <c r="LDL155" s="398"/>
      <c r="LDM155" s="398"/>
      <c r="LDN155" s="398"/>
      <c r="LDO155" s="398"/>
      <c r="LDP155" s="398"/>
      <c r="LDQ155" s="398"/>
      <c r="LDR155" s="398"/>
      <c r="LDS155" s="398"/>
      <c r="LDT155" s="398"/>
      <c r="LDU155" s="398"/>
      <c r="LDV155" s="398"/>
      <c r="LDW155" s="398"/>
      <c r="LDX155" s="398"/>
      <c r="LDY155" s="398"/>
      <c r="LDZ155" s="398"/>
      <c r="LEA155" s="398"/>
      <c r="LEB155" s="398"/>
      <c r="LEC155" s="398"/>
      <c r="LED155" s="398"/>
      <c r="LEE155" s="398"/>
      <c r="LEF155" s="398"/>
      <c r="LEG155" s="398"/>
      <c r="LEH155" s="398"/>
      <c r="LEI155" s="398"/>
      <c r="LEJ155" s="398"/>
      <c r="LEK155" s="398"/>
      <c r="LEL155" s="398"/>
      <c r="LEM155" s="398"/>
      <c r="LEN155" s="398"/>
      <c r="LEO155" s="398"/>
      <c r="LEP155" s="398"/>
      <c r="LEQ155" s="398"/>
      <c r="LER155" s="398"/>
      <c r="LES155" s="398"/>
      <c r="LET155" s="398"/>
      <c r="LEU155" s="398"/>
      <c r="LEV155" s="398"/>
      <c r="LEW155" s="398"/>
      <c r="LEX155" s="398"/>
      <c r="LEY155" s="398"/>
      <c r="LEZ155" s="398"/>
      <c r="LFA155" s="398"/>
      <c r="LFB155" s="398"/>
      <c r="LFC155" s="398"/>
      <c r="LFD155" s="398"/>
      <c r="LFE155" s="398"/>
      <c r="LFF155" s="398"/>
      <c r="LFG155" s="398"/>
      <c r="LFH155" s="398"/>
      <c r="LFI155" s="398"/>
      <c r="LFJ155" s="398"/>
      <c r="LFK155" s="398"/>
      <c r="LFL155" s="398"/>
      <c r="LFM155" s="398"/>
      <c r="LFN155" s="398"/>
      <c r="LFO155" s="398"/>
      <c r="LFP155" s="398"/>
      <c r="LFQ155" s="398"/>
      <c r="LFR155" s="398"/>
      <c r="LFS155" s="398"/>
      <c r="LFT155" s="398"/>
      <c r="LFU155" s="398"/>
      <c r="LFV155" s="398"/>
      <c r="LFW155" s="398"/>
      <c r="LFX155" s="398"/>
      <c r="LFY155" s="398"/>
      <c r="LFZ155" s="398"/>
      <c r="LGA155" s="398"/>
      <c r="LGB155" s="398"/>
      <c r="LGC155" s="398"/>
      <c r="LGD155" s="398"/>
      <c r="LGE155" s="398"/>
      <c r="LGF155" s="398"/>
      <c r="LGG155" s="398"/>
      <c r="LGH155" s="398"/>
      <c r="LGI155" s="398"/>
      <c r="LGJ155" s="398"/>
      <c r="LGK155" s="398"/>
      <c r="LGL155" s="398"/>
      <c r="LGM155" s="398"/>
      <c r="LGN155" s="398"/>
      <c r="LGO155" s="398"/>
      <c r="LGP155" s="398"/>
      <c r="LGQ155" s="398"/>
      <c r="LGR155" s="398"/>
      <c r="LGS155" s="398"/>
      <c r="LGT155" s="398"/>
      <c r="LGU155" s="398"/>
      <c r="LGV155" s="398"/>
      <c r="LGW155" s="398"/>
      <c r="LGX155" s="398"/>
      <c r="LGY155" s="398"/>
      <c r="LGZ155" s="398"/>
      <c r="LHA155" s="398"/>
      <c r="LHB155" s="398"/>
      <c r="LHC155" s="398"/>
      <c r="LHD155" s="398"/>
      <c r="LHE155" s="398"/>
      <c r="LHF155" s="398"/>
      <c r="LHG155" s="398"/>
      <c r="LHH155" s="398"/>
      <c r="LHI155" s="398"/>
      <c r="LHJ155" s="398"/>
      <c r="LHK155" s="398"/>
      <c r="LHL155" s="398"/>
      <c r="LHM155" s="398"/>
      <c r="LHN155" s="398"/>
      <c r="LHO155" s="398"/>
      <c r="LHP155" s="398"/>
      <c r="LHQ155" s="398"/>
      <c r="LHR155" s="398"/>
      <c r="LHS155" s="398"/>
      <c r="LHT155" s="398"/>
      <c r="LHU155" s="398"/>
      <c r="LHV155" s="398"/>
      <c r="LHW155" s="398"/>
      <c r="LHX155" s="398"/>
      <c r="LHY155" s="398"/>
      <c r="LHZ155" s="398"/>
      <c r="LIA155" s="398"/>
      <c r="LIB155" s="398"/>
      <c r="LIC155" s="398"/>
      <c r="LID155" s="398"/>
      <c r="LIE155" s="398"/>
      <c r="LIF155" s="398"/>
      <c r="LIG155" s="398"/>
      <c r="LIH155" s="398"/>
      <c r="LII155" s="398"/>
      <c r="LIJ155" s="398"/>
      <c r="LIK155" s="398"/>
      <c r="LIL155" s="398"/>
      <c r="LIM155" s="398"/>
      <c r="LIN155" s="398"/>
      <c r="LIO155" s="398"/>
      <c r="LIP155" s="398"/>
      <c r="LIQ155" s="398"/>
      <c r="LIR155" s="398"/>
      <c r="LIS155" s="398"/>
      <c r="LIT155" s="398"/>
      <c r="LIU155" s="398"/>
      <c r="LIV155" s="398"/>
      <c r="LIW155" s="398"/>
      <c r="LIX155" s="398"/>
      <c r="LIY155" s="398"/>
      <c r="LIZ155" s="398"/>
      <c r="LJA155" s="398"/>
      <c r="LJB155" s="398"/>
      <c r="LJC155" s="398"/>
      <c r="LJD155" s="398"/>
      <c r="LJE155" s="398"/>
      <c r="LJF155" s="398"/>
      <c r="LJG155" s="398"/>
      <c r="LJH155" s="398"/>
      <c r="LJI155" s="398"/>
      <c r="LJJ155" s="398"/>
      <c r="LJK155" s="398"/>
      <c r="LJL155" s="398"/>
      <c r="LJM155" s="398"/>
      <c r="LJN155" s="398"/>
      <c r="LJO155" s="398"/>
      <c r="LJP155" s="398"/>
      <c r="LJQ155" s="398"/>
      <c r="LJR155" s="398"/>
      <c r="LJS155" s="398"/>
      <c r="LJT155" s="398"/>
      <c r="LJU155" s="398"/>
      <c r="LJV155" s="398"/>
      <c r="LJW155" s="398"/>
      <c r="LJX155" s="398"/>
      <c r="LJY155" s="398"/>
      <c r="LJZ155" s="398"/>
      <c r="LKA155" s="398"/>
      <c r="LKB155" s="398"/>
      <c r="LKC155" s="398"/>
      <c r="LKD155" s="398"/>
      <c r="LKE155" s="398"/>
      <c r="LKF155" s="398"/>
      <c r="LKG155" s="398"/>
      <c r="LKH155" s="398"/>
      <c r="LKI155" s="398"/>
      <c r="LKJ155" s="398"/>
      <c r="LKK155" s="398"/>
      <c r="LKL155" s="398"/>
      <c r="LKM155" s="398"/>
      <c r="LKN155" s="398"/>
      <c r="LKO155" s="398"/>
      <c r="LKP155" s="398"/>
      <c r="LKQ155" s="398"/>
      <c r="LKR155" s="398"/>
      <c r="LKS155" s="398"/>
      <c r="LKT155" s="398"/>
      <c r="LKU155" s="398"/>
      <c r="LKV155" s="398"/>
      <c r="LKW155" s="398"/>
      <c r="LKX155" s="398"/>
      <c r="LKY155" s="398"/>
      <c r="LKZ155" s="398"/>
      <c r="LLA155" s="398"/>
      <c r="LLB155" s="398"/>
      <c r="LLC155" s="398"/>
      <c r="LLD155" s="398"/>
      <c r="LLE155" s="398"/>
      <c r="LLF155" s="398"/>
      <c r="LLG155" s="398"/>
      <c r="LLH155" s="398"/>
      <c r="LLI155" s="398"/>
      <c r="LLJ155" s="398"/>
      <c r="LLK155" s="398"/>
      <c r="LLL155" s="398"/>
      <c r="LLM155" s="398"/>
      <c r="LLN155" s="398"/>
      <c r="LLO155" s="398"/>
      <c r="LLP155" s="398"/>
      <c r="LLQ155" s="398"/>
      <c r="LLR155" s="398"/>
      <c r="LLS155" s="398"/>
      <c r="LLT155" s="398"/>
      <c r="LLU155" s="398"/>
      <c r="LLV155" s="398"/>
      <c r="LLW155" s="398"/>
      <c r="LLX155" s="398"/>
      <c r="LLY155" s="398"/>
      <c r="LLZ155" s="398"/>
      <c r="LMA155" s="398"/>
      <c r="LMB155" s="398"/>
      <c r="LMC155" s="398"/>
      <c r="LMD155" s="398"/>
      <c r="LME155" s="398"/>
      <c r="LMF155" s="398"/>
      <c r="LMG155" s="398"/>
      <c r="LMH155" s="398"/>
      <c r="LMI155" s="398"/>
      <c r="LMJ155" s="398"/>
      <c r="LMK155" s="398"/>
      <c r="LML155" s="398"/>
      <c r="LMM155" s="398"/>
      <c r="LMN155" s="398"/>
      <c r="LMO155" s="398"/>
      <c r="LMP155" s="398"/>
      <c r="LMQ155" s="398"/>
      <c r="LMR155" s="398"/>
      <c r="LMS155" s="398"/>
      <c r="LMT155" s="398"/>
      <c r="LMU155" s="398"/>
      <c r="LMV155" s="398"/>
      <c r="LMW155" s="398"/>
      <c r="LMX155" s="398"/>
      <c r="LMY155" s="398"/>
      <c r="LMZ155" s="398"/>
      <c r="LNA155" s="398"/>
      <c r="LNB155" s="398"/>
      <c r="LNC155" s="398"/>
      <c r="LND155" s="398"/>
      <c r="LNE155" s="398"/>
      <c r="LNF155" s="398"/>
      <c r="LNG155" s="398"/>
      <c r="LNH155" s="398"/>
      <c r="LNI155" s="398"/>
      <c r="LNJ155" s="398"/>
      <c r="LNK155" s="398"/>
      <c r="LNL155" s="398"/>
      <c r="LNM155" s="398"/>
      <c r="LNN155" s="398"/>
      <c r="LNO155" s="398"/>
      <c r="LNP155" s="398"/>
      <c r="LNQ155" s="398"/>
      <c r="LNR155" s="398"/>
      <c r="LNS155" s="398"/>
      <c r="LNT155" s="398"/>
      <c r="LNU155" s="398"/>
      <c r="LNV155" s="398"/>
      <c r="LNW155" s="398"/>
      <c r="LNX155" s="398"/>
      <c r="LNY155" s="398"/>
      <c r="LNZ155" s="398"/>
      <c r="LOA155" s="398"/>
      <c r="LOB155" s="398"/>
      <c r="LOC155" s="398"/>
      <c r="LOD155" s="398"/>
      <c r="LOE155" s="398"/>
      <c r="LOF155" s="398"/>
      <c r="LOG155" s="398"/>
      <c r="LOH155" s="398"/>
      <c r="LOI155" s="398"/>
      <c r="LOJ155" s="398"/>
      <c r="LOK155" s="398"/>
      <c r="LOL155" s="398"/>
      <c r="LOM155" s="398"/>
      <c r="LON155" s="398"/>
      <c r="LOO155" s="398"/>
      <c r="LOP155" s="398"/>
      <c r="LOQ155" s="398"/>
      <c r="LOR155" s="398"/>
      <c r="LOS155" s="398"/>
      <c r="LOT155" s="398"/>
      <c r="LOU155" s="398"/>
      <c r="LOV155" s="398"/>
      <c r="LOW155" s="398"/>
      <c r="LOX155" s="398"/>
      <c r="LOY155" s="398"/>
      <c r="LOZ155" s="398"/>
      <c r="LPA155" s="398"/>
      <c r="LPB155" s="398"/>
      <c r="LPC155" s="398"/>
      <c r="LPD155" s="398"/>
      <c r="LPE155" s="398"/>
      <c r="LPF155" s="398"/>
      <c r="LPG155" s="398"/>
      <c r="LPH155" s="398"/>
      <c r="LPI155" s="398"/>
      <c r="LPJ155" s="398"/>
      <c r="LPK155" s="398"/>
      <c r="LPL155" s="398"/>
      <c r="LPM155" s="398"/>
      <c r="LPN155" s="398"/>
      <c r="LPO155" s="398"/>
      <c r="LPP155" s="398"/>
      <c r="LPQ155" s="398"/>
      <c r="LPR155" s="398"/>
      <c r="LPS155" s="398"/>
      <c r="LPT155" s="398"/>
      <c r="LPU155" s="398"/>
      <c r="LPV155" s="398"/>
      <c r="LPW155" s="398"/>
      <c r="LPX155" s="398"/>
      <c r="LPY155" s="398"/>
      <c r="LPZ155" s="398"/>
      <c r="LQA155" s="398"/>
      <c r="LQB155" s="398"/>
      <c r="LQC155" s="398"/>
      <c r="LQD155" s="398"/>
      <c r="LQE155" s="398"/>
      <c r="LQF155" s="398"/>
      <c r="LQG155" s="398"/>
      <c r="LQH155" s="398"/>
      <c r="LQI155" s="398"/>
      <c r="LQJ155" s="398"/>
      <c r="LQK155" s="398"/>
      <c r="LQL155" s="398"/>
      <c r="LQM155" s="398"/>
      <c r="LQN155" s="398"/>
      <c r="LQO155" s="398"/>
      <c r="LQP155" s="398"/>
      <c r="LQQ155" s="398"/>
      <c r="LQR155" s="398"/>
      <c r="LQS155" s="398"/>
      <c r="LQT155" s="398"/>
      <c r="LQU155" s="398"/>
      <c r="LQV155" s="398"/>
      <c r="LQW155" s="398"/>
      <c r="LQX155" s="398"/>
      <c r="LQY155" s="398"/>
      <c r="LQZ155" s="398"/>
      <c r="LRA155" s="398"/>
      <c r="LRB155" s="398"/>
      <c r="LRC155" s="398"/>
      <c r="LRD155" s="398"/>
      <c r="LRE155" s="398"/>
      <c r="LRF155" s="398"/>
      <c r="LRG155" s="398"/>
      <c r="LRH155" s="398"/>
      <c r="LRI155" s="398"/>
      <c r="LRJ155" s="398"/>
      <c r="LRK155" s="398"/>
      <c r="LRL155" s="398"/>
      <c r="LRM155" s="398"/>
      <c r="LRN155" s="398"/>
      <c r="LRO155" s="398"/>
      <c r="LRP155" s="398"/>
      <c r="LRQ155" s="398"/>
      <c r="LRR155" s="398"/>
      <c r="LRS155" s="398"/>
      <c r="LRT155" s="398"/>
      <c r="LRU155" s="398"/>
      <c r="LRV155" s="398"/>
      <c r="LRW155" s="398"/>
      <c r="LRX155" s="398"/>
      <c r="LRY155" s="398"/>
      <c r="LRZ155" s="398"/>
      <c r="LSA155" s="398"/>
      <c r="LSB155" s="398"/>
      <c r="LSC155" s="398"/>
      <c r="LSD155" s="398"/>
      <c r="LSE155" s="398"/>
      <c r="LSF155" s="398"/>
      <c r="LSG155" s="398"/>
      <c r="LSH155" s="398"/>
      <c r="LSI155" s="398"/>
      <c r="LSJ155" s="398"/>
      <c r="LSK155" s="398"/>
      <c r="LSL155" s="398"/>
      <c r="LSM155" s="398"/>
      <c r="LSN155" s="398"/>
      <c r="LSO155" s="398"/>
      <c r="LSP155" s="398"/>
      <c r="LSQ155" s="398"/>
      <c r="LSR155" s="398"/>
      <c r="LSS155" s="398"/>
      <c r="LST155" s="398"/>
      <c r="LSU155" s="398"/>
      <c r="LSV155" s="398"/>
      <c r="LSW155" s="398"/>
      <c r="LSX155" s="398"/>
      <c r="LSY155" s="398"/>
      <c r="LSZ155" s="398"/>
      <c r="LTA155" s="398"/>
      <c r="LTB155" s="398"/>
      <c r="LTC155" s="398"/>
      <c r="LTD155" s="398"/>
      <c r="LTE155" s="398"/>
      <c r="LTF155" s="398"/>
      <c r="LTG155" s="398"/>
      <c r="LTH155" s="398"/>
      <c r="LTI155" s="398"/>
      <c r="LTJ155" s="398"/>
      <c r="LTK155" s="398"/>
      <c r="LTL155" s="398"/>
      <c r="LTM155" s="398"/>
      <c r="LTN155" s="398"/>
      <c r="LTO155" s="398"/>
      <c r="LTP155" s="398"/>
      <c r="LTQ155" s="398"/>
      <c r="LTR155" s="398"/>
      <c r="LTS155" s="398"/>
      <c r="LTT155" s="398"/>
      <c r="LTU155" s="398"/>
      <c r="LTV155" s="398"/>
      <c r="LTW155" s="398"/>
      <c r="LTX155" s="398"/>
      <c r="LTY155" s="398"/>
      <c r="LTZ155" s="398"/>
      <c r="LUA155" s="398"/>
      <c r="LUB155" s="398"/>
      <c r="LUC155" s="398"/>
      <c r="LUD155" s="398"/>
      <c r="LUE155" s="398"/>
      <c r="LUF155" s="398"/>
      <c r="LUG155" s="398"/>
      <c r="LUH155" s="398"/>
      <c r="LUI155" s="398"/>
      <c r="LUJ155" s="398"/>
      <c r="LUK155" s="398"/>
      <c r="LUL155" s="398"/>
      <c r="LUM155" s="398"/>
      <c r="LUN155" s="398"/>
      <c r="LUO155" s="398"/>
      <c r="LUP155" s="398"/>
      <c r="LUQ155" s="398"/>
      <c r="LUR155" s="398"/>
      <c r="LUS155" s="398"/>
      <c r="LUT155" s="398"/>
      <c r="LUU155" s="398"/>
      <c r="LUV155" s="398"/>
      <c r="LUW155" s="398"/>
      <c r="LUX155" s="398"/>
      <c r="LUY155" s="398"/>
      <c r="LUZ155" s="398"/>
      <c r="LVA155" s="398"/>
      <c r="LVB155" s="398"/>
      <c r="LVC155" s="398"/>
      <c r="LVD155" s="398"/>
      <c r="LVE155" s="398"/>
      <c r="LVF155" s="398"/>
      <c r="LVG155" s="398"/>
      <c r="LVH155" s="398"/>
      <c r="LVI155" s="398"/>
      <c r="LVJ155" s="398"/>
      <c r="LVK155" s="398"/>
      <c r="LVL155" s="398"/>
      <c r="LVM155" s="398"/>
      <c r="LVN155" s="398"/>
      <c r="LVO155" s="398"/>
      <c r="LVP155" s="398"/>
      <c r="LVQ155" s="398"/>
      <c r="LVR155" s="398"/>
      <c r="LVS155" s="398"/>
      <c r="LVT155" s="398"/>
      <c r="LVU155" s="398"/>
      <c r="LVV155" s="398"/>
      <c r="LVW155" s="398"/>
      <c r="LVX155" s="398"/>
      <c r="LVY155" s="398"/>
      <c r="LVZ155" s="398"/>
      <c r="LWA155" s="398"/>
      <c r="LWB155" s="398"/>
      <c r="LWC155" s="398"/>
      <c r="LWD155" s="398"/>
      <c r="LWE155" s="398"/>
      <c r="LWF155" s="398"/>
      <c r="LWG155" s="398"/>
      <c r="LWH155" s="398"/>
      <c r="LWI155" s="398"/>
      <c r="LWJ155" s="398"/>
      <c r="LWK155" s="398"/>
      <c r="LWL155" s="398"/>
      <c r="LWM155" s="398"/>
      <c r="LWN155" s="398"/>
      <c r="LWO155" s="398"/>
      <c r="LWP155" s="398"/>
      <c r="LWQ155" s="398"/>
      <c r="LWR155" s="398"/>
      <c r="LWS155" s="398"/>
      <c r="LWT155" s="398"/>
      <c r="LWU155" s="398"/>
      <c r="LWV155" s="398"/>
      <c r="LWW155" s="398"/>
      <c r="LWX155" s="398"/>
      <c r="LWY155" s="398"/>
      <c r="LWZ155" s="398"/>
      <c r="LXA155" s="398"/>
      <c r="LXB155" s="398"/>
      <c r="LXC155" s="398"/>
      <c r="LXD155" s="398"/>
      <c r="LXE155" s="398"/>
      <c r="LXF155" s="398"/>
      <c r="LXG155" s="398"/>
      <c r="LXH155" s="398"/>
      <c r="LXI155" s="398"/>
      <c r="LXJ155" s="398"/>
      <c r="LXK155" s="398"/>
      <c r="LXL155" s="398"/>
      <c r="LXM155" s="398"/>
      <c r="LXN155" s="398"/>
      <c r="LXO155" s="398"/>
      <c r="LXP155" s="398"/>
      <c r="LXQ155" s="398"/>
      <c r="LXR155" s="398"/>
      <c r="LXS155" s="398"/>
      <c r="LXT155" s="398"/>
      <c r="LXU155" s="398"/>
      <c r="LXV155" s="398"/>
      <c r="LXW155" s="398"/>
      <c r="LXX155" s="398"/>
      <c r="LXY155" s="398"/>
      <c r="LXZ155" s="398"/>
      <c r="LYA155" s="398"/>
      <c r="LYB155" s="398"/>
      <c r="LYC155" s="398"/>
      <c r="LYD155" s="398"/>
      <c r="LYE155" s="398"/>
      <c r="LYF155" s="398"/>
      <c r="LYG155" s="398"/>
      <c r="LYH155" s="398"/>
      <c r="LYI155" s="398"/>
      <c r="LYJ155" s="398"/>
      <c r="LYK155" s="398"/>
      <c r="LYL155" s="398"/>
      <c r="LYM155" s="398"/>
      <c r="LYN155" s="398"/>
      <c r="LYO155" s="398"/>
      <c r="LYP155" s="398"/>
      <c r="LYQ155" s="398"/>
      <c r="LYR155" s="398"/>
      <c r="LYS155" s="398"/>
      <c r="LYT155" s="398"/>
      <c r="LYU155" s="398"/>
      <c r="LYV155" s="398"/>
      <c r="LYW155" s="398"/>
      <c r="LYX155" s="398"/>
      <c r="LYY155" s="398"/>
      <c r="LYZ155" s="398"/>
      <c r="LZA155" s="398"/>
      <c r="LZB155" s="398"/>
      <c r="LZC155" s="398"/>
      <c r="LZD155" s="398"/>
      <c r="LZE155" s="398"/>
      <c r="LZF155" s="398"/>
      <c r="LZG155" s="398"/>
      <c r="LZH155" s="398"/>
      <c r="LZI155" s="398"/>
      <c r="LZJ155" s="398"/>
      <c r="LZK155" s="398"/>
      <c r="LZL155" s="398"/>
      <c r="LZM155" s="398"/>
      <c r="LZN155" s="398"/>
      <c r="LZO155" s="398"/>
      <c r="LZP155" s="398"/>
      <c r="LZQ155" s="398"/>
      <c r="LZR155" s="398"/>
      <c r="LZS155" s="398"/>
      <c r="LZT155" s="398"/>
      <c r="LZU155" s="398"/>
      <c r="LZV155" s="398"/>
      <c r="LZW155" s="398"/>
      <c r="LZX155" s="398"/>
      <c r="LZY155" s="398"/>
      <c r="LZZ155" s="398"/>
      <c r="MAA155" s="398"/>
      <c r="MAB155" s="398"/>
      <c r="MAC155" s="398"/>
      <c r="MAD155" s="398"/>
      <c r="MAE155" s="398"/>
      <c r="MAF155" s="398"/>
      <c r="MAG155" s="398"/>
      <c r="MAH155" s="398"/>
      <c r="MAI155" s="398"/>
      <c r="MAJ155" s="398"/>
      <c r="MAK155" s="398"/>
      <c r="MAL155" s="398"/>
      <c r="MAM155" s="398"/>
      <c r="MAN155" s="398"/>
      <c r="MAO155" s="398"/>
      <c r="MAP155" s="398"/>
      <c r="MAQ155" s="398"/>
      <c r="MAR155" s="398"/>
      <c r="MAS155" s="398"/>
      <c r="MAT155" s="398"/>
      <c r="MAU155" s="398"/>
      <c r="MAV155" s="398"/>
      <c r="MAW155" s="398"/>
      <c r="MAX155" s="398"/>
      <c r="MAY155" s="398"/>
      <c r="MAZ155" s="398"/>
      <c r="MBA155" s="398"/>
      <c r="MBB155" s="398"/>
      <c r="MBC155" s="398"/>
      <c r="MBD155" s="398"/>
      <c r="MBE155" s="398"/>
      <c r="MBF155" s="398"/>
      <c r="MBG155" s="398"/>
      <c r="MBH155" s="398"/>
      <c r="MBI155" s="398"/>
      <c r="MBJ155" s="398"/>
      <c r="MBK155" s="398"/>
      <c r="MBL155" s="398"/>
      <c r="MBM155" s="398"/>
      <c r="MBN155" s="398"/>
      <c r="MBO155" s="398"/>
      <c r="MBP155" s="398"/>
      <c r="MBQ155" s="398"/>
      <c r="MBR155" s="398"/>
      <c r="MBS155" s="398"/>
      <c r="MBT155" s="398"/>
      <c r="MBU155" s="398"/>
      <c r="MBV155" s="398"/>
      <c r="MBW155" s="398"/>
      <c r="MBX155" s="398"/>
      <c r="MBY155" s="398"/>
      <c r="MBZ155" s="398"/>
      <c r="MCA155" s="398"/>
      <c r="MCB155" s="398"/>
      <c r="MCC155" s="398"/>
      <c r="MCD155" s="398"/>
      <c r="MCE155" s="398"/>
      <c r="MCF155" s="398"/>
      <c r="MCG155" s="398"/>
      <c r="MCH155" s="398"/>
      <c r="MCI155" s="398"/>
      <c r="MCJ155" s="398"/>
      <c r="MCK155" s="398"/>
      <c r="MCL155" s="398"/>
      <c r="MCM155" s="398"/>
      <c r="MCN155" s="398"/>
      <c r="MCO155" s="398"/>
      <c r="MCP155" s="398"/>
      <c r="MCQ155" s="398"/>
      <c r="MCR155" s="398"/>
      <c r="MCS155" s="398"/>
      <c r="MCT155" s="398"/>
      <c r="MCU155" s="398"/>
      <c r="MCV155" s="398"/>
      <c r="MCW155" s="398"/>
      <c r="MCX155" s="398"/>
      <c r="MCY155" s="398"/>
      <c r="MCZ155" s="398"/>
      <c r="MDA155" s="398"/>
      <c r="MDB155" s="398"/>
      <c r="MDC155" s="398"/>
      <c r="MDD155" s="398"/>
      <c r="MDE155" s="398"/>
      <c r="MDF155" s="398"/>
      <c r="MDG155" s="398"/>
      <c r="MDH155" s="398"/>
      <c r="MDI155" s="398"/>
      <c r="MDJ155" s="398"/>
      <c r="MDK155" s="398"/>
      <c r="MDL155" s="398"/>
      <c r="MDM155" s="398"/>
      <c r="MDN155" s="398"/>
      <c r="MDO155" s="398"/>
      <c r="MDP155" s="398"/>
      <c r="MDQ155" s="398"/>
      <c r="MDR155" s="398"/>
      <c r="MDS155" s="398"/>
      <c r="MDT155" s="398"/>
      <c r="MDU155" s="398"/>
      <c r="MDV155" s="398"/>
      <c r="MDW155" s="398"/>
      <c r="MDX155" s="398"/>
      <c r="MDY155" s="398"/>
      <c r="MDZ155" s="398"/>
      <c r="MEA155" s="398"/>
      <c r="MEB155" s="398"/>
      <c r="MEC155" s="398"/>
      <c r="MED155" s="398"/>
      <c r="MEE155" s="398"/>
      <c r="MEF155" s="398"/>
      <c r="MEG155" s="398"/>
      <c r="MEH155" s="398"/>
      <c r="MEI155" s="398"/>
      <c r="MEJ155" s="398"/>
      <c r="MEK155" s="398"/>
      <c r="MEL155" s="398"/>
      <c r="MEM155" s="398"/>
      <c r="MEN155" s="398"/>
      <c r="MEO155" s="398"/>
      <c r="MEP155" s="398"/>
      <c r="MEQ155" s="398"/>
      <c r="MER155" s="398"/>
      <c r="MES155" s="398"/>
      <c r="MET155" s="398"/>
      <c r="MEU155" s="398"/>
      <c r="MEV155" s="398"/>
      <c r="MEW155" s="398"/>
      <c r="MEX155" s="398"/>
      <c r="MEY155" s="398"/>
      <c r="MEZ155" s="398"/>
      <c r="MFA155" s="398"/>
      <c r="MFB155" s="398"/>
      <c r="MFC155" s="398"/>
      <c r="MFD155" s="398"/>
      <c r="MFE155" s="398"/>
      <c r="MFF155" s="398"/>
      <c r="MFG155" s="398"/>
      <c r="MFH155" s="398"/>
      <c r="MFI155" s="398"/>
      <c r="MFJ155" s="398"/>
      <c r="MFK155" s="398"/>
      <c r="MFL155" s="398"/>
      <c r="MFM155" s="398"/>
      <c r="MFN155" s="398"/>
      <c r="MFO155" s="398"/>
      <c r="MFP155" s="398"/>
      <c r="MFQ155" s="398"/>
      <c r="MFR155" s="398"/>
      <c r="MFS155" s="398"/>
      <c r="MFT155" s="398"/>
      <c r="MFU155" s="398"/>
      <c r="MFV155" s="398"/>
      <c r="MFW155" s="398"/>
      <c r="MFX155" s="398"/>
      <c r="MFY155" s="398"/>
      <c r="MFZ155" s="398"/>
      <c r="MGA155" s="398"/>
      <c r="MGB155" s="398"/>
      <c r="MGC155" s="398"/>
      <c r="MGD155" s="398"/>
      <c r="MGE155" s="398"/>
      <c r="MGF155" s="398"/>
      <c r="MGG155" s="398"/>
      <c r="MGH155" s="398"/>
      <c r="MGI155" s="398"/>
      <c r="MGJ155" s="398"/>
      <c r="MGK155" s="398"/>
      <c r="MGL155" s="398"/>
      <c r="MGM155" s="398"/>
      <c r="MGN155" s="398"/>
      <c r="MGO155" s="398"/>
      <c r="MGP155" s="398"/>
      <c r="MGQ155" s="398"/>
      <c r="MGR155" s="398"/>
      <c r="MGS155" s="398"/>
      <c r="MGT155" s="398"/>
      <c r="MGU155" s="398"/>
      <c r="MGV155" s="398"/>
      <c r="MGW155" s="398"/>
      <c r="MGX155" s="398"/>
      <c r="MGY155" s="398"/>
      <c r="MGZ155" s="398"/>
      <c r="MHA155" s="398"/>
      <c r="MHB155" s="398"/>
      <c r="MHC155" s="398"/>
      <c r="MHD155" s="398"/>
      <c r="MHE155" s="398"/>
      <c r="MHF155" s="398"/>
      <c r="MHG155" s="398"/>
      <c r="MHH155" s="398"/>
      <c r="MHI155" s="398"/>
      <c r="MHJ155" s="398"/>
      <c r="MHK155" s="398"/>
      <c r="MHL155" s="398"/>
      <c r="MHM155" s="398"/>
      <c r="MHN155" s="398"/>
      <c r="MHO155" s="398"/>
      <c r="MHP155" s="398"/>
      <c r="MHQ155" s="398"/>
      <c r="MHR155" s="398"/>
      <c r="MHS155" s="398"/>
      <c r="MHT155" s="398"/>
      <c r="MHU155" s="398"/>
      <c r="MHV155" s="398"/>
      <c r="MHW155" s="398"/>
      <c r="MHX155" s="398"/>
      <c r="MHY155" s="398"/>
      <c r="MHZ155" s="398"/>
      <c r="MIA155" s="398"/>
      <c r="MIB155" s="398"/>
      <c r="MIC155" s="398"/>
      <c r="MID155" s="398"/>
      <c r="MIE155" s="398"/>
      <c r="MIF155" s="398"/>
      <c r="MIG155" s="398"/>
      <c r="MIH155" s="398"/>
      <c r="MII155" s="398"/>
      <c r="MIJ155" s="398"/>
      <c r="MIK155" s="398"/>
      <c r="MIL155" s="398"/>
      <c r="MIM155" s="398"/>
      <c r="MIN155" s="398"/>
      <c r="MIO155" s="398"/>
      <c r="MIP155" s="398"/>
      <c r="MIQ155" s="398"/>
      <c r="MIR155" s="398"/>
      <c r="MIS155" s="398"/>
      <c r="MIT155" s="398"/>
      <c r="MIU155" s="398"/>
      <c r="MIV155" s="398"/>
      <c r="MIW155" s="398"/>
      <c r="MIX155" s="398"/>
      <c r="MIY155" s="398"/>
      <c r="MIZ155" s="398"/>
      <c r="MJA155" s="398"/>
      <c r="MJB155" s="398"/>
      <c r="MJC155" s="398"/>
      <c r="MJD155" s="398"/>
      <c r="MJE155" s="398"/>
      <c r="MJF155" s="398"/>
      <c r="MJG155" s="398"/>
      <c r="MJH155" s="398"/>
      <c r="MJI155" s="398"/>
      <c r="MJJ155" s="398"/>
      <c r="MJK155" s="398"/>
      <c r="MJL155" s="398"/>
      <c r="MJM155" s="398"/>
      <c r="MJN155" s="398"/>
      <c r="MJO155" s="398"/>
      <c r="MJP155" s="398"/>
      <c r="MJQ155" s="398"/>
      <c r="MJR155" s="398"/>
      <c r="MJS155" s="398"/>
      <c r="MJT155" s="398"/>
      <c r="MJU155" s="398"/>
      <c r="MJV155" s="398"/>
      <c r="MJW155" s="398"/>
      <c r="MJX155" s="398"/>
      <c r="MJY155" s="398"/>
      <c r="MJZ155" s="398"/>
      <c r="MKA155" s="398"/>
      <c r="MKB155" s="398"/>
      <c r="MKC155" s="398"/>
      <c r="MKD155" s="398"/>
      <c r="MKE155" s="398"/>
      <c r="MKF155" s="398"/>
      <c r="MKG155" s="398"/>
      <c r="MKH155" s="398"/>
      <c r="MKI155" s="398"/>
      <c r="MKJ155" s="398"/>
      <c r="MKK155" s="398"/>
      <c r="MKL155" s="398"/>
      <c r="MKM155" s="398"/>
      <c r="MKN155" s="398"/>
      <c r="MKO155" s="398"/>
      <c r="MKP155" s="398"/>
      <c r="MKQ155" s="398"/>
      <c r="MKR155" s="398"/>
      <c r="MKS155" s="398"/>
      <c r="MKT155" s="398"/>
      <c r="MKU155" s="398"/>
      <c r="MKV155" s="398"/>
      <c r="MKW155" s="398"/>
      <c r="MKX155" s="398"/>
      <c r="MKY155" s="398"/>
      <c r="MKZ155" s="398"/>
      <c r="MLA155" s="398"/>
      <c r="MLB155" s="398"/>
      <c r="MLC155" s="398"/>
      <c r="MLD155" s="398"/>
      <c r="MLE155" s="398"/>
      <c r="MLF155" s="398"/>
      <c r="MLG155" s="398"/>
      <c r="MLH155" s="398"/>
      <c r="MLI155" s="398"/>
      <c r="MLJ155" s="398"/>
      <c r="MLK155" s="398"/>
      <c r="MLL155" s="398"/>
      <c r="MLM155" s="398"/>
      <c r="MLN155" s="398"/>
      <c r="MLO155" s="398"/>
      <c r="MLP155" s="398"/>
      <c r="MLQ155" s="398"/>
      <c r="MLR155" s="398"/>
      <c r="MLS155" s="398"/>
      <c r="MLT155" s="398"/>
      <c r="MLU155" s="398"/>
      <c r="MLV155" s="398"/>
      <c r="MLW155" s="398"/>
      <c r="MLX155" s="398"/>
      <c r="MLY155" s="398"/>
      <c r="MLZ155" s="398"/>
      <c r="MMA155" s="398"/>
      <c r="MMB155" s="398"/>
      <c r="MMC155" s="398"/>
      <c r="MMD155" s="398"/>
      <c r="MME155" s="398"/>
      <c r="MMF155" s="398"/>
      <c r="MMG155" s="398"/>
      <c r="MMH155" s="398"/>
      <c r="MMI155" s="398"/>
      <c r="MMJ155" s="398"/>
      <c r="MMK155" s="398"/>
      <c r="MML155" s="398"/>
      <c r="MMM155" s="398"/>
      <c r="MMN155" s="398"/>
      <c r="MMO155" s="398"/>
      <c r="MMP155" s="398"/>
      <c r="MMQ155" s="398"/>
      <c r="MMR155" s="398"/>
      <c r="MMS155" s="398"/>
      <c r="MMT155" s="398"/>
      <c r="MMU155" s="398"/>
      <c r="MMV155" s="398"/>
      <c r="MMW155" s="398"/>
      <c r="MMX155" s="398"/>
      <c r="MMY155" s="398"/>
      <c r="MMZ155" s="398"/>
      <c r="MNA155" s="398"/>
      <c r="MNB155" s="398"/>
      <c r="MNC155" s="398"/>
      <c r="MND155" s="398"/>
      <c r="MNE155" s="398"/>
      <c r="MNF155" s="398"/>
      <c r="MNG155" s="398"/>
      <c r="MNH155" s="398"/>
      <c r="MNI155" s="398"/>
      <c r="MNJ155" s="398"/>
      <c r="MNK155" s="398"/>
      <c r="MNL155" s="398"/>
      <c r="MNM155" s="398"/>
      <c r="MNN155" s="398"/>
      <c r="MNO155" s="398"/>
      <c r="MNP155" s="398"/>
      <c r="MNQ155" s="398"/>
      <c r="MNR155" s="398"/>
      <c r="MNS155" s="398"/>
      <c r="MNT155" s="398"/>
      <c r="MNU155" s="398"/>
      <c r="MNV155" s="398"/>
      <c r="MNW155" s="398"/>
      <c r="MNX155" s="398"/>
      <c r="MNY155" s="398"/>
      <c r="MNZ155" s="398"/>
      <c r="MOA155" s="398"/>
      <c r="MOB155" s="398"/>
      <c r="MOC155" s="398"/>
      <c r="MOD155" s="398"/>
      <c r="MOE155" s="398"/>
      <c r="MOF155" s="398"/>
      <c r="MOG155" s="398"/>
      <c r="MOH155" s="398"/>
      <c r="MOI155" s="398"/>
      <c r="MOJ155" s="398"/>
      <c r="MOK155" s="398"/>
      <c r="MOL155" s="398"/>
      <c r="MOM155" s="398"/>
      <c r="MON155" s="398"/>
      <c r="MOO155" s="398"/>
      <c r="MOP155" s="398"/>
      <c r="MOQ155" s="398"/>
      <c r="MOR155" s="398"/>
      <c r="MOS155" s="398"/>
      <c r="MOT155" s="398"/>
      <c r="MOU155" s="398"/>
      <c r="MOV155" s="398"/>
      <c r="MOW155" s="398"/>
      <c r="MOX155" s="398"/>
      <c r="MOY155" s="398"/>
      <c r="MOZ155" s="398"/>
      <c r="MPA155" s="398"/>
      <c r="MPB155" s="398"/>
      <c r="MPC155" s="398"/>
      <c r="MPD155" s="398"/>
      <c r="MPE155" s="398"/>
      <c r="MPF155" s="398"/>
      <c r="MPG155" s="398"/>
      <c r="MPH155" s="398"/>
      <c r="MPI155" s="398"/>
      <c r="MPJ155" s="398"/>
      <c r="MPK155" s="398"/>
      <c r="MPL155" s="398"/>
      <c r="MPM155" s="398"/>
      <c r="MPN155" s="398"/>
      <c r="MPO155" s="398"/>
      <c r="MPP155" s="398"/>
      <c r="MPQ155" s="398"/>
      <c r="MPR155" s="398"/>
      <c r="MPS155" s="398"/>
      <c r="MPT155" s="398"/>
      <c r="MPU155" s="398"/>
      <c r="MPV155" s="398"/>
      <c r="MPW155" s="398"/>
      <c r="MPX155" s="398"/>
      <c r="MPY155" s="398"/>
      <c r="MPZ155" s="398"/>
      <c r="MQA155" s="398"/>
      <c r="MQB155" s="398"/>
      <c r="MQC155" s="398"/>
      <c r="MQD155" s="398"/>
      <c r="MQE155" s="398"/>
      <c r="MQF155" s="398"/>
      <c r="MQG155" s="398"/>
      <c r="MQH155" s="398"/>
      <c r="MQI155" s="398"/>
      <c r="MQJ155" s="398"/>
      <c r="MQK155" s="398"/>
      <c r="MQL155" s="398"/>
      <c r="MQM155" s="398"/>
      <c r="MQN155" s="398"/>
      <c r="MQO155" s="398"/>
      <c r="MQP155" s="398"/>
      <c r="MQQ155" s="398"/>
      <c r="MQR155" s="398"/>
      <c r="MQS155" s="398"/>
      <c r="MQT155" s="398"/>
      <c r="MQU155" s="398"/>
      <c r="MQV155" s="398"/>
      <c r="MQW155" s="398"/>
      <c r="MQX155" s="398"/>
      <c r="MQY155" s="398"/>
      <c r="MQZ155" s="398"/>
      <c r="MRA155" s="398"/>
      <c r="MRB155" s="398"/>
      <c r="MRC155" s="398"/>
      <c r="MRD155" s="398"/>
      <c r="MRE155" s="398"/>
      <c r="MRF155" s="398"/>
      <c r="MRG155" s="398"/>
      <c r="MRH155" s="398"/>
      <c r="MRI155" s="398"/>
      <c r="MRJ155" s="398"/>
      <c r="MRK155" s="398"/>
      <c r="MRL155" s="398"/>
      <c r="MRM155" s="398"/>
      <c r="MRN155" s="398"/>
      <c r="MRO155" s="398"/>
      <c r="MRP155" s="398"/>
      <c r="MRQ155" s="398"/>
      <c r="MRR155" s="398"/>
      <c r="MRS155" s="398"/>
      <c r="MRT155" s="398"/>
      <c r="MRU155" s="398"/>
      <c r="MRV155" s="398"/>
      <c r="MRW155" s="398"/>
      <c r="MRX155" s="398"/>
      <c r="MRY155" s="398"/>
      <c r="MRZ155" s="398"/>
      <c r="MSA155" s="398"/>
      <c r="MSB155" s="398"/>
      <c r="MSC155" s="398"/>
      <c r="MSD155" s="398"/>
      <c r="MSE155" s="398"/>
      <c r="MSF155" s="398"/>
      <c r="MSG155" s="398"/>
      <c r="MSH155" s="398"/>
      <c r="MSI155" s="398"/>
      <c r="MSJ155" s="398"/>
      <c r="MSK155" s="398"/>
      <c r="MSL155" s="398"/>
      <c r="MSM155" s="398"/>
      <c r="MSN155" s="398"/>
      <c r="MSO155" s="398"/>
      <c r="MSP155" s="398"/>
      <c r="MSQ155" s="398"/>
      <c r="MSR155" s="398"/>
      <c r="MSS155" s="398"/>
      <c r="MST155" s="398"/>
      <c r="MSU155" s="398"/>
      <c r="MSV155" s="398"/>
      <c r="MSW155" s="398"/>
      <c r="MSX155" s="398"/>
      <c r="MSY155" s="398"/>
      <c r="MSZ155" s="398"/>
      <c r="MTA155" s="398"/>
      <c r="MTB155" s="398"/>
      <c r="MTC155" s="398"/>
      <c r="MTD155" s="398"/>
      <c r="MTE155" s="398"/>
      <c r="MTF155" s="398"/>
      <c r="MTG155" s="398"/>
      <c r="MTH155" s="398"/>
      <c r="MTI155" s="398"/>
      <c r="MTJ155" s="398"/>
      <c r="MTK155" s="398"/>
      <c r="MTL155" s="398"/>
      <c r="MTM155" s="398"/>
      <c r="MTN155" s="398"/>
      <c r="MTO155" s="398"/>
      <c r="MTP155" s="398"/>
      <c r="MTQ155" s="398"/>
      <c r="MTR155" s="398"/>
      <c r="MTS155" s="398"/>
      <c r="MTT155" s="398"/>
      <c r="MTU155" s="398"/>
      <c r="MTV155" s="398"/>
      <c r="MTW155" s="398"/>
      <c r="MTX155" s="398"/>
      <c r="MTY155" s="398"/>
      <c r="MTZ155" s="398"/>
      <c r="MUA155" s="398"/>
      <c r="MUB155" s="398"/>
      <c r="MUC155" s="398"/>
      <c r="MUD155" s="398"/>
      <c r="MUE155" s="398"/>
      <c r="MUF155" s="398"/>
      <c r="MUG155" s="398"/>
      <c r="MUH155" s="398"/>
      <c r="MUI155" s="398"/>
      <c r="MUJ155" s="398"/>
      <c r="MUK155" s="398"/>
      <c r="MUL155" s="398"/>
      <c r="MUM155" s="398"/>
      <c r="MUN155" s="398"/>
      <c r="MUO155" s="398"/>
      <c r="MUP155" s="398"/>
      <c r="MUQ155" s="398"/>
      <c r="MUR155" s="398"/>
      <c r="MUS155" s="398"/>
      <c r="MUT155" s="398"/>
      <c r="MUU155" s="398"/>
      <c r="MUV155" s="398"/>
      <c r="MUW155" s="398"/>
      <c r="MUX155" s="398"/>
      <c r="MUY155" s="398"/>
      <c r="MUZ155" s="398"/>
      <c r="MVA155" s="398"/>
      <c r="MVB155" s="398"/>
      <c r="MVC155" s="398"/>
      <c r="MVD155" s="398"/>
      <c r="MVE155" s="398"/>
      <c r="MVF155" s="398"/>
      <c r="MVG155" s="398"/>
      <c r="MVH155" s="398"/>
      <c r="MVI155" s="398"/>
      <c r="MVJ155" s="398"/>
      <c r="MVK155" s="398"/>
      <c r="MVL155" s="398"/>
      <c r="MVM155" s="398"/>
      <c r="MVN155" s="398"/>
      <c r="MVO155" s="398"/>
      <c r="MVP155" s="398"/>
      <c r="MVQ155" s="398"/>
      <c r="MVR155" s="398"/>
      <c r="MVS155" s="398"/>
      <c r="MVT155" s="398"/>
      <c r="MVU155" s="398"/>
      <c r="MVV155" s="398"/>
      <c r="MVW155" s="398"/>
      <c r="MVX155" s="398"/>
      <c r="MVY155" s="398"/>
      <c r="MVZ155" s="398"/>
      <c r="MWA155" s="398"/>
      <c r="MWB155" s="398"/>
      <c r="MWC155" s="398"/>
      <c r="MWD155" s="398"/>
      <c r="MWE155" s="398"/>
      <c r="MWF155" s="398"/>
      <c r="MWG155" s="398"/>
      <c r="MWH155" s="398"/>
      <c r="MWI155" s="398"/>
      <c r="MWJ155" s="398"/>
      <c r="MWK155" s="398"/>
      <c r="MWL155" s="398"/>
      <c r="MWM155" s="398"/>
      <c r="MWN155" s="398"/>
      <c r="MWO155" s="398"/>
      <c r="MWP155" s="398"/>
      <c r="MWQ155" s="398"/>
      <c r="MWR155" s="398"/>
      <c r="MWS155" s="398"/>
      <c r="MWT155" s="398"/>
      <c r="MWU155" s="398"/>
      <c r="MWV155" s="398"/>
      <c r="MWW155" s="398"/>
      <c r="MWX155" s="398"/>
      <c r="MWY155" s="398"/>
      <c r="MWZ155" s="398"/>
      <c r="MXA155" s="398"/>
      <c r="MXB155" s="398"/>
      <c r="MXC155" s="398"/>
      <c r="MXD155" s="398"/>
      <c r="MXE155" s="398"/>
      <c r="MXF155" s="398"/>
      <c r="MXG155" s="398"/>
      <c r="MXH155" s="398"/>
      <c r="MXI155" s="398"/>
      <c r="MXJ155" s="398"/>
      <c r="MXK155" s="398"/>
      <c r="MXL155" s="398"/>
      <c r="MXM155" s="398"/>
      <c r="MXN155" s="398"/>
      <c r="MXO155" s="398"/>
      <c r="MXP155" s="398"/>
      <c r="MXQ155" s="398"/>
      <c r="MXR155" s="398"/>
      <c r="MXS155" s="398"/>
      <c r="MXT155" s="398"/>
      <c r="MXU155" s="398"/>
      <c r="MXV155" s="398"/>
      <c r="MXW155" s="398"/>
      <c r="MXX155" s="398"/>
      <c r="MXY155" s="398"/>
      <c r="MXZ155" s="398"/>
      <c r="MYA155" s="398"/>
      <c r="MYB155" s="398"/>
      <c r="MYC155" s="398"/>
      <c r="MYD155" s="398"/>
      <c r="MYE155" s="398"/>
      <c r="MYF155" s="398"/>
      <c r="MYG155" s="398"/>
      <c r="MYH155" s="398"/>
      <c r="MYI155" s="398"/>
      <c r="MYJ155" s="398"/>
      <c r="MYK155" s="398"/>
      <c r="MYL155" s="398"/>
      <c r="MYM155" s="398"/>
      <c r="MYN155" s="398"/>
      <c r="MYO155" s="398"/>
      <c r="MYP155" s="398"/>
      <c r="MYQ155" s="398"/>
      <c r="MYR155" s="398"/>
      <c r="MYS155" s="398"/>
      <c r="MYT155" s="398"/>
      <c r="MYU155" s="398"/>
      <c r="MYV155" s="398"/>
      <c r="MYW155" s="398"/>
      <c r="MYX155" s="398"/>
      <c r="MYY155" s="398"/>
      <c r="MYZ155" s="398"/>
      <c r="MZA155" s="398"/>
      <c r="MZB155" s="398"/>
      <c r="MZC155" s="398"/>
      <c r="MZD155" s="398"/>
      <c r="MZE155" s="398"/>
      <c r="MZF155" s="398"/>
      <c r="MZG155" s="398"/>
      <c r="MZH155" s="398"/>
      <c r="MZI155" s="398"/>
      <c r="MZJ155" s="398"/>
      <c r="MZK155" s="398"/>
      <c r="MZL155" s="398"/>
      <c r="MZM155" s="398"/>
      <c r="MZN155" s="398"/>
      <c r="MZO155" s="398"/>
      <c r="MZP155" s="398"/>
      <c r="MZQ155" s="398"/>
      <c r="MZR155" s="398"/>
      <c r="MZS155" s="398"/>
      <c r="MZT155" s="398"/>
      <c r="MZU155" s="398"/>
      <c r="MZV155" s="398"/>
      <c r="MZW155" s="398"/>
      <c r="MZX155" s="398"/>
      <c r="MZY155" s="398"/>
      <c r="MZZ155" s="398"/>
      <c r="NAA155" s="398"/>
      <c r="NAB155" s="398"/>
      <c r="NAC155" s="398"/>
      <c r="NAD155" s="398"/>
      <c r="NAE155" s="398"/>
      <c r="NAF155" s="398"/>
      <c r="NAG155" s="398"/>
      <c r="NAH155" s="398"/>
      <c r="NAI155" s="398"/>
      <c r="NAJ155" s="398"/>
      <c r="NAK155" s="398"/>
      <c r="NAL155" s="398"/>
      <c r="NAM155" s="398"/>
      <c r="NAN155" s="398"/>
      <c r="NAO155" s="398"/>
      <c r="NAP155" s="398"/>
      <c r="NAQ155" s="398"/>
      <c r="NAR155" s="398"/>
      <c r="NAS155" s="398"/>
      <c r="NAT155" s="398"/>
      <c r="NAU155" s="398"/>
      <c r="NAV155" s="398"/>
      <c r="NAW155" s="398"/>
      <c r="NAX155" s="398"/>
      <c r="NAY155" s="398"/>
      <c r="NAZ155" s="398"/>
      <c r="NBA155" s="398"/>
      <c r="NBB155" s="398"/>
      <c r="NBC155" s="398"/>
      <c r="NBD155" s="398"/>
      <c r="NBE155" s="398"/>
      <c r="NBF155" s="398"/>
      <c r="NBG155" s="398"/>
      <c r="NBH155" s="398"/>
      <c r="NBI155" s="398"/>
      <c r="NBJ155" s="398"/>
      <c r="NBK155" s="398"/>
      <c r="NBL155" s="398"/>
      <c r="NBM155" s="398"/>
      <c r="NBN155" s="398"/>
      <c r="NBO155" s="398"/>
      <c r="NBP155" s="398"/>
      <c r="NBQ155" s="398"/>
      <c r="NBR155" s="398"/>
      <c r="NBS155" s="398"/>
      <c r="NBT155" s="398"/>
      <c r="NBU155" s="398"/>
      <c r="NBV155" s="398"/>
      <c r="NBW155" s="398"/>
      <c r="NBX155" s="398"/>
      <c r="NBY155" s="398"/>
      <c r="NBZ155" s="398"/>
      <c r="NCA155" s="398"/>
      <c r="NCB155" s="398"/>
      <c r="NCC155" s="398"/>
      <c r="NCD155" s="398"/>
      <c r="NCE155" s="398"/>
      <c r="NCF155" s="398"/>
      <c r="NCG155" s="398"/>
      <c r="NCH155" s="398"/>
      <c r="NCI155" s="398"/>
      <c r="NCJ155" s="398"/>
      <c r="NCK155" s="398"/>
      <c r="NCL155" s="398"/>
      <c r="NCM155" s="398"/>
      <c r="NCN155" s="398"/>
      <c r="NCO155" s="398"/>
      <c r="NCP155" s="398"/>
      <c r="NCQ155" s="398"/>
      <c r="NCR155" s="398"/>
      <c r="NCS155" s="398"/>
      <c r="NCT155" s="398"/>
      <c r="NCU155" s="398"/>
      <c r="NCV155" s="398"/>
      <c r="NCW155" s="398"/>
      <c r="NCX155" s="398"/>
      <c r="NCY155" s="398"/>
      <c r="NCZ155" s="398"/>
      <c r="NDA155" s="398"/>
      <c r="NDB155" s="398"/>
      <c r="NDC155" s="398"/>
      <c r="NDD155" s="398"/>
      <c r="NDE155" s="398"/>
      <c r="NDF155" s="398"/>
      <c r="NDG155" s="398"/>
      <c r="NDH155" s="398"/>
      <c r="NDI155" s="398"/>
      <c r="NDJ155" s="398"/>
      <c r="NDK155" s="398"/>
      <c r="NDL155" s="398"/>
      <c r="NDM155" s="398"/>
      <c r="NDN155" s="398"/>
      <c r="NDO155" s="398"/>
      <c r="NDP155" s="398"/>
      <c r="NDQ155" s="398"/>
      <c r="NDR155" s="398"/>
      <c r="NDS155" s="398"/>
      <c r="NDT155" s="398"/>
      <c r="NDU155" s="398"/>
      <c r="NDV155" s="398"/>
      <c r="NDW155" s="398"/>
      <c r="NDX155" s="398"/>
      <c r="NDY155" s="398"/>
      <c r="NDZ155" s="398"/>
      <c r="NEA155" s="398"/>
      <c r="NEB155" s="398"/>
      <c r="NEC155" s="398"/>
      <c r="NED155" s="398"/>
      <c r="NEE155" s="398"/>
      <c r="NEF155" s="398"/>
      <c r="NEG155" s="398"/>
      <c r="NEH155" s="398"/>
      <c r="NEI155" s="398"/>
      <c r="NEJ155" s="398"/>
      <c r="NEK155" s="398"/>
      <c r="NEL155" s="398"/>
      <c r="NEM155" s="398"/>
      <c r="NEN155" s="398"/>
      <c r="NEO155" s="398"/>
      <c r="NEP155" s="398"/>
      <c r="NEQ155" s="398"/>
      <c r="NER155" s="398"/>
      <c r="NES155" s="398"/>
      <c r="NET155" s="398"/>
      <c r="NEU155" s="398"/>
      <c r="NEV155" s="398"/>
      <c r="NEW155" s="398"/>
      <c r="NEX155" s="398"/>
      <c r="NEY155" s="398"/>
      <c r="NEZ155" s="398"/>
      <c r="NFA155" s="398"/>
      <c r="NFB155" s="398"/>
      <c r="NFC155" s="398"/>
      <c r="NFD155" s="398"/>
      <c r="NFE155" s="398"/>
      <c r="NFF155" s="398"/>
      <c r="NFG155" s="398"/>
      <c r="NFH155" s="398"/>
      <c r="NFI155" s="398"/>
      <c r="NFJ155" s="398"/>
      <c r="NFK155" s="398"/>
      <c r="NFL155" s="398"/>
      <c r="NFM155" s="398"/>
      <c r="NFN155" s="398"/>
      <c r="NFO155" s="398"/>
      <c r="NFP155" s="398"/>
      <c r="NFQ155" s="398"/>
      <c r="NFR155" s="398"/>
      <c r="NFS155" s="398"/>
      <c r="NFT155" s="398"/>
      <c r="NFU155" s="398"/>
      <c r="NFV155" s="398"/>
      <c r="NFW155" s="398"/>
      <c r="NFX155" s="398"/>
      <c r="NFY155" s="398"/>
      <c r="NFZ155" s="398"/>
      <c r="NGA155" s="398"/>
      <c r="NGB155" s="398"/>
      <c r="NGC155" s="398"/>
      <c r="NGD155" s="398"/>
      <c r="NGE155" s="398"/>
      <c r="NGF155" s="398"/>
      <c r="NGG155" s="398"/>
      <c r="NGH155" s="398"/>
      <c r="NGI155" s="398"/>
      <c r="NGJ155" s="398"/>
      <c r="NGK155" s="398"/>
      <c r="NGL155" s="398"/>
      <c r="NGM155" s="398"/>
      <c r="NGN155" s="398"/>
      <c r="NGO155" s="398"/>
      <c r="NGP155" s="398"/>
      <c r="NGQ155" s="398"/>
      <c r="NGR155" s="398"/>
      <c r="NGS155" s="398"/>
      <c r="NGT155" s="398"/>
      <c r="NGU155" s="398"/>
      <c r="NGV155" s="398"/>
      <c r="NGW155" s="398"/>
      <c r="NGX155" s="398"/>
      <c r="NGY155" s="398"/>
      <c r="NGZ155" s="398"/>
      <c r="NHA155" s="398"/>
      <c r="NHB155" s="398"/>
      <c r="NHC155" s="398"/>
      <c r="NHD155" s="398"/>
      <c r="NHE155" s="398"/>
      <c r="NHF155" s="398"/>
      <c r="NHG155" s="398"/>
      <c r="NHH155" s="398"/>
      <c r="NHI155" s="398"/>
      <c r="NHJ155" s="398"/>
      <c r="NHK155" s="398"/>
      <c r="NHL155" s="398"/>
      <c r="NHM155" s="398"/>
      <c r="NHN155" s="398"/>
      <c r="NHO155" s="398"/>
      <c r="NHP155" s="398"/>
      <c r="NHQ155" s="398"/>
      <c r="NHR155" s="398"/>
      <c r="NHS155" s="398"/>
      <c r="NHT155" s="398"/>
      <c r="NHU155" s="398"/>
      <c r="NHV155" s="398"/>
      <c r="NHW155" s="398"/>
      <c r="NHX155" s="398"/>
      <c r="NHY155" s="398"/>
      <c r="NHZ155" s="398"/>
      <c r="NIA155" s="398"/>
      <c r="NIB155" s="398"/>
      <c r="NIC155" s="398"/>
      <c r="NID155" s="398"/>
      <c r="NIE155" s="398"/>
      <c r="NIF155" s="398"/>
      <c r="NIG155" s="398"/>
      <c r="NIH155" s="398"/>
      <c r="NII155" s="398"/>
      <c r="NIJ155" s="398"/>
      <c r="NIK155" s="398"/>
      <c r="NIL155" s="398"/>
      <c r="NIM155" s="398"/>
      <c r="NIN155" s="398"/>
      <c r="NIO155" s="398"/>
      <c r="NIP155" s="398"/>
      <c r="NIQ155" s="398"/>
      <c r="NIR155" s="398"/>
      <c r="NIS155" s="398"/>
      <c r="NIT155" s="398"/>
      <c r="NIU155" s="398"/>
      <c r="NIV155" s="398"/>
      <c r="NIW155" s="398"/>
      <c r="NIX155" s="398"/>
      <c r="NIY155" s="398"/>
      <c r="NIZ155" s="398"/>
      <c r="NJA155" s="398"/>
      <c r="NJB155" s="398"/>
      <c r="NJC155" s="398"/>
      <c r="NJD155" s="398"/>
      <c r="NJE155" s="398"/>
      <c r="NJF155" s="398"/>
      <c r="NJG155" s="398"/>
      <c r="NJH155" s="398"/>
      <c r="NJI155" s="398"/>
      <c r="NJJ155" s="398"/>
      <c r="NJK155" s="398"/>
      <c r="NJL155" s="398"/>
      <c r="NJM155" s="398"/>
      <c r="NJN155" s="398"/>
      <c r="NJO155" s="398"/>
      <c r="NJP155" s="398"/>
      <c r="NJQ155" s="398"/>
      <c r="NJR155" s="398"/>
      <c r="NJS155" s="398"/>
      <c r="NJT155" s="398"/>
      <c r="NJU155" s="398"/>
      <c r="NJV155" s="398"/>
      <c r="NJW155" s="398"/>
      <c r="NJX155" s="398"/>
      <c r="NJY155" s="398"/>
      <c r="NJZ155" s="398"/>
      <c r="NKA155" s="398"/>
      <c r="NKB155" s="398"/>
      <c r="NKC155" s="398"/>
      <c r="NKD155" s="398"/>
      <c r="NKE155" s="398"/>
      <c r="NKF155" s="398"/>
      <c r="NKG155" s="398"/>
      <c r="NKH155" s="398"/>
      <c r="NKI155" s="398"/>
      <c r="NKJ155" s="398"/>
      <c r="NKK155" s="398"/>
      <c r="NKL155" s="398"/>
      <c r="NKM155" s="398"/>
      <c r="NKN155" s="398"/>
      <c r="NKO155" s="398"/>
      <c r="NKP155" s="398"/>
      <c r="NKQ155" s="398"/>
      <c r="NKR155" s="398"/>
      <c r="NKS155" s="398"/>
      <c r="NKT155" s="398"/>
      <c r="NKU155" s="398"/>
      <c r="NKV155" s="398"/>
      <c r="NKW155" s="398"/>
      <c r="NKX155" s="398"/>
      <c r="NKY155" s="398"/>
      <c r="NKZ155" s="398"/>
      <c r="NLA155" s="398"/>
      <c r="NLB155" s="398"/>
      <c r="NLC155" s="398"/>
      <c r="NLD155" s="398"/>
      <c r="NLE155" s="398"/>
      <c r="NLF155" s="398"/>
      <c r="NLG155" s="398"/>
      <c r="NLH155" s="398"/>
      <c r="NLI155" s="398"/>
      <c r="NLJ155" s="398"/>
      <c r="NLK155" s="398"/>
      <c r="NLL155" s="398"/>
      <c r="NLM155" s="398"/>
      <c r="NLN155" s="398"/>
      <c r="NLO155" s="398"/>
      <c r="NLP155" s="398"/>
      <c r="NLQ155" s="398"/>
      <c r="NLR155" s="398"/>
      <c r="NLS155" s="398"/>
      <c r="NLT155" s="398"/>
      <c r="NLU155" s="398"/>
      <c r="NLV155" s="398"/>
      <c r="NLW155" s="398"/>
      <c r="NLX155" s="398"/>
      <c r="NLY155" s="398"/>
      <c r="NLZ155" s="398"/>
      <c r="NMA155" s="398"/>
      <c r="NMB155" s="398"/>
      <c r="NMC155" s="398"/>
      <c r="NMD155" s="398"/>
      <c r="NME155" s="398"/>
      <c r="NMF155" s="398"/>
      <c r="NMG155" s="398"/>
      <c r="NMH155" s="398"/>
      <c r="NMI155" s="398"/>
      <c r="NMJ155" s="398"/>
      <c r="NMK155" s="398"/>
      <c r="NML155" s="398"/>
      <c r="NMM155" s="398"/>
      <c r="NMN155" s="398"/>
      <c r="NMO155" s="398"/>
      <c r="NMP155" s="398"/>
      <c r="NMQ155" s="398"/>
      <c r="NMR155" s="398"/>
      <c r="NMS155" s="398"/>
      <c r="NMT155" s="398"/>
      <c r="NMU155" s="398"/>
      <c r="NMV155" s="398"/>
      <c r="NMW155" s="398"/>
      <c r="NMX155" s="398"/>
      <c r="NMY155" s="398"/>
      <c r="NMZ155" s="398"/>
      <c r="NNA155" s="398"/>
      <c r="NNB155" s="398"/>
      <c r="NNC155" s="398"/>
      <c r="NND155" s="398"/>
      <c r="NNE155" s="398"/>
      <c r="NNF155" s="398"/>
      <c r="NNG155" s="398"/>
      <c r="NNH155" s="398"/>
      <c r="NNI155" s="398"/>
      <c r="NNJ155" s="398"/>
      <c r="NNK155" s="398"/>
      <c r="NNL155" s="398"/>
      <c r="NNM155" s="398"/>
      <c r="NNN155" s="398"/>
      <c r="NNO155" s="398"/>
      <c r="NNP155" s="398"/>
      <c r="NNQ155" s="398"/>
      <c r="NNR155" s="398"/>
      <c r="NNS155" s="398"/>
      <c r="NNT155" s="398"/>
      <c r="NNU155" s="398"/>
      <c r="NNV155" s="398"/>
      <c r="NNW155" s="398"/>
      <c r="NNX155" s="398"/>
      <c r="NNY155" s="398"/>
      <c r="NNZ155" s="398"/>
      <c r="NOA155" s="398"/>
      <c r="NOB155" s="398"/>
      <c r="NOC155" s="398"/>
      <c r="NOD155" s="398"/>
      <c r="NOE155" s="398"/>
      <c r="NOF155" s="398"/>
      <c r="NOG155" s="398"/>
      <c r="NOH155" s="398"/>
      <c r="NOI155" s="398"/>
      <c r="NOJ155" s="398"/>
      <c r="NOK155" s="398"/>
      <c r="NOL155" s="398"/>
      <c r="NOM155" s="398"/>
      <c r="NON155" s="398"/>
      <c r="NOO155" s="398"/>
      <c r="NOP155" s="398"/>
      <c r="NOQ155" s="398"/>
      <c r="NOR155" s="398"/>
      <c r="NOS155" s="398"/>
      <c r="NOT155" s="398"/>
      <c r="NOU155" s="398"/>
      <c r="NOV155" s="398"/>
      <c r="NOW155" s="398"/>
      <c r="NOX155" s="398"/>
      <c r="NOY155" s="398"/>
      <c r="NOZ155" s="398"/>
      <c r="NPA155" s="398"/>
      <c r="NPB155" s="398"/>
      <c r="NPC155" s="398"/>
      <c r="NPD155" s="398"/>
      <c r="NPE155" s="398"/>
      <c r="NPF155" s="398"/>
      <c r="NPG155" s="398"/>
      <c r="NPH155" s="398"/>
      <c r="NPI155" s="398"/>
      <c r="NPJ155" s="398"/>
      <c r="NPK155" s="398"/>
      <c r="NPL155" s="398"/>
      <c r="NPM155" s="398"/>
      <c r="NPN155" s="398"/>
      <c r="NPO155" s="398"/>
      <c r="NPP155" s="398"/>
      <c r="NPQ155" s="398"/>
      <c r="NPR155" s="398"/>
      <c r="NPS155" s="398"/>
      <c r="NPT155" s="398"/>
      <c r="NPU155" s="398"/>
      <c r="NPV155" s="398"/>
      <c r="NPW155" s="398"/>
      <c r="NPX155" s="398"/>
      <c r="NPY155" s="398"/>
      <c r="NPZ155" s="398"/>
      <c r="NQA155" s="398"/>
      <c r="NQB155" s="398"/>
      <c r="NQC155" s="398"/>
      <c r="NQD155" s="398"/>
      <c r="NQE155" s="398"/>
      <c r="NQF155" s="398"/>
      <c r="NQG155" s="398"/>
      <c r="NQH155" s="398"/>
      <c r="NQI155" s="398"/>
      <c r="NQJ155" s="398"/>
      <c r="NQK155" s="398"/>
      <c r="NQL155" s="398"/>
      <c r="NQM155" s="398"/>
      <c r="NQN155" s="398"/>
      <c r="NQO155" s="398"/>
      <c r="NQP155" s="398"/>
      <c r="NQQ155" s="398"/>
      <c r="NQR155" s="398"/>
      <c r="NQS155" s="398"/>
      <c r="NQT155" s="398"/>
      <c r="NQU155" s="398"/>
      <c r="NQV155" s="398"/>
      <c r="NQW155" s="398"/>
      <c r="NQX155" s="398"/>
      <c r="NQY155" s="398"/>
      <c r="NQZ155" s="398"/>
      <c r="NRA155" s="398"/>
      <c r="NRB155" s="398"/>
      <c r="NRC155" s="398"/>
      <c r="NRD155" s="398"/>
      <c r="NRE155" s="398"/>
      <c r="NRF155" s="398"/>
      <c r="NRG155" s="398"/>
      <c r="NRH155" s="398"/>
      <c r="NRI155" s="398"/>
      <c r="NRJ155" s="398"/>
      <c r="NRK155" s="398"/>
      <c r="NRL155" s="398"/>
      <c r="NRM155" s="398"/>
      <c r="NRN155" s="398"/>
      <c r="NRO155" s="398"/>
      <c r="NRP155" s="398"/>
      <c r="NRQ155" s="398"/>
      <c r="NRR155" s="398"/>
      <c r="NRS155" s="398"/>
      <c r="NRT155" s="398"/>
      <c r="NRU155" s="398"/>
      <c r="NRV155" s="398"/>
      <c r="NRW155" s="398"/>
      <c r="NRX155" s="398"/>
      <c r="NRY155" s="398"/>
      <c r="NRZ155" s="398"/>
      <c r="NSA155" s="398"/>
      <c r="NSB155" s="398"/>
      <c r="NSC155" s="398"/>
      <c r="NSD155" s="398"/>
      <c r="NSE155" s="398"/>
      <c r="NSF155" s="398"/>
      <c r="NSG155" s="398"/>
      <c r="NSH155" s="398"/>
      <c r="NSI155" s="398"/>
      <c r="NSJ155" s="398"/>
      <c r="NSK155" s="398"/>
      <c r="NSL155" s="398"/>
      <c r="NSM155" s="398"/>
      <c r="NSN155" s="398"/>
      <c r="NSO155" s="398"/>
      <c r="NSP155" s="398"/>
      <c r="NSQ155" s="398"/>
      <c r="NSR155" s="398"/>
      <c r="NSS155" s="398"/>
      <c r="NST155" s="398"/>
      <c r="NSU155" s="398"/>
      <c r="NSV155" s="398"/>
      <c r="NSW155" s="398"/>
      <c r="NSX155" s="398"/>
      <c r="NSY155" s="398"/>
      <c r="NSZ155" s="398"/>
      <c r="NTA155" s="398"/>
      <c r="NTB155" s="398"/>
      <c r="NTC155" s="398"/>
      <c r="NTD155" s="398"/>
      <c r="NTE155" s="398"/>
      <c r="NTF155" s="398"/>
      <c r="NTG155" s="398"/>
      <c r="NTH155" s="398"/>
      <c r="NTI155" s="398"/>
      <c r="NTJ155" s="398"/>
      <c r="NTK155" s="398"/>
      <c r="NTL155" s="398"/>
      <c r="NTM155" s="398"/>
      <c r="NTN155" s="398"/>
      <c r="NTO155" s="398"/>
      <c r="NTP155" s="398"/>
      <c r="NTQ155" s="398"/>
      <c r="NTR155" s="398"/>
      <c r="NTS155" s="398"/>
      <c r="NTT155" s="398"/>
      <c r="NTU155" s="398"/>
      <c r="NTV155" s="398"/>
      <c r="NTW155" s="398"/>
      <c r="NTX155" s="398"/>
      <c r="NTY155" s="398"/>
      <c r="NTZ155" s="398"/>
      <c r="NUA155" s="398"/>
      <c r="NUB155" s="398"/>
      <c r="NUC155" s="398"/>
      <c r="NUD155" s="398"/>
      <c r="NUE155" s="398"/>
      <c r="NUF155" s="398"/>
      <c r="NUG155" s="398"/>
      <c r="NUH155" s="398"/>
      <c r="NUI155" s="398"/>
      <c r="NUJ155" s="398"/>
      <c r="NUK155" s="398"/>
      <c r="NUL155" s="398"/>
      <c r="NUM155" s="398"/>
      <c r="NUN155" s="398"/>
      <c r="NUO155" s="398"/>
      <c r="NUP155" s="398"/>
      <c r="NUQ155" s="398"/>
      <c r="NUR155" s="398"/>
      <c r="NUS155" s="398"/>
      <c r="NUT155" s="398"/>
      <c r="NUU155" s="398"/>
      <c r="NUV155" s="398"/>
      <c r="NUW155" s="398"/>
      <c r="NUX155" s="398"/>
      <c r="NUY155" s="398"/>
      <c r="NUZ155" s="398"/>
      <c r="NVA155" s="398"/>
      <c r="NVB155" s="398"/>
      <c r="NVC155" s="398"/>
      <c r="NVD155" s="398"/>
      <c r="NVE155" s="398"/>
      <c r="NVF155" s="398"/>
      <c r="NVG155" s="398"/>
      <c r="NVH155" s="398"/>
      <c r="NVI155" s="398"/>
      <c r="NVJ155" s="398"/>
      <c r="NVK155" s="398"/>
      <c r="NVL155" s="398"/>
      <c r="NVM155" s="398"/>
      <c r="NVN155" s="398"/>
      <c r="NVO155" s="398"/>
      <c r="NVP155" s="398"/>
      <c r="NVQ155" s="398"/>
      <c r="NVR155" s="398"/>
      <c r="NVS155" s="398"/>
      <c r="NVT155" s="398"/>
      <c r="NVU155" s="398"/>
      <c r="NVV155" s="398"/>
      <c r="NVW155" s="398"/>
      <c r="NVX155" s="398"/>
      <c r="NVY155" s="398"/>
      <c r="NVZ155" s="398"/>
      <c r="NWA155" s="398"/>
      <c r="NWB155" s="398"/>
      <c r="NWC155" s="398"/>
      <c r="NWD155" s="398"/>
      <c r="NWE155" s="398"/>
      <c r="NWF155" s="398"/>
      <c r="NWG155" s="398"/>
      <c r="NWH155" s="398"/>
      <c r="NWI155" s="398"/>
      <c r="NWJ155" s="398"/>
      <c r="NWK155" s="398"/>
      <c r="NWL155" s="398"/>
      <c r="NWM155" s="398"/>
      <c r="NWN155" s="398"/>
      <c r="NWO155" s="398"/>
      <c r="NWP155" s="398"/>
      <c r="NWQ155" s="398"/>
      <c r="NWR155" s="398"/>
      <c r="NWS155" s="398"/>
      <c r="NWT155" s="398"/>
      <c r="NWU155" s="398"/>
      <c r="NWV155" s="398"/>
      <c r="NWW155" s="398"/>
      <c r="NWX155" s="398"/>
      <c r="NWY155" s="398"/>
      <c r="NWZ155" s="398"/>
      <c r="NXA155" s="398"/>
      <c r="NXB155" s="398"/>
      <c r="NXC155" s="398"/>
      <c r="NXD155" s="398"/>
      <c r="NXE155" s="398"/>
      <c r="NXF155" s="398"/>
      <c r="NXG155" s="398"/>
      <c r="NXH155" s="398"/>
      <c r="NXI155" s="398"/>
      <c r="NXJ155" s="398"/>
      <c r="NXK155" s="398"/>
      <c r="NXL155" s="398"/>
      <c r="NXM155" s="398"/>
      <c r="NXN155" s="398"/>
      <c r="NXO155" s="398"/>
      <c r="NXP155" s="398"/>
      <c r="NXQ155" s="398"/>
      <c r="NXR155" s="398"/>
      <c r="NXS155" s="398"/>
      <c r="NXT155" s="398"/>
      <c r="NXU155" s="398"/>
      <c r="NXV155" s="398"/>
      <c r="NXW155" s="398"/>
      <c r="NXX155" s="398"/>
      <c r="NXY155" s="398"/>
      <c r="NXZ155" s="398"/>
      <c r="NYA155" s="398"/>
      <c r="NYB155" s="398"/>
      <c r="NYC155" s="398"/>
      <c r="NYD155" s="398"/>
      <c r="NYE155" s="398"/>
      <c r="NYF155" s="398"/>
      <c r="NYG155" s="398"/>
      <c r="NYH155" s="398"/>
      <c r="NYI155" s="398"/>
      <c r="NYJ155" s="398"/>
      <c r="NYK155" s="398"/>
      <c r="NYL155" s="398"/>
      <c r="NYM155" s="398"/>
      <c r="NYN155" s="398"/>
      <c r="NYO155" s="398"/>
      <c r="NYP155" s="398"/>
      <c r="NYQ155" s="398"/>
      <c r="NYR155" s="398"/>
      <c r="NYS155" s="398"/>
      <c r="NYT155" s="398"/>
      <c r="NYU155" s="398"/>
      <c r="NYV155" s="398"/>
      <c r="NYW155" s="398"/>
      <c r="NYX155" s="398"/>
      <c r="NYY155" s="398"/>
      <c r="NYZ155" s="398"/>
      <c r="NZA155" s="398"/>
      <c r="NZB155" s="398"/>
      <c r="NZC155" s="398"/>
      <c r="NZD155" s="398"/>
      <c r="NZE155" s="398"/>
      <c r="NZF155" s="398"/>
      <c r="NZG155" s="398"/>
      <c r="NZH155" s="398"/>
      <c r="NZI155" s="398"/>
      <c r="NZJ155" s="398"/>
      <c r="NZK155" s="398"/>
      <c r="NZL155" s="398"/>
      <c r="NZM155" s="398"/>
      <c r="NZN155" s="398"/>
      <c r="NZO155" s="398"/>
      <c r="NZP155" s="398"/>
      <c r="NZQ155" s="398"/>
      <c r="NZR155" s="398"/>
      <c r="NZS155" s="398"/>
      <c r="NZT155" s="398"/>
      <c r="NZU155" s="398"/>
      <c r="NZV155" s="398"/>
      <c r="NZW155" s="398"/>
      <c r="NZX155" s="398"/>
      <c r="NZY155" s="398"/>
      <c r="NZZ155" s="398"/>
      <c r="OAA155" s="398"/>
      <c r="OAB155" s="398"/>
      <c r="OAC155" s="398"/>
      <c r="OAD155" s="398"/>
      <c r="OAE155" s="398"/>
      <c r="OAF155" s="398"/>
      <c r="OAG155" s="398"/>
      <c r="OAH155" s="398"/>
      <c r="OAI155" s="398"/>
      <c r="OAJ155" s="398"/>
      <c r="OAK155" s="398"/>
      <c r="OAL155" s="398"/>
      <c r="OAM155" s="398"/>
      <c r="OAN155" s="398"/>
      <c r="OAO155" s="398"/>
      <c r="OAP155" s="398"/>
      <c r="OAQ155" s="398"/>
      <c r="OAR155" s="398"/>
      <c r="OAS155" s="398"/>
      <c r="OAT155" s="398"/>
      <c r="OAU155" s="398"/>
      <c r="OAV155" s="398"/>
      <c r="OAW155" s="398"/>
      <c r="OAX155" s="398"/>
      <c r="OAY155" s="398"/>
      <c r="OAZ155" s="398"/>
      <c r="OBA155" s="398"/>
      <c r="OBB155" s="398"/>
      <c r="OBC155" s="398"/>
      <c r="OBD155" s="398"/>
      <c r="OBE155" s="398"/>
      <c r="OBF155" s="398"/>
      <c r="OBG155" s="398"/>
      <c r="OBH155" s="398"/>
      <c r="OBI155" s="398"/>
      <c r="OBJ155" s="398"/>
      <c r="OBK155" s="398"/>
      <c r="OBL155" s="398"/>
      <c r="OBM155" s="398"/>
      <c r="OBN155" s="398"/>
      <c r="OBO155" s="398"/>
      <c r="OBP155" s="398"/>
      <c r="OBQ155" s="398"/>
      <c r="OBR155" s="398"/>
      <c r="OBS155" s="398"/>
      <c r="OBT155" s="398"/>
      <c r="OBU155" s="398"/>
      <c r="OBV155" s="398"/>
      <c r="OBW155" s="398"/>
      <c r="OBX155" s="398"/>
      <c r="OBY155" s="398"/>
      <c r="OBZ155" s="398"/>
      <c r="OCA155" s="398"/>
      <c r="OCB155" s="398"/>
      <c r="OCC155" s="398"/>
      <c r="OCD155" s="398"/>
      <c r="OCE155" s="398"/>
      <c r="OCF155" s="398"/>
      <c r="OCG155" s="398"/>
      <c r="OCH155" s="398"/>
      <c r="OCI155" s="398"/>
      <c r="OCJ155" s="398"/>
      <c r="OCK155" s="398"/>
      <c r="OCL155" s="398"/>
      <c r="OCM155" s="398"/>
      <c r="OCN155" s="398"/>
      <c r="OCO155" s="398"/>
      <c r="OCP155" s="398"/>
      <c r="OCQ155" s="398"/>
      <c r="OCR155" s="398"/>
      <c r="OCS155" s="398"/>
      <c r="OCT155" s="398"/>
      <c r="OCU155" s="398"/>
      <c r="OCV155" s="398"/>
      <c r="OCW155" s="398"/>
      <c r="OCX155" s="398"/>
      <c r="OCY155" s="398"/>
      <c r="OCZ155" s="398"/>
      <c r="ODA155" s="398"/>
      <c r="ODB155" s="398"/>
      <c r="ODC155" s="398"/>
      <c r="ODD155" s="398"/>
      <c r="ODE155" s="398"/>
      <c r="ODF155" s="398"/>
      <c r="ODG155" s="398"/>
      <c r="ODH155" s="398"/>
      <c r="ODI155" s="398"/>
      <c r="ODJ155" s="398"/>
      <c r="ODK155" s="398"/>
      <c r="ODL155" s="398"/>
      <c r="ODM155" s="398"/>
      <c r="ODN155" s="398"/>
      <c r="ODO155" s="398"/>
      <c r="ODP155" s="398"/>
      <c r="ODQ155" s="398"/>
      <c r="ODR155" s="398"/>
      <c r="ODS155" s="398"/>
      <c r="ODT155" s="398"/>
      <c r="ODU155" s="398"/>
      <c r="ODV155" s="398"/>
      <c r="ODW155" s="398"/>
      <c r="ODX155" s="398"/>
      <c r="ODY155" s="398"/>
      <c r="ODZ155" s="398"/>
      <c r="OEA155" s="398"/>
      <c r="OEB155" s="398"/>
      <c r="OEC155" s="398"/>
      <c r="OED155" s="398"/>
      <c r="OEE155" s="398"/>
      <c r="OEF155" s="398"/>
      <c r="OEG155" s="398"/>
      <c r="OEH155" s="398"/>
      <c r="OEI155" s="398"/>
      <c r="OEJ155" s="398"/>
      <c r="OEK155" s="398"/>
      <c r="OEL155" s="398"/>
      <c r="OEM155" s="398"/>
      <c r="OEN155" s="398"/>
      <c r="OEO155" s="398"/>
      <c r="OEP155" s="398"/>
      <c r="OEQ155" s="398"/>
      <c r="OER155" s="398"/>
      <c r="OES155" s="398"/>
      <c r="OET155" s="398"/>
      <c r="OEU155" s="398"/>
      <c r="OEV155" s="398"/>
      <c r="OEW155" s="398"/>
      <c r="OEX155" s="398"/>
      <c r="OEY155" s="398"/>
      <c r="OEZ155" s="398"/>
      <c r="OFA155" s="398"/>
      <c r="OFB155" s="398"/>
      <c r="OFC155" s="398"/>
      <c r="OFD155" s="398"/>
      <c r="OFE155" s="398"/>
      <c r="OFF155" s="398"/>
      <c r="OFG155" s="398"/>
      <c r="OFH155" s="398"/>
      <c r="OFI155" s="398"/>
      <c r="OFJ155" s="398"/>
      <c r="OFK155" s="398"/>
      <c r="OFL155" s="398"/>
      <c r="OFM155" s="398"/>
      <c r="OFN155" s="398"/>
      <c r="OFO155" s="398"/>
      <c r="OFP155" s="398"/>
      <c r="OFQ155" s="398"/>
      <c r="OFR155" s="398"/>
      <c r="OFS155" s="398"/>
      <c r="OFT155" s="398"/>
      <c r="OFU155" s="398"/>
      <c r="OFV155" s="398"/>
      <c r="OFW155" s="398"/>
      <c r="OFX155" s="398"/>
      <c r="OFY155" s="398"/>
      <c r="OFZ155" s="398"/>
      <c r="OGA155" s="398"/>
      <c r="OGB155" s="398"/>
      <c r="OGC155" s="398"/>
      <c r="OGD155" s="398"/>
      <c r="OGE155" s="398"/>
      <c r="OGF155" s="398"/>
      <c r="OGG155" s="398"/>
      <c r="OGH155" s="398"/>
      <c r="OGI155" s="398"/>
      <c r="OGJ155" s="398"/>
      <c r="OGK155" s="398"/>
      <c r="OGL155" s="398"/>
      <c r="OGM155" s="398"/>
      <c r="OGN155" s="398"/>
      <c r="OGO155" s="398"/>
      <c r="OGP155" s="398"/>
      <c r="OGQ155" s="398"/>
      <c r="OGR155" s="398"/>
      <c r="OGS155" s="398"/>
      <c r="OGT155" s="398"/>
      <c r="OGU155" s="398"/>
      <c r="OGV155" s="398"/>
      <c r="OGW155" s="398"/>
      <c r="OGX155" s="398"/>
      <c r="OGY155" s="398"/>
      <c r="OGZ155" s="398"/>
      <c r="OHA155" s="398"/>
      <c r="OHB155" s="398"/>
      <c r="OHC155" s="398"/>
      <c r="OHD155" s="398"/>
      <c r="OHE155" s="398"/>
      <c r="OHF155" s="398"/>
      <c r="OHG155" s="398"/>
      <c r="OHH155" s="398"/>
      <c r="OHI155" s="398"/>
      <c r="OHJ155" s="398"/>
      <c r="OHK155" s="398"/>
      <c r="OHL155" s="398"/>
      <c r="OHM155" s="398"/>
      <c r="OHN155" s="398"/>
      <c r="OHO155" s="398"/>
      <c r="OHP155" s="398"/>
      <c r="OHQ155" s="398"/>
      <c r="OHR155" s="398"/>
      <c r="OHS155" s="398"/>
      <c r="OHT155" s="398"/>
      <c r="OHU155" s="398"/>
      <c r="OHV155" s="398"/>
      <c r="OHW155" s="398"/>
      <c r="OHX155" s="398"/>
      <c r="OHY155" s="398"/>
      <c r="OHZ155" s="398"/>
      <c r="OIA155" s="398"/>
      <c r="OIB155" s="398"/>
      <c r="OIC155" s="398"/>
      <c r="OID155" s="398"/>
      <c r="OIE155" s="398"/>
      <c r="OIF155" s="398"/>
      <c r="OIG155" s="398"/>
      <c r="OIH155" s="398"/>
      <c r="OII155" s="398"/>
      <c r="OIJ155" s="398"/>
      <c r="OIK155" s="398"/>
      <c r="OIL155" s="398"/>
      <c r="OIM155" s="398"/>
      <c r="OIN155" s="398"/>
      <c r="OIO155" s="398"/>
      <c r="OIP155" s="398"/>
      <c r="OIQ155" s="398"/>
      <c r="OIR155" s="398"/>
      <c r="OIS155" s="398"/>
      <c r="OIT155" s="398"/>
      <c r="OIU155" s="398"/>
      <c r="OIV155" s="398"/>
      <c r="OIW155" s="398"/>
      <c r="OIX155" s="398"/>
      <c r="OIY155" s="398"/>
      <c r="OIZ155" s="398"/>
      <c r="OJA155" s="398"/>
      <c r="OJB155" s="398"/>
      <c r="OJC155" s="398"/>
      <c r="OJD155" s="398"/>
      <c r="OJE155" s="398"/>
      <c r="OJF155" s="398"/>
      <c r="OJG155" s="398"/>
      <c r="OJH155" s="398"/>
      <c r="OJI155" s="398"/>
      <c r="OJJ155" s="398"/>
      <c r="OJK155" s="398"/>
      <c r="OJL155" s="398"/>
      <c r="OJM155" s="398"/>
      <c r="OJN155" s="398"/>
      <c r="OJO155" s="398"/>
      <c r="OJP155" s="398"/>
      <c r="OJQ155" s="398"/>
      <c r="OJR155" s="398"/>
      <c r="OJS155" s="398"/>
      <c r="OJT155" s="398"/>
      <c r="OJU155" s="398"/>
      <c r="OJV155" s="398"/>
      <c r="OJW155" s="398"/>
      <c r="OJX155" s="398"/>
      <c r="OJY155" s="398"/>
      <c r="OJZ155" s="398"/>
      <c r="OKA155" s="398"/>
      <c r="OKB155" s="398"/>
      <c r="OKC155" s="398"/>
      <c r="OKD155" s="398"/>
      <c r="OKE155" s="398"/>
      <c r="OKF155" s="398"/>
      <c r="OKG155" s="398"/>
      <c r="OKH155" s="398"/>
      <c r="OKI155" s="398"/>
      <c r="OKJ155" s="398"/>
      <c r="OKK155" s="398"/>
      <c r="OKL155" s="398"/>
      <c r="OKM155" s="398"/>
      <c r="OKN155" s="398"/>
      <c r="OKO155" s="398"/>
      <c r="OKP155" s="398"/>
      <c r="OKQ155" s="398"/>
      <c r="OKR155" s="398"/>
      <c r="OKS155" s="398"/>
      <c r="OKT155" s="398"/>
      <c r="OKU155" s="398"/>
      <c r="OKV155" s="398"/>
      <c r="OKW155" s="398"/>
      <c r="OKX155" s="398"/>
      <c r="OKY155" s="398"/>
      <c r="OKZ155" s="398"/>
      <c r="OLA155" s="398"/>
      <c r="OLB155" s="398"/>
      <c r="OLC155" s="398"/>
      <c r="OLD155" s="398"/>
      <c r="OLE155" s="398"/>
      <c r="OLF155" s="398"/>
      <c r="OLG155" s="398"/>
      <c r="OLH155" s="398"/>
      <c r="OLI155" s="398"/>
      <c r="OLJ155" s="398"/>
      <c r="OLK155" s="398"/>
      <c r="OLL155" s="398"/>
      <c r="OLM155" s="398"/>
      <c r="OLN155" s="398"/>
      <c r="OLO155" s="398"/>
      <c r="OLP155" s="398"/>
      <c r="OLQ155" s="398"/>
      <c r="OLR155" s="398"/>
      <c r="OLS155" s="398"/>
      <c r="OLT155" s="398"/>
      <c r="OLU155" s="398"/>
      <c r="OLV155" s="398"/>
      <c r="OLW155" s="398"/>
      <c r="OLX155" s="398"/>
      <c r="OLY155" s="398"/>
      <c r="OLZ155" s="398"/>
      <c r="OMA155" s="398"/>
      <c r="OMB155" s="398"/>
      <c r="OMC155" s="398"/>
      <c r="OMD155" s="398"/>
      <c r="OME155" s="398"/>
      <c r="OMF155" s="398"/>
      <c r="OMG155" s="398"/>
      <c r="OMH155" s="398"/>
      <c r="OMI155" s="398"/>
      <c r="OMJ155" s="398"/>
      <c r="OMK155" s="398"/>
      <c r="OML155" s="398"/>
      <c r="OMM155" s="398"/>
      <c r="OMN155" s="398"/>
      <c r="OMO155" s="398"/>
      <c r="OMP155" s="398"/>
      <c r="OMQ155" s="398"/>
      <c r="OMR155" s="398"/>
      <c r="OMS155" s="398"/>
      <c r="OMT155" s="398"/>
      <c r="OMU155" s="398"/>
      <c r="OMV155" s="398"/>
      <c r="OMW155" s="398"/>
      <c r="OMX155" s="398"/>
      <c r="OMY155" s="398"/>
      <c r="OMZ155" s="398"/>
      <c r="ONA155" s="398"/>
      <c r="ONB155" s="398"/>
      <c r="ONC155" s="398"/>
      <c r="OND155" s="398"/>
      <c r="ONE155" s="398"/>
      <c r="ONF155" s="398"/>
      <c r="ONG155" s="398"/>
      <c r="ONH155" s="398"/>
      <c r="ONI155" s="398"/>
      <c r="ONJ155" s="398"/>
      <c r="ONK155" s="398"/>
      <c r="ONL155" s="398"/>
      <c r="ONM155" s="398"/>
      <c r="ONN155" s="398"/>
      <c r="ONO155" s="398"/>
      <c r="ONP155" s="398"/>
      <c r="ONQ155" s="398"/>
      <c r="ONR155" s="398"/>
      <c r="ONS155" s="398"/>
      <c r="ONT155" s="398"/>
      <c r="ONU155" s="398"/>
      <c r="ONV155" s="398"/>
      <c r="ONW155" s="398"/>
      <c r="ONX155" s="398"/>
      <c r="ONY155" s="398"/>
      <c r="ONZ155" s="398"/>
      <c r="OOA155" s="398"/>
      <c r="OOB155" s="398"/>
      <c r="OOC155" s="398"/>
      <c r="OOD155" s="398"/>
      <c r="OOE155" s="398"/>
      <c r="OOF155" s="398"/>
      <c r="OOG155" s="398"/>
      <c r="OOH155" s="398"/>
      <c r="OOI155" s="398"/>
      <c r="OOJ155" s="398"/>
      <c r="OOK155" s="398"/>
      <c r="OOL155" s="398"/>
      <c r="OOM155" s="398"/>
      <c r="OON155" s="398"/>
      <c r="OOO155" s="398"/>
      <c r="OOP155" s="398"/>
      <c r="OOQ155" s="398"/>
      <c r="OOR155" s="398"/>
      <c r="OOS155" s="398"/>
      <c r="OOT155" s="398"/>
      <c r="OOU155" s="398"/>
      <c r="OOV155" s="398"/>
      <c r="OOW155" s="398"/>
      <c r="OOX155" s="398"/>
      <c r="OOY155" s="398"/>
      <c r="OOZ155" s="398"/>
      <c r="OPA155" s="398"/>
      <c r="OPB155" s="398"/>
      <c r="OPC155" s="398"/>
      <c r="OPD155" s="398"/>
      <c r="OPE155" s="398"/>
      <c r="OPF155" s="398"/>
      <c r="OPG155" s="398"/>
      <c r="OPH155" s="398"/>
      <c r="OPI155" s="398"/>
      <c r="OPJ155" s="398"/>
      <c r="OPK155" s="398"/>
      <c r="OPL155" s="398"/>
      <c r="OPM155" s="398"/>
      <c r="OPN155" s="398"/>
      <c r="OPO155" s="398"/>
      <c r="OPP155" s="398"/>
      <c r="OPQ155" s="398"/>
      <c r="OPR155" s="398"/>
      <c r="OPS155" s="398"/>
      <c r="OPT155" s="398"/>
      <c r="OPU155" s="398"/>
      <c r="OPV155" s="398"/>
      <c r="OPW155" s="398"/>
      <c r="OPX155" s="398"/>
      <c r="OPY155" s="398"/>
      <c r="OPZ155" s="398"/>
      <c r="OQA155" s="398"/>
      <c r="OQB155" s="398"/>
      <c r="OQC155" s="398"/>
      <c r="OQD155" s="398"/>
      <c r="OQE155" s="398"/>
      <c r="OQF155" s="398"/>
      <c r="OQG155" s="398"/>
      <c r="OQH155" s="398"/>
      <c r="OQI155" s="398"/>
      <c r="OQJ155" s="398"/>
      <c r="OQK155" s="398"/>
      <c r="OQL155" s="398"/>
      <c r="OQM155" s="398"/>
      <c r="OQN155" s="398"/>
      <c r="OQO155" s="398"/>
      <c r="OQP155" s="398"/>
      <c r="OQQ155" s="398"/>
      <c r="OQR155" s="398"/>
      <c r="OQS155" s="398"/>
      <c r="OQT155" s="398"/>
      <c r="OQU155" s="398"/>
      <c r="OQV155" s="398"/>
      <c r="OQW155" s="398"/>
      <c r="OQX155" s="398"/>
      <c r="OQY155" s="398"/>
      <c r="OQZ155" s="398"/>
      <c r="ORA155" s="398"/>
      <c r="ORB155" s="398"/>
      <c r="ORC155" s="398"/>
      <c r="ORD155" s="398"/>
      <c r="ORE155" s="398"/>
      <c r="ORF155" s="398"/>
      <c r="ORG155" s="398"/>
      <c r="ORH155" s="398"/>
      <c r="ORI155" s="398"/>
      <c r="ORJ155" s="398"/>
      <c r="ORK155" s="398"/>
      <c r="ORL155" s="398"/>
      <c r="ORM155" s="398"/>
      <c r="ORN155" s="398"/>
      <c r="ORO155" s="398"/>
      <c r="ORP155" s="398"/>
      <c r="ORQ155" s="398"/>
      <c r="ORR155" s="398"/>
      <c r="ORS155" s="398"/>
      <c r="ORT155" s="398"/>
      <c r="ORU155" s="398"/>
      <c r="ORV155" s="398"/>
      <c r="ORW155" s="398"/>
      <c r="ORX155" s="398"/>
      <c r="ORY155" s="398"/>
      <c r="ORZ155" s="398"/>
      <c r="OSA155" s="398"/>
      <c r="OSB155" s="398"/>
      <c r="OSC155" s="398"/>
      <c r="OSD155" s="398"/>
      <c r="OSE155" s="398"/>
      <c r="OSF155" s="398"/>
      <c r="OSG155" s="398"/>
      <c r="OSH155" s="398"/>
      <c r="OSI155" s="398"/>
      <c r="OSJ155" s="398"/>
      <c r="OSK155" s="398"/>
      <c r="OSL155" s="398"/>
      <c r="OSM155" s="398"/>
      <c r="OSN155" s="398"/>
      <c r="OSO155" s="398"/>
      <c r="OSP155" s="398"/>
      <c r="OSQ155" s="398"/>
      <c r="OSR155" s="398"/>
      <c r="OSS155" s="398"/>
      <c r="OST155" s="398"/>
      <c r="OSU155" s="398"/>
      <c r="OSV155" s="398"/>
      <c r="OSW155" s="398"/>
      <c r="OSX155" s="398"/>
      <c r="OSY155" s="398"/>
      <c r="OSZ155" s="398"/>
      <c r="OTA155" s="398"/>
      <c r="OTB155" s="398"/>
      <c r="OTC155" s="398"/>
      <c r="OTD155" s="398"/>
      <c r="OTE155" s="398"/>
      <c r="OTF155" s="398"/>
      <c r="OTG155" s="398"/>
      <c r="OTH155" s="398"/>
      <c r="OTI155" s="398"/>
      <c r="OTJ155" s="398"/>
      <c r="OTK155" s="398"/>
      <c r="OTL155" s="398"/>
      <c r="OTM155" s="398"/>
      <c r="OTN155" s="398"/>
      <c r="OTO155" s="398"/>
      <c r="OTP155" s="398"/>
      <c r="OTQ155" s="398"/>
      <c r="OTR155" s="398"/>
      <c r="OTS155" s="398"/>
      <c r="OTT155" s="398"/>
      <c r="OTU155" s="398"/>
      <c r="OTV155" s="398"/>
      <c r="OTW155" s="398"/>
      <c r="OTX155" s="398"/>
      <c r="OTY155" s="398"/>
      <c r="OTZ155" s="398"/>
      <c r="OUA155" s="398"/>
      <c r="OUB155" s="398"/>
      <c r="OUC155" s="398"/>
      <c r="OUD155" s="398"/>
      <c r="OUE155" s="398"/>
      <c r="OUF155" s="398"/>
      <c r="OUG155" s="398"/>
      <c r="OUH155" s="398"/>
      <c r="OUI155" s="398"/>
      <c r="OUJ155" s="398"/>
      <c r="OUK155" s="398"/>
      <c r="OUL155" s="398"/>
      <c r="OUM155" s="398"/>
      <c r="OUN155" s="398"/>
      <c r="OUO155" s="398"/>
      <c r="OUP155" s="398"/>
      <c r="OUQ155" s="398"/>
      <c r="OUR155" s="398"/>
      <c r="OUS155" s="398"/>
      <c r="OUT155" s="398"/>
      <c r="OUU155" s="398"/>
      <c r="OUV155" s="398"/>
      <c r="OUW155" s="398"/>
      <c r="OUX155" s="398"/>
      <c r="OUY155" s="398"/>
      <c r="OUZ155" s="398"/>
      <c r="OVA155" s="398"/>
      <c r="OVB155" s="398"/>
      <c r="OVC155" s="398"/>
      <c r="OVD155" s="398"/>
      <c r="OVE155" s="398"/>
      <c r="OVF155" s="398"/>
      <c r="OVG155" s="398"/>
      <c r="OVH155" s="398"/>
      <c r="OVI155" s="398"/>
      <c r="OVJ155" s="398"/>
      <c r="OVK155" s="398"/>
      <c r="OVL155" s="398"/>
      <c r="OVM155" s="398"/>
      <c r="OVN155" s="398"/>
      <c r="OVO155" s="398"/>
      <c r="OVP155" s="398"/>
      <c r="OVQ155" s="398"/>
      <c r="OVR155" s="398"/>
      <c r="OVS155" s="398"/>
      <c r="OVT155" s="398"/>
      <c r="OVU155" s="398"/>
      <c r="OVV155" s="398"/>
      <c r="OVW155" s="398"/>
      <c r="OVX155" s="398"/>
      <c r="OVY155" s="398"/>
      <c r="OVZ155" s="398"/>
      <c r="OWA155" s="398"/>
      <c r="OWB155" s="398"/>
      <c r="OWC155" s="398"/>
      <c r="OWD155" s="398"/>
      <c r="OWE155" s="398"/>
      <c r="OWF155" s="398"/>
      <c r="OWG155" s="398"/>
      <c r="OWH155" s="398"/>
      <c r="OWI155" s="398"/>
      <c r="OWJ155" s="398"/>
      <c r="OWK155" s="398"/>
      <c r="OWL155" s="398"/>
      <c r="OWM155" s="398"/>
      <c r="OWN155" s="398"/>
      <c r="OWO155" s="398"/>
      <c r="OWP155" s="398"/>
      <c r="OWQ155" s="398"/>
      <c r="OWR155" s="398"/>
      <c r="OWS155" s="398"/>
      <c r="OWT155" s="398"/>
      <c r="OWU155" s="398"/>
      <c r="OWV155" s="398"/>
      <c r="OWW155" s="398"/>
      <c r="OWX155" s="398"/>
      <c r="OWY155" s="398"/>
      <c r="OWZ155" s="398"/>
      <c r="OXA155" s="398"/>
      <c r="OXB155" s="398"/>
      <c r="OXC155" s="398"/>
      <c r="OXD155" s="398"/>
      <c r="OXE155" s="398"/>
      <c r="OXF155" s="398"/>
      <c r="OXG155" s="398"/>
      <c r="OXH155" s="398"/>
      <c r="OXI155" s="398"/>
      <c r="OXJ155" s="398"/>
      <c r="OXK155" s="398"/>
      <c r="OXL155" s="398"/>
      <c r="OXM155" s="398"/>
      <c r="OXN155" s="398"/>
      <c r="OXO155" s="398"/>
      <c r="OXP155" s="398"/>
      <c r="OXQ155" s="398"/>
      <c r="OXR155" s="398"/>
      <c r="OXS155" s="398"/>
      <c r="OXT155" s="398"/>
      <c r="OXU155" s="398"/>
      <c r="OXV155" s="398"/>
      <c r="OXW155" s="398"/>
      <c r="OXX155" s="398"/>
      <c r="OXY155" s="398"/>
      <c r="OXZ155" s="398"/>
      <c r="OYA155" s="398"/>
      <c r="OYB155" s="398"/>
      <c r="OYC155" s="398"/>
      <c r="OYD155" s="398"/>
      <c r="OYE155" s="398"/>
      <c r="OYF155" s="398"/>
      <c r="OYG155" s="398"/>
      <c r="OYH155" s="398"/>
      <c r="OYI155" s="398"/>
      <c r="OYJ155" s="398"/>
      <c r="OYK155" s="398"/>
      <c r="OYL155" s="398"/>
      <c r="OYM155" s="398"/>
      <c r="OYN155" s="398"/>
      <c r="OYO155" s="398"/>
      <c r="OYP155" s="398"/>
      <c r="OYQ155" s="398"/>
      <c r="OYR155" s="398"/>
      <c r="OYS155" s="398"/>
      <c r="OYT155" s="398"/>
      <c r="OYU155" s="398"/>
      <c r="OYV155" s="398"/>
      <c r="OYW155" s="398"/>
      <c r="OYX155" s="398"/>
      <c r="OYY155" s="398"/>
      <c r="OYZ155" s="398"/>
      <c r="OZA155" s="398"/>
      <c r="OZB155" s="398"/>
      <c r="OZC155" s="398"/>
      <c r="OZD155" s="398"/>
      <c r="OZE155" s="398"/>
      <c r="OZF155" s="398"/>
      <c r="OZG155" s="398"/>
      <c r="OZH155" s="398"/>
      <c r="OZI155" s="398"/>
      <c r="OZJ155" s="398"/>
      <c r="OZK155" s="398"/>
      <c r="OZL155" s="398"/>
      <c r="OZM155" s="398"/>
      <c r="OZN155" s="398"/>
      <c r="OZO155" s="398"/>
      <c r="OZP155" s="398"/>
      <c r="OZQ155" s="398"/>
      <c r="OZR155" s="398"/>
      <c r="OZS155" s="398"/>
      <c r="OZT155" s="398"/>
      <c r="OZU155" s="398"/>
      <c r="OZV155" s="398"/>
      <c r="OZW155" s="398"/>
      <c r="OZX155" s="398"/>
      <c r="OZY155" s="398"/>
      <c r="OZZ155" s="398"/>
      <c r="PAA155" s="398"/>
      <c r="PAB155" s="398"/>
      <c r="PAC155" s="398"/>
      <c r="PAD155" s="398"/>
      <c r="PAE155" s="398"/>
      <c r="PAF155" s="398"/>
      <c r="PAG155" s="398"/>
      <c r="PAH155" s="398"/>
      <c r="PAI155" s="398"/>
      <c r="PAJ155" s="398"/>
      <c r="PAK155" s="398"/>
      <c r="PAL155" s="398"/>
      <c r="PAM155" s="398"/>
      <c r="PAN155" s="398"/>
      <c r="PAO155" s="398"/>
      <c r="PAP155" s="398"/>
      <c r="PAQ155" s="398"/>
      <c r="PAR155" s="398"/>
      <c r="PAS155" s="398"/>
      <c r="PAT155" s="398"/>
      <c r="PAU155" s="398"/>
      <c r="PAV155" s="398"/>
      <c r="PAW155" s="398"/>
      <c r="PAX155" s="398"/>
      <c r="PAY155" s="398"/>
      <c r="PAZ155" s="398"/>
      <c r="PBA155" s="398"/>
      <c r="PBB155" s="398"/>
      <c r="PBC155" s="398"/>
      <c r="PBD155" s="398"/>
      <c r="PBE155" s="398"/>
      <c r="PBF155" s="398"/>
      <c r="PBG155" s="398"/>
      <c r="PBH155" s="398"/>
      <c r="PBI155" s="398"/>
      <c r="PBJ155" s="398"/>
      <c r="PBK155" s="398"/>
      <c r="PBL155" s="398"/>
      <c r="PBM155" s="398"/>
      <c r="PBN155" s="398"/>
      <c r="PBO155" s="398"/>
      <c r="PBP155" s="398"/>
      <c r="PBQ155" s="398"/>
      <c r="PBR155" s="398"/>
      <c r="PBS155" s="398"/>
      <c r="PBT155" s="398"/>
      <c r="PBU155" s="398"/>
      <c r="PBV155" s="398"/>
      <c r="PBW155" s="398"/>
      <c r="PBX155" s="398"/>
      <c r="PBY155" s="398"/>
      <c r="PBZ155" s="398"/>
      <c r="PCA155" s="398"/>
      <c r="PCB155" s="398"/>
      <c r="PCC155" s="398"/>
      <c r="PCD155" s="398"/>
      <c r="PCE155" s="398"/>
      <c r="PCF155" s="398"/>
      <c r="PCG155" s="398"/>
      <c r="PCH155" s="398"/>
      <c r="PCI155" s="398"/>
      <c r="PCJ155" s="398"/>
      <c r="PCK155" s="398"/>
      <c r="PCL155" s="398"/>
      <c r="PCM155" s="398"/>
      <c r="PCN155" s="398"/>
      <c r="PCO155" s="398"/>
      <c r="PCP155" s="398"/>
      <c r="PCQ155" s="398"/>
      <c r="PCR155" s="398"/>
      <c r="PCS155" s="398"/>
      <c r="PCT155" s="398"/>
      <c r="PCU155" s="398"/>
      <c r="PCV155" s="398"/>
      <c r="PCW155" s="398"/>
      <c r="PCX155" s="398"/>
      <c r="PCY155" s="398"/>
      <c r="PCZ155" s="398"/>
      <c r="PDA155" s="398"/>
      <c r="PDB155" s="398"/>
      <c r="PDC155" s="398"/>
      <c r="PDD155" s="398"/>
      <c r="PDE155" s="398"/>
      <c r="PDF155" s="398"/>
      <c r="PDG155" s="398"/>
      <c r="PDH155" s="398"/>
      <c r="PDI155" s="398"/>
      <c r="PDJ155" s="398"/>
      <c r="PDK155" s="398"/>
      <c r="PDL155" s="398"/>
      <c r="PDM155" s="398"/>
      <c r="PDN155" s="398"/>
      <c r="PDO155" s="398"/>
      <c r="PDP155" s="398"/>
      <c r="PDQ155" s="398"/>
      <c r="PDR155" s="398"/>
      <c r="PDS155" s="398"/>
      <c r="PDT155" s="398"/>
      <c r="PDU155" s="398"/>
      <c r="PDV155" s="398"/>
      <c r="PDW155" s="398"/>
      <c r="PDX155" s="398"/>
      <c r="PDY155" s="398"/>
      <c r="PDZ155" s="398"/>
      <c r="PEA155" s="398"/>
      <c r="PEB155" s="398"/>
      <c r="PEC155" s="398"/>
      <c r="PED155" s="398"/>
      <c r="PEE155" s="398"/>
      <c r="PEF155" s="398"/>
      <c r="PEG155" s="398"/>
      <c r="PEH155" s="398"/>
      <c r="PEI155" s="398"/>
      <c r="PEJ155" s="398"/>
      <c r="PEK155" s="398"/>
      <c r="PEL155" s="398"/>
      <c r="PEM155" s="398"/>
      <c r="PEN155" s="398"/>
      <c r="PEO155" s="398"/>
      <c r="PEP155" s="398"/>
      <c r="PEQ155" s="398"/>
      <c r="PER155" s="398"/>
      <c r="PES155" s="398"/>
      <c r="PET155" s="398"/>
      <c r="PEU155" s="398"/>
      <c r="PEV155" s="398"/>
      <c r="PEW155" s="398"/>
      <c r="PEX155" s="398"/>
      <c r="PEY155" s="398"/>
      <c r="PEZ155" s="398"/>
      <c r="PFA155" s="398"/>
      <c r="PFB155" s="398"/>
      <c r="PFC155" s="398"/>
      <c r="PFD155" s="398"/>
      <c r="PFE155" s="398"/>
      <c r="PFF155" s="398"/>
      <c r="PFG155" s="398"/>
      <c r="PFH155" s="398"/>
      <c r="PFI155" s="398"/>
      <c r="PFJ155" s="398"/>
      <c r="PFK155" s="398"/>
      <c r="PFL155" s="398"/>
      <c r="PFM155" s="398"/>
      <c r="PFN155" s="398"/>
      <c r="PFO155" s="398"/>
      <c r="PFP155" s="398"/>
      <c r="PFQ155" s="398"/>
      <c r="PFR155" s="398"/>
      <c r="PFS155" s="398"/>
      <c r="PFT155" s="398"/>
      <c r="PFU155" s="398"/>
      <c r="PFV155" s="398"/>
      <c r="PFW155" s="398"/>
      <c r="PFX155" s="398"/>
      <c r="PFY155" s="398"/>
      <c r="PFZ155" s="398"/>
      <c r="PGA155" s="398"/>
      <c r="PGB155" s="398"/>
      <c r="PGC155" s="398"/>
      <c r="PGD155" s="398"/>
      <c r="PGE155" s="398"/>
      <c r="PGF155" s="398"/>
      <c r="PGG155" s="398"/>
      <c r="PGH155" s="398"/>
      <c r="PGI155" s="398"/>
      <c r="PGJ155" s="398"/>
      <c r="PGK155" s="398"/>
      <c r="PGL155" s="398"/>
      <c r="PGM155" s="398"/>
      <c r="PGN155" s="398"/>
      <c r="PGO155" s="398"/>
      <c r="PGP155" s="398"/>
      <c r="PGQ155" s="398"/>
      <c r="PGR155" s="398"/>
      <c r="PGS155" s="398"/>
      <c r="PGT155" s="398"/>
      <c r="PGU155" s="398"/>
      <c r="PGV155" s="398"/>
      <c r="PGW155" s="398"/>
      <c r="PGX155" s="398"/>
      <c r="PGY155" s="398"/>
      <c r="PGZ155" s="398"/>
      <c r="PHA155" s="398"/>
      <c r="PHB155" s="398"/>
      <c r="PHC155" s="398"/>
      <c r="PHD155" s="398"/>
      <c r="PHE155" s="398"/>
      <c r="PHF155" s="398"/>
      <c r="PHG155" s="398"/>
      <c r="PHH155" s="398"/>
      <c r="PHI155" s="398"/>
      <c r="PHJ155" s="398"/>
      <c r="PHK155" s="398"/>
      <c r="PHL155" s="398"/>
      <c r="PHM155" s="398"/>
      <c r="PHN155" s="398"/>
      <c r="PHO155" s="398"/>
      <c r="PHP155" s="398"/>
      <c r="PHQ155" s="398"/>
      <c r="PHR155" s="398"/>
      <c r="PHS155" s="398"/>
      <c r="PHT155" s="398"/>
      <c r="PHU155" s="398"/>
      <c r="PHV155" s="398"/>
      <c r="PHW155" s="398"/>
      <c r="PHX155" s="398"/>
      <c r="PHY155" s="398"/>
      <c r="PHZ155" s="398"/>
      <c r="PIA155" s="398"/>
      <c r="PIB155" s="398"/>
      <c r="PIC155" s="398"/>
      <c r="PID155" s="398"/>
      <c r="PIE155" s="398"/>
      <c r="PIF155" s="398"/>
      <c r="PIG155" s="398"/>
      <c r="PIH155" s="398"/>
      <c r="PII155" s="398"/>
      <c r="PIJ155" s="398"/>
      <c r="PIK155" s="398"/>
      <c r="PIL155" s="398"/>
      <c r="PIM155" s="398"/>
      <c r="PIN155" s="398"/>
      <c r="PIO155" s="398"/>
      <c r="PIP155" s="398"/>
      <c r="PIQ155" s="398"/>
      <c r="PIR155" s="398"/>
      <c r="PIS155" s="398"/>
      <c r="PIT155" s="398"/>
      <c r="PIU155" s="398"/>
      <c r="PIV155" s="398"/>
      <c r="PIW155" s="398"/>
      <c r="PIX155" s="398"/>
      <c r="PIY155" s="398"/>
      <c r="PIZ155" s="398"/>
      <c r="PJA155" s="398"/>
      <c r="PJB155" s="398"/>
      <c r="PJC155" s="398"/>
      <c r="PJD155" s="398"/>
      <c r="PJE155" s="398"/>
      <c r="PJF155" s="398"/>
      <c r="PJG155" s="398"/>
      <c r="PJH155" s="398"/>
      <c r="PJI155" s="398"/>
      <c r="PJJ155" s="398"/>
      <c r="PJK155" s="398"/>
      <c r="PJL155" s="398"/>
      <c r="PJM155" s="398"/>
      <c r="PJN155" s="398"/>
      <c r="PJO155" s="398"/>
      <c r="PJP155" s="398"/>
      <c r="PJQ155" s="398"/>
      <c r="PJR155" s="398"/>
      <c r="PJS155" s="398"/>
      <c r="PJT155" s="398"/>
      <c r="PJU155" s="398"/>
      <c r="PJV155" s="398"/>
      <c r="PJW155" s="398"/>
      <c r="PJX155" s="398"/>
      <c r="PJY155" s="398"/>
      <c r="PJZ155" s="398"/>
      <c r="PKA155" s="398"/>
      <c r="PKB155" s="398"/>
      <c r="PKC155" s="398"/>
      <c r="PKD155" s="398"/>
      <c r="PKE155" s="398"/>
      <c r="PKF155" s="398"/>
      <c r="PKG155" s="398"/>
      <c r="PKH155" s="398"/>
      <c r="PKI155" s="398"/>
      <c r="PKJ155" s="398"/>
      <c r="PKK155" s="398"/>
      <c r="PKL155" s="398"/>
      <c r="PKM155" s="398"/>
      <c r="PKN155" s="398"/>
      <c r="PKO155" s="398"/>
      <c r="PKP155" s="398"/>
      <c r="PKQ155" s="398"/>
      <c r="PKR155" s="398"/>
      <c r="PKS155" s="398"/>
      <c r="PKT155" s="398"/>
      <c r="PKU155" s="398"/>
      <c r="PKV155" s="398"/>
      <c r="PKW155" s="398"/>
      <c r="PKX155" s="398"/>
      <c r="PKY155" s="398"/>
      <c r="PKZ155" s="398"/>
      <c r="PLA155" s="398"/>
      <c r="PLB155" s="398"/>
      <c r="PLC155" s="398"/>
      <c r="PLD155" s="398"/>
      <c r="PLE155" s="398"/>
      <c r="PLF155" s="398"/>
      <c r="PLG155" s="398"/>
      <c r="PLH155" s="398"/>
      <c r="PLI155" s="398"/>
      <c r="PLJ155" s="398"/>
      <c r="PLK155" s="398"/>
      <c r="PLL155" s="398"/>
      <c r="PLM155" s="398"/>
      <c r="PLN155" s="398"/>
      <c r="PLO155" s="398"/>
      <c r="PLP155" s="398"/>
      <c r="PLQ155" s="398"/>
      <c r="PLR155" s="398"/>
      <c r="PLS155" s="398"/>
      <c r="PLT155" s="398"/>
      <c r="PLU155" s="398"/>
      <c r="PLV155" s="398"/>
      <c r="PLW155" s="398"/>
      <c r="PLX155" s="398"/>
      <c r="PLY155" s="398"/>
      <c r="PLZ155" s="398"/>
      <c r="PMA155" s="398"/>
      <c r="PMB155" s="398"/>
      <c r="PMC155" s="398"/>
      <c r="PMD155" s="398"/>
      <c r="PME155" s="398"/>
      <c r="PMF155" s="398"/>
      <c r="PMG155" s="398"/>
      <c r="PMH155" s="398"/>
      <c r="PMI155" s="398"/>
      <c r="PMJ155" s="398"/>
      <c r="PMK155" s="398"/>
      <c r="PML155" s="398"/>
      <c r="PMM155" s="398"/>
      <c r="PMN155" s="398"/>
      <c r="PMO155" s="398"/>
      <c r="PMP155" s="398"/>
      <c r="PMQ155" s="398"/>
      <c r="PMR155" s="398"/>
      <c r="PMS155" s="398"/>
      <c r="PMT155" s="398"/>
      <c r="PMU155" s="398"/>
      <c r="PMV155" s="398"/>
      <c r="PMW155" s="398"/>
      <c r="PMX155" s="398"/>
      <c r="PMY155" s="398"/>
      <c r="PMZ155" s="398"/>
      <c r="PNA155" s="398"/>
      <c r="PNB155" s="398"/>
      <c r="PNC155" s="398"/>
      <c r="PND155" s="398"/>
      <c r="PNE155" s="398"/>
      <c r="PNF155" s="398"/>
      <c r="PNG155" s="398"/>
      <c r="PNH155" s="398"/>
      <c r="PNI155" s="398"/>
      <c r="PNJ155" s="398"/>
      <c r="PNK155" s="398"/>
      <c r="PNL155" s="398"/>
      <c r="PNM155" s="398"/>
      <c r="PNN155" s="398"/>
      <c r="PNO155" s="398"/>
      <c r="PNP155" s="398"/>
      <c r="PNQ155" s="398"/>
      <c r="PNR155" s="398"/>
      <c r="PNS155" s="398"/>
      <c r="PNT155" s="398"/>
      <c r="PNU155" s="398"/>
      <c r="PNV155" s="398"/>
      <c r="PNW155" s="398"/>
      <c r="PNX155" s="398"/>
      <c r="PNY155" s="398"/>
      <c r="PNZ155" s="398"/>
      <c r="POA155" s="398"/>
      <c r="POB155" s="398"/>
      <c r="POC155" s="398"/>
      <c r="POD155" s="398"/>
      <c r="POE155" s="398"/>
      <c r="POF155" s="398"/>
      <c r="POG155" s="398"/>
      <c r="POH155" s="398"/>
      <c r="POI155" s="398"/>
      <c r="POJ155" s="398"/>
      <c r="POK155" s="398"/>
      <c r="POL155" s="398"/>
      <c r="POM155" s="398"/>
      <c r="PON155" s="398"/>
      <c r="POO155" s="398"/>
      <c r="POP155" s="398"/>
      <c r="POQ155" s="398"/>
      <c r="POR155" s="398"/>
      <c r="POS155" s="398"/>
      <c r="POT155" s="398"/>
      <c r="POU155" s="398"/>
      <c r="POV155" s="398"/>
      <c r="POW155" s="398"/>
      <c r="POX155" s="398"/>
      <c r="POY155" s="398"/>
      <c r="POZ155" s="398"/>
      <c r="PPA155" s="398"/>
      <c r="PPB155" s="398"/>
      <c r="PPC155" s="398"/>
      <c r="PPD155" s="398"/>
      <c r="PPE155" s="398"/>
      <c r="PPF155" s="398"/>
      <c r="PPG155" s="398"/>
      <c r="PPH155" s="398"/>
      <c r="PPI155" s="398"/>
      <c r="PPJ155" s="398"/>
      <c r="PPK155" s="398"/>
      <c r="PPL155" s="398"/>
      <c r="PPM155" s="398"/>
      <c r="PPN155" s="398"/>
      <c r="PPO155" s="398"/>
      <c r="PPP155" s="398"/>
      <c r="PPQ155" s="398"/>
      <c r="PPR155" s="398"/>
      <c r="PPS155" s="398"/>
      <c r="PPT155" s="398"/>
      <c r="PPU155" s="398"/>
      <c r="PPV155" s="398"/>
      <c r="PPW155" s="398"/>
      <c r="PPX155" s="398"/>
      <c r="PPY155" s="398"/>
      <c r="PPZ155" s="398"/>
      <c r="PQA155" s="398"/>
      <c r="PQB155" s="398"/>
      <c r="PQC155" s="398"/>
      <c r="PQD155" s="398"/>
      <c r="PQE155" s="398"/>
      <c r="PQF155" s="398"/>
      <c r="PQG155" s="398"/>
      <c r="PQH155" s="398"/>
      <c r="PQI155" s="398"/>
      <c r="PQJ155" s="398"/>
      <c r="PQK155" s="398"/>
      <c r="PQL155" s="398"/>
      <c r="PQM155" s="398"/>
      <c r="PQN155" s="398"/>
      <c r="PQO155" s="398"/>
      <c r="PQP155" s="398"/>
      <c r="PQQ155" s="398"/>
      <c r="PQR155" s="398"/>
      <c r="PQS155" s="398"/>
      <c r="PQT155" s="398"/>
      <c r="PQU155" s="398"/>
      <c r="PQV155" s="398"/>
      <c r="PQW155" s="398"/>
      <c r="PQX155" s="398"/>
      <c r="PQY155" s="398"/>
      <c r="PQZ155" s="398"/>
      <c r="PRA155" s="398"/>
      <c r="PRB155" s="398"/>
      <c r="PRC155" s="398"/>
      <c r="PRD155" s="398"/>
      <c r="PRE155" s="398"/>
      <c r="PRF155" s="398"/>
      <c r="PRG155" s="398"/>
      <c r="PRH155" s="398"/>
      <c r="PRI155" s="398"/>
      <c r="PRJ155" s="398"/>
      <c r="PRK155" s="398"/>
      <c r="PRL155" s="398"/>
      <c r="PRM155" s="398"/>
      <c r="PRN155" s="398"/>
      <c r="PRO155" s="398"/>
      <c r="PRP155" s="398"/>
      <c r="PRQ155" s="398"/>
      <c r="PRR155" s="398"/>
      <c r="PRS155" s="398"/>
      <c r="PRT155" s="398"/>
      <c r="PRU155" s="398"/>
      <c r="PRV155" s="398"/>
      <c r="PRW155" s="398"/>
      <c r="PRX155" s="398"/>
      <c r="PRY155" s="398"/>
      <c r="PRZ155" s="398"/>
      <c r="PSA155" s="398"/>
      <c r="PSB155" s="398"/>
      <c r="PSC155" s="398"/>
      <c r="PSD155" s="398"/>
      <c r="PSE155" s="398"/>
      <c r="PSF155" s="398"/>
      <c r="PSG155" s="398"/>
      <c r="PSH155" s="398"/>
      <c r="PSI155" s="398"/>
      <c r="PSJ155" s="398"/>
      <c r="PSK155" s="398"/>
      <c r="PSL155" s="398"/>
      <c r="PSM155" s="398"/>
      <c r="PSN155" s="398"/>
      <c r="PSO155" s="398"/>
      <c r="PSP155" s="398"/>
      <c r="PSQ155" s="398"/>
      <c r="PSR155" s="398"/>
      <c r="PSS155" s="398"/>
      <c r="PST155" s="398"/>
      <c r="PSU155" s="398"/>
      <c r="PSV155" s="398"/>
      <c r="PSW155" s="398"/>
      <c r="PSX155" s="398"/>
      <c r="PSY155" s="398"/>
      <c r="PSZ155" s="398"/>
      <c r="PTA155" s="398"/>
      <c r="PTB155" s="398"/>
      <c r="PTC155" s="398"/>
      <c r="PTD155" s="398"/>
      <c r="PTE155" s="398"/>
      <c r="PTF155" s="398"/>
      <c r="PTG155" s="398"/>
      <c r="PTH155" s="398"/>
      <c r="PTI155" s="398"/>
      <c r="PTJ155" s="398"/>
      <c r="PTK155" s="398"/>
      <c r="PTL155" s="398"/>
      <c r="PTM155" s="398"/>
      <c r="PTN155" s="398"/>
      <c r="PTO155" s="398"/>
      <c r="PTP155" s="398"/>
      <c r="PTQ155" s="398"/>
      <c r="PTR155" s="398"/>
      <c r="PTS155" s="398"/>
      <c r="PTT155" s="398"/>
      <c r="PTU155" s="398"/>
      <c r="PTV155" s="398"/>
      <c r="PTW155" s="398"/>
      <c r="PTX155" s="398"/>
      <c r="PTY155" s="398"/>
      <c r="PTZ155" s="398"/>
      <c r="PUA155" s="398"/>
      <c r="PUB155" s="398"/>
      <c r="PUC155" s="398"/>
      <c r="PUD155" s="398"/>
      <c r="PUE155" s="398"/>
      <c r="PUF155" s="398"/>
      <c r="PUG155" s="398"/>
      <c r="PUH155" s="398"/>
      <c r="PUI155" s="398"/>
      <c r="PUJ155" s="398"/>
      <c r="PUK155" s="398"/>
      <c r="PUL155" s="398"/>
      <c r="PUM155" s="398"/>
      <c r="PUN155" s="398"/>
      <c r="PUO155" s="398"/>
      <c r="PUP155" s="398"/>
      <c r="PUQ155" s="398"/>
      <c r="PUR155" s="398"/>
      <c r="PUS155" s="398"/>
      <c r="PUT155" s="398"/>
      <c r="PUU155" s="398"/>
      <c r="PUV155" s="398"/>
      <c r="PUW155" s="398"/>
      <c r="PUX155" s="398"/>
      <c r="PUY155" s="398"/>
      <c r="PUZ155" s="398"/>
      <c r="PVA155" s="398"/>
      <c r="PVB155" s="398"/>
      <c r="PVC155" s="398"/>
      <c r="PVD155" s="398"/>
      <c r="PVE155" s="398"/>
      <c r="PVF155" s="398"/>
      <c r="PVG155" s="398"/>
      <c r="PVH155" s="398"/>
      <c r="PVI155" s="398"/>
      <c r="PVJ155" s="398"/>
      <c r="PVK155" s="398"/>
      <c r="PVL155" s="398"/>
      <c r="PVM155" s="398"/>
      <c r="PVN155" s="398"/>
      <c r="PVO155" s="398"/>
      <c r="PVP155" s="398"/>
      <c r="PVQ155" s="398"/>
      <c r="PVR155" s="398"/>
      <c r="PVS155" s="398"/>
      <c r="PVT155" s="398"/>
      <c r="PVU155" s="398"/>
      <c r="PVV155" s="398"/>
      <c r="PVW155" s="398"/>
      <c r="PVX155" s="398"/>
      <c r="PVY155" s="398"/>
      <c r="PVZ155" s="398"/>
      <c r="PWA155" s="398"/>
      <c r="PWB155" s="398"/>
      <c r="PWC155" s="398"/>
      <c r="PWD155" s="398"/>
      <c r="PWE155" s="398"/>
      <c r="PWF155" s="398"/>
      <c r="PWG155" s="398"/>
      <c r="PWH155" s="398"/>
      <c r="PWI155" s="398"/>
      <c r="PWJ155" s="398"/>
      <c r="PWK155" s="398"/>
      <c r="PWL155" s="398"/>
      <c r="PWM155" s="398"/>
      <c r="PWN155" s="398"/>
      <c r="PWO155" s="398"/>
      <c r="PWP155" s="398"/>
      <c r="PWQ155" s="398"/>
      <c r="PWR155" s="398"/>
      <c r="PWS155" s="398"/>
      <c r="PWT155" s="398"/>
      <c r="PWU155" s="398"/>
      <c r="PWV155" s="398"/>
      <c r="PWW155" s="398"/>
      <c r="PWX155" s="398"/>
      <c r="PWY155" s="398"/>
      <c r="PWZ155" s="398"/>
      <c r="PXA155" s="398"/>
      <c r="PXB155" s="398"/>
      <c r="PXC155" s="398"/>
      <c r="PXD155" s="398"/>
      <c r="PXE155" s="398"/>
      <c r="PXF155" s="398"/>
      <c r="PXG155" s="398"/>
      <c r="PXH155" s="398"/>
      <c r="PXI155" s="398"/>
      <c r="PXJ155" s="398"/>
      <c r="PXK155" s="398"/>
      <c r="PXL155" s="398"/>
      <c r="PXM155" s="398"/>
      <c r="PXN155" s="398"/>
      <c r="PXO155" s="398"/>
      <c r="PXP155" s="398"/>
      <c r="PXQ155" s="398"/>
      <c r="PXR155" s="398"/>
      <c r="PXS155" s="398"/>
      <c r="PXT155" s="398"/>
      <c r="PXU155" s="398"/>
      <c r="PXV155" s="398"/>
      <c r="PXW155" s="398"/>
      <c r="PXX155" s="398"/>
      <c r="PXY155" s="398"/>
      <c r="PXZ155" s="398"/>
      <c r="PYA155" s="398"/>
      <c r="PYB155" s="398"/>
      <c r="PYC155" s="398"/>
      <c r="PYD155" s="398"/>
      <c r="PYE155" s="398"/>
      <c r="PYF155" s="398"/>
      <c r="PYG155" s="398"/>
      <c r="PYH155" s="398"/>
      <c r="PYI155" s="398"/>
      <c r="PYJ155" s="398"/>
      <c r="PYK155" s="398"/>
      <c r="PYL155" s="398"/>
      <c r="PYM155" s="398"/>
      <c r="PYN155" s="398"/>
      <c r="PYO155" s="398"/>
      <c r="PYP155" s="398"/>
      <c r="PYQ155" s="398"/>
      <c r="PYR155" s="398"/>
      <c r="PYS155" s="398"/>
      <c r="PYT155" s="398"/>
      <c r="PYU155" s="398"/>
      <c r="PYV155" s="398"/>
      <c r="PYW155" s="398"/>
      <c r="PYX155" s="398"/>
      <c r="PYY155" s="398"/>
      <c r="PYZ155" s="398"/>
      <c r="PZA155" s="398"/>
      <c r="PZB155" s="398"/>
      <c r="PZC155" s="398"/>
      <c r="PZD155" s="398"/>
      <c r="PZE155" s="398"/>
      <c r="PZF155" s="398"/>
      <c r="PZG155" s="398"/>
      <c r="PZH155" s="398"/>
      <c r="PZI155" s="398"/>
      <c r="PZJ155" s="398"/>
      <c r="PZK155" s="398"/>
      <c r="PZL155" s="398"/>
      <c r="PZM155" s="398"/>
      <c r="PZN155" s="398"/>
      <c r="PZO155" s="398"/>
      <c r="PZP155" s="398"/>
      <c r="PZQ155" s="398"/>
      <c r="PZR155" s="398"/>
      <c r="PZS155" s="398"/>
      <c r="PZT155" s="398"/>
      <c r="PZU155" s="398"/>
      <c r="PZV155" s="398"/>
      <c r="PZW155" s="398"/>
      <c r="PZX155" s="398"/>
      <c r="PZY155" s="398"/>
      <c r="PZZ155" s="398"/>
      <c r="QAA155" s="398"/>
      <c r="QAB155" s="398"/>
      <c r="QAC155" s="398"/>
      <c r="QAD155" s="398"/>
      <c r="QAE155" s="398"/>
      <c r="QAF155" s="398"/>
      <c r="QAG155" s="398"/>
      <c r="QAH155" s="398"/>
      <c r="QAI155" s="398"/>
      <c r="QAJ155" s="398"/>
      <c r="QAK155" s="398"/>
      <c r="QAL155" s="398"/>
      <c r="QAM155" s="398"/>
      <c r="QAN155" s="398"/>
      <c r="QAO155" s="398"/>
      <c r="QAP155" s="398"/>
      <c r="QAQ155" s="398"/>
      <c r="QAR155" s="398"/>
      <c r="QAS155" s="398"/>
      <c r="QAT155" s="398"/>
      <c r="QAU155" s="398"/>
      <c r="QAV155" s="398"/>
      <c r="QAW155" s="398"/>
      <c r="QAX155" s="398"/>
      <c r="QAY155" s="398"/>
      <c r="QAZ155" s="398"/>
      <c r="QBA155" s="398"/>
      <c r="QBB155" s="398"/>
      <c r="QBC155" s="398"/>
      <c r="QBD155" s="398"/>
      <c r="QBE155" s="398"/>
      <c r="QBF155" s="398"/>
      <c r="QBG155" s="398"/>
      <c r="QBH155" s="398"/>
      <c r="QBI155" s="398"/>
      <c r="QBJ155" s="398"/>
      <c r="QBK155" s="398"/>
      <c r="QBL155" s="398"/>
      <c r="QBM155" s="398"/>
      <c r="QBN155" s="398"/>
      <c r="QBO155" s="398"/>
      <c r="QBP155" s="398"/>
      <c r="QBQ155" s="398"/>
      <c r="QBR155" s="398"/>
      <c r="QBS155" s="398"/>
      <c r="QBT155" s="398"/>
      <c r="QBU155" s="398"/>
      <c r="QBV155" s="398"/>
      <c r="QBW155" s="398"/>
      <c r="QBX155" s="398"/>
      <c r="QBY155" s="398"/>
      <c r="QBZ155" s="398"/>
      <c r="QCA155" s="398"/>
      <c r="QCB155" s="398"/>
      <c r="QCC155" s="398"/>
      <c r="QCD155" s="398"/>
      <c r="QCE155" s="398"/>
      <c r="QCF155" s="398"/>
      <c r="QCG155" s="398"/>
      <c r="QCH155" s="398"/>
      <c r="QCI155" s="398"/>
      <c r="QCJ155" s="398"/>
      <c r="QCK155" s="398"/>
      <c r="QCL155" s="398"/>
      <c r="QCM155" s="398"/>
      <c r="QCN155" s="398"/>
      <c r="QCO155" s="398"/>
      <c r="QCP155" s="398"/>
      <c r="QCQ155" s="398"/>
      <c r="QCR155" s="398"/>
      <c r="QCS155" s="398"/>
      <c r="QCT155" s="398"/>
      <c r="QCU155" s="398"/>
      <c r="QCV155" s="398"/>
      <c r="QCW155" s="398"/>
      <c r="QCX155" s="398"/>
      <c r="QCY155" s="398"/>
      <c r="QCZ155" s="398"/>
      <c r="QDA155" s="398"/>
      <c r="QDB155" s="398"/>
      <c r="QDC155" s="398"/>
      <c r="QDD155" s="398"/>
      <c r="QDE155" s="398"/>
      <c r="QDF155" s="398"/>
      <c r="QDG155" s="398"/>
      <c r="QDH155" s="398"/>
      <c r="QDI155" s="398"/>
      <c r="QDJ155" s="398"/>
      <c r="QDK155" s="398"/>
      <c r="QDL155" s="398"/>
      <c r="QDM155" s="398"/>
      <c r="QDN155" s="398"/>
      <c r="QDO155" s="398"/>
      <c r="QDP155" s="398"/>
      <c r="QDQ155" s="398"/>
      <c r="QDR155" s="398"/>
      <c r="QDS155" s="398"/>
      <c r="QDT155" s="398"/>
      <c r="QDU155" s="398"/>
      <c r="QDV155" s="398"/>
      <c r="QDW155" s="398"/>
      <c r="QDX155" s="398"/>
      <c r="QDY155" s="398"/>
      <c r="QDZ155" s="398"/>
      <c r="QEA155" s="398"/>
      <c r="QEB155" s="398"/>
      <c r="QEC155" s="398"/>
      <c r="QED155" s="398"/>
      <c r="QEE155" s="398"/>
      <c r="QEF155" s="398"/>
      <c r="QEG155" s="398"/>
      <c r="QEH155" s="398"/>
      <c r="QEI155" s="398"/>
      <c r="QEJ155" s="398"/>
      <c r="QEK155" s="398"/>
      <c r="QEL155" s="398"/>
      <c r="QEM155" s="398"/>
      <c r="QEN155" s="398"/>
      <c r="QEO155" s="398"/>
      <c r="QEP155" s="398"/>
      <c r="QEQ155" s="398"/>
      <c r="QER155" s="398"/>
      <c r="QES155" s="398"/>
      <c r="QET155" s="398"/>
      <c r="QEU155" s="398"/>
      <c r="QEV155" s="398"/>
      <c r="QEW155" s="398"/>
      <c r="QEX155" s="398"/>
      <c r="QEY155" s="398"/>
      <c r="QEZ155" s="398"/>
      <c r="QFA155" s="398"/>
      <c r="QFB155" s="398"/>
      <c r="QFC155" s="398"/>
      <c r="QFD155" s="398"/>
      <c r="QFE155" s="398"/>
      <c r="QFF155" s="398"/>
      <c r="QFG155" s="398"/>
      <c r="QFH155" s="398"/>
      <c r="QFI155" s="398"/>
      <c r="QFJ155" s="398"/>
      <c r="QFK155" s="398"/>
      <c r="QFL155" s="398"/>
      <c r="QFM155" s="398"/>
      <c r="QFN155" s="398"/>
      <c r="QFO155" s="398"/>
      <c r="QFP155" s="398"/>
      <c r="QFQ155" s="398"/>
      <c r="QFR155" s="398"/>
      <c r="QFS155" s="398"/>
      <c r="QFT155" s="398"/>
      <c r="QFU155" s="398"/>
      <c r="QFV155" s="398"/>
      <c r="QFW155" s="398"/>
      <c r="QFX155" s="398"/>
      <c r="QFY155" s="398"/>
      <c r="QFZ155" s="398"/>
      <c r="QGA155" s="398"/>
      <c r="QGB155" s="398"/>
      <c r="QGC155" s="398"/>
      <c r="QGD155" s="398"/>
      <c r="QGE155" s="398"/>
      <c r="QGF155" s="398"/>
      <c r="QGG155" s="398"/>
      <c r="QGH155" s="398"/>
      <c r="QGI155" s="398"/>
      <c r="QGJ155" s="398"/>
      <c r="QGK155" s="398"/>
      <c r="QGL155" s="398"/>
      <c r="QGM155" s="398"/>
      <c r="QGN155" s="398"/>
      <c r="QGO155" s="398"/>
      <c r="QGP155" s="398"/>
      <c r="QGQ155" s="398"/>
      <c r="QGR155" s="398"/>
      <c r="QGS155" s="398"/>
      <c r="QGT155" s="398"/>
      <c r="QGU155" s="398"/>
      <c r="QGV155" s="398"/>
      <c r="QGW155" s="398"/>
      <c r="QGX155" s="398"/>
      <c r="QGY155" s="398"/>
      <c r="QGZ155" s="398"/>
      <c r="QHA155" s="398"/>
      <c r="QHB155" s="398"/>
      <c r="QHC155" s="398"/>
      <c r="QHD155" s="398"/>
      <c r="QHE155" s="398"/>
      <c r="QHF155" s="398"/>
      <c r="QHG155" s="398"/>
      <c r="QHH155" s="398"/>
      <c r="QHI155" s="398"/>
      <c r="QHJ155" s="398"/>
      <c r="QHK155" s="398"/>
      <c r="QHL155" s="398"/>
      <c r="QHM155" s="398"/>
      <c r="QHN155" s="398"/>
      <c r="QHO155" s="398"/>
      <c r="QHP155" s="398"/>
      <c r="QHQ155" s="398"/>
      <c r="QHR155" s="398"/>
      <c r="QHS155" s="398"/>
      <c r="QHT155" s="398"/>
      <c r="QHU155" s="398"/>
      <c r="QHV155" s="398"/>
      <c r="QHW155" s="398"/>
      <c r="QHX155" s="398"/>
      <c r="QHY155" s="398"/>
      <c r="QHZ155" s="398"/>
      <c r="QIA155" s="398"/>
      <c r="QIB155" s="398"/>
      <c r="QIC155" s="398"/>
      <c r="QID155" s="398"/>
      <c r="QIE155" s="398"/>
      <c r="QIF155" s="398"/>
      <c r="QIG155" s="398"/>
      <c r="QIH155" s="398"/>
      <c r="QII155" s="398"/>
      <c r="QIJ155" s="398"/>
      <c r="QIK155" s="398"/>
      <c r="QIL155" s="398"/>
      <c r="QIM155" s="398"/>
      <c r="QIN155" s="398"/>
      <c r="QIO155" s="398"/>
      <c r="QIP155" s="398"/>
      <c r="QIQ155" s="398"/>
      <c r="QIR155" s="398"/>
      <c r="QIS155" s="398"/>
      <c r="QIT155" s="398"/>
      <c r="QIU155" s="398"/>
      <c r="QIV155" s="398"/>
      <c r="QIW155" s="398"/>
      <c r="QIX155" s="398"/>
      <c r="QIY155" s="398"/>
      <c r="QIZ155" s="398"/>
      <c r="QJA155" s="398"/>
      <c r="QJB155" s="398"/>
      <c r="QJC155" s="398"/>
      <c r="QJD155" s="398"/>
      <c r="QJE155" s="398"/>
      <c r="QJF155" s="398"/>
      <c r="QJG155" s="398"/>
      <c r="QJH155" s="398"/>
      <c r="QJI155" s="398"/>
      <c r="QJJ155" s="398"/>
      <c r="QJK155" s="398"/>
      <c r="QJL155" s="398"/>
      <c r="QJM155" s="398"/>
      <c r="QJN155" s="398"/>
      <c r="QJO155" s="398"/>
      <c r="QJP155" s="398"/>
      <c r="QJQ155" s="398"/>
      <c r="QJR155" s="398"/>
      <c r="QJS155" s="398"/>
      <c r="QJT155" s="398"/>
      <c r="QJU155" s="398"/>
      <c r="QJV155" s="398"/>
      <c r="QJW155" s="398"/>
      <c r="QJX155" s="398"/>
      <c r="QJY155" s="398"/>
      <c r="QJZ155" s="398"/>
      <c r="QKA155" s="398"/>
      <c r="QKB155" s="398"/>
      <c r="QKC155" s="398"/>
      <c r="QKD155" s="398"/>
      <c r="QKE155" s="398"/>
      <c r="QKF155" s="398"/>
      <c r="QKG155" s="398"/>
      <c r="QKH155" s="398"/>
      <c r="QKI155" s="398"/>
      <c r="QKJ155" s="398"/>
      <c r="QKK155" s="398"/>
      <c r="QKL155" s="398"/>
      <c r="QKM155" s="398"/>
      <c r="QKN155" s="398"/>
      <c r="QKO155" s="398"/>
      <c r="QKP155" s="398"/>
      <c r="QKQ155" s="398"/>
      <c r="QKR155" s="398"/>
      <c r="QKS155" s="398"/>
      <c r="QKT155" s="398"/>
      <c r="QKU155" s="398"/>
      <c r="QKV155" s="398"/>
      <c r="QKW155" s="398"/>
      <c r="QKX155" s="398"/>
      <c r="QKY155" s="398"/>
      <c r="QKZ155" s="398"/>
      <c r="QLA155" s="398"/>
      <c r="QLB155" s="398"/>
      <c r="QLC155" s="398"/>
      <c r="QLD155" s="398"/>
      <c r="QLE155" s="398"/>
      <c r="QLF155" s="398"/>
      <c r="QLG155" s="398"/>
      <c r="QLH155" s="398"/>
      <c r="QLI155" s="398"/>
      <c r="QLJ155" s="398"/>
      <c r="QLK155" s="398"/>
      <c r="QLL155" s="398"/>
      <c r="QLM155" s="398"/>
      <c r="QLN155" s="398"/>
      <c r="QLO155" s="398"/>
      <c r="QLP155" s="398"/>
      <c r="QLQ155" s="398"/>
      <c r="QLR155" s="398"/>
      <c r="QLS155" s="398"/>
      <c r="QLT155" s="398"/>
      <c r="QLU155" s="398"/>
      <c r="QLV155" s="398"/>
      <c r="QLW155" s="398"/>
      <c r="QLX155" s="398"/>
      <c r="QLY155" s="398"/>
      <c r="QLZ155" s="398"/>
      <c r="QMA155" s="398"/>
      <c r="QMB155" s="398"/>
      <c r="QMC155" s="398"/>
      <c r="QMD155" s="398"/>
      <c r="QME155" s="398"/>
      <c r="QMF155" s="398"/>
      <c r="QMG155" s="398"/>
      <c r="QMH155" s="398"/>
      <c r="QMI155" s="398"/>
      <c r="QMJ155" s="398"/>
      <c r="QMK155" s="398"/>
      <c r="QML155" s="398"/>
      <c r="QMM155" s="398"/>
      <c r="QMN155" s="398"/>
      <c r="QMO155" s="398"/>
      <c r="QMP155" s="398"/>
      <c r="QMQ155" s="398"/>
      <c r="QMR155" s="398"/>
      <c r="QMS155" s="398"/>
      <c r="QMT155" s="398"/>
      <c r="QMU155" s="398"/>
      <c r="QMV155" s="398"/>
      <c r="QMW155" s="398"/>
      <c r="QMX155" s="398"/>
      <c r="QMY155" s="398"/>
      <c r="QMZ155" s="398"/>
      <c r="QNA155" s="398"/>
      <c r="QNB155" s="398"/>
      <c r="QNC155" s="398"/>
      <c r="QND155" s="398"/>
      <c r="QNE155" s="398"/>
      <c r="QNF155" s="398"/>
      <c r="QNG155" s="398"/>
      <c r="QNH155" s="398"/>
      <c r="QNI155" s="398"/>
      <c r="QNJ155" s="398"/>
      <c r="QNK155" s="398"/>
      <c r="QNL155" s="398"/>
      <c r="QNM155" s="398"/>
      <c r="QNN155" s="398"/>
      <c r="QNO155" s="398"/>
      <c r="QNP155" s="398"/>
      <c r="QNQ155" s="398"/>
      <c r="QNR155" s="398"/>
      <c r="QNS155" s="398"/>
      <c r="QNT155" s="398"/>
      <c r="QNU155" s="398"/>
      <c r="QNV155" s="398"/>
      <c r="QNW155" s="398"/>
      <c r="QNX155" s="398"/>
      <c r="QNY155" s="398"/>
      <c r="QNZ155" s="398"/>
      <c r="QOA155" s="398"/>
      <c r="QOB155" s="398"/>
      <c r="QOC155" s="398"/>
      <c r="QOD155" s="398"/>
      <c r="QOE155" s="398"/>
      <c r="QOF155" s="398"/>
      <c r="QOG155" s="398"/>
      <c r="QOH155" s="398"/>
      <c r="QOI155" s="398"/>
      <c r="QOJ155" s="398"/>
      <c r="QOK155" s="398"/>
      <c r="QOL155" s="398"/>
      <c r="QOM155" s="398"/>
      <c r="QON155" s="398"/>
      <c r="QOO155" s="398"/>
      <c r="QOP155" s="398"/>
      <c r="QOQ155" s="398"/>
      <c r="QOR155" s="398"/>
      <c r="QOS155" s="398"/>
      <c r="QOT155" s="398"/>
      <c r="QOU155" s="398"/>
      <c r="QOV155" s="398"/>
      <c r="QOW155" s="398"/>
      <c r="QOX155" s="398"/>
      <c r="QOY155" s="398"/>
      <c r="QOZ155" s="398"/>
      <c r="QPA155" s="398"/>
      <c r="QPB155" s="398"/>
      <c r="QPC155" s="398"/>
      <c r="QPD155" s="398"/>
      <c r="QPE155" s="398"/>
      <c r="QPF155" s="398"/>
      <c r="QPG155" s="398"/>
      <c r="QPH155" s="398"/>
      <c r="QPI155" s="398"/>
      <c r="QPJ155" s="398"/>
      <c r="QPK155" s="398"/>
      <c r="QPL155" s="398"/>
      <c r="QPM155" s="398"/>
      <c r="QPN155" s="398"/>
      <c r="QPO155" s="398"/>
      <c r="QPP155" s="398"/>
      <c r="QPQ155" s="398"/>
      <c r="QPR155" s="398"/>
      <c r="QPS155" s="398"/>
      <c r="QPT155" s="398"/>
      <c r="QPU155" s="398"/>
      <c r="QPV155" s="398"/>
      <c r="QPW155" s="398"/>
      <c r="QPX155" s="398"/>
      <c r="QPY155" s="398"/>
      <c r="QPZ155" s="398"/>
      <c r="QQA155" s="398"/>
      <c r="QQB155" s="398"/>
      <c r="QQC155" s="398"/>
      <c r="QQD155" s="398"/>
      <c r="QQE155" s="398"/>
      <c r="QQF155" s="398"/>
      <c r="QQG155" s="398"/>
      <c r="QQH155" s="398"/>
      <c r="QQI155" s="398"/>
      <c r="QQJ155" s="398"/>
      <c r="QQK155" s="398"/>
      <c r="QQL155" s="398"/>
      <c r="QQM155" s="398"/>
      <c r="QQN155" s="398"/>
      <c r="QQO155" s="398"/>
      <c r="QQP155" s="398"/>
      <c r="QQQ155" s="398"/>
      <c r="QQR155" s="398"/>
      <c r="QQS155" s="398"/>
      <c r="QQT155" s="398"/>
      <c r="QQU155" s="398"/>
      <c r="QQV155" s="398"/>
      <c r="QQW155" s="398"/>
      <c r="QQX155" s="398"/>
      <c r="QQY155" s="398"/>
      <c r="QQZ155" s="398"/>
      <c r="QRA155" s="398"/>
      <c r="QRB155" s="398"/>
      <c r="QRC155" s="398"/>
      <c r="QRD155" s="398"/>
      <c r="QRE155" s="398"/>
      <c r="QRF155" s="398"/>
      <c r="QRG155" s="398"/>
      <c r="QRH155" s="398"/>
      <c r="QRI155" s="398"/>
      <c r="QRJ155" s="398"/>
      <c r="QRK155" s="398"/>
      <c r="QRL155" s="398"/>
      <c r="QRM155" s="398"/>
      <c r="QRN155" s="398"/>
      <c r="QRO155" s="398"/>
      <c r="QRP155" s="398"/>
      <c r="QRQ155" s="398"/>
      <c r="QRR155" s="398"/>
      <c r="QRS155" s="398"/>
      <c r="QRT155" s="398"/>
      <c r="QRU155" s="398"/>
      <c r="QRV155" s="398"/>
      <c r="QRW155" s="398"/>
      <c r="QRX155" s="398"/>
      <c r="QRY155" s="398"/>
      <c r="QRZ155" s="398"/>
      <c r="QSA155" s="398"/>
      <c r="QSB155" s="398"/>
      <c r="QSC155" s="398"/>
      <c r="QSD155" s="398"/>
      <c r="QSE155" s="398"/>
      <c r="QSF155" s="398"/>
      <c r="QSG155" s="398"/>
      <c r="QSH155" s="398"/>
      <c r="QSI155" s="398"/>
      <c r="QSJ155" s="398"/>
      <c r="QSK155" s="398"/>
      <c r="QSL155" s="398"/>
      <c r="QSM155" s="398"/>
      <c r="QSN155" s="398"/>
      <c r="QSO155" s="398"/>
      <c r="QSP155" s="398"/>
      <c r="QSQ155" s="398"/>
      <c r="QSR155" s="398"/>
      <c r="QSS155" s="398"/>
      <c r="QST155" s="398"/>
      <c r="QSU155" s="398"/>
      <c r="QSV155" s="398"/>
      <c r="QSW155" s="398"/>
      <c r="QSX155" s="398"/>
      <c r="QSY155" s="398"/>
      <c r="QSZ155" s="398"/>
      <c r="QTA155" s="398"/>
      <c r="QTB155" s="398"/>
      <c r="QTC155" s="398"/>
      <c r="QTD155" s="398"/>
      <c r="QTE155" s="398"/>
      <c r="QTF155" s="398"/>
      <c r="QTG155" s="398"/>
      <c r="QTH155" s="398"/>
      <c r="QTI155" s="398"/>
      <c r="QTJ155" s="398"/>
      <c r="QTK155" s="398"/>
      <c r="QTL155" s="398"/>
      <c r="QTM155" s="398"/>
      <c r="QTN155" s="398"/>
      <c r="QTO155" s="398"/>
      <c r="QTP155" s="398"/>
      <c r="QTQ155" s="398"/>
      <c r="QTR155" s="398"/>
      <c r="QTS155" s="398"/>
      <c r="QTT155" s="398"/>
      <c r="QTU155" s="398"/>
      <c r="QTV155" s="398"/>
      <c r="QTW155" s="398"/>
      <c r="QTX155" s="398"/>
      <c r="QTY155" s="398"/>
      <c r="QTZ155" s="398"/>
      <c r="QUA155" s="398"/>
      <c r="QUB155" s="398"/>
      <c r="QUC155" s="398"/>
      <c r="QUD155" s="398"/>
      <c r="QUE155" s="398"/>
      <c r="QUF155" s="398"/>
      <c r="QUG155" s="398"/>
      <c r="QUH155" s="398"/>
      <c r="QUI155" s="398"/>
      <c r="QUJ155" s="398"/>
      <c r="QUK155" s="398"/>
      <c r="QUL155" s="398"/>
      <c r="QUM155" s="398"/>
      <c r="QUN155" s="398"/>
      <c r="QUO155" s="398"/>
      <c r="QUP155" s="398"/>
      <c r="QUQ155" s="398"/>
      <c r="QUR155" s="398"/>
      <c r="QUS155" s="398"/>
      <c r="QUT155" s="398"/>
      <c r="QUU155" s="398"/>
      <c r="QUV155" s="398"/>
      <c r="QUW155" s="398"/>
      <c r="QUX155" s="398"/>
      <c r="QUY155" s="398"/>
      <c r="QUZ155" s="398"/>
      <c r="QVA155" s="398"/>
      <c r="QVB155" s="398"/>
      <c r="QVC155" s="398"/>
      <c r="QVD155" s="398"/>
      <c r="QVE155" s="398"/>
      <c r="QVF155" s="398"/>
      <c r="QVG155" s="398"/>
      <c r="QVH155" s="398"/>
      <c r="QVI155" s="398"/>
      <c r="QVJ155" s="398"/>
      <c r="QVK155" s="398"/>
      <c r="QVL155" s="398"/>
      <c r="QVM155" s="398"/>
      <c r="QVN155" s="398"/>
      <c r="QVO155" s="398"/>
      <c r="QVP155" s="398"/>
      <c r="QVQ155" s="398"/>
      <c r="QVR155" s="398"/>
      <c r="QVS155" s="398"/>
      <c r="QVT155" s="398"/>
      <c r="QVU155" s="398"/>
      <c r="QVV155" s="398"/>
      <c r="QVW155" s="398"/>
      <c r="QVX155" s="398"/>
      <c r="QVY155" s="398"/>
      <c r="QVZ155" s="398"/>
      <c r="QWA155" s="398"/>
      <c r="QWB155" s="398"/>
      <c r="QWC155" s="398"/>
      <c r="QWD155" s="398"/>
      <c r="QWE155" s="398"/>
      <c r="QWF155" s="398"/>
      <c r="QWG155" s="398"/>
      <c r="QWH155" s="398"/>
      <c r="QWI155" s="398"/>
      <c r="QWJ155" s="398"/>
      <c r="QWK155" s="398"/>
      <c r="QWL155" s="398"/>
      <c r="QWM155" s="398"/>
      <c r="QWN155" s="398"/>
      <c r="QWO155" s="398"/>
      <c r="QWP155" s="398"/>
      <c r="QWQ155" s="398"/>
      <c r="QWR155" s="398"/>
      <c r="QWS155" s="398"/>
      <c r="QWT155" s="398"/>
      <c r="QWU155" s="398"/>
      <c r="QWV155" s="398"/>
      <c r="QWW155" s="398"/>
      <c r="QWX155" s="398"/>
      <c r="QWY155" s="398"/>
      <c r="QWZ155" s="398"/>
      <c r="QXA155" s="398"/>
      <c r="QXB155" s="398"/>
      <c r="QXC155" s="398"/>
      <c r="QXD155" s="398"/>
      <c r="QXE155" s="398"/>
      <c r="QXF155" s="398"/>
      <c r="QXG155" s="398"/>
      <c r="QXH155" s="398"/>
      <c r="QXI155" s="398"/>
      <c r="QXJ155" s="398"/>
      <c r="QXK155" s="398"/>
      <c r="QXL155" s="398"/>
      <c r="QXM155" s="398"/>
      <c r="QXN155" s="398"/>
      <c r="QXO155" s="398"/>
      <c r="QXP155" s="398"/>
      <c r="QXQ155" s="398"/>
      <c r="QXR155" s="398"/>
      <c r="QXS155" s="398"/>
      <c r="QXT155" s="398"/>
      <c r="QXU155" s="398"/>
      <c r="QXV155" s="398"/>
      <c r="QXW155" s="398"/>
      <c r="QXX155" s="398"/>
      <c r="QXY155" s="398"/>
      <c r="QXZ155" s="398"/>
      <c r="QYA155" s="398"/>
      <c r="QYB155" s="398"/>
      <c r="QYC155" s="398"/>
      <c r="QYD155" s="398"/>
      <c r="QYE155" s="398"/>
      <c r="QYF155" s="398"/>
      <c r="QYG155" s="398"/>
      <c r="QYH155" s="398"/>
      <c r="QYI155" s="398"/>
      <c r="QYJ155" s="398"/>
      <c r="QYK155" s="398"/>
      <c r="QYL155" s="398"/>
      <c r="QYM155" s="398"/>
      <c r="QYN155" s="398"/>
      <c r="QYO155" s="398"/>
      <c r="QYP155" s="398"/>
      <c r="QYQ155" s="398"/>
      <c r="QYR155" s="398"/>
      <c r="QYS155" s="398"/>
      <c r="QYT155" s="398"/>
      <c r="QYU155" s="398"/>
      <c r="QYV155" s="398"/>
      <c r="QYW155" s="398"/>
      <c r="QYX155" s="398"/>
      <c r="QYY155" s="398"/>
      <c r="QYZ155" s="398"/>
      <c r="QZA155" s="398"/>
      <c r="QZB155" s="398"/>
      <c r="QZC155" s="398"/>
      <c r="QZD155" s="398"/>
      <c r="QZE155" s="398"/>
      <c r="QZF155" s="398"/>
      <c r="QZG155" s="398"/>
      <c r="QZH155" s="398"/>
      <c r="QZI155" s="398"/>
      <c r="QZJ155" s="398"/>
      <c r="QZK155" s="398"/>
      <c r="QZL155" s="398"/>
      <c r="QZM155" s="398"/>
      <c r="QZN155" s="398"/>
      <c r="QZO155" s="398"/>
      <c r="QZP155" s="398"/>
      <c r="QZQ155" s="398"/>
      <c r="QZR155" s="398"/>
      <c r="QZS155" s="398"/>
      <c r="QZT155" s="398"/>
      <c r="QZU155" s="398"/>
      <c r="QZV155" s="398"/>
      <c r="QZW155" s="398"/>
      <c r="QZX155" s="398"/>
      <c r="QZY155" s="398"/>
      <c r="QZZ155" s="398"/>
      <c r="RAA155" s="398"/>
      <c r="RAB155" s="398"/>
      <c r="RAC155" s="398"/>
      <c r="RAD155" s="398"/>
      <c r="RAE155" s="398"/>
      <c r="RAF155" s="398"/>
      <c r="RAG155" s="398"/>
      <c r="RAH155" s="398"/>
      <c r="RAI155" s="398"/>
      <c r="RAJ155" s="398"/>
      <c r="RAK155" s="398"/>
      <c r="RAL155" s="398"/>
      <c r="RAM155" s="398"/>
      <c r="RAN155" s="398"/>
      <c r="RAO155" s="398"/>
      <c r="RAP155" s="398"/>
      <c r="RAQ155" s="398"/>
      <c r="RAR155" s="398"/>
      <c r="RAS155" s="398"/>
      <c r="RAT155" s="398"/>
      <c r="RAU155" s="398"/>
      <c r="RAV155" s="398"/>
      <c r="RAW155" s="398"/>
      <c r="RAX155" s="398"/>
      <c r="RAY155" s="398"/>
      <c r="RAZ155" s="398"/>
      <c r="RBA155" s="398"/>
      <c r="RBB155" s="398"/>
      <c r="RBC155" s="398"/>
      <c r="RBD155" s="398"/>
      <c r="RBE155" s="398"/>
      <c r="RBF155" s="398"/>
      <c r="RBG155" s="398"/>
      <c r="RBH155" s="398"/>
      <c r="RBI155" s="398"/>
      <c r="RBJ155" s="398"/>
      <c r="RBK155" s="398"/>
      <c r="RBL155" s="398"/>
      <c r="RBM155" s="398"/>
      <c r="RBN155" s="398"/>
      <c r="RBO155" s="398"/>
      <c r="RBP155" s="398"/>
      <c r="RBQ155" s="398"/>
      <c r="RBR155" s="398"/>
      <c r="RBS155" s="398"/>
      <c r="RBT155" s="398"/>
      <c r="RBU155" s="398"/>
      <c r="RBV155" s="398"/>
      <c r="RBW155" s="398"/>
      <c r="RBX155" s="398"/>
      <c r="RBY155" s="398"/>
      <c r="RBZ155" s="398"/>
      <c r="RCA155" s="398"/>
      <c r="RCB155" s="398"/>
      <c r="RCC155" s="398"/>
      <c r="RCD155" s="398"/>
      <c r="RCE155" s="398"/>
      <c r="RCF155" s="398"/>
      <c r="RCG155" s="398"/>
      <c r="RCH155" s="398"/>
      <c r="RCI155" s="398"/>
      <c r="RCJ155" s="398"/>
      <c r="RCK155" s="398"/>
      <c r="RCL155" s="398"/>
      <c r="RCM155" s="398"/>
      <c r="RCN155" s="398"/>
      <c r="RCO155" s="398"/>
      <c r="RCP155" s="398"/>
      <c r="RCQ155" s="398"/>
      <c r="RCR155" s="398"/>
      <c r="RCS155" s="398"/>
      <c r="RCT155" s="398"/>
      <c r="RCU155" s="398"/>
      <c r="RCV155" s="398"/>
      <c r="RCW155" s="398"/>
      <c r="RCX155" s="398"/>
      <c r="RCY155" s="398"/>
      <c r="RCZ155" s="398"/>
      <c r="RDA155" s="398"/>
      <c r="RDB155" s="398"/>
      <c r="RDC155" s="398"/>
      <c r="RDD155" s="398"/>
      <c r="RDE155" s="398"/>
      <c r="RDF155" s="398"/>
      <c r="RDG155" s="398"/>
      <c r="RDH155" s="398"/>
      <c r="RDI155" s="398"/>
      <c r="RDJ155" s="398"/>
      <c r="RDK155" s="398"/>
      <c r="RDL155" s="398"/>
      <c r="RDM155" s="398"/>
      <c r="RDN155" s="398"/>
      <c r="RDO155" s="398"/>
      <c r="RDP155" s="398"/>
      <c r="RDQ155" s="398"/>
      <c r="RDR155" s="398"/>
      <c r="RDS155" s="398"/>
      <c r="RDT155" s="398"/>
      <c r="RDU155" s="398"/>
      <c r="RDV155" s="398"/>
      <c r="RDW155" s="398"/>
      <c r="RDX155" s="398"/>
      <c r="RDY155" s="398"/>
      <c r="RDZ155" s="398"/>
      <c r="REA155" s="398"/>
      <c r="REB155" s="398"/>
      <c r="REC155" s="398"/>
      <c r="RED155" s="398"/>
      <c r="REE155" s="398"/>
      <c r="REF155" s="398"/>
      <c r="REG155" s="398"/>
      <c r="REH155" s="398"/>
      <c r="REI155" s="398"/>
      <c r="REJ155" s="398"/>
      <c r="REK155" s="398"/>
      <c r="REL155" s="398"/>
      <c r="REM155" s="398"/>
      <c r="REN155" s="398"/>
      <c r="REO155" s="398"/>
      <c r="REP155" s="398"/>
      <c r="REQ155" s="398"/>
      <c r="RER155" s="398"/>
      <c r="RES155" s="398"/>
      <c r="RET155" s="398"/>
      <c r="REU155" s="398"/>
      <c r="REV155" s="398"/>
      <c r="REW155" s="398"/>
      <c r="REX155" s="398"/>
      <c r="REY155" s="398"/>
      <c r="REZ155" s="398"/>
      <c r="RFA155" s="398"/>
      <c r="RFB155" s="398"/>
      <c r="RFC155" s="398"/>
      <c r="RFD155" s="398"/>
      <c r="RFE155" s="398"/>
      <c r="RFF155" s="398"/>
      <c r="RFG155" s="398"/>
      <c r="RFH155" s="398"/>
      <c r="RFI155" s="398"/>
      <c r="RFJ155" s="398"/>
      <c r="RFK155" s="398"/>
      <c r="RFL155" s="398"/>
      <c r="RFM155" s="398"/>
      <c r="RFN155" s="398"/>
      <c r="RFO155" s="398"/>
      <c r="RFP155" s="398"/>
      <c r="RFQ155" s="398"/>
      <c r="RFR155" s="398"/>
      <c r="RFS155" s="398"/>
      <c r="RFT155" s="398"/>
      <c r="RFU155" s="398"/>
      <c r="RFV155" s="398"/>
      <c r="RFW155" s="398"/>
      <c r="RFX155" s="398"/>
      <c r="RFY155" s="398"/>
      <c r="RFZ155" s="398"/>
      <c r="RGA155" s="398"/>
      <c r="RGB155" s="398"/>
      <c r="RGC155" s="398"/>
      <c r="RGD155" s="398"/>
      <c r="RGE155" s="398"/>
      <c r="RGF155" s="398"/>
      <c r="RGG155" s="398"/>
      <c r="RGH155" s="398"/>
      <c r="RGI155" s="398"/>
      <c r="RGJ155" s="398"/>
      <c r="RGK155" s="398"/>
      <c r="RGL155" s="398"/>
      <c r="RGM155" s="398"/>
      <c r="RGN155" s="398"/>
      <c r="RGO155" s="398"/>
      <c r="RGP155" s="398"/>
      <c r="RGQ155" s="398"/>
      <c r="RGR155" s="398"/>
      <c r="RGS155" s="398"/>
      <c r="RGT155" s="398"/>
      <c r="RGU155" s="398"/>
      <c r="RGV155" s="398"/>
      <c r="RGW155" s="398"/>
      <c r="RGX155" s="398"/>
      <c r="RGY155" s="398"/>
      <c r="RGZ155" s="398"/>
      <c r="RHA155" s="398"/>
      <c r="RHB155" s="398"/>
      <c r="RHC155" s="398"/>
      <c r="RHD155" s="398"/>
      <c r="RHE155" s="398"/>
      <c r="RHF155" s="398"/>
      <c r="RHG155" s="398"/>
      <c r="RHH155" s="398"/>
      <c r="RHI155" s="398"/>
      <c r="RHJ155" s="398"/>
      <c r="RHK155" s="398"/>
      <c r="RHL155" s="398"/>
      <c r="RHM155" s="398"/>
      <c r="RHN155" s="398"/>
      <c r="RHO155" s="398"/>
      <c r="RHP155" s="398"/>
      <c r="RHQ155" s="398"/>
      <c r="RHR155" s="398"/>
      <c r="RHS155" s="398"/>
      <c r="RHT155" s="398"/>
      <c r="RHU155" s="398"/>
      <c r="RHV155" s="398"/>
      <c r="RHW155" s="398"/>
      <c r="RHX155" s="398"/>
      <c r="RHY155" s="398"/>
      <c r="RHZ155" s="398"/>
      <c r="RIA155" s="398"/>
      <c r="RIB155" s="398"/>
      <c r="RIC155" s="398"/>
      <c r="RID155" s="398"/>
      <c r="RIE155" s="398"/>
      <c r="RIF155" s="398"/>
      <c r="RIG155" s="398"/>
      <c r="RIH155" s="398"/>
      <c r="RII155" s="398"/>
      <c r="RIJ155" s="398"/>
      <c r="RIK155" s="398"/>
      <c r="RIL155" s="398"/>
      <c r="RIM155" s="398"/>
      <c r="RIN155" s="398"/>
      <c r="RIO155" s="398"/>
      <c r="RIP155" s="398"/>
      <c r="RIQ155" s="398"/>
      <c r="RIR155" s="398"/>
      <c r="RIS155" s="398"/>
      <c r="RIT155" s="398"/>
      <c r="RIU155" s="398"/>
      <c r="RIV155" s="398"/>
      <c r="RIW155" s="398"/>
      <c r="RIX155" s="398"/>
      <c r="RIY155" s="398"/>
      <c r="RIZ155" s="398"/>
      <c r="RJA155" s="398"/>
      <c r="RJB155" s="398"/>
      <c r="RJC155" s="398"/>
      <c r="RJD155" s="398"/>
      <c r="RJE155" s="398"/>
      <c r="RJF155" s="398"/>
      <c r="RJG155" s="398"/>
      <c r="RJH155" s="398"/>
      <c r="RJI155" s="398"/>
      <c r="RJJ155" s="398"/>
      <c r="RJK155" s="398"/>
      <c r="RJL155" s="398"/>
      <c r="RJM155" s="398"/>
      <c r="RJN155" s="398"/>
      <c r="RJO155" s="398"/>
      <c r="RJP155" s="398"/>
      <c r="RJQ155" s="398"/>
      <c r="RJR155" s="398"/>
      <c r="RJS155" s="398"/>
      <c r="RJT155" s="398"/>
      <c r="RJU155" s="398"/>
      <c r="RJV155" s="398"/>
      <c r="RJW155" s="398"/>
      <c r="RJX155" s="398"/>
      <c r="RJY155" s="398"/>
      <c r="RJZ155" s="398"/>
      <c r="RKA155" s="398"/>
      <c r="RKB155" s="398"/>
      <c r="RKC155" s="398"/>
      <c r="RKD155" s="398"/>
      <c r="RKE155" s="398"/>
      <c r="RKF155" s="398"/>
      <c r="RKG155" s="398"/>
      <c r="RKH155" s="398"/>
      <c r="RKI155" s="398"/>
      <c r="RKJ155" s="398"/>
      <c r="RKK155" s="398"/>
      <c r="RKL155" s="398"/>
      <c r="RKM155" s="398"/>
      <c r="RKN155" s="398"/>
      <c r="RKO155" s="398"/>
      <c r="RKP155" s="398"/>
      <c r="RKQ155" s="398"/>
      <c r="RKR155" s="398"/>
      <c r="RKS155" s="398"/>
      <c r="RKT155" s="398"/>
      <c r="RKU155" s="398"/>
      <c r="RKV155" s="398"/>
      <c r="RKW155" s="398"/>
      <c r="RKX155" s="398"/>
      <c r="RKY155" s="398"/>
      <c r="RKZ155" s="398"/>
      <c r="RLA155" s="398"/>
      <c r="RLB155" s="398"/>
      <c r="RLC155" s="398"/>
      <c r="RLD155" s="398"/>
      <c r="RLE155" s="398"/>
      <c r="RLF155" s="398"/>
      <c r="RLG155" s="398"/>
      <c r="RLH155" s="398"/>
      <c r="RLI155" s="398"/>
      <c r="RLJ155" s="398"/>
      <c r="RLK155" s="398"/>
      <c r="RLL155" s="398"/>
      <c r="RLM155" s="398"/>
      <c r="RLN155" s="398"/>
      <c r="RLO155" s="398"/>
      <c r="RLP155" s="398"/>
      <c r="RLQ155" s="398"/>
      <c r="RLR155" s="398"/>
      <c r="RLS155" s="398"/>
      <c r="RLT155" s="398"/>
      <c r="RLU155" s="398"/>
      <c r="RLV155" s="398"/>
      <c r="RLW155" s="398"/>
      <c r="RLX155" s="398"/>
      <c r="RLY155" s="398"/>
      <c r="RLZ155" s="398"/>
      <c r="RMA155" s="398"/>
      <c r="RMB155" s="398"/>
      <c r="RMC155" s="398"/>
      <c r="RMD155" s="398"/>
      <c r="RME155" s="398"/>
      <c r="RMF155" s="398"/>
      <c r="RMG155" s="398"/>
      <c r="RMH155" s="398"/>
      <c r="RMI155" s="398"/>
      <c r="RMJ155" s="398"/>
      <c r="RMK155" s="398"/>
      <c r="RML155" s="398"/>
      <c r="RMM155" s="398"/>
      <c r="RMN155" s="398"/>
      <c r="RMO155" s="398"/>
      <c r="RMP155" s="398"/>
      <c r="RMQ155" s="398"/>
      <c r="RMR155" s="398"/>
      <c r="RMS155" s="398"/>
      <c r="RMT155" s="398"/>
      <c r="RMU155" s="398"/>
      <c r="RMV155" s="398"/>
      <c r="RMW155" s="398"/>
      <c r="RMX155" s="398"/>
      <c r="RMY155" s="398"/>
      <c r="RMZ155" s="398"/>
      <c r="RNA155" s="398"/>
      <c r="RNB155" s="398"/>
      <c r="RNC155" s="398"/>
      <c r="RND155" s="398"/>
      <c r="RNE155" s="398"/>
      <c r="RNF155" s="398"/>
      <c r="RNG155" s="398"/>
      <c r="RNH155" s="398"/>
      <c r="RNI155" s="398"/>
      <c r="RNJ155" s="398"/>
      <c r="RNK155" s="398"/>
      <c r="RNL155" s="398"/>
      <c r="RNM155" s="398"/>
      <c r="RNN155" s="398"/>
      <c r="RNO155" s="398"/>
      <c r="RNP155" s="398"/>
      <c r="RNQ155" s="398"/>
      <c r="RNR155" s="398"/>
      <c r="RNS155" s="398"/>
      <c r="RNT155" s="398"/>
      <c r="RNU155" s="398"/>
      <c r="RNV155" s="398"/>
      <c r="RNW155" s="398"/>
      <c r="RNX155" s="398"/>
      <c r="RNY155" s="398"/>
      <c r="RNZ155" s="398"/>
      <c r="ROA155" s="398"/>
      <c r="ROB155" s="398"/>
      <c r="ROC155" s="398"/>
      <c r="ROD155" s="398"/>
      <c r="ROE155" s="398"/>
      <c r="ROF155" s="398"/>
      <c r="ROG155" s="398"/>
      <c r="ROH155" s="398"/>
      <c r="ROI155" s="398"/>
      <c r="ROJ155" s="398"/>
      <c r="ROK155" s="398"/>
      <c r="ROL155" s="398"/>
      <c r="ROM155" s="398"/>
      <c r="RON155" s="398"/>
      <c r="ROO155" s="398"/>
      <c r="ROP155" s="398"/>
      <c r="ROQ155" s="398"/>
      <c r="ROR155" s="398"/>
      <c r="ROS155" s="398"/>
      <c r="ROT155" s="398"/>
      <c r="ROU155" s="398"/>
      <c r="ROV155" s="398"/>
      <c r="ROW155" s="398"/>
      <c r="ROX155" s="398"/>
      <c r="ROY155" s="398"/>
      <c r="ROZ155" s="398"/>
      <c r="RPA155" s="398"/>
      <c r="RPB155" s="398"/>
      <c r="RPC155" s="398"/>
      <c r="RPD155" s="398"/>
      <c r="RPE155" s="398"/>
      <c r="RPF155" s="398"/>
      <c r="RPG155" s="398"/>
      <c r="RPH155" s="398"/>
      <c r="RPI155" s="398"/>
      <c r="RPJ155" s="398"/>
      <c r="RPK155" s="398"/>
      <c r="RPL155" s="398"/>
      <c r="RPM155" s="398"/>
      <c r="RPN155" s="398"/>
      <c r="RPO155" s="398"/>
      <c r="RPP155" s="398"/>
      <c r="RPQ155" s="398"/>
      <c r="RPR155" s="398"/>
      <c r="RPS155" s="398"/>
      <c r="RPT155" s="398"/>
      <c r="RPU155" s="398"/>
      <c r="RPV155" s="398"/>
      <c r="RPW155" s="398"/>
      <c r="RPX155" s="398"/>
      <c r="RPY155" s="398"/>
      <c r="RPZ155" s="398"/>
      <c r="RQA155" s="398"/>
      <c r="RQB155" s="398"/>
      <c r="RQC155" s="398"/>
      <c r="RQD155" s="398"/>
      <c r="RQE155" s="398"/>
      <c r="RQF155" s="398"/>
      <c r="RQG155" s="398"/>
      <c r="RQH155" s="398"/>
      <c r="RQI155" s="398"/>
      <c r="RQJ155" s="398"/>
      <c r="RQK155" s="398"/>
      <c r="RQL155" s="398"/>
      <c r="RQM155" s="398"/>
      <c r="RQN155" s="398"/>
      <c r="RQO155" s="398"/>
      <c r="RQP155" s="398"/>
      <c r="RQQ155" s="398"/>
      <c r="RQR155" s="398"/>
      <c r="RQS155" s="398"/>
      <c r="RQT155" s="398"/>
      <c r="RQU155" s="398"/>
      <c r="RQV155" s="398"/>
      <c r="RQW155" s="398"/>
      <c r="RQX155" s="398"/>
      <c r="RQY155" s="398"/>
      <c r="RQZ155" s="398"/>
      <c r="RRA155" s="398"/>
      <c r="RRB155" s="398"/>
      <c r="RRC155" s="398"/>
      <c r="RRD155" s="398"/>
      <c r="RRE155" s="398"/>
      <c r="RRF155" s="398"/>
      <c r="RRG155" s="398"/>
      <c r="RRH155" s="398"/>
      <c r="RRI155" s="398"/>
      <c r="RRJ155" s="398"/>
      <c r="RRK155" s="398"/>
      <c r="RRL155" s="398"/>
      <c r="RRM155" s="398"/>
      <c r="RRN155" s="398"/>
      <c r="RRO155" s="398"/>
      <c r="RRP155" s="398"/>
      <c r="RRQ155" s="398"/>
      <c r="RRR155" s="398"/>
      <c r="RRS155" s="398"/>
      <c r="RRT155" s="398"/>
      <c r="RRU155" s="398"/>
      <c r="RRV155" s="398"/>
      <c r="RRW155" s="398"/>
      <c r="RRX155" s="398"/>
      <c r="RRY155" s="398"/>
      <c r="RRZ155" s="398"/>
      <c r="RSA155" s="398"/>
      <c r="RSB155" s="398"/>
      <c r="RSC155" s="398"/>
      <c r="RSD155" s="398"/>
      <c r="RSE155" s="398"/>
      <c r="RSF155" s="398"/>
      <c r="RSG155" s="398"/>
      <c r="RSH155" s="398"/>
      <c r="RSI155" s="398"/>
      <c r="RSJ155" s="398"/>
      <c r="RSK155" s="398"/>
      <c r="RSL155" s="398"/>
      <c r="RSM155" s="398"/>
      <c r="RSN155" s="398"/>
      <c r="RSO155" s="398"/>
      <c r="RSP155" s="398"/>
      <c r="RSQ155" s="398"/>
      <c r="RSR155" s="398"/>
      <c r="RSS155" s="398"/>
      <c r="RST155" s="398"/>
      <c r="RSU155" s="398"/>
      <c r="RSV155" s="398"/>
      <c r="RSW155" s="398"/>
      <c r="RSX155" s="398"/>
      <c r="RSY155" s="398"/>
      <c r="RSZ155" s="398"/>
      <c r="RTA155" s="398"/>
      <c r="RTB155" s="398"/>
      <c r="RTC155" s="398"/>
      <c r="RTD155" s="398"/>
      <c r="RTE155" s="398"/>
      <c r="RTF155" s="398"/>
      <c r="RTG155" s="398"/>
      <c r="RTH155" s="398"/>
      <c r="RTI155" s="398"/>
      <c r="RTJ155" s="398"/>
      <c r="RTK155" s="398"/>
      <c r="RTL155" s="398"/>
      <c r="RTM155" s="398"/>
      <c r="RTN155" s="398"/>
      <c r="RTO155" s="398"/>
      <c r="RTP155" s="398"/>
      <c r="RTQ155" s="398"/>
      <c r="RTR155" s="398"/>
      <c r="RTS155" s="398"/>
      <c r="RTT155" s="398"/>
      <c r="RTU155" s="398"/>
      <c r="RTV155" s="398"/>
      <c r="RTW155" s="398"/>
      <c r="RTX155" s="398"/>
      <c r="RTY155" s="398"/>
      <c r="RTZ155" s="398"/>
      <c r="RUA155" s="398"/>
      <c r="RUB155" s="398"/>
      <c r="RUC155" s="398"/>
      <c r="RUD155" s="398"/>
      <c r="RUE155" s="398"/>
      <c r="RUF155" s="398"/>
      <c r="RUG155" s="398"/>
      <c r="RUH155" s="398"/>
      <c r="RUI155" s="398"/>
      <c r="RUJ155" s="398"/>
      <c r="RUK155" s="398"/>
      <c r="RUL155" s="398"/>
      <c r="RUM155" s="398"/>
      <c r="RUN155" s="398"/>
      <c r="RUO155" s="398"/>
      <c r="RUP155" s="398"/>
      <c r="RUQ155" s="398"/>
      <c r="RUR155" s="398"/>
      <c r="RUS155" s="398"/>
      <c r="RUT155" s="398"/>
      <c r="RUU155" s="398"/>
      <c r="RUV155" s="398"/>
      <c r="RUW155" s="398"/>
      <c r="RUX155" s="398"/>
      <c r="RUY155" s="398"/>
      <c r="RUZ155" s="398"/>
      <c r="RVA155" s="398"/>
      <c r="RVB155" s="398"/>
      <c r="RVC155" s="398"/>
      <c r="RVD155" s="398"/>
      <c r="RVE155" s="398"/>
      <c r="RVF155" s="398"/>
      <c r="RVG155" s="398"/>
      <c r="RVH155" s="398"/>
      <c r="RVI155" s="398"/>
      <c r="RVJ155" s="398"/>
      <c r="RVK155" s="398"/>
      <c r="RVL155" s="398"/>
      <c r="RVM155" s="398"/>
      <c r="RVN155" s="398"/>
      <c r="RVO155" s="398"/>
      <c r="RVP155" s="398"/>
      <c r="RVQ155" s="398"/>
      <c r="RVR155" s="398"/>
      <c r="RVS155" s="398"/>
      <c r="RVT155" s="398"/>
      <c r="RVU155" s="398"/>
      <c r="RVV155" s="398"/>
      <c r="RVW155" s="398"/>
      <c r="RVX155" s="398"/>
      <c r="RVY155" s="398"/>
      <c r="RVZ155" s="398"/>
      <c r="RWA155" s="398"/>
      <c r="RWB155" s="398"/>
      <c r="RWC155" s="398"/>
      <c r="RWD155" s="398"/>
      <c r="RWE155" s="398"/>
      <c r="RWF155" s="398"/>
      <c r="RWG155" s="398"/>
      <c r="RWH155" s="398"/>
      <c r="RWI155" s="398"/>
      <c r="RWJ155" s="398"/>
      <c r="RWK155" s="398"/>
      <c r="RWL155" s="398"/>
      <c r="RWM155" s="398"/>
      <c r="RWN155" s="398"/>
      <c r="RWO155" s="398"/>
      <c r="RWP155" s="398"/>
      <c r="RWQ155" s="398"/>
      <c r="RWR155" s="398"/>
      <c r="RWS155" s="398"/>
      <c r="RWT155" s="398"/>
      <c r="RWU155" s="398"/>
      <c r="RWV155" s="398"/>
      <c r="RWW155" s="398"/>
      <c r="RWX155" s="398"/>
      <c r="RWY155" s="398"/>
      <c r="RWZ155" s="398"/>
      <c r="RXA155" s="398"/>
      <c r="RXB155" s="398"/>
      <c r="RXC155" s="398"/>
      <c r="RXD155" s="398"/>
      <c r="RXE155" s="398"/>
      <c r="RXF155" s="398"/>
      <c r="RXG155" s="398"/>
      <c r="RXH155" s="398"/>
      <c r="RXI155" s="398"/>
      <c r="RXJ155" s="398"/>
      <c r="RXK155" s="398"/>
      <c r="RXL155" s="398"/>
      <c r="RXM155" s="398"/>
      <c r="RXN155" s="398"/>
      <c r="RXO155" s="398"/>
      <c r="RXP155" s="398"/>
      <c r="RXQ155" s="398"/>
      <c r="RXR155" s="398"/>
      <c r="RXS155" s="398"/>
      <c r="RXT155" s="398"/>
      <c r="RXU155" s="398"/>
      <c r="RXV155" s="398"/>
      <c r="RXW155" s="398"/>
      <c r="RXX155" s="398"/>
      <c r="RXY155" s="398"/>
      <c r="RXZ155" s="398"/>
      <c r="RYA155" s="398"/>
      <c r="RYB155" s="398"/>
      <c r="RYC155" s="398"/>
      <c r="RYD155" s="398"/>
      <c r="RYE155" s="398"/>
      <c r="RYF155" s="398"/>
      <c r="RYG155" s="398"/>
      <c r="RYH155" s="398"/>
      <c r="RYI155" s="398"/>
      <c r="RYJ155" s="398"/>
      <c r="RYK155" s="398"/>
      <c r="RYL155" s="398"/>
      <c r="RYM155" s="398"/>
      <c r="RYN155" s="398"/>
      <c r="RYO155" s="398"/>
      <c r="RYP155" s="398"/>
      <c r="RYQ155" s="398"/>
      <c r="RYR155" s="398"/>
      <c r="RYS155" s="398"/>
      <c r="RYT155" s="398"/>
      <c r="RYU155" s="398"/>
      <c r="RYV155" s="398"/>
      <c r="RYW155" s="398"/>
      <c r="RYX155" s="398"/>
      <c r="RYY155" s="398"/>
      <c r="RYZ155" s="398"/>
      <c r="RZA155" s="398"/>
      <c r="RZB155" s="398"/>
      <c r="RZC155" s="398"/>
      <c r="RZD155" s="398"/>
      <c r="RZE155" s="398"/>
      <c r="RZF155" s="398"/>
      <c r="RZG155" s="398"/>
      <c r="RZH155" s="398"/>
      <c r="RZI155" s="398"/>
      <c r="RZJ155" s="398"/>
      <c r="RZK155" s="398"/>
      <c r="RZL155" s="398"/>
      <c r="RZM155" s="398"/>
      <c r="RZN155" s="398"/>
      <c r="RZO155" s="398"/>
      <c r="RZP155" s="398"/>
      <c r="RZQ155" s="398"/>
      <c r="RZR155" s="398"/>
      <c r="RZS155" s="398"/>
      <c r="RZT155" s="398"/>
      <c r="RZU155" s="398"/>
      <c r="RZV155" s="398"/>
      <c r="RZW155" s="398"/>
      <c r="RZX155" s="398"/>
      <c r="RZY155" s="398"/>
      <c r="RZZ155" s="398"/>
      <c r="SAA155" s="398"/>
      <c r="SAB155" s="398"/>
      <c r="SAC155" s="398"/>
      <c r="SAD155" s="398"/>
      <c r="SAE155" s="398"/>
      <c r="SAF155" s="398"/>
      <c r="SAG155" s="398"/>
      <c r="SAH155" s="398"/>
      <c r="SAI155" s="398"/>
      <c r="SAJ155" s="398"/>
      <c r="SAK155" s="398"/>
      <c r="SAL155" s="398"/>
      <c r="SAM155" s="398"/>
      <c r="SAN155" s="398"/>
      <c r="SAO155" s="398"/>
      <c r="SAP155" s="398"/>
      <c r="SAQ155" s="398"/>
      <c r="SAR155" s="398"/>
      <c r="SAS155" s="398"/>
      <c r="SAT155" s="398"/>
      <c r="SAU155" s="398"/>
      <c r="SAV155" s="398"/>
      <c r="SAW155" s="398"/>
      <c r="SAX155" s="398"/>
      <c r="SAY155" s="398"/>
      <c r="SAZ155" s="398"/>
      <c r="SBA155" s="398"/>
      <c r="SBB155" s="398"/>
      <c r="SBC155" s="398"/>
      <c r="SBD155" s="398"/>
      <c r="SBE155" s="398"/>
      <c r="SBF155" s="398"/>
      <c r="SBG155" s="398"/>
      <c r="SBH155" s="398"/>
      <c r="SBI155" s="398"/>
      <c r="SBJ155" s="398"/>
      <c r="SBK155" s="398"/>
      <c r="SBL155" s="398"/>
      <c r="SBM155" s="398"/>
      <c r="SBN155" s="398"/>
      <c r="SBO155" s="398"/>
      <c r="SBP155" s="398"/>
      <c r="SBQ155" s="398"/>
      <c r="SBR155" s="398"/>
      <c r="SBS155" s="398"/>
      <c r="SBT155" s="398"/>
      <c r="SBU155" s="398"/>
      <c r="SBV155" s="398"/>
      <c r="SBW155" s="398"/>
      <c r="SBX155" s="398"/>
      <c r="SBY155" s="398"/>
      <c r="SBZ155" s="398"/>
      <c r="SCA155" s="398"/>
      <c r="SCB155" s="398"/>
      <c r="SCC155" s="398"/>
      <c r="SCD155" s="398"/>
      <c r="SCE155" s="398"/>
      <c r="SCF155" s="398"/>
      <c r="SCG155" s="398"/>
      <c r="SCH155" s="398"/>
      <c r="SCI155" s="398"/>
      <c r="SCJ155" s="398"/>
      <c r="SCK155" s="398"/>
      <c r="SCL155" s="398"/>
      <c r="SCM155" s="398"/>
      <c r="SCN155" s="398"/>
      <c r="SCO155" s="398"/>
      <c r="SCP155" s="398"/>
      <c r="SCQ155" s="398"/>
      <c r="SCR155" s="398"/>
      <c r="SCS155" s="398"/>
      <c r="SCT155" s="398"/>
      <c r="SCU155" s="398"/>
      <c r="SCV155" s="398"/>
      <c r="SCW155" s="398"/>
      <c r="SCX155" s="398"/>
      <c r="SCY155" s="398"/>
      <c r="SCZ155" s="398"/>
      <c r="SDA155" s="398"/>
      <c r="SDB155" s="398"/>
      <c r="SDC155" s="398"/>
      <c r="SDD155" s="398"/>
      <c r="SDE155" s="398"/>
      <c r="SDF155" s="398"/>
      <c r="SDG155" s="398"/>
      <c r="SDH155" s="398"/>
      <c r="SDI155" s="398"/>
      <c r="SDJ155" s="398"/>
      <c r="SDK155" s="398"/>
      <c r="SDL155" s="398"/>
      <c r="SDM155" s="398"/>
      <c r="SDN155" s="398"/>
      <c r="SDO155" s="398"/>
      <c r="SDP155" s="398"/>
      <c r="SDQ155" s="398"/>
      <c r="SDR155" s="398"/>
      <c r="SDS155" s="398"/>
      <c r="SDT155" s="398"/>
      <c r="SDU155" s="398"/>
      <c r="SDV155" s="398"/>
      <c r="SDW155" s="398"/>
      <c r="SDX155" s="398"/>
      <c r="SDY155" s="398"/>
      <c r="SDZ155" s="398"/>
      <c r="SEA155" s="398"/>
      <c r="SEB155" s="398"/>
      <c r="SEC155" s="398"/>
      <c r="SED155" s="398"/>
      <c r="SEE155" s="398"/>
      <c r="SEF155" s="398"/>
      <c r="SEG155" s="398"/>
      <c r="SEH155" s="398"/>
      <c r="SEI155" s="398"/>
      <c r="SEJ155" s="398"/>
      <c r="SEK155" s="398"/>
      <c r="SEL155" s="398"/>
      <c r="SEM155" s="398"/>
      <c r="SEN155" s="398"/>
      <c r="SEO155" s="398"/>
      <c r="SEP155" s="398"/>
      <c r="SEQ155" s="398"/>
      <c r="SER155" s="398"/>
      <c r="SES155" s="398"/>
      <c r="SET155" s="398"/>
      <c r="SEU155" s="398"/>
      <c r="SEV155" s="398"/>
      <c r="SEW155" s="398"/>
      <c r="SEX155" s="398"/>
      <c r="SEY155" s="398"/>
      <c r="SEZ155" s="398"/>
      <c r="SFA155" s="398"/>
      <c r="SFB155" s="398"/>
      <c r="SFC155" s="398"/>
      <c r="SFD155" s="398"/>
      <c r="SFE155" s="398"/>
      <c r="SFF155" s="398"/>
      <c r="SFG155" s="398"/>
      <c r="SFH155" s="398"/>
      <c r="SFI155" s="398"/>
      <c r="SFJ155" s="398"/>
      <c r="SFK155" s="398"/>
      <c r="SFL155" s="398"/>
      <c r="SFM155" s="398"/>
      <c r="SFN155" s="398"/>
      <c r="SFO155" s="398"/>
      <c r="SFP155" s="398"/>
      <c r="SFQ155" s="398"/>
      <c r="SFR155" s="398"/>
      <c r="SFS155" s="398"/>
      <c r="SFT155" s="398"/>
      <c r="SFU155" s="398"/>
      <c r="SFV155" s="398"/>
      <c r="SFW155" s="398"/>
      <c r="SFX155" s="398"/>
      <c r="SFY155" s="398"/>
      <c r="SFZ155" s="398"/>
      <c r="SGA155" s="398"/>
      <c r="SGB155" s="398"/>
      <c r="SGC155" s="398"/>
      <c r="SGD155" s="398"/>
      <c r="SGE155" s="398"/>
      <c r="SGF155" s="398"/>
      <c r="SGG155" s="398"/>
      <c r="SGH155" s="398"/>
      <c r="SGI155" s="398"/>
      <c r="SGJ155" s="398"/>
      <c r="SGK155" s="398"/>
      <c r="SGL155" s="398"/>
      <c r="SGM155" s="398"/>
      <c r="SGN155" s="398"/>
      <c r="SGO155" s="398"/>
      <c r="SGP155" s="398"/>
      <c r="SGQ155" s="398"/>
      <c r="SGR155" s="398"/>
      <c r="SGS155" s="398"/>
      <c r="SGT155" s="398"/>
      <c r="SGU155" s="398"/>
      <c r="SGV155" s="398"/>
      <c r="SGW155" s="398"/>
      <c r="SGX155" s="398"/>
      <c r="SGY155" s="398"/>
      <c r="SGZ155" s="398"/>
      <c r="SHA155" s="398"/>
      <c r="SHB155" s="398"/>
      <c r="SHC155" s="398"/>
      <c r="SHD155" s="398"/>
      <c r="SHE155" s="398"/>
      <c r="SHF155" s="398"/>
      <c r="SHG155" s="398"/>
      <c r="SHH155" s="398"/>
      <c r="SHI155" s="398"/>
      <c r="SHJ155" s="398"/>
      <c r="SHK155" s="398"/>
      <c r="SHL155" s="398"/>
      <c r="SHM155" s="398"/>
      <c r="SHN155" s="398"/>
      <c r="SHO155" s="398"/>
      <c r="SHP155" s="398"/>
      <c r="SHQ155" s="398"/>
      <c r="SHR155" s="398"/>
      <c r="SHS155" s="398"/>
      <c r="SHT155" s="398"/>
      <c r="SHU155" s="398"/>
      <c r="SHV155" s="398"/>
      <c r="SHW155" s="398"/>
      <c r="SHX155" s="398"/>
      <c r="SHY155" s="398"/>
      <c r="SHZ155" s="398"/>
      <c r="SIA155" s="398"/>
      <c r="SIB155" s="398"/>
      <c r="SIC155" s="398"/>
      <c r="SID155" s="398"/>
      <c r="SIE155" s="398"/>
      <c r="SIF155" s="398"/>
      <c r="SIG155" s="398"/>
      <c r="SIH155" s="398"/>
      <c r="SII155" s="398"/>
      <c r="SIJ155" s="398"/>
      <c r="SIK155" s="398"/>
      <c r="SIL155" s="398"/>
      <c r="SIM155" s="398"/>
      <c r="SIN155" s="398"/>
      <c r="SIO155" s="398"/>
      <c r="SIP155" s="398"/>
      <c r="SIQ155" s="398"/>
      <c r="SIR155" s="398"/>
      <c r="SIS155" s="398"/>
      <c r="SIT155" s="398"/>
      <c r="SIU155" s="398"/>
      <c r="SIV155" s="398"/>
      <c r="SIW155" s="398"/>
      <c r="SIX155" s="398"/>
      <c r="SIY155" s="398"/>
      <c r="SIZ155" s="398"/>
      <c r="SJA155" s="398"/>
      <c r="SJB155" s="398"/>
      <c r="SJC155" s="398"/>
      <c r="SJD155" s="398"/>
      <c r="SJE155" s="398"/>
      <c r="SJF155" s="398"/>
      <c r="SJG155" s="398"/>
      <c r="SJH155" s="398"/>
      <c r="SJI155" s="398"/>
      <c r="SJJ155" s="398"/>
      <c r="SJK155" s="398"/>
      <c r="SJL155" s="398"/>
      <c r="SJM155" s="398"/>
      <c r="SJN155" s="398"/>
      <c r="SJO155" s="398"/>
      <c r="SJP155" s="398"/>
      <c r="SJQ155" s="398"/>
      <c r="SJR155" s="398"/>
      <c r="SJS155" s="398"/>
      <c r="SJT155" s="398"/>
      <c r="SJU155" s="398"/>
      <c r="SJV155" s="398"/>
      <c r="SJW155" s="398"/>
      <c r="SJX155" s="398"/>
      <c r="SJY155" s="398"/>
      <c r="SJZ155" s="398"/>
      <c r="SKA155" s="398"/>
      <c r="SKB155" s="398"/>
      <c r="SKC155" s="398"/>
      <c r="SKD155" s="398"/>
      <c r="SKE155" s="398"/>
      <c r="SKF155" s="398"/>
      <c r="SKG155" s="398"/>
      <c r="SKH155" s="398"/>
      <c r="SKI155" s="398"/>
      <c r="SKJ155" s="398"/>
      <c r="SKK155" s="398"/>
      <c r="SKL155" s="398"/>
      <c r="SKM155" s="398"/>
      <c r="SKN155" s="398"/>
      <c r="SKO155" s="398"/>
      <c r="SKP155" s="398"/>
      <c r="SKQ155" s="398"/>
      <c r="SKR155" s="398"/>
      <c r="SKS155" s="398"/>
      <c r="SKT155" s="398"/>
      <c r="SKU155" s="398"/>
      <c r="SKV155" s="398"/>
      <c r="SKW155" s="398"/>
      <c r="SKX155" s="398"/>
      <c r="SKY155" s="398"/>
      <c r="SKZ155" s="398"/>
      <c r="SLA155" s="398"/>
      <c r="SLB155" s="398"/>
      <c r="SLC155" s="398"/>
      <c r="SLD155" s="398"/>
      <c r="SLE155" s="398"/>
      <c r="SLF155" s="398"/>
      <c r="SLG155" s="398"/>
      <c r="SLH155" s="398"/>
      <c r="SLI155" s="398"/>
      <c r="SLJ155" s="398"/>
      <c r="SLK155" s="398"/>
      <c r="SLL155" s="398"/>
      <c r="SLM155" s="398"/>
      <c r="SLN155" s="398"/>
      <c r="SLO155" s="398"/>
      <c r="SLP155" s="398"/>
      <c r="SLQ155" s="398"/>
      <c r="SLR155" s="398"/>
      <c r="SLS155" s="398"/>
      <c r="SLT155" s="398"/>
      <c r="SLU155" s="398"/>
      <c r="SLV155" s="398"/>
      <c r="SLW155" s="398"/>
      <c r="SLX155" s="398"/>
      <c r="SLY155" s="398"/>
      <c r="SLZ155" s="398"/>
      <c r="SMA155" s="398"/>
      <c r="SMB155" s="398"/>
      <c r="SMC155" s="398"/>
      <c r="SMD155" s="398"/>
      <c r="SME155" s="398"/>
      <c r="SMF155" s="398"/>
      <c r="SMG155" s="398"/>
      <c r="SMH155" s="398"/>
      <c r="SMI155" s="398"/>
      <c r="SMJ155" s="398"/>
      <c r="SMK155" s="398"/>
      <c r="SML155" s="398"/>
      <c r="SMM155" s="398"/>
      <c r="SMN155" s="398"/>
      <c r="SMO155" s="398"/>
      <c r="SMP155" s="398"/>
      <c r="SMQ155" s="398"/>
      <c r="SMR155" s="398"/>
      <c r="SMS155" s="398"/>
      <c r="SMT155" s="398"/>
      <c r="SMU155" s="398"/>
      <c r="SMV155" s="398"/>
      <c r="SMW155" s="398"/>
      <c r="SMX155" s="398"/>
      <c r="SMY155" s="398"/>
      <c r="SMZ155" s="398"/>
      <c r="SNA155" s="398"/>
      <c r="SNB155" s="398"/>
      <c r="SNC155" s="398"/>
      <c r="SND155" s="398"/>
      <c r="SNE155" s="398"/>
      <c r="SNF155" s="398"/>
      <c r="SNG155" s="398"/>
      <c r="SNH155" s="398"/>
      <c r="SNI155" s="398"/>
      <c r="SNJ155" s="398"/>
      <c r="SNK155" s="398"/>
      <c r="SNL155" s="398"/>
      <c r="SNM155" s="398"/>
      <c r="SNN155" s="398"/>
      <c r="SNO155" s="398"/>
      <c r="SNP155" s="398"/>
      <c r="SNQ155" s="398"/>
      <c r="SNR155" s="398"/>
      <c r="SNS155" s="398"/>
      <c r="SNT155" s="398"/>
      <c r="SNU155" s="398"/>
      <c r="SNV155" s="398"/>
      <c r="SNW155" s="398"/>
      <c r="SNX155" s="398"/>
      <c r="SNY155" s="398"/>
      <c r="SNZ155" s="398"/>
      <c r="SOA155" s="398"/>
      <c r="SOB155" s="398"/>
      <c r="SOC155" s="398"/>
      <c r="SOD155" s="398"/>
      <c r="SOE155" s="398"/>
      <c r="SOF155" s="398"/>
      <c r="SOG155" s="398"/>
      <c r="SOH155" s="398"/>
      <c r="SOI155" s="398"/>
      <c r="SOJ155" s="398"/>
      <c r="SOK155" s="398"/>
      <c r="SOL155" s="398"/>
      <c r="SOM155" s="398"/>
      <c r="SON155" s="398"/>
      <c r="SOO155" s="398"/>
      <c r="SOP155" s="398"/>
      <c r="SOQ155" s="398"/>
      <c r="SOR155" s="398"/>
      <c r="SOS155" s="398"/>
      <c r="SOT155" s="398"/>
      <c r="SOU155" s="398"/>
      <c r="SOV155" s="398"/>
      <c r="SOW155" s="398"/>
      <c r="SOX155" s="398"/>
      <c r="SOY155" s="398"/>
      <c r="SOZ155" s="398"/>
      <c r="SPA155" s="398"/>
      <c r="SPB155" s="398"/>
      <c r="SPC155" s="398"/>
      <c r="SPD155" s="398"/>
      <c r="SPE155" s="398"/>
      <c r="SPF155" s="398"/>
      <c r="SPG155" s="398"/>
      <c r="SPH155" s="398"/>
      <c r="SPI155" s="398"/>
      <c r="SPJ155" s="398"/>
      <c r="SPK155" s="398"/>
      <c r="SPL155" s="398"/>
      <c r="SPM155" s="398"/>
      <c r="SPN155" s="398"/>
      <c r="SPO155" s="398"/>
      <c r="SPP155" s="398"/>
      <c r="SPQ155" s="398"/>
      <c r="SPR155" s="398"/>
      <c r="SPS155" s="398"/>
      <c r="SPT155" s="398"/>
      <c r="SPU155" s="398"/>
      <c r="SPV155" s="398"/>
      <c r="SPW155" s="398"/>
      <c r="SPX155" s="398"/>
      <c r="SPY155" s="398"/>
      <c r="SPZ155" s="398"/>
      <c r="SQA155" s="398"/>
      <c r="SQB155" s="398"/>
      <c r="SQC155" s="398"/>
      <c r="SQD155" s="398"/>
      <c r="SQE155" s="398"/>
      <c r="SQF155" s="398"/>
      <c r="SQG155" s="398"/>
      <c r="SQH155" s="398"/>
      <c r="SQI155" s="398"/>
      <c r="SQJ155" s="398"/>
      <c r="SQK155" s="398"/>
      <c r="SQL155" s="398"/>
      <c r="SQM155" s="398"/>
      <c r="SQN155" s="398"/>
      <c r="SQO155" s="398"/>
      <c r="SQP155" s="398"/>
      <c r="SQQ155" s="398"/>
      <c r="SQR155" s="398"/>
      <c r="SQS155" s="398"/>
      <c r="SQT155" s="398"/>
      <c r="SQU155" s="398"/>
      <c r="SQV155" s="398"/>
      <c r="SQW155" s="398"/>
      <c r="SQX155" s="398"/>
      <c r="SQY155" s="398"/>
      <c r="SQZ155" s="398"/>
      <c r="SRA155" s="398"/>
      <c r="SRB155" s="398"/>
      <c r="SRC155" s="398"/>
      <c r="SRD155" s="398"/>
      <c r="SRE155" s="398"/>
      <c r="SRF155" s="398"/>
      <c r="SRG155" s="398"/>
      <c r="SRH155" s="398"/>
      <c r="SRI155" s="398"/>
      <c r="SRJ155" s="398"/>
      <c r="SRK155" s="398"/>
      <c r="SRL155" s="398"/>
      <c r="SRM155" s="398"/>
      <c r="SRN155" s="398"/>
      <c r="SRO155" s="398"/>
      <c r="SRP155" s="398"/>
      <c r="SRQ155" s="398"/>
      <c r="SRR155" s="398"/>
      <c r="SRS155" s="398"/>
      <c r="SRT155" s="398"/>
      <c r="SRU155" s="398"/>
      <c r="SRV155" s="398"/>
      <c r="SRW155" s="398"/>
      <c r="SRX155" s="398"/>
      <c r="SRY155" s="398"/>
      <c r="SRZ155" s="398"/>
      <c r="SSA155" s="398"/>
      <c r="SSB155" s="398"/>
      <c r="SSC155" s="398"/>
      <c r="SSD155" s="398"/>
      <c r="SSE155" s="398"/>
      <c r="SSF155" s="398"/>
      <c r="SSG155" s="398"/>
      <c r="SSH155" s="398"/>
      <c r="SSI155" s="398"/>
      <c r="SSJ155" s="398"/>
      <c r="SSK155" s="398"/>
      <c r="SSL155" s="398"/>
      <c r="SSM155" s="398"/>
      <c r="SSN155" s="398"/>
      <c r="SSO155" s="398"/>
      <c r="SSP155" s="398"/>
      <c r="SSQ155" s="398"/>
      <c r="SSR155" s="398"/>
      <c r="SSS155" s="398"/>
      <c r="SST155" s="398"/>
      <c r="SSU155" s="398"/>
      <c r="SSV155" s="398"/>
      <c r="SSW155" s="398"/>
      <c r="SSX155" s="398"/>
      <c r="SSY155" s="398"/>
      <c r="SSZ155" s="398"/>
      <c r="STA155" s="398"/>
      <c r="STB155" s="398"/>
      <c r="STC155" s="398"/>
      <c r="STD155" s="398"/>
      <c r="STE155" s="398"/>
      <c r="STF155" s="398"/>
      <c r="STG155" s="398"/>
      <c r="STH155" s="398"/>
      <c r="STI155" s="398"/>
      <c r="STJ155" s="398"/>
      <c r="STK155" s="398"/>
      <c r="STL155" s="398"/>
      <c r="STM155" s="398"/>
      <c r="STN155" s="398"/>
      <c r="STO155" s="398"/>
      <c r="STP155" s="398"/>
      <c r="STQ155" s="398"/>
      <c r="STR155" s="398"/>
      <c r="STS155" s="398"/>
      <c r="STT155" s="398"/>
      <c r="STU155" s="398"/>
      <c r="STV155" s="398"/>
      <c r="STW155" s="398"/>
      <c r="STX155" s="398"/>
      <c r="STY155" s="398"/>
      <c r="STZ155" s="398"/>
      <c r="SUA155" s="398"/>
      <c r="SUB155" s="398"/>
      <c r="SUC155" s="398"/>
      <c r="SUD155" s="398"/>
      <c r="SUE155" s="398"/>
      <c r="SUF155" s="398"/>
      <c r="SUG155" s="398"/>
      <c r="SUH155" s="398"/>
      <c r="SUI155" s="398"/>
      <c r="SUJ155" s="398"/>
      <c r="SUK155" s="398"/>
      <c r="SUL155" s="398"/>
      <c r="SUM155" s="398"/>
      <c r="SUN155" s="398"/>
      <c r="SUO155" s="398"/>
      <c r="SUP155" s="398"/>
      <c r="SUQ155" s="398"/>
      <c r="SUR155" s="398"/>
      <c r="SUS155" s="398"/>
      <c r="SUT155" s="398"/>
      <c r="SUU155" s="398"/>
      <c r="SUV155" s="398"/>
      <c r="SUW155" s="398"/>
      <c r="SUX155" s="398"/>
      <c r="SUY155" s="398"/>
      <c r="SUZ155" s="398"/>
      <c r="SVA155" s="398"/>
      <c r="SVB155" s="398"/>
      <c r="SVC155" s="398"/>
      <c r="SVD155" s="398"/>
      <c r="SVE155" s="398"/>
      <c r="SVF155" s="398"/>
      <c r="SVG155" s="398"/>
      <c r="SVH155" s="398"/>
      <c r="SVI155" s="398"/>
      <c r="SVJ155" s="398"/>
      <c r="SVK155" s="398"/>
      <c r="SVL155" s="398"/>
      <c r="SVM155" s="398"/>
      <c r="SVN155" s="398"/>
      <c r="SVO155" s="398"/>
      <c r="SVP155" s="398"/>
      <c r="SVQ155" s="398"/>
      <c r="SVR155" s="398"/>
      <c r="SVS155" s="398"/>
      <c r="SVT155" s="398"/>
      <c r="SVU155" s="398"/>
      <c r="SVV155" s="398"/>
      <c r="SVW155" s="398"/>
      <c r="SVX155" s="398"/>
      <c r="SVY155" s="398"/>
      <c r="SVZ155" s="398"/>
      <c r="SWA155" s="398"/>
      <c r="SWB155" s="398"/>
      <c r="SWC155" s="398"/>
      <c r="SWD155" s="398"/>
      <c r="SWE155" s="398"/>
      <c r="SWF155" s="398"/>
      <c r="SWG155" s="398"/>
      <c r="SWH155" s="398"/>
      <c r="SWI155" s="398"/>
      <c r="SWJ155" s="398"/>
      <c r="SWK155" s="398"/>
      <c r="SWL155" s="398"/>
      <c r="SWM155" s="398"/>
      <c r="SWN155" s="398"/>
      <c r="SWO155" s="398"/>
      <c r="SWP155" s="398"/>
      <c r="SWQ155" s="398"/>
      <c r="SWR155" s="398"/>
      <c r="SWS155" s="398"/>
      <c r="SWT155" s="398"/>
      <c r="SWU155" s="398"/>
      <c r="SWV155" s="398"/>
      <c r="SWW155" s="398"/>
      <c r="SWX155" s="398"/>
      <c r="SWY155" s="398"/>
      <c r="SWZ155" s="398"/>
      <c r="SXA155" s="398"/>
      <c r="SXB155" s="398"/>
      <c r="SXC155" s="398"/>
      <c r="SXD155" s="398"/>
      <c r="SXE155" s="398"/>
      <c r="SXF155" s="398"/>
      <c r="SXG155" s="398"/>
      <c r="SXH155" s="398"/>
      <c r="SXI155" s="398"/>
      <c r="SXJ155" s="398"/>
      <c r="SXK155" s="398"/>
      <c r="SXL155" s="398"/>
      <c r="SXM155" s="398"/>
      <c r="SXN155" s="398"/>
      <c r="SXO155" s="398"/>
      <c r="SXP155" s="398"/>
      <c r="SXQ155" s="398"/>
      <c r="SXR155" s="398"/>
      <c r="SXS155" s="398"/>
      <c r="SXT155" s="398"/>
      <c r="SXU155" s="398"/>
      <c r="SXV155" s="398"/>
      <c r="SXW155" s="398"/>
      <c r="SXX155" s="398"/>
      <c r="SXY155" s="398"/>
      <c r="SXZ155" s="398"/>
      <c r="SYA155" s="398"/>
      <c r="SYB155" s="398"/>
      <c r="SYC155" s="398"/>
      <c r="SYD155" s="398"/>
      <c r="SYE155" s="398"/>
      <c r="SYF155" s="398"/>
      <c r="SYG155" s="398"/>
      <c r="SYH155" s="398"/>
      <c r="SYI155" s="398"/>
      <c r="SYJ155" s="398"/>
      <c r="SYK155" s="398"/>
      <c r="SYL155" s="398"/>
      <c r="SYM155" s="398"/>
      <c r="SYN155" s="398"/>
      <c r="SYO155" s="398"/>
      <c r="SYP155" s="398"/>
      <c r="SYQ155" s="398"/>
      <c r="SYR155" s="398"/>
      <c r="SYS155" s="398"/>
      <c r="SYT155" s="398"/>
      <c r="SYU155" s="398"/>
      <c r="SYV155" s="398"/>
      <c r="SYW155" s="398"/>
      <c r="SYX155" s="398"/>
      <c r="SYY155" s="398"/>
      <c r="SYZ155" s="398"/>
      <c r="SZA155" s="398"/>
      <c r="SZB155" s="398"/>
      <c r="SZC155" s="398"/>
      <c r="SZD155" s="398"/>
      <c r="SZE155" s="398"/>
      <c r="SZF155" s="398"/>
      <c r="SZG155" s="398"/>
      <c r="SZH155" s="398"/>
      <c r="SZI155" s="398"/>
      <c r="SZJ155" s="398"/>
      <c r="SZK155" s="398"/>
      <c r="SZL155" s="398"/>
      <c r="SZM155" s="398"/>
      <c r="SZN155" s="398"/>
      <c r="SZO155" s="398"/>
      <c r="SZP155" s="398"/>
      <c r="SZQ155" s="398"/>
      <c r="SZR155" s="398"/>
      <c r="SZS155" s="398"/>
      <c r="SZT155" s="398"/>
      <c r="SZU155" s="398"/>
      <c r="SZV155" s="398"/>
      <c r="SZW155" s="398"/>
      <c r="SZX155" s="398"/>
      <c r="SZY155" s="398"/>
      <c r="SZZ155" s="398"/>
      <c r="TAA155" s="398"/>
      <c r="TAB155" s="398"/>
      <c r="TAC155" s="398"/>
      <c r="TAD155" s="398"/>
      <c r="TAE155" s="398"/>
      <c r="TAF155" s="398"/>
      <c r="TAG155" s="398"/>
      <c r="TAH155" s="398"/>
      <c r="TAI155" s="398"/>
      <c r="TAJ155" s="398"/>
      <c r="TAK155" s="398"/>
      <c r="TAL155" s="398"/>
      <c r="TAM155" s="398"/>
      <c r="TAN155" s="398"/>
      <c r="TAO155" s="398"/>
      <c r="TAP155" s="398"/>
      <c r="TAQ155" s="398"/>
      <c r="TAR155" s="398"/>
      <c r="TAS155" s="398"/>
      <c r="TAT155" s="398"/>
      <c r="TAU155" s="398"/>
      <c r="TAV155" s="398"/>
      <c r="TAW155" s="398"/>
      <c r="TAX155" s="398"/>
      <c r="TAY155" s="398"/>
      <c r="TAZ155" s="398"/>
      <c r="TBA155" s="398"/>
      <c r="TBB155" s="398"/>
      <c r="TBC155" s="398"/>
      <c r="TBD155" s="398"/>
      <c r="TBE155" s="398"/>
      <c r="TBF155" s="398"/>
      <c r="TBG155" s="398"/>
      <c r="TBH155" s="398"/>
      <c r="TBI155" s="398"/>
      <c r="TBJ155" s="398"/>
      <c r="TBK155" s="398"/>
      <c r="TBL155" s="398"/>
      <c r="TBM155" s="398"/>
      <c r="TBN155" s="398"/>
      <c r="TBO155" s="398"/>
      <c r="TBP155" s="398"/>
      <c r="TBQ155" s="398"/>
      <c r="TBR155" s="398"/>
      <c r="TBS155" s="398"/>
      <c r="TBT155" s="398"/>
      <c r="TBU155" s="398"/>
      <c r="TBV155" s="398"/>
      <c r="TBW155" s="398"/>
      <c r="TBX155" s="398"/>
      <c r="TBY155" s="398"/>
      <c r="TBZ155" s="398"/>
      <c r="TCA155" s="398"/>
      <c r="TCB155" s="398"/>
      <c r="TCC155" s="398"/>
      <c r="TCD155" s="398"/>
      <c r="TCE155" s="398"/>
      <c r="TCF155" s="398"/>
      <c r="TCG155" s="398"/>
      <c r="TCH155" s="398"/>
      <c r="TCI155" s="398"/>
      <c r="TCJ155" s="398"/>
      <c r="TCK155" s="398"/>
      <c r="TCL155" s="398"/>
      <c r="TCM155" s="398"/>
      <c r="TCN155" s="398"/>
      <c r="TCO155" s="398"/>
      <c r="TCP155" s="398"/>
      <c r="TCQ155" s="398"/>
      <c r="TCR155" s="398"/>
      <c r="TCS155" s="398"/>
      <c r="TCT155" s="398"/>
      <c r="TCU155" s="398"/>
      <c r="TCV155" s="398"/>
      <c r="TCW155" s="398"/>
      <c r="TCX155" s="398"/>
      <c r="TCY155" s="398"/>
      <c r="TCZ155" s="398"/>
      <c r="TDA155" s="398"/>
      <c r="TDB155" s="398"/>
      <c r="TDC155" s="398"/>
      <c r="TDD155" s="398"/>
      <c r="TDE155" s="398"/>
      <c r="TDF155" s="398"/>
      <c r="TDG155" s="398"/>
      <c r="TDH155" s="398"/>
      <c r="TDI155" s="398"/>
      <c r="TDJ155" s="398"/>
      <c r="TDK155" s="398"/>
      <c r="TDL155" s="398"/>
      <c r="TDM155" s="398"/>
      <c r="TDN155" s="398"/>
      <c r="TDO155" s="398"/>
      <c r="TDP155" s="398"/>
      <c r="TDQ155" s="398"/>
      <c r="TDR155" s="398"/>
      <c r="TDS155" s="398"/>
      <c r="TDT155" s="398"/>
      <c r="TDU155" s="398"/>
      <c r="TDV155" s="398"/>
      <c r="TDW155" s="398"/>
      <c r="TDX155" s="398"/>
      <c r="TDY155" s="398"/>
      <c r="TDZ155" s="398"/>
      <c r="TEA155" s="398"/>
      <c r="TEB155" s="398"/>
      <c r="TEC155" s="398"/>
      <c r="TED155" s="398"/>
      <c r="TEE155" s="398"/>
      <c r="TEF155" s="398"/>
      <c r="TEG155" s="398"/>
      <c r="TEH155" s="398"/>
      <c r="TEI155" s="398"/>
      <c r="TEJ155" s="398"/>
      <c r="TEK155" s="398"/>
      <c r="TEL155" s="398"/>
      <c r="TEM155" s="398"/>
      <c r="TEN155" s="398"/>
      <c r="TEO155" s="398"/>
      <c r="TEP155" s="398"/>
      <c r="TEQ155" s="398"/>
      <c r="TER155" s="398"/>
      <c r="TES155" s="398"/>
      <c r="TET155" s="398"/>
      <c r="TEU155" s="398"/>
      <c r="TEV155" s="398"/>
      <c r="TEW155" s="398"/>
      <c r="TEX155" s="398"/>
      <c r="TEY155" s="398"/>
      <c r="TEZ155" s="398"/>
      <c r="TFA155" s="398"/>
      <c r="TFB155" s="398"/>
      <c r="TFC155" s="398"/>
      <c r="TFD155" s="398"/>
      <c r="TFE155" s="398"/>
      <c r="TFF155" s="398"/>
      <c r="TFG155" s="398"/>
      <c r="TFH155" s="398"/>
      <c r="TFI155" s="398"/>
      <c r="TFJ155" s="398"/>
      <c r="TFK155" s="398"/>
      <c r="TFL155" s="398"/>
      <c r="TFM155" s="398"/>
      <c r="TFN155" s="398"/>
      <c r="TFO155" s="398"/>
      <c r="TFP155" s="398"/>
      <c r="TFQ155" s="398"/>
      <c r="TFR155" s="398"/>
      <c r="TFS155" s="398"/>
      <c r="TFT155" s="398"/>
      <c r="TFU155" s="398"/>
      <c r="TFV155" s="398"/>
      <c r="TFW155" s="398"/>
      <c r="TFX155" s="398"/>
      <c r="TFY155" s="398"/>
      <c r="TFZ155" s="398"/>
      <c r="TGA155" s="398"/>
      <c r="TGB155" s="398"/>
      <c r="TGC155" s="398"/>
      <c r="TGD155" s="398"/>
      <c r="TGE155" s="398"/>
      <c r="TGF155" s="398"/>
      <c r="TGG155" s="398"/>
      <c r="TGH155" s="398"/>
      <c r="TGI155" s="398"/>
      <c r="TGJ155" s="398"/>
      <c r="TGK155" s="398"/>
      <c r="TGL155" s="398"/>
      <c r="TGM155" s="398"/>
      <c r="TGN155" s="398"/>
      <c r="TGO155" s="398"/>
      <c r="TGP155" s="398"/>
      <c r="TGQ155" s="398"/>
      <c r="TGR155" s="398"/>
      <c r="TGS155" s="398"/>
      <c r="TGT155" s="398"/>
      <c r="TGU155" s="398"/>
      <c r="TGV155" s="398"/>
      <c r="TGW155" s="398"/>
      <c r="TGX155" s="398"/>
      <c r="TGY155" s="398"/>
      <c r="TGZ155" s="398"/>
      <c r="THA155" s="398"/>
      <c r="THB155" s="398"/>
      <c r="THC155" s="398"/>
      <c r="THD155" s="398"/>
      <c r="THE155" s="398"/>
      <c r="THF155" s="398"/>
      <c r="THG155" s="398"/>
      <c r="THH155" s="398"/>
      <c r="THI155" s="398"/>
      <c r="THJ155" s="398"/>
      <c r="THK155" s="398"/>
      <c r="THL155" s="398"/>
      <c r="THM155" s="398"/>
      <c r="THN155" s="398"/>
      <c r="THO155" s="398"/>
      <c r="THP155" s="398"/>
      <c r="THQ155" s="398"/>
      <c r="THR155" s="398"/>
      <c r="THS155" s="398"/>
      <c r="THT155" s="398"/>
      <c r="THU155" s="398"/>
      <c r="THV155" s="398"/>
      <c r="THW155" s="398"/>
      <c r="THX155" s="398"/>
      <c r="THY155" s="398"/>
      <c r="THZ155" s="398"/>
      <c r="TIA155" s="398"/>
      <c r="TIB155" s="398"/>
      <c r="TIC155" s="398"/>
      <c r="TID155" s="398"/>
      <c r="TIE155" s="398"/>
      <c r="TIF155" s="398"/>
      <c r="TIG155" s="398"/>
      <c r="TIH155" s="398"/>
      <c r="TII155" s="398"/>
      <c r="TIJ155" s="398"/>
      <c r="TIK155" s="398"/>
      <c r="TIL155" s="398"/>
      <c r="TIM155" s="398"/>
      <c r="TIN155" s="398"/>
      <c r="TIO155" s="398"/>
      <c r="TIP155" s="398"/>
      <c r="TIQ155" s="398"/>
      <c r="TIR155" s="398"/>
      <c r="TIS155" s="398"/>
      <c r="TIT155" s="398"/>
      <c r="TIU155" s="398"/>
      <c r="TIV155" s="398"/>
      <c r="TIW155" s="398"/>
      <c r="TIX155" s="398"/>
      <c r="TIY155" s="398"/>
      <c r="TIZ155" s="398"/>
      <c r="TJA155" s="398"/>
      <c r="TJB155" s="398"/>
      <c r="TJC155" s="398"/>
      <c r="TJD155" s="398"/>
      <c r="TJE155" s="398"/>
      <c r="TJF155" s="398"/>
      <c r="TJG155" s="398"/>
      <c r="TJH155" s="398"/>
      <c r="TJI155" s="398"/>
      <c r="TJJ155" s="398"/>
      <c r="TJK155" s="398"/>
      <c r="TJL155" s="398"/>
      <c r="TJM155" s="398"/>
      <c r="TJN155" s="398"/>
      <c r="TJO155" s="398"/>
      <c r="TJP155" s="398"/>
      <c r="TJQ155" s="398"/>
      <c r="TJR155" s="398"/>
      <c r="TJS155" s="398"/>
      <c r="TJT155" s="398"/>
      <c r="TJU155" s="398"/>
      <c r="TJV155" s="398"/>
      <c r="TJW155" s="398"/>
      <c r="TJX155" s="398"/>
      <c r="TJY155" s="398"/>
      <c r="TJZ155" s="398"/>
      <c r="TKA155" s="398"/>
      <c r="TKB155" s="398"/>
      <c r="TKC155" s="398"/>
      <c r="TKD155" s="398"/>
      <c r="TKE155" s="398"/>
      <c r="TKF155" s="398"/>
      <c r="TKG155" s="398"/>
      <c r="TKH155" s="398"/>
      <c r="TKI155" s="398"/>
      <c r="TKJ155" s="398"/>
      <c r="TKK155" s="398"/>
      <c r="TKL155" s="398"/>
      <c r="TKM155" s="398"/>
      <c r="TKN155" s="398"/>
      <c r="TKO155" s="398"/>
      <c r="TKP155" s="398"/>
      <c r="TKQ155" s="398"/>
      <c r="TKR155" s="398"/>
      <c r="TKS155" s="398"/>
      <c r="TKT155" s="398"/>
      <c r="TKU155" s="398"/>
      <c r="TKV155" s="398"/>
      <c r="TKW155" s="398"/>
      <c r="TKX155" s="398"/>
      <c r="TKY155" s="398"/>
      <c r="TKZ155" s="398"/>
      <c r="TLA155" s="398"/>
      <c r="TLB155" s="398"/>
      <c r="TLC155" s="398"/>
      <c r="TLD155" s="398"/>
      <c r="TLE155" s="398"/>
      <c r="TLF155" s="398"/>
      <c r="TLG155" s="398"/>
      <c r="TLH155" s="398"/>
      <c r="TLI155" s="398"/>
      <c r="TLJ155" s="398"/>
      <c r="TLK155" s="398"/>
      <c r="TLL155" s="398"/>
      <c r="TLM155" s="398"/>
      <c r="TLN155" s="398"/>
      <c r="TLO155" s="398"/>
      <c r="TLP155" s="398"/>
      <c r="TLQ155" s="398"/>
      <c r="TLR155" s="398"/>
      <c r="TLS155" s="398"/>
      <c r="TLT155" s="398"/>
      <c r="TLU155" s="398"/>
      <c r="TLV155" s="398"/>
      <c r="TLW155" s="398"/>
      <c r="TLX155" s="398"/>
      <c r="TLY155" s="398"/>
      <c r="TLZ155" s="398"/>
      <c r="TMA155" s="398"/>
      <c r="TMB155" s="398"/>
      <c r="TMC155" s="398"/>
      <c r="TMD155" s="398"/>
      <c r="TME155" s="398"/>
      <c r="TMF155" s="398"/>
      <c r="TMG155" s="398"/>
      <c r="TMH155" s="398"/>
      <c r="TMI155" s="398"/>
      <c r="TMJ155" s="398"/>
      <c r="TMK155" s="398"/>
      <c r="TML155" s="398"/>
      <c r="TMM155" s="398"/>
      <c r="TMN155" s="398"/>
      <c r="TMO155" s="398"/>
      <c r="TMP155" s="398"/>
      <c r="TMQ155" s="398"/>
      <c r="TMR155" s="398"/>
      <c r="TMS155" s="398"/>
      <c r="TMT155" s="398"/>
      <c r="TMU155" s="398"/>
      <c r="TMV155" s="398"/>
      <c r="TMW155" s="398"/>
      <c r="TMX155" s="398"/>
      <c r="TMY155" s="398"/>
      <c r="TMZ155" s="398"/>
      <c r="TNA155" s="398"/>
      <c r="TNB155" s="398"/>
      <c r="TNC155" s="398"/>
      <c r="TND155" s="398"/>
      <c r="TNE155" s="398"/>
      <c r="TNF155" s="398"/>
      <c r="TNG155" s="398"/>
      <c r="TNH155" s="398"/>
      <c r="TNI155" s="398"/>
      <c r="TNJ155" s="398"/>
      <c r="TNK155" s="398"/>
      <c r="TNL155" s="398"/>
      <c r="TNM155" s="398"/>
      <c r="TNN155" s="398"/>
      <c r="TNO155" s="398"/>
      <c r="TNP155" s="398"/>
      <c r="TNQ155" s="398"/>
      <c r="TNR155" s="398"/>
      <c r="TNS155" s="398"/>
      <c r="TNT155" s="398"/>
      <c r="TNU155" s="398"/>
      <c r="TNV155" s="398"/>
      <c r="TNW155" s="398"/>
      <c r="TNX155" s="398"/>
      <c r="TNY155" s="398"/>
      <c r="TNZ155" s="398"/>
      <c r="TOA155" s="398"/>
      <c r="TOB155" s="398"/>
      <c r="TOC155" s="398"/>
      <c r="TOD155" s="398"/>
      <c r="TOE155" s="398"/>
      <c r="TOF155" s="398"/>
      <c r="TOG155" s="398"/>
      <c r="TOH155" s="398"/>
      <c r="TOI155" s="398"/>
      <c r="TOJ155" s="398"/>
      <c r="TOK155" s="398"/>
      <c r="TOL155" s="398"/>
      <c r="TOM155" s="398"/>
      <c r="TON155" s="398"/>
      <c r="TOO155" s="398"/>
      <c r="TOP155" s="398"/>
      <c r="TOQ155" s="398"/>
      <c r="TOR155" s="398"/>
      <c r="TOS155" s="398"/>
      <c r="TOT155" s="398"/>
      <c r="TOU155" s="398"/>
      <c r="TOV155" s="398"/>
      <c r="TOW155" s="398"/>
      <c r="TOX155" s="398"/>
      <c r="TOY155" s="398"/>
      <c r="TOZ155" s="398"/>
      <c r="TPA155" s="398"/>
      <c r="TPB155" s="398"/>
      <c r="TPC155" s="398"/>
      <c r="TPD155" s="398"/>
      <c r="TPE155" s="398"/>
      <c r="TPF155" s="398"/>
      <c r="TPG155" s="398"/>
      <c r="TPH155" s="398"/>
      <c r="TPI155" s="398"/>
      <c r="TPJ155" s="398"/>
      <c r="TPK155" s="398"/>
      <c r="TPL155" s="398"/>
      <c r="TPM155" s="398"/>
      <c r="TPN155" s="398"/>
      <c r="TPO155" s="398"/>
      <c r="TPP155" s="398"/>
      <c r="TPQ155" s="398"/>
      <c r="TPR155" s="398"/>
      <c r="TPS155" s="398"/>
      <c r="TPT155" s="398"/>
      <c r="TPU155" s="398"/>
      <c r="TPV155" s="398"/>
      <c r="TPW155" s="398"/>
      <c r="TPX155" s="398"/>
      <c r="TPY155" s="398"/>
      <c r="TPZ155" s="398"/>
      <c r="TQA155" s="398"/>
      <c r="TQB155" s="398"/>
      <c r="TQC155" s="398"/>
      <c r="TQD155" s="398"/>
      <c r="TQE155" s="398"/>
      <c r="TQF155" s="398"/>
      <c r="TQG155" s="398"/>
      <c r="TQH155" s="398"/>
      <c r="TQI155" s="398"/>
      <c r="TQJ155" s="398"/>
      <c r="TQK155" s="398"/>
      <c r="TQL155" s="398"/>
      <c r="TQM155" s="398"/>
      <c r="TQN155" s="398"/>
      <c r="TQO155" s="398"/>
      <c r="TQP155" s="398"/>
      <c r="TQQ155" s="398"/>
      <c r="TQR155" s="398"/>
      <c r="TQS155" s="398"/>
      <c r="TQT155" s="398"/>
      <c r="TQU155" s="398"/>
      <c r="TQV155" s="398"/>
      <c r="TQW155" s="398"/>
      <c r="TQX155" s="398"/>
      <c r="TQY155" s="398"/>
      <c r="TQZ155" s="398"/>
      <c r="TRA155" s="398"/>
      <c r="TRB155" s="398"/>
      <c r="TRC155" s="398"/>
      <c r="TRD155" s="398"/>
      <c r="TRE155" s="398"/>
      <c r="TRF155" s="398"/>
      <c r="TRG155" s="398"/>
      <c r="TRH155" s="398"/>
      <c r="TRI155" s="398"/>
      <c r="TRJ155" s="398"/>
      <c r="TRK155" s="398"/>
      <c r="TRL155" s="398"/>
      <c r="TRM155" s="398"/>
      <c r="TRN155" s="398"/>
      <c r="TRO155" s="398"/>
      <c r="TRP155" s="398"/>
      <c r="TRQ155" s="398"/>
      <c r="TRR155" s="398"/>
      <c r="TRS155" s="398"/>
      <c r="TRT155" s="398"/>
      <c r="TRU155" s="398"/>
      <c r="TRV155" s="398"/>
      <c r="TRW155" s="398"/>
      <c r="TRX155" s="398"/>
      <c r="TRY155" s="398"/>
      <c r="TRZ155" s="398"/>
      <c r="TSA155" s="398"/>
      <c r="TSB155" s="398"/>
      <c r="TSC155" s="398"/>
      <c r="TSD155" s="398"/>
      <c r="TSE155" s="398"/>
      <c r="TSF155" s="398"/>
      <c r="TSG155" s="398"/>
      <c r="TSH155" s="398"/>
      <c r="TSI155" s="398"/>
      <c r="TSJ155" s="398"/>
      <c r="TSK155" s="398"/>
      <c r="TSL155" s="398"/>
      <c r="TSM155" s="398"/>
      <c r="TSN155" s="398"/>
      <c r="TSO155" s="398"/>
      <c r="TSP155" s="398"/>
      <c r="TSQ155" s="398"/>
      <c r="TSR155" s="398"/>
      <c r="TSS155" s="398"/>
      <c r="TST155" s="398"/>
      <c r="TSU155" s="398"/>
      <c r="TSV155" s="398"/>
      <c r="TSW155" s="398"/>
      <c r="TSX155" s="398"/>
      <c r="TSY155" s="398"/>
      <c r="TSZ155" s="398"/>
      <c r="TTA155" s="398"/>
      <c r="TTB155" s="398"/>
      <c r="TTC155" s="398"/>
      <c r="TTD155" s="398"/>
      <c r="TTE155" s="398"/>
      <c r="TTF155" s="398"/>
      <c r="TTG155" s="398"/>
      <c r="TTH155" s="398"/>
      <c r="TTI155" s="398"/>
      <c r="TTJ155" s="398"/>
      <c r="TTK155" s="398"/>
      <c r="TTL155" s="398"/>
      <c r="TTM155" s="398"/>
      <c r="TTN155" s="398"/>
      <c r="TTO155" s="398"/>
      <c r="TTP155" s="398"/>
      <c r="TTQ155" s="398"/>
      <c r="TTR155" s="398"/>
      <c r="TTS155" s="398"/>
      <c r="TTT155" s="398"/>
      <c r="TTU155" s="398"/>
      <c r="TTV155" s="398"/>
      <c r="TTW155" s="398"/>
      <c r="TTX155" s="398"/>
      <c r="TTY155" s="398"/>
      <c r="TTZ155" s="398"/>
      <c r="TUA155" s="398"/>
      <c r="TUB155" s="398"/>
      <c r="TUC155" s="398"/>
      <c r="TUD155" s="398"/>
      <c r="TUE155" s="398"/>
      <c r="TUF155" s="398"/>
      <c r="TUG155" s="398"/>
      <c r="TUH155" s="398"/>
      <c r="TUI155" s="398"/>
      <c r="TUJ155" s="398"/>
      <c r="TUK155" s="398"/>
      <c r="TUL155" s="398"/>
      <c r="TUM155" s="398"/>
      <c r="TUN155" s="398"/>
      <c r="TUO155" s="398"/>
      <c r="TUP155" s="398"/>
      <c r="TUQ155" s="398"/>
      <c r="TUR155" s="398"/>
      <c r="TUS155" s="398"/>
      <c r="TUT155" s="398"/>
      <c r="TUU155" s="398"/>
      <c r="TUV155" s="398"/>
      <c r="TUW155" s="398"/>
      <c r="TUX155" s="398"/>
      <c r="TUY155" s="398"/>
      <c r="TUZ155" s="398"/>
      <c r="TVA155" s="398"/>
      <c r="TVB155" s="398"/>
      <c r="TVC155" s="398"/>
      <c r="TVD155" s="398"/>
      <c r="TVE155" s="398"/>
      <c r="TVF155" s="398"/>
      <c r="TVG155" s="398"/>
      <c r="TVH155" s="398"/>
      <c r="TVI155" s="398"/>
      <c r="TVJ155" s="398"/>
      <c r="TVK155" s="398"/>
      <c r="TVL155" s="398"/>
      <c r="TVM155" s="398"/>
      <c r="TVN155" s="398"/>
      <c r="TVO155" s="398"/>
      <c r="TVP155" s="398"/>
      <c r="TVQ155" s="398"/>
      <c r="TVR155" s="398"/>
      <c r="TVS155" s="398"/>
      <c r="TVT155" s="398"/>
      <c r="TVU155" s="398"/>
      <c r="TVV155" s="398"/>
      <c r="TVW155" s="398"/>
      <c r="TVX155" s="398"/>
      <c r="TVY155" s="398"/>
      <c r="TVZ155" s="398"/>
      <c r="TWA155" s="398"/>
      <c r="TWB155" s="398"/>
      <c r="TWC155" s="398"/>
      <c r="TWD155" s="398"/>
      <c r="TWE155" s="398"/>
      <c r="TWF155" s="398"/>
      <c r="TWG155" s="398"/>
      <c r="TWH155" s="398"/>
      <c r="TWI155" s="398"/>
      <c r="TWJ155" s="398"/>
      <c r="TWK155" s="398"/>
      <c r="TWL155" s="398"/>
      <c r="TWM155" s="398"/>
      <c r="TWN155" s="398"/>
      <c r="TWO155" s="398"/>
      <c r="TWP155" s="398"/>
      <c r="TWQ155" s="398"/>
      <c r="TWR155" s="398"/>
      <c r="TWS155" s="398"/>
      <c r="TWT155" s="398"/>
      <c r="TWU155" s="398"/>
      <c r="TWV155" s="398"/>
      <c r="TWW155" s="398"/>
      <c r="TWX155" s="398"/>
      <c r="TWY155" s="398"/>
      <c r="TWZ155" s="398"/>
      <c r="TXA155" s="398"/>
      <c r="TXB155" s="398"/>
      <c r="TXC155" s="398"/>
      <c r="TXD155" s="398"/>
      <c r="TXE155" s="398"/>
      <c r="TXF155" s="398"/>
      <c r="TXG155" s="398"/>
      <c r="TXH155" s="398"/>
      <c r="TXI155" s="398"/>
      <c r="TXJ155" s="398"/>
      <c r="TXK155" s="398"/>
      <c r="TXL155" s="398"/>
      <c r="TXM155" s="398"/>
      <c r="TXN155" s="398"/>
      <c r="TXO155" s="398"/>
      <c r="TXP155" s="398"/>
      <c r="TXQ155" s="398"/>
      <c r="TXR155" s="398"/>
      <c r="TXS155" s="398"/>
      <c r="TXT155" s="398"/>
      <c r="TXU155" s="398"/>
      <c r="TXV155" s="398"/>
      <c r="TXW155" s="398"/>
      <c r="TXX155" s="398"/>
      <c r="TXY155" s="398"/>
      <c r="TXZ155" s="398"/>
      <c r="TYA155" s="398"/>
      <c r="TYB155" s="398"/>
      <c r="TYC155" s="398"/>
      <c r="TYD155" s="398"/>
      <c r="TYE155" s="398"/>
      <c r="TYF155" s="398"/>
      <c r="TYG155" s="398"/>
      <c r="TYH155" s="398"/>
      <c r="TYI155" s="398"/>
      <c r="TYJ155" s="398"/>
      <c r="TYK155" s="398"/>
      <c r="TYL155" s="398"/>
      <c r="TYM155" s="398"/>
      <c r="TYN155" s="398"/>
      <c r="TYO155" s="398"/>
      <c r="TYP155" s="398"/>
      <c r="TYQ155" s="398"/>
      <c r="TYR155" s="398"/>
      <c r="TYS155" s="398"/>
      <c r="TYT155" s="398"/>
      <c r="TYU155" s="398"/>
      <c r="TYV155" s="398"/>
      <c r="TYW155" s="398"/>
      <c r="TYX155" s="398"/>
      <c r="TYY155" s="398"/>
      <c r="TYZ155" s="398"/>
      <c r="TZA155" s="398"/>
      <c r="TZB155" s="398"/>
      <c r="TZC155" s="398"/>
      <c r="TZD155" s="398"/>
      <c r="TZE155" s="398"/>
      <c r="TZF155" s="398"/>
      <c r="TZG155" s="398"/>
      <c r="TZH155" s="398"/>
      <c r="TZI155" s="398"/>
      <c r="TZJ155" s="398"/>
      <c r="TZK155" s="398"/>
      <c r="TZL155" s="398"/>
      <c r="TZM155" s="398"/>
      <c r="TZN155" s="398"/>
      <c r="TZO155" s="398"/>
      <c r="TZP155" s="398"/>
      <c r="TZQ155" s="398"/>
      <c r="TZR155" s="398"/>
      <c r="TZS155" s="398"/>
      <c r="TZT155" s="398"/>
      <c r="TZU155" s="398"/>
      <c r="TZV155" s="398"/>
      <c r="TZW155" s="398"/>
      <c r="TZX155" s="398"/>
      <c r="TZY155" s="398"/>
      <c r="TZZ155" s="398"/>
      <c r="UAA155" s="398"/>
      <c r="UAB155" s="398"/>
      <c r="UAC155" s="398"/>
      <c r="UAD155" s="398"/>
      <c r="UAE155" s="398"/>
      <c r="UAF155" s="398"/>
      <c r="UAG155" s="398"/>
      <c r="UAH155" s="398"/>
      <c r="UAI155" s="398"/>
      <c r="UAJ155" s="398"/>
      <c r="UAK155" s="398"/>
      <c r="UAL155" s="398"/>
      <c r="UAM155" s="398"/>
      <c r="UAN155" s="398"/>
      <c r="UAO155" s="398"/>
      <c r="UAP155" s="398"/>
      <c r="UAQ155" s="398"/>
      <c r="UAR155" s="398"/>
      <c r="UAS155" s="398"/>
      <c r="UAT155" s="398"/>
      <c r="UAU155" s="398"/>
      <c r="UAV155" s="398"/>
      <c r="UAW155" s="398"/>
      <c r="UAX155" s="398"/>
      <c r="UAY155" s="398"/>
      <c r="UAZ155" s="398"/>
      <c r="UBA155" s="398"/>
      <c r="UBB155" s="398"/>
      <c r="UBC155" s="398"/>
      <c r="UBD155" s="398"/>
      <c r="UBE155" s="398"/>
      <c r="UBF155" s="398"/>
      <c r="UBG155" s="398"/>
      <c r="UBH155" s="398"/>
      <c r="UBI155" s="398"/>
      <c r="UBJ155" s="398"/>
      <c r="UBK155" s="398"/>
      <c r="UBL155" s="398"/>
      <c r="UBM155" s="398"/>
      <c r="UBN155" s="398"/>
      <c r="UBO155" s="398"/>
      <c r="UBP155" s="398"/>
      <c r="UBQ155" s="398"/>
      <c r="UBR155" s="398"/>
      <c r="UBS155" s="398"/>
      <c r="UBT155" s="398"/>
      <c r="UBU155" s="398"/>
      <c r="UBV155" s="398"/>
      <c r="UBW155" s="398"/>
      <c r="UBX155" s="398"/>
      <c r="UBY155" s="398"/>
      <c r="UBZ155" s="398"/>
      <c r="UCA155" s="398"/>
      <c r="UCB155" s="398"/>
      <c r="UCC155" s="398"/>
      <c r="UCD155" s="398"/>
      <c r="UCE155" s="398"/>
      <c r="UCF155" s="398"/>
      <c r="UCG155" s="398"/>
      <c r="UCH155" s="398"/>
      <c r="UCI155" s="398"/>
      <c r="UCJ155" s="398"/>
      <c r="UCK155" s="398"/>
      <c r="UCL155" s="398"/>
      <c r="UCM155" s="398"/>
      <c r="UCN155" s="398"/>
      <c r="UCO155" s="398"/>
      <c r="UCP155" s="398"/>
      <c r="UCQ155" s="398"/>
      <c r="UCR155" s="398"/>
      <c r="UCS155" s="398"/>
      <c r="UCT155" s="398"/>
      <c r="UCU155" s="398"/>
      <c r="UCV155" s="398"/>
      <c r="UCW155" s="398"/>
      <c r="UCX155" s="398"/>
      <c r="UCY155" s="398"/>
      <c r="UCZ155" s="398"/>
      <c r="UDA155" s="398"/>
      <c r="UDB155" s="398"/>
      <c r="UDC155" s="398"/>
      <c r="UDD155" s="398"/>
      <c r="UDE155" s="398"/>
      <c r="UDF155" s="398"/>
      <c r="UDG155" s="398"/>
      <c r="UDH155" s="398"/>
      <c r="UDI155" s="398"/>
      <c r="UDJ155" s="398"/>
      <c r="UDK155" s="398"/>
      <c r="UDL155" s="398"/>
      <c r="UDM155" s="398"/>
      <c r="UDN155" s="398"/>
      <c r="UDO155" s="398"/>
      <c r="UDP155" s="398"/>
      <c r="UDQ155" s="398"/>
      <c r="UDR155" s="398"/>
      <c r="UDS155" s="398"/>
      <c r="UDT155" s="398"/>
      <c r="UDU155" s="398"/>
      <c r="UDV155" s="398"/>
      <c r="UDW155" s="398"/>
      <c r="UDX155" s="398"/>
      <c r="UDY155" s="398"/>
      <c r="UDZ155" s="398"/>
      <c r="UEA155" s="398"/>
      <c r="UEB155" s="398"/>
      <c r="UEC155" s="398"/>
      <c r="UED155" s="398"/>
      <c r="UEE155" s="398"/>
      <c r="UEF155" s="398"/>
      <c r="UEG155" s="398"/>
      <c r="UEH155" s="398"/>
      <c r="UEI155" s="398"/>
      <c r="UEJ155" s="398"/>
      <c r="UEK155" s="398"/>
      <c r="UEL155" s="398"/>
      <c r="UEM155" s="398"/>
      <c r="UEN155" s="398"/>
      <c r="UEO155" s="398"/>
      <c r="UEP155" s="398"/>
      <c r="UEQ155" s="398"/>
      <c r="UER155" s="398"/>
      <c r="UES155" s="398"/>
      <c r="UET155" s="398"/>
      <c r="UEU155" s="398"/>
      <c r="UEV155" s="398"/>
      <c r="UEW155" s="398"/>
      <c r="UEX155" s="398"/>
      <c r="UEY155" s="398"/>
      <c r="UEZ155" s="398"/>
      <c r="UFA155" s="398"/>
      <c r="UFB155" s="398"/>
      <c r="UFC155" s="398"/>
      <c r="UFD155" s="398"/>
      <c r="UFE155" s="398"/>
      <c r="UFF155" s="398"/>
      <c r="UFG155" s="398"/>
      <c r="UFH155" s="398"/>
      <c r="UFI155" s="398"/>
      <c r="UFJ155" s="398"/>
      <c r="UFK155" s="398"/>
      <c r="UFL155" s="398"/>
      <c r="UFM155" s="398"/>
      <c r="UFN155" s="398"/>
      <c r="UFO155" s="398"/>
      <c r="UFP155" s="398"/>
      <c r="UFQ155" s="398"/>
      <c r="UFR155" s="398"/>
      <c r="UFS155" s="398"/>
      <c r="UFT155" s="398"/>
      <c r="UFU155" s="398"/>
      <c r="UFV155" s="398"/>
      <c r="UFW155" s="398"/>
      <c r="UFX155" s="398"/>
      <c r="UFY155" s="398"/>
      <c r="UFZ155" s="398"/>
      <c r="UGA155" s="398"/>
      <c r="UGB155" s="398"/>
      <c r="UGC155" s="398"/>
      <c r="UGD155" s="398"/>
      <c r="UGE155" s="398"/>
      <c r="UGF155" s="398"/>
      <c r="UGG155" s="398"/>
      <c r="UGH155" s="398"/>
      <c r="UGI155" s="398"/>
      <c r="UGJ155" s="398"/>
      <c r="UGK155" s="398"/>
      <c r="UGL155" s="398"/>
      <c r="UGM155" s="398"/>
      <c r="UGN155" s="398"/>
      <c r="UGO155" s="398"/>
      <c r="UGP155" s="398"/>
      <c r="UGQ155" s="398"/>
      <c r="UGR155" s="398"/>
      <c r="UGS155" s="398"/>
      <c r="UGT155" s="398"/>
      <c r="UGU155" s="398"/>
      <c r="UGV155" s="398"/>
      <c r="UGW155" s="398"/>
      <c r="UGX155" s="398"/>
      <c r="UGY155" s="398"/>
      <c r="UGZ155" s="398"/>
      <c r="UHA155" s="398"/>
      <c r="UHB155" s="398"/>
      <c r="UHC155" s="398"/>
      <c r="UHD155" s="398"/>
      <c r="UHE155" s="398"/>
      <c r="UHF155" s="398"/>
      <c r="UHG155" s="398"/>
      <c r="UHH155" s="398"/>
      <c r="UHI155" s="398"/>
      <c r="UHJ155" s="398"/>
      <c r="UHK155" s="398"/>
      <c r="UHL155" s="398"/>
      <c r="UHM155" s="398"/>
      <c r="UHN155" s="398"/>
      <c r="UHO155" s="398"/>
      <c r="UHP155" s="398"/>
      <c r="UHQ155" s="398"/>
      <c r="UHR155" s="398"/>
      <c r="UHS155" s="398"/>
      <c r="UHT155" s="398"/>
      <c r="UHU155" s="398"/>
      <c r="UHV155" s="398"/>
      <c r="UHW155" s="398"/>
      <c r="UHX155" s="398"/>
      <c r="UHY155" s="398"/>
      <c r="UHZ155" s="398"/>
      <c r="UIA155" s="398"/>
      <c r="UIB155" s="398"/>
      <c r="UIC155" s="398"/>
      <c r="UID155" s="398"/>
      <c r="UIE155" s="398"/>
      <c r="UIF155" s="398"/>
      <c r="UIG155" s="398"/>
      <c r="UIH155" s="398"/>
      <c r="UII155" s="398"/>
      <c r="UIJ155" s="398"/>
      <c r="UIK155" s="398"/>
      <c r="UIL155" s="398"/>
      <c r="UIM155" s="398"/>
      <c r="UIN155" s="398"/>
      <c r="UIO155" s="398"/>
      <c r="UIP155" s="398"/>
      <c r="UIQ155" s="398"/>
      <c r="UIR155" s="398"/>
      <c r="UIS155" s="398"/>
      <c r="UIT155" s="398"/>
      <c r="UIU155" s="398"/>
      <c r="UIV155" s="398"/>
      <c r="UIW155" s="398"/>
      <c r="UIX155" s="398"/>
      <c r="UIY155" s="398"/>
      <c r="UIZ155" s="398"/>
      <c r="UJA155" s="398"/>
      <c r="UJB155" s="398"/>
      <c r="UJC155" s="398"/>
      <c r="UJD155" s="398"/>
      <c r="UJE155" s="398"/>
      <c r="UJF155" s="398"/>
      <c r="UJG155" s="398"/>
      <c r="UJH155" s="398"/>
      <c r="UJI155" s="398"/>
      <c r="UJJ155" s="398"/>
      <c r="UJK155" s="398"/>
      <c r="UJL155" s="398"/>
      <c r="UJM155" s="398"/>
      <c r="UJN155" s="398"/>
      <c r="UJO155" s="398"/>
      <c r="UJP155" s="398"/>
      <c r="UJQ155" s="398"/>
      <c r="UJR155" s="398"/>
      <c r="UJS155" s="398"/>
      <c r="UJT155" s="398"/>
      <c r="UJU155" s="398"/>
      <c r="UJV155" s="398"/>
      <c r="UJW155" s="398"/>
      <c r="UJX155" s="398"/>
      <c r="UJY155" s="398"/>
      <c r="UJZ155" s="398"/>
      <c r="UKA155" s="398"/>
      <c r="UKB155" s="398"/>
      <c r="UKC155" s="398"/>
      <c r="UKD155" s="398"/>
      <c r="UKE155" s="398"/>
      <c r="UKF155" s="398"/>
      <c r="UKG155" s="398"/>
      <c r="UKH155" s="398"/>
      <c r="UKI155" s="398"/>
      <c r="UKJ155" s="398"/>
      <c r="UKK155" s="398"/>
      <c r="UKL155" s="398"/>
      <c r="UKM155" s="398"/>
      <c r="UKN155" s="398"/>
      <c r="UKO155" s="398"/>
      <c r="UKP155" s="398"/>
      <c r="UKQ155" s="398"/>
      <c r="UKR155" s="398"/>
      <c r="UKS155" s="398"/>
      <c r="UKT155" s="398"/>
      <c r="UKU155" s="398"/>
      <c r="UKV155" s="398"/>
      <c r="UKW155" s="398"/>
      <c r="UKX155" s="398"/>
      <c r="UKY155" s="398"/>
      <c r="UKZ155" s="398"/>
      <c r="ULA155" s="398"/>
      <c r="ULB155" s="398"/>
      <c r="ULC155" s="398"/>
      <c r="ULD155" s="398"/>
      <c r="ULE155" s="398"/>
      <c r="ULF155" s="398"/>
      <c r="ULG155" s="398"/>
      <c r="ULH155" s="398"/>
      <c r="ULI155" s="398"/>
      <c r="ULJ155" s="398"/>
      <c r="ULK155" s="398"/>
      <c r="ULL155" s="398"/>
      <c r="ULM155" s="398"/>
      <c r="ULN155" s="398"/>
      <c r="ULO155" s="398"/>
      <c r="ULP155" s="398"/>
      <c r="ULQ155" s="398"/>
      <c r="ULR155" s="398"/>
      <c r="ULS155" s="398"/>
      <c r="ULT155" s="398"/>
      <c r="ULU155" s="398"/>
      <c r="ULV155" s="398"/>
      <c r="ULW155" s="398"/>
      <c r="ULX155" s="398"/>
      <c r="ULY155" s="398"/>
      <c r="ULZ155" s="398"/>
      <c r="UMA155" s="398"/>
      <c r="UMB155" s="398"/>
      <c r="UMC155" s="398"/>
      <c r="UMD155" s="398"/>
      <c r="UME155" s="398"/>
      <c r="UMF155" s="398"/>
      <c r="UMG155" s="398"/>
      <c r="UMH155" s="398"/>
      <c r="UMI155" s="398"/>
      <c r="UMJ155" s="398"/>
      <c r="UMK155" s="398"/>
      <c r="UML155" s="398"/>
      <c r="UMM155" s="398"/>
      <c r="UMN155" s="398"/>
      <c r="UMO155" s="398"/>
      <c r="UMP155" s="398"/>
      <c r="UMQ155" s="398"/>
      <c r="UMR155" s="398"/>
      <c r="UMS155" s="398"/>
      <c r="UMT155" s="398"/>
      <c r="UMU155" s="398"/>
      <c r="UMV155" s="398"/>
      <c r="UMW155" s="398"/>
      <c r="UMX155" s="398"/>
      <c r="UMY155" s="398"/>
      <c r="UMZ155" s="398"/>
      <c r="UNA155" s="398"/>
      <c r="UNB155" s="398"/>
      <c r="UNC155" s="398"/>
      <c r="UND155" s="398"/>
      <c r="UNE155" s="398"/>
      <c r="UNF155" s="398"/>
      <c r="UNG155" s="398"/>
      <c r="UNH155" s="398"/>
      <c r="UNI155" s="398"/>
      <c r="UNJ155" s="398"/>
      <c r="UNK155" s="398"/>
      <c r="UNL155" s="398"/>
      <c r="UNM155" s="398"/>
      <c r="UNN155" s="398"/>
      <c r="UNO155" s="398"/>
      <c r="UNP155" s="398"/>
      <c r="UNQ155" s="398"/>
      <c r="UNR155" s="398"/>
      <c r="UNS155" s="398"/>
      <c r="UNT155" s="398"/>
      <c r="UNU155" s="398"/>
      <c r="UNV155" s="398"/>
      <c r="UNW155" s="398"/>
      <c r="UNX155" s="398"/>
      <c r="UNY155" s="398"/>
      <c r="UNZ155" s="398"/>
      <c r="UOA155" s="398"/>
      <c r="UOB155" s="398"/>
      <c r="UOC155" s="398"/>
      <c r="UOD155" s="398"/>
      <c r="UOE155" s="398"/>
      <c r="UOF155" s="398"/>
      <c r="UOG155" s="398"/>
      <c r="UOH155" s="398"/>
      <c r="UOI155" s="398"/>
      <c r="UOJ155" s="398"/>
      <c r="UOK155" s="398"/>
      <c r="UOL155" s="398"/>
      <c r="UOM155" s="398"/>
      <c r="UON155" s="398"/>
      <c r="UOO155" s="398"/>
      <c r="UOP155" s="398"/>
      <c r="UOQ155" s="398"/>
      <c r="UOR155" s="398"/>
      <c r="UOS155" s="398"/>
      <c r="UOT155" s="398"/>
      <c r="UOU155" s="398"/>
      <c r="UOV155" s="398"/>
      <c r="UOW155" s="398"/>
      <c r="UOX155" s="398"/>
      <c r="UOY155" s="398"/>
      <c r="UOZ155" s="398"/>
      <c r="UPA155" s="398"/>
      <c r="UPB155" s="398"/>
      <c r="UPC155" s="398"/>
      <c r="UPD155" s="398"/>
      <c r="UPE155" s="398"/>
      <c r="UPF155" s="398"/>
      <c r="UPG155" s="398"/>
      <c r="UPH155" s="398"/>
      <c r="UPI155" s="398"/>
      <c r="UPJ155" s="398"/>
      <c r="UPK155" s="398"/>
      <c r="UPL155" s="398"/>
      <c r="UPM155" s="398"/>
      <c r="UPN155" s="398"/>
      <c r="UPO155" s="398"/>
      <c r="UPP155" s="398"/>
      <c r="UPQ155" s="398"/>
      <c r="UPR155" s="398"/>
      <c r="UPS155" s="398"/>
      <c r="UPT155" s="398"/>
      <c r="UPU155" s="398"/>
      <c r="UPV155" s="398"/>
      <c r="UPW155" s="398"/>
      <c r="UPX155" s="398"/>
      <c r="UPY155" s="398"/>
      <c r="UPZ155" s="398"/>
      <c r="UQA155" s="398"/>
      <c r="UQB155" s="398"/>
      <c r="UQC155" s="398"/>
      <c r="UQD155" s="398"/>
      <c r="UQE155" s="398"/>
      <c r="UQF155" s="398"/>
      <c r="UQG155" s="398"/>
      <c r="UQH155" s="398"/>
      <c r="UQI155" s="398"/>
      <c r="UQJ155" s="398"/>
      <c r="UQK155" s="398"/>
      <c r="UQL155" s="398"/>
      <c r="UQM155" s="398"/>
      <c r="UQN155" s="398"/>
      <c r="UQO155" s="398"/>
      <c r="UQP155" s="398"/>
      <c r="UQQ155" s="398"/>
      <c r="UQR155" s="398"/>
      <c r="UQS155" s="398"/>
      <c r="UQT155" s="398"/>
      <c r="UQU155" s="398"/>
      <c r="UQV155" s="398"/>
      <c r="UQW155" s="398"/>
      <c r="UQX155" s="398"/>
      <c r="UQY155" s="398"/>
      <c r="UQZ155" s="398"/>
      <c r="URA155" s="398"/>
      <c r="URB155" s="398"/>
      <c r="URC155" s="398"/>
      <c r="URD155" s="398"/>
      <c r="URE155" s="398"/>
      <c r="URF155" s="398"/>
      <c r="URG155" s="398"/>
      <c r="URH155" s="398"/>
      <c r="URI155" s="398"/>
      <c r="URJ155" s="398"/>
      <c r="URK155" s="398"/>
      <c r="URL155" s="398"/>
      <c r="URM155" s="398"/>
      <c r="URN155" s="398"/>
      <c r="URO155" s="398"/>
      <c r="URP155" s="398"/>
      <c r="URQ155" s="398"/>
      <c r="URR155" s="398"/>
      <c r="URS155" s="398"/>
      <c r="URT155" s="398"/>
      <c r="URU155" s="398"/>
      <c r="URV155" s="398"/>
      <c r="URW155" s="398"/>
      <c r="URX155" s="398"/>
      <c r="URY155" s="398"/>
      <c r="URZ155" s="398"/>
      <c r="USA155" s="398"/>
      <c r="USB155" s="398"/>
      <c r="USC155" s="398"/>
      <c r="USD155" s="398"/>
      <c r="USE155" s="398"/>
      <c r="USF155" s="398"/>
      <c r="USG155" s="398"/>
      <c r="USH155" s="398"/>
      <c r="USI155" s="398"/>
      <c r="USJ155" s="398"/>
      <c r="USK155" s="398"/>
      <c r="USL155" s="398"/>
      <c r="USM155" s="398"/>
      <c r="USN155" s="398"/>
      <c r="USO155" s="398"/>
      <c r="USP155" s="398"/>
      <c r="USQ155" s="398"/>
      <c r="USR155" s="398"/>
      <c r="USS155" s="398"/>
      <c r="UST155" s="398"/>
      <c r="USU155" s="398"/>
      <c r="USV155" s="398"/>
      <c r="USW155" s="398"/>
      <c r="USX155" s="398"/>
      <c r="USY155" s="398"/>
      <c r="USZ155" s="398"/>
      <c r="UTA155" s="398"/>
      <c r="UTB155" s="398"/>
      <c r="UTC155" s="398"/>
      <c r="UTD155" s="398"/>
      <c r="UTE155" s="398"/>
      <c r="UTF155" s="398"/>
      <c r="UTG155" s="398"/>
      <c r="UTH155" s="398"/>
      <c r="UTI155" s="398"/>
      <c r="UTJ155" s="398"/>
      <c r="UTK155" s="398"/>
      <c r="UTL155" s="398"/>
      <c r="UTM155" s="398"/>
      <c r="UTN155" s="398"/>
      <c r="UTO155" s="398"/>
      <c r="UTP155" s="398"/>
      <c r="UTQ155" s="398"/>
      <c r="UTR155" s="398"/>
      <c r="UTS155" s="398"/>
      <c r="UTT155" s="398"/>
      <c r="UTU155" s="398"/>
      <c r="UTV155" s="398"/>
      <c r="UTW155" s="398"/>
      <c r="UTX155" s="398"/>
      <c r="UTY155" s="398"/>
      <c r="UTZ155" s="398"/>
      <c r="UUA155" s="398"/>
      <c r="UUB155" s="398"/>
      <c r="UUC155" s="398"/>
      <c r="UUD155" s="398"/>
      <c r="UUE155" s="398"/>
      <c r="UUF155" s="398"/>
      <c r="UUG155" s="398"/>
      <c r="UUH155" s="398"/>
      <c r="UUI155" s="398"/>
      <c r="UUJ155" s="398"/>
      <c r="UUK155" s="398"/>
      <c r="UUL155" s="398"/>
      <c r="UUM155" s="398"/>
      <c r="UUN155" s="398"/>
      <c r="UUO155" s="398"/>
      <c r="UUP155" s="398"/>
      <c r="UUQ155" s="398"/>
      <c r="UUR155" s="398"/>
      <c r="UUS155" s="398"/>
      <c r="UUT155" s="398"/>
      <c r="UUU155" s="398"/>
      <c r="UUV155" s="398"/>
      <c r="UUW155" s="398"/>
      <c r="UUX155" s="398"/>
      <c r="UUY155" s="398"/>
      <c r="UUZ155" s="398"/>
      <c r="UVA155" s="398"/>
      <c r="UVB155" s="398"/>
      <c r="UVC155" s="398"/>
      <c r="UVD155" s="398"/>
      <c r="UVE155" s="398"/>
      <c r="UVF155" s="398"/>
      <c r="UVG155" s="398"/>
      <c r="UVH155" s="398"/>
      <c r="UVI155" s="398"/>
      <c r="UVJ155" s="398"/>
      <c r="UVK155" s="398"/>
      <c r="UVL155" s="398"/>
      <c r="UVM155" s="398"/>
      <c r="UVN155" s="398"/>
      <c r="UVO155" s="398"/>
      <c r="UVP155" s="398"/>
      <c r="UVQ155" s="398"/>
      <c r="UVR155" s="398"/>
      <c r="UVS155" s="398"/>
      <c r="UVT155" s="398"/>
      <c r="UVU155" s="398"/>
      <c r="UVV155" s="398"/>
      <c r="UVW155" s="398"/>
      <c r="UVX155" s="398"/>
      <c r="UVY155" s="398"/>
      <c r="UVZ155" s="398"/>
      <c r="UWA155" s="398"/>
      <c r="UWB155" s="398"/>
      <c r="UWC155" s="398"/>
      <c r="UWD155" s="398"/>
      <c r="UWE155" s="398"/>
      <c r="UWF155" s="398"/>
      <c r="UWG155" s="398"/>
      <c r="UWH155" s="398"/>
      <c r="UWI155" s="398"/>
      <c r="UWJ155" s="398"/>
      <c r="UWK155" s="398"/>
      <c r="UWL155" s="398"/>
      <c r="UWM155" s="398"/>
      <c r="UWN155" s="398"/>
      <c r="UWO155" s="398"/>
      <c r="UWP155" s="398"/>
      <c r="UWQ155" s="398"/>
      <c r="UWR155" s="398"/>
      <c r="UWS155" s="398"/>
      <c r="UWT155" s="398"/>
      <c r="UWU155" s="398"/>
      <c r="UWV155" s="398"/>
      <c r="UWW155" s="398"/>
      <c r="UWX155" s="398"/>
      <c r="UWY155" s="398"/>
      <c r="UWZ155" s="398"/>
      <c r="UXA155" s="398"/>
      <c r="UXB155" s="398"/>
      <c r="UXC155" s="398"/>
      <c r="UXD155" s="398"/>
      <c r="UXE155" s="398"/>
      <c r="UXF155" s="398"/>
      <c r="UXG155" s="398"/>
      <c r="UXH155" s="398"/>
      <c r="UXI155" s="398"/>
      <c r="UXJ155" s="398"/>
      <c r="UXK155" s="398"/>
      <c r="UXL155" s="398"/>
      <c r="UXM155" s="398"/>
      <c r="UXN155" s="398"/>
      <c r="UXO155" s="398"/>
      <c r="UXP155" s="398"/>
      <c r="UXQ155" s="398"/>
      <c r="UXR155" s="398"/>
      <c r="UXS155" s="398"/>
      <c r="UXT155" s="398"/>
      <c r="UXU155" s="398"/>
      <c r="UXV155" s="398"/>
      <c r="UXW155" s="398"/>
      <c r="UXX155" s="398"/>
      <c r="UXY155" s="398"/>
      <c r="UXZ155" s="398"/>
      <c r="UYA155" s="398"/>
      <c r="UYB155" s="398"/>
      <c r="UYC155" s="398"/>
      <c r="UYD155" s="398"/>
      <c r="UYE155" s="398"/>
      <c r="UYF155" s="398"/>
      <c r="UYG155" s="398"/>
      <c r="UYH155" s="398"/>
      <c r="UYI155" s="398"/>
      <c r="UYJ155" s="398"/>
      <c r="UYK155" s="398"/>
      <c r="UYL155" s="398"/>
      <c r="UYM155" s="398"/>
      <c r="UYN155" s="398"/>
      <c r="UYO155" s="398"/>
      <c r="UYP155" s="398"/>
      <c r="UYQ155" s="398"/>
      <c r="UYR155" s="398"/>
      <c r="UYS155" s="398"/>
      <c r="UYT155" s="398"/>
      <c r="UYU155" s="398"/>
      <c r="UYV155" s="398"/>
      <c r="UYW155" s="398"/>
      <c r="UYX155" s="398"/>
      <c r="UYY155" s="398"/>
      <c r="UYZ155" s="398"/>
      <c r="UZA155" s="398"/>
      <c r="UZB155" s="398"/>
      <c r="UZC155" s="398"/>
      <c r="UZD155" s="398"/>
      <c r="UZE155" s="398"/>
      <c r="UZF155" s="398"/>
      <c r="UZG155" s="398"/>
      <c r="UZH155" s="398"/>
      <c r="UZI155" s="398"/>
      <c r="UZJ155" s="398"/>
      <c r="UZK155" s="398"/>
      <c r="UZL155" s="398"/>
      <c r="UZM155" s="398"/>
      <c r="UZN155" s="398"/>
      <c r="UZO155" s="398"/>
      <c r="UZP155" s="398"/>
      <c r="UZQ155" s="398"/>
      <c r="UZR155" s="398"/>
      <c r="UZS155" s="398"/>
      <c r="UZT155" s="398"/>
      <c r="UZU155" s="398"/>
      <c r="UZV155" s="398"/>
      <c r="UZW155" s="398"/>
      <c r="UZX155" s="398"/>
      <c r="UZY155" s="398"/>
      <c r="UZZ155" s="398"/>
      <c r="VAA155" s="398"/>
      <c r="VAB155" s="398"/>
      <c r="VAC155" s="398"/>
      <c r="VAD155" s="398"/>
      <c r="VAE155" s="398"/>
      <c r="VAF155" s="398"/>
      <c r="VAG155" s="398"/>
      <c r="VAH155" s="398"/>
      <c r="VAI155" s="398"/>
      <c r="VAJ155" s="398"/>
      <c r="VAK155" s="398"/>
      <c r="VAL155" s="398"/>
      <c r="VAM155" s="398"/>
      <c r="VAN155" s="398"/>
      <c r="VAO155" s="398"/>
      <c r="VAP155" s="398"/>
      <c r="VAQ155" s="398"/>
      <c r="VAR155" s="398"/>
      <c r="VAS155" s="398"/>
      <c r="VAT155" s="398"/>
      <c r="VAU155" s="398"/>
      <c r="VAV155" s="398"/>
      <c r="VAW155" s="398"/>
      <c r="VAX155" s="398"/>
      <c r="VAY155" s="398"/>
      <c r="VAZ155" s="398"/>
      <c r="VBA155" s="398"/>
      <c r="VBB155" s="398"/>
      <c r="VBC155" s="398"/>
      <c r="VBD155" s="398"/>
      <c r="VBE155" s="398"/>
      <c r="VBF155" s="398"/>
      <c r="VBG155" s="398"/>
      <c r="VBH155" s="398"/>
      <c r="VBI155" s="398"/>
      <c r="VBJ155" s="398"/>
      <c r="VBK155" s="398"/>
      <c r="VBL155" s="398"/>
      <c r="VBM155" s="398"/>
      <c r="VBN155" s="398"/>
      <c r="VBO155" s="398"/>
      <c r="VBP155" s="398"/>
      <c r="VBQ155" s="398"/>
      <c r="VBR155" s="398"/>
      <c r="VBS155" s="398"/>
      <c r="VBT155" s="398"/>
      <c r="VBU155" s="398"/>
      <c r="VBV155" s="398"/>
      <c r="VBW155" s="398"/>
      <c r="VBX155" s="398"/>
      <c r="VBY155" s="398"/>
      <c r="VBZ155" s="398"/>
      <c r="VCA155" s="398"/>
      <c r="VCB155" s="398"/>
      <c r="VCC155" s="398"/>
      <c r="VCD155" s="398"/>
      <c r="VCE155" s="398"/>
      <c r="VCF155" s="398"/>
      <c r="VCG155" s="398"/>
      <c r="VCH155" s="398"/>
      <c r="VCI155" s="398"/>
      <c r="VCJ155" s="398"/>
      <c r="VCK155" s="398"/>
      <c r="VCL155" s="398"/>
      <c r="VCM155" s="398"/>
      <c r="VCN155" s="398"/>
      <c r="VCO155" s="398"/>
      <c r="VCP155" s="398"/>
      <c r="VCQ155" s="398"/>
      <c r="VCR155" s="398"/>
      <c r="VCS155" s="398"/>
      <c r="VCT155" s="398"/>
      <c r="VCU155" s="398"/>
      <c r="VCV155" s="398"/>
      <c r="VCW155" s="398"/>
      <c r="VCX155" s="398"/>
      <c r="VCY155" s="398"/>
      <c r="VCZ155" s="398"/>
      <c r="VDA155" s="398"/>
      <c r="VDB155" s="398"/>
      <c r="VDC155" s="398"/>
      <c r="VDD155" s="398"/>
      <c r="VDE155" s="398"/>
      <c r="VDF155" s="398"/>
      <c r="VDG155" s="398"/>
      <c r="VDH155" s="398"/>
      <c r="VDI155" s="398"/>
      <c r="VDJ155" s="398"/>
      <c r="VDK155" s="398"/>
      <c r="VDL155" s="398"/>
      <c r="VDM155" s="398"/>
      <c r="VDN155" s="398"/>
      <c r="VDO155" s="398"/>
      <c r="VDP155" s="398"/>
      <c r="VDQ155" s="398"/>
      <c r="VDR155" s="398"/>
      <c r="VDS155" s="398"/>
      <c r="VDT155" s="398"/>
      <c r="VDU155" s="398"/>
      <c r="VDV155" s="398"/>
      <c r="VDW155" s="398"/>
      <c r="VDX155" s="398"/>
      <c r="VDY155" s="398"/>
      <c r="VDZ155" s="398"/>
      <c r="VEA155" s="398"/>
      <c r="VEB155" s="398"/>
      <c r="VEC155" s="398"/>
      <c r="VED155" s="398"/>
      <c r="VEE155" s="398"/>
      <c r="VEF155" s="398"/>
      <c r="VEG155" s="398"/>
      <c r="VEH155" s="398"/>
      <c r="VEI155" s="398"/>
      <c r="VEJ155" s="398"/>
      <c r="VEK155" s="398"/>
      <c r="VEL155" s="398"/>
      <c r="VEM155" s="398"/>
      <c r="VEN155" s="398"/>
      <c r="VEO155" s="398"/>
      <c r="VEP155" s="398"/>
      <c r="VEQ155" s="398"/>
      <c r="VER155" s="398"/>
      <c r="VES155" s="398"/>
      <c r="VET155" s="398"/>
      <c r="VEU155" s="398"/>
      <c r="VEV155" s="398"/>
      <c r="VEW155" s="398"/>
      <c r="VEX155" s="398"/>
      <c r="VEY155" s="398"/>
      <c r="VEZ155" s="398"/>
      <c r="VFA155" s="398"/>
      <c r="VFB155" s="398"/>
      <c r="VFC155" s="398"/>
      <c r="VFD155" s="398"/>
      <c r="VFE155" s="398"/>
      <c r="VFF155" s="398"/>
      <c r="VFG155" s="398"/>
      <c r="VFH155" s="398"/>
      <c r="VFI155" s="398"/>
      <c r="VFJ155" s="398"/>
      <c r="VFK155" s="398"/>
      <c r="VFL155" s="398"/>
      <c r="VFM155" s="398"/>
      <c r="VFN155" s="398"/>
      <c r="VFO155" s="398"/>
      <c r="VFP155" s="398"/>
      <c r="VFQ155" s="398"/>
      <c r="VFR155" s="398"/>
      <c r="VFS155" s="398"/>
      <c r="VFT155" s="398"/>
      <c r="VFU155" s="398"/>
      <c r="VFV155" s="398"/>
      <c r="VFW155" s="398"/>
      <c r="VFX155" s="398"/>
      <c r="VFY155" s="398"/>
      <c r="VFZ155" s="398"/>
      <c r="VGA155" s="398"/>
      <c r="VGB155" s="398"/>
      <c r="VGC155" s="398"/>
      <c r="VGD155" s="398"/>
      <c r="VGE155" s="398"/>
      <c r="VGF155" s="398"/>
      <c r="VGG155" s="398"/>
      <c r="VGH155" s="398"/>
      <c r="VGI155" s="398"/>
      <c r="VGJ155" s="398"/>
      <c r="VGK155" s="398"/>
      <c r="VGL155" s="398"/>
      <c r="VGM155" s="398"/>
      <c r="VGN155" s="398"/>
      <c r="VGO155" s="398"/>
      <c r="VGP155" s="398"/>
      <c r="VGQ155" s="398"/>
      <c r="VGR155" s="398"/>
      <c r="VGS155" s="398"/>
      <c r="VGT155" s="398"/>
      <c r="VGU155" s="398"/>
      <c r="VGV155" s="398"/>
      <c r="VGW155" s="398"/>
      <c r="VGX155" s="398"/>
      <c r="VGY155" s="398"/>
      <c r="VGZ155" s="398"/>
      <c r="VHA155" s="398"/>
      <c r="VHB155" s="398"/>
      <c r="VHC155" s="398"/>
      <c r="VHD155" s="398"/>
      <c r="VHE155" s="398"/>
      <c r="VHF155" s="398"/>
      <c r="VHG155" s="398"/>
      <c r="VHH155" s="398"/>
      <c r="VHI155" s="398"/>
      <c r="VHJ155" s="398"/>
      <c r="VHK155" s="398"/>
      <c r="VHL155" s="398"/>
      <c r="VHM155" s="398"/>
      <c r="VHN155" s="398"/>
      <c r="VHO155" s="398"/>
      <c r="VHP155" s="398"/>
      <c r="VHQ155" s="398"/>
      <c r="VHR155" s="398"/>
      <c r="VHS155" s="398"/>
      <c r="VHT155" s="398"/>
      <c r="VHU155" s="398"/>
      <c r="VHV155" s="398"/>
      <c r="VHW155" s="398"/>
      <c r="VHX155" s="398"/>
      <c r="VHY155" s="398"/>
      <c r="VHZ155" s="398"/>
      <c r="VIA155" s="398"/>
      <c r="VIB155" s="398"/>
      <c r="VIC155" s="398"/>
      <c r="VID155" s="398"/>
      <c r="VIE155" s="398"/>
      <c r="VIF155" s="398"/>
      <c r="VIG155" s="398"/>
      <c r="VIH155" s="398"/>
      <c r="VII155" s="398"/>
      <c r="VIJ155" s="398"/>
      <c r="VIK155" s="398"/>
      <c r="VIL155" s="398"/>
      <c r="VIM155" s="398"/>
      <c r="VIN155" s="398"/>
      <c r="VIO155" s="398"/>
      <c r="VIP155" s="398"/>
      <c r="VIQ155" s="398"/>
      <c r="VIR155" s="398"/>
      <c r="VIS155" s="398"/>
      <c r="VIT155" s="398"/>
      <c r="VIU155" s="398"/>
      <c r="VIV155" s="398"/>
      <c r="VIW155" s="398"/>
      <c r="VIX155" s="398"/>
      <c r="VIY155" s="398"/>
      <c r="VIZ155" s="398"/>
      <c r="VJA155" s="398"/>
      <c r="VJB155" s="398"/>
      <c r="VJC155" s="398"/>
      <c r="VJD155" s="398"/>
      <c r="VJE155" s="398"/>
      <c r="VJF155" s="398"/>
      <c r="VJG155" s="398"/>
      <c r="VJH155" s="398"/>
      <c r="VJI155" s="398"/>
      <c r="VJJ155" s="398"/>
      <c r="VJK155" s="398"/>
      <c r="VJL155" s="398"/>
      <c r="VJM155" s="398"/>
      <c r="VJN155" s="398"/>
      <c r="VJO155" s="398"/>
      <c r="VJP155" s="398"/>
      <c r="VJQ155" s="398"/>
      <c r="VJR155" s="398"/>
      <c r="VJS155" s="398"/>
      <c r="VJT155" s="398"/>
      <c r="VJU155" s="398"/>
      <c r="VJV155" s="398"/>
      <c r="VJW155" s="398"/>
      <c r="VJX155" s="398"/>
      <c r="VJY155" s="398"/>
      <c r="VJZ155" s="398"/>
      <c r="VKA155" s="398"/>
      <c r="VKB155" s="398"/>
      <c r="VKC155" s="398"/>
      <c r="VKD155" s="398"/>
      <c r="VKE155" s="398"/>
      <c r="VKF155" s="398"/>
      <c r="VKG155" s="398"/>
      <c r="VKH155" s="398"/>
      <c r="VKI155" s="398"/>
      <c r="VKJ155" s="398"/>
      <c r="VKK155" s="398"/>
      <c r="VKL155" s="398"/>
      <c r="VKM155" s="398"/>
      <c r="VKN155" s="398"/>
      <c r="VKO155" s="398"/>
      <c r="VKP155" s="398"/>
      <c r="VKQ155" s="398"/>
      <c r="VKR155" s="398"/>
      <c r="VKS155" s="398"/>
      <c r="VKT155" s="398"/>
      <c r="VKU155" s="398"/>
      <c r="VKV155" s="398"/>
      <c r="VKW155" s="398"/>
      <c r="VKX155" s="398"/>
      <c r="VKY155" s="398"/>
      <c r="VKZ155" s="398"/>
      <c r="VLA155" s="398"/>
      <c r="VLB155" s="398"/>
      <c r="VLC155" s="398"/>
      <c r="VLD155" s="398"/>
      <c r="VLE155" s="398"/>
      <c r="VLF155" s="398"/>
      <c r="VLG155" s="398"/>
      <c r="VLH155" s="398"/>
      <c r="VLI155" s="398"/>
      <c r="VLJ155" s="398"/>
      <c r="VLK155" s="398"/>
      <c r="VLL155" s="398"/>
      <c r="VLM155" s="398"/>
      <c r="VLN155" s="398"/>
      <c r="VLO155" s="398"/>
      <c r="VLP155" s="398"/>
      <c r="VLQ155" s="398"/>
      <c r="VLR155" s="398"/>
      <c r="VLS155" s="398"/>
      <c r="VLT155" s="398"/>
      <c r="VLU155" s="398"/>
      <c r="VLV155" s="398"/>
      <c r="VLW155" s="398"/>
      <c r="VLX155" s="398"/>
      <c r="VLY155" s="398"/>
      <c r="VLZ155" s="398"/>
      <c r="VMA155" s="398"/>
      <c r="VMB155" s="398"/>
      <c r="VMC155" s="398"/>
      <c r="VMD155" s="398"/>
      <c r="VME155" s="398"/>
      <c r="VMF155" s="398"/>
      <c r="VMG155" s="398"/>
      <c r="VMH155" s="398"/>
      <c r="VMI155" s="398"/>
      <c r="VMJ155" s="398"/>
      <c r="VMK155" s="398"/>
      <c r="VML155" s="398"/>
      <c r="VMM155" s="398"/>
      <c r="VMN155" s="398"/>
      <c r="VMO155" s="398"/>
      <c r="VMP155" s="398"/>
      <c r="VMQ155" s="398"/>
      <c r="VMR155" s="398"/>
      <c r="VMS155" s="398"/>
      <c r="VMT155" s="398"/>
      <c r="VMU155" s="398"/>
      <c r="VMV155" s="398"/>
      <c r="VMW155" s="398"/>
      <c r="VMX155" s="398"/>
      <c r="VMY155" s="398"/>
      <c r="VMZ155" s="398"/>
      <c r="VNA155" s="398"/>
      <c r="VNB155" s="398"/>
      <c r="VNC155" s="398"/>
      <c r="VND155" s="398"/>
      <c r="VNE155" s="398"/>
      <c r="VNF155" s="398"/>
      <c r="VNG155" s="398"/>
      <c r="VNH155" s="398"/>
      <c r="VNI155" s="398"/>
      <c r="VNJ155" s="398"/>
      <c r="VNK155" s="398"/>
      <c r="VNL155" s="398"/>
      <c r="VNM155" s="398"/>
      <c r="VNN155" s="398"/>
      <c r="VNO155" s="398"/>
      <c r="VNP155" s="398"/>
      <c r="VNQ155" s="398"/>
      <c r="VNR155" s="398"/>
      <c r="VNS155" s="398"/>
      <c r="VNT155" s="398"/>
      <c r="VNU155" s="398"/>
      <c r="VNV155" s="398"/>
      <c r="VNW155" s="398"/>
      <c r="VNX155" s="398"/>
      <c r="VNY155" s="398"/>
      <c r="VNZ155" s="398"/>
      <c r="VOA155" s="398"/>
      <c r="VOB155" s="398"/>
      <c r="VOC155" s="398"/>
      <c r="VOD155" s="398"/>
      <c r="VOE155" s="398"/>
      <c r="VOF155" s="398"/>
      <c r="VOG155" s="398"/>
      <c r="VOH155" s="398"/>
      <c r="VOI155" s="398"/>
      <c r="VOJ155" s="398"/>
      <c r="VOK155" s="398"/>
      <c r="VOL155" s="398"/>
      <c r="VOM155" s="398"/>
      <c r="VON155" s="398"/>
      <c r="VOO155" s="398"/>
      <c r="VOP155" s="398"/>
      <c r="VOQ155" s="398"/>
      <c r="VOR155" s="398"/>
      <c r="VOS155" s="398"/>
      <c r="VOT155" s="398"/>
      <c r="VOU155" s="398"/>
      <c r="VOV155" s="398"/>
      <c r="VOW155" s="398"/>
      <c r="VOX155" s="398"/>
      <c r="VOY155" s="398"/>
      <c r="VOZ155" s="398"/>
      <c r="VPA155" s="398"/>
      <c r="VPB155" s="398"/>
      <c r="VPC155" s="398"/>
      <c r="VPD155" s="398"/>
      <c r="VPE155" s="398"/>
      <c r="VPF155" s="398"/>
      <c r="VPG155" s="398"/>
      <c r="VPH155" s="398"/>
      <c r="VPI155" s="398"/>
      <c r="VPJ155" s="398"/>
      <c r="VPK155" s="398"/>
      <c r="VPL155" s="398"/>
      <c r="VPM155" s="398"/>
      <c r="VPN155" s="398"/>
      <c r="VPO155" s="398"/>
      <c r="VPP155" s="398"/>
      <c r="VPQ155" s="398"/>
      <c r="VPR155" s="398"/>
      <c r="VPS155" s="398"/>
      <c r="VPT155" s="398"/>
      <c r="VPU155" s="398"/>
      <c r="VPV155" s="398"/>
      <c r="VPW155" s="398"/>
      <c r="VPX155" s="398"/>
      <c r="VPY155" s="398"/>
      <c r="VPZ155" s="398"/>
      <c r="VQA155" s="398"/>
      <c r="VQB155" s="398"/>
      <c r="VQC155" s="398"/>
      <c r="VQD155" s="398"/>
      <c r="VQE155" s="398"/>
      <c r="VQF155" s="398"/>
      <c r="VQG155" s="398"/>
      <c r="VQH155" s="398"/>
      <c r="VQI155" s="398"/>
      <c r="VQJ155" s="398"/>
      <c r="VQK155" s="398"/>
      <c r="VQL155" s="398"/>
      <c r="VQM155" s="398"/>
      <c r="VQN155" s="398"/>
      <c r="VQO155" s="398"/>
      <c r="VQP155" s="398"/>
      <c r="VQQ155" s="398"/>
      <c r="VQR155" s="398"/>
      <c r="VQS155" s="398"/>
      <c r="VQT155" s="398"/>
      <c r="VQU155" s="398"/>
      <c r="VQV155" s="398"/>
      <c r="VQW155" s="398"/>
      <c r="VQX155" s="398"/>
      <c r="VQY155" s="398"/>
      <c r="VQZ155" s="398"/>
      <c r="VRA155" s="398"/>
      <c r="VRB155" s="398"/>
      <c r="VRC155" s="398"/>
      <c r="VRD155" s="398"/>
      <c r="VRE155" s="398"/>
      <c r="VRF155" s="398"/>
      <c r="VRG155" s="398"/>
      <c r="VRH155" s="398"/>
      <c r="VRI155" s="398"/>
      <c r="VRJ155" s="398"/>
      <c r="VRK155" s="398"/>
      <c r="VRL155" s="398"/>
      <c r="VRM155" s="398"/>
      <c r="VRN155" s="398"/>
      <c r="VRO155" s="398"/>
      <c r="VRP155" s="398"/>
      <c r="VRQ155" s="398"/>
      <c r="VRR155" s="398"/>
      <c r="VRS155" s="398"/>
      <c r="VRT155" s="398"/>
      <c r="VRU155" s="398"/>
      <c r="VRV155" s="398"/>
      <c r="VRW155" s="398"/>
      <c r="VRX155" s="398"/>
      <c r="VRY155" s="398"/>
      <c r="VRZ155" s="398"/>
      <c r="VSA155" s="398"/>
      <c r="VSB155" s="398"/>
      <c r="VSC155" s="398"/>
      <c r="VSD155" s="398"/>
      <c r="VSE155" s="398"/>
      <c r="VSF155" s="398"/>
      <c r="VSG155" s="398"/>
      <c r="VSH155" s="398"/>
      <c r="VSI155" s="398"/>
      <c r="VSJ155" s="398"/>
      <c r="VSK155" s="398"/>
      <c r="VSL155" s="398"/>
      <c r="VSM155" s="398"/>
      <c r="VSN155" s="398"/>
      <c r="VSO155" s="398"/>
      <c r="VSP155" s="398"/>
      <c r="VSQ155" s="398"/>
      <c r="VSR155" s="398"/>
      <c r="VSS155" s="398"/>
      <c r="VST155" s="398"/>
      <c r="VSU155" s="398"/>
      <c r="VSV155" s="398"/>
      <c r="VSW155" s="398"/>
      <c r="VSX155" s="398"/>
      <c r="VSY155" s="398"/>
      <c r="VSZ155" s="398"/>
      <c r="VTA155" s="398"/>
      <c r="VTB155" s="398"/>
      <c r="VTC155" s="398"/>
      <c r="VTD155" s="398"/>
      <c r="VTE155" s="398"/>
      <c r="VTF155" s="398"/>
      <c r="VTG155" s="398"/>
      <c r="VTH155" s="398"/>
      <c r="VTI155" s="398"/>
      <c r="VTJ155" s="398"/>
      <c r="VTK155" s="398"/>
      <c r="VTL155" s="398"/>
      <c r="VTM155" s="398"/>
      <c r="VTN155" s="398"/>
      <c r="VTO155" s="398"/>
      <c r="VTP155" s="398"/>
      <c r="VTQ155" s="398"/>
      <c r="VTR155" s="398"/>
      <c r="VTS155" s="398"/>
      <c r="VTT155" s="398"/>
      <c r="VTU155" s="398"/>
      <c r="VTV155" s="398"/>
      <c r="VTW155" s="398"/>
      <c r="VTX155" s="398"/>
      <c r="VTY155" s="398"/>
      <c r="VTZ155" s="398"/>
      <c r="VUA155" s="398"/>
      <c r="VUB155" s="398"/>
      <c r="VUC155" s="398"/>
      <c r="VUD155" s="398"/>
      <c r="VUE155" s="398"/>
      <c r="VUF155" s="398"/>
      <c r="VUG155" s="398"/>
      <c r="VUH155" s="398"/>
      <c r="VUI155" s="398"/>
      <c r="VUJ155" s="398"/>
      <c r="VUK155" s="398"/>
      <c r="VUL155" s="398"/>
      <c r="VUM155" s="398"/>
      <c r="VUN155" s="398"/>
      <c r="VUO155" s="398"/>
      <c r="VUP155" s="398"/>
      <c r="VUQ155" s="398"/>
      <c r="VUR155" s="398"/>
      <c r="VUS155" s="398"/>
      <c r="VUT155" s="398"/>
      <c r="VUU155" s="398"/>
      <c r="VUV155" s="398"/>
      <c r="VUW155" s="398"/>
      <c r="VUX155" s="398"/>
      <c r="VUY155" s="398"/>
      <c r="VUZ155" s="398"/>
      <c r="VVA155" s="398"/>
      <c r="VVB155" s="398"/>
      <c r="VVC155" s="398"/>
      <c r="VVD155" s="398"/>
      <c r="VVE155" s="398"/>
      <c r="VVF155" s="398"/>
      <c r="VVG155" s="398"/>
      <c r="VVH155" s="398"/>
      <c r="VVI155" s="398"/>
      <c r="VVJ155" s="398"/>
      <c r="VVK155" s="398"/>
      <c r="VVL155" s="398"/>
      <c r="VVM155" s="398"/>
      <c r="VVN155" s="398"/>
      <c r="VVO155" s="398"/>
      <c r="VVP155" s="398"/>
      <c r="VVQ155" s="398"/>
      <c r="VVR155" s="398"/>
      <c r="VVS155" s="398"/>
      <c r="VVT155" s="398"/>
      <c r="VVU155" s="398"/>
      <c r="VVV155" s="398"/>
      <c r="VVW155" s="398"/>
      <c r="VVX155" s="398"/>
      <c r="VVY155" s="398"/>
      <c r="VVZ155" s="398"/>
      <c r="VWA155" s="398"/>
      <c r="VWB155" s="398"/>
      <c r="VWC155" s="398"/>
      <c r="VWD155" s="398"/>
      <c r="VWE155" s="398"/>
      <c r="VWF155" s="398"/>
      <c r="VWG155" s="398"/>
      <c r="VWH155" s="398"/>
      <c r="VWI155" s="398"/>
      <c r="VWJ155" s="398"/>
      <c r="VWK155" s="398"/>
      <c r="VWL155" s="398"/>
      <c r="VWM155" s="398"/>
      <c r="VWN155" s="398"/>
      <c r="VWO155" s="398"/>
      <c r="VWP155" s="398"/>
      <c r="VWQ155" s="398"/>
      <c r="VWR155" s="398"/>
      <c r="VWS155" s="398"/>
      <c r="VWT155" s="398"/>
      <c r="VWU155" s="398"/>
      <c r="VWV155" s="398"/>
      <c r="VWW155" s="398"/>
      <c r="VWX155" s="398"/>
      <c r="VWY155" s="398"/>
      <c r="VWZ155" s="398"/>
      <c r="VXA155" s="398"/>
      <c r="VXB155" s="398"/>
      <c r="VXC155" s="398"/>
      <c r="VXD155" s="398"/>
      <c r="VXE155" s="398"/>
      <c r="VXF155" s="398"/>
      <c r="VXG155" s="398"/>
      <c r="VXH155" s="398"/>
      <c r="VXI155" s="398"/>
      <c r="VXJ155" s="398"/>
      <c r="VXK155" s="398"/>
      <c r="VXL155" s="398"/>
      <c r="VXM155" s="398"/>
      <c r="VXN155" s="398"/>
      <c r="VXO155" s="398"/>
      <c r="VXP155" s="398"/>
      <c r="VXQ155" s="398"/>
      <c r="VXR155" s="398"/>
      <c r="VXS155" s="398"/>
      <c r="VXT155" s="398"/>
      <c r="VXU155" s="398"/>
      <c r="VXV155" s="398"/>
      <c r="VXW155" s="398"/>
      <c r="VXX155" s="398"/>
      <c r="VXY155" s="398"/>
      <c r="VXZ155" s="398"/>
      <c r="VYA155" s="398"/>
      <c r="VYB155" s="398"/>
      <c r="VYC155" s="398"/>
      <c r="VYD155" s="398"/>
      <c r="VYE155" s="398"/>
      <c r="VYF155" s="398"/>
      <c r="VYG155" s="398"/>
      <c r="VYH155" s="398"/>
      <c r="VYI155" s="398"/>
      <c r="VYJ155" s="398"/>
      <c r="VYK155" s="398"/>
      <c r="VYL155" s="398"/>
      <c r="VYM155" s="398"/>
      <c r="VYN155" s="398"/>
      <c r="VYO155" s="398"/>
      <c r="VYP155" s="398"/>
      <c r="VYQ155" s="398"/>
      <c r="VYR155" s="398"/>
      <c r="VYS155" s="398"/>
      <c r="VYT155" s="398"/>
      <c r="VYU155" s="398"/>
      <c r="VYV155" s="398"/>
      <c r="VYW155" s="398"/>
      <c r="VYX155" s="398"/>
      <c r="VYY155" s="398"/>
      <c r="VYZ155" s="398"/>
      <c r="VZA155" s="398"/>
      <c r="VZB155" s="398"/>
      <c r="VZC155" s="398"/>
      <c r="VZD155" s="398"/>
      <c r="VZE155" s="398"/>
      <c r="VZF155" s="398"/>
      <c r="VZG155" s="398"/>
      <c r="VZH155" s="398"/>
      <c r="VZI155" s="398"/>
      <c r="VZJ155" s="398"/>
      <c r="VZK155" s="398"/>
      <c r="VZL155" s="398"/>
      <c r="VZM155" s="398"/>
      <c r="VZN155" s="398"/>
      <c r="VZO155" s="398"/>
      <c r="VZP155" s="398"/>
      <c r="VZQ155" s="398"/>
      <c r="VZR155" s="398"/>
      <c r="VZS155" s="398"/>
      <c r="VZT155" s="398"/>
      <c r="VZU155" s="398"/>
      <c r="VZV155" s="398"/>
      <c r="VZW155" s="398"/>
      <c r="VZX155" s="398"/>
      <c r="VZY155" s="398"/>
      <c r="VZZ155" s="398"/>
      <c r="WAA155" s="398"/>
      <c r="WAB155" s="398"/>
      <c r="WAC155" s="398"/>
      <c r="WAD155" s="398"/>
      <c r="WAE155" s="398"/>
      <c r="WAF155" s="398"/>
      <c r="WAG155" s="398"/>
      <c r="WAH155" s="398"/>
      <c r="WAI155" s="398"/>
      <c r="WAJ155" s="398"/>
      <c r="WAK155" s="398"/>
      <c r="WAL155" s="398"/>
      <c r="WAM155" s="398"/>
      <c r="WAN155" s="398"/>
      <c r="WAO155" s="398"/>
      <c r="WAP155" s="398"/>
      <c r="WAQ155" s="398"/>
      <c r="WAR155" s="398"/>
      <c r="WAS155" s="398"/>
      <c r="WAT155" s="398"/>
      <c r="WAU155" s="398"/>
      <c r="WAV155" s="398"/>
      <c r="WAW155" s="398"/>
      <c r="WAX155" s="398"/>
      <c r="WAY155" s="398"/>
      <c r="WAZ155" s="398"/>
      <c r="WBA155" s="398"/>
      <c r="WBB155" s="398"/>
      <c r="WBC155" s="398"/>
      <c r="WBD155" s="398"/>
      <c r="WBE155" s="398"/>
      <c r="WBF155" s="398"/>
      <c r="WBG155" s="398"/>
      <c r="WBH155" s="398"/>
      <c r="WBI155" s="398"/>
      <c r="WBJ155" s="398"/>
      <c r="WBK155" s="398"/>
      <c r="WBL155" s="398"/>
      <c r="WBM155" s="398"/>
      <c r="WBN155" s="398"/>
      <c r="WBO155" s="398"/>
      <c r="WBP155" s="398"/>
      <c r="WBQ155" s="398"/>
      <c r="WBR155" s="398"/>
      <c r="WBS155" s="398"/>
      <c r="WBT155" s="398"/>
      <c r="WBU155" s="398"/>
      <c r="WBV155" s="398"/>
      <c r="WBW155" s="398"/>
      <c r="WBX155" s="398"/>
      <c r="WBY155" s="398"/>
      <c r="WBZ155" s="398"/>
      <c r="WCA155" s="398"/>
      <c r="WCB155" s="398"/>
      <c r="WCC155" s="398"/>
      <c r="WCD155" s="398"/>
      <c r="WCE155" s="398"/>
      <c r="WCF155" s="398"/>
      <c r="WCG155" s="398"/>
      <c r="WCH155" s="398"/>
      <c r="WCI155" s="398"/>
      <c r="WCJ155" s="398"/>
      <c r="WCK155" s="398"/>
      <c r="WCL155" s="398"/>
      <c r="WCM155" s="398"/>
      <c r="WCN155" s="398"/>
      <c r="WCO155" s="398"/>
      <c r="WCP155" s="398"/>
      <c r="WCQ155" s="398"/>
      <c r="WCR155" s="398"/>
      <c r="WCS155" s="398"/>
      <c r="WCT155" s="398"/>
      <c r="WCU155" s="398"/>
      <c r="WCV155" s="398"/>
      <c r="WCW155" s="398"/>
      <c r="WCX155" s="398"/>
      <c r="WCY155" s="398"/>
      <c r="WCZ155" s="398"/>
      <c r="WDA155" s="398"/>
      <c r="WDB155" s="398"/>
      <c r="WDC155" s="398"/>
      <c r="WDD155" s="398"/>
      <c r="WDE155" s="398"/>
      <c r="WDF155" s="398"/>
      <c r="WDG155" s="398"/>
      <c r="WDH155" s="398"/>
      <c r="WDI155" s="398"/>
      <c r="WDJ155" s="398"/>
      <c r="WDK155" s="398"/>
      <c r="WDL155" s="398"/>
      <c r="WDM155" s="398"/>
      <c r="WDN155" s="398"/>
      <c r="WDO155" s="398"/>
      <c r="WDP155" s="398"/>
      <c r="WDQ155" s="398"/>
      <c r="WDR155" s="398"/>
      <c r="WDS155" s="398"/>
      <c r="WDT155" s="398"/>
      <c r="WDU155" s="398"/>
      <c r="WDV155" s="398"/>
      <c r="WDW155" s="398"/>
      <c r="WDX155" s="398"/>
      <c r="WDY155" s="398"/>
      <c r="WDZ155" s="398"/>
      <c r="WEA155" s="398"/>
      <c r="WEB155" s="398"/>
      <c r="WEC155" s="398"/>
      <c r="WED155" s="398"/>
      <c r="WEE155" s="398"/>
      <c r="WEF155" s="398"/>
      <c r="WEG155" s="398"/>
      <c r="WEH155" s="398"/>
      <c r="WEI155" s="398"/>
      <c r="WEJ155" s="398"/>
      <c r="WEK155" s="398"/>
      <c r="WEL155" s="398"/>
      <c r="WEM155" s="398"/>
      <c r="WEN155" s="398"/>
      <c r="WEO155" s="398"/>
      <c r="WEP155" s="398"/>
      <c r="WEQ155" s="398"/>
      <c r="WER155" s="398"/>
      <c r="WES155" s="398"/>
      <c r="WET155" s="398"/>
      <c r="WEU155" s="398"/>
      <c r="WEV155" s="398"/>
      <c r="WEW155" s="398"/>
      <c r="WEX155" s="398"/>
      <c r="WEY155" s="398"/>
      <c r="WEZ155" s="398"/>
      <c r="WFA155" s="398"/>
      <c r="WFB155" s="398"/>
      <c r="WFC155" s="398"/>
      <c r="WFD155" s="398"/>
      <c r="WFE155" s="398"/>
      <c r="WFF155" s="398"/>
      <c r="WFG155" s="398"/>
      <c r="WFH155" s="398"/>
      <c r="WFI155" s="398"/>
      <c r="WFJ155" s="398"/>
      <c r="WFK155" s="398"/>
      <c r="WFL155" s="398"/>
      <c r="WFM155" s="398"/>
      <c r="WFN155" s="398"/>
      <c r="WFO155" s="398"/>
      <c r="WFP155" s="398"/>
      <c r="WFQ155" s="398"/>
      <c r="WFR155" s="398"/>
      <c r="WFS155" s="398"/>
      <c r="WFT155" s="398"/>
      <c r="WFU155" s="398"/>
      <c r="WFV155" s="398"/>
      <c r="WFW155" s="398"/>
      <c r="WFX155" s="398"/>
      <c r="WFY155" s="398"/>
      <c r="WFZ155" s="398"/>
      <c r="WGA155" s="398"/>
      <c r="WGB155" s="398"/>
      <c r="WGC155" s="398"/>
      <c r="WGD155" s="398"/>
      <c r="WGE155" s="398"/>
      <c r="WGF155" s="398"/>
      <c r="WGG155" s="398"/>
      <c r="WGH155" s="398"/>
      <c r="WGI155" s="398"/>
      <c r="WGJ155" s="398"/>
      <c r="WGK155" s="398"/>
      <c r="WGL155" s="398"/>
      <c r="WGM155" s="398"/>
      <c r="WGN155" s="398"/>
      <c r="WGO155" s="398"/>
      <c r="WGP155" s="398"/>
      <c r="WGQ155" s="398"/>
      <c r="WGR155" s="398"/>
      <c r="WGS155" s="398"/>
      <c r="WGT155" s="398"/>
      <c r="WGU155" s="398"/>
      <c r="WGV155" s="398"/>
      <c r="WGW155" s="398"/>
      <c r="WGX155" s="398"/>
      <c r="WGY155" s="398"/>
      <c r="WGZ155" s="398"/>
      <c r="WHA155" s="398"/>
      <c r="WHB155" s="398"/>
      <c r="WHC155" s="398"/>
      <c r="WHD155" s="398"/>
      <c r="WHE155" s="398"/>
      <c r="WHF155" s="398"/>
      <c r="WHG155" s="398"/>
      <c r="WHH155" s="398"/>
      <c r="WHI155" s="398"/>
      <c r="WHJ155" s="398"/>
      <c r="WHK155" s="398"/>
      <c r="WHL155" s="398"/>
      <c r="WHM155" s="398"/>
      <c r="WHN155" s="398"/>
      <c r="WHO155" s="398"/>
      <c r="WHP155" s="398"/>
      <c r="WHQ155" s="398"/>
      <c r="WHR155" s="398"/>
      <c r="WHS155" s="398"/>
      <c r="WHT155" s="398"/>
      <c r="WHU155" s="398"/>
      <c r="WHV155" s="398"/>
      <c r="WHW155" s="398"/>
      <c r="WHX155" s="398"/>
      <c r="WHY155" s="398"/>
      <c r="WHZ155" s="398"/>
      <c r="WIA155" s="398"/>
      <c r="WIB155" s="398"/>
      <c r="WIC155" s="398"/>
      <c r="WID155" s="398"/>
      <c r="WIE155" s="398"/>
      <c r="WIF155" s="398"/>
      <c r="WIG155" s="398"/>
      <c r="WIH155" s="398"/>
      <c r="WII155" s="398"/>
      <c r="WIJ155" s="398"/>
      <c r="WIK155" s="398"/>
      <c r="WIL155" s="398"/>
      <c r="WIM155" s="398"/>
      <c r="WIN155" s="398"/>
      <c r="WIO155" s="398"/>
      <c r="WIP155" s="398"/>
      <c r="WIQ155" s="398"/>
      <c r="WIR155" s="398"/>
      <c r="WIS155" s="398"/>
      <c r="WIT155" s="398"/>
      <c r="WIU155" s="398"/>
      <c r="WIV155" s="398"/>
      <c r="WIW155" s="398"/>
      <c r="WIX155" s="398"/>
      <c r="WIY155" s="398"/>
      <c r="WIZ155" s="398"/>
      <c r="WJA155" s="398"/>
      <c r="WJB155" s="398"/>
      <c r="WJC155" s="398"/>
      <c r="WJD155" s="398"/>
      <c r="WJE155" s="398"/>
      <c r="WJF155" s="398"/>
      <c r="WJG155" s="398"/>
      <c r="WJH155" s="398"/>
      <c r="WJI155" s="398"/>
      <c r="WJJ155" s="398"/>
      <c r="WJK155" s="398"/>
      <c r="WJL155" s="398"/>
      <c r="WJM155" s="398"/>
      <c r="WJN155" s="398"/>
      <c r="WJO155" s="398"/>
      <c r="WJP155" s="398"/>
      <c r="WJQ155" s="398"/>
      <c r="WJR155" s="398"/>
      <c r="WJS155" s="398"/>
      <c r="WJT155" s="398"/>
      <c r="WJU155" s="398"/>
      <c r="WJV155" s="398"/>
      <c r="WJW155" s="398"/>
      <c r="WJX155" s="398"/>
      <c r="WJY155" s="398"/>
      <c r="WJZ155" s="398"/>
      <c r="WKA155" s="398"/>
      <c r="WKB155" s="398"/>
      <c r="WKC155" s="398"/>
      <c r="WKD155" s="398"/>
      <c r="WKE155" s="398"/>
      <c r="WKF155" s="398"/>
      <c r="WKG155" s="398"/>
      <c r="WKH155" s="398"/>
      <c r="WKI155" s="398"/>
      <c r="WKJ155" s="398"/>
      <c r="WKK155" s="398"/>
      <c r="WKL155" s="398"/>
      <c r="WKM155" s="398"/>
      <c r="WKN155" s="398"/>
      <c r="WKO155" s="398"/>
      <c r="WKP155" s="398"/>
      <c r="WKQ155" s="398"/>
      <c r="WKR155" s="398"/>
      <c r="WKS155" s="398"/>
      <c r="WKT155" s="398"/>
      <c r="WKU155" s="398"/>
      <c r="WKV155" s="398"/>
      <c r="WKW155" s="398"/>
      <c r="WKX155" s="398"/>
      <c r="WKY155" s="398"/>
      <c r="WKZ155" s="398"/>
      <c r="WLA155" s="398"/>
      <c r="WLB155" s="398"/>
      <c r="WLC155" s="398"/>
      <c r="WLD155" s="398"/>
      <c r="WLE155" s="398"/>
      <c r="WLF155" s="398"/>
      <c r="WLG155" s="398"/>
      <c r="WLH155" s="398"/>
      <c r="WLI155" s="398"/>
      <c r="WLJ155" s="398"/>
      <c r="WLK155" s="398"/>
      <c r="WLL155" s="398"/>
      <c r="WLM155" s="398"/>
      <c r="WLN155" s="398"/>
      <c r="WLO155" s="398"/>
      <c r="WLP155" s="398"/>
      <c r="WLQ155" s="398"/>
      <c r="WLR155" s="398"/>
      <c r="WLS155" s="398"/>
      <c r="WLT155" s="398"/>
      <c r="WLU155" s="398"/>
      <c r="WLV155" s="398"/>
      <c r="WLW155" s="398"/>
      <c r="WLX155" s="398"/>
      <c r="WLY155" s="398"/>
      <c r="WLZ155" s="398"/>
      <c r="WMA155" s="398"/>
      <c r="WMB155" s="398"/>
      <c r="WMC155" s="398"/>
      <c r="WMD155" s="398"/>
      <c r="WME155" s="398"/>
      <c r="WMF155" s="398"/>
      <c r="WMG155" s="398"/>
      <c r="WMH155" s="398"/>
      <c r="WMI155" s="398"/>
      <c r="WMJ155" s="398"/>
      <c r="WMK155" s="398"/>
      <c r="WML155" s="398"/>
      <c r="WMM155" s="398"/>
      <c r="WMN155" s="398"/>
      <c r="WMO155" s="398"/>
      <c r="WMP155" s="398"/>
      <c r="WMQ155" s="398"/>
      <c r="WMR155" s="398"/>
      <c r="WMS155" s="398"/>
      <c r="WMT155" s="398"/>
      <c r="WMU155" s="398"/>
      <c r="WMV155" s="398"/>
      <c r="WMW155" s="398"/>
      <c r="WMX155" s="398"/>
      <c r="WMY155" s="398"/>
      <c r="WMZ155" s="398"/>
      <c r="WNA155" s="398"/>
      <c r="WNB155" s="398"/>
      <c r="WNC155" s="398"/>
      <c r="WND155" s="398"/>
      <c r="WNE155" s="398"/>
      <c r="WNF155" s="398"/>
      <c r="WNG155" s="398"/>
      <c r="WNH155" s="398"/>
      <c r="WNI155" s="398"/>
      <c r="WNJ155" s="398"/>
      <c r="WNK155" s="398"/>
      <c r="WNL155" s="398"/>
      <c r="WNM155" s="398"/>
      <c r="WNN155" s="398"/>
      <c r="WNO155" s="398"/>
      <c r="WNP155" s="398"/>
      <c r="WNQ155" s="398"/>
      <c r="WNR155" s="398"/>
      <c r="WNS155" s="398"/>
      <c r="WNT155" s="398"/>
      <c r="WNU155" s="398"/>
      <c r="WNV155" s="398"/>
      <c r="WNW155" s="398"/>
      <c r="WNX155" s="398"/>
      <c r="WNY155" s="398"/>
      <c r="WNZ155" s="398"/>
      <c r="WOA155" s="398"/>
      <c r="WOB155" s="398"/>
      <c r="WOC155" s="398"/>
      <c r="WOD155" s="398"/>
      <c r="WOE155" s="398"/>
      <c r="WOF155" s="398"/>
      <c r="WOG155" s="398"/>
      <c r="WOH155" s="398"/>
      <c r="WOI155" s="398"/>
      <c r="WOJ155" s="398"/>
      <c r="WOK155" s="398"/>
      <c r="WOL155" s="398"/>
      <c r="WOM155" s="398"/>
      <c r="WON155" s="398"/>
      <c r="WOO155" s="398"/>
      <c r="WOP155" s="398"/>
      <c r="WOQ155" s="398"/>
      <c r="WOR155" s="398"/>
      <c r="WOS155" s="398"/>
      <c r="WOT155" s="398"/>
      <c r="WOU155" s="398"/>
      <c r="WOV155" s="398"/>
      <c r="WOW155" s="398"/>
      <c r="WOX155" s="398"/>
      <c r="WOY155" s="398"/>
      <c r="WOZ155" s="398"/>
      <c r="WPA155" s="398"/>
      <c r="WPB155" s="398"/>
      <c r="WPC155" s="398"/>
      <c r="WPD155" s="398"/>
      <c r="WPE155" s="398"/>
      <c r="WPF155" s="398"/>
      <c r="WPG155" s="398"/>
      <c r="WPH155" s="398"/>
      <c r="WPI155" s="398"/>
      <c r="WPJ155" s="398"/>
      <c r="WPK155" s="398"/>
      <c r="WPL155" s="398"/>
      <c r="WPM155" s="398"/>
      <c r="WPN155" s="398"/>
      <c r="WPO155" s="398"/>
      <c r="WPP155" s="398"/>
      <c r="WPQ155" s="398"/>
      <c r="WPR155" s="398"/>
      <c r="WPS155" s="398"/>
      <c r="WPT155" s="398"/>
      <c r="WPU155" s="398"/>
      <c r="WPV155" s="398"/>
      <c r="WPW155" s="398"/>
      <c r="WPX155" s="398"/>
      <c r="WPY155" s="398"/>
      <c r="WPZ155" s="398"/>
      <c r="WQA155" s="398"/>
      <c r="WQB155" s="398"/>
      <c r="WQC155" s="398"/>
      <c r="WQD155" s="398"/>
      <c r="WQE155" s="398"/>
      <c r="WQF155" s="398"/>
      <c r="WQG155" s="398"/>
      <c r="WQH155" s="398"/>
      <c r="WQI155" s="398"/>
      <c r="WQJ155" s="398"/>
      <c r="WQK155" s="398"/>
      <c r="WQL155" s="398"/>
      <c r="WQM155" s="398"/>
      <c r="WQN155" s="398"/>
      <c r="WQO155" s="398"/>
      <c r="WQP155" s="398"/>
      <c r="WQQ155" s="398"/>
      <c r="WQR155" s="398"/>
      <c r="WQS155" s="398"/>
      <c r="WQT155" s="398"/>
      <c r="WQU155" s="398"/>
      <c r="WQV155" s="398"/>
      <c r="WQW155" s="398"/>
      <c r="WQX155" s="398"/>
      <c r="WQY155" s="398"/>
      <c r="WQZ155" s="398"/>
      <c r="WRA155" s="398"/>
      <c r="WRB155" s="398"/>
      <c r="WRC155" s="398"/>
      <c r="WRD155" s="398"/>
      <c r="WRE155" s="398"/>
      <c r="WRF155" s="398"/>
      <c r="WRG155" s="398"/>
      <c r="WRH155" s="398"/>
      <c r="WRI155" s="398"/>
      <c r="WRJ155" s="398"/>
      <c r="WRK155" s="398"/>
      <c r="WRL155" s="398"/>
      <c r="WRM155" s="398"/>
      <c r="WRN155" s="398"/>
      <c r="WRO155" s="398"/>
      <c r="WRP155" s="398"/>
      <c r="WRQ155" s="398"/>
      <c r="WRR155" s="398"/>
      <c r="WRS155" s="398"/>
      <c r="WRT155" s="398"/>
      <c r="WRU155" s="398"/>
      <c r="WRV155" s="398"/>
      <c r="WRW155" s="398"/>
      <c r="WRX155" s="398"/>
      <c r="WRY155" s="398"/>
      <c r="WRZ155" s="398"/>
      <c r="WSA155" s="398"/>
      <c r="WSB155" s="398"/>
      <c r="WSC155" s="398"/>
      <c r="WSD155" s="398"/>
      <c r="WSE155" s="398"/>
      <c r="WSF155" s="398"/>
      <c r="WSG155" s="398"/>
      <c r="WSH155" s="398"/>
      <c r="WSI155" s="398"/>
      <c r="WSJ155" s="398"/>
      <c r="WSK155" s="398"/>
      <c r="WSL155" s="398"/>
      <c r="WSM155" s="398"/>
      <c r="WSN155" s="398"/>
      <c r="WSO155" s="398"/>
      <c r="WSP155" s="398"/>
      <c r="WSQ155" s="398"/>
      <c r="WSR155" s="398"/>
      <c r="WSS155" s="398"/>
      <c r="WST155" s="398"/>
      <c r="WSU155" s="398"/>
      <c r="WSV155" s="398"/>
      <c r="WSW155" s="398"/>
      <c r="WSX155" s="398"/>
      <c r="WSY155" s="398"/>
      <c r="WSZ155" s="398"/>
      <c r="WTA155" s="398"/>
      <c r="WTB155" s="398"/>
      <c r="WTC155" s="398"/>
      <c r="WTD155" s="398"/>
      <c r="WTE155" s="398"/>
      <c r="WTF155" s="398"/>
      <c r="WTG155" s="398"/>
      <c r="WTH155" s="398"/>
      <c r="WTI155" s="398"/>
      <c r="WTJ155" s="398"/>
      <c r="WTK155" s="398"/>
      <c r="WTL155" s="398"/>
      <c r="WTM155" s="398"/>
      <c r="WTN155" s="398"/>
      <c r="WTO155" s="398"/>
      <c r="WTP155" s="398"/>
      <c r="WTQ155" s="398"/>
      <c r="WTR155" s="398"/>
      <c r="WTS155" s="398"/>
      <c r="WTT155" s="398"/>
      <c r="WTU155" s="398"/>
      <c r="WTV155" s="398"/>
      <c r="WTW155" s="398"/>
      <c r="WTX155" s="398"/>
      <c r="WTY155" s="398"/>
      <c r="WTZ155" s="398"/>
      <c r="WUA155" s="398"/>
      <c r="WUB155" s="398"/>
      <c r="WUC155" s="398"/>
      <c r="WUD155" s="398"/>
      <c r="WUE155" s="398"/>
      <c r="WUF155" s="398"/>
      <c r="WUG155" s="398"/>
      <c r="WUH155" s="398"/>
      <c r="WUI155" s="398"/>
      <c r="WUJ155" s="398"/>
      <c r="WUK155" s="398"/>
      <c r="WUL155" s="398"/>
      <c r="WUM155" s="398"/>
      <c r="WUN155" s="398"/>
      <c r="WUO155" s="398"/>
      <c r="WUP155" s="398"/>
      <c r="WUQ155" s="398"/>
      <c r="WUR155" s="398"/>
      <c r="WUS155" s="398"/>
      <c r="WUT155" s="398"/>
      <c r="WUU155" s="398"/>
      <c r="WUV155" s="398"/>
      <c r="WUW155" s="398"/>
      <c r="WUX155" s="398"/>
      <c r="WUY155" s="398"/>
      <c r="WUZ155" s="398"/>
      <c r="WVA155" s="398"/>
      <c r="WVB155" s="398"/>
      <c r="WVC155" s="398"/>
      <c r="WVD155" s="398"/>
      <c r="WVE155" s="398"/>
      <c r="WVF155" s="398"/>
      <c r="WVG155" s="398"/>
      <c r="WVH155" s="398"/>
      <c r="WVI155" s="398"/>
      <c r="WVJ155" s="398"/>
      <c r="WVK155" s="398"/>
      <c r="WVL155" s="398"/>
      <c r="WVM155" s="398"/>
      <c r="WVN155" s="398"/>
      <c r="WVO155" s="398"/>
      <c r="WVP155" s="398"/>
      <c r="WVQ155" s="398"/>
      <c r="WVR155" s="398"/>
      <c r="WVS155" s="398"/>
      <c r="WVT155" s="398"/>
      <c r="WVU155" s="398"/>
      <c r="WVV155" s="398"/>
      <c r="WVW155" s="398"/>
      <c r="WVX155" s="398"/>
      <c r="WVY155" s="398"/>
      <c r="WVZ155" s="398"/>
      <c r="WWA155" s="398"/>
      <c r="WWB155" s="398"/>
      <c r="WWC155" s="398"/>
      <c r="WWD155" s="398"/>
      <c r="WWE155" s="398"/>
      <c r="WWF155" s="398"/>
      <c r="WWG155" s="398"/>
      <c r="WWH155" s="398"/>
      <c r="WWI155" s="398"/>
      <c r="WWJ155" s="398"/>
      <c r="WWK155" s="398"/>
      <c r="WWL155" s="398"/>
      <c r="WWM155" s="398"/>
      <c r="WWN155" s="398"/>
      <c r="WWO155" s="398"/>
      <c r="WWP155" s="398"/>
      <c r="WWQ155" s="398"/>
      <c r="WWR155" s="398"/>
      <c r="WWS155" s="398"/>
      <c r="WWT155" s="398"/>
      <c r="WWU155" s="398"/>
      <c r="WWV155" s="398"/>
      <c r="WWW155" s="398"/>
      <c r="WWX155" s="398"/>
      <c r="WWY155" s="398"/>
      <c r="WWZ155" s="398"/>
      <c r="WXA155" s="398"/>
      <c r="WXB155" s="398"/>
      <c r="WXC155" s="398"/>
      <c r="WXD155" s="398"/>
      <c r="WXE155" s="398"/>
      <c r="WXF155" s="398"/>
      <c r="WXG155" s="398"/>
      <c r="WXH155" s="398"/>
      <c r="WXI155" s="398"/>
      <c r="WXJ155" s="398"/>
      <c r="WXK155" s="398"/>
      <c r="WXL155" s="398"/>
      <c r="WXM155" s="398"/>
      <c r="WXN155" s="398"/>
      <c r="WXO155" s="398"/>
      <c r="WXP155" s="398"/>
      <c r="WXQ155" s="398"/>
      <c r="WXR155" s="398"/>
      <c r="WXS155" s="398"/>
      <c r="WXT155" s="398"/>
      <c r="WXU155" s="398"/>
      <c r="WXV155" s="398"/>
      <c r="WXW155" s="398"/>
      <c r="WXX155" s="398"/>
      <c r="WXY155" s="398"/>
      <c r="WXZ155" s="398"/>
      <c r="WYA155" s="398"/>
      <c r="WYB155" s="398"/>
      <c r="WYC155" s="398"/>
      <c r="WYD155" s="398"/>
      <c r="WYE155" s="398"/>
      <c r="WYF155" s="398"/>
      <c r="WYG155" s="398"/>
      <c r="WYH155" s="398"/>
      <c r="WYI155" s="398"/>
      <c r="WYJ155" s="398"/>
      <c r="WYK155" s="398"/>
      <c r="WYL155" s="398"/>
      <c r="WYM155" s="398"/>
      <c r="WYN155" s="398"/>
      <c r="WYO155" s="398"/>
      <c r="WYP155" s="398"/>
      <c r="WYQ155" s="398"/>
      <c r="WYR155" s="398"/>
      <c r="WYS155" s="398"/>
      <c r="WYT155" s="398"/>
      <c r="WYU155" s="398"/>
      <c r="WYV155" s="398"/>
      <c r="WYW155" s="398"/>
      <c r="WYX155" s="398"/>
      <c r="WYY155" s="398"/>
      <c r="WYZ155" s="398"/>
      <c r="WZA155" s="398"/>
      <c r="WZB155" s="398"/>
      <c r="WZC155" s="398"/>
      <c r="WZD155" s="398"/>
      <c r="WZE155" s="398"/>
      <c r="WZF155" s="398"/>
      <c r="WZG155" s="398"/>
      <c r="WZH155" s="398"/>
      <c r="WZI155" s="398"/>
      <c r="WZJ155" s="398"/>
      <c r="WZK155" s="398"/>
      <c r="WZL155" s="398"/>
      <c r="WZM155" s="398"/>
      <c r="WZN155" s="398"/>
      <c r="WZO155" s="398"/>
      <c r="WZP155" s="398"/>
      <c r="WZQ155" s="398"/>
      <c r="WZR155" s="398"/>
      <c r="WZS155" s="398"/>
      <c r="WZT155" s="398"/>
      <c r="WZU155" s="398"/>
      <c r="WZV155" s="398"/>
      <c r="WZW155" s="398"/>
      <c r="WZX155" s="398"/>
      <c r="WZY155" s="398"/>
      <c r="WZZ155" s="398"/>
      <c r="XAA155" s="398"/>
      <c r="XAB155" s="398"/>
      <c r="XAC155" s="398"/>
      <c r="XAD155" s="398"/>
      <c r="XAE155" s="398"/>
      <c r="XAF155" s="398"/>
      <c r="XAG155" s="398"/>
      <c r="XAH155" s="398"/>
      <c r="XAI155" s="398"/>
      <c r="XAJ155" s="398"/>
      <c r="XAK155" s="398"/>
      <c r="XAL155" s="398"/>
      <c r="XAM155" s="398"/>
      <c r="XAN155" s="398"/>
      <c r="XAO155" s="398"/>
      <c r="XAP155" s="398"/>
      <c r="XAQ155" s="398"/>
      <c r="XAR155" s="398"/>
      <c r="XAS155" s="398"/>
      <c r="XAT155" s="398"/>
      <c r="XAU155" s="398"/>
      <c r="XAV155" s="398"/>
      <c r="XAW155" s="398"/>
      <c r="XAX155" s="398"/>
      <c r="XAY155" s="398"/>
      <c r="XAZ155" s="398"/>
      <c r="XBA155" s="398"/>
      <c r="XBB155" s="398"/>
      <c r="XBC155" s="398"/>
      <c r="XBD155" s="398"/>
      <c r="XBE155" s="398"/>
      <c r="XBF155" s="398"/>
      <c r="XBG155" s="398"/>
      <c r="XBH155" s="398"/>
      <c r="XBI155" s="398"/>
      <c r="XBJ155" s="398"/>
      <c r="XBK155" s="398"/>
      <c r="XBL155" s="398"/>
      <c r="XBM155" s="398"/>
      <c r="XBN155" s="398"/>
      <c r="XBO155" s="398"/>
      <c r="XBP155" s="398"/>
      <c r="XBQ155" s="398"/>
      <c r="XBR155" s="398"/>
      <c r="XBS155" s="398"/>
      <c r="XBT155" s="398"/>
      <c r="XBU155" s="398"/>
      <c r="XBV155" s="398"/>
      <c r="XBW155" s="398"/>
      <c r="XBX155" s="398"/>
      <c r="XBY155" s="398"/>
      <c r="XBZ155" s="398"/>
      <c r="XCA155" s="398"/>
      <c r="XCB155" s="398"/>
      <c r="XCC155" s="398"/>
      <c r="XCD155" s="398"/>
      <c r="XCE155" s="398"/>
      <c r="XCF155" s="398"/>
      <c r="XCG155" s="398"/>
      <c r="XCH155" s="398"/>
      <c r="XCI155" s="398"/>
      <c r="XCJ155" s="398"/>
      <c r="XCK155" s="398"/>
      <c r="XCL155" s="398"/>
      <c r="XCM155" s="398"/>
      <c r="XCN155" s="398"/>
      <c r="XCO155" s="398"/>
      <c r="XCP155" s="398"/>
      <c r="XCQ155" s="398"/>
      <c r="XCR155" s="398"/>
      <c r="XCS155" s="398"/>
      <c r="XCT155" s="398"/>
      <c r="XCU155" s="398"/>
      <c r="XCV155" s="398"/>
      <c r="XCW155" s="398"/>
      <c r="XCX155" s="398"/>
      <c r="XCY155" s="398"/>
      <c r="XCZ155" s="398"/>
      <c r="XDA155" s="398"/>
      <c r="XDB155" s="398"/>
      <c r="XDC155" s="398"/>
      <c r="XDD155" s="398"/>
      <c r="XDE155" s="398"/>
      <c r="XDF155" s="398"/>
      <c r="XDG155" s="398"/>
      <c r="XDH155" s="398"/>
      <c r="XDI155" s="398"/>
      <c r="XDJ155" s="398"/>
      <c r="XDK155" s="398"/>
      <c r="XDL155" s="398"/>
      <c r="XDM155" s="398"/>
      <c r="XDN155" s="398"/>
      <c r="XDO155" s="398"/>
      <c r="XDP155" s="398"/>
      <c r="XDQ155" s="398"/>
      <c r="XDR155" s="398"/>
      <c r="XDS155" s="398"/>
      <c r="XDT155" s="398"/>
      <c r="XDU155" s="398"/>
      <c r="XDV155" s="398"/>
      <c r="XDW155" s="398"/>
      <c r="XDX155" s="398"/>
      <c r="XDY155" s="398"/>
      <c r="XDZ155" s="398"/>
      <c r="XEA155" s="398"/>
      <c r="XEB155" s="398"/>
      <c r="XEC155" s="398"/>
      <c r="XED155" s="398"/>
      <c r="XEE155" s="398"/>
      <c r="XEF155" s="398"/>
      <c r="XEG155" s="398"/>
      <c r="XEH155" s="398"/>
      <c r="XEI155" s="398"/>
      <c r="XEJ155" s="398"/>
      <c r="XEK155" s="398"/>
      <c r="XEL155" s="398"/>
      <c r="XEM155" s="398"/>
      <c r="XEN155" s="398"/>
      <c r="XEO155" s="398"/>
      <c r="XEP155" s="398"/>
      <c r="XEQ155" s="398"/>
      <c r="XER155" s="398"/>
      <c r="XES155" s="398"/>
      <c r="XET155" s="398"/>
      <c r="XEU155" s="398"/>
      <c r="XEV155" s="398"/>
      <c r="XEW155" s="398"/>
      <c r="XEX155" s="398"/>
      <c r="XEY155" s="398"/>
      <c r="XEZ155" s="398"/>
      <c r="XFA155" s="398"/>
      <c r="XFB155" s="398"/>
      <c r="XFC155" s="398"/>
    </row>
    <row r="156" spans="1:16383" s="398" customFormat="1" hidden="1">
      <c r="B156" s="1040"/>
      <c r="C156" s="976" t="s">
        <v>738</v>
      </c>
      <c r="D156" s="1079"/>
      <c r="E156" s="2424"/>
      <c r="F156" s="2427"/>
      <c r="G156" s="2427"/>
      <c r="H156" s="2427"/>
      <c r="I156" s="2427"/>
      <c r="J156" s="2427"/>
      <c r="K156" s="2427"/>
      <c r="L156" s="2427"/>
      <c r="M156" s="2427"/>
      <c r="N156" s="2427"/>
      <c r="O156" s="1057"/>
      <c r="P156" s="1173"/>
      <c r="Q156" s="1173"/>
      <c r="R156" s="1173"/>
      <c r="S156" s="1173"/>
      <c r="T156" s="1173"/>
      <c r="U156" s="1173"/>
      <c r="V156" s="1173"/>
    </row>
    <row r="157" spans="1:16383" hidden="1">
      <c r="B157" s="2192"/>
      <c r="C157" s="952" t="s">
        <v>739</v>
      </c>
      <c r="D157" s="924"/>
      <c r="E157" s="2425"/>
      <c r="F157" s="2428"/>
      <c r="G157" s="2428"/>
      <c r="H157" s="2428"/>
      <c r="I157" s="2428"/>
      <c r="J157" s="2428"/>
      <c r="K157" s="2428"/>
      <c r="L157" s="2428"/>
      <c r="M157" s="2428"/>
      <c r="N157" s="2428"/>
      <c r="O157" s="1057"/>
      <c r="P157" s="1173"/>
      <c r="Q157" s="1173"/>
      <c r="R157" s="1173"/>
      <c r="S157" s="1173"/>
      <c r="T157" s="1173"/>
      <c r="U157" s="1173"/>
      <c r="V157" s="1173"/>
    </row>
    <row r="158" spans="1:16383" hidden="1">
      <c r="B158" s="2192"/>
      <c r="C158" s="956" t="s">
        <v>740</v>
      </c>
      <c r="D158" s="957"/>
      <c r="E158" s="2426"/>
      <c r="F158" s="2429"/>
      <c r="G158" s="2429"/>
      <c r="H158" s="2429"/>
      <c r="I158" s="2429"/>
      <c r="J158" s="2429"/>
      <c r="K158" s="2429"/>
      <c r="L158" s="2429"/>
      <c r="M158" s="2429"/>
      <c r="N158" s="2429"/>
      <c r="O158" s="1057"/>
      <c r="P158" s="1173"/>
      <c r="Q158" s="1173"/>
      <c r="R158" s="1173"/>
      <c r="S158" s="1173"/>
      <c r="T158" s="1173"/>
      <c r="U158" s="1173"/>
      <c r="V158" s="1173"/>
    </row>
    <row r="159" spans="1:16383" hidden="1">
      <c r="B159" s="2192"/>
      <c r="C159" s="47"/>
      <c r="D159" s="47"/>
      <c r="E159" s="47"/>
      <c r="F159" s="47"/>
      <c r="G159" s="47"/>
      <c r="H159" s="47"/>
      <c r="I159" s="47"/>
      <c r="J159" s="47"/>
      <c r="K159" s="47"/>
      <c r="L159" s="47"/>
      <c r="M159" s="47"/>
      <c r="N159" s="47"/>
      <c r="O159" s="1057"/>
      <c r="P159" s="1173"/>
      <c r="Q159" s="1173"/>
      <c r="R159" s="1173"/>
      <c r="S159" s="1173"/>
      <c r="T159" s="1173"/>
      <c r="U159" s="1173"/>
      <c r="V159" s="1173"/>
    </row>
    <row r="160" spans="1:16383" hidden="1">
      <c r="B160" s="2192"/>
      <c r="C160" s="946"/>
      <c r="D160" s="924"/>
      <c r="E160" s="941"/>
      <c r="F160" s="942"/>
      <c r="G160" s="943"/>
      <c r="H160" s="943"/>
      <c r="I160" s="943"/>
      <c r="J160" s="943"/>
      <c r="K160" s="943"/>
      <c r="L160" s="943"/>
      <c r="M160" s="943"/>
      <c r="N160" s="944" t="s">
        <v>2814</v>
      </c>
      <c r="O160" s="1057"/>
      <c r="P160" s="1173"/>
      <c r="Q160" s="1173"/>
      <c r="R160" s="1173"/>
      <c r="S160" s="1173"/>
      <c r="T160" s="1173"/>
      <c r="U160" s="1173"/>
      <c r="V160" s="1173"/>
      <c r="W160" s="398"/>
      <c r="X160" s="398"/>
      <c r="Y160" s="398"/>
      <c r="Z160" s="398"/>
      <c r="AA160" s="398"/>
    </row>
    <row r="161" spans="2:27" hidden="1">
      <c r="B161" s="2192"/>
      <c r="C161" s="1078" t="s">
        <v>1734</v>
      </c>
      <c r="D161" s="1079" t="s">
        <v>1877</v>
      </c>
      <c r="E161" s="980" t="s">
        <v>160</v>
      </c>
      <c r="F161" s="981">
        <v>2013</v>
      </c>
      <c r="G161" s="974">
        <v>2015</v>
      </c>
      <c r="H161" s="974">
        <v>2020</v>
      </c>
      <c r="I161" s="974">
        <v>2025</v>
      </c>
      <c r="J161" s="974">
        <v>2030</v>
      </c>
      <c r="K161" s="974">
        <v>2035</v>
      </c>
      <c r="L161" s="974">
        <v>2040</v>
      </c>
      <c r="M161" s="974">
        <v>2045</v>
      </c>
      <c r="N161" s="974">
        <v>2050</v>
      </c>
      <c r="O161" s="1057"/>
      <c r="P161" s="1173"/>
      <c r="Q161" s="1173"/>
      <c r="R161" s="1173"/>
      <c r="S161" s="1173"/>
      <c r="T161" s="1173"/>
      <c r="U161" s="1173"/>
      <c r="V161" s="1173"/>
      <c r="W161" s="398"/>
      <c r="X161" s="398"/>
      <c r="Y161" s="398"/>
      <c r="Z161" s="398"/>
      <c r="AA161" s="398"/>
    </row>
    <row r="162" spans="2:27" hidden="1">
      <c r="B162" s="2192"/>
      <c r="C162" s="976" t="s">
        <v>738</v>
      </c>
      <c r="D162" s="1079"/>
      <c r="E162" s="2424"/>
      <c r="F162" s="2427"/>
      <c r="G162" s="2427"/>
      <c r="H162" s="2427"/>
      <c r="I162" s="2427"/>
      <c r="J162" s="2427"/>
      <c r="K162" s="2427"/>
      <c r="L162" s="2427"/>
      <c r="M162" s="2427"/>
      <c r="N162" s="2427"/>
      <c r="O162" s="1057"/>
      <c r="P162" s="1173"/>
      <c r="Q162" s="1173"/>
      <c r="R162" s="1173"/>
      <c r="S162" s="1181"/>
      <c r="T162" s="1181"/>
      <c r="U162" s="1181"/>
      <c r="V162" s="1181"/>
      <c r="W162" s="86"/>
      <c r="X162" s="86"/>
      <c r="Y162" s="86"/>
      <c r="Z162" s="86"/>
      <c r="AA162" s="398"/>
    </row>
    <row r="163" spans="2:27" hidden="1">
      <c r="B163" s="2192"/>
      <c r="C163" s="952" t="s">
        <v>739</v>
      </c>
      <c r="D163" s="924"/>
      <c r="E163" s="2425"/>
      <c r="F163" s="2428"/>
      <c r="G163" s="2428"/>
      <c r="H163" s="2428"/>
      <c r="I163" s="2428"/>
      <c r="J163" s="2428"/>
      <c r="K163" s="2428"/>
      <c r="L163" s="2428"/>
      <c r="M163" s="2428"/>
      <c r="N163" s="2428"/>
      <c r="O163" s="1057"/>
      <c r="P163" s="1173"/>
      <c r="Q163" s="1173"/>
      <c r="R163" s="1173"/>
      <c r="S163" s="1173"/>
      <c r="T163" s="1173"/>
      <c r="U163" s="1173"/>
      <c r="V163" s="1173"/>
      <c r="W163" s="398"/>
      <c r="X163" s="398"/>
      <c r="Y163" s="398"/>
      <c r="Z163" s="398"/>
      <c r="AA163" s="398"/>
    </row>
    <row r="164" spans="2:27" hidden="1">
      <c r="B164" s="2192"/>
      <c r="C164" s="956" t="s">
        <v>740</v>
      </c>
      <c r="D164" s="957"/>
      <c r="E164" s="2426"/>
      <c r="F164" s="2429"/>
      <c r="G164" s="2429"/>
      <c r="H164" s="2429"/>
      <c r="I164" s="2429"/>
      <c r="J164" s="2429"/>
      <c r="K164" s="2429"/>
      <c r="L164" s="2429"/>
      <c r="M164" s="2429"/>
      <c r="N164" s="2429"/>
      <c r="O164" s="1057"/>
      <c r="P164" s="1173"/>
      <c r="Q164" s="1173"/>
      <c r="R164" s="1173"/>
      <c r="S164" s="1173"/>
      <c r="T164" s="1173"/>
      <c r="U164" s="1173"/>
      <c r="V164" s="1173"/>
      <c r="W164" s="398"/>
      <c r="X164" s="398"/>
      <c r="Y164" s="398"/>
      <c r="Z164" s="398"/>
      <c r="AA164" s="398"/>
    </row>
    <row r="165" spans="2:27" ht="10.5" hidden="1" customHeight="1">
      <c r="B165" s="2192"/>
      <c r="C165" s="47"/>
      <c r="D165" s="47"/>
      <c r="E165" s="47"/>
      <c r="F165" s="47"/>
      <c r="G165" s="47"/>
      <c r="H165" s="47"/>
      <c r="I165" s="47"/>
      <c r="J165" s="47"/>
      <c r="K165" s="47"/>
      <c r="L165" s="47"/>
      <c r="M165" s="47"/>
      <c r="N165" s="47"/>
      <c r="O165" s="1057"/>
      <c r="P165" s="1173"/>
      <c r="Q165" s="1173"/>
      <c r="R165" s="1173"/>
      <c r="S165" s="1173"/>
      <c r="T165" s="1173"/>
      <c r="U165" s="1173"/>
      <c r="V165" s="1173"/>
    </row>
    <row r="166" spans="2:27" hidden="1">
      <c r="B166" s="2192"/>
      <c r="C166" s="924"/>
      <c r="D166" s="941"/>
      <c r="E166" s="942"/>
      <c r="F166" s="942"/>
      <c r="G166" s="943"/>
      <c r="H166" s="943"/>
      <c r="I166" s="943"/>
      <c r="J166" s="943"/>
      <c r="K166" s="943"/>
      <c r="L166" s="943"/>
      <c r="M166" s="47"/>
      <c r="N166" s="944" t="s">
        <v>2815</v>
      </c>
      <c r="O166" s="1057"/>
      <c r="P166" s="1173"/>
      <c r="Q166" s="1173"/>
      <c r="R166" s="1173"/>
      <c r="S166" s="1173"/>
      <c r="T166" s="1173"/>
      <c r="U166" s="1173"/>
      <c r="V166" s="1173"/>
    </row>
    <row r="167" spans="2:27" ht="15.75" hidden="1" customHeight="1">
      <c r="B167" s="2192"/>
      <c r="C167" s="2193" t="s">
        <v>1735</v>
      </c>
      <c r="D167" s="1079" t="s">
        <v>1736</v>
      </c>
      <c r="E167" s="980" t="s">
        <v>160</v>
      </c>
      <c r="F167" s="981">
        <v>2013</v>
      </c>
      <c r="G167" s="974">
        <v>2015</v>
      </c>
      <c r="H167" s="974">
        <v>2020</v>
      </c>
      <c r="I167" s="974">
        <v>2025</v>
      </c>
      <c r="J167" s="974">
        <v>2030</v>
      </c>
      <c r="K167" s="974">
        <v>2035</v>
      </c>
      <c r="L167" s="974">
        <v>2040</v>
      </c>
      <c r="M167" s="974">
        <v>2045</v>
      </c>
      <c r="N167" s="974">
        <v>2050</v>
      </c>
      <c r="O167" s="1057"/>
      <c r="P167" s="1173"/>
      <c r="Q167" s="1173"/>
      <c r="R167" s="1173"/>
      <c r="S167" s="1173"/>
      <c r="T167" s="1173"/>
      <c r="U167" s="1173"/>
      <c r="V167" s="1173"/>
    </row>
    <row r="168" spans="2:27" ht="12.75" hidden="1" customHeight="1">
      <c r="B168" s="2192"/>
      <c r="C168" s="976" t="s">
        <v>738</v>
      </c>
      <c r="D168" s="1079"/>
      <c r="E168" s="2424"/>
      <c r="F168" s="2427"/>
      <c r="G168" s="2427"/>
      <c r="H168" s="2427"/>
      <c r="I168" s="2427"/>
      <c r="J168" s="2427"/>
      <c r="K168" s="2427"/>
      <c r="L168" s="2427"/>
      <c r="M168" s="2427"/>
      <c r="N168" s="2427"/>
      <c r="O168" s="1057"/>
      <c r="P168" s="1173"/>
      <c r="Q168" s="1173"/>
      <c r="R168" s="1173"/>
      <c r="S168" s="1173"/>
      <c r="T168" s="1173"/>
      <c r="U168" s="1173"/>
      <c r="V168" s="1173"/>
    </row>
    <row r="169" spans="2:27" ht="16.5" hidden="1" customHeight="1">
      <c r="B169" s="2192"/>
      <c r="C169" s="952" t="s">
        <v>739</v>
      </c>
      <c r="D169" s="924"/>
      <c r="E169" s="2425"/>
      <c r="F169" s="2428"/>
      <c r="G169" s="2428"/>
      <c r="H169" s="2428"/>
      <c r="I169" s="2428"/>
      <c r="J169" s="2428"/>
      <c r="K169" s="2428"/>
      <c r="L169" s="2428"/>
      <c r="M169" s="2428"/>
      <c r="N169" s="2428"/>
      <c r="O169" s="1057"/>
      <c r="P169" s="1173"/>
      <c r="Q169" s="1173"/>
      <c r="R169" s="1173"/>
      <c r="S169" s="1173"/>
      <c r="T169" s="1173"/>
      <c r="U169" s="1173"/>
      <c r="V169" s="1173"/>
    </row>
    <row r="170" spans="2:27" hidden="1">
      <c r="B170" s="2192"/>
      <c r="C170" s="956" t="s">
        <v>740</v>
      </c>
      <c r="D170" s="957"/>
      <c r="E170" s="2426"/>
      <c r="F170" s="2429"/>
      <c r="G170" s="2429"/>
      <c r="H170" s="2429"/>
      <c r="I170" s="2429"/>
      <c r="J170" s="2429"/>
      <c r="K170" s="2429"/>
      <c r="L170" s="2429"/>
      <c r="M170" s="2429"/>
      <c r="N170" s="2429"/>
      <c r="O170" s="1057"/>
      <c r="P170" s="1173"/>
      <c r="Q170" s="1173"/>
      <c r="R170" s="1173"/>
      <c r="S170" s="1173"/>
      <c r="T170" s="1173"/>
      <c r="U170" s="1173"/>
      <c r="V170" s="1173"/>
    </row>
    <row r="171" spans="2:27" hidden="1">
      <c r="B171" s="2192"/>
      <c r="C171" s="47"/>
      <c r="D171" s="47"/>
      <c r="E171" s="47"/>
      <c r="F171" s="47"/>
      <c r="G171" s="47"/>
      <c r="H171" s="47"/>
      <c r="I171" s="47"/>
      <c r="J171" s="47"/>
      <c r="K171" s="47"/>
      <c r="L171" s="47"/>
      <c r="M171" s="47"/>
      <c r="N171" s="47"/>
      <c r="O171" s="1057"/>
      <c r="P171" s="1173"/>
      <c r="Q171" s="1173"/>
      <c r="R171" s="1173"/>
      <c r="S171" s="1173"/>
      <c r="T171" s="1173"/>
      <c r="U171" s="1173"/>
      <c r="V171" s="1173"/>
    </row>
    <row r="172" spans="2:27" hidden="1">
      <c r="B172" s="2192"/>
      <c r="C172" s="49" t="s">
        <v>1737</v>
      </c>
      <c r="D172" s="924"/>
      <c r="E172" s="941"/>
      <c r="F172" s="942"/>
      <c r="G172" s="943"/>
      <c r="H172" s="943"/>
      <c r="I172" s="943"/>
      <c r="J172" s="943"/>
      <c r="K172" s="943"/>
      <c r="L172" s="943"/>
      <c r="M172" s="943"/>
      <c r="N172" s="47"/>
      <c r="O172" s="1056"/>
      <c r="P172" s="1173"/>
      <c r="Q172" s="1173"/>
      <c r="R172" s="1173"/>
      <c r="S172" s="1173"/>
      <c r="T172" s="1173"/>
      <c r="U172" s="1173"/>
      <c r="V172" s="1173"/>
    </row>
    <row r="173" spans="2:27" hidden="1">
      <c r="B173" s="2192"/>
      <c r="C173" s="946"/>
      <c r="D173" s="924"/>
      <c r="E173" s="941"/>
      <c r="F173" s="942"/>
      <c r="G173" s="943"/>
      <c r="H173" s="943"/>
      <c r="I173" s="943"/>
      <c r="J173" s="943"/>
      <c r="K173" s="943"/>
      <c r="L173" s="943"/>
      <c r="M173" s="943"/>
      <c r="N173" s="944" t="s">
        <v>2814</v>
      </c>
      <c r="O173" s="1056"/>
      <c r="P173" s="1173"/>
      <c r="Q173" s="1173"/>
      <c r="R173" s="1173"/>
      <c r="S173" s="1173"/>
      <c r="T173" s="1173"/>
      <c r="U173" s="1173"/>
      <c r="V173" s="1173"/>
    </row>
    <row r="174" spans="2:27" hidden="1">
      <c r="B174" s="2192"/>
      <c r="C174" s="1078" t="s">
        <v>145</v>
      </c>
      <c r="D174" s="1079"/>
      <c r="E174" s="980" t="s">
        <v>160</v>
      </c>
      <c r="F174" s="981">
        <v>2013</v>
      </c>
      <c r="G174" s="974">
        <v>2015</v>
      </c>
      <c r="H174" s="974">
        <v>2020</v>
      </c>
      <c r="I174" s="974">
        <v>2025</v>
      </c>
      <c r="J174" s="974">
        <v>2030</v>
      </c>
      <c r="K174" s="974">
        <v>2035</v>
      </c>
      <c r="L174" s="974">
        <v>2040</v>
      </c>
      <c r="M174" s="974">
        <v>2045</v>
      </c>
      <c r="N174" s="974">
        <v>2050</v>
      </c>
      <c r="O174" s="1056"/>
      <c r="P174" s="1173"/>
      <c r="Q174" s="1173"/>
      <c r="R174" s="1173"/>
      <c r="S174" s="1173"/>
      <c r="T174" s="1173"/>
      <c r="U174" s="1173"/>
      <c r="V174" s="1173"/>
    </row>
    <row r="175" spans="2:27" hidden="1">
      <c r="B175" s="2192"/>
      <c r="C175" s="976" t="s">
        <v>738</v>
      </c>
      <c r="D175" s="1079"/>
      <c r="E175" s="2424"/>
      <c r="F175" s="2427"/>
      <c r="G175" s="2427"/>
      <c r="H175" s="2427"/>
      <c r="I175" s="2427"/>
      <c r="J175" s="2427"/>
      <c r="K175" s="2427"/>
      <c r="L175" s="2427"/>
      <c r="M175" s="2427"/>
      <c r="N175" s="2427"/>
      <c r="O175" s="1056"/>
      <c r="P175" s="1173"/>
      <c r="Q175" s="1173"/>
      <c r="R175" s="1173"/>
      <c r="S175" s="1173"/>
      <c r="T175" s="1173"/>
      <c r="U175" s="1173"/>
      <c r="V175" s="1173"/>
    </row>
    <row r="176" spans="2:27" hidden="1">
      <c r="B176" s="2192"/>
      <c r="C176" s="952" t="s">
        <v>739</v>
      </c>
      <c r="D176" s="924"/>
      <c r="E176" s="2425"/>
      <c r="F176" s="2428"/>
      <c r="G176" s="2428"/>
      <c r="H176" s="2428"/>
      <c r="I176" s="2428"/>
      <c r="J176" s="2428"/>
      <c r="K176" s="2428"/>
      <c r="L176" s="2428"/>
      <c r="M176" s="2428"/>
      <c r="N176" s="2428"/>
      <c r="O176" s="1056"/>
      <c r="P176" s="1173"/>
      <c r="Q176" s="1173"/>
      <c r="R176" s="1173"/>
      <c r="S176" s="1173"/>
      <c r="T176" s="1173"/>
      <c r="U176" s="1173"/>
      <c r="V176" s="1173"/>
    </row>
    <row r="177" spans="1:99" ht="15.75" hidden="1">
      <c r="B177" s="2194"/>
      <c r="C177" s="956" t="s">
        <v>740</v>
      </c>
      <c r="D177" s="957"/>
      <c r="E177" s="2426"/>
      <c r="F177" s="2429"/>
      <c r="G177" s="2429"/>
      <c r="H177" s="2429"/>
      <c r="I177" s="2429"/>
      <c r="J177" s="2429"/>
      <c r="K177" s="2429"/>
      <c r="L177" s="2429"/>
      <c r="M177" s="2429"/>
      <c r="N177" s="2429"/>
      <c r="O177" s="67"/>
      <c r="P177" s="1173"/>
      <c r="Q177" s="1173"/>
      <c r="R177" s="1173"/>
      <c r="S177" s="1173"/>
      <c r="T177" s="1173"/>
      <c r="U177" s="1173"/>
      <c r="V177" s="1173"/>
    </row>
    <row r="178" spans="1:99" s="6" customFormat="1" ht="15.75" hidden="1">
      <c r="A178"/>
      <c r="B178" s="2195"/>
      <c r="C178" s="945"/>
      <c r="D178" s="945"/>
      <c r="E178" s="945"/>
      <c r="F178" s="945"/>
      <c r="G178" s="945"/>
      <c r="H178" s="945"/>
      <c r="I178" s="945"/>
      <c r="J178" s="945"/>
      <c r="K178" s="945"/>
      <c r="L178" s="945"/>
      <c r="M178" s="945"/>
      <c r="N178" s="945"/>
      <c r="O178" s="108"/>
      <c r="P178" s="1173"/>
      <c r="Q178" s="656"/>
      <c r="R178" s="656"/>
      <c r="S178" s="1173"/>
      <c r="T178" s="1173"/>
      <c r="U178" s="1173"/>
      <c r="V178" s="1173"/>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row>
    <row r="179" spans="1:99" hidden="1">
      <c r="B179" s="2192"/>
      <c r="C179" s="945"/>
      <c r="D179" s="945"/>
      <c r="E179" s="945"/>
      <c r="F179" s="945"/>
      <c r="G179" s="945"/>
      <c r="H179" s="945"/>
      <c r="I179" s="945"/>
      <c r="J179" s="945"/>
      <c r="K179" s="945"/>
      <c r="L179" s="945"/>
      <c r="M179" s="945"/>
      <c r="N179" s="944" t="s">
        <v>2814</v>
      </c>
      <c r="O179" s="67"/>
      <c r="P179" s="1173"/>
      <c r="Q179" s="1173"/>
      <c r="R179" s="1173"/>
      <c r="S179" s="1173"/>
      <c r="T179" s="1173"/>
      <c r="U179" s="1173"/>
      <c r="V179" s="1173"/>
    </row>
    <row r="180" spans="1:99" hidden="1">
      <c r="B180" s="2192"/>
      <c r="C180" s="1078" t="s">
        <v>147</v>
      </c>
      <c r="D180" s="1079"/>
      <c r="E180" s="980" t="s">
        <v>160</v>
      </c>
      <c r="F180" s="981">
        <v>2013</v>
      </c>
      <c r="G180" s="974">
        <v>2015</v>
      </c>
      <c r="H180" s="974">
        <v>2020</v>
      </c>
      <c r="I180" s="974">
        <v>2025</v>
      </c>
      <c r="J180" s="974">
        <v>2030</v>
      </c>
      <c r="K180" s="974">
        <v>2035</v>
      </c>
      <c r="L180" s="974">
        <v>2040</v>
      </c>
      <c r="M180" s="974">
        <v>2045</v>
      </c>
      <c r="N180" s="974">
        <v>2050</v>
      </c>
      <c r="O180" s="67"/>
      <c r="P180" s="1173"/>
      <c r="Q180" s="1173"/>
      <c r="R180" s="1173"/>
      <c r="S180" s="1173"/>
      <c r="T180" s="1173"/>
      <c r="U180" s="1173"/>
      <c r="V180" s="1173"/>
    </row>
    <row r="181" spans="1:99" hidden="1">
      <c r="B181" s="2192"/>
      <c r="C181" s="976" t="s">
        <v>738</v>
      </c>
      <c r="D181" s="1079"/>
      <c r="E181" s="2424"/>
      <c r="F181" s="2427"/>
      <c r="G181" s="2427"/>
      <c r="H181" s="2427"/>
      <c r="I181" s="2427"/>
      <c r="J181" s="2427"/>
      <c r="K181" s="2427"/>
      <c r="L181" s="2427"/>
      <c r="M181" s="2427"/>
      <c r="N181" s="2427"/>
      <c r="O181" s="67"/>
      <c r="P181" s="1173"/>
      <c r="Q181" s="1173"/>
      <c r="R181" s="1173"/>
      <c r="S181" s="1173"/>
      <c r="T181" s="1173"/>
      <c r="U181" s="1173"/>
      <c r="V181" s="1173"/>
    </row>
    <row r="182" spans="1:99" hidden="1">
      <c r="B182" s="2192"/>
      <c r="C182" s="952" t="s">
        <v>739</v>
      </c>
      <c r="D182" s="924"/>
      <c r="E182" s="2425"/>
      <c r="F182" s="2428"/>
      <c r="G182" s="2428"/>
      <c r="H182" s="2428"/>
      <c r="I182" s="2428"/>
      <c r="J182" s="2428"/>
      <c r="K182" s="2428"/>
      <c r="L182" s="2428"/>
      <c r="M182" s="2428"/>
      <c r="N182" s="2428"/>
      <c r="O182" s="67"/>
      <c r="P182" s="1173"/>
      <c r="Q182" s="1173"/>
      <c r="R182" s="1173"/>
      <c r="S182" s="1173"/>
      <c r="T182" s="1173"/>
      <c r="U182" s="1173"/>
      <c r="V182" s="1173"/>
    </row>
    <row r="183" spans="1:99" hidden="1">
      <c r="B183" s="2192"/>
      <c r="C183" s="956" t="s">
        <v>740</v>
      </c>
      <c r="D183" s="957"/>
      <c r="E183" s="2426"/>
      <c r="F183" s="2429"/>
      <c r="G183" s="2429"/>
      <c r="H183" s="2429"/>
      <c r="I183" s="2429"/>
      <c r="J183" s="2429"/>
      <c r="K183" s="2429"/>
      <c r="L183" s="2429"/>
      <c r="M183" s="2429"/>
      <c r="N183" s="2429"/>
      <c r="O183" s="67"/>
      <c r="P183" s="1173"/>
      <c r="Q183" s="1173"/>
      <c r="R183" s="1173"/>
      <c r="S183" s="1173"/>
      <c r="T183" s="1173"/>
      <c r="U183" s="1173"/>
      <c r="V183" s="1173"/>
    </row>
    <row r="184" spans="1:99" hidden="1">
      <c r="B184" s="2192"/>
      <c r="C184" s="47"/>
      <c r="D184" s="47"/>
      <c r="E184" s="47" t="s">
        <v>5</v>
      </c>
      <c r="F184" s="47"/>
      <c r="G184" s="47"/>
      <c r="H184" s="47"/>
      <c r="I184" s="47"/>
      <c r="J184" s="47"/>
      <c r="K184" s="47"/>
      <c r="L184" s="47"/>
      <c r="M184" s="47"/>
      <c r="N184" s="47"/>
      <c r="O184" s="67"/>
      <c r="P184" s="1173"/>
      <c r="Q184" s="1173"/>
      <c r="R184" s="1173"/>
      <c r="S184" s="1173"/>
      <c r="T184" s="1173"/>
      <c r="U184" s="1173"/>
      <c r="V184" s="1173"/>
    </row>
    <row r="185" spans="1:99" hidden="1">
      <c r="B185" s="2192"/>
      <c r="C185" s="946"/>
      <c r="D185" s="924"/>
      <c r="E185" s="941"/>
      <c r="F185" s="942"/>
      <c r="G185" s="943"/>
      <c r="H185" s="943"/>
      <c r="I185" s="943"/>
      <c r="J185" s="943"/>
      <c r="K185" s="943"/>
      <c r="L185" s="943"/>
      <c r="M185" s="943"/>
      <c r="N185" s="944" t="s">
        <v>2814</v>
      </c>
      <c r="O185" s="67"/>
      <c r="P185" s="1173"/>
      <c r="Q185" s="1173"/>
      <c r="R185" s="1173"/>
      <c r="S185" s="1173"/>
      <c r="T185" s="1173"/>
      <c r="U185" s="1173"/>
      <c r="V185" s="1173"/>
    </row>
    <row r="186" spans="1:99" hidden="1">
      <c r="B186" s="2192"/>
      <c r="C186" s="1078" t="s">
        <v>1734</v>
      </c>
      <c r="D186" s="1079"/>
      <c r="E186" s="980" t="s">
        <v>160</v>
      </c>
      <c r="F186" s="981">
        <v>2013</v>
      </c>
      <c r="G186" s="974">
        <v>2015</v>
      </c>
      <c r="H186" s="974">
        <v>2020</v>
      </c>
      <c r="I186" s="974">
        <v>2025</v>
      </c>
      <c r="J186" s="974">
        <v>2030</v>
      </c>
      <c r="K186" s="974">
        <v>2035</v>
      </c>
      <c r="L186" s="974">
        <v>2040</v>
      </c>
      <c r="M186" s="974">
        <v>2045</v>
      </c>
      <c r="N186" s="974">
        <v>2050</v>
      </c>
      <c r="O186" s="67"/>
      <c r="P186" s="1173"/>
      <c r="Q186" s="1173"/>
      <c r="R186" s="1173"/>
      <c r="S186" s="1173"/>
      <c r="T186" s="1173"/>
      <c r="U186" s="1173"/>
      <c r="V186" s="1173"/>
    </row>
    <row r="187" spans="1:99" hidden="1">
      <c r="B187" s="2192"/>
      <c r="C187" s="976" t="s">
        <v>738</v>
      </c>
      <c r="D187" s="1079"/>
      <c r="E187" s="2424"/>
      <c r="F187" s="2427"/>
      <c r="G187" s="2427"/>
      <c r="H187" s="2427"/>
      <c r="I187" s="2427"/>
      <c r="J187" s="2427"/>
      <c r="K187" s="2427"/>
      <c r="L187" s="2427"/>
      <c r="M187" s="2427"/>
      <c r="N187" s="2427"/>
      <c r="O187" s="67"/>
      <c r="P187" s="1173"/>
      <c r="Q187" s="1173"/>
      <c r="R187" s="1173"/>
      <c r="S187" s="1173"/>
      <c r="T187" s="1173"/>
      <c r="U187" s="1173"/>
      <c r="V187" s="1173"/>
    </row>
    <row r="188" spans="1:99" hidden="1">
      <c r="B188" s="2192"/>
      <c r="C188" s="952" t="s">
        <v>739</v>
      </c>
      <c r="D188" s="924"/>
      <c r="E188" s="2425"/>
      <c r="F188" s="2428"/>
      <c r="G188" s="2428"/>
      <c r="H188" s="2428"/>
      <c r="I188" s="2428"/>
      <c r="J188" s="2428"/>
      <c r="K188" s="2428"/>
      <c r="L188" s="2428"/>
      <c r="M188" s="2428"/>
      <c r="N188" s="2428"/>
      <c r="O188" s="67"/>
      <c r="P188" s="1173"/>
      <c r="Q188" s="1173"/>
      <c r="R188" s="1173"/>
      <c r="S188" s="1173"/>
      <c r="T188" s="1173"/>
      <c r="U188" s="1173"/>
      <c r="V188" s="1173"/>
    </row>
    <row r="189" spans="1:99" hidden="1">
      <c r="B189" s="2192"/>
      <c r="C189" s="956" t="s">
        <v>740</v>
      </c>
      <c r="D189" s="957"/>
      <c r="E189" s="2426"/>
      <c r="F189" s="2429"/>
      <c r="G189" s="2429"/>
      <c r="H189" s="2429"/>
      <c r="I189" s="2429"/>
      <c r="J189" s="2429"/>
      <c r="K189" s="2429"/>
      <c r="L189" s="2429"/>
      <c r="M189" s="2429"/>
      <c r="N189" s="2429"/>
      <c r="O189" s="67"/>
      <c r="P189" s="1173"/>
      <c r="Q189" s="2191"/>
      <c r="R189" s="1173"/>
      <c r="S189" s="1173"/>
      <c r="T189" s="1173"/>
      <c r="U189" s="1173"/>
      <c r="V189" s="1173"/>
    </row>
    <row r="190" spans="1:99" hidden="1">
      <c r="B190" s="2192"/>
      <c r="C190" s="47"/>
      <c r="D190" s="47"/>
      <c r="E190" s="47"/>
      <c r="F190" s="47"/>
      <c r="G190" s="47"/>
      <c r="H190" s="47"/>
      <c r="I190" s="47"/>
      <c r="J190" s="47"/>
      <c r="K190" s="47"/>
      <c r="L190" s="47"/>
      <c r="M190" s="47"/>
      <c r="N190" s="47"/>
      <c r="O190" s="67"/>
      <c r="P190" s="1173"/>
      <c r="Q190" s="1173"/>
      <c r="R190" s="1173"/>
      <c r="S190" s="1173"/>
      <c r="T190" s="1173"/>
      <c r="U190" s="1173"/>
      <c r="V190" s="1173"/>
    </row>
    <row r="191" spans="1:99" hidden="1">
      <c r="B191" s="2192"/>
      <c r="C191" s="924"/>
      <c r="D191" s="941"/>
      <c r="E191" s="942"/>
      <c r="F191" s="942"/>
      <c r="G191" s="943"/>
      <c r="H191" s="943"/>
      <c r="I191" s="943"/>
      <c r="J191" s="943"/>
      <c r="K191" s="943"/>
      <c r="L191" s="943"/>
      <c r="M191" s="47"/>
      <c r="N191" s="944" t="s">
        <v>2815</v>
      </c>
      <c r="O191" s="67"/>
      <c r="P191" s="1173"/>
      <c r="Q191" s="1173"/>
      <c r="R191" s="1173"/>
      <c r="S191" s="1173"/>
      <c r="T191" s="1173"/>
      <c r="U191" s="1173"/>
      <c r="V191" s="1173"/>
    </row>
    <row r="192" spans="1:99" hidden="1">
      <c r="B192" s="2192"/>
      <c r="C192" s="2193" t="s">
        <v>1735</v>
      </c>
      <c r="D192" s="1079"/>
      <c r="E192" s="980" t="s">
        <v>160</v>
      </c>
      <c r="F192" s="981">
        <v>2013</v>
      </c>
      <c r="G192" s="974">
        <v>2015</v>
      </c>
      <c r="H192" s="974">
        <v>2020</v>
      </c>
      <c r="I192" s="974">
        <v>2025</v>
      </c>
      <c r="J192" s="974">
        <v>2030</v>
      </c>
      <c r="K192" s="974">
        <v>2035</v>
      </c>
      <c r="L192" s="974">
        <v>2040</v>
      </c>
      <c r="M192" s="974">
        <v>2045</v>
      </c>
      <c r="N192" s="974">
        <v>2050</v>
      </c>
      <c r="O192" s="67"/>
      <c r="P192" s="1173"/>
      <c r="Q192" s="1173"/>
      <c r="R192" s="1173"/>
      <c r="S192" s="1173"/>
      <c r="T192" s="1173"/>
      <c r="U192" s="1173"/>
      <c r="V192" s="1173"/>
    </row>
    <row r="193" spans="1:22" hidden="1">
      <c r="B193" s="2192"/>
      <c r="C193" s="976" t="s">
        <v>738</v>
      </c>
      <c r="D193" s="1079"/>
      <c r="E193" s="2424"/>
      <c r="F193" s="2427"/>
      <c r="G193" s="2427"/>
      <c r="H193" s="2427"/>
      <c r="I193" s="2427"/>
      <c r="J193" s="2427"/>
      <c r="K193" s="2427"/>
      <c r="L193" s="2427"/>
      <c r="M193" s="2427"/>
      <c r="N193" s="2427"/>
      <c r="O193" s="67"/>
      <c r="P193" s="1173"/>
      <c r="Q193" s="1173"/>
      <c r="R193" s="1173"/>
      <c r="S193" s="1173"/>
      <c r="T193" s="1173"/>
      <c r="U193" s="1173"/>
      <c r="V193" s="1173"/>
    </row>
    <row r="194" spans="1:22" hidden="1">
      <c r="B194" s="2192"/>
      <c r="C194" s="952" t="s">
        <v>739</v>
      </c>
      <c r="D194" s="924"/>
      <c r="E194" s="2425"/>
      <c r="F194" s="2428"/>
      <c r="G194" s="2428"/>
      <c r="H194" s="2428"/>
      <c r="I194" s="2428"/>
      <c r="J194" s="2428"/>
      <c r="K194" s="2428"/>
      <c r="L194" s="2428"/>
      <c r="M194" s="2428"/>
      <c r="N194" s="2428"/>
      <c r="O194" s="67"/>
      <c r="P194" s="1173"/>
      <c r="Q194" s="1173"/>
      <c r="R194" s="1173"/>
      <c r="S194" s="1173"/>
      <c r="T194" s="1173"/>
      <c r="U194" s="1173"/>
      <c r="V194" s="1173"/>
    </row>
    <row r="195" spans="1:22" hidden="1">
      <c r="B195" s="2192"/>
      <c r="C195" s="956" t="s">
        <v>740</v>
      </c>
      <c r="D195" s="957"/>
      <c r="E195" s="2426"/>
      <c r="F195" s="2429"/>
      <c r="G195" s="2429"/>
      <c r="H195" s="2429"/>
      <c r="I195" s="2429"/>
      <c r="J195" s="2429"/>
      <c r="K195" s="2429"/>
      <c r="L195" s="2429"/>
      <c r="M195" s="2429"/>
      <c r="N195" s="2429"/>
      <c r="O195" s="67"/>
      <c r="P195" s="1173"/>
      <c r="Q195" s="1173"/>
      <c r="R195" s="1173"/>
      <c r="S195" s="1173"/>
      <c r="T195" s="1173"/>
      <c r="U195" s="1173"/>
      <c r="V195" s="1173"/>
    </row>
    <row r="196" spans="1:22" hidden="1">
      <c r="B196" s="2192"/>
      <c r="C196" s="2196"/>
      <c r="D196" s="2197"/>
      <c r="E196" s="2198"/>
      <c r="F196" s="2199"/>
      <c r="G196" s="2200"/>
      <c r="H196" s="2200"/>
      <c r="I196" s="2200"/>
      <c r="J196" s="2200"/>
      <c r="K196" s="2200"/>
      <c r="L196" s="2200"/>
      <c r="M196" s="2200"/>
      <c r="N196" s="1081"/>
      <c r="O196" s="67"/>
      <c r="P196" s="1173"/>
      <c r="Q196" s="1173"/>
      <c r="R196" s="1173"/>
      <c r="S196" s="1173"/>
      <c r="T196" s="1173"/>
      <c r="U196" s="1173"/>
      <c r="V196" s="1173"/>
    </row>
    <row r="197" spans="1:22" hidden="1">
      <c r="B197" s="1172"/>
      <c r="C197" s="1074"/>
      <c r="D197" s="1074"/>
      <c r="E197" s="1074"/>
      <c r="F197" s="1074"/>
      <c r="G197" s="1074"/>
      <c r="H197" s="1074"/>
      <c r="I197" s="1074"/>
      <c r="J197" s="1074"/>
      <c r="K197" s="1074"/>
      <c r="L197" s="1074"/>
      <c r="M197" s="1074"/>
      <c r="N197" s="1074"/>
      <c r="O197" s="1109"/>
    </row>
    <row r="198" spans="1:22">
      <c r="B198" s="877"/>
      <c r="E198" s="2378" t="s">
        <v>5</v>
      </c>
    </row>
    <row r="200" spans="1:22" ht="23.25">
      <c r="A200" s="7"/>
      <c r="B200" s="878" t="s">
        <v>178</v>
      </c>
      <c r="C200" s="1283"/>
      <c r="D200" s="1283"/>
      <c r="E200" s="1283"/>
      <c r="F200" s="1283"/>
      <c r="G200" s="1283"/>
      <c r="H200" s="1283"/>
      <c r="I200" s="1283"/>
      <c r="J200" s="1283"/>
      <c r="K200" s="1283"/>
      <c r="L200" s="1283"/>
      <c r="M200" s="1283"/>
      <c r="N200" s="1283"/>
      <c r="O200" s="1284"/>
    </row>
    <row r="201" spans="1:22">
      <c r="B201" s="110"/>
      <c r="C201" s="67"/>
      <c r="D201" s="67"/>
      <c r="E201" s="67"/>
      <c r="F201" s="67"/>
      <c r="G201" s="67"/>
      <c r="H201" s="67"/>
      <c r="I201" s="67"/>
      <c r="J201" s="67"/>
      <c r="K201" s="67"/>
      <c r="L201" s="67"/>
      <c r="M201" s="67"/>
      <c r="N201" s="67"/>
      <c r="O201" s="885"/>
    </row>
    <row r="202" spans="1:22">
      <c r="B202" s="110"/>
      <c r="C202" s="49" t="s">
        <v>2720</v>
      </c>
      <c r="D202" s="67"/>
      <c r="E202" s="67"/>
      <c r="F202" s="67"/>
      <c r="G202" s="67"/>
      <c r="H202" s="67"/>
      <c r="I202" s="67"/>
      <c r="J202" s="67"/>
      <c r="K202" s="67"/>
      <c r="L202" s="67"/>
      <c r="M202" s="67"/>
      <c r="N202" s="51" t="str">
        <f>Preferences.PowerUnits</f>
        <v>GW</v>
      </c>
      <c r="O202" s="885"/>
    </row>
    <row r="203" spans="1:22">
      <c r="B203" s="110"/>
      <c r="C203" s="67"/>
      <c r="D203" s="67"/>
      <c r="E203" s="67"/>
      <c r="F203" s="67"/>
      <c r="G203" s="67"/>
      <c r="H203" s="67"/>
      <c r="I203" s="67"/>
      <c r="J203" s="67"/>
      <c r="K203" s="67"/>
      <c r="L203" s="67"/>
      <c r="M203" s="67"/>
      <c r="N203" s="67"/>
      <c r="O203" s="885"/>
    </row>
    <row r="204" spans="1:22">
      <c r="B204" s="110"/>
      <c r="C204" s="887" t="s">
        <v>132</v>
      </c>
      <c r="D204" s="887" t="s">
        <v>731</v>
      </c>
      <c r="E204" s="887" t="s">
        <v>30</v>
      </c>
      <c r="F204" s="92">
        <v>2013</v>
      </c>
      <c r="G204" s="2171">
        <v>2015</v>
      </c>
      <c r="H204" s="2171">
        <v>2020</v>
      </c>
      <c r="I204" s="2171">
        <v>2025</v>
      </c>
      <c r="J204" s="2171">
        <v>2030</v>
      </c>
      <c r="K204" s="2171">
        <v>2035</v>
      </c>
      <c r="L204" s="2171">
        <v>2040</v>
      </c>
      <c r="M204" s="2171">
        <v>2045</v>
      </c>
      <c r="N204" s="2171">
        <v>2050</v>
      </c>
      <c r="O204" s="885"/>
    </row>
    <row r="205" spans="1:22">
      <c r="B205" s="110"/>
      <c r="C205" s="65" t="s">
        <v>98</v>
      </c>
      <c r="D205" s="108" t="s">
        <v>2718</v>
      </c>
      <c r="E205" s="890" t="s">
        <v>65</v>
      </c>
      <c r="F205" s="59">
        <f>F84+F37</f>
        <v>0.85499999999999998</v>
      </c>
      <c r="G205" s="59">
        <f>G84+G37</f>
        <v>0.85499999999999998</v>
      </c>
      <c r="H205" s="59">
        <f>H84+H37</f>
        <v>0.57000000000000006</v>
      </c>
      <c r="I205" s="59">
        <f>I84+I37</f>
        <v>0.57000000000000006</v>
      </c>
      <c r="J205" s="59">
        <f>J84+J37</f>
        <v>0.28500000000000009</v>
      </c>
      <c r="K205" s="59">
        <v>0</v>
      </c>
      <c r="L205" s="59">
        <v>0</v>
      </c>
      <c r="M205" s="59">
        <v>0</v>
      </c>
      <c r="N205" s="59">
        <v>0</v>
      </c>
      <c r="O205" s="885"/>
    </row>
    <row r="206" spans="1:22" s="3415" customFormat="1">
      <c r="B206" s="110"/>
      <c r="C206" s="65" t="s">
        <v>98</v>
      </c>
      <c r="D206" s="108" t="s">
        <v>1453</v>
      </c>
      <c r="E206" s="108"/>
      <c r="F206" s="59">
        <f>F85+F46</f>
        <v>0.32599999999999996</v>
      </c>
      <c r="G206" s="59">
        <f>G85+G46</f>
        <v>0.31099999999999994</v>
      </c>
      <c r="H206" s="59">
        <f>H85+H46</f>
        <v>0.24099999999999999</v>
      </c>
      <c r="I206" s="59">
        <f>I85+I46</f>
        <v>0.24099999999999999</v>
      </c>
      <c r="J206" s="59">
        <f>J85+J46</f>
        <v>0.17099999999999999</v>
      </c>
      <c r="K206" s="59">
        <f>IF($E$7&lt;3, 0, K85+K46)</f>
        <v>0.17099999999999999</v>
      </c>
      <c r="L206" s="59">
        <f>IF($E$7&lt;3, 0, L85+L46)</f>
        <v>0.10099999999999998</v>
      </c>
      <c r="M206" s="59">
        <f>IF($E$7&lt;3, 0, M85+M46)</f>
        <v>0.10099999999999998</v>
      </c>
      <c r="N206" s="59">
        <f>IF($E$7&lt;3, 0, N85+N46)</f>
        <v>0.10099999999999998</v>
      </c>
      <c r="O206" s="885"/>
    </row>
    <row r="207" spans="1:22">
      <c r="B207" s="110"/>
      <c r="C207" s="926" t="s">
        <v>98</v>
      </c>
      <c r="D207" s="199" t="s">
        <v>148</v>
      </c>
      <c r="E207" s="199"/>
      <c r="F207" s="1157">
        <v>3.5000000000000003E-2</v>
      </c>
      <c r="G207" s="1158">
        <f>G28</f>
        <v>3.5000000000000003E-2</v>
      </c>
      <c r="H207" s="1158">
        <f t="shared" ref="H207:N207" si="20">H28</f>
        <v>0.105</v>
      </c>
      <c r="I207" s="1158">
        <f t="shared" si="20"/>
        <v>0.105</v>
      </c>
      <c r="J207" s="1158">
        <f t="shared" si="20"/>
        <v>0.17499999999999999</v>
      </c>
      <c r="K207" s="1158">
        <f t="shared" si="20"/>
        <v>1.03</v>
      </c>
      <c r="L207" s="1158">
        <f t="shared" si="20"/>
        <v>1.1000000000000001</v>
      </c>
      <c r="M207" s="1158">
        <f t="shared" si="20"/>
        <v>1.1000000000000001</v>
      </c>
      <c r="N207" s="1158">
        <f t="shared" si="20"/>
        <v>1.1000000000000001</v>
      </c>
      <c r="O207" s="885"/>
    </row>
    <row r="208" spans="1:22">
      <c r="B208" s="110"/>
      <c r="C208" s="67"/>
      <c r="D208" s="67"/>
      <c r="E208" s="67"/>
      <c r="F208" s="67"/>
      <c r="G208" s="67" t="s">
        <v>5</v>
      </c>
      <c r="H208" s="67"/>
      <c r="I208" s="67"/>
      <c r="J208" s="67"/>
      <c r="K208" s="67"/>
      <c r="L208" s="67"/>
      <c r="M208" s="67"/>
      <c r="N208" s="67"/>
      <c r="O208" s="885"/>
    </row>
    <row r="209" spans="2:15">
      <c r="B209" s="110"/>
      <c r="C209" s="49" t="s">
        <v>1738</v>
      </c>
      <c r="D209" s="67"/>
      <c r="E209" s="51"/>
      <c r="F209" s="67"/>
      <c r="G209" s="67"/>
      <c r="H209" s="67"/>
      <c r="I209" s="67"/>
      <c r="J209" s="67"/>
      <c r="K209" s="67"/>
      <c r="L209" s="67"/>
      <c r="M209" s="67"/>
      <c r="N209" s="67"/>
      <c r="O209" s="885"/>
    </row>
    <row r="210" spans="2:15">
      <c r="B210" s="110"/>
      <c r="C210" s="67"/>
      <c r="D210" s="67"/>
      <c r="E210" s="67"/>
      <c r="F210" s="67"/>
      <c r="G210" s="67"/>
      <c r="H210" s="67"/>
      <c r="I210" s="67"/>
      <c r="J210" s="67"/>
      <c r="K210" s="67"/>
      <c r="L210" s="67"/>
      <c r="M210" s="67"/>
      <c r="N210" s="67"/>
      <c r="O210" s="885"/>
    </row>
    <row r="211" spans="2:15" ht="15.75">
      <c r="B211" s="55"/>
      <c r="C211" s="887" t="s">
        <v>132</v>
      </c>
      <c r="D211" s="887" t="s">
        <v>731</v>
      </c>
      <c r="E211" s="887" t="s">
        <v>30</v>
      </c>
      <c r="F211" s="909">
        <v>2013</v>
      </c>
      <c r="G211" s="2171">
        <v>2015</v>
      </c>
      <c r="H211" s="2171">
        <v>2020</v>
      </c>
      <c r="I211" s="2171">
        <v>2025</v>
      </c>
      <c r="J211" s="2171">
        <v>2030</v>
      </c>
      <c r="K211" s="2171">
        <v>2035</v>
      </c>
      <c r="L211" s="2171">
        <v>2040</v>
      </c>
      <c r="M211" s="2171">
        <v>2045</v>
      </c>
      <c r="N211" s="2171">
        <v>2050</v>
      </c>
      <c r="O211" s="885"/>
    </row>
    <row r="212" spans="2:15" ht="15.75">
      <c r="B212" s="975"/>
      <c r="C212" s="65" t="s">
        <v>98</v>
      </c>
      <c r="D212" s="108" t="s">
        <v>2762</v>
      </c>
      <c r="E212" s="890"/>
      <c r="F212" s="1034">
        <f>F205+F206+F207</f>
        <v>1.216</v>
      </c>
      <c r="G212" s="1034">
        <f t="shared" ref="G212:N212" si="21">G205+G206+G207</f>
        <v>1.2009999999999998</v>
      </c>
      <c r="H212" s="1034">
        <f t="shared" si="21"/>
        <v>0.91600000000000004</v>
      </c>
      <c r="I212" s="1034">
        <f t="shared" si="21"/>
        <v>0.91600000000000004</v>
      </c>
      <c r="J212" s="1034">
        <f t="shared" si="21"/>
        <v>0.63100000000000001</v>
      </c>
      <c r="K212" s="1034">
        <f t="shared" si="21"/>
        <v>1.2010000000000001</v>
      </c>
      <c r="L212" s="1034">
        <f t="shared" si="21"/>
        <v>1.2010000000000001</v>
      </c>
      <c r="M212" s="1034">
        <f t="shared" si="21"/>
        <v>1.2010000000000001</v>
      </c>
      <c r="N212" s="1034">
        <f t="shared" si="21"/>
        <v>1.2010000000000001</v>
      </c>
      <c r="O212" s="893"/>
    </row>
    <row r="213" spans="2:15" ht="15.75">
      <c r="B213" s="975"/>
      <c r="C213" s="65" t="s">
        <v>99</v>
      </c>
      <c r="D213" s="108" t="s">
        <v>1723</v>
      </c>
      <c r="E213" s="108"/>
      <c r="F213" s="3486">
        <f>F86</f>
        <v>1.1000000000000001</v>
      </c>
      <c r="G213" s="3486">
        <f>G86</f>
        <v>0.91600000000000004</v>
      </c>
      <c r="H213" s="3486">
        <f t="shared" ref="H213:N213" si="22">H86</f>
        <v>0.32400000000000001</v>
      </c>
      <c r="I213" s="3486">
        <f t="shared" si="22"/>
        <v>0.32400000000000001</v>
      </c>
      <c r="J213" s="3486">
        <f t="shared" si="22"/>
        <v>0.32400000000000001</v>
      </c>
      <c r="K213" s="3486">
        <f t="shared" si="22"/>
        <v>0</v>
      </c>
      <c r="L213" s="3486">
        <f t="shared" si="22"/>
        <v>0</v>
      </c>
      <c r="M213" s="3486">
        <f t="shared" si="22"/>
        <v>0</v>
      </c>
      <c r="N213" s="60">
        <f t="shared" si="22"/>
        <v>0</v>
      </c>
      <c r="O213" s="893"/>
    </row>
    <row r="214" spans="2:15" ht="15.75">
      <c r="B214" s="975"/>
      <c r="C214" s="896" t="s">
        <v>100</v>
      </c>
      <c r="D214" s="897" t="s">
        <v>1739</v>
      </c>
      <c r="E214" s="897"/>
      <c r="F214" s="1187">
        <v>3.8</v>
      </c>
      <c r="G214" s="907" t="s">
        <v>1740</v>
      </c>
      <c r="H214" s="907" t="s">
        <v>1740</v>
      </c>
      <c r="I214" s="907" t="s">
        <v>1740</v>
      </c>
      <c r="J214" s="907" t="s">
        <v>1740</v>
      </c>
      <c r="K214" s="907" t="s">
        <v>1740</v>
      </c>
      <c r="L214" s="907" t="s">
        <v>1740</v>
      </c>
      <c r="M214" s="907" t="s">
        <v>1740</v>
      </c>
      <c r="N214" s="907" t="s">
        <v>1740</v>
      </c>
      <c r="O214" s="893"/>
    </row>
    <row r="215" spans="2:15">
      <c r="B215" s="45"/>
      <c r="C215" s="67"/>
      <c r="D215" s="200"/>
      <c r="E215" s="67"/>
      <c r="F215" s="67"/>
      <c r="G215" s="67"/>
      <c r="H215" s="67"/>
      <c r="I215" s="67"/>
      <c r="J215" s="67"/>
      <c r="K215" s="67"/>
      <c r="L215" s="67"/>
      <c r="M215" s="67"/>
      <c r="N215" s="67"/>
      <c r="O215" s="885"/>
    </row>
    <row r="216" spans="2:15">
      <c r="B216" s="45"/>
      <c r="C216" s="1476" t="s">
        <v>1741</v>
      </c>
      <c r="D216" s="67"/>
      <c r="E216" s="67"/>
      <c r="F216" s="67"/>
      <c r="G216" s="67"/>
      <c r="H216" s="67"/>
      <c r="I216" s="67"/>
      <c r="J216" s="67"/>
      <c r="K216" s="67"/>
      <c r="L216" s="67"/>
      <c r="M216" s="67"/>
      <c r="N216" s="51" t="s">
        <v>1742</v>
      </c>
      <c r="O216" s="885"/>
    </row>
    <row r="217" spans="2:15">
      <c r="B217" s="45"/>
      <c r="C217" s="200"/>
      <c r="D217" s="200"/>
      <c r="E217" s="67"/>
      <c r="F217" s="67"/>
      <c r="G217" s="67"/>
      <c r="H217" s="67"/>
      <c r="I217" s="67"/>
      <c r="J217" s="67"/>
      <c r="K217" s="67"/>
      <c r="L217" s="67"/>
      <c r="M217" s="67"/>
      <c r="N217" s="67"/>
      <c r="O217" s="885"/>
    </row>
    <row r="218" spans="2:15">
      <c r="B218" s="45"/>
      <c r="C218" s="887" t="s">
        <v>132</v>
      </c>
      <c r="D218" s="887" t="s">
        <v>731</v>
      </c>
      <c r="E218" s="887" t="s">
        <v>30</v>
      </c>
      <c r="F218" s="909">
        <v>2013</v>
      </c>
      <c r="G218" s="909">
        <v>2015</v>
      </c>
      <c r="H218" s="909">
        <v>2020</v>
      </c>
      <c r="I218" s="909">
        <v>2025</v>
      </c>
      <c r="J218" s="909">
        <v>2030</v>
      </c>
      <c r="K218" s="909">
        <v>2035</v>
      </c>
      <c r="L218" s="909">
        <v>2040</v>
      </c>
      <c r="M218" s="909">
        <v>2045</v>
      </c>
      <c r="N218" s="909">
        <v>2050</v>
      </c>
      <c r="O218" s="885"/>
    </row>
    <row r="219" spans="2:15">
      <c r="B219" s="45"/>
      <c r="C219" s="926" t="s">
        <v>98</v>
      </c>
      <c r="D219" s="199" t="s">
        <v>2719</v>
      </c>
      <c r="E219" s="199"/>
      <c r="F219" s="147">
        <f>((F207*$D$79)+(F205*$D$79)+(F206*$D$79))/F212</f>
        <v>0.80000000000000016</v>
      </c>
      <c r="G219" s="147">
        <f>((G207*$D$79)+(G205*$D$79)+(G206*$D$79))/G212</f>
        <v>0.80000000000000016</v>
      </c>
      <c r="H219" s="147">
        <f>((H207*$D$79)+(H205*$D$79)+(H206*$D$79))/H212</f>
        <v>0.79999999999999993</v>
      </c>
      <c r="I219" s="147">
        <f>((I207*$D$79)+(I205*$D$79)+(I206*$D$79))/I212</f>
        <v>0.79999999999999993</v>
      </c>
      <c r="J219" s="147">
        <f>((J207*$D$79)+(J205*$D$79)+(J206*$D$79))/J212</f>
        <v>0.80000000000000027</v>
      </c>
      <c r="K219" s="147">
        <f>IF(K212=0, 0, ((K207*$D$79)+(K205*$D$79)+(K206*$D$79))/K212)</f>
        <v>0.8</v>
      </c>
      <c r="L219" s="147">
        <f>IF(L212=0, 0, ((L207*$D$79)+(L205*$D$79)+(L206*$D$79))/L212)</f>
        <v>0.8</v>
      </c>
      <c r="M219" s="147">
        <f>IF(M212=0, 0, ((M207*$D$79)+(M205*$D$79)+(M206*$D$79))/M212)</f>
        <v>0.8</v>
      </c>
      <c r="N219" s="147">
        <f>IF(N212=0, 0, ((N207*$D$79)+(N205*$D$79)+(N206*$D$79))/N212)</f>
        <v>0.8</v>
      </c>
      <c r="O219" s="885"/>
    </row>
    <row r="220" spans="2:15" s="4137" customFormat="1">
      <c r="B220" s="45"/>
      <c r="C220" s="65"/>
      <c r="D220" s="108"/>
      <c r="E220" s="108"/>
      <c r="F220" s="93"/>
      <c r="G220" s="93"/>
      <c r="H220" s="93"/>
      <c r="I220" s="93"/>
      <c r="J220" s="93"/>
      <c r="K220" s="93"/>
      <c r="L220" s="93"/>
      <c r="M220" s="93"/>
      <c r="N220" s="93"/>
      <c r="O220" s="885"/>
    </row>
    <row r="221" spans="2:15" s="4137" customFormat="1">
      <c r="B221" s="45"/>
      <c r="C221" s="3600" t="s">
        <v>64</v>
      </c>
      <c r="D221" s="108"/>
      <c r="E221" s="108"/>
      <c r="F221" s="93"/>
      <c r="G221" s="93"/>
      <c r="H221" s="93"/>
      <c r="I221" s="93"/>
      <c r="J221" s="93"/>
      <c r="K221" s="93"/>
      <c r="L221" s="93"/>
      <c r="M221" s="93"/>
      <c r="N221" s="93"/>
      <c r="O221" s="885"/>
    </row>
    <row r="222" spans="2:15" s="4137" customFormat="1">
      <c r="B222" s="45"/>
      <c r="C222" s="929" t="s">
        <v>65</v>
      </c>
      <c r="D222" s="933" t="s">
        <v>3494</v>
      </c>
      <c r="E222" s="108"/>
      <c r="F222" s="93"/>
      <c r="G222" s="93"/>
      <c r="H222" s="93"/>
      <c r="I222" s="93"/>
      <c r="J222" s="93"/>
      <c r="K222" s="93"/>
      <c r="L222" s="93"/>
      <c r="M222" s="93"/>
      <c r="N222" s="93"/>
      <c r="O222" s="885"/>
    </row>
    <row r="223" spans="2:15">
      <c r="B223" s="45"/>
      <c r="C223" s="67"/>
      <c r="D223" s="200"/>
      <c r="E223" s="67"/>
      <c r="F223" s="67"/>
      <c r="G223" s="67"/>
      <c r="H223" s="67"/>
      <c r="I223" s="67"/>
      <c r="J223" s="67"/>
      <c r="K223" s="67"/>
      <c r="L223" s="67"/>
      <c r="M223" s="67"/>
      <c r="N223" s="67"/>
      <c r="O223" s="885"/>
    </row>
    <row r="225" spans="1:114" s="6" customFormat="1" ht="15.75">
      <c r="A225"/>
      <c r="B225" s="1110" t="s">
        <v>207</v>
      </c>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row>
    <row r="226" spans="1:114" s="6" customForma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row>
    <row r="227" spans="1:114" s="6" customFormat="1">
      <c r="A227"/>
      <c r="B227" s="363">
        <v>1</v>
      </c>
      <c r="C227" s="3854" t="s">
        <v>3060</v>
      </c>
      <c r="D227"/>
      <c r="E227"/>
      <c r="F227"/>
      <c r="G227"/>
      <c r="H227"/>
      <c r="I227"/>
      <c r="J227"/>
      <c r="K227"/>
      <c r="L227"/>
      <c r="M227"/>
      <c r="N227"/>
      <c r="O227"/>
      <c r="P227"/>
      <c r="Q227" s="4151"/>
      <c r="R227" s="415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row>
    <row r="228" spans="1:114">
      <c r="B228" s="363">
        <v>2</v>
      </c>
      <c r="C228" t="s">
        <v>1743</v>
      </c>
    </row>
    <row r="229" spans="1:114">
      <c r="B229" s="381"/>
      <c r="C229" s="6"/>
      <c r="D229" s="6"/>
      <c r="E229" s="6"/>
      <c r="F229" s="6"/>
      <c r="G229" s="6"/>
      <c r="H229" s="6"/>
      <c r="I229" s="6"/>
      <c r="J229" s="6"/>
      <c r="K229" s="6"/>
      <c r="L229" s="6"/>
      <c r="M229" s="6"/>
      <c r="N229" s="6"/>
      <c r="O229" s="6"/>
    </row>
    <row r="230" spans="1:114">
      <c r="B230" s="381"/>
      <c r="C230" s="6"/>
      <c r="D230" s="6"/>
      <c r="E230" s="6"/>
      <c r="F230" s="2201">
        <v>2013</v>
      </c>
      <c r="G230" s="2201">
        <v>2015</v>
      </c>
      <c r="H230" s="2201">
        <v>2020</v>
      </c>
      <c r="I230" s="2201">
        <v>2025</v>
      </c>
      <c r="J230" s="2201">
        <v>2030</v>
      </c>
      <c r="K230" s="2201">
        <v>2035</v>
      </c>
      <c r="L230" s="2201">
        <v>2040</v>
      </c>
      <c r="M230" s="2201">
        <v>2045</v>
      </c>
      <c r="N230" s="2201">
        <v>2050</v>
      </c>
      <c r="O230" s="6"/>
    </row>
    <row r="231" spans="1:114">
      <c r="B231" s="381" t="s">
        <v>2769</v>
      </c>
      <c r="C231" s="6"/>
      <c r="D231" s="6"/>
      <c r="E231" s="6"/>
      <c r="F231" s="6"/>
      <c r="G231" s="6"/>
      <c r="H231" s="6"/>
      <c r="I231" s="6"/>
      <c r="J231" s="6"/>
      <c r="K231" s="6"/>
      <c r="L231" s="6"/>
      <c r="M231" s="6"/>
      <c r="N231" s="6"/>
      <c r="O231" s="6"/>
    </row>
    <row r="232" spans="1:114">
      <c r="B232" s="6"/>
      <c r="C232" s="381" t="s">
        <v>1744</v>
      </c>
      <c r="D232" s="6"/>
      <c r="E232" s="6" t="str">
        <f>Preferences.PowerUnits</f>
        <v>GW</v>
      </c>
      <c r="F232" s="637">
        <f>F$213</f>
        <v>1.1000000000000001</v>
      </c>
      <c r="G232" s="637">
        <f t="shared" ref="G232:N232" si="23">G$213</f>
        <v>0.91600000000000004</v>
      </c>
      <c r="H232" s="637">
        <f t="shared" si="23"/>
        <v>0.32400000000000001</v>
      </c>
      <c r="I232" s="637">
        <f t="shared" si="23"/>
        <v>0.32400000000000001</v>
      </c>
      <c r="J232" s="637">
        <f t="shared" si="23"/>
        <v>0.32400000000000001</v>
      </c>
      <c r="K232" s="637">
        <f t="shared" si="23"/>
        <v>0</v>
      </c>
      <c r="L232" s="637">
        <f t="shared" si="23"/>
        <v>0</v>
      </c>
      <c r="M232" s="637">
        <f t="shared" si="23"/>
        <v>0</v>
      </c>
      <c r="N232" s="637">
        <f t="shared" si="23"/>
        <v>0</v>
      </c>
      <c r="O232" s="6"/>
    </row>
    <row r="233" spans="1:114">
      <c r="B233" s="6" t="s">
        <v>219</v>
      </c>
      <c r="C233" s="6" t="s">
        <v>733</v>
      </c>
      <c r="D233" s="6"/>
      <c r="E233" s="6"/>
      <c r="F233" s="422">
        <f>F$74</f>
        <v>7.0000000000000007E-2</v>
      </c>
      <c r="G233" s="422">
        <f t="shared" ref="G233:N233" si="24">G$74</f>
        <v>0</v>
      </c>
      <c r="H233" s="422">
        <f t="shared" si="24"/>
        <v>0</v>
      </c>
      <c r="I233" s="422">
        <f t="shared" si="24"/>
        <v>0</v>
      </c>
      <c r="J233" s="422">
        <f t="shared" si="24"/>
        <v>0</v>
      </c>
      <c r="K233" s="422">
        <f t="shared" si="24"/>
        <v>0</v>
      </c>
      <c r="L233" s="422">
        <f t="shared" si="24"/>
        <v>0</v>
      </c>
      <c r="M233" s="422">
        <f t="shared" si="24"/>
        <v>0</v>
      </c>
      <c r="N233" s="422">
        <f t="shared" si="24"/>
        <v>0</v>
      </c>
      <c r="O233" s="6"/>
    </row>
    <row r="234" spans="1:114">
      <c r="B234" s="1113" t="s">
        <v>221</v>
      </c>
      <c r="C234" s="6" t="s">
        <v>872</v>
      </c>
      <c r="D234" s="6"/>
      <c r="E234" s="6"/>
      <c r="F234" s="2202">
        <f t="shared" ref="F234:N234" si="25">F232*F233</f>
        <v>7.7000000000000013E-2</v>
      </c>
      <c r="G234" s="2202">
        <f t="shared" si="25"/>
        <v>0</v>
      </c>
      <c r="H234" s="2202">
        <f t="shared" si="25"/>
        <v>0</v>
      </c>
      <c r="I234" s="2202">
        <f t="shared" si="25"/>
        <v>0</v>
      </c>
      <c r="J234" s="2202">
        <f t="shared" si="25"/>
        <v>0</v>
      </c>
      <c r="K234" s="2202">
        <f t="shared" si="25"/>
        <v>0</v>
      </c>
      <c r="L234" s="2202">
        <f t="shared" si="25"/>
        <v>0</v>
      </c>
      <c r="M234" s="2202">
        <f t="shared" si="25"/>
        <v>0</v>
      </c>
      <c r="N234" s="2202">
        <f t="shared" si="25"/>
        <v>0</v>
      </c>
      <c r="O234" s="6"/>
    </row>
    <row r="235" spans="1:114">
      <c r="B235" s="381"/>
      <c r="C235" s="381" t="s">
        <v>1745</v>
      </c>
      <c r="D235" s="6"/>
      <c r="E235" s="6" t="str">
        <f>Preferences.EnergyUnits</f>
        <v>TWh</v>
      </c>
      <c r="F235" s="1122">
        <f>F234*Preferences.Unit.Power*Unit.year/Preferences.Unit.Energy</f>
        <v>0.67498200000000008</v>
      </c>
      <c r="G235" s="1122">
        <f t="shared" ref="G235:N235" si="26">G234*Preferences.Unit.Power*Unit.year/Preferences.Unit.Energy</f>
        <v>0</v>
      </c>
      <c r="H235" s="1122">
        <f t="shared" si="26"/>
        <v>0</v>
      </c>
      <c r="I235" s="1122">
        <f t="shared" si="26"/>
        <v>0</v>
      </c>
      <c r="J235" s="1122">
        <f t="shared" si="26"/>
        <v>0</v>
      </c>
      <c r="K235" s="1122">
        <f t="shared" si="26"/>
        <v>0</v>
      </c>
      <c r="L235" s="1122">
        <f t="shared" si="26"/>
        <v>0</v>
      </c>
      <c r="M235" s="1122">
        <f t="shared" si="26"/>
        <v>0</v>
      </c>
      <c r="N235" s="1122">
        <f t="shared" si="26"/>
        <v>0</v>
      </c>
      <c r="O235" s="6"/>
    </row>
    <row r="236" spans="1:114">
      <c r="B236" s="1113" t="s">
        <v>828</v>
      </c>
      <c r="C236" s="6" t="s">
        <v>1746</v>
      </c>
      <c r="D236" s="6"/>
      <c r="E236" s="6"/>
      <c r="F236" s="413">
        <f t="shared" ref="F236:N236" si="27">F$61*F235</f>
        <v>0.13499640000000002</v>
      </c>
      <c r="G236" s="413">
        <f t="shared" si="27"/>
        <v>0</v>
      </c>
      <c r="H236" s="413">
        <f t="shared" si="27"/>
        <v>0</v>
      </c>
      <c r="I236" s="413">
        <f t="shared" si="27"/>
        <v>0</v>
      </c>
      <c r="J236" s="413">
        <f t="shared" si="27"/>
        <v>0</v>
      </c>
      <c r="K236" s="413">
        <f t="shared" si="27"/>
        <v>0</v>
      </c>
      <c r="L236" s="413">
        <f t="shared" si="27"/>
        <v>0</v>
      </c>
      <c r="M236" s="413">
        <f t="shared" si="27"/>
        <v>0</v>
      </c>
      <c r="N236" s="413">
        <f t="shared" si="27"/>
        <v>0</v>
      </c>
      <c r="O236" s="6"/>
    </row>
    <row r="237" spans="1:114">
      <c r="B237" s="1117" t="s">
        <v>221</v>
      </c>
      <c r="C237" s="381" t="s">
        <v>1747</v>
      </c>
      <c r="D237" s="6"/>
      <c r="E237" s="6"/>
      <c r="F237" s="1114">
        <f t="shared" ref="F237:N237" si="28">F235+F236</f>
        <v>0.8099784000000001</v>
      </c>
      <c r="G237" s="1114">
        <f t="shared" si="28"/>
        <v>0</v>
      </c>
      <c r="H237" s="1114">
        <f t="shared" si="28"/>
        <v>0</v>
      </c>
      <c r="I237" s="1114">
        <f t="shared" si="28"/>
        <v>0</v>
      </c>
      <c r="J237" s="1114">
        <f t="shared" si="28"/>
        <v>0</v>
      </c>
      <c r="K237" s="1114">
        <f t="shared" si="28"/>
        <v>0</v>
      </c>
      <c r="L237" s="1114">
        <f t="shared" si="28"/>
        <v>0</v>
      </c>
      <c r="M237" s="1114">
        <f t="shared" si="28"/>
        <v>0</v>
      </c>
      <c r="N237" s="1114">
        <f t="shared" si="28"/>
        <v>0</v>
      </c>
      <c r="O237" s="6"/>
    </row>
    <row r="238" spans="1:114">
      <c r="B238" s="840" t="s">
        <v>1748</v>
      </c>
      <c r="C238" s="6" t="s">
        <v>830</v>
      </c>
      <c r="D238" s="6"/>
      <c r="E238" s="6"/>
      <c r="F238" s="1120">
        <f t="shared" ref="F238:N238" si="29">F$68</f>
        <v>0.3</v>
      </c>
      <c r="G238" s="1120">
        <f t="shared" si="29"/>
        <v>0.3</v>
      </c>
      <c r="H238" s="1120">
        <f t="shared" si="29"/>
        <v>0.3</v>
      </c>
      <c r="I238" s="1120">
        <f t="shared" si="29"/>
        <v>0.3</v>
      </c>
      <c r="J238" s="1120">
        <f t="shared" si="29"/>
        <v>0.3</v>
      </c>
      <c r="K238" s="1120">
        <f t="shared" si="29"/>
        <v>0.3</v>
      </c>
      <c r="L238" s="1120">
        <f t="shared" si="29"/>
        <v>0.3</v>
      </c>
      <c r="M238" s="1120">
        <f t="shared" si="29"/>
        <v>0.3</v>
      </c>
      <c r="N238" s="1120">
        <f t="shared" si="29"/>
        <v>0.3</v>
      </c>
      <c r="O238" s="6"/>
    </row>
    <row r="239" spans="1:114" s="6" customFormat="1">
      <c r="A239"/>
      <c r="B239" s="1117" t="s">
        <v>221</v>
      </c>
      <c r="C239" s="381" t="s">
        <v>1749</v>
      </c>
      <c r="F239" s="373">
        <f t="shared" ref="F239:N239" si="30">F237/F238</f>
        <v>2.6999280000000003</v>
      </c>
      <c r="G239" s="373">
        <f t="shared" si="30"/>
        <v>0</v>
      </c>
      <c r="H239" s="373">
        <f t="shared" si="30"/>
        <v>0</v>
      </c>
      <c r="I239" s="373">
        <f t="shared" si="30"/>
        <v>0</v>
      </c>
      <c r="J239" s="373">
        <f t="shared" si="30"/>
        <v>0</v>
      </c>
      <c r="K239" s="373">
        <f t="shared" si="30"/>
        <v>0</v>
      </c>
      <c r="L239" s="373">
        <f t="shared" si="30"/>
        <v>0</v>
      </c>
      <c r="M239" s="373">
        <f t="shared" si="30"/>
        <v>0</v>
      </c>
      <c r="N239" s="373">
        <f t="shared" si="30"/>
        <v>0</v>
      </c>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row>
    <row r="240" spans="1:114" s="6" customFormat="1">
      <c r="A240"/>
      <c r="B240" s="1117"/>
      <c r="C240" s="381"/>
      <c r="F240" s="1122"/>
      <c r="G240" s="1122"/>
      <c r="H240" s="1122"/>
      <c r="I240" s="1122"/>
      <c r="J240" s="1122"/>
      <c r="K240" s="1122"/>
      <c r="L240" s="1122"/>
      <c r="M240" s="1122"/>
      <c r="N240" s="1122"/>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row>
    <row r="241" spans="1:114" s="6" customFormat="1">
      <c r="A241"/>
      <c r="C241" s="833" t="s">
        <v>1750</v>
      </c>
      <c r="F241" s="413"/>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row>
    <row r="242" spans="1:114" s="859" customFormat="1">
      <c r="A242" s="39"/>
      <c r="B242" s="3586"/>
      <c r="C242" s="3586"/>
      <c r="D242" s="3586"/>
      <c r="E242" s="3586" t="str">
        <f>Preferences.EnergyUnits</f>
        <v>TWh</v>
      </c>
      <c r="F242" s="3588">
        <f ca="1">MAX(-SUM(I.a.Inputs[2013])-F$235,0)</f>
        <v>18.405026949093042</v>
      </c>
      <c r="G242" s="3588">
        <f ca="1">MAX(-SUM(I.a.Inputs[2015])-G$235,0)</f>
        <v>18.970335288333835</v>
      </c>
      <c r="H242" s="3588">
        <f ca="1">MAX(-SUM(I.a.Inputs[2020])-H$235,0)</f>
        <v>14.050931397476216</v>
      </c>
      <c r="I242" s="3588">
        <f ca="1">MAX(-SUM(I.a.Inputs[2025])-I$235,0)</f>
        <v>7.7290717277325456</v>
      </c>
      <c r="J242" s="3588">
        <f ca="1">MAX(-SUM(I.a.Inputs[2030])-J$235,0)</f>
        <v>0</v>
      </c>
      <c r="K242" s="3588">
        <f ca="1">MAX(-SUM(I.a.Inputs[2035])-K$235,0)</f>
        <v>0</v>
      </c>
      <c r="L242" s="3588">
        <f ca="1">MAX(-SUM(I.a.Inputs[2040])-L$235,0)</f>
        <v>0</v>
      </c>
      <c r="M242" s="3588">
        <f ca="1">MAX(-SUM(I.a.Inputs[2045])-M$235,0)</f>
        <v>0</v>
      </c>
      <c r="N242" s="3588">
        <f ca="1">MAX(-SUM(I.a.Inputs[2050])-N$235,0)</f>
        <v>0</v>
      </c>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c r="BJ242" s="39"/>
      <c r="BK242" s="39"/>
      <c r="BL242" s="39"/>
      <c r="BM242" s="39"/>
      <c r="BN242" s="39"/>
      <c r="BO242" s="39"/>
      <c r="BP242" s="39"/>
      <c r="BQ242" s="39"/>
      <c r="BR242" s="39"/>
      <c r="BS242" s="39"/>
      <c r="BT242" s="39"/>
      <c r="BU242" s="39"/>
      <c r="BV242" s="39"/>
      <c r="BW242" s="39"/>
      <c r="BX242" s="39"/>
      <c r="BY242" s="39"/>
      <c r="BZ242" s="39"/>
      <c r="CA242" s="39"/>
      <c r="CB242" s="39"/>
      <c r="CC242" s="39"/>
      <c r="CD242" s="39"/>
      <c r="CE242" s="39"/>
      <c r="CF242" s="39"/>
      <c r="CG242" s="39"/>
      <c r="CH242" s="39"/>
      <c r="CI242" s="39"/>
      <c r="CJ242" s="39"/>
      <c r="CK242" s="39"/>
      <c r="CL242" s="39"/>
      <c r="CM242" s="39"/>
      <c r="CN242" s="39"/>
      <c r="CO242" s="39"/>
      <c r="CP242" s="39"/>
      <c r="CQ242" s="39"/>
      <c r="CR242" s="39"/>
      <c r="CS242" s="39"/>
      <c r="CT242" s="39"/>
      <c r="CU242" s="39"/>
      <c r="CV242" s="39"/>
      <c r="CW242" s="39"/>
      <c r="CX242" s="39"/>
      <c r="CY242" s="39"/>
      <c r="CZ242" s="39"/>
      <c r="DA242" s="39"/>
      <c r="DB242" s="39"/>
      <c r="DC242" s="39"/>
      <c r="DD242" s="39"/>
      <c r="DE242" s="39"/>
      <c r="DF242" s="39"/>
      <c r="DG242" s="39"/>
      <c r="DH242" s="39"/>
      <c r="DI242" s="39"/>
      <c r="DJ242" s="39"/>
    </row>
    <row r="243" spans="1:114" s="6" customFormat="1">
      <c r="A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row>
    <row r="244" spans="1:114" s="6" customFormat="1">
      <c r="A244"/>
      <c r="B244" s="381" t="s">
        <v>781</v>
      </c>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row>
    <row r="245" spans="1:114" s="6" customFormat="1">
      <c r="A245"/>
      <c r="C245" s="381" t="s">
        <v>1751</v>
      </c>
      <c r="E245" s="6" t="str">
        <f>Preferences.PowerUnits</f>
        <v>GW</v>
      </c>
      <c r="F245" s="637">
        <f t="shared" ref="F245:N245" ca="1" si="31">IF(AND(F242=0,$E$7=1),0,F$212)</f>
        <v>1.216</v>
      </c>
      <c r="G245" s="637">
        <f t="shared" ca="1" si="31"/>
        <v>1.2009999999999998</v>
      </c>
      <c r="H245" s="637">
        <f t="shared" ca="1" si="31"/>
        <v>0.91600000000000004</v>
      </c>
      <c r="I245" s="637">
        <f t="shared" ca="1" si="31"/>
        <v>0.91600000000000004</v>
      </c>
      <c r="J245" s="637">
        <f t="shared" ca="1" si="31"/>
        <v>0.63100000000000001</v>
      </c>
      <c r="K245" s="637">
        <f t="shared" ca="1" si="31"/>
        <v>1.2010000000000001</v>
      </c>
      <c r="L245" s="637">
        <f t="shared" ca="1" si="31"/>
        <v>1.2010000000000001</v>
      </c>
      <c r="M245" s="637">
        <f t="shared" ca="1" si="31"/>
        <v>1.2010000000000001</v>
      </c>
      <c r="N245" s="637">
        <f t="shared" ca="1" si="31"/>
        <v>1.2010000000000001</v>
      </c>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row>
    <row r="246" spans="1:114" s="6" customFormat="1">
      <c r="A246"/>
      <c r="B246" s="6" t="s">
        <v>219</v>
      </c>
      <c r="C246" s="6" t="s">
        <v>733</v>
      </c>
      <c r="F246" s="422">
        <f>F219</f>
        <v>0.80000000000000016</v>
      </c>
      <c r="G246" s="422">
        <f t="shared" ref="G246:N246" si="32">G219</f>
        <v>0.80000000000000016</v>
      </c>
      <c r="H246" s="422">
        <f t="shared" si="32"/>
        <v>0.79999999999999993</v>
      </c>
      <c r="I246" s="422">
        <f t="shared" si="32"/>
        <v>0.79999999999999993</v>
      </c>
      <c r="J246" s="422">
        <f t="shared" si="32"/>
        <v>0.80000000000000027</v>
      </c>
      <c r="K246" s="422">
        <f t="shared" si="32"/>
        <v>0.8</v>
      </c>
      <c r="L246" s="422">
        <f t="shared" si="32"/>
        <v>0.8</v>
      </c>
      <c r="M246" s="422">
        <f t="shared" si="32"/>
        <v>0.8</v>
      </c>
      <c r="N246" s="422">
        <f t="shared" si="32"/>
        <v>0.8</v>
      </c>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row>
    <row r="247" spans="1:114" s="6" customFormat="1">
      <c r="A247"/>
      <c r="B247" s="1113" t="s">
        <v>221</v>
      </c>
      <c r="C247" s="6" t="s">
        <v>748</v>
      </c>
      <c r="F247" s="2202">
        <f ca="1">F245*F246</f>
        <v>0.97280000000000022</v>
      </c>
      <c r="G247" s="2202">
        <f t="shared" ref="G247:M247" ca="1" si="33">G245*G246</f>
        <v>0.9608000000000001</v>
      </c>
      <c r="H247" s="2202">
        <f t="shared" ca="1" si="33"/>
        <v>0.73280000000000001</v>
      </c>
      <c r="I247" s="2202">
        <f t="shared" ca="1" si="33"/>
        <v>0.73280000000000001</v>
      </c>
      <c r="J247" s="2202">
        <f t="shared" ca="1" si="33"/>
        <v>0.50480000000000014</v>
      </c>
      <c r="K247" s="2202">
        <f t="shared" ca="1" si="33"/>
        <v>0.9608000000000001</v>
      </c>
      <c r="L247" s="2202">
        <f t="shared" ca="1" si="33"/>
        <v>0.9608000000000001</v>
      </c>
      <c r="M247" s="2202">
        <f t="shared" ca="1" si="33"/>
        <v>0.9608000000000001</v>
      </c>
      <c r="N247" s="2202">
        <f ca="1">N245*N246</f>
        <v>0.9608000000000001</v>
      </c>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row>
    <row r="248" spans="1:114" s="6" customFormat="1">
      <c r="A248"/>
      <c r="B248" s="1113"/>
      <c r="C248" s="840"/>
      <c r="F248" s="413"/>
      <c r="G248" s="413"/>
      <c r="H248" s="413"/>
      <c r="I248" s="413"/>
      <c r="J248" s="413"/>
      <c r="K248" s="413"/>
      <c r="L248" s="413"/>
      <c r="M248" s="413"/>
      <c r="N248" s="413"/>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row>
    <row r="249" spans="1:114" s="6" customFormat="1">
      <c r="A249"/>
      <c r="B249" s="1113" t="s">
        <v>221</v>
      </c>
      <c r="C249" s="381" t="s">
        <v>748</v>
      </c>
      <c r="E249" s="6" t="str">
        <f>Preferences.EnergyUnits</f>
        <v>TWh</v>
      </c>
      <c r="F249" s="3594">
        <f t="shared" ref="F249:N249" ca="1" si="34">F247*Preferences.Unit.Power*Unit.year/Preferences.Unit.Energy</f>
        <v>8.5275648000000022</v>
      </c>
      <c r="G249" s="1122">
        <f t="shared" ca="1" si="34"/>
        <v>8.4223728000000015</v>
      </c>
      <c r="H249" s="1122">
        <f t="shared" ca="1" si="34"/>
        <v>6.4237247999999996</v>
      </c>
      <c r="I249" s="1122">
        <f t="shared" ca="1" si="34"/>
        <v>6.4237247999999996</v>
      </c>
      <c r="J249" s="1122">
        <f t="shared" ca="1" si="34"/>
        <v>4.4250768000000011</v>
      </c>
      <c r="K249" s="1122">
        <f t="shared" ca="1" si="34"/>
        <v>8.4223728000000015</v>
      </c>
      <c r="L249" s="1122">
        <f t="shared" ca="1" si="34"/>
        <v>8.4223728000000015</v>
      </c>
      <c r="M249" s="1122">
        <f t="shared" ca="1" si="34"/>
        <v>8.4223728000000015</v>
      </c>
      <c r="N249" s="1122">
        <f t="shared" ca="1" si="34"/>
        <v>8.4223728000000015</v>
      </c>
      <c r="P249" s="2203"/>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row>
    <row r="250" spans="1:114" s="6" customFormat="1">
      <c r="A250"/>
      <c r="B250" s="1113"/>
      <c r="C250" s="381"/>
      <c r="F250" s="1122"/>
      <c r="G250" s="1122"/>
      <c r="H250" s="1122"/>
      <c r="I250" s="1122"/>
      <c r="J250" s="1122"/>
      <c r="K250" s="1122"/>
      <c r="L250" s="1122"/>
      <c r="M250" s="1122"/>
      <c r="N250" s="1122"/>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row>
    <row r="251" spans="1:114" s="859" customFormat="1">
      <c r="A251" s="39"/>
      <c r="C251" s="3586" t="s">
        <v>1750</v>
      </c>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c r="BJ251" s="39"/>
      <c r="BK251" s="39"/>
      <c r="BL251" s="39"/>
      <c r="BM251" s="39"/>
      <c r="BN251" s="39"/>
      <c r="BO251" s="39"/>
      <c r="BP251" s="39"/>
      <c r="BQ251" s="39"/>
      <c r="BR251" s="39"/>
      <c r="BS251" s="39"/>
      <c r="BT251" s="39"/>
      <c r="BU251" s="39"/>
      <c r="BV251" s="39"/>
      <c r="BW251" s="39"/>
      <c r="BX251" s="39"/>
      <c r="BY251" s="39"/>
      <c r="BZ251" s="39"/>
      <c r="CA251" s="39"/>
      <c r="CB251" s="39"/>
      <c r="CC251" s="39"/>
      <c r="CD251" s="39"/>
      <c r="CE251" s="39"/>
      <c r="CF251" s="39"/>
      <c r="CG251" s="39"/>
      <c r="CH251" s="39"/>
      <c r="CI251" s="39"/>
      <c r="CJ251" s="39"/>
      <c r="CK251" s="39"/>
      <c r="CL251" s="39"/>
      <c r="CM251" s="39"/>
      <c r="CN251" s="39"/>
      <c r="CO251" s="39"/>
      <c r="CP251" s="39"/>
      <c r="CQ251" s="39"/>
      <c r="CR251" s="39"/>
      <c r="CS251" s="39"/>
      <c r="CT251" s="39"/>
      <c r="CU251" s="39"/>
      <c r="CV251" s="39"/>
      <c r="CW251" s="39"/>
      <c r="CX251" s="39"/>
      <c r="CY251" s="39"/>
      <c r="CZ251" s="39"/>
      <c r="DA251" s="39"/>
      <c r="DB251" s="39"/>
      <c r="DC251" s="39"/>
      <c r="DD251" s="39"/>
      <c r="DE251" s="39"/>
      <c r="DF251" s="39"/>
      <c r="DG251" s="39"/>
      <c r="DH251" s="39"/>
      <c r="DI251" s="39"/>
      <c r="DJ251" s="39"/>
    </row>
    <row r="252" spans="1:114" s="3586" customFormat="1">
      <c r="A252" s="39"/>
      <c r="F252" s="3587">
        <f t="shared" ref="F252:N252" ca="1" si="35">F$242*F$92/(1+F$92)</f>
        <v>5.8050022219200565</v>
      </c>
      <c r="G252" s="3587">
        <f t="shared" ca="1" si="35"/>
        <v>5.9833022143318821</v>
      </c>
      <c r="H252" s="3587">
        <f t="shared" ca="1" si="35"/>
        <v>4.4317070661184275</v>
      </c>
      <c r="I252" s="3587">
        <f t="shared" ca="1" si="35"/>
        <v>2.4377730430369118</v>
      </c>
      <c r="J252" s="3587">
        <f t="shared" ca="1" si="35"/>
        <v>0</v>
      </c>
      <c r="K252" s="3587">
        <f t="shared" ca="1" si="35"/>
        <v>0</v>
      </c>
      <c r="L252" s="3587">
        <f t="shared" ca="1" si="35"/>
        <v>0</v>
      </c>
      <c r="M252" s="3587">
        <f t="shared" ca="1" si="35"/>
        <v>0</v>
      </c>
      <c r="N252" s="3587">
        <f t="shared" ca="1" si="35"/>
        <v>0</v>
      </c>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c r="BJ252" s="39"/>
      <c r="BK252" s="39"/>
      <c r="BL252" s="39"/>
      <c r="BM252" s="39"/>
      <c r="BN252" s="39"/>
      <c r="BO252" s="39"/>
      <c r="BP252" s="39"/>
      <c r="BQ252" s="39"/>
      <c r="BR252" s="39"/>
      <c r="BS252" s="39"/>
      <c r="BT252" s="39"/>
      <c r="BU252" s="39"/>
      <c r="BV252" s="39"/>
      <c r="BW252" s="39"/>
      <c r="BX252" s="39"/>
      <c r="BY252" s="39"/>
      <c r="BZ252" s="39"/>
      <c r="CA252" s="39"/>
      <c r="CB252" s="39"/>
      <c r="CC252" s="39"/>
      <c r="CD252" s="39"/>
      <c r="CE252" s="39"/>
      <c r="CF252" s="39"/>
      <c r="CG252" s="39"/>
      <c r="CH252" s="39"/>
      <c r="CI252" s="39"/>
      <c r="CJ252" s="39"/>
      <c r="CK252" s="39"/>
      <c r="CL252" s="39"/>
      <c r="CM252" s="39"/>
      <c r="CN252" s="39"/>
      <c r="CO252" s="39"/>
      <c r="CP252" s="39"/>
      <c r="CQ252" s="39"/>
      <c r="CR252" s="39"/>
      <c r="CS252" s="39"/>
      <c r="CT252" s="39"/>
      <c r="CU252" s="39"/>
      <c r="CV252" s="39"/>
      <c r="CW252" s="39"/>
      <c r="CX252" s="39"/>
      <c r="CY252" s="39"/>
      <c r="CZ252" s="39"/>
      <c r="DA252" s="39"/>
      <c r="DB252" s="39"/>
      <c r="DC252" s="39"/>
      <c r="DD252" s="39"/>
      <c r="DE252" s="39"/>
      <c r="DF252" s="39"/>
      <c r="DG252" s="39"/>
      <c r="DH252" s="39"/>
      <c r="DI252" s="39"/>
      <c r="DJ252" s="39"/>
    </row>
    <row r="253" spans="1:114" s="6" customFormat="1">
      <c r="A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row>
    <row r="254" spans="1:114" s="6" customFormat="1">
      <c r="A254"/>
      <c r="C254" s="381" t="s">
        <v>1752</v>
      </c>
      <c r="D254" s="381"/>
      <c r="E254" s="381"/>
      <c r="F254" s="1114">
        <f t="shared" ref="F254:N254" ca="1" si="36">IF(MIN(F249,F252)=0,(F$207*$D$79*Preferences.Unit.Power*Unit.year/Preferences.Unit.Energy),MIN(F249,F252))</f>
        <v>5.8050022219200565</v>
      </c>
      <c r="G254" s="1114">
        <f t="shared" ca="1" si="36"/>
        <v>5.9833022143318821</v>
      </c>
      <c r="H254" s="1114">
        <f t="shared" ca="1" si="36"/>
        <v>4.4317070661184275</v>
      </c>
      <c r="I254" s="1114">
        <f t="shared" ca="1" si="36"/>
        <v>2.4377730430369118</v>
      </c>
      <c r="J254" s="1114">
        <f t="shared" ca="1" si="36"/>
        <v>1.2272399999999999</v>
      </c>
      <c r="K254" s="3592">
        <f t="shared" ca="1" si="36"/>
        <v>7.2231840000000007</v>
      </c>
      <c r="L254" s="3592">
        <f t="shared" ca="1" si="36"/>
        <v>7.7140800000000009</v>
      </c>
      <c r="M254" s="3592">
        <f t="shared" ca="1" si="36"/>
        <v>7.7140800000000009</v>
      </c>
      <c r="N254" s="3592">
        <f t="shared" ca="1" si="36"/>
        <v>7.7140800000000009</v>
      </c>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row>
    <row r="255" spans="1:114" s="6" customFormat="1">
      <c r="A255"/>
      <c r="B255" s="1113" t="s">
        <v>828</v>
      </c>
      <c r="C255" s="6" t="s">
        <v>1746</v>
      </c>
      <c r="F255" s="413">
        <f t="shared" ref="F255:N255" ca="1" si="37">F$60*F254</f>
        <v>0.17415006665760169</v>
      </c>
      <c r="G255" s="413">
        <f t="shared" ca="1" si="37"/>
        <v>0.17949906642995644</v>
      </c>
      <c r="H255" s="413">
        <f t="shared" ca="1" si="37"/>
        <v>0.13295121198355281</v>
      </c>
      <c r="I255" s="413">
        <f t="shared" ca="1" si="37"/>
        <v>7.3133191291107347E-2</v>
      </c>
      <c r="J255" s="413">
        <f t="shared" ca="1" si="37"/>
        <v>3.6817199999999994E-2</v>
      </c>
      <c r="K255" s="413">
        <f t="shared" ca="1" si="37"/>
        <v>0.21669552</v>
      </c>
      <c r="L255" s="413">
        <f t="shared" ca="1" si="37"/>
        <v>0.23142240000000003</v>
      </c>
      <c r="M255" s="413">
        <f t="shared" ca="1" si="37"/>
        <v>0.23142240000000003</v>
      </c>
      <c r="N255" s="413">
        <f t="shared" ca="1" si="37"/>
        <v>0.23142240000000003</v>
      </c>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row>
    <row r="256" spans="1:114" s="6" customFormat="1">
      <c r="A256"/>
      <c r="B256" s="1113" t="s">
        <v>221</v>
      </c>
      <c r="C256" s="381" t="s">
        <v>1747</v>
      </c>
      <c r="F256" s="1114">
        <f t="shared" ref="F256:N256" ca="1" si="38">F254+F255</f>
        <v>5.9791522885776587</v>
      </c>
      <c r="G256" s="1114">
        <f t="shared" ca="1" si="38"/>
        <v>6.1628012807618386</v>
      </c>
      <c r="H256" s="1114">
        <f t="shared" ca="1" si="38"/>
        <v>4.5646582781019802</v>
      </c>
      <c r="I256" s="1114">
        <f t="shared" ca="1" si="38"/>
        <v>2.5109062343280191</v>
      </c>
      <c r="J256" s="1114">
        <f t="shared" ca="1" si="38"/>
        <v>1.2640571999999999</v>
      </c>
      <c r="K256" s="1114">
        <f t="shared" ca="1" si="38"/>
        <v>7.4398795200000007</v>
      </c>
      <c r="L256" s="1114">
        <f t="shared" ca="1" si="38"/>
        <v>7.9455024000000005</v>
      </c>
      <c r="M256" s="1114">
        <f t="shared" ca="1" si="38"/>
        <v>7.9455024000000005</v>
      </c>
      <c r="N256" s="1114">
        <f t="shared" ca="1" si="38"/>
        <v>7.9455024000000005</v>
      </c>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row>
    <row r="257" spans="1:114" s="6" customFormat="1">
      <c r="A257"/>
      <c r="B257" s="840" t="s">
        <v>1748</v>
      </c>
      <c r="C257" s="6" t="s">
        <v>830</v>
      </c>
      <c r="F257" s="1120">
        <f t="shared" ref="F257:N257" si="39">F$67</f>
        <v>0.3</v>
      </c>
      <c r="G257" s="1120">
        <f t="shared" si="39"/>
        <v>0.3</v>
      </c>
      <c r="H257" s="1120">
        <f t="shared" si="39"/>
        <v>0.35</v>
      </c>
      <c r="I257" s="1120">
        <f t="shared" si="39"/>
        <v>0.35</v>
      </c>
      <c r="J257" s="1120">
        <f t="shared" si="39"/>
        <v>0.35</v>
      </c>
      <c r="K257" s="1120">
        <f t="shared" si="39"/>
        <v>0.35</v>
      </c>
      <c r="L257" s="1120">
        <f t="shared" si="39"/>
        <v>0.35</v>
      </c>
      <c r="M257" s="1120">
        <f t="shared" si="39"/>
        <v>0.35</v>
      </c>
      <c r="N257" s="1120">
        <f t="shared" si="39"/>
        <v>0.35</v>
      </c>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row>
    <row r="258" spans="1:114" s="6" customFormat="1">
      <c r="A258"/>
      <c r="B258" s="1113" t="s">
        <v>221</v>
      </c>
      <c r="C258" s="381" t="s">
        <v>2766</v>
      </c>
      <c r="F258" s="373">
        <f t="shared" ref="F258:N258" ca="1" si="40">F256/F257</f>
        <v>19.930507628592196</v>
      </c>
      <c r="G258" s="373">
        <f t="shared" ca="1" si="40"/>
        <v>20.542670935872795</v>
      </c>
      <c r="H258" s="373">
        <f t="shared" ca="1" si="40"/>
        <v>13.041880794577088</v>
      </c>
      <c r="I258" s="373">
        <f t="shared" ca="1" si="40"/>
        <v>7.1740178123657694</v>
      </c>
      <c r="J258" s="373">
        <f t="shared" ca="1" si="40"/>
        <v>3.6115919999999999</v>
      </c>
      <c r="K258" s="373">
        <f t="shared" ca="1" si="40"/>
        <v>21.256798628571431</v>
      </c>
      <c r="L258" s="373">
        <f t="shared" ca="1" si="40"/>
        <v>22.701435428571433</v>
      </c>
      <c r="M258" s="373">
        <f t="shared" ca="1" si="40"/>
        <v>22.701435428571433</v>
      </c>
      <c r="N258" s="373">
        <f t="shared" ca="1" si="40"/>
        <v>22.701435428571433</v>
      </c>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row>
    <row r="259" spans="1:114" s="6" customFormat="1">
      <c r="A259"/>
      <c r="F259" s="413"/>
      <c r="N259" s="413"/>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row>
    <row r="260" spans="1:114" s="6" customFormat="1">
      <c r="A260"/>
      <c r="B260" s="381" t="s">
        <v>782</v>
      </c>
      <c r="F260" s="6" t="s">
        <v>5</v>
      </c>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row>
    <row r="261" spans="1:114" s="6" customFormat="1">
      <c r="A261" s="39"/>
      <c r="B261" s="381"/>
      <c r="C261" s="833" t="s">
        <v>1750</v>
      </c>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row>
    <row r="262" spans="1:114" s="3586" customFormat="1">
      <c r="A262" s="39"/>
      <c r="E262" s="3586" t="str">
        <f>Preferences.EnergyUnits</f>
        <v>TWh</v>
      </c>
      <c r="F262" s="3589">
        <f t="shared" ref="F262:N262" ca="1" si="41">F$242-F$254</f>
        <v>12.600024727172986</v>
      </c>
      <c r="G262" s="3589">
        <f t="shared" ca="1" si="41"/>
        <v>12.987033074001953</v>
      </c>
      <c r="H262" s="3589">
        <f t="shared" ca="1" si="41"/>
        <v>9.6192243313577883</v>
      </c>
      <c r="I262" s="3589">
        <f t="shared" ca="1" si="41"/>
        <v>5.2912986846956338</v>
      </c>
      <c r="J262" s="3589">
        <f t="shared" ca="1" si="41"/>
        <v>-1.2272399999999999</v>
      </c>
      <c r="K262" s="3589">
        <f t="shared" ca="1" si="41"/>
        <v>-7.2231840000000007</v>
      </c>
      <c r="L262" s="3589">
        <f t="shared" ca="1" si="41"/>
        <v>-7.7140800000000009</v>
      </c>
      <c r="M262" s="3589">
        <f t="shared" ca="1" si="41"/>
        <v>-7.7140800000000009</v>
      </c>
      <c r="N262" s="3589">
        <f t="shared" ca="1" si="41"/>
        <v>-7.7140800000000009</v>
      </c>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c r="BJ262" s="39"/>
      <c r="BK262" s="39"/>
      <c r="BL262" s="39"/>
      <c r="BM262" s="39"/>
      <c r="BN262" s="39"/>
      <c r="BO262" s="39"/>
      <c r="BP262" s="39"/>
      <c r="BQ262" s="39"/>
      <c r="BR262" s="39"/>
      <c r="BS262" s="39"/>
      <c r="BT262" s="39"/>
      <c r="BU262" s="39"/>
      <c r="BV262" s="39"/>
      <c r="BW262" s="39"/>
      <c r="BX262" s="39"/>
      <c r="BY262" s="39"/>
      <c r="BZ262" s="39"/>
      <c r="CA262" s="39"/>
      <c r="CB262" s="39"/>
      <c r="CC262" s="39"/>
      <c r="CD262" s="39"/>
      <c r="CE262" s="39"/>
      <c r="CF262" s="39"/>
      <c r="CG262" s="39"/>
      <c r="CH262" s="39"/>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row>
    <row r="263" spans="1:114" s="6" customFormat="1">
      <c r="A263" s="39"/>
      <c r="F263" s="2204"/>
      <c r="G263" s="2204"/>
      <c r="H263" s="2204"/>
      <c r="I263" s="2204"/>
      <c r="J263" s="2204"/>
      <c r="K263" s="2204"/>
      <c r="L263" s="2204"/>
      <c r="M263" s="2204"/>
      <c r="N263" s="2204"/>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row>
    <row r="264" spans="1:114" s="6" customFormat="1">
      <c r="A264" s="39"/>
      <c r="B264" s="381"/>
      <c r="C264" s="381" t="s">
        <v>1753</v>
      </c>
      <c r="D264" s="381"/>
      <c r="E264" s="381"/>
      <c r="F264" s="2205">
        <f ca="1">IF(F262&gt;0,F262,0)</f>
        <v>12.600024727172986</v>
      </c>
      <c r="G264" s="2205">
        <f t="shared" ref="G264:N264" ca="1" si="42">IF(G262&gt;0,G262,0)</f>
        <v>12.987033074001953</v>
      </c>
      <c r="H264" s="2205">
        <f t="shared" ca="1" si="42"/>
        <v>9.6192243313577883</v>
      </c>
      <c r="I264" s="2205">
        <f t="shared" ca="1" si="42"/>
        <v>5.2912986846956338</v>
      </c>
      <c r="J264" s="2205">
        <f t="shared" ca="1" si="42"/>
        <v>0</v>
      </c>
      <c r="K264" s="2205">
        <f t="shared" ca="1" si="42"/>
        <v>0</v>
      </c>
      <c r="L264" s="2205">
        <f t="shared" ca="1" si="42"/>
        <v>0</v>
      </c>
      <c r="M264" s="2205">
        <f t="shared" ca="1" si="42"/>
        <v>0</v>
      </c>
      <c r="N264" s="2205">
        <f t="shared" ca="1" si="42"/>
        <v>0</v>
      </c>
      <c r="O264" s="381"/>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row>
    <row r="265" spans="1:114" s="6" customFormat="1">
      <c r="A265" s="39"/>
      <c r="B265" s="1113" t="s">
        <v>828</v>
      </c>
      <c r="C265" s="6" t="s">
        <v>1746</v>
      </c>
      <c r="F265" s="413">
        <f t="shared" ref="F265:N265" ca="1" si="43">F$62*F264</f>
        <v>0.24899155941127479</v>
      </c>
      <c r="G265" s="413">
        <f t="shared" ca="1" si="43"/>
        <v>0.25974066148003905</v>
      </c>
      <c r="H265" s="413">
        <f t="shared" ca="1" si="43"/>
        <v>0.19238448662715577</v>
      </c>
      <c r="I265" s="413">
        <f t="shared" ca="1" si="43"/>
        <v>0.10582597369391268</v>
      </c>
      <c r="J265" s="413">
        <f t="shared" ca="1" si="43"/>
        <v>0</v>
      </c>
      <c r="K265" s="413">
        <f t="shared" ca="1" si="43"/>
        <v>0</v>
      </c>
      <c r="L265" s="413">
        <f t="shared" ca="1" si="43"/>
        <v>0</v>
      </c>
      <c r="M265" s="413">
        <f t="shared" ca="1" si="43"/>
        <v>0</v>
      </c>
      <c r="N265" s="413">
        <f t="shared" ca="1" si="43"/>
        <v>0</v>
      </c>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row>
    <row r="266" spans="1:114" s="6" customFormat="1">
      <c r="A266" s="39"/>
      <c r="B266" s="1113" t="s">
        <v>221</v>
      </c>
      <c r="C266" s="381" t="s">
        <v>1747</v>
      </c>
      <c r="F266" s="1114">
        <f ca="1">F264+F265</f>
        <v>12.849016286584261</v>
      </c>
      <c r="G266" s="1114">
        <f t="shared" ref="G266:N266" ca="1" si="44">G264+G265</f>
        <v>13.246773735481993</v>
      </c>
      <c r="H266" s="1114">
        <f t="shared" ca="1" si="44"/>
        <v>9.8116088179849434</v>
      </c>
      <c r="I266" s="1114">
        <f t="shared" ca="1" si="44"/>
        <v>5.3971246583895462</v>
      </c>
      <c r="J266" s="1114">
        <f t="shared" ca="1" si="44"/>
        <v>0</v>
      </c>
      <c r="K266" s="1114">
        <f t="shared" ca="1" si="44"/>
        <v>0</v>
      </c>
      <c r="L266" s="1114">
        <f t="shared" ca="1" si="44"/>
        <v>0</v>
      </c>
      <c r="M266" s="1114">
        <f t="shared" ca="1" si="44"/>
        <v>0</v>
      </c>
      <c r="N266" s="1114">
        <f t="shared" ca="1" si="44"/>
        <v>0</v>
      </c>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row>
    <row r="267" spans="1:114" s="6" customFormat="1">
      <c r="A267" s="39"/>
      <c r="B267" s="840" t="s">
        <v>1748</v>
      </c>
      <c r="C267" s="6" t="s">
        <v>1754</v>
      </c>
      <c r="F267" s="1120">
        <f>F$69</f>
        <v>0.55000000000000004</v>
      </c>
      <c r="G267" s="1120">
        <f t="shared" ref="G267:N267" si="45">G$69</f>
        <v>0.55000000000000004</v>
      </c>
      <c r="H267" s="1120">
        <f t="shared" si="45"/>
        <v>0.55000000000000004</v>
      </c>
      <c r="I267" s="1120">
        <f t="shared" si="45"/>
        <v>0.55000000000000004</v>
      </c>
      <c r="J267" s="1120">
        <f t="shared" si="45"/>
        <v>0.55000000000000004</v>
      </c>
      <c r="K267" s="1120">
        <f t="shared" si="45"/>
        <v>0.55000000000000004</v>
      </c>
      <c r="L267" s="1120">
        <f t="shared" si="45"/>
        <v>0.55000000000000004</v>
      </c>
      <c r="M267" s="1120">
        <f t="shared" si="45"/>
        <v>0.55000000000000004</v>
      </c>
      <c r="N267" s="1120">
        <f t="shared" si="45"/>
        <v>0.55000000000000004</v>
      </c>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row>
    <row r="268" spans="1:114" s="6" customFormat="1">
      <c r="A268" s="39"/>
      <c r="B268" s="1113" t="s">
        <v>221</v>
      </c>
      <c r="C268" s="381" t="s">
        <v>1755</v>
      </c>
      <c r="F268" s="373">
        <f ca="1">F266/F267</f>
        <v>23.361847793789565</v>
      </c>
      <c r="G268" s="373">
        <f t="shared" ref="G268:N268" ca="1" si="46">G266/G267</f>
        <v>24.085043155421804</v>
      </c>
      <c r="H268" s="373">
        <f t="shared" ca="1" si="46"/>
        <v>17.839288759972622</v>
      </c>
      <c r="I268" s="373">
        <f t="shared" ca="1" si="46"/>
        <v>9.8129539243446295</v>
      </c>
      <c r="J268" s="373">
        <f t="shared" ca="1" si="46"/>
        <v>0</v>
      </c>
      <c r="K268" s="373">
        <f t="shared" ca="1" si="46"/>
        <v>0</v>
      </c>
      <c r="L268" s="373">
        <f t="shared" ca="1" si="46"/>
        <v>0</v>
      </c>
      <c r="M268" s="373">
        <f t="shared" ca="1" si="46"/>
        <v>0</v>
      </c>
      <c r="N268" s="373">
        <f t="shared" ca="1" si="46"/>
        <v>0</v>
      </c>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row>
    <row r="269" spans="1:114" s="6" customFormat="1">
      <c r="A269"/>
      <c r="C269" s="1117"/>
      <c r="F269" s="1122"/>
      <c r="G269" s="1122"/>
      <c r="H269" s="1122"/>
      <c r="I269" s="1122"/>
      <c r="J269" s="1122"/>
      <c r="K269" s="1122"/>
      <c r="L269" s="1122"/>
      <c r="M269" s="1122"/>
      <c r="N269" s="1122"/>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row>
    <row r="270" spans="1:114" s="6" customFormat="1">
      <c r="A270"/>
      <c r="B270" s="381" t="s">
        <v>303</v>
      </c>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row>
    <row r="271" spans="1:114" s="6" customFormat="1">
      <c r="A271" s="39"/>
      <c r="C271" s="6" t="s">
        <v>253</v>
      </c>
      <c r="E271" s="6" t="s">
        <v>254</v>
      </c>
      <c r="F271" s="3764">
        <f ca="1">F$239*INDEX(EF[CO2],MATCH("V.04",EF[Vector],0))+F$268*INDEX(EF[CO2],MATCH("V.05",EF[Vector],0))+IF(F$206&gt;0,F$258*1.05*INDEX(EF[CO2],MATCH("V.03",EF[Vector],0)),F$258*INDEX(EF[CO2],MATCH("V.03",EF[Vector],0)))</f>
        <v>12.560557624924739</v>
      </c>
      <c r="G271" s="2167">
        <f ca="1">G$239*INDEX(EF[CO2],MATCH("V.04",EF[Vector],0))+G$268*INDEX(EF[CO2],MATCH("V.05",EF[Vector],0))+IF(G206&gt;0,G$258*1.05*INDEX(EF[CO2],MATCH("V.03",EF[Vector],0)),G$258*INDEX(EF[CO2],MATCH("V.03",EF[Vector],0)))</f>
        <v>12.213168093798341</v>
      </c>
      <c r="H271" s="2167">
        <f ca="1">H$239*INDEX(EF[CO2],MATCH("V.04",EF[Vector],0))+H$268*INDEX(EF[CO2],MATCH("V.05",EF[Vector],0))+IF(H206&gt;0,H$258*1.05*INDEX(EF[CO2],MATCH("V.03",EF[Vector],0)),H$258*INDEX(EF[CO2],MATCH("V.03",EF[Vector],0)))</f>
        <v>8.2754732511860816</v>
      </c>
      <c r="I271" s="2167">
        <f ca="1">I$239*INDEX(EF[CO2],MATCH("V.04",EF[Vector],0))+I$268*INDEX(EF[CO2],MATCH("V.05",EF[Vector],0))+IF(I206&gt;0,I$258*1.05*INDEX(EF[CO2],MATCH("V.03",EF[Vector],0)),I$258*INDEX(EF[CO2],MATCH("V.03",EF[Vector],0)))</f>
        <v>4.5521342699629068</v>
      </c>
      <c r="J271" s="2167">
        <f ca="1">J$239*INDEX(EF[CO2],MATCH("V.04",EF[Vector],0))+J$268*INDEX(EF[CO2],MATCH("V.05",EF[Vector],0))+IF(J206&gt;0,J$258*1.05*INDEX(EF[CO2],MATCH("V.03",EF[Vector],0)),J$258*INDEX(EF[CO2],MATCH("V.03",EF[Vector],0)))</f>
        <v>1.2803220768038401</v>
      </c>
      <c r="K271" s="2167">
        <f ca="1">K$239*INDEX(EF[CO2],MATCH("V.04",EF[Vector],0))+K$268*INDEX(EF[CO2],MATCH("V.05",EF[Vector],0))+IF(K206&gt;0,K$258*1.05*INDEX(EF[CO2],MATCH("V.03",EF[Vector],0)),K$258*INDEX(EF[CO2],MATCH("V.03",EF[Vector],0)))</f>
        <v>7.5356099377597463</v>
      </c>
      <c r="L271" s="2167">
        <f ca="1">L$239*INDEX(EF[CO2],MATCH("V.04",EF[Vector],0))+L$268*INDEX(EF[CO2],MATCH("V.05",EF[Vector],0))+IF(L206&gt;0,L$258*1.05*INDEX(EF[CO2],MATCH("V.03",EF[Vector],0)),L$258*INDEX(EF[CO2],MATCH("V.03",EF[Vector],0)))</f>
        <v>8.0477387684812829</v>
      </c>
      <c r="M271" s="2167">
        <f ca="1">M$239*INDEX(EF[CO2],MATCH("V.04",EF[Vector],0))+M$268*INDEX(EF[CO2],MATCH("V.05",EF[Vector],0))+IF(M206&gt;0,M$258*1.05*INDEX(EF[CO2],MATCH("V.03",EF[Vector],0)),M$258*INDEX(EF[CO2],MATCH("V.03",EF[Vector],0)))</f>
        <v>8.0477387684812829</v>
      </c>
      <c r="N271" s="2167">
        <f ca="1">N$239*INDEX(EF[CO2],MATCH("V.04",EF[Vector],0))+N$268*INDEX(EF[CO2],MATCH("V.05",EF[Vector],0))+IF(N206&gt;0,N$258*1.05*INDEX(EF[CO2],MATCH("V.03",EF[Vector],0)),N$258*INDEX(EF[CO2],MATCH("V.03",EF[Vector],0)))</f>
        <v>8.0477387684812829</v>
      </c>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row>
    <row r="272" spans="1:114" s="833" customFormat="1">
      <c r="A272" s="39"/>
      <c r="B272" s="6"/>
      <c r="C272" s="6" t="s">
        <v>255</v>
      </c>
      <c r="D272" s="6"/>
      <c r="E272" s="6"/>
      <c r="F272" s="3764">
        <f ca="1">F$239*INDEX(EF[CH4],MATCH("V.04",EF[Vector],0))+F$268*INDEX(EF[CH4],MATCH("V.05",EF[Vector],0))+IF(F$206&gt;0,F$258*1.1*INDEX(EF[CH4],MATCH("V.03",EF[Vector],0)),F$258*INDEX(EF[CH4],MATCH("V.03",EF[Vector],0)))</f>
        <v>3.5386940736861008E-3</v>
      </c>
      <c r="G272" s="3764">
        <f ca="1">G$239*INDEX(EF[CH4],MATCH("V.04",EF[Vector],0))+G$268*INDEX(EF[CH4],MATCH("V.05",EF[Vector],0))+IF(G$206&gt;0,G$258*1.1*INDEX(EF[CH4],MATCH("V.03",EF[Vector],0)),G$258*INDEX(EF[CH4],MATCH("V.03",EF[Vector],0)))</f>
        <v>3.0166592230689159E-3</v>
      </c>
      <c r="H272" s="3764">
        <f ca="1">H$239*INDEX(EF[CH4],MATCH("V.04",EF[Vector],0))+H$268*INDEX(EF[CH4],MATCH("V.05",EF[Vector],0))+IF(H$206&gt;0,H$258*1.1*INDEX(EF[CH4],MATCH("V.03",EF[Vector],0)),H$258*INDEX(EF[CH4],MATCH("V.03",EF[Vector],0)))</f>
        <v>2.1078441950678518E-3</v>
      </c>
      <c r="I272" s="3764">
        <f ca="1">I$239*INDEX(EF[CH4],MATCH("V.04",EF[Vector],0))+I$268*INDEX(EF[CH4],MATCH("V.05",EF[Vector],0))+IF(I$206&gt;0,I$258*1.1*INDEX(EF[CH4],MATCH("V.03",EF[Vector],0)),I$258*INDEX(EF[CH4],MATCH("V.03",EF[Vector],0)))</f>
        <v>1.1594732415738903E-3</v>
      </c>
      <c r="J272" s="3764">
        <f ca="1">J$239*INDEX(EF[CH4],MATCH("V.04",EF[Vector],0))+J$268*INDEX(EF[CH4],MATCH("V.05",EF[Vector],0))+IF(J$206&gt;0,J$258*1.1*INDEX(EF[CH4],MATCH("V.03",EF[Vector],0)),J$258*INDEX(EF[CH4],MATCH("V.03",EF[Vector],0)))</f>
        <v>2.1023799350400002E-4</v>
      </c>
      <c r="K272" s="3764">
        <f ca="1">K$239*INDEX(EF[CH4],MATCH("V.04",EF[Vector],0))+K$268*INDEX(EF[CH4],MATCH("V.05",EF[Vector],0))+IF(K$206&gt;0,K$258*1.1*INDEX(EF[CH4],MATCH("V.03",EF[Vector],0)),K$258*INDEX(EF[CH4],MATCH("V.03",EF[Vector],0)))</f>
        <v>1.2374007617664002E-3</v>
      </c>
      <c r="L272" s="3764">
        <f ca="1">L$239*INDEX(EF[CH4],MATCH("V.04",EF[Vector],0))+L$268*INDEX(EF[CH4],MATCH("V.05",EF[Vector],0))+IF(L$206&gt;0,L$258*1.1*INDEX(EF[CH4],MATCH("V.03",EF[Vector],0)),L$258*INDEX(EF[CH4],MATCH("V.03",EF[Vector],0)))</f>
        <v>1.3214959591680005E-3</v>
      </c>
      <c r="M272" s="3764">
        <f ca="1">M$239*INDEX(EF[CH4],MATCH("V.04",EF[Vector],0))+M$268*INDEX(EF[CH4],MATCH("V.05",EF[Vector],0))+IF(M$206&gt;0,M$258*1.1*INDEX(EF[CH4],MATCH("V.03",EF[Vector],0)),M$258*INDEX(EF[CH4],MATCH("V.03",EF[Vector],0)))</f>
        <v>1.3214959591680005E-3</v>
      </c>
      <c r="N272" s="3764">
        <f ca="1">N$239*INDEX(EF[CH4],MATCH("V.04",EF[Vector],0))+N$268*INDEX(EF[CH4],MATCH("V.05",EF[Vector],0))+IF(N$206&gt;0,N$258*1.1*INDEX(EF[CH4],MATCH("V.03",EF[Vector],0)),N$258*INDEX(EF[CH4],MATCH("V.03",EF[Vector],0)))</f>
        <v>1.3214959591680005E-3</v>
      </c>
      <c r="O272" s="6" t="s">
        <v>5</v>
      </c>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row>
    <row r="273" spans="1:114" s="6" customFormat="1">
      <c r="A273" s="39"/>
      <c r="C273" s="6" t="s">
        <v>256</v>
      </c>
      <c r="F273" s="2167">
        <f ca="1">F$239*INDEX(EF[N2O],MATCH("V.04",EF[Vector],0))+F$268*INDEX(EF[N2O],MATCH("V.05",EF[Vector],0))+IF(F$206&gt;0,F$258*1.1*INDEX(EF[N2O],MATCH("V.03",EF[Vector],0)),F$258*INDEX(EF[N2O],MATCH("V.03",EF[Vector],0)))</f>
        <v>8.9649501571050436E-2</v>
      </c>
      <c r="G273" s="2167">
        <f ca="1">G$239*INDEX(EF[N2O],MATCH("V.04",EF[Vector],0))+G$268*INDEX(EF[N2O],MATCH("V.05",EF[Vector],0))+IF(G$206&gt;0,G$258*1.1*INDEX(EF[N2O],MATCH("V.03",EF[Vector],0)),G$258*INDEX(EF[N2O],MATCH("V.03",EF[Vector],0)))</f>
        <v>9.0557925088645852E-2</v>
      </c>
      <c r="H273" s="2167">
        <f ca="1">H$239*INDEX(EF[N2O],MATCH("V.04",EF[Vector],0))+H$268*INDEX(EF[N2O],MATCH("V.05",EF[Vector],0))+IF(H$206&gt;0,H$258*1.1*INDEX(EF[N2O],MATCH("V.03",EF[Vector],0)),H$258*INDEX(EF[N2O],MATCH("V.03",EF[Vector],0)))</f>
        <v>6.5740180574486815E-2</v>
      </c>
      <c r="I273" s="2167">
        <f ca="1">I$239*INDEX(EF[N2O],MATCH("V.04",EF[Vector],0))+I$268*INDEX(EF[N2O],MATCH("V.05",EF[Vector],0))+IF(I$206&gt;0,I$258*1.1*INDEX(EF[N2O],MATCH("V.03",EF[Vector],0)),I$258*INDEX(EF[N2O],MATCH("V.03",EF[Vector],0)))</f>
        <v>3.6162056213979069E-2</v>
      </c>
      <c r="J273" s="2167">
        <f ca="1">J$239*INDEX(EF[N2O],MATCH("V.04",EF[Vector],0))+J$268*INDEX(EF[N2O],MATCH("V.05",EF[Vector],0))+IF(J$206&gt;0,J$258*1.1*INDEX(EF[N2O],MATCH("V.03",EF[Vector],0)),J$258*INDEX(EF[N2O],MATCH("V.03",EF[Vector],0)))</f>
        <v>2.2167951696E-3</v>
      </c>
      <c r="K273" s="2167">
        <f ca="1">K$239*INDEX(EF[N2O],MATCH("V.04",EF[Vector],0))+K$268*INDEX(EF[N2O],MATCH("V.05",EF[Vector],0))+IF(K$206&gt;0,K$258*1.1*INDEX(EF[N2O],MATCH("V.03",EF[Vector],0)),K$258*INDEX(EF[N2O],MATCH("V.03",EF[Vector],0)))</f>
        <v>1.3047422998217146E-2</v>
      </c>
      <c r="L273" s="2167">
        <f ca="1">L$239*INDEX(EF[N2O],MATCH("V.04",EF[Vector],0))+L$268*INDEX(EF[N2O],MATCH("V.05",EF[Vector],0))+IF(L$206&gt;0,L$258*1.1*INDEX(EF[N2O],MATCH("V.03",EF[Vector],0)),L$258*INDEX(EF[N2O],MATCH("V.03",EF[Vector],0)))</f>
        <v>1.3934141066057146E-2</v>
      </c>
      <c r="M273" s="2167">
        <f ca="1">M$239*INDEX(EF[N2O],MATCH("V.04",EF[Vector],0))+M$268*INDEX(EF[N2O],MATCH("V.05",EF[Vector],0))+IF(M$206&gt;0,M$258*1.1*INDEX(EF[N2O],MATCH("V.03",EF[Vector],0)),M$258*INDEX(EF[N2O],MATCH("V.03",EF[Vector],0)))</f>
        <v>1.3934141066057146E-2</v>
      </c>
      <c r="N273" s="2167">
        <f ca="1">N$239*INDEX(EF[N2O],MATCH("V.04",EF[Vector],0))+N$268*INDEX(EF[N2O],MATCH("V.05",EF[Vector],0))+IF(N$206&gt;0,N$258*1.1*INDEX(EF[N2O],MATCH("V.03",EF[Vector],0)),N$258*INDEX(EF[N2O],MATCH("V.03",EF[Vector],0)))</f>
        <v>1.3934141066057146E-2</v>
      </c>
      <c r="O273" s="2167"/>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row>
    <row r="274" spans="1:114" s="381" customFormat="1">
      <c r="A274" s="39"/>
      <c r="B274" s="6"/>
      <c r="C274" s="6"/>
      <c r="D274" s="6"/>
      <c r="E274" s="6"/>
      <c r="F274" s="413"/>
      <c r="G274" s="413" t="s">
        <v>5</v>
      </c>
      <c r="H274" s="413"/>
      <c r="I274" s="413"/>
      <c r="J274" s="413"/>
      <c r="K274" s="413"/>
      <c r="L274" s="413"/>
      <c r="M274" s="413"/>
      <c r="N274" s="413"/>
      <c r="O274" s="6"/>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row>
    <row r="275" spans="1:114" s="6" customFormat="1">
      <c r="A275" s="39"/>
      <c r="C275" s="6" t="s">
        <v>1756</v>
      </c>
      <c r="D275"/>
      <c r="E275"/>
      <c r="F275" s="2206">
        <v>2013</v>
      </c>
      <c r="G275" s="2206">
        <v>2015</v>
      </c>
      <c r="H275" s="2206">
        <v>2020</v>
      </c>
      <c r="I275" s="2206">
        <v>2025</v>
      </c>
      <c r="J275" s="2206">
        <v>2030</v>
      </c>
      <c r="K275" s="2206">
        <v>2035</v>
      </c>
      <c r="L275" s="2206">
        <v>2040</v>
      </c>
      <c r="M275" s="2206">
        <v>2045</v>
      </c>
      <c r="N275" s="2206">
        <v>2050</v>
      </c>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row>
    <row r="276" spans="1:114" s="6" customFormat="1">
      <c r="A276" s="39"/>
      <c r="D276" s="3579" t="s">
        <v>2767</v>
      </c>
      <c r="E276" s="2" t="s">
        <v>27</v>
      </c>
      <c r="F276" s="2121">
        <f t="shared" ref="F276:N276" ca="1" si="47">F258-F277</f>
        <v>19.327735621499137</v>
      </c>
      <c r="G276" s="2121">
        <f t="shared" ca="1" si="47"/>
        <v>17.28593859450854</v>
      </c>
      <c r="H276" s="2121">
        <f t="shared" ca="1" si="47"/>
        <v>2.1357516069869451</v>
      </c>
      <c r="I276" s="2121">
        <f t="shared" ca="1" si="47"/>
        <v>0</v>
      </c>
      <c r="J276" s="2121">
        <f t="shared" ca="1" si="47"/>
        <v>0</v>
      </c>
      <c r="K276" s="2121">
        <f t="shared" ca="1" si="47"/>
        <v>0</v>
      </c>
      <c r="L276" s="2121">
        <f t="shared" ca="1" si="47"/>
        <v>0</v>
      </c>
      <c r="M276" s="2121">
        <f t="shared" ca="1" si="47"/>
        <v>0</v>
      </c>
      <c r="N276" s="2121">
        <f t="shared" ca="1" si="47"/>
        <v>0</v>
      </c>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row>
    <row r="277" spans="1:114" s="6" customFormat="1">
      <c r="A277" s="39"/>
      <c r="B277" s="859"/>
      <c r="D277" t="s">
        <v>1731</v>
      </c>
      <c r="E277"/>
      <c r="F277" s="3585">
        <f ca="1">F258*'Intermediate output'!AY253</f>
        <v>0.60277200709305989</v>
      </c>
      <c r="G277" s="3585">
        <f ca="1">G258*'Intermediate output'!AZ253</f>
        <v>3.2567323413642555</v>
      </c>
      <c r="H277" s="3585">
        <f ca="1">H258*'Intermediate output'!BA253</f>
        <v>10.906129187590142</v>
      </c>
      <c r="I277" s="3585">
        <f ca="1">I258*'Intermediate output'!BB253</f>
        <v>7.1740178123657694</v>
      </c>
      <c r="J277" s="3585">
        <f ca="1">J258*'Intermediate output'!BC253</f>
        <v>3.6115920000000008</v>
      </c>
      <c r="K277" s="3585">
        <f ca="1">K258*'Intermediate output'!BD253</f>
        <v>21.256798628571431</v>
      </c>
      <c r="L277" s="3585">
        <f ca="1">L258*'Intermediate output'!BE253</f>
        <v>22.701435428571433</v>
      </c>
      <c r="M277" s="3585">
        <f ca="1">M258*'Intermediate output'!BF253</f>
        <v>22.701435428571433</v>
      </c>
      <c r="N277" s="3585">
        <f ca="1">N258*'Intermediate output'!BG253</f>
        <v>22.701435428571433</v>
      </c>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row>
    <row r="278" spans="1:114" s="6" customFormat="1">
      <c r="A278" s="39"/>
      <c r="D278" t="s">
        <v>89</v>
      </c>
      <c r="E278"/>
      <c r="F278" s="2121">
        <f t="shared" ref="F278:N279" si="48">-F338</f>
        <v>2.6999280000000003</v>
      </c>
      <c r="G278" s="2121">
        <f t="shared" si="48"/>
        <v>0</v>
      </c>
      <c r="H278" s="2121">
        <f t="shared" si="48"/>
        <v>0</v>
      </c>
      <c r="I278" s="2121">
        <f t="shared" si="48"/>
        <v>0</v>
      </c>
      <c r="J278" s="2121">
        <f t="shared" si="48"/>
        <v>0</v>
      </c>
      <c r="K278" s="2121">
        <f t="shared" si="48"/>
        <v>0</v>
      </c>
      <c r="L278" s="2121">
        <f t="shared" si="48"/>
        <v>0</v>
      </c>
      <c r="M278" s="2121">
        <f t="shared" si="48"/>
        <v>0</v>
      </c>
      <c r="N278" s="2121">
        <f t="shared" si="48"/>
        <v>0</v>
      </c>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row>
    <row r="279" spans="1:114" s="6" customFormat="1">
      <c r="A279" s="39"/>
      <c r="D279" t="s">
        <v>90</v>
      </c>
      <c r="E279"/>
      <c r="F279" s="2121">
        <f t="shared" ca="1" si="48"/>
        <v>23.361847793789565</v>
      </c>
      <c r="G279" s="2121">
        <f t="shared" ca="1" si="48"/>
        <v>24.085043155421804</v>
      </c>
      <c r="H279" s="2121">
        <f t="shared" ca="1" si="48"/>
        <v>17.839288759972622</v>
      </c>
      <c r="I279" s="2121">
        <f t="shared" ca="1" si="48"/>
        <v>9.8129539243446295</v>
      </c>
      <c r="J279" s="2121">
        <f t="shared" ca="1" si="48"/>
        <v>0</v>
      </c>
      <c r="K279" s="2121">
        <f t="shared" ca="1" si="48"/>
        <v>0</v>
      </c>
      <c r="L279" s="2121">
        <f t="shared" ca="1" si="48"/>
        <v>0</v>
      </c>
      <c r="M279" s="2121">
        <f t="shared" ca="1" si="48"/>
        <v>0</v>
      </c>
      <c r="N279" s="2121">
        <f t="shared" ca="1" si="48"/>
        <v>0</v>
      </c>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row>
    <row r="280" spans="1:114" s="6" customFormat="1">
      <c r="A280" s="39"/>
      <c r="D280"/>
      <c r="E280"/>
      <c r="F280" s="2436" t="str">
        <f t="shared" ref="F280:N280" ca="1" si="49">IF(SUM(F276:F279,F337:F339)=0,"ok","error")</f>
        <v>ok</v>
      </c>
      <c r="G280" s="2436" t="str">
        <f t="shared" ca="1" si="49"/>
        <v>ok</v>
      </c>
      <c r="H280" s="2436" t="str">
        <f t="shared" ca="1" si="49"/>
        <v>ok</v>
      </c>
      <c r="I280" s="2436" t="str">
        <f t="shared" ca="1" si="49"/>
        <v>ok</v>
      </c>
      <c r="J280" s="2436" t="str">
        <f t="shared" ca="1" si="49"/>
        <v>error</v>
      </c>
      <c r="K280" s="2436" t="str">
        <f t="shared" ca="1" si="49"/>
        <v>ok</v>
      </c>
      <c r="L280" s="2436" t="str">
        <f t="shared" ca="1" si="49"/>
        <v>ok</v>
      </c>
      <c r="M280" s="2436" t="str">
        <f t="shared" ca="1" si="49"/>
        <v>ok</v>
      </c>
      <c r="N280" s="2436" t="str">
        <f t="shared" ca="1" si="49"/>
        <v>ok</v>
      </c>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row>
    <row r="281" spans="1:114" s="6" customFormat="1">
      <c r="A281" s="39"/>
      <c r="D281"/>
      <c r="E281"/>
      <c r="F281" s="2207"/>
      <c r="G281" s="2207"/>
      <c r="H281" s="2207"/>
      <c r="I281" s="2207"/>
      <c r="J281" s="2207"/>
      <c r="K281" s="2207"/>
      <c r="L281" s="2207"/>
      <c r="M281" s="2207"/>
      <c r="N281" s="2207"/>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row>
    <row r="282" spans="1:114" s="6" customFormat="1">
      <c r="A282" s="39"/>
      <c r="D282"/>
      <c r="E282"/>
      <c r="F282" s="2206"/>
      <c r="G282" s="2206"/>
      <c r="H282" s="2206"/>
      <c r="I282" s="2206"/>
      <c r="J282" s="2206"/>
      <c r="K282" s="2206"/>
      <c r="L282" s="2206"/>
      <c r="M282" s="2206"/>
      <c r="N282" s="2206"/>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row>
    <row r="283" spans="1:114" s="6" customFormat="1">
      <c r="A283" s="39"/>
      <c r="B283"/>
      <c r="C283" t="s">
        <v>260</v>
      </c>
      <c r="D283" t="s">
        <v>261</v>
      </c>
      <c r="E283" t="s">
        <v>850</v>
      </c>
      <c r="F283" s="1188">
        <f t="shared" ref="F283:N283" ca="1" si="50">SUMPRODUCT(F$276:F$279,F$106:F$109)</f>
        <v>0.47791940158029572</v>
      </c>
      <c r="G283" s="1188">
        <f t="shared" ca="1" si="50"/>
        <v>0.5747660936895943</v>
      </c>
      <c r="H283" s="1188">
        <f t="shared" ca="1" si="50"/>
        <v>0.8596149655800378</v>
      </c>
      <c r="I283" s="1188">
        <f t="shared" ca="1" si="50"/>
        <v>0.20615646228729145</v>
      </c>
      <c r="J283" s="1188">
        <f t="shared" ca="1" si="50"/>
        <v>8.8484004000000019E-2</v>
      </c>
      <c r="K283" s="1188">
        <f t="shared" ca="1" si="50"/>
        <v>0.52079156640000013</v>
      </c>
      <c r="L283" s="1188">
        <f t="shared" ca="1" si="50"/>
        <v>0.55618516800000017</v>
      </c>
      <c r="M283" s="1188">
        <f t="shared" ca="1" si="50"/>
        <v>0.55618516800000017</v>
      </c>
      <c r="N283" s="1188">
        <f t="shared" ca="1" si="50"/>
        <v>0.55618516800000017</v>
      </c>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row>
    <row r="284" spans="1:114" s="6" customFormat="1">
      <c r="A284" s="39"/>
      <c r="B284"/>
      <c r="C284" t="s">
        <v>262</v>
      </c>
      <c r="D284" t="s">
        <v>263</v>
      </c>
      <c r="E284"/>
      <c r="F284" s="2437">
        <f t="shared" ref="F284:N284" ca="1" si="51">SUMPRODUCT(F$276:F$279,F$114:F$117)</f>
        <v>17.224523678352281</v>
      </c>
      <c r="G284" s="2437">
        <f t="shared" ca="1" si="51"/>
        <v>11.286127675172452</v>
      </c>
      <c r="H284" s="2437">
        <f t="shared" ca="1" si="51"/>
        <v>6.143064359093442</v>
      </c>
      <c r="I284" s="2437">
        <f t="shared" ca="1" si="51"/>
        <v>3.44598392013439</v>
      </c>
      <c r="J284" s="2437">
        <f t="shared" ca="1" si="51"/>
        <v>1.1087587440000002</v>
      </c>
      <c r="K284" s="2437">
        <f t="shared" ca="1" si="51"/>
        <v>6.5258371789714289</v>
      </c>
      <c r="L284" s="2437">
        <f t="shared" ca="1" si="51"/>
        <v>6.9693406765714299</v>
      </c>
      <c r="M284" s="2437">
        <f t="shared" ca="1" si="51"/>
        <v>6.9693406765714299</v>
      </c>
      <c r="N284" s="2437">
        <f t="shared" ca="1" si="51"/>
        <v>6.9693406765714299</v>
      </c>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row>
    <row r="285" spans="1:114" s="6" customFormat="1">
      <c r="A285" s="39"/>
      <c r="B285"/>
      <c r="C285" t="s">
        <v>264</v>
      </c>
      <c r="D285" t="s">
        <v>265</v>
      </c>
      <c r="E285"/>
      <c r="F285" s="2437">
        <f t="shared" ref="F285:N285" ca="1" si="52">SUMPRODUCT(F$276:F$279,F$122:F$125)</f>
        <v>9.5058744672962217</v>
      </c>
      <c r="G285" s="2437">
        <f t="shared" ca="1" si="52"/>
        <v>4.5863692683901451</v>
      </c>
      <c r="H285" s="2437">
        <f t="shared" ca="1" si="52"/>
        <v>0.96665239287959215</v>
      </c>
      <c r="I285" s="2437">
        <f t="shared" ca="1" si="52"/>
        <v>0.28168878040926904</v>
      </c>
      <c r="J285" s="2437">
        <f t="shared" ca="1" si="52"/>
        <v>0.130260748361606</v>
      </c>
      <c r="K285" s="2437">
        <f t="shared" ca="1" si="52"/>
        <v>0.76667754749973815</v>
      </c>
      <c r="L285" s="2437">
        <f t="shared" ca="1" si="52"/>
        <v>0.8187818468443806</v>
      </c>
      <c r="M285" s="2437">
        <f t="shared" ca="1" si="52"/>
        <v>0.8187818468443806</v>
      </c>
      <c r="N285" s="2437">
        <f t="shared" ca="1" si="52"/>
        <v>0.8187818468443806</v>
      </c>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row>
    <row r="286" spans="1:114" s="6" customFormat="1">
      <c r="A286" s="39"/>
      <c r="B286"/>
      <c r="C286" t="s">
        <v>266</v>
      </c>
      <c r="D286" t="s">
        <v>267</v>
      </c>
      <c r="E286"/>
      <c r="F286" s="2437">
        <f t="shared" ref="F286:N286" ca="1" si="53">SUMPRODUCT(F$276:F$279,F$130:F$133)</f>
        <v>0.19831897742560523</v>
      </c>
      <c r="G286" s="2437">
        <f t="shared" ca="1" si="53"/>
        <v>0.37167659977226003</v>
      </c>
      <c r="H286" s="2437">
        <f t="shared" ca="1" si="53"/>
        <v>0.83937143533115821</v>
      </c>
      <c r="I286" s="2437">
        <f t="shared" ca="1" si="53"/>
        <v>0.54049207384790054</v>
      </c>
      <c r="J286" s="2437">
        <f t="shared" ca="1" si="53"/>
        <v>0.25124343068439037</v>
      </c>
      <c r="K286" s="2437">
        <f t="shared" ca="1" si="53"/>
        <v>1.4787470491709831</v>
      </c>
      <c r="L286" s="2437">
        <f t="shared" ca="1" si="53"/>
        <v>1.5792444214447394</v>
      </c>
      <c r="M286" s="2437">
        <f t="shared" ca="1" si="53"/>
        <v>1.5792444214447394</v>
      </c>
      <c r="N286" s="2437">
        <f t="shared" ca="1" si="53"/>
        <v>1.5792444214447394</v>
      </c>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row>
    <row r="287" spans="1:114" s="6" customFormat="1">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row>
    <row r="288" spans="1:114" s="6" customFormat="1">
      <c r="A288"/>
      <c r="F288" s="413"/>
      <c r="G288" s="413"/>
      <c r="H288" s="413"/>
      <c r="I288" s="413"/>
      <c r="J288" s="413"/>
      <c r="K288" s="413"/>
      <c r="L288" s="413"/>
      <c r="M288" s="413"/>
      <c r="N288" s="413"/>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row>
    <row r="289" spans="1:114" s="6" customFormat="1">
      <c r="A289"/>
      <c r="B289" s="381" t="s">
        <v>1757</v>
      </c>
      <c r="C289" s="1117"/>
      <c r="F289" s="1122"/>
      <c r="G289" s="1122"/>
      <c r="H289" s="1122"/>
      <c r="I289" s="1122"/>
      <c r="J289" s="1122"/>
      <c r="K289" s="1122"/>
      <c r="L289" s="1122"/>
      <c r="M289" s="1122"/>
      <c r="N289" s="1122"/>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row>
    <row r="290" spans="1:114" s="6" customFormat="1">
      <c r="A290"/>
      <c r="C290" s="1117"/>
      <c r="F290" s="1122"/>
      <c r="G290" s="1122"/>
      <c r="H290" s="1122"/>
      <c r="I290" s="1122"/>
      <c r="J290" s="1122"/>
      <c r="K290" s="1122"/>
      <c r="L290" s="1122"/>
      <c r="M290" s="1122"/>
      <c r="N290" s="1122"/>
      <c r="P290" s="39"/>
      <c r="Q290" s="39"/>
      <c r="R290" s="39"/>
      <c r="S290" s="39"/>
      <c r="T290" s="39"/>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row>
    <row r="291" spans="1:114" s="6" customFormat="1">
      <c r="A291"/>
      <c r="C291" s="1117"/>
      <c r="F291" s="1122"/>
      <c r="G291" s="1122"/>
      <c r="H291" s="1122"/>
      <c r="I291" s="1122"/>
      <c r="J291" s="1122"/>
      <c r="K291" s="1122"/>
      <c r="L291" s="1122"/>
      <c r="M291" s="1122"/>
      <c r="N291" s="1122"/>
      <c r="P291" s="39"/>
      <c r="Q291" s="39"/>
      <c r="R291" s="39"/>
      <c r="S291" s="39"/>
      <c r="T291" s="39"/>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row>
    <row r="292" spans="1:114" s="6" customFormat="1">
      <c r="A292"/>
      <c r="C292" s="4" t="s">
        <v>145</v>
      </c>
      <c r="D292" s="4"/>
      <c r="E292" s="4" t="str">
        <f>Preferences.PowerUnits</f>
        <v>GW</v>
      </c>
      <c r="F292" s="1123">
        <f t="shared" ref="F292:N292" si="54">F$232</f>
        <v>1.1000000000000001</v>
      </c>
      <c r="G292" s="1123">
        <f t="shared" si="54"/>
        <v>0.91600000000000004</v>
      </c>
      <c r="H292" s="1123">
        <f t="shared" si="54"/>
        <v>0.32400000000000001</v>
      </c>
      <c r="I292" s="1123">
        <f t="shared" si="54"/>
        <v>0.32400000000000001</v>
      </c>
      <c r="J292" s="1123">
        <f t="shared" si="54"/>
        <v>0.32400000000000001</v>
      </c>
      <c r="K292" s="1123">
        <f t="shared" si="54"/>
        <v>0</v>
      </c>
      <c r="L292" s="1123">
        <f t="shared" si="54"/>
        <v>0</v>
      </c>
      <c r="M292" s="1123">
        <f t="shared" si="54"/>
        <v>0</v>
      </c>
      <c r="N292" s="1123">
        <f t="shared" si="54"/>
        <v>0</v>
      </c>
      <c r="O292"/>
      <c r="P292" s="39"/>
      <c r="Q292" s="39"/>
      <c r="R292" s="39"/>
      <c r="S292" s="39"/>
      <c r="T292" s="39"/>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row>
    <row r="293" spans="1:114">
      <c r="B293" s="6"/>
      <c r="C293" s="6" t="s">
        <v>2765</v>
      </c>
      <c r="D293" s="4"/>
      <c r="E293" s="4" t="str">
        <f>Preferences.PowerUnits</f>
        <v>GW</v>
      </c>
      <c r="F293" s="1123">
        <f ca="1">F245</f>
        <v>1.216</v>
      </c>
      <c r="G293" s="1123">
        <f t="shared" ref="G293:N293" ca="1" si="55">G245</f>
        <v>1.2009999999999998</v>
      </c>
      <c r="H293" s="1123">
        <f t="shared" ca="1" si="55"/>
        <v>0.91600000000000004</v>
      </c>
      <c r="I293" s="1123">
        <f t="shared" ca="1" si="55"/>
        <v>0.91600000000000004</v>
      </c>
      <c r="J293" s="1123">
        <f t="shared" ca="1" si="55"/>
        <v>0.63100000000000001</v>
      </c>
      <c r="K293" s="1123">
        <f t="shared" ca="1" si="55"/>
        <v>1.2010000000000001</v>
      </c>
      <c r="L293" s="1123">
        <f t="shared" ca="1" si="55"/>
        <v>1.2010000000000001</v>
      </c>
      <c r="M293" s="1123">
        <f t="shared" ca="1" si="55"/>
        <v>1.2010000000000001</v>
      </c>
      <c r="N293" s="1123">
        <f t="shared" ca="1" si="55"/>
        <v>1.2010000000000001</v>
      </c>
      <c r="P293" s="39"/>
      <c r="Q293" s="39"/>
      <c r="R293" s="39"/>
      <c r="S293" s="39"/>
      <c r="T293" s="39"/>
    </row>
    <row r="294" spans="1:114">
      <c r="B294" s="6"/>
      <c r="C294" s="4" t="s">
        <v>15</v>
      </c>
      <c r="D294" s="4"/>
      <c r="E294" s="4" t="str">
        <f>Preferences.PowerUnits</f>
        <v>GW</v>
      </c>
      <c r="F294" s="1123">
        <f t="shared" ref="F294:N294" ca="1" si="56">F264*Preferences.Unit.Energy/(Preferences.Unit.Power*Unit.year*F$75)</f>
        <v>3.5934362101223432</v>
      </c>
      <c r="G294" s="1123">
        <f ca="1">G264*Preferences.Unit.Energy/(Preferences.Unit.Power*Unit.year*G$75)</f>
        <v>3.7038082004340493</v>
      </c>
      <c r="H294" s="1123">
        <f t="shared" ca="1" si="56"/>
        <v>2.7433334278341852</v>
      </c>
      <c r="I294" s="1123">
        <f t="shared" ca="1" si="56"/>
        <v>1.50904023633802</v>
      </c>
      <c r="J294" s="1123">
        <f t="shared" ca="1" si="56"/>
        <v>0</v>
      </c>
      <c r="K294" s="1123">
        <f t="shared" ca="1" si="56"/>
        <v>0</v>
      </c>
      <c r="L294" s="1123">
        <f t="shared" ca="1" si="56"/>
        <v>0</v>
      </c>
      <c r="M294" s="1123">
        <f t="shared" ca="1" si="56"/>
        <v>0</v>
      </c>
      <c r="N294" s="1123">
        <f t="shared" ca="1" si="56"/>
        <v>0</v>
      </c>
      <c r="P294" s="39"/>
      <c r="Q294" s="39"/>
      <c r="R294" s="39"/>
      <c r="S294" s="39"/>
      <c r="T294" s="39"/>
    </row>
    <row r="295" spans="1:114">
      <c r="B295" s="6"/>
      <c r="C295" s="833"/>
      <c r="D295" s="833"/>
      <c r="E295" s="833"/>
      <c r="F295" s="2208"/>
      <c r="G295" s="2208"/>
      <c r="H295" s="2208"/>
      <c r="I295" s="2208"/>
      <c r="J295" s="2208"/>
      <c r="K295" s="2208"/>
      <c r="L295" s="2208"/>
      <c r="M295" s="2208"/>
      <c r="N295" s="2208"/>
      <c r="P295" s="39"/>
      <c r="Q295" s="39"/>
      <c r="R295" s="39"/>
      <c r="S295" s="39"/>
      <c r="T295" s="39"/>
    </row>
    <row r="296" spans="1:114">
      <c r="B296" t="s">
        <v>757</v>
      </c>
      <c r="C296" s="363"/>
      <c r="F296" s="2209">
        <v>2013</v>
      </c>
      <c r="G296" s="2209">
        <v>2015</v>
      </c>
      <c r="H296" s="2209">
        <v>2020</v>
      </c>
      <c r="I296" s="2209">
        <v>2025</v>
      </c>
      <c r="J296" s="2209">
        <v>2030</v>
      </c>
      <c r="K296" s="2209">
        <v>2035</v>
      </c>
      <c r="L296" s="2209">
        <v>2040</v>
      </c>
      <c r="M296" s="2209">
        <v>2045</v>
      </c>
      <c r="N296" s="2209">
        <v>2050</v>
      </c>
      <c r="P296" s="39"/>
      <c r="Q296" s="39"/>
      <c r="R296" s="39"/>
      <c r="S296" s="39"/>
      <c r="T296" s="39"/>
    </row>
    <row r="297" spans="1:114">
      <c r="C297" t="s">
        <v>1759</v>
      </c>
      <c r="E297" t="s">
        <v>280</v>
      </c>
      <c r="F297" s="992"/>
      <c r="G297" s="992">
        <f ca="1">(G294-F294)</f>
        <v>0.11037199031170619</v>
      </c>
      <c r="H297" s="992">
        <f t="shared" ref="H297:N297" ca="1" si="57">(H294-G294)</f>
        <v>-0.96047477259986414</v>
      </c>
      <c r="I297" s="992">
        <f t="shared" ca="1" si="57"/>
        <v>-1.2342931914961652</v>
      </c>
      <c r="J297" s="992">
        <f t="shared" ca="1" si="57"/>
        <v>-1.50904023633802</v>
      </c>
      <c r="K297" s="992">
        <f t="shared" ca="1" si="57"/>
        <v>0</v>
      </c>
      <c r="L297" s="992">
        <f t="shared" ca="1" si="57"/>
        <v>0</v>
      </c>
      <c r="M297" s="992">
        <f t="shared" ca="1" si="57"/>
        <v>0</v>
      </c>
      <c r="N297" s="992">
        <f t="shared" ca="1" si="57"/>
        <v>0</v>
      </c>
      <c r="P297" s="39"/>
      <c r="Q297" s="39"/>
      <c r="R297" s="39"/>
      <c r="S297" s="39"/>
      <c r="T297" s="39"/>
    </row>
    <row r="298" spans="1:114" s="6" customFormat="1">
      <c r="A298"/>
      <c r="B298"/>
      <c r="C298" t="s">
        <v>1760</v>
      </c>
      <c r="D298"/>
      <c r="E298" t="s">
        <v>280</v>
      </c>
      <c r="F298"/>
      <c r="G298" s="993">
        <f ca="1">F294*3/20</f>
        <v>0.53901543151835152</v>
      </c>
      <c r="H298" s="993">
        <f t="shared" ref="H298:N298" ca="1" si="58">G294/4</f>
        <v>0.92595205010851234</v>
      </c>
      <c r="I298" s="993">
        <f t="shared" ca="1" si="58"/>
        <v>0.6858333569585463</v>
      </c>
      <c r="J298" s="993">
        <f t="shared" ca="1" si="58"/>
        <v>0.377260059084505</v>
      </c>
      <c r="K298" s="993">
        <f t="shared" ca="1" si="58"/>
        <v>0</v>
      </c>
      <c r="L298" s="993">
        <f t="shared" ca="1" si="58"/>
        <v>0</v>
      </c>
      <c r="M298" s="993">
        <f t="shared" ca="1" si="58"/>
        <v>0</v>
      </c>
      <c r="N298" s="993">
        <f t="shared" ca="1" si="58"/>
        <v>0</v>
      </c>
      <c r="O298"/>
      <c r="P298" s="39"/>
      <c r="Q298" s="39"/>
      <c r="R298" s="39"/>
      <c r="S298" s="39"/>
      <c r="T298" s="39"/>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row>
    <row r="299" spans="1:114" s="6" customFormat="1">
      <c r="A299"/>
      <c r="B299"/>
      <c r="C299" s="2372" t="s">
        <v>1875</v>
      </c>
      <c r="D299"/>
      <c r="E299" t="s">
        <v>760</v>
      </c>
      <c r="F299" s="993">
        <f t="shared" ref="F299:N299" ca="1" si="59">F294/plantsize.I.a</f>
        <v>4.2028493685641442</v>
      </c>
      <c r="G299" s="993">
        <f ca="1">G294/plantsize.I.a</f>
        <v>4.3319394157123385</v>
      </c>
      <c r="H299" s="993">
        <f t="shared" ca="1" si="59"/>
        <v>3.2085771085779946</v>
      </c>
      <c r="I299" s="993">
        <f t="shared" ca="1" si="59"/>
        <v>1.7649593407462223</v>
      </c>
      <c r="J299" s="993">
        <f t="shared" ca="1" si="59"/>
        <v>0</v>
      </c>
      <c r="K299" s="993">
        <f t="shared" ca="1" si="59"/>
        <v>0</v>
      </c>
      <c r="L299" s="993">
        <f t="shared" ca="1" si="59"/>
        <v>0</v>
      </c>
      <c r="M299" s="993">
        <f t="shared" ca="1" si="59"/>
        <v>0</v>
      </c>
      <c r="N299" s="993">
        <f t="shared" ca="1" si="59"/>
        <v>0</v>
      </c>
      <c r="O299"/>
      <c r="P299" s="39"/>
      <c r="Q299" s="39"/>
      <c r="R299" s="39"/>
      <c r="S299" s="39"/>
      <c r="T299" s="3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row>
    <row r="300" spans="1:114" s="6" customFormat="1">
      <c r="A300"/>
      <c r="B300"/>
      <c r="C300" t="s">
        <v>1761</v>
      </c>
      <c r="D300"/>
      <c r="E300" t="s">
        <v>760</v>
      </c>
      <c r="F300" s="993"/>
      <c r="G300" s="993">
        <f t="shared" ref="G300:N300" ca="1" si="60">MAX((G297+G298)/plantsize.I.a,0)</f>
        <v>0.7595174524328161</v>
      </c>
      <c r="H300" s="993">
        <f t="shared" ca="1" si="60"/>
        <v>0</v>
      </c>
      <c r="I300" s="993">
        <f t="shared" ca="1" si="60"/>
        <v>0</v>
      </c>
      <c r="J300" s="993">
        <f t="shared" ca="1" si="60"/>
        <v>0</v>
      </c>
      <c r="K300" s="993">
        <f t="shared" ca="1" si="60"/>
        <v>0</v>
      </c>
      <c r="L300" s="993">
        <f t="shared" ca="1" si="60"/>
        <v>0</v>
      </c>
      <c r="M300" s="993">
        <f t="shared" ca="1" si="60"/>
        <v>0</v>
      </c>
      <c r="N300" s="993">
        <f t="shared" ca="1" si="60"/>
        <v>0</v>
      </c>
      <c r="O300"/>
      <c r="P300" s="39"/>
      <c r="Q300" s="39"/>
      <c r="R300" s="39"/>
      <c r="S300" s="39"/>
      <c r="T300" s="39"/>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row>
    <row r="301" spans="1:114" s="6" customFormat="1">
      <c r="A301"/>
      <c r="B301"/>
      <c r="C301" s="2372" t="s">
        <v>1876</v>
      </c>
      <c r="D301"/>
      <c r="E301" t="s">
        <v>762</v>
      </c>
      <c r="F301" s="992"/>
      <c r="G301" s="992">
        <f ca="1">G300/(G$230-F$230)</f>
        <v>0.37975872621640805</v>
      </c>
      <c r="H301" s="992">
        <f t="shared" ref="H301:N301" ca="1" si="61">H300/(H$230-G$230)</f>
        <v>0</v>
      </c>
      <c r="I301" s="992">
        <f t="shared" ca="1" si="61"/>
        <v>0</v>
      </c>
      <c r="J301" s="992">
        <f t="shared" ca="1" si="61"/>
        <v>0</v>
      </c>
      <c r="K301" s="992">
        <f t="shared" ca="1" si="61"/>
        <v>0</v>
      </c>
      <c r="L301" s="992">
        <f t="shared" ca="1" si="61"/>
        <v>0</v>
      </c>
      <c r="M301" s="992">
        <f t="shared" ca="1" si="61"/>
        <v>0</v>
      </c>
      <c r="N301" s="992">
        <f t="shared" ca="1" si="61"/>
        <v>0</v>
      </c>
      <c r="O301"/>
      <c r="P301" s="39"/>
      <c r="Q301" s="39"/>
      <c r="R301" s="39"/>
      <c r="S301" s="39"/>
      <c r="T301" s="39"/>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row>
    <row r="302" spans="1:114" s="6" customFormat="1">
      <c r="A302"/>
      <c r="B302"/>
      <c r="C302"/>
      <c r="D302"/>
      <c r="E302"/>
      <c r="F302" s="992"/>
      <c r="G302" s="992"/>
      <c r="H302" s="992"/>
      <c r="I302" s="992"/>
      <c r="J302" s="992"/>
      <c r="K302" s="992"/>
      <c r="L302" s="992"/>
      <c r="M302" s="992"/>
      <c r="N302" s="992"/>
      <c r="O302" s="992"/>
      <c r="P302" s="39"/>
      <c r="Q302" s="39"/>
      <c r="R302" s="39"/>
      <c r="S302" s="39"/>
      <c r="T302" s="39"/>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row>
    <row r="303" spans="1:114" s="6" customFormat="1">
      <c r="A303"/>
      <c r="B303" t="s">
        <v>757</v>
      </c>
      <c r="C303" s="363"/>
      <c r="D303"/>
      <c r="E303"/>
      <c r="F303" s="2209">
        <v>2013</v>
      </c>
      <c r="G303" s="2209">
        <v>2015</v>
      </c>
      <c r="H303" s="2209">
        <v>2020</v>
      </c>
      <c r="I303" s="2209">
        <v>2025</v>
      </c>
      <c r="J303" s="2209">
        <v>2030</v>
      </c>
      <c r="K303" s="2209">
        <v>2035</v>
      </c>
      <c r="L303" s="2209">
        <v>2040</v>
      </c>
      <c r="M303" s="2209">
        <v>2045</v>
      </c>
      <c r="N303" s="2209">
        <v>2050</v>
      </c>
      <c r="O303"/>
      <c r="P303" s="39"/>
      <c r="Q303" s="39"/>
      <c r="R303" s="39"/>
      <c r="S303" s="39"/>
      <c r="T303" s="39"/>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row>
    <row r="304" spans="1:114" s="6" customFormat="1">
      <c r="A304"/>
      <c r="B304"/>
      <c r="C304" s="3579" t="s">
        <v>1875</v>
      </c>
      <c r="D304"/>
      <c r="E304" t="s">
        <v>760</v>
      </c>
      <c r="F304" s="2515">
        <f t="shared" ref="F304:N304" si="62">IF((F207/plantsize.I.a)&gt;0,F207/plantsize.I.a,0)</f>
        <v>4.0935672514619888E-2</v>
      </c>
      <c r="G304" s="2515">
        <f t="shared" si="62"/>
        <v>4.0935672514619888E-2</v>
      </c>
      <c r="H304" s="2515">
        <f t="shared" si="62"/>
        <v>0.12280701754385964</v>
      </c>
      <c r="I304" s="2515">
        <f t="shared" si="62"/>
        <v>0.12280701754385964</v>
      </c>
      <c r="J304" s="2515">
        <f t="shared" si="62"/>
        <v>0.2046783625730994</v>
      </c>
      <c r="K304" s="2515">
        <f t="shared" si="62"/>
        <v>1.2046783625730995</v>
      </c>
      <c r="L304" s="2515">
        <f t="shared" si="62"/>
        <v>1.2865497076023393</v>
      </c>
      <c r="M304" s="2515">
        <f t="shared" si="62"/>
        <v>1.2865497076023393</v>
      </c>
      <c r="N304" s="2515">
        <f t="shared" si="62"/>
        <v>1.2865497076023393</v>
      </c>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row>
    <row r="305" spans="1:114">
      <c r="F305" s="992"/>
      <c r="G305" s="992"/>
      <c r="H305" s="992"/>
      <c r="I305" s="992"/>
      <c r="J305" s="992"/>
      <c r="K305" s="992"/>
      <c r="L305" s="992"/>
      <c r="M305" s="992"/>
      <c r="N305" s="992"/>
      <c r="O305" s="6"/>
    </row>
    <row r="306" spans="1:114">
      <c r="B306" t="s">
        <v>757</v>
      </c>
      <c r="C306" s="363"/>
      <c r="F306" s="2209">
        <v>2013</v>
      </c>
      <c r="G306" s="2209">
        <v>2015</v>
      </c>
      <c r="H306" s="2209">
        <v>2020</v>
      </c>
      <c r="I306" s="2209">
        <v>2025</v>
      </c>
      <c r="J306" s="2209">
        <v>2030</v>
      </c>
      <c r="K306" s="2209">
        <v>2035</v>
      </c>
      <c r="L306" s="2209">
        <v>2040</v>
      </c>
      <c r="M306" s="2209">
        <v>2045</v>
      </c>
      <c r="N306" s="2209">
        <v>2050</v>
      </c>
      <c r="O306" s="6"/>
    </row>
    <row r="307" spans="1:114">
      <c r="C307" t="s">
        <v>1762</v>
      </c>
      <c r="E307" t="s">
        <v>280</v>
      </c>
      <c r="F307" s="2490"/>
      <c r="G307" s="2414">
        <f t="shared" ref="G307:N307" si="63">G207-F207</f>
        <v>0</v>
      </c>
      <c r="H307" s="2414">
        <f t="shared" si="63"/>
        <v>6.9999999999999993E-2</v>
      </c>
      <c r="I307" s="2414">
        <f t="shared" si="63"/>
        <v>0</v>
      </c>
      <c r="J307" s="2516">
        <f t="shared" si="63"/>
        <v>6.9999999999999993E-2</v>
      </c>
      <c r="K307" s="2414">
        <f t="shared" si="63"/>
        <v>0.85499999999999998</v>
      </c>
      <c r="L307" s="2414">
        <f t="shared" si="63"/>
        <v>7.0000000000000062E-2</v>
      </c>
      <c r="M307" s="2414">
        <f t="shared" si="63"/>
        <v>0</v>
      </c>
      <c r="N307" s="2414">
        <f t="shared" si="63"/>
        <v>0</v>
      </c>
      <c r="O307" s="6"/>
    </row>
    <row r="308" spans="1:114">
      <c r="C308" s="3579" t="s">
        <v>2768</v>
      </c>
      <c r="E308" t="s">
        <v>760</v>
      </c>
      <c r="F308" s="2515">
        <f t="shared" ref="F308:N308" ca="1" si="64">IF(F245&gt;0,F207/0.05,0)</f>
        <v>0.70000000000000007</v>
      </c>
      <c r="G308" s="2515">
        <f t="shared" ca="1" si="64"/>
        <v>0.70000000000000007</v>
      </c>
      <c r="H308" s="2515">
        <f t="shared" ca="1" si="64"/>
        <v>2.0999999999999996</v>
      </c>
      <c r="I308" s="2515">
        <f t="shared" ca="1" si="64"/>
        <v>2.0999999999999996</v>
      </c>
      <c r="J308" s="2515">
        <f t="shared" ca="1" si="64"/>
        <v>3.4999999999999996</v>
      </c>
      <c r="K308" s="2515">
        <f t="shared" ca="1" si="64"/>
        <v>20.599999999999998</v>
      </c>
      <c r="L308" s="2515">
        <f t="shared" ca="1" si="64"/>
        <v>22</v>
      </c>
      <c r="M308" s="2515">
        <f t="shared" ca="1" si="64"/>
        <v>22</v>
      </c>
      <c r="N308" s="2515">
        <f t="shared" ca="1" si="64"/>
        <v>22</v>
      </c>
      <c r="O308" s="6"/>
    </row>
    <row r="309" spans="1:114">
      <c r="C309" t="s">
        <v>1763</v>
      </c>
      <c r="F309" s="2515"/>
      <c r="G309" s="2515"/>
      <c r="H309" s="2515"/>
      <c r="I309" s="2515"/>
      <c r="J309" s="2515"/>
      <c r="K309" s="2515"/>
      <c r="L309" s="2515"/>
      <c r="M309" s="2515">
        <f ca="1">H308</f>
        <v>2.0999999999999996</v>
      </c>
      <c r="N309" s="2515">
        <f ca="1">I308</f>
        <v>2.0999999999999996</v>
      </c>
      <c r="O309" s="6"/>
    </row>
    <row r="310" spans="1:114">
      <c r="C310" t="s">
        <v>1764</v>
      </c>
      <c r="F310" s="2515"/>
      <c r="G310" s="2515"/>
      <c r="H310" s="2515">
        <f t="shared" ref="H310:N310" ca="1" si="65">IF(H308-G308+H309&gt;H308,0,H308-G308+H309)</f>
        <v>1.3999999999999995</v>
      </c>
      <c r="I310" s="2515">
        <f t="shared" ca="1" si="65"/>
        <v>0</v>
      </c>
      <c r="J310" s="2515">
        <f t="shared" ca="1" si="65"/>
        <v>1.4</v>
      </c>
      <c r="K310" s="2515">
        <f t="shared" ca="1" si="65"/>
        <v>17.099999999999998</v>
      </c>
      <c r="L310" s="2515">
        <f t="shared" ca="1" si="65"/>
        <v>1.4000000000000021</v>
      </c>
      <c r="M310" s="2515">
        <f t="shared" ca="1" si="65"/>
        <v>2.0999999999999996</v>
      </c>
      <c r="N310" s="2515">
        <f t="shared" ca="1" si="65"/>
        <v>2.0999999999999996</v>
      </c>
      <c r="O310" s="6"/>
    </row>
    <row r="311" spans="1:114">
      <c r="C311" s="3580" t="s">
        <v>2774</v>
      </c>
      <c r="E311" t="s">
        <v>762</v>
      </c>
      <c r="F311" s="2516"/>
      <c r="G311" s="2516"/>
      <c r="H311" s="2516"/>
      <c r="I311" s="2516"/>
      <c r="J311" s="2516"/>
      <c r="K311" s="2516"/>
      <c r="L311" s="2516"/>
      <c r="M311" s="2516"/>
      <c r="N311" s="2516"/>
      <c r="O311" s="6"/>
    </row>
    <row r="312" spans="1:114">
      <c r="C312" s="6"/>
      <c r="F312" s="992"/>
      <c r="G312" s="992"/>
      <c r="H312" s="992"/>
      <c r="I312" s="992"/>
      <c r="J312" s="992"/>
      <c r="K312" s="992"/>
      <c r="L312" s="992"/>
      <c r="M312" s="992"/>
      <c r="N312" s="992"/>
      <c r="O312" s="6"/>
    </row>
    <row r="313" spans="1:114">
      <c r="B313" s="363" t="s">
        <v>2795</v>
      </c>
      <c r="C313" s="6"/>
      <c r="F313" s="992"/>
      <c r="G313" s="992"/>
      <c r="H313" s="992"/>
      <c r="I313" s="992"/>
      <c r="J313" s="992"/>
      <c r="K313" s="992"/>
      <c r="L313" s="992"/>
      <c r="M313" s="992"/>
      <c r="N313" s="992"/>
      <c r="O313" s="6"/>
    </row>
    <row r="314" spans="1:114" s="6" customFormat="1" hidden="1">
      <c r="A314"/>
      <c r="B314"/>
      <c r="D314"/>
      <c r="E314"/>
      <c r="F314" s="992"/>
      <c r="G314" s="992"/>
      <c r="H314" s="992"/>
      <c r="I314" s="992"/>
      <c r="J314" s="992"/>
      <c r="K314" s="992"/>
      <c r="L314" s="992"/>
      <c r="M314" s="992"/>
      <c r="N314" s="992"/>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row>
    <row r="315" spans="1:114" s="6" customFormat="1" hidden="1">
      <c r="A315"/>
      <c r="B315" t="s">
        <v>293</v>
      </c>
      <c r="C315"/>
      <c r="D315"/>
      <c r="E315"/>
      <c r="F315" s="2209">
        <v>2013</v>
      </c>
      <c r="G315" s="2209">
        <v>2015</v>
      </c>
      <c r="H315" s="2209">
        <v>2020</v>
      </c>
      <c r="I315" s="2209">
        <v>2025</v>
      </c>
      <c r="J315" s="2209">
        <v>2030</v>
      </c>
      <c r="K315" s="2209">
        <v>2035</v>
      </c>
      <c r="L315" s="2209">
        <v>2040</v>
      </c>
      <c r="M315" s="2209">
        <v>2045</v>
      </c>
      <c r="N315" s="2209">
        <v>2050</v>
      </c>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row>
    <row r="316" spans="1:114" s="6" customFormat="1" hidden="1">
      <c r="A316"/>
      <c r="B316"/>
      <c r="C316" t="s">
        <v>169</v>
      </c>
      <c r="D316"/>
      <c r="E316" s="3611" t="s">
        <v>2812</v>
      </c>
      <c r="F316" s="993"/>
      <c r="G316" s="993"/>
      <c r="H316" s="993"/>
      <c r="I316" s="993"/>
      <c r="J316" s="993"/>
      <c r="K316" s="993"/>
      <c r="L316" s="993"/>
      <c r="M316" s="993"/>
      <c r="N316" s="993"/>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row>
    <row r="317" spans="1:114" s="6" customFormat="1" hidden="1">
      <c r="A317"/>
      <c r="B317"/>
      <c r="C317" t="s">
        <v>173</v>
      </c>
      <c r="D317"/>
      <c r="E317" s="3611" t="s">
        <v>2812</v>
      </c>
      <c r="F317" s="993"/>
      <c r="G317" s="993"/>
      <c r="H317" s="993"/>
      <c r="I317" s="993"/>
      <c r="J317" s="993"/>
      <c r="K317" s="993"/>
      <c r="L317" s="993"/>
      <c r="M317" s="993"/>
      <c r="N317" s="993"/>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row>
    <row r="318" spans="1:114" s="6" customFormat="1" hidden="1">
      <c r="A318"/>
      <c r="B318"/>
      <c r="C318" t="s">
        <v>294</v>
      </c>
      <c r="D318"/>
      <c r="E318" s="3611" t="s">
        <v>2812</v>
      </c>
      <c r="F318" s="993"/>
      <c r="G318" s="993"/>
      <c r="H318" s="993"/>
      <c r="I318" s="993"/>
      <c r="J318" s="993"/>
      <c r="K318" s="993"/>
      <c r="L318" s="993"/>
      <c r="M318" s="993"/>
      <c r="N318" s="993"/>
      <c r="P318" s="656"/>
      <c r="Q318" s="656"/>
      <c r="R318" s="656"/>
      <c r="S318" s="656"/>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row>
    <row r="319" spans="1:114" s="6" customFormat="1" hidden="1">
      <c r="A319"/>
      <c r="B319"/>
      <c r="C319"/>
      <c r="D319"/>
      <c r="E319"/>
      <c r="F319" s="993"/>
      <c r="G319" s="993"/>
      <c r="H319" s="993"/>
      <c r="I319" s="993"/>
      <c r="J319" s="993"/>
      <c r="K319" s="993"/>
      <c r="L319" s="993"/>
      <c r="M319" s="993"/>
      <c r="N319" s="993"/>
      <c r="P319" s="1077"/>
      <c r="Q319" s="656"/>
      <c r="R319" s="656"/>
      <c r="S319" s="656"/>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row>
    <row r="320" spans="1:114" s="6" customFormat="1" hidden="1">
      <c r="A320"/>
      <c r="B320" t="s">
        <v>295</v>
      </c>
      <c r="C320"/>
      <c r="D320"/>
      <c r="E320"/>
      <c r="F320" s="2209"/>
      <c r="G320" s="2209"/>
      <c r="H320" s="2209"/>
      <c r="I320" s="2209"/>
      <c r="J320" s="2209"/>
      <c r="K320" s="2209"/>
      <c r="L320" s="2209"/>
      <c r="M320" s="2209"/>
      <c r="N320" s="2209"/>
      <c r="O320"/>
      <c r="P320" s="1077"/>
      <c r="Q320" s="656"/>
      <c r="R320" s="656"/>
      <c r="S320" s="656"/>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row>
    <row r="321" spans="1:114" s="6" customFormat="1" hidden="1">
      <c r="A321"/>
      <c r="B321"/>
      <c r="C321" t="s">
        <v>169</v>
      </c>
      <c r="D321"/>
      <c r="E321" s="3611" t="s">
        <v>2812</v>
      </c>
      <c r="F321" s="993"/>
      <c r="G321" s="993"/>
      <c r="H321" s="993"/>
      <c r="I321" s="993"/>
      <c r="J321" s="993"/>
      <c r="K321" s="993"/>
      <c r="L321" s="993"/>
      <c r="M321" s="993"/>
      <c r="N321" s="993"/>
      <c r="O321"/>
      <c r="P321" s="1077"/>
      <c r="Q321" s="1077"/>
      <c r="R321" s="1077"/>
      <c r="S321" s="1077"/>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row>
    <row r="322" spans="1:114" s="6" customFormat="1" hidden="1">
      <c r="A322"/>
      <c r="B322"/>
      <c r="C322" t="s">
        <v>173</v>
      </c>
      <c r="D322"/>
      <c r="E322" s="3611" t="s">
        <v>2812</v>
      </c>
      <c r="F322" s="993"/>
      <c r="G322" s="993"/>
      <c r="H322" s="993"/>
      <c r="I322" s="993"/>
      <c r="J322" s="993"/>
      <c r="K322" s="993"/>
      <c r="L322" s="993"/>
      <c r="M322" s="993"/>
      <c r="N322" s="993"/>
      <c r="O322"/>
      <c r="P322" s="1077"/>
      <c r="Q322" s="1077"/>
      <c r="R322" s="1077"/>
      <c r="S322" s="1077"/>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row>
    <row r="323" spans="1:114" s="6" customFormat="1" hidden="1">
      <c r="A323"/>
      <c r="B323"/>
      <c r="C323" t="s">
        <v>294</v>
      </c>
      <c r="D323"/>
      <c r="E323" s="3611" t="s">
        <v>2812</v>
      </c>
      <c r="F323" s="993"/>
      <c r="G323" s="993"/>
      <c r="H323" s="993"/>
      <c r="I323" s="993"/>
      <c r="J323" s="993"/>
      <c r="K323" s="993"/>
      <c r="L323" s="993"/>
      <c r="M323" s="993"/>
      <c r="N323" s="993"/>
      <c r="O323"/>
      <c r="P323" s="1077"/>
      <c r="Q323" s="1077"/>
      <c r="R323" s="1077"/>
      <c r="S323" s="1077"/>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row>
    <row r="324" spans="1:114" s="6" customFormat="1" hidden="1">
      <c r="A324"/>
      <c r="B324"/>
      <c r="C324"/>
      <c r="D324"/>
      <c r="E324"/>
      <c r="F324"/>
      <c r="G324"/>
      <c r="H324"/>
      <c r="I324"/>
      <c r="J324"/>
      <c r="K324"/>
      <c r="L324"/>
      <c r="M324"/>
      <c r="N324"/>
      <c r="O324"/>
      <c r="P324" s="1077"/>
      <c r="Q324" s="1077"/>
      <c r="R324" s="1077"/>
      <c r="S324" s="1077"/>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row>
    <row r="325" spans="1:114" s="6" customFormat="1" hidden="1">
      <c r="A325"/>
      <c r="B325" t="s">
        <v>296</v>
      </c>
      <c r="C325"/>
      <c r="D325"/>
      <c r="E325"/>
      <c r="F325" s="2209"/>
      <c r="G325" s="2209"/>
      <c r="H325" s="2209"/>
      <c r="I325" s="2209"/>
      <c r="J325" s="2209"/>
      <c r="K325" s="2209"/>
      <c r="L325" s="2209"/>
      <c r="M325" s="2209"/>
      <c r="N325" s="2209"/>
      <c r="O325"/>
      <c r="P325" s="1077"/>
      <c r="Q325" s="1077"/>
      <c r="R325" s="1077"/>
      <c r="S325" s="1077"/>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row>
    <row r="326" spans="1:114" s="6" customFormat="1" hidden="1">
      <c r="A326"/>
      <c r="B326"/>
      <c r="C326" t="s">
        <v>169</v>
      </c>
      <c r="D326"/>
      <c r="E326" s="3611" t="s">
        <v>2812</v>
      </c>
      <c r="F326" s="993"/>
      <c r="G326" s="993"/>
      <c r="H326" s="993"/>
      <c r="I326" s="993"/>
      <c r="J326" s="993"/>
      <c r="K326" s="993"/>
      <c r="L326" s="993"/>
      <c r="M326" s="993"/>
      <c r="N326" s="993"/>
      <c r="O326"/>
      <c r="P326" s="1077"/>
      <c r="Q326" s="1077"/>
      <c r="R326" s="1077"/>
      <c r="S326" s="1077"/>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row>
    <row r="327" spans="1:114" s="6" customFormat="1" hidden="1">
      <c r="A327"/>
      <c r="B327"/>
      <c r="C327" t="s">
        <v>173</v>
      </c>
      <c r="D327"/>
      <c r="E327" s="3611" t="s">
        <v>2812</v>
      </c>
      <c r="F327" s="993"/>
      <c r="G327" s="993"/>
      <c r="H327" s="993"/>
      <c r="I327" s="993"/>
      <c r="J327" s="993"/>
      <c r="K327" s="993"/>
      <c r="L327" s="993"/>
      <c r="M327" s="993"/>
      <c r="N327" s="993"/>
      <c r="O327"/>
      <c r="P327" s="1077"/>
      <c r="Q327" s="1077"/>
      <c r="R327" s="1077"/>
      <c r="S327" s="107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row>
    <row r="328" spans="1:114" s="6" customFormat="1" hidden="1">
      <c r="A328"/>
      <c r="B328"/>
      <c r="C328" t="s">
        <v>294</v>
      </c>
      <c r="D328"/>
      <c r="E328" s="3611" t="s">
        <v>2812</v>
      </c>
      <c r="F328" s="993"/>
      <c r="G328" s="993"/>
      <c r="H328" s="993"/>
      <c r="I328" s="993"/>
      <c r="J328" s="993"/>
      <c r="K328" s="993"/>
      <c r="L328" s="993"/>
      <c r="M328" s="993"/>
      <c r="N328" s="993"/>
      <c r="O328"/>
      <c r="P328" s="1077"/>
      <c r="Q328" s="1077"/>
      <c r="R328" s="1077"/>
      <c r="S328" s="1077"/>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row>
    <row r="329" spans="1:114" s="6" customFormat="1" hidden="1">
      <c r="A329"/>
      <c r="P329" s="1077"/>
      <c r="Q329" s="1077"/>
      <c r="R329" s="1077"/>
      <c r="S329" s="1077"/>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row>
    <row r="330" spans="1:114" s="6" customFormat="1">
      <c r="A330"/>
      <c r="B330"/>
      <c r="C330"/>
      <c r="D330"/>
      <c r="E330"/>
      <c r="F330"/>
      <c r="G330"/>
      <c r="H330"/>
      <c r="I330"/>
      <c r="J330"/>
      <c r="K330"/>
      <c r="L330"/>
      <c r="M330"/>
      <c r="N330"/>
      <c r="O330"/>
      <c r="P330" s="1077"/>
      <c r="Q330" s="1077"/>
      <c r="R330" s="1077"/>
      <c r="S330" s="1077"/>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row>
    <row r="331" spans="1:114" s="6" customFormat="1" ht="15.75">
      <c r="A331"/>
      <c r="B331" s="511" t="s">
        <v>299</v>
      </c>
      <c r="C331" s="512"/>
      <c r="D331" s="512"/>
      <c r="E331" s="512"/>
      <c r="F331" s="512"/>
      <c r="G331" s="512"/>
      <c r="H331" s="512"/>
      <c r="I331" s="512"/>
      <c r="J331" s="512"/>
      <c r="K331" s="512"/>
      <c r="L331" s="512"/>
      <c r="M331" s="512"/>
      <c r="N331" s="512"/>
      <c r="O331" s="512"/>
      <c r="P331" s="1077"/>
      <c r="Q331" s="1077"/>
      <c r="R331" s="1077"/>
      <c r="S331" s="1077"/>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row>
    <row r="332" spans="1:114" s="6" customFormat="1">
      <c r="A332"/>
      <c r="B332" s="514"/>
      <c r="C332" s="515"/>
      <c r="D332" s="515"/>
      <c r="E332" s="515"/>
      <c r="F332" s="515"/>
      <c r="G332" s="515"/>
      <c r="H332" s="515"/>
      <c r="I332" s="515"/>
      <c r="J332" s="515"/>
      <c r="K332" s="515"/>
      <c r="L332" s="515"/>
      <c r="M332" s="515"/>
      <c r="N332" s="515"/>
      <c r="O332" s="867"/>
      <c r="P332" s="2210"/>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row>
    <row r="333" spans="1:114" s="6" customFormat="1">
      <c r="A333"/>
      <c r="B333" s="514"/>
      <c r="C333" s="34" t="s">
        <v>765</v>
      </c>
      <c r="D333" s="515"/>
      <c r="E333" s="515"/>
      <c r="F333" s="515"/>
      <c r="G333" s="515"/>
      <c r="H333" s="515"/>
      <c r="I333" s="515"/>
      <c r="J333" s="515"/>
      <c r="K333" s="515"/>
      <c r="L333" s="515"/>
      <c r="M333" s="515"/>
      <c r="N333" s="516" t="str">
        <f>Preferences.EnergyUnits</f>
        <v>TWh</v>
      </c>
      <c r="O333" s="867"/>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row>
    <row r="334" spans="1:114" s="6" customFormat="1">
      <c r="A334"/>
      <c r="B334" s="514"/>
      <c r="C334" s="515"/>
      <c r="D334" s="515"/>
      <c r="E334" s="515"/>
      <c r="F334" s="515"/>
      <c r="G334" s="515"/>
      <c r="H334" s="515"/>
      <c r="I334" s="515"/>
      <c r="J334" s="515"/>
      <c r="K334" s="515"/>
      <c r="L334" s="515"/>
      <c r="M334" s="515"/>
      <c r="N334" s="515"/>
      <c r="O334" s="867"/>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row>
    <row r="335" spans="1:114" s="6" customFormat="1" ht="15.75">
      <c r="A335"/>
      <c r="B335" s="15"/>
      <c r="C335" s="1741" t="s">
        <v>28</v>
      </c>
      <c r="D335" s="1741" t="s">
        <v>29</v>
      </c>
      <c r="E335" s="1741" t="s">
        <v>30</v>
      </c>
      <c r="F335" s="1741" t="s">
        <v>597</v>
      </c>
      <c r="G335" s="1741" t="s">
        <v>133</v>
      </c>
      <c r="H335" s="1741" t="s">
        <v>134</v>
      </c>
      <c r="I335" s="1741" t="s">
        <v>135</v>
      </c>
      <c r="J335" s="1741" t="s">
        <v>136</v>
      </c>
      <c r="K335" s="1741" t="s">
        <v>137</v>
      </c>
      <c r="L335" s="1741" t="s">
        <v>138</v>
      </c>
      <c r="M335" s="1741" t="s">
        <v>139</v>
      </c>
      <c r="N335" s="1741" t="s">
        <v>140</v>
      </c>
      <c r="O335" s="874"/>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row>
    <row r="336" spans="1:114" s="6" customFormat="1">
      <c r="A336"/>
      <c r="B336" s="2211"/>
      <c r="C336" s="725" t="s">
        <v>97</v>
      </c>
      <c r="D336" s="1746" t="str">
        <f>INDEX(Vectors[Description], MATCH([Vector], Vectors[Code], 0))</f>
        <v>Electricity (supplied to grid)</v>
      </c>
      <c r="E336" s="725"/>
      <c r="F336" s="2218">
        <f t="shared" ref="F336:N336" ca="1" si="66">F$235+F$254+F$264</f>
        <v>19.080008949093042</v>
      </c>
      <c r="G336" s="2218">
        <f t="shared" ca="1" si="66"/>
        <v>18.970335288333835</v>
      </c>
      <c r="H336" s="2218">
        <f t="shared" ca="1" si="66"/>
        <v>14.050931397476216</v>
      </c>
      <c r="I336" s="2218">
        <f t="shared" ca="1" si="66"/>
        <v>7.7290717277325456</v>
      </c>
      <c r="J336" s="2218">
        <f t="shared" ca="1" si="66"/>
        <v>1.2272399999999999</v>
      </c>
      <c r="K336" s="2218">
        <f t="shared" ca="1" si="66"/>
        <v>7.2231840000000007</v>
      </c>
      <c r="L336" s="2218">
        <f t="shared" ca="1" si="66"/>
        <v>7.7140800000000009</v>
      </c>
      <c r="M336" s="2218">
        <f t="shared" ca="1" si="66"/>
        <v>7.7140800000000009</v>
      </c>
      <c r="N336" s="2218">
        <f t="shared" ca="1" si="66"/>
        <v>7.7140800000000009</v>
      </c>
      <c r="O336" s="2212"/>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row>
    <row r="337" spans="1:114" s="6" customFormat="1">
      <c r="A337"/>
      <c r="B337" s="2211"/>
      <c r="C337" s="725" t="s">
        <v>98</v>
      </c>
      <c r="D337" s="1746" t="str">
        <f>INDEX(Vectors[Description], MATCH([Vector], Vectors[Code], 0))</f>
        <v>Solid hydrocarbons</v>
      </c>
      <c r="E337" s="725"/>
      <c r="F337" s="2218">
        <f t="shared" ref="F337:N337" ca="1" si="67">-F$258</f>
        <v>-19.930507628592196</v>
      </c>
      <c r="G337" s="2218">
        <f t="shared" ca="1" si="67"/>
        <v>-20.542670935872795</v>
      </c>
      <c r="H337" s="2218">
        <f t="shared" ca="1" si="67"/>
        <v>-13.041880794577088</v>
      </c>
      <c r="I337" s="2218">
        <f t="shared" ca="1" si="67"/>
        <v>-7.1740178123657694</v>
      </c>
      <c r="J337" s="2218">
        <f t="shared" ca="1" si="67"/>
        <v>-3.6115919999999999</v>
      </c>
      <c r="K337" s="2218">
        <f t="shared" ca="1" si="67"/>
        <v>-21.256798628571431</v>
      </c>
      <c r="L337" s="2218">
        <f t="shared" ca="1" si="67"/>
        <v>-22.701435428571433</v>
      </c>
      <c r="M337" s="2218">
        <f t="shared" ca="1" si="67"/>
        <v>-22.701435428571433</v>
      </c>
      <c r="N337" s="2218">
        <f t="shared" ca="1" si="67"/>
        <v>-22.701435428571433</v>
      </c>
      <c r="O337" s="2212"/>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row>
    <row r="338" spans="1:114" s="6" customFormat="1">
      <c r="A338"/>
      <c r="B338" s="2211"/>
      <c r="C338" s="725" t="s">
        <v>99</v>
      </c>
      <c r="D338" s="1746" t="str">
        <f>INDEX(Vectors[Description], MATCH([Vector], Vectors[Code], 0))</f>
        <v>Liquid hydrocarbons</v>
      </c>
      <c r="E338" s="725"/>
      <c r="F338" s="2218">
        <f t="shared" ref="F338:N338" si="68">-F$239</f>
        <v>-2.6999280000000003</v>
      </c>
      <c r="G338" s="2218">
        <f t="shared" si="68"/>
        <v>0</v>
      </c>
      <c r="H338" s="2218">
        <f t="shared" si="68"/>
        <v>0</v>
      </c>
      <c r="I338" s="2218">
        <f t="shared" si="68"/>
        <v>0</v>
      </c>
      <c r="J338" s="2218">
        <f t="shared" si="68"/>
        <v>0</v>
      </c>
      <c r="K338" s="2218">
        <f t="shared" si="68"/>
        <v>0</v>
      </c>
      <c r="L338" s="2218">
        <f t="shared" si="68"/>
        <v>0</v>
      </c>
      <c r="M338" s="2218">
        <f t="shared" si="68"/>
        <v>0</v>
      </c>
      <c r="N338" s="2218">
        <f t="shared" si="68"/>
        <v>0</v>
      </c>
      <c r="O338" s="2212"/>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row>
    <row r="339" spans="1:114" s="6" customFormat="1">
      <c r="A339"/>
      <c r="B339" s="2211"/>
      <c r="C339" s="725" t="s">
        <v>100</v>
      </c>
      <c r="D339" s="1746" t="str">
        <f>INDEX(Vectors[Description], MATCH([Vector], Vectors[Code], 0))</f>
        <v>Gaseous hydrocarbons</v>
      </c>
      <c r="E339" s="725"/>
      <c r="F339" s="2218">
        <f t="shared" ref="F339:N339" ca="1" si="69">-F$268</f>
        <v>-23.361847793789565</v>
      </c>
      <c r="G339" s="2218">
        <f t="shared" ca="1" si="69"/>
        <v>-24.085043155421804</v>
      </c>
      <c r="H339" s="2218">
        <f t="shared" ca="1" si="69"/>
        <v>-17.839288759972622</v>
      </c>
      <c r="I339" s="2218">
        <f t="shared" ca="1" si="69"/>
        <v>-9.8129539243446295</v>
      </c>
      <c r="J339" s="2218">
        <f t="shared" ca="1" si="69"/>
        <v>0</v>
      </c>
      <c r="K339" s="2218">
        <f t="shared" ca="1" si="69"/>
        <v>0</v>
      </c>
      <c r="L339" s="2218">
        <f t="shared" ca="1" si="69"/>
        <v>0</v>
      </c>
      <c r="M339" s="2218">
        <f t="shared" ca="1" si="69"/>
        <v>0</v>
      </c>
      <c r="N339" s="2218">
        <f t="shared" ca="1" si="69"/>
        <v>0</v>
      </c>
      <c r="O339" s="2212"/>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row>
    <row r="340" spans="1:114">
      <c r="B340" s="2211"/>
      <c r="C340" s="725" t="s">
        <v>104</v>
      </c>
      <c r="D340" s="1746" t="str">
        <f>INDEX(Vectors[Description], MATCH([Vector], Vectors[Code], 0))</f>
        <v>Conversion losses</v>
      </c>
      <c r="E340" s="725"/>
      <c r="F340" s="2218">
        <f t="shared" ref="F340:N340" ca="1" si="70">(F$258+F$268)-(F$256+F$266)+(F$239-F$237)</f>
        <v>26.354136447219844</v>
      </c>
      <c r="G340" s="2218">
        <f t="shared" ca="1" si="70"/>
        <v>25.218139075050768</v>
      </c>
      <c r="H340" s="2218">
        <f t="shared" ca="1" si="70"/>
        <v>16.504902458462784</v>
      </c>
      <c r="I340" s="2218">
        <f t="shared" ca="1" si="70"/>
        <v>9.0789408439928323</v>
      </c>
      <c r="J340" s="2218">
        <f t="shared" ca="1" si="70"/>
        <v>2.3475348</v>
      </c>
      <c r="K340" s="2218">
        <f t="shared" ca="1" si="70"/>
        <v>13.81691910857143</v>
      </c>
      <c r="L340" s="2218">
        <f t="shared" ca="1" si="70"/>
        <v>14.755933028571432</v>
      </c>
      <c r="M340" s="2218">
        <f t="shared" ca="1" si="70"/>
        <v>14.755933028571432</v>
      </c>
      <c r="N340" s="2218">
        <f t="shared" ca="1" si="70"/>
        <v>14.755933028571432</v>
      </c>
      <c r="O340" s="2212"/>
    </row>
    <row r="341" spans="1:114">
      <c r="B341" s="2211"/>
      <c r="C341" s="725" t="s">
        <v>454</v>
      </c>
      <c r="D341" s="1746" t="str">
        <f>INDEX(Vectors[Description], MATCH([Vector], Vectors[Code], 0))</f>
        <v>Distribution losses and own use</v>
      </c>
      <c r="E341" s="725"/>
      <c r="F341" s="2218">
        <f t="shared" ref="F341:N341" ca="1" si="71">F$236+F$255+F$265</f>
        <v>0.55813802606887652</v>
      </c>
      <c r="G341" s="2218">
        <f t="shared" ca="1" si="71"/>
        <v>0.43923972790999549</v>
      </c>
      <c r="H341" s="2218">
        <f t="shared" ca="1" si="71"/>
        <v>0.32533569861070855</v>
      </c>
      <c r="I341" s="2218">
        <f t="shared" ca="1" si="71"/>
        <v>0.17895916498502001</v>
      </c>
      <c r="J341" s="2218">
        <f t="shared" ca="1" si="71"/>
        <v>3.6817199999999994E-2</v>
      </c>
      <c r="K341" s="2218">
        <f t="shared" ca="1" si="71"/>
        <v>0.21669552</v>
      </c>
      <c r="L341" s="2218">
        <f t="shared" ca="1" si="71"/>
        <v>0.23142240000000003</v>
      </c>
      <c r="M341" s="2218">
        <f t="shared" ca="1" si="71"/>
        <v>0.23142240000000003</v>
      </c>
      <c r="N341" s="2218">
        <f t="shared" ca="1" si="71"/>
        <v>0.23142240000000003</v>
      </c>
      <c r="O341" s="2212"/>
    </row>
    <row r="342" spans="1:114">
      <c r="B342" s="2211"/>
      <c r="C342" s="517" t="s">
        <v>59</v>
      </c>
      <c r="D342" s="517"/>
      <c r="E342" s="517"/>
      <c r="F342" s="2430">
        <f ca="1">SUBTOTAL(109,I.a.Outputs[2013])</f>
        <v>1.8873791418627661E-15</v>
      </c>
      <c r="G342" s="2430">
        <f ca="1">SUBTOTAL(109,I.a.Outputs[2015])</f>
        <v>-4.9960036108132044E-16</v>
      </c>
      <c r="H342" s="2430">
        <f ca="1">SUBTOTAL(109,I.a.Outputs[2020])</f>
        <v>-2.886579864025407E-15</v>
      </c>
      <c r="I342" s="2430">
        <f ca="1">SUBTOTAL(109,I.a.Outputs[2025])</f>
        <v>0</v>
      </c>
      <c r="J342" s="2430">
        <f ca="1">SUBTOTAL(109,I.a.Outputs[2030])</f>
        <v>2.2204460492503131E-16</v>
      </c>
      <c r="K342" s="2430">
        <f ca="1">SUBTOTAL(109,I.a.Outputs[2035])</f>
        <v>-1.8041124150158794E-15</v>
      </c>
      <c r="L342" s="2430">
        <f ca="1">SUBTOTAL(109,I.a.Outputs[2040])</f>
        <v>4.4408920985006262E-16</v>
      </c>
      <c r="M342" s="2430">
        <f ca="1">SUBTOTAL(109,I.a.Outputs[2045])</f>
        <v>4.4408920985006262E-16</v>
      </c>
      <c r="N342" s="2430">
        <f ca="1">SUBTOTAL(109,I.a.Outputs[2050])</f>
        <v>4.4408920985006262E-16</v>
      </c>
      <c r="O342" s="2212"/>
    </row>
    <row r="343" spans="1:114">
      <c r="B343" s="2213"/>
      <c r="C343" s="869"/>
      <c r="D343" s="869"/>
      <c r="E343" s="869"/>
      <c r="F343" s="869"/>
      <c r="G343" s="869"/>
      <c r="H343" s="869"/>
      <c r="I343" s="869"/>
      <c r="J343" s="869"/>
      <c r="K343" s="869"/>
      <c r="L343" s="869"/>
      <c r="M343" s="869"/>
      <c r="N343" s="869"/>
      <c r="O343" s="2214">
        <v>0</v>
      </c>
    </row>
    <row r="345" spans="1:114" ht="15.75">
      <c r="B345" s="1127" t="s">
        <v>303</v>
      </c>
      <c r="C345" s="1128"/>
      <c r="D345" s="1129"/>
      <c r="E345" s="1129"/>
      <c r="F345" s="1129"/>
      <c r="G345" s="1129"/>
      <c r="H345" s="1129"/>
      <c r="I345" s="1129"/>
      <c r="J345" s="1129"/>
      <c r="K345" s="1129"/>
      <c r="L345" s="1129"/>
      <c r="M345" s="1129"/>
      <c r="N345" s="1129"/>
      <c r="O345" s="1130"/>
    </row>
    <row r="346" spans="1:114">
      <c r="B346" s="1131"/>
      <c r="C346" s="1132"/>
      <c r="D346" s="1132"/>
      <c r="E346" s="1132"/>
      <c r="F346" s="1132"/>
      <c r="G346" s="1132"/>
      <c r="H346" s="1132"/>
      <c r="I346" s="1132"/>
      <c r="J346" s="1132"/>
      <c r="K346" s="1132"/>
      <c r="L346" s="1132"/>
      <c r="M346" s="1132"/>
      <c r="N346" s="1132"/>
      <c r="O346" s="1133"/>
    </row>
    <row r="347" spans="1:114">
      <c r="B347" s="1134"/>
      <c r="C347" s="462" t="s">
        <v>851</v>
      </c>
      <c r="D347" s="1135"/>
      <c r="E347" s="1136"/>
      <c r="F347" s="1135"/>
      <c r="G347" s="1135"/>
      <c r="H347" s="1135"/>
      <c r="I347" s="1135"/>
      <c r="J347" s="1135"/>
      <c r="K347" s="1135"/>
      <c r="L347" s="1135"/>
      <c r="M347" s="1135"/>
      <c r="N347" s="1137" t="s">
        <v>852</v>
      </c>
      <c r="O347" s="1138"/>
    </row>
    <row r="348" spans="1:114">
      <c r="B348" s="1134"/>
      <c r="C348" s="1135"/>
      <c r="D348" s="1135"/>
      <c r="E348" s="1135"/>
      <c r="F348" s="1135"/>
      <c r="G348" s="1135"/>
      <c r="H348" s="1135"/>
      <c r="I348" s="1135"/>
      <c r="J348" s="1135"/>
      <c r="K348" s="1135"/>
      <c r="L348" s="1135"/>
      <c r="M348" s="1135"/>
      <c r="N348" s="1135"/>
      <c r="O348" s="1138"/>
    </row>
    <row r="349" spans="1:114" ht="15.75">
      <c r="B349" s="467"/>
      <c r="C349" s="1339" t="s">
        <v>305</v>
      </c>
      <c r="D349" s="1339" t="s">
        <v>306</v>
      </c>
      <c r="E349" s="1339" t="s">
        <v>30</v>
      </c>
      <c r="F349" s="1339" t="s">
        <v>597</v>
      </c>
      <c r="G349" s="1339" t="s">
        <v>133</v>
      </c>
      <c r="H349" s="1339" t="s">
        <v>134</v>
      </c>
      <c r="I349" s="1339" t="s">
        <v>135</v>
      </c>
      <c r="J349" s="1339" t="s">
        <v>136</v>
      </c>
      <c r="K349" s="1339" t="s">
        <v>137</v>
      </c>
      <c r="L349" s="1339" t="s">
        <v>138</v>
      </c>
      <c r="M349" s="1339" t="s">
        <v>139</v>
      </c>
      <c r="N349" s="1339" t="s">
        <v>140</v>
      </c>
      <c r="O349" s="1138"/>
    </row>
    <row r="350" spans="1:114" ht="15.75">
      <c r="B350" s="467"/>
      <c r="C350" s="1140" t="s">
        <v>253</v>
      </c>
      <c r="D350" s="1141" t="s">
        <v>307</v>
      </c>
      <c r="E350" s="1140"/>
      <c r="F350" s="2799">
        <f t="shared" ref="F350:N350" ca="1" si="72">F$271</f>
        <v>12.560557624924739</v>
      </c>
      <c r="G350" s="2799">
        <f t="shared" ca="1" si="72"/>
        <v>12.213168093798341</v>
      </c>
      <c r="H350" s="2799">
        <f t="shared" ca="1" si="72"/>
        <v>8.2754732511860816</v>
      </c>
      <c r="I350" s="2799">
        <f t="shared" ca="1" si="72"/>
        <v>4.5521342699629068</v>
      </c>
      <c r="J350" s="2799">
        <f t="shared" ca="1" si="72"/>
        <v>1.2803220768038401</v>
      </c>
      <c r="K350" s="2799">
        <f t="shared" ca="1" si="72"/>
        <v>7.5356099377597463</v>
      </c>
      <c r="L350" s="2799">
        <f t="shared" ca="1" si="72"/>
        <v>8.0477387684812829</v>
      </c>
      <c r="M350" s="2799">
        <f t="shared" ca="1" si="72"/>
        <v>8.0477387684812829</v>
      </c>
      <c r="N350" s="2799">
        <f t="shared" ca="1" si="72"/>
        <v>8.0477387684812829</v>
      </c>
      <c r="O350" s="1138"/>
    </row>
    <row r="351" spans="1:114" ht="15.75">
      <c r="B351" s="467"/>
      <c r="C351" s="1140" t="s">
        <v>255</v>
      </c>
      <c r="D351" s="1141" t="s">
        <v>307</v>
      </c>
      <c r="E351" s="1140"/>
      <c r="F351" s="2799">
        <f t="shared" ref="F351:N351" ca="1" si="73">F$272</f>
        <v>3.5386940736861008E-3</v>
      </c>
      <c r="G351" s="2799">
        <f t="shared" ca="1" si="73"/>
        <v>3.0166592230689159E-3</v>
      </c>
      <c r="H351" s="2799">
        <f t="shared" ca="1" si="73"/>
        <v>2.1078441950678518E-3</v>
      </c>
      <c r="I351" s="2799">
        <f t="shared" ca="1" si="73"/>
        <v>1.1594732415738903E-3</v>
      </c>
      <c r="J351" s="2799">
        <f t="shared" ca="1" si="73"/>
        <v>2.1023799350400002E-4</v>
      </c>
      <c r="K351" s="2799">
        <f t="shared" ca="1" si="73"/>
        <v>1.2374007617664002E-3</v>
      </c>
      <c r="L351" s="2799">
        <f t="shared" ca="1" si="73"/>
        <v>1.3214959591680005E-3</v>
      </c>
      <c r="M351" s="2799">
        <f t="shared" ca="1" si="73"/>
        <v>1.3214959591680005E-3</v>
      </c>
      <c r="N351" s="2799">
        <f t="shared" ca="1" si="73"/>
        <v>1.3214959591680005E-3</v>
      </c>
      <c r="O351" s="1138"/>
    </row>
    <row r="352" spans="1:114" ht="15.75">
      <c r="B352" s="467"/>
      <c r="C352" s="1140" t="s">
        <v>256</v>
      </c>
      <c r="D352" s="1141" t="s">
        <v>307</v>
      </c>
      <c r="E352" s="1140"/>
      <c r="F352" s="2799">
        <f t="shared" ref="F352:N352" ca="1" si="74">F$273</f>
        <v>8.9649501571050436E-2</v>
      </c>
      <c r="G352" s="2799">
        <f t="shared" ca="1" si="74"/>
        <v>9.0557925088645852E-2</v>
      </c>
      <c r="H352" s="2799">
        <f t="shared" ca="1" si="74"/>
        <v>6.5740180574486815E-2</v>
      </c>
      <c r="I352" s="2799">
        <f t="shared" ca="1" si="74"/>
        <v>3.6162056213979069E-2</v>
      </c>
      <c r="J352" s="2799">
        <f t="shared" ca="1" si="74"/>
        <v>2.2167951696E-3</v>
      </c>
      <c r="K352" s="2799">
        <f t="shared" ca="1" si="74"/>
        <v>1.3047422998217146E-2</v>
      </c>
      <c r="L352" s="2799">
        <f t="shared" ca="1" si="74"/>
        <v>1.3934141066057146E-2</v>
      </c>
      <c r="M352" s="2799">
        <f t="shared" ca="1" si="74"/>
        <v>1.3934141066057146E-2</v>
      </c>
      <c r="N352" s="2799">
        <f t="shared" ca="1" si="74"/>
        <v>1.3934141066057146E-2</v>
      </c>
      <c r="O352" s="1138"/>
    </row>
    <row r="353" spans="2:15" ht="15.75">
      <c r="B353" s="467"/>
      <c r="C353" s="2431" t="s">
        <v>59</v>
      </c>
      <c r="D353" s="2431"/>
      <c r="E353" s="2431"/>
      <c r="F353" s="2432">
        <f ca="1">SUBTOTAL(109,I.a.Emissions[2013])</f>
        <v>12.653745820569476</v>
      </c>
      <c r="G353" s="2432">
        <f ca="1">SUBTOTAL(109,I.a.Emissions[2015])</f>
        <v>12.306742678110057</v>
      </c>
      <c r="H353" s="2432">
        <f ca="1">SUBTOTAL(109,I.a.Emissions[2020])</f>
        <v>8.3433212759556366</v>
      </c>
      <c r="I353" s="2432">
        <f ca="1">SUBTOTAL(109,I.a.Emissions[2025])</f>
        <v>4.5894557994184604</v>
      </c>
      <c r="J353" s="2432">
        <f ca="1">SUBTOTAL(109,I.a.Emissions[2030])</f>
        <v>1.2827491099669441</v>
      </c>
      <c r="K353" s="2432">
        <f ca="1">SUBTOTAL(109,I.a.Emissions[2035])</f>
        <v>7.54989476151973</v>
      </c>
      <c r="L353" s="2432">
        <f ca="1">SUBTOTAL(109,I.a.Emissions[2040])</f>
        <v>8.0629944055065081</v>
      </c>
      <c r="M353" s="2432">
        <f ca="1">SUBTOTAL(109,I.a.Emissions[2045])</f>
        <v>8.0629944055065081</v>
      </c>
      <c r="N353" s="2432">
        <f ca="1">SUBTOTAL(109,I.a.Emissions[2050])</f>
        <v>8.0629944055065081</v>
      </c>
      <c r="O353" s="1138"/>
    </row>
    <row r="354" spans="2:15">
      <c r="B354" s="477"/>
      <c r="C354" s="477"/>
      <c r="D354" s="477"/>
      <c r="E354" s="477"/>
      <c r="F354" s="477" t="s">
        <v>5</v>
      </c>
      <c r="G354" s="477"/>
      <c r="H354" s="477"/>
      <c r="I354" s="477"/>
      <c r="J354" s="477"/>
      <c r="K354" s="477"/>
      <c r="L354" s="477"/>
      <c r="M354" s="477"/>
      <c r="N354" s="477"/>
      <c r="O354" s="477"/>
    </row>
    <row r="355" spans="2:15">
      <c r="B355" s="477"/>
      <c r="C355" s="475" t="s">
        <v>853</v>
      </c>
      <c r="D355" s="1140"/>
      <c r="E355" s="1140"/>
      <c r="F355" s="1142"/>
      <c r="G355" s="1142"/>
      <c r="H355" s="1142"/>
      <c r="I355" s="1142"/>
      <c r="J355" s="1142"/>
      <c r="K355" s="1142"/>
      <c r="L355" s="1142"/>
      <c r="M355" s="1142"/>
      <c r="N355" s="1143" t="s">
        <v>850</v>
      </c>
      <c r="O355" s="477"/>
    </row>
    <row r="356" spans="2:15">
      <c r="B356" s="477"/>
      <c r="C356" s="477"/>
      <c r="D356" s="477"/>
      <c r="E356" s="477"/>
      <c r="F356" s="477"/>
      <c r="G356" s="477"/>
      <c r="H356" s="477"/>
      <c r="I356" s="477"/>
      <c r="J356" s="477"/>
      <c r="K356" s="477"/>
      <c r="L356" s="477"/>
      <c r="M356" s="477"/>
      <c r="N356" s="477"/>
      <c r="O356" s="477"/>
    </row>
    <row r="357" spans="2:15">
      <c r="B357" s="477"/>
      <c r="C357" s="2215" t="s">
        <v>28</v>
      </c>
      <c r="D357" s="2216" t="s">
        <v>29</v>
      </c>
      <c r="E357" s="2216" t="s">
        <v>306</v>
      </c>
      <c r="F357" s="2216" t="s">
        <v>597</v>
      </c>
      <c r="G357" s="2216" t="s">
        <v>133</v>
      </c>
      <c r="H357" s="2216" t="s">
        <v>134</v>
      </c>
      <c r="I357" s="2216" t="s">
        <v>135</v>
      </c>
      <c r="J357" s="2216" t="s">
        <v>136</v>
      </c>
      <c r="K357" s="2216" t="s">
        <v>137</v>
      </c>
      <c r="L357" s="2216" t="s">
        <v>138</v>
      </c>
      <c r="M357" s="2216" t="s">
        <v>139</v>
      </c>
      <c r="N357" s="2217" t="s">
        <v>140</v>
      </c>
      <c r="O357" s="477"/>
    </row>
    <row r="358" spans="2:15">
      <c r="B358" s="477"/>
      <c r="C358" s="3860" t="str">
        <f>INDEX(AirQualityVectors[Code],MATCH(D358,AirQualityVectors[Description],0))</f>
        <v>AQ.01</v>
      </c>
      <c r="D358" s="1145" t="s">
        <v>261</v>
      </c>
      <c r="E358" s="1146" t="s">
        <v>307</v>
      </c>
      <c r="F358" s="2433">
        <f t="shared" ref="F358:N361" ca="1" si="75">F283</f>
        <v>0.47791940158029572</v>
      </c>
      <c r="G358" s="2433">
        <f t="shared" ca="1" si="75"/>
        <v>0.5747660936895943</v>
      </c>
      <c r="H358" s="2433">
        <f t="shared" ca="1" si="75"/>
        <v>0.8596149655800378</v>
      </c>
      <c r="I358" s="2433">
        <f t="shared" ca="1" si="75"/>
        <v>0.20615646228729145</v>
      </c>
      <c r="J358" s="2433">
        <f t="shared" ca="1" si="75"/>
        <v>8.8484004000000019E-2</v>
      </c>
      <c r="K358" s="2433">
        <f t="shared" ca="1" si="75"/>
        <v>0.52079156640000013</v>
      </c>
      <c r="L358" s="2433">
        <f t="shared" ca="1" si="75"/>
        <v>0.55618516800000017</v>
      </c>
      <c r="M358" s="2433">
        <f t="shared" ca="1" si="75"/>
        <v>0.55618516800000017</v>
      </c>
      <c r="N358" s="2433">
        <f t="shared" ca="1" si="75"/>
        <v>0.55618516800000017</v>
      </c>
      <c r="O358" s="477"/>
    </row>
    <row r="359" spans="2:15">
      <c r="B359" s="477"/>
      <c r="C359" s="3339" t="str">
        <f>INDEX(AirQualityVectors[Code],MATCH(D359,AirQualityVectors[Description],0))</f>
        <v>AQ.02</v>
      </c>
      <c r="D359" s="1144" t="s">
        <v>263</v>
      </c>
      <c r="E359" s="1148" t="s">
        <v>307</v>
      </c>
      <c r="F359" s="2434">
        <f t="shared" ca="1" si="75"/>
        <v>17.224523678352281</v>
      </c>
      <c r="G359" s="2434">
        <f t="shared" ca="1" si="75"/>
        <v>11.286127675172452</v>
      </c>
      <c r="H359" s="2434">
        <f t="shared" ca="1" si="75"/>
        <v>6.143064359093442</v>
      </c>
      <c r="I359" s="2434">
        <f t="shared" ca="1" si="75"/>
        <v>3.44598392013439</v>
      </c>
      <c r="J359" s="2434">
        <f t="shared" ca="1" si="75"/>
        <v>1.1087587440000002</v>
      </c>
      <c r="K359" s="2434">
        <f t="shared" ca="1" si="75"/>
        <v>6.5258371789714289</v>
      </c>
      <c r="L359" s="2434">
        <f t="shared" ca="1" si="75"/>
        <v>6.9693406765714299</v>
      </c>
      <c r="M359" s="2434">
        <f t="shared" ca="1" si="75"/>
        <v>6.9693406765714299</v>
      </c>
      <c r="N359" s="2434">
        <f t="shared" ca="1" si="75"/>
        <v>6.9693406765714299</v>
      </c>
      <c r="O359" s="477"/>
    </row>
    <row r="360" spans="2:15">
      <c r="B360" s="477"/>
      <c r="C360" s="3339" t="str">
        <f>INDEX(AirQualityVectors[Code],MATCH(D360,AirQualityVectors[Description],0))</f>
        <v>AQ.03</v>
      </c>
      <c r="D360" s="1144" t="s">
        <v>265</v>
      </c>
      <c r="E360" s="1148" t="s">
        <v>307</v>
      </c>
      <c r="F360" s="2434">
        <f t="shared" ca="1" si="75"/>
        <v>9.5058744672962217</v>
      </c>
      <c r="G360" s="2434">
        <f t="shared" ca="1" si="75"/>
        <v>4.5863692683901451</v>
      </c>
      <c r="H360" s="2434">
        <f t="shared" ca="1" si="75"/>
        <v>0.96665239287959215</v>
      </c>
      <c r="I360" s="2434">
        <f t="shared" ca="1" si="75"/>
        <v>0.28168878040926904</v>
      </c>
      <c r="J360" s="2434">
        <f t="shared" ca="1" si="75"/>
        <v>0.130260748361606</v>
      </c>
      <c r="K360" s="2434">
        <f t="shared" ca="1" si="75"/>
        <v>0.76667754749973815</v>
      </c>
      <c r="L360" s="2434">
        <f t="shared" ca="1" si="75"/>
        <v>0.8187818468443806</v>
      </c>
      <c r="M360" s="2434">
        <f t="shared" ca="1" si="75"/>
        <v>0.8187818468443806</v>
      </c>
      <c r="N360" s="2434">
        <f t="shared" ca="1" si="75"/>
        <v>0.8187818468443806</v>
      </c>
      <c r="O360" s="477"/>
    </row>
    <row r="361" spans="2:15">
      <c r="B361" s="477"/>
      <c r="C361" s="3340" t="str">
        <f>INDEX(AirQualityVectors[Code],MATCH(D361,AirQualityVectors[Description],0))</f>
        <v>AQ.04</v>
      </c>
      <c r="D361" s="1347" t="s">
        <v>267</v>
      </c>
      <c r="E361" s="1348" t="s">
        <v>307</v>
      </c>
      <c r="F361" s="2435">
        <f t="shared" ca="1" si="75"/>
        <v>0.19831897742560523</v>
      </c>
      <c r="G361" s="2435">
        <f t="shared" ca="1" si="75"/>
        <v>0.37167659977226003</v>
      </c>
      <c r="H361" s="2435">
        <f t="shared" ca="1" si="75"/>
        <v>0.83937143533115821</v>
      </c>
      <c r="I361" s="2435">
        <f t="shared" ca="1" si="75"/>
        <v>0.54049207384790054</v>
      </c>
      <c r="J361" s="2435">
        <f t="shared" ca="1" si="75"/>
        <v>0.25124343068439037</v>
      </c>
      <c r="K361" s="2435">
        <f t="shared" ca="1" si="75"/>
        <v>1.4787470491709831</v>
      </c>
      <c r="L361" s="2435">
        <f t="shared" ca="1" si="75"/>
        <v>1.5792444214447394</v>
      </c>
      <c r="M361" s="2435">
        <f t="shared" ca="1" si="75"/>
        <v>1.5792444214447394</v>
      </c>
      <c r="N361" s="2435">
        <f t="shared" ca="1" si="75"/>
        <v>1.5792444214447394</v>
      </c>
      <c r="O361" s="477"/>
    </row>
    <row r="362" spans="2:15" ht="15.75">
      <c r="B362" s="478"/>
      <c r="C362" s="1149"/>
      <c r="D362" s="1149"/>
      <c r="E362" s="1149"/>
      <c r="F362" s="1149"/>
      <c r="G362" s="1149"/>
      <c r="H362" s="1149"/>
      <c r="I362" s="1149"/>
      <c r="J362" s="1149"/>
      <c r="K362" s="1149"/>
      <c r="L362" s="1149"/>
      <c r="M362" s="1149"/>
      <c r="N362" s="1149"/>
      <c r="O362" s="1350"/>
    </row>
    <row r="364" spans="2:15" ht="15.75">
      <c r="B364" s="995" t="s">
        <v>313</v>
      </c>
      <c r="C364" s="996"/>
      <c r="D364" s="997"/>
      <c r="E364" s="997"/>
      <c r="F364" s="997"/>
      <c r="G364" s="997"/>
      <c r="H364" s="997"/>
      <c r="I364" s="997"/>
      <c r="J364" s="997"/>
      <c r="K364" s="997"/>
      <c r="L364" s="997"/>
      <c r="M364" s="997"/>
      <c r="N364" s="997"/>
      <c r="O364" s="998"/>
    </row>
    <row r="365" spans="2:15">
      <c r="B365" s="999"/>
      <c r="C365" s="1000"/>
      <c r="D365" s="1000"/>
      <c r="E365" s="1000"/>
      <c r="F365" s="1000"/>
      <c r="G365" s="1000"/>
      <c r="H365" s="1000"/>
      <c r="I365" s="1000"/>
      <c r="J365" s="1000"/>
      <c r="K365" s="1000"/>
      <c r="L365" s="1000"/>
      <c r="M365" s="1000"/>
      <c r="N365" s="1000"/>
      <c r="O365" s="1001"/>
    </row>
    <row r="366" spans="2:15">
      <c r="B366" s="1002"/>
      <c r="C366" s="488" t="s">
        <v>1765</v>
      </c>
      <c r="D366" s="1003"/>
      <c r="E366" s="1004"/>
      <c r="F366" s="1003"/>
      <c r="G366" s="1003"/>
      <c r="H366" s="1003"/>
      <c r="I366" s="1003"/>
      <c r="J366" s="1003"/>
      <c r="K366" s="1003"/>
      <c r="L366" s="1003"/>
      <c r="M366" s="1003"/>
      <c r="N366" s="1004"/>
      <c r="O366" s="1005"/>
    </row>
    <row r="367" spans="2:15">
      <c r="B367" s="1002"/>
      <c r="C367" s="1003"/>
      <c r="D367" s="1003"/>
      <c r="E367" s="1003"/>
      <c r="F367" s="1003"/>
      <c r="G367" s="1003"/>
      <c r="H367" s="1003"/>
      <c r="I367" s="1003"/>
      <c r="J367" s="1003"/>
      <c r="K367" s="1003"/>
      <c r="L367" s="1003"/>
      <c r="M367" s="1003"/>
      <c r="N367" s="1003"/>
      <c r="O367" s="1005"/>
    </row>
    <row r="368" spans="2:15" ht="15.75">
      <c r="B368" s="492"/>
      <c r="C368" s="1006" t="s">
        <v>28</v>
      </c>
      <c r="D368" s="1006" t="s">
        <v>315</v>
      </c>
      <c r="E368" s="1006" t="s">
        <v>30</v>
      </c>
      <c r="F368" s="1006" t="s">
        <v>597</v>
      </c>
      <c r="G368" s="1006" t="s">
        <v>133</v>
      </c>
      <c r="H368" s="1006" t="s">
        <v>134</v>
      </c>
      <c r="I368" s="1006" t="s">
        <v>135</v>
      </c>
      <c r="J368" s="1006" t="s">
        <v>136</v>
      </c>
      <c r="K368" s="1006" t="s">
        <v>137</v>
      </c>
      <c r="L368" s="1006" t="s">
        <v>138</v>
      </c>
      <c r="M368" s="1006" t="s">
        <v>139</v>
      </c>
      <c r="N368" s="1006" t="s">
        <v>140</v>
      </c>
      <c r="O368" s="1005"/>
    </row>
    <row r="369" spans="1:15" ht="15.75">
      <c r="B369" s="492"/>
      <c r="C369" s="1007" t="s">
        <v>767</v>
      </c>
      <c r="D369" s="3064" t="str">
        <f>INDEX(Vectors[Description], MATCH([Vector], Vectors[Code], 0))</f>
        <v xml:space="preserve">Installed Capacity </v>
      </c>
      <c r="E369" s="494" t="str">
        <f>Preferences.PowerUnits</f>
        <v>GW</v>
      </c>
      <c r="F369" s="2438">
        <f>F292</f>
        <v>1.1000000000000001</v>
      </c>
      <c r="G369" s="2438">
        <f t="shared" ref="G369:N369" si="76">G292</f>
        <v>0.91600000000000004</v>
      </c>
      <c r="H369" s="2438">
        <f t="shared" si="76"/>
        <v>0.32400000000000001</v>
      </c>
      <c r="I369" s="2438">
        <f t="shared" si="76"/>
        <v>0.32400000000000001</v>
      </c>
      <c r="J369" s="2438">
        <f t="shared" si="76"/>
        <v>0.32400000000000001</v>
      </c>
      <c r="K369" s="2438">
        <f t="shared" si="76"/>
        <v>0</v>
      </c>
      <c r="L369" s="2438">
        <f t="shared" si="76"/>
        <v>0</v>
      </c>
      <c r="M369" s="2438">
        <f t="shared" si="76"/>
        <v>0</v>
      </c>
      <c r="N369" s="2438">
        <f t="shared" si="76"/>
        <v>0</v>
      </c>
      <c r="O369" s="1005"/>
    </row>
    <row r="370" spans="1:15" ht="15.75">
      <c r="B370" s="492"/>
      <c r="C370" s="1007" t="s">
        <v>769</v>
      </c>
      <c r="D370" s="3064" t="str">
        <f>INDEX(Vectors[Description], MATCH([Vector], Vectors[Code], 0))</f>
        <v>Load factor</v>
      </c>
      <c r="E370" s="1007" t="s">
        <v>43</v>
      </c>
      <c r="F370" s="2439">
        <f t="shared" ref="F370:N370" si="77">F74</f>
        <v>7.0000000000000007E-2</v>
      </c>
      <c r="G370" s="2439">
        <f t="shared" si="77"/>
        <v>0</v>
      </c>
      <c r="H370" s="2439">
        <f t="shared" si="77"/>
        <v>0</v>
      </c>
      <c r="I370" s="2439">
        <f t="shared" si="77"/>
        <v>0</v>
      </c>
      <c r="J370" s="2439">
        <f t="shared" si="77"/>
        <v>0</v>
      </c>
      <c r="K370" s="2439">
        <f t="shared" si="77"/>
        <v>0</v>
      </c>
      <c r="L370" s="2439">
        <f t="shared" si="77"/>
        <v>0</v>
      </c>
      <c r="M370" s="2439">
        <f t="shared" si="77"/>
        <v>0</v>
      </c>
      <c r="N370" s="2439">
        <f t="shared" si="77"/>
        <v>0</v>
      </c>
      <c r="O370" s="1005"/>
    </row>
    <row r="371" spans="1:15" ht="15.75">
      <c r="B371" s="492"/>
      <c r="C371" s="1007" t="s">
        <v>316</v>
      </c>
      <c r="D371" s="3667" t="str">
        <f>INDEX(Vectors[Description], MATCH([Vector], Vectors[Code], 0))</f>
        <v>Number of thermal power stations</v>
      </c>
      <c r="E371" s="1007" t="s">
        <v>760</v>
      </c>
      <c r="F371" s="2440">
        <f>F369/$F$99</f>
        <v>4.4000000000000004</v>
      </c>
      <c r="G371" s="2440">
        <f t="shared" ref="G371:N371" si="78">G369/$F$99</f>
        <v>3.6640000000000001</v>
      </c>
      <c r="H371" s="2440">
        <f t="shared" si="78"/>
        <v>1.296</v>
      </c>
      <c r="I371" s="2440">
        <f t="shared" si="78"/>
        <v>1.296</v>
      </c>
      <c r="J371" s="2440">
        <f t="shared" si="78"/>
        <v>1.296</v>
      </c>
      <c r="K371" s="2440">
        <f t="shared" si="78"/>
        <v>0</v>
      </c>
      <c r="L371" s="2440">
        <f t="shared" si="78"/>
        <v>0</v>
      </c>
      <c r="M371" s="2440">
        <f t="shared" si="78"/>
        <v>0</v>
      </c>
      <c r="N371" s="2440">
        <f t="shared" si="78"/>
        <v>0</v>
      </c>
      <c r="O371" s="1005"/>
    </row>
    <row r="372" spans="1:15" ht="15.75">
      <c r="B372" s="492"/>
      <c r="C372" s="1003"/>
      <c r="D372" s="1003"/>
      <c r="E372" s="1003"/>
      <c r="F372" s="1003"/>
      <c r="G372" s="1003"/>
      <c r="H372" s="1003"/>
      <c r="I372" s="1003"/>
      <c r="J372" s="1003"/>
      <c r="K372" s="1003"/>
      <c r="L372" s="1003"/>
      <c r="M372" s="1003"/>
      <c r="N372" s="1003"/>
      <c r="O372" s="1005"/>
    </row>
    <row r="373" spans="1:15">
      <c r="B373" s="1002"/>
      <c r="C373" s="488" t="s">
        <v>1766</v>
      </c>
      <c r="D373" s="1003"/>
      <c r="E373" s="1004"/>
      <c r="F373" s="1003"/>
      <c r="G373" s="1003"/>
      <c r="H373" s="1003"/>
      <c r="I373" s="1003"/>
      <c r="J373" s="1003"/>
      <c r="K373" s="1003"/>
      <c r="L373" s="1003"/>
      <c r="M373" s="1003"/>
      <c r="N373" s="1004"/>
      <c r="O373" s="1005"/>
    </row>
    <row r="374" spans="1:15">
      <c r="B374" s="1002"/>
      <c r="C374" s="1003"/>
      <c r="D374" s="1003"/>
      <c r="E374" s="1003"/>
      <c r="F374" s="1003"/>
      <c r="G374" s="1003"/>
      <c r="H374" s="1003"/>
      <c r="I374" s="1003"/>
      <c r="J374" s="1003"/>
      <c r="K374" s="1003"/>
      <c r="L374" s="1003"/>
      <c r="M374" s="1003"/>
      <c r="N374" s="1003"/>
      <c r="O374" s="1005"/>
    </row>
    <row r="375" spans="1:15" ht="15.75">
      <c r="B375" s="492"/>
      <c r="C375" s="1006" t="s">
        <v>28</v>
      </c>
      <c r="D375" s="1006" t="s">
        <v>315</v>
      </c>
      <c r="E375" s="1006" t="s">
        <v>30</v>
      </c>
      <c r="F375" s="1006" t="s">
        <v>597</v>
      </c>
      <c r="G375" s="1006" t="s">
        <v>133</v>
      </c>
      <c r="H375" s="1006" t="s">
        <v>134</v>
      </c>
      <c r="I375" s="1006" t="s">
        <v>135</v>
      </c>
      <c r="J375" s="1006" t="s">
        <v>136</v>
      </c>
      <c r="K375" s="1006" t="s">
        <v>137</v>
      </c>
      <c r="L375" s="1006" t="s">
        <v>138</v>
      </c>
      <c r="M375" s="1006" t="s">
        <v>139</v>
      </c>
      <c r="N375" s="1006" t="s">
        <v>140</v>
      </c>
      <c r="O375" s="1005"/>
    </row>
    <row r="376" spans="1:15" ht="15.75">
      <c r="B376" s="492"/>
      <c r="C376" s="1007" t="s">
        <v>767</v>
      </c>
      <c r="D376" s="3064" t="str">
        <f>INDEX(Vectors[Description], MATCH([Vector], Vectors[Code], 0))</f>
        <v xml:space="preserve">Installed Capacity </v>
      </c>
      <c r="E376" s="494" t="str">
        <f>Preferences.PowerUnits</f>
        <v>GW</v>
      </c>
      <c r="F376" s="2438">
        <f ca="1">F293</f>
        <v>1.216</v>
      </c>
      <c r="G376" s="2438">
        <f t="shared" ref="G376:N376" ca="1" si="79">G293</f>
        <v>1.2009999999999998</v>
      </c>
      <c r="H376" s="2438">
        <f t="shared" ca="1" si="79"/>
        <v>0.91600000000000004</v>
      </c>
      <c r="I376" s="2438">
        <f t="shared" ca="1" si="79"/>
        <v>0.91600000000000004</v>
      </c>
      <c r="J376" s="2438">
        <f t="shared" ca="1" si="79"/>
        <v>0.63100000000000001</v>
      </c>
      <c r="K376" s="2438">
        <f t="shared" ca="1" si="79"/>
        <v>1.2010000000000001</v>
      </c>
      <c r="L376" s="2438">
        <f t="shared" ca="1" si="79"/>
        <v>1.2010000000000001</v>
      </c>
      <c r="M376" s="2438">
        <f t="shared" ca="1" si="79"/>
        <v>1.2010000000000001</v>
      </c>
      <c r="N376" s="2438">
        <f t="shared" ca="1" si="79"/>
        <v>1.2010000000000001</v>
      </c>
      <c r="O376" s="1005"/>
    </row>
    <row r="377" spans="1:15" ht="15.75">
      <c r="B377" s="492"/>
      <c r="C377" s="1007" t="s">
        <v>769</v>
      </c>
      <c r="D377" s="3064" t="str">
        <f>INDEX(Vectors[Description], MATCH([Vector], Vectors[Code], 0))</f>
        <v>Load factor</v>
      </c>
      <c r="E377" s="1007" t="s">
        <v>43</v>
      </c>
      <c r="F377" s="2439">
        <f>F219</f>
        <v>0.80000000000000016</v>
      </c>
      <c r="G377" s="2439">
        <f t="shared" ref="G377:N377" si="80">G219</f>
        <v>0.80000000000000016</v>
      </c>
      <c r="H377" s="2439">
        <f t="shared" si="80"/>
        <v>0.79999999999999993</v>
      </c>
      <c r="I377" s="2439">
        <f t="shared" si="80"/>
        <v>0.79999999999999993</v>
      </c>
      <c r="J377" s="2439">
        <f t="shared" si="80"/>
        <v>0.80000000000000027</v>
      </c>
      <c r="K377" s="2439">
        <f t="shared" si="80"/>
        <v>0.8</v>
      </c>
      <c r="L377" s="2439">
        <f t="shared" si="80"/>
        <v>0.8</v>
      </c>
      <c r="M377" s="2439">
        <f t="shared" si="80"/>
        <v>0.8</v>
      </c>
      <c r="N377" s="2439">
        <f t="shared" si="80"/>
        <v>0.8</v>
      </c>
      <c r="O377" s="1005"/>
    </row>
    <row r="378" spans="1:15" ht="15.75">
      <c r="B378" s="492"/>
      <c r="C378" s="1007" t="s">
        <v>316</v>
      </c>
      <c r="D378" s="3667" t="str">
        <f>INDEX(Vectors[Description], MATCH([Vector], Vectors[Code], 0))</f>
        <v>Number of thermal power stations</v>
      </c>
      <c r="E378" s="1007" t="s">
        <v>760</v>
      </c>
      <c r="F378" s="2440">
        <f ca="1">F376/$F$97</f>
        <v>1.4222222222222223</v>
      </c>
      <c r="G378" s="2440">
        <f t="shared" ref="G378:N378" ca="1" si="81">G376/$F$97</f>
        <v>1.4046783625730992</v>
      </c>
      <c r="H378" s="2440">
        <f t="shared" ca="1" si="81"/>
        <v>1.0713450292397662</v>
      </c>
      <c r="I378" s="2440">
        <f t="shared" ca="1" si="81"/>
        <v>1.0713450292397662</v>
      </c>
      <c r="J378" s="2440">
        <f t="shared" ca="1" si="81"/>
        <v>0.73801169590643279</v>
      </c>
      <c r="K378" s="2440">
        <f t="shared" ca="1" si="81"/>
        <v>1.4046783625730994</v>
      </c>
      <c r="L378" s="2440">
        <f t="shared" ca="1" si="81"/>
        <v>1.4046783625730994</v>
      </c>
      <c r="M378" s="2440">
        <f t="shared" ca="1" si="81"/>
        <v>1.4046783625730994</v>
      </c>
      <c r="N378" s="2440">
        <f t="shared" ca="1" si="81"/>
        <v>1.4046783625730994</v>
      </c>
      <c r="O378" s="1005"/>
    </row>
    <row r="379" spans="1:15" ht="15.75">
      <c r="B379" s="492"/>
      <c r="C379" s="1003"/>
      <c r="D379" s="1003"/>
      <c r="E379" s="1003"/>
      <c r="F379" s="1003"/>
      <c r="G379" s="1003"/>
      <c r="H379" s="1003"/>
      <c r="I379" s="1003"/>
      <c r="J379" s="1003"/>
      <c r="K379" s="1003"/>
      <c r="L379" s="1003"/>
      <c r="M379" s="1003"/>
      <c r="N379" s="1003"/>
      <c r="O379" s="1005"/>
    </row>
    <row r="380" spans="1:15">
      <c r="B380" s="1002"/>
      <c r="C380" s="488" t="s">
        <v>1767</v>
      </c>
      <c r="D380" s="1003"/>
      <c r="E380" s="1004"/>
      <c r="F380" s="1003"/>
      <c r="G380" s="1003"/>
      <c r="H380" s="1003"/>
      <c r="I380" s="1003"/>
      <c r="J380" s="1003"/>
      <c r="K380" s="1003"/>
      <c r="L380" s="1003"/>
      <c r="M380" s="1003"/>
      <c r="N380" s="1004"/>
      <c r="O380" s="1005"/>
    </row>
    <row r="381" spans="1:15">
      <c r="B381" s="1002"/>
      <c r="C381" s="1003"/>
      <c r="D381" s="1003"/>
      <c r="E381" s="1003"/>
      <c r="F381" s="1003"/>
      <c r="G381" s="1003"/>
      <c r="H381" s="1003"/>
      <c r="I381" s="1003"/>
      <c r="J381" s="1003"/>
      <c r="K381" s="1003"/>
      <c r="L381" s="1003"/>
      <c r="M381" s="1003"/>
      <c r="N381" s="1003"/>
      <c r="O381" s="1005"/>
    </row>
    <row r="382" spans="1:15" ht="15.75">
      <c r="B382" s="492"/>
      <c r="C382" s="1006" t="s">
        <v>28</v>
      </c>
      <c r="D382" s="1006" t="s">
        <v>315</v>
      </c>
      <c r="E382" s="1006" t="s">
        <v>30</v>
      </c>
      <c r="F382" s="1006" t="s">
        <v>597</v>
      </c>
      <c r="G382" s="1006" t="s">
        <v>133</v>
      </c>
      <c r="H382" s="1006" t="s">
        <v>134</v>
      </c>
      <c r="I382" s="1006" t="s">
        <v>135</v>
      </c>
      <c r="J382" s="1006" t="s">
        <v>136</v>
      </c>
      <c r="K382" s="1006" t="s">
        <v>137</v>
      </c>
      <c r="L382" s="1006" t="s">
        <v>138</v>
      </c>
      <c r="M382" s="1006" t="s">
        <v>139</v>
      </c>
      <c r="N382" s="1006" t="s">
        <v>140</v>
      </c>
      <c r="O382" s="1005"/>
    </row>
    <row r="383" spans="1:15" ht="15.75">
      <c r="A383" s="39"/>
      <c r="B383" s="492"/>
      <c r="C383" s="1007" t="s">
        <v>767</v>
      </c>
      <c r="D383" s="3064" t="str">
        <f>INDEX(Vectors[Description], MATCH([Vector], Vectors[Code], 0))</f>
        <v xml:space="preserve">Installed Capacity </v>
      </c>
      <c r="E383" s="494" t="str">
        <f>Preferences.PowerUnits</f>
        <v>GW</v>
      </c>
      <c r="F383" s="2438">
        <f ca="1">F294</f>
        <v>3.5934362101223432</v>
      </c>
      <c r="G383" s="2438">
        <f t="shared" ref="G383:N383" ca="1" si="82">G294</f>
        <v>3.7038082004340493</v>
      </c>
      <c r="H383" s="2438">
        <f t="shared" ca="1" si="82"/>
        <v>2.7433334278341852</v>
      </c>
      <c r="I383" s="2438">
        <f t="shared" ca="1" si="82"/>
        <v>1.50904023633802</v>
      </c>
      <c r="J383" s="2438">
        <f t="shared" ca="1" si="82"/>
        <v>0</v>
      </c>
      <c r="K383" s="2438">
        <f t="shared" ca="1" si="82"/>
        <v>0</v>
      </c>
      <c r="L383" s="2438">
        <f t="shared" ca="1" si="82"/>
        <v>0</v>
      </c>
      <c r="M383" s="2438">
        <f t="shared" ca="1" si="82"/>
        <v>0</v>
      </c>
      <c r="N383" s="2438">
        <f t="shared" ca="1" si="82"/>
        <v>0</v>
      </c>
      <c r="O383" s="1005"/>
    </row>
    <row r="384" spans="1:15" ht="15.75">
      <c r="B384" s="492"/>
      <c r="C384" s="1007" t="s">
        <v>769</v>
      </c>
      <c r="D384" s="3064" t="str">
        <f>INDEX(Vectors[Description], MATCH([Vector], Vectors[Code], 0))</f>
        <v>Load factor</v>
      </c>
      <c r="E384" s="1007" t="s">
        <v>43</v>
      </c>
      <c r="F384" s="2439">
        <f t="shared" ref="F384:N384" si="83">F75</f>
        <v>0.4</v>
      </c>
      <c r="G384" s="2439">
        <f t="shared" si="83"/>
        <v>0.4</v>
      </c>
      <c r="H384" s="2439">
        <f t="shared" si="83"/>
        <v>0.4</v>
      </c>
      <c r="I384" s="2439">
        <f t="shared" si="83"/>
        <v>0.4</v>
      </c>
      <c r="J384" s="2439">
        <f t="shared" si="83"/>
        <v>0.4</v>
      </c>
      <c r="K384" s="2439">
        <f t="shared" si="83"/>
        <v>0.4</v>
      </c>
      <c r="L384" s="2439">
        <f t="shared" si="83"/>
        <v>0.4</v>
      </c>
      <c r="M384" s="2439">
        <f t="shared" si="83"/>
        <v>0.4</v>
      </c>
      <c r="N384" s="2439">
        <f t="shared" si="83"/>
        <v>0.4</v>
      </c>
      <c r="O384" s="1005"/>
    </row>
    <row r="385" spans="2:15" ht="15.75">
      <c r="B385" s="492"/>
      <c r="C385" s="1007" t="s">
        <v>316</v>
      </c>
      <c r="D385" s="3667" t="str">
        <f>INDEX(Vectors[Description], MATCH([Vector], Vectors[Code], 0))</f>
        <v>Number of thermal power stations</v>
      </c>
      <c r="E385" s="1007" t="s">
        <v>760</v>
      </c>
      <c r="F385" s="2440">
        <f ca="1">F383/$F$100</f>
        <v>7.1868724202446863</v>
      </c>
      <c r="G385" s="2440">
        <f t="shared" ref="G385:N385" ca="1" si="84">G383/$F$100</f>
        <v>7.4076164008680987</v>
      </c>
      <c r="H385" s="2440">
        <f t="shared" ca="1" si="84"/>
        <v>5.4866668556683704</v>
      </c>
      <c r="I385" s="2440">
        <f t="shared" ca="1" si="84"/>
        <v>3.01808047267604</v>
      </c>
      <c r="J385" s="2440">
        <f t="shared" ca="1" si="84"/>
        <v>0</v>
      </c>
      <c r="K385" s="2440">
        <f t="shared" ca="1" si="84"/>
        <v>0</v>
      </c>
      <c r="L385" s="2440">
        <f t="shared" ca="1" si="84"/>
        <v>0</v>
      </c>
      <c r="M385" s="2440">
        <f t="shared" ca="1" si="84"/>
        <v>0</v>
      </c>
      <c r="N385" s="2440">
        <f t="shared" ca="1" si="84"/>
        <v>0</v>
      </c>
      <c r="O385" s="1005"/>
    </row>
    <row r="386" spans="2:15" ht="15.75">
      <c r="B386" s="492"/>
      <c r="C386" s="1003"/>
      <c r="D386" s="1003"/>
      <c r="E386" s="1003"/>
      <c r="F386" s="1003"/>
      <c r="G386" s="1003"/>
      <c r="H386" s="1003"/>
      <c r="I386" s="1003"/>
      <c r="J386" s="1003"/>
      <c r="K386" s="1003"/>
      <c r="L386" s="1003"/>
      <c r="M386" s="1003"/>
      <c r="N386" s="1003"/>
      <c r="O386" s="1005"/>
    </row>
    <row r="387" spans="2:15">
      <c r="B387" s="1002"/>
      <c r="C387" s="488" t="s">
        <v>1768</v>
      </c>
      <c r="D387" s="1003"/>
      <c r="E387" s="1004"/>
      <c r="F387" s="1003"/>
      <c r="G387" s="1003"/>
      <c r="H387" s="1003"/>
      <c r="I387" s="1003"/>
      <c r="J387" s="1003"/>
      <c r="K387" s="1003"/>
      <c r="L387" s="1003"/>
      <c r="M387" s="1003"/>
      <c r="N387" s="1004"/>
      <c r="O387" s="1005"/>
    </row>
    <row r="388" spans="2:15">
      <c r="B388" s="1002"/>
      <c r="C388" s="1003"/>
      <c r="D388" s="1003"/>
      <c r="E388" s="1003"/>
      <c r="F388" s="1003"/>
      <c r="G388" s="1003"/>
      <c r="H388" s="1003"/>
      <c r="I388" s="1003"/>
      <c r="J388" s="1003"/>
      <c r="K388" s="1003"/>
      <c r="L388" s="1003"/>
      <c r="M388" s="1003"/>
      <c r="N388" s="1003"/>
      <c r="O388" s="1005"/>
    </row>
    <row r="389" spans="2:15" ht="15.75">
      <c r="B389" s="492"/>
      <c r="C389" s="1006" t="s">
        <v>28</v>
      </c>
      <c r="D389" s="1006" t="s">
        <v>315</v>
      </c>
      <c r="E389" s="1006" t="s">
        <v>30</v>
      </c>
      <c r="F389" s="1006" t="s">
        <v>597</v>
      </c>
      <c r="G389" s="1006" t="s">
        <v>133</v>
      </c>
      <c r="H389" s="1006" t="s">
        <v>134</v>
      </c>
      <c r="I389" s="1006" t="s">
        <v>135</v>
      </c>
      <c r="J389" s="1006" t="s">
        <v>136</v>
      </c>
      <c r="K389" s="1006" t="s">
        <v>137</v>
      </c>
      <c r="L389" s="1006" t="s">
        <v>138</v>
      </c>
      <c r="M389" s="1006" t="s">
        <v>139</v>
      </c>
      <c r="N389" s="1006" t="s">
        <v>140</v>
      </c>
      <c r="O389" s="1005"/>
    </row>
    <row r="390" spans="2:15" ht="15.75">
      <c r="B390" s="492"/>
      <c r="C390" s="1007" t="s">
        <v>767</v>
      </c>
      <c r="D390" s="3064" t="str">
        <f>INDEX(Vectors[Description], MATCH([Vector], Vectors[Code], 0))</f>
        <v xml:space="preserve">Installed Capacity </v>
      </c>
      <c r="E390" s="494" t="str">
        <f>Preferences.PowerUnits</f>
        <v>GW</v>
      </c>
      <c r="F390" s="2438">
        <f t="shared" ref="F390:N390" ca="1" si="85">SUM(F$292:F$294)</f>
        <v>5.909436210122343</v>
      </c>
      <c r="G390" s="2438">
        <f t="shared" ca="1" si="85"/>
        <v>5.8208082004340493</v>
      </c>
      <c r="H390" s="2438">
        <f t="shared" ca="1" si="85"/>
        <v>3.983333427834185</v>
      </c>
      <c r="I390" s="2438">
        <f t="shared" ca="1" si="85"/>
        <v>2.7490402363380202</v>
      </c>
      <c r="J390" s="2438">
        <f t="shared" ca="1" si="85"/>
        <v>0.95500000000000007</v>
      </c>
      <c r="K390" s="2438">
        <f t="shared" ca="1" si="85"/>
        <v>1.2010000000000001</v>
      </c>
      <c r="L390" s="2438">
        <f t="shared" ca="1" si="85"/>
        <v>1.2010000000000001</v>
      </c>
      <c r="M390" s="2438">
        <f t="shared" ca="1" si="85"/>
        <v>1.2010000000000001</v>
      </c>
      <c r="N390" s="2438">
        <f t="shared" ca="1" si="85"/>
        <v>1.2010000000000001</v>
      </c>
      <c r="O390" s="1005"/>
    </row>
    <row r="391" spans="2:15" ht="15.75">
      <c r="B391" s="492"/>
      <c r="C391" s="1007" t="s">
        <v>316</v>
      </c>
      <c r="D391" s="3064" t="str">
        <f>INDEX(Vectors[Description], MATCH([Vector], Vectors[Code], 0))</f>
        <v>Number of thermal power stations</v>
      </c>
      <c r="E391" s="1007" t="s">
        <v>760</v>
      </c>
      <c r="F391" s="2441">
        <f ca="1">F390/$F$100</f>
        <v>11.818872420244686</v>
      </c>
      <c r="G391" s="2441">
        <f t="shared" ref="G391:N391" ca="1" si="86">G390/$F$100</f>
        <v>11.641616400868099</v>
      </c>
      <c r="H391" s="2441">
        <f t="shared" ca="1" si="86"/>
        <v>7.96666685566837</v>
      </c>
      <c r="I391" s="2441">
        <f t="shared" ca="1" si="86"/>
        <v>5.4980804726760404</v>
      </c>
      <c r="J391" s="2441">
        <f t="shared" ca="1" si="86"/>
        <v>1.9100000000000001</v>
      </c>
      <c r="K391" s="2441">
        <f t="shared" ca="1" si="86"/>
        <v>2.4020000000000001</v>
      </c>
      <c r="L391" s="2441">
        <f t="shared" ca="1" si="86"/>
        <v>2.4020000000000001</v>
      </c>
      <c r="M391" s="2441">
        <f t="shared" ca="1" si="86"/>
        <v>2.4020000000000001</v>
      </c>
      <c r="N391" s="2441">
        <f t="shared" ca="1" si="86"/>
        <v>2.4020000000000001</v>
      </c>
      <c r="O391" s="1005"/>
    </row>
    <row r="392" spans="2:15" ht="15.75">
      <c r="B392" s="497"/>
      <c r="C392" s="1010"/>
      <c r="D392" s="1010"/>
      <c r="E392" s="1010"/>
      <c r="F392" s="1010"/>
      <c r="G392" s="1010"/>
      <c r="H392" s="1010"/>
      <c r="I392" s="1010"/>
      <c r="J392" s="1010"/>
      <c r="K392" s="1010"/>
      <c r="L392" s="1010"/>
      <c r="M392" s="1010"/>
      <c r="N392" s="1010"/>
      <c r="O392" s="1011"/>
    </row>
    <row r="394" spans="2:15" ht="15.75">
      <c r="B394" s="995" t="s">
        <v>2795</v>
      </c>
      <c r="C394" s="997"/>
      <c r="D394" s="997"/>
      <c r="E394" s="997"/>
      <c r="F394" s="997"/>
      <c r="G394" s="997"/>
      <c r="H394" s="997"/>
      <c r="I394" s="997"/>
      <c r="J394" s="997"/>
      <c r="K394" s="997"/>
      <c r="L394" s="997"/>
      <c r="M394" s="997"/>
      <c r="N394" s="997"/>
      <c r="O394" s="998"/>
    </row>
    <row r="395" spans="2:15" hidden="1">
      <c r="B395" s="1002"/>
      <c r="C395" s="1003"/>
      <c r="D395" s="1003"/>
      <c r="E395" s="1003"/>
      <c r="F395" s="1003"/>
      <c r="G395" s="1003"/>
      <c r="H395" s="1003"/>
      <c r="I395" s="1003"/>
      <c r="J395" s="1003"/>
      <c r="K395" s="1003"/>
      <c r="L395" s="1003"/>
      <c r="M395" s="1003"/>
      <c r="N395" s="1003"/>
      <c r="O395" s="1005"/>
    </row>
    <row r="396" spans="2:15" hidden="1">
      <c r="B396" s="1002"/>
      <c r="C396" s="500" t="s">
        <v>770</v>
      </c>
      <c r="D396" s="1012"/>
      <c r="E396" s="1012"/>
      <c r="F396" s="1012"/>
      <c r="G396" s="1012"/>
      <c r="H396" s="1012"/>
      <c r="I396" s="1012"/>
      <c r="J396" s="1012"/>
      <c r="K396" s="1012"/>
      <c r="L396" s="1012"/>
      <c r="M396" s="1012"/>
      <c r="N396" s="1012"/>
      <c r="O396" s="1005"/>
    </row>
    <row r="397" spans="2:15" hidden="1">
      <c r="B397" s="1002"/>
      <c r="C397" s="1003"/>
      <c r="D397" s="1003"/>
      <c r="E397" s="1003"/>
      <c r="F397" s="1003"/>
      <c r="G397" s="1003"/>
      <c r="H397" s="1003"/>
      <c r="I397" s="1003"/>
      <c r="J397" s="1003"/>
      <c r="K397" s="1003"/>
      <c r="L397" s="1003"/>
      <c r="M397" s="1003"/>
      <c r="N397" s="1003"/>
      <c r="O397" s="1005"/>
    </row>
    <row r="398" spans="2:15" ht="15.75" hidden="1">
      <c r="B398" s="492"/>
      <c r="C398" s="1006" t="s">
        <v>28</v>
      </c>
      <c r="D398" s="1006" t="s">
        <v>29</v>
      </c>
      <c r="E398" s="1006" t="s">
        <v>30</v>
      </c>
      <c r="F398" s="1006">
        <v>2013</v>
      </c>
      <c r="G398" s="1006" t="s">
        <v>133</v>
      </c>
      <c r="H398" s="1006" t="s">
        <v>134</v>
      </c>
      <c r="I398" s="1006" t="s">
        <v>135</v>
      </c>
      <c r="J398" s="1006" t="s">
        <v>136</v>
      </c>
      <c r="K398" s="1006" t="s">
        <v>137</v>
      </c>
      <c r="L398" s="1006" t="s">
        <v>138</v>
      </c>
      <c r="M398" s="1006" t="s">
        <v>139</v>
      </c>
      <c r="N398" s="1006" t="s">
        <v>140</v>
      </c>
      <c r="O398" s="1150"/>
    </row>
    <row r="399" spans="2:15" ht="15.75" hidden="1">
      <c r="B399" s="492"/>
      <c r="C399" s="1007" t="s">
        <v>324</v>
      </c>
      <c r="D399" s="494" t="s">
        <v>325</v>
      </c>
      <c r="E399" s="494"/>
      <c r="F399" s="495">
        <v>0</v>
      </c>
      <c r="G399" s="495">
        <v>1684.5077716339026</v>
      </c>
      <c r="H399" s="495">
        <v>2573.0234467140226</v>
      </c>
      <c r="I399" s="495">
        <v>3541.888525141344</v>
      </c>
      <c r="J399" s="495">
        <v>3947.1301080505223</v>
      </c>
      <c r="K399" s="495">
        <v>4087.4418088093739</v>
      </c>
      <c r="L399" s="495">
        <v>10334.682181502976</v>
      </c>
      <c r="M399" s="495">
        <v>10632.572478433061</v>
      </c>
      <c r="N399" s="495">
        <v>10602.169049913689</v>
      </c>
      <c r="O399" s="1150"/>
    </row>
    <row r="400" spans="2:15" ht="15.75" hidden="1">
      <c r="B400" s="492"/>
      <c r="C400" s="1007" t="s">
        <v>331</v>
      </c>
      <c r="D400" s="494" t="s">
        <v>332</v>
      </c>
      <c r="E400" s="494"/>
      <c r="F400" s="495">
        <v>6027.8230588355027</v>
      </c>
      <c r="G400" s="495">
        <v>5405.0646840009558</v>
      </c>
      <c r="H400" s="495">
        <v>5268.6534724799558</v>
      </c>
      <c r="I400" s="495">
        <v>5162.3951653065878</v>
      </c>
      <c r="J400" s="495">
        <v>5179.1028181733463</v>
      </c>
      <c r="K400" s="495">
        <v>5603.9969738383998</v>
      </c>
      <c r="L400" s="495">
        <v>6025.5904309018142</v>
      </c>
      <c r="M400" s="495">
        <v>6445.4469823380487</v>
      </c>
      <c r="N400" s="495">
        <v>6749.7594482619634</v>
      </c>
      <c r="O400" s="1150"/>
    </row>
    <row r="401" spans="2:15" ht="15.75" hidden="1">
      <c r="B401" s="492"/>
      <c r="C401" s="1007" t="s">
        <v>771</v>
      </c>
      <c r="D401" s="494" t="s">
        <v>772</v>
      </c>
      <c r="E401" s="494"/>
      <c r="F401" s="495"/>
      <c r="G401" s="495"/>
      <c r="H401" s="495"/>
      <c r="I401" s="495"/>
      <c r="J401" s="495"/>
      <c r="K401" s="495"/>
      <c r="L401" s="495"/>
      <c r="M401" s="495"/>
      <c r="N401" s="495"/>
      <c r="O401" s="1150"/>
    </row>
    <row r="402" spans="2:15" ht="15.75" hidden="1">
      <c r="B402" s="492"/>
      <c r="C402" s="1007" t="s">
        <v>326</v>
      </c>
      <c r="D402" s="494" t="s">
        <v>327</v>
      </c>
      <c r="E402" s="504"/>
      <c r="F402" s="506">
        <v>0</v>
      </c>
      <c r="G402" s="506">
        <v>1359.5538777415479</v>
      </c>
      <c r="H402" s="506">
        <v>1868.6675601824666</v>
      </c>
      <c r="I402" s="506">
        <v>2285.9863647387233</v>
      </c>
      <c r="J402" s="506">
        <v>2228.4528717915136</v>
      </c>
      <c r="K402" s="506">
        <v>2307.6694174696709</v>
      </c>
      <c r="L402" s="506">
        <v>4624.759792579971</v>
      </c>
      <c r="M402" s="506">
        <v>4714.6463543488944</v>
      </c>
      <c r="N402" s="506">
        <v>4619.1863287892556</v>
      </c>
      <c r="O402" s="1150"/>
    </row>
    <row r="403" spans="2:15" ht="15.75" hidden="1">
      <c r="B403" s="492"/>
      <c r="C403" s="1007" t="s">
        <v>333</v>
      </c>
      <c r="D403" s="494" t="s">
        <v>334</v>
      </c>
      <c r="E403" s="504"/>
      <c r="F403" s="506">
        <v>3379.9321594542639</v>
      </c>
      <c r="G403" s="506">
        <v>2975.0773053682865</v>
      </c>
      <c r="H403" s="506">
        <v>2948.4164810771795</v>
      </c>
      <c r="I403" s="506">
        <v>2965.0541459937767</v>
      </c>
      <c r="J403" s="506">
        <v>3054.4089682039048</v>
      </c>
      <c r="K403" s="506">
        <v>3377.0771686999433</v>
      </c>
      <c r="L403" s="506">
        <v>3703.5043524769098</v>
      </c>
      <c r="M403" s="506">
        <v>4007.1407431949156</v>
      </c>
      <c r="N403" s="506">
        <v>4234.0259014779522</v>
      </c>
      <c r="O403" s="1150"/>
    </row>
    <row r="404" spans="2:15" ht="15.75" hidden="1">
      <c r="B404" s="492"/>
      <c r="C404" s="1007" t="s">
        <v>773</v>
      </c>
      <c r="D404" s="494" t="s">
        <v>774</v>
      </c>
      <c r="E404" s="504"/>
      <c r="F404" s="506"/>
      <c r="G404" s="506"/>
      <c r="H404" s="506"/>
      <c r="I404" s="506"/>
      <c r="J404" s="506"/>
      <c r="K404" s="506"/>
      <c r="L404" s="506"/>
      <c r="M404" s="506"/>
      <c r="N404" s="506"/>
      <c r="O404" s="1150"/>
    </row>
    <row r="405" spans="2:15" hidden="1">
      <c r="B405" s="503"/>
      <c r="C405" s="1007" t="s">
        <v>328</v>
      </c>
      <c r="D405" s="494" t="s">
        <v>329</v>
      </c>
      <c r="E405" s="494"/>
      <c r="F405" s="495">
        <v>0</v>
      </c>
      <c r="G405" s="495">
        <v>1046.6469991333361</v>
      </c>
      <c r="H405" s="495">
        <v>1570.0469688587702</v>
      </c>
      <c r="I405" s="495">
        <v>2121.7815111690743</v>
      </c>
      <c r="J405" s="495">
        <v>2320.5655030846474</v>
      </c>
      <c r="K405" s="495">
        <v>2357.5156586524154</v>
      </c>
      <c r="L405" s="495">
        <v>2474.3204158501271</v>
      </c>
      <c r="M405" s="495">
        <v>2590.7905088747434</v>
      </c>
      <c r="N405" s="495">
        <v>2522.2456986710527</v>
      </c>
      <c r="O405" s="1151"/>
    </row>
    <row r="406" spans="2:15" hidden="1">
      <c r="B406" s="503"/>
      <c r="C406" s="1007" t="s">
        <v>335</v>
      </c>
      <c r="D406" s="494" t="s">
        <v>336</v>
      </c>
      <c r="E406" s="494"/>
      <c r="F406" s="495">
        <v>1421.1910154830273</v>
      </c>
      <c r="G406" s="495">
        <v>1234.8783905265675</v>
      </c>
      <c r="H406" s="495">
        <v>1214.7306506526199</v>
      </c>
      <c r="I406" s="495">
        <v>1207.6532540280496</v>
      </c>
      <c r="J406" s="495">
        <v>1228.9007416245647</v>
      </c>
      <c r="K406" s="495">
        <v>1343.6834141679999</v>
      </c>
      <c r="L406" s="495">
        <v>1454.6290607636352</v>
      </c>
      <c r="M406" s="495">
        <v>1565.1176269310656</v>
      </c>
      <c r="N406" s="495">
        <v>1645.19985480578</v>
      </c>
      <c r="O406" s="1151"/>
    </row>
    <row r="407" spans="2:15" hidden="1">
      <c r="B407" s="503"/>
      <c r="C407" s="1007" t="s">
        <v>775</v>
      </c>
      <c r="D407" s="494" t="s">
        <v>776</v>
      </c>
      <c r="E407" s="494"/>
      <c r="F407" s="495"/>
      <c r="G407" s="495"/>
      <c r="H407" s="495"/>
      <c r="I407" s="495"/>
      <c r="J407" s="495"/>
      <c r="K407" s="495"/>
      <c r="L407" s="495"/>
      <c r="M407" s="495"/>
      <c r="N407" s="495"/>
      <c r="O407" s="1151"/>
    </row>
    <row r="408" spans="2:15" hidden="1">
      <c r="B408" s="1014"/>
      <c r="C408" s="1010"/>
      <c r="D408" s="1010"/>
      <c r="E408" s="1010"/>
      <c r="F408" s="1010"/>
      <c r="G408" s="1010"/>
      <c r="H408" s="1010"/>
      <c r="I408" s="1010"/>
      <c r="J408" s="1010"/>
      <c r="K408" s="1010"/>
      <c r="L408" s="1010"/>
      <c r="M408" s="1010"/>
      <c r="N408" s="1010"/>
      <c r="O408" s="1015"/>
    </row>
    <row r="420" spans="6:14">
      <c r="F420" s="383"/>
      <c r="G420" s="383"/>
      <c r="H420" s="383"/>
      <c r="I420" s="383"/>
      <c r="J420" s="383"/>
      <c r="K420" s="383"/>
      <c r="L420" s="383"/>
      <c r="M420" s="383"/>
      <c r="N420" s="383"/>
    </row>
    <row r="421" spans="6:14">
      <c r="F421" s="383"/>
      <c r="G421" s="383"/>
      <c r="H421" s="383"/>
      <c r="I421" s="383"/>
      <c r="J421" s="383"/>
      <c r="K421" s="383"/>
      <c r="L421" s="383"/>
      <c r="M421" s="383"/>
      <c r="N421" s="383"/>
    </row>
    <row r="422" spans="6:14">
      <c r="F422" s="383"/>
      <c r="G422" s="383"/>
      <c r="H422" s="383"/>
      <c r="I422" s="383"/>
      <c r="J422" s="383"/>
      <c r="K422" s="383"/>
      <c r="L422" s="383"/>
      <c r="M422" s="383"/>
      <c r="N422" s="383"/>
    </row>
    <row r="423" spans="6:14">
      <c r="F423" s="383"/>
      <c r="G423" s="383"/>
      <c r="H423" s="383"/>
      <c r="I423" s="383"/>
      <c r="J423" s="383"/>
      <c r="K423" s="383"/>
      <c r="L423" s="383"/>
      <c r="M423" s="383"/>
      <c r="N423" s="383"/>
    </row>
  </sheetData>
  <mergeCells count="1">
    <mergeCell ref="Q227:R227"/>
  </mergeCells>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xl/worksheets/sheet15.xml><?xml version="1.0" encoding="utf-8"?>
<worksheet xmlns="http://schemas.openxmlformats.org/spreadsheetml/2006/main" xmlns:r="http://schemas.openxmlformats.org/officeDocument/2006/relationships">
  <sheetPr codeName="Sheet7">
    <tabColor theme="9"/>
  </sheetPr>
  <dimension ref="A1:DI353"/>
  <sheetViews>
    <sheetView showGridLines="0" zoomScale="80" zoomScaleNormal="80" workbookViewId="0">
      <selection activeCell="K19" sqref="K19"/>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4" customWidth="1"/>
    <col min="16" max="16" width="10.85546875" customWidth="1"/>
    <col min="20" max="20" width="9.85546875" customWidth="1"/>
    <col min="21" max="21" width="10.28515625" customWidth="1"/>
  </cols>
  <sheetData>
    <row r="1" spans="1:15" ht="20.25">
      <c r="A1" s="1016" t="s">
        <v>558</v>
      </c>
      <c r="B1" s="1016" t="s">
        <v>559</v>
      </c>
      <c r="C1" s="1016"/>
    </row>
    <row r="2" spans="1:15" s="6" customFormat="1" ht="15.75">
      <c r="A2" s="864" t="s">
        <v>553</v>
      </c>
      <c r="B2" s="864" t="s">
        <v>554</v>
      </c>
      <c r="C2" s="864"/>
      <c r="E2" s="5"/>
    </row>
    <row r="4" spans="1:15" ht="23.25">
      <c r="A4" s="7"/>
      <c r="B4" s="511" t="s">
        <v>361</v>
      </c>
      <c r="C4" s="865"/>
      <c r="D4" s="512"/>
      <c r="E4" s="513"/>
      <c r="F4" s="512"/>
      <c r="G4" s="512"/>
      <c r="H4" s="512"/>
      <c r="I4" s="512"/>
      <c r="J4" s="512"/>
      <c r="K4" s="512"/>
      <c r="L4" s="512"/>
      <c r="M4" s="512"/>
      <c r="N4" s="512"/>
      <c r="O4" s="866"/>
    </row>
    <row r="5" spans="1:15">
      <c r="B5" s="871"/>
      <c r="C5" s="12"/>
      <c r="D5" s="515"/>
      <c r="E5" s="516"/>
      <c r="F5" s="515"/>
      <c r="G5" s="515"/>
      <c r="H5" s="515"/>
      <c r="I5" s="515"/>
      <c r="J5" s="515"/>
      <c r="K5" s="515"/>
      <c r="L5" s="515"/>
      <c r="M5" s="515"/>
      <c r="N5" s="515"/>
      <c r="O5" s="867"/>
    </row>
    <row r="6" spans="1:15" ht="15.75">
      <c r="B6" s="1017"/>
      <c r="C6" s="515"/>
      <c r="D6" s="16" t="s">
        <v>7</v>
      </c>
      <c r="E6" s="16" t="s">
        <v>8</v>
      </c>
      <c r="F6" s="515"/>
      <c r="G6" s="515"/>
      <c r="H6" s="515"/>
      <c r="I6" s="515"/>
      <c r="J6" s="515"/>
      <c r="K6" s="515"/>
      <c r="L6" s="515"/>
      <c r="M6" s="515"/>
      <c r="N6" s="515"/>
      <c r="O6" s="867"/>
    </row>
    <row r="7" spans="1:15" ht="15.75">
      <c r="B7" s="1017"/>
      <c r="C7" s="515"/>
      <c r="D7" s="1018" t="s">
        <v>778</v>
      </c>
      <c r="E7" s="1019">
        <f>I.b.1.Scenario</f>
        <v>4</v>
      </c>
      <c r="F7" s="515"/>
      <c r="G7" s="515"/>
      <c r="H7" s="515"/>
      <c r="I7" s="515"/>
      <c r="J7" s="515"/>
      <c r="K7" s="515"/>
      <c r="L7" s="515"/>
      <c r="M7" s="515"/>
      <c r="N7" s="515"/>
      <c r="O7" s="867"/>
    </row>
    <row r="8" spans="1:15" ht="15.75">
      <c r="B8" s="1017"/>
      <c r="C8" s="515"/>
      <c r="D8" s="517" t="s">
        <v>779</v>
      </c>
      <c r="E8" s="517">
        <f>I.b.2.Scenario</f>
        <v>4</v>
      </c>
      <c r="F8" s="515"/>
      <c r="G8" s="515"/>
      <c r="H8" s="515"/>
      <c r="I8" s="515"/>
      <c r="J8" s="515"/>
      <c r="K8" s="515"/>
      <c r="L8" s="515"/>
      <c r="M8" s="515"/>
      <c r="N8" s="515"/>
      <c r="O8" s="867"/>
    </row>
    <row r="9" spans="1:15" ht="15.75">
      <c r="B9" s="1020"/>
      <c r="C9" s="452"/>
      <c r="D9" s="452"/>
      <c r="E9" s="452"/>
      <c r="F9" s="869"/>
      <c r="G9" s="869"/>
      <c r="H9" s="869"/>
      <c r="I9" s="869"/>
      <c r="J9" s="869"/>
      <c r="K9" s="869"/>
      <c r="L9" s="869"/>
      <c r="M9" s="869"/>
      <c r="N9" s="869"/>
      <c r="O9" s="870"/>
    </row>
    <row r="10" spans="1:15">
      <c r="B10" s="877"/>
      <c r="C10" t="s">
        <v>5</v>
      </c>
    </row>
    <row r="11" spans="1:15" s="6" customFormat="1" ht="23.25">
      <c r="A11" s="40"/>
      <c r="B11" s="878" t="s">
        <v>33</v>
      </c>
      <c r="C11" s="1021"/>
      <c r="D11" s="879"/>
      <c r="E11" s="879"/>
      <c r="F11" s="879"/>
      <c r="G11" s="879"/>
      <c r="H11" s="879"/>
      <c r="I11" s="879"/>
      <c r="J11" s="879"/>
      <c r="K11" s="879"/>
      <c r="L11" s="879"/>
      <c r="M11" s="879"/>
      <c r="N11" s="879"/>
      <c r="O11" s="880"/>
    </row>
    <row r="12" spans="1:15">
      <c r="B12" s="884"/>
      <c r="C12" s="67"/>
      <c r="D12" s="67"/>
      <c r="E12" s="67"/>
      <c r="F12" s="67"/>
      <c r="G12" s="67"/>
      <c r="H12" s="67"/>
      <c r="I12" s="67"/>
      <c r="J12" s="67"/>
      <c r="K12" s="67"/>
      <c r="L12" s="67"/>
      <c r="M12" s="67"/>
      <c r="N12" s="67"/>
      <c r="O12" s="885"/>
    </row>
    <row r="13" spans="1:15">
      <c r="B13" s="884"/>
      <c r="C13" s="49" t="s">
        <v>1771</v>
      </c>
      <c r="D13" s="67"/>
      <c r="E13" s="51"/>
      <c r="F13" s="67"/>
      <c r="G13" s="67"/>
      <c r="H13" s="67"/>
      <c r="I13" s="67"/>
      <c r="J13" s="67"/>
      <c r="K13" s="67"/>
      <c r="L13" s="67"/>
      <c r="M13" s="67"/>
      <c r="N13" s="51" t="str">
        <f>Preferences.PowerUnits &amp; " per annum, average, following period"</f>
        <v>GW per annum, average, following period</v>
      </c>
      <c r="O13" s="885"/>
    </row>
    <row r="14" spans="1:15">
      <c r="B14" s="884"/>
      <c r="C14" s="67"/>
      <c r="D14" s="67"/>
      <c r="E14" s="67"/>
      <c r="F14" s="67"/>
      <c r="G14" s="67"/>
      <c r="H14" s="67"/>
      <c r="I14" s="67"/>
      <c r="J14" s="67"/>
      <c r="K14" s="67"/>
      <c r="L14" s="67"/>
      <c r="M14" s="67"/>
      <c r="N14" s="67"/>
      <c r="O14" s="885"/>
    </row>
    <row r="15" spans="1:15" ht="15.75">
      <c r="B15" s="886"/>
      <c r="C15" s="887" t="s">
        <v>8</v>
      </c>
      <c r="D15" s="887" t="s">
        <v>72</v>
      </c>
      <c r="E15" s="887" t="s">
        <v>30</v>
      </c>
      <c r="F15" s="888">
        <v>2013</v>
      </c>
      <c r="G15" s="92">
        <v>2015</v>
      </c>
      <c r="H15" s="92">
        <v>2020</v>
      </c>
      <c r="I15" s="92">
        <v>2025</v>
      </c>
      <c r="J15" s="92">
        <v>2030</v>
      </c>
      <c r="K15" s="92">
        <v>2035</v>
      </c>
      <c r="L15" s="92">
        <v>2040</v>
      </c>
      <c r="M15" s="92">
        <v>2045</v>
      </c>
      <c r="N15" s="92">
        <v>2050</v>
      </c>
      <c r="O15" s="885"/>
    </row>
    <row r="16" spans="1:15" ht="15.75">
      <c r="B16" s="886"/>
      <c r="C16" s="65">
        <v>1</v>
      </c>
      <c r="D16" s="108"/>
      <c r="E16" s="890" t="s">
        <v>65</v>
      </c>
      <c r="F16" s="905">
        <v>0</v>
      </c>
      <c r="G16" s="59">
        <v>0</v>
      </c>
      <c r="H16" s="59">
        <v>0</v>
      </c>
      <c r="I16" s="59">
        <v>0</v>
      </c>
      <c r="J16" s="59">
        <f>(Unit.GW)*0</f>
        <v>0</v>
      </c>
      <c r="K16" s="59">
        <f>(Unit.GW)*0</f>
        <v>0</v>
      </c>
      <c r="L16" s="59">
        <f>(Unit.GW)*0</f>
        <v>0</v>
      </c>
      <c r="M16" s="59">
        <f>(Unit.GW)*0</f>
        <v>0</v>
      </c>
      <c r="N16" s="59"/>
      <c r="O16" s="885"/>
    </row>
    <row r="17" spans="2:17" ht="15.75">
      <c r="B17" s="886"/>
      <c r="C17" s="65">
        <v>2</v>
      </c>
      <c r="D17" s="108"/>
      <c r="E17" s="108"/>
      <c r="F17" s="905">
        <v>0</v>
      </c>
      <c r="G17" s="59">
        <v>0</v>
      </c>
      <c r="H17" s="60">
        <v>0</v>
      </c>
      <c r="I17" s="60">
        <v>0</v>
      </c>
      <c r="J17" s="60">
        <v>0</v>
      </c>
      <c r="K17" s="60">
        <v>0</v>
      </c>
      <c r="L17" s="60">
        <f>(Unit.GW)*0.05</f>
        <v>0.05</v>
      </c>
      <c r="M17" s="60">
        <f>(Unit.GW)*0.1</f>
        <v>0.1</v>
      </c>
      <c r="N17" s="60"/>
      <c r="O17" s="885"/>
    </row>
    <row r="18" spans="2:17" ht="15.75">
      <c r="B18" s="886"/>
      <c r="C18" s="65">
        <v>3</v>
      </c>
      <c r="D18" s="108"/>
      <c r="E18" s="108"/>
      <c r="F18" s="905">
        <v>0</v>
      </c>
      <c r="G18" s="59">
        <v>0</v>
      </c>
      <c r="H18" s="60">
        <v>0</v>
      </c>
      <c r="I18" s="60">
        <v>0</v>
      </c>
      <c r="J18" s="60">
        <v>0</v>
      </c>
      <c r="K18" s="60">
        <f>(Unit.GW)*0.1</f>
        <v>0.1</v>
      </c>
      <c r="L18" s="60">
        <f>(Unit.GW)*0.15</f>
        <v>0.15</v>
      </c>
      <c r="M18" s="60">
        <f>(Unit.GW)*0.2</f>
        <v>0.2</v>
      </c>
      <c r="N18" s="60"/>
      <c r="O18" s="885"/>
    </row>
    <row r="19" spans="2:17" ht="15.75">
      <c r="B19" s="886"/>
      <c r="C19" s="896">
        <v>4</v>
      </c>
      <c r="D19" s="199"/>
      <c r="E19" s="199"/>
      <c r="F19" s="1022">
        <v>0</v>
      </c>
      <c r="G19" s="1023">
        <v>0</v>
      </c>
      <c r="H19" s="129">
        <v>0</v>
      </c>
      <c r="I19" s="129">
        <v>0</v>
      </c>
      <c r="J19" s="129">
        <f>(Unit.GW)*0.1</f>
        <v>0.1</v>
      </c>
      <c r="K19" s="129">
        <f>(Unit.GW)*0.2</f>
        <v>0.2</v>
      </c>
      <c r="L19" s="129">
        <f>(Unit.GW)*0.2</f>
        <v>0.2</v>
      </c>
      <c r="M19" s="129">
        <f>(Unit.GW)*0.2</f>
        <v>0.2</v>
      </c>
      <c r="N19" s="129"/>
      <c r="O19" s="885"/>
    </row>
    <row r="20" spans="2:17" ht="15.75">
      <c r="B20" s="55"/>
      <c r="C20" s="1024" t="s">
        <v>37</v>
      </c>
      <c r="D20" s="901"/>
      <c r="E20" s="901"/>
      <c r="F20" s="902">
        <f t="shared" ref="F20:N20" si="0">(INDEX(F$16:F$19,ROUNDDOWN($E$7,0))*(1-MOD($E$7,1)))+(INDEX(F$16:F$19,ROUNDUP($E$7,0))*MOD($E$7,1))</f>
        <v>0</v>
      </c>
      <c r="G20" s="902">
        <f t="shared" si="0"/>
        <v>0</v>
      </c>
      <c r="H20" s="902">
        <f t="shared" si="0"/>
        <v>0</v>
      </c>
      <c r="I20" s="902">
        <f t="shared" si="0"/>
        <v>0</v>
      </c>
      <c r="J20" s="902">
        <f t="shared" si="0"/>
        <v>0.1</v>
      </c>
      <c r="K20" s="902">
        <f t="shared" si="0"/>
        <v>0.2</v>
      </c>
      <c r="L20" s="902">
        <f t="shared" si="0"/>
        <v>0.2</v>
      </c>
      <c r="M20" s="902">
        <f t="shared" si="0"/>
        <v>0.2</v>
      </c>
      <c r="N20" s="903">
        <f t="shared" si="0"/>
        <v>0</v>
      </c>
      <c r="O20" s="885"/>
    </row>
    <row r="21" spans="2:17">
      <c r="B21" s="884"/>
      <c r="C21" s="67"/>
      <c r="D21" s="67"/>
      <c r="E21" s="67"/>
      <c r="F21" s="67"/>
      <c r="G21" s="67"/>
      <c r="H21" s="67"/>
      <c r="I21" s="67" t="s">
        <v>5</v>
      </c>
      <c r="J21" s="67"/>
      <c r="K21" s="67"/>
      <c r="L21" s="67"/>
      <c r="M21" s="67"/>
      <c r="N21" s="67"/>
      <c r="O21" s="885"/>
    </row>
    <row r="22" spans="2:17">
      <c r="B22" s="884"/>
      <c r="C22" s="49" t="s">
        <v>780</v>
      </c>
      <c r="D22" s="67"/>
      <c r="E22" s="67"/>
      <c r="F22" s="67"/>
      <c r="G22" s="67"/>
      <c r="H22" s="67"/>
      <c r="I22" s="67"/>
      <c r="J22" s="67"/>
      <c r="K22" s="67"/>
      <c r="L22" s="67"/>
      <c r="M22" s="67"/>
      <c r="N22" s="51"/>
      <c r="O22" s="885"/>
    </row>
    <row r="23" spans="2:17">
      <c r="B23" s="884"/>
      <c r="C23" s="49"/>
      <c r="D23" s="67"/>
      <c r="E23" s="67"/>
      <c r="F23" s="67"/>
      <c r="G23" s="67"/>
      <c r="H23" s="67"/>
      <c r="I23" s="67"/>
      <c r="J23" s="67"/>
      <c r="K23" s="67"/>
      <c r="L23" s="67"/>
      <c r="M23" s="67"/>
      <c r="N23" s="51"/>
      <c r="O23" s="885"/>
      <c r="Q23" t="s">
        <v>5</v>
      </c>
    </row>
    <row r="24" spans="2:17" ht="30">
      <c r="B24" s="884"/>
      <c r="C24" s="1025"/>
      <c r="D24" s="1025"/>
      <c r="E24" s="1025"/>
      <c r="F24" s="1026" t="s">
        <v>781</v>
      </c>
      <c r="G24" s="1027" t="s">
        <v>782</v>
      </c>
      <c r="H24" s="67"/>
      <c r="I24" s="67"/>
      <c r="J24" s="67"/>
      <c r="K24" s="67"/>
      <c r="L24" s="67"/>
      <c r="M24" s="67"/>
      <c r="N24" s="67"/>
      <c r="O24" s="885"/>
    </row>
    <row r="25" spans="2:17" ht="15.75">
      <c r="B25" s="886"/>
      <c r="C25" s="1028" t="s">
        <v>8</v>
      </c>
      <c r="D25" s="1028" t="s">
        <v>72</v>
      </c>
      <c r="E25" s="1028" t="s">
        <v>30</v>
      </c>
      <c r="F25" s="1029" t="s">
        <v>98</v>
      </c>
      <c r="G25" s="1030" t="s">
        <v>100</v>
      </c>
      <c r="H25" s="67"/>
      <c r="I25" s="67"/>
      <c r="J25" s="67"/>
      <c r="K25" s="67"/>
      <c r="L25" s="67"/>
      <c r="M25" s="67"/>
      <c r="N25" s="67"/>
      <c r="O25" s="885"/>
    </row>
    <row r="26" spans="2:17" ht="15.75">
      <c r="B26" s="886"/>
      <c r="C26" s="65">
        <v>1</v>
      </c>
      <c r="D26" s="108"/>
      <c r="E26" s="890"/>
      <c r="F26" s="1031">
        <v>1</v>
      </c>
      <c r="G26" s="93">
        <v>0</v>
      </c>
      <c r="H26" s="67"/>
      <c r="I26" s="67"/>
      <c r="J26" s="67"/>
      <c r="K26" s="67"/>
      <c r="L26" s="67"/>
      <c r="M26" s="67"/>
      <c r="N26" s="67"/>
      <c r="O26" s="885"/>
    </row>
    <row r="27" spans="2:17" ht="15.75">
      <c r="B27" s="886"/>
      <c r="C27" s="65">
        <v>2</v>
      </c>
      <c r="D27" s="108"/>
      <c r="E27" s="108"/>
      <c r="F27" s="1031">
        <v>0.66666000000000003</v>
      </c>
      <c r="G27" s="190">
        <v>0.33333999999999997</v>
      </c>
      <c r="H27" s="67"/>
      <c r="I27" s="67"/>
      <c r="J27" s="108"/>
      <c r="K27" s="108"/>
      <c r="L27" s="59"/>
      <c r="M27" s="67"/>
      <c r="N27" s="67"/>
      <c r="O27" s="885"/>
    </row>
    <row r="28" spans="2:17" ht="15.75">
      <c r="B28" s="886"/>
      <c r="C28" s="65">
        <v>3</v>
      </c>
      <c r="D28" s="108"/>
      <c r="E28" s="108"/>
      <c r="F28" s="1031">
        <v>0.33333999999999997</v>
      </c>
      <c r="G28" s="190">
        <v>0.66666000000000003</v>
      </c>
      <c r="H28" s="67"/>
      <c r="I28" s="67"/>
      <c r="J28" s="108"/>
      <c r="K28" s="108"/>
      <c r="L28" s="59"/>
      <c r="M28" s="67"/>
      <c r="N28" s="67"/>
      <c r="O28" s="885"/>
    </row>
    <row r="29" spans="2:17" ht="15.75">
      <c r="B29" s="886"/>
      <c r="C29" s="896">
        <v>4</v>
      </c>
      <c r="D29" s="897"/>
      <c r="E29" s="897"/>
      <c r="F29" s="1032">
        <v>0</v>
      </c>
      <c r="G29" s="144">
        <v>1</v>
      </c>
      <c r="H29" s="67"/>
      <c r="I29" s="67"/>
      <c r="J29" s="67"/>
      <c r="K29" s="67"/>
      <c r="L29" s="67"/>
      <c r="M29" s="67"/>
      <c r="N29" s="67"/>
      <c r="O29" s="885"/>
    </row>
    <row r="30" spans="2:17" ht="15.75">
      <c r="B30" s="55"/>
      <c r="C30" s="1024" t="s">
        <v>37</v>
      </c>
      <c r="D30" s="901"/>
      <c r="E30" s="901"/>
      <c r="F30" s="102">
        <f>(INDEX(F$26:F$29,ROUNDDOWN($E$8,0))*(1-MOD($E$8,1)))+(INDEX(F$26:F$29,ROUNDUP($E$8,0))*MOD($E$8,1))</f>
        <v>0</v>
      </c>
      <c r="G30" s="1033">
        <f>(INDEX(G$26:G$29,ROUNDDOWN($E$8,0))*(1-MOD($E$8,1)))+(INDEX(G$26:G$29,ROUNDUP($E$8,0))*MOD($E$8,1))</f>
        <v>1</v>
      </c>
      <c r="H30" s="67"/>
      <c r="I30" s="67"/>
      <c r="J30" s="67"/>
      <c r="K30" s="67"/>
      <c r="L30" s="67"/>
      <c r="M30" s="67"/>
      <c r="N30" s="67"/>
      <c r="O30" s="67"/>
      <c r="P30" s="885"/>
    </row>
    <row r="31" spans="2:17" ht="15.75">
      <c r="B31" s="886"/>
      <c r="C31" s="65"/>
      <c r="D31" s="108"/>
      <c r="E31" s="108"/>
      <c r="F31" s="93"/>
      <c r="G31" s="67"/>
      <c r="H31" s="67"/>
      <c r="I31" s="67"/>
      <c r="J31" s="67"/>
      <c r="K31" s="67"/>
      <c r="L31" s="67"/>
      <c r="M31" s="67"/>
      <c r="N31" s="67"/>
      <c r="O31" s="885"/>
    </row>
    <row r="32" spans="2:17" ht="15.75">
      <c r="B32" s="886"/>
      <c r="C32" s="89" t="s">
        <v>783</v>
      </c>
      <c r="D32" s="108"/>
      <c r="E32" s="108"/>
      <c r="F32" s="93"/>
      <c r="G32" s="67"/>
      <c r="H32" s="67"/>
      <c r="I32" s="67"/>
      <c r="J32" s="67"/>
      <c r="K32" s="67"/>
      <c r="L32" s="67"/>
      <c r="M32" s="67"/>
      <c r="N32" s="67"/>
      <c r="O32" s="885"/>
    </row>
    <row r="33" spans="1:18" ht="15.75">
      <c r="B33" s="886"/>
      <c r="C33" s="89"/>
      <c r="D33" s="108"/>
      <c r="E33" s="108"/>
      <c r="F33" s="93"/>
      <c r="G33" s="67"/>
      <c r="H33" s="67"/>
      <c r="I33" s="67"/>
      <c r="J33" s="67"/>
      <c r="K33" s="67"/>
      <c r="L33" s="67"/>
      <c r="M33" s="67"/>
      <c r="N33" s="67"/>
      <c r="O33" s="885"/>
    </row>
    <row r="34" spans="1:18" ht="15.75">
      <c r="B34" s="886"/>
      <c r="C34" s="887" t="s">
        <v>8</v>
      </c>
      <c r="D34" s="887" t="s">
        <v>72</v>
      </c>
      <c r="E34" s="887" t="s">
        <v>30</v>
      </c>
      <c r="F34" s="888">
        <v>2013</v>
      </c>
      <c r="G34" s="92">
        <v>2015</v>
      </c>
      <c r="H34" s="92">
        <v>2020</v>
      </c>
      <c r="I34" s="92">
        <v>2025</v>
      </c>
      <c r="J34" s="92">
        <v>2030</v>
      </c>
      <c r="K34" s="92">
        <v>2035</v>
      </c>
      <c r="L34" s="92">
        <v>2040</v>
      </c>
      <c r="M34" s="92">
        <v>2045</v>
      </c>
      <c r="N34" s="92">
        <v>2050</v>
      </c>
      <c r="O34" s="67"/>
      <c r="P34" s="398"/>
      <c r="Q34" s="398"/>
      <c r="R34" s="398"/>
    </row>
    <row r="35" spans="1:18">
      <c r="B35" s="884"/>
      <c r="C35" s="65" t="s">
        <v>784</v>
      </c>
      <c r="D35" s="1034"/>
      <c r="E35" s="1034"/>
      <c r="F35" s="1035"/>
      <c r="G35" s="93"/>
      <c r="H35" s="93"/>
      <c r="I35" s="93">
        <v>0.7</v>
      </c>
      <c r="J35" s="93">
        <v>0.5</v>
      </c>
      <c r="K35" s="93">
        <v>0.3</v>
      </c>
      <c r="L35" s="93">
        <v>0.3</v>
      </c>
      <c r="M35" s="93">
        <v>0.3</v>
      </c>
      <c r="N35" s="93">
        <v>0.3</v>
      </c>
      <c r="O35" s="67"/>
      <c r="P35" s="398"/>
      <c r="Q35" s="398"/>
      <c r="R35" s="398"/>
    </row>
    <row r="36" spans="1:18">
      <c r="B36" s="884"/>
      <c r="C36" s="926" t="s">
        <v>785</v>
      </c>
      <c r="D36" s="1023"/>
      <c r="E36" s="1023"/>
      <c r="F36" s="1022"/>
      <c r="G36" s="169"/>
      <c r="H36" s="169"/>
      <c r="I36" s="169">
        <v>0.3</v>
      </c>
      <c r="J36" s="169">
        <v>0.5</v>
      </c>
      <c r="K36" s="169">
        <v>0.7</v>
      </c>
      <c r="L36" s="169">
        <v>0.7</v>
      </c>
      <c r="M36" s="169">
        <v>0.7</v>
      </c>
      <c r="N36" s="169">
        <v>0.7</v>
      </c>
      <c r="O36" s="67"/>
      <c r="P36" s="398"/>
      <c r="Q36" s="398"/>
      <c r="R36" s="398"/>
    </row>
    <row r="37" spans="1:18">
      <c r="B37" s="884"/>
      <c r="C37" s="67"/>
      <c r="D37" s="108"/>
      <c r="E37" s="59"/>
      <c r="F37" s="60"/>
      <c r="G37" s="60"/>
      <c r="H37" s="60"/>
      <c r="I37" s="60"/>
      <c r="J37" s="60"/>
      <c r="K37" s="60"/>
      <c r="L37" s="60"/>
      <c r="M37" s="60"/>
      <c r="N37" s="67"/>
      <c r="O37" s="67"/>
      <c r="P37" s="398"/>
      <c r="Q37" s="398"/>
      <c r="R37" s="398"/>
    </row>
    <row r="38" spans="1:18">
      <c r="B38" s="884"/>
      <c r="C38" s="3862" t="s">
        <v>64</v>
      </c>
      <c r="D38" s="108"/>
      <c r="E38" s="59"/>
      <c r="F38" s="60"/>
      <c r="G38" s="60"/>
      <c r="H38" s="60"/>
      <c r="I38" s="60"/>
      <c r="J38" s="60"/>
      <c r="K38" s="60"/>
      <c r="L38" s="60"/>
      <c r="M38" s="60"/>
      <c r="N38" s="67"/>
      <c r="O38" s="67"/>
      <c r="P38" s="398"/>
      <c r="Q38" s="398"/>
      <c r="R38" s="398"/>
    </row>
    <row r="39" spans="1:18">
      <c r="B39" s="884"/>
      <c r="C39" s="3863" t="s">
        <v>65</v>
      </c>
      <c r="D39" s="3864" t="s">
        <v>3075</v>
      </c>
      <c r="E39" s="67"/>
      <c r="F39" s="67"/>
      <c r="G39" s="67"/>
      <c r="H39" s="67"/>
      <c r="I39" s="67"/>
      <c r="J39" s="67"/>
      <c r="K39" s="67"/>
      <c r="L39" s="67"/>
      <c r="M39" s="67"/>
      <c r="N39" s="67"/>
      <c r="O39" s="67"/>
      <c r="P39" s="398"/>
      <c r="Q39" s="398"/>
      <c r="R39" s="398"/>
    </row>
    <row r="40" spans="1:18">
      <c r="B40" s="884"/>
      <c r="C40" s="3863"/>
      <c r="D40" s="3864" t="s">
        <v>3076</v>
      </c>
      <c r="E40" s="67"/>
      <c r="F40" s="67"/>
      <c r="G40" s="67"/>
      <c r="H40" s="67"/>
      <c r="I40" s="67"/>
      <c r="J40" s="67"/>
      <c r="K40" s="67"/>
      <c r="L40" s="67"/>
      <c r="M40" s="67"/>
      <c r="N40" s="67"/>
      <c r="O40" s="67"/>
      <c r="P40" s="398"/>
      <c r="Q40" s="398"/>
      <c r="R40" s="398"/>
    </row>
    <row r="41" spans="1:18">
      <c r="B41" s="877"/>
      <c r="P41" s="398"/>
      <c r="Q41" s="398"/>
      <c r="R41" s="398"/>
    </row>
    <row r="42" spans="1:18" s="6" customFormat="1" ht="23.25">
      <c r="A42" s="40"/>
      <c r="B42" s="878" t="s">
        <v>70</v>
      </c>
      <c r="C42" s="1021"/>
      <c r="D42" s="879"/>
      <c r="E42" s="879"/>
      <c r="F42" s="879"/>
      <c r="G42" s="879"/>
      <c r="H42" s="879"/>
      <c r="I42" s="879"/>
      <c r="J42" s="879"/>
      <c r="K42" s="879"/>
      <c r="L42" s="879"/>
      <c r="M42" s="879"/>
      <c r="N42" s="879"/>
      <c r="O42" s="879"/>
      <c r="P42" s="1036"/>
      <c r="Q42" s="1036"/>
      <c r="R42" s="1036"/>
    </row>
    <row r="43" spans="1:18">
      <c r="B43" s="110"/>
      <c r="C43" s="67"/>
      <c r="D43" s="67"/>
      <c r="E43" s="67"/>
      <c r="F43" s="915"/>
      <c r="G43" s="67"/>
      <c r="H43" s="67"/>
      <c r="I43" s="67"/>
      <c r="J43" s="67"/>
      <c r="K43" s="67"/>
      <c r="L43" s="67"/>
      <c r="M43" s="67"/>
      <c r="N43" s="67"/>
      <c r="O43" s="67"/>
      <c r="P43" s="398"/>
      <c r="Q43" s="398"/>
      <c r="R43" s="398"/>
    </row>
    <row r="44" spans="1:18">
      <c r="B44" s="110"/>
      <c r="C44" s="49" t="s">
        <v>786</v>
      </c>
      <c r="D44" s="67"/>
      <c r="E44" s="67"/>
      <c r="F44" s="915"/>
      <c r="G44" s="67"/>
      <c r="H44" s="67"/>
      <c r="I44" s="67"/>
      <c r="J44" s="67"/>
      <c r="K44" s="67"/>
      <c r="L44" s="67"/>
      <c r="M44" s="67"/>
      <c r="N44" s="51" t="str">
        <f>Preferences.PowerUnits</f>
        <v>GW</v>
      </c>
      <c r="O44" s="67"/>
      <c r="P44" s="398"/>
      <c r="Q44" s="398"/>
      <c r="R44" s="398"/>
    </row>
    <row r="45" spans="1:18">
      <c r="B45" s="110"/>
      <c r="C45" s="49"/>
      <c r="D45" s="67"/>
      <c r="E45" s="67"/>
      <c r="F45" s="1037"/>
      <c r="G45" s="67"/>
      <c r="H45" s="67"/>
      <c r="I45" s="67"/>
      <c r="J45" s="67"/>
      <c r="K45" s="67"/>
      <c r="L45" s="67"/>
      <c r="M45" s="67"/>
      <c r="N45" s="67"/>
      <c r="O45" s="67"/>
      <c r="P45" s="398"/>
      <c r="Q45" s="398"/>
      <c r="R45" s="398"/>
    </row>
    <row r="46" spans="1:18">
      <c r="B46" s="110"/>
      <c r="C46" s="1038" t="s">
        <v>132</v>
      </c>
      <c r="D46" s="1039"/>
      <c r="E46" s="1039"/>
      <c r="F46" s="1039">
        <v>2013</v>
      </c>
      <c r="G46" s="1038">
        <v>2015</v>
      </c>
      <c r="H46" s="1038">
        <v>2020</v>
      </c>
      <c r="I46" s="1038">
        <v>2025</v>
      </c>
      <c r="J46" s="1038">
        <v>2030</v>
      </c>
      <c r="K46" s="1038">
        <v>2035</v>
      </c>
      <c r="L46" s="1038">
        <v>2040</v>
      </c>
      <c r="M46" s="1038">
        <v>2045</v>
      </c>
      <c r="N46" s="1038">
        <v>2050</v>
      </c>
      <c r="O46" s="67"/>
      <c r="P46" s="398"/>
      <c r="Q46" s="398"/>
      <c r="R46" s="398"/>
    </row>
    <row r="47" spans="1:18">
      <c r="B47" s="110"/>
      <c r="C47" s="1040" t="s">
        <v>98</v>
      </c>
      <c r="D47" s="1041" t="s">
        <v>784</v>
      </c>
      <c r="E47" s="1041"/>
      <c r="F47" s="1042">
        <v>0</v>
      </c>
      <c r="G47" s="1043">
        <v>0</v>
      </c>
      <c r="H47" s="1043">
        <v>0</v>
      </c>
      <c r="I47" s="1043">
        <v>0</v>
      </c>
      <c r="J47" s="1043">
        <v>0</v>
      </c>
      <c r="K47" s="1043">
        <v>0</v>
      </c>
      <c r="L47" s="1043">
        <v>0</v>
      </c>
      <c r="M47" s="1043">
        <v>0</v>
      </c>
      <c r="N47" s="1043">
        <v>0</v>
      </c>
      <c r="O47" s="67"/>
      <c r="P47" s="398"/>
      <c r="Q47" s="398"/>
      <c r="R47" s="398"/>
    </row>
    <row r="48" spans="1:18">
      <c r="B48" s="110"/>
      <c r="C48" s="1040" t="s">
        <v>98</v>
      </c>
      <c r="D48" s="1041" t="s">
        <v>785</v>
      </c>
      <c r="E48" s="1041"/>
      <c r="F48" s="1042">
        <v>0</v>
      </c>
      <c r="G48" s="1043">
        <v>0</v>
      </c>
      <c r="H48" s="1043">
        <v>0</v>
      </c>
      <c r="I48" s="1043">
        <v>0</v>
      </c>
      <c r="J48" s="1043">
        <v>0</v>
      </c>
      <c r="K48" s="1043">
        <v>0</v>
      </c>
      <c r="L48" s="1043">
        <v>0</v>
      </c>
      <c r="M48" s="1043">
        <v>0</v>
      </c>
      <c r="N48" s="1043">
        <v>0</v>
      </c>
      <c r="O48" s="67"/>
      <c r="P48" s="398"/>
      <c r="Q48" s="398"/>
      <c r="R48" s="398"/>
    </row>
    <row r="49" spans="2:29">
      <c r="B49" s="110"/>
      <c r="C49" s="1044" t="s">
        <v>787</v>
      </c>
      <c r="D49" s="1045" t="s">
        <v>15</v>
      </c>
      <c r="E49" s="1045"/>
      <c r="F49" s="1046">
        <v>0</v>
      </c>
      <c r="G49" s="1047">
        <v>0</v>
      </c>
      <c r="H49" s="1047">
        <v>0</v>
      </c>
      <c r="I49" s="1047">
        <v>0</v>
      </c>
      <c r="J49" s="1047">
        <v>0</v>
      </c>
      <c r="K49" s="1047">
        <v>0</v>
      </c>
      <c r="L49" s="1047">
        <v>0</v>
      </c>
      <c r="M49" s="1047">
        <v>0</v>
      </c>
      <c r="N49" s="1047">
        <v>0</v>
      </c>
      <c r="O49" s="67"/>
      <c r="P49" s="398"/>
      <c r="Q49" s="398"/>
      <c r="R49" s="398"/>
    </row>
    <row r="50" spans="2:29">
      <c r="B50" s="110"/>
      <c r="C50" s="67"/>
      <c r="D50" s="67"/>
      <c r="E50" s="67"/>
      <c r="F50" s="67"/>
      <c r="G50" s="67"/>
      <c r="H50" s="67"/>
      <c r="I50" s="67"/>
      <c r="J50" s="67"/>
      <c r="K50" s="67"/>
      <c r="L50" s="67"/>
      <c r="M50" s="67"/>
      <c r="N50" s="67"/>
      <c r="O50" s="67"/>
      <c r="P50" s="398"/>
      <c r="Q50" s="398"/>
      <c r="R50" s="398"/>
    </row>
    <row r="51" spans="2:29">
      <c r="B51" s="135"/>
      <c r="C51" s="49" t="s">
        <v>788</v>
      </c>
      <c r="D51" s="67"/>
      <c r="E51" s="67"/>
      <c r="F51" s="67"/>
      <c r="G51" s="67"/>
      <c r="H51" s="67"/>
      <c r="I51" s="67"/>
      <c r="J51" s="67"/>
      <c r="K51" s="67"/>
      <c r="L51" s="67"/>
      <c r="M51" s="67"/>
      <c r="N51" s="1048" t="s">
        <v>789</v>
      </c>
      <c r="O51" s="67"/>
      <c r="P51" s="398"/>
      <c r="Q51" s="398"/>
      <c r="R51" s="398"/>
    </row>
    <row r="52" spans="2:29">
      <c r="B52" s="110"/>
      <c r="C52" s="67"/>
      <c r="D52" s="67"/>
      <c r="E52" s="67"/>
      <c r="F52" s="67"/>
      <c r="G52" s="67"/>
      <c r="H52" s="67"/>
      <c r="I52" s="67"/>
      <c r="J52" s="67"/>
      <c r="K52" s="67"/>
      <c r="L52" s="67"/>
      <c r="M52" s="67"/>
      <c r="N52" s="67"/>
      <c r="O52" s="67"/>
      <c r="P52" s="398"/>
      <c r="Q52" s="398"/>
      <c r="R52" s="398"/>
    </row>
    <row r="53" spans="2:29" ht="15.75">
      <c r="B53" s="55"/>
      <c r="C53" s="1049" t="s">
        <v>132</v>
      </c>
      <c r="D53" s="1049" t="s">
        <v>731</v>
      </c>
      <c r="E53" s="1049"/>
      <c r="F53" s="1050">
        <v>2013</v>
      </c>
      <c r="G53" s="1050">
        <v>2015</v>
      </c>
      <c r="H53" s="1050">
        <v>2020</v>
      </c>
      <c r="I53" s="1050">
        <v>2025</v>
      </c>
      <c r="J53" s="1050">
        <v>2030</v>
      </c>
      <c r="K53" s="1050">
        <v>2035</v>
      </c>
      <c r="L53" s="1050">
        <v>2040</v>
      </c>
      <c r="M53" s="1050">
        <v>2045</v>
      </c>
      <c r="N53" s="1050">
        <v>2050</v>
      </c>
      <c r="O53" s="67"/>
      <c r="P53" s="398"/>
      <c r="Q53" s="398"/>
      <c r="R53" s="398"/>
    </row>
    <row r="54" spans="2:29" ht="15.75">
      <c r="B54" s="55"/>
      <c r="C54" s="1051" t="s">
        <v>98</v>
      </c>
      <c r="D54" s="1052" t="s">
        <v>784</v>
      </c>
      <c r="E54" s="1053"/>
      <c r="F54" s="1054">
        <v>0</v>
      </c>
      <c r="G54" s="1054">
        <v>0</v>
      </c>
      <c r="H54" s="1054">
        <v>0</v>
      </c>
      <c r="I54" s="1054">
        <v>0.46</v>
      </c>
      <c r="J54" s="1054">
        <v>0.47</v>
      </c>
      <c r="K54" s="1054">
        <v>0.48</v>
      </c>
      <c r="L54" s="1054">
        <v>0.48</v>
      </c>
      <c r="M54" s="1054">
        <v>0.49</v>
      </c>
      <c r="N54" s="1054">
        <v>0.5</v>
      </c>
      <c r="O54" s="67"/>
      <c r="P54" s="398"/>
      <c r="Q54" s="398"/>
      <c r="R54" s="398"/>
    </row>
    <row r="55" spans="2:29" ht="15.75">
      <c r="B55" s="55"/>
      <c r="C55" s="1055" t="s">
        <v>98</v>
      </c>
      <c r="D55" s="1056" t="s">
        <v>785</v>
      </c>
      <c r="E55" s="1057"/>
      <c r="F55" s="1058">
        <v>0</v>
      </c>
      <c r="G55" s="1058">
        <v>0</v>
      </c>
      <c r="H55" s="1058">
        <v>0</v>
      </c>
      <c r="I55" s="1058">
        <v>0.46</v>
      </c>
      <c r="J55" s="1058">
        <v>0.47</v>
      </c>
      <c r="K55" s="1058">
        <v>0.48</v>
      </c>
      <c r="L55" s="1058">
        <v>0.48</v>
      </c>
      <c r="M55" s="1058">
        <v>0.49</v>
      </c>
      <c r="N55" s="1058">
        <v>0.5</v>
      </c>
      <c r="O55" s="67"/>
      <c r="P55" s="398"/>
      <c r="Q55" s="398"/>
      <c r="R55" s="398"/>
    </row>
    <row r="56" spans="2:29" s="6" customFormat="1" ht="15.75">
      <c r="B56" s="975"/>
      <c r="C56" s="1059" t="s">
        <v>100</v>
      </c>
      <c r="D56" s="1060" t="s">
        <v>15</v>
      </c>
      <c r="E56" s="1061"/>
      <c r="F56" s="1062">
        <v>0</v>
      </c>
      <c r="G56" s="1062">
        <v>0</v>
      </c>
      <c r="H56" s="1062">
        <v>0</v>
      </c>
      <c r="I56" s="1062">
        <v>0.6</v>
      </c>
      <c r="J56" s="1062">
        <v>0.61</v>
      </c>
      <c r="K56" s="1062">
        <v>0.62</v>
      </c>
      <c r="L56" s="1062">
        <v>0.63</v>
      </c>
      <c r="M56" s="1062">
        <v>0.64</v>
      </c>
      <c r="N56" s="1062">
        <v>0.65</v>
      </c>
      <c r="O56" s="108"/>
      <c r="P56" s="1036"/>
      <c r="Q56" s="398"/>
      <c r="R56" s="398"/>
      <c r="S56"/>
      <c r="T56"/>
      <c r="U56"/>
      <c r="V56"/>
      <c r="W56"/>
      <c r="X56"/>
      <c r="Y56"/>
      <c r="Z56"/>
      <c r="AA56"/>
      <c r="AB56"/>
      <c r="AC56"/>
    </row>
    <row r="57" spans="2:29">
      <c r="B57" s="110"/>
      <c r="C57" s="67"/>
      <c r="D57" s="67"/>
      <c r="E57" s="67"/>
      <c r="F57" s="67"/>
      <c r="G57" s="1063"/>
      <c r="H57" s="1063"/>
      <c r="I57" s="1063"/>
      <c r="J57" s="1063"/>
      <c r="K57" s="1063"/>
      <c r="L57" s="1063"/>
      <c r="M57" s="1063"/>
      <c r="N57" s="67"/>
      <c r="O57" s="67"/>
      <c r="P57" s="398"/>
      <c r="Q57" s="398"/>
      <c r="R57" s="398"/>
    </row>
    <row r="58" spans="2:29">
      <c r="B58" s="110"/>
      <c r="C58" s="49" t="s">
        <v>790</v>
      </c>
      <c r="D58" s="67"/>
      <c r="E58" s="67"/>
      <c r="F58" s="67"/>
      <c r="G58" s="1064"/>
      <c r="H58" s="1064"/>
      <c r="I58" s="1064"/>
      <c r="J58" s="1064"/>
      <c r="K58" s="1064"/>
      <c r="L58" s="1064"/>
      <c r="M58" s="1064"/>
      <c r="N58" s="1048" t="s">
        <v>791</v>
      </c>
      <c r="O58" s="67"/>
      <c r="P58" s="398"/>
      <c r="Q58" s="398"/>
      <c r="R58" s="398"/>
    </row>
    <row r="59" spans="2:29">
      <c r="B59" s="110"/>
      <c r="C59" s="67"/>
      <c r="D59" s="67"/>
      <c r="E59" s="67"/>
      <c r="F59" s="67"/>
      <c r="G59" s="67"/>
      <c r="H59" s="67"/>
      <c r="I59" s="67"/>
      <c r="J59" s="67"/>
      <c r="K59" s="67"/>
      <c r="L59" s="67"/>
      <c r="M59" s="67"/>
      <c r="N59" s="67"/>
      <c r="O59" s="67"/>
      <c r="P59" s="398"/>
      <c r="Q59" s="398"/>
      <c r="R59" s="398"/>
    </row>
    <row r="60" spans="2:29" ht="15.75">
      <c r="B60" s="55"/>
      <c r="C60" s="1049" t="s">
        <v>792</v>
      </c>
      <c r="D60" s="1049" t="s">
        <v>731</v>
      </c>
      <c r="E60" s="1049"/>
      <c r="F60" s="1050">
        <v>2013</v>
      </c>
      <c r="G60" s="1050">
        <v>2015</v>
      </c>
      <c r="H60" s="1050">
        <v>2020</v>
      </c>
      <c r="I60" s="1050">
        <v>2025</v>
      </c>
      <c r="J60" s="1050">
        <v>2030</v>
      </c>
      <c r="K60" s="1050">
        <v>2035</v>
      </c>
      <c r="L60" s="1050">
        <v>2040</v>
      </c>
      <c r="M60" s="1050">
        <v>2045</v>
      </c>
      <c r="N60" s="1050">
        <v>2050</v>
      </c>
      <c r="O60" s="67"/>
      <c r="P60" s="398"/>
      <c r="Q60" s="398"/>
      <c r="R60" s="398"/>
    </row>
    <row r="61" spans="2:29" ht="15.75">
      <c r="B61" s="55"/>
      <c r="C61" s="1051" t="s">
        <v>98</v>
      </c>
      <c r="D61" s="1052" t="s">
        <v>784</v>
      </c>
      <c r="E61" s="1053"/>
      <c r="F61" s="1054"/>
      <c r="G61" s="1054">
        <v>0</v>
      </c>
      <c r="H61" s="1054">
        <v>0</v>
      </c>
      <c r="I61" s="1054">
        <v>7.0000000000000007E-2</v>
      </c>
      <c r="J61" s="1054">
        <v>7.0000000000000007E-2</v>
      </c>
      <c r="K61" s="1054">
        <v>7.0000000000000007E-2</v>
      </c>
      <c r="L61" s="1054">
        <v>7.0000000000000007E-2</v>
      </c>
      <c r="M61" s="1054">
        <v>7.0000000000000007E-2</v>
      </c>
      <c r="N61" s="1054">
        <v>7.0000000000000007E-2</v>
      </c>
      <c r="O61" s="67"/>
      <c r="P61" s="398"/>
      <c r="Q61" s="398"/>
      <c r="R61" s="398"/>
    </row>
    <row r="62" spans="2:29" ht="15.75">
      <c r="B62" s="55"/>
      <c r="C62" s="1055" t="s">
        <v>98</v>
      </c>
      <c r="D62" s="1056" t="s">
        <v>785</v>
      </c>
      <c r="E62" s="1057"/>
      <c r="F62" s="1058"/>
      <c r="G62" s="1058">
        <v>0</v>
      </c>
      <c r="H62" s="1058">
        <v>0</v>
      </c>
      <c r="I62" s="1058">
        <v>0.05</v>
      </c>
      <c r="J62" s="1058">
        <v>0.05</v>
      </c>
      <c r="K62" s="1058">
        <v>0.05</v>
      </c>
      <c r="L62" s="1058">
        <v>0.05</v>
      </c>
      <c r="M62" s="1058">
        <v>0.05</v>
      </c>
      <c r="N62" s="1058">
        <v>0.05</v>
      </c>
      <c r="O62" s="67"/>
      <c r="P62" s="398"/>
      <c r="Q62" s="398"/>
      <c r="R62" s="398"/>
    </row>
    <row r="63" spans="2:29" ht="15.75">
      <c r="B63" s="55"/>
      <c r="C63" s="1059" t="s">
        <v>100</v>
      </c>
      <c r="D63" s="1060" t="s">
        <v>15</v>
      </c>
      <c r="E63" s="1061"/>
      <c r="F63" s="1062"/>
      <c r="G63" s="1062">
        <v>0</v>
      </c>
      <c r="H63" s="1062">
        <v>0</v>
      </c>
      <c r="I63" s="1062">
        <v>0.02</v>
      </c>
      <c r="J63" s="1062">
        <v>0.02</v>
      </c>
      <c r="K63" s="1062">
        <v>0.02</v>
      </c>
      <c r="L63" s="1062">
        <v>0.02</v>
      </c>
      <c r="M63" s="1062">
        <v>0.02</v>
      </c>
      <c r="N63" s="1062">
        <v>0.02</v>
      </c>
      <c r="O63" s="67"/>
      <c r="P63" s="398"/>
      <c r="Q63" s="398"/>
      <c r="R63" s="398"/>
    </row>
    <row r="64" spans="2:29" ht="15.75">
      <c r="B64" s="55"/>
      <c r="C64" s="65"/>
      <c r="D64" s="108"/>
      <c r="E64" s="108"/>
      <c r="F64" s="93"/>
      <c r="G64" s="1065"/>
      <c r="H64" s="1065"/>
      <c r="I64" s="1065"/>
      <c r="J64" s="1065"/>
      <c r="K64" s="1065"/>
      <c r="L64" s="1065"/>
      <c r="M64" s="1065"/>
      <c r="N64" s="190"/>
      <c r="O64" s="67"/>
      <c r="P64" s="398"/>
      <c r="Q64" s="398"/>
      <c r="R64" s="398"/>
    </row>
    <row r="65" spans="2:26" ht="15.75">
      <c r="B65" s="55"/>
      <c r="C65" s="49" t="s">
        <v>793</v>
      </c>
      <c r="D65" s="108"/>
      <c r="E65" s="108"/>
      <c r="F65" s="93"/>
      <c r="G65" s="1065"/>
      <c r="H65" s="1065"/>
      <c r="I65" s="1065"/>
      <c r="J65" s="1065"/>
      <c r="K65" s="1065"/>
      <c r="L65" s="1065"/>
      <c r="M65" s="1065"/>
      <c r="N65" s="1048" t="s">
        <v>791</v>
      </c>
      <c r="O65" s="67"/>
      <c r="P65" s="398"/>
      <c r="Q65" s="398"/>
      <c r="R65" s="398"/>
    </row>
    <row r="66" spans="2:26" ht="15.75">
      <c r="B66" s="55"/>
      <c r="C66" s="49"/>
      <c r="D66" s="108"/>
      <c r="E66" s="108"/>
      <c r="F66" s="93"/>
      <c r="G66" s="1065"/>
      <c r="H66" s="1065"/>
      <c r="I66" s="1065"/>
      <c r="J66" s="1065"/>
      <c r="K66" s="1065"/>
      <c r="L66" s="1065"/>
      <c r="M66" s="1065"/>
      <c r="N66" s="1048"/>
      <c r="O66" s="67"/>
      <c r="P66" s="398"/>
      <c r="Q66" s="398"/>
      <c r="R66" s="398"/>
    </row>
    <row r="67" spans="2:26" ht="15.75">
      <c r="B67" s="55"/>
      <c r="C67" s="1049" t="s">
        <v>132</v>
      </c>
      <c r="D67" s="1049" t="s">
        <v>731</v>
      </c>
      <c r="E67" s="1049"/>
      <c r="F67" s="1050">
        <v>2013</v>
      </c>
      <c r="G67" s="1050">
        <v>2015</v>
      </c>
      <c r="H67" s="1050">
        <v>2020</v>
      </c>
      <c r="I67" s="1050">
        <v>2025</v>
      </c>
      <c r="J67" s="1050">
        <v>2030</v>
      </c>
      <c r="K67" s="1050">
        <v>2035</v>
      </c>
      <c r="L67" s="1050">
        <v>2040</v>
      </c>
      <c r="M67" s="1050">
        <v>2045</v>
      </c>
      <c r="N67" s="1050">
        <v>2050</v>
      </c>
      <c r="O67" s="67"/>
      <c r="P67" s="398"/>
      <c r="Q67" s="398"/>
      <c r="R67" s="398"/>
    </row>
    <row r="68" spans="2:26" ht="15.75">
      <c r="B68" s="55"/>
      <c r="C68" s="1051" t="s">
        <v>98</v>
      </c>
      <c r="D68" s="1052" t="s">
        <v>784</v>
      </c>
      <c r="E68" s="1053"/>
      <c r="F68" s="1054"/>
      <c r="G68" s="1054">
        <v>0</v>
      </c>
      <c r="H68" s="1054">
        <v>0</v>
      </c>
      <c r="I68" s="1054">
        <v>0.158</v>
      </c>
      <c r="J68" s="1054">
        <v>0.155</v>
      </c>
      <c r="K68" s="1054">
        <v>0.153</v>
      </c>
      <c r="L68" s="1054">
        <v>0.151</v>
      </c>
      <c r="M68" s="1054">
        <v>0.14800000000000002</v>
      </c>
      <c r="N68" s="1054">
        <v>0.14600000000000002</v>
      </c>
      <c r="O68" s="67"/>
      <c r="P68" s="398"/>
      <c r="Q68" s="398"/>
      <c r="R68" s="398"/>
    </row>
    <row r="69" spans="2:26" ht="15.75">
      <c r="B69" s="55"/>
      <c r="C69" s="1055" t="s">
        <v>98</v>
      </c>
      <c r="D69" s="1056" t="s">
        <v>785</v>
      </c>
      <c r="E69" s="1057"/>
      <c r="F69" s="1058"/>
      <c r="G69" s="1058">
        <v>0</v>
      </c>
      <c r="H69" s="1058">
        <v>0</v>
      </c>
      <c r="I69" s="1058">
        <v>0.14000000000000001</v>
      </c>
      <c r="J69" s="1058">
        <v>0.13500000000000001</v>
      </c>
      <c r="K69" s="1058">
        <v>0.13300000000000001</v>
      </c>
      <c r="L69" s="1058">
        <v>0.13100000000000001</v>
      </c>
      <c r="M69" s="1058">
        <v>0.128</v>
      </c>
      <c r="N69" s="1058">
        <v>0.126</v>
      </c>
      <c r="O69" s="67"/>
      <c r="P69" s="398"/>
      <c r="Q69" s="398"/>
      <c r="R69" s="398"/>
    </row>
    <row r="70" spans="2:26">
      <c r="B70" s="110"/>
      <c r="C70" s="1059" t="s">
        <v>100</v>
      </c>
      <c r="D70" s="1060" t="s">
        <v>15</v>
      </c>
      <c r="E70" s="1061"/>
      <c r="F70" s="1062"/>
      <c r="G70" s="1062">
        <v>0</v>
      </c>
      <c r="H70" s="1062">
        <v>0</v>
      </c>
      <c r="I70" s="1062">
        <v>0.11299999999999999</v>
      </c>
      <c r="J70" s="1062">
        <v>0.10800000000000001</v>
      </c>
      <c r="K70" s="1062">
        <v>0.10700000000000001</v>
      </c>
      <c r="L70" s="1062">
        <v>0.10600000000000001</v>
      </c>
      <c r="M70" s="1062">
        <v>0.10500000000000001</v>
      </c>
      <c r="N70" s="1062">
        <v>0.1</v>
      </c>
      <c r="O70" s="67"/>
      <c r="P70" s="398"/>
      <c r="Q70" s="398"/>
      <c r="R70" s="398"/>
    </row>
    <row r="71" spans="2:26">
      <c r="B71" s="110"/>
      <c r="C71" s="65"/>
      <c r="D71" s="1066"/>
      <c r="E71" s="108"/>
      <c r="F71" s="94"/>
      <c r="G71" s="1067"/>
      <c r="H71" s="1067"/>
      <c r="I71" s="1068"/>
      <c r="J71" s="1067"/>
      <c r="K71" s="1067"/>
      <c r="L71" s="1067"/>
      <c r="M71" s="1067"/>
      <c r="N71" s="1069"/>
      <c r="O71" s="67"/>
      <c r="P71" s="398"/>
      <c r="Q71" s="398"/>
      <c r="R71" s="398"/>
    </row>
    <row r="72" spans="2:26">
      <c r="B72" s="135"/>
      <c r="C72" s="49" t="s">
        <v>794</v>
      </c>
      <c r="D72" s="67"/>
      <c r="E72" s="67"/>
      <c r="F72" s="67"/>
      <c r="G72" s="67"/>
      <c r="H72" s="67"/>
      <c r="I72" s="67"/>
      <c r="J72" s="67"/>
      <c r="K72" s="67"/>
      <c r="L72" s="67"/>
      <c r="M72" s="67"/>
      <c r="N72" s="67" t="s">
        <v>795</v>
      </c>
      <c r="O72" s="67"/>
      <c r="P72" s="398"/>
      <c r="Q72" s="398"/>
      <c r="R72" s="398"/>
    </row>
    <row r="73" spans="2:26">
      <c r="B73" s="110"/>
      <c r="C73" s="67"/>
      <c r="D73" s="67"/>
      <c r="E73" s="67"/>
      <c r="F73" s="67"/>
      <c r="G73" s="67"/>
      <c r="H73" s="67"/>
      <c r="I73" s="67"/>
      <c r="J73" s="67"/>
      <c r="K73" s="67"/>
      <c r="L73" s="67"/>
      <c r="M73" s="67"/>
      <c r="N73" s="67"/>
      <c r="O73" s="67"/>
      <c r="P73" s="398"/>
      <c r="Q73" s="398"/>
      <c r="R73" s="398"/>
    </row>
    <row r="74" spans="2:26" ht="15.75">
      <c r="B74" s="55"/>
      <c r="C74" s="1049" t="s">
        <v>132</v>
      </c>
      <c r="D74" s="1049" t="s">
        <v>731</v>
      </c>
      <c r="E74" s="1049"/>
      <c r="F74" s="1050">
        <v>2013</v>
      </c>
      <c r="G74" s="1050">
        <v>2015</v>
      </c>
      <c r="H74" s="1050">
        <v>2020</v>
      </c>
      <c r="I74" s="1050">
        <v>2025</v>
      </c>
      <c r="J74" s="1050">
        <v>2030</v>
      </c>
      <c r="K74" s="1050">
        <v>2035</v>
      </c>
      <c r="L74" s="1050">
        <v>2040</v>
      </c>
      <c r="M74" s="1050">
        <v>2045</v>
      </c>
      <c r="N74" s="1050">
        <v>2050</v>
      </c>
      <c r="O74" s="67"/>
      <c r="P74" s="398"/>
      <c r="Q74" s="398"/>
      <c r="R74" s="398"/>
    </row>
    <row r="75" spans="2:26" s="6" customFormat="1" ht="15.75">
      <c r="B75" s="975"/>
      <c r="C75" s="1051" t="s">
        <v>98</v>
      </c>
      <c r="D75" s="1052" t="s">
        <v>784</v>
      </c>
      <c r="E75" s="1053"/>
      <c r="F75" s="1054"/>
      <c r="G75" s="1054">
        <v>0</v>
      </c>
      <c r="H75" s="1054">
        <v>0</v>
      </c>
      <c r="I75" s="1054">
        <v>0</v>
      </c>
      <c r="J75" s="1054">
        <v>0.85</v>
      </c>
      <c r="K75" s="1054">
        <v>0.85</v>
      </c>
      <c r="L75" s="1054">
        <v>0.85</v>
      </c>
      <c r="M75" s="1054">
        <v>0.85</v>
      </c>
      <c r="N75" s="1054">
        <v>0.85</v>
      </c>
      <c r="O75" s="108"/>
      <c r="P75" s="1036"/>
      <c r="Q75" s="1036"/>
      <c r="R75" s="398"/>
      <c r="S75"/>
      <c r="T75"/>
      <c r="U75"/>
      <c r="V75"/>
      <c r="W75"/>
      <c r="X75"/>
      <c r="Y75"/>
      <c r="Z75"/>
    </row>
    <row r="76" spans="2:26" s="6" customFormat="1" ht="15.75">
      <c r="B76" s="975"/>
      <c r="C76" s="1055" t="s">
        <v>98</v>
      </c>
      <c r="D76" s="1056" t="s">
        <v>785</v>
      </c>
      <c r="E76" s="1057"/>
      <c r="F76" s="1058"/>
      <c r="G76" s="1058">
        <v>0</v>
      </c>
      <c r="H76" s="1058">
        <v>0</v>
      </c>
      <c r="I76" s="1058">
        <v>0</v>
      </c>
      <c r="J76" s="1058">
        <v>0.85</v>
      </c>
      <c r="K76" s="1058">
        <v>0.85</v>
      </c>
      <c r="L76" s="1058">
        <v>0.85</v>
      </c>
      <c r="M76" s="1058">
        <v>0.85</v>
      </c>
      <c r="N76" s="1058">
        <v>0.85</v>
      </c>
      <c r="O76" s="108"/>
      <c r="P76" s="1036"/>
      <c r="Q76" s="1036"/>
      <c r="R76" s="398"/>
      <c r="S76"/>
      <c r="T76"/>
      <c r="U76"/>
      <c r="V76"/>
      <c r="W76"/>
      <c r="X76"/>
      <c r="Y76"/>
      <c r="Z76"/>
    </row>
    <row r="77" spans="2:26" s="6" customFormat="1" ht="15.75">
      <c r="B77" s="975"/>
      <c r="C77" s="1059" t="s">
        <v>100</v>
      </c>
      <c r="D77" s="1060" t="s">
        <v>15</v>
      </c>
      <c r="E77" s="1061"/>
      <c r="F77" s="1062"/>
      <c r="G77" s="1062">
        <v>0</v>
      </c>
      <c r="H77" s="1062">
        <v>0</v>
      </c>
      <c r="I77" s="1062">
        <v>0</v>
      </c>
      <c r="J77" s="1062">
        <v>0.85</v>
      </c>
      <c r="K77" s="1062">
        <v>0.85</v>
      </c>
      <c r="L77" s="1062">
        <v>0.85</v>
      </c>
      <c r="M77" s="1062">
        <v>0.85</v>
      </c>
      <c r="N77" s="1062">
        <v>0.85</v>
      </c>
      <c r="O77" s="108"/>
      <c r="P77" s="1036"/>
      <c r="Q77" s="1036"/>
      <c r="R77" s="398"/>
      <c r="S77"/>
      <c r="T77"/>
      <c r="U77"/>
      <c r="V77"/>
      <c r="W77"/>
      <c r="X77"/>
      <c r="Y77"/>
      <c r="Z77"/>
    </row>
    <row r="78" spans="2:26">
      <c r="B78" s="110"/>
      <c r="C78" s="67"/>
      <c r="D78" s="67"/>
      <c r="E78" s="67"/>
      <c r="F78" s="67"/>
      <c r="G78" s="67"/>
      <c r="H78" s="67"/>
      <c r="I78" s="67"/>
      <c r="J78" s="67"/>
      <c r="K78" s="67"/>
      <c r="L78" s="67"/>
      <c r="M78" s="67"/>
      <c r="N78" s="67"/>
      <c r="O78" s="67"/>
      <c r="P78" s="398"/>
      <c r="Q78" s="398"/>
      <c r="R78" s="398"/>
    </row>
    <row r="79" spans="2:26">
      <c r="B79" s="110"/>
      <c r="C79" s="49" t="s">
        <v>796</v>
      </c>
      <c r="D79" s="67"/>
      <c r="E79" s="67"/>
      <c r="F79" s="67"/>
      <c r="G79" s="67"/>
      <c r="H79" s="67"/>
      <c r="I79" s="67"/>
      <c r="J79" s="67"/>
      <c r="K79" s="67"/>
      <c r="L79" s="67"/>
      <c r="M79" s="67"/>
      <c r="N79" s="67"/>
      <c r="O79" s="67"/>
      <c r="P79" s="398"/>
      <c r="Q79" s="398"/>
      <c r="R79" s="398"/>
    </row>
    <row r="80" spans="2:26">
      <c r="B80" s="110"/>
      <c r="C80" s="67"/>
      <c r="D80" s="67"/>
      <c r="E80" s="67"/>
      <c r="F80" s="67"/>
      <c r="G80" s="67"/>
      <c r="H80" s="67"/>
      <c r="I80" s="67"/>
      <c r="J80" s="67"/>
      <c r="K80" s="67"/>
      <c r="L80" s="67"/>
      <c r="M80" s="67"/>
      <c r="N80" s="67"/>
      <c r="O80" s="67"/>
      <c r="P80" s="398"/>
      <c r="Q80" s="398"/>
      <c r="R80" s="398"/>
    </row>
    <row r="81" spans="2:18" ht="15.75">
      <c r="B81" s="55"/>
      <c r="C81" s="887" t="s">
        <v>132</v>
      </c>
      <c r="D81" s="887" t="s">
        <v>731</v>
      </c>
      <c r="E81" s="887" t="s">
        <v>30</v>
      </c>
      <c r="F81" s="92">
        <v>2013</v>
      </c>
      <c r="G81" s="92">
        <v>2015</v>
      </c>
      <c r="H81" s="92">
        <v>2020</v>
      </c>
      <c r="I81" s="92">
        <v>2025</v>
      </c>
      <c r="J81" s="92">
        <v>2030</v>
      </c>
      <c r="K81" s="92">
        <v>2035</v>
      </c>
      <c r="L81" s="92">
        <v>2040</v>
      </c>
      <c r="M81" s="92">
        <v>2045</v>
      </c>
      <c r="N81" s="92">
        <v>2050</v>
      </c>
      <c r="O81" s="67"/>
      <c r="P81" s="398"/>
      <c r="Q81" s="398"/>
      <c r="R81" s="398"/>
    </row>
    <row r="82" spans="2:18" ht="15.75">
      <c r="B82" s="55"/>
      <c r="C82" s="896"/>
      <c r="D82" s="897"/>
      <c r="E82" s="897"/>
      <c r="F82" s="99">
        <v>0</v>
      </c>
      <c r="G82" s="98">
        <v>0</v>
      </c>
      <c r="H82" s="98">
        <v>0</v>
      </c>
      <c r="I82" s="98">
        <v>0.9</v>
      </c>
      <c r="J82" s="98">
        <v>0.9</v>
      </c>
      <c r="K82" s="98">
        <v>0.9</v>
      </c>
      <c r="L82" s="98">
        <v>0.9</v>
      </c>
      <c r="M82" s="98">
        <v>0.9</v>
      </c>
      <c r="N82" s="98">
        <v>0.9</v>
      </c>
      <c r="O82" s="67"/>
      <c r="P82" s="398"/>
      <c r="Q82" s="398"/>
      <c r="R82" s="398"/>
    </row>
    <row r="83" spans="2:18">
      <c r="B83" s="110"/>
      <c r="C83" s="67"/>
      <c r="D83" s="67"/>
      <c r="E83" s="67"/>
      <c r="F83" s="67"/>
      <c r="G83" s="67"/>
      <c r="H83" s="67"/>
      <c r="I83" s="67"/>
      <c r="J83" s="67"/>
      <c r="K83" s="67"/>
      <c r="L83" s="67"/>
      <c r="M83" s="67"/>
      <c r="N83" s="67"/>
      <c r="O83" s="67"/>
      <c r="P83" s="398"/>
      <c r="Q83" s="398"/>
      <c r="R83" s="398"/>
    </row>
    <row r="84" spans="2:18" ht="15.75">
      <c r="B84" s="55"/>
      <c r="C84" s="49" t="s">
        <v>797</v>
      </c>
      <c r="D84" s="67"/>
      <c r="E84" s="67"/>
      <c r="F84" s="67"/>
      <c r="G84" s="67"/>
      <c r="H84" s="67"/>
      <c r="I84" s="67"/>
      <c r="J84" s="67"/>
      <c r="K84" s="67"/>
      <c r="L84" s="67"/>
      <c r="M84" s="67"/>
      <c r="N84" s="67"/>
      <c r="O84" s="67"/>
      <c r="P84" s="398"/>
      <c r="Q84" s="398"/>
      <c r="R84" s="398"/>
    </row>
    <row r="85" spans="2:18" ht="15.75">
      <c r="B85" s="55"/>
      <c r="C85" s="67"/>
      <c r="D85" s="67"/>
      <c r="E85" s="67"/>
      <c r="F85" s="67"/>
      <c r="G85" s="67"/>
      <c r="H85" s="67"/>
      <c r="I85" s="67"/>
      <c r="J85" s="67"/>
      <c r="K85" s="67"/>
      <c r="L85" s="67"/>
      <c r="M85" s="67"/>
      <c r="N85" s="67"/>
      <c r="O85" s="67"/>
      <c r="P85" s="398"/>
      <c r="Q85" s="398"/>
      <c r="R85" s="398"/>
    </row>
    <row r="86" spans="2:18" ht="15.75">
      <c r="B86" s="55"/>
      <c r="C86" s="887"/>
      <c r="D86" s="887"/>
      <c r="E86" s="887"/>
      <c r="F86" s="92"/>
      <c r="G86" s="1161" t="s">
        <v>895</v>
      </c>
      <c r="H86" s="67"/>
      <c r="I86" s="920"/>
      <c r="J86" s="920"/>
      <c r="K86" s="920"/>
      <c r="L86" s="920"/>
      <c r="M86" s="920"/>
      <c r="N86" s="920"/>
      <c r="O86" s="67"/>
      <c r="P86" s="398"/>
      <c r="Q86" s="398"/>
      <c r="R86" s="398"/>
    </row>
    <row r="87" spans="2:18" ht="15.75">
      <c r="B87" s="55"/>
      <c r="C87" s="926"/>
      <c r="D87" s="199" t="s">
        <v>737</v>
      </c>
      <c r="E87" s="199"/>
      <c r="F87" s="1023">
        <f>0.5*Unit.GW</f>
        <v>0.5</v>
      </c>
      <c r="G87" s="1165" t="str">
        <f>Preferences.PowerUnits&amp;"peak"</f>
        <v>GWpeak</v>
      </c>
      <c r="H87" s="67"/>
      <c r="I87" s="59"/>
      <c r="J87" s="59"/>
      <c r="K87" s="59"/>
      <c r="L87" s="59"/>
      <c r="M87" s="59"/>
      <c r="N87" s="59"/>
      <c r="O87" s="67"/>
      <c r="P87" s="398"/>
      <c r="Q87" s="398"/>
      <c r="R87" s="398"/>
    </row>
    <row r="88" spans="2:18">
      <c r="B88" s="110"/>
      <c r="C88" s="67"/>
      <c r="D88" s="67"/>
      <c r="E88" s="67"/>
      <c r="F88" s="67"/>
      <c r="G88" s="67"/>
      <c r="H88" s="67"/>
      <c r="I88" s="67" t="s">
        <v>5</v>
      </c>
      <c r="J88" s="67"/>
      <c r="K88" s="67"/>
      <c r="L88" s="67"/>
      <c r="M88" s="67"/>
      <c r="N88" s="67"/>
      <c r="O88" s="67"/>
      <c r="P88" s="398"/>
      <c r="Q88" s="398"/>
      <c r="R88" s="398"/>
    </row>
    <row r="89" spans="2:18" ht="15.75">
      <c r="B89" s="55"/>
      <c r="C89" s="89" t="s">
        <v>798</v>
      </c>
      <c r="D89" s="108"/>
      <c r="E89" s="108"/>
      <c r="F89" s="172"/>
      <c r="G89" s="943"/>
      <c r="H89" s="67"/>
      <c r="I89" s="59"/>
      <c r="J89" s="59"/>
      <c r="K89" s="59"/>
      <c r="L89" s="59"/>
      <c r="M89" s="59"/>
      <c r="N89" s="2479" t="str">
        <f>"Kte/"&amp;Preferences.EnergyUnits</f>
        <v>Kte/TWh</v>
      </c>
      <c r="O89" s="67"/>
      <c r="P89" s="398"/>
      <c r="Q89" s="398"/>
      <c r="R89" s="398"/>
    </row>
    <row r="90" spans="2:18" ht="15.75">
      <c r="B90" s="55"/>
      <c r="C90" s="89"/>
      <c r="D90" s="108"/>
      <c r="E90" s="108"/>
      <c r="F90" s="172"/>
      <c r="G90" s="943"/>
      <c r="H90" s="67"/>
      <c r="I90" s="59"/>
      <c r="J90" s="59"/>
      <c r="K90" s="59"/>
      <c r="L90" s="59"/>
      <c r="M90" s="59"/>
      <c r="N90" s="59"/>
      <c r="O90" s="67"/>
      <c r="P90" s="398"/>
      <c r="Q90" s="398"/>
      <c r="R90" s="398"/>
    </row>
    <row r="91" spans="2:18" ht="15.75">
      <c r="B91" s="55"/>
      <c r="C91" s="887" t="s">
        <v>44</v>
      </c>
      <c r="D91" s="887" t="s">
        <v>131</v>
      </c>
      <c r="E91" s="887" t="s">
        <v>28</v>
      </c>
      <c r="F91" s="888">
        <v>2013</v>
      </c>
      <c r="G91" s="92" t="s">
        <v>133</v>
      </c>
      <c r="H91" s="92" t="s">
        <v>134</v>
      </c>
      <c r="I91" s="92" t="s">
        <v>135</v>
      </c>
      <c r="J91" s="92" t="s">
        <v>136</v>
      </c>
      <c r="K91" s="92" t="s">
        <v>137</v>
      </c>
      <c r="L91" s="92" t="s">
        <v>138</v>
      </c>
      <c r="M91" s="92" t="s">
        <v>139</v>
      </c>
      <c r="N91" s="92" t="s">
        <v>140</v>
      </c>
      <c r="O91" s="59"/>
      <c r="P91" s="398"/>
      <c r="Q91" s="398"/>
      <c r="R91" s="398"/>
    </row>
    <row r="92" spans="2:18" ht="15.75">
      <c r="B92" s="55"/>
      <c r="C92" s="65" t="s">
        <v>553</v>
      </c>
      <c r="D92" s="1034" t="s">
        <v>799</v>
      </c>
      <c r="E92" s="1034" t="s">
        <v>88</v>
      </c>
      <c r="F92" s="2442"/>
      <c r="G92" s="2442"/>
      <c r="H92" s="2442"/>
      <c r="I92" s="2442">
        <f t="shared" ref="I92:N92" si="1">0.00572952284099682*(1/Unit.TWh)</f>
        <v>5.7295228409968198E-3</v>
      </c>
      <c r="J92" s="2442">
        <f t="shared" si="1"/>
        <v>5.7295228409968198E-3</v>
      </c>
      <c r="K92" s="2442">
        <f t="shared" si="1"/>
        <v>5.7295228409968198E-3</v>
      </c>
      <c r="L92" s="2442">
        <f t="shared" si="1"/>
        <v>5.7295228409968198E-3</v>
      </c>
      <c r="M92" s="2442">
        <f t="shared" si="1"/>
        <v>5.7295228409968198E-3</v>
      </c>
      <c r="N92" s="2442">
        <f t="shared" si="1"/>
        <v>5.7295228409968198E-3</v>
      </c>
      <c r="O92" s="59"/>
      <c r="P92" s="398"/>
      <c r="Q92" s="398"/>
      <c r="R92" s="398"/>
    </row>
    <row r="93" spans="2:18" ht="15.75">
      <c r="B93" s="55"/>
      <c r="C93" s="926" t="s">
        <v>553</v>
      </c>
      <c r="D93" s="1023" t="s">
        <v>799</v>
      </c>
      <c r="E93" s="1023" t="s">
        <v>90</v>
      </c>
      <c r="F93" s="2443"/>
      <c r="G93" s="2443"/>
      <c r="H93" s="2443"/>
      <c r="I93" s="2443">
        <f>0.00309723515657493*(1/Unit.TWh)</f>
        <v>3.0972351565749299E-3</v>
      </c>
      <c r="J93" s="2443">
        <f>0.00309727451363559*(1/Unit.TWh)</f>
        <v>3.0972745136355899E-3</v>
      </c>
      <c r="K93" s="2443">
        <f>0.00309727451363559*(1/Unit.TWh)</f>
        <v>3.0972745136355899E-3</v>
      </c>
      <c r="L93" s="2443">
        <f>0.00309727451363559*(1/Unit.TWh)</f>
        <v>3.0972745136355899E-3</v>
      </c>
      <c r="M93" s="2443">
        <f>0.00309727451363559*(1/Unit.TWh)</f>
        <v>3.0972745136355899E-3</v>
      </c>
      <c r="N93" s="2443">
        <f>0.00309727451363559*(1/Unit.TWh)</f>
        <v>3.0972745136355899E-3</v>
      </c>
      <c r="O93" s="59"/>
      <c r="P93" s="398"/>
      <c r="Q93" s="398"/>
      <c r="R93" s="398"/>
    </row>
    <row r="94" spans="2:18" ht="15.75">
      <c r="B94" s="55"/>
      <c r="C94" s="65"/>
      <c r="D94" s="108"/>
      <c r="E94" s="108"/>
      <c r="F94" s="943"/>
      <c r="G94" s="943"/>
      <c r="H94" s="67"/>
      <c r="I94" s="2478"/>
      <c r="J94" s="2478"/>
      <c r="K94" s="2478"/>
      <c r="L94" s="2478"/>
      <c r="M94" s="2478"/>
      <c r="N94" s="2478"/>
      <c r="O94" s="59"/>
      <c r="P94" s="398"/>
      <c r="Q94" s="398"/>
      <c r="R94" s="398"/>
    </row>
    <row r="95" spans="2:18" ht="15.75">
      <c r="B95" s="55"/>
      <c r="C95" s="89" t="s">
        <v>800</v>
      </c>
      <c r="D95" s="108"/>
      <c r="E95" s="108"/>
      <c r="F95" s="943"/>
      <c r="G95" s="943"/>
      <c r="H95" s="67"/>
      <c r="I95" s="2478"/>
      <c r="J95" s="2478"/>
      <c r="K95" s="2478"/>
      <c r="L95" s="2478"/>
      <c r="M95" s="2478"/>
      <c r="N95" s="2479" t="str">
        <f>"Kte/"&amp;Preferences.EnergyUnits</f>
        <v>Kte/TWh</v>
      </c>
      <c r="O95" s="67"/>
      <c r="P95" s="398"/>
      <c r="Q95" s="398"/>
      <c r="R95" s="398"/>
    </row>
    <row r="96" spans="2:18" ht="15.75">
      <c r="B96" s="55"/>
      <c r="C96" s="89"/>
      <c r="D96" s="108"/>
      <c r="E96" s="108"/>
      <c r="F96" s="943"/>
      <c r="G96" s="943"/>
      <c r="H96" s="67"/>
      <c r="I96" s="2478"/>
      <c r="J96" s="2478"/>
      <c r="K96" s="2478"/>
      <c r="L96" s="2478"/>
      <c r="M96" s="2478"/>
      <c r="N96" s="2478"/>
      <c r="O96" s="67"/>
      <c r="P96" s="398"/>
      <c r="Q96" s="398"/>
      <c r="R96" s="398"/>
    </row>
    <row r="97" spans="2:18" ht="15.75">
      <c r="B97" s="55"/>
      <c r="C97" s="887" t="s">
        <v>44</v>
      </c>
      <c r="D97" s="887" t="s">
        <v>131</v>
      </c>
      <c r="E97" s="887" t="s">
        <v>28</v>
      </c>
      <c r="F97" s="92">
        <v>2013</v>
      </c>
      <c r="G97" s="92" t="s">
        <v>133</v>
      </c>
      <c r="H97" s="92" t="s">
        <v>134</v>
      </c>
      <c r="I97" s="92" t="s">
        <v>135</v>
      </c>
      <c r="J97" s="92" t="s">
        <v>136</v>
      </c>
      <c r="K97" s="92" t="s">
        <v>137</v>
      </c>
      <c r="L97" s="92" t="s">
        <v>138</v>
      </c>
      <c r="M97" s="92" t="s">
        <v>139</v>
      </c>
      <c r="N97" s="92" t="s">
        <v>140</v>
      </c>
      <c r="O97" s="67"/>
      <c r="P97" s="398"/>
      <c r="Q97" s="398"/>
      <c r="R97" s="398"/>
    </row>
    <row r="98" spans="2:18" ht="15.75">
      <c r="B98" s="55"/>
      <c r="C98" s="65" t="s">
        <v>553</v>
      </c>
      <c r="D98" s="1034" t="s">
        <v>799</v>
      </c>
      <c r="E98" s="1034" t="s">
        <v>88</v>
      </c>
      <c r="F98" s="2442"/>
      <c r="G98" s="2442"/>
      <c r="H98" s="2442"/>
      <c r="I98" s="2442">
        <f t="shared" ref="I98:N98" si="2">0.304410351798752*(1/Unit.TWh)</f>
        <v>0.30441035179875198</v>
      </c>
      <c r="J98" s="2442">
        <f t="shared" si="2"/>
        <v>0.30441035179875198</v>
      </c>
      <c r="K98" s="2442">
        <f t="shared" si="2"/>
        <v>0.30441035179875198</v>
      </c>
      <c r="L98" s="2442">
        <f t="shared" si="2"/>
        <v>0.30441035179875198</v>
      </c>
      <c r="M98" s="2442">
        <f t="shared" si="2"/>
        <v>0.30441035179875198</v>
      </c>
      <c r="N98" s="2442">
        <f t="shared" si="2"/>
        <v>0.30441035179875198</v>
      </c>
      <c r="O98" s="67"/>
      <c r="P98" s="398"/>
      <c r="Q98" s="398"/>
      <c r="R98" s="398"/>
    </row>
    <row r="99" spans="2:18" ht="15.75">
      <c r="B99" s="55"/>
      <c r="C99" s="926" t="s">
        <v>553</v>
      </c>
      <c r="D99" s="1023" t="s">
        <v>799</v>
      </c>
      <c r="E99" s="1023" t="s">
        <v>90</v>
      </c>
      <c r="F99" s="2443"/>
      <c r="G99" s="2443"/>
      <c r="H99" s="2443"/>
      <c r="I99" s="2443">
        <f t="shared" ref="I99:N99" si="3">0.126179432674123*(1/Unit.TWh)</f>
        <v>0.12617943267412299</v>
      </c>
      <c r="J99" s="2443">
        <f t="shared" si="3"/>
        <v>0.12617943267412299</v>
      </c>
      <c r="K99" s="2443">
        <f t="shared" si="3"/>
        <v>0.12617943267412299</v>
      </c>
      <c r="L99" s="2443">
        <f t="shared" si="3"/>
        <v>0.12617943267412299</v>
      </c>
      <c r="M99" s="2443">
        <f t="shared" si="3"/>
        <v>0.12617943267412299</v>
      </c>
      <c r="N99" s="2443">
        <f t="shared" si="3"/>
        <v>0.12617943267412299</v>
      </c>
      <c r="O99" s="59"/>
      <c r="P99" s="398"/>
      <c r="Q99" s="398"/>
      <c r="R99" s="398"/>
    </row>
    <row r="100" spans="2:18" ht="15.75">
      <c r="B100" s="55"/>
      <c r="C100" s="65"/>
      <c r="D100" s="108"/>
      <c r="E100" s="108"/>
      <c r="F100" s="943" t="s">
        <v>5</v>
      </c>
      <c r="G100" s="943"/>
      <c r="H100" s="67"/>
      <c r="I100" s="2478"/>
      <c r="J100" s="2478"/>
      <c r="K100" s="2478"/>
      <c r="L100" s="2478"/>
      <c r="M100" s="2478"/>
      <c r="N100" s="2478"/>
      <c r="O100" s="59"/>
      <c r="P100" s="398"/>
      <c r="Q100" s="398"/>
      <c r="R100" s="398"/>
    </row>
    <row r="101" spans="2:18" ht="15.75">
      <c r="B101" s="55"/>
      <c r="C101" s="89" t="s">
        <v>801</v>
      </c>
      <c r="D101" s="108"/>
      <c r="E101" s="108"/>
      <c r="F101" s="943"/>
      <c r="G101" s="943"/>
      <c r="H101" s="67"/>
      <c r="I101" s="2478"/>
      <c r="J101" s="2478"/>
      <c r="K101" s="2478"/>
      <c r="L101" s="2478"/>
      <c r="M101" s="2478"/>
      <c r="N101" s="2479" t="str">
        <f>"Kte/"&amp;Preferences.EnergyUnits</f>
        <v>Kte/TWh</v>
      </c>
      <c r="O101" s="59"/>
      <c r="P101" s="398"/>
      <c r="Q101" s="398"/>
      <c r="R101" s="398"/>
    </row>
    <row r="102" spans="2:18" ht="15.75">
      <c r="B102" s="55"/>
      <c r="C102" s="89"/>
      <c r="D102" s="108"/>
      <c r="E102" s="108"/>
      <c r="F102" s="943"/>
      <c r="G102" s="943"/>
      <c r="H102" s="67"/>
      <c r="I102" s="2478"/>
      <c r="J102" s="2478"/>
      <c r="K102" s="2478"/>
      <c r="L102" s="2478"/>
      <c r="M102" s="2478"/>
      <c r="N102" s="2478"/>
      <c r="O102" s="59"/>
      <c r="P102" s="398"/>
      <c r="Q102" s="398"/>
      <c r="R102" s="398"/>
    </row>
    <row r="103" spans="2:18" ht="15.75">
      <c r="B103" s="55"/>
      <c r="C103" s="887" t="s">
        <v>44</v>
      </c>
      <c r="D103" s="887" t="s">
        <v>131</v>
      </c>
      <c r="E103" s="887" t="s">
        <v>28</v>
      </c>
      <c r="F103" s="92">
        <v>2013</v>
      </c>
      <c r="G103" s="92" t="s">
        <v>133</v>
      </c>
      <c r="H103" s="92" t="s">
        <v>134</v>
      </c>
      <c r="I103" s="92" t="s">
        <v>135</v>
      </c>
      <c r="J103" s="92" t="s">
        <v>136</v>
      </c>
      <c r="K103" s="92" t="s">
        <v>137</v>
      </c>
      <c r="L103" s="92" t="s">
        <v>138</v>
      </c>
      <c r="M103" s="92" t="s">
        <v>139</v>
      </c>
      <c r="N103" s="92" t="s">
        <v>140</v>
      </c>
      <c r="O103" s="59"/>
      <c r="P103" s="398"/>
      <c r="Q103" s="398"/>
      <c r="R103" s="398"/>
    </row>
    <row r="104" spans="2:18" ht="15.75">
      <c r="B104" s="55"/>
      <c r="C104" s="65" t="s">
        <v>553</v>
      </c>
      <c r="D104" s="1034" t="s">
        <v>799</v>
      </c>
      <c r="E104" s="1034" t="s">
        <v>88</v>
      </c>
      <c r="F104" s="2442"/>
      <c r="G104" s="2442"/>
      <c r="H104" s="2442"/>
      <c r="I104" s="2442">
        <f t="shared" ref="I104:N104" si="4">0.304410351798752*(1/Unit.TWh)</f>
        <v>0.30441035179875198</v>
      </c>
      <c r="J104" s="2442">
        <f t="shared" si="4"/>
        <v>0.30441035179875198</v>
      </c>
      <c r="K104" s="2442">
        <f t="shared" si="4"/>
        <v>0.30441035179875198</v>
      </c>
      <c r="L104" s="2442">
        <f t="shared" si="4"/>
        <v>0.30441035179875198</v>
      </c>
      <c r="M104" s="2442">
        <f t="shared" si="4"/>
        <v>0.30441035179875198</v>
      </c>
      <c r="N104" s="2442">
        <f t="shared" si="4"/>
        <v>0.30441035179875198</v>
      </c>
      <c r="O104" s="67"/>
      <c r="P104" s="398"/>
      <c r="Q104" s="398"/>
      <c r="R104" s="398"/>
    </row>
    <row r="105" spans="2:18" ht="15.75">
      <c r="B105" s="55"/>
      <c r="C105" s="926" t="s">
        <v>553</v>
      </c>
      <c r="D105" s="1023" t="s">
        <v>799</v>
      </c>
      <c r="E105" s="1023" t="s">
        <v>90</v>
      </c>
      <c r="F105" s="2443"/>
      <c r="G105" s="2443"/>
      <c r="H105" s="2443"/>
      <c r="I105" s="2443">
        <f>0.00233778540323651*(1/Unit.TWh)</f>
        <v>2.3377854032365099E-3</v>
      </c>
      <c r="J105" s="2443">
        <f>0.00234264028589595*(1/Unit.TWh)</f>
        <v>2.3426402858959501E-3</v>
      </c>
      <c r="K105" s="2443">
        <f>0.00234264028589595*(1/Unit.TWh)</f>
        <v>2.3426402858959501E-3</v>
      </c>
      <c r="L105" s="2443">
        <f>0.00234264028589595*(1/Unit.TWh)</f>
        <v>2.3426402858959501E-3</v>
      </c>
      <c r="M105" s="2443">
        <f>0.00234264028589595*(1/Unit.TWh)</f>
        <v>2.3426402858959501E-3</v>
      </c>
      <c r="N105" s="2443">
        <f>0.00234264028589595*(1/Unit.TWh)</f>
        <v>2.3426402858959501E-3</v>
      </c>
      <c r="O105" s="67"/>
      <c r="P105" s="398"/>
      <c r="Q105" s="398"/>
      <c r="R105" s="398"/>
    </row>
    <row r="106" spans="2:18" ht="15.75">
      <c r="B106" s="55"/>
      <c r="C106" s="65"/>
      <c r="D106" s="108"/>
      <c r="E106" s="108"/>
      <c r="F106" s="943"/>
      <c r="G106" s="943"/>
      <c r="H106" s="67"/>
      <c r="I106" s="2478"/>
      <c r="J106" s="2478"/>
      <c r="K106" s="2478"/>
      <c r="L106" s="2478"/>
      <c r="M106" s="2478"/>
      <c r="N106" s="2478"/>
      <c r="O106" s="67"/>
      <c r="P106" s="398"/>
      <c r="Q106" s="398"/>
      <c r="R106" s="398"/>
    </row>
    <row r="107" spans="2:18" ht="15.75">
      <c r="B107" s="55"/>
      <c r="C107" s="89" t="s">
        <v>802</v>
      </c>
      <c r="D107" s="108"/>
      <c r="E107" s="108"/>
      <c r="F107" s="943"/>
      <c r="G107" s="943"/>
      <c r="H107" s="67"/>
      <c r="I107" s="2478"/>
      <c r="J107" s="2478"/>
      <c r="K107" s="2478"/>
      <c r="L107" s="2478"/>
      <c r="M107" s="2478"/>
      <c r="N107" s="2479" t="str">
        <f>"Kte/"&amp;Preferences.EnergyUnits</f>
        <v>Kte/TWh</v>
      </c>
      <c r="O107" s="59"/>
      <c r="P107" s="398"/>
      <c r="Q107" s="398"/>
      <c r="R107" s="398"/>
    </row>
    <row r="108" spans="2:18" ht="15.75">
      <c r="B108" s="55"/>
      <c r="C108" s="89"/>
      <c r="D108" s="108"/>
      <c r="E108" s="108"/>
      <c r="F108" s="943"/>
      <c r="G108" s="943"/>
      <c r="H108" s="67"/>
      <c r="I108" s="2478"/>
      <c r="J108" s="2478"/>
      <c r="K108" s="2478"/>
      <c r="L108" s="2478"/>
      <c r="M108" s="2478"/>
      <c r="N108" s="2478"/>
      <c r="O108" s="59"/>
      <c r="P108" s="398"/>
      <c r="Q108" s="398"/>
      <c r="R108" s="398"/>
    </row>
    <row r="109" spans="2:18" ht="15.75">
      <c r="B109" s="55"/>
      <c r="C109" s="887" t="s">
        <v>44</v>
      </c>
      <c r="D109" s="887" t="s">
        <v>131</v>
      </c>
      <c r="E109" s="887" t="s">
        <v>28</v>
      </c>
      <c r="F109" s="92">
        <v>2013</v>
      </c>
      <c r="G109" s="92" t="s">
        <v>133</v>
      </c>
      <c r="H109" s="92" t="s">
        <v>134</v>
      </c>
      <c r="I109" s="92" t="s">
        <v>135</v>
      </c>
      <c r="J109" s="92" t="s">
        <v>136</v>
      </c>
      <c r="K109" s="92" t="s">
        <v>137</v>
      </c>
      <c r="L109" s="92" t="s">
        <v>138</v>
      </c>
      <c r="M109" s="92" t="s">
        <v>139</v>
      </c>
      <c r="N109" s="92" t="s">
        <v>140</v>
      </c>
      <c r="O109" s="59"/>
      <c r="P109" s="398"/>
      <c r="Q109" s="398"/>
      <c r="R109" s="398"/>
    </row>
    <row r="110" spans="2:18" ht="15.75">
      <c r="B110" s="55"/>
      <c r="C110" s="65" t="s">
        <v>553</v>
      </c>
      <c r="D110" s="1034" t="s">
        <v>799</v>
      </c>
      <c r="E110" s="1034" t="s">
        <v>88</v>
      </c>
      <c r="F110" s="2442"/>
      <c r="G110" s="2442"/>
      <c r="H110" s="2442"/>
      <c r="I110" s="2442">
        <f>0.00251660725789183*(1/Unit.TWh)</f>
        <v>2.51660725789183E-3</v>
      </c>
      <c r="J110" s="2442">
        <f>0.0025207932619345*(1/Unit.TWh)</f>
        <v>2.5207932619345E-3</v>
      </c>
      <c r="K110" s="2442">
        <f>0.0025207932619345*(1/Unit.TWh)</f>
        <v>2.5207932619345E-3</v>
      </c>
      <c r="L110" s="2442">
        <f>0.0025207932619345*(1/Unit.TWh)</f>
        <v>2.5207932619345E-3</v>
      </c>
      <c r="M110" s="2442">
        <f>0.0025207932619345*(1/Unit.TWh)</f>
        <v>2.5207932619345E-3</v>
      </c>
      <c r="N110" s="2442">
        <f>0.0025207932619345*(1/Unit.TWh)</f>
        <v>2.5207932619345E-3</v>
      </c>
      <c r="O110" s="59"/>
      <c r="P110" s="398"/>
      <c r="Q110" s="398"/>
      <c r="R110" s="398"/>
    </row>
    <row r="111" spans="2:18" ht="15.75">
      <c r="B111" s="55"/>
      <c r="C111" s="926" t="s">
        <v>553</v>
      </c>
      <c r="D111" s="1023" t="s">
        <v>799</v>
      </c>
      <c r="E111" s="1023" t="s">
        <v>90</v>
      </c>
      <c r="F111" s="2443"/>
      <c r="G111" s="2443"/>
      <c r="H111" s="2443"/>
      <c r="I111" s="2443">
        <f>0.00422151168074551*(1/Unit.TWh)</f>
        <v>4.2215116807455101E-3</v>
      </c>
      <c r="J111" s="2443">
        <f>0.00422138378051199*(1/Unit.TWh)</f>
        <v>4.2213837805119897E-3</v>
      </c>
      <c r="K111" s="2443">
        <f>0.00422138378051199*(1/Unit.TWh)</f>
        <v>4.2213837805119897E-3</v>
      </c>
      <c r="L111" s="2443">
        <f>0.00422138378051199*(1/Unit.TWh)</f>
        <v>4.2213837805119897E-3</v>
      </c>
      <c r="M111" s="2443">
        <f>0.00422138378051199*(1/Unit.TWh)</f>
        <v>4.2213837805119897E-3</v>
      </c>
      <c r="N111" s="2443">
        <f>0.00422138378051199*(1/Unit.TWh)</f>
        <v>4.2213837805119897E-3</v>
      </c>
      <c r="O111" s="59"/>
      <c r="P111" s="398"/>
      <c r="Q111" s="398"/>
      <c r="R111" s="398"/>
    </row>
    <row r="112" spans="2:18" ht="15.75">
      <c r="B112" s="55"/>
      <c r="C112" s="47"/>
      <c r="D112" s="47"/>
      <c r="E112" s="67"/>
      <c r="F112" s="59" t="s">
        <v>5</v>
      </c>
      <c r="G112" s="60"/>
      <c r="H112" s="60"/>
      <c r="I112" s="60"/>
      <c r="J112" s="60"/>
      <c r="K112" s="60"/>
      <c r="L112" s="60"/>
      <c r="M112" s="60"/>
      <c r="N112" s="60"/>
      <c r="O112" s="59"/>
      <c r="P112" s="398"/>
      <c r="Q112" s="398"/>
      <c r="R112" s="398"/>
    </row>
    <row r="113" spans="1:49" ht="15.75">
      <c r="B113" s="55"/>
      <c r="C113" s="67"/>
      <c r="D113" s="200"/>
      <c r="E113" s="67"/>
      <c r="F113" s="59"/>
      <c r="G113" s="60"/>
      <c r="H113" s="60"/>
      <c r="I113" s="60"/>
      <c r="J113" s="60"/>
      <c r="K113" s="60"/>
      <c r="L113" s="60"/>
      <c r="M113" s="60"/>
      <c r="N113" s="60"/>
      <c r="O113" s="59"/>
      <c r="P113" s="398"/>
      <c r="Q113" s="398"/>
      <c r="R113" s="398"/>
    </row>
    <row r="114" spans="1:49" ht="15.75">
      <c r="B114" s="55"/>
      <c r="C114" s="3862" t="s">
        <v>64</v>
      </c>
      <c r="D114" s="200"/>
      <c r="E114" s="67"/>
      <c r="F114" s="67"/>
      <c r="G114" s="67"/>
      <c r="H114" s="67"/>
      <c r="I114" s="67"/>
      <c r="J114" s="67"/>
      <c r="K114" s="67"/>
      <c r="L114" s="67"/>
      <c r="M114" s="67"/>
      <c r="N114" s="67"/>
      <c r="O114" s="67"/>
      <c r="P114" s="398"/>
      <c r="Q114" s="398"/>
      <c r="R114" s="398"/>
    </row>
    <row r="115" spans="1:49" ht="15.75">
      <c r="B115" s="55"/>
      <c r="C115" s="3863" t="s">
        <v>65</v>
      </c>
      <c r="D115" s="3864" t="s">
        <v>1772</v>
      </c>
      <c r="E115" s="67"/>
      <c r="F115" s="67"/>
      <c r="G115" s="67"/>
      <c r="H115" s="67"/>
      <c r="I115" s="67"/>
      <c r="J115" s="67"/>
      <c r="K115" s="67"/>
      <c r="L115" s="67"/>
      <c r="M115" s="67"/>
      <c r="N115" s="67"/>
      <c r="O115" s="59"/>
      <c r="P115" s="398"/>
      <c r="Q115" s="398"/>
      <c r="R115" s="398"/>
    </row>
    <row r="116" spans="1:49" ht="15.75">
      <c r="B116" s="55"/>
      <c r="C116" s="3863" t="s">
        <v>67</v>
      </c>
      <c r="D116" s="3865" t="s">
        <v>1883</v>
      </c>
      <c r="E116" s="67"/>
      <c r="F116" s="67"/>
      <c r="G116" s="67"/>
      <c r="H116" s="67"/>
      <c r="I116" s="67"/>
      <c r="J116" s="67"/>
      <c r="K116" s="67"/>
      <c r="L116" s="67"/>
      <c r="M116" s="67"/>
      <c r="N116" s="67"/>
      <c r="O116" s="59"/>
      <c r="P116" s="398"/>
      <c r="Q116" s="398"/>
      <c r="R116" s="398"/>
    </row>
    <row r="117" spans="1:49" ht="15.75">
      <c r="B117" s="55"/>
      <c r="C117" s="3863"/>
      <c r="D117" s="3866" t="s">
        <v>803</v>
      </c>
      <c r="E117" s="67"/>
      <c r="F117" s="67"/>
      <c r="G117" s="67"/>
      <c r="H117" s="67"/>
      <c r="I117" s="67"/>
      <c r="J117" s="67"/>
      <c r="K117" s="67"/>
      <c r="L117" s="67"/>
      <c r="M117" s="67"/>
      <c r="N117" s="67"/>
      <c r="O117" s="59"/>
      <c r="P117" s="398"/>
      <c r="Q117" s="398"/>
      <c r="R117" s="398"/>
    </row>
    <row r="118" spans="1:49" ht="15.75">
      <c r="B118" s="55"/>
      <c r="C118" s="3863"/>
      <c r="D118" s="3866" t="s">
        <v>804</v>
      </c>
      <c r="E118" s="67"/>
      <c r="F118" s="67"/>
      <c r="G118" s="67"/>
      <c r="H118" s="67"/>
      <c r="I118" s="67"/>
      <c r="J118" s="67"/>
      <c r="K118" s="67"/>
      <c r="L118" s="67"/>
      <c r="M118" s="67"/>
      <c r="N118" s="67"/>
      <c r="O118" s="59"/>
      <c r="P118" s="398"/>
      <c r="Q118" s="398"/>
      <c r="R118" s="398"/>
    </row>
    <row r="119" spans="1:49" ht="15.75">
      <c r="B119" s="55"/>
      <c r="C119" s="3863" t="s">
        <v>106</v>
      </c>
      <c r="D119" s="3865" t="s">
        <v>1884</v>
      </c>
      <c r="E119" s="67"/>
      <c r="F119" s="67"/>
      <c r="G119" s="67"/>
      <c r="H119" s="67"/>
      <c r="I119" s="67"/>
      <c r="J119" s="67"/>
      <c r="K119" s="67"/>
      <c r="L119" s="67"/>
      <c r="M119" s="67"/>
      <c r="N119" s="67"/>
      <c r="O119" s="59"/>
      <c r="P119" s="398"/>
      <c r="Q119" s="398"/>
      <c r="R119" s="398"/>
    </row>
    <row r="120" spans="1:49" ht="15.75">
      <c r="B120" s="55"/>
      <c r="C120" s="3863" t="s">
        <v>80</v>
      </c>
      <c r="D120" s="3865" t="s">
        <v>805</v>
      </c>
      <c r="E120" s="67"/>
      <c r="F120" s="67"/>
      <c r="G120" s="67"/>
      <c r="H120" s="67"/>
      <c r="I120" s="67"/>
      <c r="J120" s="67"/>
      <c r="K120" s="67"/>
      <c r="L120" s="67"/>
      <c r="M120" s="67"/>
      <c r="N120" s="67"/>
      <c r="O120" s="59"/>
      <c r="P120" s="398"/>
      <c r="Q120" s="398"/>
      <c r="R120" s="398"/>
    </row>
    <row r="121" spans="1:49">
      <c r="B121" s="45"/>
      <c r="C121" s="3863"/>
      <c r="D121" s="3867" t="s">
        <v>806</v>
      </c>
      <c r="E121" s="67"/>
      <c r="F121" s="67"/>
      <c r="G121" s="67"/>
      <c r="H121" s="67"/>
      <c r="I121" s="67"/>
      <c r="J121" s="67"/>
      <c r="K121" s="67"/>
      <c r="L121" s="67"/>
      <c r="M121" s="67"/>
      <c r="N121" s="67"/>
      <c r="O121" s="67"/>
      <c r="P121" s="398"/>
      <c r="Q121" s="398"/>
      <c r="R121" s="398"/>
    </row>
    <row r="122" spans="1:49">
      <c r="B122" s="45"/>
      <c r="C122" s="3863"/>
      <c r="D122" s="3867" t="s">
        <v>807</v>
      </c>
      <c r="E122" s="67"/>
      <c r="F122" s="67"/>
      <c r="G122" s="67"/>
      <c r="H122" s="67"/>
      <c r="I122" s="67"/>
      <c r="J122" s="67"/>
      <c r="K122" s="67"/>
      <c r="L122" s="67"/>
      <c r="M122" s="67"/>
      <c r="N122" s="67"/>
      <c r="O122" s="67"/>
      <c r="P122" s="398"/>
      <c r="Q122" s="398"/>
      <c r="R122" s="398"/>
    </row>
    <row r="123" spans="1:49">
      <c r="B123" s="45"/>
      <c r="C123" s="3863"/>
      <c r="D123" s="3867" t="s">
        <v>1885</v>
      </c>
      <c r="E123" s="67"/>
      <c r="F123" s="67"/>
      <c r="G123" s="67"/>
      <c r="H123" s="67"/>
      <c r="I123" s="67"/>
      <c r="J123" s="67"/>
      <c r="K123" s="67"/>
      <c r="L123" s="67"/>
      <c r="M123" s="67"/>
      <c r="N123" s="67"/>
      <c r="O123" s="67"/>
      <c r="P123" s="398"/>
      <c r="Q123" s="398"/>
      <c r="R123" s="398"/>
    </row>
    <row r="124" spans="1:49">
      <c r="B124" s="45"/>
      <c r="C124" s="3863"/>
      <c r="D124" s="3867" t="s">
        <v>808</v>
      </c>
      <c r="E124" s="67"/>
      <c r="F124" s="67"/>
      <c r="G124" s="67"/>
      <c r="H124" s="67"/>
      <c r="I124" s="67"/>
      <c r="J124" s="67"/>
      <c r="K124" s="67"/>
      <c r="L124" s="67"/>
      <c r="M124" s="67"/>
      <c r="N124" s="67"/>
      <c r="O124" s="67"/>
      <c r="P124" s="398"/>
      <c r="Q124" s="398"/>
      <c r="R124" s="398"/>
    </row>
    <row r="125" spans="1:49">
      <c r="B125" s="45"/>
      <c r="C125" s="1073" t="s">
        <v>156</v>
      </c>
      <c r="D125" s="3865" t="s">
        <v>809</v>
      </c>
      <c r="E125" s="67"/>
      <c r="F125" s="67"/>
      <c r="G125" s="67"/>
      <c r="H125" s="67"/>
      <c r="I125" s="67"/>
      <c r="J125" s="67"/>
      <c r="K125" s="67"/>
      <c r="L125" s="67"/>
      <c r="M125" s="67"/>
      <c r="N125" s="67"/>
      <c r="O125" s="67"/>
      <c r="P125" s="398"/>
      <c r="Q125" s="398"/>
      <c r="R125" s="398"/>
    </row>
    <row r="126" spans="1:49">
      <c r="B126" s="45"/>
      <c r="C126" s="1074"/>
      <c r="D126" s="1074"/>
      <c r="E126" s="1074"/>
      <c r="F126" s="1074"/>
      <c r="G126" s="1074"/>
      <c r="H126" s="1074"/>
      <c r="I126" s="1074"/>
      <c r="J126" s="1074"/>
      <c r="K126" s="1074"/>
      <c r="L126" s="1074"/>
      <c r="M126" s="1074"/>
      <c r="N126" s="1074"/>
      <c r="O126" s="67"/>
      <c r="P126" s="398"/>
      <c r="Q126" s="398"/>
      <c r="R126" s="398"/>
    </row>
    <row r="127" spans="1:49">
      <c r="B127" s="877"/>
      <c r="P127" s="39"/>
    </row>
    <row r="128" spans="1:49" ht="23.25">
      <c r="A128" s="1075"/>
      <c r="B128" s="878" t="s">
        <v>2794</v>
      </c>
      <c r="C128" s="879"/>
      <c r="D128" s="879"/>
      <c r="E128" s="879"/>
      <c r="F128" s="879"/>
      <c r="G128" s="879"/>
      <c r="H128" s="879"/>
      <c r="I128" s="879"/>
      <c r="J128" s="879"/>
      <c r="K128" s="879"/>
      <c r="L128" s="879"/>
      <c r="M128" s="879"/>
      <c r="N128" s="879"/>
      <c r="O128" s="879"/>
      <c r="P128" s="656"/>
      <c r="Q128" s="656"/>
      <c r="R128" s="656"/>
      <c r="S128" s="656"/>
      <c r="T128" s="656"/>
      <c r="U128" s="656"/>
      <c r="V128" s="656"/>
      <c r="W128" s="656"/>
      <c r="X128" s="656"/>
      <c r="Y128" s="656"/>
      <c r="Z128" s="656"/>
      <c r="AA128" s="656"/>
      <c r="AB128" s="656"/>
      <c r="AC128" s="656"/>
      <c r="AD128" s="656"/>
      <c r="AE128" s="6"/>
      <c r="AF128" s="6"/>
      <c r="AG128" s="6"/>
      <c r="AH128" s="6"/>
      <c r="AI128" s="6"/>
      <c r="AJ128" s="6"/>
      <c r="AK128" s="6"/>
      <c r="AL128" s="6"/>
      <c r="AM128" s="6"/>
      <c r="AN128" s="6"/>
      <c r="AO128" s="6"/>
      <c r="AP128" s="6"/>
      <c r="AQ128" s="6"/>
      <c r="AR128" s="6"/>
      <c r="AS128" s="6"/>
      <c r="AT128" s="6"/>
      <c r="AU128" s="6"/>
      <c r="AV128" s="6"/>
      <c r="AW128" s="6"/>
    </row>
    <row r="129" spans="1:113" s="39" customFormat="1" ht="12" hidden="1" customHeight="1">
      <c r="A129" s="1075"/>
      <c r="B129" s="1076"/>
      <c r="C129" s="108"/>
      <c r="D129" s="108"/>
      <c r="E129" s="108"/>
      <c r="F129" s="108"/>
      <c r="G129" s="108"/>
      <c r="H129" s="108"/>
      <c r="I129" s="108"/>
      <c r="J129" s="108"/>
      <c r="K129" s="108"/>
      <c r="L129" s="108"/>
      <c r="M129" s="108"/>
      <c r="N129" s="108"/>
      <c r="O129" s="108"/>
      <c r="P129" s="656"/>
      <c r="Q129" s="656"/>
      <c r="R129" s="656"/>
      <c r="S129" s="656"/>
      <c r="T129" s="656"/>
      <c r="U129" s="656"/>
      <c r="V129" s="656"/>
      <c r="W129" s="656"/>
      <c r="X129" s="656"/>
      <c r="Y129" s="656"/>
      <c r="Z129" s="656"/>
      <c r="AA129" s="656"/>
      <c r="AB129" s="656"/>
      <c r="AC129" s="656"/>
      <c r="AD129" s="656"/>
      <c r="AE129" s="859"/>
      <c r="AF129" s="859"/>
      <c r="AG129" s="859"/>
      <c r="AH129" s="859"/>
      <c r="AI129" s="859"/>
      <c r="AJ129" s="859"/>
      <c r="AK129" s="859"/>
      <c r="AL129" s="859"/>
      <c r="AM129" s="859"/>
      <c r="AN129" s="859"/>
      <c r="AO129" s="859"/>
      <c r="AP129" s="859"/>
      <c r="AQ129" s="859"/>
      <c r="AR129" s="859"/>
      <c r="AS129" s="859"/>
      <c r="AT129" s="859"/>
      <c r="AU129" s="859"/>
      <c r="AV129" s="859"/>
      <c r="AW129" s="859"/>
    </row>
    <row r="130" spans="1:113" ht="16.5" hidden="1" customHeight="1">
      <c r="A130" s="39"/>
      <c r="B130" s="937"/>
      <c r="C130" s="49" t="s">
        <v>811</v>
      </c>
      <c r="D130" s="924"/>
      <c r="E130" s="941"/>
      <c r="F130" s="942"/>
      <c r="G130" s="943"/>
      <c r="H130" s="943"/>
      <c r="I130" s="943"/>
      <c r="J130" s="943"/>
      <c r="K130" s="943"/>
      <c r="L130" s="943"/>
      <c r="M130" s="943"/>
      <c r="N130" s="944" t="s">
        <v>2816</v>
      </c>
      <c r="O130" s="939"/>
      <c r="P130" s="656"/>
      <c r="Q130" s="656"/>
      <c r="R130" s="656"/>
      <c r="S130" s="656"/>
      <c r="T130" s="656"/>
      <c r="U130" s="656"/>
      <c r="V130" s="656"/>
      <c r="W130" s="656"/>
      <c r="X130" s="656"/>
      <c r="Y130" s="656"/>
      <c r="Z130" s="656"/>
      <c r="AA130" s="656"/>
      <c r="AB130" s="656"/>
      <c r="AC130" s="656"/>
      <c r="AD130" s="1077"/>
    </row>
    <row r="131" spans="1:113" ht="4.5" hidden="1" customHeight="1">
      <c r="A131" s="39"/>
      <c r="B131" s="937"/>
      <c r="C131" s="946"/>
      <c r="D131" s="924"/>
      <c r="E131" s="941"/>
      <c r="F131" s="942"/>
      <c r="G131" s="943"/>
      <c r="H131" s="943"/>
      <c r="I131" s="943"/>
      <c r="J131" s="943"/>
      <c r="K131" s="943"/>
      <c r="L131" s="943"/>
      <c r="M131" s="943"/>
      <c r="N131" s="67"/>
      <c r="O131" s="939"/>
      <c r="P131" s="656"/>
      <c r="Q131" s="656"/>
      <c r="R131" s="656"/>
      <c r="S131" s="656"/>
      <c r="T131" s="656"/>
      <c r="U131" s="656"/>
      <c r="V131" s="656"/>
      <c r="W131" s="656"/>
      <c r="X131" s="656"/>
      <c r="Y131" s="656"/>
      <c r="Z131" s="656"/>
      <c r="AA131" s="656"/>
      <c r="AB131" s="656"/>
      <c r="AC131" s="656"/>
      <c r="AD131" s="1077"/>
    </row>
    <row r="132" spans="1:113" ht="16.5" hidden="1" customHeight="1">
      <c r="B132" s="937"/>
      <c r="C132" s="1078" t="s">
        <v>812</v>
      </c>
      <c r="D132" s="1079"/>
      <c r="E132" s="980" t="s">
        <v>160</v>
      </c>
      <c r="F132" s="981">
        <v>2013</v>
      </c>
      <c r="G132" s="974">
        <v>2015</v>
      </c>
      <c r="H132" s="974">
        <v>2020</v>
      </c>
      <c r="I132" s="974">
        <v>2025</v>
      </c>
      <c r="J132" s="974">
        <v>2030</v>
      </c>
      <c r="K132" s="974">
        <v>2035</v>
      </c>
      <c r="L132" s="974">
        <v>2040</v>
      </c>
      <c r="M132" s="974">
        <v>2045</v>
      </c>
      <c r="N132" s="974">
        <v>2050</v>
      </c>
      <c r="O132" s="939"/>
      <c r="P132" s="656"/>
      <c r="Q132" s="656"/>
      <c r="R132" s="656"/>
      <c r="S132" s="656"/>
      <c r="T132" s="656"/>
      <c r="U132" s="656"/>
      <c r="V132" s="656"/>
      <c r="W132" s="656"/>
      <c r="X132" s="656"/>
      <c r="Y132" s="656"/>
      <c r="Z132" s="656"/>
      <c r="AA132" s="656"/>
      <c r="AB132" s="656"/>
      <c r="AC132" s="656"/>
      <c r="AD132" s="1077"/>
    </row>
    <row r="133" spans="1:113" ht="16.5" hidden="1" customHeight="1">
      <c r="B133" s="937"/>
      <c r="C133" s="976" t="s">
        <v>738</v>
      </c>
      <c r="D133" s="1079"/>
      <c r="E133" s="966"/>
      <c r="F133" s="1080"/>
      <c r="G133" s="1080"/>
      <c r="H133" s="1080"/>
      <c r="I133" s="1080"/>
      <c r="J133" s="1080"/>
      <c r="K133" s="1080"/>
      <c r="L133" s="1080"/>
      <c r="M133" s="1080"/>
      <c r="N133" s="1080"/>
      <c r="O133" s="939"/>
      <c r="P133" s="656"/>
      <c r="Q133" s="656"/>
      <c r="R133" s="656"/>
      <c r="S133" s="656"/>
      <c r="T133" s="656"/>
      <c r="U133" s="656"/>
      <c r="V133" s="656"/>
      <c r="W133" s="656"/>
      <c r="X133" s="656"/>
      <c r="Y133" s="656"/>
      <c r="Z133" s="656"/>
      <c r="AA133" s="656"/>
      <c r="AB133" s="656"/>
      <c r="AC133" s="656"/>
      <c r="AD133" s="1077"/>
    </row>
    <row r="134" spans="1:113" ht="16.5" hidden="1" customHeight="1">
      <c r="B134" s="937"/>
      <c r="C134" s="952" t="s">
        <v>739</v>
      </c>
      <c r="D134" s="924"/>
      <c r="E134" s="953"/>
      <c r="F134" s="954"/>
      <c r="G134" s="954"/>
      <c r="H134" s="954"/>
      <c r="I134" s="954"/>
      <c r="J134" s="954"/>
      <c r="K134" s="954"/>
      <c r="L134" s="954"/>
      <c r="M134" s="954"/>
      <c r="N134" s="954"/>
      <c r="O134" s="939"/>
      <c r="P134" s="656"/>
      <c r="Q134" s="656"/>
      <c r="R134" s="656"/>
      <c r="S134" s="656"/>
      <c r="T134" s="656"/>
      <c r="U134" s="656"/>
      <c r="V134" s="656"/>
      <c r="W134" s="656"/>
      <c r="X134" s="656"/>
      <c r="Y134" s="656"/>
      <c r="Z134" s="656"/>
      <c r="AA134" s="656"/>
      <c r="AB134" s="656"/>
      <c r="AC134" s="656"/>
      <c r="AD134" s="1077"/>
    </row>
    <row r="135" spans="1:113" ht="16.5" hidden="1" customHeight="1">
      <c r="B135" s="937"/>
      <c r="C135" s="956" t="s">
        <v>740</v>
      </c>
      <c r="D135" s="957"/>
      <c r="E135" s="958"/>
      <c r="F135" s="959"/>
      <c r="G135" s="959"/>
      <c r="H135" s="959"/>
      <c r="I135" s="959"/>
      <c r="J135" s="959"/>
      <c r="K135" s="959"/>
      <c r="L135" s="959"/>
      <c r="M135" s="959"/>
      <c r="N135" s="959"/>
      <c r="O135" s="939"/>
      <c r="P135" s="656"/>
      <c r="Q135" s="656"/>
      <c r="R135" s="656"/>
      <c r="S135" s="656"/>
      <c r="T135" s="656"/>
      <c r="U135" s="656"/>
      <c r="V135" s="656"/>
      <c r="W135" s="656"/>
      <c r="X135" s="656"/>
      <c r="Y135" s="656"/>
      <c r="Z135" s="656"/>
      <c r="AA135" s="656"/>
      <c r="AB135" s="656"/>
      <c r="AC135" s="656"/>
      <c r="AD135" s="1077"/>
    </row>
    <row r="136" spans="1:113" ht="16.5" hidden="1" customHeight="1">
      <c r="B136" s="937"/>
      <c r="C136" s="946"/>
      <c r="D136" s="924"/>
      <c r="E136" s="941"/>
      <c r="F136" s="942"/>
      <c r="G136" s="943"/>
      <c r="H136" s="943"/>
      <c r="I136" s="943"/>
      <c r="J136" s="943"/>
      <c r="K136" s="943"/>
      <c r="L136" s="943"/>
      <c r="M136" s="943"/>
      <c r="N136" s="944"/>
      <c r="O136" s="939"/>
      <c r="P136" s="656"/>
      <c r="Q136" s="656"/>
      <c r="R136" s="656"/>
      <c r="S136" s="656"/>
      <c r="T136" s="656"/>
      <c r="U136" s="656"/>
      <c r="V136" s="656"/>
      <c r="W136" s="656"/>
      <c r="X136" s="656"/>
      <c r="Y136" s="656"/>
      <c r="Z136" s="656"/>
      <c r="AA136" s="656"/>
      <c r="AB136" s="656"/>
      <c r="AC136" s="656"/>
      <c r="AD136" s="1077"/>
    </row>
    <row r="137" spans="1:113" s="6" customFormat="1" ht="16.5" hidden="1" customHeight="1">
      <c r="A137"/>
      <c r="B137" s="955"/>
      <c r="C137" s="1078" t="s">
        <v>813</v>
      </c>
      <c r="D137" s="1079"/>
      <c r="E137" s="980"/>
      <c r="F137" s="981"/>
      <c r="G137" s="974"/>
      <c r="H137" s="974"/>
      <c r="I137" s="974"/>
      <c r="J137" s="974"/>
      <c r="K137" s="974"/>
      <c r="L137" s="974"/>
      <c r="M137" s="974"/>
      <c r="N137" s="974"/>
      <c r="O137" s="1057"/>
      <c r="P137" s="656"/>
      <c r="Q137" s="656"/>
      <c r="R137" s="656"/>
      <c r="S137" s="656"/>
      <c r="T137" s="656"/>
      <c r="U137" s="656"/>
      <c r="V137" s="656"/>
      <c r="W137" s="656"/>
      <c r="X137" s="656"/>
      <c r="Y137" s="656"/>
      <c r="Z137" s="656"/>
      <c r="AA137" s="656"/>
      <c r="AB137" s="656"/>
      <c r="AC137" s="656"/>
      <c r="AD137" s="1077"/>
      <c r="AE137"/>
      <c r="AF137"/>
      <c r="AG137"/>
      <c r="AH137"/>
      <c r="AI137"/>
      <c r="AJ137"/>
      <c r="AK137"/>
      <c r="AL137"/>
      <c r="AM137"/>
      <c r="AN137"/>
      <c r="AO137"/>
      <c r="AP137"/>
      <c r="AQ137"/>
      <c r="AR137"/>
      <c r="AS137"/>
      <c r="AT137"/>
      <c r="AU137"/>
      <c r="AV137"/>
      <c r="AW137"/>
    </row>
    <row r="138" spans="1:113" s="6" customFormat="1" ht="16.5" hidden="1" customHeight="1">
      <c r="A138"/>
      <c r="B138" s="955"/>
      <c r="C138" s="976" t="s">
        <v>738</v>
      </c>
      <c r="D138" s="1079"/>
      <c r="E138" s="966"/>
      <c r="F138" s="1080"/>
      <c r="G138" s="1080"/>
      <c r="H138" s="1080"/>
      <c r="I138" s="1080"/>
      <c r="J138" s="1080"/>
      <c r="K138" s="1080"/>
      <c r="L138" s="1080"/>
      <c r="M138" s="1080"/>
      <c r="N138" s="1080"/>
      <c r="O138" s="1057"/>
      <c r="P138" s="656"/>
      <c r="Q138" s="656"/>
      <c r="R138" s="656"/>
      <c r="S138" s="656"/>
      <c r="T138" s="656"/>
      <c r="U138" s="656"/>
      <c r="V138" s="656"/>
      <c r="W138" s="656"/>
      <c r="X138" s="656"/>
      <c r="Y138" s="656"/>
      <c r="Z138" s="656"/>
      <c r="AA138" s="656"/>
      <c r="AB138" s="656"/>
      <c r="AC138" s="656"/>
      <c r="AD138" s="1077"/>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row>
    <row r="139" spans="1:113" s="6" customFormat="1" ht="16.5" hidden="1" customHeight="1">
      <c r="A139"/>
      <c r="B139" s="960"/>
      <c r="C139" s="952" t="s">
        <v>739</v>
      </c>
      <c r="D139" s="924"/>
      <c r="E139" s="953"/>
      <c r="F139" s="954"/>
      <c r="G139" s="954"/>
      <c r="H139" s="954"/>
      <c r="I139" s="954"/>
      <c r="J139" s="954"/>
      <c r="K139" s="954"/>
      <c r="L139" s="954"/>
      <c r="M139" s="954"/>
      <c r="N139" s="954"/>
      <c r="O139" s="1081"/>
      <c r="P139" s="656"/>
      <c r="Q139" s="656"/>
      <c r="R139" s="656"/>
      <c r="S139" s="656"/>
      <c r="T139" s="656"/>
      <c r="U139" s="656"/>
      <c r="V139" s="656"/>
      <c r="W139" s="656"/>
      <c r="X139" s="656"/>
      <c r="Y139" s="656"/>
      <c r="Z139" s="656"/>
      <c r="AA139" s="656"/>
      <c r="AB139" s="656"/>
      <c r="AC139" s="656"/>
      <c r="AD139" s="1077"/>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row>
    <row r="140" spans="1:113" s="6" customFormat="1" ht="16.5" hidden="1" customHeight="1">
      <c r="A140"/>
      <c r="B140" s="960"/>
      <c r="C140" s="956" t="s">
        <v>740</v>
      </c>
      <c r="D140" s="957"/>
      <c r="E140" s="958"/>
      <c r="F140" s="959"/>
      <c r="G140" s="959"/>
      <c r="H140" s="959"/>
      <c r="I140" s="959"/>
      <c r="J140" s="959"/>
      <c r="K140" s="959"/>
      <c r="L140" s="959"/>
      <c r="M140" s="959"/>
      <c r="N140" s="959"/>
      <c r="O140" s="1081"/>
      <c r="P140" s="656"/>
      <c r="Q140" s="656"/>
      <c r="R140" s="656"/>
      <c r="S140" s="656"/>
      <c r="T140" s="656"/>
      <c r="U140" s="656"/>
      <c r="V140" s="656"/>
      <c r="W140" s="656"/>
      <c r="X140" s="656"/>
      <c r="Y140" s="656"/>
      <c r="Z140" s="656"/>
      <c r="AA140" s="656"/>
      <c r="AB140" s="656"/>
      <c r="AC140" s="656"/>
      <c r="AD140" s="1077"/>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row>
    <row r="141" spans="1:113" s="6" customFormat="1" ht="16.5" hidden="1" customHeight="1">
      <c r="A141"/>
      <c r="B141" s="960"/>
      <c r="C141" s="946"/>
      <c r="D141" s="924"/>
      <c r="E141" s="941"/>
      <c r="F141" s="942"/>
      <c r="G141" s="943"/>
      <c r="H141" s="943"/>
      <c r="I141" s="943"/>
      <c r="J141" s="943"/>
      <c r="K141" s="943"/>
      <c r="L141" s="943"/>
      <c r="M141" s="943"/>
      <c r="N141" s="67"/>
      <c r="O141" s="1081"/>
      <c r="P141" s="656"/>
      <c r="Q141" s="656"/>
      <c r="R141" s="656"/>
      <c r="S141" s="656"/>
      <c r="T141" s="656"/>
      <c r="U141" s="656"/>
      <c r="V141" s="656"/>
      <c r="W141" s="656"/>
      <c r="X141" s="656"/>
      <c r="Y141" s="656"/>
      <c r="Z141" s="656"/>
      <c r="AA141" s="656"/>
      <c r="AB141" s="656"/>
      <c r="AC141" s="656"/>
      <c r="AD141" s="1077"/>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row>
    <row r="142" spans="1:113" s="6" customFormat="1" ht="16.5" hidden="1" customHeight="1">
      <c r="A142"/>
      <c r="B142" s="960"/>
      <c r="C142" s="49" t="s">
        <v>814</v>
      </c>
      <c r="D142" s="924"/>
      <c r="E142" s="941"/>
      <c r="F142" s="942"/>
      <c r="G142" s="943"/>
      <c r="H142" s="943"/>
      <c r="I142" s="943"/>
      <c r="J142" s="943"/>
      <c r="K142" s="943"/>
      <c r="L142" s="943"/>
      <c r="M142" s="943"/>
      <c r="N142" s="944"/>
      <c r="O142" s="1081"/>
      <c r="P142" s="656"/>
      <c r="Q142" s="656"/>
      <c r="R142" s="656"/>
      <c r="S142" s="656"/>
      <c r="T142" s="656"/>
      <c r="U142" s="656"/>
      <c r="V142" s="656"/>
      <c r="W142" s="656"/>
      <c r="X142" s="656"/>
      <c r="Y142" s="656"/>
      <c r="Z142" s="656"/>
      <c r="AA142" s="656"/>
      <c r="AB142" s="656"/>
      <c r="AC142" s="656"/>
      <c r="AD142" s="1077"/>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row>
    <row r="143" spans="1:113" s="6" customFormat="1" ht="4.5" hidden="1" customHeight="1">
      <c r="A143"/>
      <c r="B143" s="960"/>
      <c r="C143" s="946"/>
      <c r="D143" s="924"/>
      <c r="E143" s="941"/>
      <c r="F143" s="942"/>
      <c r="G143" s="943"/>
      <c r="H143" s="943"/>
      <c r="I143" s="943"/>
      <c r="J143" s="943"/>
      <c r="K143" s="943"/>
      <c r="L143" s="943"/>
      <c r="M143" s="943"/>
      <c r="N143" s="67"/>
      <c r="O143" s="1081"/>
      <c r="P143" s="656"/>
      <c r="Q143" s="656"/>
      <c r="R143" s="656"/>
      <c r="S143" s="656"/>
      <c r="T143" s="656"/>
      <c r="U143" s="656"/>
      <c r="V143" s="656"/>
      <c r="W143" s="656"/>
      <c r="X143" s="656"/>
      <c r="Y143" s="656"/>
      <c r="Z143" s="656"/>
      <c r="AA143" s="656"/>
      <c r="AB143" s="656"/>
      <c r="AC143" s="656"/>
      <c r="AD143" s="1077"/>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row>
    <row r="144" spans="1:113" s="6" customFormat="1" ht="16.5" hidden="1" customHeight="1">
      <c r="A144"/>
      <c r="B144" s="960"/>
      <c r="C144" s="1078" t="s">
        <v>812</v>
      </c>
      <c r="D144" s="1079"/>
      <c r="E144" s="980"/>
      <c r="F144" s="981"/>
      <c r="G144" s="974"/>
      <c r="H144" s="974"/>
      <c r="I144" s="974"/>
      <c r="J144" s="974"/>
      <c r="K144" s="974"/>
      <c r="L144" s="974"/>
      <c r="M144" s="974"/>
      <c r="N144" s="974"/>
      <c r="O144" s="1081"/>
      <c r="P144" s="656"/>
      <c r="Q144" s="656"/>
      <c r="R144" s="656"/>
      <c r="S144" s="656"/>
      <c r="T144" s="656"/>
      <c r="U144" s="656"/>
      <c r="V144" s="656"/>
      <c r="W144" s="656"/>
      <c r="X144" s="656"/>
      <c r="Y144" s="656"/>
      <c r="Z144" s="656"/>
      <c r="AA144" s="656"/>
      <c r="AB144" s="656"/>
      <c r="AC144" s="656"/>
      <c r="AD144" s="1077"/>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row>
    <row r="145" spans="1:113" s="6" customFormat="1" ht="16.5" hidden="1" customHeight="1">
      <c r="A145"/>
      <c r="B145" s="960"/>
      <c r="C145" s="976" t="s">
        <v>738</v>
      </c>
      <c r="D145" s="1079"/>
      <c r="E145" s="966"/>
      <c r="F145" s="1080"/>
      <c r="G145" s="1080"/>
      <c r="H145" s="1080"/>
      <c r="I145" s="1080"/>
      <c r="J145" s="1080"/>
      <c r="K145" s="1080"/>
      <c r="L145" s="1080"/>
      <c r="M145" s="1080"/>
      <c r="N145" s="1080"/>
      <c r="O145" s="1081"/>
      <c r="P145" s="656"/>
      <c r="Q145" s="656"/>
      <c r="R145" s="656"/>
      <c r="S145" s="656"/>
      <c r="T145" s="656"/>
      <c r="U145" s="656"/>
      <c r="V145" s="656"/>
      <c r="W145" s="656"/>
      <c r="X145" s="656"/>
      <c r="Y145" s="656"/>
      <c r="Z145" s="656"/>
      <c r="AA145" s="656"/>
      <c r="AB145" s="656"/>
      <c r="AC145" s="656"/>
      <c r="AD145" s="1077"/>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row>
    <row r="146" spans="1:113" ht="16.5" hidden="1" customHeight="1">
      <c r="B146" s="960"/>
      <c r="C146" s="952" t="s">
        <v>739</v>
      </c>
      <c r="D146" s="924"/>
      <c r="E146" s="953"/>
      <c r="F146" s="954"/>
      <c r="G146" s="954"/>
      <c r="H146" s="954"/>
      <c r="I146" s="954"/>
      <c r="J146" s="954"/>
      <c r="K146" s="954"/>
      <c r="L146" s="954"/>
      <c r="M146" s="954"/>
      <c r="N146" s="954"/>
      <c r="O146" s="1081"/>
      <c r="P146" s="656"/>
      <c r="Q146" s="656"/>
      <c r="R146" s="656"/>
      <c r="S146" s="656"/>
      <c r="T146" s="656"/>
      <c r="U146" s="656"/>
      <c r="V146" s="656"/>
      <c r="W146" s="656"/>
      <c r="X146" s="656"/>
      <c r="Y146" s="656"/>
      <c r="Z146" s="656"/>
      <c r="AA146" s="656"/>
      <c r="AB146" s="656"/>
      <c r="AC146" s="656"/>
      <c r="AD146" s="1077"/>
    </row>
    <row r="147" spans="1:113" ht="16.5" hidden="1" customHeight="1">
      <c r="B147" s="960"/>
      <c r="C147" s="956" t="s">
        <v>740</v>
      </c>
      <c r="D147" s="957"/>
      <c r="E147" s="958"/>
      <c r="F147" s="959"/>
      <c r="G147" s="959"/>
      <c r="H147" s="959"/>
      <c r="I147" s="959"/>
      <c r="J147" s="959"/>
      <c r="K147" s="959"/>
      <c r="L147" s="959"/>
      <c r="M147" s="959"/>
      <c r="N147" s="959"/>
      <c r="O147" s="1081"/>
      <c r="P147" s="656"/>
      <c r="Q147" s="656"/>
      <c r="R147" s="656"/>
      <c r="S147" s="656"/>
      <c r="T147" s="656"/>
      <c r="U147" s="656"/>
      <c r="V147" s="656"/>
      <c r="W147" s="656"/>
      <c r="X147" s="656"/>
      <c r="Y147" s="656"/>
      <c r="Z147" s="656"/>
      <c r="AA147" s="656"/>
      <c r="AB147" s="656"/>
      <c r="AC147" s="656"/>
      <c r="AD147" s="1077"/>
    </row>
    <row r="148" spans="1:113" ht="16.5" hidden="1" customHeight="1">
      <c r="B148" s="960"/>
      <c r="C148" s="47"/>
      <c r="D148" s="47"/>
      <c r="E148" s="47"/>
      <c r="F148" s="47"/>
      <c r="G148" s="47"/>
      <c r="H148" s="47"/>
      <c r="I148" s="47"/>
      <c r="J148" s="47"/>
      <c r="K148" s="47"/>
      <c r="L148" s="47"/>
      <c r="M148" s="47"/>
      <c r="N148" s="944"/>
      <c r="O148" s="1081"/>
      <c r="P148" s="656"/>
      <c r="Q148" s="656"/>
      <c r="R148" s="656"/>
      <c r="S148" s="656"/>
      <c r="T148" s="656"/>
      <c r="U148" s="656"/>
      <c r="V148" s="656"/>
      <c r="W148" s="656"/>
      <c r="X148" s="656"/>
      <c r="Y148" s="656"/>
      <c r="Z148" s="656"/>
      <c r="AA148" s="656"/>
      <c r="AB148" s="656"/>
      <c r="AC148" s="656"/>
      <c r="AD148" s="1077"/>
    </row>
    <row r="149" spans="1:113" ht="16.5" hidden="1" customHeight="1">
      <c r="B149" s="960"/>
      <c r="C149" s="1078" t="s">
        <v>813</v>
      </c>
      <c r="D149" s="1079"/>
      <c r="E149" s="980"/>
      <c r="F149" s="981"/>
      <c r="G149" s="974"/>
      <c r="H149" s="974"/>
      <c r="I149" s="974"/>
      <c r="J149" s="974"/>
      <c r="K149" s="974"/>
      <c r="L149" s="974"/>
      <c r="M149" s="974"/>
      <c r="N149" s="974"/>
      <c r="O149" s="1081"/>
      <c r="P149" s="656"/>
      <c r="Q149" s="656"/>
      <c r="R149" s="656"/>
      <c r="S149" s="656"/>
      <c r="T149" s="656"/>
      <c r="U149" s="656"/>
      <c r="V149" s="656"/>
      <c r="W149" s="656"/>
      <c r="X149" s="656"/>
      <c r="Y149" s="656"/>
      <c r="Z149" s="656"/>
      <c r="AA149" s="656"/>
      <c r="AB149" s="656"/>
      <c r="AC149" s="656"/>
      <c r="AD149" s="1077"/>
    </row>
    <row r="150" spans="1:113" ht="16.5" hidden="1" customHeight="1">
      <c r="B150" s="960"/>
      <c r="C150" s="976" t="s">
        <v>738</v>
      </c>
      <c r="D150" s="1079"/>
      <c r="E150" s="966"/>
      <c r="F150" s="1080"/>
      <c r="G150" s="1080"/>
      <c r="H150" s="1080"/>
      <c r="I150" s="1080"/>
      <c r="J150" s="1080"/>
      <c r="K150" s="1080"/>
      <c r="L150" s="1080"/>
      <c r="M150" s="1080"/>
      <c r="N150" s="1080"/>
      <c r="O150" s="1081"/>
      <c r="P150" s="656"/>
      <c r="Q150" s="656"/>
      <c r="R150" s="656"/>
      <c r="S150" s="656"/>
      <c r="T150" s="656"/>
      <c r="U150" s="656"/>
      <c r="V150" s="656"/>
      <c r="W150" s="656"/>
      <c r="X150" s="656"/>
      <c r="Y150" s="656"/>
      <c r="Z150" s="656"/>
      <c r="AA150" s="656"/>
      <c r="AB150" s="656"/>
      <c r="AC150" s="656"/>
      <c r="AD150" s="1077"/>
    </row>
    <row r="151" spans="1:113" ht="16.5" hidden="1" customHeight="1">
      <c r="B151" s="960"/>
      <c r="C151" s="952" t="s">
        <v>739</v>
      </c>
      <c r="D151" s="924"/>
      <c r="E151" s="953"/>
      <c r="F151" s="954"/>
      <c r="G151" s="954"/>
      <c r="H151" s="954"/>
      <c r="I151" s="954"/>
      <c r="J151" s="954"/>
      <c r="K151" s="954"/>
      <c r="L151" s="954"/>
      <c r="M151" s="954"/>
      <c r="N151" s="954"/>
      <c r="O151" s="1081"/>
      <c r="P151" s="656"/>
      <c r="Q151" s="656"/>
      <c r="R151" s="656"/>
      <c r="S151" s="656"/>
      <c r="T151" s="656"/>
      <c r="U151" s="656"/>
      <c r="V151" s="656"/>
      <c r="W151" s="656"/>
      <c r="X151" s="656"/>
      <c r="Y151" s="656"/>
      <c r="Z151" s="656"/>
      <c r="AA151" s="656"/>
      <c r="AB151" s="656"/>
      <c r="AC151" s="656"/>
      <c r="AD151" s="1077"/>
    </row>
    <row r="152" spans="1:113" ht="16.5" hidden="1" customHeight="1">
      <c r="B152" s="960"/>
      <c r="C152" s="956" t="s">
        <v>740</v>
      </c>
      <c r="D152" s="957"/>
      <c r="E152" s="958"/>
      <c r="F152" s="959"/>
      <c r="G152" s="959"/>
      <c r="H152" s="959"/>
      <c r="I152" s="959"/>
      <c r="J152" s="959"/>
      <c r="K152" s="959"/>
      <c r="L152" s="959"/>
      <c r="M152" s="959"/>
      <c r="N152" s="959"/>
      <c r="O152" s="1081"/>
      <c r="P152" s="656"/>
      <c r="Q152" s="656"/>
      <c r="R152" s="656"/>
      <c r="S152" s="656"/>
      <c r="T152" s="656"/>
      <c r="U152" s="656"/>
      <c r="V152" s="656"/>
      <c r="W152" s="656"/>
      <c r="X152" s="656"/>
      <c r="Y152" s="656"/>
      <c r="Z152" s="656"/>
      <c r="AA152" s="656"/>
      <c r="AB152" s="656"/>
      <c r="AC152" s="656"/>
      <c r="AD152" s="1077"/>
    </row>
    <row r="153" spans="1:113" ht="15" hidden="1" customHeight="1">
      <c r="B153" s="960"/>
      <c r="C153" s="47"/>
      <c r="D153" s="47"/>
      <c r="E153" s="47"/>
      <c r="F153" s="47"/>
      <c r="G153" s="47"/>
      <c r="H153" s="47"/>
      <c r="I153" s="47"/>
      <c r="J153" s="47"/>
      <c r="K153" s="47"/>
      <c r="L153" s="47"/>
      <c r="M153" s="47"/>
      <c r="N153" s="47"/>
      <c r="O153" s="1081"/>
      <c r="P153" s="656"/>
      <c r="Q153" s="656"/>
      <c r="R153" s="656"/>
      <c r="S153" s="656"/>
      <c r="T153" s="656"/>
      <c r="U153" s="656"/>
      <c r="V153" s="656"/>
      <c r="W153" s="656"/>
      <c r="X153" s="656"/>
      <c r="Y153" s="656"/>
      <c r="Z153" s="656"/>
      <c r="AA153" s="656"/>
      <c r="AB153" s="656"/>
      <c r="AC153" s="656"/>
      <c r="AD153" s="1077"/>
    </row>
    <row r="154" spans="1:113">
      <c r="A154" s="39"/>
      <c r="B154" s="1082"/>
      <c r="C154" s="39"/>
      <c r="D154" s="39"/>
      <c r="E154" s="39"/>
      <c r="F154" s="39"/>
      <c r="G154" s="39"/>
      <c r="H154" s="39"/>
      <c r="I154" s="39"/>
      <c r="J154" s="39"/>
      <c r="K154" s="39"/>
      <c r="L154" s="39"/>
      <c r="M154" s="39"/>
      <c r="N154" s="39"/>
      <c r="O154" s="1083"/>
      <c r="P154" s="1077"/>
      <c r="Q154" s="1084"/>
      <c r="R154" s="519"/>
      <c r="S154" s="1085"/>
      <c r="T154" s="1086"/>
      <c r="U154" s="1086"/>
      <c r="V154" s="1087"/>
      <c r="W154" s="1083"/>
      <c r="X154" s="1083"/>
      <c r="Y154" s="1083"/>
      <c r="Z154" s="1083"/>
      <c r="AA154" s="1083"/>
      <c r="AB154" s="1083"/>
      <c r="AC154" s="1083"/>
      <c r="AD154" s="1077"/>
    </row>
    <row r="155" spans="1:113" ht="15.75">
      <c r="A155" s="39"/>
      <c r="B155" s="878" t="s">
        <v>178</v>
      </c>
      <c r="C155" s="879"/>
      <c r="D155" s="879"/>
      <c r="E155" s="879"/>
      <c r="F155" s="879"/>
      <c r="G155" s="879"/>
      <c r="H155" s="879"/>
      <c r="I155" s="879"/>
      <c r="J155" s="879"/>
      <c r="K155" s="879"/>
      <c r="L155" s="879"/>
      <c r="M155" s="879"/>
      <c r="N155" s="879"/>
      <c r="O155" s="880"/>
      <c r="P155" s="6"/>
      <c r="Q155" s="1088"/>
      <c r="R155" s="519"/>
      <c r="S155" s="1085"/>
      <c r="T155" s="1086"/>
      <c r="U155" s="1086"/>
      <c r="V155" s="1087"/>
      <c r="W155" s="1083"/>
      <c r="X155" s="1083"/>
      <c r="Y155" s="1083"/>
      <c r="Z155" s="1083"/>
      <c r="AA155" s="1083"/>
      <c r="AB155" s="1083"/>
      <c r="AC155" s="1083"/>
      <c r="AD155" s="1077"/>
    </row>
    <row r="156" spans="1:113">
      <c r="A156" s="39"/>
      <c r="B156" s="1089"/>
      <c r="C156" s="1057"/>
      <c r="D156" s="1057"/>
      <c r="E156" s="1057"/>
      <c r="F156" s="1057"/>
      <c r="G156" s="1057"/>
      <c r="H156" s="1057"/>
      <c r="I156" s="1057"/>
      <c r="J156" s="1057"/>
      <c r="K156" s="1057"/>
      <c r="L156" s="1057"/>
      <c r="M156" s="1057"/>
      <c r="N156" s="1057"/>
      <c r="O156" s="1090"/>
      <c r="P156" s="6"/>
      <c r="Q156" s="1084"/>
      <c r="R156" s="519"/>
      <c r="S156" s="1085"/>
      <c r="T156" s="1086"/>
      <c r="U156" s="1086"/>
      <c r="V156" s="1087"/>
      <c r="W156" s="1083"/>
      <c r="X156" s="1083"/>
      <c r="Y156" s="1083"/>
      <c r="Z156" s="1083"/>
      <c r="AA156" s="1083"/>
      <c r="AB156" s="1083"/>
      <c r="AC156" s="1083"/>
      <c r="AD156" s="1077"/>
    </row>
    <row r="157" spans="1:113" ht="16.5" customHeight="1">
      <c r="A157" s="39"/>
      <c r="B157" s="110"/>
      <c r="C157" s="49" t="s">
        <v>815</v>
      </c>
      <c r="D157" s="67"/>
      <c r="E157" s="67"/>
      <c r="F157" s="67"/>
      <c r="G157" s="67"/>
      <c r="H157" s="67"/>
      <c r="I157" s="67"/>
      <c r="J157" s="67"/>
      <c r="K157" s="67"/>
      <c r="L157" s="67"/>
      <c r="M157" s="67"/>
      <c r="N157" s="67"/>
      <c r="O157" s="885"/>
      <c r="Q157" s="1084"/>
      <c r="R157" s="519"/>
      <c r="S157" s="1085"/>
      <c r="T157" s="212"/>
      <c r="U157" s="1091"/>
      <c r="V157" s="1091"/>
      <c r="W157" s="1091"/>
      <c r="X157" s="1091"/>
      <c r="Y157" s="1091"/>
      <c r="Z157" s="1091"/>
      <c r="AA157" s="1091"/>
      <c r="AB157" s="1091"/>
      <c r="AC157" s="1091"/>
      <c r="AD157" s="1077"/>
    </row>
    <row r="158" spans="1:113" ht="4.5" customHeight="1">
      <c r="A158" s="39"/>
      <c r="B158" s="110"/>
      <c r="C158" s="49"/>
      <c r="D158" s="67"/>
      <c r="E158" s="67"/>
      <c r="F158" s="67"/>
      <c r="G158" s="67"/>
      <c r="H158" s="67"/>
      <c r="I158" s="67"/>
      <c r="J158" s="67"/>
      <c r="K158" s="67"/>
      <c r="L158" s="67"/>
      <c r="M158" s="67"/>
      <c r="N158" s="67"/>
      <c r="O158" s="885"/>
      <c r="Q158" s="4152"/>
      <c r="R158" s="519"/>
      <c r="S158" s="1085"/>
      <c r="T158" s="1086"/>
      <c r="U158" s="1086"/>
      <c r="V158" s="1087"/>
      <c r="W158" s="1087"/>
      <c r="X158" s="1087"/>
      <c r="Y158" s="1087"/>
      <c r="Z158" s="1087"/>
      <c r="AA158" s="1087"/>
      <c r="AB158" s="1087"/>
      <c r="AC158" s="1083"/>
      <c r="AD158" s="1077"/>
    </row>
    <row r="159" spans="1:113" ht="16.5" customHeight="1">
      <c r="A159" s="39"/>
      <c r="B159" s="110"/>
      <c r="C159" s="887" t="s">
        <v>8</v>
      </c>
      <c r="D159" s="887" t="s">
        <v>72</v>
      </c>
      <c r="E159" s="887" t="s">
        <v>30</v>
      </c>
      <c r="F159" s="888">
        <v>2013</v>
      </c>
      <c r="G159" s="92">
        <v>2015</v>
      </c>
      <c r="H159" s="92">
        <v>2020</v>
      </c>
      <c r="I159" s="92">
        <v>2025</v>
      </c>
      <c r="J159" s="92">
        <v>2030</v>
      </c>
      <c r="K159" s="92">
        <v>2035</v>
      </c>
      <c r="L159" s="92">
        <v>2040</v>
      </c>
      <c r="M159" s="92">
        <v>2045</v>
      </c>
      <c r="N159" s="92">
        <v>2050</v>
      </c>
      <c r="O159" s="885"/>
      <c r="Q159" s="4152"/>
      <c r="R159" s="519"/>
      <c r="S159" s="1085"/>
      <c r="T159" s="1086"/>
      <c r="U159" s="1086"/>
      <c r="V159" s="1087"/>
      <c r="W159" s="1087"/>
      <c r="X159" s="1087"/>
      <c r="Y159" s="1087"/>
      <c r="Z159" s="1087"/>
      <c r="AA159" s="1087"/>
      <c r="AB159" s="1087"/>
      <c r="AC159" s="1083"/>
      <c r="AD159" s="1077"/>
    </row>
    <row r="160" spans="1:113" ht="16.5" customHeight="1">
      <c r="A160" s="39"/>
      <c r="B160" s="110"/>
      <c r="C160" s="1092" t="s">
        <v>98</v>
      </c>
      <c r="D160" s="1093" t="s">
        <v>784</v>
      </c>
      <c r="E160" s="1034"/>
      <c r="F160" s="1034"/>
      <c r="G160" s="1034"/>
      <c r="H160" s="1034"/>
      <c r="I160" s="1094">
        <f t="shared" ref="I160:N161" si="5">$F$30*I35</f>
        <v>0</v>
      </c>
      <c r="J160" s="1094">
        <f t="shared" si="5"/>
        <v>0</v>
      </c>
      <c r="K160" s="1094">
        <f t="shared" si="5"/>
        <v>0</v>
      </c>
      <c r="L160" s="1094">
        <f t="shared" si="5"/>
        <v>0</v>
      </c>
      <c r="M160" s="1094">
        <f t="shared" si="5"/>
        <v>0</v>
      </c>
      <c r="N160" s="1094">
        <f t="shared" si="5"/>
        <v>0</v>
      </c>
      <c r="O160" s="885"/>
      <c r="Q160" s="4152"/>
      <c r="R160" s="519"/>
      <c r="S160" s="1085"/>
      <c r="T160" s="1086"/>
      <c r="U160" s="1086"/>
      <c r="V160" s="1087"/>
      <c r="W160" s="1087"/>
      <c r="X160" s="1087"/>
      <c r="Y160" s="1087"/>
      <c r="Z160" s="1087"/>
      <c r="AA160" s="1087"/>
      <c r="AB160" s="1087"/>
      <c r="AC160" s="1083"/>
      <c r="AD160" s="1077"/>
    </row>
    <row r="161" spans="1:49">
      <c r="A161" s="39"/>
      <c r="B161" s="110"/>
      <c r="C161" s="65" t="s">
        <v>98</v>
      </c>
      <c r="D161" s="1041" t="s">
        <v>785</v>
      </c>
      <c r="E161" s="59"/>
      <c r="F161" s="59"/>
      <c r="G161" s="59"/>
      <c r="H161" s="59"/>
      <c r="I161" s="1095">
        <f t="shared" si="5"/>
        <v>0</v>
      </c>
      <c r="J161" s="1095">
        <f t="shared" si="5"/>
        <v>0</v>
      </c>
      <c r="K161" s="1095">
        <f t="shared" si="5"/>
        <v>0</v>
      </c>
      <c r="L161" s="1095">
        <f t="shared" si="5"/>
        <v>0</v>
      </c>
      <c r="M161" s="1095">
        <f t="shared" si="5"/>
        <v>0</v>
      </c>
      <c r="N161" s="1095">
        <f t="shared" si="5"/>
        <v>0</v>
      </c>
      <c r="O161" s="885"/>
      <c r="Q161" s="4152"/>
      <c r="R161" s="519"/>
      <c r="S161" s="1085"/>
      <c r="T161" s="1086"/>
      <c r="U161" s="1086"/>
      <c r="V161" s="1087"/>
      <c r="W161" s="1087"/>
      <c r="X161" s="1087"/>
      <c r="Y161" s="1087"/>
      <c r="Z161" s="1087"/>
      <c r="AA161" s="1087"/>
      <c r="AB161" s="1087"/>
      <c r="AC161" s="1083"/>
      <c r="AD161" s="1077"/>
    </row>
    <row r="162" spans="1:49">
      <c r="A162" s="39"/>
      <c r="B162" s="110"/>
      <c r="C162" s="926" t="s">
        <v>100</v>
      </c>
      <c r="D162" s="1045" t="s">
        <v>15</v>
      </c>
      <c r="E162" s="978"/>
      <c r="F162" s="978"/>
      <c r="G162" s="978"/>
      <c r="H162" s="978"/>
      <c r="I162" s="1096">
        <f t="shared" ref="I162:N162" si="6">$G$30</f>
        <v>1</v>
      </c>
      <c r="J162" s="1096">
        <f t="shared" si="6"/>
        <v>1</v>
      </c>
      <c r="K162" s="1096">
        <f t="shared" si="6"/>
        <v>1</v>
      </c>
      <c r="L162" s="1096">
        <f t="shared" si="6"/>
        <v>1</v>
      </c>
      <c r="M162" s="1096">
        <f t="shared" si="6"/>
        <v>1</v>
      </c>
      <c r="N162" s="1096">
        <f t="shared" si="6"/>
        <v>1</v>
      </c>
      <c r="O162" s="885"/>
      <c r="Q162" s="1097"/>
      <c r="R162" s="519"/>
      <c r="S162" s="1085"/>
      <c r="T162" s="1086"/>
      <c r="U162" s="1086"/>
      <c r="V162" s="1087"/>
      <c r="W162" s="1087"/>
      <c r="X162" s="1087"/>
      <c r="Y162" s="1087"/>
      <c r="Z162" s="1087"/>
      <c r="AA162" s="1087"/>
      <c r="AB162" s="1087"/>
      <c r="AC162" s="1083"/>
      <c r="AD162" s="1077"/>
    </row>
    <row r="163" spans="1:49">
      <c r="A163" s="39"/>
      <c r="B163" s="110"/>
      <c r="C163" s="67"/>
      <c r="D163" s="67"/>
      <c r="E163" s="67"/>
      <c r="F163" s="67"/>
      <c r="G163" s="1098"/>
      <c r="H163" s="1098"/>
      <c r="I163" s="1098"/>
      <c r="J163" s="1098"/>
      <c r="K163" s="1098"/>
      <c r="L163" s="1098"/>
      <c r="M163" s="1098"/>
      <c r="N163" s="1098"/>
      <c r="O163" s="885"/>
      <c r="Q163" s="1084"/>
      <c r="R163" s="519"/>
      <c r="S163" s="1085"/>
      <c r="T163" s="212"/>
      <c r="U163" s="1091"/>
      <c r="V163" s="1091"/>
      <c r="W163" s="1091"/>
      <c r="X163" s="1091"/>
      <c r="Y163" s="1091"/>
      <c r="Z163" s="1091"/>
      <c r="AA163" s="1091"/>
      <c r="AB163" s="1091"/>
      <c r="AC163" s="1091"/>
      <c r="AD163" s="1077"/>
    </row>
    <row r="164" spans="1:49">
      <c r="A164" s="39"/>
      <c r="B164" s="110"/>
      <c r="C164" s="49" t="str">
        <f>"CCS Installed capacity by type, Gross, " &amp; Preferences.PowerUnits</f>
        <v>CCS Installed capacity by type, Gross, GW</v>
      </c>
      <c r="D164" s="67"/>
      <c r="E164" s="67"/>
      <c r="F164" s="67"/>
      <c r="G164" s="67"/>
      <c r="H164" s="67"/>
      <c r="I164" s="67"/>
      <c r="J164" s="67"/>
      <c r="K164" s="67"/>
      <c r="L164" s="67"/>
      <c r="M164" s="67"/>
      <c r="N164" s="51" t="str">
        <f>Preferences.PowerUnits</f>
        <v>GW</v>
      </c>
      <c r="O164" s="885"/>
      <c r="Q164" s="4152"/>
      <c r="R164" s="519"/>
      <c r="S164" s="1085"/>
      <c r="T164" s="1086"/>
      <c r="U164" s="1086"/>
      <c r="V164" s="1086"/>
      <c r="W164" s="1086"/>
      <c r="X164" s="1086"/>
      <c r="Y164" s="1086"/>
      <c r="Z164" s="1086"/>
      <c r="AA164" s="1086"/>
      <c r="AB164" s="1086"/>
      <c r="AC164" s="1086"/>
      <c r="AD164" s="1077"/>
    </row>
    <row r="165" spans="1:49">
      <c r="A165" s="39"/>
      <c r="B165" s="110"/>
      <c r="C165" s="67"/>
      <c r="D165" s="67"/>
      <c r="E165" s="67"/>
      <c r="F165" s="67"/>
      <c r="G165" s="67"/>
      <c r="H165" s="67"/>
      <c r="I165" s="67"/>
      <c r="J165" s="67"/>
      <c r="K165" s="67"/>
      <c r="L165" s="67"/>
      <c r="M165" s="67"/>
      <c r="N165" s="67"/>
      <c r="O165" s="885"/>
      <c r="Q165" s="4152"/>
      <c r="R165" s="519"/>
      <c r="S165" s="1085"/>
      <c r="T165" s="1086"/>
      <c r="U165" s="1086"/>
      <c r="V165" s="1086"/>
      <c r="W165" s="1086"/>
      <c r="X165" s="1086"/>
      <c r="Y165" s="1086"/>
      <c r="Z165" s="1086"/>
      <c r="AA165" s="1086"/>
      <c r="AB165" s="1086"/>
      <c r="AC165" s="1086"/>
      <c r="AD165" s="1077"/>
    </row>
    <row r="166" spans="1:49" ht="15.75">
      <c r="A166" s="39"/>
      <c r="B166" s="55"/>
      <c r="C166" s="887" t="s">
        <v>132</v>
      </c>
      <c r="D166" s="887" t="s">
        <v>731</v>
      </c>
      <c r="E166" s="887" t="s">
        <v>30</v>
      </c>
      <c r="F166" s="92">
        <v>2013</v>
      </c>
      <c r="G166" s="92">
        <v>2015</v>
      </c>
      <c r="H166" s="92">
        <v>2020</v>
      </c>
      <c r="I166" s="92">
        <v>2025</v>
      </c>
      <c r="J166" s="92">
        <v>2030</v>
      </c>
      <c r="K166" s="92">
        <v>2035</v>
      </c>
      <c r="L166" s="92">
        <v>2040</v>
      </c>
      <c r="M166" s="92">
        <v>2045</v>
      </c>
      <c r="N166" s="92">
        <v>2050</v>
      </c>
      <c r="O166" s="885"/>
      <c r="Q166" s="4152"/>
      <c r="R166" s="519"/>
      <c r="S166" s="1085"/>
      <c r="T166" s="1086"/>
      <c r="U166" s="1086"/>
      <c r="V166" s="1086"/>
      <c r="W166" s="1086"/>
      <c r="X166" s="1086"/>
      <c r="Y166" s="1086"/>
      <c r="Z166" s="1086"/>
      <c r="AA166" s="1086"/>
      <c r="AB166" s="1086"/>
      <c r="AC166" s="1086"/>
      <c r="AD166" s="1077"/>
    </row>
    <row r="167" spans="1:49" ht="15.75">
      <c r="A167" s="39"/>
      <c r="B167" s="55"/>
      <c r="C167" s="1092" t="s">
        <v>98</v>
      </c>
      <c r="D167" s="1093" t="s">
        <v>784</v>
      </c>
      <c r="E167" s="1099"/>
      <c r="F167" s="1100"/>
      <c r="G167" s="1101">
        <f t="shared" ref="G167:N169" si="7">F167+G47-F47+(F160*F$20*(G$166-F$166))</f>
        <v>0</v>
      </c>
      <c r="H167" s="1101">
        <f t="shared" si="7"/>
        <v>0</v>
      </c>
      <c r="I167" s="1101">
        <f t="shared" si="7"/>
        <v>0</v>
      </c>
      <c r="J167" s="1101">
        <f t="shared" si="7"/>
        <v>0</v>
      </c>
      <c r="K167" s="1101">
        <f t="shared" si="7"/>
        <v>0</v>
      </c>
      <c r="L167" s="1101">
        <f t="shared" si="7"/>
        <v>0</v>
      </c>
      <c r="M167" s="1101">
        <f t="shared" si="7"/>
        <v>0</v>
      </c>
      <c r="N167" s="1101">
        <f t="shared" si="7"/>
        <v>0</v>
      </c>
      <c r="O167" s="885"/>
      <c r="Q167" s="4152"/>
      <c r="R167" s="519"/>
      <c r="S167" s="1085"/>
      <c r="T167" s="1086"/>
      <c r="U167" s="1086"/>
      <c r="V167" s="1086"/>
      <c r="W167" s="1086"/>
      <c r="X167" s="1086"/>
      <c r="Y167" s="1086"/>
      <c r="Z167" s="1086"/>
      <c r="AA167" s="1086"/>
      <c r="AB167" s="1086"/>
      <c r="AC167" s="1086"/>
      <c r="AD167" s="1077"/>
    </row>
    <row r="168" spans="1:49" ht="15.75">
      <c r="A168" s="39"/>
      <c r="B168" s="55"/>
      <c r="C168" s="65" t="s">
        <v>98</v>
      </c>
      <c r="D168" s="1041" t="s">
        <v>785</v>
      </c>
      <c r="E168" s="923"/>
      <c r="F168" s="920"/>
      <c r="G168" s="1102">
        <f t="shared" si="7"/>
        <v>0</v>
      </c>
      <c r="H168" s="1102">
        <f t="shared" si="7"/>
        <v>0</v>
      </c>
      <c r="I168" s="1102">
        <f t="shared" si="7"/>
        <v>0</v>
      </c>
      <c r="J168" s="1102">
        <f t="shared" si="7"/>
        <v>0</v>
      </c>
      <c r="K168" s="1102">
        <f t="shared" si="7"/>
        <v>0</v>
      </c>
      <c r="L168" s="1102">
        <f t="shared" si="7"/>
        <v>0</v>
      </c>
      <c r="M168" s="1102">
        <f t="shared" si="7"/>
        <v>0</v>
      </c>
      <c r="N168" s="1102">
        <f t="shared" si="7"/>
        <v>0</v>
      </c>
      <c r="O168" s="885"/>
      <c r="Q168" s="1097"/>
      <c r="R168" s="519"/>
      <c r="S168" s="1085"/>
      <c r="T168" s="1086"/>
      <c r="U168" s="1086"/>
      <c r="V168" s="1087"/>
      <c r="W168" s="1087"/>
      <c r="X168" s="1087"/>
      <c r="Y168" s="1087"/>
      <c r="Z168" s="1087"/>
      <c r="AA168" s="1087"/>
      <c r="AB168" s="1087"/>
      <c r="AC168" s="1083"/>
      <c r="AD168" s="1077"/>
    </row>
    <row r="169" spans="1:49" ht="15.75">
      <c r="A169" s="39"/>
      <c r="B169" s="55"/>
      <c r="C169" s="65" t="s">
        <v>100</v>
      </c>
      <c r="D169" s="1041" t="s">
        <v>15</v>
      </c>
      <c r="E169" s="924"/>
      <c r="F169" s="953"/>
      <c r="G169" s="1102">
        <f t="shared" si="7"/>
        <v>0</v>
      </c>
      <c r="H169" s="1102">
        <f t="shared" si="7"/>
        <v>0</v>
      </c>
      <c r="I169" s="1102">
        <f t="shared" si="7"/>
        <v>0</v>
      </c>
      <c r="J169" s="1102">
        <f t="shared" si="7"/>
        <v>0</v>
      </c>
      <c r="K169" s="1102">
        <f t="shared" si="7"/>
        <v>0.5</v>
      </c>
      <c r="L169" s="1102">
        <f t="shared" si="7"/>
        <v>1.5</v>
      </c>
      <c r="M169" s="1102">
        <f t="shared" si="7"/>
        <v>2.5</v>
      </c>
      <c r="N169" s="1102">
        <f t="shared" si="7"/>
        <v>3.5</v>
      </c>
      <c r="O169" s="885"/>
      <c r="Q169" s="1077"/>
      <c r="R169" s="1077"/>
      <c r="S169" s="1077"/>
      <c r="T169" s="1077"/>
      <c r="U169" s="1077"/>
      <c r="V169" s="1083"/>
      <c r="W169" s="1083"/>
      <c r="X169" s="1083"/>
      <c r="Y169" s="1083"/>
      <c r="Z169" s="1083"/>
      <c r="AA169" s="1083"/>
      <c r="AB169" s="1083"/>
      <c r="AC169" s="1083"/>
      <c r="AD169" s="1077"/>
    </row>
    <row r="170" spans="1:49" ht="15.75">
      <c r="A170" s="39"/>
      <c r="B170" s="55"/>
      <c r="C170" s="961"/>
      <c r="D170" s="1103" t="s">
        <v>59</v>
      </c>
      <c r="E170" s="1103"/>
      <c r="F170" s="1103"/>
      <c r="G170" s="1104">
        <f t="shared" ref="G170:N170" si="8">SUM(G167:G169)</f>
        <v>0</v>
      </c>
      <c r="H170" s="1104">
        <f t="shared" si="8"/>
        <v>0</v>
      </c>
      <c r="I170" s="1104">
        <f t="shared" si="8"/>
        <v>0</v>
      </c>
      <c r="J170" s="1104">
        <f t="shared" si="8"/>
        <v>0</v>
      </c>
      <c r="K170" s="1104">
        <f t="shared" si="8"/>
        <v>0.5</v>
      </c>
      <c r="L170" s="1104">
        <f t="shared" si="8"/>
        <v>1.5</v>
      </c>
      <c r="M170" s="1104">
        <f t="shared" si="8"/>
        <v>2.5</v>
      </c>
      <c r="N170" s="1104">
        <f t="shared" si="8"/>
        <v>3.5</v>
      </c>
      <c r="O170" s="885"/>
      <c r="Q170" s="1077"/>
      <c r="R170" s="1077"/>
      <c r="S170" s="1077"/>
      <c r="T170" s="1077"/>
      <c r="U170" s="1077"/>
      <c r="V170" s="1083"/>
      <c r="W170" s="1083"/>
      <c r="X170" s="1083"/>
      <c r="Y170" s="1083"/>
      <c r="Z170" s="1083"/>
      <c r="AA170" s="1083"/>
      <c r="AB170" s="1083"/>
      <c r="AC170" s="1083"/>
      <c r="AD170" s="1077"/>
    </row>
    <row r="171" spans="1:49" ht="15.75">
      <c r="A171" s="39"/>
      <c r="B171" s="55"/>
      <c r="C171" s="65"/>
      <c r="D171" s="67"/>
      <c r="E171" s="67"/>
      <c r="F171" s="67"/>
      <c r="G171" s="1105"/>
      <c r="H171" s="1105"/>
      <c r="I171" s="1105"/>
      <c r="J171" s="1105"/>
      <c r="K171" s="1105"/>
      <c r="L171" s="1105"/>
      <c r="M171" s="1105"/>
      <c r="N171" s="1105"/>
      <c r="O171" s="885"/>
      <c r="Q171" s="1077"/>
      <c r="R171" s="1077"/>
      <c r="S171" s="1077"/>
      <c r="T171" s="1077"/>
      <c r="U171" s="1077"/>
      <c r="V171" s="1083"/>
      <c r="W171" s="1083"/>
      <c r="X171" s="1083"/>
      <c r="Y171" s="1083"/>
      <c r="Z171" s="1083"/>
      <c r="AA171" s="1083"/>
      <c r="AB171" s="1083"/>
      <c r="AC171" s="1083"/>
      <c r="AD171" s="1077"/>
    </row>
    <row r="172" spans="1:49">
      <c r="A172" s="39"/>
      <c r="B172" s="884"/>
      <c r="C172" s="49" t="s">
        <v>816</v>
      </c>
      <c r="D172" s="67"/>
      <c r="E172" s="67"/>
      <c r="F172" s="67"/>
      <c r="G172" s="67" t="s">
        <v>5</v>
      </c>
      <c r="H172" s="67"/>
      <c r="I172" s="67"/>
      <c r="J172" s="67"/>
      <c r="K172" s="67"/>
      <c r="L172" s="67"/>
      <c r="M172" s="67"/>
      <c r="N172" s="67"/>
      <c r="O172" s="885"/>
      <c r="Q172" s="1077"/>
      <c r="R172" s="1077"/>
      <c r="S172" s="1077"/>
      <c r="T172" s="1077"/>
      <c r="U172" s="1077"/>
      <c r="V172" s="1077"/>
      <c r="W172" s="1077"/>
      <c r="X172" s="1077"/>
      <c r="Y172" s="1077"/>
      <c r="Z172" s="1077"/>
      <c r="AA172" s="1077"/>
      <c r="AB172" s="1077"/>
      <c r="AC172" s="1077"/>
      <c r="AD172" s="1077"/>
    </row>
    <row r="173" spans="1:49">
      <c r="B173" s="884"/>
      <c r="C173" s="67"/>
      <c r="D173" s="67"/>
      <c r="E173" s="67"/>
      <c r="F173" s="67"/>
      <c r="G173" s="67"/>
      <c r="H173" s="67"/>
      <c r="I173" s="67"/>
      <c r="J173" s="67"/>
      <c r="K173" s="67"/>
      <c r="L173" s="67"/>
      <c r="M173" s="67"/>
      <c r="N173" s="67"/>
      <c r="O173" s="885"/>
    </row>
    <row r="174" spans="1:49" ht="23.25">
      <c r="A174" s="40"/>
      <c r="B174" s="886"/>
      <c r="C174" s="887" t="s">
        <v>132</v>
      </c>
      <c r="D174" s="887" t="s">
        <v>731</v>
      </c>
      <c r="E174" s="887" t="s">
        <v>30</v>
      </c>
      <c r="F174" s="908">
        <v>2013</v>
      </c>
      <c r="G174" s="909" t="s">
        <v>133</v>
      </c>
      <c r="H174" s="909" t="s">
        <v>134</v>
      </c>
      <c r="I174" s="909" t="s">
        <v>135</v>
      </c>
      <c r="J174" s="909" t="s">
        <v>136</v>
      </c>
      <c r="K174" s="909" t="s">
        <v>137</v>
      </c>
      <c r="L174" s="909" t="s">
        <v>138</v>
      </c>
      <c r="M174" s="909" t="s">
        <v>139</v>
      </c>
      <c r="N174" s="909" t="s">
        <v>140</v>
      </c>
      <c r="O174" s="885"/>
      <c r="AG174" s="6"/>
      <c r="AH174" s="6"/>
      <c r="AI174" s="6"/>
      <c r="AJ174" s="6"/>
      <c r="AK174" s="6"/>
      <c r="AL174" s="6"/>
      <c r="AM174" s="6"/>
      <c r="AN174" s="6"/>
      <c r="AO174" s="6"/>
      <c r="AP174" s="6"/>
      <c r="AQ174" s="6"/>
      <c r="AR174" s="6"/>
      <c r="AS174" s="6"/>
      <c r="AT174" s="6"/>
      <c r="AU174" s="6"/>
      <c r="AV174" s="6"/>
      <c r="AW174" s="6"/>
    </row>
    <row r="175" spans="1:49" ht="23.25">
      <c r="A175" s="40"/>
      <c r="B175" s="886"/>
      <c r="C175" s="896"/>
      <c r="D175" s="897" t="s">
        <v>817</v>
      </c>
      <c r="E175" s="897"/>
      <c r="F175" s="918">
        <v>0</v>
      </c>
      <c r="G175" s="98">
        <v>0</v>
      </c>
      <c r="H175" s="98">
        <v>0</v>
      </c>
      <c r="I175" s="98">
        <v>0</v>
      </c>
      <c r="J175" s="98">
        <f>SUMPRODUCT(J$160:J$162,J$75:J$77)</f>
        <v>0.85</v>
      </c>
      <c r="K175" s="98">
        <f>SUMPRODUCT(K$160:K$162,K$75:K$77)</f>
        <v>0.85</v>
      </c>
      <c r="L175" s="98">
        <f>SUMPRODUCT(L$160:L$162,L$75:L$77)</f>
        <v>0.85</v>
      </c>
      <c r="M175" s="98">
        <f>SUMPRODUCT(M$160:M$162,M$75:M$77)</f>
        <v>0.85</v>
      </c>
      <c r="N175" s="98">
        <f>SUMPRODUCT(N$160:N$162,N$75:N$77)</f>
        <v>0.85</v>
      </c>
      <c r="O175" s="885"/>
      <c r="AG175" s="6"/>
      <c r="AH175" s="6"/>
      <c r="AI175" s="6"/>
      <c r="AJ175" s="6"/>
      <c r="AK175" s="6"/>
      <c r="AL175" s="6"/>
      <c r="AM175" s="6"/>
      <c r="AN175" s="6"/>
      <c r="AO175" s="6"/>
      <c r="AP175" s="6"/>
      <c r="AQ175" s="6"/>
      <c r="AR175" s="6"/>
      <c r="AS175" s="6"/>
      <c r="AT175" s="6"/>
      <c r="AU175" s="6"/>
      <c r="AV175" s="6"/>
      <c r="AW175" s="6"/>
    </row>
    <row r="176" spans="1:49" ht="15.75">
      <c r="B176" s="1106"/>
      <c r="C176" s="1107"/>
      <c r="D176" s="1074"/>
      <c r="E176" s="1074"/>
      <c r="F176" s="1074"/>
      <c r="G176" s="1108"/>
      <c r="H176" s="1108"/>
      <c r="I176" s="1108"/>
      <c r="J176" s="1108"/>
      <c r="K176" s="1108"/>
      <c r="L176" s="1108"/>
      <c r="M176" s="1108"/>
      <c r="N176" s="1108"/>
      <c r="O176" s="1109"/>
    </row>
    <row r="178" spans="1:49" ht="15.75">
      <c r="B178" s="1110" t="s">
        <v>207</v>
      </c>
    </row>
    <row r="179" spans="1:49" ht="15.75">
      <c r="B179" s="1110"/>
    </row>
    <row r="180" spans="1:49">
      <c r="B180" s="363" t="s">
        <v>818</v>
      </c>
      <c r="C180" s="6"/>
      <c r="D180" s="6"/>
      <c r="E180" s="6"/>
      <c r="F180" s="6"/>
      <c r="G180" s="6"/>
      <c r="H180" s="6"/>
      <c r="I180" s="6"/>
      <c r="J180" s="6"/>
      <c r="K180" s="6"/>
      <c r="L180" s="6"/>
      <c r="M180" s="6"/>
      <c r="N180" s="6"/>
    </row>
    <row r="181" spans="1:49">
      <c r="B181" s="363" t="s">
        <v>819</v>
      </c>
      <c r="C181" s="6"/>
      <c r="D181" s="6"/>
      <c r="E181" s="6"/>
      <c r="F181" s="6"/>
      <c r="G181" s="6"/>
      <c r="H181" s="6"/>
      <c r="I181" s="6"/>
      <c r="J181" s="6"/>
      <c r="K181" s="6"/>
      <c r="L181" s="6"/>
      <c r="M181" s="6"/>
      <c r="N181" s="6"/>
    </row>
    <row r="182" spans="1:49" s="6" customFormat="1">
      <c r="A182"/>
      <c r="B182" s="381" t="s">
        <v>820</v>
      </c>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row>
    <row r="183" spans="1:49" s="6" customFormat="1">
      <c r="A183"/>
      <c r="B183" s="381" t="s">
        <v>821</v>
      </c>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row>
    <row r="184" spans="1:49">
      <c r="B184" s="381" t="s">
        <v>822</v>
      </c>
      <c r="C184" s="6"/>
      <c r="D184" s="6"/>
      <c r="E184" s="6"/>
      <c r="F184" s="6"/>
      <c r="G184" s="6"/>
      <c r="H184" s="6"/>
      <c r="I184" s="6"/>
      <c r="J184" s="6"/>
      <c r="K184" s="6"/>
      <c r="L184" s="6"/>
      <c r="M184" s="6"/>
      <c r="N184" s="6"/>
    </row>
    <row r="185" spans="1:49">
      <c r="B185" s="381"/>
      <c r="C185" s="6"/>
      <c r="D185" s="6"/>
      <c r="E185" s="6"/>
      <c r="F185" s="6"/>
      <c r="G185" s="6"/>
      <c r="H185" s="6"/>
      <c r="I185" s="6"/>
      <c r="J185" s="6"/>
      <c r="K185" s="6"/>
      <c r="L185" s="6"/>
      <c r="M185" s="6"/>
      <c r="N185" s="6"/>
    </row>
    <row r="186" spans="1:49">
      <c r="B186" s="381" t="s">
        <v>823</v>
      </c>
      <c r="C186" s="6"/>
      <c r="D186" s="6"/>
      <c r="E186" s="6"/>
      <c r="F186" s="6"/>
      <c r="G186" s="6"/>
      <c r="H186" s="6"/>
      <c r="I186" s="6"/>
      <c r="J186" s="6"/>
      <c r="K186" s="6"/>
      <c r="L186" s="6"/>
      <c r="M186" s="6"/>
      <c r="N186" s="6"/>
    </row>
    <row r="187" spans="1:49">
      <c r="B187" s="6"/>
      <c r="C187" s="6" t="s">
        <v>98</v>
      </c>
      <c r="D187" s="6" t="s">
        <v>784</v>
      </c>
      <c r="E187" s="6"/>
      <c r="F187" s="302">
        <v>2013</v>
      </c>
      <c r="G187" s="302">
        <v>2015</v>
      </c>
      <c r="H187" s="302">
        <v>2020</v>
      </c>
      <c r="I187" s="302">
        <v>2025</v>
      </c>
      <c r="J187" s="302">
        <v>2030</v>
      </c>
      <c r="K187" s="302">
        <v>2035</v>
      </c>
      <c r="L187" s="302">
        <v>2040</v>
      </c>
      <c r="M187" s="302">
        <v>2045</v>
      </c>
      <c r="N187" s="302">
        <v>2050</v>
      </c>
      <c r="S187" s="418"/>
    </row>
    <row r="188" spans="1:49">
      <c r="B188" s="6"/>
      <c r="C188" s="6" t="s">
        <v>745</v>
      </c>
      <c r="D188" s="6"/>
      <c r="E188" s="6" t="str">
        <f>Preferences.PowerUnits</f>
        <v>GW</v>
      </c>
      <c r="F188" s="637">
        <f t="shared" ref="F188:N188" si="9">F167</f>
        <v>0</v>
      </c>
      <c r="G188" s="1111">
        <f t="shared" si="9"/>
        <v>0</v>
      </c>
      <c r="H188" s="1111">
        <f t="shared" si="9"/>
        <v>0</v>
      </c>
      <c r="I188" s="1111">
        <f t="shared" si="9"/>
        <v>0</v>
      </c>
      <c r="J188" s="1111">
        <f t="shared" si="9"/>
        <v>0</v>
      </c>
      <c r="K188" s="1111">
        <f t="shared" si="9"/>
        <v>0</v>
      </c>
      <c r="L188" s="1111">
        <f t="shared" si="9"/>
        <v>0</v>
      </c>
      <c r="M188" s="1111">
        <f t="shared" si="9"/>
        <v>0</v>
      </c>
      <c r="N188" s="1111">
        <f t="shared" si="9"/>
        <v>0</v>
      </c>
      <c r="S188" s="418"/>
    </row>
    <row r="189" spans="1:49">
      <c r="B189" s="6" t="s">
        <v>824</v>
      </c>
      <c r="C189" s="6" t="s">
        <v>825</v>
      </c>
      <c r="D189" s="6"/>
      <c r="E189" s="6"/>
      <c r="F189" s="637">
        <f t="shared" ref="F189:N189" si="10">F188*-F$68</f>
        <v>0</v>
      </c>
      <c r="G189" s="1111">
        <f t="shared" si="10"/>
        <v>0</v>
      </c>
      <c r="H189" s="1111">
        <f t="shared" si="10"/>
        <v>0</v>
      </c>
      <c r="I189" s="1111">
        <f t="shared" si="10"/>
        <v>0</v>
      </c>
      <c r="J189" s="1111">
        <f t="shared" si="10"/>
        <v>0</v>
      </c>
      <c r="K189" s="1111">
        <f t="shared" si="10"/>
        <v>0</v>
      </c>
      <c r="L189" s="1111">
        <f t="shared" si="10"/>
        <v>0</v>
      </c>
      <c r="M189" s="1111">
        <f t="shared" si="10"/>
        <v>0</v>
      </c>
      <c r="N189" s="1111">
        <f t="shared" si="10"/>
        <v>0</v>
      </c>
      <c r="P189" s="637"/>
    </row>
    <row r="190" spans="1:49">
      <c r="B190" s="6" t="s">
        <v>219</v>
      </c>
      <c r="C190" s="6" t="s">
        <v>733</v>
      </c>
      <c r="D190" s="6"/>
      <c r="E190" s="6"/>
      <c r="F190" s="422">
        <f t="shared" ref="F190:N190" si="11">F$75</f>
        <v>0</v>
      </c>
      <c r="G190" s="422">
        <f t="shared" si="11"/>
        <v>0</v>
      </c>
      <c r="H190" s="422">
        <f t="shared" si="11"/>
        <v>0</v>
      </c>
      <c r="I190" s="422">
        <f t="shared" si="11"/>
        <v>0</v>
      </c>
      <c r="J190" s="422">
        <f t="shared" si="11"/>
        <v>0.85</v>
      </c>
      <c r="K190" s="422">
        <f t="shared" si="11"/>
        <v>0.85</v>
      </c>
      <c r="L190" s="422">
        <f t="shared" si="11"/>
        <v>0.85</v>
      </c>
      <c r="M190" s="422">
        <f t="shared" si="11"/>
        <v>0.85</v>
      </c>
      <c r="N190" s="422">
        <f t="shared" si="11"/>
        <v>0.85</v>
      </c>
      <c r="O190" s="422"/>
      <c r="P190" s="1112"/>
    </row>
    <row r="191" spans="1:49">
      <c r="B191" s="1113" t="s">
        <v>221</v>
      </c>
      <c r="C191" s="6" t="s">
        <v>826</v>
      </c>
      <c r="D191" s="6"/>
      <c r="E191" s="6"/>
      <c r="F191" s="596">
        <f t="shared" ref="F191:N191" si="12">(F188+F189)*F190</f>
        <v>0</v>
      </c>
      <c r="G191" s="596">
        <f t="shared" si="12"/>
        <v>0</v>
      </c>
      <c r="H191" s="596">
        <f t="shared" si="12"/>
        <v>0</v>
      </c>
      <c r="I191" s="596">
        <f t="shared" si="12"/>
        <v>0</v>
      </c>
      <c r="J191" s="596">
        <f t="shared" si="12"/>
        <v>0</v>
      </c>
      <c r="K191" s="596">
        <f t="shared" si="12"/>
        <v>0</v>
      </c>
      <c r="L191" s="596">
        <f t="shared" si="12"/>
        <v>0</v>
      </c>
      <c r="M191" s="596">
        <f t="shared" si="12"/>
        <v>0</v>
      </c>
      <c r="N191" s="596">
        <f t="shared" si="12"/>
        <v>0</v>
      </c>
      <c r="O191" s="596"/>
    </row>
    <row r="192" spans="1:49">
      <c r="B192" s="6"/>
      <c r="C192" s="1113"/>
      <c r="D192" s="6"/>
      <c r="E192" s="6"/>
      <c r="F192" s="596"/>
      <c r="G192" s="596"/>
      <c r="H192" s="596"/>
      <c r="I192" s="596"/>
      <c r="J192" s="596"/>
      <c r="K192" s="596"/>
      <c r="L192" s="596"/>
      <c r="M192" s="596"/>
      <c r="N192" s="596"/>
    </row>
    <row r="193" spans="2:17">
      <c r="B193" s="6"/>
      <c r="C193" s="381" t="s">
        <v>827</v>
      </c>
      <c r="D193" s="6"/>
      <c r="E193" s="6" t="str">
        <f>Preferences.EnergyUnits</f>
        <v>TWh</v>
      </c>
      <c r="F193" s="2480">
        <f t="shared" ref="F193:N193" si="13">F191*Preferences.Unit.Power*Unit.year/Preferences.Unit.Energy</f>
        <v>0</v>
      </c>
      <c r="G193" s="2480">
        <f t="shared" si="13"/>
        <v>0</v>
      </c>
      <c r="H193" s="2481">
        <f t="shared" si="13"/>
        <v>0</v>
      </c>
      <c r="I193" s="2481">
        <f t="shared" si="13"/>
        <v>0</v>
      </c>
      <c r="J193" s="2481">
        <f t="shared" si="13"/>
        <v>0</v>
      </c>
      <c r="K193" s="2481">
        <f t="shared" si="13"/>
        <v>0</v>
      </c>
      <c r="L193" s="2481">
        <f t="shared" si="13"/>
        <v>0</v>
      </c>
      <c r="M193" s="2481">
        <f t="shared" si="13"/>
        <v>0</v>
      </c>
      <c r="N193" s="2481">
        <f t="shared" si="13"/>
        <v>0</v>
      </c>
      <c r="O193" s="1114"/>
      <c r="P193" s="1114"/>
    </row>
    <row r="194" spans="2:17">
      <c r="B194" s="6"/>
      <c r="C194" s="381"/>
      <c r="D194" s="6"/>
      <c r="E194" s="6"/>
      <c r="F194" s="1114"/>
      <c r="G194" s="1114"/>
      <c r="H194" s="1114"/>
      <c r="I194" s="1114"/>
      <c r="J194" s="1114"/>
      <c r="K194" s="1114"/>
      <c r="L194" s="1114"/>
      <c r="M194" s="1114"/>
      <c r="N194" s="1114"/>
      <c r="O194" s="1114"/>
      <c r="P194" s="1114"/>
      <c r="Q194" s="1116"/>
    </row>
    <row r="195" spans="2:17">
      <c r="B195" s="1113" t="s">
        <v>828</v>
      </c>
      <c r="C195" s="6" t="s">
        <v>825</v>
      </c>
      <c r="D195" s="6"/>
      <c r="E195" s="6"/>
      <c r="F195" s="413">
        <f t="shared" ref="F195:N195" si="14">F196*F$68</f>
        <v>0</v>
      </c>
      <c r="G195" s="413">
        <f t="shared" si="14"/>
        <v>0</v>
      </c>
      <c r="H195" s="413">
        <f t="shared" si="14"/>
        <v>0</v>
      </c>
      <c r="I195" s="413">
        <f t="shared" si="14"/>
        <v>0</v>
      </c>
      <c r="J195" s="413">
        <f t="shared" si="14"/>
        <v>0</v>
      </c>
      <c r="K195" s="413">
        <f t="shared" si="14"/>
        <v>0</v>
      </c>
      <c r="L195" s="413">
        <f t="shared" si="14"/>
        <v>0</v>
      </c>
      <c r="M195" s="413">
        <f t="shared" si="14"/>
        <v>0</v>
      </c>
      <c r="N195" s="413">
        <f t="shared" si="14"/>
        <v>0</v>
      </c>
      <c r="O195" s="413"/>
      <c r="P195" s="413"/>
    </row>
    <row r="196" spans="2:17">
      <c r="B196" s="1117" t="s">
        <v>221</v>
      </c>
      <c r="C196" s="381" t="s">
        <v>829</v>
      </c>
      <c r="D196" s="6"/>
      <c r="E196" s="6"/>
      <c r="F196" s="1114">
        <f t="shared" ref="F196:N196" si="15">F193/(1-F$68)</f>
        <v>0</v>
      </c>
      <c r="G196" s="1115">
        <f t="shared" si="15"/>
        <v>0</v>
      </c>
      <c r="H196" s="1115">
        <f t="shared" si="15"/>
        <v>0</v>
      </c>
      <c r="I196" s="1115">
        <f t="shared" si="15"/>
        <v>0</v>
      </c>
      <c r="J196" s="1115">
        <f t="shared" si="15"/>
        <v>0</v>
      </c>
      <c r="K196" s="1115">
        <f t="shared" si="15"/>
        <v>0</v>
      </c>
      <c r="L196" s="1115">
        <f t="shared" si="15"/>
        <v>0</v>
      </c>
      <c r="M196" s="1115">
        <f t="shared" si="15"/>
        <v>0</v>
      </c>
      <c r="N196" s="1115">
        <f t="shared" si="15"/>
        <v>0</v>
      </c>
      <c r="O196" s="1118"/>
      <c r="P196" s="1119"/>
    </row>
    <row r="197" spans="2:17">
      <c r="B197" s="6" t="s">
        <v>219</v>
      </c>
      <c r="C197" s="6" t="s">
        <v>830</v>
      </c>
      <c r="D197" s="6"/>
      <c r="E197" s="6"/>
      <c r="F197" s="1120">
        <f t="shared" ref="F197:N197" si="16">F$54</f>
        <v>0</v>
      </c>
      <c r="G197" s="1120">
        <f t="shared" si="16"/>
        <v>0</v>
      </c>
      <c r="H197" s="1120">
        <f t="shared" si="16"/>
        <v>0</v>
      </c>
      <c r="I197" s="1120">
        <f t="shared" si="16"/>
        <v>0.46</v>
      </c>
      <c r="J197" s="1120">
        <f t="shared" si="16"/>
        <v>0.47</v>
      </c>
      <c r="K197" s="1120">
        <f t="shared" si="16"/>
        <v>0.48</v>
      </c>
      <c r="L197" s="1120">
        <f t="shared" si="16"/>
        <v>0.48</v>
      </c>
      <c r="M197" s="1120">
        <f t="shared" si="16"/>
        <v>0.49</v>
      </c>
      <c r="N197" s="1120">
        <f t="shared" si="16"/>
        <v>0.5</v>
      </c>
    </row>
    <row r="198" spans="2:17">
      <c r="B198" s="1117" t="s">
        <v>221</v>
      </c>
      <c r="C198" s="381" t="s">
        <v>831</v>
      </c>
      <c r="D198" s="6"/>
      <c r="E198" s="6"/>
      <c r="F198" s="373">
        <v>0</v>
      </c>
      <c r="G198" s="373">
        <v>0</v>
      </c>
      <c r="H198" s="373">
        <v>0</v>
      </c>
      <c r="I198" s="373">
        <f t="shared" ref="I198:N198" si="17">I196/I197</f>
        <v>0</v>
      </c>
      <c r="J198" s="373">
        <f t="shared" si="17"/>
        <v>0</v>
      </c>
      <c r="K198" s="373">
        <f t="shared" si="17"/>
        <v>0</v>
      </c>
      <c r="L198" s="373">
        <f t="shared" si="17"/>
        <v>0</v>
      </c>
      <c r="M198" s="373">
        <f t="shared" si="17"/>
        <v>0</v>
      </c>
      <c r="N198" s="373">
        <f t="shared" si="17"/>
        <v>0</v>
      </c>
    </row>
    <row r="199" spans="2:17">
      <c r="E199" s="2446"/>
    </row>
    <row r="200" spans="2:17">
      <c r="E200" s="2446"/>
    </row>
    <row r="201" spans="2:17">
      <c r="B201" s="381" t="s">
        <v>832</v>
      </c>
      <c r="C201" s="6"/>
      <c r="D201" s="6"/>
      <c r="E201" s="6"/>
      <c r="F201" s="6"/>
      <c r="G201" s="6"/>
      <c r="H201" s="6"/>
      <c r="I201" s="6"/>
      <c r="J201" s="6"/>
      <c r="K201" s="6"/>
      <c r="L201" s="6"/>
      <c r="M201" s="6"/>
      <c r="N201" s="6"/>
      <c r="O201" s="6"/>
      <c r="P201" s="6"/>
    </row>
    <row r="202" spans="2:17">
      <c r="B202" s="6"/>
      <c r="C202" s="6" t="s">
        <v>98</v>
      </c>
      <c r="D202" s="6" t="s">
        <v>785</v>
      </c>
      <c r="E202" s="6"/>
      <c r="F202" s="6"/>
      <c r="G202" s="6"/>
      <c r="H202" s="6"/>
      <c r="I202" s="6"/>
      <c r="J202" s="6"/>
      <c r="K202" s="6"/>
      <c r="L202" s="6"/>
      <c r="M202" s="6"/>
      <c r="N202" s="6"/>
      <c r="O202" s="6"/>
      <c r="P202" s="6"/>
    </row>
    <row r="203" spans="2:17">
      <c r="B203" s="6"/>
      <c r="C203" s="6" t="s">
        <v>745</v>
      </c>
      <c r="D203" s="6"/>
      <c r="E203" s="6" t="str">
        <f>Preferences.PowerUnits</f>
        <v>GW</v>
      </c>
      <c r="F203" s="637">
        <f t="shared" ref="F203:N203" si="18">F168</f>
        <v>0</v>
      </c>
      <c r="G203" s="637">
        <f t="shared" si="18"/>
        <v>0</v>
      </c>
      <c r="H203" s="637">
        <f t="shared" si="18"/>
        <v>0</v>
      </c>
      <c r="I203" s="637">
        <f t="shared" si="18"/>
        <v>0</v>
      </c>
      <c r="J203" s="637">
        <f t="shared" si="18"/>
        <v>0</v>
      </c>
      <c r="K203" s="637">
        <f t="shared" si="18"/>
        <v>0</v>
      </c>
      <c r="L203" s="637">
        <f t="shared" si="18"/>
        <v>0</v>
      </c>
      <c r="M203" s="637">
        <f t="shared" si="18"/>
        <v>0</v>
      </c>
      <c r="N203" s="637">
        <f t="shared" si="18"/>
        <v>0</v>
      </c>
      <c r="O203" s="6"/>
      <c r="P203" s="6"/>
    </row>
    <row r="204" spans="2:17">
      <c r="B204" s="6" t="s">
        <v>824</v>
      </c>
      <c r="C204" s="6" t="s">
        <v>825</v>
      </c>
      <c r="D204" s="6"/>
      <c r="E204" s="6"/>
      <c r="F204" s="637">
        <f>F205*-F$69</f>
        <v>0</v>
      </c>
      <c r="G204" s="637">
        <f t="shared" ref="G204:N204" si="19">G203*-G$69</f>
        <v>0</v>
      </c>
      <c r="H204" s="637">
        <f t="shared" si="19"/>
        <v>0</v>
      </c>
      <c r="I204" s="637">
        <f t="shared" si="19"/>
        <v>0</v>
      </c>
      <c r="J204" s="637">
        <f t="shared" si="19"/>
        <v>0</v>
      </c>
      <c r="K204" s="637">
        <f t="shared" si="19"/>
        <v>0</v>
      </c>
      <c r="L204" s="637">
        <f t="shared" si="19"/>
        <v>0</v>
      </c>
      <c r="M204" s="637">
        <f t="shared" si="19"/>
        <v>0</v>
      </c>
      <c r="N204" s="637">
        <f t="shared" si="19"/>
        <v>0</v>
      </c>
      <c r="O204" s="6"/>
      <c r="P204" s="6"/>
    </row>
    <row r="205" spans="2:17">
      <c r="B205" s="6" t="s">
        <v>219</v>
      </c>
      <c r="C205" s="6" t="s">
        <v>733</v>
      </c>
      <c r="D205" s="6"/>
      <c r="E205" s="6"/>
      <c r="F205" s="422">
        <f t="shared" ref="F205:N205" si="20">F$76</f>
        <v>0</v>
      </c>
      <c r="G205" s="422">
        <f t="shared" si="20"/>
        <v>0</v>
      </c>
      <c r="H205" s="422">
        <f t="shared" si="20"/>
        <v>0</v>
      </c>
      <c r="I205" s="422">
        <f t="shared" si="20"/>
        <v>0</v>
      </c>
      <c r="J205" s="422">
        <f t="shared" si="20"/>
        <v>0.85</v>
      </c>
      <c r="K205" s="422">
        <f t="shared" si="20"/>
        <v>0.85</v>
      </c>
      <c r="L205" s="422">
        <f t="shared" si="20"/>
        <v>0.85</v>
      </c>
      <c r="M205" s="422">
        <f t="shared" si="20"/>
        <v>0.85</v>
      </c>
      <c r="N205" s="422">
        <f t="shared" si="20"/>
        <v>0.85</v>
      </c>
      <c r="O205" s="6"/>
      <c r="P205" s="6"/>
    </row>
    <row r="206" spans="2:17">
      <c r="B206" s="1113" t="s">
        <v>221</v>
      </c>
      <c r="C206" s="6" t="s">
        <v>826</v>
      </c>
      <c r="D206" s="6"/>
      <c r="E206" s="6"/>
      <c r="F206" s="596">
        <f t="shared" ref="F206:N206" si="21">(F203+F204)*F205</f>
        <v>0</v>
      </c>
      <c r="G206" s="596">
        <f t="shared" si="21"/>
        <v>0</v>
      </c>
      <c r="H206" s="596">
        <f t="shared" si="21"/>
        <v>0</v>
      </c>
      <c r="I206" s="596">
        <f t="shared" si="21"/>
        <v>0</v>
      </c>
      <c r="J206" s="596">
        <f t="shared" si="21"/>
        <v>0</v>
      </c>
      <c r="K206" s="596">
        <f t="shared" si="21"/>
        <v>0</v>
      </c>
      <c r="L206" s="596">
        <f t="shared" si="21"/>
        <v>0</v>
      </c>
      <c r="M206" s="596">
        <f t="shared" si="21"/>
        <v>0</v>
      </c>
      <c r="N206" s="596">
        <f t="shared" si="21"/>
        <v>0</v>
      </c>
      <c r="O206" s="6"/>
      <c r="P206" s="6"/>
    </row>
    <row r="207" spans="2:17">
      <c r="B207" s="6"/>
      <c r="C207" s="1113"/>
      <c r="D207" s="6"/>
      <c r="E207" s="6"/>
      <c r="F207" s="596"/>
      <c r="G207" s="596"/>
      <c r="H207" s="596"/>
      <c r="I207" s="596"/>
      <c r="J207" s="596"/>
      <c r="K207" s="596"/>
      <c r="L207" s="596"/>
      <c r="M207" s="596"/>
      <c r="N207" s="596"/>
      <c r="O207" s="6"/>
      <c r="P207" s="6"/>
    </row>
    <row r="208" spans="2:17">
      <c r="B208" s="6"/>
      <c r="C208" s="381" t="s">
        <v>827</v>
      </c>
      <c r="D208" s="6"/>
      <c r="E208" s="6" t="str">
        <f>Preferences.EnergyUnits</f>
        <v>TWh</v>
      </c>
      <c r="F208" s="1114">
        <f>F206*Preferences.Unit.Power*Unit.year/Preferences.Unit.Energy</f>
        <v>0</v>
      </c>
      <c r="G208" s="1114">
        <f t="shared" ref="G208:N208" si="22">G206*Preferences.Unit.Power*Unit.year/Preferences.Unit.Energy</f>
        <v>0</v>
      </c>
      <c r="H208" s="1114">
        <f t="shared" si="22"/>
        <v>0</v>
      </c>
      <c r="I208" s="1114">
        <f t="shared" si="22"/>
        <v>0</v>
      </c>
      <c r="J208" s="1114">
        <f t="shared" si="22"/>
        <v>0</v>
      </c>
      <c r="K208" s="1114">
        <f t="shared" si="22"/>
        <v>0</v>
      </c>
      <c r="L208" s="1114">
        <f t="shared" si="22"/>
        <v>0</v>
      </c>
      <c r="M208" s="1114">
        <f t="shared" si="22"/>
        <v>0</v>
      </c>
      <c r="N208" s="1114">
        <f t="shared" si="22"/>
        <v>0</v>
      </c>
      <c r="O208" s="1114"/>
      <c r="P208" s="6"/>
    </row>
    <row r="209" spans="1:49">
      <c r="B209" s="6"/>
      <c r="C209" s="6"/>
      <c r="D209" s="6"/>
      <c r="E209" s="6"/>
      <c r="F209" s="6"/>
      <c r="G209" s="6"/>
      <c r="H209" s="6"/>
      <c r="I209" s="6"/>
      <c r="J209" s="6"/>
      <c r="K209" s="6"/>
      <c r="L209" s="6"/>
      <c r="M209" s="6"/>
      <c r="N209" s="6"/>
      <c r="O209" s="6"/>
      <c r="P209" s="6"/>
    </row>
    <row r="210" spans="1:49">
      <c r="B210" s="1113" t="s">
        <v>828</v>
      </c>
      <c r="C210" s="6" t="s">
        <v>825</v>
      </c>
      <c r="D210" s="6"/>
      <c r="E210" s="6"/>
      <c r="F210" s="413">
        <f t="shared" ref="F210:N210" si="23">F211*F$69</f>
        <v>0</v>
      </c>
      <c r="G210" s="413">
        <f t="shared" si="23"/>
        <v>0</v>
      </c>
      <c r="H210" s="413">
        <f t="shared" si="23"/>
        <v>0</v>
      </c>
      <c r="I210" s="413">
        <f t="shared" si="23"/>
        <v>0</v>
      </c>
      <c r="J210" s="413">
        <f t="shared" si="23"/>
        <v>0</v>
      </c>
      <c r="K210" s="413">
        <f t="shared" si="23"/>
        <v>0</v>
      </c>
      <c r="L210" s="413">
        <f t="shared" si="23"/>
        <v>0</v>
      </c>
      <c r="M210" s="413">
        <f t="shared" si="23"/>
        <v>0</v>
      </c>
      <c r="N210" s="413">
        <f t="shared" si="23"/>
        <v>0</v>
      </c>
      <c r="O210" s="6"/>
      <c r="P210" s="6"/>
    </row>
    <row r="211" spans="1:49">
      <c r="B211" s="1117" t="s">
        <v>221</v>
      </c>
      <c r="C211" s="381" t="s">
        <v>829</v>
      </c>
      <c r="D211" s="6"/>
      <c r="E211" s="6"/>
      <c r="F211" s="1114">
        <f t="shared" ref="F211:N211" si="24">F208/(1-F69)</f>
        <v>0</v>
      </c>
      <c r="G211" s="1114">
        <f t="shared" si="24"/>
        <v>0</v>
      </c>
      <c r="H211" s="1114">
        <f t="shared" si="24"/>
        <v>0</v>
      </c>
      <c r="I211" s="1114">
        <f t="shared" si="24"/>
        <v>0</v>
      </c>
      <c r="J211" s="1114">
        <f t="shared" si="24"/>
        <v>0</v>
      </c>
      <c r="K211" s="1114">
        <f t="shared" si="24"/>
        <v>0</v>
      </c>
      <c r="L211" s="1114">
        <f t="shared" si="24"/>
        <v>0</v>
      </c>
      <c r="M211" s="1114">
        <f t="shared" si="24"/>
        <v>0</v>
      </c>
      <c r="N211" s="1114">
        <f t="shared" si="24"/>
        <v>0</v>
      </c>
      <c r="O211" s="1121"/>
      <c r="P211" s="6"/>
    </row>
    <row r="212" spans="1:49">
      <c r="B212" s="6" t="s">
        <v>219</v>
      </c>
      <c r="C212" s="6" t="s">
        <v>830</v>
      </c>
      <c r="D212" s="6"/>
      <c r="E212" s="6"/>
      <c r="F212" s="1120">
        <f t="shared" ref="F212:N212" si="25">F55</f>
        <v>0</v>
      </c>
      <c r="G212" s="1120">
        <f t="shared" si="25"/>
        <v>0</v>
      </c>
      <c r="H212" s="1120">
        <f t="shared" si="25"/>
        <v>0</v>
      </c>
      <c r="I212" s="1120">
        <f t="shared" si="25"/>
        <v>0.46</v>
      </c>
      <c r="J212" s="1120">
        <f t="shared" si="25"/>
        <v>0.47</v>
      </c>
      <c r="K212" s="1120">
        <f t="shared" si="25"/>
        <v>0.48</v>
      </c>
      <c r="L212" s="1120">
        <f t="shared" si="25"/>
        <v>0.48</v>
      </c>
      <c r="M212" s="1120">
        <f t="shared" si="25"/>
        <v>0.49</v>
      </c>
      <c r="N212" s="1120">
        <f t="shared" si="25"/>
        <v>0.5</v>
      </c>
      <c r="O212" s="6"/>
      <c r="P212" s="6"/>
    </row>
    <row r="213" spans="1:49">
      <c r="B213" s="1117" t="s">
        <v>221</v>
      </c>
      <c r="C213" s="381" t="s">
        <v>831</v>
      </c>
      <c r="D213" s="6"/>
      <c r="E213" s="6"/>
      <c r="F213" s="373"/>
      <c r="G213" s="373"/>
      <c r="H213" s="373"/>
      <c r="I213" s="373">
        <f t="shared" ref="I213:N213" si="26">I211/I212</f>
        <v>0</v>
      </c>
      <c r="J213" s="373">
        <f t="shared" si="26"/>
        <v>0</v>
      </c>
      <c r="K213" s="373">
        <f t="shared" si="26"/>
        <v>0</v>
      </c>
      <c r="L213" s="373">
        <f t="shared" si="26"/>
        <v>0</v>
      </c>
      <c r="M213" s="373">
        <f t="shared" si="26"/>
        <v>0</v>
      </c>
      <c r="N213" s="373">
        <f t="shared" si="26"/>
        <v>0</v>
      </c>
      <c r="O213" s="6"/>
      <c r="P213" s="422"/>
    </row>
    <row r="214" spans="1:49">
      <c r="B214" s="6"/>
      <c r="C214" s="1113"/>
      <c r="D214" s="6"/>
      <c r="E214" s="6"/>
      <c r="F214" s="596"/>
      <c r="G214" s="596"/>
      <c r="H214" s="596"/>
      <c r="I214" s="596"/>
      <c r="J214" s="596"/>
      <c r="K214" s="596"/>
      <c r="L214" s="596"/>
      <c r="M214" s="596"/>
      <c r="N214" s="596"/>
      <c r="O214" s="6"/>
      <c r="P214" s="6"/>
      <c r="Q214" s="413"/>
    </row>
    <row r="215" spans="1:49">
      <c r="B215" s="381" t="s">
        <v>833</v>
      </c>
      <c r="C215" s="6"/>
      <c r="D215" s="6"/>
      <c r="E215" s="6"/>
      <c r="F215" s="6"/>
      <c r="G215" s="6"/>
      <c r="H215" s="6"/>
      <c r="I215" s="6"/>
      <c r="J215" s="6"/>
      <c r="K215" s="6"/>
      <c r="L215" s="6"/>
      <c r="M215" s="6"/>
      <c r="N215" s="6"/>
      <c r="O215" s="6"/>
      <c r="P215" s="6"/>
    </row>
    <row r="216" spans="1:49">
      <c r="B216" s="6"/>
      <c r="C216" s="6" t="s">
        <v>100</v>
      </c>
      <c r="D216" s="6"/>
      <c r="E216" s="6"/>
      <c r="F216" s="6"/>
      <c r="G216" s="6"/>
      <c r="H216" s="6"/>
      <c r="I216" s="6"/>
      <c r="J216" s="6"/>
      <c r="K216" s="6"/>
      <c r="L216" s="6"/>
      <c r="M216" s="6"/>
      <c r="N216" s="6"/>
      <c r="O216" s="6"/>
      <c r="P216" s="6"/>
    </row>
    <row r="217" spans="1:49">
      <c r="B217" s="6"/>
      <c r="C217" s="6" t="s">
        <v>745</v>
      </c>
      <c r="D217" s="6"/>
      <c r="E217" s="6" t="str">
        <f>Preferences.PowerUnits</f>
        <v>GW</v>
      </c>
      <c r="F217" s="637">
        <f t="shared" ref="F217:N217" si="27">F169</f>
        <v>0</v>
      </c>
      <c r="G217" s="637">
        <f t="shared" si="27"/>
        <v>0</v>
      </c>
      <c r="H217" s="637">
        <f t="shared" si="27"/>
        <v>0</v>
      </c>
      <c r="I217" s="637">
        <f t="shared" si="27"/>
        <v>0</v>
      </c>
      <c r="J217" s="637">
        <f t="shared" si="27"/>
        <v>0</v>
      </c>
      <c r="K217" s="637">
        <f t="shared" si="27"/>
        <v>0.5</v>
      </c>
      <c r="L217" s="637">
        <f t="shared" si="27"/>
        <v>1.5</v>
      </c>
      <c r="M217" s="637">
        <f t="shared" si="27"/>
        <v>2.5</v>
      </c>
      <c r="N217" s="637">
        <f t="shared" si="27"/>
        <v>3.5</v>
      </c>
      <c r="O217" s="6"/>
      <c r="P217" s="6"/>
    </row>
    <row r="218" spans="1:49">
      <c r="B218" s="6" t="s">
        <v>824</v>
      </c>
      <c r="C218" s="6" t="s">
        <v>834</v>
      </c>
      <c r="D218" s="6"/>
      <c r="E218" s="6"/>
      <c r="F218" s="637">
        <f t="shared" ref="F218:N218" si="28">F217*-F$70</f>
        <v>0</v>
      </c>
      <c r="G218" s="637">
        <f t="shared" si="28"/>
        <v>0</v>
      </c>
      <c r="H218" s="637">
        <f t="shared" si="28"/>
        <v>0</v>
      </c>
      <c r="I218" s="637">
        <f t="shared" si="28"/>
        <v>0</v>
      </c>
      <c r="J218" s="637">
        <f t="shared" si="28"/>
        <v>0</v>
      </c>
      <c r="K218" s="637">
        <f t="shared" si="28"/>
        <v>-5.3500000000000006E-2</v>
      </c>
      <c r="L218" s="637">
        <f t="shared" si="28"/>
        <v>-0.15900000000000003</v>
      </c>
      <c r="M218" s="637">
        <f t="shared" si="28"/>
        <v>-0.26250000000000001</v>
      </c>
      <c r="N218" s="637">
        <f t="shared" si="28"/>
        <v>-0.35000000000000003</v>
      </c>
      <c r="O218" s="6"/>
      <c r="P218" s="6"/>
    </row>
    <row r="219" spans="1:49">
      <c r="B219" s="6" t="s">
        <v>219</v>
      </c>
      <c r="C219" s="6" t="s">
        <v>733</v>
      </c>
      <c r="D219" s="6"/>
      <c r="E219" s="6"/>
      <c r="F219" s="422">
        <f t="shared" ref="F219:N219" si="29">F$77</f>
        <v>0</v>
      </c>
      <c r="G219" s="422">
        <f t="shared" si="29"/>
        <v>0</v>
      </c>
      <c r="H219" s="422">
        <f t="shared" si="29"/>
        <v>0</v>
      </c>
      <c r="I219" s="422">
        <f t="shared" si="29"/>
        <v>0</v>
      </c>
      <c r="J219" s="422">
        <f t="shared" si="29"/>
        <v>0.85</v>
      </c>
      <c r="K219" s="422">
        <f t="shared" si="29"/>
        <v>0.85</v>
      </c>
      <c r="L219" s="422">
        <f t="shared" si="29"/>
        <v>0.85</v>
      </c>
      <c r="M219" s="422">
        <f t="shared" si="29"/>
        <v>0.85</v>
      </c>
      <c r="N219" s="422">
        <f t="shared" si="29"/>
        <v>0.85</v>
      </c>
      <c r="O219" s="6"/>
      <c r="P219" s="6"/>
    </row>
    <row r="220" spans="1:49">
      <c r="A220" s="6"/>
      <c r="B220" s="1113" t="s">
        <v>221</v>
      </c>
      <c r="C220" s="6" t="s">
        <v>826</v>
      </c>
      <c r="D220" s="6"/>
      <c r="E220" s="6"/>
      <c r="F220" s="596">
        <f>(F217+F218)*F219</f>
        <v>0</v>
      </c>
      <c r="G220" s="596">
        <f t="shared" ref="G220:M220" si="30">(G217+G218)*G219</f>
        <v>0</v>
      </c>
      <c r="H220" s="596">
        <f t="shared" si="30"/>
        <v>0</v>
      </c>
      <c r="I220" s="596">
        <f t="shared" si="30"/>
        <v>0</v>
      </c>
      <c r="J220" s="596">
        <f t="shared" si="30"/>
        <v>0</v>
      </c>
      <c r="K220" s="596">
        <f t="shared" si="30"/>
        <v>0.379525</v>
      </c>
      <c r="L220" s="596">
        <f t="shared" si="30"/>
        <v>1.13985</v>
      </c>
      <c r="M220" s="596">
        <f t="shared" si="30"/>
        <v>1.9018749999999998</v>
      </c>
      <c r="N220" s="596">
        <f>(N217+N218)*N219</f>
        <v>2.6774999999999998</v>
      </c>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row>
    <row r="221" spans="1:49">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row>
    <row r="222" spans="1:49">
      <c r="A222" s="6"/>
      <c r="B222" s="6"/>
      <c r="C222" s="381" t="s">
        <v>827</v>
      </c>
      <c r="D222" s="6"/>
      <c r="E222" s="6" t="str">
        <f>Preferences.EnergyUnits</f>
        <v>TWh</v>
      </c>
      <c r="F222" s="1114">
        <f>F220*Preferences.Unit.Power*Unit.year/Preferences.Unit.Energy</f>
        <v>0</v>
      </c>
      <c r="G222" s="1114">
        <f t="shared" ref="G222:N222" si="31">G220*Preferences.Unit.Power*Unit.year/Preferences.Unit.Energy</f>
        <v>0</v>
      </c>
      <c r="H222" s="1114">
        <f t="shared" si="31"/>
        <v>0</v>
      </c>
      <c r="I222" s="1114">
        <f t="shared" si="31"/>
        <v>0</v>
      </c>
      <c r="J222" s="1114">
        <f t="shared" si="31"/>
        <v>0</v>
      </c>
      <c r="K222" s="1114">
        <f t="shared" si="31"/>
        <v>3.3269161499999997</v>
      </c>
      <c r="L222" s="1114">
        <f t="shared" si="31"/>
        <v>9.9919251000000013</v>
      </c>
      <c r="M222" s="1114">
        <f t="shared" si="31"/>
        <v>16.671836249999998</v>
      </c>
      <c r="N222" s="1114">
        <f t="shared" si="31"/>
        <v>23.470965</v>
      </c>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row>
    <row r="223" spans="1:49">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row>
    <row r="224" spans="1:49">
      <c r="A224" s="6"/>
      <c r="B224" s="1113" t="s">
        <v>828</v>
      </c>
      <c r="C224" s="6" t="s">
        <v>825</v>
      </c>
      <c r="D224" s="6"/>
      <c r="E224" s="6"/>
      <c r="F224" s="413">
        <f t="shared" ref="F224:N224" si="32">F225*F$70</f>
        <v>0</v>
      </c>
      <c r="G224" s="413">
        <f t="shared" si="32"/>
        <v>0</v>
      </c>
      <c r="H224" s="413">
        <f t="shared" si="32"/>
        <v>0</v>
      </c>
      <c r="I224" s="413">
        <f t="shared" si="32"/>
        <v>0</v>
      </c>
      <c r="J224" s="413">
        <f t="shared" si="32"/>
        <v>0</v>
      </c>
      <c r="K224" s="413">
        <f t="shared" si="32"/>
        <v>0.39863385000000001</v>
      </c>
      <c r="L224" s="413">
        <f t="shared" si="32"/>
        <v>1.1847249000000002</v>
      </c>
      <c r="M224" s="413">
        <f t="shared" si="32"/>
        <v>1.9559137500000001</v>
      </c>
      <c r="N224" s="413">
        <f t="shared" si="32"/>
        <v>2.607885</v>
      </c>
      <c r="O224" s="833"/>
      <c r="P224" s="833"/>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row>
    <row r="225" spans="1:49">
      <c r="A225" s="6"/>
      <c r="B225" s="1117" t="s">
        <v>221</v>
      </c>
      <c r="C225" s="381" t="s">
        <v>829</v>
      </c>
      <c r="D225" s="6"/>
      <c r="E225" s="6"/>
      <c r="F225" s="1114">
        <f t="shared" ref="F225:N225" si="33">F222/(1-F70)</f>
        <v>0</v>
      </c>
      <c r="G225" s="1114">
        <f t="shared" si="33"/>
        <v>0</v>
      </c>
      <c r="H225" s="1114">
        <f t="shared" si="33"/>
        <v>0</v>
      </c>
      <c r="I225" s="1114">
        <f t="shared" si="33"/>
        <v>0</v>
      </c>
      <c r="J225" s="1114">
        <f t="shared" si="33"/>
        <v>0</v>
      </c>
      <c r="K225" s="1114">
        <f t="shared" si="33"/>
        <v>3.7255499999999997</v>
      </c>
      <c r="L225" s="1114">
        <f t="shared" si="33"/>
        <v>11.17665</v>
      </c>
      <c r="M225" s="1114">
        <f t="shared" si="33"/>
        <v>18.627749999999999</v>
      </c>
      <c r="N225" s="1114">
        <f t="shared" si="33"/>
        <v>26.078849999999999</v>
      </c>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row>
    <row r="226" spans="1:49">
      <c r="A226" s="6"/>
      <c r="B226" s="6" t="s">
        <v>219</v>
      </c>
      <c r="C226" s="6" t="s">
        <v>830</v>
      </c>
      <c r="D226" s="6"/>
      <c r="E226" s="6"/>
      <c r="F226" s="1120">
        <f t="shared" ref="F226:N226" si="34">F56</f>
        <v>0</v>
      </c>
      <c r="G226" s="1120">
        <f t="shared" si="34"/>
        <v>0</v>
      </c>
      <c r="H226" s="1120">
        <f t="shared" si="34"/>
        <v>0</v>
      </c>
      <c r="I226" s="1120">
        <f t="shared" si="34"/>
        <v>0.6</v>
      </c>
      <c r="J226" s="1120">
        <f t="shared" si="34"/>
        <v>0.61</v>
      </c>
      <c r="K226" s="1120">
        <f t="shared" si="34"/>
        <v>0.62</v>
      </c>
      <c r="L226" s="1120">
        <f t="shared" si="34"/>
        <v>0.63</v>
      </c>
      <c r="M226" s="1120">
        <f t="shared" si="34"/>
        <v>0.64</v>
      </c>
      <c r="N226" s="1120">
        <f t="shared" si="34"/>
        <v>0.65</v>
      </c>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row>
    <row r="227" spans="1:49">
      <c r="A227" s="6"/>
      <c r="B227" s="1117" t="s">
        <v>221</v>
      </c>
      <c r="C227" s="381" t="s">
        <v>835</v>
      </c>
      <c r="D227" s="6"/>
      <c r="E227" s="6"/>
      <c r="F227" s="373"/>
      <c r="G227" s="373"/>
      <c r="H227" s="373"/>
      <c r="I227" s="373">
        <f t="shared" ref="I227:N227" si="35">I225/I226</f>
        <v>0</v>
      </c>
      <c r="J227" s="373">
        <f t="shared" si="35"/>
        <v>0</v>
      </c>
      <c r="K227" s="373">
        <f t="shared" si="35"/>
        <v>6.0089516129032257</v>
      </c>
      <c r="L227" s="373">
        <f t="shared" si="35"/>
        <v>17.740714285714287</v>
      </c>
      <c r="M227" s="373">
        <f t="shared" si="35"/>
        <v>29.105859374999998</v>
      </c>
      <c r="N227" s="373">
        <f t="shared" si="35"/>
        <v>40.121307692307688</v>
      </c>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row>
    <row r="228" spans="1:49" s="6" customFormat="1">
      <c r="B228" s="1117"/>
      <c r="C228" s="381"/>
      <c r="F228" s="1122"/>
      <c r="G228" s="1122"/>
      <c r="H228" s="1122"/>
      <c r="I228" s="1122"/>
      <c r="J228" s="1122"/>
      <c r="K228" s="1122"/>
      <c r="L228" s="1122"/>
      <c r="M228" s="1122"/>
      <c r="N228" s="1122"/>
    </row>
    <row r="229" spans="1:49" s="6" customFormat="1">
      <c r="B229" s="1117"/>
      <c r="C229" s="381" t="s">
        <v>836</v>
      </c>
      <c r="E229" s="6" t="str">
        <f>Preferences.PowerUnits</f>
        <v>GW</v>
      </c>
      <c r="F229" s="1122">
        <f t="shared" ref="F229:N229" si="36">F217+F203+F188</f>
        <v>0</v>
      </c>
      <c r="G229" s="1122">
        <f t="shared" si="36"/>
        <v>0</v>
      </c>
      <c r="H229" s="1122">
        <f t="shared" si="36"/>
        <v>0</v>
      </c>
      <c r="I229" s="1122">
        <f t="shared" si="36"/>
        <v>0</v>
      </c>
      <c r="J229" s="1122">
        <f t="shared" si="36"/>
        <v>0</v>
      </c>
      <c r="K229" s="1122">
        <f t="shared" si="36"/>
        <v>0.5</v>
      </c>
      <c r="L229" s="1122">
        <f t="shared" si="36"/>
        <v>1.5</v>
      </c>
      <c r="M229" s="1122">
        <f t="shared" si="36"/>
        <v>2.5</v>
      </c>
      <c r="N229" s="1122">
        <f t="shared" si="36"/>
        <v>3.5</v>
      </c>
    </row>
    <row r="230" spans="1:49" s="6" customFormat="1">
      <c r="B230" s="1117"/>
      <c r="C230" s="381"/>
      <c r="E230" s="6" t="s">
        <v>5</v>
      </c>
      <c r="F230" s="1122"/>
      <c r="G230" s="1122"/>
      <c r="H230" s="1122"/>
      <c r="I230" s="1122"/>
      <c r="J230" s="1122"/>
      <c r="K230" s="1122"/>
      <c r="L230" s="1122"/>
      <c r="M230" s="1122"/>
      <c r="N230" s="1122"/>
    </row>
    <row r="231" spans="1:49" s="6" customFormat="1">
      <c r="B231" t="s">
        <v>757</v>
      </c>
      <c r="C231" s="363"/>
      <c r="D231"/>
      <c r="E231"/>
      <c r="F231" s="366"/>
      <c r="G231" s="366"/>
      <c r="H231" s="366"/>
      <c r="I231" s="366"/>
      <c r="J231" s="366"/>
      <c r="K231" s="366"/>
      <c r="L231" s="366"/>
      <c r="M231" s="366"/>
      <c r="N231" s="366"/>
    </row>
    <row r="232" spans="1:49" s="6" customFormat="1">
      <c r="B232" s="363" t="s">
        <v>837</v>
      </c>
      <c r="C232" s="363"/>
      <c r="D232"/>
      <c r="E232"/>
      <c r="F232" s="302">
        <v>2013</v>
      </c>
      <c r="G232" s="302">
        <v>2015</v>
      </c>
      <c r="H232" s="302">
        <v>2020</v>
      </c>
      <c r="I232" s="302">
        <v>2025</v>
      </c>
      <c r="J232" s="302">
        <v>2030</v>
      </c>
      <c r="K232" s="302">
        <v>2035</v>
      </c>
      <c r="L232" s="302">
        <v>2040</v>
      </c>
      <c r="M232" s="302">
        <v>2045</v>
      </c>
      <c r="N232" s="302">
        <v>2050</v>
      </c>
    </row>
    <row r="233" spans="1:49" s="6" customFormat="1">
      <c r="B233"/>
      <c r="C233" s="2446" t="s">
        <v>1875</v>
      </c>
      <c r="D233"/>
      <c r="E233" t="s">
        <v>760</v>
      </c>
      <c r="F233" s="993">
        <f>F188/$F$87</f>
        <v>0</v>
      </c>
      <c r="G233" s="993">
        <f t="shared" ref="G233:N233" si="37">G188/$F$87</f>
        <v>0</v>
      </c>
      <c r="H233" s="993">
        <f t="shared" si="37"/>
        <v>0</v>
      </c>
      <c r="I233" s="993">
        <f t="shared" si="37"/>
        <v>0</v>
      </c>
      <c r="J233" s="993">
        <f t="shared" si="37"/>
        <v>0</v>
      </c>
      <c r="K233" s="993">
        <f t="shared" si="37"/>
        <v>0</v>
      </c>
      <c r="L233" s="993">
        <f>L188/$F$87</f>
        <v>0</v>
      </c>
      <c r="M233" s="993">
        <f t="shared" si="37"/>
        <v>0</v>
      </c>
      <c r="N233" s="993">
        <f t="shared" si="37"/>
        <v>0</v>
      </c>
    </row>
    <row r="234" spans="1:49" s="6" customFormat="1">
      <c r="B234"/>
      <c r="C234" t="s">
        <v>838</v>
      </c>
      <c r="D234"/>
      <c r="E234"/>
      <c r="F234" s="993"/>
      <c r="G234" s="993"/>
      <c r="H234" s="993"/>
      <c r="I234" s="993"/>
      <c r="J234" s="993"/>
      <c r="K234" s="993"/>
      <c r="L234" s="993"/>
      <c r="M234" s="993"/>
      <c r="N234" s="993"/>
    </row>
    <row r="235" spans="1:49" s="6" customFormat="1">
      <c r="B235"/>
      <c r="C235" t="s">
        <v>839</v>
      </c>
      <c r="D235"/>
      <c r="E235"/>
      <c r="F235" s="993"/>
      <c r="G235" s="993"/>
      <c r="H235" s="993"/>
      <c r="I235" s="993"/>
      <c r="J235" s="993"/>
      <c r="K235" s="993"/>
      <c r="L235" s="993"/>
      <c r="M235" s="993"/>
      <c r="N235" s="993"/>
    </row>
    <row r="236" spans="1:49" s="6" customFormat="1">
      <c r="B236"/>
      <c r="C236" t="str">
        <f>"Approximate build rate of "&amp;$F$87/Unit.GW&amp;" GW locations"</f>
        <v>Approximate build rate of 0.5 GW locations</v>
      </c>
      <c r="D236"/>
      <c r="E236" t="s">
        <v>762</v>
      </c>
      <c r="F236" s="992">
        <f>F167</f>
        <v>0</v>
      </c>
      <c r="G236" s="992">
        <f t="shared" ref="G236:N236" si="38">((G167-F167)/5)/$F$87</f>
        <v>0</v>
      </c>
      <c r="H236" s="992">
        <f t="shared" si="38"/>
        <v>0</v>
      </c>
      <c r="I236" s="992">
        <f t="shared" si="38"/>
        <v>0</v>
      </c>
      <c r="J236" s="992">
        <f t="shared" si="38"/>
        <v>0</v>
      </c>
      <c r="K236" s="992">
        <f t="shared" si="38"/>
        <v>0</v>
      </c>
      <c r="L236" s="992">
        <f t="shared" si="38"/>
        <v>0</v>
      </c>
      <c r="M236" s="992">
        <f t="shared" si="38"/>
        <v>0</v>
      </c>
      <c r="N236" s="992">
        <f t="shared" si="38"/>
        <v>0</v>
      </c>
      <c r="O236" s="992"/>
    </row>
    <row r="237" spans="1:49" s="6" customFormat="1">
      <c r="B237"/>
      <c r="C237"/>
      <c r="D237"/>
      <c r="E237"/>
      <c r="F237" s="992"/>
      <c r="G237" s="992"/>
      <c r="H237" s="992"/>
      <c r="I237" s="992"/>
      <c r="J237" s="992"/>
      <c r="K237" s="992"/>
      <c r="L237" s="992"/>
      <c r="M237" s="992"/>
      <c r="N237" s="992"/>
    </row>
    <row r="238" spans="1:49" s="6" customFormat="1">
      <c r="B238" s="363" t="s">
        <v>840</v>
      </c>
      <c r="C238" s="363"/>
      <c r="D238"/>
      <c r="E238"/>
      <c r="F238" s="366"/>
      <c r="G238" s="366"/>
      <c r="H238" s="366"/>
      <c r="I238" s="366"/>
      <c r="J238" s="366"/>
      <c r="K238" s="366"/>
      <c r="L238" s="366"/>
      <c r="M238" s="366"/>
      <c r="N238" s="366"/>
    </row>
    <row r="239" spans="1:49" s="6" customFormat="1">
      <c r="B239"/>
      <c r="C239" s="2446" t="s">
        <v>1875</v>
      </c>
      <c r="D239"/>
      <c r="E239" t="s">
        <v>760</v>
      </c>
      <c r="F239" s="993">
        <f>F203/$F$87</f>
        <v>0</v>
      </c>
      <c r="G239" s="993">
        <f t="shared" ref="G239:N239" si="39">G203/$F$87</f>
        <v>0</v>
      </c>
      <c r="H239" s="993">
        <f t="shared" si="39"/>
        <v>0</v>
      </c>
      <c r="I239" s="993">
        <f t="shared" si="39"/>
        <v>0</v>
      </c>
      <c r="J239" s="993">
        <f t="shared" si="39"/>
        <v>0</v>
      </c>
      <c r="K239" s="993">
        <f t="shared" si="39"/>
        <v>0</v>
      </c>
      <c r="L239" s="993">
        <f t="shared" si="39"/>
        <v>0</v>
      </c>
      <c r="M239" s="993">
        <f t="shared" si="39"/>
        <v>0</v>
      </c>
      <c r="N239" s="993">
        <f t="shared" si="39"/>
        <v>0</v>
      </c>
    </row>
    <row r="240" spans="1:49" s="6" customFormat="1">
      <c r="B240"/>
      <c r="C240" t="s">
        <v>838</v>
      </c>
      <c r="D240"/>
      <c r="E240"/>
      <c r="F240" s="993"/>
      <c r="G240" s="993"/>
      <c r="H240" s="993"/>
      <c r="I240" s="993"/>
      <c r="J240" s="993"/>
      <c r="K240" s="993"/>
      <c r="L240" s="993"/>
      <c r="M240" s="993"/>
      <c r="N240" s="993"/>
    </row>
    <row r="241" spans="1:49" s="6" customFormat="1">
      <c r="B241"/>
      <c r="C241" t="s">
        <v>839</v>
      </c>
      <c r="D241"/>
      <c r="E241"/>
      <c r="F241" s="993"/>
      <c r="G241" s="993"/>
      <c r="H241" s="993"/>
      <c r="I241" s="993"/>
      <c r="J241" s="993"/>
      <c r="K241" s="993"/>
      <c r="L241" s="993"/>
      <c r="M241" s="993"/>
      <c r="N241" s="993"/>
    </row>
    <row r="242" spans="1:49" s="6" customFormat="1">
      <c r="B242"/>
      <c r="C242" s="2446" t="s">
        <v>1886</v>
      </c>
      <c r="D242"/>
      <c r="E242" t="s">
        <v>762</v>
      </c>
      <c r="F242" s="992">
        <f>F168</f>
        <v>0</v>
      </c>
      <c r="G242" s="992">
        <f t="shared" ref="G242:N242" si="40">((G168-F168)/5)/$F$87</f>
        <v>0</v>
      </c>
      <c r="H242" s="992">
        <f t="shared" si="40"/>
        <v>0</v>
      </c>
      <c r="I242" s="992">
        <f t="shared" si="40"/>
        <v>0</v>
      </c>
      <c r="J242" s="992">
        <f t="shared" si="40"/>
        <v>0</v>
      </c>
      <c r="K242" s="992">
        <f t="shared" si="40"/>
        <v>0</v>
      </c>
      <c r="L242" s="992">
        <f t="shared" si="40"/>
        <v>0</v>
      </c>
      <c r="M242" s="992">
        <f t="shared" si="40"/>
        <v>0</v>
      </c>
      <c r="N242" s="992">
        <f t="shared" si="40"/>
        <v>0</v>
      </c>
    </row>
    <row r="243" spans="1:49" s="6" customFormat="1">
      <c r="A243" s="833"/>
      <c r="B243"/>
      <c r="C243"/>
      <c r="D243"/>
      <c r="E243"/>
      <c r="F243" s="992"/>
      <c r="G243" s="992"/>
      <c r="H243" s="992"/>
      <c r="I243" s="992"/>
      <c r="J243" s="992"/>
      <c r="K243" s="992"/>
      <c r="L243" s="992"/>
      <c r="M243" s="992"/>
      <c r="N243" s="992"/>
      <c r="Q243" s="833"/>
      <c r="R243" s="833"/>
      <c r="S243" s="833"/>
      <c r="T243" s="833"/>
      <c r="U243" s="833"/>
      <c r="V243" s="833"/>
      <c r="W243" s="833"/>
      <c r="X243" s="833"/>
      <c r="Y243" s="833"/>
      <c r="Z243" s="833"/>
      <c r="AA243" s="833"/>
      <c r="AB243" s="833"/>
      <c r="AC243" s="833"/>
      <c r="AD243" s="833"/>
      <c r="AE243" s="833"/>
      <c r="AF243" s="833"/>
      <c r="AG243" s="833"/>
      <c r="AH243" s="833"/>
      <c r="AI243" s="833"/>
      <c r="AJ243" s="833"/>
      <c r="AK243" s="833"/>
      <c r="AL243" s="833"/>
      <c r="AM243" s="833"/>
      <c r="AN243" s="833"/>
      <c r="AO243" s="833"/>
      <c r="AP243" s="833"/>
      <c r="AQ243" s="833"/>
      <c r="AR243" s="833"/>
      <c r="AS243" s="833"/>
      <c r="AT243" s="833"/>
      <c r="AU243" s="833"/>
      <c r="AV243" s="833"/>
      <c r="AW243" s="833"/>
    </row>
    <row r="244" spans="1:49" s="6" customFormat="1">
      <c r="B244" s="363" t="s">
        <v>841</v>
      </c>
      <c r="C244" s="363"/>
      <c r="D244"/>
      <c r="E244"/>
      <c r="F244" s="366"/>
      <c r="G244" s="366"/>
      <c r="H244" s="366"/>
      <c r="I244" s="366"/>
      <c r="J244" s="366"/>
      <c r="K244" s="366"/>
      <c r="L244" s="366"/>
      <c r="M244" s="366"/>
      <c r="N244" s="366"/>
    </row>
    <row r="245" spans="1:49" s="6" customFormat="1">
      <c r="B245"/>
      <c r="C245" s="2446" t="s">
        <v>1875</v>
      </c>
      <c r="D245"/>
      <c r="E245" t="s">
        <v>760</v>
      </c>
      <c r="F245" s="993">
        <f>F217/$F$87</f>
        <v>0</v>
      </c>
      <c r="G245" s="993">
        <f>G217/$F$87</f>
        <v>0</v>
      </c>
      <c r="H245" s="993">
        <f t="shared" ref="H245:N245" si="41">H217/$F$87</f>
        <v>0</v>
      </c>
      <c r="I245" s="993">
        <f t="shared" si="41"/>
        <v>0</v>
      </c>
      <c r="J245" s="993">
        <f t="shared" si="41"/>
        <v>0</v>
      </c>
      <c r="K245" s="993">
        <f t="shared" si="41"/>
        <v>1</v>
      </c>
      <c r="L245" s="993">
        <f t="shared" si="41"/>
        <v>3</v>
      </c>
      <c r="M245" s="993">
        <f t="shared" si="41"/>
        <v>5</v>
      </c>
      <c r="N245" s="993">
        <f t="shared" si="41"/>
        <v>7</v>
      </c>
    </row>
    <row r="246" spans="1:49" s="6" customFormat="1">
      <c r="B246"/>
      <c r="C246" t="s">
        <v>838</v>
      </c>
      <c r="D246"/>
      <c r="E246"/>
      <c r="F246" s="993"/>
      <c r="G246" s="993"/>
      <c r="H246" s="993"/>
      <c r="I246" s="993"/>
      <c r="J246" s="993"/>
      <c r="K246" s="993"/>
      <c r="L246" s="993"/>
      <c r="M246" s="993"/>
      <c r="N246" s="993"/>
    </row>
    <row r="247" spans="1:49" s="6" customFormat="1">
      <c r="B247"/>
      <c r="C247" t="s">
        <v>839</v>
      </c>
      <c r="D247"/>
      <c r="E247"/>
      <c r="F247" s="993"/>
      <c r="G247" s="993"/>
      <c r="H247" s="993"/>
      <c r="I247" s="993"/>
      <c r="J247" s="993"/>
      <c r="K247" s="993"/>
      <c r="L247" s="993"/>
      <c r="M247" s="993"/>
      <c r="N247" s="993"/>
    </row>
    <row r="248" spans="1:49" s="6" customFormat="1">
      <c r="B248"/>
      <c r="C248" s="2446" t="s">
        <v>1886</v>
      </c>
      <c r="D248"/>
      <c r="E248" t="s">
        <v>762</v>
      </c>
      <c r="F248" s="992">
        <f>F169</f>
        <v>0</v>
      </c>
      <c r="G248" s="992">
        <f>((G169-F169)/5)/$F$87</f>
        <v>0</v>
      </c>
      <c r="H248" s="992">
        <f t="shared" ref="H248:N248" si="42">((H169-G169)/5)/$F$87</f>
        <v>0</v>
      </c>
      <c r="I248" s="992">
        <f t="shared" si="42"/>
        <v>0</v>
      </c>
      <c r="J248" s="992">
        <f t="shared" si="42"/>
        <v>0</v>
      </c>
      <c r="K248" s="992">
        <f t="shared" si="42"/>
        <v>0.2</v>
      </c>
      <c r="L248" s="992">
        <f t="shared" si="42"/>
        <v>0.4</v>
      </c>
      <c r="M248" s="992">
        <f t="shared" si="42"/>
        <v>0.4</v>
      </c>
      <c r="N248" s="992">
        <f t="shared" si="42"/>
        <v>0.4</v>
      </c>
    </row>
    <row r="249" spans="1:49" s="6" customFormat="1">
      <c r="B249"/>
      <c r="C249"/>
      <c r="D249"/>
      <c r="E249"/>
      <c r="F249" s="993"/>
      <c r="G249" s="993"/>
      <c r="H249" s="993"/>
      <c r="I249" s="993"/>
      <c r="J249" s="993"/>
      <c r="K249" s="993"/>
      <c r="L249" s="993"/>
      <c r="M249" s="993"/>
      <c r="N249" s="993"/>
    </row>
    <row r="250" spans="1:49" s="6" customFormat="1">
      <c r="B250" s="381" t="s">
        <v>2796</v>
      </c>
      <c r="C250" s="381"/>
      <c r="F250" s="1122"/>
      <c r="G250" s="1122"/>
      <c r="H250" s="1122"/>
      <c r="I250" s="1122"/>
      <c r="J250" s="1122"/>
      <c r="K250" s="1122"/>
      <c r="L250" s="1122"/>
      <c r="M250" s="1122"/>
      <c r="N250" s="1122"/>
    </row>
    <row r="251" spans="1:49" s="833" customFormat="1" hidden="1">
      <c r="A251" s="6"/>
      <c r="B251" s="381"/>
      <c r="C251" s="381"/>
      <c r="D251" s="6"/>
      <c r="E251" s="6"/>
      <c r="F251" s="1122"/>
      <c r="G251" s="1122"/>
      <c r="H251" s="1122"/>
      <c r="I251" s="1122"/>
      <c r="J251" s="1122"/>
      <c r="K251" s="1122"/>
      <c r="L251" s="1122"/>
      <c r="M251" s="1122"/>
      <c r="N251" s="1122"/>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row>
    <row r="252" spans="1:49" s="6" customFormat="1" hidden="1">
      <c r="B252" t="s">
        <v>293</v>
      </c>
      <c r="C252"/>
      <c r="D252"/>
      <c r="E252"/>
      <c r="F252" s="993"/>
      <c r="G252" s="993"/>
      <c r="H252" s="993"/>
      <c r="I252" s="993"/>
      <c r="J252" s="993"/>
      <c r="K252" s="993"/>
      <c r="L252" s="993"/>
      <c r="M252" s="993"/>
      <c r="N252" s="993"/>
    </row>
    <row r="253" spans="1:49" s="6" customFormat="1" hidden="1">
      <c r="B253"/>
      <c r="C253" t="s">
        <v>169</v>
      </c>
      <c r="D253"/>
      <c r="E253" s="3611" t="s">
        <v>2812</v>
      </c>
      <c r="F253" s="993"/>
      <c r="G253" s="993"/>
      <c r="H253" s="993"/>
      <c r="I253" s="993"/>
      <c r="J253" s="993"/>
      <c r="K253" s="993"/>
      <c r="L253" s="993"/>
      <c r="M253" s="993"/>
      <c r="N253" s="993"/>
    </row>
    <row r="254" spans="1:49" s="6" customFormat="1" hidden="1">
      <c r="B254"/>
      <c r="C254" t="s">
        <v>173</v>
      </c>
      <c r="D254"/>
      <c r="E254" s="3611" t="s">
        <v>2812</v>
      </c>
      <c r="F254" s="993"/>
      <c r="G254" s="993"/>
      <c r="H254" s="993"/>
      <c r="I254" s="993"/>
      <c r="J254" s="993"/>
      <c r="K254" s="993"/>
      <c r="L254" s="993"/>
      <c r="M254" s="993"/>
      <c r="N254" s="993"/>
    </row>
    <row r="255" spans="1:49" s="6" customFormat="1" hidden="1">
      <c r="B255"/>
      <c r="C255" t="s">
        <v>294</v>
      </c>
      <c r="D255"/>
      <c r="E255" s="3611" t="s">
        <v>2812</v>
      </c>
      <c r="F255" s="993"/>
      <c r="G255" s="993"/>
      <c r="H255" s="993"/>
      <c r="I255" s="993"/>
      <c r="J255" s="993"/>
      <c r="K255" s="993"/>
      <c r="L255" s="993"/>
      <c r="M255" s="993"/>
      <c r="N255" s="993"/>
    </row>
    <row r="256" spans="1:49" s="6" customFormat="1" hidden="1">
      <c r="B256"/>
      <c r="C256"/>
      <c r="D256"/>
      <c r="E256"/>
      <c r="F256" s="993"/>
      <c r="G256" s="993"/>
      <c r="H256" s="993"/>
      <c r="I256" s="993"/>
      <c r="J256" s="993"/>
      <c r="K256" s="993"/>
      <c r="L256" s="993"/>
      <c r="M256" s="993"/>
      <c r="N256" s="993"/>
    </row>
    <row r="257" spans="1:15" s="6" customFormat="1" hidden="1">
      <c r="B257" t="s">
        <v>295</v>
      </c>
      <c r="C257"/>
      <c r="D257"/>
      <c r="E257"/>
      <c r="F257" s="993"/>
      <c r="G257" s="993"/>
      <c r="H257" s="993"/>
      <c r="I257" s="993"/>
      <c r="J257" s="993"/>
      <c r="K257" s="993"/>
      <c r="L257" s="993"/>
      <c r="M257" s="993"/>
      <c r="N257" s="993"/>
    </row>
    <row r="258" spans="1:15" s="6" customFormat="1" hidden="1">
      <c r="B258"/>
      <c r="C258" t="s">
        <v>169</v>
      </c>
      <c r="D258"/>
      <c r="E258" s="3611" t="s">
        <v>2812</v>
      </c>
      <c r="F258" s="993"/>
      <c r="G258" s="993"/>
      <c r="H258" s="993"/>
      <c r="I258" s="993"/>
      <c r="J258" s="993"/>
      <c r="K258" s="993"/>
      <c r="L258" s="993"/>
      <c r="M258" s="993"/>
      <c r="N258" s="993"/>
    </row>
    <row r="259" spans="1:15" s="6" customFormat="1" hidden="1">
      <c r="B259"/>
      <c r="C259" t="s">
        <v>173</v>
      </c>
      <c r="D259"/>
      <c r="E259" s="3611" t="s">
        <v>2812</v>
      </c>
      <c r="F259" s="993"/>
      <c r="G259" s="993"/>
      <c r="H259" s="993"/>
      <c r="I259" s="993"/>
      <c r="J259" s="993"/>
      <c r="K259" s="993"/>
      <c r="L259" s="993"/>
      <c r="M259" s="993"/>
      <c r="N259" s="993"/>
    </row>
    <row r="260" spans="1:15" s="6" customFormat="1" hidden="1">
      <c r="B260"/>
      <c r="C260" t="s">
        <v>294</v>
      </c>
      <c r="D260"/>
      <c r="E260" s="3611" t="s">
        <v>2812</v>
      </c>
      <c r="F260" s="993"/>
      <c r="G260" s="993"/>
      <c r="H260" s="993"/>
      <c r="I260" s="993"/>
      <c r="J260" s="993"/>
      <c r="K260" s="993"/>
      <c r="L260" s="993"/>
      <c r="M260" s="993"/>
      <c r="N260" s="993"/>
    </row>
    <row r="261" spans="1:15" s="6" customFormat="1" hidden="1">
      <c r="B261"/>
      <c r="C261"/>
      <c r="D261"/>
      <c r="E261"/>
      <c r="F261" s="993"/>
      <c r="G261" s="993"/>
      <c r="H261" s="993"/>
      <c r="I261" s="993"/>
      <c r="J261" s="993"/>
      <c r="K261" s="993"/>
      <c r="L261" s="993"/>
      <c r="M261" s="993"/>
      <c r="N261" s="993"/>
    </row>
    <row r="262" spans="1:15" s="6" customFormat="1" hidden="1">
      <c r="B262" t="s">
        <v>296</v>
      </c>
      <c r="C262"/>
      <c r="D262"/>
      <c r="E262"/>
      <c r="F262" s="302"/>
      <c r="G262" s="302"/>
      <c r="H262" s="302"/>
      <c r="I262" s="302"/>
      <c r="J262" s="302"/>
      <c r="K262" s="302"/>
      <c r="L262" s="302"/>
      <c r="M262" s="302"/>
      <c r="N262" s="302"/>
    </row>
    <row r="263" spans="1:15" s="6" customFormat="1" hidden="1">
      <c r="B263"/>
      <c r="C263" t="s">
        <v>169</v>
      </c>
      <c r="D263"/>
      <c r="E263" s="3611" t="s">
        <v>2812</v>
      </c>
      <c r="F263" s="993"/>
      <c r="G263" s="993"/>
      <c r="H263" s="993"/>
      <c r="I263" s="993"/>
      <c r="J263" s="993"/>
      <c r="K263" s="993"/>
      <c r="L263" s="993"/>
      <c r="M263" s="993"/>
      <c r="N263" s="993"/>
    </row>
    <row r="264" spans="1:15" s="6" customFormat="1" hidden="1">
      <c r="B264"/>
      <c r="C264" t="s">
        <v>173</v>
      </c>
      <c r="D264"/>
      <c r="E264" s="3611" t="s">
        <v>2812</v>
      </c>
      <c r="F264" s="993"/>
      <c r="G264" s="993"/>
      <c r="H264" s="993"/>
      <c r="I264" s="993"/>
      <c r="J264" s="993"/>
      <c r="K264" s="993"/>
      <c r="L264" s="993"/>
      <c r="M264" s="993"/>
      <c r="N264" s="993"/>
    </row>
    <row r="265" spans="1:15" s="6" customFormat="1" hidden="1">
      <c r="B265"/>
      <c r="C265" t="s">
        <v>294</v>
      </c>
      <c r="D265"/>
      <c r="E265" s="3611" t="s">
        <v>2812</v>
      </c>
      <c r="F265" s="993"/>
      <c r="G265" s="993"/>
      <c r="H265" s="993"/>
      <c r="I265" s="993"/>
      <c r="J265" s="993"/>
      <c r="K265" s="993"/>
      <c r="L265" s="993"/>
      <c r="M265" s="993"/>
      <c r="N265" s="993"/>
    </row>
    <row r="266" spans="1:15" s="6" customFormat="1" hidden="1">
      <c r="B266" s="1117"/>
      <c r="C266" s="381"/>
      <c r="F266" s="1122"/>
      <c r="G266" s="1122"/>
      <c r="H266" s="1122"/>
      <c r="I266" s="1122"/>
      <c r="J266" s="1122"/>
      <c r="K266" s="1122"/>
      <c r="L266" s="1122"/>
      <c r="M266" s="1122"/>
      <c r="N266" s="1122"/>
    </row>
    <row r="267" spans="1:15" s="6" customFormat="1">
      <c r="B267" s="381" t="s">
        <v>822</v>
      </c>
      <c r="C267" s="381"/>
      <c r="F267" s="1122" t="s">
        <v>5</v>
      </c>
      <c r="G267" s="1122"/>
      <c r="H267" s="1122"/>
      <c r="I267" s="1122"/>
      <c r="J267" s="1122"/>
      <c r="K267" s="1122"/>
      <c r="L267" s="1122"/>
      <c r="M267" s="1122"/>
      <c r="N267" s="1122"/>
    </row>
    <row r="268" spans="1:15" s="6" customFormat="1">
      <c r="B268" s="381"/>
      <c r="C268" s="381"/>
      <c r="F268" s="1122"/>
      <c r="G268" s="1122"/>
      <c r="H268" s="1122"/>
      <c r="I268" s="1122"/>
      <c r="J268" s="1122"/>
      <c r="K268" s="1122"/>
      <c r="L268" s="1122"/>
      <c r="M268" s="1122"/>
      <c r="N268" s="1122"/>
    </row>
    <row r="269" spans="1:15" s="6" customFormat="1">
      <c r="B269" s="4" t="s">
        <v>842</v>
      </c>
      <c r="C269" s="1117"/>
      <c r="F269" s="302">
        <v>2013</v>
      </c>
      <c r="G269" s="302">
        <v>2015</v>
      </c>
      <c r="H269" s="302">
        <v>2020</v>
      </c>
      <c r="I269" s="302">
        <v>2025</v>
      </c>
      <c r="J269" s="302">
        <v>2030</v>
      </c>
      <c r="K269" s="302">
        <v>2035</v>
      </c>
      <c r="L269" s="302">
        <v>2040</v>
      </c>
      <c r="M269" s="302">
        <v>2045</v>
      </c>
      <c r="N269" s="302">
        <v>2050</v>
      </c>
    </row>
    <row r="270" spans="1:15" s="6" customFormat="1">
      <c r="A270"/>
      <c r="C270" s="4" t="s">
        <v>253</v>
      </c>
      <c r="E270" s="6" t="s">
        <v>254</v>
      </c>
      <c r="F270" s="2444">
        <f>(F$198+F$213)*INDEX(EF[CO2], MATCH("V.03", EF[Vector], 0))</f>
        <v>0</v>
      </c>
      <c r="G270" s="2444">
        <f>(G$198+G$213)*INDEX(EF[CO2], MATCH("V.03", EF[Vector], 0))</f>
        <v>0</v>
      </c>
      <c r="H270" s="2444">
        <f>(H$198+H$213)*INDEX(EF[CO2], MATCH("V.03", EF[Vector], 0))</f>
        <v>0</v>
      </c>
      <c r="I270" s="2444">
        <f>(I$198+I$213)*INDEX(EF[CO2], MATCH("V.03", EF[Vector], 0))</f>
        <v>0</v>
      </c>
      <c r="J270" s="2444">
        <f>(J$198+J$213)*INDEX(EF[CO2], MATCH("V.03", EF[Vector], 0))</f>
        <v>0</v>
      </c>
      <c r="K270" s="2444">
        <f>(K$198+K$213)*INDEX(EF[CO2], MATCH("V.03", EF[Vector], 0))</f>
        <v>0</v>
      </c>
      <c r="L270" s="2444">
        <f>(L$198+L$213)*INDEX(EF[CO2], MATCH("V.03", EF[Vector], 0))</f>
        <v>0</v>
      </c>
      <c r="M270" s="2444">
        <f>(M$198+M$213)*INDEX(EF[CO2], MATCH("V.03", EF[Vector], 0))</f>
        <v>0</v>
      </c>
      <c r="N270" s="2444">
        <f>(N$198+N$213)*INDEX(EF[CO2], MATCH("V.03", EF[Vector], 0))</f>
        <v>0</v>
      </c>
    </row>
    <row r="271" spans="1:15" s="6" customFormat="1">
      <c r="A271"/>
      <c r="C271" s="4" t="s">
        <v>255</v>
      </c>
      <c r="E271" s="6" t="s">
        <v>254</v>
      </c>
      <c r="F271" s="2444">
        <f>(F$198+F$213)*INDEX(EF[CH4], MATCH("V.03", EF[Vector], 0))</f>
        <v>0</v>
      </c>
      <c r="G271" s="2444">
        <f>(G$198+G$213)*INDEX(EF[CH4], MATCH("V.03", EF[Vector], 0))</f>
        <v>0</v>
      </c>
      <c r="H271" s="2444">
        <f>(H$198+H$213)*INDEX(EF[CH4], MATCH("V.03", EF[Vector], 0))</f>
        <v>0</v>
      </c>
      <c r="I271" s="2444">
        <f>(I$198+I$213)*INDEX(EF[CH4], MATCH("V.03", EF[Vector], 0))</f>
        <v>0</v>
      </c>
      <c r="J271" s="2444">
        <f>(J$198+J$213)*INDEX(EF[CH4], MATCH("V.03", EF[Vector], 0))</f>
        <v>0</v>
      </c>
      <c r="K271" s="2444">
        <f>(K$198+K$213)*INDEX(EF[CH4], MATCH("V.03", EF[Vector], 0))</f>
        <v>0</v>
      </c>
      <c r="L271" s="2444">
        <f>(L$198+L$213)*INDEX(EF[CH4], MATCH("V.03", EF[Vector], 0))</f>
        <v>0</v>
      </c>
      <c r="M271" s="2444">
        <f>(M$198+M$213)*INDEX(EF[CH4], MATCH("V.03", EF[Vector], 0))</f>
        <v>0</v>
      </c>
      <c r="N271" s="2444">
        <f>(N$198+N$213)*INDEX(EF[CH4], MATCH("V.03", EF[Vector], 0))</f>
        <v>0</v>
      </c>
    </row>
    <row r="272" spans="1:15" s="6" customFormat="1">
      <c r="A272"/>
      <c r="C272" s="4" t="s">
        <v>256</v>
      </c>
      <c r="E272" s="6" t="s">
        <v>254</v>
      </c>
      <c r="F272" s="2444">
        <f>(F$198+F$213)*INDEX(EF[N2O], MATCH("V.03", EF[Vector], 0))</f>
        <v>0</v>
      </c>
      <c r="G272" s="2444">
        <f>(G$198+G$213)*INDEX(EF[N2O], MATCH("V.03", EF[Vector], 0))</f>
        <v>0</v>
      </c>
      <c r="H272" s="2444">
        <f>(H$198+H$213)*INDEX(EF[N2O], MATCH("V.03", EF[Vector], 0))</f>
        <v>0</v>
      </c>
      <c r="I272" s="2444">
        <f>(I$198+I$213)*INDEX(EF[N2O], MATCH("V.03", EF[Vector], 0))</f>
        <v>0</v>
      </c>
      <c r="J272" s="2444">
        <f>(J$198+J$213)*INDEX(EF[N2O], MATCH("V.03", EF[Vector], 0))</f>
        <v>0</v>
      </c>
      <c r="K272" s="2444">
        <f>(K$198+K$213)*INDEX(EF[N2O], MATCH("V.03", EF[Vector], 0))</f>
        <v>0</v>
      </c>
      <c r="L272" s="2444">
        <f>(L$198+L$213)*INDEX(EF[N2O], MATCH("V.03", EF[Vector], 0))</f>
        <v>0</v>
      </c>
      <c r="M272" s="2444">
        <f>(M$198+M$213)*INDEX(EF[N2O], MATCH("V.03", EF[Vector], 0))</f>
        <v>0</v>
      </c>
      <c r="N272" s="2444">
        <f>(N$198+N$213)*INDEX(EF[N2O], MATCH("V.03", EF[Vector], 0))</f>
        <v>0</v>
      </c>
      <c r="O272" s="2444"/>
    </row>
    <row r="273" spans="1:14" s="6" customFormat="1">
      <c r="C273" s="1117"/>
      <c r="F273" s="1122"/>
      <c r="G273" s="1122"/>
      <c r="H273" s="1122"/>
      <c r="I273" s="1122"/>
      <c r="J273" s="1122"/>
      <c r="K273" s="1122"/>
      <c r="L273" s="1122"/>
      <c r="M273" s="1122"/>
      <c r="N273" s="1122"/>
    </row>
    <row r="274" spans="1:14" s="6" customFormat="1">
      <c r="B274" s="4" t="s">
        <v>843</v>
      </c>
      <c r="C274" s="1117"/>
      <c r="F274" s="1122"/>
      <c r="G274" s="1122" t="s">
        <v>5</v>
      </c>
      <c r="H274" s="1122"/>
      <c r="I274" s="1122"/>
      <c r="J274" s="1122"/>
      <c r="K274" s="1122"/>
      <c r="L274" s="1122"/>
      <c r="M274" s="1122"/>
      <c r="N274" s="1122"/>
    </row>
    <row r="275" spans="1:14" s="6" customFormat="1">
      <c r="A275"/>
      <c r="C275" s="4" t="s">
        <v>253</v>
      </c>
      <c r="E275" s="6" t="s">
        <v>254</v>
      </c>
      <c r="F275" s="2444">
        <f>(F$227)*INDEX(EF[CO2], MATCH("V.05", EF[Vector], 0))</f>
        <v>0</v>
      </c>
      <c r="G275" s="2444">
        <f>(G$227)*INDEX(EF[CO2], MATCH("V.05", EF[Vector], 0))</f>
        <v>0</v>
      </c>
      <c r="H275" s="2444">
        <f>(H$227)*INDEX(EF[CO2], MATCH("V.05", EF[Vector], 0))</f>
        <v>0</v>
      </c>
      <c r="I275" s="2444">
        <f>(I$227)*INDEX(EF[CO2], MATCH("V.05", EF[Vector], 0))</f>
        <v>0</v>
      </c>
      <c r="J275" s="2444">
        <f>(J$227)*INDEX(EF[CO2], MATCH("V.05", EF[Vector], 0))</f>
        <v>0</v>
      </c>
      <c r="K275" s="2444">
        <f>(K$227)*INDEX(EF[CO2], MATCH("V.05", EF[Vector], 0))</f>
        <v>1.2301597849354837</v>
      </c>
      <c r="L275" s="2444">
        <f>(L$227)*INDEX(EF[CO2], MATCH("V.05", EF[Vector], 0))</f>
        <v>3.6319003174285713</v>
      </c>
      <c r="M275" s="2444">
        <f>(M$227)*INDEX(EF[CO2], MATCH("V.05", EF[Vector], 0))</f>
        <v>5.9585864582812498</v>
      </c>
      <c r="N275" s="2444">
        <f>(N$227)*INDEX(EF[CO2], MATCH("V.05", EF[Vector], 0))</f>
        <v>8.2136822563384602</v>
      </c>
    </row>
    <row r="276" spans="1:14" s="6" customFormat="1">
      <c r="A276"/>
      <c r="C276" s="4" t="s">
        <v>255</v>
      </c>
      <c r="E276" s="6" t="s">
        <v>254</v>
      </c>
      <c r="F276" s="2444">
        <f>F$227*INDEX(EF[CH4], MATCH("V.05", EF[Vector], 0))</f>
        <v>0</v>
      </c>
      <c r="G276" s="2444">
        <f>G$227*INDEX(EF[CH4], MATCH("V.05", EF[Vector], 0))</f>
        <v>0</v>
      </c>
      <c r="H276" s="2444">
        <f>H$227*INDEX(EF[CH4], MATCH("V.05", EF[Vector], 0))</f>
        <v>0</v>
      </c>
      <c r="I276" s="2444">
        <f>I$227*INDEX(EF[CH4], MATCH("V.05", EF[Vector], 0))</f>
        <v>0</v>
      </c>
      <c r="J276" s="2444">
        <f>J$227*INDEX(EF[CH4], MATCH("V.05", EF[Vector], 0))</f>
        <v>0</v>
      </c>
      <c r="K276" s="2444">
        <f>K$227*INDEX(EF[CH4], MATCH("V.05", EF[Vector], 0))</f>
        <v>4.542767419354839E-4</v>
      </c>
      <c r="L276" s="2444">
        <f>L$227*INDEX(EF[CH4], MATCH("V.05", EF[Vector], 0))</f>
        <v>1.3411980000000003E-3</v>
      </c>
      <c r="M276" s="2444">
        <f>M$227*INDEX(EF[CH4], MATCH("V.05", EF[Vector], 0))</f>
        <v>2.2004029687500001E-3</v>
      </c>
      <c r="N276" s="2444">
        <f>N$227*INDEX(EF[CH4], MATCH("V.05", EF[Vector], 0))</f>
        <v>3.0331708615384616E-3</v>
      </c>
    </row>
    <row r="277" spans="1:14" s="6" customFormat="1">
      <c r="A277"/>
      <c r="C277" s="4" t="s">
        <v>256</v>
      </c>
      <c r="E277" s="6" t="s">
        <v>254</v>
      </c>
      <c r="F277" s="2444">
        <f>F$227*INDEX(EF[N2O], MATCH("V.05",EF[Vector], 0))</f>
        <v>0</v>
      </c>
      <c r="G277" s="2444">
        <f>G$227*INDEX(EF[N2O], MATCH("V.05",EF[Vector], 0))</f>
        <v>0</v>
      </c>
      <c r="H277" s="2444">
        <f>H$227*INDEX(EF[N2O], MATCH("V.05",EF[Vector], 0))</f>
        <v>0</v>
      </c>
      <c r="I277" s="2444">
        <f>I$227*INDEX(EF[N2O], MATCH("V.05",EF[Vector], 0))</f>
        <v>0</v>
      </c>
      <c r="J277" s="2444">
        <f>J$227*INDEX(EF[N2O], MATCH("V.05",EF[Vector], 0))</f>
        <v>0</v>
      </c>
      <c r="K277" s="2444">
        <f>K$227*INDEX(EF[N2O], MATCH("V.05",EF[Vector], 0))</f>
        <v>1.9447370999999998E-2</v>
      </c>
      <c r="L277" s="2444">
        <f>L$227*INDEX(EF[N2O], MATCH("V.05",EF[Vector], 0))</f>
        <v>5.7416047714285719E-2</v>
      </c>
      <c r="M277" s="2444">
        <f>M$227*INDEX(EF[N2O], MATCH("V.05",EF[Vector], 0))</f>
        <v>9.419820328124999E-2</v>
      </c>
      <c r="N277" s="2444">
        <f>N$227*INDEX(EF[N2O], MATCH("V.05",EF[Vector], 0))</f>
        <v>0.12984860021538461</v>
      </c>
    </row>
    <row r="278" spans="1:14" s="6" customFormat="1">
      <c r="C278" s="4"/>
      <c r="F278" s="1123"/>
      <c r="G278" s="1123"/>
      <c r="H278" s="1123"/>
      <c r="I278" s="1123"/>
      <c r="J278" s="1123"/>
      <c r="K278" s="1123"/>
      <c r="L278" s="1123"/>
      <c r="M278" s="1123"/>
      <c r="N278" s="1123"/>
    </row>
    <row r="279" spans="1:14" s="6" customFormat="1">
      <c r="B279" s="4" t="s">
        <v>844</v>
      </c>
      <c r="C279" s="1117"/>
      <c r="F279" s="1122"/>
      <c r="G279" s="1122"/>
      <c r="H279" s="1122"/>
      <c r="I279" s="1122"/>
      <c r="J279" s="1122"/>
      <c r="K279" s="1122"/>
      <c r="L279" s="1122"/>
      <c r="M279" s="1122"/>
      <c r="N279" s="1122"/>
    </row>
    <row r="280" spans="1:14" s="6" customFormat="1">
      <c r="C280" s="4" t="s">
        <v>253</v>
      </c>
      <c r="E280" s="6" t="s">
        <v>254</v>
      </c>
      <c r="F280" s="1123">
        <f t="shared" ref="F280:M280" si="43">(F275+F270)*F$82</f>
        <v>0</v>
      </c>
      <c r="G280" s="1123">
        <f t="shared" si="43"/>
        <v>0</v>
      </c>
      <c r="H280" s="1123">
        <f t="shared" si="43"/>
        <v>0</v>
      </c>
      <c r="I280" s="1123">
        <f t="shared" si="43"/>
        <v>0</v>
      </c>
      <c r="J280" s="1123">
        <f t="shared" si="43"/>
        <v>0</v>
      </c>
      <c r="K280" s="1123">
        <f t="shared" si="43"/>
        <v>1.1071438064419354</v>
      </c>
      <c r="L280" s="1123">
        <f t="shared" si="43"/>
        <v>3.2687102856857142</v>
      </c>
      <c r="M280" s="1123">
        <f t="shared" si="43"/>
        <v>5.3627278124531248</v>
      </c>
      <c r="N280" s="1123">
        <f>(N275+N270)*N$82</f>
        <v>7.3923140307046147</v>
      </c>
    </row>
    <row r="281" spans="1:14" s="6" customFormat="1"/>
    <row r="282" spans="1:14" s="6" customFormat="1">
      <c r="B282" s="6" t="s">
        <v>845</v>
      </c>
    </row>
    <row r="283" spans="1:14" s="6" customFormat="1">
      <c r="C283" s="6" t="s">
        <v>98</v>
      </c>
      <c r="D283" s="6" t="s">
        <v>16</v>
      </c>
      <c r="F283" s="1124">
        <f>-F303</f>
        <v>0</v>
      </c>
      <c r="G283" s="1124">
        <f t="shared" ref="G283:N284" si="44">-G303</f>
        <v>0</v>
      </c>
      <c r="H283" s="1125">
        <f t="shared" si="44"/>
        <v>0</v>
      </c>
      <c r="I283" s="1125">
        <f t="shared" si="44"/>
        <v>0</v>
      </c>
      <c r="J283" s="1125">
        <f t="shared" si="44"/>
        <v>0</v>
      </c>
      <c r="K283" s="1125">
        <f t="shared" si="44"/>
        <v>0</v>
      </c>
      <c r="L283" s="1125">
        <f t="shared" si="44"/>
        <v>0</v>
      </c>
      <c r="M283" s="1125">
        <f t="shared" si="44"/>
        <v>0</v>
      </c>
      <c r="N283" s="1125">
        <f t="shared" si="44"/>
        <v>0</v>
      </c>
    </row>
    <row r="284" spans="1:14" s="6" customFormat="1">
      <c r="C284" s="6" t="s">
        <v>100</v>
      </c>
      <c r="D284" s="6" t="s">
        <v>15</v>
      </c>
      <c r="F284" s="1124">
        <f>-F304</f>
        <v>0</v>
      </c>
      <c r="G284" s="1124">
        <f t="shared" si="44"/>
        <v>0</v>
      </c>
      <c r="H284" s="1125">
        <f t="shared" si="44"/>
        <v>0</v>
      </c>
      <c r="I284" s="1125">
        <f t="shared" si="44"/>
        <v>0</v>
      </c>
      <c r="J284" s="1125">
        <f t="shared" si="44"/>
        <v>0</v>
      </c>
      <c r="K284" s="1125">
        <f t="shared" si="44"/>
        <v>6.0089516129032257</v>
      </c>
      <c r="L284" s="1125">
        <f t="shared" si="44"/>
        <v>17.740714285714287</v>
      </c>
      <c r="M284" s="1125">
        <f t="shared" si="44"/>
        <v>29.105859374999998</v>
      </c>
      <c r="N284" s="1125">
        <f t="shared" si="44"/>
        <v>40.121307692307688</v>
      </c>
    </row>
    <row r="285" spans="1:14" s="6" customFormat="1">
      <c r="F285" s="1124"/>
      <c r="G285" s="1125"/>
      <c r="H285" s="1125"/>
      <c r="I285" s="1125"/>
      <c r="J285" s="1125"/>
      <c r="K285" s="1125"/>
      <c r="L285" s="1125"/>
      <c r="M285" s="1125"/>
      <c r="N285" s="1125"/>
    </row>
    <row r="286" spans="1:14" s="6" customFormat="1">
      <c r="A286"/>
      <c r="C286" s="833" t="s">
        <v>846</v>
      </c>
      <c r="D286" s="6" t="s">
        <v>147</v>
      </c>
      <c r="F286" s="424">
        <f ca="1">F283*(1-'Intermediate output'!AY253)</f>
        <v>0</v>
      </c>
      <c r="G286" s="424">
        <f ca="1">G283*(1-'Intermediate output'!AZ253)</f>
        <v>0</v>
      </c>
      <c r="H286" s="424">
        <f ca="1">H283*(1-'Intermediate output'!BA253)</f>
        <v>0</v>
      </c>
      <c r="I286" s="424">
        <f ca="1">I283*(1-'Intermediate output'!BB253)</f>
        <v>0</v>
      </c>
      <c r="J286" s="424">
        <f ca="1">J283*(1-'Intermediate output'!BC253)</f>
        <v>0</v>
      </c>
      <c r="K286" s="424">
        <f ca="1">K283*(1-'Intermediate output'!BD253)</f>
        <v>0</v>
      </c>
      <c r="L286" s="424">
        <f ca="1">L283*(1-'Intermediate output'!BE253)</f>
        <v>0</v>
      </c>
      <c r="M286" s="424">
        <f ca="1">M283*(1-'Intermediate output'!BF253)</f>
        <v>0</v>
      </c>
      <c r="N286" s="424">
        <f ca="1">N283*(1-'Intermediate output'!BG253)</f>
        <v>0</v>
      </c>
    </row>
    <row r="287" spans="1:14" s="6" customFormat="1">
      <c r="A287"/>
      <c r="D287" s="6" t="s">
        <v>148</v>
      </c>
      <c r="F287" s="424">
        <f ca="1">F283*'Intermediate output'!AY253</f>
        <v>0</v>
      </c>
      <c r="G287" s="424">
        <f ca="1">G283*'Intermediate output'!AZ253</f>
        <v>0</v>
      </c>
      <c r="H287" s="424">
        <f ca="1">H283*'Intermediate output'!BA253</f>
        <v>0</v>
      </c>
      <c r="I287" s="424">
        <f ca="1">I283*'Intermediate output'!BB253</f>
        <v>0</v>
      </c>
      <c r="J287" s="424">
        <f ca="1">J283*'Intermediate output'!BC253</f>
        <v>0</v>
      </c>
      <c r="K287" s="424">
        <f ca="1">K283*'Intermediate output'!BD253</f>
        <v>0</v>
      </c>
      <c r="L287" s="424">
        <f ca="1">L283*'Intermediate output'!BE253</f>
        <v>0</v>
      </c>
      <c r="M287" s="424">
        <f ca="1">M283*'Intermediate output'!BF253</f>
        <v>0</v>
      </c>
      <c r="N287" s="424">
        <f ca="1">N283*'Intermediate output'!BG253</f>
        <v>0</v>
      </c>
    </row>
    <row r="288" spans="1:14" s="6" customFormat="1">
      <c r="A288"/>
      <c r="D288" s="6" t="s">
        <v>847</v>
      </c>
      <c r="F288" s="424">
        <f ca="1">F$284*(1-'Intermediate output'!AY$255)</f>
        <v>0</v>
      </c>
      <c r="G288" s="424">
        <f ca="1">G$284*(1-'Intermediate output'!AZ$255)</f>
        <v>0</v>
      </c>
      <c r="H288" s="424">
        <f ca="1">H$284*(1-'Intermediate output'!BA$255)</f>
        <v>0</v>
      </c>
      <c r="I288" s="424">
        <f ca="1">I$284*(1-'Intermediate output'!BB$255)</f>
        <v>0</v>
      </c>
      <c r="J288" s="424">
        <f ca="1">J$284*(1-'Intermediate output'!BC$255)</f>
        <v>0</v>
      </c>
      <c r="K288" s="424">
        <f ca="1">K$284*(1-'Intermediate output'!BD$255)</f>
        <v>4.7067996532261009</v>
      </c>
      <c r="L288" s="424">
        <f ca="1">L$284*(1-'Intermediate output'!BE$255)</f>
        <v>13.496325776840752</v>
      </c>
      <c r="M288" s="424">
        <f ca="1">M$284*(1-'Intermediate output'!BF$255)</f>
        <v>21.972941338925885</v>
      </c>
      <c r="N288" s="424">
        <f ca="1">N$284*(1-'Intermediate output'!BG$255)</f>
        <v>30.340729895129368</v>
      </c>
    </row>
    <row r="289" spans="1:25" s="6" customFormat="1">
      <c r="A289"/>
      <c r="D289" s="6" t="s">
        <v>848</v>
      </c>
      <c r="F289" s="424">
        <f ca="1">F$284*'Intermediate output'!AY$255</f>
        <v>0</v>
      </c>
      <c r="G289" s="424">
        <f ca="1">G$284*'Intermediate output'!AZ$255</f>
        <v>0</v>
      </c>
      <c r="H289" s="424">
        <f ca="1">H$284*'Intermediate output'!BA$255</f>
        <v>0</v>
      </c>
      <c r="I289" s="424">
        <f ca="1">I$284*'Intermediate output'!BB$255</f>
        <v>0</v>
      </c>
      <c r="J289" s="424">
        <f ca="1">J$284*'Intermediate output'!BC$255</f>
        <v>0</v>
      </c>
      <c r="K289" s="424">
        <f ca="1">K$284*'Intermediate output'!BD$255</f>
        <v>1.3021519596771249</v>
      </c>
      <c r="L289" s="424">
        <f ca="1">L$284*'Intermediate output'!BE$255</f>
        <v>4.2443885088735351</v>
      </c>
      <c r="M289" s="424">
        <f ca="1">M$284*'Intermediate output'!BF$255</f>
        <v>7.1329180360741136</v>
      </c>
      <c r="N289" s="424">
        <f ca="1">N$284*'Intermediate output'!BG$255</f>
        <v>9.7805777971783208</v>
      </c>
    </row>
    <row r="290" spans="1:25" s="6" customFormat="1">
      <c r="G290" s="1125"/>
      <c r="H290" s="1125"/>
      <c r="I290" s="1125"/>
      <c r="J290" s="1125"/>
      <c r="K290" s="1125"/>
      <c r="L290" s="1125"/>
      <c r="M290" s="1125"/>
      <c r="N290" s="1125"/>
    </row>
    <row r="291" spans="1:25" s="6" customFormat="1">
      <c r="B291" s="6" t="s">
        <v>849</v>
      </c>
      <c r="F291" s="302">
        <v>2013</v>
      </c>
      <c r="G291" s="302">
        <v>2015</v>
      </c>
      <c r="H291" s="302">
        <v>2020</v>
      </c>
      <c r="I291" s="302">
        <v>2025</v>
      </c>
      <c r="J291" s="302">
        <v>2030</v>
      </c>
      <c r="K291" s="302">
        <v>2035</v>
      </c>
      <c r="L291" s="302">
        <v>2040</v>
      </c>
      <c r="M291" s="302">
        <v>2045</v>
      </c>
      <c r="N291" s="302">
        <v>2050</v>
      </c>
    </row>
    <row r="292" spans="1:25" s="6" customFormat="1">
      <c r="C292" s="6" t="str">
        <f>INDEX(AirQualityVectors[Code],MATCH(D292,AirQualityVectors[Description],0))</f>
        <v>AQ.01</v>
      </c>
      <c r="D292" s="6" t="s">
        <v>261</v>
      </c>
      <c r="E292" s="6" t="s">
        <v>850</v>
      </c>
      <c r="F292" s="2445">
        <f ca="1">(F$286*F$92)+(F$287*F$92*Constants!$F$35)+(F$288*F$93)+(F$289*F$93*Constants!$F$37)</f>
        <v>0</v>
      </c>
      <c r="G292" s="2445">
        <f ca="1">(G$286*G$92)+(G$287*G$92*Constants!$F$35)+(G$288*G$93)+(G$289*G$93*Constants!$F$37)</f>
        <v>0</v>
      </c>
      <c r="H292" s="2445">
        <f ca="1">(H$286*H$92)+(H$287*H$92*Constants!$F$35)+(H$288*H$93)+(H$289*H$93*Constants!$F$37)</f>
        <v>0</v>
      </c>
      <c r="I292" s="2445">
        <f ca="1">(I$286*I$92)+(I$287*I$92*Constants!$F$35)+(I$288*I$93)+(I$289*I$93*Constants!$F$37)</f>
        <v>0</v>
      </c>
      <c r="J292" s="2445">
        <f ca="1">(J$286*J$92)+(J$287*J$92*Constants!$F$35)+(J$288*J$93)+(J$289*J$93*Constants!$F$37)</f>
        <v>0</v>
      </c>
      <c r="K292" s="2445">
        <f ca="1">(K$286*K$92)+(K$287*K$92*Constants!$F$35)+(K$288*K$93)+(K$289*K$93*Constants!$F$37)</f>
        <v>5.5070303339974369E-2</v>
      </c>
      <c r="L292" s="2445">
        <f ca="1">(L$286*L$92)+(L$287*L$92*Constants!$F$35)+(L$288*L$93)+(L$289*L$93*Constants!$F$37)</f>
        <v>0.1737864241549168</v>
      </c>
      <c r="M292" s="2445">
        <f ca="1">(M$286*M$92)+(M$287*M$92*Constants!$F$35)+(M$288*M$93)+(M$289*M$93*Constants!$F$37)</f>
        <v>0.28986328767329272</v>
      </c>
      <c r="N292" s="2445">
        <f ca="1">(N$286*N$92)+(N$287*N$92*Constants!$F$35)+(N$288*N$93)+(N$289*N$93*Constants!$F$37)</f>
        <v>0.39811293579262574</v>
      </c>
      <c r="P292" s="424" t="s">
        <v>1887</v>
      </c>
      <c r="Q292" s="424"/>
      <c r="R292" s="424"/>
      <c r="S292" s="424"/>
      <c r="T292" s="424"/>
      <c r="U292" s="424"/>
      <c r="V292" s="424"/>
      <c r="W292" s="424"/>
      <c r="X292" s="424"/>
      <c r="Y292" s="424"/>
    </row>
    <row r="293" spans="1:25" s="6" customFormat="1">
      <c r="C293" s="6" t="str">
        <f>INDEX(AirQualityVectors[Code],MATCH(D293,AirQualityVectors[Description],0))</f>
        <v>AQ.02</v>
      </c>
      <c r="D293" s="6" t="s">
        <v>263</v>
      </c>
      <c r="F293" s="2445">
        <f ca="1">(F$286*F$98)+(F$287*F$98*Constants!$G$35)+(F$288*F$99)+(F$289*F$99*Constants!$G$37)</f>
        <v>0</v>
      </c>
      <c r="G293" s="2445">
        <f ca="1">(G$286*G$98)+(G$287*G$98*Constants!$G$35)+(G$288*G$99)+(G$289*G$99*Constants!$G$37)</f>
        <v>0</v>
      </c>
      <c r="H293" s="2445">
        <f ca="1">(H$286*H$98)+(H$287*H$98*Constants!$G$35)+(H$288*H$99)+(H$289*H$99*Constants!$G$37)</f>
        <v>0</v>
      </c>
      <c r="I293" s="2445">
        <f ca="1">(I$286*I$98)+(I$287*I$98*Constants!$G$35)+(I$288*I$99)+(I$289*I$99*Constants!$G$37)</f>
        <v>0</v>
      </c>
      <c r="J293" s="2445">
        <f ca="1">(J$286*J$98)+(J$287*J$98*Constants!$G$35)+(J$288*J$99)+(J$289*J$99*Constants!$G$37)</f>
        <v>0</v>
      </c>
      <c r="K293" s="2445">
        <f ca="1">(K$286*K$98)+(K$287*K$98*Constants!$G$35)+(K$288*K$99)+(K$289*K$99*Constants!$G$37)</f>
        <v>0.68818212384626665</v>
      </c>
      <c r="L293" s="2445">
        <f ca="1">(L$286*L$98)+(L$287*L$98*Constants!$G$35)+(L$288*L$99)+(L$289*L$99*Constants!$G$37)</f>
        <v>2.0102687944917346</v>
      </c>
      <c r="M293" s="2445">
        <f ca="1">(M$286*M$98)+(M$287*M$98*Constants!$G$35)+(M$288*M$99)+(M$289*M$99*Constants!$G$37)</f>
        <v>3.2889839928936886</v>
      </c>
      <c r="N293" s="2445">
        <f ca="1">(N$286*N$98)+(N$287*N$98*Constants!$G$35)+(N$288*N$99)+(N$289*N$99*Constants!$G$37)</f>
        <v>4.5365275632556008</v>
      </c>
      <c r="P293" s="424" t="s">
        <v>1887</v>
      </c>
      <c r="Q293" s="424"/>
      <c r="R293" s="424"/>
      <c r="S293" s="424"/>
      <c r="T293" s="424"/>
      <c r="U293" s="424"/>
      <c r="V293" s="424"/>
      <c r="W293" s="424"/>
      <c r="X293" s="424"/>
      <c r="Y293" s="424"/>
    </row>
    <row r="294" spans="1:25" s="6" customFormat="1">
      <c r="C294" s="6" t="str">
        <f>INDEX(AirQualityVectors[Code],MATCH(D294,AirQualityVectors[Description],0))</f>
        <v>AQ.03</v>
      </c>
      <c r="D294" s="6" t="s">
        <v>265</v>
      </c>
      <c r="F294" s="2445">
        <f ca="1">(F$286*F$104)+(F$287*F$104*Constants!$H$35)+(F$288*F$105)+(F$289*F$105*Constants!$H$37)</f>
        <v>0</v>
      </c>
      <c r="G294" s="2445">
        <f ca="1">(G$286*G$104)+(G$287*G$104*Constants!$H$35)+(G$288*G$105)+(G$289*G$105*Constants!$H$37)</f>
        <v>0</v>
      </c>
      <c r="H294" s="2445">
        <f ca="1">(H$286*H$104)+(H$287*H$104*Constants!$H$35)+(H$288*H$105)+(H$289*H$105*Constants!$H$37)</f>
        <v>0</v>
      </c>
      <c r="I294" s="2445">
        <f ca="1">(I$286*I$104)+(I$287*I$104*Constants!$H$35)+(I$288*I$105)+(I$289*I$105*Constants!$H$37)</f>
        <v>0</v>
      </c>
      <c r="J294" s="2445">
        <f ca="1">(J$286*J$104)+(J$287*J$104*Constants!$H$35)+(J$288*J$105)+(J$289*J$105*Constants!$H$37)</f>
        <v>0</v>
      </c>
      <c r="K294" s="2445">
        <f ca="1">(K$286*K$104)+(K$287*K$104*Constants!$H$35)+(K$288*K$105)+(K$289*K$105*Constants!$H$37)</f>
        <v>1.1026338485288553E-2</v>
      </c>
      <c r="L294" s="2445">
        <f ca="1">(L$286*L$104)+(L$287*L$104*Constants!$H$35)+(L$288*L$105)+(L$289*L$105*Constants!$H$37)</f>
        <v>3.1617036476403099E-2</v>
      </c>
      <c r="M294" s="2445">
        <f ca="1">(M$286*M$104)+(M$287*M$104*Constants!$H$35)+(M$288*M$105)+(M$289*M$105*Constants!$H$37)</f>
        <v>5.147469758019628E-2</v>
      </c>
      <c r="N294" s="2445">
        <f ca="1">(N$286*N$104)+(N$287*N$104*Constants!$H$35)+(N$288*N$105)+(N$289*N$105*Constants!$H$37)</f>
        <v>7.1077416155817669E-2</v>
      </c>
      <c r="P294" s="424" t="s">
        <v>1887</v>
      </c>
      <c r="Q294" s="424"/>
      <c r="R294" s="424"/>
      <c r="S294" s="424"/>
      <c r="T294" s="424"/>
      <c r="U294" s="424"/>
      <c r="V294" s="424"/>
      <c r="W294" s="424"/>
      <c r="X294" s="424"/>
      <c r="Y294" s="424"/>
    </row>
    <row r="295" spans="1:25" s="6" customFormat="1">
      <c r="C295" s="6" t="str">
        <f>INDEX(AirQualityVectors[Code],MATCH(D295,AirQualityVectors[Description],0))</f>
        <v>AQ.04</v>
      </c>
      <c r="D295" s="6" t="s">
        <v>267</v>
      </c>
      <c r="F295" s="2445">
        <f ca="1">(F$286*F$110)+(F$287*F$110*Constants!$I$35)+(F$288*F$111)+(F$289*F$111*Constants!$I$37)</f>
        <v>0</v>
      </c>
      <c r="G295" s="2445">
        <f ca="1">(G$286*G$110)+(G$287*G$110*Constants!$I$35)+(G$288*G$111)+(G$289*G$111*Constants!$I$37)</f>
        <v>0</v>
      </c>
      <c r="H295" s="2445">
        <f ca="1">(H$286*H$110)+(H$287*H$110*Constants!$I$35)+(H$288*H$111)+(H$289*H$111*Constants!$I$37)</f>
        <v>0</v>
      </c>
      <c r="I295" s="2445">
        <f ca="1">(I$286*I$110)+(I$287*I$110*Constants!$I$35)+(I$288*I$111)+(I$289*I$111*Constants!$I$37)</f>
        <v>0</v>
      </c>
      <c r="J295" s="2445">
        <f ca="1">(J$286*J$110)+(J$287*J$110*Constants!$I$35)+(J$288*J$111)+(J$289*J$111*Constants!$I$37)</f>
        <v>0</v>
      </c>
      <c r="K295" s="2445">
        <f ca="1">(K$286*K$110)+(K$287*K$110*Constants!$I$35)+(K$288*K$111)+(K$289*K$111*Constants!$I$37)</f>
        <v>2.8816657118102162E-2</v>
      </c>
      <c r="L295" s="2445">
        <f ca="1">(L$286*L$110)+(L$287*L$110*Constants!$I$35)+(L$288*L$111)+(L$289*L$111*Constants!$I$37)</f>
        <v>8.6137548322292395E-2</v>
      </c>
      <c r="M295" s="2445">
        <f ca="1">(M$286*M$110)+(M$287*M$110*Constants!$I$35)+(M$288*M$111)+(M$289*M$111*Constants!$I$37)</f>
        <v>0.1417684880253722</v>
      </c>
      <c r="N295" s="2445">
        <f ca="1">(N$286*N$110)+(N$287*N$110*Constants!$I$35)+(N$288*N$111)+(N$289*N$111*Constants!$I$37)</f>
        <v>0.19528494380755293</v>
      </c>
      <c r="P295" s="424" t="s">
        <v>1887</v>
      </c>
      <c r="Q295" s="424"/>
      <c r="R295" s="424"/>
      <c r="S295" s="424"/>
      <c r="T295" s="424"/>
      <c r="U295" s="424"/>
      <c r="V295" s="424"/>
      <c r="W295" s="424"/>
      <c r="X295" s="424"/>
      <c r="Y295" s="424"/>
    </row>
    <row r="296" spans="1:25" s="6" customFormat="1">
      <c r="B296"/>
      <c r="C296"/>
      <c r="D296"/>
      <c r="E296"/>
      <c r="F296"/>
      <c r="G296"/>
      <c r="H296"/>
      <c r="I296"/>
      <c r="J296"/>
      <c r="K296"/>
      <c r="L296"/>
      <c r="M296"/>
      <c r="N296"/>
      <c r="O296" s="2446" t="s">
        <v>5</v>
      </c>
      <c r="P296"/>
    </row>
    <row r="297" spans="1:25" s="6" customFormat="1" ht="15.75">
      <c r="B297" s="511" t="s">
        <v>299</v>
      </c>
      <c r="C297" s="865"/>
      <c r="D297" s="512"/>
      <c r="E297" s="512"/>
      <c r="F297" s="512"/>
      <c r="G297" s="512"/>
      <c r="H297" s="512"/>
      <c r="I297" s="512"/>
      <c r="J297" s="512"/>
      <c r="K297" s="512"/>
      <c r="L297" s="512"/>
      <c r="M297" s="512"/>
      <c r="N297" s="512"/>
      <c r="O297" s="866"/>
      <c r="P297"/>
    </row>
    <row r="298" spans="1:25" s="6" customFormat="1">
      <c r="B298" s="871"/>
      <c r="C298" s="515"/>
      <c r="D298" s="515"/>
      <c r="E298" s="515"/>
      <c r="F298" s="515"/>
      <c r="G298" s="515"/>
      <c r="H298" s="515"/>
      <c r="I298" s="515"/>
      <c r="J298" s="515"/>
      <c r="K298" s="515"/>
      <c r="L298" s="515"/>
      <c r="M298" s="515"/>
      <c r="N298" s="515"/>
      <c r="O298" s="867"/>
      <c r="P298"/>
    </row>
    <row r="299" spans="1:25" s="6" customFormat="1">
      <c r="B299" s="871"/>
      <c r="C299" s="34" t="s">
        <v>765</v>
      </c>
      <c r="D299" s="515"/>
      <c r="E299" s="516"/>
      <c r="F299" s="515"/>
      <c r="G299" s="515"/>
      <c r="H299" s="515"/>
      <c r="I299" s="515"/>
      <c r="J299" s="515"/>
      <c r="K299" s="515"/>
      <c r="L299" s="515"/>
      <c r="M299" s="515"/>
      <c r="N299" s="1126" t="str">
        <f>Preferences.EnergyUnits</f>
        <v>TWh</v>
      </c>
      <c r="O299" s="867"/>
      <c r="P299"/>
    </row>
    <row r="300" spans="1:25" s="6" customFormat="1">
      <c r="B300" s="871"/>
      <c r="C300" s="515"/>
      <c r="D300" s="515"/>
      <c r="E300" s="515"/>
      <c r="F300" s="515"/>
      <c r="G300" s="515"/>
      <c r="H300" s="515"/>
      <c r="I300" s="515"/>
      <c r="J300" s="515"/>
      <c r="K300" s="515"/>
      <c r="L300" s="515"/>
      <c r="M300" s="515"/>
      <c r="N300" s="515"/>
      <c r="O300" s="867"/>
      <c r="P300"/>
    </row>
    <row r="301" spans="1:25" s="6" customFormat="1" ht="15.75">
      <c r="B301" s="1017"/>
      <c r="C301" s="1741" t="s">
        <v>28</v>
      </c>
      <c r="D301" s="1741" t="s">
        <v>29</v>
      </c>
      <c r="E301" s="1741" t="s">
        <v>30</v>
      </c>
      <c r="F301" s="1741" t="s">
        <v>597</v>
      </c>
      <c r="G301" s="1741" t="s">
        <v>133</v>
      </c>
      <c r="H301" s="1741" t="s">
        <v>134</v>
      </c>
      <c r="I301" s="1741" t="s">
        <v>135</v>
      </c>
      <c r="J301" s="1741" t="s">
        <v>136</v>
      </c>
      <c r="K301" s="1741" t="s">
        <v>137</v>
      </c>
      <c r="L301" s="1741" t="s">
        <v>138</v>
      </c>
      <c r="M301" s="1741" t="s">
        <v>139</v>
      </c>
      <c r="N301" s="1741" t="s">
        <v>140</v>
      </c>
      <c r="O301" s="867"/>
      <c r="P301"/>
    </row>
    <row r="302" spans="1:25" s="6" customFormat="1" ht="15.75">
      <c r="B302" s="1017"/>
      <c r="C302" s="725" t="s">
        <v>97</v>
      </c>
      <c r="D302" s="2487" t="str">
        <f>INDEX(Vectors[Description], MATCH([Vector], Vectors[Code], 0))</f>
        <v>Electricity (supplied to grid)</v>
      </c>
      <c r="E302" s="725"/>
      <c r="F302" s="726">
        <f>F$208+F$222+F$193</f>
        <v>0</v>
      </c>
      <c r="G302" s="1742">
        <f t="shared" ref="G302:N302" si="45">G$208+G$222+G$193</f>
        <v>0</v>
      </c>
      <c r="H302" s="1742">
        <f t="shared" si="45"/>
        <v>0</v>
      </c>
      <c r="I302" s="1742">
        <f t="shared" si="45"/>
        <v>0</v>
      </c>
      <c r="J302" s="1742">
        <f t="shared" si="45"/>
        <v>0</v>
      </c>
      <c r="K302" s="1742">
        <f t="shared" si="45"/>
        <v>3.3269161499999997</v>
      </c>
      <c r="L302" s="1742">
        <f t="shared" si="45"/>
        <v>9.9919251000000013</v>
      </c>
      <c r="M302" s="1742">
        <f t="shared" si="45"/>
        <v>16.671836249999998</v>
      </c>
      <c r="N302" s="1743">
        <f t="shared" si="45"/>
        <v>23.470965</v>
      </c>
      <c r="O302" s="867"/>
      <c r="P302"/>
    </row>
    <row r="303" spans="1:25" s="6" customFormat="1" ht="15.75">
      <c r="B303" s="1017"/>
      <c r="C303" s="725" t="s">
        <v>98</v>
      </c>
      <c r="D303" s="2487" t="str">
        <f>INDEX(Vectors[Description], MATCH([Vector], Vectors[Code], 0))</f>
        <v>Solid hydrocarbons</v>
      </c>
      <c r="E303" s="725"/>
      <c r="F303" s="726">
        <f t="shared" ref="F303:N303" si="46">-F$213-F$198</f>
        <v>0</v>
      </c>
      <c r="G303" s="1742">
        <f t="shared" si="46"/>
        <v>0</v>
      </c>
      <c r="H303" s="1742">
        <f t="shared" si="46"/>
        <v>0</v>
      </c>
      <c r="I303" s="1742">
        <f t="shared" si="46"/>
        <v>0</v>
      </c>
      <c r="J303" s="1742">
        <f t="shared" si="46"/>
        <v>0</v>
      </c>
      <c r="K303" s="1742">
        <f t="shared" si="46"/>
        <v>0</v>
      </c>
      <c r="L303" s="1742">
        <f t="shared" si="46"/>
        <v>0</v>
      </c>
      <c r="M303" s="1742">
        <f t="shared" si="46"/>
        <v>0</v>
      </c>
      <c r="N303" s="1742">
        <f t="shared" si="46"/>
        <v>0</v>
      </c>
      <c r="O303" s="867"/>
      <c r="P303"/>
    </row>
    <row r="304" spans="1:25" s="6" customFormat="1" ht="15.75">
      <c r="B304" s="1017"/>
      <c r="C304" s="725" t="s">
        <v>100</v>
      </c>
      <c r="D304" s="2487" t="str">
        <f>INDEX(Vectors[Description], MATCH([Vector], Vectors[Code], 0))</f>
        <v>Gaseous hydrocarbons</v>
      </c>
      <c r="E304" s="725"/>
      <c r="F304" s="726">
        <f t="shared" ref="F304:N304" si="47">-F$227</f>
        <v>0</v>
      </c>
      <c r="G304" s="1742">
        <f t="shared" si="47"/>
        <v>0</v>
      </c>
      <c r="H304" s="1742">
        <f t="shared" si="47"/>
        <v>0</v>
      </c>
      <c r="I304" s="1742">
        <f t="shared" si="47"/>
        <v>0</v>
      </c>
      <c r="J304" s="1742">
        <f t="shared" si="47"/>
        <v>0</v>
      </c>
      <c r="K304" s="1742">
        <f t="shared" si="47"/>
        <v>-6.0089516129032257</v>
      </c>
      <c r="L304" s="1742">
        <f t="shared" si="47"/>
        <v>-17.740714285714287</v>
      </c>
      <c r="M304" s="1742">
        <f t="shared" si="47"/>
        <v>-29.105859374999998</v>
      </c>
      <c r="N304" s="1742">
        <f t="shared" si="47"/>
        <v>-40.121307692307688</v>
      </c>
      <c r="O304" s="867"/>
      <c r="P304"/>
    </row>
    <row r="305" spans="1:49" s="6" customFormat="1" ht="15.75">
      <c r="B305" s="1017"/>
      <c r="C305" s="725" t="s">
        <v>104</v>
      </c>
      <c r="D305" s="2487" t="str">
        <f>INDEX(Vectors[Description], MATCH([Vector], Vectors[Code], 0))</f>
        <v>Conversion losses</v>
      </c>
      <c r="E305" s="725"/>
      <c r="F305" s="726">
        <f t="shared" ref="F305:N305" si="48">(F$213-F$211)+(F$227-F$225)+(F$198-F$196)</f>
        <v>0</v>
      </c>
      <c r="G305" s="1742">
        <f t="shared" si="48"/>
        <v>0</v>
      </c>
      <c r="H305" s="1742">
        <f t="shared" si="48"/>
        <v>0</v>
      </c>
      <c r="I305" s="1742">
        <f t="shared" si="48"/>
        <v>0</v>
      </c>
      <c r="J305" s="1742">
        <f t="shared" si="48"/>
        <v>0</v>
      </c>
      <c r="K305" s="1742">
        <f t="shared" si="48"/>
        <v>2.283401612903226</v>
      </c>
      <c r="L305" s="1742">
        <f t="shared" si="48"/>
        <v>6.5640642857142861</v>
      </c>
      <c r="M305" s="1742">
        <f t="shared" si="48"/>
        <v>10.478109374999999</v>
      </c>
      <c r="N305" s="1742">
        <f t="shared" si="48"/>
        <v>14.042457692307689</v>
      </c>
      <c r="O305" s="867"/>
      <c r="P305"/>
    </row>
    <row r="306" spans="1:49" s="6" customFormat="1" ht="15.75">
      <c r="B306" s="1017"/>
      <c r="C306" s="725" t="s">
        <v>454</v>
      </c>
      <c r="D306" s="2487" t="str">
        <f>INDEX(Vectors[Description], MATCH([Vector], Vectors[Code], 0))</f>
        <v>Distribution losses and own use</v>
      </c>
      <c r="E306" s="725"/>
      <c r="F306" s="726">
        <f t="shared" ref="F306:N306" si="49">F$210+F$224+F$195</f>
        <v>0</v>
      </c>
      <c r="G306" s="1742">
        <f t="shared" si="49"/>
        <v>0</v>
      </c>
      <c r="H306" s="1742">
        <f t="shared" si="49"/>
        <v>0</v>
      </c>
      <c r="I306" s="1742">
        <f t="shared" si="49"/>
        <v>0</v>
      </c>
      <c r="J306" s="1742">
        <f t="shared" si="49"/>
        <v>0</v>
      </c>
      <c r="K306" s="1742">
        <f t="shared" si="49"/>
        <v>0.39863385000000001</v>
      </c>
      <c r="L306" s="1742">
        <f t="shared" si="49"/>
        <v>1.1847249000000002</v>
      </c>
      <c r="M306" s="1742">
        <f t="shared" si="49"/>
        <v>1.9559137500000001</v>
      </c>
      <c r="N306" s="1742">
        <f t="shared" si="49"/>
        <v>2.607885</v>
      </c>
      <c r="O306" s="867"/>
      <c r="P306"/>
    </row>
    <row r="307" spans="1:49" s="6" customFormat="1" ht="15.75">
      <c r="B307" s="1017"/>
      <c r="C307" s="2463" t="s">
        <v>59</v>
      </c>
      <c r="D307" s="2463"/>
      <c r="E307" s="2463"/>
      <c r="F307" s="2464">
        <f>SUBTOTAL(109,[2013])</f>
        <v>0</v>
      </c>
      <c r="G307" s="2464">
        <f>SUBTOTAL(109,[2015])</f>
        <v>0</v>
      </c>
      <c r="H307" s="2464">
        <f>SUBTOTAL(109,[2020])</f>
        <v>0</v>
      </c>
      <c r="I307" s="2464">
        <f>SUBTOTAL(109,[2025])</f>
        <v>0</v>
      </c>
      <c r="J307" s="2464">
        <f>SUBTOTAL(109,[2030])</f>
        <v>0</v>
      </c>
      <c r="K307" s="2464">
        <f>SUBTOTAL(109,[2035])</f>
        <v>0</v>
      </c>
      <c r="L307" s="2464">
        <f>SUBTOTAL(109,[2040])</f>
        <v>0</v>
      </c>
      <c r="M307" s="2464">
        <f>SUBTOTAL(109,[2045])</f>
        <v>0</v>
      </c>
      <c r="N307" s="2464">
        <f>SUBTOTAL(109,[2050])</f>
        <v>0</v>
      </c>
      <c r="O307" s="867"/>
      <c r="P307"/>
    </row>
    <row r="308" spans="1:49" s="6" customFormat="1" ht="15.75">
      <c r="B308" s="1017"/>
      <c r="C308" s="452"/>
      <c r="D308" s="452" t="s">
        <v>5</v>
      </c>
      <c r="E308" s="452"/>
      <c r="F308" s="452"/>
      <c r="G308" s="452"/>
      <c r="H308" s="452"/>
      <c r="I308" s="452"/>
      <c r="J308" s="452"/>
      <c r="K308" s="452"/>
      <c r="L308" s="452"/>
      <c r="M308" s="452"/>
      <c r="N308" s="452"/>
      <c r="O308" s="867"/>
      <c r="P308" s="2446" t="s">
        <v>5</v>
      </c>
    </row>
    <row r="309" spans="1:49" s="6" customFormat="1">
      <c r="B309" s="6" t="s">
        <v>5</v>
      </c>
      <c r="C309"/>
      <c r="D309"/>
      <c r="E309"/>
      <c r="F309"/>
      <c r="G309"/>
      <c r="H309"/>
      <c r="I309"/>
      <c r="J309"/>
      <c r="K309"/>
      <c r="L309"/>
      <c r="M309"/>
      <c r="N309"/>
      <c r="P309"/>
    </row>
    <row r="310" spans="1:49" s="6" customFormat="1" ht="15.75">
      <c r="B310" s="1127" t="s">
        <v>303</v>
      </c>
      <c r="C310" s="1128"/>
      <c r="D310" s="1129"/>
      <c r="E310" s="1129"/>
      <c r="F310" s="1129"/>
      <c r="G310" s="1129"/>
      <c r="H310" s="1129"/>
      <c r="I310" s="1129"/>
      <c r="J310" s="1129"/>
      <c r="K310" s="1129"/>
      <c r="L310" s="1129"/>
      <c r="M310" s="1129"/>
      <c r="N310" s="1129"/>
      <c r="O310" s="1130"/>
      <c r="P310"/>
    </row>
    <row r="311" spans="1:49" s="6" customFormat="1">
      <c r="B311" s="1131"/>
      <c r="C311" s="1132"/>
      <c r="D311" s="1132"/>
      <c r="E311" s="1132"/>
      <c r="F311" s="1132"/>
      <c r="G311" s="1132"/>
      <c r="H311" s="1132"/>
      <c r="I311" s="1132"/>
      <c r="J311" s="1132"/>
      <c r="K311" s="1132"/>
      <c r="L311" s="1132"/>
      <c r="M311" s="1132"/>
      <c r="N311" s="1132"/>
      <c r="O311" s="1133"/>
      <c r="P311"/>
    </row>
    <row r="312" spans="1:49" s="6" customFormat="1">
      <c r="B312" s="1134"/>
      <c r="C312" s="462" t="s">
        <v>851</v>
      </c>
      <c r="D312" s="1135"/>
      <c r="E312" s="1136"/>
      <c r="F312" s="1135"/>
      <c r="G312" s="1135"/>
      <c r="H312" s="1135"/>
      <c r="I312" s="1135"/>
      <c r="J312" s="1135"/>
      <c r="K312" s="1135"/>
      <c r="L312" s="1135"/>
      <c r="M312" s="1135"/>
      <c r="N312" s="1137" t="s">
        <v>852</v>
      </c>
      <c r="O312" s="1138"/>
      <c r="P312"/>
    </row>
    <row r="313" spans="1:49" s="6" customFormat="1">
      <c r="B313" s="1134"/>
      <c r="C313" s="1135"/>
      <c r="D313" s="1135"/>
      <c r="E313" s="1135"/>
      <c r="F313" s="1135"/>
      <c r="G313" s="1135"/>
      <c r="H313" s="1135"/>
      <c r="I313" s="1135"/>
      <c r="J313" s="1135"/>
      <c r="K313" s="1135"/>
      <c r="L313" s="1135"/>
      <c r="M313" s="1135"/>
      <c r="N313" s="1135"/>
      <c r="O313" s="1138"/>
      <c r="P313"/>
    </row>
    <row r="314" spans="1:49" s="6" customFormat="1" ht="15.75">
      <c r="A314"/>
      <c r="B314" s="467"/>
      <c r="C314" s="1139" t="s">
        <v>305</v>
      </c>
      <c r="D314" s="1139" t="s">
        <v>306</v>
      </c>
      <c r="E314" s="1139" t="s">
        <v>30</v>
      </c>
      <c r="F314" s="1139" t="s">
        <v>597</v>
      </c>
      <c r="G314" s="1139" t="s">
        <v>133</v>
      </c>
      <c r="H314" s="1139" t="s">
        <v>134</v>
      </c>
      <c r="I314" s="1139" t="s">
        <v>135</v>
      </c>
      <c r="J314" s="1139" t="s">
        <v>136</v>
      </c>
      <c r="K314" s="1139" t="s">
        <v>137</v>
      </c>
      <c r="L314" s="1139" t="s">
        <v>138</v>
      </c>
      <c r="M314" s="1139" t="s">
        <v>139</v>
      </c>
      <c r="N314" s="1139" t="s">
        <v>140</v>
      </c>
      <c r="O314" s="1138"/>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row>
    <row r="315" spans="1:49" s="6" customFormat="1" ht="23.25">
      <c r="A315" s="7"/>
      <c r="B315" s="467"/>
      <c r="C315" s="1140" t="s">
        <v>253</v>
      </c>
      <c r="D315" s="1141" t="s">
        <v>307</v>
      </c>
      <c r="E315" s="1141" t="str">
        <f>INDEX(IPCC[Sector_description], MATCH([IPCC Sector], IPCC[Sector_code], 0))</f>
        <v>Fuel Combustion</v>
      </c>
      <c r="F315" s="2473">
        <f t="shared" ref="F315:N315" si="50">F$275+F$270</f>
        <v>0</v>
      </c>
      <c r="G315" s="2473">
        <f t="shared" si="50"/>
        <v>0</v>
      </c>
      <c r="H315" s="2473">
        <f t="shared" si="50"/>
        <v>0</v>
      </c>
      <c r="I315" s="2473">
        <f t="shared" si="50"/>
        <v>0</v>
      </c>
      <c r="J315" s="2473">
        <f t="shared" si="50"/>
        <v>0</v>
      </c>
      <c r="K315" s="2473">
        <f t="shared" si="50"/>
        <v>1.2301597849354837</v>
      </c>
      <c r="L315" s="2473">
        <f t="shared" si="50"/>
        <v>3.6319003174285713</v>
      </c>
      <c r="M315" s="2473">
        <f t="shared" si="50"/>
        <v>5.9585864582812498</v>
      </c>
      <c r="N315" s="2473">
        <f t="shared" si="50"/>
        <v>8.2136822563384602</v>
      </c>
      <c r="O315" s="1138"/>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row>
    <row r="316" spans="1:49" s="6" customFormat="1" ht="15.75">
      <c r="A316"/>
      <c r="B316" s="467"/>
      <c r="C316" s="1140" t="s">
        <v>255</v>
      </c>
      <c r="D316" s="1141" t="s">
        <v>307</v>
      </c>
      <c r="E316" s="1141" t="str">
        <f>INDEX(IPCC[Sector_description], MATCH([IPCC Sector], IPCC[Sector_code], 0))</f>
        <v>Fuel Combustion</v>
      </c>
      <c r="F316" s="2473">
        <f>F$276</f>
        <v>0</v>
      </c>
      <c r="G316" s="2473">
        <f>G$276</f>
        <v>0</v>
      </c>
      <c r="H316" s="2473">
        <f t="shared" ref="H316:N316" si="51">H$276+H$271</f>
        <v>0</v>
      </c>
      <c r="I316" s="2473">
        <f t="shared" si="51"/>
        <v>0</v>
      </c>
      <c r="J316" s="2473">
        <f t="shared" si="51"/>
        <v>0</v>
      </c>
      <c r="K316" s="2473">
        <f t="shared" si="51"/>
        <v>4.542767419354839E-4</v>
      </c>
      <c r="L316" s="2473">
        <f t="shared" si="51"/>
        <v>1.3411980000000003E-3</v>
      </c>
      <c r="M316" s="2473">
        <f t="shared" si="51"/>
        <v>2.2004029687500001E-3</v>
      </c>
      <c r="N316" s="2473">
        <f t="shared" si="51"/>
        <v>3.0331708615384616E-3</v>
      </c>
      <c r="O316" s="1138"/>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row>
    <row r="317" spans="1:49" s="6" customFormat="1" ht="15.75">
      <c r="A317"/>
      <c r="B317" s="467"/>
      <c r="C317" s="1140" t="s">
        <v>256</v>
      </c>
      <c r="D317" s="1141" t="s">
        <v>307</v>
      </c>
      <c r="E317" s="1141" t="str">
        <f>INDEX(IPCC[Sector_description], MATCH([IPCC Sector], IPCC[Sector_code], 0))</f>
        <v>Fuel Combustion</v>
      </c>
      <c r="F317" s="2473">
        <f>F$277</f>
        <v>0</v>
      </c>
      <c r="G317" s="2473">
        <f>G$277</f>
        <v>0</v>
      </c>
      <c r="H317" s="2473">
        <f t="shared" ref="H317:N317" si="52">H$277+H$272</f>
        <v>0</v>
      </c>
      <c r="I317" s="2473">
        <f t="shared" si="52"/>
        <v>0</v>
      </c>
      <c r="J317" s="2473">
        <f t="shared" si="52"/>
        <v>0</v>
      </c>
      <c r="K317" s="2473">
        <f t="shared" si="52"/>
        <v>1.9447370999999998E-2</v>
      </c>
      <c r="L317" s="2473">
        <f t="shared" si="52"/>
        <v>5.7416047714285719E-2</v>
      </c>
      <c r="M317" s="2473">
        <f t="shared" si="52"/>
        <v>9.419820328124999E-2</v>
      </c>
      <c r="N317" s="2473">
        <f t="shared" si="52"/>
        <v>0.12984860021538461</v>
      </c>
      <c r="O317" s="1138"/>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row>
    <row r="318" spans="1:49" s="6" customFormat="1" ht="15.75">
      <c r="A318"/>
      <c r="B318" s="467"/>
      <c r="C318" s="1140" t="s">
        <v>253</v>
      </c>
      <c r="D318" s="1141" t="s">
        <v>459</v>
      </c>
      <c r="E318" s="1141" t="str">
        <f>INDEX(IPCC[Sector_description], MATCH([IPCC Sector], IPCC[Sector_code], 0))</f>
        <v>Carbon capture</v>
      </c>
      <c r="F318" s="2473">
        <f>-F280</f>
        <v>0</v>
      </c>
      <c r="G318" s="2473">
        <f t="shared" ref="G318:N318" si="53">-G280</f>
        <v>0</v>
      </c>
      <c r="H318" s="2473">
        <f t="shared" si="53"/>
        <v>0</v>
      </c>
      <c r="I318" s="2473">
        <f t="shared" si="53"/>
        <v>0</v>
      </c>
      <c r="J318" s="2473">
        <f t="shared" si="53"/>
        <v>0</v>
      </c>
      <c r="K318" s="2473">
        <f t="shared" si="53"/>
        <v>-1.1071438064419354</v>
      </c>
      <c r="L318" s="2473">
        <f t="shared" si="53"/>
        <v>-3.2687102856857142</v>
      </c>
      <c r="M318" s="2473">
        <f t="shared" si="53"/>
        <v>-5.3627278124531248</v>
      </c>
      <c r="N318" s="2473">
        <f t="shared" si="53"/>
        <v>-7.3923140307046147</v>
      </c>
      <c r="O318" s="113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row>
    <row r="319" spans="1:49" s="6" customFormat="1" ht="15.75">
      <c r="A319" s="443"/>
      <c r="B319" s="467"/>
      <c r="C319" s="2466" t="s">
        <v>59</v>
      </c>
      <c r="D319" s="2466"/>
      <c r="E319" s="2466"/>
      <c r="F319" s="2467">
        <f>SUBTOTAL(109,[2013])</f>
        <v>0</v>
      </c>
      <c r="G319" s="2467">
        <f>SUBTOTAL(109,[2015])</f>
        <v>0</v>
      </c>
      <c r="H319" s="2467">
        <f>SUBTOTAL(109,[2020])</f>
        <v>0</v>
      </c>
      <c r="I319" s="2467">
        <f>SUBTOTAL(109,[2025])</f>
        <v>0</v>
      </c>
      <c r="J319" s="2467">
        <f>SUBTOTAL(109,[2030])</f>
        <v>0</v>
      </c>
      <c r="K319" s="2467">
        <f>SUBTOTAL(109,[2035])</f>
        <v>0.14291762623548387</v>
      </c>
      <c r="L319" s="2467">
        <f>SUBTOTAL(109,[2040])</f>
        <v>0.42194727745714289</v>
      </c>
      <c r="M319" s="2467">
        <f>SUBTOTAL(109,[2045])</f>
        <v>0.69225725207812516</v>
      </c>
      <c r="N319" s="2467">
        <f>SUBTOTAL(109,[2050])</f>
        <v>0.95424999671076804</v>
      </c>
      <c r="O319" s="1138"/>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row>
    <row r="320" spans="1:49" s="6" customFormat="1" ht="15.75">
      <c r="A320" s="443"/>
      <c r="B320" s="467"/>
      <c r="C320" s="1140"/>
      <c r="D320" s="1140"/>
      <c r="E320" s="1140"/>
      <c r="F320" s="1142"/>
      <c r="G320" s="1142"/>
      <c r="H320" s="1142"/>
      <c r="I320" s="1142"/>
      <c r="J320" s="1142"/>
      <c r="K320" s="1142"/>
      <c r="L320" s="1142"/>
      <c r="M320" s="1142"/>
      <c r="N320" s="1142"/>
      <c r="O320" s="1138"/>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row>
    <row r="321" spans="1:20" ht="15.75">
      <c r="A321" s="443"/>
      <c r="B321" s="467"/>
      <c r="C321" s="475" t="s">
        <v>853</v>
      </c>
      <c r="D321" s="1140"/>
      <c r="E321" s="1140" t="s">
        <v>5</v>
      </c>
      <c r="F321" s="1142"/>
      <c r="G321" s="1142"/>
      <c r="H321" s="1142"/>
      <c r="I321" s="1142"/>
      <c r="J321" s="1142"/>
      <c r="K321" s="1142"/>
      <c r="L321" s="1142"/>
      <c r="M321" s="1142"/>
      <c r="N321" s="1143" t="s">
        <v>850</v>
      </c>
      <c r="O321" s="1138"/>
    </row>
    <row r="322" spans="1:20" ht="15.75">
      <c r="A322" s="443"/>
      <c r="B322" s="467"/>
      <c r="C322" s="1140"/>
      <c r="D322" s="1140"/>
      <c r="E322" s="1140"/>
      <c r="F322" s="1142"/>
      <c r="G322" s="1142"/>
      <c r="H322" s="1142"/>
      <c r="I322" s="1142"/>
      <c r="J322" s="1142"/>
      <c r="K322" s="1142"/>
      <c r="L322" s="1142"/>
      <c r="M322" s="1142"/>
      <c r="N322" s="1142"/>
      <c r="O322" s="1138"/>
      <c r="T322" s="1147"/>
    </row>
    <row r="323" spans="1:20" ht="15.75">
      <c r="A323" s="443"/>
      <c r="B323" s="467"/>
      <c r="C323" s="2215" t="s">
        <v>28</v>
      </c>
      <c r="D323" s="2216" t="s">
        <v>29</v>
      </c>
      <c r="E323" s="2216" t="s">
        <v>306</v>
      </c>
      <c r="F323" s="2216" t="s">
        <v>597</v>
      </c>
      <c r="G323" s="2216" t="s">
        <v>133</v>
      </c>
      <c r="H323" s="2216" t="s">
        <v>134</v>
      </c>
      <c r="I323" s="2216" t="s">
        <v>135</v>
      </c>
      <c r="J323" s="2216" t="s">
        <v>136</v>
      </c>
      <c r="K323" s="2216" t="s">
        <v>137</v>
      </c>
      <c r="L323" s="2216" t="s">
        <v>138</v>
      </c>
      <c r="M323" s="2216" t="s">
        <v>139</v>
      </c>
      <c r="N323" s="2217" t="s">
        <v>140</v>
      </c>
      <c r="O323" s="1138"/>
    </row>
    <row r="324" spans="1:20" ht="15.75">
      <c r="A324" s="443"/>
      <c r="B324" s="467"/>
      <c r="C324" s="1144" t="str">
        <f>INDEX(AirQualityVectors[Code],MATCH(D324,AirQualityVectors[Description],0))</f>
        <v>AQ.01</v>
      </c>
      <c r="D324" s="1145" t="s">
        <v>261</v>
      </c>
      <c r="E324" s="1146" t="s">
        <v>459</v>
      </c>
      <c r="F324" s="2433">
        <f t="shared" ref="F324:N327" ca="1" si="54">F292</f>
        <v>0</v>
      </c>
      <c r="G324" s="2433">
        <f t="shared" ca="1" si="54"/>
        <v>0</v>
      </c>
      <c r="H324" s="2482">
        <f t="shared" ca="1" si="54"/>
        <v>0</v>
      </c>
      <c r="I324" s="2482">
        <f t="shared" ca="1" si="54"/>
        <v>0</v>
      </c>
      <c r="J324" s="2482">
        <f t="shared" ca="1" si="54"/>
        <v>0</v>
      </c>
      <c r="K324" s="2482">
        <f t="shared" ca="1" si="54"/>
        <v>5.5070303339974369E-2</v>
      </c>
      <c r="L324" s="2482">
        <f t="shared" ca="1" si="54"/>
        <v>0.1737864241549168</v>
      </c>
      <c r="M324" s="2482">
        <f t="shared" ca="1" si="54"/>
        <v>0.28986328767329272</v>
      </c>
      <c r="N324" s="2482">
        <f t="shared" ca="1" si="54"/>
        <v>0.39811293579262574</v>
      </c>
      <c r="O324" s="1138"/>
    </row>
    <row r="325" spans="1:20" ht="15.75">
      <c r="A325" s="443"/>
      <c r="B325" s="467"/>
      <c r="C325" s="2485" t="str">
        <f>INDEX(AirQualityVectors[Code],MATCH(D325,AirQualityVectors[Description],0))</f>
        <v>AQ.02</v>
      </c>
      <c r="D325" s="1144" t="s">
        <v>263</v>
      </c>
      <c r="E325" s="1148" t="s">
        <v>459</v>
      </c>
      <c r="F325" s="2434">
        <f t="shared" ca="1" si="54"/>
        <v>0</v>
      </c>
      <c r="G325" s="2434">
        <f t="shared" ca="1" si="54"/>
        <v>0</v>
      </c>
      <c r="H325" s="2483">
        <f t="shared" ca="1" si="54"/>
        <v>0</v>
      </c>
      <c r="I325" s="2483">
        <f t="shared" ca="1" si="54"/>
        <v>0</v>
      </c>
      <c r="J325" s="2483">
        <f t="shared" ca="1" si="54"/>
        <v>0</v>
      </c>
      <c r="K325" s="2483">
        <f t="shared" ca="1" si="54"/>
        <v>0.68818212384626665</v>
      </c>
      <c r="L325" s="2483">
        <f t="shared" ca="1" si="54"/>
        <v>2.0102687944917346</v>
      </c>
      <c r="M325" s="2483">
        <f t="shared" ca="1" si="54"/>
        <v>3.2889839928936886</v>
      </c>
      <c r="N325" s="2483">
        <f t="shared" ca="1" si="54"/>
        <v>4.5365275632556008</v>
      </c>
      <c r="O325" s="1138"/>
    </row>
    <row r="326" spans="1:20" ht="15.75">
      <c r="B326" s="467"/>
      <c r="C326" s="2485" t="str">
        <f>INDEX(AirQualityVectors[Code],MATCH(D326,AirQualityVectors[Description],0))</f>
        <v>AQ.03</v>
      </c>
      <c r="D326" s="1144" t="s">
        <v>265</v>
      </c>
      <c r="E326" s="1148" t="s">
        <v>459</v>
      </c>
      <c r="F326" s="2434">
        <f t="shared" ca="1" si="54"/>
        <v>0</v>
      </c>
      <c r="G326" s="2434">
        <f t="shared" ca="1" si="54"/>
        <v>0</v>
      </c>
      <c r="H326" s="2483">
        <f t="shared" ca="1" si="54"/>
        <v>0</v>
      </c>
      <c r="I326" s="2483">
        <f t="shared" ca="1" si="54"/>
        <v>0</v>
      </c>
      <c r="J326" s="2483">
        <f t="shared" ca="1" si="54"/>
        <v>0</v>
      </c>
      <c r="K326" s="2483">
        <f t="shared" ca="1" si="54"/>
        <v>1.1026338485288553E-2</v>
      </c>
      <c r="L326" s="2483">
        <f t="shared" ca="1" si="54"/>
        <v>3.1617036476403099E-2</v>
      </c>
      <c r="M326" s="2483">
        <f t="shared" ca="1" si="54"/>
        <v>5.147469758019628E-2</v>
      </c>
      <c r="N326" s="2483">
        <f t="shared" ca="1" si="54"/>
        <v>7.1077416155817669E-2</v>
      </c>
      <c r="O326" s="1138"/>
    </row>
    <row r="327" spans="1:20" ht="23.25">
      <c r="A327" s="7"/>
      <c r="B327" s="467"/>
      <c r="C327" s="2486" t="str">
        <f>INDEX(AirQualityVectors[Code],MATCH(D327,AirQualityVectors[Description],0))</f>
        <v>AQ.04</v>
      </c>
      <c r="D327" s="1347" t="s">
        <v>267</v>
      </c>
      <c r="E327" s="1348" t="s">
        <v>459</v>
      </c>
      <c r="F327" s="2435">
        <f t="shared" ca="1" si="54"/>
        <v>0</v>
      </c>
      <c r="G327" s="2435">
        <f t="shared" ca="1" si="54"/>
        <v>0</v>
      </c>
      <c r="H327" s="2484">
        <f t="shared" ca="1" si="54"/>
        <v>0</v>
      </c>
      <c r="I327" s="2484">
        <f t="shared" ca="1" si="54"/>
        <v>0</v>
      </c>
      <c r="J327" s="2484">
        <f t="shared" ca="1" si="54"/>
        <v>0</v>
      </c>
      <c r="K327" s="2484">
        <f t="shared" ca="1" si="54"/>
        <v>2.8816657118102162E-2</v>
      </c>
      <c r="L327" s="2484">
        <f t="shared" ca="1" si="54"/>
        <v>8.6137548322292395E-2</v>
      </c>
      <c r="M327" s="2484">
        <f t="shared" ca="1" si="54"/>
        <v>0.1417684880253722</v>
      </c>
      <c r="N327" s="2484">
        <f t="shared" ca="1" si="54"/>
        <v>0.19528494380755293</v>
      </c>
      <c r="O327" s="1138"/>
    </row>
    <row r="328" spans="1:20" ht="15.75">
      <c r="B328" s="467"/>
      <c r="C328" s="1149"/>
      <c r="D328" s="1149"/>
      <c r="E328" s="1149"/>
      <c r="F328" s="1149"/>
      <c r="G328" s="1149"/>
      <c r="H328" s="1149"/>
      <c r="I328" s="1149"/>
      <c r="J328" s="1149"/>
      <c r="K328" s="1149"/>
      <c r="L328" s="1149"/>
      <c r="M328" s="1149"/>
      <c r="N328" s="1149"/>
      <c r="O328" s="1138"/>
    </row>
    <row r="329" spans="1:20">
      <c r="A329" s="2446" t="s">
        <v>5</v>
      </c>
    </row>
    <row r="330" spans="1:20" ht="15.75">
      <c r="B330" s="995" t="s">
        <v>313</v>
      </c>
      <c r="C330" s="996"/>
      <c r="D330" s="997"/>
      <c r="E330" s="997"/>
      <c r="F330" s="997"/>
      <c r="G330" s="997"/>
      <c r="H330" s="997"/>
      <c r="I330" s="997"/>
      <c r="J330" s="997"/>
      <c r="K330" s="997"/>
      <c r="L330" s="997"/>
      <c r="M330" s="997"/>
      <c r="N330" s="997"/>
      <c r="O330" s="998"/>
    </row>
    <row r="331" spans="1:20">
      <c r="B331" s="999"/>
      <c r="C331" s="1000"/>
      <c r="D331" s="1000"/>
      <c r="E331" s="1000"/>
      <c r="F331" s="1000"/>
      <c r="G331" s="1000"/>
      <c r="H331" s="1000"/>
      <c r="I331" s="1000"/>
      <c r="J331" s="1000"/>
      <c r="K331" s="1000"/>
      <c r="L331" s="1000"/>
      <c r="M331" s="1000"/>
      <c r="N331" s="1000"/>
      <c r="O331" s="1001"/>
    </row>
    <row r="332" spans="1:20">
      <c r="B332" s="1002"/>
      <c r="C332" s="488" t="s">
        <v>314</v>
      </c>
      <c r="D332" s="1003"/>
      <c r="E332" s="1004"/>
      <c r="F332" s="1003"/>
      <c r="G332" s="1003"/>
      <c r="H332" s="1003"/>
      <c r="I332" s="1003"/>
      <c r="J332" s="1003"/>
      <c r="K332" s="1003"/>
      <c r="L332" s="1003"/>
      <c r="M332" s="1003"/>
      <c r="N332" s="1004"/>
      <c r="O332" s="1005"/>
    </row>
    <row r="333" spans="1:20">
      <c r="B333" s="1002"/>
      <c r="C333" s="1003"/>
      <c r="D333" s="1003"/>
      <c r="E333" s="1003"/>
      <c r="F333" s="1003"/>
      <c r="G333" s="1003"/>
      <c r="H333" s="1003"/>
      <c r="I333" s="1003"/>
      <c r="J333" s="1003"/>
      <c r="K333" s="1003"/>
      <c r="L333" s="1003"/>
      <c r="M333" s="1003"/>
      <c r="N333" s="1003"/>
      <c r="O333" s="1005"/>
    </row>
    <row r="334" spans="1:20" ht="15.75">
      <c r="B334" s="492"/>
      <c r="C334" s="1006" t="s">
        <v>28</v>
      </c>
      <c r="D334" s="1006" t="s">
        <v>315</v>
      </c>
      <c r="E334" s="1006" t="s">
        <v>30</v>
      </c>
      <c r="F334" s="1006" t="s">
        <v>597</v>
      </c>
      <c r="G334" s="1006" t="s">
        <v>133</v>
      </c>
      <c r="H334" s="1006" t="s">
        <v>134</v>
      </c>
      <c r="I334" s="1006" t="s">
        <v>135</v>
      </c>
      <c r="J334" s="1006" t="s">
        <v>136</v>
      </c>
      <c r="K334" s="1006" t="s">
        <v>137</v>
      </c>
      <c r="L334" s="1006" t="s">
        <v>138</v>
      </c>
      <c r="M334" s="1006" t="s">
        <v>139</v>
      </c>
      <c r="N334" s="1006" t="s">
        <v>140</v>
      </c>
      <c r="O334" s="1005"/>
    </row>
    <row r="335" spans="1:20" ht="15.75">
      <c r="B335" s="492"/>
      <c r="C335" s="1007" t="s">
        <v>767</v>
      </c>
      <c r="D335" s="494" t="str">
        <f>INDEX(Vectors[Description], MATCH([Vector], Vectors[Code], 0))</f>
        <v xml:space="preserve">Installed Capacity </v>
      </c>
      <c r="E335" s="494" t="str">
        <f>Preferences.PowerUnits</f>
        <v>GW</v>
      </c>
      <c r="F335" s="1008">
        <f t="shared" ref="F335:N335" si="55">F170</f>
        <v>0</v>
      </c>
      <c r="G335" s="1008">
        <f t="shared" si="55"/>
        <v>0</v>
      </c>
      <c r="H335" s="1008">
        <f t="shared" si="55"/>
        <v>0</v>
      </c>
      <c r="I335" s="1008">
        <f t="shared" si="55"/>
        <v>0</v>
      </c>
      <c r="J335" s="1008">
        <f t="shared" si="55"/>
        <v>0</v>
      </c>
      <c r="K335" s="1008">
        <f t="shared" si="55"/>
        <v>0.5</v>
      </c>
      <c r="L335" s="1008">
        <f t="shared" si="55"/>
        <v>1.5</v>
      </c>
      <c r="M335" s="1008">
        <f t="shared" si="55"/>
        <v>2.5</v>
      </c>
      <c r="N335" s="1008">
        <f t="shared" si="55"/>
        <v>3.5</v>
      </c>
      <c r="O335" s="1005"/>
    </row>
    <row r="336" spans="1:20" ht="15.75">
      <c r="B336" s="492"/>
      <c r="C336" s="1007" t="s">
        <v>769</v>
      </c>
      <c r="D336" s="494" t="str">
        <f>INDEX(Vectors[Description], MATCH([Vector], Vectors[Code], 0))</f>
        <v>Load factor</v>
      </c>
      <c r="E336" s="1007" t="s">
        <v>43</v>
      </c>
      <c r="F336" s="1009">
        <f t="shared" ref="F336:N336" si="56">F175</f>
        <v>0</v>
      </c>
      <c r="G336" s="1009">
        <f t="shared" si="56"/>
        <v>0</v>
      </c>
      <c r="H336" s="1009">
        <f t="shared" si="56"/>
        <v>0</v>
      </c>
      <c r="I336" s="1009">
        <f t="shared" si="56"/>
        <v>0</v>
      </c>
      <c r="J336" s="1009">
        <f t="shared" si="56"/>
        <v>0.85</v>
      </c>
      <c r="K336" s="1009">
        <f t="shared" si="56"/>
        <v>0.85</v>
      </c>
      <c r="L336" s="1009">
        <f t="shared" si="56"/>
        <v>0.85</v>
      </c>
      <c r="M336" s="1009">
        <f t="shared" si="56"/>
        <v>0.85</v>
      </c>
      <c r="N336" s="1009">
        <f t="shared" si="56"/>
        <v>0.85</v>
      </c>
      <c r="O336" s="1005"/>
    </row>
    <row r="337" spans="2:21" ht="15.75">
      <c r="B337" s="492"/>
      <c r="C337" s="1007" t="s">
        <v>316</v>
      </c>
      <c r="D337" s="1356" t="str">
        <f>$F$87&amp;" GW CCS power stations"</f>
        <v>0.5 GW CCS power stations</v>
      </c>
      <c r="E337" s="1007" t="s">
        <v>760</v>
      </c>
      <c r="F337" s="496">
        <f t="shared" ref="F337:N337" si="57">F335/$F$87</f>
        <v>0</v>
      </c>
      <c r="G337" s="496">
        <f t="shared" si="57"/>
        <v>0</v>
      </c>
      <c r="H337" s="496">
        <f t="shared" si="57"/>
        <v>0</v>
      </c>
      <c r="I337" s="496">
        <f t="shared" si="57"/>
        <v>0</v>
      </c>
      <c r="J337" s="496">
        <f t="shared" si="57"/>
        <v>0</v>
      </c>
      <c r="K337" s="496">
        <f t="shared" si="57"/>
        <v>1</v>
      </c>
      <c r="L337" s="496">
        <f t="shared" si="57"/>
        <v>3</v>
      </c>
      <c r="M337" s="496">
        <f t="shared" si="57"/>
        <v>5</v>
      </c>
      <c r="N337" s="496">
        <f t="shared" si="57"/>
        <v>7</v>
      </c>
      <c r="O337" s="1005"/>
    </row>
    <row r="338" spans="2:21" ht="15.75">
      <c r="B338" s="497"/>
      <c r="C338" s="1010"/>
      <c r="D338" s="1010"/>
      <c r="E338" s="1010"/>
      <c r="F338" s="1010"/>
      <c r="G338" s="1010"/>
      <c r="H338" s="1010"/>
      <c r="I338" s="1010"/>
      <c r="J338" s="1010"/>
      <c r="K338" s="1010"/>
      <c r="L338" s="1010"/>
      <c r="M338" s="1010"/>
      <c r="N338" s="1010"/>
      <c r="O338" s="1011"/>
    </row>
    <row r="340" spans="2:21" ht="15.75">
      <c r="B340" s="995" t="s">
        <v>2795</v>
      </c>
      <c r="C340" s="997"/>
      <c r="D340" s="997"/>
      <c r="E340" s="997"/>
      <c r="F340" s="997"/>
      <c r="G340" s="997"/>
      <c r="H340" s="997"/>
      <c r="I340" s="997"/>
      <c r="J340" s="997"/>
      <c r="K340" s="997"/>
      <c r="L340" s="997"/>
      <c r="M340" s="997"/>
      <c r="N340" s="997"/>
      <c r="O340" s="998"/>
    </row>
    <row r="341" spans="2:21" hidden="1">
      <c r="B341" s="1002"/>
      <c r="C341" s="1003"/>
      <c r="D341" s="1003"/>
      <c r="E341" s="1003"/>
      <c r="F341" s="1003"/>
      <c r="G341" s="1003"/>
      <c r="H341" s="1003"/>
      <c r="I341" s="1003"/>
      <c r="J341" s="1003"/>
      <c r="K341" s="1003"/>
      <c r="L341" s="1003"/>
      <c r="M341" s="1003"/>
      <c r="N341" s="1003"/>
      <c r="O341" s="1005"/>
    </row>
    <row r="342" spans="2:21" hidden="1">
      <c r="B342" s="1002"/>
      <c r="C342" s="500" t="s">
        <v>770</v>
      </c>
      <c r="D342" s="1012"/>
      <c r="E342" s="1012"/>
      <c r="F342" s="1012"/>
      <c r="G342" s="1012"/>
      <c r="H342" s="1012"/>
      <c r="I342" s="1012"/>
      <c r="J342" s="1012"/>
      <c r="K342" s="1012"/>
      <c r="L342" s="1012"/>
      <c r="M342" s="1012"/>
      <c r="N342" s="1013" t="s">
        <v>2812</v>
      </c>
      <c r="O342" s="1005"/>
    </row>
    <row r="343" spans="2:21" hidden="1">
      <c r="B343" s="1002"/>
      <c r="C343" s="1003"/>
      <c r="D343" s="1003"/>
      <c r="E343" s="1003"/>
      <c r="F343" s="1003"/>
      <c r="G343" s="1003"/>
      <c r="H343" s="1003"/>
      <c r="I343" s="1003"/>
      <c r="J343" s="1003"/>
      <c r="K343" s="1003"/>
      <c r="L343" s="1003"/>
      <c r="M343" s="1003"/>
      <c r="N343" s="1003"/>
      <c r="O343" s="1005"/>
    </row>
    <row r="344" spans="2:21" ht="15.75" hidden="1">
      <c r="B344" s="492"/>
      <c r="C344" s="1006" t="s">
        <v>28</v>
      </c>
      <c r="D344" s="1006" t="s">
        <v>29</v>
      </c>
      <c r="E344" s="1006" t="s">
        <v>30</v>
      </c>
      <c r="F344" s="1006">
        <v>2013</v>
      </c>
      <c r="G344" s="1006" t="s">
        <v>133</v>
      </c>
      <c r="H344" s="1006" t="s">
        <v>134</v>
      </c>
      <c r="I344" s="1006" t="s">
        <v>135</v>
      </c>
      <c r="J344" s="1006" t="s">
        <v>136</v>
      </c>
      <c r="K344" s="1006" t="s">
        <v>137</v>
      </c>
      <c r="L344" s="1006" t="s">
        <v>138</v>
      </c>
      <c r="M344" s="1006" t="s">
        <v>139</v>
      </c>
      <c r="N344" s="1006" t="s">
        <v>140</v>
      </c>
      <c r="O344" s="1150"/>
    </row>
    <row r="345" spans="2:21" ht="15.75" hidden="1">
      <c r="B345" s="492"/>
      <c r="C345" s="1007" t="s">
        <v>324</v>
      </c>
      <c r="D345" s="494" t="s">
        <v>325</v>
      </c>
      <c r="E345" s="494"/>
      <c r="F345" s="495"/>
      <c r="G345" s="495"/>
      <c r="H345" s="495"/>
      <c r="I345" s="495"/>
      <c r="J345" s="495"/>
      <c r="K345" s="495"/>
      <c r="L345" s="495"/>
      <c r="M345" s="495"/>
      <c r="N345" s="495"/>
      <c r="O345" s="1150"/>
    </row>
    <row r="346" spans="2:21" ht="15.75" hidden="1">
      <c r="B346" s="492"/>
      <c r="C346" s="1007" t="s">
        <v>331</v>
      </c>
      <c r="D346" s="494" t="s">
        <v>332</v>
      </c>
      <c r="E346" s="494"/>
      <c r="F346" s="495"/>
      <c r="G346" s="495"/>
      <c r="H346" s="495"/>
      <c r="I346" s="495"/>
      <c r="J346" s="495"/>
      <c r="K346" s="495"/>
      <c r="L346" s="495"/>
      <c r="M346" s="495"/>
      <c r="N346" s="495"/>
      <c r="O346" s="1150"/>
    </row>
    <row r="347" spans="2:21" ht="15.75" hidden="1">
      <c r="B347" s="492"/>
      <c r="C347" s="1007" t="s">
        <v>326</v>
      </c>
      <c r="D347" s="494" t="s">
        <v>327</v>
      </c>
      <c r="E347" s="494"/>
      <c r="F347" s="495"/>
      <c r="G347" s="495"/>
      <c r="H347" s="495"/>
      <c r="I347" s="495"/>
      <c r="J347" s="495"/>
      <c r="K347" s="495"/>
      <c r="L347" s="495"/>
      <c r="M347" s="495"/>
      <c r="N347" s="495"/>
      <c r="O347" s="1150"/>
      <c r="R347" s="1152"/>
      <c r="S347" s="1153"/>
      <c r="T347" s="1152"/>
      <c r="U347" s="1152"/>
    </row>
    <row r="348" spans="2:21" ht="15.75" hidden="1">
      <c r="B348" s="492"/>
      <c r="C348" s="1007" t="s">
        <v>333</v>
      </c>
      <c r="D348" s="494" t="s">
        <v>334</v>
      </c>
      <c r="E348" s="494"/>
      <c r="F348" s="495"/>
      <c r="G348" s="495"/>
      <c r="H348" s="495"/>
      <c r="I348" s="495"/>
      <c r="J348" s="495"/>
      <c r="K348" s="495"/>
      <c r="L348" s="495"/>
      <c r="M348" s="495"/>
      <c r="N348" s="495"/>
      <c r="O348" s="1150"/>
      <c r="S348" s="6"/>
    </row>
    <row r="349" spans="2:21" hidden="1">
      <c r="B349" s="503"/>
      <c r="C349" s="1007" t="s">
        <v>328</v>
      </c>
      <c r="D349" s="494" t="s">
        <v>329</v>
      </c>
      <c r="E349" s="494"/>
      <c r="F349" s="495"/>
      <c r="G349" s="495"/>
      <c r="H349" s="495"/>
      <c r="I349" s="495"/>
      <c r="J349" s="495"/>
      <c r="K349" s="495"/>
      <c r="L349" s="495"/>
      <c r="M349" s="495"/>
      <c r="N349" s="495"/>
      <c r="O349" s="1151"/>
      <c r="S349" s="6"/>
    </row>
    <row r="350" spans="2:21" hidden="1">
      <c r="B350" s="503"/>
      <c r="C350" s="1007" t="s">
        <v>335</v>
      </c>
      <c r="D350" s="494" t="s">
        <v>336</v>
      </c>
      <c r="E350" s="494"/>
      <c r="F350" s="495"/>
      <c r="G350" s="495"/>
      <c r="H350" s="495"/>
      <c r="I350" s="495"/>
      <c r="J350" s="495"/>
      <c r="K350" s="495"/>
      <c r="L350" s="495"/>
      <c r="M350" s="495"/>
      <c r="N350" s="495"/>
      <c r="O350" s="1151"/>
      <c r="S350" s="6"/>
    </row>
    <row r="351" spans="2:21" hidden="1">
      <c r="B351" s="1014"/>
      <c r="C351" s="1010"/>
      <c r="D351" s="1010"/>
      <c r="E351" s="1010"/>
      <c r="F351" s="1010"/>
      <c r="G351" s="1010"/>
      <c r="H351" s="1010"/>
      <c r="I351" s="1010"/>
      <c r="J351" s="1010"/>
      <c r="K351" s="1010"/>
      <c r="L351" s="1010"/>
      <c r="M351" s="1010"/>
      <c r="N351" s="1010"/>
      <c r="O351" s="1015"/>
    </row>
    <row r="353" spans="4:4">
      <c r="D353" s="2446" t="s">
        <v>5</v>
      </c>
    </row>
  </sheetData>
  <mergeCells count="4">
    <mergeCell ref="Q158:Q159"/>
    <mergeCell ref="Q160:Q161"/>
    <mergeCell ref="Q164:Q165"/>
    <mergeCell ref="Q166:Q167"/>
  </mergeCells>
  <pageMargins left="0.7" right="0.7" top="0.75" bottom="0.75" header="0.3" footer="0.3"/>
  <pageSetup orientation="portrait" r:id="rId1"/>
  <tableParts count="4">
    <tablePart r:id="rId2"/>
    <tablePart r:id="rId3"/>
    <tablePart r:id="rId4"/>
    <tablePart r:id="rId5"/>
  </tableParts>
</worksheet>
</file>

<file path=xl/worksheets/sheet16.xml><?xml version="1.0" encoding="utf-8"?>
<worksheet xmlns="http://schemas.openxmlformats.org/spreadsheetml/2006/main" xmlns:r="http://schemas.openxmlformats.org/officeDocument/2006/relationships">
  <sheetPr codeName="Sheet9">
    <tabColor theme="9"/>
  </sheetPr>
  <dimension ref="A1:CA198"/>
  <sheetViews>
    <sheetView showGridLines="0" zoomScale="80" zoomScaleNormal="80" workbookViewId="0">
      <selection activeCell="F3" sqref="F3"/>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10.7109375" customWidth="1"/>
    <col min="16" max="16" width="10.85546875" customWidth="1"/>
  </cols>
  <sheetData>
    <row r="1" spans="1:15" ht="20.25">
      <c r="A1" s="863" t="s">
        <v>550</v>
      </c>
      <c r="B1" s="863" t="s">
        <v>551</v>
      </c>
      <c r="C1" s="863"/>
    </row>
    <row r="2" spans="1:15" s="6" customFormat="1" ht="15.75">
      <c r="A2" s="864" t="s">
        <v>548</v>
      </c>
      <c r="B2" s="864" t="s">
        <v>549</v>
      </c>
      <c r="C2" s="864"/>
      <c r="E2" s="5"/>
    </row>
    <row r="4" spans="1:15" ht="23.25">
      <c r="A4" s="7"/>
      <c r="B4" s="511" t="s">
        <v>361</v>
      </c>
      <c r="C4" s="865"/>
      <c r="D4" s="512"/>
      <c r="E4" s="513"/>
      <c r="F4" s="512"/>
      <c r="G4" s="512"/>
      <c r="H4" s="512"/>
      <c r="I4" s="512"/>
      <c r="J4" s="512"/>
      <c r="K4" s="512"/>
      <c r="L4" s="512"/>
      <c r="M4" s="512"/>
      <c r="N4" s="512"/>
      <c r="O4" s="866"/>
    </row>
    <row r="5" spans="1:15">
      <c r="B5" s="514"/>
      <c r="C5" s="12"/>
      <c r="D5" s="515"/>
      <c r="E5" s="516"/>
      <c r="F5" s="515"/>
      <c r="G5" s="515"/>
      <c r="H5" s="515"/>
      <c r="I5" s="515"/>
      <c r="J5" s="515"/>
      <c r="K5" s="515"/>
      <c r="L5" s="515"/>
      <c r="M5" s="515"/>
      <c r="N5" s="515"/>
      <c r="O5" s="867"/>
    </row>
    <row r="6" spans="1:15" ht="15.75">
      <c r="B6" s="15"/>
      <c r="C6" s="515"/>
      <c r="D6" s="16" t="s">
        <v>7</v>
      </c>
      <c r="E6" s="16" t="s">
        <v>8</v>
      </c>
      <c r="F6" s="515"/>
      <c r="G6" s="515"/>
      <c r="H6" s="515"/>
      <c r="I6" s="515"/>
      <c r="J6" s="515"/>
      <c r="K6" s="515"/>
      <c r="L6" s="515"/>
      <c r="M6" s="515"/>
      <c r="N6" s="515"/>
      <c r="O6" s="867"/>
    </row>
    <row r="7" spans="1:15" ht="15.75">
      <c r="B7" s="15"/>
      <c r="C7" s="515"/>
      <c r="D7" s="868" t="s">
        <v>8</v>
      </c>
      <c r="E7" s="868">
        <f>II.a.Scenario</f>
        <v>4</v>
      </c>
      <c r="F7" s="515"/>
      <c r="G7" s="515"/>
      <c r="H7" s="515"/>
      <c r="I7" s="515"/>
      <c r="J7" s="515"/>
      <c r="K7" s="515"/>
      <c r="L7" s="515"/>
      <c r="M7" s="515"/>
      <c r="N7" s="515"/>
      <c r="O7" s="867"/>
    </row>
    <row r="8" spans="1:15" ht="15.75">
      <c r="B8" s="450"/>
      <c r="C8" s="452"/>
      <c r="D8" s="452"/>
      <c r="E8" s="452"/>
      <c r="F8" s="869"/>
      <c r="G8" s="869"/>
      <c r="H8" s="869"/>
      <c r="I8" s="869"/>
      <c r="J8" s="869"/>
      <c r="K8" s="869"/>
      <c r="L8" s="869"/>
      <c r="M8" s="869"/>
      <c r="N8" s="869"/>
      <c r="O8" s="870"/>
    </row>
    <row r="10" spans="1:15" ht="23.25">
      <c r="A10" s="7"/>
      <c r="B10" s="511" t="s">
        <v>727</v>
      </c>
      <c r="C10" s="512"/>
      <c r="D10" s="512"/>
      <c r="E10" s="512"/>
      <c r="F10" s="512"/>
      <c r="G10" s="512"/>
      <c r="H10" s="512"/>
      <c r="I10" s="512"/>
      <c r="J10" s="512"/>
      <c r="K10" s="512"/>
      <c r="L10" s="512"/>
      <c r="M10" s="512"/>
      <c r="N10" s="512"/>
      <c r="O10" s="866"/>
    </row>
    <row r="11" spans="1:15">
      <c r="B11" s="871"/>
      <c r="C11" s="515"/>
      <c r="D11" s="515"/>
      <c r="E11" s="515"/>
      <c r="F11" s="515"/>
      <c r="G11" s="515"/>
      <c r="H11" s="515"/>
      <c r="I11" s="515"/>
      <c r="J11" s="515"/>
      <c r="K11" s="515"/>
      <c r="L11" s="515"/>
      <c r="M11" s="515"/>
      <c r="N11" s="515"/>
      <c r="O11" s="867"/>
    </row>
    <row r="12" spans="1:15">
      <c r="B12" s="871"/>
      <c r="C12" s="34" t="s">
        <v>728</v>
      </c>
      <c r="D12" s="515"/>
      <c r="E12" s="516"/>
      <c r="F12" s="515"/>
      <c r="G12" s="515"/>
      <c r="H12" s="515"/>
      <c r="I12" s="515"/>
      <c r="J12" s="515"/>
      <c r="K12" s="515"/>
      <c r="L12" s="515"/>
      <c r="M12" s="515"/>
      <c r="N12" s="516" t="str">
        <f>Preferences.EnergyUnits</f>
        <v>TWh</v>
      </c>
      <c r="O12" s="867"/>
    </row>
    <row r="13" spans="1:15">
      <c r="B13" s="871"/>
      <c r="C13" s="12"/>
      <c r="D13" s="515"/>
      <c r="E13" s="516"/>
      <c r="F13" s="515"/>
      <c r="G13" s="515"/>
      <c r="H13" s="515"/>
      <c r="I13" s="515"/>
      <c r="J13" s="515"/>
      <c r="K13" s="515"/>
      <c r="L13" s="515"/>
      <c r="M13" s="515"/>
      <c r="N13" s="515"/>
      <c r="O13" s="867"/>
    </row>
    <row r="14" spans="1:15" s="6" customFormat="1" ht="15.75">
      <c r="A14" s="3"/>
      <c r="B14" s="872"/>
      <c r="C14" s="1741" t="s">
        <v>28</v>
      </c>
      <c r="D14" s="1741" t="s">
        <v>29</v>
      </c>
      <c r="E14" s="1741" t="s">
        <v>30</v>
      </c>
      <c r="F14" s="1741" t="s">
        <v>597</v>
      </c>
      <c r="G14" s="1741" t="s">
        <v>133</v>
      </c>
      <c r="H14" s="1741" t="s">
        <v>134</v>
      </c>
      <c r="I14" s="1741" t="s">
        <v>135</v>
      </c>
      <c r="J14" s="1741" t="s">
        <v>136</v>
      </c>
      <c r="K14" s="1741" t="s">
        <v>137</v>
      </c>
      <c r="L14" s="1741" t="s">
        <v>138</v>
      </c>
      <c r="M14" s="1741" t="s">
        <v>139</v>
      </c>
      <c r="N14" s="1741" t="s">
        <v>140</v>
      </c>
      <c r="O14" s="874"/>
    </row>
    <row r="15" spans="1:15" s="6" customFormat="1" ht="15.75">
      <c r="A15" s="3"/>
      <c r="B15" s="872"/>
      <c r="C15" s="725" t="s">
        <v>96</v>
      </c>
      <c r="D15" s="725" t="s">
        <v>86</v>
      </c>
      <c r="E15" s="725"/>
      <c r="F15" s="2169">
        <f ca="1">INDEX(INDIRECT("'"&amp;II.a.Inputs[#Headers]&amp;"'!Year.Matrix"), MATCH("Subtotal."&amp;$A$2, INDIRECT("'"&amp;II.a.Inputs[#Headers]&amp;"'!Year.Modules"), 0), MATCH([Vector], INDIRECT("'"&amp;II.a.Inputs[#Headers]&amp;"'!Year.Vectors"), 0))</f>
        <v>-23.472851618681876</v>
      </c>
      <c r="G15" s="2169">
        <f ca="1">INDEX(INDIRECT("'"&amp;II.a.Inputs[#Headers]&amp;"'!Year.Matrix"), MATCH("Subtotal."&amp;$A$2, INDIRECT("'"&amp;II.a.Inputs[#Headers]&amp;"'!Year.Modules"), 0), MATCH([Vector], INDIRECT("'"&amp;II.a.Inputs[#Headers]&amp;"'!Year.Vectors"), 0))</f>
        <v>-24.359054991474284</v>
      </c>
      <c r="H15" s="2169">
        <f ca="1">INDEX(INDIRECT("'"&amp;II.a.Inputs[#Headers]&amp;"'!Year.Matrix"), MATCH("Subtotal."&amp;$A$2, INDIRECT("'"&amp;II.a.Inputs[#Headers]&amp;"'!Year.Modules"), 0), MATCH([Vector], INDIRECT("'"&amp;II.a.Inputs[#Headers]&amp;"'!Year.Vectors"), 0))</f>
        <v>-24.873360120694059</v>
      </c>
      <c r="I15" s="2169">
        <f ca="1">INDEX(INDIRECT("'"&amp;II.a.Inputs[#Headers]&amp;"'!Year.Matrix"), MATCH("Subtotal."&amp;$A$2, INDIRECT("'"&amp;II.a.Inputs[#Headers]&amp;"'!Year.Modules"), 0), MATCH([Vector], INDIRECT("'"&amp;II.a.Inputs[#Headers]&amp;"'!Year.Vectors"), 0))</f>
        <v>-25.405230948014786</v>
      </c>
      <c r="J15" s="2169">
        <f ca="1">INDEX(INDIRECT("'"&amp;II.a.Inputs[#Headers]&amp;"'!Year.Matrix"), MATCH("Subtotal."&amp;$A$2, INDIRECT("'"&amp;II.a.Inputs[#Headers]&amp;"'!Year.Modules"), 0), MATCH([Vector], INDIRECT("'"&amp;II.a.Inputs[#Headers]&amp;"'!Year.Vectors"), 0))</f>
        <v>-26.047300922442304</v>
      </c>
      <c r="K15" s="2169">
        <f ca="1">INDEX(INDIRECT("'"&amp;II.a.Inputs[#Headers]&amp;"'!Year.Matrix"), MATCH("Subtotal."&amp;$A$2, INDIRECT("'"&amp;II.a.Inputs[#Headers]&amp;"'!Year.Modules"), 0), MATCH([Vector], INDIRECT("'"&amp;II.a.Inputs[#Headers]&amp;"'!Year.Vectors"), 0))</f>
        <v>-26.711821498340946</v>
      </c>
      <c r="L15" s="2169">
        <f ca="1">INDEX(INDIRECT("'"&amp;II.a.Inputs[#Headers]&amp;"'!Year.Matrix"), MATCH("Subtotal."&amp;$A$2, INDIRECT("'"&amp;II.a.Inputs[#Headers]&amp;"'!Year.Modules"), 0), MATCH([Vector], INDIRECT("'"&amp;II.a.Inputs[#Headers]&amp;"'!Year.Vectors"), 0))</f>
        <v>-27.377648640111907</v>
      </c>
      <c r="M15" s="2169">
        <f ca="1">INDEX(INDIRECT("'"&amp;II.a.Inputs[#Headers]&amp;"'!Year.Matrix"), MATCH("Subtotal."&amp;$A$2, INDIRECT("'"&amp;II.a.Inputs[#Headers]&amp;"'!Year.Modules"), 0), MATCH([Vector], INDIRECT("'"&amp;II.a.Inputs[#Headers]&amp;"'!Year.Vectors"), 0))</f>
        <v>-28.011556298716879</v>
      </c>
      <c r="N15" s="2169">
        <f ca="1">INDEX(INDIRECT("'"&amp;II.a.Inputs[#Headers]&amp;"'!Year.Matrix"), MATCH("Subtotal."&amp;$A$2, INDIRECT("'"&amp;II.a.Inputs[#Headers]&amp;"'!Year.Modules"), 0), MATCH([Vector], INDIRECT("'"&amp;II.a.Inputs[#Headers]&amp;"'!Year.Vectors"), 0))</f>
        <v>-28.534423087242338</v>
      </c>
      <c r="O15" s="874"/>
    </row>
    <row r="16" spans="1:15" s="6" customFormat="1" ht="15.75">
      <c r="A16" s="3"/>
      <c r="B16" s="872"/>
      <c r="C16" s="725" t="s">
        <v>97</v>
      </c>
      <c r="D16" s="725" t="s">
        <v>87</v>
      </c>
      <c r="E16" s="725"/>
      <c r="F16" s="2170">
        <f ca="1">INDEX(INDIRECT("'"&amp;II.a.Inputs[#Headers]&amp;"'!Year.Matrix"), MATCH("Subtotal."&amp;$A$2, INDIRECT("'"&amp;II.a.Inputs[#Headers]&amp;"'!Year.Modules"), 0), MATCH([Vector], INDIRECT("'"&amp;II.a.Inputs[#Headers]&amp;"'!Year.Vectors"), 0))</f>
        <v>4.3928426695888341</v>
      </c>
      <c r="G16" s="2170">
        <f ca="1">INDEX(INDIRECT("'"&amp;II.a.Inputs[#Headers]&amp;"'!Year.Matrix"), MATCH("Subtotal."&amp;$A$2, INDIRECT("'"&amp;II.a.Inputs[#Headers]&amp;"'!Year.Modules"), 0), MATCH([Vector], INDIRECT("'"&amp;II.a.Inputs[#Headers]&amp;"'!Year.Vectors"), 0))</f>
        <v>5.3887197031404472</v>
      </c>
      <c r="H16" s="2170">
        <f ca="1">INDEX(INDIRECT("'"&amp;II.a.Inputs[#Headers]&amp;"'!Year.Matrix"), MATCH("Subtotal."&amp;$A$2, INDIRECT("'"&amp;II.a.Inputs[#Headers]&amp;"'!Year.Modules"), 0), MATCH([Vector], INDIRECT("'"&amp;II.a.Inputs[#Headers]&amp;"'!Year.Vectors"), 0))</f>
        <v>10.822428723217843</v>
      </c>
      <c r="I16" s="2170">
        <f ca="1">INDEX(INDIRECT("'"&amp;II.a.Inputs[#Headers]&amp;"'!Year.Matrix"), MATCH("Subtotal."&amp;$A$2, INDIRECT("'"&amp;II.a.Inputs[#Headers]&amp;"'!Year.Modules"), 0), MATCH([Vector], INDIRECT("'"&amp;II.a.Inputs[#Headers]&amp;"'!Year.Vectors"), 0))</f>
        <v>17.676159220282241</v>
      </c>
      <c r="J16" s="2170">
        <f ca="1">INDEX(INDIRECT("'"&amp;II.a.Inputs[#Headers]&amp;"'!Year.Matrix"), MATCH("Subtotal."&amp;$A$2, INDIRECT("'"&amp;II.a.Inputs[#Headers]&amp;"'!Year.Modules"), 0), MATCH([Vector], INDIRECT("'"&amp;II.a.Inputs[#Headers]&amp;"'!Year.Vectors"), 0))</f>
        <v>32.359925352110984</v>
      </c>
      <c r="K16" s="2170">
        <f ca="1">INDEX(INDIRECT("'"&amp;II.a.Inputs[#Headers]&amp;"'!Year.Matrix"), MATCH("Subtotal."&amp;$A$2, INDIRECT("'"&amp;II.a.Inputs[#Headers]&amp;"'!Year.Modules"), 0), MATCH([Vector], INDIRECT("'"&amp;II.a.Inputs[#Headers]&amp;"'!Year.Vectors"), 0))</f>
        <v>43.847712565769761</v>
      </c>
      <c r="L16" s="2170">
        <f ca="1">INDEX(INDIRECT("'"&amp;II.a.Inputs[#Headers]&amp;"'!Year.Matrix"), MATCH("Subtotal."&amp;$A$2, INDIRECT("'"&amp;II.a.Inputs[#Headers]&amp;"'!Year.Modules"), 0), MATCH([Vector], INDIRECT("'"&amp;II.a.Inputs[#Headers]&amp;"'!Year.Vectors"), 0))</f>
        <v>54.159898235672543</v>
      </c>
      <c r="M16" s="2170">
        <f ca="1">INDEX(INDIRECT("'"&amp;II.a.Inputs[#Headers]&amp;"'!Year.Matrix"), MATCH("Subtotal."&amp;$A$2, INDIRECT("'"&amp;II.a.Inputs[#Headers]&amp;"'!Year.Modules"), 0), MATCH([Vector], INDIRECT("'"&amp;II.a.Inputs[#Headers]&amp;"'!Year.Vectors"), 0))</f>
        <v>66.429815829504747</v>
      </c>
      <c r="N16" s="2170">
        <f ca="1">INDEX(INDIRECT("'"&amp;II.a.Inputs[#Headers]&amp;"'!Year.Matrix"), MATCH("Subtotal."&amp;$A$2, INDIRECT("'"&amp;II.a.Inputs[#Headers]&amp;"'!Year.Modules"), 0), MATCH([Vector], INDIRECT("'"&amp;II.a.Inputs[#Headers]&amp;"'!Year.Vectors"), 0))</f>
        <v>77.911312125363409</v>
      </c>
      <c r="O16" s="875"/>
    </row>
    <row r="17" spans="1:15">
      <c r="B17" s="876"/>
      <c r="C17" s="869"/>
      <c r="D17" s="869"/>
      <c r="E17" s="869"/>
      <c r="F17" s="869"/>
      <c r="G17" s="869"/>
      <c r="H17" s="869"/>
      <c r="I17" s="869"/>
      <c r="J17" s="869"/>
      <c r="K17" s="869"/>
      <c r="L17" s="869"/>
      <c r="M17" s="869"/>
      <c r="N17" s="869"/>
      <c r="O17" s="870"/>
    </row>
    <row r="18" spans="1:15">
      <c r="B18" s="877"/>
    </row>
    <row r="19" spans="1:15" ht="23.25">
      <c r="A19" s="7"/>
      <c r="B19" s="878" t="s">
        <v>33</v>
      </c>
      <c r="C19" s="879"/>
      <c r="D19" s="879"/>
      <c r="E19" s="879"/>
      <c r="F19" s="879"/>
      <c r="G19" s="879"/>
      <c r="H19" s="879"/>
      <c r="I19" s="879"/>
      <c r="J19" s="879"/>
      <c r="K19" s="879"/>
      <c r="L19" s="879"/>
      <c r="M19" s="879"/>
      <c r="N19" s="879"/>
      <c r="O19" s="880"/>
    </row>
    <row r="20" spans="1:15">
      <c r="B20" s="881"/>
      <c r="C20" s="882"/>
      <c r="D20" s="882"/>
      <c r="E20" s="882"/>
      <c r="F20" s="882"/>
      <c r="G20" s="882"/>
      <c r="H20" s="882"/>
      <c r="I20" s="882"/>
      <c r="J20" s="882"/>
      <c r="K20" s="882"/>
      <c r="L20" s="882"/>
      <c r="M20" s="882"/>
      <c r="N20" s="882"/>
      <c r="O20" s="883"/>
    </row>
    <row r="21" spans="1:15">
      <c r="B21" s="884"/>
      <c r="C21" s="49" t="s">
        <v>3061</v>
      </c>
      <c r="D21" s="67"/>
      <c r="E21" s="51"/>
      <c r="F21" s="67"/>
      <c r="G21" s="67"/>
      <c r="H21" s="67"/>
      <c r="I21" s="67"/>
      <c r="J21" s="67"/>
      <c r="K21" s="67"/>
      <c r="L21" s="67"/>
      <c r="M21" s="67"/>
      <c r="N21" s="51" t="str">
        <f>Preferences.PowerUnits &amp; " per annum, for subsequent period"</f>
        <v>GW per annum, for subsequent period</v>
      </c>
      <c r="O21" s="885"/>
    </row>
    <row r="22" spans="1:15">
      <c r="B22" s="884"/>
      <c r="C22" s="67"/>
      <c r="D22" s="67"/>
      <c r="E22" s="67"/>
      <c r="F22" s="67"/>
      <c r="G22" s="67"/>
      <c r="H22" s="67"/>
      <c r="I22" s="67"/>
      <c r="J22" s="67"/>
      <c r="K22" s="67"/>
      <c r="L22" s="67"/>
      <c r="M22" s="67"/>
      <c r="N22" s="67"/>
      <c r="O22" s="885"/>
    </row>
    <row r="23" spans="1:15" ht="15.75">
      <c r="B23" s="886"/>
      <c r="C23" s="887" t="s">
        <v>8</v>
      </c>
      <c r="D23" s="887" t="s">
        <v>72</v>
      </c>
      <c r="E23" s="887" t="s">
        <v>30</v>
      </c>
      <c r="F23" s="888">
        <v>2013</v>
      </c>
      <c r="G23" s="92">
        <v>2015</v>
      </c>
      <c r="H23" s="92">
        <v>2020</v>
      </c>
      <c r="I23" s="92">
        <v>2025</v>
      </c>
      <c r="J23" s="92">
        <v>2030</v>
      </c>
      <c r="K23" s="92">
        <v>2035</v>
      </c>
      <c r="L23" s="92">
        <v>2040</v>
      </c>
      <c r="M23" s="92">
        <v>2045</v>
      </c>
      <c r="N23" s="92">
        <v>2050</v>
      </c>
      <c r="O23" s="885"/>
    </row>
    <row r="24" spans="1:15" ht="15.75">
      <c r="B24" s="889"/>
      <c r="C24" s="65">
        <v>1</v>
      </c>
      <c r="D24" s="108"/>
      <c r="E24" s="890"/>
      <c r="F24" s="891">
        <v>0</v>
      </c>
      <c r="G24" s="892">
        <v>0</v>
      </c>
      <c r="H24" s="892">
        <v>0</v>
      </c>
      <c r="I24" s="892">
        <v>0</v>
      </c>
      <c r="J24" s="892">
        <v>0</v>
      </c>
      <c r="K24" s="892">
        <v>0</v>
      </c>
      <c r="L24" s="892">
        <v>0</v>
      </c>
      <c r="M24" s="892">
        <v>0</v>
      </c>
      <c r="N24" s="892">
        <v>0</v>
      </c>
      <c r="O24" s="893"/>
    </row>
    <row r="25" spans="1:15" ht="15.75">
      <c r="B25" s="886"/>
      <c r="C25" s="65">
        <v>2</v>
      </c>
      <c r="D25" s="108"/>
      <c r="E25" s="108"/>
      <c r="F25" s="894">
        <v>0</v>
      </c>
      <c r="G25" s="895">
        <v>0</v>
      </c>
      <c r="H25" s="895">
        <v>0</v>
      </c>
      <c r="I25" s="895">
        <v>0</v>
      </c>
      <c r="J25" s="895">
        <v>0</v>
      </c>
      <c r="K25" s="895">
        <v>0</v>
      </c>
      <c r="L25" s="895">
        <v>0</v>
      </c>
      <c r="M25" s="895">
        <v>0</v>
      </c>
      <c r="N25" s="895">
        <v>0</v>
      </c>
      <c r="O25" s="885"/>
    </row>
    <row r="26" spans="1:15" ht="15.75">
      <c r="B26" s="886"/>
      <c r="C26" s="65">
        <v>3</v>
      </c>
      <c r="D26" s="108"/>
      <c r="E26" s="108"/>
      <c r="F26" s="894">
        <v>0</v>
      </c>
      <c r="G26" s="895">
        <v>0</v>
      </c>
      <c r="H26" s="895">
        <v>0</v>
      </c>
      <c r="I26" s="895">
        <v>0</v>
      </c>
      <c r="J26" s="895">
        <v>0</v>
      </c>
      <c r="K26" s="895">
        <v>0</v>
      </c>
      <c r="L26" s="895">
        <v>0</v>
      </c>
      <c r="M26" s="895">
        <v>0</v>
      </c>
      <c r="N26" s="895">
        <v>0</v>
      </c>
      <c r="O26" s="885"/>
    </row>
    <row r="27" spans="1:15" ht="15.75">
      <c r="B27" s="886"/>
      <c r="C27" s="896">
        <v>4</v>
      </c>
      <c r="D27" s="897"/>
      <c r="E27" s="897"/>
      <c r="F27" s="898">
        <v>0</v>
      </c>
      <c r="G27" s="899">
        <v>0</v>
      </c>
      <c r="H27" s="899">
        <v>0</v>
      </c>
      <c r="I27" s="899">
        <f>(Unit.GW)*0.2</f>
        <v>0.2</v>
      </c>
      <c r="J27" s="899">
        <v>0</v>
      </c>
      <c r="K27" s="899">
        <v>0</v>
      </c>
      <c r="L27" s="899">
        <v>0</v>
      </c>
      <c r="M27" s="899">
        <v>0</v>
      </c>
      <c r="N27" s="899">
        <v>0</v>
      </c>
      <c r="O27" s="885"/>
    </row>
    <row r="28" spans="1:15" ht="15.75">
      <c r="B28" s="55"/>
      <c r="C28" s="900" t="s">
        <v>37</v>
      </c>
      <c r="D28" s="901"/>
      <c r="E28" s="901"/>
      <c r="F28" s="902">
        <f>(INDEX(F$24:F$27,ROUNDDOWN($E$7,0))*(1-MOD($E$7,1)))+(INDEX(F$24:F$27,ROUNDUP($E$7,0))*MOD($E$7,1))</f>
        <v>0</v>
      </c>
      <c r="G28" s="902">
        <f t="shared" ref="G28:N28" si="0">(INDEX(G$24:G$27,ROUNDDOWN($E$7,0))*(1-MOD($E$7,1)))+(INDEX(G$24:G$27,ROUNDUP($E$7,0))*MOD($E$7,1))</f>
        <v>0</v>
      </c>
      <c r="H28" s="902">
        <f t="shared" si="0"/>
        <v>0</v>
      </c>
      <c r="I28" s="902">
        <f t="shared" si="0"/>
        <v>0.2</v>
      </c>
      <c r="J28" s="902">
        <f t="shared" si="0"/>
        <v>0</v>
      </c>
      <c r="K28" s="902">
        <f t="shared" si="0"/>
        <v>0</v>
      </c>
      <c r="L28" s="902">
        <f t="shared" si="0"/>
        <v>0</v>
      </c>
      <c r="M28" s="902">
        <f t="shared" si="0"/>
        <v>0</v>
      </c>
      <c r="N28" s="903">
        <f t="shared" si="0"/>
        <v>0</v>
      </c>
      <c r="O28" s="885"/>
    </row>
    <row r="29" spans="1:15">
      <c r="B29" s="904"/>
      <c r="C29" s="67"/>
      <c r="D29" s="200"/>
      <c r="E29" s="67"/>
      <c r="F29" s="67"/>
      <c r="G29" s="67"/>
      <c r="H29" s="67"/>
      <c r="I29" s="67"/>
      <c r="J29" s="67"/>
      <c r="K29" s="67"/>
      <c r="L29" s="67"/>
      <c r="M29" s="67"/>
      <c r="N29" s="67"/>
      <c r="O29" s="885"/>
    </row>
    <row r="30" spans="1:15">
      <c r="B30" s="904"/>
      <c r="C30" s="49" t="s">
        <v>729</v>
      </c>
      <c r="D30" s="67"/>
      <c r="E30" s="51"/>
      <c r="F30" s="67"/>
      <c r="G30" s="67"/>
      <c r="H30" s="67"/>
      <c r="I30" s="67"/>
      <c r="J30" s="67"/>
      <c r="K30" s="67"/>
      <c r="L30" s="67"/>
      <c r="M30" s="67"/>
      <c r="N30" s="51" t="str">
        <f>Preferences.PowerUnits &amp; " per annum, for subsequent period"</f>
        <v>GW per annum, for subsequent period</v>
      </c>
      <c r="O30" s="885"/>
    </row>
    <row r="31" spans="1:15">
      <c r="B31" s="904"/>
      <c r="C31" s="67"/>
      <c r="D31" s="67"/>
      <c r="E31" s="67"/>
      <c r="F31" s="67"/>
      <c r="G31" s="67"/>
      <c r="H31" s="67"/>
      <c r="I31" s="67"/>
      <c r="J31" s="67"/>
      <c r="K31" s="67"/>
      <c r="L31" s="67"/>
      <c r="M31" s="67"/>
      <c r="N31" s="67"/>
      <c r="O31" s="885"/>
    </row>
    <row r="32" spans="1:15" ht="15.75">
      <c r="B32" s="886"/>
      <c r="C32" s="887" t="s">
        <v>8</v>
      </c>
      <c r="D32" s="887" t="s">
        <v>72</v>
      </c>
      <c r="E32" s="887" t="s">
        <v>30</v>
      </c>
      <c r="F32" s="888">
        <v>2013</v>
      </c>
      <c r="G32" s="92">
        <v>2015</v>
      </c>
      <c r="H32" s="92">
        <v>2020</v>
      </c>
      <c r="I32" s="92">
        <v>2025</v>
      </c>
      <c r="J32" s="92">
        <v>2030</v>
      </c>
      <c r="K32" s="92">
        <v>2035</v>
      </c>
      <c r="L32" s="92">
        <v>2040</v>
      </c>
      <c r="M32" s="92">
        <v>2045</v>
      </c>
      <c r="N32" s="92">
        <v>2050</v>
      </c>
      <c r="O32" s="885"/>
    </row>
    <row r="33" spans="1:15" ht="15.75">
      <c r="B33" s="886"/>
      <c r="C33" s="65">
        <v>1</v>
      </c>
      <c r="D33" s="108"/>
      <c r="E33" s="890"/>
      <c r="F33" s="905">
        <v>0</v>
      </c>
      <c r="G33" s="59">
        <v>0</v>
      </c>
      <c r="H33" s="59">
        <v>0</v>
      </c>
      <c r="I33" s="59">
        <v>0</v>
      </c>
      <c r="J33" s="59">
        <v>0</v>
      </c>
      <c r="K33" s="59">
        <v>0</v>
      </c>
      <c r="L33" s="59">
        <v>0</v>
      </c>
      <c r="M33" s="59">
        <v>0</v>
      </c>
      <c r="N33" s="59"/>
      <c r="O33" s="885"/>
    </row>
    <row r="34" spans="1:15" ht="15.75">
      <c r="B34" s="886"/>
      <c r="C34" s="65">
        <v>2</v>
      </c>
      <c r="D34" s="108"/>
      <c r="E34" s="108"/>
      <c r="F34" s="123">
        <v>0</v>
      </c>
      <c r="G34" s="60">
        <v>0</v>
      </c>
      <c r="H34" s="60">
        <v>0</v>
      </c>
      <c r="I34" s="60">
        <v>0</v>
      </c>
      <c r="J34" s="60">
        <v>0</v>
      </c>
      <c r="K34" s="60">
        <v>0</v>
      </c>
      <c r="L34" s="60">
        <v>0</v>
      </c>
      <c r="M34" s="60">
        <v>0</v>
      </c>
      <c r="N34" s="60"/>
      <c r="O34" s="885"/>
    </row>
    <row r="35" spans="1:15" ht="15.75">
      <c r="B35" s="886"/>
      <c r="C35" s="65">
        <v>3</v>
      </c>
      <c r="D35" s="108"/>
      <c r="E35" s="108"/>
      <c r="F35" s="123">
        <v>0</v>
      </c>
      <c r="G35" s="60">
        <v>0</v>
      </c>
      <c r="H35" s="60">
        <v>0</v>
      </c>
      <c r="I35" s="60">
        <v>0</v>
      </c>
      <c r="J35" s="60">
        <v>0</v>
      </c>
      <c r="K35" s="60">
        <v>0</v>
      </c>
      <c r="L35" s="60">
        <v>0</v>
      </c>
      <c r="M35" s="60">
        <v>0</v>
      </c>
      <c r="N35" s="60"/>
      <c r="O35" s="885"/>
    </row>
    <row r="36" spans="1:15" ht="15.75">
      <c r="B36" s="886"/>
      <c r="C36" s="896">
        <v>4</v>
      </c>
      <c r="D36" s="897"/>
      <c r="E36" s="897"/>
      <c r="F36" s="906">
        <v>0</v>
      </c>
      <c r="G36" s="907">
        <v>0</v>
      </c>
      <c r="H36" s="907">
        <v>0</v>
      </c>
      <c r="I36" s="907">
        <v>0</v>
      </c>
      <c r="J36" s="907">
        <v>0</v>
      </c>
      <c r="K36" s="907">
        <v>0</v>
      </c>
      <c r="L36" s="907">
        <v>0</v>
      </c>
      <c r="M36" s="907">
        <v>0</v>
      </c>
      <c r="N36" s="907"/>
      <c r="O36" s="885"/>
    </row>
    <row r="37" spans="1:15" ht="15.75">
      <c r="B37" s="55"/>
      <c r="C37" s="900" t="s">
        <v>37</v>
      </c>
      <c r="D37" s="901"/>
      <c r="E37" s="901"/>
      <c r="F37" s="902">
        <f>(INDEX(F$33:F$36,ROUNDDOWN($E$7,0))*(1-MOD($E$7,1)))+(INDEX(F$33:F$36,ROUNDUP($E$7,0))*MOD($E$7,1))</f>
        <v>0</v>
      </c>
      <c r="G37" s="902">
        <f t="shared" ref="G37:N37" si="1">(INDEX(G$33:G$36,ROUNDDOWN($E$7,0))*(1-MOD($E$7,1)))+(INDEX(G$33:G$36,ROUNDUP($E$7,0))*MOD($E$7,1))</f>
        <v>0</v>
      </c>
      <c r="H37" s="902">
        <f t="shared" si="1"/>
        <v>0</v>
      </c>
      <c r="I37" s="902">
        <f t="shared" si="1"/>
        <v>0</v>
      </c>
      <c r="J37" s="902">
        <f t="shared" si="1"/>
        <v>0</v>
      </c>
      <c r="K37" s="902">
        <f t="shared" si="1"/>
        <v>0</v>
      </c>
      <c r="L37" s="902">
        <f t="shared" si="1"/>
        <v>0</v>
      </c>
      <c r="M37" s="902">
        <f t="shared" si="1"/>
        <v>0</v>
      </c>
      <c r="N37" s="903">
        <f t="shared" si="1"/>
        <v>0</v>
      </c>
      <c r="O37" s="885"/>
    </row>
    <row r="38" spans="1:15" s="3854" customFormat="1" ht="15.75">
      <c r="B38" s="55"/>
      <c r="C38" s="109"/>
      <c r="D38" s="108"/>
      <c r="E38" s="108"/>
      <c r="F38" s="892"/>
      <c r="G38" s="892"/>
      <c r="H38" s="892"/>
      <c r="I38" s="892"/>
      <c r="J38" s="892"/>
      <c r="K38" s="892"/>
      <c r="L38" s="892"/>
      <c r="M38" s="892"/>
      <c r="N38" s="60"/>
      <c r="O38" s="885"/>
    </row>
    <row r="39" spans="1:15" s="3854" customFormat="1" ht="15.75">
      <c r="B39" s="55"/>
      <c r="C39" s="3871" t="s">
        <v>64</v>
      </c>
      <c r="D39" s="108"/>
      <c r="E39" s="108"/>
      <c r="F39" s="892"/>
      <c r="G39" s="892"/>
      <c r="H39" s="892"/>
      <c r="I39" s="892"/>
      <c r="J39" s="892"/>
      <c r="K39" s="892"/>
      <c r="L39" s="892"/>
      <c r="M39" s="892"/>
      <c r="N39" s="60"/>
      <c r="O39" s="885"/>
    </row>
    <row r="40" spans="1:15" s="3854" customFormat="1" ht="15.75">
      <c r="B40" s="55"/>
      <c r="C40" s="3870" t="s">
        <v>65</v>
      </c>
      <c r="D40" s="2278" t="s">
        <v>3063</v>
      </c>
      <c r="E40" s="108"/>
      <c r="F40" s="892"/>
      <c r="G40" s="892"/>
      <c r="H40" s="892"/>
      <c r="I40" s="892"/>
      <c r="J40" s="892"/>
      <c r="K40" s="892"/>
      <c r="L40" s="892"/>
      <c r="M40" s="892"/>
      <c r="N40" s="60"/>
      <c r="O40" s="885"/>
    </row>
    <row r="41" spans="1:15">
      <c r="B41" s="904"/>
      <c r="C41" s="3870"/>
      <c r="D41" s="2278" t="s">
        <v>3062</v>
      </c>
      <c r="E41" s="108"/>
      <c r="F41" s="59"/>
      <c r="G41" s="60"/>
      <c r="H41" s="60"/>
      <c r="I41" s="60"/>
      <c r="J41" s="60"/>
      <c r="K41" s="60"/>
      <c r="L41" s="60"/>
      <c r="M41" s="60"/>
      <c r="N41" s="60"/>
      <c r="O41" s="885"/>
    </row>
    <row r="42" spans="1:15">
      <c r="B42" s="877"/>
    </row>
    <row r="43" spans="1:15" s="6" customFormat="1" ht="23.25">
      <c r="A43" s="40"/>
      <c r="B43" s="878" t="s">
        <v>70</v>
      </c>
      <c r="C43" s="879"/>
      <c r="D43" s="879"/>
      <c r="E43" s="879"/>
      <c r="F43" s="879"/>
      <c r="G43" s="879"/>
      <c r="H43" s="879"/>
      <c r="I43" s="879"/>
      <c r="J43" s="879"/>
      <c r="K43" s="879"/>
      <c r="L43" s="879"/>
      <c r="M43" s="879"/>
      <c r="N43" s="879"/>
      <c r="O43" s="880"/>
    </row>
    <row r="44" spans="1:15">
      <c r="B44" s="884"/>
      <c r="C44" s="67"/>
      <c r="D44" s="67"/>
      <c r="E44" s="67"/>
      <c r="F44" s="67"/>
      <c r="G44" s="67"/>
      <c r="H44" s="67"/>
      <c r="I44" s="67"/>
      <c r="J44" s="67"/>
      <c r="K44" s="67"/>
      <c r="L44" s="67"/>
      <c r="M44" s="67"/>
      <c r="N44" s="67"/>
      <c r="O44" s="885"/>
    </row>
    <row r="45" spans="1:15">
      <c r="B45" s="884"/>
      <c r="C45" s="49" t="s">
        <v>730</v>
      </c>
      <c r="D45" s="67"/>
      <c r="E45" s="67"/>
      <c r="F45" s="67"/>
      <c r="G45" s="67"/>
      <c r="H45" s="67"/>
      <c r="I45" s="67"/>
      <c r="J45" s="67"/>
      <c r="K45" s="67"/>
      <c r="L45" s="67"/>
      <c r="M45" s="67"/>
      <c r="N45" s="67"/>
      <c r="O45" s="885"/>
    </row>
    <row r="46" spans="1:15">
      <c r="B46" s="884"/>
      <c r="C46" s="67"/>
      <c r="D46" s="67"/>
      <c r="E46" s="67"/>
      <c r="F46" s="67"/>
      <c r="G46" s="67"/>
      <c r="H46" s="67"/>
      <c r="I46" s="67"/>
      <c r="J46" s="67"/>
      <c r="K46" s="67"/>
      <c r="L46" s="67"/>
      <c r="M46" s="67"/>
      <c r="N46" s="67"/>
      <c r="O46" s="885"/>
    </row>
    <row r="47" spans="1:15" ht="15.75">
      <c r="B47" s="886"/>
      <c r="C47" s="887" t="s">
        <v>132</v>
      </c>
      <c r="D47" s="887" t="s">
        <v>731</v>
      </c>
      <c r="E47" s="887" t="s">
        <v>30</v>
      </c>
      <c r="F47" s="908">
        <v>2013</v>
      </c>
      <c r="G47" s="909" t="s">
        <v>133</v>
      </c>
      <c r="H47" s="909" t="s">
        <v>134</v>
      </c>
      <c r="I47" s="909" t="s">
        <v>135</v>
      </c>
      <c r="J47" s="909" t="s">
        <v>136</v>
      </c>
      <c r="K47" s="909" t="s">
        <v>137</v>
      </c>
      <c r="L47" s="909" t="s">
        <v>138</v>
      </c>
      <c r="M47" s="909" t="s">
        <v>139</v>
      </c>
      <c r="N47" s="909" t="s">
        <v>140</v>
      </c>
      <c r="O47" s="885"/>
    </row>
    <row r="48" spans="1:15" ht="15.75">
      <c r="B48" s="886"/>
      <c r="C48" s="910" t="s">
        <v>445</v>
      </c>
      <c r="D48" s="910" t="s">
        <v>396</v>
      </c>
      <c r="E48" s="911"/>
      <c r="F48" s="912">
        <v>0.10095299999999999</v>
      </c>
      <c r="G48" s="913">
        <v>0.1</v>
      </c>
      <c r="H48" s="913">
        <v>0.1</v>
      </c>
      <c r="I48" s="913">
        <v>0.1</v>
      </c>
      <c r="J48" s="913">
        <v>0.1</v>
      </c>
      <c r="K48" s="913">
        <v>0.1</v>
      </c>
      <c r="L48" s="913">
        <v>0.1</v>
      </c>
      <c r="M48" s="913">
        <v>0.1</v>
      </c>
      <c r="N48" s="913">
        <v>0.1</v>
      </c>
      <c r="O48" s="885"/>
    </row>
    <row r="49" spans="2:15">
      <c r="B49" s="884"/>
      <c r="C49" s="67"/>
      <c r="D49" s="67"/>
      <c r="E49" s="67"/>
      <c r="F49" s="67"/>
      <c r="G49" s="67"/>
      <c r="H49" s="67"/>
      <c r="I49" s="67"/>
      <c r="J49" s="67"/>
      <c r="K49" s="67"/>
      <c r="L49" s="67"/>
      <c r="M49" s="67"/>
      <c r="N49" s="67"/>
      <c r="O49" s="885"/>
    </row>
    <row r="50" spans="2:15">
      <c r="B50" s="914"/>
      <c r="C50" s="49" t="s">
        <v>732</v>
      </c>
      <c r="D50" s="67"/>
      <c r="E50" s="67"/>
      <c r="F50" s="915"/>
      <c r="G50" s="67"/>
      <c r="H50" s="67"/>
      <c r="I50" s="67"/>
      <c r="J50" s="67"/>
      <c r="K50" s="67"/>
      <c r="L50" s="67"/>
      <c r="M50" s="67"/>
      <c r="N50" s="67"/>
      <c r="O50" s="885"/>
    </row>
    <row r="51" spans="2:15">
      <c r="B51" s="884"/>
      <c r="C51" s="67"/>
      <c r="D51" s="67"/>
      <c r="E51" s="67"/>
      <c r="F51" s="915"/>
      <c r="G51" s="67"/>
      <c r="H51" s="67"/>
      <c r="I51" s="67"/>
      <c r="J51" s="67"/>
      <c r="K51" s="67"/>
      <c r="L51" s="67"/>
      <c r="M51" s="67"/>
      <c r="N51" s="67"/>
      <c r="O51" s="885"/>
    </row>
    <row r="52" spans="2:15" ht="15.75">
      <c r="B52" s="886"/>
      <c r="C52" s="887" t="s">
        <v>132</v>
      </c>
      <c r="D52" s="887" t="s">
        <v>731</v>
      </c>
      <c r="E52" s="887" t="s">
        <v>30</v>
      </c>
      <c r="F52" s="908">
        <v>2013</v>
      </c>
      <c r="G52" s="909" t="s">
        <v>133</v>
      </c>
      <c r="H52" s="909" t="s">
        <v>134</v>
      </c>
      <c r="I52" s="909" t="s">
        <v>135</v>
      </c>
      <c r="J52" s="909" t="s">
        <v>136</v>
      </c>
      <c r="K52" s="909" t="s">
        <v>137</v>
      </c>
      <c r="L52" s="909" t="s">
        <v>138</v>
      </c>
      <c r="M52" s="909" t="s">
        <v>139</v>
      </c>
      <c r="N52" s="909" t="s">
        <v>140</v>
      </c>
      <c r="O52" s="885"/>
    </row>
    <row r="53" spans="2:15" s="6" customFormat="1" ht="15.75">
      <c r="B53" s="889"/>
      <c r="C53" s="916" t="s">
        <v>445</v>
      </c>
      <c r="D53" s="917" t="s">
        <v>396</v>
      </c>
      <c r="E53" s="917" t="s">
        <v>65</v>
      </c>
      <c r="F53" s="918">
        <v>0.38600000000000001</v>
      </c>
      <c r="G53" s="919">
        <v>0.36</v>
      </c>
      <c r="H53" s="919">
        <v>0.36</v>
      </c>
      <c r="I53" s="919">
        <v>0.36</v>
      </c>
      <c r="J53" s="919">
        <v>0.36</v>
      </c>
      <c r="K53" s="919">
        <v>0.36</v>
      </c>
      <c r="L53" s="919">
        <v>0.36</v>
      </c>
      <c r="M53" s="919">
        <v>0.36</v>
      </c>
      <c r="N53" s="919">
        <v>0.36</v>
      </c>
      <c r="O53" s="893"/>
    </row>
    <row r="54" spans="2:15">
      <c r="B54" s="884"/>
      <c r="C54" s="67"/>
      <c r="D54" s="67"/>
      <c r="E54" s="67"/>
      <c r="F54" s="67"/>
      <c r="G54" s="67"/>
      <c r="H54" s="67"/>
      <c r="I54" s="67"/>
      <c r="J54" s="67"/>
      <c r="K54" s="67"/>
      <c r="L54" s="67"/>
      <c r="M54" s="67"/>
      <c r="N54" s="67"/>
      <c r="O54" s="885"/>
    </row>
    <row r="55" spans="2:15">
      <c r="B55" s="884"/>
      <c r="C55" s="49" t="s">
        <v>733</v>
      </c>
      <c r="D55" s="67"/>
      <c r="E55" s="67"/>
      <c r="F55" s="67"/>
      <c r="G55" s="67"/>
      <c r="H55" s="67"/>
      <c r="I55" s="67"/>
      <c r="J55" s="67"/>
      <c r="K55" s="67"/>
      <c r="L55" s="67"/>
      <c r="M55" s="67"/>
      <c r="N55" s="67"/>
      <c r="O55" s="885"/>
    </row>
    <row r="56" spans="2:15">
      <c r="B56" s="884"/>
      <c r="C56" s="67"/>
      <c r="D56" s="67"/>
      <c r="E56" s="67"/>
      <c r="F56" s="67"/>
      <c r="G56" s="67"/>
      <c r="H56" s="67"/>
      <c r="I56" s="67"/>
      <c r="J56" s="67"/>
      <c r="K56" s="67"/>
      <c r="L56" s="67"/>
      <c r="M56" s="67"/>
      <c r="N56" s="67"/>
      <c r="O56" s="885"/>
    </row>
    <row r="57" spans="2:15" ht="15.75">
      <c r="B57" s="886"/>
      <c r="C57" s="887" t="s">
        <v>132</v>
      </c>
      <c r="D57" s="887" t="s">
        <v>731</v>
      </c>
      <c r="E57" s="887" t="s">
        <v>30</v>
      </c>
      <c r="F57" s="908">
        <v>2013</v>
      </c>
      <c r="G57" s="909" t="s">
        <v>133</v>
      </c>
      <c r="H57" s="909" t="s">
        <v>134</v>
      </c>
      <c r="I57" s="909" t="s">
        <v>135</v>
      </c>
      <c r="J57" s="909" t="s">
        <v>136</v>
      </c>
      <c r="K57" s="909" t="s">
        <v>137</v>
      </c>
      <c r="L57" s="909" t="s">
        <v>138</v>
      </c>
      <c r="M57" s="909" t="s">
        <v>139</v>
      </c>
      <c r="N57" s="909" t="s">
        <v>140</v>
      </c>
      <c r="O57" s="885"/>
    </row>
    <row r="58" spans="2:15" ht="15.75">
      <c r="B58" s="886"/>
      <c r="C58" s="896" t="s">
        <v>445</v>
      </c>
      <c r="D58" s="897" t="s">
        <v>396</v>
      </c>
      <c r="E58" s="897" t="s">
        <v>65</v>
      </c>
      <c r="F58" s="918">
        <v>0.59599999999999997</v>
      </c>
      <c r="G58" s="98">
        <v>0.7</v>
      </c>
      <c r="H58" s="98">
        <v>0.8</v>
      </c>
      <c r="I58" s="98">
        <v>0.8</v>
      </c>
      <c r="J58" s="98">
        <v>0.8</v>
      </c>
      <c r="K58" s="98">
        <v>0.8</v>
      </c>
      <c r="L58" s="98">
        <v>0.8</v>
      </c>
      <c r="M58" s="98">
        <v>0.8</v>
      </c>
      <c r="N58" s="98">
        <v>0.8</v>
      </c>
      <c r="O58" s="885"/>
    </row>
    <row r="59" spans="2:15">
      <c r="B59" s="884"/>
      <c r="C59" s="67"/>
      <c r="D59" s="67"/>
      <c r="E59" s="67"/>
      <c r="F59" s="67"/>
      <c r="G59" s="67"/>
      <c r="H59" s="67"/>
      <c r="I59" s="67"/>
      <c r="J59" s="67"/>
      <c r="K59" s="67"/>
      <c r="L59" s="67"/>
      <c r="M59" s="67"/>
      <c r="N59" s="67"/>
      <c r="O59" s="885"/>
    </row>
    <row r="60" spans="2:15">
      <c r="B60" s="884"/>
      <c r="C60" s="49" t="s">
        <v>1888</v>
      </c>
      <c r="D60" s="67"/>
      <c r="E60" s="51"/>
      <c r="F60" s="51" t="s">
        <v>280</v>
      </c>
      <c r="G60" s="67"/>
      <c r="H60" s="67"/>
      <c r="I60" s="67"/>
      <c r="J60" s="67"/>
      <c r="K60" s="67"/>
      <c r="L60" s="67"/>
      <c r="M60" s="67"/>
      <c r="N60" s="51"/>
      <c r="O60" s="885"/>
    </row>
    <row r="61" spans="2:15">
      <c r="B61" s="884"/>
      <c r="C61" s="67"/>
      <c r="D61" s="67"/>
      <c r="E61" s="67"/>
      <c r="F61" s="67"/>
      <c r="G61" s="67"/>
      <c r="H61" s="67"/>
      <c r="I61" s="67"/>
      <c r="J61" s="67"/>
      <c r="K61" s="67"/>
      <c r="L61" s="67"/>
      <c r="M61" s="67"/>
      <c r="N61" s="67"/>
      <c r="O61" s="885"/>
    </row>
    <row r="62" spans="2:15" ht="15.75">
      <c r="B62" s="886"/>
      <c r="C62" s="887" t="s">
        <v>132</v>
      </c>
      <c r="D62" s="887" t="s">
        <v>731</v>
      </c>
      <c r="E62" s="887" t="s">
        <v>30</v>
      </c>
      <c r="F62" s="909">
        <v>2013</v>
      </c>
      <c r="G62" s="920"/>
      <c r="H62" s="920"/>
      <c r="I62" s="920"/>
      <c r="J62" s="920"/>
      <c r="K62" s="920"/>
      <c r="L62" s="920"/>
      <c r="M62" s="920"/>
      <c r="N62" s="920"/>
      <c r="O62" s="885"/>
    </row>
    <row r="63" spans="2:15" ht="15.75">
      <c r="B63" s="886"/>
      <c r="C63" s="916" t="s">
        <v>445</v>
      </c>
      <c r="D63" s="897" t="s">
        <v>396</v>
      </c>
      <c r="E63" s="917"/>
      <c r="F63" s="921">
        <v>0</v>
      </c>
      <c r="G63" s="892"/>
      <c r="H63" s="892"/>
      <c r="I63" s="892"/>
      <c r="J63" s="892"/>
      <c r="K63" s="892"/>
      <c r="L63" s="892"/>
      <c r="M63" s="892"/>
      <c r="N63" s="892"/>
      <c r="O63" s="885"/>
    </row>
    <row r="64" spans="2:15">
      <c r="B64" s="884"/>
      <c r="C64" s="67"/>
      <c r="D64" s="67"/>
      <c r="E64" s="67"/>
      <c r="F64" s="67"/>
      <c r="G64" s="67"/>
      <c r="H64" s="67"/>
      <c r="I64" s="67"/>
      <c r="J64" s="67"/>
      <c r="K64" s="67"/>
      <c r="L64" s="67"/>
      <c r="M64" s="67"/>
      <c r="N64" s="67"/>
      <c r="O64" s="885"/>
    </row>
    <row r="65" spans="1:17">
      <c r="B65" s="884"/>
      <c r="C65" s="49" t="s">
        <v>734</v>
      </c>
      <c r="D65" s="67"/>
      <c r="E65" s="51"/>
      <c r="F65" s="67"/>
      <c r="G65" s="67"/>
      <c r="H65" s="67"/>
      <c r="I65" s="67"/>
      <c r="J65" s="67"/>
      <c r="K65" s="67"/>
      <c r="L65" s="67"/>
      <c r="M65" s="67"/>
      <c r="N65" s="51" t="str">
        <f>Preferences.PowerUnits &amp; " per annum, following period"</f>
        <v>GW per annum, following period</v>
      </c>
      <c r="O65" s="885"/>
    </row>
    <row r="66" spans="1:17">
      <c r="B66" s="884"/>
      <c r="C66" s="67"/>
      <c r="D66" s="67"/>
      <c r="E66" s="67"/>
      <c r="F66" s="67"/>
      <c r="G66" s="67"/>
      <c r="H66" s="67"/>
      <c r="I66" s="67"/>
      <c r="J66" s="67"/>
      <c r="K66" s="67"/>
      <c r="L66" s="67"/>
      <c r="M66" s="67"/>
      <c r="N66" s="67"/>
      <c r="O66" s="885"/>
    </row>
    <row r="67" spans="1:17" ht="15.75">
      <c r="B67" s="886"/>
      <c r="C67" s="887" t="s">
        <v>132</v>
      </c>
      <c r="D67" s="887" t="s">
        <v>731</v>
      </c>
      <c r="E67" s="887" t="s">
        <v>30</v>
      </c>
      <c r="F67" s="92">
        <v>2013</v>
      </c>
      <c r="G67" s="92">
        <v>2015</v>
      </c>
      <c r="H67" s="92">
        <v>2020</v>
      </c>
      <c r="I67" s="92">
        <v>2025</v>
      </c>
      <c r="J67" s="92">
        <v>2030</v>
      </c>
      <c r="K67" s="92">
        <v>2035</v>
      </c>
      <c r="L67" s="92">
        <v>2040</v>
      </c>
      <c r="M67" s="92">
        <v>2045</v>
      </c>
      <c r="N67" s="92">
        <v>2050</v>
      </c>
      <c r="O67" s="885"/>
    </row>
    <row r="68" spans="1:17" ht="15.75">
      <c r="B68" s="886"/>
      <c r="C68" s="916" t="s">
        <v>445</v>
      </c>
      <c r="D68" s="917" t="s">
        <v>396</v>
      </c>
      <c r="E68" s="917"/>
      <c r="F68" s="921">
        <v>0</v>
      </c>
      <c r="G68" s="921">
        <v>0</v>
      </c>
      <c r="H68" s="921">
        <v>0</v>
      </c>
      <c r="I68" s="921">
        <v>0</v>
      </c>
      <c r="J68" s="921">
        <v>0</v>
      </c>
      <c r="K68" s="921">
        <v>0</v>
      </c>
      <c r="L68" s="921">
        <v>0</v>
      </c>
      <c r="M68" s="921">
        <v>0</v>
      </c>
      <c r="N68" s="921"/>
      <c r="O68" s="885"/>
    </row>
    <row r="69" spans="1:17">
      <c r="B69" s="884"/>
      <c r="C69" s="67"/>
      <c r="D69" s="67"/>
      <c r="E69" s="67"/>
      <c r="F69" s="67"/>
      <c r="G69" s="67"/>
      <c r="H69" s="67"/>
      <c r="I69" s="67"/>
      <c r="J69" s="67"/>
      <c r="K69" s="67"/>
      <c r="L69" s="67"/>
      <c r="M69" s="67"/>
      <c r="N69" s="67"/>
      <c r="O69" s="885"/>
    </row>
    <row r="70" spans="1:17" ht="15.75">
      <c r="B70" s="55"/>
      <c r="C70" s="49" t="s">
        <v>735</v>
      </c>
      <c r="D70" s="67"/>
      <c r="E70" s="67"/>
      <c r="F70" s="67"/>
      <c r="G70" s="67"/>
      <c r="H70" s="67"/>
      <c r="I70" s="67"/>
      <c r="J70" s="67"/>
      <c r="K70" s="67"/>
      <c r="L70" s="67"/>
      <c r="M70" s="67"/>
      <c r="N70" s="67"/>
      <c r="O70" s="885"/>
    </row>
    <row r="71" spans="1:17" ht="15.75">
      <c r="B71" s="55"/>
      <c r="C71" s="67"/>
      <c r="D71" s="67"/>
      <c r="E71" s="67"/>
      <c r="F71" s="67"/>
      <c r="G71" s="67"/>
      <c r="H71" s="67"/>
      <c r="I71" s="67"/>
      <c r="J71" s="67"/>
      <c r="K71" s="67"/>
      <c r="L71" s="67"/>
      <c r="M71" s="67"/>
      <c r="N71" s="67"/>
      <c r="O71" s="885"/>
    </row>
    <row r="72" spans="1:17" ht="15.75">
      <c r="B72" s="55"/>
      <c r="C72" s="887"/>
      <c r="D72" s="887"/>
      <c r="E72" s="887"/>
      <c r="F72" s="922"/>
      <c r="G72" s="1161"/>
      <c r="H72" s="67"/>
      <c r="I72" s="920"/>
      <c r="J72" s="920"/>
      <c r="K72" s="920"/>
      <c r="L72" s="920"/>
      <c r="M72" s="920"/>
      <c r="N72" s="920"/>
      <c r="O72" s="885"/>
    </row>
    <row r="73" spans="1:17" ht="15.75">
      <c r="B73" s="55"/>
      <c r="C73" s="923"/>
      <c r="D73" s="924" t="s">
        <v>736</v>
      </c>
      <c r="E73" s="923"/>
      <c r="F73" s="925">
        <v>60</v>
      </c>
      <c r="G73" s="1225" t="s">
        <v>1891</v>
      </c>
      <c r="H73" s="67"/>
      <c r="I73" s="920"/>
      <c r="J73" s="920"/>
      <c r="K73" s="920"/>
      <c r="L73" s="920"/>
      <c r="M73" s="920"/>
      <c r="N73" s="920"/>
      <c r="O73" s="885"/>
    </row>
    <row r="74" spans="1:17" ht="15.75">
      <c r="B74" s="55"/>
      <c r="C74" s="926"/>
      <c r="D74" s="199" t="s">
        <v>737</v>
      </c>
      <c r="E74" s="199"/>
      <c r="F74" s="352">
        <f>Unit.GW*1</f>
        <v>1</v>
      </c>
      <c r="G74" s="1165" t="str">
        <f>Preferences.PowerUnits&amp;"peak"</f>
        <v>GWpeak</v>
      </c>
      <c r="H74" s="67"/>
      <c r="I74" s="59"/>
      <c r="J74" s="59"/>
      <c r="K74" s="59"/>
      <c r="L74" s="59"/>
      <c r="M74" s="59"/>
      <c r="N74" s="59"/>
      <c r="O74" s="885"/>
    </row>
    <row r="75" spans="1:17">
      <c r="B75" s="110"/>
      <c r="C75" s="67"/>
      <c r="D75" s="67"/>
      <c r="E75" s="67"/>
      <c r="F75" s="67"/>
      <c r="G75" s="67" t="s">
        <v>5</v>
      </c>
      <c r="H75" s="67"/>
      <c r="I75" s="67"/>
      <c r="J75" s="67"/>
      <c r="K75" s="67"/>
      <c r="L75" s="67"/>
      <c r="M75" s="67"/>
      <c r="N75" s="67"/>
      <c r="O75" s="885"/>
    </row>
    <row r="76" spans="1:17">
      <c r="B76" s="904"/>
      <c r="C76" s="3862" t="s">
        <v>64</v>
      </c>
      <c r="D76" s="67"/>
      <c r="E76" s="67"/>
      <c r="F76" s="67"/>
      <c r="G76" s="67"/>
      <c r="H76" s="67"/>
      <c r="I76" s="67"/>
      <c r="J76" s="67"/>
      <c r="K76" s="67"/>
      <c r="L76" s="67"/>
      <c r="M76" s="67"/>
      <c r="N76" s="67"/>
      <c r="O76" s="885"/>
    </row>
    <row r="77" spans="1:17" s="927" customFormat="1" ht="12.75">
      <c r="B77" s="928"/>
      <c r="C77" s="929" t="s">
        <v>65</v>
      </c>
      <c r="D77" s="930" t="s">
        <v>3275</v>
      </c>
      <c r="E77" s="931"/>
      <c r="F77" s="931"/>
      <c r="G77" s="931"/>
      <c r="H77" s="931"/>
      <c r="I77" s="931"/>
      <c r="J77" s="931"/>
      <c r="K77" s="931"/>
      <c r="L77" s="931"/>
      <c r="M77" s="931"/>
      <c r="N77" s="931"/>
      <c r="O77" s="932"/>
    </row>
    <row r="78" spans="1:17" s="927" customFormat="1" ht="12.75">
      <c r="B78" s="928"/>
      <c r="C78" s="929"/>
      <c r="D78" s="933" t="s">
        <v>3054</v>
      </c>
      <c r="E78" s="931"/>
      <c r="F78" s="931"/>
      <c r="G78" s="931"/>
      <c r="H78" s="931"/>
      <c r="I78" s="931"/>
      <c r="J78" s="931"/>
      <c r="K78" s="931"/>
      <c r="L78" s="931"/>
      <c r="M78" s="931"/>
      <c r="N78" s="931"/>
      <c r="O78" s="932"/>
    </row>
    <row r="79" spans="1:17" s="927" customFormat="1">
      <c r="B79" s="928"/>
      <c r="C79" s="109"/>
      <c r="D79" s="933"/>
      <c r="E79" s="931"/>
      <c r="F79" s="931"/>
      <c r="G79" s="931"/>
      <c r="H79" s="931"/>
      <c r="I79" s="931"/>
      <c r="J79" s="931"/>
      <c r="K79" s="931"/>
      <c r="L79" s="931"/>
      <c r="M79" s="931"/>
      <c r="N79" s="931"/>
      <c r="O79" s="932"/>
    </row>
    <row r="80" spans="1:17">
      <c r="A80" s="398"/>
      <c r="B80" s="398"/>
      <c r="C80" s="398"/>
      <c r="D80" s="398"/>
      <c r="E80" s="398"/>
      <c r="F80" s="398"/>
      <c r="G80" s="398"/>
      <c r="H80" s="398"/>
      <c r="I80" s="398"/>
      <c r="J80" s="398"/>
      <c r="K80" s="398"/>
      <c r="L80" s="398"/>
      <c r="M80" s="398"/>
      <c r="N80" s="398"/>
      <c r="O80" s="398"/>
      <c r="P80" s="398"/>
      <c r="Q80" s="398"/>
    </row>
    <row r="81" spans="1:79" s="6" customFormat="1" ht="23.25">
      <c r="A81" s="40"/>
      <c r="B81" s="934" t="s">
        <v>2794</v>
      </c>
      <c r="C81" s="935"/>
      <c r="D81" s="935"/>
      <c r="E81" s="935"/>
      <c r="F81" s="935"/>
      <c r="G81" s="935"/>
      <c r="H81" s="935"/>
      <c r="I81" s="935"/>
      <c r="J81" s="935"/>
      <c r="K81" s="935"/>
      <c r="L81" s="935"/>
      <c r="M81" s="935"/>
      <c r="N81" s="936"/>
      <c r="O81" s="936"/>
    </row>
    <row r="82" spans="1:79" s="6" customFormat="1" ht="15" hidden="1" customHeight="1">
      <c r="A82"/>
      <c r="B82" s="937"/>
      <c r="C82" s="938"/>
      <c r="D82" s="939"/>
      <c r="E82" s="939"/>
      <c r="F82" s="939"/>
      <c r="G82" s="939"/>
      <c r="H82" s="939"/>
      <c r="I82" s="939"/>
      <c r="J82" s="939"/>
      <c r="K82" s="939"/>
      <c r="L82" s="939"/>
      <c r="M82" s="940"/>
      <c r="N82" s="940"/>
      <c r="O82" s="47"/>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row>
    <row r="83" spans="1:79" s="6" customFormat="1" ht="4.5" hidden="1" customHeight="1">
      <c r="A83"/>
      <c r="B83" s="937"/>
      <c r="C83" s="939"/>
      <c r="D83" s="939"/>
      <c r="E83" s="939"/>
      <c r="F83" s="939"/>
      <c r="G83" s="939"/>
      <c r="H83" s="939"/>
      <c r="I83" s="939"/>
      <c r="J83" s="939"/>
      <c r="K83" s="939"/>
      <c r="L83" s="939"/>
      <c r="M83" s="940"/>
      <c r="N83" s="940"/>
      <c r="O83" s="47"/>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row>
    <row r="84" spans="1:79" s="6" customFormat="1" ht="15" hidden="1" customHeight="1">
      <c r="A84"/>
      <c r="B84" s="937"/>
      <c r="C84" s="49" t="s">
        <v>1889</v>
      </c>
      <c r="D84" s="924"/>
      <c r="E84" s="941"/>
      <c r="F84" s="942"/>
      <c r="G84" s="943"/>
      <c r="H84" s="943"/>
      <c r="I84" s="943"/>
      <c r="J84" s="943"/>
      <c r="K84" s="943"/>
      <c r="L84" s="943"/>
      <c r="M84" s="943"/>
      <c r="N84" s="944" t="s">
        <v>2817</v>
      </c>
      <c r="O84" s="945"/>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row>
    <row r="85" spans="1:79" s="6" customFormat="1" ht="5.25" hidden="1" customHeight="1">
      <c r="A85"/>
      <c r="B85" s="937"/>
      <c r="C85" s="946"/>
      <c r="D85" s="924"/>
      <c r="E85" s="941"/>
      <c r="F85" s="942"/>
      <c r="G85" s="943"/>
      <c r="H85" s="943"/>
      <c r="I85" s="943"/>
      <c r="J85" s="943"/>
      <c r="K85" s="943"/>
      <c r="L85" s="943"/>
      <c r="M85" s="943"/>
      <c r="N85" s="67"/>
      <c r="O85" s="94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row>
    <row r="86" spans="1:79" s="6" customFormat="1" ht="15" hidden="1" customHeight="1">
      <c r="A86"/>
      <c r="B86" s="937"/>
      <c r="C86" s="947"/>
      <c r="D86" s="948"/>
      <c r="E86" s="949" t="s">
        <v>160</v>
      </c>
      <c r="F86" s="950">
        <v>2013</v>
      </c>
      <c r="G86" s="951">
        <v>2015</v>
      </c>
      <c r="H86" s="951">
        <v>2020</v>
      </c>
      <c r="I86" s="951">
        <v>2025</v>
      </c>
      <c r="J86" s="951">
        <v>2030</v>
      </c>
      <c r="K86" s="951">
        <v>2035</v>
      </c>
      <c r="L86" s="951">
        <v>2040</v>
      </c>
      <c r="M86" s="951">
        <v>2045</v>
      </c>
      <c r="N86" s="951">
        <v>2050</v>
      </c>
      <c r="O86" s="945"/>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row>
    <row r="87" spans="1:79" s="6" customFormat="1" ht="15.75" hidden="1" customHeight="1">
      <c r="A87"/>
      <c r="B87" s="937"/>
      <c r="C87" s="952" t="s">
        <v>738</v>
      </c>
      <c r="D87" s="924"/>
      <c r="E87" s="953"/>
      <c r="F87" s="954"/>
      <c r="G87" s="954"/>
      <c r="H87" s="954"/>
      <c r="I87" s="954"/>
      <c r="J87" s="954"/>
      <c r="K87" s="954"/>
      <c r="L87" s="954"/>
      <c r="M87" s="954"/>
      <c r="N87" s="954"/>
      <c r="O87" s="945"/>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row>
    <row r="88" spans="1:79" s="6" customFormat="1" ht="15.75" hidden="1" customHeight="1">
      <c r="A88"/>
      <c r="B88" s="937"/>
      <c r="C88" s="952" t="s">
        <v>739</v>
      </c>
      <c r="D88" s="924"/>
      <c r="E88" s="953"/>
      <c r="F88" s="954"/>
      <c r="G88" s="954"/>
      <c r="H88" s="954"/>
      <c r="I88" s="954"/>
      <c r="J88" s="954"/>
      <c r="K88" s="954"/>
      <c r="L88" s="954"/>
      <c r="M88" s="954"/>
      <c r="N88" s="954"/>
      <c r="O88" s="945"/>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row>
    <row r="89" spans="1:79" s="6" customFormat="1" ht="15.75" hidden="1" customHeight="1">
      <c r="A89"/>
      <c r="B89" s="955"/>
      <c r="C89" s="956" t="s">
        <v>740</v>
      </c>
      <c r="D89" s="957"/>
      <c r="E89" s="958"/>
      <c r="F89" s="959"/>
      <c r="G89" s="959"/>
      <c r="H89" s="959"/>
      <c r="I89" s="959"/>
      <c r="J89" s="959"/>
      <c r="K89" s="959"/>
      <c r="L89" s="959"/>
      <c r="M89" s="959"/>
      <c r="N89" s="959"/>
      <c r="O89" s="945"/>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row>
    <row r="90" spans="1:79" s="6" customFormat="1" ht="15" hidden="1" customHeight="1">
      <c r="A90"/>
      <c r="B90" s="955"/>
      <c r="C90" s="946"/>
      <c r="D90" s="924"/>
      <c r="E90" s="941"/>
      <c r="F90" s="942"/>
      <c r="G90" s="943"/>
      <c r="H90" s="943"/>
      <c r="I90" s="943"/>
      <c r="J90" s="943"/>
      <c r="K90" s="943"/>
      <c r="L90" s="943"/>
      <c r="M90" s="943"/>
      <c r="N90" s="67"/>
      <c r="O90" s="945"/>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row>
    <row r="91" spans="1:79" ht="15" hidden="1" customHeight="1">
      <c r="B91" s="960"/>
      <c r="C91" s="49" t="s">
        <v>1890</v>
      </c>
      <c r="D91" s="924"/>
      <c r="E91" s="941" t="s">
        <v>5</v>
      </c>
      <c r="F91" s="942"/>
      <c r="G91" s="943"/>
      <c r="H91" s="943"/>
      <c r="I91" s="943"/>
      <c r="J91" s="943"/>
      <c r="K91" s="943"/>
      <c r="L91" s="943"/>
      <c r="M91" s="943"/>
      <c r="N91" s="944" t="s">
        <v>2817</v>
      </c>
      <c r="O91" s="47"/>
    </row>
    <row r="92" spans="1:79" ht="4.5" hidden="1" customHeight="1">
      <c r="B92" s="960"/>
      <c r="C92" s="946"/>
      <c r="D92" s="924"/>
      <c r="E92" s="941"/>
      <c r="F92" s="942"/>
      <c r="G92" s="943"/>
      <c r="H92" s="943"/>
      <c r="I92" s="943"/>
      <c r="J92" s="943"/>
      <c r="K92" s="943"/>
      <c r="L92" s="943"/>
      <c r="M92" s="943"/>
      <c r="N92" s="67"/>
      <c r="O92" s="47"/>
    </row>
    <row r="93" spans="1:79" ht="15" hidden="1" customHeight="1">
      <c r="B93" s="960"/>
      <c r="C93" s="961"/>
      <c r="D93" s="962"/>
      <c r="E93" s="963" t="s">
        <v>160</v>
      </c>
      <c r="F93" s="964">
        <v>2013</v>
      </c>
      <c r="G93" s="965">
        <v>2015</v>
      </c>
      <c r="H93" s="965">
        <v>2020</v>
      </c>
      <c r="I93" s="965">
        <v>2025</v>
      </c>
      <c r="J93" s="965">
        <v>2030</v>
      </c>
      <c r="K93" s="965">
        <v>2035</v>
      </c>
      <c r="L93" s="965">
        <v>2040</v>
      </c>
      <c r="M93" s="965">
        <v>2045</v>
      </c>
      <c r="N93" s="965">
        <v>2050</v>
      </c>
      <c r="O93" s="47"/>
    </row>
    <row r="94" spans="1:79" ht="15.75" hidden="1" customHeight="1">
      <c r="B94" s="960"/>
      <c r="C94" s="952" t="s">
        <v>738</v>
      </c>
      <c r="D94" s="924"/>
      <c r="E94" s="953"/>
      <c r="F94" s="954"/>
      <c r="G94" s="954"/>
      <c r="H94" s="954"/>
      <c r="I94" s="954"/>
      <c r="J94" s="954"/>
      <c r="K94" s="954"/>
      <c r="L94" s="954"/>
      <c r="M94" s="954"/>
      <c r="N94" s="954"/>
      <c r="O94" s="47"/>
    </row>
    <row r="95" spans="1:79" ht="15.75" hidden="1" customHeight="1">
      <c r="B95" s="960"/>
      <c r="C95" s="952" t="s">
        <v>739</v>
      </c>
      <c r="D95" s="924"/>
      <c r="E95" s="953"/>
      <c r="F95" s="954"/>
      <c r="G95" s="954"/>
      <c r="H95" s="954"/>
      <c r="I95" s="954"/>
      <c r="J95" s="954"/>
      <c r="K95" s="954"/>
      <c r="L95" s="954"/>
      <c r="M95" s="954"/>
      <c r="N95" s="954"/>
      <c r="O95" s="47"/>
    </row>
    <row r="96" spans="1:79" ht="15.75" hidden="1" customHeight="1">
      <c r="B96" s="960"/>
      <c r="C96" s="956" t="s">
        <v>740</v>
      </c>
      <c r="D96" s="957"/>
      <c r="E96" s="958"/>
      <c r="F96" s="959"/>
      <c r="G96" s="959"/>
      <c r="H96" s="959"/>
      <c r="I96" s="959"/>
      <c r="J96" s="959"/>
      <c r="K96" s="959"/>
      <c r="L96" s="959"/>
      <c r="M96" s="959"/>
      <c r="N96" s="959"/>
      <c r="O96" s="47"/>
    </row>
    <row r="97" spans="2:15" ht="15" hidden="1" customHeight="1">
      <c r="B97" s="110"/>
      <c r="C97" s="47"/>
      <c r="D97" s="47"/>
      <c r="E97" s="47"/>
      <c r="F97" s="47"/>
      <c r="G97" s="47"/>
      <c r="H97" s="47"/>
      <c r="I97" s="47"/>
      <c r="J97" s="47"/>
      <c r="K97" s="47"/>
      <c r="L97" s="47"/>
      <c r="M97" s="47"/>
      <c r="N97" s="47"/>
      <c r="O97" s="47"/>
    </row>
    <row r="98" spans="2:15" ht="15" hidden="1" customHeight="1">
      <c r="B98" s="110"/>
      <c r="C98" s="970" t="s">
        <v>741</v>
      </c>
      <c r="D98" s="47"/>
      <c r="E98" s="47"/>
      <c r="F98" s="47"/>
      <c r="G98" s="47"/>
      <c r="H98" s="47"/>
      <c r="I98" s="47"/>
      <c r="J98" s="47"/>
      <c r="K98" s="47"/>
      <c r="L98" s="47"/>
      <c r="M98" s="47"/>
      <c r="N98" s="971" t="s">
        <v>2818</v>
      </c>
      <c r="O98" s="47"/>
    </row>
    <row r="99" spans="2:15" ht="15" hidden="1" customHeight="1">
      <c r="B99" s="110"/>
      <c r="C99" s="47"/>
      <c r="D99" s="47"/>
      <c r="E99" s="47"/>
      <c r="F99" s="47"/>
      <c r="G99" s="47"/>
      <c r="H99" s="47"/>
      <c r="I99" s="47"/>
      <c r="J99" s="47"/>
      <c r="K99" s="47"/>
      <c r="L99" s="47"/>
      <c r="M99" s="47"/>
      <c r="N99" s="47"/>
      <c r="O99" s="47"/>
    </row>
    <row r="100" spans="2:15" ht="15.75" hidden="1" customHeight="1">
      <c r="B100" s="55"/>
      <c r="C100" s="972"/>
      <c r="D100" s="973"/>
      <c r="E100" s="980" t="s">
        <v>160</v>
      </c>
      <c r="F100" s="981">
        <v>2013</v>
      </c>
      <c r="G100" s="974">
        <v>2015</v>
      </c>
      <c r="H100" s="974">
        <v>2020</v>
      </c>
      <c r="I100" s="974">
        <v>2025</v>
      </c>
      <c r="J100" s="974">
        <v>2030</v>
      </c>
      <c r="K100" s="974">
        <v>2035</v>
      </c>
      <c r="L100" s="974">
        <v>2040</v>
      </c>
      <c r="M100" s="974">
        <v>2045</v>
      </c>
      <c r="N100" s="974">
        <v>2050</v>
      </c>
      <c r="O100" s="47"/>
    </row>
    <row r="101" spans="2:15" s="6" customFormat="1" ht="15.75" hidden="1" customHeight="1">
      <c r="B101" s="975"/>
      <c r="C101" s="976" t="s">
        <v>738</v>
      </c>
      <c r="D101" s="977"/>
      <c r="E101" s="2488"/>
      <c r="F101" s="2489"/>
      <c r="G101" s="2489"/>
      <c r="H101" s="2489"/>
      <c r="I101" s="2489"/>
      <c r="J101" s="2489"/>
      <c r="K101" s="2489"/>
      <c r="L101" s="2489"/>
      <c r="M101" s="2489"/>
      <c r="N101" s="2489"/>
      <c r="O101" s="945"/>
    </row>
    <row r="102" spans="2:15" ht="15" hidden="1" customHeight="1">
      <c r="B102" s="45"/>
      <c r="C102" s="952" t="s">
        <v>739</v>
      </c>
      <c r="D102" s="67"/>
      <c r="E102" s="953"/>
      <c r="F102" s="954"/>
      <c r="G102" s="954"/>
      <c r="H102" s="954"/>
      <c r="I102" s="954"/>
      <c r="J102" s="954"/>
      <c r="K102" s="954"/>
      <c r="L102" s="954"/>
      <c r="M102" s="954"/>
      <c r="N102" s="954"/>
      <c r="O102" s="47"/>
    </row>
    <row r="103" spans="2:15" ht="15" hidden="1" customHeight="1">
      <c r="B103" s="46"/>
      <c r="C103" s="956" t="s">
        <v>740</v>
      </c>
      <c r="D103" s="978"/>
      <c r="E103" s="958"/>
      <c r="F103" s="959"/>
      <c r="G103" s="959"/>
      <c r="H103" s="959"/>
      <c r="I103" s="959"/>
      <c r="J103" s="959"/>
      <c r="K103" s="959"/>
      <c r="L103" s="959"/>
      <c r="M103" s="959"/>
      <c r="N103" s="959"/>
      <c r="O103" s="47"/>
    </row>
    <row r="104" spans="2:15" ht="15" hidden="1" customHeight="1">
      <c r="B104" s="46"/>
      <c r="C104" s="952"/>
      <c r="D104" s="67"/>
      <c r="E104" s="953"/>
      <c r="F104" s="67"/>
      <c r="G104" s="67"/>
      <c r="H104" s="67"/>
      <c r="I104" s="67"/>
      <c r="J104" s="67"/>
      <c r="K104" s="67"/>
      <c r="L104" s="67"/>
      <c r="M104" s="67"/>
      <c r="N104" s="67"/>
      <c r="O104" s="47"/>
    </row>
    <row r="105" spans="2:15" ht="15" hidden="1" customHeight="1">
      <c r="B105" s="47"/>
      <c r="C105" s="970" t="s">
        <v>742</v>
      </c>
      <c r="D105" s="47"/>
      <c r="E105" s="47"/>
      <c r="F105" s="47"/>
      <c r="G105" s="47"/>
      <c r="H105" s="47"/>
      <c r="I105" s="47"/>
      <c r="J105" s="47"/>
      <c r="K105" s="47"/>
      <c r="L105" s="47"/>
      <c r="M105" s="47"/>
      <c r="N105" s="971" t="s">
        <v>2818</v>
      </c>
      <c r="O105" s="47"/>
    </row>
    <row r="106" spans="2:15" ht="15" hidden="1" customHeight="1">
      <c r="B106" s="47"/>
      <c r="C106" s="47"/>
      <c r="D106" s="47"/>
      <c r="E106" s="47"/>
      <c r="F106" s="47"/>
      <c r="G106" s="47"/>
      <c r="H106" s="47"/>
      <c r="I106" s="47"/>
      <c r="J106" s="47"/>
      <c r="K106" s="47"/>
      <c r="L106" s="47"/>
      <c r="M106" s="47"/>
      <c r="N106" s="971"/>
      <c r="O106" s="47"/>
    </row>
    <row r="107" spans="2:15" ht="15" hidden="1" customHeight="1">
      <c r="B107" s="47"/>
      <c r="C107" s="972"/>
      <c r="D107" s="973"/>
      <c r="E107" s="980" t="s">
        <v>160</v>
      </c>
      <c r="F107" s="981">
        <v>2013</v>
      </c>
      <c r="G107" s="974">
        <v>2015</v>
      </c>
      <c r="H107" s="974">
        <v>2020</v>
      </c>
      <c r="I107" s="974">
        <v>2025</v>
      </c>
      <c r="J107" s="974">
        <v>2030</v>
      </c>
      <c r="K107" s="974">
        <v>2035</v>
      </c>
      <c r="L107" s="974">
        <v>2040</v>
      </c>
      <c r="M107" s="974">
        <v>2045</v>
      </c>
      <c r="N107" s="974">
        <v>2050</v>
      </c>
      <c r="O107" s="47"/>
    </row>
    <row r="108" spans="2:15" ht="15" hidden="1" customHeight="1">
      <c r="B108" s="110"/>
      <c r="C108" s="976" t="s">
        <v>738</v>
      </c>
      <c r="D108" s="977"/>
      <c r="E108" s="2488"/>
      <c r="F108" s="2489"/>
      <c r="G108" s="2489"/>
      <c r="H108" s="2489"/>
      <c r="I108" s="2489"/>
      <c r="J108" s="2489"/>
      <c r="K108" s="2489"/>
      <c r="L108" s="2489"/>
      <c r="M108" s="2489"/>
      <c r="N108" s="2489"/>
      <c r="O108" s="47"/>
    </row>
    <row r="109" spans="2:15" ht="15" hidden="1" customHeight="1">
      <c r="B109" s="47"/>
      <c r="C109" s="952" t="s">
        <v>739</v>
      </c>
      <c r="D109" s="67"/>
      <c r="E109" s="953"/>
      <c r="F109" s="954"/>
      <c r="G109" s="954"/>
      <c r="H109" s="954"/>
      <c r="I109" s="954"/>
      <c r="J109" s="954"/>
      <c r="K109" s="954"/>
      <c r="L109" s="954"/>
      <c r="M109" s="954"/>
      <c r="N109" s="954"/>
      <c r="O109" s="47"/>
    </row>
    <row r="110" spans="2:15" ht="15.75" hidden="1" customHeight="1" thickBot="1">
      <c r="B110" s="47"/>
      <c r="C110" s="983" t="s">
        <v>740</v>
      </c>
      <c r="D110" s="984"/>
      <c r="E110" s="958"/>
      <c r="F110" s="959"/>
      <c r="G110" s="959"/>
      <c r="H110" s="959"/>
      <c r="I110" s="959"/>
      <c r="J110" s="959"/>
      <c r="K110" s="959"/>
      <c r="L110" s="959"/>
      <c r="M110" s="959"/>
      <c r="N110" s="959"/>
      <c r="O110" s="47"/>
    </row>
    <row r="111" spans="2:15" ht="15" hidden="1" customHeight="1">
      <c r="B111" s="47"/>
      <c r="C111" s="47"/>
      <c r="D111" s="47"/>
      <c r="E111" s="47"/>
      <c r="F111" s="47"/>
      <c r="G111" s="47"/>
      <c r="H111" s="47"/>
      <c r="I111" s="47"/>
      <c r="J111" s="47"/>
      <c r="K111" s="47"/>
      <c r="L111" s="47"/>
      <c r="M111" s="47"/>
      <c r="N111" s="47"/>
      <c r="O111" s="47"/>
    </row>
    <row r="112" spans="2:15">
      <c r="B112" s="877"/>
    </row>
    <row r="113" spans="1:15" ht="15.75">
      <c r="B113" s="878" t="s">
        <v>178</v>
      </c>
      <c r="C113" s="879"/>
      <c r="D113" s="879"/>
      <c r="E113" s="879"/>
      <c r="F113" s="879"/>
      <c r="G113" s="879"/>
      <c r="H113" s="879"/>
      <c r="I113" s="879"/>
      <c r="J113" s="879"/>
      <c r="K113" s="879"/>
      <c r="L113" s="879"/>
      <c r="M113" s="879"/>
      <c r="N113" s="879"/>
      <c r="O113" s="880"/>
    </row>
    <row r="114" spans="1:15">
      <c r="B114" s="881"/>
      <c r="C114" s="882"/>
      <c r="D114" s="882"/>
      <c r="E114" s="882"/>
      <c r="F114" s="882"/>
      <c r="G114" s="882"/>
      <c r="H114" s="882"/>
      <c r="I114" s="882"/>
      <c r="J114" s="882"/>
      <c r="K114" s="882"/>
      <c r="L114" s="882"/>
      <c r="M114" s="882"/>
      <c r="N114" s="882"/>
      <c r="O114" s="883"/>
    </row>
    <row r="115" spans="1:15">
      <c r="B115" s="884"/>
      <c r="C115" s="49" t="s">
        <v>743</v>
      </c>
      <c r="D115" s="67"/>
      <c r="E115" s="51"/>
      <c r="F115" s="67"/>
      <c r="G115" s="67"/>
      <c r="H115" s="67"/>
      <c r="I115" s="67"/>
      <c r="J115" s="67"/>
      <c r="K115" s="67"/>
      <c r="L115" s="67"/>
      <c r="M115" s="67"/>
      <c r="N115" s="51" t="str">
        <f>Preferences.PowerUnits</f>
        <v>GW</v>
      </c>
      <c r="O115" s="885"/>
    </row>
    <row r="116" spans="1:15" ht="23.25">
      <c r="A116" s="7"/>
      <c r="B116" s="884"/>
      <c r="C116" s="67"/>
      <c r="D116" s="67"/>
      <c r="E116" s="67"/>
      <c r="F116" s="67"/>
      <c r="G116" s="67"/>
      <c r="H116" s="67"/>
      <c r="I116" s="67"/>
      <c r="J116" s="67"/>
      <c r="K116" s="67"/>
      <c r="L116" s="67"/>
      <c r="M116" s="67"/>
      <c r="N116" s="67"/>
      <c r="O116" s="885"/>
    </row>
    <row r="117" spans="1:15" ht="15.75">
      <c r="B117" s="886"/>
      <c r="C117" s="887" t="s">
        <v>132</v>
      </c>
      <c r="D117" s="887" t="s">
        <v>731</v>
      </c>
      <c r="E117" s="985"/>
      <c r="F117" s="986">
        <v>2013</v>
      </c>
      <c r="G117" s="92">
        <v>2015</v>
      </c>
      <c r="H117" s="92">
        <v>2020</v>
      </c>
      <c r="I117" s="92">
        <v>2025</v>
      </c>
      <c r="J117" s="92">
        <v>2030</v>
      </c>
      <c r="K117" s="92">
        <v>2035</v>
      </c>
      <c r="L117" s="92">
        <v>2040</v>
      </c>
      <c r="M117" s="92">
        <v>2045</v>
      </c>
      <c r="N117" s="92">
        <v>2050</v>
      </c>
      <c r="O117" s="885"/>
    </row>
    <row r="118" spans="1:15" ht="15.75">
      <c r="B118" s="889"/>
      <c r="C118" s="916" t="s">
        <v>445</v>
      </c>
      <c r="D118" s="917" t="s">
        <v>396</v>
      </c>
      <c r="E118" s="917"/>
      <c r="F118" s="987">
        <f>$F$63</f>
        <v>0</v>
      </c>
      <c r="G118" s="921">
        <f t="shared" ref="G118:N118" si="2">F118+(G$117-F$117)*(F28+F37)+(G$117-F$117)*F$68</f>
        <v>0</v>
      </c>
      <c r="H118" s="921">
        <f t="shared" si="2"/>
        <v>0</v>
      </c>
      <c r="I118" s="921">
        <f t="shared" si="2"/>
        <v>0</v>
      </c>
      <c r="J118" s="921">
        <f t="shared" si="2"/>
        <v>1</v>
      </c>
      <c r="K118" s="921">
        <f t="shared" si="2"/>
        <v>1</v>
      </c>
      <c r="L118" s="921">
        <f t="shared" si="2"/>
        <v>1</v>
      </c>
      <c r="M118" s="921">
        <f t="shared" si="2"/>
        <v>1</v>
      </c>
      <c r="N118" s="921">
        <f t="shared" si="2"/>
        <v>1</v>
      </c>
      <c r="O118" s="893"/>
    </row>
    <row r="119" spans="1:15">
      <c r="B119" s="904"/>
      <c r="C119" s="67"/>
      <c r="D119" s="200"/>
      <c r="E119" s="67"/>
      <c r="F119" s="67"/>
      <c r="G119" s="67"/>
      <c r="H119" s="67"/>
      <c r="I119" s="67"/>
      <c r="J119" s="67"/>
      <c r="K119" s="67"/>
      <c r="L119" s="67"/>
      <c r="M119" s="67"/>
      <c r="N119" s="67"/>
      <c r="O119" s="885"/>
    </row>
    <row r="120" spans="1:15">
      <c r="B120" s="877"/>
    </row>
    <row r="121" spans="1:15">
      <c r="C121" t="s">
        <v>744</v>
      </c>
      <c r="D121" s="988"/>
      <c r="F121" s="363">
        <v>2013</v>
      </c>
      <c r="G121" s="363">
        <v>2015</v>
      </c>
      <c r="H121" s="363">
        <v>2020</v>
      </c>
      <c r="I121" s="363">
        <v>2025</v>
      </c>
      <c r="J121" s="363">
        <v>2030</v>
      </c>
      <c r="K121" s="363">
        <v>2035</v>
      </c>
      <c r="L121" s="363">
        <v>2040</v>
      </c>
      <c r="M121" s="363">
        <v>2045</v>
      </c>
      <c r="N121" s="363">
        <v>2050</v>
      </c>
    </row>
    <row r="122" spans="1:15">
      <c r="C122" s="363" t="s">
        <v>745</v>
      </c>
      <c r="E122" s="2446" t="str">
        <f>Preferences.PowerUnits</f>
        <v>GW</v>
      </c>
      <c r="F122" s="374">
        <f t="shared" ref="F122:N122" si="3">F$118</f>
        <v>0</v>
      </c>
      <c r="G122" s="374">
        <f t="shared" si="3"/>
        <v>0</v>
      </c>
      <c r="H122" s="374">
        <f t="shared" si="3"/>
        <v>0</v>
      </c>
      <c r="I122" s="374">
        <f t="shared" si="3"/>
        <v>0</v>
      </c>
      <c r="J122" s="374">
        <f t="shared" si="3"/>
        <v>1</v>
      </c>
      <c r="K122" s="374">
        <f t="shared" si="3"/>
        <v>1</v>
      </c>
      <c r="L122" s="374">
        <f t="shared" si="3"/>
        <v>1</v>
      </c>
      <c r="M122" s="374">
        <f t="shared" si="3"/>
        <v>1</v>
      </c>
      <c r="N122" s="374">
        <f t="shared" si="3"/>
        <v>1</v>
      </c>
    </row>
    <row r="123" spans="1:15">
      <c r="C123" t="s">
        <v>746</v>
      </c>
      <c r="E123" s="2446"/>
      <c r="F123" s="989">
        <f t="shared" ref="F123:N123" si="4">F$58</f>
        <v>0.59599999999999997</v>
      </c>
      <c r="G123" s="989">
        <f t="shared" si="4"/>
        <v>0.7</v>
      </c>
      <c r="H123" s="989">
        <f t="shared" si="4"/>
        <v>0.8</v>
      </c>
      <c r="I123" s="989">
        <f t="shared" si="4"/>
        <v>0.8</v>
      </c>
      <c r="J123" s="989">
        <f t="shared" si="4"/>
        <v>0.8</v>
      </c>
      <c r="K123" s="989">
        <f t="shared" si="4"/>
        <v>0.8</v>
      </c>
      <c r="L123" s="989">
        <f t="shared" si="4"/>
        <v>0.8</v>
      </c>
      <c r="M123" s="989">
        <f t="shared" si="4"/>
        <v>0.8</v>
      </c>
      <c r="N123" s="989">
        <f t="shared" si="4"/>
        <v>0.8</v>
      </c>
    </row>
    <row r="124" spans="1:15">
      <c r="C124" s="988" t="s">
        <v>747</v>
      </c>
      <c r="E124" s="2446"/>
      <c r="F124" s="366">
        <f>F122*F123</f>
        <v>0</v>
      </c>
      <c r="G124" s="366">
        <f t="shared" ref="G124:N124" si="5">G122*G123</f>
        <v>0</v>
      </c>
      <c r="H124" s="366">
        <f t="shared" si="5"/>
        <v>0</v>
      </c>
      <c r="I124" s="366">
        <f t="shared" si="5"/>
        <v>0</v>
      </c>
      <c r="J124" s="366">
        <f t="shared" si="5"/>
        <v>0.8</v>
      </c>
      <c r="K124" s="366">
        <f t="shared" si="5"/>
        <v>0.8</v>
      </c>
      <c r="L124" s="366">
        <f t="shared" si="5"/>
        <v>0.8</v>
      </c>
      <c r="M124" s="366">
        <f t="shared" si="5"/>
        <v>0.8</v>
      </c>
      <c r="N124" s="366">
        <f t="shared" si="5"/>
        <v>0.8</v>
      </c>
      <c r="O124" s="723"/>
    </row>
    <row r="125" spans="1:15">
      <c r="C125" s="363" t="s">
        <v>748</v>
      </c>
      <c r="E125" s="2446" t="str">
        <f>Preferences.EnergyUnits</f>
        <v>TWh</v>
      </c>
      <c r="F125" s="2490">
        <f t="shared" ref="F125:N125" si="6">F$124*Preferences.Unit.Power*Unit.year/Preferences.Unit.Energy</f>
        <v>0</v>
      </c>
      <c r="G125" s="2490">
        <f t="shared" si="6"/>
        <v>0</v>
      </c>
      <c r="H125" s="2490">
        <f t="shared" si="6"/>
        <v>0</v>
      </c>
      <c r="I125" s="2490">
        <f t="shared" si="6"/>
        <v>0</v>
      </c>
      <c r="J125" s="2490">
        <f t="shared" si="6"/>
        <v>7.0128000000000013</v>
      </c>
      <c r="K125" s="2490">
        <f t="shared" si="6"/>
        <v>7.0128000000000013</v>
      </c>
      <c r="L125" s="2490">
        <f t="shared" si="6"/>
        <v>7.0128000000000013</v>
      </c>
      <c r="M125" s="2490">
        <f t="shared" si="6"/>
        <v>7.0128000000000013</v>
      </c>
      <c r="N125" s="2490">
        <f t="shared" si="6"/>
        <v>7.0128000000000013</v>
      </c>
    </row>
    <row r="126" spans="1:15">
      <c r="C126" s="988"/>
      <c r="E126" s="2446"/>
      <c r="F126" s="366"/>
    </row>
    <row r="127" spans="1:15">
      <c r="B127" s="414"/>
      <c r="C127" s="414" t="s">
        <v>749</v>
      </c>
      <c r="D127" s="414"/>
      <c r="E127" s="414" t="str">
        <f>Preferences.EnergyUnits</f>
        <v>TWh</v>
      </c>
      <c r="F127" s="3543">
        <f ca="1">-SUM(II.a.Inputs[2013])</f>
        <v>19.080008949093042</v>
      </c>
      <c r="G127" s="3543">
        <f ca="1">-SUM(II.a.Inputs[2015])</f>
        <v>18.970335288333835</v>
      </c>
      <c r="H127" s="3543">
        <f ca="1">-SUM(II.a.Inputs[2020])</f>
        <v>14.050931397476216</v>
      </c>
      <c r="I127" s="3543">
        <f ca="1">-SUM(II.a.Inputs[2025])</f>
        <v>7.7290717277325456</v>
      </c>
      <c r="J127" s="3543">
        <f ca="1">-SUM(II.a.Inputs[2030])</f>
        <v>-6.3126244296686806</v>
      </c>
      <c r="K127" s="3543">
        <f ca="1">-SUM(II.a.Inputs[2035])</f>
        <v>-17.135891067428815</v>
      </c>
      <c r="L127" s="3543">
        <f ca="1">-SUM(II.a.Inputs[2040])</f>
        <v>-26.782249595560636</v>
      </c>
      <c r="M127" s="3543">
        <f ca="1">-SUM(II.a.Inputs[2045])</f>
        <v>-38.418259530787864</v>
      </c>
      <c r="N127" s="3543">
        <f ca="1">-SUM(II.a.Inputs[2050])</f>
        <v>-49.376889038121071</v>
      </c>
      <c r="O127" s="374"/>
    </row>
    <row r="128" spans="1:15">
      <c r="B128" s="414"/>
      <c r="C128" s="833" t="s">
        <v>750</v>
      </c>
      <c r="D128" s="414"/>
      <c r="E128" s="414"/>
      <c r="F128" s="990">
        <f t="shared" ref="F128:N128" ca="1" si="7">MAX(MIN(F$127,F$125),0)</f>
        <v>0</v>
      </c>
      <c r="G128" s="990">
        <f t="shared" ca="1" si="7"/>
        <v>0</v>
      </c>
      <c r="H128" s="990">
        <f t="shared" ca="1" si="7"/>
        <v>0</v>
      </c>
      <c r="I128" s="990">
        <f t="shared" ca="1" si="7"/>
        <v>0</v>
      </c>
      <c r="J128" s="990">
        <f t="shared" ca="1" si="7"/>
        <v>0</v>
      </c>
      <c r="K128" s="990">
        <f t="shared" ca="1" si="7"/>
        <v>0</v>
      </c>
      <c r="L128" s="990">
        <f t="shared" ca="1" si="7"/>
        <v>0</v>
      </c>
      <c r="M128" s="990">
        <f t="shared" ca="1" si="7"/>
        <v>0</v>
      </c>
      <c r="N128" s="990">
        <f t="shared" ca="1" si="7"/>
        <v>0</v>
      </c>
    </row>
    <row r="129" spans="1:15">
      <c r="E129" s="2446"/>
      <c r="F129" s="374"/>
      <c r="O129" s="990"/>
    </row>
    <row r="130" spans="1:15">
      <c r="A130" s="414"/>
      <c r="C130" s="363" t="s">
        <v>751</v>
      </c>
      <c r="E130" s="2446"/>
      <c r="F130" s="366">
        <f>F125</f>
        <v>0</v>
      </c>
      <c r="G130" s="366">
        <f t="shared" ref="G130:N130" si="8">G125</f>
        <v>0</v>
      </c>
      <c r="H130" s="366">
        <f t="shared" si="8"/>
        <v>0</v>
      </c>
      <c r="I130" s="366">
        <f t="shared" si="8"/>
        <v>0</v>
      </c>
      <c r="J130" s="366">
        <f t="shared" si="8"/>
        <v>7.0128000000000013</v>
      </c>
      <c r="K130" s="366">
        <f t="shared" si="8"/>
        <v>7.0128000000000013</v>
      </c>
      <c r="L130" s="366">
        <f t="shared" si="8"/>
        <v>7.0128000000000013</v>
      </c>
      <c r="M130" s="366">
        <f t="shared" si="8"/>
        <v>7.0128000000000013</v>
      </c>
      <c r="N130" s="366">
        <f t="shared" si="8"/>
        <v>7.0128000000000013</v>
      </c>
      <c r="O130" s="414" t="s">
        <v>752</v>
      </c>
    </row>
    <row r="131" spans="1:15">
      <c r="A131" s="414"/>
      <c r="C131" s="991" t="s">
        <v>753</v>
      </c>
      <c r="E131" s="2446"/>
      <c r="F131" s="374">
        <f t="shared" ref="F131:N131" si="9">F$48*F130</f>
        <v>0</v>
      </c>
      <c r="G131" s="374">
        <f t="shared" si="9"/>
        <v>0</v>
      </c>
      <c r="H131" s="374">
        <f t="shared" si="9"/>
        <v>0</v>
      </c>
      <c r="I131" s="374">
        <f t="shared" si="9"/>
        <v>0</v>
      </c>
      <c r="J131" s="374">
        <f t="shared" si="9"/>
        <v>0.70128000000000013</v>
      </c>
      <c r="K131" s="374">
        <f t="shared" si="9"/>
        <v>0.70128000000000013</v>
      </c>
      <c r="L131" s="374">
        <f t="shared" si="9"/>
        <v>0.70128000000000013</v>
      </c>
      <c r="M131" s="374">
        <f t="shared" si="9"/>
        <v>0.70128000000000013</v>
      </c>
      <c r="N131" s="374">
        <f t="shared" si="9"/>
        <v>0.70128000000000013</v>
      </c>
    </row>
    <row r="132" spans="1:15">
      <c r="C132" s="988" t="s">
        <v>754</v>
      </c>
      <c r="E132" s="2446"/>
      <c r="F132" s="366">
        <f>F130+F131</f>
        <v>0</v>
      </c>
      <c r="G132" s="366">
        <f t="shared" ref="G132:N132" si="10">G130+G131</f>
        <v>0</v>
      </c>
      <c r="H132" s="366">
        <f t="shared" si="10"/>
        <v>0</v>
      </c>
      <c r="I132" s="366">
        <f t="shared" si="10"/>
        <v>0</v>
      </c>
      <c r="J132" s="366">
        <f t="shared" si="10"/>
        <v>7.7140800000000009</v>
      </c>
      <c r="K132" s="366">
        <f t="shared" si="10"/>
        <v>7.7140800000000009</v>
      </c>
      <c r="L132" s="366">
        <f t="shared" si="10"/>
        <v>7.7140800000000009</v>
      </c>
      <c r="M132" s="366">
        <f t="shared" si="10"/>
        <v>7.7140800000000009</v>
      </c>
      <c r="N132" s="366">
        <f t="shared" si="10"/>
        <v>7.7140800000000009</v>
      </c>
      <c r="O132" s="723"/>
    </row>
    <row r="133" spans="1:15">
      <c r="C133" t="s">
        <v>755</v>
      </c>
      <c r="E133" s="2446"/>
      <c r="F133" s="989">
        <f t="shared" ref="F133:N133" si="11">F$53</f>
        <v>0.38600000000000001</v>
      </c>
      <c r="G133" s="989">
        <f t="shared" si="11"/>
        <v>0.36</v>
      </c>
      <c r="H133" s="989">
        <f t="shared" si="11"/>
        <v>0.36</v>
      </c>
      <c r="I133" s="989">
        <f t="shared" si="11"/>
        <v>0.36</v>
      </c>
      <c r="J133" s="989">
        <f t="shared" si="11"/>
        <v>0.36</v>
      </c>
      <c r="K133" s="989">
        <f t="shared" si="11"/>
        <v>0.36</v>
      </c>
      <c r="L133" s="989">
        <f t="shared" si="11"/>
        <v>0.36</v>
      </c>
      <c r="M133" s="989">
        <f t="shared" si="11"/>
        <v>0.36</v>
      </c>
      <c r="N133" s="989">
        <f t="shared" si="11"/>
        <v>0.36</v>
      </c>
    </row>
    <row r="134" spans="1:15">
      <c r="C134" s="988" t="s">
        <v>756</v>
      </c>
      <c r="E134" s="2446"/>
      <c r="F134" s="366">
        <f>F132/F133</f>
        <v>0</v>
      </c>
      <c r="G134" s="366">
        <f t="shared" ref="G134:N134" si="12">G132/G133</f>
        <v>0</v>
      </c>
      <c r="H134" s="366">
        <f t="shared" si="12"/>
        <v>0</v>
      </c>
      <c r="I134" s="366">
        <f t="shared" si="12"/>
        <v>0</v>
      </c>
      <c r="J134" s="366">
        <f t="shared" si="12"/>
        <v>21.428000000000004</v>
      </c>
      <c r="K134" s="366">
        <f t="shared" si="12"/>
        <v>21.428000000000004</v>
      </c>
      <c r="L134" s="366">
        <f t="shared" si="12"/>
        <v>21.428000000000004</v>
      </c>
      <c r="M134" s="366">
        <f t="shared" si="12"/>
        <v>21.428000000000004</v>
      </c>
      <c r="N134" s="366">
        <f t="shared" si="12"/>
        <v>21.428000000000004</v>
      </c>
      <c r="O134" s="723"/>
    </row>
    <row r="135" spans="1:15">
      <c r="C135" s="988"/>
      <c r="E135" s="2446"/>
      <c r="F135" s="366"/>
      <c r="G135" s="366"/>
      <c r="H135" s="366"/>
      <c r="I135" s="366"/>
      <c r="J135" s="366"/>
      <c r="K135" s="366"/>
      <c r="L135" s="366"/>
      <c r="M135" s="366"/>
      <c r="N135" s="366"/>
    </row>
    <row r="136" spans="1:15">
      <c r="B136" t="s">
        <v>757</v>
      </c>
      <c r="C136" s="363"/>
      <c r="E136" s="2446"/>
      <c r="F136" s="366"/>
      <c r="G136" s="366"/>
      <c r="H136" s="366"/>
      <c r="I136" s="366"/>
      <c r="J136" s="366"/>
      <c r="K136" s="366"/>
      <c r="L136" s="366"/>
      <c r="M136" s="366"/>
      <c r="N136" s="366"/>
      <c r="O136" s="723"/>
    </row>
    <row r="137" spans="1:15">
      <c r="C137" t="s">
        <v>758</v>
      </c>
      <c r="E137" s="2446" t="str">
        <f>Preferences.PowerUnits</f>
        <v>GW</v>
      </c>
      <c r="F137" s="992"/>
      <c r="G137" s="992">
        <f t="shared" ref="G137:N137" si="13">F28</f>
        <v>0</v>
      </c>
      <c r="H137" s="992">
        <f t="shared" si="13"/>
        <v>0</v>
      </c>
      <c r="I137" s="992">
        <f t="shared" si="13"/>
        <v>0</v>
      </c>
      <c r="J137" s="992">
        <f t="shared" si="13"/>
        <v>0.2</v>
      </c>
      <c r="K137" s="992">
        <f t="shared" si="13"/>
        <v>0</v>
      </c>
      <c r="L137" s="992">
        <f t="shared" si="13"/>
        <v>0</v>
      </c>
      <c r="M137" s="992">
        <f t="shared" si="13"/>
        <v>0</v>
      </c>
      <c r="N137" s="992">
        <f t="shared" si="13"/>
        <v>0</v>
      </c>
    </row>
    <row r="138" spans="1:15">
      <c r="C138" t="s">
        <v>759</v>
      </c>
      <c r="E138" t="s">
        <v>760</v>
      </c>
      <c r="F138" s="993">
        <f t="shared" ref="F138:N138" si="14">F122/$F$74</f>
        <v>0</v>
      </c>
      <c r="G138" s="993">
        <f t="shared" si="14"/>
        <v>0</v>
      </c>
      <c r="H138" s="993">
        <f t="shared" si="14"/>
        <v>0</v>
      </c>
      <c r="I138" s="993">
        <f t="shared" si="14"/>
        <v>0</v>
      </c>
      <c r="J138" s="993">
        <f>J122/$F$74</f>
        <v>1</v>
      </c>
      <c r="K138" s="993">
        <f t="shared" si="14"/>
        <v>1</v>
      </c>
      <c r="L138" s="993">
        <f t="shared" si="14"/>
        <v>1</v>
      </c>
      <c r="M138" s="993">
        <f t="shared" si="14"/>
        <v>1</v>
      </c>
      <c r="N138" s="993">
        <f t="shared" si="14"/>
        <v>1</v>
      </c>
      <c r="O138" s="382"/>
    </row>
    <row r="139" spans="1:15">
      <c r="C139" t="s">
        <v>761</v>
      </c>
      <c r="E139" t="s">
        <v>762</v>
      </c>
      <c r="F139" s="992">
        <f>F137/plantsize.II.a</f>
        <v>0</v>
      </c>
      <c r="G139" s="992">
        <f t="shared" ref="G139:N139" si="15">G137/plantsize.II.a</f>
        <v>0</v>
      </c>
      <c r="H139" s="992">
        <f t="shared" si="15"/>
        <v>0</v>
      </c>
      <c r="I139" s="992">
        <f t="shared" si="15"/>
        <v>0</v>
      </c>
      <c r="J139" s="992">
        <f t="shared" si="15"/>
        <v>0.2</v>
      </c>
      <c r="K139" s="992">
        <f t="shared" si="15"/>
        <v>0</v>
      </c>
      <c r="L139" s="992">
        <f t="shared" si="15"/>
        <v>0</v>
      </c>
      <c r="M139" s="992">
        <f t="shared" si="15"/>
        <v>0</v>
      </c>
      <c r="N139" s="992">
        <f t="shared" si="15"/>
        <v>0</v>
      </c>
      <c r="O139" s="992"/>
    </row>
    <row r="140" spans="1:15">
      <c r="F140" s="993" t="s">
        <v>5</v>
      </c>
      <c r="G140" s="993"/>
      <c r="H140" s="993"/>
      <c r="I140" s="993"/>
      <c r="J140" s="993"/>
      <c r="K140" s="993"/>
      <c r="L140" s="993"/>
      <c r="M140" s="993"/>
      <c r="N140" s="993"/>
      <c r="O140" s="994"/>
    </row>
    <row r="141" spans="1:15">
      <c r="B141" s="3611" t="s">
        <v>2797</v>
      </c>
      <c r="F141" s="993" t="s">
        <v>5</v>
      </c>
      <c r="G141" s="993"/>
      <c r="H141" s="993"/>
      <c r="I141" s="993"/>
      <c r="J141" s="993"/>
      <c r="K141" s="993"/>
      <c r="L141" s="993"/>
      <c r="M141" s="993"/>
      <c r="N141" s="993"/>
      <c r="O141" s="992"/>
    </row>
    <row r="142" spans="1:15" s="414" customFormat="1" hidden="1">
      <c r="B142"/>
      <c r="C142" t="s">
        <v>169</v>
      </c>
      <c r="D142"/>
      <c r="E142" s="3611" t="s">
        <v>2812</v>
      </c>
      <c r="F142" s="993"/>
      <c r="G142" s="993"/>
      <c r="H142" s="993"/>
      <c r="I142" s="993"/>
      <c r="J142" s="993"/>
      <c r="K142" s="993"/>
      <c r="L142" s="993"/>
      <c r="M142" s="993"/>
      <c r="N142" s="993"/>
    </row>
    <row r="143" spans="1:15" s="414" customFormat="1" hidden="1">
      <c r="B143"/>
      <c r="C143" t="s">
        <v>173</v>
      </c>
      <c r="D143"/>
      <c r="E143" s="3611" t="s">
        <v>2812</v>
      </c>
      <c r="F143" s="993"/>
      <c r="G143" s="993"/>
      <c r="H143" s="993"/>
      <c r="I143" s="993"/>
      <c r="J143" s="993"/>
      <c r="K143" s="993"/>
      <c r="L143" s="993"/>
      <c r="M143" s="993"/>
      <c r="N143" s="993"/>
    </row>
    <row r="144" spans="1:15" hidden="1">
      <c r="C144" s="2" t="s">
        <v>763</v>
      </c>
      <c r="E144" s="3611" t="s">
        <v>2812</v>
      </c>
      <c r="F144" s="993"/>
      <c r="G144" s="993"/>
      <c r="H144" s="993"/>
      <c r="I144" s="993"/>
      <c r="J144" s="993"/>
      <c r="K144" s="993"/>
      <c r="L144" s="993"/>
      <c r="M144" s="993"/>
      <c r="N144" s="993"/>
    </row>
    <row r="145" spans="1:15" hidden="1">
      <c r="C145" t="s">
        <v>294</v>
      </c>
      <c r="E145" s="3611" t="s">
        <v>2812</v>
      </c>
      <c r="F145" s="993"/>
      <c r="G145" s="993"/>
      <c r="H145" s="993"/>
      <c r="I145" s="993"/>
      <c r="J145" s="993"/>
      <c r="K145" s="993"/>
      <c r="L145" s="993"/>
      <c r="M145" s="993"/>
      <c r="N145" s="993"/>
    </row>
    <row r="146" spans="1:15" hidden="1">
      <c r="B146" s="993"/>
    </row>
    <row r="147" spans="1:15" hidden="1">
      <c r="B147" t="s">
        <v>295</v>
      </c>
      <c r="F147" s="993"/>
      <c r="G147" s="993"/>
      <c r="H147" s="993"/>
      <c r="I147" s="993"/>
      <c r="J147" s="993"/>
      <c r="K147" s="993"/>
      <c r="L147" s="993"/>
      <c r="M147" s="993"/>
      <c r="N147" s="993"/>
      <c r="O147" s="993"/>
    </row>
    <row r="148" spans="1:15" hidden="1">
      <c r="C148" t="s">
        <v>169</v>
      </c>
      <c r="E148" s="3611" t="s">
        <v>2812</v>
      </c>
      <c r="F148" s="993"/>
      <c r="G148" s="993"/>
      <c r="H148" s="993"/>
      <c r="I148" s="993"/>
      <c r="J148" s="993"/>
      <c r="K148" s="993"/>
      <c r="L148" s="993"/>
      <c r="M148" s="993"/>
      <c r="N148" s="993"/>
      <c r="O148" s="993"/>
    </row>
    <row r="149" spans="1:15" hidden="1">
      <c r="C149" t="s">
        <v>173</v>
      </c>
      <c r="E149" s="3611" t="s">
        <v>2812</v>
      </c>
      <c r="F149" s="993"/>
      <c r="G149" s="993"/>
      <c r="H149" s="993"/>
      <c r="I149" s="993"/>
      <c r="J149" s="993"/>
      <c r="K149" s="993"/>
      <c r="L149" s="993"/>
      <c r="M149" s="993"/>
      <c r="N149" s="993"/>
      <c r="O149" s="993"/>
    </row>
    <row r="150" spans="1:15" hidden="1">
      <c r="C150" s="2" t="s">
        <v>763</v>
      </c>
      <c r="E150" s="3611" t="s">
        <v>2812</v>
      </c>
      <c r="F150" s="993"/>
      <c r="G150" s="993"/>
      <c r="H150" s="993"/>
      <c r="I150" s="993"/>
      <c r="J150" s="993"/>
      <c r="K150" s="993"/>
      <c r="L150" s="993"/>
      <c r="M150" s="993"/>
      <c r="N150" s="993"/>
      <c r="O150" s="993"/>
    </row>
    <row r="151" spans="1:15" hidden="1">
      <c r="C151" t="s">
        <v>294</v>
      </c>
      <c r="E151" s="3611" t="s">
        <v>2812</v>
      </c>
      <c r="F151" s="993"/>
      <c r="G151" s="993"/>
      <c r="H151" s="993"/>
      <c r="I151" s="993"/>
      <c r="J151" s="993"/>
      <c r="K151" s="993"/>
      <c r="L151" s="993"/>
      <c r="M151" s="993"/>
      <c r="N151" s="993"/>
      <c r="O151" s="993"/>
    </row>
    <row r="152" spans="1:15" hidden="1">
      <c r="B152" s="993"/>
      <c r="O152" s="993"/>
    </row>
    <row r="153" spans="1:15" hidden="1">
      <c r="B153" t="s">
        <v>296</v>
      </c>
      <c r="F153" s="993"/>
      <c r="G153" s="993"/>
      <c r="H153" s="993"/>
      <c r="I153" s="993"/>
      <c r="J153" s="993"/>
      <c r="K153" s="993"/>
      <c r="L153" s="993"/>
      <c r="M153" s="993"/>
      <c r="N153" s="993"/>
      <c r="O153" s="994"/>
    </row>
    <row r="154" spans="1:15" hidden="1">
      <c r="C154" t="s">
        <v>169</v>
      </c>
      <c r="E154" s="3611" t="s">
        <v>2812</v>
      </c>
      <c r="F154" s="993"/>
      <c r="G154" s="993"/>
      <c r="H154" s="993"/>
      <c r="I154" s="993"/>
      <c r="J154" s="993"/>
      <c r="K154" s="993"/>
      <c r="L154" s="993"/>
      <c r="M154" s="993"/>
      <c r="N154" s="993"/>
      <c r="O154" s="383"/>
    </row>
    <row r="155" spans="1:15" hidden="1">
      <c r="C155" t="s">
        <v>173</v>
      </c>
      <c r="E155" s="3611" t="s">
        <v>2812</v>
      </c>
      <c r="F155" s="993"/>
      <c r="G155" s="993"/>
      <c r="H155" s="993"/>
      <c r="I155" s="993"/>
      <c r="J155" s="993"/>
      <c r="K155" s="993"/>
      <c r="L155" s="993"/>
      <c r="M155" s="993"/>
      <c r="N155" s="993"/>
    </row>
    <row r="156" spans="1:15" hidden="1">
      <c r="A156" t="s">
        <v>764</v>
      </c>
      <c r="C156" s="2" t="s">
        <v>763</v>
      </c>
      <c r="E156" s="3611" t="s">
        <v>2812</v>
      </c>
      <c r="F156" s="993"/>
      <c r="G156" s="993"/>
      <c r="H156" s="993"/>
      <c r="I156" s="993"/>
      <c r="J156" s="993"/>
      <c r="K156" s="993"/>
      <c r="L156" s="993"/>
      <c r="M156" s="993"/>
      <c r="N156" s="993"/>
      <c r="O156" s="993"/>
    </row>
    <row r="157" spans="1:15" hidden="1">
      <c r="C157" t="s">
        <v>294</v>
      </c>
      <c r="E157" s="3611" t="s">
        <v>2812</v>
      </c>
      <c r="F157" s="993"/>
      <c r="G157" s="993"/>
      <c r="H157" s="993"/>
      <c r="I157" s="993"/>
      <c r="J157" s="993"/>
      <c r="K157" s="993"/>
      <c r="L157" s="993"/>
      <c r="M157" s="993"/>
      <c r="N157" s="993"/>
      <c r="O157" s="993"/>
    </row>
    <row r="158" spans="1:15">
      <c r="F158" s="993"/>
      <c r="G158" s="993"/>
      <c r="H158" s="993"/>
      <c r="I158" s="993"/>
      <c r="J158" s="993"/>
      <c r="K158" s="993"/>
      <c r="L158" s="993"/>
      <c r="M158" s="993"/>
      <c r="N158" s="993"/>
    </row>
    <row r="159" spans="1:15" ht="15.75">
      <c r="B159" s="511" t="s">
        <v>299</v>
      </c>
      <c r="C159" s="512"/>
      <c r="D159" s="512"/>
      <c r="E159" s="512"/>
      <c r="F159" s="512"/>
      <c r="G159" s="512"/>
      <c r="H159" s="512"/>
      <c r="I159" s="512"/>
      <c r="J159" s="512"/>
      <c r="K159" s="512"/>
      <c r="L159" s="512"/>
      <c r="M159" s="512"/>
      <c r="N159" s="512"/>
      <c r="O159" s="866"/>
    </row>
    <row r="160" spans="1:15">
      <c r="B160" s="514"/>
      <c r="C160" s="515"/>
      <c r="D160" s="515"/>
      <c r="E160" s="515"/>
      <c r="F160" s="515"/>
      <c r="G160" s="515"/>
      <c r="H160" s="515"/>
      <c r="I160" s="515"/>
      <c r="J160" s="515"/>
      <c r="K160" s="515"/>
      <c r="L160" s="515"/>
      <c r="M160" s="515"/>
      <c r="N160" s="515"/>
      <c r="O160" s="867"/>
    </row>
    <row r="161" spans="1:16">
      <c r="B161" s="514"/>
      <c r="C161" s="34" t="s">
        <v>765</v>
      </c>
      <c r="D161" s="515"/>
      <c r="E161" s="516"/>
      <c r="F161" s="515"/>
      <c r="G161" s="515"/>
      <c r="H161" s="515"/>
      <c r="I161" s="515"/>
      <c r="J161" s="515"/>
      <c r="K161" s="515"/>
      <c r="L161" s="515"/>
      <c r="M161" s="515"/>
      <c r="N161" s="516" t="str">
        <f>Preferences.EnergyUnits</f>
        <v>TWh</v>
      </c>
      <c r="O161" s="867"/>
    </row>
    <row r="162" spans="1:16" ht="23.25">
      <c r="A162" s="7"/>
      <c r="B162" s="514"/>
      <c r="C162" s="515"/>
      <c r="D162" s="515"/>
      <c r="E162" s="515"/>
      <c r="F162" s="515"/>
      <c r="G162" s="515"/>
      <c r="H162" s="515"/>
      <c r="I162" s="515"/>
      <c r="J162" s="515"/>
      <c r="K162" s="515"/>
      <c r="L162" s="515"/>
      <c r="M162" s="515"/>
      <c r="N162" s="515"/>
      <c r="O162" s="867"/>
    </row>
    <row r="163" spans="1:16" ht="15.75">
      <c r="B163" s="15"/>
      <c r="C163" s="1741" t="s">
        <v>28</v>
      </c>
      <c r="D163" s="1741" t="s">
        <v>29</v>
      </c>
      <c r="E163" s="1741" t="s">
        <v>30</v>
      </c>
      <c r="F163" s="1741" t="s">
        <v>597</v>
      </c>
      <c r="G163" s="1741" t="s">
        <v>133</v>
      </c>
      <c r="H163" s="1741" t="s">
        <v>134</v>
      </c>
      <c r="I163" s="1741" t="s">
        <v>135</v>
      </c>
      <c r="J163" s="1741" t="s">
        <v>136</v>
      </c>
      <c r="K163" s="1741" t="s">
        <v>137</v>
      </c>
      <c r="L163" s="1741" t="s">
        <v>138</v>
      </c>
      <c r="M163" s="1741" t="s">
        <v>139</v>
      </c>
      <c r="N163" s="1741" t="s">
        <v>140</v>
      </c>
      <c r="O163" s="867"/>
    </row>
    <row r="164" spans="1:16" ht="15.75">
      <c r="B164" s="15"/>
      <c r="C164" s="725" t="s">
        <v>96</v>
      </c>
      <c r="D164" s="2487" t="str">
        <f>INDEX(Vectors[Description], MATCH([Vector], Vectors[Code], 0))</f>
        <v>Electricity (delivered to end user)</v>
      </c>
      <c r="E164" s="725"/>
      <c r="F164" s="726">
        <v>0</v>
      </c>
      <c r="G164" s="726">
        <v>0</v>
      </c>
      <c r="H164" s="726">
        <v>0</v>
      </c>
      <c r="I164" s="726">
        <v>0</v>
      </c>
      <c r="J164" s="726">
        <v>0</v>
      </c>
      <c r="K164" s="726">
        <v>0</v>
      </c>
      <c r="L164" s="726">
        <v>0</v>
      </c>
      <c r="M164" s="726">
        <v>0</v>
      </c>
      <c r="N164" s="726">
        <v>0</v>
      </c>
      <c r="O164" s="867"/>
    </row>
    <row r="165" spans="1:16" ht="15.75">
      <c r="B165" s="15"/>
      <c r="C165" s="725" t="s">
        <v>97</v>
      </c>
      <c r="D165" s="2487" t="str">
        <f>INDEX(Vectors[Description], MATCH([Vector], Vectors[Code], 0))</f>
        <v>Electricity (supplied to grid)</v>
      </c>
      <c r="E165" s="725"/>
      <c r="F165" s="726">
        <f t="shared" ref="F165:N165" si="16">F$130</f>
        <v>0</v>
      </c>
      <c r="G165" s="726">
        <f t="shared" si="16"/>
        <v>0</v>
      </c>
      <c r="H165" s="726">
        <f t="shared" si="16"/>
        <v>0</v>
      </c>
      <c r="I165" s="726">
        <f t="shared" si="16"/>
        <v>0</v>
      </c>
      <c r="J165" s="726">
        <f t="shared" si="16"/>
        <v>7.0128000000000013</v>
      </c>
      <c r="K165" s="726">
        <f t="shared" si="16"/>
        <v>7.0128000000000013</v>
      </c>
      <c r="L165" s="726">
        <f t="shared" si="16"/>
        <v>7.0128000000000013</v>
      </c>
      <c r="M165" s="726">
        <f t="shared" si="16"/>
        <v>7.0128000000000013</v>
      </c>
      <c r="N165" s="726">
        <f t="shared" si="16"/>
        <v>7.0128000000000013</v>
      </c>
      <c r="O165" s="867"/>
    </row>
    <row r="166" spans="1:16" ht="15.75">
      <c r="A166" s="443"/>
      <c r="B166" s="15"/>
      <c r="C166" s="725" t="s">
        <v>445</v>
      </c>
      <c r="D166" s="2487" t="str">
        <f>INDEX(Vectors[Description], MATCH([Vector], Vectors[Code], 0))</f>
        <v>Nuclear fission</v>
      </c>
      <c r="E166" s="725"/>
      <c r="F166" s="726">
        <f t="shared" ref="F166:N166" si="17">-F$134</f>
        <v>0</v>
      </c>
      <c r="G166" s="726">
        <f t="shared" si="17"/>
        <v>0</v>
      </c>
      <c r="H166" s="726">
        <f t="shared" si="17"/>
        <v>0</v>
      </c>
      <c r="I166" s="726">
        <f t="shared" si="17"/>
        <v>0</v>
      </c>
      <c r="J166" s="726">
        <f t="shared" si="17"/>
        <v>-21.428000000000004</v>
      </c>
      <c r="K166" s="726">
        <f t="shared" si="17"/>
        <v>-21.428000000000004</v>
      </c>
      <c r="L166" s="726">
        <f t="shared" si="17"/>
        <v>-21.428000000000004</v>
      </c>
      <c r="M166" s="726">
        <f t="shared" si="17"/>
        <v>-21.428000000000004</v>
      </c>
      <c r="N166" s="726">
        <f t="shared" si="17"/>
        <v>-21.428000000000004</v>
      </c>
      <c r="O166" s="867"/>
    </row>
    <row r="167" spans="1:16" ht="15.75">
      <c r="A167" s="443"/>
      <c r="B167" s="15"/>
      <c r="C167" s="725" t="s">
        <v>104</v>
      </c>
      <c r="D167" s="2487" t="str">
        <f>INDEX(Vectors[Description], MATCH([Vector], Vectors[Code], 0))</f>
        <v>Conversion losses</v>
      </c>
      <c r="E167" s="725"/>
      <c r="F167" s="726">
        <f t="shared" ref="F167:N167" si="18">(F$134-F$132)</f>
        <v>0</v>
      </c>
      <c r="G167" s="726">
        <f t="shared" si="18"/>
        <v>0</v>
      </c>
      <c r="H167" s="726">
        <f t="shared" si="18"/>
        <v>0</v>
      </c>
      <c r="I167" s="726">
        <f t="shared" si="18"/>
        <v>0</v>
      </c>
      <c r="J167" s="726">
        <f t="shared" si="18"/>
        <v>13.713920000000003</v>
      </c>
      <c r="K167" s="726">
        <f t="shared" si="18"/>
        <v>13.713920000000003</v>
      </c>
      <c r="L167" s="726">
        <f t="shared" si="18"/>
        <v>13.713920000000003</v>
      </c>
      <c r="M167" s="726">
        <f t="shared" si="18"/>
        <v>13.713920000000003</v>
      </c>
      <c r="N167" s="726">
        <f t="shared" si="18"/>
        <v>13.713920000000003</v>
      </c>
      <c r="O167" s="867"/>
    </row>
    <row r="168" spans="1:16" ht="15.75">
      <c r="A168" s="443"/>
      <c r="B168" s="15"/>
      <c r="C168" s="725" t="s">
        <v>454</v>
      </c>
      <c r="D168" s="2487" t="str">
        <f>INDEX(Vectors[Description], MATCH([Vector], Vectors[Code], 0))</f>
        <v>Distribution losses and own use</v>
      </c>
      <c r="E168" s="725"/>
      <c r="F168" s="726">
        <f t="shared" ref="F168:N168" si="19">F$131</f>
        <v>0</v>
      </c>
      <c r="G168" s="726">
        <f t="shared" si="19"/>
        <v>0</v>
      </c>
      <c r="H168" s="726">
        <f t="shared" si="19"/>
        <v>0</v>
      </c>
      <c r="I168" s="726">
        <f t="shared" si="19"/>
        <v>0</v>
      </c>
      <c r="J168" s="726">
        <f t="shared" si="19"/>
        <v>0.70128000000000013</v>
      </c>
      <c r="K168" s="726">
        <f t="shared" si="19"/>
        <v>0.70128000000000013</v>
      </c>
      <c r="L168" s="726">
        <f t="shared" si="19"/>
        <v>0.70128000000000013</v>
      </c>
      <c r="M168" s="726">
        <f t="shared" si="19"/>
        <v>0.70128000000000013</v>
      </c>
      <c r="N168" s="726">
        <f t="shared" si="19"/>
        <v>0.70128000000000013</v>
      </c>
      <c r="O168" s="867"/>
    </row>
    <row r="169" spans="1:16" ht="15.75">
      <c r="A169" s="443"/>
      <c r="B169" s="15"/>
      <c r="C169" s="2463" t="s">
        <v>59</v>
      </c>
      <c r="D169" s="2463"/>
      <c r="E169" s="2463"/>
      <c r="F169" s="2464">
        <f>SUBTOTAL(109,[2013])</f>
        <v>0</v>
      </c>
      <c r="G169" s="2464">
        <f>SUBTOTAL(109,[2015])</f>
        <v>0</v>
      </c>
      <c r="H169" s="2464">
        <f>SUBTOTAL(109,[2020])</f>
        <v>0</v>
      </c>
      <c r="I169" s="2464">
        <f>SUBTOTAL(109,[2025])</f>
        <v>0</v>
      </c>
      <c r="J169" s="2464">
        <f>SUBTOTAL(109,[2030])</f>
        <v>1.3322676295501878E-15</v>
      </c>
      <c r="K169" s="2464">
        <f>SUBTOTAL(109,[2035])</f>
        <v>1.3322676295501878E-15</v>
      </c>
      <c r="L169" s="2464">
        <f>SUBTOTAL(109,[2040])</f>
        <v>1.3322676295501878E-15</v>
      </c>
      <c r="M169" s="2464">
        <f>SUBTOTAL(109,[2045])</f>
        <v>1.3322676295501878E-15</v>
      </c>
      <c r="N169" s="2464">
        <f>SUBTOTAL(109,[2050])</f>
        <v>1.3322676295501878E-15</v>
      </c>
      <c r="O169" s="867"/>
    </row>
    <row r="170" spans="1:16" ht="15.75">
      <c r="A170" s="443"/>
      <c r="B170" s="15"/>
      <c r="C170" s="452" t="s">
        <v>5</v>
      </c>
      <c r="D170" s="452"/>
      <c r="E170" s="452" t="s">
        <v>5</v>
      </c>
      <c r="F170" s="452"/>
      <c r="G170" s="452"/>
      <c r="H170" s="452"/>
      <c r="I170" s="452"/>
      <c r="J170" s="452"/>
      <c r="K170" s="452"/>
      <c r="L170" s="452"/>
      <c r="M170" s="452"/>
      <c r="N170" s="452"/>
      <c r="O170" s="867"/>
      <c r="P170" s="2446" t="s">
        <v>5</v>
      </c>
    </row>
    <row r="171" spans="1:16" ht="15.75">
      <c r="A171" s="443"/>
    </row>
    <row r="172" spans="1:16" ht="15.75">
      <c r="A172" s="443"/>
      <c r="B172" s="995" t="s">
        <v>313</v>
      </c>
      <c r="C172" s="996"/>
      <c r="D172" s="997"/>
      <c r="E172" s="997"/>
      <c r="F172" s="997"/>
      <c r="G172" s="997"/>
      <c r="H172" s="997"/>
      <c r="I172" s="997"/>
      <c r="J172" s="997"/>
      <c r="K172" s="997"/>
      <c r="L172" s="997"/>
      <c r="M172" s="997"/>
      <c r="N172" s="997"/>
      <c r="O172" s="998"/>
    </row>
    <row r="173" spans="1:16">
      <c r="B173" s="999"/>
      <c r="C173" s="1000"/>
      <c r="D173" s="1000"/>
      <c r="E173" s="1000"/>
      <c r="F173" s="1000"/>
      <c r="G173" s="1000"/>
      <c r="H173" s="1000"/>
      <c r="I173" s="1000"/>
      <c r="J173" s="1000"/>
      <c r="K173" s="1000"/>
      <c r="L173" s="1000"/>
      <c r="M173" s="1000"/>
      <c r="N173" s="1000"/>
      <c r="O173" s="1001"/>
    </row>
    <row r="174" spans="1:16">
      <c r="B174" s="1002"/>
      <c r="C174" s="488" t="s">
        <v>314</v>
      </c>
      <c r="D174" s="1003"/>
      <c r="E174" s="1004"/>
      <c r="F174" s="1003"/>
      <c r="G174" s="1003"/>
      <c r="H174" s="1003"/>
      <c r="I174" s="1003"/>
      <c r="J174" s="1003"/>
      <c r="K174" s="1003"/>
      <c r="L174" s="1003"/>
      <c r="M174" s="1003"/>
      <c r="N174" s="1004"/>
      <c r="O174" s="1005"/>
    </row>
    <row r="175" spans="1:16">
      <c r="B175" s="1002"/>
      <c r="C175" s="1003"/>
      <c r="D175" s="1003"/>
      <c r="E175" s="1003"/>
      <c r="F175" s="1003"/>
      <c r="G175" s="1003"/>
      <c r="H175" s="1003"/>
      <c r="I175" s="1003"/>
      <c r="J175" s="1003"/>
      <c r="K175" s="1003"/>
      <c r="L175" s="1003"/>
      <c r="M175" s="1003"/>
      <c r="N175" s="1003"/>
      <c r="O175" s="1005"/>
    </row>
    <row r="176" spans="1:16" ht="15.75">
      <c r="B176" s="492"/>
      <c r="C176" s="1006" t="s">
        <v>28</v>
      </c>
      <c r="D176" s="1006" t="s">
        <v>315</v>
      </c>
      <c r="E176" s="1006" t="s">
        <v>30</v>
      </c>
      <c r="F176" s="1006" t="s">
        <v>597</v>
      </c>
      <c r="G176" s="1006" t="s">
        <v>133</v>
      </c>
      <c r="H176" s="1006" t="s">
        <v>134</v>
      </c>
      <c r="I176" s="1006" t="s">
        <v>135</v>
      </c>
      <c r="J176" s="1006" t="s">
        <v>136</v>
      </c>
      <c r="K176" s="1006" t="s">
        <v>137</v>
      </c>
      <c r="L176" s="1006" t="s">
        <v>138</v>
      </c>
      <c r="M176" s="1006" t="s">
        <v>139</v>
      </c>
      <c r="N176" s="1006" t="s">
        <v>140</v>
      </c>
      <c r="O176" s="1005"/>
    </row>
    <row r="177" spans="2:15" ht="15.75">
      <c r="B177" s="492"/>
      <c r="C177" s="1007" t="s">
        <v>767</v>
      </c>
      <c r="D177" s="494" t="str">
        <f>INDEX(Vectors[Description], MATCH([Vector], Vectors[Code], 0))</f>
        <v xml:space="preserve">Installed Capacity </v>
      </c>
      <c r="E177" s="494" t="str">
        <f>Preferences.PowerUnits</f>
        <v>GW</v>
      </c>
      <c r="F177" s="1008">
        <f t="shared" ref="F177:N177" si="20">F118</f>
        <v>0</v>
      </c>
      <c r="G177" s="1008">
        <f t="shared" si="20"/>
        <v>0</v>
      </c>
      <c r="H177" s="1008">
        <f t="shared" si="20"/>
        <v>0</v>
      </c>
      <c r="I177" s="1008">
        <f t="shared" si="20"/>
        <v>0</v>
      </c>
      <c r="J177" s="1008">
        <f t="shared" si="20"/>
        <v>1</v>
      </c>
      <c r="K177" s="1008">
        <f t="shared" si="20"/>
        <v>1</v>
      </c>
      <c r="L177" s="1008">
        <f t="shared" si="20"/>
        <v>1</v>
      </c>
      <c r="M177" s="1008">
        <f t="shared" si="20"/>
        <v>1</v>
      </c>
      <c r="N177" s="1008">
        <f t="shared" si="20"/>
        <v>1</v>
      </c>
      <c r="O177" s="1005"/>
    </row>
    <row r="178" spans="2:15" ht="15.75">
      <c r="B178" s="492"/>
      <c r="C178" s="1007" t="s">
        <v>769</v>
      </c>
      <c r="D178" s="494" t="str">
        <f>INDEX(Vectors[Description], MATCH([Vector], Vectors[Code], 0))</f>
        <v>Load factor</v>
      </c>
      <c r="E178" s="1007" t="s">
        <v>43</v>
      </c>
      <c r="F178" s="1009">
        <f t="shared" ref="F178:N178" si="21">F58</f>
        <v>0.59599999999999997</v>
      </c>
      <c r="G178" s="1009">
        <f t="shared" si="21"/>
        <v>0.7</v>
      </c>
      <c r="H178" s="1009">
        <f t="shared" si="21"/>
        <v>0.8</v>
      </c>
      <c r="I178" s="1009">
        <f t="shared" si="21"/>
        <v>0.8</v>
      </c>
      <c r="J178" s="1009">
        <f t="shared" si="21"/>
        <v>0.8</v>
      </c>
      <c r="K178" s="1009">
        <f t="shared" si="21"/>
        <v>0.8</v>
      </c>
      <c r="L178" s="1009">
        <f t="shared" si="21"/>
        <v>0.8</v>
      </c>
      <c r="M178" s="1009">
        <f t="shared" si="21"/>
        <v>0.8</v>
      </c>
      <c r="N178" s="1009">
        <f t="shared" si="21"/>
        <v>0.8</v>
      </c>
      <c r="O178" s="1005"/>
    </row>
    <row r="179" spans="2:15" ht="15.75">
      <c r="B179" s="492"/>
      <c r="C179" s="1007" t="s">
        <v>316</v>
      </c>
      <c r="D179" s="494" t="str">
        <f>$F$74&amp;" GW nuclear power station complexes"</f>
        <v>1 GW nuclear power station complexes</v>
      </c>
      <c r="E179" s="1007" t="s">
        <v>760</v>
      </c>
      <c r="F179" s="496">
        <f t="shared" ref="F179:N179" si="22">F177/$F$74</f>
        <v>0</v>
      </c>
      <c r="G179" s="496">
        <f t="shared" si="22"/>
        <v>0</v>
      </c>
      <c r="H179" s="496">
        <f t="shared" si="22"/>
        <v>0</v>
      </c>
      <c r="I179" s="496">
        <f t="shared" si="22"/>
        <v>0</v>
      </c>
      <c r="J179" s="496">
        <f t="shared" si="22"/>
        <v>1</v>
      </c>
      <c r="K179" s="496">
        <f t="shared" si="22"/>
        <v>1</v>
      </c>
      <c r="L179" s="496">
        <f t="shared" si="22"/>
        <v>1</v>
      </c>
      <c r="M179" s="496">
        <f t="shared" si="22"/>
        <v>1</v>
      </c>
      <c r="N179" s="496">
        <f t="shared" si="22"/>
        <v>1</v>
      </c>
      <c r="O179" s="1005"/>
    </row>
    <row r="180" spans="2:15" ht="15.75">
      <c r="B180" s="497"/>
      <c r="C180" s="1010"/>
      <c r="D180" s="1010"/>
      <c r="E180" s="1010"/>
      <c r="F180" s="1010"/>
      <c r="G180" s="1010"/>
      <c r="H180" s="1010"/>
      <c r="I180" s="1010"/>
      <c r="J180" s="1010"/>
      <c r="K180" s="1010"/>
      <c r="L180" s="1010"/>
      <c r="M180" s="1010"/>
      <c r="N180" s="1010"/>
      <c r="O180" s="1011"/>
    </row>
    <row r="182" spans="2:15" ht="15.75">
      <c r="B182" s="995" t="s">
        <v>2795</v>
      </c>
      <c r="C182" s="997"/>
      <c r="D182" s="997"/>
      <c r="E182" s="997"/>
      <c r="F182" s="997"/>
      <c r="G182" s="997"/>
      <c r="H182" s="997"/>
      <c r="I182" s="997"/>
      <c r="J182" s="997"/>
      <c r="K182" s="997"/>
      <c r="L182" s="997"/>
      <c r="M182" s="997"/>
      <c r="N182" s="997"/>
      <c r="O182" s="998"/>
    </row>
    <row r="183" spans="2:15" hidden="1">
      <c r="B183" s="1002"/>
      <c r="C183" s="1003"/>
      <c r="D183" s="1003"/>
      <c r="E183" s="1003"/>
      <c r="F183" s="1003"/>
      <c r="G183" s="1003"/>
      <c r="H183" s="1003"/>
      <c r="I183" s="1003"/>
      <c r="J183" s="1003"/>
      <c r="K183" s="1003"/>
      <c r="L183" s="1003"/>
      <c r="M183" s="1003"/>
      <c r="N183" s="1003"/>
      <c r="O183" s="1005"/>
    </row>
    <row r="184" spans="2:15" hidden="1">
      <c r="B184" s="1002"/>
      <c r="C184" s="500" t="s">
        <v>770</v>
      </c>
      <c r="D184" s="1012"/>
      <c r="E184" s="1012"/>
      <c r="F184" s="1012"/>
      <c r="G184" s="1012"/>
      <c r="H184" s="1012"/>
      <c r="I184" s="1012"/>
      <c r="J184" s="1012"/>
      <c r="K184" s="1012"/>
      <c r="L184" s="1012"/>
      <c r="M184" s="1012"/>
      <c r="N184" s="1013" t="s">
        <v>2812</v>
      </c>
      <c r="O184" s="1005"/>
    </row>
    <row r="185" spans="2:15" ht="15.75" hidden="1">
      <c r="B185" s="492"/>
      <c r="C185" s="1003"/>
      <c r="D185" s="1003"/>
      <c r="E185" s="1003"/>
      <c r="F185" s="1003"/>
      <c r="G185" s="1003"/>
      <c r="H185" s="1003"/>
      <c r="I185" s="1003"/>
      <c r="J185" s="1003"/>
      <c r="K185" s="1003"/>
      <c r="L185" s="1003"/>
      <c r="M185" s="1003"/>
      <c r="N185" s="1003"/>
      <c r="O185" s="1005"/>
    </row>
    <row r="186" spans="2:15" ht="15.75" hidden="1">
      <c r="B186" s="492"/>
      <c r="C186" s="1006" t="s">
        <v>28</v>
      </c>
      <c r="D186" s="1006" t="s">
        <v>29</v>
      </c>
      <c r="E186" s="1006" t="s">
        <v>30</v>
      </c>
      <c r="F186" s="1006">
        <v>2013</v>
      </c>
      <c r="G186" s="1006" t="s">
        <v>133</v>
      </c>
      <c r="H186" s="1006" t="s">
        <v>134</v>
      </c>
      <c r="I186" s="1006" t="s">
        <v>135</v>
      </c>
      <c r="J186" s="1006" t="s">
        <v>136</v>
      </c>
      <c r="K186" s="1006" t="s">
        <v>137</v>
      </c>
      <c r="L186" s="1006" t="s">
        <v>138</v>
      </c>
      <c r="M186" s="1006" t="s">
        <v>139</v>
      </c>
      <c r="N186" s="1006" t="s">
        <v>140</v>
      </c>
      <c r="O186" s="1005"/>
    </row>
    <row r="187" spans="2:15" ht="15.75" hidden="1">
      <c r="B187" s="492"/>
      <c r="C187" s="1007" t="s">
        <v>324</v>
      </c>
      <c r="D187" s="494" t="s">
        <v>325</v>
      </c>
      <c r="E187" s="494"/>
      <c r="F187" s="495"/>
      <c r="G187" s="495"/>
      <c r="H187" s="495"/>
      <c r="I187" s="495"/>
      <c r="J187" s="495"/>
      <c r="K187" s="495"/>
      <c r="L187" s="495"/>
      <c r="M187" s="495"/>
      <c r="N187" s="495"/>
      <c r="O187" s="1005"/>
    </row>
    <row r="188" spans="2:15" ht="15.75" hidden="1">
      <c r="B188" s="492"/>
      <c r="C188" s="1007" t="s">
        <v>331</v>
      </c>
      <c r="D188" s="494" t="s">
        <v>332</v>
      </c>
      <c r="E188" s="494"/>
      <c r="F188" s="495"/>
      <c r="G188" s="495"/>
      <c r="H188" s="495"/>
      <c r="I188" s="495"/>
      <c r="J188" s="495"/>
      <c r="K188" s="495"/>
      <c r="L188" s="495"/>
      <c r="M188" s="495"/>
      <c r="N188" s="495"/>
      <c r="O188" s="1005"/>
    </row>
    <row r="189" spans="2:15" ht="15.75" hidden="1">
      <c r="B189" s="492"/>
      <c r="C189" s="1007" t="s">
        <v>771</v>
      </c>
      <c r="D189" s="494" t="s">
        <v>772</v>
      </c>
      <c r="E189" s="494"/>
      <c r="F189" s="495"/>
      <c r="G189" s="495"/>
      <c r="H189" s="495"/>
      <c r="I189" s="495"/>
      <c r="J189" s="495"/>
      <c r="K189" s="495"/>
      <c r="L189" s="495"/>
      <c r="M189" s="495"/>
      <c r="N189" s="495"/>
      <c r="O189" s="1005"/>
    </row>
    <row r="190" spans="2:15" ht="15.75" hidden="1">
      <c r="B190" s="492"/>
      <c r="C190" s="1007" t="s">
        <v>326</v>
      </c>
      <c r="D190" s="494" t="s">
        <v>327</v>
      </c>
      <c r="E190" s="494"/>
      <c r="F190" s="495"/>
      <c r="G190" s="495"/>
      <c r="H190" s="495"/>
      <c r="I190" s="495"/>
      <c r="J190" s="495"/>
      <c r="K190" s="495"/>
      <c r="L190" s="495"/>
      <c r="M190" s="495"/>
      <c r="N190" s="495"/>
      <c r="O190" s="1005"/>
    </row>
    <row r="191" spans="2:15" ht="15.75" hidden="1">
      <c r="B191" s="492"/>
      <c r="C191" s="1007" t="s">
        <v>333</v>
      </c>
      <c r="D191" s="494" t="s">
        <v>334</v>
      </c>
      <c r="E191" s="494"/>
      <c r="F191" s="495"/>
      <c r="G191" s="495"/>
      <c r="H191" s="495"/>
      <c r="I191" s="495"/>
      <c r="J191" s="495"/>
      <c r="K191" s="495"/>
      <c r="L191" s="495"/>
      <c r="M191" s="495"/>
      <c r="N191" s="495"/>
      <c r="O191" s="1005"/>
    </row>
    <row r="192" spans="2:15" hidden="1">
      <c r="B192" s="503"/>
      <c r="C192" s="1007" t="s">
        <v>773</v>
      </c>
      <c r="D192" s="494" t="s">
        <v>774</v>
      </c>
      <c r="E192" s="494"/>
      <c r="F192" s="495"/>
      <c r="G192" s="495"/>
      <c r="H192" s="495"/>
      <c r="I192" s="495"/>
      <c r="J192" s="495"/>
      <c r="K192" s="495"/>
      <c r="L192" s="495"/>
      <c r="M192" s="495"/>
      <c r="N192" s="495"/>
      <c r="O192" s="1005"/>
    </row>
    <row r="193" spans="2:15" hidden="1">
      <c r="B193" s="503"/>
      <c r="C193" s="1007" t="s">
        <v>328</v>
      </c>
      <c r="D193" s="494" t="s">
        <v>329</v>
      </c>
      <c r="E193" s="494"/>
      <c r="F193" s="495"/>
      <c r="G193" s="495"/>
      <c r="H193" s="495"/>
      <c r="I193" s="495"/>
      <c r="J193" s="495"/>
      <c r="K193" s="495"/>
      <c r="L193" s="495"/>
      <c r="M193" s="495"/>
      <c r="N193" s="495"/>
      <c r="O193" s="1005"/>
    </row>
    <row r="194" spans="2:15" hidden="1">
      <c r="B194" s="503"/>
      <c r="C194" s="1007" t="s">
        <v>335</v>
      </c>
      <c r="D194" s="494" t="s">
        <v>336</v>
      </c>
      <c r="E194" s="494"/>
      <c r="F194" s="495"/>
      <c r="G194" s="495"/>
      <c r="H194" s="495"/>
      <c r="I194" s="495"/>
      <c r="J194" s="495"/>
      <c r="K194" s="495"/>
      <c r="L194" s="495"/>
      <c r="M194" s="495"/>
      <c r="N194" s="495"/>
      <c r="O194" s="1005"/>
    </row>
    <row r="195" spans="2:15" hidden="1">
      <c r="B195" s="1014"/>
      <c r="C195" s="1007" t="s">
        <v>775</v>
      </c>
      <c r="D195" s="494" t="s">
        <v>776</v>
      </c>
      <c r="E195" s="494"/>
      <c r="F195" s="495"/>
      <c r="G195" s="495"/>
      <c r="H195" s="495"/>
      <c r="I195" s="495"/>
      <c r="J195" s="495"/>
      <c r="K195" s="495"/>
      <c r="L195" s="495"/>
      <c r="M195" s="495"/>
      <c r="N195" s="495"/>
      <c r="O195" s="1005"/>
    </row>
    <row r="196" spans="2:15" hidden="1">
      <c r="B196" s="1014"/>
      <c r="C196" s="1010"/>
      <c r="D196" s="1010"/>
      <c r="E196" s="1010"/>
      <c r="F196" s="1010"/>
      <c r="G196" s="1010"/>
      <c r="H196" s="1010"/>
      <c r="I196" s="1010"/>
      <c r="J196" s="1010"/>
      <c r="K196" s="1010"/>
      <c r="L196" s="1010"/>
      <c r="M196" s="1010"/>
      <c r="N196" s="1010"/>
      <c r="O196" s="1015"/>
    </row>
    <row r="198" spans="2:15">
      <c r="B198" s="2446" t="s">
        <v>5</v>
      </c>
    </row>
  </sheetData>
  <pageMargins left="0.7" right="0.7" top="0.75" bottom="0.75" header="0.3" footer="0.3"/>
  <tableParts count="3">
    <tablePart r:id="rId1"/>
    <tablePart r:id="rId2"/>
    <tablePart r:id="rId3"/>
  </tableParts>
</worksheet>
</file>

<file path=xl/worksheets/sheet17.xml><?xml version="1.0" encoding="utf-8"?>
<worksheet xmlns="http://schemas.openxmlformats.org/spreadsheetml/2006/main" xmlns:r="http://schemas.openxmlformats.org/officeDocument/2006/relationships">
  <sheetPr codeName="Sheet11">
    <tabColor theme="9"/>
  </sheetPr>
  <dimension ref="A1:BS160"/>
  <sheetViews>
    <sheetView showGridLines="0" topLeftCell="A13" zoomScale="80" zoomScaleNormal="80" workbookViewId="0">
      <selection activeCell="F56" sqref="F56"/>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2" customWidth="1"/>
    <col min="16" max="16" width="10.85546875" customWidth="1"/>
  </cols>
  <sheetData>
    <row r="1" spans="1:15" ht="20.25">
      <c r="A1" s="863" t="s">
        <v>532</v>
      </c>
      <c r="B1" s="863" t="s">
        <v>533</v>
      </c>
      <c r="C1" s="863"/>
    </row>
    <row r="2" spans="1:15" s="6" customFormat="1" ht="15.75">
      <c r="A2" s="864" t="s">
        <v>520</v>
      </c>
      <c r="B2" s="864" t="s">
        <v>521</v>
      </c>
      <c r="C2" s="864"/>
      <c r="E2" s="5"/>
      <c r="G2" s="6" t="s">
        <v>5</v>
      </c>
    </row>
    <row r="4" spans="1:15" ht="23.25">
      <c r="A4" s="7"/>
      <c r="B4" s="511" t="s">
        <v>361</v>
      </c>
      <c r="C4" s="1154"/>
      <c r="D4" s="512"/>
      <c r="E4" s="513"/>
      <c r="F4" s="512"/>
      <c r="G4" s="512"/>
      <c r="H4" s="512"/>
      <c r="I4" s="512"/>
      <c r="J4" s="512"/>
      <c r="K4" s="512"/>
      <c r="L4" s="512"/>
      <c r="M4" s="512"/>
      <c r="N4" s="512"/>
      <c r="O4" s="866"/>
    </row>
    <row r="5" spans="1:15">
      <c r="B5" s="514"/>
      <c r="C5" s="12"/>
      <c r="D5" s="515"/>
      <c r="E5" s="516"/>
      <c r="F5" s="515"/>
      <c r="G5" s="515"/>
      <c r="H5" s="515"/>
      <c r="I5" s="515"/>
      <c r="J5" s="515"/>
      <c r="K5" s="515"/>
      <c r="L5" s="515"/>
      <c r="M5" s="515"/>
      <c r="N5" s="515"/>
      <c r="O5" s="867"/>
    </row>
    <row r="6" spans="1:15" ht="15.75">
      <c r="B6" s="15"/>
      <c r="C6" s="515"/>
      <c r="D6" s="16" t="s">
        <v>7</v>
      </c>
      <c r="E6" s="16" t="s">
        <v>8</v>
      </c>
      <c r="F6" s="515"/>
      <c r="G6" s="515"/>
      <c r="H6" s="515"/>
      <c r="I6" s="515"/>
      <c r="J6" s="515"/>
      <c r="K6" s="515"/>
      <c r="L6" s="515"/>
      <c r="M6" s="515"/>
      <c r="N6" s="515"/>
      <c r="O6" s="867"/>
    </row>
    <row r="7" spans="1:15" ht="15.75">
      <c r="B7" s="15"/>
      <c r="C7" s="515"/>
      <c r="D7" s="868" t="s">
        <v>8</v>
      </c>
      <c r="E7" s="868">
        <f>III.a.1.Scenario</f>
        <v>4</v>
      </c>
      <c r="F7" s="515"/>
      <c r="G7" s="515"/>
      <c r="H7" s="515"/>
      <c r="I7" s="515"/>
      <c r="J7" s="515"/>
      <c r="K7" s="515"/>
      <c r="L7" s="515"/>
      <c r="M7" s="515"/>
      <c r="N7" s="515"/>
      <c r="O7" s="867"/>
    </row>
    <row r="8" spans="1:15" ht="15.75">
      <c r="B8" s="450"/>
      <c r="C8" s="452"/>
      <c r="D8" s="452"/>
      <c r="E8" s="452"/>
      <c r="F8" s="869"/>
      <c r="G8" s="869"/>
      <c r="H8" s="869"/>
      <c r="I8" s="869"/>
      <c r="J8" s="869"/>
      <c r="K8" s="869"/>
      <c r="L8" s="869"/>
      <c r="M8" s="869"/>
      <c r="N8" s="869"/>
      <c r="O8" s="870"/>
    </row>
    <row r="9" spans="1:15">
      <c r="E9" t="s">
        <v>5</v>
      </c>
    </row>
    <row r="10" spans="1:15" ht="23.25">
      <c r="A10" s="7"/>
      <c r="B10" s="878" t="s">
        <v>33</v>
      </c>
      <c r="C10" s="879"/>
      <c r="D10" s="879"/>
      <c r="E10" s="879"/>
      <c r="F10" s="879"/>
      <c r="G10" s="879"/>
      <c r="H10" s="879"/>
      <c r="I10" s="879"/>
      <c r="J10" s="879"/>
      <c r="K10" s="879"/>
      <c r="L10" s="879"/>
      <c r="M10" s="879"/>
      <c r="N10" s="879"/>
      <c r="O10" s="880"/>
    </row>
    <row r="11" spans="1:15">
      <c r="B11" s="110"/>
      <c r="C11" s="67"/>
      <c r="D11" s="67"/>
      <c r="E11" s="67"/>
      <c r="F11" s="67"/>
      <c r="G11" s="67"/>
      <c r="H11" s="67"/>
      <c r="I11" s="67"/>
      <c r="J11" s="67"/>
      <c r="K11" s="67"/>
      <c r="L11" s="67"/>
      <c r="M11" s="67"/>
      <c r="N11" s="67"/>
      <c r="O11" s="885"/>
    </row>
    <row r="12" spans="1:15">
      <c r="B12" s="110"/>
      <c r="C12" s="49" t="s">
        <v>3064</v>
      </c>
      <c r="D12" s="67"/>
      <c r="E12" s="51"/>
      <c r="F12" s="67"/>
      <c r="G12" s="67"/>
      <c r="H12" s="67"/>
      <c r="I12" s="67"/>
      <c r="J12" s="67"/>
      <c r="K12" s="67"/>
      <c r="L12" s="67"/>
      <c r="M12" s="67"/>
      <c r="N12" s="51" t="str">
        <f>Preferences.PowerUnits &amp; " per annum, for subsequent period; nameplate capacity"</f>
        <v>GW per annum, for subsequent period; nameplate capacity</v>
      </c>
      <c r="O12" s="885"/>
    </row>
    <row r="13" spans="1:15">
      <c r="B13" s="110"/>
      <c r="C13" s="67"/>
      <c r="D13" s="67"/>
      <c r="E13" s="67"/>
      <c r="F13" s="67"/>
      <c r="G13" s="67"/>
      <c r="H13" s="67"/>
      <c r="I13" s="67"/>
      <c r="J13" s="67"/>
      <c r="K13" s="67"/>
      <c r="L13" s="67"/>
      <c r="M13" s="67"/>
      <c r="N13" s="67"/>
      <c r="O13" s="885"/>
    </row>
    <row r="14" spans="1:15" ht="15.75">
      <c r="B14" s="55"/>
      <c r="C14" s="887" t="s">
        <v>8</v>
      </c>
      <c r="D14" s="887" t="s">
        <v>72</v>
      </c>
      <c r="E14" s="887" t="s">
        <v>30</v>
      </c>
      <c r="F14" s="909">
        <v>2013</v>
      </c>
      <c r="G14" s="909">
        <v>2015</v>
      </c>
      <c r="H14" s="909">
        <v>2020</v>
      </c>
      <c r="I14" s="909">
        <v>2025</v>
      </c>
      <c r="J14" s="909">
        <v>2030</v>
      </c>
      <c r="K14" s="909">
        <v>2035</v>
      </c>
      <c r="L14" s="909">
        <v>2040</v>
      </c>
      <c r="M14" s="909">
        <v>2045</v>
      </c>
      <c r="N14" s="909">
        <v>2050</v>
      </c>
      <c r="O14" s="885"/>
    </row>
    <row r="15" spans="1:15" ht="15.75">
      <c r="B15" s="975"/>
      <c r="C15" s="108">
        <v>1</v>
      </c>
      <c r="D15" s="108"/>
      <c r="E15" s="890"/>
      <c r="F15" s="892">
        <f>(Unit.GW)*0.17</f>
        <v>0.17</v>
      </c>
      <c r="G15" s="892">
        <v>0</v>
      </c>
      <c r="H15" s="892">
        <v>0</v>
      </c>
      <c r="I15" s="892">
        <v>0</v>
      </c>
      <c r="J15" s="892">
        <v>0</v>
      </c>
      <c r="K15" s="892">
        <v>0</v>
      </c>
      <c r="L15" s="892">
        <v>0</v>
      </c>
      <c r="M15" s="892">
        <v>0</v>
      </c>
      <c r="N15" s="59"/>
      <c r="O15" s="893"/>
    </row>
    <row r="16" spans="1:15" ht="15.75">
      <c r="B16" s="55"/>
      <c r="C16" s="108">
        <v>2</v>
      </c>
      <c r="D16" s="108"/>
      <c r="E16" s="108"/>
      <c r="F16" s="892">
        <f>(Unit.GW)*0.17</f>
        <v>0.17</v>
      </c>
      <c r="G16" s="895">
        <f>(Unit.GW)*0.27</f>
        <v>0.27</v>
      </c>
      <c r="H16" s="895">
        <f t="shared" ref="H16:M16" si="0">(Unit.GW)*0.3</f>
        <v>0.3</v>
      </c>
      <c r="I16" s="895">
        <f t="shared" si="0"/>
        <v>0.3</v>
      </c>
      <c r="J16" s="895">
        <f t="shared" si="0"/>
        <v>0.3</v>
      </c>
      <c r="K16" s="895">
        <f t="shared" si="0"/>
        <v>0.3</v>
      </c>
      <c r="L16" s="895">
        <f t="shared" si="0"/>
        <v>0.3</v>
      </c>
      <c r="M16" s="895">
        <f t="shared" si="0"/>
        <v>0.3</v>
      </c>
      <c r="N16" s="60"/>
      <c r="O16" s="885"/>
    </row>
    <row r="17" spans="2:15" ht="15.75">
      <c r="B17" s="55"/>
      <c r="C17" s="108">
        <v>3</v>
      </c>
      <c r="D17" s="108"/>
      <c r="E17" s="108"/>
      <c r="F17" s="892">
        <f>(Unit.GW)*0.17</f>
        <v>0.17</v>
      </c>
      <c r="G17" s="895">
        <f>(Unit.GW)*0.27</f>
        <v>0.27</v>
      </c>
      <c r="H17" s="895">
        <f>(Unit.GW)*0.3</f>
        <v>0.3</v>
      </c>
      <c r="I17" s="895">
        <f>(Unit.GW)*0.5</f>
        <v>0.5</v>
      </c>
      <c r="J17" s="895">
        <f>(Unit.GW)*0.8</f>
        <v>0.8</v>
      </c>
      <c r="K17" s="895">
        <f>(Unit.GW)*0.8</f>
        <v>0.8</v>
      </c>
      <c r="L17" s="895">
        <f>(Unit.GW)*0.8</f>
        <v>0.8</v>
      </c>
      <c r="M17" s="895">
        <f>(Unit.GW)*0.8</f>
        <v>0.8</v>
      </c>
      <c r="N17" s="60"/>
      <c r="O17" s="885"/>
    </row>
    <row r="18" spans="2:15" ht="15.75">
      <c r="B18" s="55"/>
      <c r="C18" s="897">
        <v>4</v>
      </c>
      <c r="D18" s="897"/>
      <c r="E18" s="897"/>
      <c r="F18" s="892">
        <f>(Unit.GW)*0.17</f>
        <v>0.17</v>
      </c>
      <c r="G18" s="895">
        <f>(Unit.GW)*0.27</f>
        <v>0.27</v>
      </c>
      <c r="H18" s="895">
        <f>(Unit.GW)*0.5</f>
        <v>0.5</v>
      </c>
      <c r="I18" s="899">
        <f>(Unit.GW)*0.8</f>
        <v>0.8</v>
      </c>
      <c r="J18" s="899">
        <f>(Unit.GW)*1</f>
        <v>1</v>
      </c>
      <c r="K18" s="899">
        <f>(Unit.GW)*1</f>
        <v>1</v>
      </c>
      <c r="L18" s="899">
        <f>(Unit.GW)*1</f>
        <v>1</v>
      </c>
      <c r="M18" s="899">
        <f>(Unit.GW)*1</f>
        <v>1</v>
      </c>
      <c r="N18" s="907"/>
      <c r="O18" s="885"/>
    </row>
    <row r="19" spans="2:15" ht="15.75">
      <c r="B19" s="55"/>
      <c r="C19" s="1195" t="s">
        <v>37</v>
      </c>
      <c r="D19" s="901"/>
      <c r="E19" s="901"/>
      <c r="F19" s="902">
        <f>(INDEX(F$15:F$18,ROUNDDOWN($E$7,0))*(1-MOD($E$7,1)))+(INDEX(F$15:F$18,ROUNDUP($E$7,0))*MOD($E$7,1))</f>
        <v>0.17</v>
      </c>
      <c r="G19" s="902">
        <f t="shared" ref="G19:N19" si="1">(INDEX(G$15:G$18,ROUNDDOWN($E$7,0))*(1-MOD($E$7,1)))+(INDEX(G$15:G$18,ROUNDUP($E$7,0))*MOD($E$7,1))</f>
        <v>0.27</v>
      </c>
      <c r="H19" s="902">
        <f t="shared" si="1"/>
        <v>0.5</v>
      </c>
      <c r="I19" s="902">
        <f t="shared" si="1"/>
        <v>0.8</v>
      </c>
      <c r="J19" s="902">
        <f t="shared" si="1"/>
        <v>1</v>
      </c>
      <c r="K19" s="902">
        <f t="shared" si="1"/>
        <v>1</v>
      </c>
      <c r="L19" s="902">
        <f t="shared" si="1"/>
        <v>1</v>
      </c>
      <c r="M19" s="902">
        <f t="shared" si="1"/>
        <v>1</v>
      </c>
      <c r="N19" s="902">
        <f t="shared" si="1"/>
        <v>0</v>
      </c>
      <c r="O19" s="885"/>
    </row>
    <row r="20" spans="2:15">
      <c r="B20" s="45"/>
      <c r="C20" s="67"/>
      <c r="D20" s="67"/>
      <c r="E20" s="67"/>
      <c r="F20" s="67"/>
      <c r="G20" s="67"/>
      <c r="H20" s="67"/>
      <c r="I20" s="67"/>
      <c r="J20" s="67"/>
      <c r="K20" s="67"/>
      <c r="L20" s="67"/>
      <c r="M20" s="67"/>
      <c r="N20" s="67"/>
      <c r="O20" s="885"/>
    </row>
    <row r="21" spans="2:15">
      <c r="B21" s="45"/>
      <c r="C21" s="49" t="s">
        <v>3065</v>
      </c>
      <c r="D21" s="67"/>
      <c r="E21" s="51"/>
      <c r="F21" s="67"/>
      <c r="G21" s="67" t="s">
        <v>5</v>
      </c>
      <c r="H21" s="67"/>
      <c r="I21" s="67"/>
      <c r="J21" s="67"/>
      <c r="K21" s="67"/>
      <c r="L21" s="67"/>
      <c r="M21" s="67"/>
      <c r="N21" s="51" t="str">
        <f>Preferences.PowerUnits &amp; " per annum, for subsequent period; nameplate capacity"</f>
        <v>GW per annum, for subsequent period; nameplate capacity</v>
      </c>
      <c r="O21" s="885"/>
    </row>
    <row r="22" spans="2:15">
      <c r="B22" s="45"/>
      <c r="C22" s="67"/>
      <c r="D22" s="67"/>
      <c r="E22" s="67"/>
      <c r="F22" s="67"/>
      <c r="G22" s="67"/>
      <c r="H22" s="67"/>
      <c r="I22" s="67"/>
      <c r="J22" s="67"/>
      <c r="K22" s="67"/>
      <c r="L22" s="67"/>
      <c r="M22" s="67"/>
      <c r="N22" s="67"/>
      <c r="O22" s="885"/>
    </row>
    <row r="23" spans="2:15" ht="15.75">
      <c r="B23" s="55"/>
      <c r="C23" s="887" t="s">
        <v>8</v>
      </c>
      <c r="D23" s="887" t="s">
        <v>72</v>
      </c>
      <c r="E23" s="887" t="s">
        <v>30</v>
      </c>
      <c r="F23" s="909">
        <v>2013</v>
      </c>
      <c r="G23" s="909">
        <v>2015</v>
      </c>
      <c r="H23" s="909">
        <v>2020</v>
      </c>
      <c r="I23" s="909">
        <v>2025</v>
      </c>
      <c r="J23" s="909">
        <v>2030</v>
      </c>
      <c r="K23" s="909">
        <v>2035</v>
      </c>
      <c r="L23" s="909">
        <v>2040</v>
      </c>
      <c r="M23" s="909">
        <v>2045</v>
      </c>
      <c r="N23" s="909">
        <v>2050</v>
      </c>
      <c r="O23" s="885"/>
    </row>
    <row r="24" spans="2:15" ht="15.75">
      <c r="B24" s="55"/>
      <c r="C24" s="108">
        <v>1</v>
      </c>
      <c r="D24" s="108"/>
      <c r="E24" s="890"/>
      <c r="F24" s="892">
        <v>0</v>
      </c>
      <c r="G24" s="892">
        <v>0</v>
      </c>
      <c r="H24" s="892">
        <f>(Unit.GW)*-0.17</f>
        <v>-0.17</v>
      </c>
      <c r="I24" s="892">
        <f>(Unit.GW)*-0.17</f>
        <v>-0.17</v>
      </c>
      <c r="J24" s="892">
        <f>(Unit.GW)*-0.085</f>
        <v>-8.5000000000000006E-2</v>
      </c>
      <c r="K24" s="892">
        <v>0</v>
      </c>
      <c r="L24" s="892">
        <v>0</v>
      </c>
      <c r="M24" s="892">
        <v>0</v>
      </c>
      <c r="N24" s="59"/>
      <c r="O24" s="885"/>
    </row>
    <row r="25" spans="2:15" ht="15.75">
      <c r="B25" s="55"/>
      <c r="C25" s="108">
        <v>2</v>
      </c>
      <c r="D25" s="108"/>
      <c r="E25" s="108"/>
      <c r="F25" s="892">
        <v>0</v>
      </c>
      <c r="G25" s="895">
        <v>0</v>
      </c>
      <c r="H25" s="892">
        <f>(Unit.GW)*-0.17</f>
        <v>-0.17</v>
      </c>
      <c r="I25" s="895">
        <f>(Unit.GW)*-0.3</f>
        <v>-0.3</v>
      </c>
      <c r="J25" s="895">
        <f>(Unit.GW)*-0.3</f>
        <v>-0.3</v>
      </c>
      <c r="K25" s="895">
        <f>(Unit.GW)*-0.3</f>
        <v>-0.3</v>
      </c>
      <c r="L25" s="895">
        <f>(Unit.GW)*-0.3</f>
        <v>-0.3</v>
      </c>
      <c r="M25" s="895">
        <f>(Unit.GW)*-0.3</f>
        <v>-0.3</v>
      </c>
      <c r="N25" s="60"/>
      <c r="O25" s="885"/>
    </row>
    <row r="26" spans="2:15" ht="15.75">
      <c r="B26" s="55"/>
      <c r="C26" s="108">
        <v>3</v>
      </c>
      <c r="D26" s="108"/>
      <c r="E26" s="108"/>
      <c r="F26" s="892">
        <v>0</v>
      </c>
      <c r="G26" s="895">
        <v>0</v>
      </c>
      <c r="H26" s="892">
        <f>(Unit.GW)*-0.17</f>
        <v>-0.17</v>
      </c>
      <c r="I26" s="895">
        <f>(Unit.GW)*-0.3</f>
        <v>-0.3</v>
      </c>
      <c r="J26" s="895">
        <f>(Unit.GW)*-0.5</f>
        <v>-0.5</v>
      </c>
      <c r="K26" s="895">
        <f>(Unit.GW)*-0.8</f>
        <v>-0.8</v>
      </c>
      <c r="L26" s="895">
        <f>(Unit.GW)*-0.8</f>
        <v>-0.8</v>
      </c>
      <c r="M26" s="895">
        <f>(Unit.GW)*-0.8</f>
        <v>-0.8</v>
      </c>
      <c r="N26" s="60"/>
      <c r="O26" s="885"/>
    </row>
    <row r="27" spans="2:15" ht="15.75">
      <c r="B27" s="55"/>
      <c r="C27" s="897">
        <v>4</v>
      </c>
      <c r="D27" s="897"/>
      <c r="E27" s="897"/>
      <c r="F27" s="1156">
        <v>0</v>
      </c>
      <c r="G27" s="899">
        <v>0</v>
      </c>
      <c r="H27" s="892">
        <f>(Unit.GW)*-0.17</f>
        <v>-0.17</v>
      </c>
      <c r="I27" s="895">
        <f>(Unit.GW)*-0.3</f>
        <v>-0.3</v>
      </c>
      <c r="J27" s="899">
        <f>(Unit.GW)*-0.8</f>
        <v>-0.8</v>
      </c>
      <c r="K27" s="899">
        <f>(Unit.GW)*-1</f>
        <v>-1</v>
      </c>
      <c r="L27" s="899">
        <f>(Unit.GW)*-1</f>
        <v>-1</v>
      </c>
      <c r="M27" s="899">
        <f>(Unit.GW)*-1</f>
        <v>-1</v>
      </c>
      <c r="N27" s="907"/>
      <c r="O27" s="885"/>
    </row>
    <row r="28" spans="2:15" ht="15.75">
      <c r="B28" s="55"/>
      <c r="C28" s="1195" t="s">
        <v>37</v>
      </c>
      <c r="D28" s="901"/>
      <c r="E28" s="901"/>
      <c r="F28" s="902">
        <f>(INDEX(F$24:F$27,ROUNDDOWN($E$7,0))*(1-MOD($E$7,1)))+(INDEX(F$24:F$27,ROUNDUP($E$7,0))*MOD($E$7,1))</f>
        <v>0</v>
      </c>
      <c r="G28" s="902">
        <f t="shared" ref="G28:N28" si="2">(INDEX(G$24:G$27,ROUNDDOWN($E$7,0))*(1-MOD($E$7,1)))+(INDEX(G$24:G$27,ROUNDUP($E$7,0))*MOD($E$7,1))</f>
        <v>0</v>
      </c>
      <c r="H28" s="902">
        <f t="shared" si="2"/>
        <v>-0.17</v>
      </c>
      <c r="I28" s="902">
        <f t="shared" si="2"/>
        <v>-0.3</v>
      </c>
      <c r="J28" s="902">
        <f t="shared" si="2"/>
        <v>-0.8</v>
      </c>
      <c r="K28" s="902">
        <f t="shared" si="2"/>
        <v>-1</v>
      </c>
      <c r="L28" s="902">
        <f t="shared" si="2"/>
        <v>-1</v>
      </c>
      <c r="M28" s="902">
        <f t="shared" si="2"/>
        <v>-1</v>
      </c>
      <c r="N28" s="902">
        <f t="shared" si="2"/>
        <v>0</v>
      </c>
      <c r="O28" s="885"/>
    </row>
    <row r="29" spans="2:15">
      <c r="B29" s="45"/>
      <c r="C29" s="108"/>
      <c r="D29" s="108"/>
      <c r="E29" s="108"/>
      <c r="F29" s="172"/>
      <c r="G29" s="165"/>
      <c r="H29" s="165"/>
      <c r="I29" s="165"/>
      <c r="J29" s="165"/>
      <c r="K29" s="165"/>
      <c r="L29" s="165"/>
      <c r="M29" s="165" t="s">
        <v>5</v>
      </c>
      <c r="N29" s="165"/>
      <c r="O29" s="885"/>
    </row>
    <row r="30" spans="2:15" s="3854" customFormat="1">
      <c r="B30" s="45"/>
      <c r="C30" s="108"/>
      <c r="D30" s="108"/>
      <c r="E30" s="108"/>
      <c r="F30" s="172"/>
      <c r="G30" s="165"/>
      <c r="H30" s="165"/>
      <c r="I30" s="165"/>
      <c r="J30" s="165"/>
      <c r="K30" s="165"/>
      <c r="L30" s="165"/>
      <c r="M30" s="165"/>
      <c r="N30" s="165"/>
      <c r="O30" s="885"/>
    </row>
    <row r="31" spans="2:15" s="3854" customFormat="1">
      <c r="B31" s="45"/>
      <c r="C31" s="3862" t="s">
        <v>64</v>
      </c>
      <c r="D31" s="67"/>
      <c r="E31" s="108"/>
      <c r="F31" s="172"/>
      <c r="G31" s="165"/>
      <c r="H31" s="165"/>
      <c r="I31" s="165"/>
      <c r="J31" s="165"/>
      <c r="K31" s="165"/>
      <c r="L31" s="165"/>
      <c r="M31" s="165"/>
      <c r="N31" s="165"/>
      <c r="O31" s="885"/>
    </row>
    <row r="32" spans="2:15" s="3854" customFormat="1">
      <c r="B32" s="45"/>
      <c r="C32" s="3863" t="s">
        <v>65</v>
      </c>
      <c r="D32" s="3864" t="s">
        <v>3067</v>
      </c>
      <c r="E32" s="108"/>
      <c r="F32" s="172"/>
      <c r="G32" s="165"/>
      <c r="H32" s="165"/>
      <c r="I32" s="165"/>
      <c r="J32" s="165"/>
      <c r="K32" s="165"/>
      <c r="L32" s="165"/>
      <c r="M32" s="165"/>
      <c r="N32" s="165"/>
      <c r="O32" s="885"/>
    </row>
    <row r="33" spans="1:71" s="3854" customFormat="1">
      <c r="B33" s="45"/>
      <c r="C33" s="3868"/>
      <c r="D33" s="2241" t="s">
        <v>3077</v>
      </c>
      <c r="E33" s="108"/>
      <c r="F33" s="172"/>
      <c r="G33" s="165"/>
      <c r="H33" s="165"/>
      <c r="I33" s="165"/>
      <c r="J33" s="165"/>
      <c r="K33" s="165"/>
      <c r="L33" s="165"/>
      <c r="M33" s="165"/>
      <c r="N33" s="165"/>
      <c r="O33" s="885"/>
    </row>
    <row r="34" spans="1:71" s="3854" customFormat="1">
      <c r="B34" s="45"/>
      <c r="C34" s="3868"/>
      <c r="D34" s="2241" t="s">
        <v>3068</v>
      </c>
      <c r="E34" s="108"/>
      <c r="F34" s="172"/>
      <c r="G34" s="165"/>
      <c r="H34" s="165"/>
      <c r="I34" s="165"/>
      <c r="J34" s="165"/>
      <c r="K34" s="165"/>
      <c r="L34" s="165"/>
      <c r="M34" s="165"/>
      <c r="N34" s="165"/>
      <c r="O34" s="885"/>
    </row>
    <row r="35" spans="1:71" s="3854" customFormat="1">
      <c r="B35" s="45"/>
      <c r="C35" s="3868"/>
      <c r="D35" s="2241" t="s">
        <v>3066</v>
      </c>
      <c r="E35" s="108"/>
      <c r="F35" s="172"/>
      <c r="G35" s="165"/>
      <c r="H35" s="165"/>
      <c r="I35" s="165"/>
      <c r="J35" s="165"/>
      <c r="K35" s="165"/>
      <c r="L35" s="165"/>
      <c r="M35" s="165"/>
      <c r="N35" s="165"/>
      <c r="O35" s="885"/>
    </row>
    <row r="36" spans="1:71" s="3854" customFormat="1">
      <c r="B36" s="45"/>
      <c r="C36" s="3868" t="s">
        <v>67</v>
      </c>
      <c r="D36" s="2241" t="s">
        <v>3069</v>
      </c>
      <c r="E36" s="108"/>
      <c r="F36" s="172"/>
      <c r="G36" s="165"/>
      <c r="H36" s="165"/>
      <c r="I36" s="165"/>
      <c r="J36" s="165"/>
      <c r="K36" s="165"/>
      <c r="L36" s="165"/>
      <c r="M36" s="165"/>
      <c r="N36" s="165"/>
      <c r="O36" s="885"/>
    </row>
    <row r="37" spans="1:71" s="3854" customFormat="1">
      <c r="B37" s="45"/>
      <c r="C37" s="3868"/>
      <c r="D37" s="2241"/>
      <c r="E37" s="108"/>
      <c r="F37" s="172"/>
      <c r="G37" s="165"/>
      <c r="H37" s="165"/>
      <c r="I37" s="165"/>
      <c r="J37" s="165"/>
      <c r="K37" s="165"/>
      <c r="L37" s="165"/>
      <c r="M37" s="165"/>
      <c r="N37" s="165"/>
      <c r="O37" s="885"/>
    </row>
    <row r="38" spans="1:71">
      <c r="B38" s="111"/>
      <c r="C38" s="1074"/>
      <c r="D38" s="1074"/>
      <c r="E38" s="1074"/>
      <c r="F38" s="1074"/>
      <c r="G38" s="1074"/>
      <c r="H38" s="1074"/>
      <c r="I38" s="1074"/>
      <c r="J38" s="1074"/>
      <c r="K38" s="1074"/>
      <c r="L38" s="1074"/>
      <c r="M38" s="1074"/>
      <c r="N38" s="1074"/>
      <c r="O38" s="1109"/>
    </row>
    <row r="40" spans="1:71" s="6" customFormat="1" ht="23.25">
      <c r="A40" s="40"/>
      <c r="B40" s="878" t="s">
        <v>70</v>
      </c>
      <c r="C40" s="879"/>
      <c r="D40" s="879"/>
      <c r="E40" s="879"/>
      <c r="F40" s="879"/>
      <c r="G40" s="879"/>
      <c r="H40" s="879"/>
      <c r="I40" s="879"/>
      <c r="J40" s="879"/>
      <c r="K40" s="879"/>
      <c r="L40" s="879"/>
      <c r="M40" s="879"/>
      <c r="N40" s="879"/>
      <c r="O40" s="880"/>
    </row>
    <row r="41" spans="1:71">
      <c r="B41" s="110"/>
      <c r="C41" s="67"/>
      <c r="D41" s="67"/>
      <c r="E41" s="67"/>
      <c r="F41" s="67"/>
      <c r="G41" s="67"/>
      <c r="H41" s="67"/>
      <c r="I41" s="67"/>
      <c r="J41" s="67"/>
      <c r="K41" s="67"/>
      <c r="L41" s="67"/>
      <c r="M41" s="67"/>
      <c r="N41" s="67"/>
      <c r="O41" s="885"/>
      <c r="BS41" t="s">
        <v>5</v>
      </c>
    </row>
    <row r="42" spans="1:71">
      <c r="B42" s="110"/>
      <c r="C42" s="49" t="s">
        <v>857</v>
      </c>
      <c r="D42" s="67"/>
      <c r="E42" s="51"/>
      <c r="F42" s="67"/>
      <c r="G42" s="67"/>
      <c r="H42" s="67"/>
      <c r="I42" s="67"/>
      <c r="J42" s="67"/>
      <c r="K42" s="67"/>
      <c r="L42" s="67"/>
      <c r="M42" s="67"/>
      <c r="N42" s="51" t="str">
        <f>Preferences.PowerUnits</f>
        <v>GW</v>
      </c>
      <c r="O42" s="885"/>
    </row>
    <row r="43" spans="1:71">
      <c r="B43" s="110"/>
      <c r="C43" s="67"/>
      <c r="D43" s="67"/>
      <c r="E43" s="67"/>
      <c r="F43" s="67"/>
      <c r="G43" s="67"/>
      <c r="H43" s="67"/>
      <c r="I43" s="67"/>
      <c r="J43" s="67"/>
      <c r="K43" s="67"/>
      <c r="L43" s="67"/>
      <c r="M43" s="67"/>
      <c r="N43" s="67"/>
      <c r="O43" s="885"/>
    </row>
    <row r="44" spans="1:71" ht="15.75">
      <c r="B44" s="55"/>
      <c r="C44" s="887" t="s">
        <v>132</v>
      </c>
      <c r="D44" s="887" t="s">
        <v>731</v>
      </c>
      <c r="E44" s="887" t="s">
        <v>30</v>
      </c>
      <c r="F44" s="909">
        <v>2013</v>
      </c>
      <c r="G44" s="909">
        <v>2015</v>
      </c>
      <c r="H44" s="909">
        <v>2020</v>
      </c>
      <c r="I44" s="909">
        <v>2025</v>
      </c>
      <c r="J44" s="909">
        <v>2030</v>
      </c>
      <c r="K44" s="909">
        <v>2035</v>
      </c>
      <c r="L44" s="909">
        <v>2040</v>
      </c>
      <c r="M44" s="909">
        <v>2045</v>
      </c>
      <c r="N44" s="909">
        <v>2050</v>
      </c>
      <c r="O44" s="885"/>
    </row>
    <row r="45" spans="1:71" s="6" customFormat="1" ht="15.75">
      <c r="B45" s="975"/>
      <c r="C45" s="199" t="s">
        <v>447</v>
      </c>
      <c r="D45" s="199" t="s">
        <v>521</v>
      </c>
      <c r="E45" s="199" t="s">
        <v>65</v>
      </c>
      <c r="F45" s="1023">
        <f>(Unit.GW)*1.8</f>
        <v>1.8</v>
      </c>
      <c r="G45" s="1023"/>
      <c r="H45" s="1023"/>
      <c r="I45" s="1023"/>
      <c r="J45" s="1023"/>
      <c r="K45" s="1023"/>
      <c r="L45" s="1023"/>
      <c r="M45" s="1023"/>
      <c r="N45" s="1023"/>
      <c r="O45" s="893"/>
    </row>
    <row r="46" spans="1:71">
      <c r="B46" s="45"/>
      <c r="C46" s="67"/>
      <c r="D46" s="67"/>
      <c r="E46" s="67"/>
      <c r="F46" s="67"/>
      <c r="G46" s="67"/>
      <c r="H46" s="67"/>
      <c r="I46" s="67"/>
      <c r="J46" s="67"/>
      <c r="K46" s="67"/>
      <c r="L46" s="67"/>
      <c r="M46" s="67"/>
      <c r="N46" s="67"/>
      <c r="O46" s="885"/>
    </row>
    <row r="47" spans="1:71">
      <c r="B47" s="110"/>
      <c r="C47" s="49" t="s">
        <v>858</v>
      </c>
      <c r="D47" s="67"/>
      <c r="E47" s="67"/>
      <c r="F47" s="67"/>
      <c r="G47" s="67"/>
      <c r="H47" s="67"/>
      <c r="I47" s="67"/>
      <c r="J47" s="67"/>
      <c r="K47" s="67"/>
      <c r="L47" s="67"/>
      <c r="M47" s="67"/>
      <c r="N47" s="67"/>
      <c r="O47" s="885"/>
    </row>
    <row r="48" spans="1:71">
      <c r="B48" s="110"/>
      <c r="C48" s="67"/>
      <c r="D48" s="67"/>
      <c r="E48" s="67"/>
      <c r="F48" s="67"/>
      <c r="G48" s="67"/>
      <c r="H48" s="67"/>
      <c r="I48" s="67"/>
      <c r="J48" s="67"/>
      <c r="K48" s="67"/>
      <c r="L48" s="67"/>
      <c r="M48" s="67"/>
      <c r="N48" s="67"/>
      <c r="O48" s="885"/>
    </row>
    <row r="49" spans="2:15" ht="15.75">
      <c r="B49" s="55"/>
      <c r="C49" s="887" t="s">
        <v>132</v>
      </c>
      <c r="D49" s="887" t="s">
        <v>731</v>
      </c>
      <c r="E49" s="887" t="s">
        <v>30</v>
      </c>
      <c r="F49" s="909">
        <v>2013</v>
      </c>
      <c r="G49" s="909">
        <v>2015</v>
      </c>
      <c r="H49" s="909">
        <v>2020</v>
      </c>
      <c r="I49" s="909">
        <v>2025</v>
      </c>
      <c r="J49" s="909">
        <v>2030</v>
      </c>
      <c r="K49" s="909">
        <v>2035</v>
      </c>
      <c r="L49" s="909">
        <v>2040</v>
      </c>
      <c r="M49" s="909">
        <v>2045</v>
      </c>
      <c r="N49" s="909">
        <v>2050</v>
      </c>
      <c r="O49" s="885"/>
    </row>
    <row r="50" spans="2:15" ht="15.75">
      <c r="B50" s="55"/>
      <c r="C50" s="199" t="s">
        <v>447</v>
      </c>
      <c r="D50" s="199" t="s">
        <v>521</v>
      </c>
      <c r="E50" s="199" t="s">
        <v>67</v>
      </c>
      <c r="F50" s="158">
        <v>0.28000000000000003</v>
      </c>
      <c r="G50" s="158">
        <v>0.29499999999999998</v>
      </c>
      <c r="H50" s="158">
        <v>0.29499999999999998</v>
      </c>
      <c r="I50" s="158">
        <v>0.29499999999999998</v>
      </c>
      <c r="J50" s="158">
        <v>0.29499999999999998</v>
      </c>
      <c r="K50" s="158">
        <v>0.29499999999999998</v>
      </c>
      <c r="L50" s="158">
        <v>0.29499999999999998</v>
      </c>
      <c r="M50" s="158">
        <v>0.29499999999999998</v>
      </c>
      <c r="N50" s="158">
        <v>0.29499999999999998</v>
      </c>
      <c r="O50" s="885"/>
    </row>
    <row r="51" spans="2:15" ht="15.75">
      <c r="B51" s="55"/>
      <c r="C51" s="108"/>
      <c r="D51" s="108"/>
      <c r="E51" s="108"/>
      <c r="F51" s="301"/>
      <c r="G51" s="93"/>
      <c r="H51" s="93"/>
      <c r="I51" s="93"/>
      <c r="J51" s="93"/>
      <c r="K51" s="93"/>
      <c r="L51" s="93"/>
      <c r="M51" s="93"/>
      <c r="N51" s="93"/>
      <c r="O51" s="885"/>
    </row>
    <row r="52" spans="2:15" ht="15.75">
      <c r="B52" s="55"/>
      <c r="C52" s="49" t="s">
        <v>735</v>
      </c>
      <c r="D52" s="67"/>
      <c r="E52" s="67"/>
      <c r="F52" s="67"/>
      <c r="G52" s="67"/>
      <c r="H52" s="67"/>
      <c r="I52" s="67"/>
      <c r="J52" s="67"/>
      <c r="K52" s="67"/>
      <c r="L52" s="67"/>
      <c r="M52" s="67"/>
      <c r="N52" s="67"/>
      <c r="O52" s="885"/>
    </row>
    <row r="53" spans="2:15" ht="15.75">
      <c r="B53" s="55"/>
      <c r="C53" s="67"/>
      <c r="D53" s="67"/>
      <c r="E53" s="67"/>
      <c r="F53" s="67"/>
      <c r="G53" s="67"/>
      <c r="H53" s="67"/>
      <c r="I53" s="67"/>
      <c r="J53" s="67"/>
      <c r="K53" s="67"/>
      <c r="L53" s="67"/>
      <c r="M53" s="67"/>
      <c r="N53" s="67"/>
      <c r="O53" s="885"/>
    </row>
    <row r="54" spans="2:15" ht="15.75">
      <c r="B54" s="55"/>
      <c r="C54" s="887"/>
      <c r="D54" s="887"/>
      <c r="E54" s="887"/>
      <c r="F54" s="909"/>
      <c r="G54" s="1161" t="s">
        <v>895</v>
      </c>
      <c r="H54" s="67"/>
      <c r="I54" s="1197"/>
      <c r="J54" s="1197"/>
      <c r="K54" s="1197"/>
      <c r="L54" s="1197"/>
      <c r="M54" s="1197"/>
      <c r="N54" s="1197"/>
      <c r="O54" s="885"/>
    </row>
    <row r="55" spans="2:15" ht="15.75">
      <c r="B55" s="55"/>
      <c r="C55" s="923"/>
      <c r="D55" s="924" t="s">
        <v>859</v>
      </c>
      <c r="E55" s="923"/>
      <c r="F55" s="941">
        <f>2.5*(Unit.MW)</f>
        <v>2.5000000000000001E-3</v>
      </c>
      <c r="G55" s="1222" t="str">
        <f>Preferences.PowerUnits&amp;"peak"</f>
        <v>GWpeak</v>
      </c>
      <c r="H55" s="67"/>
      <c r="I55" s="1197"/>
      <c r="J55" s="1197"/>
      <c r="K55" s="1197"/>
      <c r="L55" s="1197"/>
      <c r="M55" s="1197"/>
      <c r="N55" s="1197"/>
      <c r="O55" s="885"/>
    </row>
    <row r="56" spans="2:15" ht="15.75">
      <c r="B56" s="55"/>
      <c r="C56" s="199"/>
      <c r="D56" s="199" t="s">
        <v>881</v>
      </c>
      <c r="E56" s="199" t="s">
        <v>106</v>
      </c>
      <c r="F56" s="1164">
        <f>(9)*Unit.W*Conversion.to.annual.energy/Unit.m2</f>
        <v>7.8894000000000006E-2</v>
      </c>
      <c r="G56" s="1165" t="str">
        <f>Preferences.EnergyUnits&amp;"/"&amp;Preferences.AreaUnits</f>
        <v>TWh/km^2</v>
      </c>
      <c r="H56" s="67"/>
      <c r="I56" s="59"/>
      <c r="J56" s="59"/>
      <c r="K56" s="59"/>
      <c r="L56" s="59"/>
      <c r="M56" s="59"/>
      <c r="N56" s="59"/>
      <c r="O56" s="885"/>
    </row>
    <row r="57" spans="2:15" ht="15.75">
      <c r="B57" s="55"/>
      <c r="C57" s="108"/>
      <c r="D57" s="108"/>
      <c r="E57" s="138"/>
      <c r="F57" s="1071"/>
      <c r="G57" s="943"/>
      <c r="H57" s="67"/>
      <c r="I57" s="59"/>
      <c r="J57" s="59"/>
      <c r="K57" s="59"/>
      <c r="L57" s="59"/>
      <c r="M57" s="59"/>
      <c r="N57" s="59"/>
      <c r="O57" s="885"/>
    </row>
    <row r="58" spans="2:15" ht="15.75">
      <c r="B58" s="55"/>
      <c r="C58" s="47"/>
      <c r="D58" s="47"/>
      <c r="E58" s="47"/>
      <c r="F58" s="47"/>
      <c r="G58" s="1198"/>
      <c r="H58" s="67"/>
      <c r="I58" s="59"/>
      <c r="J58" s="59"/>
      <c r="K58" s="59"/>
      <c r="L58" s="59"/>
      <c r="M58" s="59"/>
      <c r="N58" s="59"/>
      <c r="O58" s="885"/>
    </row>
    <row r="59" spans="2:15" ht="15.75">
      <c r="B59" s="55"/>
      <c r="C59" s="3862" t="s">
        <v>64</v>
      </c>
      <c r="D59" s="67"/>
      <c r="E59" s="47"/>
      <c r="F59" s="47"/>
      <c r="G59" s="943" t="s">
        <v>5</v>
      </c>
      <c r="H59" s="67"/>
      <c r="I59" s="59"/>
      <c r="J59" s="59"/>
      <c r="K59" s="59"/>
      <c r="L59" s="59"/>
      <c r="M59" s="59"/>
      <c r="N59" s="59"/>
      <c r="O59" s="885"/>
    </row>
    <row r="60" spans="2:15" ht="15.75">
      <c r="B60" s="55"/>
      <c r="C60" s="3863" t="s">
        <v>65</v>
      </c>
      <c r="D60" s="3864" t="s">
        <v>3070</v>
      </c>
      <c r="E60" s="47"/>
      <c r="F60" s="47"/>
      <c r="G60" s="943"/>
      <c r="H60" s="67"/>
      <c r="I60" s="59"/>
      <c r="J60" s="59"/>
      <c r="K60" s="59"/>
      <c r="L60" s="59"/>
      <c r="M60" s="59"/>
      <c r="N60" s="59"/>
      <c r="O60" s="885"/>
    </row>
    <row r="61" spans="2:15" ht="15.75">
      <c r="B61" s="55"/>
      <c r="C61" s="3868"/>
      <c r="D61" s="2241" t="s">
        <v>3071</v>
      </c>
      <c r="E61" s="47"/>
      <c r="F61" s="47"/>
      <c r="G61" s="943"/>
      <c r="H61" s="67"/>
      <c r="I61" s="59"/>
      <c r="J61" s="59"/>
      <c r="K61" s="59"/>
      <c r="L61" s="59"/>
      <c r="M61" s="59"/>
      <c r="N61" s="59"/>
      <c r="O61" s="885"/>
    </row>
    <row r="62" spans="2:15" ht="15.75">
      <c r="B62" s="55"/>
      <c r="C62" s="3868" t="s">
        <v>67</v>
      </c>
      <c r="D62" s="2241" t="s">
        <v>861</v>
      </c>
      <c r="E62" s="108"/>
      <c r="F62" s="1071"/>
      <c r="G62" s="943"/>
      <c r="H62" s="67"/>
      <c r="I62" s="59"/>
      <c r="J62" s="59"/>
      <c r="K62" s="59"/>
      <c r="L62" s="59"/>
      <c r="M62" s="59"/>
      <c r="N62" s="59"/>
      <c r="O62" s="885"/>
    </row>
    <row r="63" spans="2:15">
      <c r="B63" s="110"/>
      <c r="C63" s="3868"/>
      <c r="D63" s="2241" t="s">
        <v>882</v>
      </c>
      <c r="E63" s="67"/>
      <c r="F63" s="67"/>
      <c r="G63" s="67"/>
      <c r="H63" s="67"/>
      <c r="I63" s="67"/>
      <c r="J63" s="67"/>
      <c r="K63" s="67"/>
      <c r="L63" s="67"/>
      <c r="M63" s="67"/>
      <c r="N63" s="67"/>
      <c r="O63" s="885"/>
    </row>
    <row r="64" spans="2:15">
      <c r="B64" s="110"/>
      <c r="C64" s="3868"/>
      <c r="D64" s="2241" t="s">
        <v>3072</v>
      </c>
      <c r="E64" s="67"/>
      <c r="F64" s="67"/>
      <c r="G64" s="67"/>
      <c r="H64" s="67"/>
      <c r="I64" s="67"/>
      <c r="J64" s="67"/>
      <c r="K64" s="67"/>
      <c r="L64" s="67"/>
      <c r="M64" s="67"/>
      <c r="N64" s="67"/>
      <c r="O64" s="885"/>
    </row>
    <row r="65" spans="1:19" s="927" customFormat="1" ht="12.75">
      <c r="B65" s="1169"/>
      <c r="C65" s="3868" t="s">
        <v>106</v>
      </c>
      <c r="D65" s="2241" t="s">
        <v>3312</v>
      </c>
      <c r="E65" s="931"/>
      <c r="F65" s="931"/>
      <c r="G65" s="931"/>
      <c r="H65" s="931"/>
      <c r="I65" s="931"/>
      <c r="J65" s="931"/>
      <c r="K65" s="931"/>
      <c r="L65" s="931"/>
      <c r="M65" s="931"/>
      <c r="N65" s="931"/>
      <c r="O65" s="932"/>
    </row>
    <row r="66" spans="1:19">
      <c r="B66" s="1172"/>
      <c r="C66" s="1074"/>
      <c r="D66" s="1074"/>
      <c r="E66" s="1074"/>
      <c r="F66" s="1074"/>
      <c r="G66" s="1074"/>
      <c r="H66" s="1074"/>
      <c r="I66" s="1074"/>
      <c r="J66" s="1074"/>
      <c r="K66" s="1074"/>
      <c r="L66" s="1074"/>
      <c r="M66" s="1074"/>
      <c r="N66" s="1074"/>
      <c r="O66" s="1109"/>
    </row>
    <row r="68" spans="1:19" s="6" customFormat="1" ht="23.25">
      <c r="A68" s="40"/>
      <c r="B68" s="878" t="s">
        <v>2794</v>
      </c>
      <c r="C68" s="879"/>
      <c r="D68" s="879"/>
      <c r="E68" s="879"/>
      <c r="F68" s="879"/>
      <c r="G68" s="879"/>
      <c r="H68" s="879"/>
      <c r="I68" s="879"/>
      <c r="J68" s="879"/>
      <c r="K68" s="879"/>
      <c r="L68" s="879"/>
      <c r="M68" s="879"/>
      <c r="N68" s="879"/>
      <c r="O68" s="880"/>
    </row>
    <row r="69" spans="1:19" hidden="1">
      <c r="B69" s="881"/>
      <c r="C69" s="882"/>
      <c r="D69" s="882"/>
      <c r="E69" s="882"/>
      <c r="F69" s="882"/>
      <c r="G69" s="882"/>
      <c r="H69" s="882"/>
      <c r="I69" s="882"/>
      <c r="J69" s="882"/>
      <c r="K69" s="882"/>
      <c r="L69" s="882"/>
      <c r="M69" s="882"/>
      <c r="N69" s="882"/>
      <c r="O69" s="882"/>
      <c r="P69" s="1077"/>
      <c r="Q69" s="1077"/>
      <c r="R69" s="1077"/>
      <c r="S69" s="1077"/>
    </row>
    <row r="70" spans="1:19" hidden="1">
      <c r="B70" s="110"/>
      <c r="C70" s="49" t="s">
        <v>883</v>
      </c>
      <c r="D70" s="924"/>
      <c r="E70" s="941"/>
      <c r="F70" s="942"/>
      <c r="G70" s="943"/>
      <c r="H70" s="943"/>
      <c r="I70" s="943"/>
      <c r="J70" s="943"/>
      <c r="K70" s="943"/>
      <c r="L70" s="943"/>
      <c r="M70" s="943"/>
      <c r="N70" s="944" t="s">
        <v>2819</v>
      </c>
      <c r="O70" s="67"/>
      <c r="P70" s="1077"/>
      <c r="Q70" s="1077"/>
      <c r="R70" s="1077"/>
      <c r="S70" s="1077"/>
    </row>
    <row r="71" spans="1:19" hidden="1">
      <c r="B71" s="110"/>
      <c r="C71" s="1167"/>
      <c r="D71" s="924"/>
      <c r="E71" s="941"/>
      <c r="F71" s="942"/>
      <c r="G71" s="943"/>
      <c r="H71" s="943"/>
      <c r="I71" s="943"/>
      <c r="J71" s="943"/>
      <c r="K71" s="943"/>
      <c r="L71" s="943"/>
      <c r="M71" s="943"/>
      <c r="N71" s="67"/>
      <c r="O71" s="67"/>
      <c r="P71" s="1077"/>
      <c r="Q71" s="1077"/>
      <c r="R71" s="1077"/>
      <c r="S71" s="1077"/>
    </row>
    <row r="72" spans="1:19" hidden="1">
      <c r="B72" s="110"/>
      <c r="C72" s="1200"/>
      <c r="D72" s="1079"/>
      <c r="E72" s="980" t="s">
        <v>160</v>
      </c>
      <c r="F72" s="1201">
        <v>2013</v>
      </c>
      <c r="G72" s="951">
        <v>2015</v>
      </c>
      <c r="H72" s="951">
        <v>2020</v>
      </c>
      <c r="I72" s="951">
        <v>2025</v>
      </c>
      <c r="J72" s="951">
        <v>2030</v>
      </c>
      <c r="K72" s="951">
        <v>2035</v>
      </c>
      <c r="L72" s="951">
        <v>2040</v>
      </c>
      <c r="M72" s="951">
        <v>2045</v>
      </c>
      <c r="N72" s="951">
        <v>2050</v>
      </c>
      <c r="O72" s="67"/>
      <c r="P72" s="1077"/>
      <c r="Q72" s="1077"/>
      <c r="R72" s="1077"/>
      <c r="S72" s="1077"/>
    </row>
    <row r="73" spans="1:19" hidden="1">
      <c r="B73" s="110"/>
      <c r="C73" s="1202" t="s">
        <v>738</v>
      </c>
      <c r="D73" s="1079"/>
      <c r="E73" s="967"/>
      <c r="F73" s="967"/>
      <c r="G73" s="942"/>
      <c r="H73" s="942"/>
      <c r="I73" s="942"/>
      <c r="J73" s="942"/>
      <c r="K73" s="942"/>
      <c r="L73" s="942"/>
      <c r="M73" s="942"/>
      <c r="N73" s="942"/>
      <c r="O73" s="67"/>
      <c r="P73" s="1077"/>
      <c r="Q73" s="1077"/>
      <c r="R73" s="1077"/>
      <c r="S73" s="1077"/>
    </row>
    <row r="74" spans="1:19" hidden="1">
      <c r="B74" s="110"/>
      <c r="C74" s="1202" t="s">
        <v>739</v>
      </c>
      <c r="D74" s="924"/>
      <c r="E74" s="942"/>
      <c r="F74" s="942"/>
      <c r="G74" s="942"/>
      <c r="H74" s="942"/>
      <c r="I74" s="942"/>
      <c r="J74" s="942"/>
      <c r="K74" s="942"/>
      <c r="L74" s="942"/>
      <c r="M74" s="942"/>
      <c r="N74" s="942"/>
      <c r="O74" s="67"/>
      <c r="P74" s="1077"/>
      <c r="Q74" s="1182"/>
      <c r="R74" s="1077"/>
      <c r="S74" s="1077"/>
    </row>
    <row r="75" spans="1:19" hidden="1">
      <c r="B75" s="110"/>
      <c r="C75" s="1203" t="s">
        <v>740</v>
      </c>
      <c r="D75" s="957"/>
      <c r="E75" s="969"/>
      <c r="F75" s="969"/>
      <c r="G75" s="969"/>
      <c r="H75" s="969"/>
      <c r="I75" s="969"/>
      <c r="J75" s="969"/>
      <c r="K75" s="969"/>
      <c r="L75" s="969"/>
      <c r="M75" s="969"/>
      <c r="N75" s="969"/>
      <c r="O75" s="67"/>
      <c r="P75" s="1077"/>
      <c r="Q75" s="1077"/>
      <c r="R75" s="1077"/>
      <c r="S75" s="1077"/>
    </row>
    <row r="76" spans="1:19" hidden="1">
      <c r="B76" s="110"/>
      <c r="C76" s="1167"/>
      <c r="D76" s="924"/>
      <c r="E76" s="941"/>
      <c r="F76" s="942"/>
      <c r="G76" s="943"/>
      <c r="H76" s="943"/>
      <c r="I76" s="943"/>
      <c r="J76" s="943"/>
      <c r="K76" s="943"/>
      <c r="L76" s="943"/>
      <c r="M76" s="943"/>
      <c r="N76" s="67"/>
      <c r="O76" s="67"/>
      <c r="P76" s="1077"/>
      <c r="Q76" s="1077"/>
      <c r="R76" s="1077"/>
      <c r="S76" s="1077"/>
    </row>
    <row r="77" spans="1:19" hidden="1">
      <c r="B77" s="110"/>
      <c r="C77" s="49" t="s">
        <v>884</v>
      </c>
      <c r="D77" s="924"/>
      <c r="E77" s="941"/>
      <c r="F77" s="942"/>
      <c r="G77" s="943"/>
      <c r="H77" s="943"/>
      <c r="I77" s="943"/>
      <c r="J77" s="943"/>
      <c r="K77" s="943"/>
      <c r="L77" s="943"/>
      <c r="M77" s="943"/>
      <c r="N77" s="944" t="s">
        <v>2819</v>
      </c>
      <c r="O77" s="67"/>
      <c r="P77" s="1077"/>
      <c r="Q77" s="1077"/>
      <c r="R77" s="1077"/>
      <c r="S77" s="1077"/>
    </row>
    <row r="78" spans="1:19" hidden="1">
      <c r="B78" s="110"/>
      <c r="C78" s="1167"/>
      <c r="D78" s="924"/>
      <c r="E78" s="941"/>
      <c r="F78" s="942"/>
      <c r="G78" s="943"/>
      <c r="H78" s="943"/>
      <c r="I78" s="943"/>
      <c r="J78" s="943"/>
      <c r="K78" s="943"/>
      <c r="L78" s="943"/>
      <c r="M78" s="943"/>
      <c r="N78" s="67"/>
      <c r="O78" s="67"/>
      <c r="P78" s="1077"/>
      <c r="Q78" s="1077"/>
      <c r="R78" s="1077"/>
      <c r="S78" s="1077"/>
    </row>
    <row r="79" spans="1:19" hidden="1">
      <c r="B79" s="110"/>
      <c r="C79" s="1200"/>
      <c r="D79" s="1079"/>
      <c r="E79" s="980" t="s">
        <v>160</v>
      </c>
      <c r="F79" s="1201">
        <v>2013</v>
      </c>
      <c r="G79" s="951">
        <v>2015</v>
      </c>
      <c r="H79" s="951">
        <v>2020</v>
      </c>
      <c r="I79" s="951">
        <v>2025</v>
      </c>
      <c r="J79" s="951">
        <v>2030</v>
      </c>
      <c r="K79" s="951">
        <v>2035</v>
      </c>
      <c r="L79" s="951">
        <v>2040</v>
      </c>
      <c r="M79" s="951">
        <v>2045</v>
      </c>
      <c r="N79" s="951">
        <v>2050</v>
      </c>
      <c r="O79" s="67"/>
      <c r="P79" s="1077"/>
      <c r="Q79" s="1077"/>
      <c r="R79" s="1077"/>
      <c r="S79" s="1077"/>
    </row>
    <row r="80" spans="1:19" hidden="1">
      <c r="B80" s="110"/>
      <c r="C80" s="1202" t="s">
        <v>738</v>
      </c>
      <c r="D80" s="1079"/>
      <c r="E80" s="966"/>
      <c r="F80" s="967"/>
      <c r="G80" s="942"/>
      <c r="H80" s="942"/>
      <c r="I80" s="942"/>
      <c r="J80" s="942"/>
      <c r="K80" s="942"/>
      <c r="L80" s="942"/>
      <c r="M80" s="942"/>
      <c r="N80" s="942"/>
      <c r="O80" s="67"/>
      <c r="P80" s="1077"/>
      <c r="Q80" s="1077"/>
      <c r="R80" s="1077"/>
      <c r="S80" s="1077"/>
    </row>
    <row r="81" spans="1:19" hidden="1">
      <c r="B81" s="110"/>
      <c r="C81" s="1202" t="s">
        <v>739</v>
      </c>
      <c r="D81" s="924"/>
      <c r="E81" s="953"/>
      <c r="F81" s="942"/>
      <c r="G81" s="942"/>
      <c r="H81" s="942"/>
      <c r="I81" s="942"/>
      <c r="J81" s="942"/>
      <c r="K81" s="942"/>
      <c r="L81" s="942"/>
      <c r="M81" s="942"/>
      <c r="N81" s="942"/>
      <c r="O81" s="67"/>
      <c r="P81" s="1077"/>
      <c r="Q81" s="1182"/>
      <c r="R81" s="1077"/>
      <c r="S81" s="1077"/>
    </row>
    <row r="82" spans="1:19" hidden="1">
      <c r="B82" s="110"/>
      <c r="C82" s="1203" t="s">
        <v>740</v>
      </c>
      <c r="D82" s="957"/>
      <c r="E82" s="958"/>
      <c r="F82" s="969"/>
      <c r="G82" s="969"/>
      <c r="H82" s="969"/>
      <c r="I82" s="969"/>
      <c r="J82" s="969"/>
      <c r="K82" s="969"/>
      <c r="L82" s="969"/>
      <c r="M82" s="969"/>
      <c r="N82" s="969"/>
      <c r="O82" s="67"/>
      <c r="P82" s="1077"/>
      <c r="Q82" s="1077"/>
      <c r="R82" s="1077"/>
      <c r="S82" s="1077"/>
    </row>
    <row r="83" spans="1:19" hidden="1">
      <c r="B83" s="47"/>
      <c r="C83" s="47"/>
      <c r="D83" s="67"/>
      <c r="E83" s="943"/>
      <c r="F83" s="67"/>
      <c r="G83" s="67"/>
      <c r="H83" s="67"/>
      <c r="I83" s="1185"/>
      <c r="J83" s="1185"/>
      <c r="K83" s="47"/>
      <c r="L83" s="47"/>
      <c r="M83" s="47"/>
      <c r="N83" s="47"/>
      <c r="O83" s="47"/>
    </row>
    <row r="85" spans="1:19" ht="23.25">
      <c r="A85" s="7"/>
      <c r="B85" s="878" t="s">
        <v>178</v>
      </c>
      <c r="C85" s="879"/>
      <c r="D85" s="879"/>
      <c r="E85" s="879"/>
      <c r="F85" s="879"/>
      <c r="G85" s="879"/>
      <c r="H85" s="879"/>
      <c r="I85" s="879"/>
      <c r="J85" s="879"/>
      <c r="K85" s="879"/>
      <c r="L85" s="879"/>
      <c r="M85" s="879"/>
      <c r="N85" s="879"/>
      <c r="O85" s="880"/>
    </row>
    <row r="86" spans="1:19">
      <c r="B86" s="110"/>
      <c r="C86" s="67"/>
      <c r="D86" s="67"/>
      <c r="E86" s="67"/>
      <c r="F86" s="67"/>
      <c r="G86" s="67"/>
      <c r="H86" s="67"/>
      <c r="I86" s="67"/>
      <c r="J86" s="67"/>
      <c r="K86" s="67"/>
      <c r="L86" s="67"/>
      <c r="M86" s="67"/>
      <c r="N86" s="67"/>
      <c r="O86" s="885"/>
    </row>
    <row r="87" spans="1:19">
      <c r="B87" s="110"/>
      <c r="C87" s="49" t="s">
        <v>870</v>
      </c>
      <c r="D87" s="67"/>
      <c r="E87" s="51"/>
      <c r="F87" s="67"/>
      <c r="G87" s="67"/>
      <c r="H87" s="67"/>
      <c r="I87" s="67"/>
      <c r="J87" s="67"/>
      <c r="K87" s="67"/>
      <c r="L87" s="67"/>
      <c r="M87" s="67"/>
      <c r="N87" s="51" t="str">
        <f>Preferences.PowerUnits</f>
        <v>GW</v>
      </c>
      <c r="O87" s="885"/>
    </row>
    <row r="88" spans="1:19">
      <c r="B88" s="110"/>
      <c r="C88" s="67"/>
      <c r="D88" s="67"/>
      <c r="E88" s="67"/>
      <c r="F88" s="67"/>
      <c r="G88" s="67"/>
      <c r="H88" s="67"/>
      <c r="I88" s="67"/>
      <c r="J88" s="67"/>
      <c r="K88" s="67"/>
      <c r="L88" s="67"/>
      <c r="M88" s="67"/>
      <c r="N88" s="67"/>
      <c r="O88" s="885"/>
    </row>
    <row r="89" spans="1:19" ht="15.75">
      <c r="B89" s="55"/>
      <c r="C89" s="887" t="s">
        <v>132</v>
      </c>
      <c r="D89" s="887" t="s">
        <v>72</v>
      </c>
      <c r="E89" s="887" t="s">
        <v>30</v>
      </c>
      <c r="F89" s="909">
        <v>2013</v>
      </c>
      <c r="G89" s="909">
        <v>2015</v>
      </c>
      <c r="H89" s="909">
        <v>2020</v>
      </c>
      <c r="I89" s="909">
        <v>2025</v>
      </c>
      <c r="J89" s="909">
        <v>2030</v>
      </c>
      <c r="K89" s="909">
        <v>2035</v>
      </c>
      <c r="L89" s="909">
        <v>2040</v>
      </c>
      <c r="M89" s="909">
        <v>2045</v>
      </c>
      <c r="N89" s="909">
        <v>2050</v>
      </c>
      <c r="O89" s="885"/>
    </row>
    <row r="90" spans="1:19" ht="15.75">
      <c r="B90" s="975"/>
      <c r="C90" s="199" t="s">
        <v>447</v>
      </c>
      <c r="D90" s="199" t="s">
        <v>521</v>
      </c>
      <c r="E90" s="917"/>
      <c r="F90" s="1023">
        <f>F$45</f>
        <v>1.8</v>
      </c>
      <c r="G90" s="148">
        <f t="shared" ref="G90:N90" si="3">F90+((G$89-F$89)*(F19+F28))</f>
        <v>2.14</v>
      </c>
      <c r="H90" s="1023">
        <f t="shared" si="3"/>
        <v>3.49</v>
      </c>
      <c r="I90" s="1023">
        <f t="shared" si="3"/>
        <v>5.1400000000000006</v>
      </c>
      <c r="J90" s="1023">
        <f t="shared" si="3"/>
        <v>7.6400000000000006</v>
      </c>
      <c r="K90" s="1023">
        <f t="shared" si="3"/>
        <v>8.64</v>
      </c>
      <c r="L90" s="1023">
        <f t="shared" si="3"/>
        <v>8.64</v>
      </c>
      <c r="M90" s="1023">
        <f t="shared" si="3"/>
        <v>8.64</v>
      </c>
      <c r="N90" s="1023">
        <f t="shared" si="3"/>
        <v>8.64</v>
      </c>
      <c r="O90" s="1023"/>
    </row>
    <row r="91" spans="1:19">
      <c r="B91" s="45"/>
      <c r="C91" s="108"/>
      <c r="D91" s="108"/>
      <c r="E91" s="108"/>
      <c r="F91" s="172"/>
      <c r="G91" s="165"/>
      <c r="H91" s="165"/>
      <c r="I91" s="165"/>
      <c r="J91" s="165"/>
      <c r="K91" s="165"/>
      <c r="L91" s="165"/>
      <c r="M91" s="165"/>
      <c r="N91" s="165"/>
      <c r="O91" s="885"/>
      <c r="R91" t="s">
        <v>5</v>
      </c>
    </row>
    <row r="92" spans="1:19">
      <c r="C92" t="s">
        <v>5</v>
      </c>
    </row>
    <row r="93" spans="1:19">
      <c r="B93" s="2" t="s">
        <v>521</v>
      </c>
      <c r="C93" s="988"/>
      <c r="F93" s="363">
        <v>2013</v>
      </c>
      <c r="G93" s="363">
        <v>2015</v>
      </c>
      <c r="H93" s="363">
        <v>2020</v>
      </c>
      <c r="I93" s="363">
        <v>2025</v>
      </c>
      <c r="J93" s="363">
        <v>2030</v>
      </c>
      <c r="K93" s="363">
        <v>2035</v>
      </c>
      <c r="L93" s="363">
        <v>2040</v>
      </c>
      <c r="M93" s="363">
        <v>2045</v>
      </c>
      <c r="N93" s="363">
        <v>2050</v>
      </c>
    </row>
    <row r="94" spans="1:19">
      <c r="C94" s="363" t="s">
        <v>871</v>
      </c>
      <c r="E94" s="2446" t="str">
        <f>Preferences.PowerUnits</f>
        <v>GW</v>
      </c>
      <c r="F94" s="374">
        <f t="shared" ref="F94:N94" si="4">F$90</f>
        <v>1.8</v>
      </c>
      <c r="G94" s="374">
        <f t="shared" si="4"/>
        <v>2.14</v>
      </c>
      <c r="H94" s="374">
        <f t="shared" si="4"/>
        <v>3.49</v>
      </c>
      <c r="I94" s="374">
        <f t="shared" si="4"/>
        <v>5.1400000000000006</v>
      </c>
      <c r="J94" s="374">
        <f t="shared" si="4"/>
        <v>7.6400000000000006</v>
      </c>
      <c r="K94" s="374">
        <f t="shared" si="4"/>
        <v>8.64</v>
      </c>
      <c r="L94" s="374">
        <f t="shared" si="4"/>
        <v>8.64</v>
      </c>
      <c r="M94" s="374">
        <f t="shared" si="4"/>
        <v>8.64</v>
      </c>
      <c r="N94" s="374">
        <f t="shared" si="4"/>
        <v>8.64</v>
      </c>
    </row>
    <row r="95" spans="1:19">
      <c r="B95" t="s">
        <v>219</v>
      </c>
      <c r="C95" t="s">
        <v>858</v>
      </c>
      <c r="E95" s="2446"/>
      <c r="F95" s="989">
        <f>F$50</f>
        <v>0.28000000000000003</v>
      </c>
      <c r="G95" s="989">
        <f t="shared" ref="G95:N95" si="5">G$50</f>
        <v>0.29499999999999998</v>
      </c>
      <c r="H95" s="989">
        <f t="shared" si="5"/>
        <v>0.29499999999999998</v>
      </c>
      <c r="I95" s="989">
        <f t="shared" si="5"/>
        <v>0.29499999999999998</v>
      </c>
      <c r="J95" s="989">
        <f t="shared" si="5"/>
        <v>0.29499999999999998</v>
      </c>
      <c r="K95" s="989">
        <f t="shared" si="5"/>
        <v>0.29499999999999998</v>
      </c>
      <c r="L95" s="989">
        <f t="shared" si="5"/>
        <v>0.29499999999999998</v>
      </c>
      <c r="M95" s="989">
        <f t="shared" si="5"/>
        <v>0.29499999999999998</v>
      </c>
      <c r="N95" s="989">
        <f t="shared" si="5"/>
        <v>0.29499999999999998</v>
      </c>
    </row>
    <row r="96" spans="1:19">
      <c r="B96" s="988" t="s">
        <v>221</v>
      </c>
      <c r="C96" s="363" t="s">
        <v>872</v>
      </c>
      <c r="E96" s="2446"/>
      <c r="F96" s="366">
        <f t="shared" ref="F96:N96" si="6">F94*F95</f>
        <v>0.50400000000000011</v>
      </c>
      <c r="G96" s="366">
        <f t="shared" si="6"/>
        <v>0.63129999999999997</v>
      </c>
      <c r="H96" s="366">
        <f t="shared" si="6"/>
        <v>1.02955</v>
      </c>
      <c r="I96" s="366">
        <f t="shared" si="6"/>
        <v>1.5163</v>
      </c>
      <c r="J96" s="366">
        <f t="shared" si="6"/>
        <v>2.2538</v>
      </c>
      <c r="K96" s="366">
        <f t="shared" si="6"/>
        <v>2.5488</v>
      </c>
      <c r="L96" s="366">
        <f t="shared" si="6"/>
        <v>2.5488</v>
      </c>
      <c r="M96" s="366">
        <f t="shared" si="6"/>
        <v>2.5488</v>
      </c>
      <c r="N96" s="366">
        <f t="shared" si="6"/>
        <v>2.5488</v>
      </c>
    </row>
    <row r="97" spans="1:16">
      <c r="A97" s="39"/>
      <c r="C97" s="363" t="s">
        <v>873</v>
      </c>
      <c r="E97" s="2446" t="str">
        <f>Preferences.EnergyUnits</f>
        <v>TWh</v>
      </c>
      <c r="F97" s="2490">
        <f t="shared" ref="F97:N97" si="7">F96*Preferences.Unit.Power*Unit.year/Preferences.Unit.Energy</f>
        <v>4.4180640000000011</v>
      </c>
      <c r="G97" s="2490">
        <f t="shared" si="7"/>
        <v>5.5339757999999994</v>
      </c>
      <c r="H97" s="2490">
        <f t="shared" si="7"/>
        <v>9.0250353000000008</v>
      </c>
      <c r="I97" s="2490">
        <f t="shared" si="7"/>
        <v>13.291885799999999</v>
      </c>
      <c r="J97" s="2490">
        <f t="shared" si="7"/>
        <v>19.756810799999997</v>
      </c>
      <c r="K97" s="2490">
        <f t="shared" si="7"/>
        <v>22.3427808</v>
      </c>
      <c r="L97" s="2490">
        <f t="shared" si="7"/>
        <v>22.3427808</v>
      </c>
      <c r="M97" s="2490">
        <f t="shared" si="7"/>
        <v>22.3427808</v>
      </c>
      <c r="N97" s="2490">
        <f t="shared" si="7"/>
        <v>22.3427808</v>
      </c>
      <c r="P97" s="366"/>
    </row>
    <row r="98" spans="1:16">
      <c r="C98" s="363"/>
      <c r="F98" s="366"/>
      <c r="G98" s="366"/>
      <c r="H98" s="366"/>
      <c r="I98" s="366"/>
      <c r="J98" s="366"/>
      <c r="K98" s="366"/>
      <c r="L98" s="366"/>
      <c r="M98" s="366"/>
      <c r="N98" s="366"/>
    </row>
    <row r="99" spans="1:16">
      <c r="B99" t="s">
        <v>757</v>
      </c>
      <c r="C99" s="363"/>
      <c r="F99" s="366"/>
      <c r="G99" s="366"/>
      <c r="H99" s="366"/>
      <c r="I99" s="366"/>
      <c r="J99" s="366"/>
      <c r="K99" s="366"/>
      <c r="L99" s="366"/>
      <c r="M99" s="366"/>
      <c r="N99" s="366"/>
    </row>
    <row r="100" spans="1:16">
      <c r="C100" t="s">
        <v>885</v>
      </c>
      <c r="E100" t="s">
        <v>760</v>
      </c>
      <c r="F100" s="993">
        <f>F94/$F$55</f>
        <v>720</v>
      </c>
      <c r="G100" s="993">
        <f t="shared" ref="G100:N100" si="8">G94/$F$55</f>
        <v>856</v>
      </c>
      <c r="H100" s="993">
        <f t="shared" si="8"/>
        <v>1396</v>
      </c>
      <c r="I100" s="993">
        <f t="shared" si="8"/>
        <v>2056</v>
      </c>
      <c r="J100" s="993">
        <f t="shared" si="8"/>
        <v>3056</v>
      </c>
      <c r="K100" s="993">
        <f t="shared" si="8"/>
        <v>3456</v>
      </c>
      <c r="L100" s="993">
        <f t="shared" si="8"/>
        <v>3456</v>
      </c>
      <c r="M100" s="993">
        <f t="shared" si="8"/>
        <v>3456</v>
      </c>
      <c r="N100" s="993">
        <f t="shared" si="8"/>
        <v>3456</v>
      </c>
    </row>
    <row r="101" spans="1:16">
      <c r="C101" t="s">
        <v>886</v>
      </c>
      <c r="E101" t="s">
        <v>762</v>
      </c>
      <c r="G101" s="993">
        <f>F19/$F$55</f>
        <v>68</v>
      </c>
      <c r="H101" s="993">
        <f t="shared" ref="H101:N101" si="9">G19/$F$55</f>
        <v>108</v>
      </c>
      <c r="I101" s="993">
        <f t="shared" si="9"/>
        <v>200</v>
      </c>
      <c r="J101" s="993">
        <f t="shared" si="9"/>
        <v>320</v>
      </c>
      <c r="K101" s="993">
        <f t="shared" si="9"/>
        <v>400</v>
      </c>
      <c r="L101" s="993">
        <f t="shared" si="9"/>
        <v>400</v>
      </c>
      <c r="M101" s="993">
        <f t="shared" si="9"/>
        <v>400</v>
      </c>
      <c r="N101" s="993">
        <f t="shared" si="9"/>
        <v>400</v>
      </c>
    </row>
    <row r="102" spans="1:16">
      <c r="C102" t="s">
        <v>876</v>
      </c>
      <c r="E102" s="2446" t="str">
        <f>Preferences.AreaUnits</f>
        <v>km^2</v>
      </c>
      <c r="F102" s="993">
        <f t="shared" ref="F102:N102" si="10">F97/$F$56</f>
        <v>56.000000000000007</v>
      </c>
      <c r="G102" s="993">
        <f t="shared" si="10"/>
        <v>70.144444444444431</v>
      </c>
      <c r="H102" s="993">
        <f t="shared" si="10"/>
        <v>114.39444444444445</v>
      </c>
      <c r="I102" s="993">
        <f t="shared" si="10"/>
        <v>168.47777777777776</v>
      </c>
      <c r="J102" s="993">
        <f t="shared" si="10"/>
        <v>250.42222222222216</v>
      </c>
      <c r="K102" s="993">
        <f t="shared" si="10"/>
        <v>283.2</v>
      </c>
      <c r="L102" s="993">
        <f t="shared" si="10"/>
        <v>283.2</v>
      </c>
      <c r="M102" s="993">
        <f t="shared" si="10"/>
        <v>283.2</v>
      </c>
      <c r="N102" s="993">
        <f t="shared" si="10"/>
        <v>283.2</v>
      </c>
    </row>
    <row r="103" spans="1:16">
      <c r="C103" s="363"/>
      <c r="F103" s="366"/>
      <c r="G103" s="366"/>
      <c r="H103" s="366"/>
      <c r="I103" s="366"/>
      <c r="J103" s="366"/>
      <c r="K103" s="366"/>
      <c r="L103" s="366"/>
      <c r="M103" s="366"/>
      <c r="N103" s="366"/>
    </row>
    <row r="104" spans="1:16">
      <c r="B104" s="3611" t="s">
        <v>2797</v>
      </c>
      <c r="F104" s="993"/>
      <c r="G104" s="993"/>
      <c r="H104" s="993"/>
      <c r="I104" s="993"/>
      <c r="J104" s="993"/>
      <c r="K104" s="993"/>
      <c r="L104" s="993"/>
      <c r="M104" s="993"/>
      <c r="N104" s="993"/>
      <c r="O104" s="992"/>
    </row>
    <row r="105" spans="1:16" hidden="1">
      <c r="C105" t="s">
        <v>169</v>
      </c>
      <c r="E105" s="3611" t="s">
        <v>2812</v>
      </c>
      <c r="F105" s="993">
        <f t="shared" ref="F105:N105" si="11">F101*F$73</f>
        <v>0</v>
      </c>
      <c r="G105" s="993">
        <f t="shared" si="11"/>
        <v>0</v>
      </c>
      <c r="H105" s="993">
        <f t="shared" si="11"/>
        <v>0</v>
      </c>
      <c r="I105" s="993">
        <f t="shared" si="11"/>
        <v>0</v>
      </c>
      <c r="J105" s="993">
        <f t="shared" si="11"/>
        <v>0</v>
      </c>
      <c r="K105" s="993">
        <f t="shared" si="11"/>
        <v>0</v>
      </c>
      <c r="L105" s="993">
        <f t="shared" si="11"/>
        <v>0</v>
      </c>
      <c r="M105" s="993">
        <f t="shared" si="11"/>
        <v>0</v>
      </c>
      <c r="N105" s="993">
        <f t="shared" si="11"/>
        <v>0</v>
      </c>
      <c r="O105" s="992"/>
    </row>
    <row r="106" spans="1:16" hidden="1">
      <c r="C106" t="s">
        <v>173</v>
      </c>
      <c r="E106" s="3611" t="s">
        <v>2812</v>
      </c>
      <c r="F106" s="993">
        <f t="shared" ref="F106:N106" si="12">F100*F80</f>
        <v>0</v>
      </c>
      <c r="G106" s="993">
        <f t="shared" si="12"/>
        <v>0</v>
      </c>
      <c r="H106" s="993">
        <f t="shared" si="12"/>
        <v>0</v>
      </c>
      <c r="I106" s="993">
        <f t="shared" si="12"/>
        <v>0</v>
      </c>
      <c r="J106" s="993">
        <f t="shared" si="12"/>
        <v>0</v>
      </c>
      <c r="K106" s="993">
        <f t="shared" si="12"/>
        <v>0</v>
      </c>
      <c r="L106" s="993">
        <f t="shared" si="12"/>
        <v>0</v>
      </c>
      <c r="M106" s="993">
        <f t="shared" si="12"/>
        <v>0</v>
      </c>
      <c r="N106" s="993">
        <f t="shared" si="12"/>
        <v>0</v>
      </c>
      <c r="O106" s="992"/>
    </row>
    <row r="107" spans="1:16" hidden="1">
      <c r="C107" t="s">
        <v>294</v>
      </c>
      <c r="E107" s="3611" t="s">
        <v>2812</v>
      </c>
      <c r="F107" s="993">
        <f t="shared" ref="F107:N107" si="13">SUM(F105:F106)</f>
        <v>0</v>
      </c>
      <c r="G107" s="993">
        <f t="shared" si="13"/>
        <v>0</v>
      </c>
      <c r="H107" s="993">
        <f t="shared" si="13"/>
        <v>0</v>
      </c>
      <c r="I107" s="993">
        <f t="shared" si="13"/>
        <v>0</v>
      </c>
      <c r="J107" s="993">
        <f t="shared" si="13"/>
        <v>0</v>
      </c>
      <c r="K107" s="993">
        <f t="shared" si="13"/>
        <v>0</v>
      </c>
      <c r="L107" s="993">
        <f t="shared" si="13"/>
        <v>0</v>
      </c>
      <c r="M107" s="993">
        <f t="shared" si="13"/>
        <v>0</v>
      </c>
      <c r="N107" s="993">
        <f t="shared" si="13"/>
        <v>0</v>
      </c>
      <c r="O107" s="992"/>
    </row>
    <row r="108" spans="1:16" hidden="1">
      <c r="C108" s="363"/>
      <c r="F108" s="366"/>
      <c r="G108" s="366"/>
      <c r="H108" s="366"/>
      <c r="I108" s="366"/>
      <c r="J108" s="366"/>
      <c r="K108" s="366"/>
      <c r="L108" s="366"/>
      <c r="M108" s="366"/>
      <c r="N108" s="366"/>
    </row>
    <row r="109" spans="1:16" hidden="1">
      <c r="B109" t="s">
        <v>295</v>
      </c>
      <c r="F109" s="993"/>
      <c r="G109" s="993"/>
      <c r="H109" s="993"/>
      <c r="I109" s="993"/>
      <c r="J109" s="993"/>
      <c r="K109" s="993"/>
      <c r="L109" s="993"/>
      <c r="M109" s="993"/>
      <c r="N109" s="993"/>
      <c r="O109" s="992"/>
    </row>
    <row r="110" spans="1:16" hidden="1">
      <c r="C110" t="s">
        <v>169</v>
      </c>
      <c r="E110" s="3611" t="s">
        <v>2812</v>
      </c>
      <c r="F110" s="993">
        <f>F101*F$74</f>
        <v>0</v>
      </c>
      <c r="G110" s="993">
        <f t="shared" ref="G110:N110" si="14">G101*G$74</f>
        <v>0</v>
      </c>
      <c r="H110" s="993">
        <f t="shared" si="14"/>
        <v>0</v>
      </c>
      <c r="I110" s="993">
        <f t="shared" si="14"/>
        <v>0</v>
      </c>
      <c r="J110" s="993">
        <f t="shared" si="14"/>
        <v>0</v>
      </c>
      <c r="K110" s="993">
        <f t="shared" si="14"/>
        <v>0</v>
      </c>
      <c r="L110" s="993">
        <f t="shared" si="14"/>
        <v>0</v>
      </c>
      <c r="M110" s="993">
        <f t="shared" si="14"/>
        <v>0</v>
      </c>
      <c r="N110" s="993">
        <f t="shared" si="14"/>
        <v>0</v>
      </c>
      <c r="O110" s="992"/>
    </row>
    <row r="111" spans="1:16" hidden="1">
      <c r="C111" t="s">
        <v>173</v>
      </c>
      <c r="E111" s="3611" t="s">
        <v>2812</v>
      </c>
      <c r="F111" s="993">
        <f t="shared" ref="F111:N111" si="15">F100*F81</f>
        <v>0</v>
      </c>
      <c r="G111" s="993">
        <f t="shared" si="15"/>
        <v>0</v>
      </c>
      <c r="H111" s="993">
        <f t="shared" si="15"/>
        <v>0</v>
      </c>
      <c r="I111" s="993">
        <f t="shared" si="15"/>
        <v>0</v>
      </c>
      <c r="J111" s="993">
        <f t="shared" si="15"/>
        <v>0</v>
      </c>
      <c r="K111" s="993">
        <f t="shared" si="15"/>
        <v>0</v>
      </c>
      <c r="L111" s="993">
        <f t="shared" si="15"/>
        <v>0</v>
      </c>
      <c r="M111" s="993">
        <f t="shared" si="15"/>
        <v>0</v>
      </c>
      <c r="N111" s="993">
        <f t="shared" si="15"/>
        <v>0</v>
      </c>
      <c r="O111" s="992"/>
    </row>
    <row r="112" spans="1:16" hidden="1">
      <c r="C112" t="s">
        <v>294</v>
      </c>
      <c r="E112" s="3611" t="s">
        <v>2812</v>
      </c>
      <c r="F112" s="993">
        <f t="shared" ref="F112:N112" si="16">SUM(F110:F111)</f>
        <v>0</v>
      </c>
      <c r="G112" s="993">
        <f t="shared" si="16"/>
        <v>0</v>
      </c>
      <c r="H112" s="993">
        <f t="shared" si="16"/>
        <v>0</v>
      </c>
      <c r="I112" s="993">
        <f t="shared" si="16"/>
        <v>0</v>
      </c>
      <c r="J112" s="993">
        <f t="shared" si="16"/>
        <v>0</v>
      </c>
      <c r="K112" s="993">
        <f t="shared" si="16"/>
        <v>0</v>
      </c>
      <c r="L112" s="993">
        <f t="shared" si="16"/>
        <v>0</v>
      </c>
      <c r="M112" s="993">
        <f t="shared" si="16"/>
        <v>0</v>
      </c>
      <c r="N112" s="993">
        <f t="shared" si="16"/>
        <v>0</v>
      </c>
      <c r="O112" s="992"/>
    </row>
    <row r="113" spans="1:22" hidden="1">
      <c r="F113" s="993"/>
      <c r="G113" s="993"/>
      <c r="H113" s="993"/>
      <c r="I113" s="993"/>
      <c r="J113" s="993"/>
      <c r="K113" s="993"/>
      <c r="L113" s="993"/>
      <c r="M113" s="993"/>
      <c r="N113" s="993"/>
      <c r="O113" s="992"/>
    </row>
    <row r="114" spans="1:22" hidden="1">
      <c r="B114" t="s">
        <v>296</v>
      </c>
      <c r="F114" s="993"/>
      <c r="G114" s="993"/>
      <c r="H114" s="993"/>
      <c r="I114" s="993"/>
      <c r="J114" s="993"/>
      <c r="K114" s="993"/>
      <c r="L114" s="993"/>
      <c r="M114" s="993"/>
      <c r="N114" s="993"/>
      <c r="O114" s="992"/>
    </row>
    <row r="115" spans="1:22" hidden="1">
      <c r="C115" t="s">
        <v>169</v>
      </c>
      <c r="E115" s="3611" t="s">
        <v>2812</v>
      </c>
      <c r="F115" s="993">
        <f t="shared" ref="F115:N115" si="17">F101*F$75</f>
        <v>0</v>
      </c>
      <c r="G115" s="993">
        <f t="shared" si="17"/>
        <v>0</v>
      </c>
      <c r="H115" s="993">
        <f t="shared" si="17"/>
        <v>0</v>
      </c>
      <c r="I115" s="993">
        <f t="shared" si="17"/>
        <v>0</v>
      </c>
      <c r="J115" s="993">
        <f t="shared" si="17"/>
        <v>0</v>
      </c>
      <c r="K115" s="993">
        <f t="shared" si="17"/>
        <v>0</v>
      </c>
      <c r="L115" s="993">
        <f t="shared" si="17"/>
        <v>0</v>
      </c>
      <c r="M115" s="993">
        <f t="shared" si="17"/>
        <v>0</v>
      </c>
      <c r="N115" s="993">
        <f t="shared" si="17"/>
        <v>0</v>
      </c>
      <c r="O115" s="992"/>
    </row>
    <row r="116" spans="1:22" hidden="1">
      <c r="C116" t="s">
        <v>173</v>
      </c>
      <c r="E116" s="3611" t="s">
        <v>2812</v>
      </c>
      <c r="F116" s="993">
        <f t="shared" ref="F116:N116" si="18">F100*F82</f>
        <v>0</v>
      </c>
      <c r="G116" s="993">
        <f t="shared" si="18"/>
        <v>0</v>
      </c>
      <c r="H116" s="993">
        <f t="shared" si="18"/>
        <v>0</v>
      </c>
      <c r="I116" s="993">
        <f t="shared" si="18"/>
        <v>0</v>
      </c>
      <c r="J116" s="993">
        <f t="shared" si="18"/>
        <v>0</v>
      </c>
      <c r="K116" s="993">
        <f t="shared" si="18"/>
        <v>0</v>
      </c>
      <c r="L116" s="993">
        <f t="shared" si="18"/>
        <v>0</v>
      </c>
      <c r="M116" s="993">
        <f t="shared" si="18"/>
        <v>0</v>
      </c>
      <c r="N116" s="993">
        <f t="shared" si="18"/>
        <v>0</v>
      </c>
      <c r="O116" s="992"/>
    </row>
    <row r="117" spans="1:22" hidden="1">
      <c r="C117" t="s">
        <v>294</v>
      </c>
      <c r="E117" s="3611" t="s">
        <v>2812</v>
      </c>
      <c r="F117" s="993">
        <f t="shared" ref="F117:N117" si="19">SUM(F115:F116)</f>
        <v>0</v>
      </c>
      <c r="G117" s="993">
        <f t="shared" si="19"/>
        <v>0</v>
      </c>
      <c r="H117" s="993">
        <f t="shared" si="19"/>
        <v>0</v>
      </c>
      <c r="I117" s="993">
        <f t="shared" si="19"/>
        <v>0</v>
      </c>
      <c r="J117" s="993">
        <f t="shared" si="19"/>
        <v>0</v>
      </c>
      <c r="K117" s="993">
        <f t="shared" si="19"/>
        <v>0</v>
      </c>
      <c r="L117" s="993">
        <f t="shared" si="19"/>
        <v>0</v>
      </c>
      <c r="M117" s="993">
        <f t="shared" si="19"/>
        <v>0</v>
      </c>
      <c r="N117" s="993">
        <f t="shared" si="19"/>
        <v>0</v>
      </c>
      <c r="O117" s="992"/>
    </row>
    <row r="119" spans="1:22" ht="23.25">
      <c r="A119" s="7"/>
      <c r="B119" s="511" t="s">
        <v>299</v>
      </c>
      <c r="C119" s="512"/>
      <c r="D119" s="512"/>
      <c r="E119" s="512"/>
      <c r="F119" s="512"/>
      <c r="G119" s="512"/>
      <c r="H119" s="512"/>
      <c r="I119" s="512"/>
      <c r="J119" s="512"/>
      <c r="K119" s="512"/>
      <c r="L119" s="512"/>
      <c r="M119" s="512"/>
      <c r="N119" s="512"/>
      <c r="O119" s="866"/>
    </row>
    <row r="120" spans="1:22">
      <c r="B120" s="514"/>
      <c r="C120" s="515"/>
      <c r="D120" s="515"/>
      <c r="E120" s="515"/>
      <c r="F120" s="515"/>
      <c r="G120" s="515"/>
      <c r="H120" s="515"/>
      <c r="I120" s="515"/>
      <c r="J120" s="515"/>
      <c r="K120" s="515"/>
      <c r="L120" s="515"/>
      <c r="M120" s="515"/>
      <c r="N120" s="515"/>
      <c r="O120" s="867"/>
    </row>
    <row r="121" spans="1:22">
      <c r="B121" s="514"/>
      <c r="C121" s="34" t="s">
        <v>765</v>
      </c>
      <c r="D121" s="515"/>
      <c r="E121" s="516"/>
      <c r="F121" s="515"/>
      <c r="G121" s="515"/>
      <c r="H121" s="515"/>
      <c r="I121" s="515"/>
      <c r="J121" s="515"/>
      <c r="K121" s="515"/>
      <c r="L121" s="515"/>
      <c r="M121" s="515"/>
      <c r="N121" s="1126" t="str">
        <f>Preferences.EnergyUnits</f>
        <v>TWh</v>
      </c>
      <c r="O121" s="867"/>
      <c r="Q121" s="1077"/>
      <c r="R121" s="1077"/>
      <c r="S121" s="1077"/>
      <c r="T121" s="1077"/>
      <c r="U121" s="1077"/>
      <c r="V121" s="1077"/>
    </row>
    <row r="122" spans="1:22">
      <c r="B122" s="514"/>
      <c r="C122" s="515"/>
      <c r="D122" s="515"/>
      <c r="E122" s="515"/>
      <c r="F122" s="515"/>
      <c r="G122" s="515"/>
      <c r="H122" s="515"/>
      <c r="I122" s="515"/>
      <c r="J122" s="515"/>
      <c r="K122" s="515"/>
      <c r="L122" s="515"/>
      <c r="M122" s="515"/>
      <c r="N122" s="515"/>
      <c r="O122" s="867"/>
      <c r="Q122" s="1077"/>
      <c r="R122" s="1077"/>
      <c r="S122" s="1077"/>
      <c r="T122" s="1077"/>
      <c r="U122" s="1077"/>
      <c r="V122" s="1077"/>
    </row>
    <row r="123" spans="1:22" ht="15.75">
      <c r="A123" s="443"/>
      <c r="B123" s="15"/>
      <c r="C123" s="1741" t="s">
        <v>28</v>
      </c>
      <c r="D123" s="1741" t="s">
        <v>29</v>
      </c>
      <c r="E123" s="1741" t="s">
        <v>30</v>
      </c>
      <c r="F123" s="1741" t="s">
        <v>597</v>
      </c>
      <c r="G123" s="1741" t="s">
        <v>133</v>
      </c>
      <c r="H123" s="1741" t="s">
        <v>134</v>
      </c>
      <c r="I123" s="1741" t="s">
        <v>135</v>
      </c>
      <c r="J123" s="1741" t="s">
        <v>136</v>
      </c>
      <c r="K123" s="1741" t="s">
        <v>137</v>
      </c>
      <c r="L123" s="1741" t="s">
        <v>138</v>
      </c>
      <c r="M123" s="1741" t="s">
        <v>139</v>
      </c>
      <c r="N123" s="1741" t="s">
        <v>140</v>
      </c>
      <c r="O123" s="867"/>
      <c r="Q123" s="1077"/>
      <c r="R123" s="1077"/>
      <c r="S123" s="1077"/>
      <c r="T123" s="1077"/>
      <c r="U123" s="1077"/>
      <c r="V123" s="1077"/>
    </row>
    <row r="124" spans="1:22" ht="15.75">
      <c r="A124" s="443"/>
      <c r="B124" s="15"/>
      <c r="C124" s="725" t="s">
        <v>97</v>
      </c>
      <c r="D124" s="2487" t="str">
        <f>INDEX(Vectors[Description], MATCH([Vector], Vectors[Code], 0))</f>
        <v>Electricity (supplied to grid)</v>
      </c>
      <c r="E124" s="725"/>
      <c r="F124" s="726">
        <f t="shared" ref="F124:N124" si="20">F$97</f>
        <v>4.4180640000000011</v>
      </c>
      <c r="G124" s="726">
        <f t="shared" si="20"/>
        <v>5.5339757999999994</v>
      </c>
      <c r="H124" s="726">
        <f t="shared" si="20"/>
        <v>9.0250353000000008</v>
      </c>
      <c r="I124" s="726">
        <f t="shared" si="20"/>
        <v>13.291885799999999</v>
      </c>
      <c r="J124" s="726">
        <f t="shared" si="20"/>
        <v>19.756810799999997</v>
      </c>
      <c r="K124" s="726">
        <f t="shared" si="20"/>
        <v>22.3427808</v>
      </c>
      <c r="L124" s="726">
        <f t="shared" si="20"/>
        <v>22.3427808</v>
      </c>
      <c r="M124" s="726">
        <f t="shared" si="20"/>
        <v>22.3427808</v>
      </c>
      <c r="N124" s="726">
        <f t="shared" si="20"/>
        <v>22.3427808</v>
      </c>
      <c r="O124" s="867"/>
      <c r="Q124" s="1077"/>
      <c r="R124" s="1077"/>
      <c r="S124" s="1077"/>
      <c r="T124" s="1077"/>
      <c r="U124" s="1077"/>
      <c r="V124" s="1077"/>
    </row>
    <row r="125" spans="1:22" ht="15.75">
      <c r="A125" s="443"/>
      <c r="B125" s="15"/>
      <c r="C125" s="725" t="s">
        <v>447</v>
      </c>
      <c r="D125" s="2487" t="str">
        <f>INDEX(Vectors[Description], MATCH([Vector], Vectors[Code], 0))</f>
        <v>Wind</v>
      </c>
      <c r="E125" s="725"/>
      <c r="F125" s="726">
        <f t="shared" ref="F125:N125" si="21">-F$97</f>
        <v>-4.4180640000000011</v>
      </c>
      <c r="G125" s="726">
        <f t="shared" si="21"/>
        <v>-5.5339757999999994</v>
      </c>
      <c r="H125" s="726">
        <f t="shared" si="21"/>
        <v>-9.0250353000000008</v>
      </c>
      <c r="I125" s="726">
        <f t="shared" si="21"/>
        <v>-13.291885799999999</v>
      </c>
      <c r="J125" s="726">
        <f t="shared" si="21"/>
        <v>-19.756810799999997</v>
      </c>
      <c r="K125" s="726">
        <f t="shared" si="21"/>
        <v>-22.3427808</v>
      </c>
      <c r="L125" s="726">
        <f t="shared" si="21"/>
        <v>-22.3427808</v>
      </c>
      <c r="M125" s="726">
        <f t="shared" si="21"/>
        <v>-22.3427808</v>
      </c>
      <c r="N125" s="726">
        <f t="shared" si="21"/>
        <v>-22.3427808</v>
      </c>
      <c r="O125" s="867"/>
      <c r="Q125" s="1077"/>
      <c r="R125" s="1077"/>
      <c r="S125" s="1077"/>
      <c r="T125" s="1077"/>
      <c r="U125" s="1077"/>
      <c r="V125" s="1077"/>
    </row>
    <row r="126" spans="1:22" ht="15.75">
      <c r="A126" s="443"/>
      <c r="B126" s="15"/>
      <c r="C126" s="2463" t="s">
        <v>59</v>
      </c>
      <c r="D126" s="2463"/>
      <c r="E126" s="2463"/>
      <c r="F126" s="2464">
        <f>SUBTOTAL(109,[2013])</f>
        <v>0</v>
      </c>
      <c r="G126" s="2464">
        <f>SUBTOTAL(109,[2015])</f>
        <v>0</v>
      </c>
      <c r="H126" s="2464">
        <f>SUBTOTAL(109,[2020])</f>
        <v>0</v>
      </c>
      <c r="I126" s="2464">
        <f>SUBTOTAL(109,[2025])</f>
        <v>0</v>
      </c>
      <c r="J126" s="2464">
        <f>SUBTOTAL(109,[2030])</f>
        <v>0</v>
      </c>
      <c r="K126" s="2464">
        <f>SUBTOTAL(109,[2035])</f>
        <v>0</v>
      </c>
      <c r="L126" s="2464">
        <f>SUBTOTAL(109,[2040])</f>
        <v>0</v>
      </c>
      <c r="M126" s="2464">
        <f>SUBTOTAL(109,[2045])</f>
        <v>0</v>
      </c>
      <c r="N126" s="2464">
        <f>SUBTOTAL(109,[2050])</f>
        <v>0</v>
      </c>
      <c r="O126" s="867"/>
      <c r="Q126" s="1077"/>
      <c r="R126" s="1077"/>
      <c r="S126" s="1077"/>
      <c r="T126" s="1077"/>
      <c r="U126" s="1077"/>
      <c r="V126" s="1077"/>
    </row>
    <row r="127" spans="1:22" ht="15.75">
      <c r="B127" s="15"/>
      <c r="C127" s="452"/>
      <c r="D127" s="452"/>
      <c r="E127" s="452"/>
      <c r="F127" s="452"/>
      <c r="G127" s="452"/>
      <c r="H127" s="452"/>
      <c r="I127" s="452"/>
      <c r="J127" s="452"/>
      <c r="K127" s="452"/>
      <c r="L127" s="452"/>
      <c r="M127" s="452"/>
      <c r="N127" s="452"/>
      <c r="O127" s="867"/>
      <c r="Q127" s="1077"/>
      <c r="R127" s="1077"/>
      <c r="S127" s="1077"/>
      <c r="T127" s="1077"/>
      <c r="U127" s="1077"/>
      <c r="V127" s="1077"/>
    </row>
    <row r="128" spans="1:22">
      <c r="C128" s="2446" t="s">
        <v>5</v>
      </c>
      <c r="Q128" s="1077"/>
      <c r="R128" s="1077"/>
      <c r="S128" s="656"/>
      <c r="T128" s="1077"/>
      <c r="U128" s="1077"/>
      <c r="V128" s="1077"/>
    </row>
    <row r="129" spans="2:31" ht="15.75">
      <c r="B129" s="995" t="s">
        <v>313</v>
      </c>
      <c r="C129" s="996"/>
      <c r="D129" s="997"/>
      <c r="E129" s="997"/>
      <c r="F129" s="997"/>
      <c r="G129" s="997"/>
      <c r="H129" s="997"/>
      <c r="I129" s="997"/>
      <c r="J129" s="997"/>
      <c r="K129" s="997"/>
      <c r="L129" s="997"/>
      <c r="M129" s="997"/>
      <c r="N129" s="997"/>
      <c r="O129" s="998"/>
      <c r="Q129" s="1077"/>
      <c r="R129" s="1077"/>
      <c r="S129" s="656"/>
      <c r="T129" s="1077"/>
      <c r="U129" s="1077"/>
      <c r="V129" s="1077"/>
    </row>
    <row r="130" spans="2:31">
      <c r="B130" s="999"/>
      <c r="C130" s="1000"/>
      <c r="D130" s="1000"/>
      <c r="E130" s="1000"/>
      <c r="F130" s="1000"/>
      <c r="G130" s="1000"/>
      <c r="H130" s="1000"/>
      <c r="I130" s="1000"/>
      <c r="J130" s="1000"/>
      <c r="K130" s="1000"/>
      <c r="L130" s="1000"/>
      <c r="M130" s="1000"/>
      <c r="N130" s="1000"/>
      <c r="O130" s="1001"/>
      <c r="Q130" s="1077"/>
      <c r="R130" s="1077"/>
      <c r="S130" s="656"/>
      <c r="T130" s="1077"/>
      <c r="U130" s="1077"/>
      <c r="V130" s="1077"/>
    </row>
    <row r="131" spans="2:31" ht="17.25" customHeight="1">
      <c r="B131" s="1002"/>
      <c r="C131" s="488" t="s">
        <v>314</v>
      </c>
      <c r="D131" s="1003"/>
      <c r="E131" s="1004"/>
      <c r="F131" s="1003"/>
      <c r="G131" s="1003"/>
      <c r="H131" s="1003"/>
      <c r="I131" s="1003"/>
      <c r="J131" s="1003"/>
      <c r="K131" s="1003"/>
      <c r="L131" s="1003"/>
      <c r="M131" s="1003"/>
      <c r="N131" s="1004"/>
      <c r="O131" s="1005"/>
      <c r="Q131" s="1077"/>
      <c r="R131" s="1077"/>
      <c r="S131" s="656"/>
      <c r="T131" s="1077"/>
      <c r="U131" s="1077"/>
      <c r="V131" s="1077"/>
    </row>
    <row r="132" spans="2:31">
      <c r="B132" s="1002"/>
      <c r="C132" s="1003"/>
      <c r="D132" s="1003"/>
      <c r="E132" s="1003"/>
      <c r="F132" s="1003"/>
      <c r="G132" s="1003"/>
      <c r="H132" s="1003"/>
      <c r="I132" s="1003"/>
      <c r="J132" s="1003"/>
      <c r="K132" s="1003"/>
      <c r="L132" s="1003"/>
      <c r="M132" s="1003"/>
      <c r="N132" s="1003"/>
      <c r="O132" s="1005"/>
      <c r="Q132" s="1077"/>
      <c r="R132" s="1077"/>
      <c r="S132" s="1077"/>
      <c r="T132" s="1077"/>
      <c r="U132" s="1077"/>
      <c r="V132" s="1077"/>
    </row>
    <row r="133" spans="2:31" ht="15.75">
      <c r="B133" s="492"/>
      <c r="C133" s="1006" t="s">
        <v>28</v>
      </c>
      <c r="D133" s="1006" t="s">
        <v>315</v>
      </c>
      <c r="E133" s="1006" t="s">
        <v>30</v>
      </c>
      <c r="F133" s="1006" t="s">
        <v>597</v>
      </c>
      <c r="G133" s="1006" t="s">
        <v>133</v>
      </c>
      <c r="H133" s="1006" t="s">
        <v>134</v>
      </c>
      <c r="I133" s="1006" t="s">
        <v>135</v>
      </c>
      <c r="J133" s="1006" t="s">
        <v>136</v>
      </c>
      <c r="K133" s="1006" t="s">
        <v>137</v>
      </c>
      <c r="L133" s="1006" t="s">
        <v>138</v>
      </c>
      <c r="M133" s="1006" t="s">
        <v>139</v>
      </c>
      <c r="N133" s="1006" t="s">
        <v>140</v>
      </c>
      <c r="O133" s="1005"/>
    </row>
    <row r="134" spans="2:31" ht="15.75">
      <c r="B134" s="492"/>
      <c r="C134" s="1007" t="s">
        <v>887</v>
      </c>
      <c r="D134" s="1007" t="str">
        <f>"onshore wind if "&amp;ROUND($F$56*Unit.m2/(Unit.W*Conversion.to.annual.energy),1)&amp;" W/m2"</f>
        <v>onshore wind if 9 W/m2</v>
      </c>
      <c r="E134" s="494" t="str">
        <f>Preferences.AreaUnits</f>
        <v>km^2</v>
      </c>
      <c r="F134" s="1008">
        <f t="shared" ref="F134:N134" si="22">F102</f>
        <v>56.000000000000007</v>
      </c>
      <c r="G134" s="1008">
        <f t="shared" si="22"/>
        <v>70.144444444444431</v>
      </c>
      <c r="H134" s="1008">
        <f t="shared" si="22"/>
        <v>114.39444444444445</v>
      </c>
      <c r="I134" s="1008">
        <f t="shared" si="22"/>
        <v>168.47777777777776</v>
      </c>
      <c r="J134" s="1008">
        <f t="shared" si="22"/>
        <v>250.42222222222216</v>
      </c>
      <c r="K134" s="1008">
        <f t="shared" si="22"/>
        <v>283.2</v>
      </c>
      <c r="L134" s="1008">
        <f t="shared" si="22"/>
        <v>283.2</v>
      </c>
      <c r="M134" s="1008">
        <f t="shared" si="22"/>
        <v>283.2</v>
      </c>
      <c r="N134" s="1008">
        <f t="shared" si="22"/>
        <v>283.2</v>
      </c>
      <c r="O134" s="1005"/>
    </row>
    <row r="135" spans="2:31" ht="15.75">
      <c r="B135" s="492"/>
      <c r="C135" s="1007" t="s">
        <v>767</v>
      </c>
      <c r="D135" s="1007" t="s">
        <v>879</v>
      </c>
      <c r="E135" s="494" t="str">
        <f>Preferences.PowerUnits</f>
        <v>GW</v>
      </c>
      <c r="F135" s="1008">
        <f t="shared" ref="F135:N135" si="23">F90</f>
        <v>1.8</v>
      </c>
      <c r="G135" s="1008">
        <f t="shared" si="23"/>
        <v>2.14</v>
      </c>
      <c r="H135" s="1008">
        <f t="shared" si="23"/>
        <v>3.49</v>
      </c>
      <c r="I135" s="1008">
        <f t="shared" si="23"/>
        <v>5.1400000000000006</v>
      </c>
      <c r="J135" s="1008">
        <f t="shared" si="23"/>
        <v>7.6400000000000006</v>
      </c>
      <c r="K135" s="1008">
        <f t="shared" si="23"/>
        <v>8.64</v>
      </c>
      <c r="L135" s="1008">
        <f t="shared" si="23"/>
        <v>8.64</v>
      </c>
      <c r="M135" s="1008">
        <f t="shared" si="23"/>
        <v>8.64</v>
      </c>
      <c r="N135" s="1008">
        <f t="shared" si="23"/>
        <v>8.64</v>
      </c>
      <c r="O135" s="1005"/>
    </row>
    <row r="136" spans="2:31" ht="15.75">
      <c r="B136" s="492"/>
      <c r="C136" s="1007" t="s">
        <v>316</v>
      </c>
      <c r="D136" s="1007" t="str">
        <f>"Approximate number if "&amp;$F$55/Unit.MW&amp;" MW turbines"</f>
        <v>Approximate number if 2.5 MW turbines</v>
      </c>
      <c r="E136" s="1007" t="s">
        <v>760</v>
      </c>
      <c r="F136" s="496">
        <f t="shared" ref="F136:N136" si="24">F100</f>
        <v>720</v>
      </c>
      <c r="G136" s="496">
        <f t="shared" si="24"/>
        <v>856</v>
      </c>
      <c r="H136" s="496">
        <f t="shared" si="24"/>
        <v>1396</v>
      </c>
      <c r="I136" s="496">
        <f t="shared" si="24"/>
        <v>2056</v>
      </c>
      <c r="J136" s="496">
        <f t="shared" si="24"/>
        <v>3056</v>
      </c>
      <c r="K136" s="496">
        <f t="shared" si="24"/>
        <v>3456</v>
      </c>
      <c r="L136" s="496">
        <f t="shared" si="24"/>
        <v>3456</v>
      </c>
      <c r="M136" s="496">
        <f t="shared" si="24"/>
        <v>3456</v>
      </c>
      <c r="N136" s="496">
        <f t="shared" si="24"/>
        <v>3456</v>
      </c>
      <c r="O136" s="1005"/>
    </row>
    <row r="137" spans="2:31" ht="15.75">
      <c r="B137" s="497"/>
      <c r="C137" s="1010"/>
      <c r="D137" s="1010"/>
      <c r="E137" s="1010"/>
      <c r="F137" s="1010"/>
      <c r="G137" s="1010"/>
      <c r="H137" s="1010"/>
      <c r="I137" s="1010"/>
      <c r="J137" s="1010"/>
      <c r="K137" s="1010"/>
      <c r="L137" s="1010"/>
      <c r="M137" s="1010"/>
      <c r="N137" s="1010"/>
      <c r="O137" s="1011"/>
    </row>
    <row r="138" spans="2:31" ht="15.75" customHeight="1">
      <c r="D138" s="2446" t="s">
        <v>5</v>
      </c>
    </row>
    <row r="139" spans="2:31" ht="15" customHeight="1">
      <c r="B139" s="995" t="s">
        <v>2795</v>
      </c>
      <c r="C139" s="997"/>
      <c r="D139" s="997"/>
      <c r="E139" s="997"/>
      <c r="F139" s="997"/>
      <c r="G139" s="997"/>
      <c r="H139" s="997"/>
      <c r="I139" s="997"/>
      <c r="J139" s="997"/>
      <c r="K139" s="997"/>
      <c r="L139" s="997"/>
      <c r="M139" s="997"/>
      <c r="N139" s="997"/>
      <c r="O139" s="998"/>
    </row>
    <row r="140" spans="2:31" hidden="1">
      <c r="B140" s="1002"/>
      <c r="C140" s="1003"/>
      <c r="D140" s="1003"/>
      <c r="E140" s="1003"/>
      <c r="F140" s="1003"/>
      <c r="G140" s="1003"/>
      <c r="H140" s="1003"/>
      <c r="I140" s="1003"/>
      <c r="J140" s="1003"/>
      <c r="K140" s="1003"/>
      <c r="L140" s="1003"/>
      <c r="M140" s="1003"/>
      <c r="N140" s="1003"/>
      <c r="O140" s="1005"/>
    </row>
    <row r="141" spans="2:31" ht="12.75" hidden="1" customHeight="1">
      <c r="B141" s="1002"/>
      <c r="C141" s="500" t="s">
        <v>770</v>
      </c>
      <c r="D141" s="1012"/>
      <c r="E141" s="1012"/>
      <c r="F141" s="1012"/>
      <c r="G141" s="1012"/>
      <c r="H141" s="1012"/>
      <c r="I141" s="1012"/>
      <c r="J141" s="1012"/>
      <c r="K141" s="1012"/>
      <c r="L141" s="1012"/>
      <c r="M141" s="1012"/>
      <c r="N141" s="1012"/>
      <c r="O141" s="1005"/>
    </row>
    <row r="142" spans="2:31" hidden="1">
      <c r="B142" s="1002"/>
      <c r="C142" s="1003"/>
      <c r="D142" s="1003"/>
      <c r="E142" s="1003"/>
      <c r="F142" s="1012"/>
      <c r="G142" s="1012"/>
      <c r="H142" s="1012"/>
      <c r="I142" s="1012"/>
      <c r="J142" s="1012"/>
      <c r="K142" s="1012"/>
      <c r="L142" s="1012"/>
      <c r="M142" s="1012"/>
      <c r="N142" s="1012"/>
      <c r="O142" s="1005"/>
    </row>
    <row r="143" spans="2:31" ht="15.75" hidden="1">
      <c r="B143" s="492"/>
      <c r="C143" s="1006" t="s">
        <v>28</v>
      </c>
      <c r="D143" s="1006" t="s">
        <v>29</v>
      </c>
      <c r="E143" s="1006" t="s">
        <v>30</v>
      </c>
      <c r="F143" s="1006">
        <v>2013</v>
      </c>
      <c r="G143" s="1006" t="s">
        <v>133</v>
      </c>
      <c r="H143" s="1006" t="s">
        <v>134</v>
      </c>
      <c r="I143" s="1006" t="s">
        <v>135</v>
      </c>
      <c r="J143" s="1006" t="s">
        <v>136</v>
      </c>
      <c r="K143" s="1006" t="s">
        <v>137</v>
      </c>
      <c r="L143" s="1006" t="s">
        <v>138</v>
      </c>
      <c r="M143" s="1006" t="s">
        <v>139</v>
      </c>
      <c r="N143" s="1006" t="s">
        <v>140</v>
      </c>
      <c r="O143" s="1150"/>
      <c r="W143" s="1077"/>
      <c r="X143" s="1077"/>
      <c r="Y143" s="1077"/>
      <c r="Z143" s="1077"/>
      <c r="AA143" s="1077"/>
      <c r="AB143" s="1077"/>
      <c r="AC143" s="1077"/>
      <c r="AD143" s="1077"/>
      <c r="AE143" s="1077"/>
    </row>
    <row r="144" spans="2:31" ht="15.75" hidden="1">
      <c r="B144" s="492"/>
      <c r="C144" s="1007" t="s">
        <v>328</v>
      </c>
      <c r="D144" s="494" t="s">
        <v>329</v>
      </c>
      <c r="E144" s="494"/>
      <c r="F144" s="1008">
        <f t="shared" ref="F144:O144" si="25">F115</f>
        <v>0</v>
      </c>
      <c r="G144" s="1008">
        <f t="shared" si="25"/>
        <v>0</v>
      </c>
      <c r="H144" s="1008">
        <f t="shared" si="25"/>
        <v>0</v>
      </c>
      <c r="I144" s="1008">
        <f t="shared" si="25"/>
        <v>0</v>
      </c>
      <c r="J144" s="1008">
        <f t="shared" si="25"/>
        <v>0</v>
      </c>
      <c r="K144" s="1008">
        <f t="shared" si="25"/>
        <v>0</v>
      </c>
      <c r="L144" s="1008">
        <f t="shared" si="25"/>
        <v>0</v>
      </c>
      <c r="M144" s="1008">
        <f t="shared" si="25"/>
        <v>0</v>
      </c>
      <c r="N144" s="1008">
        <f t="shared" si="25"/>
        <v>0</v>
      </c>
      <c r="O144" s="1008">
        <f t="shared" si="25"/>
        <v>0</v>
      </c>
      <c r="W144" s="1077"/>
      <c r="X144" s="1077"/>
      <c r="Y144" s="1077"/>
      <c r="Z144" s="1077"/>
      <c r="AA144" s="1077"/>
      <c r="AB144" s="1077"/>
      <c r="AC144" s="1077"/>
      <c r="AD144" s="1077"/>
      <c r="AE144" s="1077"/>
    </row>
    <row r="145" spans="2:31" ht="15.75" hidden="1">
      <c r="B145" s="492"/>
      <c r="C145" s="1007" t="s">
        <v>335</v>
      </c>
      <c r="D145" s="494" t="s">
        <v>336</v>
      </c>
      <c r="E145" s="494"/>
      <c r="F145" s="1008">
        <f t="shared" ref="F145:O145" si="26">F116</f>
        <v>0</v>
      </c>
      <c r="G145" s="1008">
        <f t="shared" si="26"/>
        <v>0</v>
      </c>
      <c r="H145" s="1008">
        <f t="shared" si="26"/>
        <v>0</v>
      </c>
      <c r="I145" s="1008">
        <f t="shared" si="26"/>
        <v>0</v>
      </c>
      <c r="J145" s="1008">
        <f t="shared" si="26"/>
        <v>0</v>
      </c>
      <c r="K145" s="1008">
        <f t="shared" si="26"/>
        <v>0</v>
      </c>
      <c r="L145" s="1008">
        <f t="shared" si="26"/>
        <v>0</v>
      </c>
      <c r="M145" s="1008">
        <f t="shared" si="26"/>
        <v>0</v>
      </c>
      <c r="N145" s="1008">
        <f t="shared" si="26"/>
        <v>0</v>
      </c>
      <c r="O145" s="1008">
        <f t="shared" si="26"/>
        <v>0</v>
      </c>
      <c r="W145" s="1077"/>
      <c r="X145" s="1077"/>
      <c r="Y145" s="1077"/>
      <c r="Z145" s="1077"/>
      <c r="AA145" s="1077"/>
      <c r="AB145" s="1077"/>
      <c r="AC145" s="1077"/>
      <c r="AD145" s="1077"/>
      <c r="AE145" s="1077"/>
    </row>
    <row r="146" spans="2:31" ht="15.75" hidden="1">
      <c r="B146" s="492"/>
      <c r="C146" s="1007" t="s">
        <v>326</v>
      </c>
      <c r="D146" s="494" t="s">
        <v>327</v>
      </c>
      <c r="E146" s="494"/>
      <c r="F146" s="1008">
        <f t="shared" ref="F146:O146" si="27">F110</f>
        <v>0</v>
      </c>
      <c r="G146" s="1008">
        <f t="shared" si="27"/>
        <v>0</v>
      </c>
      <c r="H146" s="1008">
        <f t="shared" si="27"/>
        <v>0</v>
      </c>
      <c r="I146" s="1008">
        <f t="shared" si="27"/>
        <v>0</v>
      </c>
      <c r="J146" s="1008">
        <f t="shared" si="27"/>
        <v>0</v>
      </c>
      <c r="K146" s="1008">
        <f t="shared" si="27"/>
        <v>0</v>
      </c>
      <c r="L146" s="1008">
        <f t="shared" si="27"/>
        <v>0</v>
      </c>
      <c r="M146" s="1008">
        <f t="shared" si="27"/>
        <v>0</v>
      </c>
      <c r="N146" s="1008">
        <f t="shared" si="27"/>
        <v>0</v>
      </c>
      <c r="O146" s="1008">
        <f t="shared" si="27"/>
        <v>0</v>
      </c>
      <c r="W146" s="1077"/>
      <c r="X146" s="1077"/>
      <c r="Y146" s="1077"/>
      <c r="Z146" s="1077"/>
      <c r="AA146" s="1077"/>
      <c r="AB146" s="1077"/>
      <c r="AC146" s="1077"/>
      <c r="AD146" s="1077"/>
      <c r="AE146" s="1077"/>
    </row>
    <row r="147" spans="2:31" ht="15.75" hidden="1">
      <c r="B147" s="492"/>
      <c r="C147" s="1007" t="s">
        <v>333</v>
      </c>
      <c r="D147" s="494" t="s">
        <v>334</v>
      </c>
      <c r="E147" s="494"/>
      <c r="F147" s="1008">
        <f t="shared" ref="F147:O147" si="28">F111</f>
        <v>0</v>
      </c>
      <c r="G147" s="1008">
        <f t="shared" si="28"/>
        <v>0</v>
      </c>
      <c r="H147" s="1008">
        <f t="shared" si="28"/>
        <v>0</v>
      </c>
      <c r="I147" s="1008">
        <f t="shared" si="28"/>
        <v>0</v>
      </c>
      <c r="J147" s="1008">
        <f t="shared" si="28"/>
        <v>0</v>
      </c>
      <c r="K147" s="1008">
        <f t="shared" si="28"/>
        <v>0</v>
      </c>
      <c r="L147" s="1008">
        <f t="shared" si="28"/>
        <v>0</v>
      </c>
      <c r="M147" s="1008">
        <f t="shared" si="28"/>
        <v>0</v>
      </c>
      <c r="N147" s="1008">
        <f t="shared" si="28"/>
        <v>0</v>
      </c>
      <c r="O147" s="1008">
        <f t="shared" si="28"/>
        <v>0</v>
      </c>
      <c r="W147" s="1077"/>
      <c r="X147" s="1077"/>
      <c r="Y147" s="1077"/>
      <c r="Z147" s="1077"/>
      <c r="AA147" s="1077"/>
      <c r="AB147" s="1077"/>
      <c r="AC147" s="1077"/>
      <c r="AD147" s="1077"/>
      <c r="AE147" s="1077"/>
    </row>
    <row r="148" spans="2:31" hidden="1">
      <c r="B148" s="503"/>
      <c r="C148" s="1007" t="s">
        <v>324</v>
      </c>
      <c r="D148" s="494" t="s">
        <v>325</v>
      </c>
      <c r="E148" s="494"/>
      <c r="F148" s="1008">
        <f t="shared" ref="F148:O148" si="29">F105</f>
        <v>0</v>
      </c>
      <c r="G148" s="1008">
        <f t="shared" si="29"/>
        <v>0</v>
      </c>
      <c r="H148" s="1008">
        <f t="shared" si="29"/>
        <v>0</v>
      </c>
      <c r="I148" s="1008">
        <f t="shared" si="29"/>
        <v>0</v>
      </c>
      <c r="J148" s="1008">
        <f t="shared" si="29"/>
        <v>0</v>
      </c>
      <c r="K148" s="1008">
        <f t="shared" si="29"/>
        <v>0</v>
      </c>
      <c r="L148" s="1008">
        <f t="shared" si="29"/>
        <v>0</v>
      </c>
      <c r="M148" s="1008">
        <f t="shared" si="29"/>
        <v>0</v>
      </c>
      <c r="N148" s="1008">
        <f t="shared" si="29"/>
        <v>0</v>
      </c>
      <c r="O148" s="1008">
        <f t="shared" si="29"/>
        <v>0</v>
      </c>
      <c r="W148" s="1077"/>
      <c r="X148" s="1077"/>
      <c r="Y148" s="1077"/>
      <c r="Z148" s="1077"/>
      <c r="AA148" s="1077"/>
      <c r="AB148" s="1077"/>
      <c r="AC148" s="1077"/>
      <c r="AD148" s="1077"/>
      <c r="AE148" s="1077"/>
    </row>
    <row r="149" spans="2:31" hidden="1">
      <c r="B149" s="503"/>
      <c r="C149" s="1007" t="s">
        <v>331</v>
      </c>
      <c r="D149" s="494" t="s">
        <v>332</v>
      </c>
      <c r="E149" s="494"/>
      <c r="F149" s="1194">
        <f t="shared" ref="F149:O149" si="30">F106</f>
        <v>0</v>
      </c>
      <c r="G149" s="1194">
        <f t="shared" si="30"/>
        <v>0</v>
      </c>
      <c r="H149" s="1194">
        <f t="shared" si="30"/>
        <v>0</v>
      </c>
      <c r="I149" s="1194">
        <f t="shared" si="30"/>
        <v>0</v>
      </c>
      <c r="J149" s="1194">
        <f t="shared" si="30"/>
        <v>0</v>
      </c>
      <c r="K149" s="1194">
        <f t="shared" si="30"/>
        <v>0</v>
      </c>
      <c r="L149" s="1194">
        <f t="shared" si="30"/>
        <v>0</v>
      </c>
      <c r="M149" s="1194">
        <f t="shared" si="30"/>
        <v>0</v>
      </c>
      <c r="N149" s="1194">
        <f t="shared" si="30"/>
        <v>0</v>
      </c>
      <c r="O149" s="1194">
        <f t="shared" si="30"/>
        <v>0</v>
      </c>
      <c r="W149" s="1077"/>
      <c r="X149" s="1077"/>
      <c r="Y149" s="1077"/>
      <c r="Z149" s="1077"/>
      <c r="AA149" s="1077"/>
      <c r="AB149" s="1077"/>
      <c r="AC149" s="1077"/>
      <c r="AD149" s="1077"/>
      <c r="AE149" s="1077"/>
    </row>
    <row r="150" spans="2:31" hidden="1">
      <c r="B150" s="1014"/>
      <c r="C150" s="1010"/>
      <c r="D150" s="1010"/>
      <c r="E150" s="1010"/>
      <c r="F150" s="1010"/>
      <c r="G150" s="1010"/>
      <c r="H150" s="1010"/>
      <c r="I150" s="1010"/>
      <c r="J150" s="1010"/>
      <c r="K150" s="1010"/>
      <c r="L150" s="1010"/>
      <c r="M150" s="1010"/>
      <c r="N150" s="1010"/>
      <c r="O150" s="1015"/>
      <c r="W150" s="1077"/>
      <c r="X150" s="1077"/>
      <c r="Y150" s="1077"/>
      <c r="Z150" s="1077"/>
      <c r="AA150" s="1077"/>
      <c r="AB150" s="1077"/>
      <c r="AC150" s="1077"/>
      <c r="AD150" s="1077"/>
      <c r="AE150" s="1077"/>
    </row>
    <row r="151" spans="2:31">
      <c r="W151" s="1077"/>
      <c r="X151" s="1077"/>
      <c r="Y151" s="1077"/>
      <c r="Z151" s="1077"/>
      <c r="AA151" s="1077"/>
      <c r="AB151" s="1077"/>
      <c r="AC151" s="1077"/>
      <c r="AD151" s="1077"/>
      <c r="AE151" s="1077"/>
    </row>
    <row r="152" spans="2:31">
      <c r="W152" s="1077"/>
      <c r="X152" s="1077"/>
      <c r="Y152" s="1077"/>
      <c r="Z152" s="1077"/>
      <c r="AA152" s="1077"/>
      <c r="AB152" s="1077"/>
      <c r="AC152" s="1077"/>
      <c r="AD152" s="1077"/>
      <c r="AE152" s="1077"/>
    </row>
    <row r="153" spans="2:31">
      <c r="W153" s="1077"/>
      <c r="X153" s="1077"/>
      <c r="Y153" s="1077"/>
      <c r="Z153" s="1077"/>
      <c r="AA153" s="1077"/>
      <c r="AB153" s="1077"/>
      <c r="AC153" s="1077"/>
      <c r="AD153" s="1077"/>
      <c r="AE153" s="1077"/>
    </row>
    <row r="154" spans="2:31">
      <c r="W154" s="1077"/>
      <c r="X154" s="1077"/>
      <c r="Y154" s="1077"/>
      <c r="Z154" s="1077"/>
      <c r="AA154" s="1077"/>
      <c r="AB154" s="1077"/>
      <c r="AC154" s="1077"/>
      <c r="AD154" s="1077"/>
      <c r="AE154" s="1077"/>
    </row>
    <row r="155" spans="2:31">
      <c r="W155" s="1077"/>
      <c r="X155" s="1077"/>
      <c r="Y155" s="1077"/>
      <c r="Z155" s="1077"/>
      <c r="AA155" s="1077"/>
      <c r="AB155" s="1077"/>
      <c r="AC155" s="1077"/>
      <c r="AD155" s="1077"/>
      <c r="AE155" s="1077"/>
    </row>
    <row r="156" spans="2:31">
      <c r="W156" s="1077"/>
      <c r="X156" s="1077"/>
      <c r="Y156" s="1077"/>
      <c r="Z156" s="1077"/>
      <c r="AA156" s="1077"/>
      <c r="AB156" s="1077"/>
      <c r="AC156" s="1077"/>
      <c r="AD156" s="1077"/>
      <c r="AE156" s="1077"/>
    </row>
    <row r="157" spans="2:31">
      <c r="W157" s="1077"/>
      <c r="X157" s="1077"/>
      <c r="Y157" s="1077"/>
      <c r="Z157" s="1077"/>
      <c r="AA157" s="1077"/>
      <c r="AB157" s="1077"/>
      <c r="AC157" s="1077"/>
      <c r="AD157" s="1077"/>
      <c r="AE157" s="1077"/>
    </row>
    <row r="158" spans="2:31">
      <c r="W158" s="1077"/>
      <c r="X158" s="1077"/>
      <c r="Y158" s="1077"/>
      <c r="Z158" s="1077"/>
      <c r="AA158" s="1077"/>
      <c r="AB158" s="1077"/>
      <c r="AC158" s="1077"/>
      <c r="AD158" s="1077"/>
      <c r="AE158" s="1077"/>
    </row>
    <row r="159" spans="2:31">
      <c r="W159" s="1077"/>
      <c r="X159" s="1077"/>
      <c r="Y159" s="1077"/>
      <c r="Z159" s="1077"/>
      <c r="AA159" s="1077"/>
      <c r="AB159" s="1077"/>
      <c r="AC159" s="1077"/>
      <c r="AD159" s="1077"/>
      <c r="AE159" s="1077"/>
    </row>
    <row r="160" spans="2:31">
      <c r="W160" s="1077"/>
      <c r="X160" s="1077"/>
      <c r="Y160" s="1077"/>
      <c r="Z160" s="1077"/>
      <c r="AA160" s="1077"/>
      <c r="AB160" s="1077"/>
      <c r="AC160" s="1077"/>
      <c r="AD160" s="1077"/>
      <c r="AE160" s="1077"/>
    </row>
  </sheetData>
  <pageMargins left="0.7" right="0.7" top="0.75" bottom="0.75" header="0.3" footer="0.3"/>
  <pageSetup orientation="portrait" r:id="rId1"/>
  <tableParts count="2">
    <tablePart r:id="rId2"/>
    <tablePart r:id="rId3"/>
  </tableParts>
</worksheet>
</file>

<file path=xl/worksheets/sheet18.xml><?xml version="1.0" encoding="utf-8"?>
<worksheet xmlns="http://schemas.openxmlformats.org/spreadsheetml/2006/main" xmlns:r="http://schemas.openxmlformats.org/officeDocument/2006/relationships">
  <sheetPr codeName="Sheet12">
    <tabColor theme="9"/>
  </sheetPr>
  <dimension ref="A1:DI170"/>
  <sheetViews>
    <sheetView showGridLines="0" topLeftCell="C67" zoomScale="80" zoomScaleNormal="80" workbookViewId="0">
      <selection activeCell="K19" sqref="K19"/>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2" customWidth="1"/>
    <col min="16" max="16" width="10.85546875" customWidth="1"/>
  </cols>
  <sheetData>
    <row r="1" spans="1:15" ht="20.25">
      <c r="A1" s="863" t="s">
        <v>532</v>
      </c>
      <c r="B1" s="863" t="s">
        <v>533</v>
      </c>
      <c r="C1" s="863"/>
      <c r="G1" s="4120"/>
    </row>
    <row r="2" spans="1:15" s="6" customFormat="1" ht="15.75">
      <c r="A2" s="864" t="s">
        <v>522</v>
      </c>
      <c r="B2" s="864" t="s">
        <v>523</v>
      </c>
      <c r="C2" s="864"/>
      <c r="E2" s="5"/>
    </row>
    <row r="4" spans="1:15" ht="23.25">
      <c r="A4" s="7"/>
      <c r="B4" s="511" t="s">
        <v>361</v>
      </c>
      <c r="C4" s="1154"/>
      <c r="D4" s="512"/>
      <c r="E4" s="513"/>
      <c r="F4" s="512"/>
      <c r="G4" s="512"/>
      <c r="H4" s="512"/>
      <c r="I4" s="512"/>
      <c r="J4" s="512"/>
      <c r="K4" s="512"/>
      <c r="L4" s="512"/>
      <c r="M4" s="512"/>
      <c r="N4" s="512"/>
      <c r="O4" s="866"/>
    </row>
    <row r="5" spans="1:15">
      <c r="B5" s="514"/>
      <c r="C5" s="12"/>
      <c r="D5" s="515"/>
      <c r="E5" s="516"/>
      <c r="F5" s="515"/>
      <c r="G5" s="515"/>
      <c r="H5" s="515"/>
      <c r="I5" s="515"/>
      <c r="J5" s="515"/>
      <c r="K5" s="515"/>
      <c r="L5" s="515"/>
      <c r="M5" s="515"/>
      <c r="N5" s="515"/>
      <c r="O5" s="867"/>
    </row>
    <row r="6" spans="1:15" ht="15.75">
      <c r="B6" s="15"/>
      <c r="C6" s="515"/>
      <c r="D6" s="16" t="s">
        <v>7</v>
      </c>
      <c r="E6" s="16" t="s">
        <v>8</v>
      </c>
      <c r="F6" s="515"/>
      <c r="G6" s="515"/>
      <c r="H6" s="515"/>
      <c r="I6" s="515"/>
      <c r="J6" s="515"/>
      <c r="K6" s="515"/>
      <c r="L6" s="515"/>
      <c r="M6" s="515"/>
      <c r="N6" s="515"/>
      <c r="O6" s="867"/>
    </row>
    <row r="7" spans="1:15" ht="15.75">
      <c r="B7" s="15"/>
      <c r="C7" s="515"/>
      <c r="D7" s="868" t="s">
        <v>8</v>
      </c>
      <c r="E7" s="868">
        <f>III.a.2.Scenario</f>
        <v>4</v>
      </c>
      <c r="F7" s="515"/>
      <c r="G7" s="515"/>
      <c r="H7" s="515"/>
      <c r="I7" s="515"/>
      <c r="J7" s="515"/>
      <c r="K7" s="515"/>
      <c r="L7" s="515"/>
      <c r="M7" s="515"/>
      <c r="N7" s="515"/>
      <c r="O7" s="867"/>
    </row>
    <row r="8" spans="1:15" ht="15.75">
      <c r="B8" s="450"/>
      <c r="C8" s="452"/>
      <c r="D8" s="452"/>
      <c r="E8" s="452"/>
      <c r="F8" s="869"/>
      <c r="G8" s="869"/>
      <c r="H8" s="869"/>
      <c r="I8" s="869"/>
      <c r="J8" s="869"/>
      <c r="K8" s="869"/>
      <c r="L8" s="869"/>
      <c r="M8" s="869"/>
      <c r="N8" s="869"/>
      <c r="O8" s="870"/>
    </row>
    <row r="10" spans="1:15" ht="23.25">
      <c r="A10" s="7"/>
      <c r="B10" s="878" t="s">
        <v>33</v>
      </c>
      <c r="C10" s="879"/>
      <c r="D10" s="879"/>
      <c r="E10" s="879"/>
      <c r="F10" s="879"/>
      <c r="G10" s="879"/>
      <c r="H10" s="879"/>
      <c r="I10" s="879"/>
      <c r="J10" s="879"/>
      <c r="K10" s="879"/>
      <c r="L10" s="879"/>
      <c r="M10" s="879"/>
      <c r="N10" s="879"/>
      <c r="O10" s="880"/>
    </row>
    <row r="11" spans="1:15">
      <c r="B11" s="110"/>
      <c r="C11" s="67"/>
      <c r="D11" s="67"/>
      <c r="E11" s="67"/>
      <c r="F11" s="67"/>
      <c r="G11" s="67"/>
      <c r="H11" s="67"/>
      <c r="I11" s="67"/>
      <c r="J11" s="67"/>
      <c r="K11" s="67"/>
      <c r="L11" s="67"/>
      <c r="M11" s="67"/>
      <c r="N11" s="67"/>
      <c r="O11" s="885"/>
    </row>
    <row r="12" spans="1:15">
      <c r="B12" s="45"/>
      <c r="C12" s="49" t="s">
        <v>3078</v>
      </c>
      <c r="D12" s="67"/>
      <c r="E12" s="51"/>
      <c r="F12" s="67"/>
      <c r="G12" s="67"/>
      <c r="H12" s="67"/>
      <c r="I12" s="67"/>
      <c r="J12" s="67"/>
      <c r="K12" s="67"/>
      <c r="L12" s="67"/>
      <c r="M12" s="67"/>
      <c r="N12" s="51" t="str">
        <f>Preferences.PowerUnits &amp; " per annum, for subsequent period; nameplate capacity"</f>
        <v>GW per annum, for subsequent period; nameplate capacity</v>
      </c>
      <c r="O12" s="885"/>
    </row>
    <row r="13" spans="1:15">
      <c r="B13" s="45"/>
      <c r="C13" s="67"/>
      <c r="D13" s="67"/>
      <c r="E13" s="67"/>
      <c r="F13" s="67"/>
      <c r="G13" s="67"/>
      <c r="H13" s="67"/>
      <c r="I13" s="67"/>
      <c r="J13" s="67"/>
      <c r="K13" s="67"/>
      <c r="L13" s="67"/>
      <c r="M13" s="67"/>
      <c r="N13" s="67"/>
      <c r="O13" s="885"/>
    </row>
    <row r="14" spans="1:15" ht="15.75">
      <c r="B14" s="55"/>
      <c r="C14" s="887" t="s">
        <v>8</v>
      </c>
      <c r="D14" s="887" t="s">
        <v>72</v>
      </c>
      <c r="E14" s="887" t="s">
        <v>30</v>
      </c>
      <c r="F14" s="92">
        <v>2013</v>
      </c>
      <c r="G14" s="92">
        <v>2015</v>
      </c>
      <c r="H14" s="92">
        <v>2020</v>
      </c>
      <c r="I14" s="92">
        <v>2025</v>
      </c>
      <c r="J14" s="92">
        <v>2030</v>
      </c>
      <c r="K14" s="92">
        <v>2035</v>
      </c>
      <c r="L14" s="92">
        <v>2040</v>
      </c>
      <c r="M14" s="92">
        <v>2045</v>
      </c>
      <c r="N14" s="92">
        <v>2050</v>
      </c>
      <c r="O14" s="885"/>
    </row>
    <row r="15" spans="1:15" ht="15.75">
      <c r="B15" s="55"/>
      <c r="C15" s="65">
        <v>1</v>
      </c>
      <c r="D15" s="108"/>
      <c r="E15" s="890"/>
      <c r="F15" s="892">
        <v>0</v>
      </c>
      <c r="G15" s="892">
        <v>0</v>
      </c>
      <c r="H15" s="892">
        <v>0</v>
      </c>
      <c r="I15" s="892">
        <v>0</v>
      </c>
      <c r="J15" s="892">
        <v>0</v>
      </c>
      <c r="K15" s="892">
        <v>0</v>
      </c>
      <c r="L15" s="892">
        <v>0</v>
      </c>
      <c r="M15" s="892">
        <v>0</v>
      </c>
      <c r="N15" s="59">
        <v>0</v>
      </c>
      <c r="O15" s="885"/>
    </row>
    <row r="16" spans="1:15" ht="15.75">
      <c r="B16" s="55"/>
      <c r="C16" s="65">
        <v>2</v>
      </c>
      <c r="D16" s="108"/>
      <c r="E16" s="108"/>
      <c r="F16" s="892">
        <v>0</v>
      </c>
      <c r="G16" s="895">
        <v>0</v>
      </c>
      <c r="H16" s="895">
        <v>0</v>
      </c>
      <c r="I16" s="895">
        <f>(Unit.GW)*0.1</f>
        <v>0.1</v>
      </c>
      <c r="J16" s="895">
        <v>0</v>
      </c>
      <c r="K16" s="895">
        <f>(Unit.GW)*0.1</f>
        <v>0.1</v>
      </c>
      <c r="L16" s="895">
        <v>0</v>
      </c>
      <c r="M16" s="895">
        <f>(Unit.GW)*0.1</f>
        <v>0.1</v>
      </c>
      <c r="N16" s="895">
        <f>(Unit.GW)*0.1</f>
        <v>0.1</v>
      </c>
      <c r="O16" s="885"/>
    </row>
    <row r="17" spans="2:27" ht="15.75">
      <c r="B17" s="55"/>
      <c r="C17" s="65">
        <v>3</v>
      </c>
      <c r="D17" s="108"/>
      <c r="E17" s="108" t="s">
        <v>67</v>
      </c>
      <c r="F17" s="892">
        <v>0</v>
      </c>
      <c r="G17" s="895">
        <v>0</v>
      </c>
      <c r="H17" s="895">
        <v>0</v>
      </c>
      <c r="I17" s="895">
        <f>(Unit.GW)*0.1</f>
        <v>0.1</v>
      </c>
      <c r="J17" s="895">
        <f>(Unit.GW)*0.16</f>
        <v>0.16</v>
      </c>
      <c r="K17" s="895">
        <f>(Unit.GW)*0.16</f>
        <v>0.16</v>
      </c>
      <c r="L17" s="895">
        <f>(Unit.GW)*0.16</f>
        <v>0.16</v>
      </c>
      <c r="M17" s="895">
        <f>(Unit.GW)*0.16</f>
        <v>0.16</v>
      </c>
      <c r="N17" s="895">
        <f>(Unit.GW)*0.16</f>
        <v>0.16</v>
      </c>
      <c r="O17" s="885"/>
      <c r="S17" s="1155"/>
      <c r="T17" s="1155"/>
      <c r="U17" s="1155"/>
      <c r="V17" s="1155"/>
      <c r="W17" s="1155"/>
      <c r="X17" s="1155"/>
      <c r="Y17" s="1155"/>
      <c r="Z17" s="1155"/>
      <c r="AA17" s="1155"/>
    </row>
    <row r="18" spans="2:27" ht="15.75">
      <c r="B18" s="55"/>
      <c r="C18" s="896">
        <v>4</v>
      </c>
      <c r="D18" s="897"/>
      <c r="E18" s="897"/>
      <c r="F18" s="1156">
        <v>0</v>
      </c>
      <c r="G18" s="1156">
        <v>0</v>
      </c>
      <c r="H18" s="1156">
        <v>0</v>
      </c>
      <c r="I18" s="895">
        <f>(Unit.GW)*0.1</f>
        <v>0.1</v>
      </c>
      <c r="J18" s="895">
        <f>(Unit.GW)*0.16</f>
        <v>0.16</v>
      </c>
      <c r="K18" s="895">
        <f>(Unit.GW)*0.2</f>
        <v>0.2</v>
      </c>
      <c r="L18" s="895">
        <f>(Unit.GW)*0.35</f>
        <v>0.35</v>
      </c>
      <c r="M18" s="895">
        <f>(Unit.GW)*0.35</f>
        <v>0.35</v>
      </c>
      <c r="N18" s="895">
        <f>(Unit.GW)*0.35</f>
        <v>0.35</v>
      </c>
      <c r="O18" s="885"/>
      <c r="P18" t="s">
        <v>5</v>
      </c>
    </row>
    <row r="19" spans="2:27" ht="15.75">
      <c r="B19" s="55"/>
      <c r="C19" s="1024" t="s">
        <v>37</v>
      </c>
      <c r="D19" s="901"/>
      <c r="E19" s="901"/>
      <c r="F19" s="902">
        <f>(INDEX(F$15:F$18,ROUNDDOWN($E$7,0))*(1-MOD($E$7,1)))+(INDEX(F$15:F$18,ROUNDUP($E$7,0))*MOD($E$7,1))</f>
        <v>0</v>
      </c>
      <c r="G19" s="902">
        <f t="shared" ref="G19:N19" si="0">(INDEX(G$15:G$18,ROUNDDOWN($E$7,0))*(1-MOD($E$7,1)))+(INDEX(G$15:G$18,ROUNDUP($E$7,0))*MOD($E$7,1))</f>
        <v>0</v>
      </c>
      <c r="H19" s="902">
        <f t="shared" si="0"/>
        <v>0</v>
      </c>
      <c r="I19" s="902">
        <f t="shared" si="0"/>
        <v>0.1</v>
      </c>
      <c r="J19" s="902">
        <f t="shared" si="0"/>
        <v>0.16</v>
      </c>
      <c r="K19" s="902">
        <f t="shared" si="0"/>
        <v>0.2</v>
      </c>
      <c r="L19" s="902">
        <f t="shared" si="0"/>
        <v>0.35</v>
      </c>
      <c r="M19" s="902">
        <f t="shared" si="0"/>
        <v>0.35</v>
      </c>
      <c r="N19" s="903">
        <f t="shared" si="0"/>
        <v>0.35</v>
      </c>
      <c r="O19" s="885"/>
      <c r="P19" t="s">
        <v>5</v>
      </c>
    </row>
    <row r="20" spans="2:27">
      <c r="B20" s="45"/>
      <c r="C20" s="67"/>
      <c r="D20" s="200"/>
      <c r="E20" s="67"/>
      <c r="F20" s="67"/>
      <c r="G20" s="67"/>
      <c r="H20" s="67"/>
      <c r="I20" s="67" t="s">
        <v>5</v>
      </c>
      <c r="J20" s="67" t="s">
        <v>5</v>
      </c>
      <c r="K20" s="67"/>
      <c r="L20" s="67"/>
      <c r="M20" s="67"/>
      <c r="N20" s="67"/>
      <c r="O20" s="885"/>
    </row>
    <row r="21" spans="2:27">
      <c r="B21" s="45"/>
      <c r="C21" s="49" t="s">
        <v>854</v>
      </c>
      <c r="D21" s="67"/>
      <c r="E21" s="51"/>
      <c r="F21" s="67"/>
      <c r="G21" s="67"/>
      <c r="H21" s="67"/>
      <c r="I21" s="67"/>
      <c r="J21" s="67"/>
      <c r="K21" s="67"/>
      <c r="L21" s="67"/>
      <c r="M21" s="67"/>
      <c r="N21" s="51" t="str">
        <f>Preferences.PowerUnits &amp; " per annum, for subsequent period; nameplate capacity"</f>
        <v>GW per annum, for subsequent period; nameplate capacity</v>
      </c>
      <c r="O21" s="885"/>
    </row>
    <row r="22" spans="2:27">
      <c r="B22" s="45"/>
      <c r="C22" s="67"/>
      <c r="D22" s="67"/>
      <c r="E22" s="67"/>
      <c r="F22" s="67"/>
      <c r="G22" s="67"/>
      <c r="H22" s="67"/>
      <c r="I22" s="67"/>
      <c r="J22" s="67"/>
      <c r="K22" s="67"/>
      <c r="L22" s="67"/>
      <c r="M22" s="67"/>
      <c r="N22" s="67"/>
      <c r="O22" s="885"/>
    </row>
    <row r="23" spans="2:27" ht="15.75">
      <c r="B23" s="55"/>
      <c r="C23" s="887" t="s">
        <v>8</v>
      </c>
      <c r="D23" s="887" t="s">
        <v>72</v>
      </c>
      <c r="E23" s="887" t="s">
        <v>30</v>
      </c>
      <c r="F23" s="92">
        <v>2013</v>
      </c>
      <c r="G23" s="92">
        <v>2015</v>
      </c>
      <c r="H23" s="92">
        <v>2020</v>
      </c>
      <c r="I23" s="92">
        <v>2025</v>
      </c>
      <c r="J23" s="92">
        <v>2030</v>
      </c>
      <c r="K23" s="92">
        <v>2035</v>
      </c>
      <c r="L23" s="92">
        <v>2040</v>
      </c>
      <c r="M23" s="92">
        <v>2045</v>
      </c>
      <c r="N23" s="92">
        <v>2050</v>
      </c>
      <c r="O23" s="885"/>
    </row>
    <row r="24" spans="2:27" ht="15.75">
      <c r="B24" s="55"/>
      <c r="C24" s="65">
        <v>1</v>
      </c>
      <c r="D24" s="108"/>
      <c r="E24" s="890"/>
      <c r="F24" s="892">
        <v>0</v>
      </c>
      <c r="G24" s="892">
        <v>0</v>
      </c>
      <c r="H24" s="892">
        <f>(Unit.GW)*-0.005</f>
        <v>-5.0000000000000001E-3</v>
      </c>
      <c r="I24" s="892">
        <v>0</v>
      </c>
      <c r="J24" s="892">
        <v>0</v>
      </c>
      <c r="K24" s="892">
        <v>0</v>
      </c>
      <c r="L24" s="892">
        <v>0</v>
      </c>
      <c r="M24" s="892">
        <v>0</v>
      </c>
      <c r="N24" s="892">
        <v>0</v>
      </c>
      <c r="O24" s="885"/>
    </row>
    <row r="25" spans="2:27" ht="15.75">
      <c r="B25" s="55"/>
      <c r="C25" s="65">
        <v>2</v>
      </c>
      <c r="D25" s="108"/>
      <c r="E25" s="108"/>
      <c r="F25" s="892">
        <v>0</v>
      </c>
      <c r="G25" s="895">
        <v>0</v>
      </c>
      <c r="H25" s="892">
        <v>0</v>
      </c>
      <c r="I25" s="892">
        <v>0</v>
      </c>
      <c r="J25" s="892">
        <v>0</v>
      </c>
      <c r="K25" s="892">
        <v>0</v>
      </c>
      <c r="L25" s="892">
        <v>0</v>
      </c>
      <c r="M25" s="892">
        <v>0</v>
      </c>
      <c r="N25" s="892">
        <v>0</v>
      </c>
      <c r="O25" s="885"/>
    </row>
    <row r="26" spans="2:27" ht="15.75">
      <c r="B26" s="55"/>
      <c r="C26" s="65">
        <v>3</v>
      </c>
      <c r="D26" s="108"/>
      <c r="E26" s="108"/>
      <c r="F26" s="892">
        <v>0</v>
      </c>
      <c r="G26" s="895">
        <v>0</v>
      </c>
      <c r="H26" s="892">
        <v>0</v>
      </c>
      <c r="I26" s="892">
        <v>0</v>
      </c>
      <c r="J26" s="892">
        <v>0</v>
      </c>
      <c r="K26" s="892">
        <v>0</v>
      </c>
      <c r="L26" s="892">
        <v>0</v>
      </c>
      <c r="M26" s="892">
        <v>0</v>
      </c>
      <c r="N26" s="892">
        <v>0</v>
      </c>
      <c r="O26" s="885"/>
    </row>
    <row r="27" spans="2:27" ht="15.75">
      <c r="B27" s="55"/>
      <c r="C27" s="896">
        <v>4</v>
      </c>
      <c r="D27" s="897"/>
      <c r="E27" s="897"/>
      <c r="F27" s="1156">
        <v>0</v>
      </c>
      <c r="G27" s="899">
        <v>0</v>
      </c>
      <c r="H27" s="1157">
        <v>0</v>
      </c>
      <c r="I27" s="1157">
        <v>0</v>
      </c>
      <c r="J27" s="1157">
        <v>0</v>
      </c>
      <c r="K27" s="1157">
        <v>0</v>
      </c>
      <c r="L27" s="1157">
        <v>0</v>
      </c>
      <c r="M27" s="1157">
        <v>0</v>
      </c>
      <c r="N27" s="1157">
        <v>0</v>
      </c>
      <c r="O27" s="885"/>
    </row>
    <row r="28" spans="2:27" ht="15.75">
      <c r="B28" s="55"/>
      <c r="C28" s="926" t="s">
        <v>37</v>
      </c>
      <c r="D28" s="199"/>
      <c r="E28" s="199"/>
      <c r="F28" s="1157">
        <f>(INDEX(F$24:F$27,ROUNDDOWN($E$7,0))*(1-MOD($E$7,1)))+(INDEX(F$24:F$27,ROUNDUP($E$7,0))*MOD($E$7,1))</f>
        <v>0</v>
      </c>
      <c r="G28" s="1158">
        <f t="shared" ref="G28:N28" si="1">(INDEX(G$24:G$27,ROUNDDOWN($E$7,0))*(1-MOD($E$7,1)))+(INDEX(G$24:G$27,ROUNDUP($E$7,0))*MOD($E$7,1))</f>
        <v>0</v>
      </c>
      <c r="H28" s="1157">
        <f t="shared" si="1"/>
        <v>0</v>
      </c>
      <c r="I28" s="1157">
        <f t="shared" si="1"/>
        <v>0</v>
      </c>
      <c r="J28" s="1157">
        <f t="shared" si="1"/>
        <v>0</v>
      </c>
      <c r="K28" s="1157">
        <f t="shared" si="1"/>
        <v>0</v>
      </c>
      <c r="L28" s="1157">
        <f t="shared" si="1"/>
        <v>0</v>
      </c>
      <c r="M28" s="1157">
        <f t="shared" si="1"/>
        <v>0</v>
      </c>
      <c r="N28" s="129">
        <f t="shared" si="1"/>
        <v>0</v>
      </c>
      <c r="O28" s="885"/>
    </row>
    <row r="29" spans="2:27">
      <c r="B29" s="45"/>
      <c r="C29" s="67"/>
      <c r="D29" s="200"/>
      <c r="E29" s="67" t="s">
        <v>5</v>
      </c>
      <c r="F29" s="67"/>
      <c r="G29" s="67"/>
      <c r="H29" s="67"/>
      <c r="I29" s="67"/>
      <c r="J29" s="67"/>
      <c r="K29" s="67"/>
      <c r="L29" s="67"/>
      <c r="M29" s="67"/>
      <c r="N29" s="67"/>
      <c r="O29" s="885"/>
    </row>
    <row r="30" spans="2:27" s="3854" customFormat="1">
      <c r="B30" s="45"/>
      <c r="C30" s="67"/>
      <c r="D30" s="200"/>
      <c r="E30" s="67"/>
      <c r="F30" s="67"/>
      <c r="G30" s="67"/>
      <c r="H30" s="67"/>
      <c r="I30" s="67"/>
      <c r="J30" s="67"/>
      <c r="K30" s="67"/>
      <c r="L30" s="67"/>
      <c r="M30" s="67"/>
      <c r="N30" s="67"/>
      <c r="O30" s="885"/>
    </row>
    <row r="31" spans="2:27" s="3854" customFormat="1">
      <c r="B31" s="45"/>
      <c r="C31" s="3862" t="s">
        <v>64</v>
      </c>
      <c r="D31" s="2241"/>
      <c r="E31" s="67"/>
      <c r="F31" s="67"/>
      <c r="G31" s="67"/>
      <c r="H31" s="67"/>
      <c r="I31" s="67"/>
      <c r="J31" s="67"/>
      <c r="K31" s="67"/>
      <c r="L31" s="67"/>
      <c r="M31" s="67"/>
      <c r="N31" s="67"/>
      <c r="O31" s="885"/>
    </row>
    <row r="32" spans="2:27" s="3854" customFormat="1">
      <c r="B32" s="45"/>
      <c r="C32" s="3863" t="s">
        <v>65</v>
      </c>
      <c r="D32" s="2241" t="s">
        <v>3080</v>
      </c>
      <c r="E32" s="67"/>
      <c r="F32" s="67"/>
      <c r="G32" s="67"/>
      <c r="H32" s="67"/>
      <c r="I32" s="67"/>
      <c r="J32" s="67"/>
      <c r="K32" s="67"/>
      <c r="L32" s="67"/>
      <c r="M32" s="67"/>
      <c r="N32" s="67"/>
      <c r="O32" s="885"/>
    </row>
    <row r="33" spans="1:15" s="3854" customFormat="1">
      <c r="B33" s="45"/>
      <c r="C33" s="3864"/>
      <c r="D33" s="2241" t="s">
        <v>3079</v>
      </c>
      <c r="E33" s="67"/>
      <c r="F33" s="67"/>
      <c r="G33" s="67"/>
      <c r="H33" s="67"/>
      <c r="I33" s="67"/>
      <c r="J33" s="67"/>
      <c r="K33" s="67"/>
      <c r="L33" s="67"/>
      <c r="M33" s="67"/>
      <c r="N33" s="67"/>
      <c r="O33" s="885"/>
    </row>
    <row r="34" spans="1:15" s="3854" customFormat="1">
      <c r="B34" s="45"/>
      <c r="C34" s="3864"/>
      <c r="D34" s="2241" t="s">
        <v>3082</v>
      </c>
      <c r="E34" s="67"/>
      <c r="F34" s="67"/>
      <c r="G34" s="67"/>
      <c r="H34" s="67"/>
      <c r="I34" s="67"/>
      <c r="J34" s="67"/>
      <c r="K34" s="67"/>
      <c r="L34" s="67"/>
      <c r="M34" s="67"/>
      <c r="N34" s="67"/>
      <c r="O34" s="885"/>
    </row>
    <row r="35" spans="1:15" s="3854" customFormat="1">
      <c r="B35" s="45"/>
      <c r="C35" s="3864"/>
      <c r="D35" s="2241" t="s">
        <v>3081</v>
      </c>
      <c r="E35" s="67"/>
      <c r="F35" s="67"/>
      <c r="G35" s="67"/>
      <c r="H35" s="67"/>
      <c r="I35" s="67"/>
      <c r="J35" s="67"/>
      <c r="K35" s="67"/>
      <c r="L35" s="67"/>
      <c r="M35" s="67"/>
      <c r="N35" s="67"/>
      <c r="O35" s="885"/>
    </row>
    <row r="36" spans="1:15" s="3854" customFormat="1">
      <c r="B36" s="45"/>
      <c r="C36" s="3863" t="s">
        <v>67</v>
      </c>
      <c r="D36" s="2241" t="s">
        <v>3252</v>
      </c>
      <c r="E36" s="67"/>
      <c r="F36" s="67"/>
      <c r="G36" s="67"/>
      <c r="H36" s="67"/>
      <c r="I36" s="67"/>
      <c r="J36" s="67"/>
      <c r="K36" s="67"/>
      <c r="L36" s="67"/>
      <c r="M36" s="67"/>
      <c r="N36" s="67"/>
      <c r="O36" s="885"/>
    </row>
    <row r="37" spans="1:15" s="3854" customFormat="1">
      <c r="B37" s="45"/>
      <c r="C37" s="3863"/>
      <c r="D37" s="2241"/>
      <c r="E37" s="67"/>
      <c r="F37" s="67"/>
      <c r="G37" s="67"/>
      <c r="H37" s="67"/>
      <c r="I37" s="67"/>
      <c r="J37" s="67"/>
      <c r="K37" s="67"/>
      <c r="L37" s="67"/>
      <c r="M37" s="67"/>
      <c r="N37" s="67"/>
      <c r="O37" s="885"/>
    </row>
    <row r="38" spans="1:15">
      <c r="B38" s="111"/>
      <c r="C38" s="1074"/>
      <c r="D38" s="1159"/>
      <c r="E38" s="1074"/>
      <c r="F38" s="1074"/>
      <c r="G38" s="1074"/>
      <c r="H38" s="1074"/>
      <c r="I38" s="1074"/>
      <c r="J38" s="1074"/>
      <c r="K38" s="1074"/>
      <c r="L38" s="1074"/>
      <c r="M38" s="1074"/>
      <c r="N38" s="1074"/>
      <c r="O38" s="1109"/>
    </row>
    <row r="40" spans="1:15" s="6" customFormat="1" ht="23.25">
      <c r="A40" s="40"/>
      <c r="B40" s="878" t="s">
        <v>70</v>
      </c>
      <c r="C40" s="879"/>
      <c r="D40" s="879"/>
      <c r="E40" s="879"/>
      <c r="F40" s="879"/>
      <c r="G40" s="879"/>
      <c r="H40" s="879"/>
      <c r="I40" s="879"/>
      <c r="J40" s="879"/>
      <c r="K40" s="879"/>
      <c r="L40" s="879"/>
      <c r="M40" s="879"/>
      <c r="N40" s="879"/>
      <c r="O40" s="880"/>
    </row>
    <row r="41" spans="1:15">
      <c r="B41" s="110"/>
      <c r="C41" s="67"/>
      <c r="D41" s="67"/>
      <c r="E41" s="67"/>
      <c r="F41" s="67"/>
      <c r="G41" s="67"/>
      <c r="H41" s="67"/>
      <c r="I41" s="67"/>
      <c r="J41" s="67"/>
      <c r="K41" s="67"/>
      <c r="L41" s="67"/>
      <c r="M41" s="67"/>
      <c r="N41" s="67"/>
      <c r="O41" s="885"/>
    </row>
    <row r="42" spans="1:15">
      <c r="B42" s="110"/>
      <c r="C42" s="49" t="s">
        <v>3055</v>
      </c>
      <c r="D42" s="67"/>
      <c r="E42" s="67"/>
      <c r="F42" s="67"/>
      <c r="G42" s="67"/>
      <c r="H42" s="67"/>
      <c r="I42" s="67"/>
      <c r="J42" s="67"/>
      <c r="K42" s="67"/>
      <c r="L42" s="67"/>
      <c r="M42" s="67"/>
      <c r="N42" s="51" t="str">
        <f>Preferences.PowerUnits</f>
        <v>GW</v>
      </c>
      <c r="O42" s="885"/>
    </row>
    <row r="43" spans="1:15">
      <c r="B43" s="110"/>
      <c r="C43" s="49"/>
      <c r="D43" s="67"/>
      <c r="E43" s="67"/>
      <c r="F43" s="67"/>
      <c r="G43" s="67"/>
      <c r="H43" s="67"/>
      <c r="I43" s="67"/>
      <c r="J43" s="67"/>
      <c r="K43" s="67"/>
      <c r="L43" s="67"/>
      <c r="M43" s="67"/>
      <c r="N43" s="67"/>
      <c r="O43" s="885"/>
    </row>
    <row r="44" spans="1:15">
      <c r="B44" s="110"/>
      <c r="C44" s="887" t="s">
        <v>8</v>
      </c>
      <c r="D44" s="887" t="s">
        <v>72</v>
      </c>
      <c r="E44" s="887" t="s">
        <v>30</v>
      </c>
      <c r="F44" s="92">
        <v>2013</v>
      </c>
      <c r="G44" s="92">
        <v>2015</v>
      </c>
      <c r="H44" s="92">
        <v>2020</v>
      </c>
      <c r="I44" s="92">
        <v>2025</v>
      </c>
      <c r="J44" s="92">
        <v>2030</v>
      </c>
      <c r="K44" s="92">
        <v>2035</v>
      </c>
      <c r="L44" s="92">
        <v>2040</v>
      </c>
      <c r="M44" s="92">
        <v>2045</v>
      </c>
      <c r="N44" s="92">
        <v>2050</v>
      </c>
      <c r="O44" s="885"/>
    </row>
    <row r="45" spans="1:15">
      <c r="B45" s="110"/>
      <c r="C45" s="65" t="s">
        <v>855</v>
      </c>
      <c r="D45" s="108"/>
      <c r="E45" s="890"/>
      <c r="F45" s="892"/>
      <c r="G45" s="892"/>
      <c r="H45" s="892"/>
      <c r="I45" s="892"/>
      <c r="J45" s="892"/>
      <c r="K45" s="892"/>
      <c r="L45" s="892"/>
      <c r="M45" s="892"/>
      <c r="N45" s="59"/>
      <c r="O45" s="885"/>
    </row>
    <row r="46" spans="1:15">
      <c r="B46" s="110"/>
      <c r="C46" s="926" t="s">
        <v>856</v>
      </c>
      <c r="D46" s="199"/>
      <c r="E46" s="199"/>
      <c r="F46" s="1157"/>
      <c r="G46" s="1157"/>
      <c r="H46" s="1157"/>
      <c r="I46" s="1157"/>
      <c r="J46" s="1157"/>
      <c r="K46" s="1157"/>
      <c r="L46" s="1157"/>
      <c r="M46" s="1157"/>
      <c r="N46" s="129"/>
      <c r="O46" s="885"/>
    </row>
    <row r="47" spans="1:15">
      <c r="B47" s="110"/>
      <c r="C47" s="65"/>
      <c r="D47" s="108"/>
      <c r="E47" s="108"/>
      <c r="F47" s="892"/>
      <c r="G47" s="895"/>
      <c r="H47" s="895"/>
      <c r="I47" s="895"/>
      <c r="J47" s="895"/>
      <c r="K47" s="895"/>
      <c r="L47" s="895"/>
      <c r="M47" s="895"/>
      <c r="N47" s="60"/>
      <c r="O47" s="885"/>
    </row>
    <row r="48" spans="1:15">
      <c r="B48" s="110"/>
      <c r="C48" s="49" t="s">
        <v>857</v>
      </c>
      <c r="D48" s="67"/>
      <c r="E48" s="51"/>
      <c r="F48" s="67"/>
      <c r="G48" s="67"/>
      <c r="H48" s="67"/>
      <c r="I48" s="67"/>
      <c r="J48" s="67"/>
      <c r="K48" s="67"/>
      <c r="L48" s="67"/>
      <c r="M48" s="67"/>
      <c r="N48" s="51" t="str">
        <f>Preferences.PowerUnits</f>
        <v>GW</v>
      </c>
      <c r="O48" s="885"/>
    </row>
    <row r="49" spans="2:15">
      <c r="B49" s="110"/>
      <c r="C49" s="67"/>
      <c r="D49" s="67"/>
      <c r="E49" s="67"/>
      <c r="F49" s="67"/>
      <c r="G49" s="67"/>
      <c r="H49" s="67"/>
      <c r="I49" s="67"/>
      <c r="J49" s="67"/>
      <c r="K49" s="67"/>
      <c r="L49" s="67"/>
      <c r="M49" s="67"/>
      <c r="N49" s="67"/>
      <c r="O49" s="885"/>
    </row>
    <row r="50" spans="2:15" ht="15.75">
      <c r="B50" s="55"/>
      <c r="C50" s="887" t="s">
        <v>132</v>
      </c>
      <c r="D50" s="887" t="s">
        <v>731</v>
      </c>
      <c r="E50" s="887" t="s">
        <v>30</v>
      </c>
      <c r="F50" s="92">
        <v>2013</v>
      </c>
      <c r="G50" s="92">
        <v>2015</v>
      </c>
      <c r="H50" s="92">
        <v>2020</v>
      </c>
      <c r="I50" s="92">
        <v>2025</v>
      </c>
      <c r="J50" s="92">
        <v>2030</v>
      </c>
      <c r="K50" s="92">
        <v>2035</v>
      </c>
      <c r="L50" s="92">
        <v>2040</v>
      </c>
      <c r="M50" s="92">
        <v>2045</v>
      </c>
      <c r="N50" s="92">
        <v>2050</v>
      </c>
      <c r="O50" s="885"/>
    </row>
    <row r="51" spans="2:15" s="6" customFormat="1" ht="15.75">
      <c r="B51" s="975"/>
      <c r="C51" s="926" t="s">
        <v>447</v>
      </c>
      <c r="D51" s="199" t="s">
        <v>523</v>
      </c>
      <c r="E51" s="199" t="s">
        <v>65</v>
      </c>
      <c r="F51" s="1023">
        <f>0.025*Unit.GW</f>
        <v>2.5000000000000001E-2</v>
      </c>
      <c r="G51" s="1023"/>
      <c r="H51" s="1023"/>
      <c r="I51" s="1023"/>
      <c r="J51" s="1023"/>
      <c r="K51" s="1023"/>
      <c r="L51" s="1023"/>
      <c r="M51" s="1023"/>
      <c r="N51" s="1023"/>
      <c r="O51" s="893"/>
    </row>
    <row r="52" spans="2:15">
      <c r="B52" s="45"/>
      <c r="C52" s="67"/>
      <c r="D52" s="200"/>
      <c r="E52" s="67"/>
      <c r="F52" s="67"/>
      <c r="G52" s="67"/>
      <c r="H52" s="67"/>
      <c r="I52" s="67"/>
      <c r="J52" s="67"/>
      <c r="K52" s="67"/>
      <c r="L52" s="67"/>
      <c r="M52" s="67"/>
      <c r="N52" s="67"/>
      <c r="O52" s="885"/>
    </row>
    <row r="53" spans="2:15">
      <c r="B53" s="110"/>
      <c r="C53" s="49" t="s">
        <v>858</v>
      </c>
      <c r="D53" s="67"/>
      <c r="E53" s="67"/>
      <c r="F53" s="67"/>
      <c r="G53" s="67"/>
      <c r="H53" s="67"/>
      <c r="I53" s="67"/>
      <c r="J53" s="67"/>
      <c r="K53" s="67"/>
      <c r="L53" s="67"/>
      <c r="M53" s="67"/>
      <c r="N53" s="67"/>
      <c r="O53" s="885"/>
    </row>
    <row r="54" spans="2:15">
      <c r="B54" s="110"/>
      <c r="C54" s="67"/>
      <c r="D54" s="67"/>
      <c r="E54" s="67"/>
      <c r="F54" s="67"/>
      <c r="G54" s="67"/>
      <c r="H54" s="67"/>
      <c r="I54" s="67"/>
      <c r="J54" s="67"/>
      <c r="K54" s="67"/>
      <c r="L54" s="67"/>
      <c r="M54" s="67"/>
      <c r="N54" s="67"/>
      <c r="O54" s="885"/>
    </row>
    <row r="55" spans="2:15" ht="15.75">
      <c r="B55" s="55"/>
      <c r="C55" s="887" t="s">
        <v>132</v>
      </c>
      <c r="D55" s="887" t="s">
        <v>731</v>
      </c>
      <c r="E55" s="887" t="s">
        <v>30</v>
      </c>
      <c r="F55" s="92">
        <v>2013</v>
      </c>
      <c r="G55" s="92">
        <v>2015</v>
      </c>
      <c r="H55" s="92">
        <v>2020</v>
      </c>
      <c r="I55" s="92">
        <v>2025</v>
      </c>
      <c r="J55" s="92">
        <v>2030</v>
      </c>
      <c r="K55" s="92">
        <v>2035</v>
      </c>
      <c r="L55" s="92">
        <v>2040</v>
      </c>
      <c r="M55" s="92">
        <v>2045</v>
      </c>
      <c r="N55" s="92">
        <v>2050</v>
      </c>
      <c r="O55" s="885"/>
    </row>
    <row r="56" spans="2:15" ht="15.75">
      <c r="B56" s="55"/>
      <c r="C56" s="926" t="s">
        <v>447</v>
      </c>
      <c r="D56" s="199" t="s">
        <v>523</v>
      </c>
      <c r="E56" s="199" t="s">
        <v>67</v>
      </c>
      <c r="F56" s="1160">
        <v>0.38</v>
      </c>
      <c r="G56" s="919">
        <v>0.38</v>
      </c>
      <c r="H56" s="919">
        <v>0.4</v>
      </c>
      <c r="I56" s="919">
        <v>0.4</v>
      </c>
      <c r="J56" s="919">
        <v>0.43</v>
      </c>
      <c r="K56" s="919">
        <v>0.45</v>
      </c>
      <c r="L56" s="919">
        <v>0.45</v>
      </c>
      <c r="M56" s="919">
        <v>0.45</v>
      </c>
      <c r="N56" s="147">
        <v>0.45</v>
      </c>
      <c r="O56" s="885"/>
    </row>
    <row r="57" spans="2:15" ht="15.75">
      <c r="B57" s="55"/>
      <c r="C57" s="65"/>
      <c r="D57" s="108"/>
      <c r="E57" s="108"/>
      <c r="F57" s="301"/>
      <c r="G57" s="93"/>
      <c r="H57" s="93"/>
      <c r="I57" s="93"/>
      <c r="J57" s="93"/>
      <c r="K57" s="93"/>
      <c r="L57" s="93"/>
      <c r="M57" s="93"/>
      <c r="N57" s="93"/>
      <c r="O57" s="885"/>
    </row>
    <row r="58" spans="2:15" ht="15.75">
      <c r="B58" s="55"/>
      <c r="C58" s="49" t="s">
        <v>735</v>
      </c>
      <c r="D58" s="67"/>
      <c r="E58" s="67"/>
      <c r="F58" s="67"/>
      <c r="G58" s="67"/>
      <c r="H58" s="67"/>
      <c r="I58" s="67"/>
      <c r="J58" s="67"/>
      <c r="K58" s="67"/>
      <c r="L58" s="67"/>
      <c r="M58" s="67"/>
      <c r="N58" s="67"/>
      <c r="O58" s="885"/>
    </row>
    <row r="59" spans="2:15" ht="15.75">
      <c r="B59" s="55"/>
      <c r="C59" s="67"/>
      <c r="D59" s="67"/>
      <c r="E59" s="67"/>
      <c r="F59" s="67"/>
      <c r="G59" s="67"/>
      <c r="H59" s="67"/>
      <c r="I59" s="67"/>
      <c r="J59" s="67"/>
      <c r="K59" s="67"/>
      <c r="L59" s="67"/>
      <c r="M59" s="67"/>
      <c r="N59" s="67"/>
      <c r="O59" s="885"/>
    </row>
    <row r="60" spans="2:15" ht="15.75">
      <c r="B60" s="55"/>
      <c r="C60" s="887"/>
      <c r="D60" s="887"/>
      <c r="E60" s="887"/>
      <c r="F60" s="92"/>
      <c r="G60" s="1161" t="s">
        <v>895</v>
      </c>
      <c r="H60" s="1161"/>
      <c r="I60" s="920"/>
      <c r="J60" s="920"/>
      <c r="K60" s="920"/>
      <c r="L60" s="920"/>
      <c r="M60" s="920"/>
      <c r="N60" s="920"/>
      <c r="O60" s="885"/>
    </row>
    <row r="61" spans="2:15" ht="15.75">
      <c r="B61" s="55"/>
      <c r="C61" s="923"/>
      <c r="D61" s="924" t="s">
        <v>859</v>
      </c>
      <c r="E61" s="923"/>
      <c r="F61" s="1162">
        <f>5.8*Unit.MW</f>
        <v>5.7999999999999996E-3</v>
      </c>
      <c r="G61" s="1222" t="str">
        <f>Preferences.PowerUnits&amp;"peak"</f>
        <v>GWpeak</v>
      </c>
      <c r="H61" s="1163"/>
      <c r="I61" s="920"/>
      <c r="J61" s="920"/>
      <c r="K61" s="920"/>
      <c r="L61" s="920"/>
      <c r="M61" s="920"/>
      <c r="N61" s="920"/>
      <c r="O61" s="885"/>
    </row>
    <row r="62" spans="2:15" ht="15.75">
      <c r="B62" s="55"/>
      <c r="C62" s="926"/>
      <c r="D62" s="199" t="s">
        <v>860</v>
      </c>
      <c r="E62" s="199" t="s">
        <v>106</v>
      </c>
      <c r="F62" s="2491">
        <f>(9)*Unit.W*Conversion.to.annual.energy/Unit.m2</f>
        <v>7.8894000000000006E-2</v>
      </c>
      <c r="G62" s="1165" t="str">
        <f>Preferences.EnergyUnits&amp;"/"&amp;Preferences.AreaUnits</f>
        <v>TWh/km^2</v>
      </c>
      <c r="H62" s="1165"/>
      <c r="I62" s="59"/>
      <c r="J62" s="59"/>
      <c r="K62" s="59"/>
      <c r="L62" s="59"/>
      <c r="M62" s="59"/>
      <c r="N62" s="59"/>
      <c r="O62" s="885"/>
    </row>
    <row r="63" spans="2:15" ht="15.75">
      <c r="B63" s="55"/>
      <c r="C63" s="65"/>
      <c r="D63" s="108"/>
      <c r="E63" s="108"/>
      <c r="F63" s="1071"/>
      <c r="G63" s="943"/>
      <c r="H63" s="67"/>
      <c r="I63" s="59"/>
      <c r="J63" s="59"/>
      <c r="K63" s="59"/>
      <c r="L63" s="59"/>
      <c r="M63" s="59"/>
      <c r="N63" s="59"/>
      <c r="O63" s="885"/>
    </row>
    <row r="64" spans="2:15" ht="15.75">
      <c r="B64" s="55"/>
      <c r="C64" s="3862" t="s">
        <v>64</v>
      </c>
      <c r="D64" s="67"/>
      <c r="E64" s="67"/>
      <c r="F64" s="1071"/>
      <c r="G64" s="943"/>
      <c r="H64" s="67"/>
      <c r="I64" s="59"/>
      <c r="J64" s="59"/>
      <c r="K64" s="59"/>
      <c r="L64" s="59"/>
      <c r="M64" s="59"/>
      <c r="N64" s="59"/>
      <c r="O64" s="885"/>
    </row>
    <row r="65" spans="1:113" ht="15.75">
      <c r="B65" s="55"/>
      <c r="C65" s="3863" t="s">
        <v>65</v>
      </c>
      <c r="D65" s="3864" t="s">
        <v>3056</v>
      </c>
      <c r="E65" s="67"/>
      <c r="F65" s="1071"/>
      <c r="G65" s="943"/>
      <c r="H65" s="67"/>
      <c r="I65" s="59"/>
      <c r="J65" s="59"/>
      <c r="K65" s="59"/>
      <c r="L65" s="59"/>
      <c r="M65" s="59"/>
      <c r="N65" s="59"/>
      <c r="O65" s="885"/>
    </row>
    <row r="66" spans="1:113" ht="15.75">
      <c r="B66" s="55"/>
      <c r="C66" s="3868" t="s">
        <v>67</v>
      </c>
      <c r="D66" s="2241" t="s">
        <v>861</v>
      </c>
      <c r="E66" s="67"/>
      <c r="F66" s="1071"/>
      <c r="G66" s="943"/>
      <c r="H66" s="67"/>
      <c r="I66" s="59"/>
      <c r="J66" s="59"/>
      <c r="K66" s="59"/>
      <c r="L66" s="59"/>
      <c r="M66" s="59"/>
      <c r="N66" s="59"/>
      <c r="O66" s="885"/>
    </row>
    <row r="67" spans="1:113" ht="15.75">
      <c r="B67" s="55"/>
      <c r="C67" s="3868"/>
      <c r="D67" s="2241" t="s">
        <v>862</v>
      </c>
      <c r="E67" s="3861"/>
      <c r="F67" s="1071"/>
      <c r="G67" s="943"/>
      <c r="H67" s="67"/>
      <c r="I67" s="59"/>
      <c r="J67" s="59"/>
      <c r="K67" s="59"/>
      <c r="L67" s="59"/>
      <c r="M67" s="59"/>
      <c r="N67" s="59"/>
      <c r="O67" s="885"/>
    </row>
    <row r="68" spans="1:113">
      <c r="B68" s="110"/>
      <c r="C68" s="3868"/>
      <c r="D68" s="2241" t="s">
        <v>863</v>
      </c>
      <c r="E68" s="3861"/>
      <c r="F68" s="67"/>
      <c r="G68" s="67"/>
      <c r="H68" s="67"/>
      <c r="I68" s="67"/>
      <c r="J68" s="67"/>
      <c r="K68" s="67"/>
      <c r="L68" s="67"/>
      <c r="M68" s="67"/>
      <c r="N68" s="67"/>
      <c r="O68" s="885"/>
    </row>
    <row r="69" spans="1:113">
      <c r="B69" s="110"/>
      <c r="C69" s="3868" t="s">
        <v>106</v>
      </c>
      <c r="D69" s="2241" t="s">
        <v>3473</v>
      </c>
      <c r="E69" s="3861"/>
      <c r="F69" s="67"/>
      <c r="G69" s="67"/>
      <c r="H69" s="67"/>
      <c r="I69" s="67"/>
      <c r="J69" s="67"/>
      <c r="K69" s="67"/>
      <c r="L69" s="67"/>
      <c r="M69" s="67"/>
      <c r="N69" s="67"/>
      <c r="O69" s="885"/>
    </row>
    <row r="70" spans="1:113">
      <c r="B70" s="45"/>
      <c r="C70" s="3868" t="s">
        <v>5</v>
      </c>
      <c r="D70" s="2241" t="s">
        <v>5</v>
      </c>
      <c r="E70" s="3861"/>
      <c r="F70" s="67"/>
      <c r="G70" s="67"/>
      <c r="H70" s="67"/>
      <c r="I70" s="67"/>
      <c r="J70" s="67"/>
      <c r="K70" s="67"/>
      <c r="L70" s="67"/>
      <c r="M70" s="67"/>
      <c r="N70" s="67"/>
      <c r="O70" s="885"/>
    </row>
    <row r="71" spans="1:113">
      <c r="B71" s="1172"/>
      <c r="C71" s="1074"/>
      <c r="D71" s="1074"/>
      <c r="E71" s="1074"/>
      <c r="F71" s="1074"/>
      <c r="G71" s="1074"/>
      <c r="H71" s="1074"/>
      <c r="I71" s="1074"/>
      <c r="J71" s="1074"/>
      <c r="K71" s="1074"/>
      <c r="L71" s="1074"/>
      <c r="M71" s="1074"/>
      <c r="N71" s="1074"/>
      <c r="O71" s="1074"/>
      <c r="P71" s="1077"/>
      <c r="Q71" s="1173"/>
      <c r="R71" s="1173"/>
      <c r="S71" s="1173"/>
      <c r="T71" s="1173"/>
      <c r="U71" s="1173"/>
      <c r="V71" s="1173"/>
      <c r="W71" s="1173"/>
      <c r="X71" s="1173"/>
      <c r="Y71" s="1173"/>
      <c r="Z71" s="1173"/>
      <c r="AA71" s="1173"/>
      <c r="AB71" s="1173"/>
      <c r="AC71" s="1173"/>
      <c r="AD71" s="1173"/>
      <c r="AE71" s="1173"/>
      <c r="AF71" s="1077"/>
      <c r="AG71" s="1077"/>
    </row>
    <row r="72" spans="1:113">
      <c r="P72" s="1077"/>
      <c r="Q72" s="1173"/>
      <c r="R72" s="1173"/>
      <c r="S72" s="1173"/>
      <c r="T72" s="1173"/>
      <c r="U72" s="1173"/>
      <c r="V72" s="1173"/>
      <c r="W72" s="1173"/>
      <c r="X72" s="1173"/>
      <c r="Y72" s="1173"/>
      <c r="Z72" s="1173"/>
      <c r="AA72" s="1173"/>
      <c r="AB72" s="1173"/>
      <c r="AC72" s="1173"/>
      <c r="AD72" s="1173"/>
      <c r="AE72" s="1173"/>
      <c r="AF72" s="1077"/>
      <c r="AG72" s="1077"/>
    </row>
    <row r="73" spans="1:113" s="6" customFormat="1" ht="23.25">
      <c r="A73" s="40"/>
      <c r="B73" s="878" t="s">
        <v>2794</v>
      </c>
      <c r="C73" s="879"/>
      <c r="D73" s="879"/>
      <c r="E73" s="879"/>
      <c r="F73" s="879"/>
      <c r="G73" s="879"/>
      <c r="H73" s="879"/>
      <c r="I73" s="879"/>
      <c r="J73" s="879"/>
      <c r="K73" s="879"/>
      <c r="L73" s="879"/>
      <c r="M73" s="879"/>
      <c r="N73" s="879"/>
      <c r="O73" s="879"/>
      <c r="P73" s="656"/>
      <c r="Q73" s="656"/>
      <c r="R73" s="656"/>
      <c r="S73" s="656"/>
      <c r="T73" s="656"/>
      <c r="U73" s="656"/>
      <c r="V73" s="518"/>
      <c r="W73" s="1174"/>
      <c r="X73" s="1174"/>
      <c r="Y73" s="1174"/>
      <c r="Z73" s="1174"/>
      <c r="AA73" s="1175"/>
      <c r="AB73" s="1174"/>
      <c r="AC73" s="1174"/>
      <c r="AD73" s="1176"/>
      <c r="AE73" s="656"/>
      <c r="AF73" s="656"/>
      <c r="AG73" s="656"/>
    </row>
    <row r="74" spans="1:113" ht="6" hidden="1" customHeight="1">
      <c r="B74" s="881"/>
      <c r="C74" s="882"/>
      <c r="D74" s="882"/>
      <c r="E74" s="882"/>
      <c r="F74" s="882"/>
      <c r="G74" s="882"/>
      <c r="H74" s="882"/>
      <c r="I74" s="882"/>
      <c r="J74" s="882"/>
      <c r="K74" s="882"/>
      <c r="L74" s="882"/>
      <c r="M74" s="882"/>
      <c r="N74" s="882"/>
      <c r="O74" s="882"/>
      <c r="P74" s="1077"/>
      <c r="Q74" s="1173"/>
      <c r="R74" s="1173"/>
      <c r="S74" s="1173"/>
      <c r="T74" s="1173"/>
      <c r="U74" s="1173"/>
      <c r="V74" s="1175"/>
      <c r="W74" s="1174"/>
      <c r="X74" s="1174"/>
      <c r="Y74" s="1174"/>
      <c r="Z74" s="1174"/>
      <c r="AA74" s="1175"/>
      <c r="AB74" s="1174"/>
      <c r="AC74" s="1174"/>
      <c r="AD74" s="1177"/>
      <c r="AE74" s="1173"/>
      <c r="AF74" s="1077"/>
      <c r="AG74" s="1077"/>
    </row>
    <row r="75" spans="1:113" s="6" customFormat="1" hidden="1">
      <c r="A75"/>
      <c r="B75" s="110"/>
      <c r="C75" s="49" t="s">
        <v>864</v>
      </c>
      <c r="D75" s="924"/>
      <c r="E75" s="941"/>
      <c r="F75" s="942"/>
      <c r="G75" s="943"/>
      <c r="H75" s="943"/>
      <c r="I75" s="943"/>
      <c r="J75" s="943"/>
      <c r="K75" s="943"/>
      <c r="L75" s="943"/>
      <c r="M75" s="943"/>
      <c r="N75" s="944" t="s">
        <v>2819</v>
      </c>
      <c r="O75" s="67"/>
      <c r="P75" s="1077"/>
      <c r="Q75" s="656"/>
      <c r="R75" s="656"/>
      <c r="S75" s="656"/>
      <c r="T75" s="656"/>
      <c r="U75" s="1173"/>
      <c r="V75" s="1175"/>
      <c r="W75" s="629"/>
      <c r="X75" s="629"/>
      <c r="Y75" s="629"/>
      <c r="Z75" s="629"/>
      <c r="AA75" s="1175"/>
      <c r="AB75" s="629"/>
      <c r="AC75" s="629"/>
      <c r="AD75" s="1178"/>
      <c r="AE75" s="1173"/>
      <c r="AF75" s="1077"/>
      <c r="AG75" s="1077"/>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row>
    <row r="76" spans="1:113" s="6" customFormat="1" ht="6" hidden="1" customHeight="1">
      <c r="A76"/>
      <c r="B76" s="110"/>
      <c r="C76" s="946"/>
      <c r="D76" s="924"/>
      <c r="E76" s="941"/>
      <c r="F76" s="942"/>
      <c r="G76" s="943"/>
      <c r="H76" s="943"/>
      <c r="I76" s="943"/>
      <c r="J76" s="943"/>
      <c r="K76" s="943"/>
      <c r="L76" s="943"/>
      <c r="M76" s="943"/>
      <c r="N76" s="67"/>
      <c r="O76" s="67"/>
      <c r="P76" s="1077"/>
      <c r="Q76" s="656"/>
      <c r="R76" s="656"/>
      <c r="S76" s="656"/>
      <c r="T76" s="656"/>
      <c r="U76" s="1173"/>
      <c r="V76" s="1175"/>
      <c r="W76" s="629"/>
      <c r="X76" s="629"/>
      <c r="Y76" s="629"/>
      <c r="Z76" s="629"/>
      <c r="AA76" s="1175"/>
      <c r="AB76" s="629"/>
      <c r="AC76" s="629"/>
      <c r="AD76" s="1178"/>
      <c r="AE76" s="1173"/>
      <c r="AF76" s="1077"/>
      <c r="AG76" s="1077"/>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row>
    <row r="77" spans="1:113" s="6" customFormat="1" ht="15.75" hidden="1" customHeight="1">
      <c r="A77"/>
      <c r="B77" s="110"/>
      <c r="C77" s="1179" t="s">
        <v>865</v>
      </c>
      <c r="D77" s="1079"/>
      <c r="E77" s="980" t="s">
        <v>160</v>
      </c>
      <c r="F77" s="981">
        <v>2013</v>
      </c>
      <c r="G77" s="974">
        <v>2015</v>
      </c>
      <c r="H77" s="974">
        <v>2020</v>
      </c>
      <c r="I77" s="974">
        <v>2025</v>
      </c>
      <c r="J77" s="974">
        <v>2030</v>
      </c>
      <c r="K77" s="974">
        <v>2035</v>
      </c>
      <c r="L77" s="974">
        <v>2040</v>
      </c>
      <c r="M77" s="974">
        <v>2045</v>
      </c>
      <c r="N77" s="974">
        <v>2050</v>
      </c>
      <c r="O77" s="67"/>
      <c r="P77" s="1077"/>
      <c r="Q77" s="656"/>
      <c r="R77" s="656"/>
      <c r="S77" s="656"/>
      <c r="T77" s="656"/>
      <c r="U77" s="1173"/>
      <c r="V77" s="1180"/>
      <c r="W77" s="1180"/>
      <c r="X77" s="1180"/>
      <c r="Y77" s="1180"/>
      <c r="Z77" s="1180"/>
      <c r="AA77" s="1173"/>
      <c r="AB77" s="1180"/>
      <c r="AC77" s="1180"/>
      <c r="AD77" s="1181"/>
      <c r="AE77" s="1173"/>
      <c r="AF77" s="1077"/>
      <c r="AG77" s="10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row>
    <row r="78" spans="1:113" s="6" customFormat="1" hidden="1">
      <c r="A78"/>
      <c r="B78" s="110"/>
      <c r="C78" s="976" t="s">
        <v>738</v>
      </c>
      <c r="D78" s="1079"/>
      <c r="E78" s="966"/>
      <c r="F78" s="967"/>
      <c r="G78" s="967"/>
      <c r="H78" s="967"/>
      <c r="I78" s="967"/>
      <c r="J78" s="967"/>
      <c r="K78" s="967"/>
      <c r="L78" s="967"/>
      <c r="M78" s="967"/>
      <c r="N78" s="967"/>
      <c r="O78" s="67"/>
      <c r="P78" s="1077"/>
      <c r="Q78" s="656"/>
      <c r="R78" s="656"/>
      <c r="S78" s="656"/>
      <c r="T78" s="656"/>
      <c r="U78" s="656"/>
      <c r="V78" s="656"/>
      <c r="W78" s="656"/>
      <c r="X78" s="656"/>
      <c r="Y78" s="656"/>
      <c r="Z78" s="1173"/>
      <c r="AA78" s="1173"/>
      <c r="AB78" s="1173"/>
      <c r="AC78" s="1173"/>
      <c r="AD78" s="1173"/>
      <c r="AE78" s="1173"/>
      <c r="AF78" s="1077"/>
      <c r="AG78" s="1077"/>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row>
    <row r="79" spans="1:113" s="6" customFormat="1" hidden="1">
      <c r="A79"/>
      <c r="B79" s="110"/>
      <c r="C79" s="952" t="s">
        <v>739</v>
      </c>
      <c r="D79" s="924"/>
      <c r="E79" s="953"/>
      <c r="F79" s="942"/>
      <c r="G79" s="942"/>
      <c r="H79" s="942"/>
      <c r="I79" s="942"/>
      <c r="J79" s="942"/>
      <c r="K79" s="942"/>
      <c r="L79" s="942"/>
      <c r="M79" s="942"/>
      <c r="N79" s="942"/>
      <c r="O79" s="67"/>
      <c r="P79" s="1182"/>
      <c r="Q79" s="656"/>
      <c r="R79" s="656"/>
      <c r="S79" s="656"/>
      <c r="T79" s="656"/>
      <c r="U79" s="656"/>
      <c r="V79" s="656"/>
      <c r="W79" s="656"/>
      <c r="X79" s="656"/>
      <c r="Y79" s="656"/>
      <c r="Z79" s="1173"/>
      <c r="AA79" s="1173"/>
      <c r="AB79" s="1173"/>
      <c r="AC79" s="1173"/>
      <c r="AD79" s="1173"/>
      <c r="AE79" s="1173"/>
      <c r="AF79" s="1077"/>
      <c r="AG79" s="1077"/>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row>
    <row r="80" spans="1:113" s="6" customFormat="1" hidden="1">
      <c r="A80"/>
      <c r="B80" s="110"/>
      <c r="C80" s="956" t="s">
        <v>740</v>
      </c>
      <c r="D80" s="957"/>
      <c r="E80" s="958"/>
      <c r="F80" s="969"/>
      <c r="G80" s="969"/>
      <c r="H80" s="969"/>
      <c r="I80" s="969"/>
      <c r="J80" s="969"/>
      <c r="K80" s="969"/>
      <c r="L80" s="969"/>
      <c r="M80" s="969"/>
      <c r="N80" s="969"/>
      <c r="O80" s="67"/>
      <c r="P80" s="1077"/>
      <c r="Q80" s="656"/>
      <c r="R80" s="656"/>
      <c r="S80" s="656"/>
      <c r="T80" s="656"/>
      <c r="U80" s="656"/>
      <c r="V80" s="656"/>
      <c r="W80" s="656"/>
      <c r="X80" s="656"/>
      <c r="Y80" s="656"/>
      <c r="Z80" s="1173"/>
      <c r="AA80" s="1173"/>
      <c r="AB80" s="1173"/>
      <c r="AC80" s="1173"/>
      <c r="AD80" s="1173"/>
      <c r="AE80" s="1173"/>
      <c r="AF80" s="1077"/>
      <c r="AG80" s="1077"/>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row>
    <row r="81" spans="1:113" s="6" customFormat="1" hidden="1">
      <c r="A81"/>
      <c r="B81" s="110"/>
      <c r="C81" s="952"/>
      <c r="D81" s="924"/>
      <c r="E81" s="953"/>
      <c r="F81" s="942"/>
      <c r="G81" s="942"/>
      <c r="H81" s="942"/>
      <c r="I81" s="942"/>
      <c r="J81" s="942"/>
      <c r="K81" s="942"/>
      <c r="L81" s="942"/>
      <c r="M81" s="942"/>
      <c r="N81" s="942"/>
      <c r="O81" s="67"/>
      <c r="P81" s="1077"/>
      <c r="Q81" s="656"/>
      <c r="R81" s="656"/>
      <c r="S81" s="656"/>
      <c r="T81" s="656"/>
      <c r="U81" s="656"/>
      <c r="V81" s="656"/>
      <c r="W81" s="656"/>
      <c r="X81" s="656"/>
      <c r="Y81" s="656"/>
      <c r="Z81" s="1173"/>
      <c r="AA81" s="1173"/>
      <c r="AB81" s="1173"/>
      <c r="AC81" s="1173"/>
      <c r="AD81" s="1173"/>
      <c r="AE81" s="1173"/>
      <c r="AF81" s="1077"/>
      <c r="AG81" s="1077"/>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row>
    <row r="82" spans="1:113" s="6" customFormat="1" hidden="1">
      <c r="A82"/>
      <c r="B82" s="110"/>
      <c r="C82" s="1179" t="s">
        <v>866</v>
      </c>
      <c r="D82" s="1079"/>
      <c r="E82" s="980" t="s">
        <v>160</v>
      </c>
      <c r="F82" s="981">
        <v>2013</v>
      </c>
      <c r="G82" s="974">
        <v>2015</v>
      </c>
      <c r="H82" s="974">
        <v>2020</v>
      </c>
      <c r="I82" s="974">
        <v>2025</v>
      </c>
      <c r="J82" s="974">
        <v>2030</v>
      </c>
      <c r="K82" s="974">
        <v>2035</v>
      </c>
      <c r="L82" s="974">
        <v>2040</v>
      </c>
      <c r="M82" s="974">
        <v>2045</v>
      </c>
      <c r="N82" s="974">
        <v>2050</v>
      </c>
      <c r="O82" s="67"/>
      <c r="P82" s="1077"/>
      <c r="Q82" s="656"/>
      <c r="R82" s="656"/>
      <c r="S82" s="656"/>
      <c r="T82" s="656"/>
      <c r="U82" s="656"/>
      <c r="V82" s="656"/>
      <c r="W82" s="656"/>
      <c r="X82" s="656"/>
      <c r="Y82" s="656"/>
      <c r="Z82" s="1173"/>
      <c r="AA82" s="1173"/>
      <c r="AB82" s="1173"/>
      <c r="AC82" s="1173"/>
      <c r="AD82" s="1173"/>
      <c r="AE82" s="1173"/>
      <c r="AF82" s="1077"/>
      <c r="AG82" s="1077"/>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row>
    <row r="83" spans="1:113" s="6" customFormat="1" ht="12.75" hidden="1" customHeight="1">
      <c r="A83"/>
      <c r="B83" s="110"/>
      <c r="C83" s="976" t="s">
        <v>738</v>
      </c>
      <c r="D83" s="1079"/>
      <c r="E83" s="966"/>
      <c r="F83" s="967"/>
      <c r="G83" s="967"/>
      <c r="H83" s="967"/>
      <c r="I83" s="967"/>
      <c r="J83" s="967"/>
      <c r="K83" s="967"/>
      <c r="L83" s="967"/>
      <c r="M83" s="967"/>
      <c r="N83" s="967"/>
      <c r="O83" s="67"/>
      <c r="P83" s="1077"/>
      <c r="Q83" s="1183"/>
      <c r="R83" s="1183"/>
      <c r="S83" s="1183"/>
      <c r="T83" s="1183"/>
      <c r="U83" s="656"/>
      <c r="V83" s="656"/>
      <c r="W83" s="656"/>
      <c r="X83" s="656"/>
      <c r="Y83" s="656"/>
      <c r="Z83" s="1173"/>
      <c r="AA83" s="1173"/>
      <c r="AB83" s="1173"/>
      <c r="AC83" s="1173"/>
      <c r="AD83" s="1173"/>
      <c r="AE83" s="1173"/>
      <c r="AF83" s="1077"/>
      <c r="AG83" s="1077"/>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row>
    <row r="84" spans="1:113" s="6" customFormat="1" ht="12.75" hidden="1" customHeight="1">
      <c r="A84"/>
      <c r="B84" s="110"/>
      <c r="C84" s="952" t="s">
        <v>739</v>
      </c>
      <c r="D84" s="924"/>
      <c r="E84" s="953"/>
      <c r="F84" s="942"/>
      <c r="G84" s="942"/>
      <c r="H84" s="942"/>
      <c r="I84" s="942"/>
      <c r="J84" s="942"/>
      <c r="K84" s="942"/>
      <c r="L84" s="942"/>
      <c r="M84" s="942"/>
      <c r="N84" s="942"/>
      <c r="O84" s="67"/>
      <c r="P84" s="1077"/>
      <c r="Q84" s="1184"/>
      <c r="R84" s="724"/>
      <c r="S84" s="724"/>
      <c r="T84" s="724"/>
      <c r="U84" s="656"/>
      <c r="V84" s="656"/>
      <c r="W84" s="656"/>
      <c r="X84" s="656"/>
      <c r="Y84" s="656"/>
      <c r="Z84" s="1173"/>
      <c r="AA84" s="1173"/>
      <c r="AB84" s="1173"/>
      <c r="AC84" s="1173"/>
      <c r="AD84" s="1173"/>
      <c r="AE84" s="1173"/>
      <c r="AF84" s="1077"/>
      <c r="AG84" s="1077"/>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row>
    <row r="85" spans="1:113" s="6" customFormat="1" ht="12.75" hidden="1" customHeight="1">
      <c r="A85"/>
      <c r="B85" s="110"/>
      <c r="C85" s="956" t="s">
        <v>740</v>
      </c>
      <c r="D85" s="957"/>
      <c r="E85" s="958"/>
      <c r="F85" s="969"/>
      <c r="G85" s="969"/>
      <c r="H85" s="969"/>
      <c r="I85" s="969"/>
      <c r="J85" s="969"/>
      <c r="K85" s="969"/>
      <c r="L85" s="969"/>
      <c r="M85" s="969"/>
      <c r="N85" s="969"/>
      <c r="O85" s="67"/>
      <c r="P85" s="1077"/>
      <c r="Q85" s="724"/>
      <c r="R85" s="724"/>
      <c r="S85" s="724"/>
      <c r="T85" s="724"/>
      <c r="U85" s="656"/>
      <c r="V85" s="656"/>
      <c r="W85" s="656"/>
      <c r="X85" s="656"/>
      <c r="Y85" s="656"/>
      <c r="Z85" s="1173"/>
      <c r="AA85" s="1173"/>
      <c r="AB85" s="1173"/>
      <c r="AC85" s="1173"/>
      <c r="AD85" s="1173"/>
      <c r="AE85" s="1173"/>
      <c r="AF85" s="1077"/>
      <c r="AG85" s="1077"/>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row>
    <row r="86" spans="1:113" s="6" customFormat="1" hidden="1">
      <c r="A86"/>
      <c r="B86" s="110"/>
      <c r="C86" s="952"/>
      <c r="D86" s="924"/>
      <c r="E86" s="953"/>
      <c r="F86" s="942"/>
      <c r="G86" s="942"/>
      <c r="H86" s="942"/>
      <c r="I86" s="942"/>
      <c r="J86" s="942"/>
      <c r="K86" s="942"/>
      <c r="L86" s="942"/>
      <c r="M86" s="942"/>
      <c r="N86" s="942"/>
      <c r="O86" s="67"/>
      <c r="P86" s="1077"/>
      <c r="Q86" s="724"/>
      <c r="R86" s="724"/>
      <c r="S86" s="724"/>
      <c r="T86" s="724"/>
      <c r="U86" s="656"/>
      <c r="V86" s="656"/>
      <c r="W86" s="656"/>
      <c r="X86" s="656"/>
      <c r="Y86" s="656"/>
      <c r="Z86" s="1173"/>
      <c r="AA86" s="1173"/>
      <c r="AB86" s="1173"/>
      <c r="AC86" s="1173"/>
      <c r="AD86" s="1173"/>
      <c r="AE86" s="1173"/>
      <c r="AF86" s="1077"/>
      <c r="AG86" s="1077"/>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row>
    <row r="87" spans="1:113" s="6" customFormat="1" ht="23.25" hidden="1">
      <c r="A87"/>
      <c r="B87" s="110"/>
      <c r="C87" s="1179" t="s">
        <v>867</v>
      </c>
      <c r="D87" s="1079"/>
      <c r="E87" s="980" t="s">
        <v>160</v>
      </c>
      <c r="F87" s="981">
        <v>2013</v>
      </c>
      <c r="G87" s="974">
        <v>2015</v>
      </c>
      <c r="H87" s="974">
        <v>2020</v>
      </c>
      <c r="I87" s="974">
        <v>2025</v>
      </c>
      <c r="J87" s="974">
        <v>2030</v>
      </c>
      <c r="K87" s="974">
        <v>2035</v>
      </c>
      <c r="L87" s="974">
        <v>2040</v>
      </c>
      <c r="M87" s="974">
        <v>2045</v>
      </c>
      <c r="N87" s="974">
        <v>2050</v>
      </c>
      <c r="O87" s="67"/>
      <c r="P87" s="1077" t="s">
        <v>5</v>
      </c>
      <c r="Q87" s="1183"/>
      <c r="R87" s="1183"/>
      <c r="S87" s="1183"/>
      <c r="T87" s="1183"/>
      <c r="U87" s="656"/>
      <c r="V87" s="656"/>
      <c r="W87" s="656"/>
      <c r="X87" s="656"/>
      <c r="Y87" s="656"/>
      <c r="Z87" s="1173"/>
      <c r="AA87" s="1173"/>
      <c r="AB87" s="1173"/>
      <c r="AC87" s="1173"/>
      <c r="AD87" s="1173"/>
      <c r="AE87" s="1173"/>
      <c r="AF87" s="1077"/>
      <c r="AG87" s="107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row>
    <row r="88" spans="1:113" s="6" customFormat="1" hidden="1">
      <c r="A88"/>
      <c r="B88" s="110"/>
      <c r="C88" s="976" t="s">
        <v>738</v>
      </c>
      <c r="D88" s="1079"/>
      <c r="E88" s="966"/>
      <c r="F88" s="967"/>
      <c r="G88" s="967"/>
      <c r="H88" s="967"/>
      <c r="I88" s="967"/>
      <c r="J88" s="967"/>
      <c r="K88" s="967"/>
      <c r="L88" s="967"/>
      <c r="M88" s="967"/>
      <c r="N88" s="967"/>
      <c r="O88" s="67"/>
      <c r="P88" s="1077"/>
      <c r="Q88" s="656"/>
      <c r="R88" s="656"/>
      <c r="S88" s="656"/>
      <c r="T88" s="656"/>
      <c r="U88" s="656"/>
      <c r="V88" s="656"/>
      <c r="W88" s="656"/>
      <c r="X88" s="656"/>
      <c r="Y88" s="656"/>
      <c r="Z88" s="1173"/>
      <c r="AA88" s="1173"/>
      <c r="AB88" s="1173"/>
      <c r="AC88" s="1173"/>
      <c r="AD88" s="1173"/>
      <c r="AE88" s="1173"/>
      <c r="AF88" s="1077"/>
      <c r="AG88" s="1077"/>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row>
    <row r="89" spans="1:113" s="6" customFormat="1" hidden="1">
      <c r="A89"/>
      <c r="B89" s="110"/>
      <c r="C89" s="952" t="s">
        <v>739</v>
      </c>
      <c r="D89" s="924"/>
      <c r="E89" s="953"/>
      <c r="F89" s="942"/>
      <c r="G89" s="942"/>
      <c r="H89" s="942"/>
      <c r="I89" s="942"/>
      <c r="J89" s="942"/>
      <c r="K89" s="942"/>
      <c r="L89" s="942"/>
      <c r="M89" s="942"/>
      <c r="N89" s="942"/>
      <c r="O89" s="67"/>
      <c r="P89" s="1077"/>
      <c r="Q89" s="656"/>
      <c r="R89" s="656"/>
      <c r="S89" s="656"/>
      <c r="T89" s="656"/>
      <c r="U89" s="656"/>
      <c r="V89" s="656"/>
      <c r="W89" s="656"/>
      <c r="X89" s="656"/>
      <c r="Y89" s="656"/>
      <c r="Z89" s="1173"/>
      <c r="AA89" s="1173"/>
      <c r="AB89" s="1173"/>
      <c r="AC89" s="1173"/>
      <c r="AD89" s="1173"/>
      <c r="AE89" s="1173"/>
      <c r="AF89" s="1077"/>
      <c r="AG89" s="1077"/>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row>
    <row r="90" spans="1:113" s="6" customFormat="1" hidden="1">
      <c r="A90"/>
      <c r="B90" s="110"/>
      <c r="C90" s="956" t="s">
        <v>740</v>
      </c>
      <c r="D90" s="957"/>
      <c r="E90" s="958"/>
      <c r="F90" s="969"/>
      <c r="G90" s="969"/>
      <c r="H90" s="969"/>
      <c r="I90" s="969"/>
      <c r="J90" s="969"/>
      <c r="K90" s="969"/>
      <c r="L90" s="969"/>
      <c r="M90" s="969"/>
      <c r="N90" s="969"/>
      <c r="O90" s="67"/>
      <c r="P90" s="1077"/>
      <c r="Q90" s="656"/>
      <c r="R90" s="656"/>
      <c r="S90" s="656"/>
      <c r="T90" s="656"/>
      <c r="U90" s="656"/>
      <c r="V90" s="656"/>
      <c r="W90" s="656"/>
      <c r="X90" s="656"/>
      <c r="Y90" s="656"/>
      <c r="Z90" s="1173"/>
      <c r="AA90" s="1173"/>
      <c r="AB90" s="1173"/>
      <c r="AC90" s="1173"/>
      <c r="AD90" s="1173"/>
      <c r="AE90" s="1173"/>
      <c r="AF90" s="1077"/>
      <c r="AG90" s="1077"/>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row>
    <row r="91" spans="1:113" s="6" customFormat="1" hidden="1">
      <c r="A91"/>
      <c r="B91" s="110"/>
      <c r="C91" s="952"/>
      <c r="D91" s="924"/>
      <c r="E91" s="953"/>
      <c r="F91" s="942"/>
      <c r="G91" s="942"/>
      <c r="H91" s="942"/>
      <c r="I91" s="942"/>
      <c r="J91" s="942"/>
      <c r="K91" s="942"/>
      <c r="L91" s="942"/>
      <c r="M91" s="942"/>
      <c r="N91" s="942"/>
      <c r="O91" s="67"/>
      <c r="P91" s="1077"/>
      <c r="Q91" s="656"/>
      <c r="R91" s="656"/>
      <c r="S91" s="656"/>
      <c r="T91" s="656"/>
      <c r="U91" s="656"/>
      <c r="V91" s="656"/>
      <c r="W91" s="656"/>
      <c r="X91" s="656"/>
      <c r="Y91" s="656"/>
      <c r="Z91" s="1173"/>
      <c r="AA91" s="1173"/>
      <c r="AB91" s="1173"/>
      <c r="AC91" s="1173"/>
      <c r="AD91" s="1173"/>
      <c r="AE91" s="1173"/>
      <c r="AF91" s="1077"/>
      <c r="AG91" s="1077"/>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row>
    <row r="92" spans="1:113" s="6" customFormat="1" hidden="1">
      <c r="A92"/>
      <c r="B92" s="110"/>
      <c r="C92" s="1179" t="s">
        <v>868</v>
      </c>
      <c r="D92" s="1079"/>
      <c r="E92" s="980" t="s">
        <v>160</v>
      </c>
      <c r="F92" s="981">
        <v>2013</v>
      </c>
      <c r="G92" s="974">
        <v>2015</v>
      </c>
      <c r="H92" s="974">
        <v>2020</v>
      </c>
      <c r="I92" s="974">
        <v>2025</v>
      </c>
      <c r="J92" s="974">
        <v>2030</v>
      </c>
      <c r="K92" s="974">
        <v>2035</v>
      </c>
      <c r="L92" s="974">
        <v>2040</v>
      </c>
      <c r="M92" s="974">
        <v>2045</v>
      </c>
      <c r="N92" s="974">
        <v>2050</v>
      </c>
      <c r="O92" s="67"/>
      <c r="P92" s="1077"/>
      <c r="Q92" s="656"/>
      <c r="R92" s="656"/>
      <c r="S92" s="656"/>
      <c r="T92" s="656"/>
      <c r="U92" s="656"/>
      <c r="V92" s="656"/>
      <c r="W92" s="656"/>
      <c r="X92" s="656"/>
      <c r="Y92" s="656"/>
      <c r="Z92" s="1173"/>
      <c r="AA92" s="1173"/>
      <c r="AB92" s="1173"/>
      <c r="AC92" s="1173"/>
      <c r="AD92" s="1173"/>
      <c r="AE92" s="1173"/>
      <c r="AF92" s="1077"/>
      <c r="AG92" s="1077"/>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row>
    <row r="93" spans="1:113" s="6" customFormat="1" hidden="1">
      <c r="A93"/>
      <c r="B93" s="110"/>
      <c r="C93" s="976" t="s">
        <v>738</v>
      </c>
      <c r="D93" s="1079"/>
      <c r="E93" s="966"/>
      <c r="F93" s="967"/>
      <c r="G93" s="967"/>
      <c r="H93" s="967"/>
      <c r="I93" s="967"/>
      <c r="J93" s="967"/>
      <c r="K93" s="967"/>
      <c r="L93" s="967"/>
      <c r="M93" s="967"/>
      <c r="N93" s="967"/>
      <c r="O93" s="67"/>
      <c r="P93" s="1077"/>
      <c r="Q93" s="656"/>
      <c r="R93" s="656"/>
      <c r="S93" s="656"/>
      <c r="T93" s="656"/>
      <c r="U93" s="656"/>
      <c r="V93" s="656"/>
      <c r="W93" s="656"/>
      <c r="X93" s="656"/>
      <c r="Y93" s="656"/>
      <c r="Z93" s="1173"/>
      <c r="AA93" s="1173"/>
      <c r="AB93" s="1173"/>
      <c r="AC93" s="1173"/>
      <c r="AD93" s="1173"/>
      <c r="AE93" s="1173"/>
      <c r="AF93" s="1077"/>
      <c r="AG93" s="1077"/>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row>
    <row r="94" spans="1:113" s="6" customFormat="1" ht="15" hidden="1" customHeight="1">
      <c r="A94"/>
      <c r="B94" s="110"/>
      <c r="C94" s="952" t="s">
        <v>739</v>
      </c>
      <c r="D94" s="924"/>
      <c r="E94" s="953"/>
      <c r="F94" s="942"/>
      <c r="G94" s="942"/>
      <c r="H94" s="942"/>
      <c r="I94" s="942"/>
      <c r="J94" s="942"/>
      <c r="K94" s="942"/>
      <c r="L94" s="942"/>
      <c r="M94" s="942"/>
      <c r="N94" s="942"/>
      <c r="O94" s="67"/>
      <c r="P94" s="1077"/>
      <c r="Q94" s="656"/>
      <c r="R94" s="656"/>
      <c r="S94" s="656"/>
      <c r="T94" s="656"/>
      <c r="U94" s="656"/>
      <c r="V94" s="656"/>
      <c r="W94" s="656"/>
      <c r="X94" s="656"/>
      <c r="Y94" s="656"/>
      <c r="Z94" s="1173"/>
      <c r="AA94" s="1173"/>
      <c r="AB94" s="1173"/>
      <c r="AC94" s="1173"/>
      <c r="AD94" s="1173"/>
      <c r="AE94" s="1173"/>
      <c r="AF94" s="1077"/>
      <c r="AG94" s="1077"/>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row>
    <row r="95" spans="1:113" s="6" customFormat="1" ht="15" hidden="1" customHeight="1">
      <c r="A95"/>
      <c r="B95" s="110"/>
      <c r="C95" s="956" t="s">
        <v>740</v>
      </c>
      <c r="D95" s="957"/>
      <c r="E95" s="958"/>
      <c r="F95" s="969"/>
      <c r="G95" s="969"/>
      <c r="H95" s="969"/>
      <c r="I95" s="969"/>
      <c r="J95" s="969"/>
      <c r="K95" s="969"/>
      <c r="L95" s="969"/>
      <c r="M95" s="969"/>
      <c r="N95" s="969"/>
      <c r="O95" s="67"/>
      <c r="P95" s="1077"/>
      <c r="Q95" s="656"/>
      <c r="R95" s="656"/>
      <c r="S95" s="656"/>
      <c r="T95" s="656"/>
      <c r="U95" s="656"/>
      <c r="V95" s="656"/>
      <c r="W95" s="656"/>
      <c r="X95" s="656"/>
      <c r="Y95" s="656"/>
      <c r="Z95" s="1173"/>
      <c r="AA95" s="1173"/>
      <c r="AB95" s="1173"/>
      <c r="AC95" s="1173"/>
      <c r="AD95" s="1173"/>
      <c r="AE95" s="1173"/>
      <c r="AF95" s="1077"/>
      <c r="AG95" s="1077"/>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row>
    <row r="96" spans="1:113" s="6" customFormat="1" ht="15" hidden="1" customHeight="1">
      <c r="A96"/>
      <c r="B96" s="110"/>
      <c r="C96" s="952"/>
      <c r="D96" s="924"/>
      <c r="E96" s="953"/>
      <c r="F96" s="942"/>
      <c r="G96" s="942"/>
      <c r="H96" s="942"/>
      <c r="I96" s="942"/>
      <c r="J96" s="942"/>
      <c r="K96" s="942"/>
      <c r="L96" s="942"/>
      <c r="M96" s="942"/>
      <c r="N96" s="942"/>
      <c r="O96" s="67"/>
      <c r="P96" s="1077"/>
      <c r="Q96" s="656"/>
      <c r="R96" s="656"/>
      <c r="S96" s="656"/>
      <c r="T96" s="656"/>
      <c r="U96" s="656"/>
      <c r="V96" s="656"/>
      <c r="W96" s="656"/>
      <c r="X96" s="656"/>
      <c r="Y96" s="656"/>
      <c r="Z96" s="1173"/>
      <c r="AA96" s="1173"/>
      <c r="AB96" s="1173"/>
      <c r="AC96" s="1173"/>
      <c r="AD96" s="1173"/>
      <c r="AE96" s="1173"/>
      <c r="AF96" s="1077"/>
      <c r="AG96" s="1077"/>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row>
    <row r="97" spans="1:113" s="6" customFormat="1" hidden="1">
      <c r="A97"/>
      <c r="B97" s="110"/>
      <c r="C97" s="49" t="s">
        <v>869</v>
      </c>
      <c r="D97" s="924"/>
      <c r="E97" s="941"/>
      <c r="F97" s="942"/>
      <c r="G97" s="943"/>
      <c r="H97" s="943"/>
      <c r="I97" s="943"/>
      <c r="J97" s="943"/>
      <c r="K97" s="943"/>
      <c r="L97" s="943"/>
      <c r="M97" s="943"/>
      <c r="N97" s="944" t="s">
        <v>2819</v>
      </c>
      <c r="O97" s="67"/>
      <c r="P97" s="1077"/>
      <c r="Q97" s="656"/>
      <c r="R97" s="656"/>
      <c r="S97" s="656"/>
      <c r="T97" s="656"/>
      <c r="U97" s="656"/>
      <c r="V97" s="656"/>
      <c r="W97" s="656"/>
      <c r="X97" s="656"/>
      <c r="Y97" s="656"/>
      <c r="Z97" s="1173"/>
      <c r="AA97" s="1173"/>
      <c r="AB97" s="1173"/>
      <c r="AC97" s="1173"/>
      <c r="AD97" s="1173"/>
      <c r="AE97" s="1173"/>
      <c r="AF97" s="1077"/>
      <c r="AG97" s="107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row>
    <row r="98" spans="1:113" ht="6" hidden="1" customHeight="1">
      <c r="B98" s="110"/>
      <c r="C98" s="946"/>
      <c r="D98" s="924"/>
      <c r="E98" s="941"/>
      <c r="F98" s="942"/>
      <c r="G98" s="943"/>
      <c r="H98" s="943"/>
      <c r="I98" s="943"/>
      <c r="J98" s="943"/>
      <c r="K98" s="943"/>
      <c r="L98" s="943"/>
      <c r="M98" s="943"/>
      <c r="N98" s="67"/>
      <c r="O98" s="67"/>
      <c r="P98" s="1077"/>
      <c r="Q98" s="1077"/>
      <c r="R98" s="1077"/>
      <c r="S98" s="1077"/>
      <c r="T98" s="1077"/>
      <c r="U98" s="1077"/>
      <c r="V98" s="1077"/>
      <c r="W98" s="1077"/>
      <c r="X98" s="1077"/>
      <c r="Y98" s="1077"/>
      <c r="Z98" s="1077"/>
      <c r="AA98" s="1077"/>
      <c r="AB98" s="1077"/>
      <c r="AC98" s="1077"/>
      <c r="AD98" s="1077"/>
      <c r="AE98" s="1077"/>
      <c r="AF98" s="1077"/>
      <c r="AG98" s="1077"/>
    </row>
    <row r="99" spans="1:113" hidden="1">
      <c r="B99" s="110"/>
      <c r="C99" s="1179"/>
      <c r="D99" s="1079"/>
      <c r="E99" s="980" t="s">
        <v>160</v>
      </c>
      <c r="F99" s="981">
        <v>2013</v>
      </c>
      <c r="G99" s="974">
        <v>2015</v>
      </c>
      <c r="H99" s="974">
        <v>2020</v>
      </c>
      <c r="I99" s="974">
        <v>2025</v>
      </c>
      <c r="J99" s="974">
        <v>2030</v>
      </c>
      <c r="K99" s="974">
        <v>2035</v>
      </c>
      <c r="L99" s="974">
        <v>2040</v>
      </c>
      <c r="M99" s="974">
        <v>2045</v>
      </c>
      <c r="N99" s="974">
        <v>2050</v>
      </c>
      <c r="O99" s="67"/>
      <c r="P99" s="1077"/>
      <c r="Q99" s="1077"/>
      <c r="R99" s="1077"/>
      <c r="S99" s="1077"/>
      <c r="T99" s="1077"/>
      <c r="U99" s="1077"/>
      <c r="V99" s="1077"/>
      <c r="W99" s="1077"/>
      <c r="X99" s="1077"/>
      <c r="Y99" s="1077"/>
      <c r="Z99" s="1077"/>
      <c r="AA99" s="1077"/>
      <c r="AB99" s="1077"/>
      <c r="AC99" s="1077"/>
      <c r="AD99" s="1077"/>
      <c r="AE99" s="1077"/>
      <c r="AF99" s="1077"/>
      <c r="AG99" s="1077"/>
    </row>
    <row r="100" spans="1:113" hidden="1">
      <c r="B100" s="110"/>
      <c r="C100" s="976" t="s">
        <v>738</v>
      </c>
      <c r="D100" s="1079"/>
      <c r="E100" s="966"/>
      <c r="F100" s="967"/>
      <c r="G100" s="967"/>
      <c r="H100" s="967"/>
      <c r="I100" s="967"/>
      <c r="J100" s="967"/>
      <c r="K100" s="967"/>
      <c r="L100" s="967"/>
      <c r="M100" s="967"/>
      <c r="N100" s="967"/>
      <c r="O100" s="67"/>
      <c r="P100" s="1077"/>
      <c r="Q100" s="1077"/>
      <c r="R100" s="1077"/>
      <c r="S100" s="1077"/>
      <c r="T100" s="1077"/>
      <c r="U100" s="1077"/>
      <c r="V100" s="1077"/>
      <c r="W100" s="1077"/>
      <c r="X100" s="1077"/>
      <c r="Y100" s="1077"/>
      <c r="Z100" s="1077"/>
      <c r="AA100" s="1077"/>
      <c r="AB100" s="1077"/>
      <c r="AC100" s="1077"/>
      <c r="AD100" s="1077"/>
      <c r="AE100" s="1077"/>
      <c r="AF100" s="1077"/>
      <c r="AG100" s="1077"/>
    </row>
    <row r="101" spans="1:113" hidden="1">
      <c r="B101" s="110"/>
      <c r="C101" s="952" t="s">
        <v>739</v>
      </c>
      <c r="D101" s="924"/>
      <c r="E101" s="953"/>
      <c r="F101" s="942"/>
      <c r="G101" s="942"/>
      <c r="H101" s="942"/>
      <c r="I101" s="942"/>
      <c r="J101" s="942"/>
      <c r="K101" s="942"/>
      <c r="L101" s="942"/>
      <c r="M101" s="942"/>
      <c r="N101" s="942"/>
      <c r="O101" s="67"/>
      <c r="P101" s="1077"/>
      <c r="Q101" s="1077"/>
      <c r="R101" s="1077"/>
      <c r="S101" s="1077"/>
      <c r="T101" s="1077"/>
      <c r="U101" s="1077"/>
      <c r="V101" s="1077"/>
      <c r="W101" s="1077"/>
      <c r="X101" s="1077"/>
      <c r="Y101" s="1077"/>
      <c r="Z101" s="1077"/>
      <c r="AA101" s="1077"/>
      <c r="AB101" s="1077"/>
      <c r="AC101" s="1077"/>
      <c r="AD101" s="1077"/>
      <c r="AE101" s="1077"/>
      <c r="AF101" s="1077"/>
      <c r="AG101" s="1077"/>
    </row>
    <row r="102" spans="1:113" s="2" customFormat="1" hidden="1">
      <c r="B102" s="110"/>
      <c r="C102" s="956" t="s">
        <v>740</v>
      </c>
      <c r="D102" s="957"/>
      <c r="E102" s="958"/>
      <c r="F102" s="969"/>
      <c r="G102" s="969"/>
      <c r="H102" s="969"/>
      <c r="I102" s="969"/>
      <c r="J102" s="969"/>
      <c r="K102" s="969"/>
      <c r="L102" s="969"/>
      <c r="M102" s="969"/>
      <c r="N102" s="969"/>
      <c r="O102" s="67"/>
      <c r="P102" s="86"/>
      <c r="Q102" s="86"/>
      <c r="R102" s="86"/>
      <c r="S102" s="86"/>
      <c r="T102" s="86"/>
      <c r="U102" s="86"/>
      <c r="V102" s="86"/>
      <c r="W102" s="86"/>
      <c r="X102" s="86"/>
      <c r="Y102" s="86"/>
      <c r="Z102" s="86"/>
      <c r="AA102" s="86"/>
      <c r="AB102" s="86"/>
      <c r="AC102" s="86"/>
      <c r="AD102" s="86"/>
      <c r="AE102" s="86"/>
      <c r="AF102" s="86"/>
      <c r="AG102" s="86"/>
    </row>
    <row r="103" spans="1:113" s="2" customFormat="1" ht="13.5" hidden="1" customHeight="1">
      <c r="B103" s="47"/>
      <c r="C103" s="47"/>
      <c r="D103" s="67"/>
      <c r="E103" s="943"/>
      <c r="F103" s="67"/>
      <c r="G103" s="67"/>
      <c r="H103" s="67"/>
      <c r="I103" s="1185"/>
      <c r="J103" s="1185"/>
      <c r="K103" s="47"/>
      <c r="L103" s="47"/>
      <c r="M103" s="47"/>
      <c r="N103" s="47"/>
      <c r="O103" s="47"/>
      <c r="P103" s="86"/>
      <c r="Q103" s="86"/>
      <c r="R103" s="86"/>
      <c r="S103" s="86"/>
      <c r="T103" s="86"/>
      <c r="U103" s="86"/>
      <c r="V103" s="86"/>
      <c r="W103" s="86"/>
      <c r="X103" s="86"/>
      <c r="Y103" s="86"/>
      <c r="Z103" s="86"/>
      <c r="AA103" s="86"/>
      <c r="AB103" s="86"/>
      <c r="AC103" s="86"/>
      <c r="AD103" s="86"/>
      <c r="AE103" s="86"/>
      <c r="AF103" s="86"/>
      <c r="AG103" s="86"/>
    </row>
    <row r="104" spans="1:113">
      <c r="B104" s="1186"/>
      <c r="C104" s="1077"/>
      <c r="D104" s="1077"/>
      <c r="E104" s="1077"/>
      <c r="F104" s="1077"/>
      <c r="G104" s="1077"/>
      <c r="H104" s="1077"/>
      <c r="I104" s="1077"/>
      <c r="J104" s="1077"/>
      <c r="K104" s="1077"/>
      <c r="L104" s="1077"/>
      <c r="M104" s="1077"/>
      <c r="N104" s="1077"/>
      <c r="O104" s="1077"/>
    </row>
    <row r="105" spans="1:113" ht="15.75">
      <c r="B105" s="878" t="s">
        <v>178</v>
      </c>
      <c r="C105" s="879"/>
      <c r="D105" s="879"/>
      <c r="E105" s="879"/>
      <c r="F105" s="879"/>
      <c r="G105" s="879"/>
      <c r="H105" s="879"/>
      <c r="I105" s="879"/>
      <c r="J105" s="879"/>
      <c r="K105" s="879"/>
      <c r="L105" s="879"/>
      <c r="M105" s="879"/>
      <c r="N105" s="879"/>
      <c r="O105" s="880"/>
    </row>
    <row r="106" spans="1:113" ht="6" customHeight="1">
      <c r="B106" s="110"/>
      <c r="C106" s="67"/>
      <c r="D106" s="67"/>
      <c r="E106" s="67"/>
      <c r="F106" s="67"/>
      <c r="G106" s="67"/>
      <c r="H106" s="67"/>
      <c r="I106" s="67"/>
      <c r="J106" s="67"/>
      <c r="K106" s="67"/>
      <c r="L106" s="67"/>
      <c r="M106" s="67"/>
      <c r="N106" s="67"/>
      <c r="O106" s="885"/>
    </row>
    <row r="107" spans="1:113">
      <c r="B107" s="110"/>
      <c r="C107" s="49" t="s">
        <v>870</v>
      </c>
      <c r="D107" s="67"/>
      <c r="E107" s="51"/>
      <c r="F107" s="67"/>
      <c r="G107" s="67"/>
      <c r="H107" s="67"/>
      <c r="I107" s="67"/>
      <c r="J107" s="67"/>
      <c r="K107" s="67"/>
      <c r="L107" s="67"/>
      <c r="M107" s="67"/>
      <c r="N107" s="51" t="str">
        <f>Preferences.PowerUnits</f>
        <v>GW</v>
      </c>
      <c r="O107" s="885"/>
    </row>
    <row r="108" spans="1:113" s="6" customFormat="1" ht="6" customHeight="1">
      <c r="B108" s="110"/>
      <c r="C108" s="67"/>
      <c r="D108" s="67"/>
      <c r="E108" s="67"/>
      <c r="F108" s="67"/>
      <c r="G108" s="67"/>
      <c r="H108" s="67"/>
      <c r="I108" s="67"/>
      <c r="J108" s="67"/>
      <c r="K108" s="67"/>
      <c r="L108" s="67"/>
      <c r="M108" s="67"/>
      <c r="N108" s="67"/>
      <c r="O108" s="885"/>
    </row>
    <row r="109" spans="1:113" ht="15.75">
      <c r="B109" s="55"/>
      <c r="C109" s="887" t="s">
        <v>132</v>
      </c>
      <c r="D109" s="887" t="s">
        <v>72</v>
      </c>
      <c r="E109" s="887" t="s">
        <v>30</v>
      </c>
      <c r="F109" s="92">
        <v>2013</v>
      </c>
      <c r="G109" s="92">
        <v>2015</v>
      </c>
      <c r="H109" s="92">
        <v>2020</v>
      </c>
      <c r="I109" s="92">
        <v>2025</v>
      </c>
      <c r="J109" s="92">
        <v>2030</v>
      </c>
      <c r="K109" s="92">
        <v>2035</v>
      </c>
      <c r="L109" s="92">
        <v>2040</v>
      </c>
      <c r="M109" s="92">
        <v>2045</v>
      </c>
      <c r="N109" s="92">
        <v>2050</v>
      </c>
      <c r="O109" s="885"/>
    </row>
    <row r="110" spans="1:113" ht="15.75">
      <c r="B110" s="55"/>
      <c r="C110" s="896" t="s">
        <v>447</v>
      </c>
      <c r="D110" s="897" t="s">
        <v>523</v>
      </c>
      <c r="E110" s="897"/>
      <c r="F110" s="1187">
        <f>F$51</f>
        <v>2.5000000000000001E-2</v>
      </c>
      <c r="G110" s="907">
        <f t="shared" ref="G110:N110" si="2">F110+(G$109-F$109)*(F19+F28)</f>
        <v>2.5000000000000001E-2</v>
      </c>
      <c r="H110" s="907">
        <f t="shared" si="2"/>
        <v>2.5000000000000001E-2</v>
      </c>
      <c r="I110" s="907">
        <f t="shared" si="2"/>
        <v>2.5000000000000001E-2</v>
      </c>
      <c r="J110" s="899">
        <f t="shared" si="2"/>
        <v>0.52500000000000002</v>
      </c>
      <c r="K110" s="907">
        <f t="shared" si="2"/>
        <v>1.3250000000000002</v>
      </c>
      <c r="L110" s="907">
        <f t="shared" si="2"/>
        <v>2.3250000000000002</v>
      </c>
      <c r="M110" s="907">
        <f t="shared" si="2"/>
        <v>4.0750000000000002</v>
      </c>
      <c r="N110" s="907">
        <f t="shared" si="2"/>
        <v>5.8250000000000002</v>
      </c>
      <c r="O110" s="885"/>
    </row>
    <row r="111" spans="1:113">
      <c r="B111" s="45"/>
      <c r="C111" s="65"/>
      <c r="D111" s="108"/>
      <c r="E111" s="108"/>
      <c r="F111" s="172"/>
      <c r="G111" s="165"/>
      <c r="H111" s="165"/>
      <c r="I111" s="165"/>
      <c r="J111" s="165"/>
      <c r="K111" s="165"/>
      <c r="L111" s="165"/>
      <c r="M111" s="165"/>
      <c r="N111" s="165"/>
      <c r="O111" s="885"/>
    </row>
    <row r="112" spans="1:113" ht="15.75">
      <c r="B112" s="1110"/>
    </row>
    <row r="113" spans="1:21">
      <c r="B113" t="s">
        <v>523</v>
      </c>
      <c r="C113" s="988"/>
      <c r="F113" s="363">
        <v>2013</v>
      </c>
      <c r="G113" s="363">
        <v>2015</v>
      </c>
      <c r="H113" s="363">
        <v>2020</v>
      </c>
      <c r="I113" s="363">
        <v>2025</v>
      </c>
      <c r="J113" s="363">
        <v>2030</v>
      </c>
      <c r="K113" s="363">
        <v>2035</v>
      </c>
      <c r="L113" s="363">
        <v>2040</v>
      </c>
      <c r="M113" s="363">
        <v>2045</v>
      </c>
      <c r="N113" s="363">
        <v>2050</v>
      </c>
    </row>
    <row r="114" spans="1:21">
      <c r="C114" s="363" t="s">
        <v>871</v>
      </c>
      <c r="E114" s="2446" t="str">
        <f>Preferences.PowerUnits</f>
        <v>GW</v>
      </c>
      <c r="F114" s="374">
        <f>F$110</f>
        <v>2.5000000000000001E-2</v>
      </c>
      <c r="G114" s="374">
        <f t="shared" ref="G114:N114" si="3">G$110</f>
        <v>2.5000000000000001E-2</v>
      </c>
      <c r="H114" s="374">
        <f t="shared" si="3"/>
        <v>2.5000000000000001E-2</v>
      </c>
      <c r="I114" s="374">
        <f t="shared" si="3"/>
        <v>2.5000000000000001E-2</v>
      </c>
      <c r="J114" s="374">
        <f t="shared" si="3"/>
        <v>0.52500000000000002</v>
      </c>
      <c r="K114" s="374">
        <f t="shared" si="3"/>
        <v>1.3250000000000002</v>
      </c>
      <c r="L114" s="374">
        <f t="shared" si="3"/>
        <v>2.3250000000000002</v>
      </c>
      <c r="M114" s="374">
        <f t="shared" si="3"/>
        <v>4.0750000000000002</v>
      </c>
      <c r="N114" s="1188">
        <f t="shared" si="3"/>
        <v>5.8250000000000002</v>
      </c>
    </row>
    <row r="115" spans="1:21">
      <c r="B115" t="s">
        <v>219</v>
      </c>
      <c r="C115" t="s">
        <v>858</v>
      </c>
      <c r="E115" s="2446"/>
      <c r="F115" s="989">
        <f t="shared" ref="F115:N115" si="4">F$56</f>
        <v>0.38</v>
      </c>
      <c r="G115" s="989">
        <f t="shared" si="4"/>
        <v>0.38</v>
      </c>
      <c r="H115" s="989">
        <f t="shared" si="4"/>
        <v>0.4</v>
      </c>
      <c r="I115" s="989">
        <f t="shared" si="4"/>
        <v>0.4</v>
      </c>
      <c r="J115" s="989">
        <f t="shared" si="4"/>
        <v>0.43</v>
      </c>
      <c r="K115" s="989">
        <f t="shared" si="4"/>
        <v>0.45</v>
      </c>
      <c r="L115" s="989">
        <f t="shared" si="4"/>
        <v>0.45</v>
      </c>
      <c r="M115" s="989">
        <f t="shared" si="4"/>
        <v>0.45</v>
      </c>
      <c r="N115" s="989">
        <f t="shared" si="4"/>
        <v>0.45</v>
      </c>
    </row>
    <row r="116" spans="1:21">
      <c r="B116" s="988" t="s">
        <v>221</v>
      </c>
      <c r="C116" s="363" t="s">
        <v>872</v>
      </c>
      <c r="E116" s="2446"/>
      <c r="F116" s="366">
        <f t="shared" ref="F116:N116" si="5">F114*F115</f>
        <v>9.5000000000000015E-3</v>
      </c>
      <c r="G116" s="366">
        <f t="shared" si="5"/>
        <v>9.5000000000000015E-3</v>
      </c>
      <c r="H116" s="366">
        <f t="shared" si="5"/>
        <v>1.0000000000000002E-2</v>
      </c>
      <c r="I116" s="366">
        <f t="shared" si="5"/>
        <v>1.0000000000000002E-2</v>
      </c>
      <c r="J116" s="366">
        <f t="shared" si="5"/>
        <v>0.22575000000000001</v>
      </c>
      <c r="K116" s="366">
        <f t="shared" si="5"/>
        <v>0.59625000000000006</v>
      </c>
      <c r="L116" s="366">
        <f t="shared" si="5"/>
        <v>1.0462500000000001</v>
      </c>
      <c r="M116" s="366">
        <f t="shared" si="5"/>
        <v>1.8337500000000002</v>
      </c>
      <c r="N116" s="366">
        <f t="shared" si="5"/>
        <v>2.6212500000000003</v>
      </c>
    </row>
    <row r="117" spans="1:21">
      <c r="A117" s="39"/>
      <c r="C117" s="363" t="s">
        <v>873</v>
      </c>
      <c r="E117" s="2446" t="str">
        <f>Preferences.EnergyUnits</f>
        <v>TWh</v>
      </c>
      <c r="F117" s="2490">
        <f t="shared" ref="F117:N117" si="6">F116*Preferences.Unit.Power*Unit.year/Preferences.Unit.Energy</f>
        <v>8.3277000000000018E-2</v>
      </c>
      <c r="G117" s="2490">
        <f t="shared" si="6"/>
        <v>8.3277000000000018E-2</v>
      </c>
      <c r="H117" s="2490">
        <f t="shared" si="6"/>
        <v>8.7660000000000016E-2</v>
      </c>
      <c r="I117" s="2490">
        <f t="shared" si="6"/>
        <v>8.7660000000000016E-2</v>
      </c>
      <c r="J117" s="2490">
        <f t="shared" si="6"/>
        <v>1.9789245</v>
      </c>
      <c r="K117" s="2490">
        <f t="shared" si="6"/>
        <v>5.2267275000000009</v>
      </c>
      <c r="L117" s="2490">
        <f t="shared" si="6"/>
        <v>9.1714275000000018</v>
      </c>
      <c r="M117" s="2490">
        <f t="shared" si="6"/>
        <v>16.074652500000003</v>
      </c>
      <c r="N117" s="2490">
        <f t="shared" si="6"/>
        <v>22.977877500000002</v>
      </c>
      <c r="O117" s="1190"/>
    </row>
    <row r="118" spans="1:21">
      <c r="C118" s="363"/>
      <c r="F118" s="1191"/>
      <c r="G118" s="366"/>
      <c r="H118" s="366"/>
      <c r="I118" s="366"/>
      <c r="J118" s="366"/>
      <c r="K118" s="366"/>
      <c r="L118" s="366"/>
      <c r="M118" s="366"/>
      <c r="N118" s="366"/>
    </row>
    <row r="119" spans="1:21">
      <c r="B119" t="s">
        <v>757</v>
      </c>
      <c r="C119" s="363"/>
      <c r="F119" s="1190"/>
      <c r="G119" s="1190"/>
      <c r="H119" s="1190"/>
      <c r="I119" s="1190"/>
      <c r="J119" s="1190"/>
      <c r="K119" s="1190"/>
      <c r="L119" s="1190"/>
      <c r="M119" s="1190"/>
      <c r="N119" s="1190"/>
    </row>
    <row r="120" spans="1:21">
      <c r="C120" t="s">
        <v>874</v>
      </c>
      <c r="E120" t="s">
        <v>760</v>
      </c>
      <c r="F120" s="993">
        <f>F114/$F$61</f>
        <v>4.3103448275862073</v>
      </c>
      <c r="G120" s="993">
        <f t="shared" ref="G120:N120" si="7">G114/$F$61</f>
        <v>4.3103448275862073</v>
      </c>
      <c r="H120" s="993">
        <f t="shared" si="7"/>
        <v>4.3103448275862073</v>
      </c>
      <c r="I120" s="993">
        <f t="shared" si="7"/>
        <v>4.3103448275862073</v>
      </c>
      <c r="J120" s="993" t="s">
        <v>5</v>
      </c>
      <c r="K120" s="993">
        <f t="shared" si="7"/>
        <v>228.44827586206901</v>
      </c>
      <c r="L120" s="993">
        <f t="shared" si="7"/>
        <v>400.86206896551732</v>
      </c>
      <c r="M120" s="993">
        <f t="shared" si="7"/>
        <v>702.58620689655186</v>
      </c>
      <c r="N120" s="993">
        <f t="shared" si="7"/>
        <v>1004.3103448275863</v>
      </c>
    </row>
    <row r="121" spans="1:21">
      <c r="C121" t="s">
        <v>875</v>
      </c>
      <c r="E121" t="s">
        <v>762</v>
      </c>
      <c r="G121" s="993">
        <f t="shared" ref="G121:N121" si="8">F19/$F$61</f>
        <v>0</v>
      </c>
      <c r="H121" s="993">
        <f t="shared" si="8"/>
        <v>0</v>
      </c>
      <c r="I121" s="993">
        <f t="shared" si="8"/>
        <v>0</v>
      </c>
      <c r="J121" s="993">
        <f t="shared" si="8"/>
        <v>17.241379310344829</v>
      </c>
      <c r="K121" s="993">
        <f t="shared" si="8"/>
        <v>27.586206896551726</v>
      </c>
      <c r="L121" s="993">
        <f t="shared" si="8"/>
        <v>34.482758620689658</v>
      </c>
      <c r="M121" s="993">
        <f t="shared" si="8"/>
        <v>60.344827586206897</v>
      </c>
      <c r="N121" s="993">
        <f t="shared" si="8"/>
        <v>60.344827586206897</v>
      </c>
    </row>
    <row r="122" spans="1:21">
      <c r="C122" s="4137" t="s">
        <v>3489</v>
      </c>
      <c r="E122" s="2446" t="str">
        <f>Preferences.AreaUnits</f>
        <v>km^2</v>
      </c>
      <c r="F122" s="993">
        <f>F117/$F$62</f>
        <v>1.0555555555555558</v>
      </c>
      <c r="G122" s="993">
        <f t="shared" ref="G122:N122" si="9">G117/$F$62</f>
        <v>1.0555555555555558</v>
      </c>
      <c r="H122" s="993">
        <f t="shared" si="9"/>
        <v>1.1111111111111112</v>
      </c>
      <c r="I122" s="993">
        <f t="shared" si="9"/>
        <v>1.1111111111111112</v>
      </c>
      <c r="J122" s="993">
        <f t="shared" si="9"/>
        <v>25.083333333333332</v>
      </c>
      <c r="K122" s="993">
        <f t="shared" si="9"/>
        <v>66.25</v>
      </c>
      <c r="L122" s="993">
        <f t="shared" si="9"/>
        <v>116.25000000000001</v>
      </c>
      <c r="M122" s="993">
        <f t="shared" si="9"/>
        <v>203.75000000000003</v>
      </c>
      <c r="N122" s="993">
        <f t="shared" si="9"/>
        <v>291.25</v>
      </c>
      <c r="O122" s="992"/>
    </row>
    <row r="123" spans="1:21">
      <c r="P123" s="1077"/>
      <c r="Q123" s="1077"/>
      <c r="R123" s="1077"/>
      <c r="S123" s="1077"/>
      <c r="T123" s="1077"/>
      <c r="U123" s="1077"/>
    </row>
    <row r="124" spans="1:21">
      <c r="C124" s="3611" t="s">
        <v>2797</v>
      </c>
      <c r="F124" s="993"/>
      <c r="G124" s="993"/>
      <c r="H124" s="993"/>
      <c r="I124" s="993"/>
      <c r="J124" s="993"/>
      <c r="K124" s="993"/>
      <c r="L124" s="993"/>
      <c r="M124" s="993"/>
      <c r="N124" s="993"/>
      <c r="O124" s="993"/>
      <c r="P124" s="1077"/>
      <c r="Q124" s="1077"/>
      <c r="R124" s="1077"/>
      <c r="S124" s="1077"/>
      <c r="T124" s="1077"/>
      <c r="U124" s="1077"/>
    </row>
    <row r="125" spans="1:21" ht="23.25" hidden="1">
      <c r="A125" s="7"/>
      <c r="D125" t="s">
        <v>169</v>
      </c>
      <c r="E125" s="3611" t="s">
        <v>2812</v>
      </c>
      <c r="F125" s="993">
        <f t="shared" ref="F125:N125" si="10">F121*F$83</f>
        <v>0</v>
      </c>
      <c r="G125" s="993">
        <f t="shared" si="10"/>
        <v>0</v>
      </c>
      <c r="H125" s="993">
        <f t="shared" si="10"/>
        <v>0</v>
      </c>
      <c r="I125" s="993">
        <f t="shared" si="10"/>
        <v>0</v>
      </c>
      <c r="J125" s="993">
        <f t="shared" si="10"/>
        <v>0</v>
      </c>
      <c r="K125" s="993">
        <f t="shared" si="10"/>
        <v>0</v>
      </c>
      <c r="L125" s="993">
        <f t="shared" si="10"/>
        <v>0</v>
      </c>
      <c r="M125" s="993">
        <f t="shared" si="10"/>
        <v>0</v>
      </c>
      <c r="N125" s="993">
        <f t="shared" si="10"/>
        <v>0</v>
      </c>
      <c r="O125" s="993">
        <v>0</v>
      </c>
      <c r="P125" s="1077"/>
      <c r="Q125" s="1077"/>
      <c r="R125" s="1077"/>
      <c r="S125" s="1077"/>
      <c r="T125" s="1077"/>
      <c r="U125" s="1077"/>
    </row>
    <row r="126" spans="1:21" hidden="1">
      <c r="D126" t="s">
        <v>173</v>
      </c>
      <c r="E126" s="3611" t="s">
        <v>2812</v>
      </c>
      <c r="F126" s="993">
        <f t="shared" ref="F126:N126" si="11">F120*F100</f>
        <v>0</v>
      </c>
      <c r="G126" s="993">
        <f t="shared" si="11"/>
        <v>0</v>
      </c>
      <c r="H126" s="993">
        <f t="shared" si="11"/>
        <v>0</v>
      </c>
      <c r="I126" s="993">
        <f t="shared" si="11"/>
        <v>0</v>
      </c>
      <c r="J126" s="993" t="e">
        <f t="shared" si="11"/>
        <v>#VALUE!</v>
      </c>
      <c r="K126" s="993">
        <f t="shared" si="11"/>
        <v>0</v>
      </c>
      <c r="L126" s="993">
        <f t="shared" si="11"/>
        <v>0</v>
      </c>
      <c r="M126" s="993">
        <f t="shared" si="11"/>
        <v>0</v>
      </c>
      <c r="N126" s="993">
        <f t="shared" si="11"/>
        <v>0</v>
      </c>
      <c r="O126" s="993">
        <v>0</v>
      </c>
      <c r="P126" s="1077"/>
      <c r="Q126" s="1077"/>
      <c r="R126" s="1077"/>
      <c r="S126" s="1077"/>
      <c r="T126" s="1077"/>
      <c r="U126" s="1077"/>
    </row>
    <row r="127" spans="1:21" hidden="1">
      <c r="D127" t="s">
        <v>294</v>
      </c>
      <c r="E127" s="3611" t="s">
        <v>2812</v>
      </c>
      <c r="F127" s="993">
        <f>SUM(F125:F126)</f>
        <v>0</v>
      </c>
      <c r="G127" s="993">
        <f t="shared" ref="G127:N127" si="12">SUM(G125:G126)</f>
        <v>0</v>
      </c>
      <c r="H127" s="993">
        <f t="shared" si="12"/>
        <v>0</v>
      </c>
      <c r="I127" s="993">
        <f t="shared" si="12"/>
        <v>0</v>
      </c>
      <c r="J127" s="993" t="e">
        <f t="shared" si="12"/>
        <v>#VALUE!</v>
      </c>
      <c r="K127" s="993">
        <f t="shared" si="12"/>
        <v>0</v>
      </c>
      <c r="L127" s="993">
        <f t="shared" si="12"/>
        <v>0</v>
      </c>
      <c r="M127" s="993">
        <f t="shared" si="12"/>
        <v>0</v>
      </c>
      <c r="N127" s="993">
        <f t="shared" si="12"/>
        <v>0</v>
      </c>
      <c r="O127" s="993">
        <v>0</v>
      </c>
    </row>
    <row r="128" spans="1:21" hidden="1">
      <c r="O128" s="366"/>
    </row>
    <row r="129" spans="2:33" hidden="1">
      <c r="C129" t="s">
        <v>295</v>
      </c>
      <c r="F129" s="993"/>
      <c r="G129" s="993"/>
      <c r="H129" s="993"/>
      <c r="I129" s="993"/>
      <c r="J129" s="993"/>
      <c r="K129" s="993"/>
      <c r="L129" s="993"/>
      <c r="M129" s="993"/>
      <c r="N129" s="993"/>
      <c r="O129" s="993"/>
    </row>
    <row r="130" spans="2:33" hidden="1">
      <c r="D130" t="s">
        <v>169</v>
      </c>
      <c r="E130" s="3611" t="s">
        <v>2812</v>
      </c>
      <c r="F130" s="993">
        <f>F121*F$84</f>
        <v>0</v>
      </c>
      <c r="G130" s="993">
        <f>G121*G$84</f>
        <v>0</v>
      </c>
      <c r="H130" s="993">
        <f t="shared" ref="H130:N130" si="13">H121*H$84</f>
        <v>0</v>
      </c>
      <c r="I130" s="993">
        <f t="shared" si="13"/>
        <v>0</v>
      </c>
      <c r="J130" s="993">
        <f t="shared" si="13"/>
        <v>0</v>
      </c>
      <c r="K130" s="993">
        <f t="shared" si="13"/>
        <v>0</v>
      </c>
      <c r="L130" s="993">
        <f t="shared" si="13"/>
        <v>0</v>
      </c>
      <c r="M130" s="993">
        <f t="shared" si="13"/>
        <v>0</v>
      </c>
      <c r="N130" s="993">
        <f t="shared" si="13"/>
        <v>0</v>
      </c>
      <c r="O130" s="993">
        <v>0</v>
      </c>
    </row>
    <row r="131" spans="2:33" hidden="1">
      <c r="D131" t="s">
        <v>173</v>
      </c>
      <c r="E131" s="3611" t="s">
        <v>2812</v>
      </c>
      <c r="F131" s="993">
        <f t="shared" ref="F131:N131" si="14">F120*F101</f>
        <v>0</v>
      </c>
      <c r="G131" s="993">
        <f t="shared" si="14"/>
        <v>0</v>
      </c>
      <c r="H131" s="993">
        <f t="shared" si="14"/>
        <v>0</v>
      </c>
      <c r="I131" s="993">
        <f t="shared" si="14"/>
        <v>0</v>
      </c>
      <c r="J131" s="993" t="e">
        <f t="shared" si="14"/>
        <v>#VALUE!</v>
      </c>
      <c r="K131" s="993">
        <f t="shared" si="14"/>
        <v>0</v>
      </c>
      <c r="L131" s="993">
        <f t="shared" si="14"/>
        <v>0</v>
      </c>
      <c r="M131" s="993">
        <f t="shared" si="14"/>
        <v>0</v>
      </c>
      <c r="N131" s="993">
        <f t="shared" si="14"/>
        <v>0</v>
      </c>
      <c r="O131" s="993">
        <v>0</v>
      </c>
    </row>
    <row r="132" spans="2:33" hidden="1">
      <c r="D132" t="s">
        <v>294</v>
      </c>
      <c r="E132" s="3611" t="s">
        <v>2812</v>
      </c>
      <c r="F132" s="993">
        <f t="shared" ref="F132:N132" si="15">SUM(F130:F131)</f>
        <v>0</v>
      </c>
      <c r="G132" s="993">
        <f t="shared" si="15"/>
        <v>0</v>
      </c>
      <c r="H132" s="993">
        <f t="shared" si="15"/>
        <v>0</v>
      </c>
      <c r="I132" s="993">
        <f t="shared" si="15"/>
        <v>0</v>
      </c>
      <c r="J132" s="993" t="e">
        <f t="shared" si="15"/>
        <v>#VALUE!</v>
      </c>
      <c r="K132" s="993">
        <f t="shared" si="15"/>
        <v>0</v>
      </c>
      <c r="L132" s="993">
        <f t="shared" si="15"/>
        <v>0</v>
      </c>
      <c r="M132" s="993">
        <f t="shared" si="15"/>
        <v>0</v>
      </c>
      <c r="N132" s="993">
        <f t="shared" si="15"/>
        <v>0</v>
      </c>
      <c r="O132" s="993">
        <v>0</v>
      </c>
    </row>
    <row r="133" spans="2:33" hidden="1">
      <c r="F133" s="993"/>
      <c r="G133" s="993"/>
      <c r="H133" s="993"/>
      <c r="I133" s="993"/>
      <c r="J133" s="993"/>
      <c r="K133" s="993"/>
      <c r="L133" s="993"/>
      <c r="M133" s="993"/>
      <c r="N133" s="993"/>
      <c r="O133" s="993"/>
    </row>
    <row r="134" spans="2:33" hidden="1">
      <c r="C134" t="s">
        <v>296</v>
      </c>
      <c r="G134" s="993"/>
      <c r="H134" s="993"/>
      <c r="I134" s="993"/>
      <c r="J134" s="993"/>
      <c r="K134" s="993"/>
      <c r="L134" s="993"/>
      <c r="M134" s="993"/>
      <c r="N134" s="993"/>
      <c r="O134" s="993"/>
    </row>
    <row r="135" spans="2:33" hidden="1">
      <c r="D135" t="s">
        <v>169</v>
      </c>
      <c r="E135" s="3611" t="s">
        <v>2812</v>
      </c>
      <c r="F135" s="993">
        <f t="shared" ref="F135:N135" si="16">F121*F$85</f>
        <v>0</v>
      </c>
      <c r="G135" s="993">
        <f t="shared" si="16"/>
        <v>0</v>
      </c>
      <c r="H135" s="993">
        <f t="shared" si="16"/>
        <v>0</v>
      </c>
      <c r="I135" s="993">
        <f t="shared" si="16"/>
        <v>0</v>
      </c>
      <c r="J135" s="993">
        <f t="shared" si="16"/>
        <v>0</v>
      </c>
      <c r="K135" s="993">
        <f t="shared" si="16"/>
        <v>0</v>
      </c>
      <c r="L135" s="993">
        <f t="shared" si="16"/>
        <v>0</v>
      </c>
      <c r="M135" s="993">
        <f t="shared" si="16"/>
        <v>0</v>
      </c>
      <c r="N135" s="993">
        <f t="shared" si="16"/>
        <v>0</v>
      </c>
      <c r="O135" s="993">
        <v>0</v>
      </c>
    </row>
    <row r="136" spans="2:33" hidden="1">
      <c r="D136" t="s">
        <v>173</v>
      </c>
      <c r="E136" s="3611" t="s">
        <v>2812</v>
      </c>
      <c r="F136" s="993">
        <f t="shared" ref="F136:N136" si="17">F120*F102</f>
        <v>0</v>
      </c>
      <c r="G136" s="993">
        <f t="shared" si="17"/>
        <v>0</v>
      </c>
      <c r="H136" s="993">
        <f t="shared" si="17"/>
        <v>0</v>
      </c>
      <c r="I136" s="993">
        <f t="shared" si="17"/>
        <v>0</v>
      </c>
      <c r="J136" s="993" t="e">
        <f t="shared" si="17"/>
        <v>#VALUE!</v>
      </c>
      <c r="K136" s="993">
        <f t="shared" si="17"/>
        <v>0</v>
      </c>
      <c r="L136" s="993">
        <f t="shared" si="17"/>
        <v>0</v>
      </c>
      <c r="M136" s="993">
        <f t="shared" si="17"/>
        <v>0</v>
      </c>
      <c r="N136" s="993">
        <f t="shared" si="17"/>
        <v>0</v>
      </c>
      <c r="O136" s="993">
        <v>0</v>
      </c>
    </row>
    <row r="137" spans="2:33" hidden="1">
      <c r="D137" t="s">
        <v>294</v>
      </c>
      <c r="E137" s="3611" t="s">
        <v>2812</v>
      </c>
      <c r="F137" s="993">
        <f t="shared" ref="F137:N137" si="18">SUM(F135:F136)</f>
        <v>0</v>
      </c>
      <c r="G137" s="993">
        <f t="shared" si="18"/>
        <v>0</v>
      </c>
      <c r="H137" s="993">
        <f t="shared" si="18"/>
        <v>0</v>
      </c>
      <c r="I137" s="993">
        <f t="shared" si="18"/>
        <v>0</v>
      </c>
      <c r="J137" s="993" t="e">
        <f t="shared" si="18"/>
        <v>#VALUE!</v>
      </c>
      <c r="K137" s="993">
        <f t="shared" si="18"/>
        <v>0</v>
      </c>
      <c r="L137" s="993">
        <f t="shared" si="18"/>
        <v>0</v>
      </c>
      <c r="M137" s="993">
        <f t="shared" si="18"/>
        <v>0</v>
      </c>
      <c r="N137" s="993">
        <f t="shared" si="18"/>
        <v>0</v>
      </c>
      <c r="O137" s="993">
        <v>0</v>
      </c>
    </row>
    <row r="139" spans="2:33" ht="15.75">
      <c r="B139" s="511" t="s">
        <v>299</v>
      </c>
      <c r="C139" s="512"/>
      <c r="D139" s="512"/>
      <c r="E139" s="512"/>
      <c r="F139" s="512"/>
      <c r="G139" s="512"/>
      <c r="H139" s="512"/>
      <c r="I139" s="512"/>
      <c r="J139" s="512"/>
      <c r="K139" s="512"/>
      <c r="L139" s="512"/>
      <c r="M139" s="512"/>
      <c r="N139" s="512"/>
      <c r="O139" s="866"/>
    </row>
    <row r="140" spans="2:33">
      <c r="B140" s="514"/>
      <c r="C140" s="515"/>
      <c r="D140" s="515"/>
      <c r="E140" s="515"/>
      <c r="F140" s="515"/>
      <c r="G140" s="515"/>
      <c r="H140" s="515"/>
      <c r="I140" s="515"/>
      <c r="J140" s="515"/>
      <c r="K140" s="515"/>
      <c r="L140" s="515"/>
      <c r="M140" s="515"/>
      <c r="N140" s="515"/>
      <c r="O140" s="867"/>
    </row>
    <row r="141" spans="2:33">
      <c r="B141" s="514"/>
      <c r="C141" s="34" t="s">
        <v>765</v>
      </c>
      <c r="D141" s="515"/>
      <c r="E141" s="516"/>
      <c r="F141" s="515"/>
      <c r="G141" s="515"/>
      <c r="H141" s="515"/>
      <c r="I141" s="515"/>
      <c r="J141" s="515"/>
      <c r="K141" s="515"/>
      <c r="L141" s="515"/>
      <c r="M141" s="515"/>
      <c r="N141" s="1126" t="str">
        <f>Preferences.EnergyUnits</f>
        <v>TWh</v>
      </c>
      <c r="O141" s="867"/>
      <c r="W141" s="39"/>
      <c r="X141" s="39"/>
      <c r="Y141" s="39"/>
      <c r="Z141" s="39"/>
      <c r="AA141" s="39"/>
      <c r="AB141" s="39"/>
      <c r="AC141" s="39"/>
      <c r="AD141" s="39"/>
      <c r="AE141" s="39"/>
      <c r="AF141" s="39"/>
      <c r="AG141" s="39"/>
    </row>
    <row r="142" spans="2:33">
      <c r="B142" s="514"/>
      <c r="C142" s="515"/>
      <c r="D142" s="515"/>
      <c r="E142" s="515"/>
      <c r="F142" s="515"/>
      <c r="G142" s="515"/>
      <c r="H142" s="515"/>
      <c r="I142" s="515"/>
      <c r="J142" s="515"/>
      <c r="K142" s="515"/>
      <c r="L142" s="515"/>
      <c r="M142" s="515"/>
      <c r="N142" s="515"/>
      <c r="O142" s="867"/>
      <c r="W142" s="39"/>
      <c r="X142" s="39"/>
      <c r="Y142" s="39"/>
      <c r="Z142" s="39"/>
      <c r="AA142" s="39"/>
      <c r="AB142" s="39"/>
      <c r="AC142" s="39"/>
      <c r="AD142" s="39"/>
      <c r="AE142" s="39"/>
      <c r="AF142" s="39"/>
      <c r="AG142" s="39"/>
    </row>
    <row r="143" spans="2:33" ht="15.75">
      <c r="B143" s="15"/>
      <c r="C143" s="1741" t="s">
        <v>28</v>
      </c>
      <c r="D143" s="1741" t="s">
        <v>29</v>
      </c>
      <c r="E143" s="1741" t="s">
        <v>30</v>
      </c>
      <c r="F143" s="1741" t="s">
        <v>597</v>
      </c>
      <c r="G143" s="1741" t="s">
        <v>133</v>
      </c>
      <c r="H143" s="1741" t="s">
        <v>134</v>
      </c>
      <c r="I143" s="1741" t="s">
        <v>135</v>
      </c>
      <c r="J143" s="1741" t="s">
        <v>136</v>
      </c>
      <c r="K143" s="1741" t="s">
        <v>137</v>
      </c>
      <c r="L143" s="1741" t="s">
        <v>138</v>
      </c>
      <c r="M143" s="1741" t="s">
        <v>139</v>
      </c>
      <c r="N143" s="1741" t="s">
        <v>140</v>
      </c>
      <c r="O143" s="867"/>
      <c r="W143" s="39"/>
      <c r="X143" s="39"/>
      <c r="Y143" s="39"/>
      <c r="Z143" s="39"/>
      <c r="AA143" s="39"/>
      <c r="AB143" s="39"/>
      <c r="AC143" s="39"/>
      <c r="AD143" s="39"/>
      <c r="AE143" s="39"/>
      <c r="AF143" s="39"/>
      <c r="AG143" s="39"/>
    </row>
    <row r="144" spans="2:33" ht="15.75">
      <c r="B144" s="15"/>
      <c r="C144" s="725" t="s">
        <v>97</v>
      </c>
      <c r="D144" s="2487" t="str">
        <f>INDEX(Vectors[Description], MATCH([Vector], Vectors[Code], 0))</f>
        <v>Electricity (supplied to grid)</v>
      </c>
      <c r="E144" s="725"/>
      <c r="F144" s="726">
        <f t="shared" ref="F144:N144" si="19">F$117</f>
        <v>8.3277000000000018E-2</v>
      </c>
      <c r="G144" s="726">
        <f t="shared" si="19"/>
        <v>8.3277000000000018E-2</v>
      </c>
      <c r="H144" s="726">
        <f t="shared" si="19"/>
        <v>8.7660000000000016E-2</v>
      </c>
      <c r="I144" s="726">
        <f t="shared" si="19"/>
        <v>8.7660000000000016E-2</v>
      </c>
      <c r="J144" s="726">
        <f t="shared" si="19"/>
        <v>1.9789245</v>
      </c>
      <c r="K144" s="726">
        <f t="shared" si="19"/>
        <v>5.2267275000000009</v>
      </c>
      <c r="L144" s="726">
        <f t="shared" si="19"/>
        <v>9.1714275000000018</v>
      </c>
      <c r="M144" s="726">
        <f t="shared" si="19"/>
        <v>16.074652500000003</v>
      </c>
      <c r="N144" s="726">
        <f t="shared" si="19"/>
        <v>22.977877500000002</v>
      </c>
      <c r="O144" s="867"/>
      <c r="W144" s="39"/>
      <c r="X144" s="39"/>
      <c r="Y144" s="39"/>
      <c r="Z144" s="39"/>
      <c r="AA144" s="39"/>
      <c r="AB144" s="39"/>
      <c r="AC144" s="39"/>
      <c r="AD144" s="39"/>
      <c r="AE144" s="39"/>
      <c r="AF144" s="39"/>
      <c r="AG144" s="39"/>
    </row>
    <row r="145" spans="1:33" ht="15.75">
      <c r="B145" s="15"/>
      <c r="C145" s="725" t="s">
        <v>447</v>
      </c>
      <c r="D145" s="2487" t="str">
        <f>INDEX(Vectors[Description], MATCH([Vector], Vectors[Code], 0))</f>
        <v>Wind</v>
      </c>
      <c r="E145" s="725"/>
      <c r="F145" s="726">
        <f t="shared" ref="F145:N145" si="20">-F$117</f>
        <v>-8.3277000000000018E-2</v>
      </c>
      <c r="G145" s="726">
        <f t="shared" si="20"/>
        <v>-8.3277000000000018E-2</v>
      </c>
      <c r="H145" s="726">
        <f t="shared" si="20"/>
        <v>-8.7660000000000016E-2</v>
      </c>
      <c r="I145" s="726">
        <f t="shared" si="20"/>
        <v>-8.7660000000000016E-2</v>
      </c>
      <c r="J145" s="726">
        <f t="shared" si="20"/>
        <v>-1.9789245</v>
      </c>
      <c r="K145" s="726">
        <f t="shared" si="20"/>
        <v>-5.2267275000000009</v>
      </c>
      <c r="L145" s="726">
        <f t="shared" si="20"/>
        <v>-9.1714275000000018</v>
      </c>
      <c r="M145" s="726">
        <f t="shared" si="20"/>
        <v>-16.074652500000003</v>
      </c>
      <c r="N145" s="726">
        <f t="shared" si="20"/>
        <v>-22.977877500000002</v>
      </c>
      <c r="O145" s="867"/>
      <c r="W145" s="39"/>
      <c r="X145" s="39"/>
      <c r="Y145" s="39"/>
      <c r="Z145" s="39"/>
      <c r="AA145" s="39"/>
      <c r="AB145" s="39"/>
      <c r="AC145" s="39"/>
      <c r="AD145" s="39"/>
      <c r="AE145" s="39"/>
      <c r="AF145" s="39"/>
      <c r="AG145" s="39"/>
    </row>
    <row r="146" spans="1:33" ht="15.75">
      <c r="B146" s="15"/>
      <c r="C146" s="2463" t="s">
        <v>59</v>
      </c>
      <c r="D146" s="2463"/>
      <c r="E146" s="2463"/>
      <c r="F146" s="2464">
        <f>SUBTOTAL(109,[2013])</f>
        <v>0</v>
      </c>
      <c r="G146" s="2464">
        <f>SUBTOTAL(109,[2015])</f>
        <v>0</v>
      </c>
      <c r="H146" s="2464">
        <f>SUBTOTAL(109,[2020])</f>
        <v>0</v>
      </c>
      <c r="I146" s="2464">
        <f>SUBTOTAL(109,[2025])</f>
        <v>0</v>
      </c>
      <c r="J146" s="2464">
        <f>SUBTOTAL(109,[2030])</f>
        <v>0</v>
      </c>
      <c r="K146" s="2464">
        <f>SUBTOTAL(109,[2035])</f>
        <v>0</v>
      </c>
      <c r="L146" s="2464">
        <f>SUBTOTAL(109,[2040])</f>
        <v>0</v>
      </c>
      <c r="M146" s="2464">
        <f>SUBTOTAL(109,[2045])</f>
        <v>0</v>
      </c>
      <c r="N146" s="2464">
        <f>SUBTOTAL(109,[2050])</f>
        <v>0</v>
      </c>
      <c r="O146" s="1192">
        <f>SUM(O144:O145)</f>
        <v>0</v>
      </c>
      <c r="W146" s="39"/>
      <c r="X146" s="39"/>
      <c r="Y146" s="39"/>
      <c r="Z146" s="39"/>
      <c r="AA146" s="39"/>
      <c r="AB146" s="39"/>
      <c r="AC146" s="39"/>
      <c r="AD146" s="39"/>
      <c r="AE146" s="39"/>
      <c r="AF146" s="39"/>
      <c r="AG146" s="39"/>
    </row>
    <row r="147" spans="1:33" ht="15.75">
      <c r="B147" s="15"/>
      <c r="C147" s="452"/>
      <c r="D147" s="452"/>
      <c r="E147" s="452"/>
      <c r="F147" s="452"/>
      <c r="G147" s="452"/>
      <c r="H147" s="452"/>
      <c r="I147" s="452"/>
      <c r="J147" s="452"/>
      <c r="K147" s="452"/>
      <c r="L147" s="452"/>
      <c r="M147" s="452"/>
      <c r="N147" s="452"/>
      <c r="O147" s="1192">
        <f>SUM(O145:O146)</f>
        <v>0</v>
      </c>
      <c r="W147" s="39"/>
      <c r="X147" s="39"/>
      <c r="Y147" s="39"/>
      <c r="Z147" s="39"/>
      <c r="AA147" s="39"/>
      <c r="AB147" s="39"/>
      <c r="AC147" s="39"/>
      <c r="AD147" s="39"/>
      <c r="AE147" s="39"/>
      <c r="AF147" s="39"/>
      <c r="AG147" s="39"/>
    </row>
    <row r="148" spans="1:33">
      <c r="W148" s="39"/>
      <c r="X148" s="39"/>
      <c r="Y148" s="39"/>
      <c r="Z148" s="39"/>
      <c r="AA148" s="39"/>
      <c r="AB148" s="39"/>
      <c r="AC148" s="39"/>
      <c r="AD148" s="39"/>
      <c r="AE148" s="39"/>
      <c r="AF148" s="39"/>
      <c r="AG148" s="39"/>
    </row>
    <row r="149" spans="1:33" ht="15.75">
      <c r="B149" s="995" t="s">
        <v>313</v>
      </c>
      <c r="C149" s="996"/>
      <c r="D149" s="997"/>
      <c r="E149" s="997"/>
      <c r="F149" s="997"/>
      <c r="G149" s="997"/>
      <c r="H149" s="997"/>
      <c r="I149" s="997"/>
      <c r="J149" s="997"/>
      <c r="K149" s="997"/>
      <c r="L149" s="997"/>
      <c r="M149" s="997"/>
      <c r="N149" s="997"/>
      <c r="O149" s="998"/>
      <c r="W149" s="39"/>
      <c r="X149" s="39"/>
      <c r="Y149" s="39"/>
      <c r="Z149" s="39"/>
      <c r="AA149" s="39"/>
      <c r="AB149" s="39"/>
      <c r="AC149" s="39"/>
      <c r="AD149" s="39"/>
      <c r="AE149" s="39"/>
      <c r="AF149" s="39"/>
      <c r="AG149" s="39"/>
    </row>
    <row r="150" spans="1:33">
      <c r="B150" s="999"/>
      <c r="C150" s="1000"/>
      <c r="D150" s="1000"/>
      <c r="E150" s="1000"/>
      <c r="F150" s="1000"/>
      <c r="G150" s="1000"/>
      <c r="H150" s="1000"/>
      <c r="I150" s="1000"/>
      <c r="J150" s="1000"/>
      <c r="K150" s="1000"/>
      <c r="L150" s="1000"/>
      <c r="M150" s="1000"/>
      <c r="N150" s="1000"/>
      <c r="O150" s="1001"/>
      <c r="W150" s="39"/>
      <c r="X150" s="39"/>
      <c r="Y150" s="39"/>
      <c r="Z150" s="39"/>
      <c r="AA150" s="39"/>
      <c r="AB150" s="39"/>
      <c r="AC150" s="39"/>
      <c r="AD150" s="39"/>
      <c r="AE150" s="39"/>
      <c r="AF150" s="39"/>
      <c r="AG150" s="39"/>
    </row>
    <row r="151" spans="1:33">
      <c r="B151" s="1002"/>
      <c r="C151" s="488" t="s">
        <v>314</v>
      </c>
      <c r="D151" s="1003"/>
      <c r="E151" s="1004"/>
      <c r="F151" s="1003"/>
      <c r="G151" s="1003"/>
      <c r="H151" s="1003"/>
      <c r="I151" s="1003"/>
      <c r="J151" s="1003"/>
      <c r="K151" s="1003"/>
      <c r="L151" s="1003"/>
      <c r="M151" s="1003"/>
      <c r="N151" s="1004"/>
      <c r="O151" s="1005"/>
      <c r="W151" s="39"/>
      <c r="X151" s="39"/>
      <c r="Y151" s="39"/>
      <c r="Z151" s="39"/>
      <c r="AA151" s="39"/>
      <c r="AB151" s="39"/>
      <c r="AC151" s="39"/>
      <c r="AD151" s="39"/>
      <c r="AE151" s="39"/>
      <c r="AF151" s="39"/>
      <c r="AG151" s="39"/>
    </row>
    <row r="152" spans="1:33">
      <c r="B152" s="1002"/>
      <c r="C152" s="1003"/>
      <c r="D152" s="1003"/>
      <c r="E152" s="1003"/>
      <c r="F152" s="1003"/>
      <c r="G152" s="1003"/>
      <c r="H152" s="1003"/>
      <c r="I152" s="1003"/>
      <c r="J152" s="1003"/>
      <c r="K152" s="1003"/>
      <c r="L152" s="1003"/>
      <c r="M152" s="1003"/>
      <c r="N152" s="1003"/>
      <c r="O152" s="1005"/>
      <c r="W152" s="39"/>
      <c r="X152" s="39"/>
      <c r="Y152" s="39"/>
      <c r="Z152" s="39"/>
      <c r="AA152" s="39"/>
      <c r="AB152" s="39"/>
      <c r="AC152" s="39"/>
      <c r="AD152" s="39"/>
      <c r="AE152" s="39"/>
      <c r="AF152" s="39"/>
      <c r="AG152" s="39"/>
    </row>
    <row r="153" spans="1:33" ht="15.75">
      <c r="B153" s="492"/>
      <c r="C153" s="1006" t="s">
        <v>28</v>
      </c>
      <c r="D153" s="1006" t="s">
        <v>315</v>
      </c>
      <c r="E153" s="1006" t="s">
        <v>30</v>
      </c>
      <c r="F153" s="1006" t="s">
        <v>597</v>
      </c>
      <c r="G153" s="1006" t="s">
        <v>133</v>
      </c>
      <c r="H153" s="1006" t="s">
        <v>134</v>
      </c>
      <c r="I153" s="1006" t="s">
        <v>135</v>
      </c>
      <c r="J153" s="1006" t="s">
        <v>136</v>
      </c>
      <c r="K153" s="1006" t="s">
        <v>137</v>
      </c>
      <c r="L153" s="1006" t="s">
        <v>138</v>
      </c>
      <c r="M153" s="1006" t="s">
        <v>139</v>
      </c>
      <c r="N153" s="1006" t="s">
        <v>140</v>
      </c>
      <c r="O153" s="1005"/>
      <c r="W153" s="39"/>
      <c r="X153" s="39"/>
      <c r="Y153" s="39"/>
      <c r="Z153" s="39"/>
      <c r="AA153" s="39"/>
      <c r="AB153" s="39"/>
      <c r="AC153" s="39"/>
      <c r="AD153" s="39"/>
      <c r="AE153" s="39"/>
      <c r="AF153" s="39"/>
      <c r="AG153" s="39"/>
    </row>
    <row r="154" spans="1:33" ht="23.25">
      <c r="A154" s="7"/>
      <c r="B154" s="492"/>
      <c r="C154" s="1007" t="s">
        <v>878</v>
      </c>
      <c r="D154" s="1007" t="str">
        <f>"offshore wind area if "&amp;ROUND($F$62*Unit.m2/(Unit.W*Conversion.to.annual.energy),1)&amp;" W/m2"</f>
        <v>offshore wind area if 9 W/m2</v>
      </c>
      <c r="E154" s="494" t="str">
        <f>Preferences.AreaUnits</f>
        <v>km^2</v>
      </c>
      <c r="F154" s="1008">
        <f t="shared" ref="F154:N154" si="21">F122</f>
        <v>1.0555555555555558</v>
      </c>
      <c r="G154" s="1008">
        <f t="shared" si="21"/>
        <v>1.0555555555555558</v>
      </c>
      <c r="H154" s="1008">
        <f t="shared" si="21"/>
        <v>1.1111111111111112</v>
      </c>
      <c r="I154" s="1008">
        <f t="shared" si="21"/>
        <v>1.1111111111111112</v>
      </c>
      <c r="J154" s="1008">
        <f t="shared" si="21"/>
        <v>25.083333333333332</v>
      </c>
      <c r="K154" s="1008">
        <f t="shared" si="21"/>
        <v>66.25</v>
      </c>
      <c r="L154" s="1008">
        <f t="shared" si="21"/>
        <v>116.25000000000001</v>
      </c>
      <c r="M154" s="1008">
        <f t="shared" si="21"/>
        <v>203.75000000000003</v>
      </c>
      <c r="N154" s="1008">
        <f t="shared" si="21"/>
        <v>291.25</v>
      </c>
      <c r="O154" s="1005"/>
      <c r="W154" s="39"/>
      <c r="X154" s="39"/>
      <c r="Y154" s="39"/>
      <c r="Z154" s="39"/>
      <c r="AA154" s="39"/>
      <c r="AB154" s="39"/>
      <c r="AC154" s="39"/>
      <c r="AD154" s="39"/>
      <c r="AE154" s="39"/>
      <c r="AF154" s="39"/>
      <c r="AG154" s="39"/>
    </row>
    <row r="155" spans="1:33" ht="15.75">
      <c r="B155" s="492"/>
      <c r="C155" s="1007" t="s">
        <v>767</v>
      </c>
      <c r="D155" s="494" t="s">
        <v>879</v>
      </c>
      <c r="E155" s="494" t="str">
        <f>Preferences.PowerUnits</f>
        <v>GW</v>
      </c>
      <c r="F155" s="1008">
        <f t="shared" ref="F155:N155" si="22">F110</f>
        <v>2.5000000000000001E-2</v>
      </c>
      <c r="G155" s="1008">
        <f t="shared" si="22"/>
        <v>2.5000000000000001E-2</v>
      </c>
      <c r="H155" s="1008">
        <f t="shared" si="22"/>
        <v>2.5000000000000001E-2</v>
      </c>
      <c r="I155" s="1008">
        <f t="shared" si="22"/>
        <v>2.5000000000000001E-2</v>
      </c>
      <c r="J155" s="1008">
        <f t="shared" si="22"/>
        <v>0.52500000000000002</v>
      </c>
      <c r="K155" s="1008">
        <f t="shared" si="22"/>
        <v>1.3250000000000002</v>
      </c>
      <c r="L155" s="1008">
        <f t="shared" si="22"/>
        <v>2.3250000000000002</v>
      </c>
      <c r="M155" s="1008">
        <f t="shared" si="22"/>
        <v>4.0750000000000002</v>
      </c>
      <c r="N155" s="1008">
        <f t="shared" si="22"/>
        <v>5.8250000000000002</v>
      </c>
      <c r="O155" s="1005"/>
    </row>
    <row r="156" spans="1:33" ht="15.75">
      <c r="B156" s="492"/>
      <c r="C156" s="1007" t="s">
        <v>316</v>
      </c>
      <c r="D156" s="494" t="str">
        <f>"Approximate number if "&amp;$F$61/Unit.MW&amp;" MW turbines"</f>
        <v>Approximate number if 5.8 MW turbines</v>
      </c>
      <c r="E156" s="1007" t="s">
        <v>760</v>
      </c>
      <c r="F156" s="1193">
        <f t="shared" ref="F156:N156" si="23">F120</f>
        <v>4.3103448275862073</v>
      </c>
      <c r="G156" s="496">
        <f t="shared" si="23"/>
        <v>4.3103448275862073</v>
      </c>
      <c r="H156" s="496">
        <f t="shared" si="23"/>
        <v>4.3103448275862073</v>
      </c>
      <c r="I156" s="496">
        <f t="shared" si="23"/>
        <v>4.3103448275862073</v>
      </c>
      <c r="J156" s="496" t="str">
        <f t="shared" si="23"/>
        <v xml:space="preserve"> </v>
      </c>
      <c r="K156" s="496">
        <f t="shared" si="23"/>
        <v>228.44827586206901</v>
      </c>
      <c r="L156" s="496">
        <f t="shared" si="23"/>
        <v>400.86206896551732</v>
      </c>
      <c r="M156" s="496">
        <f t="shared" si="23"/>
        <v>702.58620689655186</v>
      </c>
      <c r="N156" s="496">
        <f t="shared" si="23"/>
        <v>1004.3103448275863</v>
      </c>
      <c r="O156" s="1005"/>
    </row>
    <row r="157" spans="1:33" ht="15.75">
      <c r="B157" s="497"/>
      <c r="C157" s="1010"/>
      <c r="D157" s="1010"/>
      <c r="E157" s="1010"/>
      <c r="F157" s="1010"/>
      <c r="G157" s="1010"/>
      <c r="H157" s="1010"/>
      <c r="I157" s="1010"/>
      <c r="J157" s="1010"/>
      <c r="K157" s="1010"/>
      <c r="L157" s="1010"/>
      <c r="M157" s="1010"/>
      <c r="N157" s="1010"/>
      <c r="O157" s="1011"/>
    </row>
    <row r="158" spans="1:33" ht="15.75">
      <c r="A158" s="443"/>
    </row>
    <row r="159" spans="1:33" ht="15.75">
      <c r="A159" s="443"/>
      <c r="B159" s="995" t="s">
        <v>2795</v>
      </c>
      <c r="C159" s="997"/>
      <c r="D159" s="997"/>
      <c r="E159" s="997"/>
      <c r="F159" s="997"/>
      <c r="G159" s="997"/>
      <c r="H159" s="997"/>
      <c r="I159" s="997"/>
      <c r="J159" s="997"/>
      <c r="K159" s="997"/>
      <c r="L159" s="997"/>
      <c r="M159" s="997"/>
      <c r="N159" s="997"/>
      <c r="O159" s="998"/>
    </row>
    <row r="160" spans="1:33" ht="15.75" hidden="1">
      <c r="A160" s="443"/>
      <c r="B160" s="1002"/>
      <c r="C160" s="1003"/>
      <c r="D160" s="1003"/>
      <c r="E160" s="1003"/>
      <c r="F160" s="1003"/>
      <c r="G160" s="1003"/>
      <c r="H160" s="1003"/>
      <c r="I160" s="1003"/>
      <c r="J160" s="1003"/>
      <c r="K160" s="1003"/>
      <c r="L160" s="1003"/>
      <c r="M160" s="1003"/>
      <c r="N160" s="1003"/>
      <c r="O160" s="1005"/>
    </row>
    <row r="161" spans="1:17" ht="15.75" hidden="1">
      <c r="A161" s="443"/>
      <c r="B161" s="1002"/>
      <c r="C161" s="500" t="s">
        <v>770</v>
      </c>
      <c r="D161" s="1012"/>
      <c r="E161" s="1012"/>
      <c r="F161" s="1012"/>
      <c r="G161" s="1012"/>
      <c r="H161" s="1012"/>
      <c r="I161" s="1012"/>
      <c r="J161" s="1012"/>
      <c r="K161" s="1012"/>
      <c r="L161" s="1012"/>
      <c r="M161" s="1012"/>
      <c r="N161" s="1013" t="s">
        <v>2812</v>
      </c>
      <c r="O161" s="1005"/>
      <c r="Q161" t="s">
        <v>5</v>
      </c>
    </row>
    <row r="162" spans="1:17" ht="15.75" hidden="1">
      <c r="A162" s="443"/>
      <c r="B162" s="1002"/>
      <c r="C162" s="1003"/>
      <c r="D162" s="1003"/>
      <c r="E162" s="1003"/>
      <c r="F162" s="1003"/>
      <c r="G162" s="1003"/>
      <c r="H162" s="1003"/>
      <c r="I162" s="1003"/>
      <c r="J162" s="1003"/>
      <c r="K162" s="1003"/>
      <c r="L162" s="1003"/>
      <c r="M162" s="1003"/>
      <c r="N162" s="1003"/>
      <c r="O162" s="1005"/>
    </row>
    <row r="163" spans="1:17" ht="15.75" hidden="1">
      <c r="B163" s="492"/>
      <c r="C163" s="1006" t="s">
        <v>28</v>
      </c>
      <c r="D163" s="1006" t="s">
        <v>29</v>
      </c>
      <c r="E163" s="1006" t="s">
        <v>30</v>
      </c>
      <c r="F163" s="1006">
        <v>2013</v>
      </c>
      <c r="G163" s="1006" t="s">
        <v>133</v>
      </c>
      <c r="H163" s="1006" t="s">
        <v>134</v>
      </c>
      <c r="I163" s="1006" t="s">
        <v>135</v>
      </c>
      <c r="J163" s="1006" t="s">
        <v>136</v>
      </c>
      <c r="K163" s="1006" t="s">
        <v>137</v>
      </c>
      <c r="L163" s="1006" t="s">
        <v>138</v>
      </c>
      <c r="M163" s="1006" t="s">
        <v>139</v>
      </c>
      <c r="N163" s="1006" t="s">
        <v>140</v>
      </c>
      <c r="O163" s="1150"/>
    </row>
    <row r="164" spans="1:17" ht="15.75" hidden="1">
      <c r="B164" s="492"/>
      <c r="C164" s="1007" t="s">
        <v>328</v>
      </c>
      <c r="D164" s="494" t="s">
        <v>329</v>
      </c>
      <c r="E164" s="494"/>
      <c r="F164" s="1008">
        <f t="shared" ref="F164:N165" si="24">F135</f>
        <v>0</v>
      </c>
      <c r="G164" s="1008">
        <f t="shared" si="24"/>
        <v>0</v>
      </c>
      <c r="H164" s="1008">
        <f t="shared" si="24"/>
        <v>0</v>
      </c>
      <c r="I164" s="1008">
        <f t="shared" si="24"/>
        <v>0</v>
      </c>
      <c r="J164" s="1008">
        <f t="shared" si="24"/>
        <v>0</v>
      </c>
      <c r="K164" s="1008">
        <f t="shared" si="24"/>
        <v>0</v>
      </c>
      <c r="L164" s="1008">
        <f t="shared" si="24"/>
        <v>0</v>
      </c>
      <c r="M164" s="1008">
        <f t="shared" si="24"/>
        <v>0</v>
      </c>
      <c r="N164" s="1008">
        <f t="shared" si="24"/>
        <v>0</v>
      </c>
      <c r="O164" s="1150"/>
    </row>
    <row r="165" spans="1:17" ht="15.75" hidden="1">
      <c r="B165" s="492"/>
      <c r="C165" s="1007" t="s">
        <v>335</v>
      </c>
      <c r="D165" s="494" t="s">
        <v>336</v>
      </c>
      <c r="E165" s="494"/>
      <c r="F165" s="1008">
        <f t="shared" si="24"/>
        <v>0</v>
      </c>
      <c r="G165" s="1008">
        <f t="shared" si="24"/>
        <v>0</v>
      </c>
      <c r="H165" s="1008">
        <f t="shared" si="24"/>
        <v>0</v>
      </c>
      <c r="I165" s="1008">
        <f t="shared" si="24"/>
        <v>0</v>
      </c>
      <c r="J165" s="1008" t="e">
        <f t="shared" si="24"/>
        <v>#VALUE!</v>
      </c>
      <c r="K165" s="1008">
        <f t="shared" si="24"/>
        <v>0</v>
      </c>
      <c r="L165" s="1008">
        <f t="shared" si="24"/>
        <v>0</v>
      </c>
      <c r="M165" s="1008">
        <f t="shared" si="24"/>
        <v>0</v>
      </c>
      <c r="N165" s="1008">
        <f t="shared" si="24"/>
        <v>0</v>
      </c>
      <c r="O165" s="1150"/>
    </row>
    <row r="166" spans="1:17" ht="15.75" hidden="1">
      <c r="B166" s="492"/>
      <c r="C166" s="1007" t="s">
        <v>326</v>
      </c>
      <c r="D166" s="494" t="s">
        <v>327</v>
      </c>
      <c r="E166" s="494"/>
      <c r="F166" s="1008">
        <f>F130</f>
        <v>0</v>
      </c>
      <c r="G166" s="1008">
        <f t="shared" ref="G166:N167" si="25">G130</f>
        <v>0</v>
      </c>
      <c r="H166" s="1008">
        <f t="shared" si="25"/>
        <v>0</v>
      </c>
      <c r="I166" s="1008">
        <f t="shared" si="25"/>
        <v>0</v>
      </c>
      <c r="J166" s="1008">
        <f t="shared" si="25"/>
        <v>0</v>
      </c>
      <c r="K166" s="1008">
        <f t="shared" si="25"/>
        <v>0</v>
      </c>
      <c r="L166" s="1008">
        <f t="shared" si="25"/>
        <v>0</v>
      </c>
      <c r="M166" s="1008">
        <f t="shared" si="25"/>
        <v>0</v>
      </c>
      <c r="N166" s="1008">
        <f t="shared" si="25"/>
        <v>0</v>
      </c>
      <c r="O166" s="1150"/>
    </row>
    <row r="167" spans="1:17" ht="15.75" hidden="1">
      <c r="B167" s="492"/>
      <c r="C167" s="1007" t="s">
        <v>333</v>
      </c>
      <c r="D167" s="494" t="s">
        <v>334</v>
      </c>
      <c r="E167" s="494"/>
      <c r="F167" s="1008">
        <f>F131</f>
        <v>0</v>
      </c>
      <c r="G167" s="1008">
        <f t="shared" si="25"/>
        <v>0</v>
      </c>
      <c r="H167" s="1008">
        <f t="shared" si="25"/>
        <v>0</v>
      </c>
      <c r="I167" s="1008">
        <f t="shared" si="25"/>
        <v>0</v>
      </c>
      <c r="J167" s="1008" t="e">
        <f t="shared" si="25"/>
        <v>#VALUE!</v>
      </c>
      <c r="K167" s="1008">
        <f t="shared" si="25"/>
        <v>0</v>
      </c>
      <c r="L167" s="1008">
        <f t="shared" si="25"/>
        <v>0</v>
      </c>
      <c r="M167" s="1008">
        <f t="shared" si="25"/>
        <v>0</v>
      </c>
      <c r="N167" s="1008">
        <f t="shared" si="25"/>
        <v>0</v>
      </c>
      <c r="O167" s="1150"/>
    </row>
    <row r="168" spans="1:17" hidden="1">
      <c r="B168" s="503"/>
      <c r="C168" s="1007" t="s">
        <v>324</v>
      </c>
      <c r="D168" s="494" t="s">
        <v>325</v>
      </c>
      <c r="E168" s="494"/>
      <c r="F168" s="1008">
        <f t="shared" ref="F168:N169" si="26">F125</f>
        <v>0</v>
      </c>
      <c r="G168" s="1008">
        <f t="shared" si="26"/>
        <v>0</v>
      </c>
      <c r="H168" s="1008">
        <f t="shared" si="26"/>
        <v>0</v>
      </c>
      <c r="I168" s="1008">
        <f t="shared" si="26"/>
        <v>0</v>
      </c>
      <c r="J168" s="1008">
        <f t="shared" si="26"/>
        <v>0</v>
      </c>
      <c r="K168" s="1008">
        <f t="shared" si="26"/>
        <v>0</v>
      </c>
      <c r="L168" s="1008">
        <f t="shared" si="26"/>
        <v>0</v>
      </c>
      <c r="M168" s="1008">
        <f t="shared" si="26"/>
        <v>0</v>
      </c>
      <c r="N168" s="1008">
        <f t="shared" si="26"/>
        <v>0</v>
      </c>
      <c r="O168" s="1151"/>
    </row>
    <row r="169" spans="1:17" hidden="1">
      <c r="B169" s="503"/>
      <c r="C169" s="1007" t="s">
        <v>331</v>
      </c>
      <c r="D169" s="494" t="s">
        <v>332</v>
      </c>
      <c r="E169" s="494"/>
      <c r="F169" s="1194">
        <f t="shared" si="26"/>
        <v>0</v>
      </c>
      <c r="G169" s="1194">
        <f t="shared" si="26"/>
        <v>0</v>
      </c>
      <c r="H169" s="1194">
        <f t="shared" si="26"/>
        <v>0</v>
      </c>
      <c r="I169" s="1194">
        <f t="shared" si="26"/>
        <v>0</v>
      </c>
      <c r="J169" s="1194" t="e">
        <f t="shared" si="26"/>
        <v>#VALUE!</v>
      </c>
      <c r="K169" s="1194">
        <f t="shared" si="26"/>
        <v>0</v>
      </c>
      <c r="L169" s="1194">
        <f t="shared" si="26"/>
        <v>0</v>
      </c>
      <c r="M169" s="1194">
        <f t="shared" si="26"/>
        <v>0</v>
      </c>
      <c r="N169" s="1194">
        <f t="shared" si="26"/>
        <v>0</v>
      </c>
      <c r="O169" s="1151"/>
    </row>
    <row r="170" spans="1:17" hidden="1">
      <c r="B170" s="1014"/>
      <c r="C170" s="1010"/>
      <c r="D170" s="1010"/>
      <c r="E170" s="1010"/>
      <c r="F170" s="1010"/>
      <c r="G170" s="1010"/>
      <c r="H170" s="1010"/>
      <c r="I170" s="1010"/>
      <c r="J170" s="1010"/>
      <c r="K170" s="1010"/>
      <c r="L170" s="1010"/>
      <c r="M170" s="1010"/>
      <c r="N170" s="1010"/>
      <c r="O170" s="1015"/>
    </row>
  </sheetData>
  <pageMargins left="0.7" right="0.7" top="0.75" bottom="0.75" header="0.3" footer="0.3"/>
  <tableParts count="2">
    <tablePart r:id="rId1"/>
    <tablePart r:id="rId2"/>
  </tableParts>
</worksheet>
</file>

<file path=xl/worksheets/sheet19.xml><?xml version="1.0" encoding="utf-8"?>
<worksheet xmlns="http://schemas.openxmlformats.org/spreadsheetml/2006/main" xmlns:r="http://schemas.openxmlformats.org/officeDocument/2006/relationships">
  <sheetPr>
    <tabColor theme="9"/>
  </sheetPr>
  <dimension ref="A1:DI149"/>
  <sheetViews>
    <sheetView showGridLines="0" zoomScale="80" zoomScaleNormal="80" workbookViewId="0">
      <selection activeCell="D26" sqref="D26"/>
    </sheetView>
  </sheetViews>
  <sheetFormatPr defaultColWidth="8.85546875" defaultRowHeight="15"/>
  <cols>
    <col min="1" max="1" width="7.7109375" style="2446" customWidth="1"/>
    <col min="2" max="2" width="5.85546875" style="2446" customWidth="1"/>
    <col min="3" max="3" width="20.42578125" style="2446" customWidth="1"/>
    <col min="4" max="4" width="30.7109375" style="2446" customWidth="1"/>
    <col min="5" max="5" width="20.7109375" style="2446" customWidth="1"/>
    <col min="6" max="14" width="17.7109375" style="2446" customWidth="1"/>
    <col min="15" max="15" width="2" style="2446" customWidth="1"/>
    <col min="16" max="16" width="10.85546875" style="2446" customWidth="1"/>
    <col min="17" max="16384" width="8.85546875" style="2446"/>
  </cols>
  <sheetData>
    <row r="1" spans="1:17" ht="20.25">
      <c r="A1" s="863" t="s">
        <v>532</v>
      </c>
      <c r="B1" s="863" t="s">
        <v>533</v>
      </c>
      <c r="C1" s="863"/>
      <c r="G1" s="3854"/>
    </row>
    <row r="2" spans="1:17" s="6" customFormat="1" ht="15.75">
      <c r="A2" s="864" t="s">
        <v>524</v>
      </c>
      <c r="B2" s="864" t="s">
        <v>525</v>
      </c>
      <c r="C2" s="864"/>
      <c r="E2" s="5"/>
    </row>
    <row r="4" spans="1:17" ht="23.25">
      <c r="A4" s="7"/>
      <c r="B4" s="511" t="s">
        <v>6</v>
      </c>
      <c r="C4" s="512"/>
      <c r="D4" s="512"/>
      <c r="E4" s="512"/>
      <c r="F4" s="512"/>
      <c r="G4" s="512"/>
      <c r="H4" s="512"/>
      <c r="I4" s="512"/>
      <c r="J4" s="512"/>
      <c r="K4" s="512"/>
      <c r="L4" s="512"/>
      <c r="M4" s="512"/>
      <c r="N4" s="512"/>
      <c r="O4" s="866"/>
    </row>
    <row r="5" spans="1:17">
      <c r="B5" s="514"/>
      <c r="C5" s="515"/>
      <c r="D5" s="515"/>
      <c r="E5" s="515"/>
      <c r="F5" s="515"/>
      <c r="G5" s="515"/>
      <c r="H5" s="515"/>
      <c r="I5" s="515"/>
      <c r="J5" s="515"/>
      <c r="K5" s="515"/>
      <c r="L5" s="515"/>
      <c r="M5" s="515"/>
      <c r="N5" s="515"/>
      <c r="O5" s="867"/>
    </row>
    <row r="6" spans="1:17">
      <c r="B6" s="514"/>
      <c r="C6" s="12"/>
      <c r="D6" s="515"/>
      <c r="E6" s="516"/>
      <c r="F6" s="515"/>
      <c r="G6" s="515"/>
      <c r="H6" s="515"/>
      <c r="I6" s="515"/>
      <c r="J6" s="515"/>
      <c r="K6" s="515"/>
      <c r="L6" s="515"/>
      <c r="M6" s="515"/>
      <c r="N6" s="515"/>
      <c r="O6" s="867"/>
    </row>
    <row r="7" spans="1:17" ht="15.75">
      <c r="B7" s="15"/>
      <c r="C7" s="515"/>
      <c r="D7" s="16" t="s">
        <v>7</v>
      </c>
      <c r="E7" s="16" t="s">
        <v>8</v>
      </c>
      <c r="F7" s="515"/>
      <c r="G7" s="515"/>
      <c r="H7" s="515"/>
      <c r="I7" s="515"/>
      <c r="J7" s="515"/>
      <c r="K7" s="515"/>
      <c r="L7" s="515"/>
      <c r="M7" s="515"/>
      <c r="N7" s="515"/>
      <c r="O7" s="867"/>
    </row>
    <row r="8" spans="1:17" ht="15.75">
      <c r="B8" s="15"/>
      <c r="C8" s="515"/>
      <c r="D8" s="868" t="s">
        <v>1269</v>
      </c>
      <c r="E8" s="868">
        <f>III.b.Scenario</f>
        <v>1</v>
      </c>
      <c r="F8" s="515"/>
      <c r="G8" s="515"/>
      <c r="H8" s="515"/>
      <c r="I8" s="515"/>
      <c r="J8" s="515"/>
      <c r="K8" s="515"/>
      <c r="L8" s="515"/>
      <c r="M8" s="515"/>
      <c r="N8" s="515"/>
      <c r="O8" s="867"/>
    </row>
    <row r="9" spans="1:17">
      <c r="B9" s="1252"/>
      <c r="C9" s="869"/>
      <c r="D9" s="869"/>
      <c r="E9" s="869"/>
      <c r="F9" s="869"/>
      <c r="G9" s="869"/>
      <c r="H9" s="869"/>
      <c r="I9" s="869"/>
      <c r="J9" s="869"/>
      <c r="K9" s="869"/>
      <c r="L9" s="869"/>
      <c r="M9" s="869"/>
      <c r="N9" s="869"/>
      <c r="O9" s="870"/>
    </row>
    <row r="11" spans="1:17" ht="23.25">
      <c r="A11" s="7"/>
      <c r="B11" s="878" t="s">
        <v>33</v>
      </c>
      <c r="C11" s="879"/>
      <c r="D11" s="879"/>
      <c r="E11" s="879"/>
      <c r="F11" s="879"/>
      <c r="G11" s="879"/>
      <c r="H11" s="879"/>
      <c r="I11" s="879"/>
      <c r="J11" s="879"/>
      <c r="K11" s="879"/>
      <c r="L11" s="879"/>
      <c r="M11" s="879"/>
      <c r="N11" s="879"/>
      <c r="O11" s="880"/>
    </row>
    <row r="12" spans="1:17">
      <c r="B12" s="110"/>
      <c r="C12" s="67"/>
      <c r="D12" s="67"/>
      <c r="E12" s="67"/>
      <c r="F12" s="67"/>
      <c r="G12" s="67"/>
      <c r="H12" s="67"/>
      <c r="I12" s="67"/>
      <c r="J12" s="67"/>
      <c r="K12" s="67"/>
      <c r="L12" s="67"/>
      <c r="M12" s="67"/>
      <c r="N12" s="67"/>
      <c r="O12" s="885"/>
    </row>
    <row r="13" spans="1:17">
      <c r="B13" s="110"/>
      <c r="C13" s="49" t="s">
        <v>1892</v>
      </c>
      <c r="D13" s="67"/>
      <c r="E13" s="51"/>
      <c r="F13" s="67"/>
      <c r="G13" s="67"/>
      <c r="H13" s="67"/>
      <c r="I13" s="67"/>
      <c r="J13" s="67"/>
      <c r="K13" s="67"/>
      <c r="L13" s="67"/>
      <c r="M13" s="67"/>
      <c r="N13" s="51" t="str">
        <f>Preferences.PowerUnits</f>
        <v>GW</v>
      </c>
      <c r="O13" s="885"/>
    </row>
    <row r="14" spans="1:17">
      <c r="B14" s="110"/>
      <c r="C14" s="67"/>
      <c r="D14" s="67"/>
      <c r="E14" s="67"/>
      <c r="F14" s="67"/>
      <c r="G14" s="67"/>
      <c r="H14" s="67"/>
      <c r="I14" s="67"/>
      <c r="J14" s="67"/>
      <c r="K14" s="67"/>
      <c r="L14" s="67"/>
      <c r="M14" s="67"/>
      <c r="N14" s="67"/>
      <c r="O14" s="885"/>
    </row>
    <row r="15" spans="1:17" ht="15.75">
      <c r="B15" s="55"/>
      <c r="C15" s="887" t="s">
        <v>8</v>
      </c>
      <c r="D15" s="887" t="s">
        <v>72</v>
      </c>
      <c r="E15" s="887" t="s">
        <v>30</v>
      </c>
      <c r="F15" s="92">
        <v>2013</v>
      </c>
      <c r="G15" s="92">
        <v>2015</v>
      </c>
      <c r="H15" s="92">
        <v>2020</v>
      </c>
      <c r="I15" s="92">
        <v>2025</v>
      </c>
      <c r="J15" s="92">
        <v>2030</v>
      </c>
      <c r="K15" s="92">
        <v>2035</v>
      </c>
      <c r="L15" s="92">
        <v>2040</v>
      </c>
      <c r="M15" s="92">
        <v>2045</v>
      </c>
      <c r="N15" s="92">
        <v>2050</v>
      </c>
      <c r="O15" s="885"/>
    </row>
    <row r="16" spans="1:17" ht="15.75">
      <c r="B16" s="975"/>
      <c r="C16" s="65">
        <v>1</v>
      </c>
      <c r="D16" s="108"/>
      <c r="E16" s="890"/>
      <c r="F16" s="59">
        <f t="shared" ref="F16:N19" si="0">(Unit.GW)*0.237</f>
        <v>0.23699999999999999</v>
      </c>
      <c r="G16" s="59">
        <f t="shared" si="0"/>
        <v>0.23699999999999999</v>
      </c>
      <c r="H16" s="59">
        <f t="shared" si="0"/>
        <v>0.23699999999999999</v>
      </c>
      <c r="I16" s="59">
        <f t="shared" si="0"/>
        <v>0.23699999999999999</v>
      </c>
      <c r="J16" s="59">
        <f t="shared" si="0"/>
        <v>0.23699999999999999</v>
      </c>
      <c r="K16" s="59">
        <f t="shared" si="0"/>
        <v>0.23699999999999999</v>
      </c>
      <c r="L16" s="59">
        <f t="shared" si="0"/>
        <v>0.23699999999999999</v>
      </c>
      <c r="M16" s="59">
        <f t="shared" si="0"/>
        <v>0.23699999999999999</v>
      </c>
      <c r="N16" s="59">
        <f t="shared" si="0"/>
        <v>0.23699999999999999</v>
      </c>
      <c r="O16" s="893"/>
      <c r="Q16" s="723"/>
    </row>
    <row r="17" spans="1:30" ht="15.75">
      <c r="B17" s="55"/>
      <c r="C17" s="65">
        <v>2</v>
      </c>
      <c r="D17" s="108"/>
      <c r="E17" s="108" t="s">
        <v>67</v>
      </c>
      <c r="F17" s="59">
        <f t="shared" si="0"/>
        <v>0.23699999999999999</v>
      </c>
      <c r="G17" s="59">
        <f t="shared" si="0"/>
        <v>0.23699999999999999</v>
      </c>
      <c r="H17" s="59">
        <f t="shared" si="0"/>
        <v>0.23699999999999999</v>
      </c>
      <c r="I17" s="59">
        <f t="shared" si="0"/>
        <v>0.23699999999999999</v>
      </c>
      <c r="J17" s="59">
        <f t="shared" si="0"/>
        <v>0.23699999999999999</v>
      </c>
      <c r="K17" s="59">
        <f t="shared" si="0"/>
        <v>0.23699999999999999</v>
      </c>
      <c r="L17" s="59">
        <f t="shared" si="0"/>
        <v>0.23699999999999999</v>
      </c>
      <c r="M17" s="59">
        <f t="shared" si="0"/>
        <v>0.23699999999999999</v>
      </c>
      <c r="N17" s="59">
        <f t="shared" si="0"/>
        <v>0.23699999999999999</v>
      </c>
      <c r="O17" s="885"/>
      <c r="Q17" s="723"/>
    </row>
    <row r="18" spans="1:30" ht="15.75">
      <c r="B18" s="55"/>
      <c r="C18" s="65">
        <v>3</v>
      </c>
      <c r="D18" s="108"/>
      <c r="E18" s="108"/>
      <c r="F18" s="59">
        <f t="shared" si="0"/>
        <v>0.23699999999999999</v>
      </c>
      <c r="G18" s="59">
        <f t="shared" si="0"/>
        <v>0.23699999999999999</v>
      </c>
      <c r="H18" s="59">
        <f t="shared" si="0"/>
        <v>0.23699999999999999</v>
      </c>
      <c r="I18" s="59">
        <f t="shared" si="0"/>
        <v>0.23699999999999999</v>
      </c>
      <c r="J18" s="59">
        <f t="shared" si="0"/>
        <v>0.23699999999999999</v>
      </c>
      <c r="K18" s="59">
        <f t="shared" si="0"/>
        <v>0.23699999999999999</v>
      </c>
      <c r="L18" s="59">
        <f t="shared" si="0"/>
        <v>0.23699999999999999</v>
      </c>
      <c r="M18" s="59">
        <f t="shared" si="0"/>
        <v>0.23699999999999999</v>
      </c>
      <c r="N18" s="59">
        <f t="shared" si="0"/>
        <v>0.23699999999999999</v>
      </c>
      <c r="O18" s="885"/>
      <c r="Q18" s="723"/>
    </row>
    <row r="19" spans="1:30" ht="15.75">
      <c r="B19" s="55"/>
      <c r="C19" s="896">
        <v>4</v>
      </c>
      <c r="D19" s="897"/>
      <c r="E19" s="897"/>
      <c r="F19" s="59">
        <f t="shared" si="0"/>
        <v>0.23699999999999999</v>
      </c>
      <c r="G19" s="59">
        <f t="shared" si="0"/>
        <v>0.23699999999999999</v>
      </c>
      <c r="H19" s="59">
        <f t="shared" si="0"/>
        <v>0.23699999999999999</v>
      </c>
      <c r="I19" s="59">
        <f t="shared" si="0"/>
        <v>0.23699999999999999</v>
      </c>
      <c r="J19" s="59">
        <f t="shared" si="0"/>
        <v>0.23699999999999999</v>
      </c>
      <c r="K19" s="59">
        <f t="shared" si="0"/>
        <v>0.23699999999999999</v>
      </c>
      <c r="L19" s="59">
        <f t="shared" si="0"/>
        <v>0.23699999999999999</v>
      </c>
      <c r="M19" s="59">
        <f t="shared" si="0"/>
        <v>0.23699999999999999</v>
      </c>
      <c r="N19" s="59">
        <f t="shared" si="0"/>
        <v>0.23699999999999999</v>
      </c>
      <c r="O19" s="885"/>
      <c r="Q19" s="723"/>
    </row>
    <row r="20" spans="1:30" ht="15.75">
      <c r="B20" s="55"/>
      <c r="C20" s="1024" t="s">
        <v>37</v>
      </c>
      <c r="D20" s="901"/>
      <c r="E20" s="901"/>
      <c r="F20" s="902">
        <f>(INDEX(F$16:F$19,ROUNDDOWN($E$8,0))*(1-MOD($E$8,1)))+(INDEX(F$16:F$19,ROUNDUP($E$8,0))*MOD($E$8,1))</f>
        <v>0.23699999999999999</v>
      </c>
      <c r="G20" s="2492">
        <f t="shared" ref="G20:N20" si="1">(INDEX(G$16:G$19,ROUNDDOWN($E$8,0))*(1-MOD($E$8,1)))+(INDEX(G$16:G$19,ROUNDUP($E$8,0))*MOD($E$8,1))</f>
        <v>0.23699999999999999</v>
      </c>
      <c r="H20" s="902">
        <f t="shared" si="1"/>
        <v>0.23699999999999999</v>
      </c>
      <c r="I20" s="902">
        <f t="shared" si="1"/>
        <v>0.23699999999999999</v>
      </c>
      <c r="J20" s="902">
        <f t="shared" si="1"/>
        <v>0.23699999999999999</v>
      </c>
      <c r="K20" s="902">
        <f t="shared" si="1"/>
        <v>0.23699999999999999</v>
      </c>
      <c r="L20" s="902">
        <f t="shared" si="1"/>
        <v>0.23699999999999999</v>
      </c>
      <c r="M20" s="902">
        <f t="shared" si="1"/>
        <v>0.23699999999999999</v>
      </c>
      <c r="N20" s="902">
        <f t="shared" si="1"/>
        <v>0.23699999999999999</v>
      </c>
      <c r="O20" s="885"/>
    </row>
    <row r="21" spans="1:30">
      <c r="B21" s="45"/>
      <c r="C21" s="67"/>
      <c r="D21" s="200"/>
      <c r="E21" s="67"/>
      <c r="F21" s="67"/>
      <c r="G21" s="1095"/>
      <c r="H21" s="1095"/>
      <c r="I21" s="1095"/>
      <c r="J21" s="1095"/>
      <c r="K21" s="1095"/>
      <c r="L21" s="1095"/>
      <c r="M21" s="1095"/>
      <c r="N21" s="1095"/>
      <c r="O21" s="885"/>
    </row>
    <row r="22" spans="1:30">
      <c r="B22" s="46"/>
      <c r="C22" s="3862" t="s">
        <v>3044</v>
      </c>
      <c r="D22" s="200"/>
      <c r="E22" s="67"/>
      <c r="F22" s="67"/>
      <c r="G22" s="67"/>
      <c r="H22" s="67"/>
      <c r="I22" s="67" t="s">
        <v>5</v>
      </c>
      <c r="J22" s="67" t="s">
        <v>5</v>
      </c>
      <c r="K22" s="67"/>
      <c r="L22" s="67"/>
      <c r="M22" s="67"/>
      <c r="N22" s="67" t="s">
        <v>5</v>
      </c>
      <c r="O22" s="885"/>
    </row>
    <row r="23" spans="1:30">
      <c r="B23" s="46"/>
      <c r="C23" s="3863" t="s">
        <v>65</v>
      </c>
      <c r="D23" s="3866" t="s">
        <v>3083</v>
      </c>
      <c r="E23" s="67"/>
      <c r="F23" s="67"/>
      <c r="G23" s="67"/>
      <c r="H23" s="67"/>
      <c r="I23" s="67"/>
      <c r="J23" s="67"/>
      <c r="K23" s="67"/>
      <c r="L23" s="67"/>
      <c r="M23" s="67"/>
      <c r="N23" s="67"/>
      <c r="O23" s="885"/>
    </row>
    <row r="24" spans="1:30">
      <c r="B24" s="46"/>
      <c r="C24" s="3863"/>
      <c r="D24" s="3866" t="s">
        <v>3084</v>
      </c>
      <c r="E24" s="67"/>
      <c r="F24" s="67"/>
      <c r="G24" s="67"/>
      <c r="H24" s="67"/>
      <c r="I24" s="67"/>
      <c r="J24" s="67"/>
      <c r="K24" s="67"/>
      <c r="L24" s="67"/>
      <c r="M24" s="67"/>
      <c r="N24" s="67"/>
      <c r="O24" s="885"/>
    </row>
    <row r="25" spans="1:30">
      <c r="B25" s="46"/>
      <c r="C25" s="3863" t="s">
        <v>67</v>
      </c>
      <c r="D25" s="3866" t="s">
        <v>3483</v>
      </c>
      <c r="E25" s="67"/>
      <c r="F25" s="67"/>
      <c r="G25" s="67"/>
      <c r="H25" s="67"/>
      <c r="I25" s="67"/>
      <c r="J25" s="67"/>
      <c r="K25" s="67"/>
      <c r="L25" s="67"/>
      <c r="M25" s="67"/>
      <c r="N25" s="67"/>
      <c r="O25" s="885"/>
    </row>
    <row r="26" spans="1:30">
      <c r="B26" s="46"/>
      <c r="C26" s="67"/>
      <c r="D26" s="3866"/>
      <c r="E26" s="67"/>
      <c r="F26" s="67"/>
      <c r="G26" s="67"/>
      <c r="H26" s="67"/>
      <c r="I26" s="67"/>
      <c r="J26" s="67"/>
      <c r="K26" s="67"/>
      <c r="L26" s="67"/>
      <c r="M26" s="67"/>
      <c r="N26" s="67"/>
      <c r="O26" s="885"/>
    </row>
    <row r="27" spans="1:30">
      <c r="B27" s="46"/>
      <c r="C27" s="67"/>
      <c r="D27" s="3866"/>
      <c r="E27" s="67"/>
      <c r="F27" s="67"/>
      <c r="G27" s="67"/>
      <c r="H27" s="67"/>
      <c r="I27" s="67"/>
      <c r="J27" s="67"/>
      <c r="K27" s="67"/>
      <c r="L27" s="67"/>
      <c r="M27" s="67"/>
      <c r="N27" s="1074"/>
      <c r="O27" s="1109"/>
    </row>
    <row r="29" spans="1:30" s="6" customFormat="1" ht="23.25">
      <c r="A29" s="40"/>
      <c r="B29" s="878" t="s">
        <v>70</v>
      </c>
      <c r="C29" s="879"/>
      <c r="D29" s="879"/>
      <c r="E29" s="879"/>
      <c r="F29" s="879"/>
      <c r="G29" s="879"/>
      <c r="H29" s="879"/>
      <c r="I29" s="879"/>
      <c r="J29" s="879"/>
      <c r="K29" s="879"/>
      <c r="L29" s="879"/>
      <c r="M29" s="879"/>
      <c r="N29" s="879"/>
      <c r="O29" s="880"/>
      <c r="R29" s="2446"/>
      <c r="S29" s="2446"/>
      <c r="T29" s="2446"/>
      <c r="U29" s="2446"/>
      <c r="V29" s="2446"/>
      <c r="W29" s="2446"/>
      <c r="X29" s="2446"/>
      <c r="Y29" s="2446"/>
      <c r="Z29" s="2446"/>
      <c r="AA29" s="2446"/>
      <c r="AB29" s="2446"/>
      <c r="AC29" s="2446"/>
      <c r="AD29" s="2446"/>
    </row>
    <row r="30" spans="1:30">
      <c r="B30" s="110"/>
      <c r="C30" s="67"/>
      <c r="D30" s="67"/>
      <c r="E30" s="67"/>
      <c r="F30" s="67"/>
      <c r="G30" s="67"/>
      <c r="H30" s="67"/>
      <c r="I30" s="67"/>
      <c r="J30" s="67"/>
      <c r="K30" s="67"/>
      <c r="L30" s="67"/>
      <c r="M30" s="67"/>
      <c r="N30" s="67"/>
      <c r="O30" s="885"/>
    </row>
    <row r="31" spans="1:30">
      <c r="B31" s="110"/>
      <c r="C31" s="49" t="s">
        <v>889</v>
      </c>
      <c r="D31" s="67"/>
      <c r="E31" s="67"/>
      <c r="F31" s="67"/>
      <c r="G31" s="67"/>
      <c r="H31" s="67"/>
      <c r="I31" s="67"/>
      <c r="J31" s="67"/>
      <c r="K31" s="67"/>
      <c r="L31" s="67"/>
      <c r="M31" s="67"/>
      <c r="N31" s="67"/>
      <c r="O31" s="885"/>
    </row>
    <row r="32" spans="1:30">
      <c r="B32" s="110"/>
      <c r="C32" s="67"/>
      <c r="D32" s="67"/>
      <c r="E32" s="67"/>
      <c r="F32" s="67"/>
      <c r="G32" s="67"/>
      <c r="H32" s="67"/>
      <c r="I32" s="67"/>
      <c r="J32" s="67"/>
      <c r="K32" s="67"/>
      <c r="L32" s="67"/>
      <c r="M32" s="67"/>
      <c r="N32" s="67"/>
      <c r="O32" s="885"/>
    </row>
    <row r="33" spans="2:29" ht="15.75">
      <c r="B33" s="55"/>
      <c r="C33" s="887" t="s">
        <v>132</v>
      </c>
      <c r="D33" s="887" t="s">
        <v>731</v>
      </c>
      <c r="E33" s="887" t="s">
        <v>30</v>
      </c>
      <c r="F33" s="92">
        <v>2013</v>
      </c>
      <c r="G33" s="92">
        <v>2015</v>
      </c>
      <c r="H33" s="92">
        <v>2020</v>
      </c>
      <c r="I33" s="92">
        <v>2025</v>
      </c>
      <c r="J33" s="92">
        <v>2030</v>
      </c>
      <c r="K33" s="92">
        <v>2035</v>
      </c>
      <c r="L33" s="92">
        <v>2040</v>
      </c>
      <c r="M33" s="92">
        <v>2045</v>
      </c>
      <c r="N33" s="92">
        <v>2050</v>
      </c>
      <c r="O33" s="885"/>
    </row>
    <row r="34" spans="2:29" ht="15.75">
      <c r="B34" s="55"/>
      <c r="C34" s="916" t="s">
        <v>451</v>
      </c>
      <c r="D34" s="917" t="s">
        <v>400</v>
      </c>
      <c r="E34" s="917"/>
      <c r="F34" s="3972">
        <v>0.36</v>
      </c>
      <c r="G34" s="3973">
        <v>0.36</v>
      </c>
      <c r="H34" s="3512">
        <v>0.36</v>
      </c>
      <c r="I34" s="3512">
        <v>0.38</v>
      </c>
      <c r="J34" s="3512">
        <v>0.38</v>
      </c>
      <c r="K34" s="3512">
        <v>0.38</v>
      </c>
      <c r="L34" s="3512">
        <v>0.38</v>
      </c>
      <c r="M34" s="3512">
        <v>0.38</v>
      </c>
      <c r="N34" s="3512">
        <v>0.38</v>
      </c>
      <c r="O34" s="885"/>
    </row>
    <row r="35" spans="2:29" ht="15.75">
      <c r="B35" s="55"/>
      <c r="C35" s="65"/>
      <c r="D35" s="108"/>
      <c r="E35" s="108"/>
      <c r="F35" s="94"/>
      <c r="G35" s="93"/>
      <c r="H35" s="93"/>
      <c r="I35" s="93"/>
      <c r="J35" s="93"/>
      <c r="K35" s="93"/>
      <c r="L35" s="93"/>
      <c r="M35" s="93"/>
      <c r="N35" s="93"/>
      <c r="O35" s="885"/>
    </row>
    <row r="36" spans="2:29" ht="15.75">
      <c r="B36" s="55"/>
      <c r="C36" s="49" t="s">
        <v>735</v>
      </c>
      <c r="D36" s="67"/>
      <c r="E36" s="67"/>
      <c r="F36" s="67"/>
      <c r="G36" s="67"/>
      <c r="H36" s="67"/>
      <c r="I36" s="93"/>
      <c r="J36" s="93"/>
      <c r="K36" s="93"/>
      <c r="L36" s="93"/>
      <c r="M36" s="93"/>
      <c r="N36" s="93" t="s">
        <v>5</v>
      </c>
      <c r="O36" s="885"/>
    </row>
    <row r="37" spans="2:29" ht="15.75">
      <c r="B37" s="55"/>
      <c r="C37" s="67"/>
      <c r="D37" s="67"/>
      <c r="E37" s="67"/>
      <c r="F37" s="67"/>
      <c r="G37" s="67"/>
      <c r="H37" s="67"/>
      <c r="I37" s="93"/>
      <c r="J37" s="93"/>
      <c r="K37" s="93"/>
      <c r="L37" s="93"/>
      <c r="M37" s="93"/>
      <c r="N37" s="93"/>
      <c r="O37" s="885"/>
    </row>
    <row r="38" spans="2:29" ht="15.75">
      <c r="B38" s="55"/>
      <c r="C38" s="887"/>
      <c r="D38" s="887"/>
      <c r="E38" s="887"/>
      <c r="F38" s="92"/>
      <c r="G38" s="1161" t="s">
        <v>895</v>
      </c>
      <c r="H38" s="67"/>
      <c r="I38" s="93"/>
      <c r="J38" s="93"/>
      <c r="K38" s="93"/>
      <c r="L38" s="93"/>
      <c r="M38" s="93"/>
      <c r="N38" s="93"/>
      <c r="O38" s="885"/>
    </row>
    <row r="39" spans="2:29" ht="15.75">
      <c r="B39" s="55"/>
      <c r="C39" s="923"/>
      <c r="D39" s="57" t="s">
        <v>1901</v>
      </c>
      <c r="E39" s="57" t="s">
        <v>65</v>
      </c>
      <c r="F39" s="2698">
        <f>86*Unit.MW</f>
        <v>8.6000000000000007E-2</v>
      </c>
      <c r="G39" s="3927" t="str">
        <f>Preferences.PowerUnits&amp;"peak"</f>
        <v>GWpeak</v>
      </c>
      <c r="H39" s="67"/>
      <c r="I39" s="93"/>
      <c r="J39" s="93"/>
      <c r="K39" s="93"/>
      <c r="L39" s="93"/>
      <c r="M39" s="93"/>
      <c r="N39" s="93"/>
      <c r="O39" s="885"/>
    </row>
    <row r="40" spans="2:29" ht="15.75">
      <c r="B40" s="55"/>
      <c r="C40" s="923"/>
      <c r="D40" s="57" t="s">
        <v>1893</v>
      </c>
      <c r="E40" s="57" t="s">
        <v>67</v>
      </c>
      <c r="F40" s="3928">
        <f>(0.2/35%)*Unit.W/Unit.m2</f>
        <v>5.7142857142857158E-4</v>
      </c>
      <c r="G40" s="2281" t="str">
        <f>Preferences.PowerUnits&amp;"peak/"&amp;Preferences.AreaUnits</f>
        <v>GWpeak/km^2</v>
      </c>
      <c r="H40" s="67"/>
      <c r="I40" s="93"/>
      <c r="J40" s="93"/>
      <c r="K40" s="93"/>
      <c r="L40" s="93"/>
      <c r="M40" s="93"/>
      <c r="N40" s="93"/>
      <c r="O40" s="885"/>
    </row>
    <row r="41" spans="2:29" ht="15.75">
      <c r="B41" s="55"/>
      <c r="C41" s="926"/>
      <c r="D41" s="199" t="s">
        <v>1903</v>
      </c>
      <c r="E41" s="199" t="s">
        <v>67</v>
      </c>
      <c r="F41" s="3926">
        <f>(11/35%)*Unit.W/Unit.m2</f>
        <v>3.1428571428571438E-2</v>
      </c>
      <c r="G41" s="1165" t="str">
        <f>Preferences.PowerUnits&amp;"peak/"&amp;Preferences.AreaUnits</f>
        <v>GWpeak/km^2</v>
      </c>
      <c r="H41" s="67"/>
      <c r="I41" s="93"/>
      <c r="J41" s="93"/>
      <c r="K41" s="93"/>
      <c r="L41" s="93"/>
      <c r="M41" s="93"/>
      <c r="N41" s="93"/>
      <c r="O41" s="885"/>
    </row>
    <row r="42" spans="2:29" ht="15.75">
      <c r="B42" s="55"/>
      <c r="C42" s="67"/>
      <c r="D42" s="67"/>
      <c r="E42" s="67"/>
      <c r="F42" s="67"/>
      <c r="G42" s="67"/>
      <c r="H42" s="67"/>
      <c r="I42" s="93"/>
      <c r="J42" s="93"/>
      <c r="K42" s="93"/>
      <c r="L42" s="93"/>
      <c r="M42" s="93"/>
      <c r="N42" s="93"/>
      <c r="O42" s="885"/>
    </row>
    <row r="43" spans="2:29">
      <c r="B43" s="67"/>
      <c r="C43" s="3862" t="s">
        <v>64</v>
      </c>
      <c r="D43" s="67"/>
      <c r="E43" s="67"/>
      <c r="F43" s="67"/>
      <c r="G43" s="67"/>
      <c r="H43" s="67"/>
      <c r="I43" s="67"/>
      <c r="J43" s="67"/>
      <c r="K43" s="67"/>
      <c r="L43" s="67"/>
      <c r="M43" s="67"/>
      <c r="N43" s="67"/>
      <c r="O43" s="885"/>
    </row>
    <row r="44" spans="2:29">
      <c r="B44" s="67"/>
      <c r="C44" s="2279" t="s">
        <v>65</v>
      </c>
      <c r="D44" s="933" t="s">
        <v>3073</v>
      </c>
      <c r="E44" s="67"/>
      <c r="F44" s="67"/>
      <c r="G44" s="67"/>
      <c r="H44" s="67"/>
      <c r="I44" s="67"/>
      <c r="J44" s="67"/>
      <c r="K44" s="67"/>
      <c r="L44" s="67"/>
      <c r="M44" s="67"/>
      <c r="N44" s="67"/>
      <c r="O44" s="885"/>
    </row>
    <row r="45" spans="2:29">
      <c r="B45" s="67"/>
      <c r="C45" s="2279" t="s">
        <v>67</v>
      </c>
      <c r="D45" s="3866" t="s">
        <v>3276</v>
      </c>
      <c r="E45" s="67"/>
      <c r="F45" s="67"/>
      <c r="G45" s="67"/>
      <c r="H45" s="67"/>
      <c r="I45" s="67"/>
      <c r="J45" s="67"/>
      <c r="K45" s="67"/>
      <c r="L45" s="67"/>
      <c r="M45" s="67"/>
      <c r="N45" s="67"/>
      <c r="O45" s="885"/>
    </row>
    <row r="46" spans="2:29">
      <c r="B46" s="67"/>
      <c r="C46" s="1226"/>
      <c r="D46" s="3866" t="s">
        <v>3230</v>
      </c>
      <c r="E46" s="67"/>
      <c r="F46" s="67"/>
      <c r="G46" s="67"/>
      <c r="H46" s="67"/>
      <c r="I46" s="67"/>
      <c r="J46" s="67"/>
      <c r="K46" s="67"/>
      <c r="L46" s="67"/>
      <c r="M46" s="67"/>
      <c r="N46" s="67"/>
      <c r="O46" s="885"/>
    </row>
    <row r="47" spans="2:29">
      <c r="B47" s="67"/>
      <c r="C47" s="67"/>
      <c r="D47" s="67"/>
      <c r="E47" s="67"/>
      <c r="F47" s="67"/>
      <c r="G47" s="67"/>
      <c r="H47" s="67"/>
      <c r="I47" s="67"/>
      <c r="J47" s="67"/>
      <c r="K47" s="67"/>
      <c r="L47" s="67"/>
      <c r="M47" s="67"/>
      <c r="N47" s="1074"/>
      <c r="O47" s="1074"/>
      <c r="P47" s="1173"/>
      <c r="Q47" s="1173"/>
      <c r="R47" s="1173"/>
      <c r="S47" s="1173"/>
      <c r="T47" s="1173"/>
      <c r="U47" s="1173"/>
      <c r="V47" s="1173"/>
      <c r="W47" s="1173"/>
      <c r="X47" s="1173"/>
      <c r="Y47" s="1173"/>
      <c r="Z47" s="1173"/>
      <c r="AA47" s="1173"/>
      <c r="AB47" s="1173"/>
      <c r="AC47" s="1173"/>
    </row>
    <row r="48" spans="2:29">
      <c r="P48" s="1173"/>
      <c r="Q48" s="1173"/>
      <c r="R48" s="1173"/>
      <c r="S48" s="1173"/>
      <c r="T48" s="1173"/>
      <c r="U48" s="1173"/>
      <c r="V48" s="1173"/>
      <c r="W48" s="1173"/>
      <c r="X48" s="1173"/>
      <c r="Y48" s="1173"/>
      <c r="Z48" s="1173"/>
      <c r="AA48" s="1173"/>
      <c r="AB48" s="1173"/>
      <c r="AC48" s="1173"/>
    </row>
    <row r="49" spans="1:113" s="6" customFormat="1" ht="23.25">
      <c r="A49" s="40"/>
      <c r="B49" s="878" t="s">
        <v>2794</v>
      </c>
      <c r="C49" s="879"/>
      <c r="D49" s="879"/>
      <c r="E49" s="879"/>
      <c r="F49" s="879"/>
      <c r="G49" s="879"/>
      <c r="H49" s="879"/>
      <c r="I49" s="879"/>
      <c r="J49" s="879"/>
      <c r="K49" s="879"/>
      <c r="L49" s="879"/>
      <c r="M49" s="879"/>
      <c r="N49" s="879"/>
      <c r="O49" s="879"/>
      <c r="P49" s="656"/>
      <c r="Q49" s="656"/>
      <c r="R49" s="656"/>
      <c r="S49" s="656"/>
      <c r="T49" s="656"/>
      <c r="U49" s="656"/>
      <c r="V49" s="656"/>
      <c r="W49" s="656"/>
      <c r="X49" s="656"/>
      <c r="Y49" s="656"/>
      <c r="Z49" s="656"/>
      <c r="AA49" s="656"/>
      <c r="AB49" s="656"/>
      <c r="AC49" s="656"/>
    </row>
    <row r="50" spans="1:113" ht="12.75" hidden="1" customHeight="1">
      <c r="B50" s="881"/>
      <c r="C50" s="882"/>
      <c r="D50" s="882"/>
      <c r="E50" s="882"/>
      <c r="F50" s="882"/>
      <c r="G50" s="882"/>
      <c r="H50" s="882"/>
      <c r="I50" s="882"/>
      <c r="J50" s="882"/>
      <c r="K50" s="882"/>
      <c r="L50" s="882"/>
      <c r="M50" s="882"/>
      <c r="N50" s="882"/>
      <c r="O50" s="882"/>
      <c r="P50" s="1173"/>
      <c r="Q50" s="1173"/>
      <c r="R50" s="1173"/>
      <c r="S50" s="1173"/>
      <c r="T50" s="1173"/>
      <c r="U50" s="1173"/>
      <c r="V50" s="1173"/>
      <c r="W50" s="1173"/>
      <c r="X50" s="1173"/>
      <c r="Y50" s="1173"/>
      <c r="Z50" s="1173"/>
      <c r="AA50" s="1173"/>
      <c r="AB50" s="1173"/>
      <c r="AC50" s="1173"/>
    </row>
    <row r="51" spans="1:113" s="6" customFormat="1" hidden="1">
      <c r="A51" s="2446"/>
      <c r="B51" s="110"/>
      <c r="C51" s="49" t="s">
        <v>1899</v>
      </c>
      <c r="D51" s="924"/>
      <c r="E51" s="941"/>
      <c r="F51" s="942"/>
      <c r="G51" s="943"/>
      <c r="H51" s="943"/>
      <c r="I51" s="943"/>
      <c r="J51" s="943"/>
      <c r="K51" s="943"/>
      <c r="L51" s="943"/>
      <c r="M51" s="943"/>
      <c r="N51" s="944"/>
      <c r="O51" s="67"/>
      <c r="P51" s="1173"/>
      <c r="Q51" s="1173"/>
      <c r="R51" s="1173"/>
      <c r="S51" s="1173"/>
      <c r="T51" s="1173"/>
      <c r="U51" s="1173"/>
      <c r="V51" s="1173"/>
      <c r="W51" s="1173"/>
      <c r="X51" s="1173"/>
      <c r="Y51" s="1173"/>
      <c r="Z51" s="1173"/>
      <c r="AA51" s="1173"/>
      <c r="AB51" s="1173"/>
      <c r="AC51" s="1173"/>
      <c r="AD51" s="2446"/>
      <c r="AE51" s="2446"/>
      <c r="AF51" s="2446"/>
      <c r="AG51" s="2446"/>
      <c r="AH51" s="2446"/>
      <c r="AI51" s="2446"/>
      <c r="AJ51" s="2446"/>
      <c r="AK51" s="2446"/>
      <c r="AL51" s="2446"/>
      <c r="AM51" s="2446"/>
      <c r="AN51" s="2446"/>
      <c r="AO51" s="2446"/>
      <c r="AP51" s="2446"/>
      <c r="AQ51" s="2446"/>
      <c r="AR51" s="2446"/>
      <c r="AS51" s="2446"/>
      <c r="AT51" s="2446"/>
      <c r="AU51" s="2446"/>
      <c r="AV51" s="2446"/>
      <c r="AW51" s="2446"/>
      <c r="AX51" s="2446"/>
      <c r="AY51" s="2446"/>
      <c r="AZ51" s="2446"/>
      <c r="BA51" s="2446"/>
      <c r="BB51" s="2446"/>
      <c r="BC51" s="2446"/>
      <c r="BD51" s="2446"/>
      <c r="BE51" s="2446"/>
      <c r="BF51" s="2446"/>
      <c r="BG51" s="2446"/>
      <c r="BH51" s="2446"/>
      <c r="BI51" s="2446"/>
      <c r="BJ51" s="2446"/>
      <c r="BK51" s="2446"/>
      <c r="BL51" s="2446"/>
      <c r="BM51" s="2446"/>
      <c r="BN51" s="2446"/>
      <c r="BO51" s="2446"/>
      <c r="BP51" s="2446"/>
      <c r="BQ51" s="2446"/>
      <c r="BR51" s="2446"/>
      <c r="BS51" s="2446"/>
      <c r="BT51" s="2446"/>
      <c r="BU51" s="2446"/>
      <c r="BV51" s="2446"/>
      <c r="BW51" s="2446"/>
      <c r="BX51" s="2446"/>
      <c r="BY51" s="2446"/>
      <c r="BZ51" s="2446"/>
      <c r="CA51" s="2446"/>
      <c r="CB51" s="2446"/>
      <c r="CC51" s="2446"/>
      <c r="CD51" s="2446"/>
      <c r="CE51" s="2446"/>
      <c r="CF51" s="2446"/>
      <c r="CG51" s="2446"/>
      <c r="CH51" s="2446"/>
      <c r="CI51" s="2446"/>
      <c r="CJ51" s="2446"/>
      <c r="CK51" s="2446"/>
      <c r="CL51" s="2446"/>
      <c r="CM51" s="2446"/>
      <c r="CN51" s="2446"/>
      <c r="CO51" s="2446"/>
      <c r="CP51" s="2446"/>
      <c r="CQ51" s="2446"/>
      <c r="CR51" s="2446"/>
      <c r="CS51" s="2446"/>
      <c r="CT51" s="2446"/>
      <c r="CU51" s="2446"/>
      <c r="CV51" s="2446"/>
      <c r="CW51" s="2446"/>
      <c r="CX51" s="2446"/>
      <c r="CY51" s="2446"/>
      <c r="CZ51" s="2446"/>
      <c r="DA51" s="2446"/>
      <c r="DB51" s="2446"/>
      <c r="DC51" s="2446"/>
      <c r="DD51" s="2446"/>
      <c r="DE51" s="2446"/>
      <c r="DF51" s="2446"/>
      <c r="DG51" s="2446"/>
      <c r="DH51" s="2446"/>
      <c r="DI51" s="2446"/>
    </row>
    <row r="52" spans="1:113" s="6" customFormat="1" ht="4.5" hidden="1" customHeight="1">
      <c r="A52" s="2446"/>
      <c r="B52" s="110"/>
      <c r="C52" s="946"/>
      <c r="D52" s="924"/>
      <c r="E52" s="941"/>
      <c r="F52" s="942"/>
      <c r="G52" s="943"/>
      <c r="H52" s="943"/>
      <c r="I52" s="943"/>
      <c r="J52" s="943"/>
      <c r="K52" s="943"/>
      <c r="L52" s="943"/>
      <c r="M52" s="943"/>
      <c r="N52" s="67"/>
      <c r="O52" s="67"/>
      <c r="P52" s="1173"/>
      <c r="Q52" s="1173"/>
      <c r="R52" s="1173"/>
      <c r="S52" s="1173"/>
      <c r="T52" s="1173"/>
      <c r="U52" s="1173"/>
      <c r="V52" s="1173"/>
      <c r="W52" s="1173"/>
      <c r="X52" s="1173"/>
      <c r="Y52" s="1173"/>
      <c r="Z52" s="1173"/>
      <c r="AA52" s="1173"/>
      <c r="AB52" s="1173"/>
      <c r="AC52" s="1173"/>
      <c r="AD52" s="2446"/>
      <c r="AE52" s="2446"/>
      <c r="AF52" s="2446"/>
      <c r="AG52" s="2446"/>
      <c r="AH52" s="2446"/>
      <c r="AI52" s="2446"/>
      <c r="AJ52" s="2446"/>
      <c r="AK52" s="2446"/>
      <c r="AL52" s="2446"/>
      <c r="AM52" s="2446"/>
      <c r="AN52" s="2446"/>
      <c r="AO52" s="2446"/>
      <c r="AP52" s="2446"/>
      <c r="AQ52" s="2446"/>
      <c r="AR52" s="2446"/>
      <c r="AS52" s="2446"/>
      <c r="AT52" s="2446"/>
      <c r="AU52" s="2446"/>
      <c r="AV52" s="2446"/>
      <c r="AW52" s="2446"/>
      <c r="AX52" s="2446"/>
      <c r="AY52" s="2446"/>
      <c r="AZ52" s="2446"/>
      <c r="BA52" s="2446"/>
      <c r="BB52" s="2446"/>
      <c r="BC52" s="2446"/>
      <c r="BD52" s="2446"/>
      <c r="BE52" s="2446"/>
      <c r="BF52" s="2446"/>
      <c r="BG52" s="2446"/>
      <c r="BH52" s="2446"/>
      <c r="BI52" s="2446"/>
      <c r="BJ52" s="2446"/>
      <c r="BK52" s="2446"/>
      <c r="BL52" s="2446"/>
      <c r="BM52" s="2446"/>
      <c r="BN52" s="2446"/>
      <c r="BO52" s="2446"/>
      <c r="BP52" s="2446"/>
      <c r="BQ52" s="2446"/>
      <c r="BR52" s="2446"/>
      <c r="BS52" s="2446"/>
      <c r="BT52" s="2446"/>
      <c r="BU52" s="2446"/>
      <c r="BV52" s="2446"/>
      <c r="BW52" s="2446"/>
      <c r="BX52" s="2446"/>
      <c r="BY52" s="2446"/>
      <c r="BZ52" s="2446"/>
      <c r="CA52" s="2446"/>
      <c r="CB52" s="2446"/>
      <c r="CC52" s="2446"/>
      <c r="CD52" s="2446"/>
      <c r="CE52" s="2446"/>
      <c r="CF52" s="2446"/>
      <c r="CG52" s="2446"/>
      <c r="CH52" s="2446"/>
      <c r="CI52" s="2446"/>
      <c r="CJ52" s="2446"/>
      <c r="CK52" s="2446"/>
      <c r="CL52" s="2446"/>
      <c r="CM52" s="2446"/>
      <c r="CN52" s="2446"/>
      <c r="CO52" s="2446"/>
      <c r="CP52" s="2446"/>
      <c r="CQ52" s="2446"/>
      <c r="CR52" s="2446"/>
      <c r="CS52" s="2446"/>
      <c r="CT52" s="2446"/>
      <c r="CU52" s="2446"/>
      <c r="CV52" s="2446"/>
      <c r="CW52" s="2446"/>
      <c r="CX52" s="2446"/>
      <c r="CY52" s="2446"/>
      <c r="CZ52" s="2446"/>
      <c r="DA52" s="2446"/>
      <c r="DB52" s="2446"/>
      <c r="DC52" s="2446"/>
      <c r="DD52" s="2446"/>
      <c r="DE52" s="2446"/>
      <c r="DF52" s="2446"/>
      <c r="DG52" s="2446"/>
      <c r="DH52" s="2446"/>
      <c r="DI52" s="2446"/>
    </row>
    <row r="53" spans="1:113" s="6" customFormat="1" hidden="1">
      <c r="A53" s="2446"/>
      <c r="B53" s="110"/>
      <c r="C53" s="1179"/>
      <c r="D53" s="1079"/>
      <c r="E53" s="980" t="s">
        <v>160</v>
      </c>
      <c r="F53" s="981">
        <v>2013</v>
      </c>
      <c r="G53" s="974">
        <v>2015</v>
      </c>
      <c r="H53" s="974">
        <v>2020</v>
      </c>
      <c r="I53" s="974">
        <v>2025</v>
      </c>
      <c r="J53" s="974">
        <v>2030</v>
      </c>
      <c r="K53" s="974">
        <v>2035</v>
      </c>
      <c r="L53" s="974">
        <v>2040</v>
      </c>
      <c r="M53" s="974">
        <v>2045</v>
      </c>
      <c r="N53" s="974">
        <v>2050</v>
      </c>
      <c r="O53" s="67"/>
      <c r="P53" s="2494"/>
      <c r="Q53" s="656"/>
      <c r="R53" s="1088"/>
      <c r="S53" s="1176"/>
      <c r="T53" s="1176"/>
      <c r="U53" s="1176"/>
      <c r="V53" s="1176"/>
      <c r="W53" s="1176"/>
      <c r="X53" s="1176"/>
      <c r="Y53" s="1176"/>
      <c r="Z53" s="1176"/>
      <c r="AA53" s="1176"/>
      <c r="AB53" s="656"/>
      <c r="AC53" s="656"/>
      <c r="AF53" s="2446"/>
      <c r="AG53" s="2446"/>
      <c r="AH53" s="2446"/>
      <c r="AI53" s="2446"/>
      <c r="AJ53" s="2446"/>
      <c r="AK53" s="2446"/>
      <c r="AL53" s="2446"/>
      <c r="AM53" s="2446"/>
      <c r="AN53" s="2446"/>
      <c r="AO53" s="2446"/>
      <c r="AP53" s="2446"/>
      <c r="AQ53" s="2446"/>
      <c r="AR53" s="2446"/>
      <c r="AS53" s="2446"/>
      <c r="AT53" s="2446"/>
      <c r="AU53" s="2446"/>
      <c r="AV53" s="2446"/>
      <c r="AW53" s="2446"/>
      <c r="AX53" s="2446"/>
      <c r="AY53" s="2446"/>
      <c r="AZ53" s="2446"/>
      <c r="BA53" s="2446"/>
      <c r="BB53" s="2446"/>
      <c r="BC53" s="2446"/>
      <c r="BD53" s="2446"/>
      <c r="BE53" s="2446"/>
      <c r="BF53" s="2446"/>
      <c r="BG53" s="2446"/>
      <c r="BH53" s="2446"/>
      <c r="BI53" s="2446"/>
      <c r="BJ53" s="2446"/>
      <c r="BK53" s="2446"/>
      <c r="BL53" s="2446"/>
      <c r="BM53" s="2446"/>
      <c r="BN53" s="2446"/>
      <c r="BO53" s="2446"/>
      <c r="BP53" s="2446"/>
      <c r="BQ53" s="2446"/>
      <c r="BR53" s="2446"/>
      <c r="BS53" s="2446"/>
      <c r="BT53" s="2446"/>
      <c r="BU53" s="2446"/>
      <c r="BV53" s="2446"/>
      <c r="BW53" s="2446"/>
      <c r="BX53" s="2446"/>
      <c r="BY53" s="2446"/>
      <c r="BZ53" s="2446"/>
      <c r="CA53" s="2446"/>
      <c r="CB53" s="2446"/>
      <c r="CC53" s="2446"/>
      <c r="CD53" s="2446"/>
      <c r="CE53" s="2446"/>
      <c r="CF53" s="2446"/>
      <c r="CG53" s="2446"/>
      <c r="CH53" s="2446"/>
      <c r="CI53" s="2446"/>
      <c r="CJ53" s="2446"/>
      <c r="CK53" s="2446"/>
      <c r="CL53" s="2446"/>
      <c r="CM53" s="2446"/>
      <c r="CN53" s="2446"/>
      <c r="CO53" s="2446"/>
      <c r="CP53" s="2446"/>
      <c r="CQ53" s="2446"/>
      <c r="CR53" s="2446"/>
      <c r="CS53" s="2446"/>
      <c r="CT53" s="2446"/>
      <c r="CU53" s="2446"/>
      <c r="CV53" s="2446"/>
      <c r="CW53" s="2446"/>
      <c r="CX53" s="2446"/>
      <c r="CY53" s="2446"/>
      <c r="CZ53" s="2446"/>
      <c r="DA53" s="2446"/>
      <c r="DB53" s="2446"/>
      <c r="DC53" s="2446"/>
      <c r="DD53" s="2446"/>
      <c r="DE53" s="2446"/>
      <c r="DF53" s="2446"/>
      <c r="DG53" s="2446"/>
      <c r="DH53" s="2446"/>
      <c r="DI53" s="2446"/>
    </row>
    <row r="54" spans="1:113" s="6" customFormat="1" hidden="1">
      <c r="A54" s="2446"/>
      <c r="B54" s="110"/>
      <c r="C54" s="976" t="s">
        <v>738</v>
      </c>
      <c r="D54" s="1079"/>
      <c r="E54" s="966"/>
      <c r="F54" s="967"/>
      <c r="G54" s="967"/>
      <c r="H54" s="967"/>
      <c r="I54" s="967"/>
      <c r="J54" s="967"/>
      <c r="K54" s="967"/>
      <c r="L54" s="967"/>
      <c r="M54" s="967"/>
      <c r="N54" s="967"/>
      <c r="O54" s="67"/>
      <c r="P54" s="2494"/>
      <c r="Q54" s="656"/>
      <c r="R54" s="518"/>
      <c r="S54" s="1174"/>
      <c r="T54" s="1174"/>
      <c r="U54" s="1174"/>
      <c r="V54" s="1174"/>
      <c r="W54" s="1175"/>
      <c r="X54" s="1174"/>
      <c r="Y54" s="1174"/>
      <c r="Z54" s="1176"/>
      <c r="AA54" s="1178"/>
      <c r="AB54" s="656"/>
      <c r="AC54" s="656"/>
      <c r="AF54" s="2446"/>
      <c r="AG54" s="2446"/>
      <c r="AH54" s="2446"/>
      <c r="AI54" s="2446"/>
      <c r="AJ54" s="2446"/>
      <c r="AK54" s="2446"/>
      <c r="AL54" s="2446"/>
      <c r="AM54" s="2446"/>
      <c r="AN54" s="2446"/>
      <c r="AO54" s="2446"/>
      <c r="AP54" s="2446"/>
      <c r="AQ54" s="2446"/>
      <c r="AR54" s="2446"/>
      <c r="AS54" s="2446"/>
      <c r="AT54" s="2446"/>
      <c r="AU54" s="2446"/>
      <c r="AV54" s="2446"/>
      <c r="AW54" s="2446"/>
      <c r="AX54" s="2446"/>
      <c r="AY54" s="2446"/>
      <c r="AZ54" s="2446"/>
      <c r="BA54" s="2446"/>
      <c r="BB54" s="2446"/>
      <c r="BC54" s="2446"/>
      <c r="BD54" s="2446"/>
      <c r="BE54" s="2446"/>
      <c r="BF54" s="2446"/>
      <c r="BG54" s="2446"/>
      <c r="BH54" s="2446"/>
      <c r="BI54" s="2446"/>
      <c r="BJ54" s="2446"/>
      <c r="BK54" s="2446"/>
      <c r="BL54" s="2446"/>
      <c r="BM54" s="2446"/>
      <c r="BN54" s="2446"/>
      <c r="BO54" s="2446"/>
      <c r="BP54" s="2446"/>
      <c r="BQ54" s="2446"/>
      <c r="BR54" s="2446"/>
      <c r="BS54" s="2446"/>
      <c r="BT54" s="2446"/>
      <c r="BU54" s="2446"/>
      <c r="BV54" s="2446"/>
      <c r="BW54" s="2446"/>
      <c r="BX54" s="2446"/>
      <c r="BY54" s="2446"/>
      <c r="BZ54" s="2446"/>
      <c r="CA54" s="2446"/>
      <c r="CB54" s="2446"/>
      <c r="CC54" s="2446"/>
      <c r="CD54" s="2446"/>
      <c r="CE54" s="2446"/>
      <c r="CF54" s="2446"/>
      <c r="CG54" s="2446"/>
      <c r="CH54" s="2446"/>
      <c r="CI54" s="2446"/>
      <c r="CJ54" s="2446"/>
      <c r="CK54" s="2446"/>
      <c r="CL54" s="2446"/>
      <c r="CM54" s="2446"/>
      <c r="CN54" s="2446"/>
      <c r="CO54" s="2446"/>
      <c r="CP54" s="2446"/>
      <c r="CQ54" s="2446"/>
      <c r="CR54" s="2446"/>
      <c r="CS54" s="2446"/>
      <c r="CT54" s="2446"/>
      <c r="CU54" s="2446"/>
      <c r="CV54" s="2446"/>
      <c r="CW54" s="2446"/>
      <c r="CX54" s="2446"/>
      <c r="CY54" s="2446"/>
      <c r="CZ54" s="2446"/>
      <c r="DA54" s="2446"/>
      <c r="DB54" s="2446"/>
      <c r="DC54" s="2446"/>
      <c r="DD54" s="2446"/>
      <c r="DE54" s="2446"/>
      <c r="DF54" s="2446"/>
      <c r="DG54" s="2446"/>
      <c r="DH54" s="2446"/>
      <c r="DI54" s="2446"/>
    </row>
    <row r="55" spans="1:113" s="6" customFormat="1" hidden="1">
      <c r="A55" s="2446"/>
      <c r="B55" s="110"/>
      <c r="C55" s="952" t="s">
        <v>739</v>
      </c>
      <c r="D55" s="924"/>
      <c r="E55" s="953"/>
      <c r="F55" s="942"/>
      <c r="G55" s="942"/>
      <c r="H55" s="942"/>
      <c r="I55" s="942"/>
      <c r="J55" s="942"/>
      <c r="K55" s="942"/>
      <c r="L55" s="942"/>
      <c r="M55" s="942"/>
      <c r="N55" s="942"/>
      <c r="O55" s="67"/>
      <c r="P55" s="2494"/>
      <c r="Q55" s="656"/>
      <c r="R55" s="1175"/>
      <c r="S55" s="1174"/>
      <c r="T55" s="1174"/>
      <c r="U55" s="1174"/>
      <c r="V55" s="1174"/>
      <c r="W55" s="1175"/>
      <c r="X55" s="1174"/>
      <c r="Y55" s="1174"/>
      <c r="Z55" s="1177"/>
      <c r="AA55" s="1178"/>
      <c r="AB55" s="656"/>
      <c r="AC55" s="656"/>
      <c r="AF55" s="2446"/>
      <c r="AG55" s="2446"/>
      <c r="AH55" s="2446"/>
      <c r="AI55" s="2446"/>
      <c r="AJ55" s="2446"/>
      <c r="AK55" s="2446"/>
      <c r="AL55" s="2446"/>
      <c r="AM55" s="2446"/>
      <c r="AN55" s="2446"/>
      <c r="AO55" s="2446"/>
      <c r="AP55" s="2446"/>
      <c r="AQ55" s="2446"/>
      <c r="AR55" s="2446"/>
      <c r="AS55" s="2446"/>
      <c r="AT55" s="2446"/>
      <c r="AU55" s="2446"/>
      <c r="AV55" s="2446"/>
      <c r="AW55" s="2446"/>
      <c r="AX55" s="2446"/>
      <c r="AY55" s="2446"/>
      <c r="AZ55" s="2446"/>
      <c r="BA55" s="2446"/>
      <c r="BB55" s="2446"/>
      <c r="BC55" s="2446"/>
      <c r="BD55" s="2446"/>
      <c r="BE55" s="2446"/>
      <c r="BF55" s="2446"/>
      <c r="BG55" s="2446"/>
      <c r="BH55" s="2446"/>
      <c r="BI55" s="2446"/>
      <c r="BJ55" s="2446"/>
      <c r="BK55" s="2446"/>
      <c r="BL55" s="2446"/>
      <c r="BM55" s="2446"/>
      <c r="BN55" s="2446"/>
      <c r="BO55" s="2446"/>
      <c r="BP55" s="2446"/>
      <c r="BQ55" s="2446"/>
      <c r="BR55" s="2446"/>
      <c r="BS55" s="2446"/>
      <c r="BT55" s="2446"/>
      <c r="BU55" s="2446"/>
      <c r="BV55" s="2446"/>
      <c r="BW55" s="2446"/>
      <c r="BX55" s="2446"/>
      <c r="BY55" s="2446"/>
      <c r="BZ55" s="2446"/>
      <c r="CA55" s="2446"/>
      <c r="CB55" s="2446"/>
      <c r="CC55" s="2446"/>
      <c r="CD55" s="2446"/>
      <c r="CE55" s="2446"/>
      <c r="CF55" s="2446"/>
      <c r="CG55" s="2446"/>
      <c r="CH55" s="2446"/>
      <c r="CI55" s="2446"/>
      <c r="CJ55" s="2446"/>
      <c r="CK55" s="2446"/>
      <c r="CL55" s="2446"/>
      <c r="CM55" s="2446"/>
      <c r="CN55" s="2446"/>
      <c r="CO55" s="2446"/>
      <c r="CP55" s="2446"/>
      <c r="CQ55" s="2446"/>
      <c r="CR55" s="2446"/>
      <c r="CS55" s="2446"/>
      <c r="CT55" s="2446"/>
      <c r="CU55" s="2446"/>
      <c r="CV55" s="2446"/>
      <c r="CW55" s="2446"/>
      <c r="CX55" s="2446"/>
      <c r="CY55" s="2446"/>
      <c r="CZ55" s="2446"/>
      <c r="DA55" s="2446"/>
      <c r="DB55" s="2446"/>
      <c r="DC55" s="2446"/>
      <c r="DD55" s="2446"/>
      <c r="DE55" s="2446"/>
      <c r="DF55" s="2446"/>
      <c r="DG55" s="2446"/>
      <c r="DH55" s="2446"/>
      <c r="DI55" s="2446"/>
    </row>
    <row r="56" spans="1:113" s="6" customFormat="1" hidden="1">
      <c r="A56" s="2446"/>
      <c r="B56" s="110"/>
      <c r="C56" s="956" t="s">
        <v>740</v>
      </c>
      <c r="D56" s="957"/>
      <c r="E56" s="958"/>
      <c r="F56" s="969"/>
      <c r="G56" s="969"/>
      <c r="H56" s="969"/>
      <c r="I56" s="969"/>
      <c r="J56" s="969"/>
      <c r="K56" s="969"/>
      <c r="L56" s="969"/>
      <c r="M56" s="969"/>
      <c r="N56" s="969"/>
      <c r="O56" s="67"/>
      <c r="P56" s="2494"/>
      <c r="Q56" s="656"/>
      <c r="R56" s="1175"/>
      <c r="S56" s="629"/>
      <c r="T56" s="629"/>
      <c r="U56" s="629"/>
      <c r="V56" s="629"/>
      <c r="W56" s="1175"/>
      <c r="X56" s="629"/>
      <c r="Y56" s="629"/>
      <c r="Z56" s="1178"/>
      <c r="AA56" s="1178"/>
      <c r="AB56" s="656"/>
      <c r="AC56" s="656"/>
      <c r="AF56" s="2446"/>
      <c r="AG56" s="2446"/>
      <c r="AH56" s="2446"/>
      <c r="AI56" s="2446"/>
      <c r="AJ56" s="2446"/>
      <c r="AK56" s="2446"/>
      <c r="AL56" s="2446"/>
      <c r="AM56" s="2446"/>
      <c r="AN56" s="2446"/>
      <c r="AO56" s="2446"/>
      <c r="AP56" s="2446"/>
      <c r="AQ56" s="2446"/>
      <c r="AR56" s="2446"/>
      <c r="AS56" s="2446"/>
      <c r="AT56" s="2446"/>
      <c r="AU56" s="2446"/>
      <c r="AV56" s="2446"/>
      <c r="AW56" s="2446"/>
      <c r="AX56" s="2446"/>
      <c r="AY56" s="2446"/>
      <c r="AZ56" s="2446"/>
      <c r="BA56" s="2446"/>
      <c r="BB56" s="2446"/>
      <c r="BC56" s="2446"/>
      <c r="BD56" s="2446"/>
      <c r="BE56" s="2446"/>
      <c r="BF56" s="2446"/>
      <c r="BG56" s="2446"/>
      <c r="BH56" s="2446"/>
      <c r="BI56" s="2446"/>
      <c r="BJ56" s="2446"/>
      <c r="BK56" s="2446"/>
      <c r="BL56" s="2446"/>
      <c r="BM56" s="2446"/>
      <c r="BN56" s="2446"/>
      <c r="BO56" s="2446"/>
      <c r="BP56" s="2446"/>
      <c r="BQ56" s="2446"/>
      <c r="BR56" s="2446"/>
      <c r="BS56" s="2446"/>
      <c r="BT56" s="2446"/>
      <c r="BU56" s="2446"/>
      <c r="BV56" s="2446"/>
      <c r="BW56" s="2446"/>
      <c r="BX56" s="2446"/>
      <c r="BY56" s="2446"/>
      <c r="BZ56" s="2446"/>
      <c r="CA56" s="2446"/>
      <c r="CB56" s="2446"/>
      <c r="CC56" s="2446"/>
      <c r="CD56" s="2446"/>
      <c r="CE56" s="2446"/>
      <c r="CF56" s="2446"/>
      <c r="CG56" s="2446"/>
      <c r="CH56" s="2446"/>
      <c r="CI56" s="2446"/>
      <c r="CJ56" s="2446"/>
      <c r="CK56" s="2446"/>
      <c r="CL56" s="2446"/>
      <c r="CM56" s="2446"/>
      <c r="CN56" s="2446"/>
      <c r="CO56" s="2446"/>
      <c r="CP56" s="2446"/>
      <c r="CQ56" s="2446"/>
      <c r="CR56" s="2446"/>
      <c r="CS56" s="2446"/>
      <c r="CT56" s="2446"/>
      <c r="CU56" s="2446"/>
      <c r="CV56" s="2446"/>
      <c r="CW56" s="2446"/>
      <c r="CX56" s="2446"/>
      <c r="CY56" s="2446"/>
      <c r="CZ56" s="2446"/>
      <c r="DA56" s="2446"/>
      <c r="DB56" s="2446"/>
      <c r="DC56" s="2446"/>
      <c r="DD56" s="2446"/>
      <c r="DE56" s="2446"/>
      <c r="DF56" s="2446"/>
      <c r="DG56" s="2446"/>
      <c r="DH56" s="2446"/>
      <c r="DI56" s="2446"/>
    </row>
    <row r="57" spans="1:113" s="6" customFormat="1" hidden="1">
      <c r="A57" s="2446"/>
      <c r="B57" s="110"/>
      <c r="C57" s="946"/>
      <c r="D57" s="924"/>
      <c r="E57" s="941"/>
      <c r="F57" s="942"/>
      <c r="G57" s="943"/>
      <c r="H57" s="943"/>
      <c r="I57" s="943"/>
      <c r="J57" s="943"/>
      <c r="K57" s="943"/>
      <c r="L57" s="943"/>
      <c r="M57" s="943"/>
      <c r="N57" s="67"/>
      <c r="O57" s="67"/>
      <c r="P57" s="2494"/>
      <c r="Q57" s="656"/>
      <c r="R57" s="1175"/>
      <c r="S57" s="629"/>
      <c r="T57" s="629"/>
      <c r="U57" s="629"/>
      <c r="V57" s="629"/>
      <c r="W57" s="1175"/>
      <c r="X57" s="629"/>
      <c r="Y57" s="629"/>
      <c r="Z57" s="1178"/>
      <c r="AA57" s="1178"/>
      <c r="AB57" s="656"/>
      <c r="AC57" s="656"/>
      <c r="AF57" s="2446"/>
      <c r="AG57" s="2446"/>
      <c r="AH57" s="2446"/>
      <c r="AI57" s="2446"/>
      <c r="AJ57" s="2446"/>
      <c r="AK57" s="2446"/>
      <c r="AL57" s="2446"/>
      <c r="AM57" s="2446"/>
      <c r="AN57" s="2446"/>
      <c r="AO57" s="2446"/>
      <c r="AP57" s="2446"/>
      <c r="AQ57" s="2446"/>
      <c r="AR57" s="2446"/>
      <c r="AS57" s="2446"/>
      <c r="AT57" s="2446"/>
      <c r="AU57" s="2446"/>
      <c r="AV57" s="2446"/>
      <c r="AW57" s="2446"/>
      <c r="AX57" s="2446"/>
      <c r="AY57" s="2446"/>
      <c r="AZ57" s="2446"/>
      <c r="BA57" s="2446"/>
      <c r="BB57" s="2446"/>
      <c r="BC57" s="2446"/>
      <c r="BD57" s="2446"/>
      <c r="BE57" s="2446"/>
      <c r="BF57" s="2446"/>
      <c r="BG57" s="2446"/>
      <c r="BH57" s="2446"/>
      <c r="BI57" s="2446"/>
      <c r="BJ57" s="2446"/>
      <c r="BK57" s="2446"/>
      <c r="BL57" s="2446"/>
      <c r="BM57" s="2446"/>
      <c r="BN57" s="2446"/>
      <c r="BO57" s="2446"/>
      <c r="BP57" s="2446"/>
      <c r="BQ57" s="2446"/>
      <c r="BR57" s="2446"/>
      <c r="BS57" s="2446"/>
      <c r="BT57" s="2446"/>
      <c r="BU57" s="2446"/>
      <c r="BV57" s="2446"/>
      <c r="BW57" s="2446"/>
      <c r="BX57" s="2446"/>
      <c r="BY57" s="2446"/>
      <c r="BZ57" s="2446"/>
      <c r="CA57" s="2446"/>
      <c r="CB57" s="2446"/>
      <c r="CC57" s="2446"/>
      <c r="CD57" s="2446"/>
      <c r="CE57" s="2446"/>
      <c r="CF57" s="2446"/>
      <c r="CG57" s="2446"/>
      <c r="CH57" s="2446"/>
      <c r="CI57" s="2446"/>
      <c r="CJ57" s="2446"/>
      <c r="CK57" s="2446"/>
      <c r="CL57" s="2446"/>
      <c r="CM57" s="2446"/>
      <c r="CN57" s="2446"/>
      <c r="CO57" s="2446"/>
      <c r="CP57" s="2446"/>
      <c r="CQ57" s="2446"/>
      <c r="CR57" s="2446"/>
      <c r="CS57" s="2446"/>
      <c r="CT57" s="2446"/>
      <c r="CU57" s="2446"/>
      <c r="CV57" s="2446"/>
      <c r="CW57" s="2446"/>
      <c r="CX57" s="2446"/>
      <c r="CY57" s="2446"/>
      <c r="CZ57" s="2446"/>
      <c r="DA57" s="2446"/>
      <c r="DB57" s="2446"/>
      <c r="DC57" s="2446"/>
      <c r="DD57" s="2446"/>
      <c r="DE57" s="2446"/>
      <c r="DF57" s="2446"/>
      <c r="DG57" s="2446"/>
      <c r="DH57" s="2446"/>
      <c r="DI57" s="2446"/>
    </row>
    <row r="58" spans="1:113" hidden="1">
      <c r="B58" s="110"/>
      <c r="C58" s="49" t="s">
        <v>1900</v>
      </c>
      <c r="D58" s="924"/>
      <c r="E58" s="941" t="s">
        <v>5</v>
      </c>
      <c r="F58" s="942"/>
      <c r="G58" s="943"/>
      <c r="H58" s="943"/>
      <c r="I58" s="943"/>
      <c r="J58" s="943"/>
      <c r="K58" s="943"/>
      <c r="L58" s="943"/>
      <c r="M58" s="943"/>
      <c r="N58" s="944"/>
      <c r="O58" s="67"/>
      <c r="P58" s="2494"/>
      <c r="Q58" s="1173"/>
      <c r="R58" s="1180"/>
      <c r="S58" s="2495"/>
      <c r="T58" s="2495"/>
      <c r="U58" s="2495"/>
      <c r="V58" s="2495"/>
      <c r="W58" s="1175"/>
      <c r="X58" s="2495"/>
      <c r="Y58" s="2495"/>
      <c r="Z58" s="1181"/>
      <c r="AA58" s="1181"/>
      <c r="AB58" s="1173"/>
      <c r="AC58" s="1173"/>
    </row>
    <row r="59" spans="1:113" ht="4.5" hidden="1" customHeight="1">
      <c r="B59" s="110"/>
      <c r="C59" s="946"/>
      <c r="D59" s="924"/>
      <c r="E59" s="941"/>
      <c r="F59" s="942"/>
      <c r="G59" s="943"/>
      <c r="H59" s="943"/>
      <c r="I59" s="943"/>
      <c r="J59" s="943"/>
      <c r="K59" s="943"/>
      <c r="L59" s="943"/>
      <c r="M59" s="943"/>
      <c r="N59" s="67"/>
      <c r="O59" s="67"/>
      <c r="P59" s="2494"/>
      <c r="Q59" s="1173"/>
      <c r="R59" s="1181"/>
      <c r="S59" s="1181"/>
      <c r="T59" s="1181"/>
      <c r="U59" s="1181"/>
      <c r="V59" s="1181"/>
      <c r="W59" s="1181"/>
      <c r="X59" s="1181"/>
      <c r="Y59" s="1181"/>
      <c r="Z59" s="1181"/>
      <c r="AA59" s="1181"/>
      <c r="AB59" s="1173"/>
      <c r="AC59" s="1173"/>
    </row>
    <row r="60" spans="1:113" hidden="1">
      <c r="B60" s="110"/>
      <c r="C60" s="1179"/>
      <c r="D60" s="1079"/>
      <c r="E60" s="980" t="s">
        <v>160</v>
      </c>
      <c r="F60" s="981">
        <v>2013</v>
      </c>
      <c r="G60" s="974">
        <v>2015</v>
      </c>
      <c r="H60" s="974">
        <v>2020</v>
      </c>
      <c r="I60" s="974">
        <v>2025</v>
      </c>
      <c r="J60" s="974">
        <v>2030</v>
      </c>
      <c r="K60" s="974">
        <v>2035</v>
      </c>
      <c r="L60" s="974">
        <v>2040</v>
      </c>
      <c r="M60" s="974">
        <v>2045</v>
      </c>
      <c r="N60" s="974">
        <v>2050</v>
      </c>
      <c r="O60" s="67"/>
      <c r="P60" s="2494"/>
      <c r="Q60" s="1173"/>
      <c r="R60" s="2496"/>
      <c r="S60" s="1173"/>
      <c r="T60" s="1431"/>
      <c r="U60" s="1173"/>
      <c r="V60" s="1173"/>
      <c r="W60" s="1431"/>
      <c r="X60" s="1173"/>
      <c r="Y60" s="1173"/>
      <c r="Z60" s="1173"/>
      <c r="AA60" s="1173"/>
      <c r="AB60" s="1173"/>
      <c r="AC60" s="1173"/>
    </row>
    <row r="61" spans="1:113" hidden="1">
      <c r="B61" s="110"/>
      <c r="C61" s="976" t="s">
        <v>738</v>
      </c>
      <c r="D61" s="1079"/>
      <c r="E61" s="966"/>
      <c r="F61" s="967"/>
      <c r="G61" s="967"/>
      <c r="H61" s="967"/>
      <c r="I61" s="967"/>
      <c r="J61" s="967"/>
      <c r="K61" s="967"/>
      <c r="L61" s="967"/>
      <c r="M61" s="967"/>
      <c r="N61" s="967"/>
      <c r="O61" s="67"/>
      <c r="P61" s="2494"/>
      <c r="Q61" s="1173"/>
      <c r="R61" s="1173"/>
      <c r="S61" s="1173"/>
      <c r="T61" s="1173"/>
      <c r="U61" s="1173"/>
      <c r="V61" s="1173"/>
      <c r="W61" s="1173"/>
      <c r="X61" s="1173"/>
      <c r="Y61" s="1173"/>
      <c r="Z61" s="1173"/>
      <c r="AA61" s="1173"/>
      <c r="AB61" s="1173"/>
      <c r="AC61" s="1173"/>
    </row>
    <row r="62" spans="1:113" s="2" customFormat="1" hidden="1">
      <c r="B62" s="110"/>
      <c r="C62" s="952" t="s">
        <v>739</v>
      </c>
      <c r="D62" s="924"/>
      <c r="E62" s="953"/>
      <c r="F62" s="942"/>
      <c r="G62" s="942"/>
      <c r="H62" s="942"/>
      <c r="I62" s="942"/>
      <c r="J62" s="942"/>
      <c r="K62" s="942"/>
      <c r="L62" s="942"/>
      <c r="M62" s="942"/>
      <c r="N62" s="942"/>
      <c r="O62" s="67"/>
      <c r="P62" s="2494"/>
      <c r="Q62" s="1181"/>
      <c r="R62" s="1181"/>
      <c r="S62" s="1181"/>
      <c r="T62" s="1181"/>
      <c r="U62" s="1181"/>
      <c r="V62" s="1181"/>
      <c r="W62" s="1181"/>
      <c r="X62" s="1181"/>
      <c r="Y62" s="1181"/>
      <c r="Z62" s="1181"/>
      <c r="AA62" s="1181"/>
      <c r="AB62" s="1181"/>
      <c r="AC62" s="1181"/>
    </row>
    <row r="63" spans="1:113" s="2" customFormat="1" ht="14.25" hidden="1" customHeight="1">
      <c r="B63" s="110"/>
      <c r="C63" s="956" t="s">
        <v>740</v>
      </c>
      <c r="D63" s="957"/>
      <c r="E63" s="958"/>
      <c r="F63" s="969"/>
      <c r="G63" s="969"/>
      <c r="H63" s="969"/>
      <c r="I63" s="969"/>
      <c r="J63" s="969"/>
      <c r="K63" s="969"/>
      <c r="L63" s="969"/>
      <c r="M63" s="969"/>
      <c r="N63" s="969"/>
      <c r="O63" s="67"/>
      <c r="P63" s="2494"/>
      <c r="Q63" s="1181"/>
      <c r="R63" s="1181"/>
      <c r="S63" s="1181"/>
      <c r="T63" s="1181"/>
      <c r="U63" s="1181"/>
      <c r="V63" s="1181"/>
      <c r="W63" s="1181"/>
      <c r="X63" s="1181"/>
      <c r="Y63" s="1181"/>
      <c r="Z63" s="1181"/>
      <c r="AA63" s="1181"/>
      <c r="AB63" s="1181"/>
      <c r="AC63" s="1181"/>
    </row>
    <row r="64" spans="1:113" ht="15.75" hidden="1" customHeight="1">
      <c r="B64" s="47"/>
      <c r="C64" s="47"/>
      <c r="D64" s="67"/>
      <c r="E64" s="943"/>
      <c r="F64" s="67"/>
      <c r="G64" s="67"/>
      <c r="H64" s="67"/>
      <c r="I64" s="1185"/>
      <c r="J64" s="1185"/>
      <c r="K64" s="47"/>
      <c r="L64" s="47"/>
      <c r="M64" s="47"/>
      <c r="N64" s="47"/>
      <c r="O64" s="47"/>
      <c r="P64" s="2494"/>
      <c r="Q64" s="1173"/>
      <c r="R64" s="1173"/>
      <c r="S64" s="1173"/>
      <c r="T64" s="1173"/>
      <c r="U64" s="1173"/>
      <c r="V64" s="1173"/>
      <c r="W64" s="1173"/>
      <c r="X64" s="1173"/>
      <c r="Y64" s="1173"/>
      <c r="Z64" s="1173"/>
      <c r="AA64" s="1173"/>
      <c r="AB64" s="1173"/>
      <c r="AC64" s="1173"/>
    </row>
    <row r="65" spans="2:30">
      <c r="B65" s="1186"/>
      <c r="C65" s="1077"/>
      <c r="D65" s="1077"/>
      <c r="E65" s="1077"/>
      <c r="F65" s="1077"/>
      <c r="G65" s="1077"/>
      <c r="H65" s="1077"/>
      <c r="I65" s="1077"/>
      <c r="J65" s="1077"/>
      <c r="K65" s="1077"/>
      <c r="L65" s="1077"/>
      <c r="M65" s="1077"/>
      <c r="N65" s="1077"/>
      <c r="O65" s="2497"/>
    </row>
    <row r="66" spans="2:30" ht="15.75">
      <c r="B66" s="878" t="s">
        <v>178</v>
      </c>
      <c r="C66" s="879"/>
      <c r="D66" s="879"/>
      <c r="E66" s="879"/>
      <c r="F66" s="879"/>
      <c r="G66" s="879"/>
      <c r="H66" s="879"/>
      <c r="I66" s="879"/>
      <c r="J66" s="879"/>
      <c r="K66" s="879"/>
      <c r="L66" s="879"/>
      <c r="M66" s="879"/>
      <c r="N66" s="879"/>
      <c r="O66" s="880"/>
    </row>
    <row r="67" spans="2:30" s="6" customFormat="1">
      <c r="B67" s="110"/>
      <c r="C67" s="67"/>
      <c r="D67" s="67"/>
      <c r="E67" s="67"/>
      <c r="F67" s="67"/>
      <c r="G67" s="67"/>
      <c r="H67" s="67"/>
      <c r="I67" s="67"/>
      <c r="J67" s="67"/>
      <c r="K67" s="67"/>
      <c r="L67" s="67"/>
      <c r="M67" s="67"/>
      <c r="N67" s="67"/>
      <c r="O67" s="885"/>
    </row>
    <row r="68" spans="2:30">
      <c r="B68" s="110"/>
      <c r="C68" s="49" t="s">
        <v>745</v>
      </c>
      <c r="D68" s="67"/>
      <c r="E68" s="51"/>
      <c r="F68" s="67"/>
      <c r="G68" s="67"/>
      <c r="H68" s="67"/>
      <c r="I68" s="67"/>
      <c r="J68" s="67"/>
      <c r="K68" s="67"/>
      <c r="L68" s="67"/>
      <c r="M68" s="67"/>
      <c r="N68" s="51" t="str">
        <f>Preferences.PowerUnits</f>
        <v>GW</v>
      </c>
      <c r="O68" s="885"/>
    </row>
    <row r="69" spans="2:30">
      <c r="B69" s="110"/>
      <c r="C69" s="67"/>
      <c r="D69" s="67"/>
      <c r="E69" s="67"/>
      <c r="F69" s="67"/>
      <c r="G69" s="67"/>
      <c r="H69" s="67"/>
      <c r="I69" s="67"/>
      <c r="J69" s="67"/>
      <c r="K69" s="67"/>
      <c r="L69" s="67"/>
      <c r="M69" s="67"/>
      <c r="N69" s="67"/>
      <c r="O69" s="885"/>
    </row>
    <row r="70" spans="2:30" ht="15.75">
      <c r="B70" s="55"/>
      <c r="C70" s="887" t="s">
        <v>132</v>
      </c>
      <c r="D70" s="887" t="s">
        <v>72</v>
      </c>
      <c r="E70" s="887" t="s">
        <v>30</v>
      </c>
      <c r="F70" s="92">
        <v>2013</v>
      </c>
      <c r="G70" s="92">
        <v>2015</v>
      </c>
      <c r="H70" s="92">
        <v>2020</v>
      </c>
      <c r="I70" s="92">
        <v>2025</v>
      </c>
      <c r="J70" s="92">
        <v>2030</v>
      </c>
      <c r="K70" s="92">
        <v>2035</v>
      </c>
      <c r="L70" s="92">
        <v>2040</v>
      </c>
      <c r="M70" s="92">
        <v>2045</v>
      </c>
      <c r="N70" s="92">
        <v>2050</v>
      </c>
      <c r="O70" s="885"/>
    </row>
    <row r="71" spans="2:30" ht="15.75">
      <c r="B71" s="975"/>
      <c r="C71" s="916" t="s">
        <v>451</v>
      </c>
      <c r="D71" s="917" t="str">
        <f>INDEX(Vectors[Description], MATCH($C71, Vectors[Code], 0))</f>
        <v>Hydro</v>
      </c>
      <c r="E71" s="917"/>
      <c r="F71" s="2508">
        <f t="shared" ref="F71:N71" si="2">F20</f>
        <v>0.23699999999999999</v>
      </c>
      <c r="G71" s="2509">
        <f t="shared" si="2"/>
        <v>0.23699999999999999</v>
      </c>
      <c r="H71" s="2508">
        <f t="shared" si="2"/>
        <v>0.23699999999999999</v>
      </c>
      <c r="I71" s="2508">
        <f t="shared" si="2"/>
        <v>0.23699999999999999</v>
      </c>
      <c r="J71" s="2508">
        <f t="shared" si="2"/>
        <v>0.23699999999999999</v>
      </c>
      <c r="K71" s="2508">
        <f t="shared" si="2"/>
        <v>0.23699999999999999</v>
      </c>
      <c r="L71" s="2508">
        <f t="shared" si="2"/>
        <v>0.23699999999999999</v>
      </c>
      <c r="M71" s="2508">
        <f t="shared" si="2"/>
        <v>0.23699999999999999</v>
      </c>
      <c r="N71" s="2508">
        <f t="shared" si="2"/>
        <v>0.23699999999999999</v>
      </c>
      <c r="O71" s="108"/>
      <c r="P71" s="1077"/>
      <c r="Q71" s="1077"/>
      <c r="R71" s="1077"/>
      <c r="S71" s="1077"/>
      <c r="T71" s="1077"/>
      <c r="U71" s="1077"/>
      <c r="V71" s="1077"/>
      <c r="W71" s="1077"/>
      <c r="X71" s="1077"/>
      <c r="Y71" s="1077"/>
      <c r="Z71" s="1077"/>
      <c r="AA71" s="1077"/>
      <c r="AB71" s="1077"/>
      <c r="AC71" s="1077"/>
      <c r="AD71" s="1077"/>
    </row>
    <row r="72" spans="2:30">
      <c r="B72" s="111"/>
      <c r="C72" s="1107"/>
      <c r="D72" s="1269"/>
      <c r="E72" s="1269"/>
      <c r="F72" s="2498"/>
      <c r="G72" s="2499"/>
      <c r="H72" s="2499"/>
      <c r="I72" s="2499"/>
      <c r="J72" s="2499"/>
      <c r="K72" s="2499"/>
      <c r="L72" s="2499"/>
      <c r="M72" s="2499"/>
      <c r="N72" s="2499"/>
      <c r="O72" s="1074"/>
      <c r="P72" s="1077"/>
      <c r="Q72" s="2500"/>
      <c r="R72" s="1077"/>
      <c r="S72" s="1077"/>
      <c r="T72" s="1077"/>
      <c r="U72" s="1077"/>
      <c r="V72" s="1077"/>
      <c r="W72" s="1077"/>
      <c r="X72" s="1077"/>
      <c r="Y72" s="1077"/>
      <c r="Z72" s="1077"/>
      <c r="AA72" s="1077"/>
      <c r="AB72" s="1077"/>
      <c r="AC72" s="1077"/>
      <c r="AD72" s="1077"/>
    </row>
    <row r="73" spans="2:30">
      <c r="P73" s="1077"/>
      <c r="Q73" s="2501"/>
      <c r="R73" s="1088"/>
      <c r="S73" s="1176"/>
      <c r="T73" s="1176"/>
      <c r="U73" s="1176"/>
      <c r="V73" s="1176"/>
      <c r="W73" s="1176"/>
      <c r="X73" s="1176"/>
      <c r="Y73" s="1176"/>
      <c r="Z73" s="1176"/>
      <c r="AA73" s="1176"/>
      <c r="AB73" s="1176"/>
      <c r="AC73" s="1176"/>
      <c r="AD73" s="1176"/>
    </row>
    <row r="74" spans="2:30">
      <c r="B74" s="2446" t="s">
        <v>1894</v>
      </c>
      <c r="C74" s="988"/>
      <c r="F74" s="2">
        <v>2013</v>
      </c>
      <c r="G74" s="2">
        <v>2015</v>
      </c>
      <c r="H74" s="2">
        <v>2020</v>
      </c>
      <c r="I74" s="2">
        <v>2025</v>
      </c>
      <c r="J74" s="2">
        <v>2030</v>
      </c>
      <c r="K74" s="2">
        <v>2035</v>
      </c>
      <c r="L74" s="2">
        <v>2040</v>
      </c>
      <c r="M74" s="2">
        <v>2045</v>
      </c>
      <c r="N74" s="2">
        <v>2050</v>
      </c>
      <c r="P74" s="1077"/>
      <c r="Q74" s="2501"/>
      <c r="R74" s="1176"/>
      <c r="S74" s="1176"/>
      <c r="T74" s="1176"/>
      <c r="U74" s="1176"/>
      <c r="V74" s="1176"/>
      <c r="W74" s="1176"/>
      <c r="X74" s="1176"/>
      <c r="Y74" s="1176"/>
      <c r="Z74" s="1176"/>
      <c r="AA74" s="1176"/>
      <c r="AB74" s="1176"/>
      <c r="AC74" s="1176"/>
      <c r="AD74" s="1176"/>
    </row>
    <row r="75" spans="2:30">
      <c r="C75" s="363" t="s">
        <v>871</v>
      </c>
      <c r="E75" s="2503" t="str">
        <f>Preferences.PowerUnits</f>
        <v>GW</v>
      </c>
      <c r="F75" s="2510">
        <f t="shared" ref="F75:N75" si="3">F$71</f>
        <v>0.23699999999999999</v>
      </c>
      <c r="G75" s="2510">
        <f t="shared" si="3"/>
        <v>0.23699999999999999</v>
      </c>
      <c r="H75" s="2510">
        <f t="shared" si="3"/>
        <v>0.23699999999999999</v>
      </c>
      <c r="I75" s="2510">
        <f t="shared" si="3"/>
        <v>0.23699999999999999</v>
      </c>
      <c r="J75" s="2510">
        <f t="shared" si="3"/>
        <v>0.23699999999999999</v>
      </c>
      <c r="K75" s="2510">
        <f t="shared" si="3"/>
        <v>0.23699999999999999</v>
      </c>
      <c r="L75" s="2510">
        <f t="shared" si="3"/>
        <v>0.23699999999999999</v>
      </c>
      <c r="M75" s="2510">
        <f t="shared" si="3"/>
        <v>0.23699999999999999</v>
      </c>
      <c r="N75" s="2510">
        <f t="shared" si="3"/>
        <v>0.23699999999999999</v>
      </c>
      <c r="P75" s="1077"/>
      <c r="Q75" s="2501"/>
      <c r="R75" s="1176"/>
      <c r="S75" s="1176"/>
      <c r="T75" s="1176"/>
      <c r="U75" s="1176"/>
      <c r="V75" s="1176"/>
      <c r="W75" s="1176"/>
      <c r="X75" s="1176"/>
      <c r="Y75" s="1176"/>
      <c r="Z75" s="1176"/>
      <c r="AA75" s="1176"/>
      <c r="AB75" s="1176"/>
      <c r="AC75" s="1176"/>
      <c r="AD75" s="1176"/>
    </row>
    <row r="76" spans="2:30">
      <c r="B76" s="991" t="s">
        <v>219</v>
      </c>
      <c r="C76" s="2446" t="s">
        <v>858</v>
      </c>
      <c r="E76" s="2503"/>
      <c r="F76" s="2511">
        <f>F$34</f>
        <v>0.36</v>
      </c>
      <c r="G76" s="2511">
        <f t="shared" ref="G76:N76" si="4">G$34</f>
        <v>0.36</v>
      </c>
      <c r="H76" s="2511">
        <f t="shared" si="4"/>
        <v>0.36</v>
      </c>
      <c r="I76" s="2511">
        <f t="shared" si="4"/>
        <v>0.38</v>
      </c>
      <c r="J76" s="2511">
        <f t="shared" si="4"/>
        <v>0.38</v>
      </c>
      <c r="K76" s="2511">
        <f t="shared" si="4"/>
        <v>0.38</v>
      </c>
      <c r="L76" s="2511">
        <f t="shared" si="4"/>
        <v>0.38</v>
      </c>
      <c r="M76" s="2511">
        <f t="shared" si="4"/>
        <v>0.38</v>
      </c>
      <c r="N76" s="2511">
        <f t="shared" si="4"/>
        <v>0.38</v>
      </c>
      <c r="P76" s="1077"/>
      <c r="Q76" s="2501"/>
      <c r="R76" s="1176"/>
      <c r="S76" s="1176"/>
      <c r="T76" s="1176"/>
      <c r="U76" s="1176"/>
      <c r="V76" s="1176"/>
      <c r="W76" s="1176"/>
      <c r="X76" s="1176"/>
      <c r="Y76" s="1176"/>
      <c r="Z76" s="1176"/>
      <c r="AA76" s="1176"/>
      <c r="AB76" s="1176"/>
      <c r="AC76" s="1176"/>
      <c r="AD76" s="1176"/>
    </row>
    <row r="77" spans="2:30">
      <c r="B77" s="988" t="s">
        <v>221</v>
      </c>
      <c r="C77" s="363" t="s">
        <v>872</v>
      </c>
      <c r="E77" s="2503"/>
      <c r="F77" s="2514">
        <f>F75*F76</f>
        <v>8.5319999999999993E-2</v>
      </c>
      <c r="G77" s="2490">
        <f t="shared" ref="G77:N77" si="5">G75*G76</f>
        <v>8.5319999999999993E-2</v>
      </c>
      <c r="H77" s="2490">
        <f t="shared" si="5"/>
        <v>8.5319999999999993E-2</v>
      </c>
      <c r="I77" s="2490">
        <f t="shared" si="5"/>
        <v>9.0060000000000001E-2</v>
      </c>
      <c r="J77" s="2490">
        <f t="shared" si="5"/>
        <v>9.0060000000000001E-2</v>
      </c>
      <c r="K77" s="2490">
        <f t="shared" si="5"/>
        <v>9.0060000000000001E-2</v>
      </c>
      <c r="L77" s="2490">
        <f t="shared" si="5"/>
        <v>9.0060000000000001E-2</v>
      </c>
      <c r="M77" s="2490">
        <f t="shared" si="5"/>
        <v>9.0060000000000001E-2</v>
      </c>
      <c r="N77" s="2490">
        <f t="shared" si="5"/>
        <v>9.0060000000000001E-2</v>
      </c>
      <c r="P77" s="1077"/>
      <c r="Q77" s="2501"/>
      <c r="R77" s="1176"/>
      <c r="S77" s="1176"/>
      <c r="T77" s="1176"/>
      <c r="U77" s="1176"/>
      <c r="V77" s="1176"/>
      <c r="W77" s="1176"/>
      <c r="X77" s="1176"/>
      <c r="Y77" s="1176"/>
      <c r="Z77" s="1176"/>
      <c r="AA77" s="1176"/>
      <c r="AB77" s="1176"/>
      <c r="AC77" s="1176"/>
      <c r="AD77" s="1176"/>
    </row>
    <row r="78" spans="2:30">
      <c r="B78" s="988"/>
      <c r="C78" s="363"/>
      <c r="E78" s="2503"/>
      <c r="F78" s="2490"/>
      <c r="G78" s="2490"/>
      <c r="H78" s="2490"/>
      <c r="I78" s="2490"/>
      <c r="J78" s="2490"/>
      <c r="K78" s="2490"/>
      <c r="L78" s="2490"/>
      <c r="M78" s="2490"/>
      <c r="N78" s="2490"/>
      <c r="P78" s="1077"/>
      <c r="Q78" s="2501"/>
      <c r="R78" s="1176"/>
      <c r="S78" s="1176"/>
      <c r="T78" s="1176"/>
      <c r="U78" s="1176"/>
      <c r="V78" s="1176"/>
      <c r="W78" s="1176"/>
      <c r="X78" s="1176"/>
      <c r="Y78" s="1176"/>
      <c r="Z78" s="1176"/>
      <c r="AA78" s="1176"/>
      <c r="AB78" s="1176"/>
      <c r="AC78" s="1176"/>
      <c r="AD78" s="1176"/>
    </row>
    <row r="79" spans="2:30">
      <c r="C79" s="363" t="s">
        <v>873</v>
      </c>
      <c r="E79" s="2503" t="str">
        <f>Preferences.EnergyUnits</f>
        <v>TWh</v>
      </c>
      <c r="F79" s="2806">
        <f t="shared" ref="F79:N79" si="6">F$77*Preferences.Unit.Power*Unit.year/Preferences.Unit.Energy</f>
        <v>0.74791511999999993</v>
      </c>
      <c r="G79" s="2514">
        <f t="shared" si="6"/>
        <v>0.74791511999999993</v>
      </c>
      <c r="H79" s="2490">
        <f t="shared" si="6"/>
        <v>0.74791511999999993</v>
      </c>
      <c r="I79" s="2490">
        <f t="shared" si="6"/>
        <v>0.78946596000000002</v>
      </c>
      <c r="J79" s="2490">
        <f t="shared" si="6"/>
        <v>0.78946596000000002</v>
      </c>
      <c r="K79" s="2490">
        <f t="shared" si="6"/>
        <v>0.78946596000000002</v>
      </c>
      <c r="L79" s="2490">
        <f t="shared" si="6"/>
        <v>0.78946596000000002</v>
      </c>
      <c r="M79" s="2490">
        <f t="shared" si="6"/>
        <v>0.78946596000000002</v>
      </c>
      <c r="N79" s="2514">
        <f t="shared" si="6"/>
        <v>0.78946596000000002</v>
      </c>
      <c r="P79" s="3934"/>
      <c r="Q79" s="2501"/>
      <c r="R79" s="1088"/>
      <c r="S79" s="1176"/>
      <c r="T79" s="1176"/>
      <c r="U79" s="1176"/>
      <c r="V79" s="1176"/>
      <c r="W79" s="1176"/>
      <c r="X79" s="1176"/>
      <c r="Y79" s="1176"/>
      <c r="Z79" s="1176"/>
      <c r="AA79" s="1176"/>
      <c r="AB79" s="1176"/>
      <c r="AC79" s="1176"/>
      <c r="AD79" s="1176"/>
    </row>
    <row r="80" spans="2:30">
      <c r="C80" s="363"/>
      <c r="F80" s="366"/>
      <c r="G80" s="366"/>
      <c r="H80" s="366"/>
      <c r="I80" s="366"/>
      <c r="J80" s="366"/>
      <c r="K80" s="366"/>
      <c r="L80" s="366"/>
      <c r="M80" s="366"/>
      <c r="N80" s="366"/>
      <c r="P80" s="1077"/>
      <c r="Q80" s="1083"/>
      <c r="R80" s="518"/>
      <c r="S80" s="4153"/>
      <c r="T80" s="4153"/>
      <c r="U80" s="4153"/>
      <c r="V80" s="4153"/>
      <c r="W80" s="1175"/>
      <c r="X80" s="4153"/>
      <c r="Y80" s="4153"/>
      <c r="Z80" s="1176"/>
      <c r="AA80" s="1083"/>
      <c r="AB80" s="1083"/>
      <c r="AC80" s="1083"/>
      <c r="AD80" s="1083"/>
    </row>
    <row r="81" spans="1:30">
      <c r="B81" s="2446" t="s">
        <v>757</v>
      </c>
      <c r="C81" s="363"/>
      <c r="F81" s="366"/>
      <c r="G81" s="366"/>
      <c r="H81" s="366"/>
      <c r="I81" s="366"/>
      <c r="J81" s="366"/>
      <c r="K81" s="366"/>
      <c r="L81" s="366"/>
      <c r="M81" s="366"/>
      <c r="N81" s="366"/>
      <c r="P81" s="1077"/>
      <c r="Q81" s="1083"/>
      <c r="R81" s="1175"/>
      <c r="S81" s="4153"/>
      <c r="T81" s="4153"/>
      <c r="U81" s="4153"/>
      <c r="V81" s="4153"/>
      <c r="W81" s="1175"/>
      <c r="X81" s="1174"/>
      <c r="Y81" s="1174"/>
      <c r="Z81" s="1177"/>
      <c r="AA81" s="1083"/>
      <c r="AB81" s="1083"/>
      <c r="AC81" s="1083"/>
      <c r="AD81" s="1083"/>
    </row>
    <row r="82" spans="1:30">
      <c r="C82" s="2503" t="s">
        <v>1902</v>
      </c>
      <c r="E82" s="2446" t="s">
        <v>760</v>
      </c>
      <c r="F82" s="2516">
        <f>F75/$F$39</f>
        <v>2.7558139534883717</v>
      </c>
      <c r="G82" s="2515">
        <f t="shared" ref="G82:N82" si="7">G75/$F$39</f>
        <v>2.7558139534883717</v>
      </c>
      <c r="H82" s="2515">
        <f t="shared" si="7"/>
        <v>2.7558139534883717</v>
      </c>
      <c r="I82" s="2515">
        <f t="shared" si="7"/>
        <v>2.7558139534883717</v>
      </c>
      <c r="J82" s="2515">
        <f t="shared" si="7"/>
        <v>2.7558139534883717</v>
      </c>
      <c r="K82" s="2515">
        <f t="shared" si="7"/>
        <v>2.7558139534883717</v>
      </c>
      <c r="L82" s="2515">
        <f t="shared" si="7"/>
        <v>2.7558139534883717</v>
      </c>
      <c r="M82" s="2515">
        <f t="shared" si="7"/>
        <v>2.7558139534883717</v>
      </c>
      <c r="N82" s="2515">
        <f t="shared" si="7"/>
        <v>2.7558139534883717</v>
      </c>
      <c r="P82" s="1077"/>
      <c r="Q82" s="1083"/>
      <c r="R82" s="1175"/>
      <c r="S82" s="629"/>
      <c r="T82" s="629"/>
      <c r="U82" s="629"/>
      <c r="V82" s="629"/>
      <c r="W82" s="1175"/>
      <c r="X82" s="629"/>
      <c r="Y82" s="629"/>
      <c r="Z82" s="1083"/>
      <c r="AA82" s="1083"/>
      <c r="AB82" s="1083"/>
      <c r="AC82" s="1083"/>
      <c r="AD82" s="1083"/>
    </row>
    <row r="83" spans="1:30">
      <c r="C83" s="2446" t="s">
        <v>1895</v>
      </c>
      <c r="E83" s="2503" t="str">
        <f>Preferences.AreaUnits</f>
        <v>km^2</v>
      </c>
      <c r="F83" s="2515">
        <f t="shared" ref="F83:N83" si="8">F75/$F$41</f>
        <v>7.5409090909090883</v>
      </c>
      <c r="G83" s="2515">
        <f t="shared" si="8"/>
        <v>7.5409090909090883</v>
      </c>
      <c r="H83" s="2515">
        <f t="shared" si="8"/>
        <v>7.5409090909090883</v>
      </c>
      <c r="I83" s="2515">
        <f t="shared" si="8"/>
        <v>7.5409090909090883</v>
      </c>
      <c r="J83" s="2515">
        <f t="shared" si="8"/>
        <v>7.5409090909090883</v>
      </c>
      <c r="K83" s="2515">
        <f t="shared" si="8"/>
        <v>7.5409090909090883</v>
      </c>
      <c r="L83" s="2515">
        <f t="shared" si="8"/>
        <v>7.5409090909090883</v>
      </c>
      <c r="M83" s="2515">
        <f t="shared" si="8"/>
        <v>7.5409090909090883</v>
      </c>
      <c r="N83" s="2515">
        <f t="shared" si="8"/>
        <v>7.5409090909090883</v>
      </c>
      <c r="P83" s="1077"/>
      <c r="Q83" s="1083"/>
      <c r="R83" s="1175"/>
      <c r="S83" s="629"/>
      <c r="T83" s="629"/>
      <c r="U83" s="629"/>
      <c r="V83" s="629"/>
      <c r="W83" s="1175"/>
      <c r="X83" s="629"/>
      <c r="Y83" s="629"/>
      <c r="Z83" s="1083"/>
      <c r="AA83" s="1083"/>
      <c r="AB83" s="1083"/>
      <c r="AC83" s="1083"/>
      <c r="AD83" s="1083"/>
    </row>
    <row r="84" spans="1:30">
      <c r="C84" s="2446" t="s">
        <v>1896</v>
      </c>
      <c r="E84" s="2503" t="str">
        <f>Preferences.AreaUnits</f>
        <v>km^2</v>
      </c>
      <c r="F84" s="2515">
        <f t="shared" ref="F84:N84" si="9">F75/$F$40</f>
        <v>414.74999999999989</v>
      </c>
      <c r="G84" s="2515">
        <f t="shared" si="9"/>
        <v>414.74999999999989</v>
      </c>
      <c r="H84" s="2515">
        <f t="shared" si="9"/>
        <v>414.74999999999989</v>
      </c>
      <c r="I84" s="2515">
        <f t="shared" si="9"/>
        <v>414.74999999999989</v>
      </c>
      <c r="J84" s="2515">
        <f t="shared" si="9"/>
        <v>414.74999999999989</v>
      </c>
      <c r="K84" s="2515">
        <f t="shared" si="9"/>
        <v>414.74999999999989</v>
      </c>
      <c r="L84" s="2515">
        <f t="shared" si="9"/>
        <v>414.74999999999989</v>
      </c>
      <c r="M84" s="2515">
        <f t="shared" si="9"/>
        <v>414.74999999999989</v>
      </c>
      <c r="N84" s="2515">
        <f t="shared" si="9"/>
        <v>414.74999999999989</v>
      </c>
      <c r="O84" s="993"/>
      <c r="P84" s="1077"/>
      <c r="Q84" s="86"/>
      <c r="R84" s="2502"/>
      <c r="S84" s="2495"/>
      <c r="T84" s="2495"/>
      <c r="U84" s="2495"/>
      <c r="V84" s="2495"/>
      <c r="W84" s="1175"/>
      <c r="X84" s="2495"/>
      <c r="Y84" s="2495"/>
      <c r="Z84" s="86"/>
      <c r="AA84" s="86"/>
      <c r="AB84" s="86"/>
      <c r="AC84" s="86"/>
      <c r="AD84" s="86"/>
    </row>
    <row r="85" spans="1:30">
      <c r="F85" s="993"/>
      <c r="G85" s="993"/>
      <c r="H85" s="993"/>
      <c r="I85" s="993"/>
      <c r="J85" s="993"/>
      <c r="K85" s="993"/>
      <c r="L85" s="993"/>
      <c r="M85" s="993"/>
      <c r="N85" s="993"/>
      <c r="O85" s="993"/>
      <c r="P85" s="1077"/>
      <c r="Q85" s="86"/>
      <c r="R85" s="86"/>
      <c r="S85" s="86"/>
      <c r="T85" s="86"/>
      <c r="U85" s="86"/>
      <c r="V85" s="86"/>
      <c r="W85" s="86"/>
      <c r="X85" s="86"/>
      <c r="Y85" s="86"/>
      <c r="Z85" s="86"/>
      <c r="AA85" s="86"/>
      <c r="AB85" s="86"/>
      <c r="AC85" s="86"/>
      <c r="AD85" s="86"/>
    </row>
    <row r="86" spans="1:30" ht="23.25">
      <c r="A86" s="7"/>
      <c r="C86" s="2446" t="s">
        <v>1897</v>
      </c>
      <c r="F86" s="993" t="s">
        <v>5</v>
      </c>
      <c r="G86" s="993"/>
      <c r="H86" s="993"/>
      <c r="I86" s="993"/>
      <c r="J86" s="993"/>
      <c r="K86" s="993"/>
      <c r="L86" s="993"/>
      <c r="M86" s="993"/>
      <c r="N86" s="993"/>
      <c r="O86" s="993"/>
      <c r="P86" s="1077"/>
      <c r="Q86" s="1077"/>
      <c r="R86" s="207"/>
      <c r="S86" s="1077"/>
      <c r="T86" s="1431"/>
      <c r="U86" s="1077"/>
      <c r="V86" s="1077"/>
      <c r="W86" s="1431"/>
      <c r="X86" s="1077"/>
      <c r="Y86" s="1077"/>
      <c r="Z86" s="1077"/>
      <c r="AA86" s="1077"/>
      <c r="AB86" s="1077"/>
      <c r="AC86" s="1077"/>
      <c r="AD86" s="1431"/>
    </row>
    <row r="87" spans="1:30">
      <c r="C87" s="2446" t="s">
        <v>1898</v>
      </c>
      <c r="F87" s="993"/>
      <c r="G87" s="2515">
        <f t="shared" ref="G87:N87" si="10">(G82-F82)/(G70-F70)</f>
        <v>0</v>
      </c>
      <c r="H87" s="2516">
        <f t="shared" si="10"/>
        <v>0</v>
      </c>
      <c r="I87" s="2516">
        <f t="shared" si="10"/>
        <v>0</v>
      </c>
      <c r="J87" s="2516">
        <f t="shared" si="10"/>
        <v>0</v>
      </c>
      <c r="K87" s="2516">
        <f t="shared" si="10"/>
        <v>0</v>
      </c>
      <c r="L87" s="2516">
        <f t="shared" si="10"/>
        <v>0</v>
      </c>
      <c r="M87" s="2516">
        <f t="shared" si="10"/>
        <v>0</v>
      </c>
      <c r="N87" s="2516">
        <f t="shared" si="10"/>
        <v>0</v>
      </c>
      <c r="O87" s="993"/>
    </row>
    <row r="88" spans="1:30">
      <c r="O88" s="993"/>
    </row>
    <row r="89" spans="1:30">
      <c r="B89" s="3611" t="s">
        <v>2798</v>
      </c>
      <c r="F89" s="993"/>
      <c r="G89" s="993"/>
      <c r="H89" s="993"/>
      <c r="I89" s="993"/>
      <c r="J89" s="993"/>
      <c r="K89" s="993"/>
      <c r="L89" s="993"/>
      <c r="M89" s="993"/>
      <c r="N89" s="993"/>
      <c r="O89" s="993"/>
    </row>
    <row r="90" spans="1:30" hidden="1">
      <c r="C90" s="2446" t="s">
        <v>169</v>
      </c>
      <c r="E90" s="3611" t="s">
        <v>2812</v>
      </c>
      <c r="F90" s="993"/>
      <c r="G90" s="993"/>
      <c r="H90" s="993"/>
      <c r="I90" s="993"/>
      <c r="J90" s="993"/>
      <c r="K90" s="993"/>
      <c r="L90" s="993"/>
      <c r="M90" s="993"/>
      <c r="N90" s="993"/>
      <c r="O90" s="993"/>
    </row>
    <row r="91" spans="1:30" hidden="1">
      <c r="C91" s="2446" t="s">
        <v>173</v>
      </c>
      <c r="E91" s="3611" t="s">
        <v>2812</v>
      </c>
      <c r="F91" s="993"/>
      <c r="G91" s="993"/>
      <c r="H91" s="993"/>
      <c r="I91" s="993"/>
      <c r="J91" s="993"/>
      <c r="K91" s="993"/>
      <c r="L91" s="993"/>
      <c r="M91" s="993"/>
      <c r="N91" s="993"/>
      <c r="O91" s="993"/>
    </row>
    <row r="92" spans="1:30" hidden="1">
      <c r="C92" s="2446" t="s">
        <v>294</v>
      </c>
      <c r="E92" s="3611" t="s">
        <v>2812</v>
      </c>
      <c r="F92" s="993"/>
      <c r="G92" s="993"/>
      <c r="H92" s="993"/>
      <c r="I92" s="993"/>
      <c r="J92" s="993"/>
      <c r="K92" s="993"/>
      <c r="L92" s="993"/>
      <c r="M92" s="993"/>
      <c r="N92" s="993"/>
      <c r="O92" s="993"/>
    </row>
    <row r="93" spans="1:30" hidden="1">
      <c r="C93" s="363"/>
      <c r="F93" s="366"/>
      <c r="G93" s="366"/>
      <c r="H93" s="366"/>
      <c r="I93" s="366"/>
      <c r="J93" s="366"/>
      <c r="K93" s="366"/>
      <c r="L93" s="366"/>
      <c r="M93" s="366"/>
      <c r="N93" s="366"/>
      <c r="O93" s="993"/>
    </row>
    <row r="94" spans="1:30" hidden="1">
      <c r="B94" s="2446" t="s">
        <v>295</v>
      </c>
      <c r="F94" s="993"/>
      <c r="G94" s="993"/>
      <c r="H94" s="993"/>
      <c r="I94" s="993"/>
      <c r="J94" s="993"/>
      <c r="K94" s="993"/>
      <c r="L94" s="993"/>
      <c r="M94" s="993"/>
      <c r="N94" s="993"/>
      <c r="O94" s="993"/>
    </row>
    <row r="95" spans="1:30" hidden="1">
      <c r="C95" s="2446" t="s">
        <v>169</v>
      </c>
      <c r="E95" s="3611" t="s">
        <v>2812</v>
      </c>
      <c r="F95" s="993"/>
      <c r="G95" s="993"/>
      <c r="H95" s="993"/>
      <c r="I95" s="993"/>
      <c r="J95" s="993"/>
      <c r="K95" s="993"/>
      <c r="L95" s="993"/>
      <c r="M95" s="993"/>
      <c r="N95" s="993"/>
      <c r="O95" s="993"/>
    </row>
    <row r="96" spans="1:30" hidden="1">
      <c r="C96" s="2446" t="s">
        <v>173</v>
      </c>
      <c r="E96" s="3611" t="s">
        <v>2812</v>
      </c>
      <c r="F96" s="993"/>
      <c r="G96" s="993"/>
      <c r="H96" s="993"/>
      <c r="I96" s="993"/>
      <c r="J96" s="993"/>
      <c r="K96" s="993"/>
      <c r="L96" s="993"/>
      <c r="M96" s="993"/>
      <c r="N96" s="993"/>
      <c r="O96" s="993"/>
    </row>
    <row r="97" spans="2:15" hidden="1">
      <c r="C97" s="2446" t="s">
        <v>294</v>
      </c>
      <c r="E97" s="3611" t="s">
        <v>2812</v>
      </c>
      <c r="F97" s="993"/>
      <c r="G97" s="993"/>
      <c r="H97" s="993"/>
      <c r="I97" s="993"/>
      <c r="J97" s="993"/>
      <c r="K97" s="993"/>
      <c r="L97" s="993"/>
      <c r="M97" s="993"/>
      <c r="N97" s="993"/>
    </row>
    <row r="98" spans="2:15" hidden="1">
      <c r="F98" s="993"/>
      <c r="G98" s="993"/>
      <c r="H98" s="993"/>
      <c r="I98" s="993"/>
      <c r="J98" s="993"/>
      <c r="K98" s="993"/>
      <c r="L98" s="993"/>
      <c r="M98" s="993"/>
      <c r="N98" s="993"/>
    </row>
    <row r="99" spans="2:15" hidden="1">
      <c r="B99" s="2446" t="s">
        <v>293</v>
      </c>
      <c r="F99" s="993"/>
      <c r="G99" s="993"/>
      <c r="H99" s="993"/>
      <c r="I99" s="993"/>
      <c r="J99" s="993"/>
      <c r="K99" s="993"/>
      <c r="L99" s="993"/>
      <c r="M99" s="993"/>
      <c r="N99" s="993"/>
    </row>
    <row r="100" spans="2:15" hidden="1">
      <c r="C100" s="2446" t="s">
        <v>169</v>
      </c>
      <c r="E100" s="3611" t="s">
        <v>2812</v>
      </c>
      <c r="F100" s="993"/>
      <c r="G100" s="993"/>
      <c r="H100" s="993"/>
      <c r="I100" s="993"/>
      <c r="J100" s="993"/>
      <c r="K100" s="993"/>
      <c r="L100" s="993"/>
      <c r="M100" s="993"/>
      <c r="N100" s="993"/>
    </row>
    <row r="101" spans="2:15" hidden="1">
      <c r="C101" s="2446" t="s">
        <v>173</v>
      </c>
      <c r="E101" s="3611" t="s">
        <v>2812</v>
      </c>
      <c r="F101" s="993"/>
      <c r="G101" s="993"/>
      <c r="H101" s="993"/>
      <c r="I101" s="993"/>
      <c r="J101" s="993"/>
      <c r="K101" s="993"/>
      <c r="L101" s="993"/>
      <c r="M101" s="993"/>
      <c r="N101" s="993"/>
    </row>
    <row r="102" spans="2:15" hidden="1">
      <c r="C102" s="2446" t="s">
        <v>294</v>
      </c>
      <c r="E102" s="3611" t="s">
        <v>2812</v>
      </c>
      <c r="F102" s="993"/>
      <c r="G102" s="993"/>
      <c r="H102" s="993"/>
      <c r="I102" s="993"/>
      <c r="J102" s="993"/>
      <c r="K102" s="993"/>
      <c r="L102" s="993"/>
      <c r="M102" s="993"/>
      <c r="N102" s="993"/>
    </row>
    <row r="103" spans="2:15" hidden="1"/>
    <row r="104" spans="2:15" hidden="1"/>
    <row r="106" spans="2:15" ht="15.75">
      <c r="B106" s="511" t="s">
        <v>299</v>
      </c>
      <c r="C106" s="512"/>
      <c r="D106" s="512"/>
      <c r="E106" s="512"/>
      <c r="F106" s="512"/>
      <c r="G106" s="512"/>
      <c r="H106" s="512"/>
      <c r="I106" s="512"/>
      <c r="J106" s="512"/>
      <c r="K106" s="512"/>
      <c r="L106" s="512"/>
      <c r="M106" s="512"/>
      <c r="N106" s="512"/>
      <c r="O106" s="866"/>
    </row>
    <row r="107" spans="2:15">
      <c r="B107" s="514"/>
      <c r="C107" s="515"/>
      <c r="D107" s="515"/>
      <c r="E107" s="515"/>
      <c r="F107" s="515"/>
      <c r="G107" s="515"/>
      <c r="H107" s="515"/>
      <c r="I107" s="515"/>
      <c r="J107" s="515"/>
      <c r="K107" s="515"/>
      <c r="L107" s="515"/>
      <c r="M107" s="515"/>
      <c r="N107" s="515"/>
      <c r="O107" s="867"/>
    </row>
    <row r="108" spans="2:15">
      <c r="B108" s="514"/>
      <c r="C108" s="34" t="s">
        <v>765</v>
      </c>
      <c r="D108" s="515"/>
      <c r="E108" s="516"/>
      <c r="F108" s="515"/>
      <c r="G108" s="515"/>
      <c r="H108" s="515"/>
      <c r="I108" s="515"/>
      <c r="J108" s="515"/>
      <c r="K108" s="515"/>
      <c r="L108" s="515"/>
      <c r="M108" s="515"/>
      <c r="N108" s="516" t="str">
        <f>Preferences.EnergyUnits</f>
        <v>TWh</v>
      </c>
      <c r="O108" s="867"/>
    </row>
    <row r="109" spans="2:15">
      <c r="B109" s="514"/>
      <c r="C109" s="515"/>
      <c r="D109" s="515"/>
      <c r="E109" s="515"/>
      <c r="F109" s="515"/>
      <c r="G109" s="515"/>
      <c r="H109" s="515"/>
      <c r="I109" s="515"/>
      <c r="J109" s="515"/>
      <c r="K109" s="515"/>
      <c r="L109" s="515"/>
      <c r="M109" s="515"/>
      <c r="N109" s="515"/>
      <c r="O109" s="867"/>
    </row>
    <row r="110" spans="2:15" ht="15.75">
      <c r="B110" s="15"/>
      <c r="C110" s="873" t="s">
        <v>28</v>
      </c>
      <c r="D110" s="873" t="s">
        <v>29</v>
      </c>
      <c r="E110" s="873" t="s">
        <v>30</v>
      </c>
      <c r="F110" s="873" t="s">
        <v>597</v>
      </c>
      <c r="G110" s="873" t="s">
        <v>133</v>
      </c>
      <c r="H110" s="873" t="s">
        <v>134</v>
      </c>
      <c r="I110" s="873" t="s">
        <v>135</v>
      </c>
      <c r="J110" s="873" t="s">
        <v>136</v>
      </c>
      <c r="K110" s="873" t="s">
        <v>137</v>
      </c>
      <c r="L110" s="873" t="s">
        <v>138</v>
      </c>
      <c r="M110" s="873" t="s">
        <v>139</v>
      </c>
      <c r="N110" s="873" t="s">
        <v>140</v>
      </c>
      <c r="O110" s="867"/>
    </row>
    <row r="111" spans="2:15" ht="15.75">
      <c r="B111" s="15"/>
      <c r="C111" s="17" t="s">
        <v>97</v>
      </c>
      <c r="D111" s="17" t="str">
        <f>INDEX(Vectors[Description], MATCH($C111, Vectors[Code], 0))</f>
        <v>Electricity (supplied to grid)</v>
      </c>
      <c r="E111" s="17"/>
      <c r="F111" s="2521">
        <f t="shared" ref="F111:N111" si="11">F$79</f>
        <v>0.74791511999999993</v>
      </c>
      <c r="G111" s="2521">
        <f t="shared" si="11"/>
        <v>0.74791511999999993</v>
      </c>
      <c r="H111" s="2521">
        <f t="shared" si="11"/>
        <v>0.74791511999999993</v>
      </c>
      <c r="I111" s="2521">
        <f t="shared" si="11"/>
        <v>0.78946596000000002</v>
      </c>
      <c r="J111" s="2521">
        <f t="shared" si="11"/>
        <v>0.78946596000000002</v>
      </c>
      <c r="K111" s="2521">
        <f t="shared" si="11"/>
        <v>0.78946596000000002</v>
      </c>
      <c r="L111" s="2521">
        <f t="shared" si="11"/>
        <v>0.78946596000000002</v>
      </c>
      <c r="M111" s="2521">
        <f t="shared" si="11"/>
        <v>0.78946596000000002</v>
      </c>
      <c r="N111" s="2521">
        <f t="shared" si="11"/>
        <v>0.78946596000000002</v>
      </c>
      <c r="O111" s="867"/>
    </row>
    <row r="112" spans="2:15" ht="15.75">
      <c r="B112" s="15"/>
      <c r="C112" s="17" t="s">
        <v>451</v>
      </c>
      <c r="D112" s="17" t="str">
        <f>INDEX(Vectors[Description], MATCH($C112, Vectors[Code], 0))</f>
        <v>Hydro</v>
      </c>
      <c r="E112" s="17"/>
      <c r="F112" s="2521">
        <f t="shared" ref="F112:N112" si="12">-F79</f>
        <v>-0.74791511999999993</v>
      </c>
      <c r="G112" s="2521">
        <f t="shared" si="12"/>
        <v>-0.74791511999999993</v>
      </c>
      <c r="H112" s="2521">
        <f t="shared" si="12"/>
        <v>-0.74791511999999993</v>
      </c>
      <c r="I112" s="2521">
        <f t="shared" si="12"/>
        <v>-0.78946596000000002</v>
      </c>
      <c r="J112" s="2521">
        <f t="shared" si="12"/>
        <v>-0.78946596000000002</v>
      </c>
      <c r="K112" s="2521">
        <f t="shared" si="12"/>
        <v>-0.78946596000000002</v>
      </c>
      <c r="L112" s="2521">
        <f t="shared" si="12"/>
        <v>-0.78946596000000002</v>
      </c>
      <c r="M112" s="2521">
        <f t="shared" si="12"/>
        <v>-0.78946596000000002</v>
      </c>
      <c r="N112" s="2521">
        <f t="shared" si="12"/>
        <v>-0.78946596000000002</v>
      </c>
      <c r="O112" s="867"/>
    </row>
    <row r="113" spans="1:23" ht="15.75">
      <c r="B113" s="450"/>
      <c r="C113" s="2462" t="s">
        <v>59</v>
      </c>
      <c r="D113" s="2462"/>
      <c r="E113" s="2462"/>
      <c r="F113" s="2518">
        <f>SUBTOTAL(109,[2013])</f>
        <v>0</v>
      </c>
      <c r="G113" s="2518">
        <f>SUBTOTAL(109,[2015])</f>
        <v>0</v>
      </c>
      <c r="H113" s="2518">
        <f>SUBTOTAL(109,[2020])</f>
        <v>0</v>
      </c>
      <c r="I113" s="2518">
        <f>SUBTOTAL(109,[2025])</f>
        <v>0</v>
      </c>
      <c r="J113" s="2518">
        <f>SUBTOTAL(109,[2030])</f>
        <v>0</v>
      </c>
      <c r="K113" s="2518">
        <f>SUBTOTAL(109,[2035])</f>
        <v>0</v>
      </c>
      <c r="L113" s="2518">
        <f>SUBTOTAL(109,[2040])</f>
        <v>0</v>
      </c>
      <c r="M113" s="2518">
        <f>SUBTOTAL(109,[2045])</f>
        <v>0</v>
      </c>
      <c r="N113" s="2518">
        <f>SUBTOTAL(109,[2050])</f>
        <v>0</v>
      </c>
      <c r="O113" s="870"/>
      <c r="P113" s="994"/>
    </row>
    <row r="114" spans="1:23" ht="15.75">
      <c r="B114" s="450"/>
      <c r="C114" s="452"/>
      <c r="D114" s="452"/>
      <c r="E114" s="452"/>
      <c r="F114" s="452"/>
      <c r="G114" s="452"/>
      <c r="H114" s="452"/>
      <c r="I114" s="452"/>
      <c r="J114" s="452"/>
      <c r="K114" s="452"/>
      <c r="L114" s="452"/>
      <c r="M114" s="452"/>
      <c r="N114" s="452"/>
      <c r="O114" s="870"/>
      <c r="P114" s="994"/>
    </row>
    <row r="115" spans="1:23">
      <c r="P115" s="994"/>
      <c r="Q115" s="2446" t="s">
        <v>5</v>
      </c>
    </row>
    <row r="116" spans="1:23" ht="15.75">
      <c r="B116" s="995" t="s">
        <v>313</v>
      </c>
      <c r="C116" s="996"/>
      <c r="D116" s="997"/>
      <c r="E116" s="997"/>
      <c r="F116" s="997"/>
      <c r="G116" s="997"/>
      <c r="H116" s="997"/>
      <c r="I116" s="997"/>
      <c r="J116" s="997"/>
      <c r="K116" s="997"/>
      <c r="L116" s="997"/>
      <c r="M116" s="997"/>
      <c r="N116" s="997"/>
      <c r="O116" s="998"/>
      <c r="P116" s="994"/>
    </row>
    <row r="117" spans="1:23">
      <c r="B117" s="999"/>
      <c r="C117" s="1000"/>
      <c r="D117" s="1000"/>
      <c r="E117" s="1000"/>
      <c r="F117" s="1000"/>
      <c r="G117" s="1000"/>
      <c r="H117" s="1000"/>
      <c r="I117" s="1000"/>
      <c r="J117" s="1000"/>
      <c r="K117" s="1000"/>
      <c r="L117" s="1000"/>
      <c r="M117" s="1000"/>
      <c r="N117" s="1000"/>
      <c r="O117" s="1001"/>
      <c r="P117" s="994"/>
    </row>
    <row r="118" spans="1:23">
      <c r="B118" s="1002"/>
      <c r="C118" s="488" t="s">
        <v>314</v>
      </c>
      <c r="D118" s="1003"/>
      <c r="E118" s="1004"/>
      <c r="F118" s="1003"/>
      <c r="G118" s="1003"/>
      <c r="H118" s="1003"/>
      <c r="I118" s="1003"/>
      <c r="J118" s="1003"/>
      <c r="K118" s="1003"/>
      <c r="L118" s="1003"/>
      <c r="M118" s="1003"/>
      <c r="N118" s="1004"/>
      <c r="O118" s="1005"/>
      <c r="P118" s="994"/>
    </row>
    <row r="119" spans="1:23">
      <c r="B119" s="1002"/>
      <c r="C119" s="1003"/>
      <c r="D119" s="1003"/>
      <c r="E119" s="1003"/>
      <c r="F119" s="1003"/>
      <c r="G119" s="1003"/>
      <c r="H119" s="1003"/>
      <c r="I119" s="1003"/>
      <c r="J119" s="1003"/>
      <c r="K119" s="1003"/>
      <c r="L119" s="1003"/>
      <c r="M119" s="1003"/>
      <c r="N119" s="1003"/>
      <c r="O119" s="1005"/>
      <c r="P119" s="994"/>
    </row>
    <row r="120" spans="1:23" ht="15.75">
      <c r="B120" s="492"/>
      <c r="C120" s="1006" t="s">
        <v>28</v>
      </c>
      <c r="D120" s="1006" t="s">
        <v>315</v>
      </c>
      <c r="E120" s="1006" t="s">
        <v>30</v>
      </c>
      <c r="F120" s="1006" t="s">
        <v>597</v>
      </c>
      <c r="G120" s="1006" t="s">
        <v>133</v>
      </c>
      <c r="H120" s="1006" t="s">
        <v>134</v>
      </c>
      <c r="I120" s="1006" t="s">
        <v>135</v>
      </c>
      <c r="J120" s="1006" t="s">
        <v>136</v>
      </c>
      <c r="K120" s="1006" t="s">
        <v>137</v>
      </c>
      <c r="L120" s="1006" t="s">
        <v>138</v>
      </c>
      <c r="M120" s="1006" t="s">
        <v>139</v>
      </c>
      <c r="N120" s="1006" t="s">
        <v>140</v>
      </c>
      <c r="O120" s="1005"/>
      <c r="P120" s="994"/>
    </row>
    <row r="121" spans="1:23" ht="15.75">
      <c r="B121" s="492"/>
      <c r="C121" s="1007" t="s">
        <v>767</v>
      </c>
      <c r="D121" s="494" t="s">
        <v>879</v>
      </c>
      <c r="E121" s="494" t="str">
        <f>Preferences.PowerUnits</f>
        <v>GW</v>
      </c>
      <c r="F121" s="2438">
        <f t="shared" ref="F121:N121" si="13">F75</f>
        <v>0.23699999999999999</v>
      </c>
      <c r="G121" s="2438">
        <f t="shared" si="13"/>
        <v>0.23699999999999999</v>
      </c>
      <c r="H121" s="2438">
        <f t="shared" si="13"/>
        <v>0.23699999999999999</v>
      </c>
      <c r="I121" s="2438">
        <f t="shared" si="13"/>
        <v>0.23699999999999999</v>
      </c>
      <c r="J121" s="2438">
        <f t="shared" si="13"/>
        <v>0.23699999999999999</v>
      </c>
      <c r="K121" s="2438">
        <f t="shared" si="13"/>
        <v>0.23699999999999999</v>
      </c>
      <c r="L121" s="2438">
        <f t="shared" si="13"/>
        <v>0.23699999999999999</v>
      </c>
      <c r="M121" s="2438">
        <f t="shared" si="13"/>
        <v>0.23699999999999999</v>
      </c>
      <c r="N121" s="2438">
        <f t="shared" si="13"/>
        <v>0.23699999999999999</v>
      </c>
      <c r="O121" s="1005"/>
      <c r="P121" s="994"/>
    </row>
    <row r="122" spans="1:23" ht="15.75">
      <c r="B122" s="492"/>
      <c r="C122" s="1007" t="s">
        <v>316</v>
      </c>
      <c r="D122" s="1007" t="s">
        <v>1905</v>
      </c>
      <c r="E122" s="494" t="s">
        <v>760</v>
      </c>
      <c r="F122" s="2438">
        <f t="shared" ref="F122:N124" si="14">F82</f>
        <v>2.7558139534883717</v>
      </c>
      <c r="G122" s="2438">
        <f t="shared" si="14"/>
        <v>2.7558139534883717</v>
      </c>
      <c r="H122" s="2438">
        <f t="shared" si="14"/>
        <v>2.7558139534883717</v>
      </c>
      <c r="I122" s="2438">
        <f t="shared" si="14"/>
        <v>2.7558139534883717</v>
      </c>
      <c r="J122" s="2438">
        <f t="shared" si="14"/>
        <v>2.7558139534883717</v>
      </c>
      <c r="K122" s="2438">
        <f t="shared" si="14"/>
        <v>2.7558139534883717</v>
      </c>
      <c r="L122" s="2438">
        <f t="shared" si="14"/>
        <v>2.7558139534883717</v>
      </c>
      <c r="M122" s="2438">
        <f t="shared" si="14"/>
        <v>2.7558139534883717</v>
      </c>
      <c r="N122" s="2438">
        <f t="shared" si="14"/>
        <v>2.7558139534883717</v>
      </c>
      <c r="O122" s="1005"/>
      <c r="P122" s="994"/>
    </row>
    <row r="123" spans="1:23" ht="15.75">
      <c r="B123" s="492"/>
      <c r="C123" s="1007" t="s">
        <v>887</v>
      </c>
      <c r="D123" s="1007" t="s">
        <v>1904</v>
      </c>
      <c r="E123" s="494" t="str">
        <f>Preferences.AreaUnits</f>
        <v>km^2</v>
      </c>
      <c r="F123" s="2438">
        <f t="shared" si="14"/>
        <v>7.5409090909090883</v>
      </c>
      <c r="G123" s="2438">
        <f t="shared" si="14"/>
        <v>7.5409090909090883</v>
      </c>
      <c r="H123" s="2438">
        <f t="shared" si="14"/>
        <v>7.5409090909090883</v>
      </c>
      <c r="I123" s="2438">
        <f t="shared" si="14"/>
        <v>7.5409090909090883</v>
      </c>
      <c r="J123" s="2438">
        <f t="shared" si="14"/>
        <v>7.5409090909090883</v>
      </c>
      <c r="K123" s="2438">
        <f t="shared" si="14"/>
        <v>7.5409090909090883</v>
      </c>
      <c r="L123" s="2438">
        <f t="shared" si="14"/>
        <v>7.5409090909090883</v>
      </c>
      <c r="M123" s="2438">
        <f t="shared" si="14"/>
        <v>7.5409090909090883</v>
      </c>
      <c r="N123" s="2438">
        <f t="shared" si="14"/>
        <v>7.5409090909090883</v>
      </c>
      <c r="O123" s="1005"/>
    </row>
    <row r="124" spans="1:23" ht="15.75">
      <c r="B124" s="492"/>
      <c r="C124" s="1007"/>
      <c r="D124" s="494" t="s">
        <v>1896</v>
      </c>
      <c r="E124" s="494" t="str">
        <f>Preferences.AreaUnits</f>
        <v>km^2</v>
      </c>
      <c r="F124" s="2438">
        <f t="shared" si="14"/>
        <v>414.74999999999989</v>
      </c>
      <c r="G124" s="2438">
        <f t="shared" si="14"/>
        <v>414.74999999999989</v>
      </c>
      <c r="H124" s="2438">
        <f t="shared" si="14"/>
        <v>414.74999999999989</v>
      </c>
      <c r="I124" s="2438">
        <f t="shared" si="14"/>
        <v>414.74999999999989</v>
      </c>
      <c r="J124" s="2438">
        <f t="shared" si="14"/>
        <v>414.74999999999989</v>
      </c>
      <c r="K124" s="2438">
        <f t="shared" si="14"/>
        <v>414.74999999999989</v>
      </c>
      <c r="L124" s="2438">
        <f t="shared" si="14"/>
        <v>414.74999999999989</v>
      </c>
      <c r="M124" s="2438">
        <f t="shared" si="14"/>
        <v>414.74999999999989</v>
      </c>
      <c r="N124" s="2438">
        <f t="shared" si="14"/>
        <v>414.74999999999989</v>
      </c>
      <c r="O124" s="1005"/>
    </row>
    <row r="125" spans="1:23" ht="23.25">
      <c r="A125" s="7"/>
      <c r="B125" s="497"/>
      <c r="C125" s="1010"/>
      <c r="D125" s="1010"/>
      <c r="E125" s="1010"/>
      <c r="F125" s="1010"/>
      <c r="G125" s="1010"/>
      <c r="H125" s="1010"/>
      <c r="I125" s="1010"/>
      <c r="J125" s="1010"/>
      <c r="K125" s="1010"/>
      <c r="L125" s="1010"/>
      <c r="M125" s="1010"/>
      <c r="N125" s="1010"/>
      <c r="O125" s="1011"/>
      <c r="Q125" s="1173"/>
      <c r="R125" s="1173"/>
      <c r="S125" s="1173"/>
      <c r="T125" s="1173"/>
      <c r="U125" s="1173"/>
      <c r="V125" s="1173"/>
      <c r="W125" s="1173"/>
    </row>
    <row r="126" spans="1:23">
      <c r="E126" s="3821" t="s">
        <v>5</v>
      </c>
      <c r="Q126" s="1173"/>
      <c r="R126" s="1173"/>
      <c r="S126" s="1173"/>
      <c r="T126" s="1173"/>
      <c r="U126" s="1173"/>
      <c r="V126" s="1173"/>
      <c r="W126" s="1173"/>
    </row>
    <row r="127" spans="1:23" ht="15.75">
      <c r="B127" s="995" t="s">
        <v>2795</v>
      </c>
      <c r="C127" s="997"/>
      <c r="D127" s="997"/>
      <c r="E127" s="997"/>
      <c r="F127" s="997"/>
      <c r="G127" s="997"/>
      <c r="H127" s="997"/>
      <c r="I127" s="997"/>
      <c r="J127" s="997"/>
      <c r="K127" s="997"/>
      <c r="L127" s="997"/>
      <c r="M127" s="997"/>
      <c r="N127" s="997"/>
      <c r="O127" s="998"/>
      <c r="Q127" s="1173"/>
      <c r="R127" s="1173"/>
      <c r="S127" s="1173"/>
      <c r="T127" s="1173"/>
      <c r="U127" s="1173"/>
      <c r="V127" s="1173"/>
      <c r="W127" s="1173"/>
    </row>
    <row r="128" spans="1:23" hidden="1">
      <c r="B128" s="1002"/>
      <c r="C128" s="1003"/>
      <c r="D128" s="1003"/>
      <c r="E128" s="1003"/>
      <c r="F128" s="1003"/>
      <c r="G128" s="1003"/>
      <c r="H128" s="1003"/>
      <c r="I128" s="1003"/>
      <c r="J128" s="1003"/>
      <c r="K128" s="1003"/>
      <c r="L128" s="1003"/>
      <c r="M128" s="1003"/>
      <c r="N128" s="1003"/>
      <c r="O128" s="1005"/>
      <c r="Q128" s="1173"/>
      <c r="R128" s="1173"/>
      <c r="S128" s="1173"/>
      <c r="T128" s="1173"/>
      <c r="U128" s="1173"/>
      <c r="V128" s="1173"/>
      <c r="W128" s="1173"/>
    </row>
    <row r="129" spans="1:23" ht="15.75" hidden="1">
      <c r="A129" s="443"/>
      <c r="B129" s="1002"/>
      <c r="C129" s="500" t="s">
        <v>770</v>
      </c>
      <c r="D129" s="1012"/>
      <c r="E129" s="1012"/>
      <c r="F129" s="1012"/>
      <c r="G129" s="1012"/>
      <c r="H129" s="1012"/>
      <c r="I129" s="1012"/>
      <c r="J129" s="1012"/>
      <c r="K129" s="1012"/>
      <c r="L129" s="1012"/>
      <c r="M129" s="1012"/>
      <c r="N129" s="1013"/>
      <c r="O129" s="1005"/>
      <c r="Q129" s="1173"/>
      <c r="R129" s="1173"/>
      <c r="S129" s="1173"/>
      <c r="T129" s="1173"/>
      <c r="U129" s="1173"/>
      <c r="V129" s="1173"/>
      <c r="W129" s="1173"/>
    </row>
    <row r="130" spans="1:23" ht="15.75" hidden="1">
      <c r="A130" s="443"/>
      <c r="B130" s="1002"/>
      <c r="C130" s="1003"/>
      <c r="D130" s="1003"/>
      <c r="E130" s="1003"/>
      <c r="F130" s="1003"/>
      <c r="G130" s="1003"/>
      <c r="H130" s="1003"/>
      <c r="I130" s="1003"/>
      <c r="J130" s="1003"/>
      <c r="K130" s="1003"/>
      <c r="L130" s="1003"/>
      <c r="M130" s="1003"/>
      <c r="N130" s="1003"/>
      <c r="O130" s="1005"/>
      <c r="Q130" s="1173"/>
      <c r="R130" s="1173"/>
      <c r="S130" s="1173"/>
      <c r="T130" s="1173"/>
      <c r="U130" s="1173"/>
      <c r="V130" s="1173"/>
      <c r="W130" s="1173"/>
    </row>
    <row r="131" spans="1:23" ht="15.75" hidden="1">
      <c r="A131" s="443"/>
      <c r="B131" s="492"/>
      <c r="C131" s="1006" t="s">
        <v>28</v>
      </c>
      <c r="D131" s="1006" t="s">
        <v>29</v>
      </c>
      <c r="E131" s="1006" t="s">
        <v>30</v>
      </c>
      <c r="F131" s="1006">
        <v>2013</v>
      </c>
      <c r="G131" s="1006" t="s">
        <v>133</v>
      </c>
      <c r="H131" s="1006" t="s">
        <v>134</v>
      </c>
      <c r="I131" s="1006" t="s">
        <v>135</v>
      </c>
      <c r="J131" s="1006" t="s">
        <v>136</v>
      </c>
      <c r="K131" s="1006" t="s">
        <v>137</v>
      </c>
      <c r="L131" s="1006" t="s">
        <v>138</v>
      </c>
      <c r="M131" s="1006" t="s">
        <v>139</v>
      </c>
      <c r="N131" s="1006" t="s">
        <v>140</v>
      </c>
      <c r="O131" s="1150"/>
      <c r="Q131" s="1173"/>
      <c r="R131" s="1173"/>
      <c r="S131" s="1173"/>
      <c r="T131" s="1173"/>
      <c r="U131" s="1173"/>
      <c r="V131" s="1173"/>
      <c r="W131" s="1173"/>
    </row>
    <row r="132" spans="1:23" ht="15.75" hidden="1">
      <c r="A132" s="443"/>
      <c r="B132" s="492"/>
      <c r="C132" s="1007" t="s">
        <v>328</v>
      </c>
      <c r="D132" s="494" t="s">
        <v>329</v>
      </c>
      <c r="E132" s="494"/>
      <c r="F132" s="1008"/>
      <c r="G132" s="1008"/>
      <c r="H132" s="1008"/>
      <c r="I132" s="1008"/>
      <c r="J132" s="1008"/>
      <c r="K132" s="1008"/>
      <c r="L132" s="1008"/>
      <c r="M132" s="1008"/>
      <c r="N132" s="1008"/>
      <c r="O132" s="1150"/>
      <c r="Q132" s="1173"/>
      <c r="R132" s="1173"/>
      <c r="S132" s="1173"/>
      <c r="T132" s="1173"/>
      <c r="U132" s="1173"/>
      <c r="V132" s="1173"/>
      <c r="W132" s="1173"/>
    </row>
    <row r="133" spans="1:23" ht="15.75" hidden="1">
      <c r="A133" s="443"/>
      <c r="B133" s="492"/>
      <c r="C133" s="1007" t="s">
        <v>335</v>
      </c>
      <c r="D133" s="494" t="s">
        <v>336</v>
      </c>
      <c r="E133" s="494"/>
      <c r="F133" s="1008"/>
      <c r="G133" s="1008"/>
      <c r="H133" s="1008"/>
      <c r="I133" s="1008"/>
      <c r="J133" s="1008"/>
      <c r="K133" s="1008"/>
      <c r="L133" s="1008"/>
      <c r="M133" s="1008"/>
      <c r="N133" s="1008"/>
      <c r="O133" s="1150"/>
      <c r="Q133" s="1173"/>
      <c r="R133" s="1173"/>
      <c r="S133" s="1173"/>
      <c r="T133" s="1173"/>
      <c r="U133" s="1173"/>
      <c r="V133" s="1173"/>
      <c r="W133" s="1173"/>
    </row>
    <row r="134" spans="1:23" ht="15.75" hidden="1">
      <c r="B134" s="492"/>
      <c r="C134" s="1007" t="s">
        <v>326</v>
      </c>
      <c r="D134" s="494" t="s">
        <v>327</v>
      </c>
      <c r="E134" s="494"/>
      <c r="F134" s="1008"/>
      <c r="G134" s="1008"/>
      <c r="H134" s="1008"/>
      <c r="I134" s="1008"/>
      <c r="J134" s="1008"/>
      <c r="K134" s="1008"/>
      <c r="L134" s="1008"/>
      <c r="M134" s="1008"/>
      <c r="N134" s="1008"/>
      <c r="O134" s="1150"/>
      <c r="Q134" s="1173"/>
      <c r="R134" s="1173"/>
      <c r="S134" s="1173"/>
      <c r="T134" s="1173"/>
      <c r="U134" s="1173"/>
      <c r="V134" s="1173"/>
      <c r="W134" s="1173"/>
    </row>
    <row r="135" spans="1:23" ht="15.75" hidden="1">
      <c r="B135" s="492"/>
      <c r="C135" s="1007" t="s">
        <v>333</v>
      </c>
      <c r="D135" s="494" t="s">
        <v>334</v>
      </c>
      <c r="E135" s="494"/>
      <c r="F135" s="1008"/>
      <c r="G135" s="1008"/>
      <c r="H135" s="1008"/>
      <c r="I135" s="1008"/>
      <c r="J135" s="1008"/>
      <c r="K135" s="1008"/>
      <c r="L135" s="1008"/>
      <c r="M135" s="1008"/>
      <c r="N135" s="1008"/>
      <c r="O135" s="1150"/>
      <c r="Q135" s="1173"/>
      <c r="R135" s="1173"/>
      <c r="S135" s="656"/>
      <c r="T135" s="1173"/>
      <c r="U135" s="1173"/>
      <c r="V135" s="1173"/>
      <c r="W135" s="1173"/>
    </row>
    <row r="136" spans="1:23" hidden="1">
      <c r="B136" s="503"/>
      <c r="C136" s="1007" t="s">
        <v>324</v>
      </c>
      <c r="D136" s="494" t="s">
        <v>325</v>
      </c>
      <c r="E136" s="494"/>
      <c r="F136" s="1008"/>
      <c r="G136" s="1008"/>
      <c r="H136" s="1008"/>
      <c r="I136" s="1008"/>
      <c r="J136" s="1008"/>
      <c r="K136" s="1008"/>
      <c r="L136" s="1008"/>
      <c r="M136" s="1008"/>
      <c r="N136" s="1008"/>
      <c r="O136" s="1151"/>
      <c r="Q136" s="1173"/>
      <c r="R136" s="1173"/>
      <c r="S136" s="656"/>
      <c r="T136" s="1173"/>
      <c r="U136" s="1173"/>
      <c r="V136" s="1173"/>
      <c r="W136" s="1173"/>
    </row>
    <row r="137" spans="1:23" hidden="1">
      <c r="B137" s="503"/>
      <c r="C137" s="1007" t="s">
        <v>331</v>
      </c>
      <c r="D137" s="494" t="s">
        <v>332</v>
      </c>
      <c r="E137" s="494"/>
      <c r="F137" s="1008"/>
      <c r="G137" s="1008"/>
      <c r="H137" s="1008"/>
      <c r="I137" s="1008"/>
      <c r="J137" s="1008"/>
      <c r="K137" s="1008"/>
      <c r="L137" s="1008"/>
      <c r="M137" s="1008"/>
      <c r="N137" s="1008"/>
      <c r="O137" s="1151"/>
      <c r="Q137" s="1173"/>
      <c r="R137" s="1173"/>
      <c r="S137" s="656"/>
      <c r="T137" s="1173"/>
      <c r="U137" s="1173"/>
      <c r="V137" s="1173"/>
      <c r="W137" s="1173"/>
    </row>
    <row r="138" spans="1:23" hidden="1">
      <c r="B138" s="1014"/>
      <c r="C138" s="1010"/>
      <c r="D138" s="1010"/>
      <c r="E138" s="1010"/>
      <c r="F138" s="1010"/>
      <c r="G138" s="1010"/>
      <c r="H138" s="1010"/>
      <c r="I138" s="1010"/>
      <c r="J138" s="1010"/>
      <c r="K138" s="1010"/>
      <c r="L138" s="1010"/>
      <c r="M138" s="1010"/>
      <c r="N138" s="1010"/>
      <c r="O138" s="1015"/>
      <c r="S138" s="6"/>
    </row>
    <row r="149" spans="24:24">
      <c r="X149" s="745"/>
    </row>
  </sheetData>
  <mergeCells count="4">
    <mergeCell ref="S80:V80"/>
    <mergeCell ref="X80:Y80"/>
    <mergeCell ref="S81:T81"/>
    <mergeCell ref="U81:V81"/>
  </mergeCells>
  <pageMargins left="0.7" right="0.7" top="0.75" bottom="0.75" header="0.3" footer="0.3"/>
  <pageSetup orientation="portrait" r:id="rId1"/>
  <tableParts count="2">
    <tablePart r:id="rId2"/>
    <tablePart r:id="rId3"/>
  </tableParts>
</worksheet>
</file>

<file path=xl/worksheets/sheet20.xml><?xml version="1.0" encoding="utf-8"?>
<worksheet xmlns="http://schemas.openxmlformats.org/spreadsheetml/2006/main" xmlns:r="http://schemas.openxmlformats.org/officeDocument/2006/relationships">
  <sheetPr codeName="Sheet13">
    <tabColor theme="9"/>
    <pageSetUpPr autoPageBreaks="0"/>
  </sheetPr>
  <dimension ref="A1:XDS281"/>
  <sheetViews>
    <sheetView showGridLines="0" zoomScale="80" zoomScaleNormal="80" workbookViewId="0">
      <selection activeCell="D10" sqref="D10"/>
    </sheetView>
  </sheetViews>
  <sheetFormatPr defaultColWidth="8.85546875" defaultRowHeight="15"/>
  <cols>
    <col min="1" max="1" width="7.7109375" customWidth="1"/>
    <col min="2" max="2" width="5.85546875" customWidth="1"/>
    <col min="3" max="3" width="20.42578125" customWidth="1"/>
    <col min="4" max="4" width="52.5703125" customWidth="1"/>
    <col min="5" max="5" width="20.7109375" customWidth="1"/>
    <col min="6" max="14" width="17.7109375" customWidth="1"/>
    <col min="15" max="15" width="2" customWidth="1"/>
    <col min="16" max="16" width="10.85546875" customWidth="1"/>
  </cols>
  <sheetData>
    <row r="1" spans="1:15" ht="20.25">
      <c r="A1" s="863" t="s">
        <v>532</v>
      </c>
      <c r="B1" s="863" t="s">
        <v>533</v>
      </c>
      <c r="C1" s="863"/>
      <c r="G1" s="3929"/>
    </row>
    <row r="2" spans="1:15" s="6" customFormat="1" ht="15.75">
      <c r="A2" s="864" t="s">
        <v>526</v>
      </c>
      <c r="B2" s="864" t="s">
        <v>527</v>
      </c>
      <c r="C2" s="864"/>
      <c r="E2" s="5"/>
    </row>
    <row r="4" spans="1:15" ht="23.25">
      <c r="A4" s="7"/>
      <c r="B4" s="511" t="s">
        <v>361</v>
      </c>
      <c r="C4" s="1154"/>
      <c r="D4" s="512"/>
      <c r="E4" s="513"/>
      <c r="F4" s="512"/>
      <c r="G4" s="512"/>
      <c r="H4" s="512"/>
      <c r="I4" s="512"/>
      <c r="J4" s="512"/>
      <c r="K4" s="512"/>
      <c r="L4" s="512"/>
      <c r="M4" s="512"/>
      <c r="N4" s="512"/>
      <c r="O4" s="866"/>
    </row>
    <row r="5" spans="1:15">
      <c r="B5" s="514"/>
      <c r="C5" s="12"/>
      <c r="D5" s="515"/>
      <c r="E5" s="516"/>
      <c r="F5" s="515"/>
      <c r="G5" s="515"/>
      <c r="H5" s="515"/>
      <c r="I5" s="515"/>
      <c r="J5" s="515"/>
      <c r="K5" s="515"/>
      <c r="L5" s="515"/>
      <c r="M5" s="515"/>
      <c r="N5" s="515"/>
      <c r="O5" s="867"/>
    </row>
    <row r="6" spans="1:15" ht="15.75">
      <c r="B6" s="15"/>
      <c r="C6" s="515"/>
      <c r="D6" s="16" t="s">
        <v>7</v>
      </c>
      <c r="E6" s="16" t="s">
        <v>8</v>
      </c>
      <c r="F6" s="515"/>
      <c r="G6" s="515"/>
      <c r="H6" s="515"/>
      <c r="I6" s="515"/>
      <c r="J6" s="515"/>
      <c r="K6" s="515"/>
      <c r="L6" s="515"/>
      <c r="M6" s="515"/>
      <c r="N6" s="515"/>
      <c r="O6" s="867"/>
    </row>
    <row r="7" spans="1:15" ht="15.75">
      <c r="B7" s="15"/>
      <c r="C7" s="515"/>
      <c r="D7" s="18" t="s">
        <v>399</v>
      </c>
      <c r="E7" s="18">
        <f>III.c.Wave.Scenario</f>
        <v>4</v>
      </c>
      <c r="F7" s="515"/>
      <c r="G7" s="515"/>
      <c r="H7" s="515"/>
      <c r="I7" s="515"/>
      <c r="J7" s="515"/>
      <c r="K7" s="515"/>
      <c r="L7" s="515"/>
      <c r="M7" s="515"/>
      <c r="N7" s="515"/>
      <c r="O7" s="867"/>
    </row>
    <row r="8" spans="1:15" ht="15.75">
      <c r="B8" s="15"/>
      <c r="C8" s="515"/>
      <c r="D8" s="18" t="s">
        <v>630</v>
      </c>
      <c r="E8" s="18">
        <f>III.c.TidaStream.Scenario</f>
        <v>4</v>
      </c>
      <c r="F8" s="515"/>
      <c r="G8" s="515"/>
      <c r="H8" s="515"/>
      <c r="I8" s="515"/>
      <c r="J8" s="515"/>
      <c r="K8" s="515"/>
      <c r="L8" s="515"/>
      <c r="M8" s="515"/>
      <c r="N8" s="515"/>
      <c r="O8" s="867"/>
    </row>
    <row r="9" spans="1:15" ht="15.75">
      <c r="B9" s="15"/>
      <c r="C9" s="515"/>
      <c r="D9" s="517" t="s">
        <v>3495</v>
      </c>
      <c r="E9" s="32">
        <v>1</v>
      </c>
      <c r="F9" s="515"/>
      <c r="G9" s="515"/>
      <c r="H9" s="515"/>
      <c r="I9" s="515"/>
      <c r="J9" s="515" t="s">
        <v>5</v>
      </c>
      <c r="K9" s="515"/>
      <c r="L9" s="515"/>
      <c r="M9" s="515"/>
      <c r="N9" s="515"/>
      <c r="O9" s="867"/>
    </row>
    <row r="10" spans="1:15" ht="15.75">
      <c r="B10" s="450"/>
      <c r="C10" s="452"/>
      <c r="D10" s="452"/>
      <c r="E10" s="452"/>
      <c r="F10" s="869"/>
      <c r="G10" s="869"/>
      <c r="H10" s="869"/>
      <c r="I10" s="869"/>
      <c r="J10" s="869"/>
      <c r="K10" s="869"/>
      <c r="L10" s="869"/>
      <c r="M10" s="869"/>
      <c r="N10" s="869"/>
      <c r="O10" s="870"/>
    </row>
    <row r="11" spans="1:15">
      <c r="H11" t="s">
        <v>5</v>
      </c>
    </row>
    <row r="12" spans="1:15" ht="23.25">
      <c r="A12" s="7"/>
      <c r="B12" s="878" t="s">
        <v>33</v>
      </c>
      <c r="C12" s="879"/>
      <c r="D12" s="879"/>
      <c r="E12" s="879"/>
      <c r="F12" s="879"/>
      <c r="G12" s="879"/>
      <c r="H12" s="879"/>
      <c r="I12" s="879"/>
      <c r="J12" s="879"/>
      <c r="K12" s="879"/>
      <c r="L12" s="879"/>
      <c r="M12" s="879"/>
      <c r="N12" s="879"/>
      <c r="O12" s="880"/>
    </row>
    <row r="13" spans="1:15">
      <c r="B13" s="110"/>
      <c r="C13" s="67"/>
      <c r="D13" s="67"/>
      <c r="E13" s="67"/>
      <c r="F13" s="67"/>
      <c r="G13" s="67"/>
      <c r="H13" s="67"/>
      <c r="I13" s="67"/>
      <c r="J13" s="67"/>
      <c r="K13" s="67"/>
      <c r="L13" s="67"/>
      <c r="M13" s="67"/>
      <c r="N13" s="67"/>
      <c r="O13" s="885"/>
    </row>
    <row r="14" spans="1:15">
      <c r="B14" s="110"/>
      <c r="C14" s="49" t="s">
        <v>3088</v>
      </c>
      <c r="D14" s="67"/>
      <c r="E14" s="51"/>
      <c r="F14" s="67"/>
      <c r="G14" s="67"/>
      <c r="H14" s="67"/>
      <c r="I14" s="67"/>
      <c r="J14" s="67"/>
      <c r="K14" s="67"/>
      <c r="L14" s="67" t="s">
        <v>5</v>
      </c>
      <c r="M14" s="67"/>
      <c r="N14" s="51" t="str">
        <f>Preferences.PowerUnits</f>
        <v>GW</v>
      </c>
      <c r="O14" s="885"/>
    </row>
    <row r="15" spans="1:15">
      <c r="B15" s="110"/>
      <c r="C15" s="67"/>
      <c r="D15" s="67"/>
      <c r="E15" s="67"/>
      <c r="F15" s="67"/>
      <c r="G15" s="67"/>
      <c r="H15" s="67"/>
      <c r="I15" s="67"/>
      <c r="J15" s="67"/>
      <c r="K15" s="67"/>
      <c r="L15" s="67" t="s">
        <v>5</v>
      </c>
      <c r="M15" s="67"/>
      <c r="N15" s="67"/>
      <c r="O15" s="885"/>
    </row>
    <row r="16" spans="1:15" ht="15.75">
      <c r="B16" s="55"/>
      <c r="C16" s="887" t="s">
        <v>8</v>
      </c>
      <c r="D16" s="887" t="s">
        <v>72</v>
      </c>
      <c r="E16" s="887" t="s">
        <v>30</v>
      </c>
      <c r="F16" s="92">
        <v>2013</v>
      </c>
      <c r="G16" s="92">
        <v>2015</v>
      </c>
      <c r="H16" s="92">
        <v>2020</v>
      </c>
      <c r="I16" s="92">
        <v>2025</v>
      </c>
      <c r="J16" s="92">
        <v>2030</v>
      </c>
      <c r="K16" s="92">
        <v>2035</v>
      </c>
      <c r="L16" s="92">
        <v>2040</v>
      </c>
      <c r="M16" s="92">
        <v>2045</v>
      </c>
      <c r="N16" s="92">
        <v>2050</v>
      </c>
      <c r="O16" s="885"/>
    </row>
    <row r="17" spans="2:19" ht="15.75">
      <c r="B17" s="975"/>
      <c r="C17" s="65">
        <v>1</v>
      </c>
      <c r="D17" s="108"/>
      <c r="E17" s="890"/>
      <c r="F17" s="59">
        <v>0</v>
      </c>
      <c r="G17" s="892">
        <f>(Unit.GW)*0.0015220700152207</f>
        <v>1.5220700152207001E-3</v>
      </c>
      <c r="H17" s="892">
        <f>(Unit.GW)*0.005</f>
        <v>5.0000000000000001E-3</v>
      </c>
      <c r="I17" s="892">
        <f>(Unit.GW)*0.005</f>
        <v>5.0000000000000001E-3</v>
      </c>
      <c r="J17" s="892">
        <f>(Unit.GW)*0.005</f>
        <v>5.0000000000000001E-3</v>
      </c>
      <c r="K17" s="892">
        <f>(Unit.GW)*0.005</f>
        <v>5.0000000000000001E-3</v>
      </c>
      <c r="L17" s="892">
        <f>(Unit.GW)*0.005</f>
        <v>5.0000000000000001E-3</v>
      </c>
      <c r="M17" s="892">
        <v>0</v>
      </c>
      <c r="N17" s="892">
        <v>0</v>
      </c>
      <c r="O17" s="893"/>
      <c r="P17" t="s">
        <v>5</v>
      </c>
    </row>
    <row r="18" spans="2:19" ht="15.75">
      <c r="B18" s="55"/>
      <c r="C18" s="65">
        <v>2</v>
      </c>
      <c r="D18" s="108"/>
      <c r="E18" s="108"/>
      <c r="F18" s="59">
        <v>0</v>
      </c>
      <c r="G18" s="892">
        <f>(Unit.GW)*0.0015220700152207</f>
        <v>1.5220700152207001E-3</v>
      </c>
      <c r="H18" s="892">
        <f>(Unit.GW)*0.005</f>
        <v>5.0000000000000001E-3</v>
      </c>
      <c r="I18" s="892">
        <f>(Unit.GW)*0.1</f>
        <v>0.1</v>
      </c>
      <c r="J18" s="892">
        <f>(Unit.GW)*0.1</f>
        <v>0.1</v>
      </c>
      <c r="K18" s="892">
        <f>(Unit.GW)*0.14</f>
        <v>0.14000000000000001</v>
      </c>
      <c r="L18" s="892">
        <f>(Unit.GW)*0.14</f>
        <v>0.14000000000000001</v>
      </c>
      <c r="M18" s="892">
        <f>(Unit.GW)*0.14</f>
        <v>0.14000000000000001</v>
      </c>
      <c r="N18" s="892">
        <f>(Unit.GW)*0.14</f>
        <v>0.14000000000000001</v>
      </c>
      <c r="O18" s="885"/>
    </row>
    <row r="19" spans="2:19" ht="15.75">
      <c r="B19" s="55"/>
      <c r="C19" s="65">
        <v>3</v>
      </c>
      <c r="D19" s="108"/>
      <c r="E19" s="108"/>
      <c r="F19" s="59">
        <v>0</v>
      </c>
      <c r="G19" s="892">
        <f>(Unit.GW)*0.0015220700152207</f>
        <v>1.5220700152207001E-3</v>
      </c>
      <c r="H19" s="892">
        <f>(Unit.GW)*0.005</f>
        <v>5.0000000000000001E-3</v>
      </c>
      <c r="I19" s="892">
        <f>(Unit.GW)*0.15</f>
        <v>0.15</v>
      </c>
      <c r="J19" s="895">
        <f>(Unit.GW)*0.5</f>
        <v>0.5</v>
      </c>
      <c r="K19" s="895">
        <f>(Unit.GW)*1</f>
        <v>1</v>
      </c>
      <c r="L19" s="895">
        <f>(Unit.GW)*1</f>
        <v>1</v>
      </c>
      <c r="M19" s="895">
        <f>(Unit.GW)*1</f>
        <v>1</v>
      </c>
      <c r="N19" s="895">
        <f>(Unit.GW)*1</f>
        <v>1</v>
      </c>
      <c r="O19" s="885"/>
    </row>
    <row r="20" spans="2:19" ht="15.75">
      <c r="B20" s="55"/>
      <c r="C20" s="896">
        <v>4</v>
      </c>
      <c r="D20" s="897"/>
      <c r="E20" s="897"/>
      <c r="F20" s="1187">
        <v>0</v>
      </c>
      <c r="G20" s="892">
        <f>(Unit.GW)*0.0015220700152207</f>
        <v>1.5220700152207001E-3</v>
      </c>
      <c r="H20" s="892">
        <f>(Unit.GW)*0.005</f>
        <v>5.0000000000000001E-3</v>
      </c>
      <c r="I20" s="892">
        <f>(Unit.GW)*0.15</f>
        <v>0.15</v>
      </c>
      <c r="J20" s="899">
        <f>(Unit.GW)*1</f>
        <v>1</v>
      </c>
      <c r="K20" s="899">
        <f>(Unit.GW)*1.5</f>
        <v>1.5</v>
      </c>
      <c r="L20" s="899">
        <f>(Unit.GW)*2</f>
        <v>2</v>
      </c>
      <c r="M20" s="899">
        <f>(Unit.GW)*2</f>
        <v>2</v>
      </c>
      <c r="N20" s="899">
        <f>(Unit.GW)*2.4</f>
        <v>2.4</v>
      </c>
      <c r="O20" s="885"/>
      <c r="S20" t="s">
        <v>5</v>
      </c>
    </row>
    <row r="21" spans="2:19" ht="15.75">
      <c r="B21" s="55"/>
      <c r="C21" s="1024" t="s">
        <v>37</v>
      </c>
      <c r="D21" s="901"/>
      <c r="E21" s="901"/>
      <c r="F21" s="902">
        <f>(INDEX(F$17:F$20,ROUNDDOWN($E$7,0))*(1-MOD($E$7,1)))+(INDEX(F$17:F$20,ROUNDUP($E$7,0))*MOD($E$7,1))</f>
        <v>0</v>
      </c>
      <c r="G21" s="902">
        <f t="shared" ref="G21:N21" si="0">(INDEX(G$17:G$20,ROUNDDOWN($E$7,0))*(1-MOD($E$7,1)))+(INDEX(G$17:G$20,ROUNDUP($E$7,0))*MOD($E$7,1))</f>
        <v>1.5220700152207001E-3</v>
      </c>
      <c r="H21" s="902">
        <f t="shared" si="0"/>
        <v>5.0000000000000001E-3</v>
      </c>
      <c r="I21" s="902">
        <f t="shared" si="0"/>
        <v>0.15</v>
      </c>
      <c r="J21" s="902">
        <f t="shared" si="0"/>
        <v>1</v>
      </c>
      <c r="K21" s="902">
        <f t="shared" si="0"/>
        <v>1.5</v>
      </c>
      <c r="L21" s="902">
        <f t="shared" si="0"/>
        <v>2</v>
      </c>
      <c r="M21" s="902">
        <f t="shared" si="0"/>
        <v>2</v>
      </c>
      <c r="N21" s="902">
        <f t="shared" si="0"/>
        <v>2.4</v>
      </c>
      <c r="O21" s="885"/>
    </row>
    <row r="22" spans="2:19">
      <c r="B22" s="45"/>
      <c r="C22" s="3872"/>
      <c r="D22" s="108"/>
      <c r="E22" s="108"/>
      <c r="F22" s="172"/>
      <c r="G22" s="165"/>
      <c r="H22" s="165"/>
      <c r="I22" s="165"/>
      <c r="J22" s="165"/>
      <c r="K22" s="165"/>
      <c r="L22" s="165"/>
      <c r="M22" s="165"/>
      <c r="N22" s="165"/>
      <c r="O22" s="885"/>
    </row>
    <row r="23" spans="2:19">
      <c r="B23" s="45"/>
      <c r="C23" s="49" t="s">
        <v>3086</v>
      </c>
      <c r="D23" s="67"/>
      <c r="E23" s="51"/>
      <c r="F23" s="67"/>
      <c r="G23" s="67" t="s">
        <v>5</v>
      </c>
      <c r="H23" s="67"/>
      <c r="I23" s="67" t="s">
        <v>5</v>
      </c>
      <c r="J23" s="67"/>
      <c r="K23" s="67"/>
      <c r="L23" s="67"/>
      <c r="M23" s="67"/>
      <c r="N23" s="51" t="str">
        <f>Preferences.PowerUnits</f>
        <v>GW</v>
      </c>
      <c r="O23" s="885"/>
    </row>
    <row r="24" spans="2:19">
      <c r="B24" s="45"/>
      <c r="C24" s="67"/>
      <c r="D24" s="67"/>
      <c r="E24" s="67"/>
      <c r="F24" s="67"/>
      <c r="G24" s="67"/>
      <c r="H24" s="67"/>
      <c r="I24" s="67"/>
      <c r="J24" s="67"/>
      <c r="K24" s="67"/>
      <c r="L24" s="67"/>
      <c r="M24" s="67"/>
      <c r="N24" s="67"/>
      <c r="O24" s="885"/>
    </row>
    <row r="25" spans="2:19" ht="15.75">
      <c r="B25" s="55"/>
      <c r="C25" s="887" t="s">
        <v>8</v>
      </c>
      <c r="D25" s="887" t="s">
        <v>72</v>
      </c>
      <c r="E25" s="887" t="s">
        <v>30</v>
      </c>
      <c r="F25" s="92">
        <v>2013</v>
      </c>
      <c r="G25" s="92">
        <v>2015</v>
      </c>
      <c r="H25" s="92">
        <v>2020</v>
      </c>
      <c r="I25" s="92">
        <v>2025</v>
      </c>
      <c r="J25" s="92">
        <v>2030</v>
      </c>
      <c r="K25" s="92">
        <v>2035</v>
      </c>
      <c r="L25" s="92">
        <v>2040</v>
      </c>
      <c r="M25" s="92">
        <v>2045</v>
      </c>
      <c r="N25" s="92">
        <v>2050</v>
      </c>
      <c r="O25" s="885"/>
    </row>
    <row r="26" spans="2:19" ht="15.75">
      <c r="B26" s="55"/>
      <c r="C26" s="65">
        <v>1</v>
      </c>
      <c r="D26" s="108"/>
      <c r="E26" s="890"/>
      <c r="F26" s="59">
        <v>0</v>
      </c>
      <c r="G26" s="59">
        <v>0</v>
      </c>
      <c r="H26" s="59">
        <v>0</v>
      </c>
      <c r="I26" s="59">
        <v>0</v>
      </c>
      <c r="J26" s="59">
        <v>0</v>
      </c>
      <c r="K26" s="59">
        <v>0</v>
      </c>
      <c r="L26" s="59">
        <v>0</v>
      </c>
      <c r="M26" s="59">
        <v>0</v>
      </c>
      <c r="N26" s="59">
        <v>0</v>
      </c>
      <c r="O26" s="885"/>
    </row>
    <row r="27" spans="2:19" ht="15.75">
      <c r="B27" s="55"/>
      <c r="C27" s="65">
        <v>2</v>
      </c>
      <c r="D27" s="108"/>
      <c r="E27" s="108"/>
      <c r="F27" s="59">
        <v>0</v>
      </c>
      <c r="G27" s="60">
        <v>0</v>
      </c>
      <c r="H27" s="59">
        <v>0</v>
      </c>
      <c r="I27" s="60">
        <f>(Unit.GW)*0.05</f>
        <v>0.05</v>
      </c>
      <c r="J27" s="60">
        <f>(Unit.GW)*0.0792744799594115</f>
        <v>7.9274479959411503E-2</v>
      </c>
      <c r="K27" s="60">
        <f>(Unit.GW)*0.0792744799594115</f>
        <v>7.9274479959411503E-2</v>
      </c>
      <c r="L27" s="60">
        <f>(Unit.GW)*0.0792744799594115</f>
        <v>7.9274479959411503E-2</v>
      </c>
      <c r="M27" s="60">
        <f>(Unit.GW)*0.1</f>
        <v>0.1</v>
      </c>
      <c r="N27" s="60">
        <f>(Unit.GW)*0.1</f>
        <v>0.1</v>
      </c>
      <c r="O27" s="885"/>
    </row>
    <row r="28" spans="2:19" ht="15.75">
      <c r="B28" s="55"/>
      <c r="C28" s="65">
        <v>3</v>
      </c>
      <c r="D28" s="108"/>
      <c r="E28" s="108"/>
      <c r="F28" s="59">
        <v>0</v>
      </c>
      <c r="G28" s="60">
        <v>0</v>
      </c>
      <c r="H28" s="59">
        <v>0</v>
      </c>
      <c r="I28" s="60">
        <f>(Unit.GW)*0.05</f>
        <v>0.05</v>
      </c>
      <c r="J28" s="60">
        <f>(Unit.GW)*0.2</f>
        <v>0.2</v>
      </c>
      <c r="K28" s="60">
        <f>(Unit.GW)*0.2</f>
        <v>0.2</v>
      </c>
      <c r="L28" s="60">
        <f>(Unit.GW)*0.3</f>
        <v>0.3</v>
      </c>
      <c r="M28" s="60">
        <f>(Unit.GW)*0.3</f>
        <v>0.3</v>
      </c>
      <c r="N28" s="60">
        <f>(Unit.GW)*0.3</f>
        <v>0.3</v>
      </c>
      <c r="O28" s="885"/>
      <c r="P28" t="s">
        <v>5</v>
      </c>
    </row>
    <row r="29" spans="2:19" ht="15.75">
      <c r="B29" s="55"/>
      <c r="C29" s="896">
        <v>4</v>
      </c>
      <c r="D29" s="897"/>
      <c r="E29" s="897"/>
      <c r="F29" s="1187">
        <v>0</v>
      </c>
      <c r="G29" s="907">
        <v>0</v>
      </c>
      <c r="H29" s="59">
        <v>0</v>
      </c>
      <c r="I29" s="60">
        <f>(Unit.GW)*0.1</f>
        <v>0.1</v>
      </c>
      <c r="J29" s="907">
        <f>(Unit.GW)*0.2</f>
        <v>0.2</v>
      </c>
      <c r="K29" s="907">
        <f>(Unit.GW)*0.5</f>
        <v>0.5</v>
      </c>
      <c r="L29" s="907">
        <f>(Unit.GW)*0.5</f>
        <v>0.5</v>
      </c>
      <c r="M29" s="907">
        <f>(Unit.GW)*0.8</f>
        <v>0.8</v>
      </c>
      <c r="N29" s="907">
        <f>(Unit.GW)*0.8</f>
        <v>0.8</v>
      </c>
      <c r="O29" s="885"/>
    </row>
    <row r="30" spans="2:19" ht="15.75">
      <c r="B30" s="55"/>
      <c r="C30" s="1024" t="s">
        <v>37</v>
      </c>
      <c r="D30" s="901"/>
      <c r="E30" s="901"/>
      <c r="F30" s="902">
        <f t="shared" ref="F30:N30" si="1">(INDEX(F$26:F$29,ROUNDDOWN($E$8,0))*(1-MOD($E$8,1)))+(INDEX(F$26:F$29,ROUNDUP($E$8,0))*MOD($E$8,1))</f>
        <v>0</v>
      </c>
      <c r="G30" s="902">
        <f t="shared" si="1"/>
        <v>0</v>
      </c>
      <c r="H30" s="902">
        <f t="shared" si="1"/>
        <v>0</v>
      </c>
      <c r="I30" s="902">
        <f t="shared" si="1"/>
        <v>0.1</v>
      </c>
      <c r="J30" s="902">
        <f t="shared" si="1"/>
        <v>0.2</v>
      </c>
      <c r="K30" s="902">
        <f t="shared" si="1"/>
        <v>0.5</v>
      </c>
      <c r="L30" s="902">
        <f t="shared" si="1"/>
        <v>0.5</v>
      </c>
      <c r="M30" s="902">
        <f t="shared" si="1"/>
        <v>0.8</v>
      </c>
      <c r="N30" s="902">
        <f t="shared" si="1"/>
        <v>0.8</v>
      </c>
      <c r="O30" s="885"/>
    </row>
    <row r="31" spans="2:19">
      <c r="B31" s="45"/>
      <c r="C31" s="67"/>
      <c r="D31" s="200"/>
      <c r="E31" s="67"/>
      <c r="F31" s="67"/>
      <c r="G31" s="67"/>
      <c r="H31" s="67"/>
      <c r="I31" s="67"/>
      <c r="J31" s="67"/>
      <c r="K31" s="67"/>
      <c r="L31" s="67"/>
      <c r="M31" s="67" t="s">
        <v>5</v>
      </c>
      <c r="N31" s="67"/>
      <c r="O31" s="885"/>
    </row>
    <row r="32" spans="2:19">
      <c r="B32" s="110"/>
      <c r="C32" s="49" t="s">
        <v>3481</v>
      </c>
      <c r="D32" s="67"/>
      <c r="E32" s="51"/>
      <c r="F32" s="67"/>
      <c r="G32" s="67" t="s">
        <v>5</v>
      </c>
      <c r="H32" s="67"/>
      <c r="I32" s="67" t="s">
        <v>5</v>
      </c>
      <c r="J32" s="67"/>
      <c r="K32" s="67"/>
      <c r="L32" s="67" t="s">
        <v>5</v>
      </c>
      <c r="M32" s="67" t="s">
        <v>5</v>
      </c>
      <c r="N32" s="51" t="str">
        <f>Preferences.PowerUnits</f>
        <v>GW</v>
      </c>
      <c r="O32" s="885"/>
    </row>
    <row r="33" spans="2:24">
      <c r="B33" s="110"/>
      <c r="C33" s="67"/>
      <c r="D33" s="67"/>
      <c r="E33" s="67"/>
      <c r="F33" s="67"/>
      <c r="G33" s="67"/>
      <c r="H33" s="67"/>
      <c r="I33" s="67"/>
      <c r="J33" s="67"/>
      <c r="K33" s="67"/>
      <c r="L33" s="67"/>
      <c r="M33" s="67"/>
      <c r="N33" s="67"/>
      <c r="O33" s="885"/>
    </row>
    <row r="34" spans="2:24" ht="15.75">
      <c r="B34" s="55"/>
      <c r="C34" s="887" t="s">
        <v>8</v>
      </c>
      <c r="D34" s="887" t="s">
        <v>72</v>
      </c>
      <c r="E34" s="887" t="s">
        <v>30</v>
      </c>
      <c r="F34" s="92">
        <v>2013</v>
      </c>
      <c r="G34" s="92">
        <v>2015</v>
      </c>
      <c r="H34" s="92">
        <v>2020</v>
      </c>
      <c r="I34" s="92">
        <v>2025</v>
      </c>
      <c r="J34" s="92">
        <v>2030</v>
      </c>
      <c r="K34" s="92">
        <v>2035</v>
      </c>
      <c r="L34" s="92">
        <v>2040</v>
      </c>
      <c r="M34" s="92">
        <v>2045</v>
      </c>
      <c r="N34" s="92">
        <v>2050</v>
      </c>
      <c r="O34" s="885"/>
    </row>
    <row r="35" spans="2:24" ht="15.75">
      <c r="B35" s="975"/>
      <c r="C35" s="65">
        <v>1</v>
      </c>
      <c r="D35" s="108"/>
      <c r="E35" s="890"/>
      <c r="F35" s="59">
        <v>0</v>
      </c>
      <c r="G35" s="59">
        <v>0</v>
      </c>
      <c r="H35" s="59">
        <v>0</v>
      </c>
      <c r="I35" s="59">
        <v>0</v>
      </c>
      <c r="J35" s="59">
        <v>0</v>
      </c>
      <c r="K35" s="59">
        <v>0</v>
      </c>
      <c r="L35" s="59">
        <v>0</v>
      </c>
      <c r="M35" s="59">
        <v>0</v>
      </c>
      <c r="N35" s="59">
        <v>0</v>
      </c>
      <c r="O35" s="893"/>
    </row>
    <row r="36" spans="2:24" ht="15.75">
      <c r="B36" s="55"/>
      <c r="C36" s="65">
        <v>2</v>
      </c>
      <c r="D36" s="108"/>
      <c r="E36" s="108"/>
      <c r="F36" s="59">
        <v>0</v>
      </c>
      <c r="G36" s="60">
        <v>0</v>
      </c>
      <c r="H36" s="59">
        <v>0</v>
      </c>
      <c r="I36" s="1207">
        <v>0</v>
      </c>
      <c r="J36" s="59">
        <v>0</v>
      </c>
      <c r="K36" s="59">
        <v>0</v>
      </c>
      <c r="L36" s="59">
        <v>0</v>
      </c>
      <c r="M36" s="59">
        <v>0</v>
      </c>
      <c r="N36" s="59">
        <v>0</v>
      </c>
      <c r="O36" s="885"/>
    </row>
    <row r="37" spans="2:24" ht="15.75">
      <c r="B37" s="55"/>
      <c r="C37" s="65">
        <v>3</v>
      </c>
      <c r="D37" s="108"/>
      <c r="E37" s="108"/>
      <c r="F37" s="59">
        <v>0</v>
      </c>
      <c r="G37" s="60">
        <v>0</v>
      </c>
      <c r="H37" s="59">
        <v>0</v>
      </c>
      <c r="I37" s="1207">
        <v>0</v>
      </c>
      <c r="J37" s="59">
        <v>0</v>
      </c>
      <c r="K37" s="59">
        <v>0</v>
      </c>
      <c r="L37" s="59">
        <v>0</v>
      </c>
      <c r="M37" s="59">
        <v>0</v>
      </c>
      <c r="N37" s="59">
        <v>0</v>
      </c>
      <c r="O37" s="885"/>
    </row>
    <row r="38" spans="2:24" ht="15.75">
      <c r="B38" s="55"/>
      <c r="C38" s="896">
        <v>4</v>
      </c>
      <c r="D38" s="897"/>
      <c r="E38" s="897"/>
      <c r="F38" s="1187">
        <v>0</v>
      </c>
      <c r="G38" s="907">
        <v>0</v>
      </c>
      <c r="H38" s="59">
        <v>0</v>
      </c>
      <c r="I38" s="1207">
        <v>0</v>
      </c>
      <c r="J38" s="60">
        <v>0</v>
      </c>
      <c r="K38" s="60">
        <v>0</v>
      </c>
      <c r="L38" s="60">
        <v>0</v>
      </c>
      <c r="M38" s="60">
        <v>0</v>
      </c>
      <c r="N38" s="60">
        <v>0</v>
      </c>
      <c r="O38" s="885"/>
      <c r="X38" t="s">
        <v>5</v>
      </c>
    </row>
    <row r="39" spans="2:24" ht="15.75">
      <c r="B39" s="55"/>
      <c r="C39" s="1024" t="s">
        <v>37</v>
      </c>
      <c r="D39" s="901"/>
      <c r="E39" s="901"/>
      <c r="F39" s="902">
        <f t="shared" ref="F39:N39" si="2">(INDEX(F$35:F$38,ROUNDDOWN($E$9,0))*(1-MOD($E$9,1)))+(INDEX(F$35:F$38,ROUNDUP($E$9,0))*MOD($E$9,1))</f>
        <v>0</v>
      </c>
      <c r="G39" s="902">
        <f t="shared" si="2"/>
        <v>0</v>
      </c>
      <c r="H39" s="902">
        <f t="shared" si="2"/>
        <v>0</v>
      </c>
      <c r="I39" s="1208">
        <f t="shared" si="2"/>
        <v>0</v>
      </c>
      <c r="J39" s="84">
        <f t="shared" si="2"/>
        <v>0</v>
      </c>
      <c r="K39" s="84">
        <f t="shared" si="2"/>
        <v>0</v>
      </c>
      <c r="L39" s="84">
        <f t="shared" si="2"/>
        <v>0</v>
      </c>
      <c r="M39" s="84">
        <f t="shared" si="2"/>
        <v>0</v>
      </c>
      <c r="N39" s="84">
        <f t="shared" si="2"/>
        <v>0</v>
      </c>
      <c r="O39" s="885"/>
    </row>
    <row r="40" spans="2:24">
      <c r="B40" s="110"/>
      <c r="C40" s="67"/>
      <c r="D40" s="67"/>
      <c r="E40" s="67"/>
      <c r="F40" s="67"/>
      <c r="G40" s="67"/>
      <c r="H40" s="67"/>
      <c r="I40" s="67"/>
      <c r="J40" s="67"/>
      <c r="K40" s="67"/>
      <c r="L40" s="67"/>
      <c r="M40" s="67"/>
      <c r="N40" s="67"/>
      <c r="O40" s="885"/>
    </row>
    <row r="41" spans="2:24">
      <c r="B41" s="110"/>
      <c r="C41" s="49" t="s">
        <v>888</v>
      </c>
      <c r="D41" s="67"/>
      <c r="E41" s="51"/>
      <c r="F41" s="67"/>
      <c r="G41" s="67"/>
      <c r="H41" s="67"/>
      <c r="I41" s="67"/>
      <c r="J41" s="67"/>
      <c r="K41" s="67"/>
      <c r="L41" s="67"/>
      <c r="M41" s="67"/>
      <c r="N41" s="51" t="str">
        <f>Preferences.PowerUnits</f>
        <v>GW</v>
      </c>
      <c r="O41" s="885"/>
    </row>
    <row r="42" spans="2:24">
      <c r="B42" s="110"/>
      <c r="C42" s="67"/>
      <c r="D42" s="67"/>
      <c r="E42" s="67"/>
      <c r="F42" s="67"/>
      <c r="G42" s="67"/>
      <c r="H42" s="67"/>
      <c r="I42" s="67"/>
      <c r="J42" s="67"/>
      <c r="K42" s="67"/>
      <c r="L42" s="67"/>
      <c r="M42" s="67"/>
      <c r="N42" s="67"/>
      <c r="O42" s="885"/>
    </row>
    <row r="43" spans="2:24">
      <c r="B43" s="110"/>
      <c r="C43" s="887" t="s">
        <v>8</v>
      </c>
      <c r="D43" s="887" t="s">
        <v>72</v>
      </c>
      <c r="E43" s="887" t="s">
        <v>30</v>
      </c>
      <c r="F43" s="92">
        <v>2013</v>
      </c>
      <c r="G43" s="92">
        <v>2015</v>
      </c>
      <c r="H43" s="92">
        <v>2020</v>
      </c>
      <c r="I43" s="92">
        <v>2025</v>
      </c>
      <c r="J43" s="92">
        <v>2030</v>
      </c>
      <c r="K43" s="92">
        <v>2035</v>
      </c>
      <c r="L43" s="92">
        <v>2040</v>
      </c>
      <c r="M43" s="92">
        <v>2045</v>
      </c>
      <c r="N43" s="92">
        <v>2050</v>
      </c>
      <c r="O43" s="885"/>
    </row>
    <row r="44" spans="2:24">
      <c r="B44" s="110"/>
      <c r="C44" s="65">
        <v>1</v>
      </c>
      <c r="D44" s="108"/>
      <c r="E44" s="108"/>
      <c r="F44" s="93">
        <v>0</v>
      </c>
      <c r="G44" s="1209">
        <v>1</v>
      </c>
      <c r="H44" s="1210">
        <v>1</v>
      </c>
      <c r="I44" s="1210">
        <v>1</v>
      </c>
      <c r="J44" s="1210">
        <v>1</v>
      </c>
      <c r="K44" s="1210">
        <v>1</v>
      </c>
      <c r="L44" s="1210">
        <v>1</v>
      </c>
      <c r="M44" s="1210">
        <v>1</v>
      </c>
      <c r="N44" s="1210">
        <v>1</v>
      </c>
      <c r="O44" s="885"/>
    </row>
    <row r="45" spans="2:24">
      <c r="B45" s="110"/>
      <c r="C45" s="65">
        <v>2</v>
      </c>
      <c r="D45" s="108"/>
      <c r="E45" s="108"/>
      <c r="F45" s="93">
        <v>0</v>
      </c>
      <c r="G45" s="1211">
        <v>1</v>
      </c>
      <c r="H45" s="93">
        <v>1</v>
      </c>
      <c r="I45" s="93">
        <v>1</v>
      </c>
      <c r="J45" s="93">
        <v>1</v>
      </c>
      <c r="K45" s="93">
        <v>1</v>
      </c>
      <c r="L45" s="93">
        <v>1</v>
      </c>
      <c r="M45" s="93">
        <v>1</v>
      </c>
      <c r="N45" s="93">
        <v>1</v>
      </c>
      <c r="O45" s="885"/>
    </row>
    <row r="46" spans="2:24">
      <c r="B46" s="110"/>
      <c r="C46" s="65">
        <v>3</v>
      </c>
      <c r="D46" s="108"/>
      <c r="E46" s="108"/>
      <c r="F46" s="93">
        <v>0</v>
      </c>
      <c r="G46" s="1211">
        <v>1</v>
      </c>
      <c r="H46" s="93">
        <v>1</v>
      </c>
      <c r="I46" s="93">
        <v>1</v>
      </c>
      <c r="J46" s="93">
        <v>1</v>
      </c>
      <c r="K46" s="93">
        <v>1</v>
      </c>
      <c r="L46" s="93">
        <v>1</v>
      </c>
      <c r="M46" s="93">
        <v>1</v>
      </c>
      <c r="N46" s="93">
        <v>1</v>
      </c>
      <c r="O46" s="885"/>
    </row>
    <row r="47" spans="2:24">
      <c r="B47" s="110"/>
      <c r="C47" s="896">
        <v>4</v>
      </c>
      <c r="D47" s="108"/>
      <c r="E47" s="897" t="s">
        <v>67</v>
      </c>
      <c r="F47" s="98">
        <v>0</v>
      </c>
      <c r="G47" s="1212">
        <v>1</v>
      </c>
      <c r="H47" s="147">
        <v>1</v>
      </c>
      <c r="I47" s="147">
        <v>1</v>
      </c>
      <c r="J47" s="147">
        <v>1</v>
      </c>
      <c r="K47" s="93">
        <v>1</v>
      </c>
      <c r="L47" s="93">
        <v>1</v>
      </c>
      <c r="M47" s="93">
        <v>1</v>
      </c>
      <c r="N47" s="93">
        <v>1</v>
      </c>
      <c r="O47" s="885"/>
    </row>
    <row r="48" spans="2:24" ht="15.75">
      <c r="B48" s="55"/>
      <c r="C48" s="1024" t="s">
        <v>37</v>
      </c>
      <c r="D48" s="901"/>
      <c r="E48" s="901"/>
      <c r="F48" s="102">
        <f t="shared" ref="F48:N48" si="3">(INDEX(F$44:F$47,ROUNDDOWN($E$9,0))*(1-MOD($E$9,1)))+(INDEX(F$44:F$47,ROUNDUP($E$9,0))*MOD($E$9,1))</f>
        <v>0</v>
      </c>
      <c r="G48" s="102">
        <f t="shared" si="3"/>
        <v>1</v>
      </c>
      <c r="H48" s="102">
        <f t="shared" si="3"/>
        <v>1</v>
      </c>
      <c r="I48" s="102">
        <f t="shared" si="3"/>
        <v>1</v>
      </c>
      <c r="J48" s="102">
        <f t="shared" si="3"/>
        <v>1</v>
      </c>
      <c r="K48" s="102">
        <f t="shared" si="3"/>
        <v>1</v>
      </c>
      <c r="L48" s="102">
        <f t="shared" si="3"/>
        <v>1</v>
      </c>
      <c r="M48" s="102">
        <f t="shared" si="3"/>
        <v>1</v>
      </c>
      <c r="N48" s="102">
        <f t="shared" si="3"/>
        <v>1</v>
      </c>
      <c r="O48" s="885"/>
    </row>
    <row r="49" spans="1:15" s="3854" customFormat="1" ht="15.75">
      <c r="B49" s="55"/>
      <c r="C49" s="3871" t="s">
        <v>3044</v>
      </c>
      <c r="D49" s="108"/>
      <c r="E49" s="108"/>
      <c r="F49" s="93"/>
      <c r="G49" s="93"/>
      <c r="H49" s="93"/>
      <c r="I49" s="93"/>
      <c r="J49" s="93"/>
      <c r="K49" s="93"/>
      <c r="L49" s="93"/>
      <c r="M49" s="93"/>
      <c r="N49" s="93"/>
      <c r="O49" s="885"/>
    </row>
    <row r="50" spans="1:15" s="3854" customFormat="1" ht="15.75">
      <c r="B50" s="55"/>
      <c r="C50" s="3870" t="s">
        <v>65</v>
      </c>
      <c r="D50" s="2278" t="s">
        <v>3089</v>
      </c>
      <c r="E50" s="2278"/>
      <c r="F50" s="93"/>
      <c r="G50" s="93"/>
      <c r="H50" s="93"/>
      <c r="I50" s="93"/>
      <c r="J50" s="93"/>
      <c r="K50" s="93"/>
      <c r="L50" s="93"/>
      <c r="M50" s="93"/>
      <c r="N50" s="93"/>
      <c r="O50" s="885"/>
    </row>
    <row r="51" spans="1:15" s="3854" customFormat="1" ht="15.75">
      <c r="B51" s="55"/>
      <c r="C51" s="3870" t="s">
        <v>67</v>
      </c>
      <c r="D51" s="2278" t="s">
        <v>3290</v>
      </c>
      <c r="E51" s="2278"/>
      <c r="F51" s="93"/>
      <c r="G51" s="93"/>
      <c r="H51" s="93"/>
      <c r="I51" s="93"/>
      <c r="J51" s="93"/>
      <c r="K51" s="93"/>
      <c r="L51" s="93"/>
      <c r="M51" s="93"/>
      <c r="N51" s="93"/>
      <c r="O51" s="885"/>
    </row>
    <row r="52" spans="1:15">
      <c r="B52" s="45"/>
      <c r="C52" s="2278"/>
      <c r="D52" s="2278" t="s">
        <v>3291</v>
      </c>
      <c r="E52" s="2278"/>
      <c r="F52" s="172"/>
      <c r="G52" s="165"/>
      <c r="H52" s="165"/>
      <c r="I52" s="165"/>
      <c r="J52" s="165"/>
      <c r="K52" s="165"/>
      <c r="L52" s="165"/>
      <c r="M52" s="165"/>
      <c r="N52" s="165"/>
      <c r="O52" s="885"/>
    </row>
    <row r="54" spans="1:15" s="6" customFormat="1" ht="23.25">
      <c r="A54" s="40"/>
      <c r="B54" s="878" t="s">
        <v>70</v>
      </c>
      <c r="C54" s="879"/>
      <c r="D54" s="879"/>
      <c r="E54" s="879"/>
      <c r="F54" s="879"/>
      <c r="G54" s="879"/>
      <c r="H54" s="879"/>
      <c r="I54" s="879"/>
      <c r="J54" s="879"/>
      <c r="K54" s="879"/>
      <c r="L54" s="879"/>
      <c r="M54" s="879"/>
      <c r="N54" s="879"/>
      <c r="O54" s="880"/>
    </row>
    <row r="55" spans="1:15">
      <c r="B55" s="110"/>
      <c r="C55" s="65"/>
      <c r="D55" s="108"/>
      <c r="E55" s="108"/>
      <c r="F55" s="59"/>
      <c r="G55" s="60"/>
      <c r="H55" s="60"/>
      <c r="I55" s="60"/>
      <c r="J55" s="60"/>
      <c r="K55" s="60"/>
      <c r="L55" s="60"/>
      <c r="M55" s="60"/>
      <c r="N55" s="60"/>
      <c r="O55" s="885"/>
    </row>
    <row r="56" spans="1:15">
      <c r="B56" s="110"/>
      <c r="C56" s="49" t="s">
        <v>889</v>
      </c>
      <c r="D56" s="67"/>
      <c r="E56" s="67"/>
      <c r="F56" s="67"/>
      <c r="G56" s="67"/>
      <c r="H56" s="67"/>
      <c r="I56" s="67"/>
      <c r="J56" s="67"/>
      <c r="K56" s="67"/>
      <c r="L56" s="67"/>
      <c r="M56" s="67"/>
      <c r="N56" s="67"/>
      <c r="O56" s="885"/>
    </row>
    <row r="57" spans="1:15">
      <c r="B57" s="110"/>
      <c r="C57" s="67"/>
      <c r="D57" s="67"/>
      <c r="E57" s="67"/>
      <c r="F57" s="67"/>
      <c r="G57" s="67"/>
      <c r="H57" s="67"/>
      <c r="I57" s="67"/>
      <c r="J57" s="67"/>
      <c r="K57" s="67"/>
      <c r="L57" s="67"/>
      <c r="M57" s="67"/>
      <c r="N57" s="67"/>
      <c r="O57" s="885"/>
    </row>
    <row r="58" spans="1:15" ht="15.75">
      <c r="B58" s="55"/>
      <c r="C58" s="887" t="s">
        <v>132</v>
      </c>
      <c r="D58" s="887" t="s">
        <v>731</v>
      </c>
      <c r="E58" s="887" t="s">
        <v>30</v>
      </c>
      <c r="F58" s="92">
        <v>2013</v>
      </c>
      <c r="G58" s="92">
        <v>2015</v>
      </c>
      <c r="H58" s="92">
        <v>2020</v>
      </c>
      <c r="I58" s="92">
        <v>2025</v>
      </c>
      <c r="J58" s="92">
        <v>2030</v>
      </c>
      <c r="K58" s="92">
        <v>2035</v>
      </c>
      <c r="L58" s="92">
        <v>2040</v>
      </c>
      <c r="M58" s="92">
        <v>2045</v>
      </c>
      <c r="N58" s="92">
        <v>2050</v>
      </c>
      <c r="O58" s="885"/>
    </row>
    <row r="59" spans="1:15" ht="15.75">
      <c r="B59" s="55"/>
      <c r="C59" s="1092" t="s">
        <v>449</v>
      </c>
      <c r="D59" s="890" t="s">
        <v>399</v>
      </c>
      <c r="E59" s="890"/>
      <c r="F59" s="1213">
        <v>0.33</v>
      </c>
      <c r="G59" s="1210">
        <v>0.33</v>
      </c>
      <c r="H59" s="1210">
        <v>0.33</v>
      </c>
      <c r="I59" s="1210">
        <v>0.33</v>
      </c>
      <c r="J59" s="1210">
        <v>0.33</v>
      </c>
      <c r="K59" s="1210">
        <v>0.33</v>
      </c>
      <c r="L59" s="1210">
        <v>0.33</v>
      </c>
      <c r="M59" s="1210">
        <v>0.33</v>
      </c>
      <c r="N59" s="1210">
        <v>0.33</v>
      </c>
      <c r="O59" s="885"/>
    </row>
    <row r="60" spans="1:15" ht="15.75">
      <c r="B60" s="55"/>
      <c r="C60" s="65" t="s">
        <v>448</v>
      </c>
      <c r="D60" s="108" t="s">
        <v>890</v>
      </c>
      <c r="E60" s="108"/>
      <c r="F60" s="1214">
        <v>0.4</v>
      </c>
      <c r="G60" s="93">
        <v>0.4</v>
      </c>
      <c r="H60" s="93">
        <v>0.4</v>
      </c>
      <c r="I60" s="93">
        <v>0.4</v>
      </c>
      <c r="J60" s="93">
        <v>0.4</v>
      </c>
      <c r="K60" s="93">
        <v>0.4</v>
      </c>
      <c r="L60" s="93">
        <v>0.4</v>
      </c>
      <c r="M60" s="93">
        <v>0.4</v>
      </c>
      <c r="N60" s="93">
        <v>0.4</v>
      </c>
      <c r="O60" s="885"/>
    </row>
    <row r="61" spans="1:15" ht="15.75">
      <c r="B61" s="55"/>
      <c r="C61" s="65" t="s">
        <v>448</v>
      </c>
      <c r="D61" s="108" t="s">
        <v>891</v>
      </c>
      <c r="E61" s="108"/>
      <c r="F61" s="1215">
        <v>0.19</v>
      </c>
      <c r="G61" s="93">
        <v>0.19</v>
      </c>
      <c r="H61" s="93">
        <v>0.19</v>
      </c>
      <c r="I61" s="93">
        <v>0.19</v>
      </c>
      <c r="J61" s="93">
        <v>0.19</v>
      </c>
      <c r="K61" s="93">
        <v>0.19</v>
      </c>
      <c r="L61" s="93">
        <v>0.19</v>
      </c>
      <c r="M61" s="93">
        <v>0.19</v>
      </c>
      <c r="N61" s="93">
        <v>0.19</v>
      </c>
      <c r="O61" s="885"/>
    </row>
    <row r="62" spans="1:15">
      <c r="B62" s="885"/>
      <c r="C62" s="1216" t="s">
        <v>448</v>
      </c>
      <c r="D62" s="199" t="s">
        <v>892</v>
      </c>
      <c r="E62" s="199"/>
      <c r="F62" s="1217"/>
      <c r="G62" s="158"/>
      <c r="H62" s="158"/>
      <c r="I62" s="158"/>
      <c r="J62" s="158"/>
      <c r="K62" s="158"/>
      <c r="L62" s="158"/>
      <c r="M62" s="158"/>
      <c r="N62" s="1218"/>
      <c r="O62" s="885"/>
    </row>
    <row r="63" spans="1:15">
      <c r="B63" s="110"/>
      <c r="C63" s="67"/>
      <c r="D63" s="67"/>
      <c r="E63" s="67"/>
      <c r="F63" s="67"/>
      <c r="G63" s="67"/>
      <c r="H63" s="67"/>
      <c r="I63" s="67"/>
      <c r="J63" s="67"/>
      <c r="K63" s="67"/>
      <c r="L63" s="67"/>
      <c r="M63" s="67"/>
      <c r="N63" s="67"/>
      <c r="O63" s="885"/>
    </row>
    <row r="64" spans="1:15">
      <c r="B64" s="110"/>
      <c r="C64" s="3862" t="s">
        <v>64</v>
      </c>
      <c r="D64" s="67"/>
      <c r="E64" s="67"/>
      <c r="F64" s="67"/>
      <c r="G64" s="67"/>
      <c r="H64" s="67"/>
      <c r="I64" s="67"/>
      <c r="J64" s="67"/>
      <c r="K64" s="67"/>
      <c r="L64" s="67"/>
      <c r="M64" s="67"/>
      <c r="N64" s="67"/>
      <c r="O64" s="885"/>
    </row>
    <row r="65" spans="2:15" s="927" customFormat="1" ht="12.75">
      <c r="B65" s="1169"/>
      <c r="C65" s="929" t="s">
        <v>65</v>
      </c>
      <c r="D65" s="930" t="s">
        <v>3087</v>
      </c>
      <c r="E65" s="931"/>
      <c r="F65" s="931"/>
      <c r="G65" s="931"/>
      <c r="H65" s="931"/>
      <c r="I65" s="931"/>
      <c r="J65" s="931"/>
      <c r="K65" s="931"/>
      <c r="L65" s="931"/>
      <c r="M65" s="931"/>
      <c r="N65" s="931"/>
      <c r="O65" s="932"/>
    </row>
    <row r="66" spans="2:15" s="927" customFormat="1" ht="12.75">
      <c r="B66" s="1169"/>
      <c r="C66" s="1170"/>
      <c r="D66" s="930" t="s">
        <v>3085</v>
      </c>
      <c r="E66" s="931"/>
      <c r="F66" s="931"/>
      <c r="G66" s="931"/>
      <c r="H66" s="931"/>
      <c r="I66" s="931"/>
      <c r="J66" s="931"/>
      <c r="K66" s="931"/>
      <c r="L66" s="931"/>
      <c r="M66" s="931"/>
      <c r="N66" s="931"/>
      <c r="O66" s="932"/>
    </row>
    <row r="67" spans="2:15" s="927" customFormat="1">
      <c r="B67" s="1169"/>
      <c r="C67" s="49" t="s">
        <v>893</v>
      </c>
      <c r="D67" s="67"/>
      <c r="E67" s="67"/>
      <c r="F67" s="67"/>
      <c r="G67" s="67"/>
      <c r="H67" s="67"/>
      <c r="I67" s="67"/>
      <c r="J67" s="67"/>
      <c r="K67" s="67"/>
      <c r="L67" s="67"/>
      <c r="M67" s="67"/>
      <c r="N67" s="67"/>
      <c r="O67" s="932"/>
    </row>
    <row r="68" spans="2:15" s="927" customFormat="1">
      <c r="B68" s="1169"/>
      <c r="C68" s="67"/>
      <c r="D68" s="67"/>
      <c r="E68" s="67"/>
      <c r="F68" s="67"/>
      <c r="G68" s="67"/>
      <c r="H68" s="67"/>
      <c r="I68" s="67"/>
      <c r="J68" s="67"/>
      <c r="K68" s="67"/>
      <c r="L68" s="67"/>
      <c r="M68" s="67"/>
      <c r="N68" s="67"/>
      <c r="O68" s="932"/>
    </row>
    <row r="69" spans="2:15" s="927" customFormat="1" ht="15.75">
      <c r="B69" s="1219"/>
      <c r="C69" s="887" t="s">
        <v>132</v>
      </c>
      <c r="D69" s="887" t="s">
        <v>731</v>
      </c>
      <c r="E69" s="887" t="s">
        <v>30</v>
      </c>
      <c r="F69" s="92">
        <v>2013</v>
      </c>
      <c r="G69" s="92">
        <v>2015</v>
      </c>
      <c r="H69" s="92">
        <v>2020</v>
      </c>
      <c r="I69" s="92">
        <v>2025</v>
      </c>
      <c r="J69" s="92">
        <v>2030</v>
      </c>
      <c r="K69" s="92">
        <v>2035</v>
      </c>
      <c r="L69" s="92">
        <v>2040</v>
      </c>
      <c r="M69" s="92">
        <v>2045</v>
      </c>
      <c r="N69" s="92">
        <v>2050</v>
      </c>
      <c r="O69" s="932"/>
    </row>
    <row r="70" spans="2:15" s="927" customFormat="1" ht="15.75">
      <c r="B70" s="1219"/>
      <c r="C70" s="1092" t="s">
        <v>449</v>
      </c>
      <c r="D70" s="890" t="s">
        <v>399</v>
      </c>
      <c r="E70" s="890"/>
      <c r="F70" s="1220">
        <v>0.9</v>
      </c>
      <c r="G70" s="1210">
        <v>0.9</v>
      </c>
      <c r="H70" s="1210">
        <v>0.9</v>
      </c>
      <c r="I70" s="1210">
        <v>0.9</v>
      </c>
      <c r="J70" s="1210">
        <v>0.9</v>
      </c>
      <c r="K70" s="1210">
        <v>0.9</v>
      </c>
      <c r="L70" s="1210">
        <v>0.9</v>
      </c>
      <c r="M70" s="1210">
        <v>0.9</v>
      </c>
      <c r="N70" s="1210">
        <v>0.9</v>
      </c>
      <c r="O70" s="932"/>
    </row>
    <row r="71" spans="2:15" s="927" customFormat="1" ht="15.75">
      <c r="B71" s="1219"/>
      <c r="C71" s="65" t="s">
        <v>448</v>
      </c>
      <c r="D71" s="108" t="s">
        <v>890</v>
      </c>
      <c r="E71" s="108"/>
      <c r="F71" s="1031">
        <v>0.9</v>
      </c>
      <c r="G71" s="93">
        <v>0.9</v>
      </c>
      <c r="H71" s="93">
        <v>0.9</v>
      </c>
      <c r="I71" s="93">
        <v>0.9</v>
      </c>
      <c r="J71" s="93">
        <v>0.9</v>
      </c>
      <c r="K71" s="93">
        <v>0.9</v>
      </c>
      <c r="L71" s="93">
        <v>0.9</v>
      </c>
      <c r="M71" s="93">
        <v>0.9</v>
      </c>
      <c r="N71" s="93">
        <v>0.9</v>
      </c>
      <c r="O71" s="932"/>
    </row>
    <row r="72" spans="2:15" s="927" customFormat="1" ht="15.75">
      <c r="B72" s="1219"/>
      <c r="C72" s="926" t="s">
        <v>448</v>
      </c>
      <c r="D72" s="199" t="s">
        <v>894</v>
      </c>
      <c r="E72" s="199"/>
      <c r="F72" s="1221">
        <v>0.95</v>
      </c>
      <c r="G72" s="147">
        <v>0.95</v>
      </c>
      <c r="H72" s="147">
        <v>0.95</v>
      </c>
      <c r="I72" s="147">
        <v>0.95</v>
      </c>
      <c r="J72" s="147">
        <v>0.95</v>
      </c>
      <c r="K72" s="147">
        <v>0.95</v>
      </c>
      <c r="L72" s="147">
        <v>0.95</v>
      </c>
      <c r="M72" s="147">
        <v>0.95</v>
      </c>
      <c r="N72" s="147">
        <v>0.95</v>
      </c>
      <c r="O72" s="932"/>
    </row>
    <row r="73" spans="2:15" ht="15.75">
      <c r="B73" s="55"/>
      <c r="C73" s="65"/>
      <c r="D73" s="108"/>
      <c r="E73" s="108"/>
      <c r="F73" s="94"/>
      <c r="G73" s="93"/>
      <c r="H73" s="93"/>
      <c r="I73" s="93"/>
      <c r="J73" s="93"/>
      <c r="K73" s="93"/>
      <c r="L73" s="93"/>
      <c r="M73" s="93"/>
      <c r="N73" s="93"/>
      <c r="O73" s="885"/>
    </row>
    <row r="74" spans="2:15" ht="15.75">
      <c r="B74" s="55"/>
      <c r="C74" s="49" t="s">
        <v>735</v>
      </c>
      <c r="D74" s="67"/>
      <c r="E74" s="67"/>
      <c r="F74" s="67"/>
      <c r="G74" s="67"/>
      <c r="H74" s="67"/>
      <c r="I74" s="93"/>
      <c r="J74" s="93"/>
      <c r="K74" s="93"/>
      <c r="L74" s="93"/>
      <c r="M74" s="93"/>
      <c r="N74" s="93"/>
      <c r="O74" s="885"/>
    </row>
    <row r="75" spans="2:15" ht="15.75">
      <c r="B75" s="55"/>
      <c r="C75" s="67"/>
      <c r="D75" s="67"/>
      <c r="E75" s="67"/>
      <c r="F75" s="67"/>
      <c r="G75" s="67"/>
      <c r="H75" s="67"/>
      <c r="I75" s="93"/>
      <c r="J75" s="93"/>
      <c r="K75" s="93"/>
      <c r="L75" s="93"/>
      <c r="M75" s="93"/>
      <c r="N75" s="93"/>
      <c r="O75" s="885"/>
    </row>
    <row r="76" spans="2:15" ht="15.75">
      <c r="B76" s="55"/>
      <c r="C76" s="887"/>
      <c r="D76" s="887"/>
      <c r="E76" s="887"/>
      <c r="F76" s="92"/>
      <c r="G76" s="1161" t="s">
        <v>895</v>
      </c>
      <c r="H76" s="1161"/>
      <c r="I76" s="93"/>
      <c r="J76" s="93"/>
      <c r="K76" s="93"/>
      <c r="L76" s="93"/>
      <c r="M76" s="93"/>
      <c r="N76" s="93"/>
      <c r="O76" s="885"/>
    </row>
    <row r="77" spans="2:15" ht="15.75">
      <c r="B77" s="55"/>
      <c r="C77" s="923"/>
      <c r="D77" s="57" t="s">
        <v>896</v>
      </c>
      <c r="E77" s="2278" t="s">
        <v>67</v>
      </c>
      <c r="F77" s="3870">
        <f>750*2*Unit.kW</f>
        <v>1.5E-3</v>
      </c>
      <c r="G77" s="3931" t="str">
        <f>Preferences.PowerUnits&amp;"peak"</f>
        <v>GWpeak</v>
      </c>
      <c r="H77" s="1163"/>
      <c r="I77" s="1223"/>
      <c r="J77" s="93"/>
      <c r="K77" s="93"/>
      <c r="L77" s="93"/>
      <c r="M77" s="93"/>
      <c r="N77" s="93"/>
      <c r="O77" s="885"/>
    </row>
    <row r="78" spans="2:15" ht="15.75">
      <c r="B78" s="55"/>
      <c r="C78" s="923"/>
      <c r="D78" s="108" t="s">
        <v>897</v>
      </c>
      <c r="E78" s="924" t="s">
        <v>106</v>
      </c>
      <c r="F78" s="2522">
        <f>76*Unit.kW*25%*Conversion.to.annual.energy*1000*90%</f>
        <v>0.14989859999999999</v>
      </c>
      <c r="G78" s="2524" t="str">
        <f>Preferences.EnergyUnits&amp;"/km wavefront/y"</f>
        <v>TWh/km wavefront/y</v>
      </c>
      <c r="H78" s="1224"/>
      <c r="I78" s="59"/>
      <c r="J78" s="93"/>
      <c r="K78" s="93"/>
      <c r="L78" s="93"/>
      <c r="M78" s="93"/>
      <c r="N78" s="93"/>
      <c r="O78" s="885"/>
    </row>
    <row r="79" spans="2:15" ht="15.75">
      <c r="B79" s="55"/>
      <c r="C79" s="923"/>
      <c r="D79" s="108" t="s">
        <v>898</v>
      </c>
      <c r="E79" s="924" t="s">
        <v>80</v>
      </c>
      <c r="F79" s="2522">
        <f>240*Unit.MW</f>
        <v>0.24</v>
      </c>
      <c r="G79" s="1225" t="str">
        <f>Preferences.PowerUnits&amp;"peak"</f>
        <v>GWpeak</v>
      </c>
      <c r="H79" s="1224"/>
      <c r="I79" s="59"/>
      <c r="J79" s="93"/>
      <c r="K79" s="93"/>
      <c r="L79" s="93"/>
      <c r="M79" s="93"/>
      <c r="N79" s="93"/>
      <c r="O79" s="885"/>
    </row>
    <row r="80" spans="2:15" ht="15.75">
      <c r="B80" s="55"/>
      <c r="C80" s="923"/>
      <c r="D80" s="108" t="s">
        <v>899</v>
      </c>
      <c r="E80" s="924" t="s">
        <v>156</v>
      </c>
      <c r="F80" s="2523">
        <f>(3.5/25%)*Unit.W/Unit.m2</f>
        <v>1.4000000000000002E-2</v>
      </c>
      <c r="G80" s="2524" t="str">
        <f>Preferences.PowerUnits&amp;"peak/"&amp;Preferences.AreaUnits</f>
        <v>GWpeak/km^2</v>
      </c>
      <c r="H80" s="1224"/>
      <c r="I80" s="59"/>
      <c r="J80" s="93"/>
      <c r="K80" s="93"/>
      <c r="L80" s="93"/>
      <c r="M80" s="93"/>
      <c r="N80" s="93"/>
      <c r="O80" s="885"/>
    </row>
    <row r="81" spans="1:77" ht="15.75">
      <c r="B81" s="55"/>
      <c r="C81" s="923"/>
      <c r="D81" s="108" t="s">
        <v>900</v>
      </c>
      <c r="E81" s="924" t="s">
        <v>105</v>
      </c>
      <c r="F81" s="1162">
        <f>2*Unit.MW</f>
        <v>2E-3</v>
      </c>
      <c r="G81" s="1222" t="str">
        <f>Preferences.PowerUnits&amp;"peak"</f>
        <v>GWpeak</v>
      </c>
      <c r="H81" s="1224"/>
      <c r="I81" s="59" t="s">
        <v>5</v>
      </c>
      <c r="J81" s="93"/>
      <c r="K81" s="93"/>
      <c r="L81" s="93"/>
      <c r="M81" s="93"/>
      <c r="N81" s="93"/>
      <c r="O81" s="885"/>
    </row>
    <row r="82" spans="1:77" ht="15.75">
      <c r="B82" s="55"/>
      <c r="C82" s="926"/>
      <c r="D82" s="199" t="s">
        <v>901</v>
      </c>
      <c r="E82" s="199" t="s">
        <v>158</v>
      </c>
      <c r="F82" s="2520">
        <f>(6/40%)*Unit.W/Unit.m2</f>
        <v>1.5000000000000003E-2</v>
      </c>
      <c r="G82" s="2525" t="str">
        <f>Preferences.PowerUnits&amp;"peak/"&amp;Preferences.AreaUnits</f>
        <v>GWpeak/km^2</v>
      </c>
      <c r="H82" s="1165"/>
      <c r="I82" s="93"/>
      <c r="J82" s="93"/>
      <c r="K82" s="93"/>
      <c r="L82" s="93"/>
      <c r="M82" s="93"/>
      <c r="N82" s="93"/>
      <c r="O82" s="885"/>
    </row>
    <row r="83" spans="1:77" ht="15.75">
      <c r="B83" s="55"/>
      <c r="C83" s="67"/>
      <c r="D83" s="67"/>
      <c r="E83" s="67"/>
      <c r="F83" s="67"/>
      <c r="G83" s="67"/>
      <c r="H83" s="67"/>
      <c r="I83" s="93"/>
      <c r="J83" s="93"/>
      <c r="K83" s="93"/>
      <c r="L83" s="93"/>
      <c r="M83" s="93"/>
      <c r="N83" s="93"/>
      <c r="O83" s="885"/>
    </row>
    <row r="84" spans="1:77">
      <c r="B84" s="67"/>
      <c r="C84" s="3862" t="s">
        <v>64</v>
      </c>
      <c r="D84" s="67"/>
      <c r="E84" s="67"/>
      <c r="F84" s="67"/>
      <c r="G84" s="67"/>
      <c r="H84" s="67"/>
      <c r="I84" s="67"/>
      <c r="J84" s="67"/>
      <c r="K84" s="67"/>
      <c r="L84" s="67"/>
      <c r="M84" s="67"/>
      <c r="N84" s="67"/>
      <c r="O84" s="885"/>
    </row>
    <row r="85" spans="1:77">
      <c r="B85" s="67"/>
      <c r="C85" s="2279" t="s">
        <v>67</v>
      </c>
      <c r="D85" s="3866" t="s">
        <v>3231</v>
      </c>
      <c r="E85" s="67"/>
      <c r="F85" s="67"/>
      <c r="G85" s="67"/>
      <c r="H85" s="67"/>
      <c r="I85" s="67"/>
      <c r="J85" s="67"/>
      <c r="K85" s="67"/>
      <c r="L85" s="67"/>
      <c r="M85" s="67"/>
      <c r="N85" s="67"/>
      <c r="O85" s="885"/>
    </row>
    <row r="86" spans="1:77">
      <c r="B86" s="67"/>
      <c r="C86" s="2279" t="s">
        <v>106</v>
      </c>
      <c r="D86" s="3866" t="s">
        <v>3234</v>
      </c>
      <c r="E86" s="67"/>
      <c r="F86" s="67"/>
      <c r="G86" s="67"/>
      <c r="H86" s="67"/>
      <c r="I86" s="67"/>
      <c r="J86" s="67"/>
      <c r="K86" s="67"/>
      <c r="L86" s="67"/>
      <c r="M86" s="67"/>
      <c r="N86" s="67"/>
      <c r="O86" s="885"/>
    </row>
    <row r="87" spans="1:77">
      <c r="B87" s="67"/>
      <c r="C87" s="2279" t="s">
        <v>80</v>
      </c>
      <c r="D87" s="3866" t="s">
        <v>3232</v>
      </c>
      <c r="E87" s="67"/>
      <c r="F87" s="67"/>
      <c r="G87" s="67"/>
      <c r="H87" s="67"/>
      <c r="I87" s="67"/>
      <c r="J87" s="67"/>
      <c r="K87" s="67"/>
      <c r="L87" s="67"/>
      <c r="M87" s="67"/>
      <c r="N87" s="67"/>
      <c r="O87" s="885"/>
    </row>
    <row r="88" spans="1:77" s="927" customFormat="1" ht="12.75">
      <c r="B88" s="1169"/>
      <c r="C88" s="2279" t="s">
        <v>156</v>
      </c>
      <c r="D88" s="3866" t="s">
        <v>902</v>
      </c>
      <c r="E88" s="931"/>
      <c r="F88" s="931"/>
      <c r="G88" s="931"/>
      <c r="H88" s="931"/>
      <c r="I88" s="931"/>
      <c r="J88" s="931"/>
      <c r="K88" s="931"/>
      <c r="L88" s="931"/>
      <c r="M88" s="931"/>
      <c r="N88" s="931"/>
      <c r="O88" s="932"/>
    </row>
    <row r="89" spans="1:77" s="927" customFormat="1" ht="12.75">
      <c r="B89" s="1169"/>
      <c r="C89" s="2279" t="s">
        <v>105</v>
      </c>
      <c r="D89" s="3866" t="s">
        <v>903</v>
      </c>
      <c r="E89" s="931"/>
      <c r="F89" s="931"/>
      <c r="G89" s="931"/>
      <c r="H89" s="931"/>
      <c r="I89" s="931"/>
      <c r="J89" s="931"/>
      <c r="K89" s="931"/>
      <c r="L89" s="931"/>
      <c r="M89" s="931"/>
      <c r="N89" s="931"/>
      <c r="O89" s="932"/>
    </row>
    <row r="90" spans="1:77" s="927" customFormat="1" ht="12.75">
      <c r="B90" s="1169"/>
      <c r="C90" s="2279" t="s">
        <v>158</v>
      </c>
      <c r="D90" s="3866" t="s">
        <v>3233</v>
      </c>
      <c r="E90" s="931"/>
      <c r="F90" s="931"/>
      <c r="G90" s="931"/>
      <c r="H90" s="931"/>
      <c r="I90" s="931"/>
      <c r="J90" s="931"/>
      <c r="K90" s="931"/>
      <c r="L90" s="931"/>
      <c r="M90" s="931"/>
      <c r="N90" s="931"/>
      <c r="O90" s="932"/>
    </row>
    <row r="91" spans="1:77">
      <c r="B91" s="1172"/>
      <c r="C91" s="1074"/>
      <c r="D91" s="1074"/>
      <c r="E91" s="1074"/>
      <c r="F91" s="1074"/>
      <c r="G91" s="1074"/>
      <c r="H91" s="1074"/>
      <c r="I91" s="1074"/>
      <c r="J91" s="1074"/>
      <c r="K91" s="1074"/>
      <c r="L91" s="1074"/>
      <c r="M91" s="1074"/>
      <c r="N91" s="1074"/>
      <c r="O91" s="1109"/>
    </row>
    <row r="93" spans="1:77" s="6" customFormat="1" ht="23.25" hidden="1">
      <c r="A93" s="40"/>
      <c r="B93" s="878" t="s">
        <v>810</v>
      </c>
      <c r="C93" s="879"/>
      <c r="D93" s="879"/>
      <c r="E93" s="879"/>
      <c r="F93" s="879"/>
      <c r="G93" s="879"/>
      <c r="H93" s="879"/>
      <c r="I93" s="879"/>
      <c r="J93" s="879"/>
      <c r="K93" s="879"/>
      <c r="L93" s="879"/>
      <c r="M93" s="879"/>
      <c r="N93" s="879"/>
      <c r="O93" s="880"/>
    </row>
    <row r="94" spans="1:77" s="6" customFormat="1" hidden="1">
      <c r="A94"/>
      <c r="B94" s="881"/>
      <c r="C94" s="1227" t="s">
        <v>399</v>
      </c>
      <c r="D94" s="882"/>
      <c r="E94" s="882"/>
      <c r="F94" s="882"/>
      <c r="G94" s="882"/>
      <c r="H94" s="882"/>
      <c r="I94" s="882"/>
      <c r="J94" s="882"/>
      <c r="K94" s="882"/>
      <c r="L94" s="882"/>
      <c r="M94" s="882"/>
      <c r="N94" s="882"/>
      <c r="O94" s="883"/>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row>
    <row r="95" spans="1:77" s="6" customFormat="1" hidden="1">
      <c r="A95"/>
      <c r="B95" s="110"/>
      <c r="C95" s="49" t="s">
        <v>904</v>
      </c>
      <c r="D95" s="924"/>
      <c r="E95" s="941"/>
      <c r="F95" s="942"/>
      <c r="G95" s="943"/>
      <c r="H95" s="943"/>
      <c r="I95" s="943"/>
      <c r="J95" s="943"/>
      <c r="K95" s="943"/>
      <c r="L95" s="943"/>
      <c r="M95" s="943"/>
      <c r="N95" s="944" t="s">
        <v>2819</v>
      </c>
      <c r="O95" s="88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row>
    <row r="96" spans="1:77" s="6" customFormat="1" hidden="1">
      <c r="A96"/>
      <c r="B96" s="110"/>
      <c r="C96" s="946"/>
      <c r="D96" s="924"/>
      <c r="E96" s="941"/>
      <c r="F96" s="942"/>
      <c r="G96" s="943"/>
      <c r="H96" s="943"/>
      <c r="I96" s="943"/>
      <c r="J96" s="943"/>
      <c r="K96" s="943"/>
      <c r="L96" s="943"/>
      <c r="M96" s="943"/>
      <c r="N96" s="67"/>
      <c r="O96" s="885"/>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row>
    <row r="97" spans="1:77" s="6" customFormat="1" hidden="1">
      <c r="A97"/>
      <c r="B97" s="110"/>
      <c r="C97" s="1179"/>
      <c r="D97" s="1079"/>
      <c r="E97" s="980" t="s">
        <v>160</v>
      </c>
      <c r="F97" s="981">
        <v>2013</v>
      </c>
      <c r="G97" s="974">
        <v>2015</v>
      </c>
      <c r="H97" s="974">
        <v>2020</v>
      </c>
      <c r="I97" s="974">
        <v>2025</v>
      </c>
      <c r="J97" s="974">
        <v>2030</v>
      </c>
      <c r="K97" s="974">
        <v>2035</v>
      </c>
      <c r="L97" s="974">
        <v>2040</v>
      </c>
      <c r="M97" s="974">
        <v>2045</v>
      </c>
      <c r="N97" s="974">
        <v>2050</v>
      </c>
      <c r="O97" s="6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row>
    <row r="98" spans="1:77" s="6" customFormat="1" hidden="1">
      <c r="A98"/>
      <c r="B98" s="110"/>
      <c r="C98" s="976" t="s">
        <v>738</v>
      </c>
      <c r="D98" s="1079"/>
      <c r="E98" s="966">
        <v>0</v>
      </c>
      <c r="F98" s="1080">
        <v>12.9</v>
      </c>
      <c r="G98" s="1080">
        <v>12.9</v>
      </c>
      <c r="H98" s="1080">
        <v>12.9</v>
      </c>
      <c r="I98" s="1080">
        <v>12.9</v>
      </c>
      <c r="J98" s="1080">
        <v>12.9</v>
      </c>
      <c r="K98" s="1080">
        <v>12.9</v>
      </c>
      <c r="L98" s="1080">
        <v>12.9</v>
      </c>
      <c r="M98" s="1080">
        <v>12.9</v>
      </c>
      <c r="N98" s="1080">
        <v>12.9</v>
      </c>
      <c r="O98" s="67"/>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row>
    <row r="99" spans="1:77" s="6" customFormat="1" hidden="1">
      <c r="A99"/>
      <c r="B99" s="110"/>
      <c r="C99" s="952" t="s">
        <v>905</v>
      </c>
      <c r="D99" s="924"/>
      <c r="E99" s="953"/>
      <c r="F99" s="954"/>
      <c r="G99" s="954"/>
      <c r="H99" s="954"/>
      <c r="I99" s="954"/>
      <c r="J99" s="954"/>
      <c r="K99" s="954"/>
      <c r="L99" s="954"/>
      <c r="M99" s="954"/>
      <c r="N99" s="954"/>
      <c r="O99" s="67"/>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row>
    <row r="100" spans="1:77" s="6" customFormat="1" hidden="1">
      <c r="A100"/>
      <c r="B100" s="110"/>
      <c r="C100" s="952" t="s">
        <v>906</v>
      </c>
      <c r="D100" s="924"/>
      <c r="E100" s="953">
        <v>-4.2656250000000021E-2</v>
      </c>
      <c r="F100" s="954">
        <v>7.0655999999999999</v>
      </c>
      <c r="G100" s="954">
        <v>8.0296083307429278</v>
      </c>
      <c r="H100" s="954">
        <v>7.8163270807429281</v>
      </c>
      <c r="I100" s="954">
        <v>7.6030458307429285</v>
      </c>
      <c r="J100" s="954">
        <v>7.3897645807429289</v>
      </c>
      <c r="K100" s="954">
        <v>7.1764833307429292</v>
      </c>
      <c r="L100" s="954">
        <v>6.9632020807429296</v>
      </c>
      <c r="M100" s="954">
        <v>6.7499208307429299</v>
      </c>
      <c r="N100" s="954">
        <v>5.3593499999999992</v>
      </c>
      <c r="O100" s="67"/>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row>
    <row r="101" spans="1:77" s="6" customFormat="1" hidden="1">
      <c r="A101"/>
      <c r="B101" s="110"/>
      <c r="C101" s="952" t="s">
        <v>907</v>
      </c>
      <c r="D101" s="924"/>
      <c r="E101" s="953"/>
      <c r="F101" s="954"/>
      <c r="G101" s="954"/>
      <c r="H101" s="954"/>
      <c r="I101" s="954"/>
      <c r="J101" s="954"/>
      <c r="K101" s="954"/>
      <c r="L101" s="954"/>
      <c r="M101" s="954"/>
      <c r="N101" s="954"/>
      <c r="O101" s="67"/>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row>
    <row r="102" spans="1:77" s="6" customFormat="1" hidden="1">
      <c r="A102"/>
      <c r="B102" s="110"/>
      <c r="C102" s="956" t="s">
        <v>740</v>
      </c>
      <c r="D102" s="957"/>
      <c r="E102" s="958">
        <v>-6.5625000000000003E-2</v>
      </c>
      <c r="F102" s="959">
        <v>3.9239999999999999</v>
      </c>
      <c r="G102" s="959">
        <v>3.5958749999999999</v>
      </c>
      <c r="H102" s="959">
        <v>3.2677499999999999</v>
      </c>
      <c r="I102" s="959">
        <v>2.9396249999999999</v>
      </c>
      <c r="J102" s="959">
        <v>2.6114999999999999</v>
      </c>
      <c r="K102" s="959">
        <v>2.2833749999999999</v>
      </c>
      <c r="L102" s="959">
        <v>1.9552499999999999</v>
      </c>
      <c r="M102" s="959">
        <v>1.6271249999999999</v>
      </c>
      <c r="N102" s="959">
        <v>1.2989999999999999</v>
      </c>
      <c r="O102" s="67"/>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row>
    <row r="103" spans="1:77" s="6" customFormat="1" hidden="1">
      <c r="A103"/>
      <c r="B103" s="110"/>
      <c r="C103" s="946"/>
      <c r="D103" s="924"/>
      <c r="E103" s="941"/>
      <c r="F103" s="942"/>
      <c r="G103" s="943"/>
      <c r="H103" s="943"/>
      <c r="I103" s="943"/>
      <c r="J103" s="943"/>
      <c r="K103" s="943"/>
      <c r="L103" s="943"/>
      <c r="M103" s="943"/>
      <c r="N103" s="67"/>
      <c r="O103" s="67"/>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row>
    <row r="104" spans="1:77" hidden="1">
      <c r="B104" s="110"/>
      <c r="C104" s="49" t="s">
        <v>908</v>
      </c>
      <c r="D104" s="924"/>
      <c r="E104" s="941"/>
      <c r="F104" s="942"/>
      <c r="G104" s="943"/>
      <c r="H104" s="943"/>
      <c r="I104" s="943"/>
      <c r="J104" s="943"/>
      <c r="K104" s="943"/>
      <c r="L104" s="943"/>
      <c r="M104" s="943"/>
      <c r="N104" s="944" t="s">
        <v>2819</v>
      </c>
      <c r="O104" s="67"/>
    </row>
    <row r="105" spans="1:77" hidden="1">
      <c r="B105" s="110"/>
      <c r="C105" s="946"/>
      <c r="D105" s="924"/>
      <c r="E105" s="941"/>
      <c r="F105" s="942"/>
      <c r="G105" s="943"/>
      <c r="H105" s="943"/>
      <c r="I105" s="943"/>
      <c r="J105" s="943"/>
      <c r="K105" s="943"/>
      <c r="L105" s="943"/>
      <c r="M105" s="943"/>
      <c r="N105" s="67"/>
      <c r="O105" s="67"/>
      <c r="P105" s="1077"/>
    </row>
    <row r="106" spans="1:77" hidden="1">
      <c r="B106" s="110"/>
      <c r="C106" s="1179"/>
      <c r="D106" s="962"/>
      <c r="E106" s="963" t="s">
        <v>160</v>
      </c>
      <c r="F106" s="964">
        <v>2013</v>
      </c>
      <c r="G106" s="974">
        <v>2015</v>
      </c>
      <c r="H106" s="974">
        <v>2020</v>
      </c>
      <c r="I106" s="974">
        <v>2025</v>
      </c>
      <c r="J106" s="974">
        <v>2030</v>
      </c>
      <c r="K106" s="974">
        <v>2035</v>
      </c>
      <c r="L106" s="974">
        <v>2040</v>
      </c>
      <c r="M106" s="974">
        <v>2045</v>
      </c>
      <c r="N106" s="965">
        <v>2050</v>
      </c>
      <c r="O106" s="67"/>
      <c r="P106" s="1228"/>
    </row>
    <row r="107" spans="1:77" hidden="1">
      <c r="B107" s="110"/>
      <c r="C107" s="976" t="s">
        <v>738</v>
      </c>
      <c r="D107" s="924"/>
      <c r="E107" s="1229">
        <v>0</v>
      </c>
      <c r="F107" s="1080">
        <v>1.1100000000000001</v>
      </c>
      <c r="G107" s="1080">
        <v>1.1100000000000001</v>
      </c>
      <c r="H107" s="1080">
        <v>1.1100000000000001</v>
      </c>
      <c r="I107" s="1080">
        <v>1.1100000000000001</v>
      </c>
      <c r="J107" s="1080">
        <v>1.1100000000000001</v>
      </c>
      <c r="K107" s="1080">
        <v>1.1100000000000001</v>
      </c>
      <c r="L107" s="1080">
        <v>1.1100000000000001</v>
      </c>
      <c r="M107" s="1080">
        <v>1.1100000000000001</v>
      </c>
      <c r="N107" s="1080">
        <v>1.1100000000000001</v>
      </c>
      <c r="O107" s="67"/>
      <c r="P107" s="1230"/>
    </row>
    <row r="108" spans="1:77" hidden="1">
      <c r="B108" s="110"/>
      <c r="C108" s="952" t="s">
        <v>909</v>
      </c>
      <c r="D108" s="924"/>
      <c r="E108" s="1229">
        <v>0</v>
      </c>
      <c r="F108" s="954">
        <v>0.40800000000000003</v>
      </c>
      <c r="G108" s="954">
        <v>0.40800000000000003</v>
      </c>
      <c r="H108" s="954">
        <v>0.40800000000000003</v>
      </c>
      <c r="I108" s="954">
        <v>0.40800000000000003</v>
      </c>
      <c r="J108" s="954">
        <v>0.40800000000000003</v>
      </c>
      <c r="K108" s="954">
        <v>0.40800000000000003</v>
      </c>
      <c r="L108" s="954">
        <v>0.40800000000000003</v>
      </c>
      <c r="M108" s="954">
        <v>0.40800000000000003</v>
      </c>
      <c r="N108" s="954">
        <v>0.40800000000000003</v>
      </c>
      <c r="O108" s="67"/>
      <c r="P108" s="1231"/>
    </row>
    <row r="109" spans="1:77" s="2" customFormat="1" hidden="1">
      <c r="B109" s="110"/>
      <c r="C109" s="952" t="s">
        <v>907</v>
      </c>
      <c r="D109" s="924"/>
      <c r="E109" s="1229"/>
      <c r="F109" s="942"/>
      <c r="G109" s="954"/>
      <c r="H109" s="954"/>
      <c r="I109" s="954"/>
      <c r="J109" s="954"/>
      <c r="K109" s="954"/>
      <c r="L109" s="954"/>
      <c r="M109" s="954"/>
      <c r="N109" s="954"/>
      <c r="O109" s="67"/>
      <c r="P109" s="1231"/>
    </row>
    <row r="110" spans="1:77" s="2" customFormat="1" hidden="1">
      <c r="B110" s="110"/>
      <c r="C110" s="956" t="s">
        <v>740</v>
      </c>
      <c r="D110" s="957"/>
      <c r="E110" s="1232">
        <v>0</v>
      </c>
      <c r="F110" s="959">
        <v>0.03</v>
      </c>
      <c r="G110" s="959">
        <v>0.03</v>
      </c>
      <c r="H110" s="959">
        <v>0.03</v>
      </c>
      <c r="I110" s="959">
        <v>0.03</v>
      </c>
      <c r="J110" s="959">
        <v>0.03</v>
      </c>
      <c r="K110" s="959">
        <v>0.03</v>
      </c>
      <c r="L110" s="959">
        <v>0.03</v>
      </c>
      <c r="M110" s="959">
        <v>0.03</v>
      </c>
      <c r="N110" s="959">
        <v>0.03</v>
      </c>
      <c r="O110" s="67"/>
      <c r="P110" s="1231"/>
      <c r="Q110" s="86"/>
    </row>
    <row r="111" spans="1:77" s="2" customFormat="1" hidden="1">
      <c r="B111" s="67"/>
      <c r="C111" s="952"/>
      <c r="D111" s="924"/>
      <c r="E111" s="953"/>
      <c r="F111" s="942"/>
      <c r="G111" s="942"/>
      <c r="H111" s="942"/>
      <c r="I111" s="942"/>
      <c r="J111" s="942"/>
      <c r="K111" s="942"/>
      <c r="L111" s="942"/>
      <c r="M111" s="942"/>
      <c r="N111" s="942"/>
      <c r="O111" s="67"/>
      <c r="P111" s="86"/>
      <c r="Q111" s="86"/>
    </row>
    <row r="112" spans="1:77" s="2" customFormat="1" hidden="1">
      <c r="B112" s="47"/>
      <c r="C112" s="1233" t="s">
        <v>894</v>
      </c>
      <c r="D112" s="67"/>
      <c r="E112" s="943"/>
      <c r="F112" s="67"/>
      <c r="G112" s="67"/>
      <c r="H112" s="67"/>
      <c r="I112" s="1185"/>
      <c r="J112" s="1185"/>
      <c r="K112" s="47"/>
      <c r="L112" s="47"/>
      <c r="M112" s="47"/>
      <c r="N112" s="47"/>
      <c r="O112" s="47"/>
      <c r="P112" s="86"/>
      <c r="Q112" s="86"/>
    </row>
    <row r="113" spans="2:17" hidden="1">
      <c r="B113" s="110"/>
      <c r="C113" s="49" t="s">
        <v>910</v>
      </c>
      <c r="D113" s="924"/>
      <c r="E113" s="941"/>
      <c r="F113" s="942"/>
      <c r="G113" s="943"/>
      <c r="H113" s="943"/>
      <c r="I113" s="943"/>
      <c r="J113" s="943"/>
      <c r="K113" s="943"/>
      <c r="L113" s="943"/>
      <c r="M113" s="943"/>
      <c r="N113" s="944" t="s">
        <v>2820</v>
      </c>
      <c r="O113" s="67"/>
      <c r="P113" s="1077"/>
      <c r="Q113" s="1077"/>
    </row>
    <row r="114" spans="2:17" hidden="1">
      <c r="B114" s="110"/>
      <c r="C114" s="946"/>
      <c r="D114" s="924"/>
      <c r="E114" s="941"/>
      <c r="F114" s="942"/>
      <c r="G114" s="943"/>
      <c r="H114" s="943"/>
      <c r="I114" s="943"/>
      <c r="J114" s="943"/>
      <c r="K114" s="943"/>
      <c r="L114" s="943"/>
      <c r="M114" s="943"/>
      <c r="N114" s="67"/>
      <c r="O114" s="67"/>
      <c r="P114" s="1077"/>
      <c r="Q114" s="1077"/>
    </row>
    <row r="115" spans="2:17" hidden="1">
      <c r="B115" s="110"/>
      <c r="C115" s="1179"/>
      <c r="D115" s="1079"/>
      <c r="E115" s="980" t="s">
        <v>160</v>
      </c>
      <c r="F115" s="981">
        <v>2013</v>
      </c>
      <c r="G115" s="974">
        <v>2015</v>
      </c>
      <c r="H115" s="974">
        <v>2020</v>
      </c>
      <c r="I115" s="974">
        <v>2025</v>
      </c>
      <c r="J115" s="974">
        <v>2030</v>
      </c>
      <c r="K115" s="974">
        <v>2035</v>
      </c>
      <c r="L115" s="974">
        <v>2040</v>
      </c>
      <c r="M115" s="974">
        <v>2045</v>
      </c>
      <c r="N115" s="974">
        <v>2050</v>
      </c>
      <c r="O115" s="67"/>
      <c r="P115" s="1176"/>
      <c r="Q115" s="1077"/>
    </row>
    <row r="116" spans="2:17" hidden="1">
      <c r="B116" s="110"/>
      <c r="C116" s="976" t="s">
        <v>738</v>
      </c>
      <c r="D116" s="1079"/>
      <c r="E116" s="966">
        <v>0</v>
      </c>
      <c r="F116" s="1080">
        <v>997.68</v>
      </c>
      <c r="G116" s="1080">
        <v>997.68</v>
      </c>
      <c r="H116" s="1080">
        <v>997.68</v>
      </c>
      <c r="I116" s="1080">
        <v>997.68</v>
      </c>
      <c r="J116" s="1080">
        <v>997.68</v>
      </c>
      <c r="K116" s="1080">
        <v>997.68</v>
      </c>
      <c r="L116" s="1080">
        <v>997.68</v>
      </c>
      <c r="M116" s="1080">
        <v>997.68</v>
      </c>
      <c r="N116" s="1080">
        <v>997.68</v>
      </c>
      <c r="O116" s="67"/>
      <c r="P116" s="1083"/>
      <c r="Q116" s="1077"/>
    </row>
    <row r="117" spans="2:17" hidden="1">
      <c r="B117" s="110"/>
      <c r="C117" s="952" t="s">
        <v>739</v>
      </c>
      <c r="D117" s="924"/>
      <c r="E117" s="953">
        <v>0</v>
      </c>
      <c r="F117" s="954">
        <v>821.57289400062177</v>
      </c>
      <c r="G117" s="954">
        <v>821.57289400062177</v>
      </c>
      <c r="H117" s="954">
        <v>821.57289400062177</v>
      </c>
      <c r="I117" s="954">
        <v>821.57289400062177</v>
      </c>
      <c r="J117" s="954">
        <v>821.57289400062177</v>
      </c>
      <c r="K117" s="954">
        <v>821.57289400062177</v>
      </c>
      <c r="L117" s="954">
        <v>821.57289400062177</v>
      </c>
      <c r="M117" s="954">
        <v>821.57289400062177</v>
      </c>
      <c r="N117" s="954">
        <v>821.57289400062177</v>
      </c>
      <c r="O117" s="67"/>
      <c r="P117" s="1083"/>
      <c r="Q117" s="1077"/>
    </row>
    <row r="118" spans="2:17" hidden="1">
      <c r="B118" s="110"/>
      <c r="C118" s="956" t="s">
        <v>740</v>
      </c>
      <c r="D118" s="957"/>
      <c r="E118" s="958">
        <v>-5.0640000000000001</v>
      </c>
      <c r="F118" s="959">
        <v>594</v>
      </c>
      <c r="G118" s="959">
        <v>568.67999999999995</v>
      </c>
      <c r="H118" s="959">
        <v>543.3599999999999</v>
      </c>
      <c r="I118" s="959">
        <v>518.03999999999985</v>
      </c>
      <c r="J118" s="959">
        <v>492.71999999999986</v>
      </c>
      <c r="K118" s="959">
        <v>467.39999999999986</v>
      </c>
      <c r="L118" s="959">
        <v>442.07999999999987</v>
      </c>
      <c r="M118" s="959">
        <v>416.75999999999988</v>
      </c>
      <c r="N118" s="959">
        <v>391.44</v>
      </c>
      <c r="O118" s="67"/>
      <c r="P118" s="1083"/>
      <c r="Q118" s="1077"/>
    </row>
    <row r="119" spans="2:17" ht="15.75" hidden="1">
      <c r="B119" s="55"/>
      <c r="C119" s="946"/>
      <c r="D119" s="924"/>
      <c r="E119" s="941"/>
      <c r="F119" s="942"/>
      <c r="G119" s="943"/>
      <c r="H119" s="943"/>
      <c r="I119" s="943"/>
      <c r="J119" s="943"/>
      <c r="K119" s="943"/>
      <c r="L119" s="943"/>
      <c r="M119" s="943"/>
      <c r="N119" s="67"/>
      <c r="O119" s="67"/>
      <c r="P119" s="1083"/>
      <c r="Q119" s="656"/>
    </row>
    <row r="120" spans="2:17" s="6" customFormat="1" hidden="1">
      <c r="B120" s="59"/>
      <c r="C120" s="49" t="s">
        <v>911</v>
      </c>
      <c r="D120" s="924"/>
      <c r="E120" s="941"/>
      <c r="F120" s="942"/>
      <c r="G120" s="943"/>
      <c r="H120" s="943"/>
      <c r="I120" s="943"/>
      <c r="J120" s="943"/>
      <c r="K120" s="943"/>
      <c r="L120" s="943"/>
      <c r="M120" s="943"/>
      <c r="N120" s="944" t="s">
        <v>2820</v>
      </c>
      <c r="O120" s="108"/>
      <c r="P120" s="86"/>
      <c r="Q120" s="656"/>
    </row>
    <row r="121" spans="2:17" s="6" customFormat="1" hidden="1">
      <c r="B121" s="59"/>
      <c r="C121" s="946"/>
      <c r="D121" s="924"/>
      <c r="E121" s="941"/>
      <c r="F121" s="942"/>
      <c r="G121" s="943"/>
      <c r="H121" s="943"/>
      <c r="I121" s="943"/>
      <c r="J121" s="943"/>
      <c r="K121" s="943"/>
      <c r="L121" s="943"/>
      <c r="M121" s="943"/>
      <c r="N121" s="67"/>
      <c r="O121" s="108"/>
      <c r="P121" s="1228"/>
      <c r="Q121" s="1234"/>
    </row>
    <row r="122" spans="2:17" s="6" customFormat="1" hidden="1">
      <c r="B122" s="59"/>
      <c r="C122" s="1179"/>
      <c r="D122" s="1079"/>
      <c r="E122" s="980" t="s">
        <v>160</v>
      </c>
      <c r="F122" s="981">
        <v>2013</v>
      </c>
      <c r="G122" s="974">
        <v>2015</v>
      </c>
      <c r="H122" s="974">
        <v>2020</v>
      </c>
      <c r="I122" s="974">
        <v>2025</v>
      </c>
      <c r="J122" s="974">
        <v>2030</v>
      </c>
      <c r="K122" s="974">
        <v>2035</v>
      </c>
      <c r="L122" s="974">
        <v>2040</v>
      </c>
      <c r="M122" s="974">
        <v>2045</v>
      </c>
      <c r="N122" s="974">
        <v>2050</v>
      </c>
      <c r="O122" s="108"/>
      <c r="P122" s="1228"/>
      <c r="Q122" s="1234"/>
    </row>
    <row r="123" spans="2:17" s="6" customFormat="1" hidden="1">
      <c r="B123" s="59"/>
      <c r="C123" s="976" t="s">
        <v>738</v>
      </c>
      <c r="D123" s="1079"/>
      <c r="E123" s="966">
        <v>0</v>
      </c>
      <c r="F123" s="967">
        <v>10.08</v>
      </c>
      <c r="G123" s="967">
        <v>10.08</v>
      </c>
      <c r="H123" s="967">
        <v>10.08</v>
      </c>
      <c r="I123" s="967">
        <v>10.08</v>
      </c>
      <c r="J123" s="967">
        <v>10.08</v>
      </c>
      <c r="K123" s="967">
        <v>10.08</v>
      </c>
      <c r="L123" s="967">
        <v>10.08</v>
      </c>
      <c r="M123" s="967">
        <v>10.08</v>
      </c>
      <c r="N123" s="967">
        <v>10.08</v>
      </c>
      <c r="O123" s="108"/>
      <c r="P123" s="1228"/>
      <c r="Q123" s="1077"/>
    </row>
    <row r="124" spans="2:17" s="6" customFormat="1" hidden="1">
      <c r="B124" s="59"/>
      <c r="C124" s="952" t="s">
        <v>739</v>
      </c>
      <c r="D124" s="924"/>
      <c r="E124" s="953">
        <v>0</v>
      </c>
      <c r="F124" s="942">
        <v>7.6406589990674538</v>
      </c>
      <c r="G124" s="942">
        <v>7.6406589990674538</v>
      </c>
      <c r="H124" s="942">
        <v>7.6406589990674538</v>
      </c>
      <c r="I124" s="942">
        <v>7.6406589990674538</v>
      </c>
      <c r="J124" s="942">
        <v>7.6406589990674538</v>
      </c>
      <c r="K124" s="942">
        <v>7.6406589990674538</v>
      </c>
      <c r="L124" s="942">
        <v>7.6406589990674538</v>
      </c>
      <c r="M124" s="942">
        <v>7.6406589990674538</v>
      </c>
      <c r="N124" s="942">
        <v>7.6406589990674538</v>
      </c>
      <c r="O124" s="108"/>
      <c r="P124" s="1228"/>
      <c r="Q124" s="1077"/>
    </row>
    <row r="125" spans="2:17" s="6" customFormat="1" hidden="1">
      <c r="B125" s="59"/>
      <c r="C125" s="956" t="s">
        <v>740</v>
      </c>
      <c r="D125" s="957"/>
      <c r="E125" s="958">
        <v>0</v>
      </c>
      <c r="F125" s="969">
        <v>3.12</v>
      </c>
      <c r="G125" s="969">
        <v>3.12</v>
      </c>
      <c r="H125" s="969">
        <v>3.12</v>
      </c>
      <c r="I125" s="969">
        <v>3.12</v>
      </c>
      <c r="J125" s="969">
        <v>3.12</v>
      </c>
      <c r="K125" s="969">
        <v>3.12</v>
      </c>
      <c r="L125" s="969">
        <v>3.12</v>
      </c>
      <c r="M125" s="969">
        <v>3.12</v>
      </c>
      <c r="N125" s="969">
        <v>3.12</v>
      </c>
      <c r="O125" s="108"/>
      <c r="P125" s="1228"/>
      <c r="Q125" s="1077"/>
    </row>
    <row r="126" spans="2:17" s="6" customFormat="1" hidden="1">
      <c r="B126" s="59"/>
      <c r="C126" s="952"/>
      <c r="D126" s="924"/>
      <c r="E126" s="953"/>
      <c r="F126" s="942"/>
      <c r="G126" s="942"/>
      <c r="H126" s="942"/>
      <c r="I126" s="942"/>
      <c r="J126" s="942"/>
      <c r="K126" s="942"/>
      <c r="L126" s="942"/>
      <c r="M126" s="942"/>
      <c r="N126" s="942"/>
      <c r="O126" s="108"/>
      <c r="P126" s="1228"/>
      <c r="Q126" s="1077"/>
    </row>
    <row r="127" spans="2:17" s="6" customFormat="1" hidden="1">
      <c r="B127" s="59"/>
      <c r="C127" s="1235" t="s">
        <v>890</v>
      </c>
      <c r="D127" s="59"/>
      <c r="E127" s="59"/>
      <c r="F127" s="59"/>
      <c r="G127" s="59"/>
      <c r="H127" s="59"/>
      <c r="I127" s="59"/>
      <c r="J127" s="59"/>
      <c r="K127" s="59"/>
      <c r="L127" s="59"/>
      <c r="M127" s="59"/>
      <c r="N127" s="59"/>
      <c r="O127" s="108"/>
      <c r="P127" s="1230"/>
      <c r="Q127" s="1230"/>
    </row>
    <row r="128" spans="2:17" s="6" customFormat="1" hidden="1">
      <c r="B128" s="59"/>
      <c r="C128" s="49" t="s">
        <v>912</v>
      </c>
      <c r="D128" s="924"/>
      <c r="E128" s="941"/>
      <c r="F128" s="942"/>
      <c r="G128" s="943"/>
      <c r="H128" s="943"/>
      <c r="I128" s="943"/>
      <c r="J128" s="943"/>
      <c r="K128" s="943"/>
      <c r="L128" s="943"/>
      <c r="M128" s="943"/>
      <c r="N128" s="944" t="s">
        <v>2819</v>
      </c>
      <c r="O128" s="108"/>
      <c r="P128" s="1236"/>
      <c r="Q128" s="1236"/>
    </row>
    <row r="129" spans="2:17" s="6" customFormat="1" hidden="1">
      <c r="B129" s="59"/>
      <c r="C129" s="946"/>
      <c r="D129" s="924"/>
      <c r="E129" s="941"/>
      <c r="F129" s="942"/>
      <c r="G129" s="943"/>
      <c r="H129" s="943"/>
      <c r="I129" s="943"/>
      <c r="J129" s="943"/>
      <c r="K129" s="943"/>
      <c r="L129" s="943"/>
      <c r="M129" s="943"/>
      <c r="N129" s="67"/>
      <c r="O129" s="108"/>
      <c r="P129" s="1236"/>
      <c r="Q129" s="1236"/>
    </row>
    <row r="130" spans="2:17" s="6" customFormat="1" hidden="1">
      <c r="B130" s="59"/>
      <c r="C130" s="1179"/>
      <c r="D130" s="1079"/>
      <c r="E130" s="963" t="s">
        <v>160</v>
      </c>
      <c r="F130" s="964">
        <v>2013</v>
      </c>
      <c r="G130" s="965">
        <v>2015</v>
      </c>
      <c r="H130" s="965">
        <v>2020</v>
      </c>
      <c r="I130" s="965">
        <v>2025</v>
      </c>
      <c r="J130" s="965">
        <v>2030</v>
      </c>
      <c r="K130" s="965">
        <v>2035</v>
      </c>
      <c r="L130" s="965">
        <v>2040</v>
      </c>
      <c r="M130" s="965">
        <v>2045</v>
      </c>
      <c r="N130" s="965">
        <v>2050</v>
      </c>
      <c r="O130" s="108"/>
      <c r="P130" s="1236"/>
      <c r="Q130" s="1236"/>
    </row>
    <row r="131" spans="2:17" s="6" customFormat="1" hidden="1">
      <c r="B131" s="59"/>
      <c r="C131" s="976" t="s">
        <v>738</v>
      </c>
      <c r="D131" s="1079"/>
      <c r="E131" s="953">
        <v>0</v>
      </c>
      <c r="F131" s="954">
        <v>14.166</v>
      </c>
      <c r="G131" s="954">
        <v>14.166</v>
      </c>
      <c r="H131" s="954">
        <v>14.166</v>
      </c>
      <c r="I131" s="954">
        <v>14.166</v>
      </c>
      <c r="J131" s="954">
        <v>14.166</v>
      </c>
      <c r="K131" s="954">
        <v>14.166</v>
      </c>
      <c r="L131" s="954">
        <v>14.166</v>
      </c>
      <c r="M131" s="954">
        <v>14.166</v>
      </c>
      <c r="N131" s="954">
        <v>14.166</v>
      </c>
      <c r="O131" s="108"/>
      <c r="P131" s="1236"/>
      <c r="Q131" s="1236"/>
    </row>
    <row r="132" spans="2:17" s="6" customFormat="1" hidden="1">
      <c r="B132" s="59"/>
      <c r="C132" s="952" t="s">
        <v>905</v>
      </c>
      <c r="D132" s="924"/>
      <c r="E132" s="953"/>
      <c r="F132" s="954"/>
      <c r="G132" s="954"/>
      <c r="H132" s="954"/>
      <c r="I132" s="954"/>
      <c r="J132" s="954"/>
      <c r="K132" s="954"/>
      <c r="L132" s="954"/>
      <c r="M132" s="954"/>
      <c r="N132" s="954"/>
      <c r="O132" s="108"/>
      <c r="P132" s="1236"/>
      <c r="Q132" s="1236"/>
    </row>
    <row r="133" spans="2:17" s="6" customFormat="1" hidden="1">
      <c r="B133" s="59"/>
      <c r="C133" s="952" t="s">
        <v>906</v>
      </c>
      <c r="D133" s="924"/>
      <c r="E133" s="953">
        <v>-6.7712138638483063E-2</v>
      </c>
      <c r="F133" s="954">
        <v>8.7020999999999997</v>
      </c>
      <c r="G133" s="954">
        <v>8.3635393068075849</v>
      </c>
      <c r="H133" s="954">
        <v>8.0249786136151702</v>
      </c>
      <c r="I133" s="954">
        <v>7.6864179204227545</v>
      </c>
      <c r="J133" s="954">
        <v>7.3478572272303389</v>
      </c>
      <c r="K133" s="954">
        <v>7.0092965340379232</v>
      </c>
      <c r="L133" s="954">
        <v>6.6707358408455075</v>
      </c>
      <c r="M133" s="954">
        <v>6.3321751476530919</v>
      </c>
      <c r="N133" s="954">
        <v>5.9936144544606771</v>
      </c>
      <c r="O133" s="108"/>
      <c r="P133" s="1236"/>
      <c r="Q133" s="1236"/>
    </row>
    <row r="134" spans="2:17" hidden="1">
      <c r="B134" s="67"/>
      <c r="C134" s="952" t="s">
        <v>907</v>
      </c>
      <c r="D134" s="924"/>
      <c r="E134" s="953"/>
      <c r="F134" s="954"/>
      <c r="G134" s="954"/>
      <c r="H134" s="954"/>
      <c r="I134" s="954"/>
      <c r="J134" s="954"/>
      <c r="K134" s="954"/>
      <c r="L134" s="954"/>
      <c r="M134" s="954"/>
      <c r="N134" s="954"/>
      <c r="O134" s="67"/>
      <c r="P134" s="1077"/>
      <c r="Q134" s="1077"/>
    </row>
    <row r="135" spans="2:17" hidden="1">
      <c r="B135" s="67"/>
      <c r="C135" s="956" t="s">
        <v>740</v>
      </c>
      <c r="D135" s="957"/>
      <c r="E135" s="958">
        <v>-0.10417252098228162</v>
      </c>
      <c r="F135" s="959">
        <v>5.76</v>
      </c>
      <c r="G135" s="959">
        <v>5.2391373950885916</v>
      </c>
      <c r="H135" s="959">
        <v>4.7182747901771833</v>
      </c>
      <c r="I135" s="959">
        <v>4.1974121852657751</v>
      </c>
      <c r="J135" s="959">
        <v>3.6765495803543669</v>
      </c>
      <c r="K135" s="959">
        <v>3.1556869754429586</v>
      </c>
      <c r="L135" s="959">
        <v>2.6348243705315504</v>
      </c>
      <c r="M135" s="959">
        <v>2.1139617656201422</v>
      </c>
      <c r="N135" s="959">
        <v>1.5930991607087348</v>
      </c>
      <c r="O135" s="67"/>
      <c r="P135" s="1077"/>
      <c r="Q135" s="1077"/>
    </row>
    <row r="136" spans="2:17" hidden="1">
      <c r="B136" s="67"/>
      <c r="C136" s="946"/>
      <c r="D136" s="924"/>
      <c r="E136" s="941"/>
      <c r="F136" s="942"/>
      <c r="G136" s="943"/>
      <c r="H136" s="943"/>
      <c r="I136" s="943"/>
      <c r="J136" s="943"/>
      <c r="K136" s="943"/>
      <c r="L136" s="943"/>
      <c r="M136" s="943"/>
      <c r="N136" s="67"/>
      <c r="O136" s="67"/>
      <c r="P136" s="1077"/>
      <c r="Q136" s="1077"/>
    </row>
    <row r="137" spans="2:17" hidden="1">
      <c r="B137" s="110"/>
      <c r="C137" s="49" t="s">
        <v>913</v>
      </c>
      <c r="D137" s="924"/>
      <c r="E137" s="941"/>
      <c r="F137" s="942"/>
      <c r="G137" s="943"/>
      <c r="H137" s="943"/>
      <c r="I137" s="943"/>
      <c r="J137" s="943"/>
      <c r="K137" s="943"/>
      <c r="L137" s="943"/>
      <c r="M137" s="943"/>
      <c r="N137" s="944" t="s">
        <v>2819</v>
      </c>
      <c r="O137" s="67"/>
      <c r="P137" s="1077"/>
      <c r="Q137" s="1077"/>
    </row>
    <row r="138" spans="2:17" hidden="1">
      <c r="B138" s="110"/>
      <c r="C138" s="946"/>
      <c r="D138" s="924"/>
      <c r="E138" s="941"/>
      <c r="F138" s="942"/>
      <c r="G138" s="943"/>
      <c r="H138" s="943"/>
      <c r="I138" s="943"/>
      <c r="J138" s="943"/>
      <c r="K138" s="943"/>
      <c r="L138" s="943"/>
      <c r="M138" s="943"/>
      <c r="N138" s="67"/>
      <c r="O138" s="67"/>
    </row>
    <row r="139" spans="2:17" hidden="1">
      <c r="B139" s="110"/>
      <c r="C139" s="1179"/>
      <c r="D139" s="1079"/>
      <c r="E139" s="980" t="s">
        <v>160</v>
      </c>
      <c r="F139" s="981">
        <v>2013</v>
      </c>
      <c r="G139" s="974">
        <v>2015</v>
      </c>
      <c r="H139" s="974">
        <v>2020</v>
      </c>
      <c r="I139" s="974">
        <v>2025</v>
      </c>
      <c r="J139" s="974">
        <v>2030</v>
      </c>
      <c r="K139" s="974">
        <v>2035</v>
      </c>
      <c r="L139" s="974">
        <v>2040</v>
      </c>
      <c r="M139" s="974">
        <v>2045</v>
      </c>
      <c r="N139" s="974">
        <v>2050</v>
      </c>
      <c r="O139" s="67"/>
    </row>
    <row r="140" spans="2:17" hidden="1">
      <c r="B140" s="110"/>
      <c r="C140" s="976" t="s">
        <v>738</v>
      </c>
      <c r="D140" s="1079"/>
      <c r="E140" s="966">
        <v>0</v>
      </c>
      <c r="F140" s="1080">
        <v>0.28000000000000003</v>
      </c>
      <c r="G140" s="1080">
        <v>0.28000000000000003</v>
      </c>
      <c r="H140" s="1080">
        <v>0.28000000000000003</v>
      </c>
      <c r="I140" s="1080">
        <v>0.28000000000000003</v>
      </c>
      <c r="J140" s="1080">
        <v>0.28000000000000003</v>
      </c>
      <c r="K140" s="1080">
        <v>0.28000000000000003</v>
      </c>
      <c r="L140" s="1080">
        <v>0.28000000000000003</v>
      </c>
      <c r="M140" s="1080">
        <v>0.28000000000000003</v>
      </c>
      <c r="N140" s="1080">
        <v>0.28000000000000003</v>
      </c>
      <c r="O140" s="67"/>
    </row>
    <row r="141" spans="2:17" hidden="1">
      <c r="B141" s="110"/>
      <c r="C141" s="952" t="s">
        <v>905</v>
      </c>
      <c r="D141" s="924"/>
      <c r="E141" s="953"/>
      <c r="F141" s="954"/>
      <c r="G141" s="954"/>
      <c r="H141" s="954"/>
      <c r="I141" s="954"/>
      <c r="J141" s="954"/>
      <c r="K141" s="954"/>
      <c r="L141" s="954"/>
      <c r="M141" s="954"/>
      <c r="N141" s="954"/>
      <c r="O141" s="67"/>
    </row>
    <row r="142" spans="2:17" hidden="1">
      <c r="B142" s="110"/>
      <c r="C142" s="952" t="s">
        <v>906</v>
      </c>
      <c r="D142" s="924"/>
      <c r="E142" s="953">
        <v>0</v>
      </c>
      <c r="F142" s="954">
        <v>0.12659999999999999</v>
      </c>
      <c r="G142" s="954">
        <v>0.12659999999999999</v>
      </c>
      <c r="H142" s="954">
        <v>0.12659999999999999</v>
      </c>
      <c r="I142" s="954">
        <v>0.12659999999999999</v>
      </c>
      <c r="J142" s="954">
        <v>0.12659999999999999</v>
      </c>
      <c r="K142" s="954">
        <v>0.12659999999999999</v>
      </c>
      <c r="L142" s="954">
        <v>0.12659999999999999</v>
      </c>
      <c r="M142" s="954">
        <v>0.12659999999999999</v>
      </c>
      <c r="N142" s="954">
        <v>0.12659999999999999</v>
      </c>
      <c r="O142" s="67"/>
    </row>
    <row r="143" spans="2:17" hidden="1">
      <c r="B143" s="110"/>
      <c r="C143" s="952" t="s">
        <v>907</v>
      </c>
      <c r="D143" s="924"/>
      <c r="E143" s="953"/>
      <c r="F143" s="954"/>
      <c r="G143" s="954"/>
      <c r="H143" s="954"/>
      <c r="I143" s="954"/>
      <c r="J143" s="954"/>
      <c r="K143" s="954"/>
      <c r="L143" s="954"/>
      <c r="M143" s="954"/>
      <c r="N143" s="954"/>
      <c r="O143" s="67"/>
    </row>
    <row r="144" spans="2:17" hidden="1">
      <c r="B144" s="110"/>
      <c r="C144" s="956" t="s">
        <v>740</v>
      </c>
      <c r="D144" s="957"/>
      <c r="E144" s="958">
        <v>0</v>
      </c>
      <c r="F144" s="959">
        <v>4.3999999999999997E-2</v>
      </c>
      <c r="G144" s="959">
        <v>4.3999999999999997E-2</v>
      </c>
      <c r="H144" s="959">
        <v>4.3999999999999997E-2</v>
      </c>
      <c r="I144" s="959">
        <v>4.3999999999999997E-2</v>
      </c>
      <c r="J144" s="959">
        <v>4.3999999999999997E-2</v>
      </c>
      <c r="K144" s="959">
        <v>4.3999999999999997E-2</v>
      </c>
      <c r="L144" s="959">
        <v>4.3999999999999997E-2</v>
      </c>
      <c r="M144" s="959">
        <v>4.3999999999999997E-2</v>
      </c>
      <c r="N144" s="959">
        <v>4.3999999999999997E-2</v>
      </c>
      <c r="O144" s="67"/>
    </row>
    <row r="145" spans="2:17" hidden="1">
      <c r="B145" s="110"/>
      <c r="C145" s="47"/>
      <c r="D145" s="47"/>
      <c r="E145" s="47"/>
      <c r="F145" s="47"/>
      <c r="G145" s="47"/>
      <c r="H145" s="47"/>
      <c r="I145" s="47"/>
      <c r="J145" s="47"/>
      <c r="K145" s="47"/>
      <c r="L145" s="47"/>
      <c r="M145" s="47"/>
      <c r="N145" s="47"/>
      <c r="O145" s="67"/>
    </row>
    <row r="146" spans="2:17" s="39" customFormat="1">
      <c r="B146" s="1186"/>
      <c r="O146" s="1077"/>
    </row>
    <row r="147" spans="2:17" ht="15.75">
      <c r="B147" s="1110" t="s">
        <v>207</v>
      </c>
    </row>
    <row r="148" spans="2:17">
      <c r="B148" s="363">
        <v>1</v>
      </c>
      <c r="C148" t="s">
        <v>914</v>
      </c>
    </row>
    <row r="149" spans="2:17" ht="15.75">
      <c r="B149" s="1110"/>
    </row>
    <row r="150" spans="2:17">
      <c r="B150" t="s">
        <v>915</v>
      </c>
      <c r="F150" s="2">
        <v>2013</v>
      </c>
      <c r="G150" s="2">
        <v>2015</v>
      </c>
      <c r="H150" s="2">
        <v>2020</v>
      </c>
      <c r="I150" s="2">
        <v>2025</v>
      </c>
      <c r="J150" s="2">
        <v>2030</v>
      </c>
      <c r="K150" s="2">
        <v>2035</v>
      </c>
      <c r="L150" s="2">
        <v>2040</v>
      </c>
      <c r="M150" s="2">
        <v>2045</v>
      </c>
      <c r="N150" s="2">
        <v>2050</v>
      </c>
    </row>
    <row r="151" spans="2:17">
      <c r="C151" s="363" t="s">
        <v>871</v>
      </c>
      <c r="E151" s="2503" t="str">
        <f>Preferences.PowerUnits</f>
        <v>GW</v>
      </c>
      <c r="F151" s="366">
        <f t="shared" ref="F151:N151" si="4">F21</f>
        <v>0</v>
      </c>
      <c r="G151" s="1190">
        <f t="shared" si="4"/>
        <v>1.5220700152207001E-3</v>
      </c>
      <c r="H151" s="1190">
        <f t="shared" si="4"/>
        <v>5.0000000000000001E-3</v>
      </c>
      <c r="I151" s="1190">
        <f t="shared" si="4"/>
        <v>0.15</v>
      </c>
      <c r="J151" s="1190">
        <f t="shared" si="4"/>
        <v>1</v>
      </c>
      <c r="K151" s="1190">
        <f t="shared" si="4"/>
        <v>1.5</v>
      </c>
      <c r="L151" s="1190">
        <f t="shared" si="4"/>
        <v>2</v>
      </c>
      <c r="M151" s="366">
        <f t="shared" si="4"/>
        <v>2</v>
      </c>
      <c r="N151" s="366">
        <f t="shared" si="4"/>
        <v>2.4</v>
      </c>
    </row>
    <row r="152" spans="2:17">
      <c r="B152" s="414" t="s">
        <v>219</v>
      </c>
      <c r="C152" s="414" t="s">
        <v>733</v>
      </c>
      <c r="E152" s="414"/>
      <c r="F152" s="1237">
        <f>F$59</f>
        <v>0.33</v>
      </c>
      <c r="G152" s="1237">
        <f t="shared" ref="G152:N152" si="5">G$59</f>
        <v>0.33</v>
      </c>
      <c r="H152" s="1237">
        <f t="shared" si="5"/>
        <v>0.33</v>
      </c>
      <c r="I152" s="1237">
        <f t="shared" si="5"/>
        <v>0.33</v>
      </c>
      <c r="J152" s="1237">
        <f t="shared" si="5"/>
        <v>0.33</v>
      </c>
      <c r="K152" s="1237">
        <f t="shared" si="5"/>
        <v>0.33</v>
      </c>
      <c r="L152" s="1237">
        <f t="shared" si="5"/>
        <v>0.33</v>
      </c>
      <c r="M152" s="1237">
        <f t="shared" si="5"/>
        <v>0.33</v>
      </c>
      <c r="N152" s="1237">
        <f t="shared" si="5"/>
        <v>0.33</v>
      </c>
    </row>
    <row r="153" spans="2:17">
      <c r="B153" s="414" t="s">
        <v>219</v>
      </c>
      <c r="C153" s="414" t="s">
        <v>893</v>
      </c>
      <c r="E153" s="414"/>
      <c r="F153" s="1237">
        <f>F$70</f>
        <v>0.9</v>
      </c>
      <c r="G153" s="1237">
        <f t="shared" ref="G153:N153" si="6">G$70</f>
        <v>0.9</v>
      </c>
      <c r="H153" s="1237">
        <f t="shared" si="6"/>
        <v>0.9</v>
      </c>
      <c r="I153" s="1237">
        <f t="shared" si="6"/>
        <v>0.9</v>
      </c>
      <c r="J153" s="1237">
        <f t="shared" si="6"/>
        <v>0.9</v>
      </c>
      <c r="K153" s="1237">
        <f t="shared" si="6"/>
        <v>0.9</v>
      </c>
      <c r="L153" s="1237">
        <f t="shared" si="6"/>
        <v>0.9</v>
      </c>
      <c r="M153" s="1237">
        <f t="shared" si="6"/>
        <v>0.9</v>
      </c>
      <c r="N153" s="1237">
        <f t="shared" si="6"/>
        <v>0.9</v>
      </c>
      <c r="P153" s="414"/>
      <c r="Q153" s="414"/>
    </row>
    <row r="154" spans="2:17">
      <c r="B154" s="988" t="s">
        <v>221</v>
      </c>
      <c r="C154" s="363" t="s">
        <v>826</v>
      </c>
      <c r="E154" s="2503"/>
      <c r="F154" s="374">
        <f>F151*F152*F153</f>
        <v>0</v>
      </c>
      <c r="G154" s="374">
        <f t="shared" ref="G154:N154" si="7">G151*G152*G153</f>
        <v>4.520547945205479E-4</v>
      </c>
      <c r="H154" s="1332">
        <f t="shared" si="7"/>
        <v>1.4850000000000002E-3</v>
      </c>
      <c r="I154" s="374">
        <f t="shared" si="7"/>
        <v>4.4550000000000006E-2</v>
      </c>
      <c r="J154" s="374">
        <f t="shared" si="7"/>
        <v>0.29700000000000004</v>
      </c>
      <c r="K154" s="374">
        <f t="shared" si="7"/>
        <v>0.44550000000000001</v>
      </c>
      <c r="L154" s="374">
        <f t="shared" si="7"/>
        <v>0.59400000000000008</v>
      </c>
      <c r="M154" s="374">
        <f t="shared" si="7"/>
        <v>0.59400000000000008</v>
      </c>
      <c r="N154" s="374">
        <f t="shared" si="7"/>
        <v>0.7128000000000001</v>
      </c>
      <c r="P154" s="1237"/>
      <c r="Q154" s="1237"/>
    </row>
    <row r="155" spans="2:17">
      <c r="B155" s="988"/>
      <c r="C155" s="363"/>
      <c r="E155" s="2503"/>
    </row>
    <row r="156" spans="2:17">
      <c r="C156" s="363" t="s">
        <v>873</v>
      </c>
      <c r="E156" s="2503" t="str">
        <f>Preferences.EnergyUnits</f>
        <v>TWh</v>
      </c>
      <c r="F156" s="2490">
        <f t="shared" ref="F156:N156" si="8">F154*Preferences.Unit.Power*Unit.year/Preferences.Unit.Energy</f>
        <v>0</v>
      </c>
      <c r="G156" s="2490">
        <f t="shared" si="8"/>
        <v>3.9627123287671231E-3</v>
      </c>
      <c r="H156" s="2528">
        <f t="shared" si="8"/>
        <v>1.3017510000000001E-2</v>
      </c>
      <c r="I156" s="2490">
        <f t="shared" si="8"/>
        <v>0.39052530000000008</v>
      </c>
      <c r="J156" s="2490">
        <f t="shared" si="8"/>
        <v>2.6035020000000002</v>
      </c>
      <c r="K156" s="2490">
        <f t="shared" si="8"/>
        <v>3.9052530000000001</v>
      </c>
      <c r="L156" s="2490">
        <f t="shared" si="8"/>
        <v>5.2070040000000004</v>
      </c>
      <c r="M156" s="2490">
        <f t="shared" si="8"/>
        <v>5.2070040000000004</v>
      </c>
      <c r="N156" s="2490">
        <f t="shared" si="8"/>
        <v>6.2484048000000012</v>
      </c>
    </row>
    <row r="157" spans="2:17">
      <c r="C157" s="363"/>
      <c r="E157" s="2503"/>
      <c r="F157" s="366"/>
      <c r="G157" s="366"/>
      <c r="H157" s="366"/>
      <c r="I157" s="366"/>
      <c r="J157" s="366"/>
      <c r="K157" s="366"/>
      <c r="L157" s="366"/>
      <c r="M157" s="366"/>
      <c r="N157" s="366"/>
    </row>
    <row r="158" spans="2:17">
      <c r="B158" t="s">
        <v>916</v>
      </c>
      <c r="E158" s="2503"/>
      <c r="F158" s="2">
        <v>2013</v>
      </c>
      <c r="G158" s="2">
        <v>2015</v>
      </c>
      <c r="H158" s="2">
        <v>2020</v>
      </c>
      <c r="I158" s="2">
        <v>2025</v>
      </c>
      <c r="J158" s="2">
        <v>2030</v>
      </c>
      <c r="K158" s="2">
        <v>2035</v>
      </c>
      <c r="L158" s="2">
        <v>2040</v>
      </c>
      <c r="M158" s="2">
        <v>2045</v>
      </c>
      <c r="N158" s="2">
        <v>2050</v>
      </c>
    </row>
    <row r="159" spans="2:17">
      <c r="C159" s="363" t="s">
        <v>871</v>
      </c>
      <c r="E159" s="2503" t="str">
        <f>Preferences.PowerUnits</f>
        <v>GW</v>
      </c>
      <c r="F159" s="366">
        <f t="shared" ref="F159:N159" si="9">F30</f>
        <v>0</v>
      </c>
      <c r="G159" s="366">
        <f t="shared" si="9"/>
        <v>0</v>
      </c>
      <c r="H159" s="366">
        <f t="shared" si="9"/>
        <v>0</v>
      </c>
      <c r="I159" s="366">
        <f t="shared" si="9"/>
        <v>0.1</v>
      </c>
      <c r="J159" s="366">
        <f t="shared" si="9"/>
        <v>0.2</v>
      </c>
      <c r="K159" s="366">
        <f t="shared" si="9"/>
        <v>0.5</v>
      </c>
      <c r="L159" s="366">
        <f t="shared" si="9"/>
        <v>0.5</v>
      </c>
      <c r="M159" s="366">
        <f t="shared" si="9"/>
        <v>0.8</v>
      </c>
      <c r="N159" s="366">
        <f t="shared" si="9"/>
        <v>0.8</v>
      </c>
    </row>
    <row r="160" spans="2:17">
      <c r="B160" s="414" t="s">
        <v>219</v>
      </c>
      <c r="C160" s="414" t="s">
        <v>733</v>
      </c>
      <c r="E160" s="414"/>
      <c r="F160" s="1237">
        <f>F$60</f>
        <v>0.4</v>
      </c>
      <c r="G160" s="1237">
        <f t="shared" ref="G160:N160" si="10">G$60</f>
        <v>0.4</v>
      </c>
      <c r="H160" s="1237">
        <f t="shared" si="10"/>
        <v>0.4</v>
      </c>
      <c r="I160" s="1237">
        <f t="shared" si="10"/>
        <v>0.4</v>
      </c>
      <c r="J160" s="1237">
        <f t="shared" si="10"/>
        <v>0.4</v>
      </c>
      <c r="K160" s="1237">
        <f t="shared" si="10"/>
        <v>0.4</v>
      </c>
      <c r="L160" s="1237">
        <f t="shared" si="10"/>
        <v>0.4</v>
      </c>
      <c r="M160" s="1237">
        <f t="shared" si="10"/>
        <v>0.4</v>
      </c>
      <c r="N160" s="1237">
        <f t="shared" si="10"/>
        <v>0.4</v>
      </c>
    </row>
    <row r="161" spans="1:15">
      <c r="B161" s="414" t="s">
        <v>219</v>
      </c>
      <c r="C161" s="414" t="s">
        <v>893</v>
      </c>
      <c r="E161" s="414"/>
      <c r="F161" s="1237">
        <f>F$71</f>
        <v>0.9</v>
      </c>
      <c r="G161" s="1237">
        <f t="shared" ref="G161:N161" si="11">G$71</f>
        <v>0.9</v>
      </c>
      <c r="H161" s="1237">
        <f t="shared" si="11"/>
        <v>0.9</v>
      </c>
      <c r="I161" s="1237">
        <f t="shared" si="11"/>
        <v>0.9</v>
      </c>
      <c r="J161" s="1237">
        <f t="shared" si="11"/>
        <v>0.9</v>
      </c>
      <c r="K161" s="1237">
        <f t="shared" si="11"/>
        <v>0.9</v>
      </c>
      <c r="L161" s="1237">
        <f t="shared" si="11"/>
        <v>0.9</v>
      </c>
      <c r="M161" s="1237">
        <f t="shared" si="11"/>
        <v>0.9</v>
      </c>
      <c r="N161" s="1237">
        <f t="shared" si="11"/>
        <v>0.9</v>
      </c>
    </row>
    <row r="162" spans="1:15">
      <c r="B162" s="988" t="s">
        <v>221</v>
      </c>
      <c r="C162" s="363" t="s">
        <v>826</v>
      </c>
      <c r="E162" s="2503"/>
      <c r="F162" s="374">
        <f>F159*F160*F161</f>
        <v>0</v>
      </c>
      <c r="G162" s="374">
        <f t="shared" ref="G162:N162" si="12">G159*G160*G161</f>
        <v>0</v>
      </c>
      <c r="H162" s="374">
        <f t="shared" si="12"/>
        <v>0</v>
      </c>
      <c r="I162" s="374">
        <f t="shared" si="12"/>
        <v>3.6000000000000011E-2</v>
      </c>
      <c r="J162" s="374">
        <f t="shared" si="12"/>
        <v>7.2000000000000022E-2</v>
      </c>
      <c r="K162" s="374">
        <f t="shared" si="12"/>
        <v>0.18000000000000002</v>
      </c>
      <c r="L162" s="374">
        <f t="shared" si="12"/>
        <v>0.18000000000000002</v>
      </c>
      <c r="M162" s="374">
        <f t="shared" si="12"/>
        <v>0.28800000000000009</v>
      </c>
      <c r="N162" s="374">
        <f t="shared" si="12"/>
        <v>0.28800000000000009</v>
      </c>
    </row>
    <row r="163" spans="1:15">
      <c r="C163" s="363"/>
      <c r="E163" s="2503"/>
      <c r="F163" s="366"/>
      <c r="G163" s="366"/>
      <c r="H163" s="366"/>
      <c r="I163" s="366"/>
      <c r="J163" s="366"/>
      <c r="K163" s="366"/>
      <c r="L163" s="366"/>
      <c r="M163" s="366"/>
      <c r="N163" s="366"/>
    </row>
    <row r="164" spans="1:15">
      <c r="C164" s="363" t="s">
        <v>873</v>
      </c>
      <c r="E164" s="2503" t="str">
        <f>Preferences.EnergyUnits</f>
        <v>TWh</v>
      </c>
      <c r="F164" s="366">
        <f t="shared" ref="F164:N164" si="13">F162*Preferences.Unit.Power*Unit.year/Preferences.Unit.Energy</f>
        <v>0</v>
      </c>
      <c r="G164" s="366">
        <f t="shared" si="13"/>
        <v>0</v>
      </c>
      <c r="H164" s="366">
        <f t="shared" si="13"/>
        <v>0</v>
      </c>
      <c r="I164" s="366">
        <f t="shared" si="13"/>
        <v>0.31557600000000013</v>
      </c>
      <c r="J164" s="366">
        <f t="shared" si="13"/>
        <v>0.63115200000000027</v>
      </c>
      <c r="K164" s="366">
        <f t="shared" si="13"/>
        <v>1.5778800000000002</v>
      </c>
      <c r="L164" s="366">
        <f t="shared" si="13"/>
        <v>1.5778800000000002</v>
      </c>
      <c r="M164" s="366">
        <f t="shared" si="13"/>
        <v>2.5246080000000011</v>
      </c>
      <c r="N164" s="366">
        <f t="shared" si="13"/>
        <v>2.5246080000000011</v>
      </c>
    </row>
    <row r="165" spans="1:15">
      <c r="B165" s="363"/>
      <c r="C165" s="363"/>
      <c r="E165" s="2503"/>
      <c r="F165" s="366"/>
    </row>
    <row r="166" spans="1:15">
      <c r="B166" t="s">
        <v>917</v>
      </c>
      <c r="E166" s="2503"/>
      <c r="F166" s="2">
        <v>2013</v>
      </c>
      <c r="G166" s="2">
        <v>2015</v>
      </c>
      <c r="H166" s="2">
        <v>2020</v>
      </c>
      <c r="I166" s="2">
        <v>2025</v>
      </c>
      <c r="J166" s="2">
        <v>2030</v>
      </c>
      <c r="K166" s="2">
        <v>2035</v>
      </c>
      <c r="L166" s="2">
        <v>2040</v>
      </c>
      <c r="M166" s="2">
        <v>2045</v>
      </c>
      <c r="N166" s="2">
        <v>2050</v>
      </c>
    </row>
    <row r="167" spans="1:15">
      <c r="C167" s="363" t="s">
        <v>871</v>
      </c>
      <c r="E167" s="2503" t="str">
        <f>Preferences.PowerUnits</f>
        <v>GW</v>
      </c>
      <c r="F167" s="366">
        <f t="shared" ref="F167:N167" si="14">F39</f>
        <v>0</v>
      </c>
      <c r="G167" s="366">
        <f t="shared" si="14"/>
        <v>0</v>
      </c>
      <c r="H167" s="366">
        <f t="shared" si="14"/>
        <v>0</v>
      </c>
      <c r="I167" s="366">
        <f t="shared" si="14"/>
        <v>0</v>
      </c>
      <c r="J167" s="366">
        <f t="shared" si="14"/>
        <v>0</v>
      </c>
      <c r="K167" s="366">
        <f t="shared" si="14"/>
        <v>0</v>
      </c>
      <c r="L167" s="366">
        <f t="shared" si="14"/>
        <v>0</v>
      </c>
      <c r="M167" s="366">
        <f t="shared" si="14"/>
        <v>0</v>
      </c>
      <c r="N167" s="366">
        <f t="shared" si="14"/>
        <v>0</v>
      </c>
    </row>
    <row r="168" spans="1:15">
      <c r="A168" s="414"/>
      <c r="B168" s="414" t="s">
        <v>219</v>
      </c>
      <c r="C168" s="414" t="s">
        <v>733</v>
      </c>
      <c r="D168" s="414"/>
      <c r="E168" s="414"/>
      <c r="F168" s="1237">
        <f t="shared" ref="F168:N168" si="15">(F48*F$61)+((1-F48)*F$62)</f>
        <v>0</v>
      </c>
      <c r="G168" s="1237">
        <f t="shared" si="15"/>
        <v>0.19</v>
      </c>
      <c r="H168" s="1237">
        <f t="shared" si="15"/>
        <v>0.19</v>
      </c>
      <c r="I168" s="1237">
        <f t="shared" si="15"/>
        <v>0.19</v>
      </c>
      <c r="J168" s="1237">
        <f t="shared" si="15"/>
        <v>0.19</v>
      </c>
      <c r="K168" s="1237">
        <f t="shared" si="15"/>
        <v>0.19</v>
      </c>
      <c r="L168" s="1237">
        <f t="shared" si="15"/>
        <v>0.19</v>
      </c>
      <c r="M168" s="1237">
        <f t="shared" si="15"/>
        <v>0.19</v>
      </c>
      <c r="N168" s="1237">
        <f t="shared" si="15"/>
        <v>0.19</v>
      </c>
      <c r="O168" s="414"/>
    </row>
    <row r="169" spans="1:15">
      <c r="A169" s="414"/>
      <c r="B169" s="414" t="s">
        <v>219</v>
      </c>
      <c r="C169" s="414" t="s">
        <v>893</v>
      </c>
      <c r="D169" s="414"/>
      <c r="E169" s="414"/>
      <c r="F169" s="1237">
        <f>F$72</f>
        <v>0.95</v>
      </c>
      <c r="G169" s="1237">
        <f t="shared" ref="G169:M169" si="16">G$72</f>
        <v>0.95</v>
      </c>
      <c r="H169" s="1237">
        <f t="shared" si="16"/>
        <v>0.95</v>
      </c>
      <c r="I169" s="1237">
        <f t="shared" si="16"/>
        <v>0.95</v>
      </c>
      <c r="J169" s="1237">
        <f t="shared" si="16"/>
        <v>0.95</v>
      </c>
      <c r="K169" s="1237">
        <f t="shared" si="16"/>
        <v>0.95</v>
      </c>
      <c r="L169" s="1237">
        <f t="shared" si="16"/>
        <v>0.95</v>
      </c>
      <c r="M169" s="1237">
        <f t="shared" si="16"/>
        <v>0.95</v>
      </c>
      <c r="N169" s="1237">
        <v>0.95</v>
      </c>
      <c r="O169" s="1237"/>
    </row>
    <row r="170" spans="1:15">
      <c r="B170" s="988" t="s">
        <v>221</v>
      </c>
      <c r="C170" s="363" t="s">
        <v>872</v>
      </c>
      <c r="E170" s="2503"/>
      <c r="F170" s="366">
        <f>F167*F168*F169</f>
        <v>0</v>
      </c>
      <c r="G170" s="366">
        <f t="shared" ref="G170:N170" si="17">G167*G168*G169</f>
        <v>0</v>
      </c>
      <c r="H170" s="366">
        <f t="shared" si="17"/>
        <v>0</v>
      </c>
      <c r="I170" s="366">
        <f t="shared" si="17"/>
        <v>0</v>
      </c>
      <c r="J170" s="366">
        <f t="shared" si="17"/>
        <v>0</v>
      </c>
      <c r="K170" s="366">
        <f t="shared" si="17"/>
        <v>0</v>
      </c>
      <c r="L170" s="366">
        <f t="shared" si="17"/>
        <v>0</v>
      </c>
      <c r="M170" s="366">
        <f t="shared" si="17"/>
        <v>0</v>
      </c>
      <c r="N170" s="366">
        <f t="shared" si="17"/>
        <v>0</v>
      </c>
    </row>
    <row r="171" spans="1:15">
      <c r="B171" s="988"/>
      <c r="C171" s="363"/>
      <c r="E171" s="2503"/>
      <c r="F171" s="366"/>
      <c r="G171" s="366"/>
      <c r="H171" s="366"/>
      <c r="I171" s="366"/>
      <c r="J171" s="366"/>
      <c r="K171" s="366"/>
      <c r="L171" s="366"/>
      <c r="M171" s="366"/>
      <c r="N171" s="366"/>
    </row>
    <row r="172" spans="1:15">
      <c r="C172" s="363" t="s">
        <v>873</v>
      </c>
      <c r="E172" s="2503" t="str">
        <f>Preferences.EnergyUnits</f>
        <v>TWh</v>
      </c>
      <c r="F172" s="366">
        <f t="shared" ref="F172:N172" si="18">F170*Preferences.Unit.Power*Unit.year/Preferences.Unit.Energy</f>
        <v>0</v>
      </c>
      <c r="G172" s="366">
        <f t="shared" si="18"/>
        <v>0</v>
      </c>
      <c r="H172" s="366">
        <f t="shared" si="18"/>
        <v>0</v>
      </c>
      <c r="I172" s="366">
        <f t="shared" si="18"/>
        <v>0</v>
      </c>
      <c r="J172" s="366">
        <f t="shared" si="18"/>
        <v>0</v>
      </c>
      <c r="K172" s="366">
        <f t="shared" si="18"/>
        <v>0</v>
      </c>
      <c r="L172" s="366">
        <f t="shared" si="18"/>
        <v>0</v>
      </c>
      <c r="M172" s="366">
        <f t="shared" si="18"/>
        <v>0</v>
      </c>
      <c r="N172" s="1238">
        <f t="shared" si="18"/>
        <v>0</v>
      </c>
    </row>
    <row r="173" spans="1:15">
      <c r="C173" s="363"/>
      <c r="E173" s="2503"/>
      <c r="F173" s="366"/>
      <c r="G173" s="366"/>
      <c r="H173" s="366"/>
      <c r="I173" s="366"/>
      <c r="J173" s="366"/>
      <c r="K173" s="366"/>
      <c r="L173" s="366"/>
      <c r="M173" s="366"/>
      <c r="N173" s="366"/>
    </row>
    <row r="174" spans="1:15">
      <c r="B174" t="s">
        <v>757</v>
      </c>
      <c r="C174" s="363"/>
      <c r="E174" s="2503"/>
      <c r="F174" s="366"/>
      <c r="G174" s="366"/>
      <c r="H174" s="366"/>
      <c r="I174" s="366"/>
      <c r="J174" s="366"/>
      <c r="K174" s="366"/>
      <c r="L174" s="366"/>
      <c r="M174" s="366"/>
      <c r="N174" s="366"/>
    </row>
    <row r="175" spans="1:15">
      <c r="C175" t="s">
        <v>918</v>
      </c>
      <c r="E175" s="2503"/>
      <c r="F175" s="1239">
        <v>2013</v>
      </c>
      <c r="G175" s="1239">
        <v>2015</v>
      </c>
      <c r="H175" s="1239">
        <v>2020</v>
      </c>
      <c r="I175" s="1239">
        <v>2025</v>
      </c>
      <c r="J175" s="1239">
        <v>2030</v>
      </c>
      <c r="K175" s="1239">
        <v>2035</v>
      </c>
      <c r="L175" s="1239">
        <v>2040</v>
      </c>
      <c r="M175" s="1239">
        <v>2045</v>
      </c>
      <c r="N175" s="1239">
        <v>2050</v>
      </c>
    </row>
    <row r="176" spans="1:15">
      <c r="E176" s="2503"/>
    </row>
    <row r="177" spans="1:16347">
      <c r="C177" t="s">
        <v>919</v>
      </c>
      <c r="E177" s="2503" t="s">
        <v>760</v>
      </c>
      <c r="F177" s="993">
        <f>F151/$F$77</f>
        <v>0</v>
      </c>
      <c r="G177" s="993">
        <f t="shared" ref="G177:N177" si="19">G151/$F$77</f>
        <v>1.0147133434804667</v>
      </c>
      <c r="H177" s="993">
        <f t="shared" si="19"/>
        <v>3.3333333333333335</v>
      </c>
      <c r="I177" s="993">
        <f t="shared" si="19"/>
        <v>100</v>
      </c>
      <c r="J177" s="993">
        <f t="shared" si="19"/>
        <v>666.66666666666663</v>
      </c>
      <c r="K177" s="993">
        <f t="shared" si="19"/>
        <v>1000</v>
      </c>
      <c r="L177" s="993">
        <f t="shared" si="19"/>
        <v>1333.3333333333333</v>
      </c>
      <c r="M177" s="993">
        <f t="shared" si="19"/>
        <v>1333.3333333333333</v>
      </c>
      <c r="N177" s="993">
        <f t="shared" si="19"/>
        <v>1600</v>
      </c>
    </row>
    <row r="178" spans="1:16347">
      <c r="C178" t="s">
        <v>920</v>
      </c>
      <c r="E178" s="2503" t="s">
        <v>921</v>
      </c>
      <c r="F178" s="993">
        <f>F156/$F$78</f>
        <v>0</v>
      </c>
      <c r="G178" s="993">
        <f t="shared" ref="G178:N178" si="20">G156/$F$78</f>
        <v>2.6435952895938475E-2</v>
      </c>
      <c r="H178" s="993">
        <f t="shared" si="20"/>
        <v>8.6842105263157901E-2</v>
      </c>
      <c r="I178" s="993">
        <f t="shared" si="20"/>
        <v>2.6052631578947376</v>
      </c>
      <c r="J178" s="993">
        <f t="shared" si="20"/>
        <v>17.368421052631582</v>
      </c>
      <c r="K178" s="993">
        <f t="shared" si="20"/>
        <v>26.05263157894737</v>
      </c>
      <c r="L178" s="993">
        <f t="shared" si="20"/>
        <v>34.736842105263165</v>
      </c>
      <c r="M178" s="993">
        <f t="shared" si="20"/>
        <v>34.736842105263165</v>
      </c>
      <c r="N178" s="992">
        <f t="shared" si="20"/>
        <v>41.684210526315802</v>
      </c>
    </row>
    <row r="179" spans="1:16347">
      <c r="C179" t="s">
        <v>838</v>
      </c>
      <c r="E179" s="2503"/>
      <c r="F179" s="993"/>
      <c r="G179" s="993"/>
      <c r="H179" s="993"/>
      <c r="I179" s="993"/>
      <c r="J179" s="993"/>
      <c r="K179" s="993"/>
      <c r="L179" s="993">
        <f>G177</f>
        <v>1.0147133434804667</v>
      </c>
      <c r="M179" s="993">
        <f>H177</f>
        <v>3.3333333333333335</v>
      </c>
      <c r="N179" s="993">
        <f>I177</f>
        <v>100</v>
      </c>
    </row>
    <row r="180" spans="1:16347">
      <c r="C180" t="s">
        <v>922</v>
      </c>
      <c r="E180" s="2503" t="s">
        <v>923</v>
      </c>
      <c r="F180" s="993"/>
      <c r="G180" s="993">
        <f t="shared" ref="G180:N180" si="21">IF((G177-F177+G179)/(G$69-F$69)&gt;0,(G177-F177+G179)/(G$69-F$69),0)</f>
        <v>0.50735667174023336</v>
      </c>
      <c r="H180" s="993">
        <f t="shared" si="21"/>
        <v>0.46372399797057334</v>
      </c>
      <c r="I180" s="993">
        <f t="shared" si="21"/>
        <v>19.333333333333336</v>
      </c>
      <c r="J180" s="993">
        <f t="shared" si="21"/>
        <v>113.33333333333333</v>
      </c>
      <c r="K180" s="993">
        <f t="shared" si="21"/>
        <v>66.666666666666671</v>
      </c>
      <c r="L180" s="993">
        <f t="shared" si="21"/>
        <v>66.869609335362753</v>
      </c>
      <c r="M180" s="993">
        <f t="shared" si="21"/>
        <v>0.66666666666666674</v>
      </c>
      <c r="N180" s="993">
        <f t="shared" si="21"/>
        <v>73.333333333333343</v>
      </c>
    </row>
    <row r="181" spans="1:16347">
      <c r="E181" s="2503"/>
      <c r="F181" s="993"/>
      <c r="G181" s="993"/>
      <c r="H181" s="993"/>
      <c r="I181" s="993"/>
      <c r="J181" s="993"/>
      <c r="K181" s="993"/>
      <c r="L181" s="993"/>
      <c r="M181" s="993"/>
      <c r="N181" s="993"/>
    </row>
    <row r="182" spans="1:16347">
      <c r="C182" t="s">
        <v>924</v>
      </c>
      <c r="E182" s="2503"/>
      <c r="F182" s="993"/>
      <c r="G182" s="993"/>
      <c r="H182" s="993"/>
      <c r="I182" s="993"/>
      <c r="J182" s="993"/>
      <c r="K182" s="993"/>
      <c r="L182" s="993"/>
      <c r="M182" s="993"/>
      <c r="N182" s="993"/>
    </row>
    <row r="183" spans="1:16347">
      <c r="C183" t="s">
        <v>925</v>
      </c>
      <c r="E183" s="2503" t="s">
        <v>760</v>
      </c>
      <c r="F183" s="993">
        <f t="shared" ref="F183:N183" si="22">F159/$F$81</f>
        <v>0</v>
      </c>
      <c r="G183" s="993">
        <f t="shared" si="22"/>
        <v>0</v>
      </c>
      <c r="H183" s="993">
        <f t="shared" si="22"/>
        <v>0</v>
      </c>
      <c r="I183" s="993">
        <f t="shared" si="22"/>
        <v>50</v>
      </c>
      <c r="J183" s="993">
        <f t="shared" si="22"/>
        <v>100</v>
      </c>
      <c r="K183" s="993">
        <f t="shared" si="22"/>
        <v>250</v>
      </c>
      <c r="L183" s="993">
        <f t="shared" si="22"/>
        <v>250</v>
      </c>
      <c r="M183" s="993">
        <f t="shared" si="22"/>
        <v>400</v>
      </c>
      <c r="N183" s="993">
        <f t="shared" si="22"/>
        <v>400</v>
      </c>
    </row>
    <row r="184" spans="1:16347">
      <c r="C184" t="s">
        <v>926</v>
      </c>
      <c r="E184" s="2503" t="str">
        <f>Preferences.AreaUnits</f>
        <v>km^2</v>
      </c>
      <c r="F184" s="993">
        <f t="shared" ref="F184:N184" si="23">F159/$F$82</f>
        <v>0</v>
      </c>
      <c r="G184" s="993">
        <f t="shared" si="23"/>
        <v>0</v>
      </c>
      <c r="H184" s="993">
        <f t="shared" si="23"/>
        <v>0</v>
      </c>
      <c r="I184" s="993">
        <f t="shared" si="23"/>
        <v>6.6666666666666661</v>
      </c>
      <c r="J184" s="993">
        <f t="shared" si="23"/>
        <v>13.333333333333332</v>
      </c>
      <c r="K184" s="993">
        <f t="shared" si="23"/>
        <v>33.333333333333329</v>
      </c>
      <c r="L184" s="993">
        <f t="shared" si="23"/>
        <v>33.333333333333329</v>
      </c>
      <c r="M184" s="993">
        <f t="shared" si="23"/>
        <v>53.333333333333329</v>
      </c>
      <c r="N184" s="993">
        <f t="shared" si="23"/>
        <v>53.333333333333329</v>
      </c>
    </row>
    <row r="185" spans="1:16347">
      <c r="C185" t="s">
        <v>838</v>
      </c>
      <c r="E185" s="2503"/>
      <c r="F185" s="993"/>
      <c r="G185" s="993"/>
      <c r="H185" s="993"/>
      <c r="I185" s="993"/>
      <c r="J185" s="993"/>
      <c r="K185" s="993">
        <f>F183</f>
        <v>0</v>
      </c>
      <c r="L185" s="993">
        <f>G183</f>
        <v>0</v>
      </c>
      <c r="M185" s="993">
        <f>H183</f>
        <v>0</v>
      </c>
      <c r="N185" s="993">
        <f>I183</f>
        <v>50</v>
      </c>
    </row>
    <row r="186" spans="1:16347" s="414" customFormat="1">
      <c r="A186"/>
      <c r="B186"/>
      <c r="C186" t="s">
        <v>922</v>
      </c>
      <c r="D186"/>
      <c r="E186" s="2503"/>
      <c r="F186" s="993"/>
      <c r="G186" s="993">
        <f t="shared" ref="G186:N186" si="24">IF((G183-F183+G185)/(G$69-F$69)&gt;0,(G183-F183+G185)/(G$69-F$69),0)</f>
        <v>0</v>
      </c>
      <c r="H186" s="993">
        <f t="shared" si="24"/>
        <v>0</v>
      </c>
      <c r="I186" s="993">
        <f t="shared" si="24"/>
        <v>10</v>
      </c>
      <c r="J186" s="993">
        <f t="shared" si="24"/>
        <v>10</v>
      </c>
      <c r="K186" s="993">
        <f t="shared" si="24"/>
        <v>30</v>
      </c>
      <c r="L186" s="993">
        <f t="shared" si="24"/>
        <v>0</v>
      </c>
      <c r="M186" s="993">
        <f t="shared" si="24"/>
        <v>30</v>
      </c>
      <c r="N186" s="993">
        <f t="shared" si="24"/>
        <v>10</v>
      </c>
      <c r="O186"/>
      <c r="P186"/>
      <c r="Q186"/>
    </row>
    <row r="187" spans="1:16347" s="414" customFormat="1">
      <c r="A187"/>
      <c r="B187"/>
      <c r="C187" s="363"/>
      <c r="D187"/>
      <c r="E187" s="2503"/>
      <c r="F187" s="366"/>
      <c r="G187" s="366" t="s">
        <v>5</v>
      </c>
      <c r="H187" s="366"/>
      <c r="I187" s="366"/>
      <c r="J187" s="366"/>
      <c r="K187" s="366" t="s">
        <v>5</v>
      </c>
      <c r="L187" s="366"/>
      <c r="M187" s="366"/>
      <c r="N187" s="366"/>
      <c r="O187"/>
      <c r="P187"/>
      <c r="Q187"/>
      <c r="R187" s="1237"/>
      <c r="S187" s="1237"/>
      <c r="T187" s="1237"/>
      <c r="U187" s="1237"/>
      <c r="V187" s="1237"/>
      <c r="W187" s="1237"/>
      <c r="X187" s="1237"/>
      <c r="Y187" s="1237"/>
      <c r="Z187" s="1237"/>
      <c r="AA187" s="1237"/>
      <c r="AB187" s="1237"/>
      <c r="AC187" s="1237"/>
      <c r="AD187" s="1237"/>
      <c r="AE187" s="1237"/>
      <c r="AF187" s="1237"/>
      <c r="AG187" s="1237"/>
      <c r="AH187" s="1237"/>
      <c r="AI187" s="1237"/>
      <c r="AJ187" s="1237"/>
      <c r="AK187" s="1237"/>
      <c r="AL187" s="1237"/>
      <c r="AM187" s="1237"/>
      <c r="AN187" s="1237"/>
      <c r="AO187" s="1237"/>
      <c r="AP187" s="1237"/>
      <c r="AQ187" s="1237"/>
      <c r="AR187" s="1237"/>
      <c r="AS187" s="1237"/>
      <c r="AT187" s="1237"/>
      <c r="AU187" s="1237"/>
      <c r="AV187" s="1237"/>
      <c r="AW187" s="1237"/>
      <c r="AX187" s="1237"/>
      <c r="AY187" s="1237"/>
      <c r="AZ187" s="1237"/>
      <c r="BA187" s="1237"/>
      <c r="BB187" s="1237"/>
      <c r="BC187" s="1237"/>
      <c r="BD187" s="1237"/>
      <c r="BE187" s="1237"/>
      <c r="BF187" s="1237"/>
      <c r="BG187" s="1237"/>
      <c r="BH187" s="1237"/>
      <c r="BI187" s="1237"/>
      <c r="BJ187" s="1237"/>
      <c r="BK187" s="1237"/>
      <c r="BL187" s="1237"/>
      <c r="BM187" s="1237"/>
      <c r="BN187" s="1237"/>
      <c r="BO187" s="1237"/>
      <c r="BP187" s="1237"/>
      <c r="BQ187" s="1237"/>
      <c r="BR187" s="1237"/>
      <c r="BS187" s="1237"/>
      <c r="BT187" s="1237"/>
      <c r="BU187" s="1237"/>
      <c r="BV187" s="1237"/>
      <c r="BW187" s="1237"/>
      <c r="BX187" s="1237"/>
      <c r="BY187" s="1237"/>
      <c r="BZ187" s="1237"/>
      <c r="CA187" s="1237"/>
      <c r="CB187" s="1237"/>
      <c r="CC187" s="1237"/>
      <c r="CD187" s="1237"/>
      <c r="CE187" s="1237"/>
      <c r="CF187" s="1237"/>
      <c r="CG187" s="1237"/>
      <c r="CH187" s="1237"/>
      <c r="CI187" s="1237"/>
      <c r="CJ187" s="1237"/>
      <c r="CK187" s="1237"/>
      <c r="CL187" s="1237"/>
      <c r="CM187" s="1237"/>
      <c r="CN187" s="1237"/>
      <c r="CO187" s="1237"/>
      <c r="CP187" s="1237"/>
      <c r="CQ187" s="1237"/>
      <c r="CR187" s="1237"/>
      <c r="CS187" s="1237"/>
      <c r="CT187" s="1237"/>
      <c r="CU187" s="1237"/>
      <c r="CV187" s="1237"/>
      <c r="CW187" s="1237"/>
      <c r="CX187" s="1237"/>
      <c r="CY187" s="1237"/>
      <c r="CZ187" s="1237"/>
      <c r="DA187" s="1237"/>
      <c r="DB187" s="1237"/>
      <c r="DC187" s="1237"/>
      <c r="DD187" s="1237"/>
      <c r="DE187" s="1237"/>
      <c r="DF187" s="1237"/>
      <c r="DG187" s="1237"/>
      <c r="DH187" s="1237"/>
      <c r="DI187" s="1237"/>
      <c r="DJ187" s="1237"/>
      <c r="DK187" s="1237"/>
      <c r="DL187" s="1237"/>
      <c r="DM187" s="1237"/>
      <c r="DN187" s="1237"/>
      <c r="DO187" s="1237"/>
      <c r="DP187" s="1237"/>
      <c r="DQ187" s="1237"/>
      <c r="DR187" s="1237"/>
      <c r="DS187" s="1237"/>
      <c r="DT187" s="1237"/>
      <c r="DU187" s="1237"/>
      <c r="DV187" s="1237"/>
      <c r="DW187" s="1237"/>
      <c r="DX187" s="1237"/>
      <c r="DY187" s="1237"/>
      <c r="DZ187" s="1237"/>
      <c r="EA187" s="1237"/>
      <c r="EB187" s="1237"/>
      <c r="EC187" s="1237"/>
      <c r="ED187" s="1237"/>
      <c r="EE187" s="1237"/>
      <c r="EF187" s="1237"/>
      <c r="EG187" s="1237"/>
      <c r="EH187" s="1237"/>
      <c r="EI187" s="1237"/>
      <c r="EJ187" s="1237"/>
      <c r="EK187" s="1237"/>
      <c r="EL187" s="1237"/>
      <c r="EM187" s="1237"/>
      <c r="EN187" s="1237"/>
      <c r="EO187" s="1237"/>
      <c r="EP187" s="1237"/>
      <c r="EQ187" s="1237"/>
      <c r="ER187" s="1237"/>
      <c r="ES187" s="1237"/>
      <c r="ET187" s="1237"/>
      <c r="EU187" s="1237"/>
      <c r="EV187" s="1237"/>
      <c r="EW187" s="1237"/>
      <c r="EX187" s="1237"/>
      <c r="EY187" s="1237"/>
      <c r="EZ187" s="1237"/>
      <c r="FA187" s="1237"/>
      <c r="FB187" s="1237"/>
      <c r="FC187" s="1237"/>
      <c r="FD187" s="1237"/>
      <c r="FE187" s="1237"/>
      <c r="FF187" s="1237"/>
      <c r="FG187" s="1237"/>
      <c r="FH187" s="1237"/>
      <c r="FI187" s="1237"/>
      <c r="FJ187" s="1237"/>
      <c r="FK187" s="1237"/>
      <c r="FL187" s="1237"/>
      <c r="FM187" s="1237"/>
      <c r="FN187" s="1237"/>
      <c r="FO187" s="1237"/>
      <c r="FP187" s="1237"/>
      <c r="FQ187" s="1237"/>
      <c r="FR187" s="1237"/>
      <c r="FS187" s="1237"/>
      <c r="FT187" s="1237"/>
      <c r="FU187" s="1237"/>
      <c r="FV187" s="1237"/>
      <c r="FW187" s="1237"/>
      <c r="FX187" s="1237"/>
      <c r="FY187" s="1237"/>
      <c r="FZ187" s="1237"/>
      <c r="GA187" s="1237"/>
      <c r="GB187" s="1237"/>
      <c r="GC187" s="1237"/>
      <c r="GD187" s="1237"/>
      <c r="GE187" s="1237"/>
      <c r="GF187" s="1237"/>
      <c r="GG187" s="1237"/>
      <c r="GH187" s="1237"/>
      <c r="GI187" s="1237"/>
      <c r="GJ187" s="1237"/>
      <c r="GK187" s="1237"/>
      <c r="GL187" s="1237"/>
      <c r="GM187" s="1237"/>
      <c r="GN187" s="1237"/>
      <c r="GO187" s="1237"/>
      <c r="GP187" s="1237"/>
      <c r="GQ187" s="1237"/>
      <c r="GR187" s="1237"/>
      <c r="GS187" s="1237"/>
      <c r="GT187" s="1237"/>
      <c r="GU187" s="1237"/>
      <c r="GV187" s="1237"/>
      <c r="GW187" s="1237"/>
      <c r="GX187" s="1237"/>
      <c r="GY187" s="1237"/>
      <c r="GZ187" s="1237"/>
      <c r="HA187" s="1237"/>
      <c r="HB187" s="1237"/>
      <c r="HC187" s="1237"/>
      <c r="HD187" s="1237"/>
      <c r="HE187" s="1237"/>
      <c r="HF187" s="1237"/>
      <c r="HG187" s="1237"/>
      <c r="HH187" s="1237"/>
      <c r="HI187" s="1237"/>
      <c r="HJ187" s="1237"/>
      <c r="HK187" s="1237"/>
      <c r="HL187" s="1237"/>
      <c r="HM187" s="1237"/>
      <c r="HN187" s="1237"/>
      <c r="HO187" s="1237"/>
      <c r="HP187" s="1237"/>
      <c r="HQ187" s="1237"/>
      <c r="HR187" s="1237"/>
      <c r="HS187" s="1237"/>
      <c r="HT187" s="1237"/>
      <c r="HU187" s="1237"/>
      <c r="HV187" s="1237"/>
      <c r="HW187" s="1237"/>
      <c r="HX187" s="1237"/>
      <c r="HY187" s="1237"/>
      <c r="HZ187" s="1237"/>
      <c r="IA187" s="1237"/>
      <c r="IB187" s="1237"/>
      <c r="IC187" s="1237"/>
      <c r="ID187" s="1237"/>
      <c r="IE187" s="1237"/>
      <c r="IF187" s="1237"/>
      <c r="IG187" s="1237"/>
      <c r="IH187" s="1237"/>
      <c r="II187" s="1237"/>
      <c r="IJ187" s="1237"/>
      <c r="IK187" s="1237"/>
      <c r="IL187" s="1237"/>
      <c r="IM187" s="1237"/>
      <c r="IN187" s="1237"/>
      <c r="IO187" s="1237"/>
      <c r="IP187" s="1237"/>
      <c r="IQ187" s="1237"/>
      <c r="IR187" s="1237"/>
      <c r="IS187" s="1237"/>
      <c r="IT187" s="1237"/>
      <c r="IU187" s="1237"/>
      <c r="IV187" s="1237"/>
      <c r="IW187" s="1237"/>
      <c r="IX187" s="1237"/>
      <c r="IY187" s="1237"/>
      <c r="IZ187" s="1237"/>
      <c r="JA187" s="1237"/>
      <c r="JB187" s="1237"/>
      <c r="JC187" s="1237"/>
      <c r="JD187" s="1237"/>
      <c r="JE187" s="1237"/>
      <c r="JF187" s="1237"/>
      <c r="JG187" s="1237"/>
      <c r="JH187" s="1237"/>
      <c r="JI187" s="1237"/>
      <c r="JJ187" s="1237"/>
      <c r="JK187" s="1237"/>
      <c r="JL187" s="1237"/>
      <c r="JM187" s="1237"/>
      <c r="JN187" s="1237"/>
      <c r="JO187" s="1237"/>
      <c r="JP187" s="1237"/>
      <c r="JQ187" s="1237"/>
      <c r="JR187" s="1237"/>
      <c r="JS187" s="1237"/>
      <c r="JT187" s="1237"/>
      <c r="JU187" s="1237"/>
      <c r="JV187" s="1237"/>
      <c r="JW187" s="1237"/>
      <c r="JX187" s="1237"/>
      <c r="JY187" s="1237"/>
      <c r="JZ187" s="1237"/>
      <c r="KA187" s="1237"/>
      <c r="KB187" s="1237"/>
      <c r="KC187" s="1237"/>
      <c r="KD187" s="1237"/>
      <c r="KE187" s="1237"/>
      <c r="KF187" s="1237"/>
      <c r="KG187" s="1237"/>
      <c r="KH187" s="1237"/>
      <c r="KI187" s="1237"/>
      <c r="KJ187" s="1237"/>
      <c r="KK187" s="1237"/>
      <c r="KL187" s="1237"/>
      <c r="KM187" s="1237"/>
      <c r="KN187" s="1237"/>
      <c r="KO187" s="1237"/>
      <c r="KP187" s="1237"/>
      <c r="KQ187" s="1237"/>
      <c r="KR187" s="1237"/>
      <c r="KS187" s="1237"/>
      <c r="KT187" s="1237"/>
      <c r="KU187" s="1237"/>
      <c r="KV187" s="1237"/>
      <c r="KW187" s="1237"/>
      <c r="KX187" s="1237"/>
      <c r="KY187" s="1237"/>
      <c r="KZ187" s="1237"/>
      <c r="LA187" s="1237"/>
      <c r="LB187" s="1237"/>
      <c r="LC187" s="1237"/>
      <c r="LD187" s="1237"/>
      <c r="LE187" s="1237"/>
      <c r="LF187" s="1237"/>
      <c r="LG187" s="1237"/>
      <c r="LH187" s="1237"/>
      <c r="LI187" s="1237"/>
      <c r="LJ187" s="1237"/>
      <c r="LK187" s="1237"/>
      <c r="LL187" s="1237"/>
      <c r="LM187" s="1237"/>
      <c r="LN187" s="1237"/>
      <c r="LO187" s="1237"/>
      <c r="LP187" s="1237"/>
      <c r="LQ187" s="1237"/>
      <c r="LR187" s="1237"/>
      <c r="LS187" s="1237"/>
      <c r="LT187" s="1237"/>
      <c r="LU187" s="1237"/>
      <c r="LV187" s="1237"/>
      <c r="LW187" s="1237"/>
      <c r="LX187" s="1237"/>
      <c r="LY187" s="1237"/>
      <c r="LZ187" s="1237"/>
      <c r="MA187" s="1237"/>
      <c r="MB187" s="1237"/>
      <c r="MC187" s="1237"/>
      <c r="MD187" s="1237"/>
      <c r="ME187" s="1237"/>
      <c r="MF187" s="1237"/>
      <c r="MG187" s="1237"/>
      <c r="MH187" s="1237"/>
      <c r="MI187" s="1237"/>
      <c r="MJ187" s="1237"/>
      <c r="MK187" s="1237"/>
      <c r="ML187" s="1237"/>
      <c r="MM187" s="1237"/>
      <c r="MN187" s="1237"/>
      <c r="MO187" s="1237"/>
      <c r="MP187" s="1237"/>
      <c r="MQ187" s="1237"/>
      <c r="MR187" s="1237"/>
      <c r="MS187" s="1237"/>
      <c r="MT187" s="1237"/>
      <c r="MU187" s="1237"/>
      <c r="MV187" s="1237"/>
      <c r="MW187" s="1237"/>
      <c r="MX187" s="1237"/>
      <c r="MY187" s="1237"/>
      <c r="MZ187" s="1237"/>
      <c r="NA187" s="1237"/>
      <c r="NB187" s="1237"/>
      <c r="NC187" s="1237"/>
      <c r="ND187" s="1237"/>
      <c r="NE187" s="1237"/>
      <c r="NF187" s="1237"/>
      <c r="NG187" s="1237"/>
      <c r="NH187" s="1237"/>
      <c r="NI187" s="1237"/>
      <c r="NJ187" s="1237"/>
      <c r="NK187" s="1237"/>
      <c r="NL187" s="1237"/>
      <c r="NM187" s="1237"/>
      <c r="NN187" s="1237"/>
      <c r="NO187" s="1237"/>
      <c r="NP187" s="1237"/>
      <c r="NQ187" s="1237"/>
      <c r="NR187" s="1237"/>
      <c r="NS187" s="1237"/>
      <c r="NT187" s="1237"/>
      <c r="NU187" s="1237"/>
      <c r="NV187" s="1237"/>
      <c r="NW187" s="1237"/>
      <c r="NX187" s="1237"/>
      <c r="NY187" s="1237"/>
      <c r="NZ187" s="1237"/>
      <c r="OA187" s="1237"/>
      <c r="OB187" s="1237"/>
      <c r="OC187" s="1237"/>
      <c r="OD187" s="1237"/>
      <c r="OE187" s="1237"/>
      <c r="OF187" s="1237"/>
      <c r="OG187" s="1237"/>
      <c r="OH187" s="1237"/>
      <c r="OI187" s="1237"/>
      <c r="OJ187" s="1237"/>
      <c r="OK187" s="1237"/>
      <c r="OL187" s="1237"/>
      <c r="OM187" s="1237"/>
      <c r="ON187" s="1237"/>
      <c r="OO187" s="1237"/>
      <c r="OP187" s="1237"/>
      <c r="OQ187" s="1237"/>
      <c r="OR187" s="1237"/>
      <c r="OS187" s="1237"/>
      <c r="OT187" s="1237"/>
      <c r="OU187" s="1237"/>
      <c r="OV187" s="1237"/>
      <c r="OW187" s="1237"/>
      <c r="OX187" s="1237"/>
      <c r="OY187" s="1237"/>
      <c r="OZ187" s="1237"/>
      <c r="PA187" s="1237"/>
      <c r="PB187" s="1237"/>
      <c r="PC187" s="1237"/>
      <c r="PD187" s="1237"/>
      <c r="PE187" s="1237"/>
      <c r="PF187" s="1237"/>
      <c r="PG187" s="1237"/>
      <c r="PH187" s="1237"/>
      <c r="PI187" s="1237"/>
      <c r="PJ187" s="1237"/>
      <c r="PK187" s="1237"/>
      <c r="PL187" s="1237"/>
      <c r="PM187" s="1237"/>
      <c r="PN187" s="1237"/>
      <c r="PO187" s="1237"/>
      <c r="PP187" s="1237"/>
      <c r="PQ187" s="1237"/>
      <c r="PR187" s="1237"/>
      <c r="PS187" s="1237"/>
      <c r="PT187" s="1237"/>
      <c r="PU187" s="1237"/>
      <c r="PV187" s="1237"/>
      <c r="PW187" s="1237"/>
      <c r="PX187" s="1237"/>
      <c r="PY187" s="1237"/>
      <c r="PZ187" s="1237"/>
      <c r="QA187" s="1237"/>
      <c r="QB187" s="1237"/>
      <c r="QC187" s="1237"/>
      <c r="QD187" s="1237"/>
      <c r="QE187" s="1237"/>
      <c r="QF187" s="1237"/>
      <c r="QG187" s="1237"/>
      <c r="QH187" s="1237"/>
      <c r="QI187" s="1237"/>
      <c r="QJ187" s="1237"/>
      <c r="QK187" s="1237"/>
      <c r="QL187" s="1237"/>
      <c r="QM187" s="1237"/>
      <c r="QN187" s="1237"/>
      <c r="QO187" s="1237"/>
      <c r="QP187" s="1237"/>
      <c r="QQ187" s="1237"/>
      <c r="QR187" s="1237"/>
      <c r="QS187" s="1237"/>
      <c r="QT187" s="1237"/>
      <c r="QU187" s="1237"/>
      <c r="QV187" s="1237"/>
      <c r="QW187" s="1237"/>
      <c r="QX187" s="1237"/>
      <c r="QY187" s="1237"/>
      <c r="QZ187" s="1237"/>
      <c r="RA187" s="1237"/>
      <c r="RB187" s="1237"/>
      <c r="RC187" s="1237"/>
      <c r="RD187" s="1237"/>
      <c r="RE187" s="1237"/>
      <c r="RF187" s="1237"/>
      <c r="RG187" s="1237"/>
      <c r="RH187" s="1237"/>
      <c r="RI187" s="1237"/>
      <c r="RJ187" s="1237"/>
      <c r="RK187" s="1237"/>
      <c r="RL187" s="1237"/>
      <c r="RM187" s="1237"/>
      <c r="RN187" s="1237"/>
      <c r="RO187" s="1237"/>
      <c r="RP187" s="1237"/>
      <c r="RQ187" s="1237"/>
      <c r="RR187" s="1237"/>
      <c r="RS187" s="1237"/>
      <c r="RT187" s="1237"/>
      <c r="RU187" s="1237"/>
      <c r="RV187" s="1237"/>
      <c r="RW187" s="1237"/>
      <c r="RX187" s="1237"/>
      <c r="RY187" s="1237"/>
      <c r="RZ187" s="1237"/>
      <c r="SA187" s="1237"/>
      <c r="SB187" s="1237"/>
      <c r="SC187" s="1237"/>
      <c r="SD187" s="1237"/>
      <c r="SE187" s="1237"/>
      <c r="SF187" s="1237"/>
      <c r="SG187" s="1237"/>
      <c r="SH187" s="1237"/>
      <c r="SI187" s="1237"/>
      <c r="SJ187" s="1237"/>
      <c r="SK187" s="1237"/>
      <c r="SL187" s="1237"/>
      <c r="SM187" s="1237"/>
      <c r="SN187" s="1237"/>
      <c r="SO187" s="1237"/>
      <c r="SP187" s="1237"/>
      <c r="SQ187" s="1237"/>
      <c r="SR187" s="1237"/>
      <c r="SS187" s="1237"/>
      <c r="ST187" s="1237"/>
      <c r="SU187" s="1237"/>
      <c r="SV187" s="1237"/>
      <c r="SW187" s="1237"/>
      <c r="SX187" s="1237"/>
      <c r="SY187" s="1237"/>
      <c r="SZ187" s="1237"/>
      <c r="TA187" s="1237"/>
      <c r="TB187" s="1237"/>
      <c r="TC187" s="1237"/>
      <c r="TD187" s="1237"/>
      <c r="TE187" s="1237"/>
      <c r="TF187" s="1237"/>
      <c r="TG187" s="1237"/>
      <c r="TH187" s="1237"/>
      <c r="TI187" s="1237"/>
      <c r="TJ187" s="1237"/>
      <c r="TK187" s="1237"/>
      <c r="TL187" s="1237"/>
      <c r="TM187" s="1237"/>
      <c r="TN187" s="1237"/>
      <c r="TO187" s="1237"/>
      <c r="TP187" s="1237"/>
      <c r="TQ187" s="1237"/>
      <c r="TR187" s="1237"/>
      <c r="TS187" s="1237"/>
      <c r="TT187" s="1237"/>
      <c r="TU187" s="1237"/>
      <c r="TV187" s="1237"/>
      <c r="TW187" s="1237"/>
      <c r="TX187" s="1237"/>
      <c r="TY187" s="1237"/>
      <c r="TZ187" s="1237"/>
      <c r="UA187" s="1237"/>
      <c r="UB187" s="1237"/>
      <c r="UC187" s="1237"/>
      <c r="UD187" s="1237"/>
      <c r="UE187" s="1237"/>
      <c r="UF187" s="1237"/>
      <c r="UG187" s="1237"/>
      <c r="UH187" s="1237"/>
      <c r="UI187" s="1237"/>
      <c r="UJ187" s="1237"/>
      <c r="UK187" s="1237"/>
      <c r="UL187" s="1237"/>
      <c r="UM187" s="1237"/>
      <c r="UN187" s="1237"/>
      <c r="UO187" s="1237"/>
      <c r="UP187" s="1237"/>
      <c r="UQ187" s="1237"/>
      <c r="UR187" s="1237"/>
      <c r="US187" s="1237"/>
      <c r="UT187" s="1237"/>
      <c r="UU187" s="1237"/>
      <c r="UV187" s="1237"/>
      <c r="UW187" s="1237"/>
      <c r="UX187" s="1237"/>
      <c r="UY187" s="1237"/>
      <c r="UZ187" s="1237"/>
      <c r="VA187" s="1237"/>
      <c r="VB187" s="1237"/>
      <c r="VC187" s="1237"/>
      <c r="VD187" s="1237"/>
      <c r="VE187" s="1237"/>
      <c r="VF187" s="1237"/>
      <c r="VG187" s="1237"/>
      <c r="VH187" s="1237"/>
      <c r="VI187" s="1237"/>
      <c r="VJ187" s="1237"/>
      <c r="VK187" s="1237"/>
      <c r="VL187" s="1237"/>
      <c r="VM187" s="1237"/>
      <c r="VN187" s="1237"/>
      <c r="VO187" s="1237"/>
      <c r="VP187" s="1237"/>
      <c r="VQ187" s="1237"/>
      <c r="VR187" s="1237"/>
      <c r="VS187" s="1237"/>
      <c r="VT187" s="1237"/>
      <c r="VU187" s="1237"/>
      <c r="VV187" s="1237"/>
      <c r="VW187" s="1237"/>
      <c r="VX187" s="1237"/>
      <c r="VY187" s="1237"/>
      <c r="VZ187" s="1237"/>
      <c r="WA187" s="1237"/>
      <c r="WB187" s="1237"/>
      <c r="WC187" s="1237"/>
      <c r="WD187" s="1237"/>
      <c r="WE187" s="1237"/>
      <c r="WF187" s="1237"/>
      <c r="WG187" s="1237"/>
      <c r="WH187" s="1237"/>
      <c r="WI187" s="1237"/>
      <c r="WJ187" s="1237"/>
      <c r="WK187" s="1237"/>
      <c r="WL187" s="1237"/>
      <c r="WM187" s="1237"/>
      <c r="WN187" s="1237"/>
      <c r="WO187" s="1237"/>
      <c r="WP187" s="1237"/>
      <c r="WQ187" s="1237"/>
      <c r="WR187" s="1237"/>
      <c r="WS187" s="1237"/>
      <c r="WT187" s="1237"/>
      <c r="WU187" s="1237"/>
      <c r="WV187" s="1237"/>
      <c r="WW187" s="1237"/>
      <c r="WX187" s="1237"/>
      <c r="WY187" s="1237"/>
      <c r="WZ187" s="1237"/>
      <c r="XA187" s="1237"/>
      <c r="XB187" s="1237"/>
      <c r="XC187" s="1237"/>
      <c r="XD187" s="1237"/>
      <c r="XE187" s="1237"/>
      <c r="XF187" s="1237"/>
      <c r="XG187" s="1237"/>
      <c r="XH187" s="1237"/>
      <c r="XI187" s="1237"/>
      <c r="XJ187" s="1237"/>
      <c r="XK187" s="1237"/>
      <c r="XL187" s="1237"/>
      <c r="XM187" s="1237"/>
      <c r="XN187" s="1237"/>
      <c r="XO187" s="1237"/>
      <c r="XP187" s="1237"/>
      <c r="XQ187" s="1237"/>
      <c r="XR187" s="1237"/>
      <c r="XS187" s="1237"/>
      <c r="XT187" s="1237"/>
      <c r="XU187" s="1237"/>
      <c r="XV187" s="1237"/>
      <c r="XW187" s="1237"/>
      <c r="XX187" s="1237"/>
      <c r="XY187" s="1237"/>
      <c r="XZ187" s="1237"/>
      <c r="YA187" s="1237"/>
      <c r="YB187" s="1237"/>
      <c r="YC187" s="1237"/>
      <c r="YD187" s="1237"/>
      <c r="YE187" s="1237"/>
      <c r="YF187" s="1237"/>
      <c r="YG187" s="1237"/>
      <c r="YH187" s="1237"/>
      <c r="YI187" s="1237"/>
      <c r="YJ187" s="1237"/>
      <c r="YK187" s="1237"/>
      <c r="YL187" s="1237"/>
      <c r="YM187" s="1237"/>
      <c r="YN187" s="1237"/>
      <c r="YO187" s="1237"/>
      <c r="YP187" s="1237"/>
      <c r="YQ187" s="1237"/>
      <c r="YR187" s="1237"/>
      <c r="YS187" s="1237"/>
      <c r="YT187" s="1237"/>
      <c r="YU187" s="1237"/>
      <c r="YV187" s="1237"/>
      <c r="YW187" s="1237"/>
      <c r="YX187" s="1237"/>
      <c r="YY187" s="1237"/>
      <c r="YZ187" s="1237"/>
      <c r="ZA187" s="1237"/>
      <c r="ZB187" s="1237"/>
      <c r="ZC187" s="1237"/>
      <c r="ZD187" s="1237"/>
      <c r="ZE187" s="1237"/>
      <c r="ZF187" s="1237"/>
      <c r="ZG187" s="1237"/>
      <c r="ZH187" s="1237"/>
      <c r="ZI187" s="1237"/>
      <c r="ZJ187" s="1237"/>
      <c r="ZK187" s="1237"/>
      <c r="ZL187" s="1237"/>
      <c r="ZM187" s="1237"/>
      <c r="ZN187" s="1237"/>
      <c r="ZO187" s="1237"/>
      <c r="ZP187" s="1237"/>
      <c r="ZQ187" s="1237"/>
      <c r="ZR187" s="1237"/>
      <c r="ZS187" s="1237"/>
      <c r="ZT187" s="1237"/>
      <c r="ZU187" s="1237"/>
      <c r="ZV187" s="1237"/>
      <c r="ZW187" s="1237"/>
      <c r="ZX187" s="1237"/>
      <c r="ZY187" s="1237"/>
      <c r="ZZ187" s="1237"/>
      <c r="AAA187" s="1237"/>
      <c r="AAB187" s="1237"/>
      <c r="AAC187" s="1237"/>
      <c r="AAD187" s="1237"/>
      <c r="AAE187" s="1237"/>
      <c r="AAF187" s="1237"/>
      <c r="AAG187" s="1237"/>
      <c r="AAH187" s="1237"/>
      <c r="AAI187" s="1237"/>
      <c r="AAJ187" s="1237"/>
      <c r="AAK187" s="1237"/>
      <c r="AAL187" s="1237"/>
      <c r="AAM187" s="1237"/>
      <c r="AAN187" s="1237"/>
      <c r="AAO187" s="1237"/>
      <c r="AAP187" s="1237"/>
      <c r="AAQ187" s="1237"/>
      <c r="AAR187" s="1237"/>
      <c r="AAS187" s="1237"/>
      <c r="AAT187" s="1237"/>
      <c r="AAU187" s="1237"/>
      <c r="AAV187" s="1237"/>
      <c r="AAW187" s="1237"/>
      <c r="AAX187" s="1237"/>
      <c r="AAY187" s="1237"/>
      <c r="AAZ187" s="1237"/>
      <c r="ABA187" s="1237"/>
      <c r="ABB187" s="1237"/>
      <c r="ABC187" s="1237"/>
      <c r="ABD187" s="1237"/>
      <c r="ABE187" s="1237"/>
      <c r="ABF187" s="1237"/>
      <c r="ABG187" s="1237"/>
      <c r="ABH187" s="1237"/>
      <c r="ABI187" s="1237"/>
      <c r="ABJ187" s="1237"/>
      <c r="ABK187" s="1237"/>
      <c r="ABL187" s="1237"/>
      <c r="ABM187" s="1237"/>
      <c r="ABN187" s="1237"/>
      <c r="ABO187" s="1237"/>
      <c r="ABP187" s="1237"/>
      <c r="ABQ187" s="1237"/>
      <c r="ABR187" s="1237"/>
      <c r="ABS187" s="1237"/>
      <c r="ABT187" s="1237"/>
      <c r="ABU187" s="1237"/>
      <c r="ABV187" s="1237"/>
      <c r="ABW187" s="1237"/>
      <c r="ABX187" s="1237"/>
      <c r="ABY187" s="1237"/>
      <c r="ABZ187" s="1237"/>
      <c r="ACA187" s="1237"/>
      <c r="ACB187" s="1237"/>
      <c r="ACC187" s="1237"/>
      <c r="ACD187" s="1237"/>
      <c r="ACE187" s="1237"/>
      <c r="ACF187" s="1237"/>
      <c r="ACG187" s="1237"/>
      <c r="ACH187" s="1237"/>
      <c r="ACI187" s="1237"/>
      <c r="ACJ187" s="1237"/>
      <c r="ACK187" s="1237"/>
      <c r="ACL187" s="1237"/>
      <c r="ACM187" s="1237"/>
      <c r="ACN187" s="1237"/>
      <c r="ACO187" s="1237"/>
      <c r="ACP187" s="1237"/>
      <c r="ACQ187" s="1237"/>
      <c r="ACR187" s="1237"/>
      <c r="ACS187" s="1237"/>
      <c r="ACT187" s="1237"/>
      <c r="ACU187" s="1237"/>
      <c r="ACV187" s="1237"/>
      <c r="ACW187" s="1237"/>
      <c r="ACX187" s="1237"/>
      <c r="ACY187" s="1237"/>
      <c r="ACZ187" s="1237"/>
      <c r="ADA187" s="1237"/>
      <c r="ADB187" s="1237"/>
      <c r="ADC187" s="1237"/>
      <c r="ADD187" s="1237"/>
      <c r="ADE187" s="1237"/>
      <c r="ADF187" s="1237"/>
      <c r="ADG187" s="1237"/>
      <c r="ADH187" s="1237"/>
      <c r="ADI187" s="1237"/>
      <c r="ADJ187" s="1237"/>
      <c r="ADK187" s="1237"/>
      <c r="ADL187" s="1237"/>
      <c r="ADM187" s="1237"/>
      <c r="ADN187" s="1237"/>
      <c r="ADO187" s="1237"/>
      <c r="ADP187" s="1237"/>
      <c r="ADQ187" s="1237"/>
      <c r="ADR187" s="1237"/>
      <c r="ADS187" s="1237"/>
      <c r="ADT187" s="1237"/>
      <c r="ADU187" s="1237"/>
      <c r="ADV187" s="1237"/>
      <c r="ADW187" s="1237"/>
      <c r="ADX187" s="1237"/>
      <c r="ADY187" s="1237"/>
      <c r="ADZ187" s="1237"/>
      <c r="AEA187" s="1237"/>
      <c r="AEB187" s="1237"/>
      <c r="AEC187" s="1237"/>
      <c r="AED187" s="1237"/>
      <c r="AEE187" s="1237"/>
      <c r="AEF187" s="1237"/>
      <c r="AEG187" s="1237"/>
      <c r="AEH187" s="1237"/>
      <c r="AEI187" s="1237"/>
      <c r="AEJ187" s="1237"/>
      <c r="AEK187" s="1237"/>
      <c r="AEL187" s="1237"/>
      <c r="AEM187" s="1237"/>
      <c r="AEN187" s="1237"/>
      <c r="AEO187" s="1237"/>
      <c r="AEP187" s="1237"/>
      <c r="AEQ187" s="1237"/>
      <c r="AER187" s="1237"/>
      <c r="AES187" s="1237"/>
      <c r="AET187" s="1237"/>
      <c r="AEU187" s="1237"/>
      <c r="AEV187" s="1237"/>
      <c r="AEW187" s="1237"/>
      <c r="AEX187" s="1237"/>
      <c r="AEY187" s="1237"/>
      <c r="AEZ187" s="1237"/>
      <c r="AFA187" s="1237"/>
      <c r="AFB187" s="1237"/>
      <c r="AFC187" s="1237"/>
      <c r="AFD187" s="1237"/>
      <c r="AFE187" s="1237"/>
      <c r="AFF187" s="1237"/>
      <c r="AFG187" s="1237"/>
      <c r="AFH187" s="1237"/>
      <c r="AFI187" s="1237"/>
      <c r="AFJ187" s="1237"/>
      <c r="AFK187" s="1237"/>
      <c r="AFL187" s="1237"/>
      <c r="AFM187" s="1237"/>
      <c r="AFN187" s="1237"/>
      <c r="AFO187" s="1237"/>
      <c r="AFP187" s="1237"/>
      <c r="AFQ187" s="1237"/>
      <c r="AFR187" s="1237"/>
      <c r="AFS187" s="1237"/>
      <c r="AFT187" s="1237"/>
      <c r="AFU187" s="1237"/>
      <c r="AFV187" s="1237"/>
      <c r="AFW187" s="1237"/>
      <c r="AFX187" s="1237"/>
      <c r="AFY187" s="1237"/>
      <c r="AFZ187" s="1237"/>
      <c r="AGA187" s="1237"/>
      <c r="AGB187" s="1237"/>
      <c r="AGC187" s="1237"/>
      <c r="AGD187" s="1237"/>
      <c r="AGE187" s="1237"/>
      <c r="AGF187" s="1237"/>
      <c r="AGG187" s="1237"/>
      <c r="AGH187" s="1237"/>
      <c r="AGI187" s="1237"/>
      <c r="AGJ187" s="1237"/>
      <c r="AGK187" s="1237"/>
      <c r="AGL187" s="1237"/>
      <c r="AGM187" s="1237"/>
      <c r="AGN187" s="1237"/>
      <c r="AGO187" s="1237"/>
      <c r="AGP187" s="1237"/>
      <c r="AGQ187" s="1237"/>
      <c r="AGR187" s="1237"/>
      <c r="AGS187" s="1237"/>
      <c r="AGT187" s="1237"/>
      <c r="AGU187" s="1237"/>
      <c r="AGV187" s="1237"/>
      <c r="AGW187" s="1237"/>
      <c r="AGX187" s="1237"/>
      <c r="AGY187" s="1237"/>
      <c r="AGZ187" s="1237"/>
      <c r="AHA187" s="1237"/>
      <c r="AHB187" s="1237"/>
      <c r="AHC187" s="1237"/>
      <c r="AHD187" s="1237"/>
      <c r="AHE187" s="1237"/>
      <c r="AHF187" s="1237"/>
      <c r="AHG187" s="1237"/>
      <c r="AHH187" s="1237"/>
      <c r="AHI187" s="1237"/>
      <c r="AHJ187" s="1237"/>
      <c r="AHK187" s="1237"/>
      <c r="AHL187" s="1237"/>
      <c r="AHM187" s="1237"/>
      <c r="AHN187" s="1237"/>
      <c r="AHO187" s="1237"/>
      <c r="AHP187" s="1237"/>
      <c r="AHQ187" s="1237"/>
      <c r="AHR187" s="1237"/>
      <c r="AHS187" s="1237"/>
      <c r="AHT187" s="1237"/>
      <c r="AHU187" s="1237"/>
      <c r="AHV187" s="1237"/>
      <c r="AHW187" s="1237"/>
      <c r="AHX187" s="1237"/>
      <c r="AHY187" s="1237"/>
      <c r="AHZ187" s="1237"/>
      <c r="AIA187" s="1237"/>
      <c r="AIB187" s="1237"/>
      <c r="AIC187" s="1237"/>
      <c r="AID187" s="1237"/>
      <c r="AIE187" s="1237"/>
      <c r="AIF187" s="1237"/>
      <c r="AIG187" s="1237"/>
      <c r="AIH187" s="1237"/>
      <c r="AII187" s="1237"/>
      <c r="AIJ187" s="1237"/>
      <c r="AIK187" s="1237"/>
      <c r="AIL187" s="1237"/>
      <c r="AIM187" s="1237"/>
      <c r="AIN187" s="1237"/>
      <c r="AIO187" s="1237"/>
      <c r="AIP187" s="1237"/>
      <c r="AIQ187" s="1237"/>
      <c r="AIR187" s="1237"/>
      <c r="AIS187" s="1237"/>
      <c r="AIT187" s="1237"/>
      <c r="AIU187" s="1237"/>
      <c r="AIV187" s="1237"/>
      <c r="AIW187" s="1237"/>
      <c r="AIX187" s="1237"/>
      <c r="AIY187" s="1237"/>
      <c r="AIZ187" s="1237"/>
      <c r="AJA187" s="1237"/>
      <c r="AJB187" s="1237"/>
      <c r="AJC187" s="1237"/>
      <c r="AJD187" s="1237"/>
      <c r="AJE187" s="1237"/>
      <c r="AJF187" s="1237"/>
      <c r="AJG187" s="1237"/>
      <c r="AJH187" s="1237"/>
      <c r="AJI187" s="1237"/>
      <c r="AJJ187" s="1237"/>
      <c r="AJK187" s="1237"/>
      <c r="AJL187" s="1237"/>
      <c r="AJM187" s="1237"/>
      <c r="AJN187" s="1237"/>
      <c r="AJO187" s="1237"/>
      <c r="AJP187" s="1237"/>
      <c r="AJQ187" s="1237"/>
      <c r="AJR187" s="1237"/>
      <c r="AJS187" s="1237"/>
      <c r="AJT187" s="1237"/>
      <c r="AJU187" s="1237"/>
      <c r="AJV187" s="1237"/>
      <c r="AJW187" s="1237"/>
      <c r="AJX187" s="1237"/>
      <c r="AJY187" s="1237"/>
      <c r="AJZ187" s="1237"/>
      <c r="AKA187" s="1237"/>
      <c r="AKB187" s="1237"/>
      <c r="AKC187" s="1237"/>
      <c r="AKD187" s="1237"/>
      <c r="AKE187" s="1237"/>
      <c r="AKF187" s="1237"/>
      <c r="AKG187" s="1237"/>
      <c r="AKH187" s="1237"/>
      <c r="AKI187" s="1237"/>
      <c r="AKJ187" s="1237"/>
      <c r="AKK187" s="1237"/>
      <c r="AKL187" s="1237"/>
      <c r="AKM187" s="1237"/>
      <c r="AKN187" s="1237"/>
      <c r="AKO187" s="1237"/>
      <c r="AKP187" s="1237"/>
      <c r="AKQ187" s="1237"/>
      <c r="AKR187" s="1237"/>
      <c r="AKS187" s="1237"/>
      <c r="AKT187" s="1237"/>
      <c r="AKU187" s="1237"/>
      <c r="AKV187" s="1237"/>
      <c r="AKW187" s="1237"/>
      <c r="AKX187" s="1237"/>
      <c r="AKY187" s="1237"/>
      <c r="AKZ187" s="1237"/>
      <c r="ALA187" s="1237"/>
      <c r="ALB187" s="1237"/>
      <c r="ALC187" s="1237"/>
      <c r="ALD187" s="1237"/>
      <c r="ALE187" s="1237"/>
      <c r="ALF187" s="1237"/>
      <c r="ALG187" s="1237"/>
      <c r="ALH187" s="1237"/>
      <c r="ALI187" s="1237"/>
      <c r="ALJ187" s="1237"/>
      <c r="ALK187" s="1237"/>
      <c r="ALL187" s="1237"/>
      <c r="ALM187" s="1237"/>
      <c r="ALN187" s="1237"/>
      <c r="ALO187" s="1237"/>
      <c r="ALP187" s="1237"/>
      <c r="ALQ187" s="1237"/>
      <c r="ALR187" s="1237"/>
      <c r="ALS187" s="1237"/>
      <c r="ALT187" s="1237"/>
      <c r="ALU187" s="1237"/>
      <c r="ALV187" s="1237"/>
      <c r="ALW187" s="1237"/>
      <c r="ALX187" s="1237"/>
      <c r="ALY187" s="1237"/>
      <c r="ALZ187" s="1237"/>
      <c r="AMA187" s="1237"/>
      <c r="AMB187" s="1237"/>
      <c r="AMC187" s="1237"/>
      <c r="AMD187" s="1237"/>
      <c r="AME187" s="1237"/>
      <c r="AMF187" s="1237"/>
      <c r="AMG187" s="1237"/>
      <c r="AMH187" s="1237"/>
      <c r="AMI187" s="1237"/>
      <c r="AMJ187" s="1237"/>
      <c r="AMK187" s="1237"/>
      <c r="AML187" s="1237"/>
      <c r="AMM187" s="1237"/>
      <c r="AMN187" s="1237"/>
      <c r="AMO187" s="1237"/>
      <c r="AMP187" s="1237"/>
      <c r="AMQ187" s="1237"/>
      <c r="AMR187" s="1237"/>
      <c r="AMS187" s="1237"/>
      <c r="AMT187" s="1237"/>
      <c r="AMU187" s="1237"/>
      <c r="AMV187" s="1237"/>
      <c r="AMW187" s="1237"/>
      <c r="AMX187" s="1237"/>
      <c r="AMY187" s="1237"/>
      <c r="AMZ187" s="1237"/>
      <c r="ANA187" s="1237"/>
      <c r="ANB187" s="1237"/>
      <c r="ANC187" s="1237"/>
      <c r="AND187" s="1237"/>
      <c r="ANE187" s="1237"/>
      <c r="ANF187" s="1237"/>
      <c r="ANG187" s="1237"/>
      <c r="ANH187" s="1237"/>
      <c r="ANI187" s="1237"/>
      <c r="ANJ187" s="1237"/>
      <c r="ANK187" s="1237"/>
      <c r="ANL187" s="1237"/>
      <c r="ANM187" s="1237"/>
      <c r="ANN187" s="1237"/>
      <c r="ANO187" s="1237"/>
      <c r="ANP187" s="1237"/>
      <c r="ANQ187" s="1237"/>
      <c r="ANR187" s="1237"/>
      <c r="ANS187" s="1237"/>
      <c r="ANT187" s="1237"/>
      <c r="ANU187" s="1237"/>
      <c r="ANV187" s="1237"/>
      <c r="ANW187" s="1237"/>
      <c r="ANX187" s="1237"/>
      <c r="ANY187" s="1237"/>
      <c r="ANZ187" s="1237"/>
      <c r="AOA187" s="1237"/>
      <c r="AOB187" s="1237"/>
      <c r="AOC187" s="1237"/>
      <c r="AOD187" s="1237"/>
      <c r="AOE187" s="1237"/>
      <c r="AOF187" s="1237"/>
      <c r="AOG187" s="1237"/>
      <c r="AOH187" s="1237"/>
      <c r="AOI187" s="1237"/>
      <c r="AOJ187" s="1237"/>
      <c r="AOK187" s="1237"/>
      <c r="AOL187" s="1237"/>
      <c r="AOM187" s="1237"/>
      <c r="AON187" s="1237"/>
      <c r="AOO187" s="1237"/>
      <c r="AOP187" s="1237"/>
      <c r="AOQ187" s="1237"/>
      <c r="AOR187" s="1237"/>
      <c r="AOS187" s="1237"/>
      <c r="AOT187" s="1237"/>
      <c r="AOU187" s="1237"/>
      <c r="AOV187" s="1237"/>
      <c r="AOW187" s="1237"/>
      <c r="AOX187" s="1237"/>
      <c r="AOY187" s="1237"/>
      <c r="AOZ187" s="1237"/>
      <c r="APA187" s="1237"/>
      <c r="APB187" s="1237"/>
      <c r="APC187" s="1237"/>
      <c r="APD187" s="1237"/>
      <c r="APE187" s="1237"/>
      <c r="APF187" s="1237"/>
      <c r="APG187" s="1237"/>
      <c r="APH187" s="1237"/>
      <c r="API187" s="1237"/>
      <c r="APJ187" s="1237"/>
      <c r="APK187" s="1237"/>
      <c r="APL187" s="1237"/>
      <c r="APM187" s="1237"/>
      <c r="APN187" s="1237"/>
      <c r="APO187" s="1237"/>
      <c r="APP187" s="1237"/>
      <c r="APQ187" s="1237"/>
      <c r="APR187" s="1237"/>
      <c r="APS187" s="1237"/>
      <c r="APT187" s="1237"/>
      <c r="APU187" s="1237"/>
      <c r="APV187" s="1237"/>
      <c r="APW187" s="1237"/>
      <c r="APX187" s="1237"/>
      <c r="APY187" s="1237"/>
      <c r="APZ187" s="1237"/>
      <c r="AQA187" s="1237"/>
      <c r="AQB187" s="1237"/>
      <c r="AQC187" s="1237"/>
      <c r="AQD187" s="1237"/>
      <c r="AQE187" s="1237"/>
      <c r="AQF187" s="1237"/>
      <c r="AQG187" s="1237"/>
      <c r="AQH187" s="1237"/>
      <c r="AQI187" s="1237"/>
      <c r="AQJ187" s="1237"/>
      <c r="AQK187" s="1237"/>
      <c r="AQL187" s="1237"/>
      <c r="AQM187" s="1237"/>
      <c r="AQN187" s="1237"/>
      <c r="AQO187" s="1237"/>
      <c r="AQP187" s="1237"/>
      <c r="AQQ187" s="1237"/>
      <c r="AQR187" s="1237"/>
      <c r="AQS187" s="1237"/>
      <c r="AQT187" s="1237"/>
      <c r="AQU187" s="1237"/>
      <c r="AQV187" s="1237"/>
      <c r="AQW187" s="1237"/>
      <c r="AQX187" s="1237"/>
      <c r="AQY187" s="1237"/>
      <c r="AQZ187" s="1237"/>
      <c r="ARA187" s="1237"/>
      <c r="ARB187" s="1237"/>
      <c r="ARC187" s="1237"/>
      <c r="ARD187" s="1237"/>
      <c r="ARE187" s="1237"/>
      <c r="ARF187" s="1237"/>
      <c r="ARG187" s="1237"/>
      <c r="ARH187" s="1237"/>
      <c r="ARI187" s="1237"/>
      <c r="ARJ187" s="1237"/>
      <c r="ARK187" s="1237"/>
      <c r="ARL187" s="1237"/>
      <c r="ARM187" s="1237"/>
      <c r="ARN187" s="1237"/>
      <c r="ARO187" s="1237"/>
      <c r="ARP187" s="1237"/>
      <c r="ARQ187" s="1237"/>
      <c r="ARR187" s="1237"/>
      <c r="ARS187" s="1237"/>
      <c r="ART187" s="1237"/>
      <c r="ARU187" s="1237"/>
      <c r="ARV187" s="1237"/>
      <c r="ARW187" s="1237"/>
      <c r="ARX187" s="1237"/>
      <c r="ARY187" s="1237"/>
      <c r="ARZ187" s="1237"/>
      <c r="ASA187" s="1237"/>
      <c r="ASB187" s="1237"/>
      <c r="ASC187" s="1237"/>
      <c r="ASD187" s="1237"/>
      <c r="ASE187" s="1237"/>
      <c r="ASF187" s="1237"/>
      <c r="ASG187" s="1237"/>
      <c r="ASH187" s="1237"/>
      <c r="ASI187" s="1237"/>
      <c r="ASJ187" s="1237"/>
      <c r="ASK187" s="1237"/>
      <c r="ASL187" s="1237"/>
      <c r="ASM187" s="1237"/>
      <c r="ASN187" s="1237"/>
      <c r="ASO187" s="1237"/>
      <c r="ASP187" s="1237"/>
      <c r="ASQ187" s="1237"/>
      <c r="ASR187" s="1237"/>
      <c r="ASS187" s="1237"/>
      <c r="AST187" s="1237"/>
      <c r="ASU187" s="1237"/>
      <c r="ASV187" s="1237"/>
      <c r="ASW187" s="1237"/>
      <c r="ASX187" s="1237"/>
      <c r="ASY187" s="1237"/>
      <c r="ASZ187" s="1237"/>
      <c r="ATA187" s="1237"/>
      <c r="ATB187" s="1237"/>
      <c r="ATC187" s="1237"/>
      <c r="ATD187" s="1237"/>
      <c r="ATE187" s="1237"/>
      <c r="ATF187" s="1237"/>
      <c r="ATG187" s="1237"/>
      <c r="ATH187" s="1237"/>
      <c r="ATI187" s="1237"/>
      <c r="ATJ187" s="1237"/>
      <c r="ATK187" s="1237"/>
      <c r="ATL187" s="1237"/>
      <c r="ATM187" s="1237"/>
      <c r="ATN187" s="1237"/>
      <c r="ATO187" s="1237"/>
      <c r="ATP187" s="1237"/>
      <c r="ATQ187" s="1237"/>
      <c r="ATR187" s="1237"/>
      <c r="ATS187" s="1237"/>
      <c r="ATT187" s="1237"/>
      <c r="ATU187" s="1237"/>
      <c r="ATV187" s="1237"/>
      <c r="ATW187" s="1237"/>
      <c r="ATX187" s="1237"/>
      <c r="ATY187" s="1237"/>
      <c r="ATZ187" s="1237"/>
      <c r="AUA187" s="1237"/>
      <c r="AUB187" s="1237"/>
      <c r="AUC187" s="1237"/>
      <c r="AUD187" s="1237"/>
      <c r="AUE187" s="1237"/>
      <c r="AUF187" s="1237"/>
      <c r="AUG187" s="1237"/>
      <c r="AUH187" s="1237"/>
      <c r="AUI187" s="1237"/>
      <c r="AUJ187" s="1237"/>
      <c r="AUK187" s="1237"/>
      <c r="AUL187" s="1237"/>
      <c r="AUM187" s="1237"/>
      <c r="AUN187" s="1237"/>
      <c r="AUO187" s="1237"/>
      <c r="AUP187" s="1237"/>
      <c r="AUQ187" s="1237"/>
      <c r="AUR187" s="1237"/>
      <c r="AUS187" s="1237"/>
      <c r="AUT187" s="1237"/>
      <c r="AUU187" s="1237"/>
      <c r="AUV187" s="1237"/>
      <c r="AUW187" s="1237"/>
      <c r="AUX187" s="1237"/>
      <c r="AUY187" s="1237"/>
      <c r="AUZ187" s="1237"/>
      <c r="AVA187" s="1237"/>
      <c r="AVB187" s="1237"/>
      <c r="AVC187" s="1237"/>
      <c r="AVD187" s="1237"/>
      <c r="AVE187" s="1237"/>
      <c r="AVF187" s="1237"/>
      <c r="AVG187" s="1237"/>
      <c r="AVH187" s="1237"/>
      <c r="AVI187" s="1237"/>
      <c r="AVJ187" s="1237"/>
      <c r="AVK187" s="1237"/>
      <c r="AVL187" s="1237"/>
      <c r="AVM187" s="1237"/>
      <c r="AVN187" s="1237"/>
      <c r="AVO187" s="1237"/>
      <c r="AVP187" s="1237"/>
      <c r="AVQ187" s="1237"/>
      <c r="AVR187" s="1237"/>
      <c r="AVS187" s="1237"/>
      <c r="AVT187" s="1237"/>
      <c r="AVU187" s="1237"/>
      <c r="AVV187" s="1237"/>
      <c r="AVW187" s="1237"/>
      <c r="AVX187" s="1237"/>
      <c r="AVY187" s="1237"/>
      <c r="AVZ187" s="1237"/>
      <c r="AWA187" s="1237"/>
      <c r="AWB187" s="1237"/>
      <c r="AWC187" s="1237"/>
      <c r="AWD187" s="1237"/>
      <c r="AWE187" s="1237"/>
      <c r="AWF187" s="1237"/>
      <c r="AWG187" s="1237"/>
      <c r="AWH187" s="1237"/>
      <c r="AWI187" s="1237"/>
      <c r="AWJ187" s="1237"/>
      <c r="AWK187" s="1237"/>
      <c r="AWL187" s="1237"/>
      <c r="AWM187" s="1237"/>
      <c r="AWN187" s="1237"/>
      <c r="AWO187" s="1237"/>
      <c r="AWP187" s="1237"/>
      <c r="AWQ187" s="1237"/>
      <c r="AWR187" s="1237"/>
      <c r="AWS187" s="1237"/>
      <c r="AWT187" s="1237"/>
      <c r="AWU187" s="1237"/>
      <c r="AWV187" s="1237"/>
      <c r="AWW187" s="1237"/>
      <c r="AWX187" s="1237"/>
      <c r="AWY187" s="1237"/>
      <c r="AWZ187" s="1237"/>
      <c r="AXA187" s="1237"/>
      <c r="AXB187" s="1237"/>
      <c r="AXC187" s="1237"/>
      <c r="AXD187" s="1237"/>
      <c r="AXE187" s="1237"/>
      <c r="AXF187" s="1237"/>
      <c r="AXG187" s="1237"/>
      <c r="AXH187" s="1237"/>
      <c r="AXI187" s="1237"/>
      <c r="AXJ187" s="1237"/>
      <c r="AXK187" s="1237"/>
      <c r="AXL187" s="1237"/>
      <c r="AXM187" s="1237"/>
      <c r="AXN187" s="1237"/>
      <c r="AXO187" s="1237"/>
      <c r="AXP187" s="1237"/>
      <c r="AXQ187" s="1237"/>
      <c r="AXR187" s="1237"/>
      <c r="AXS187" s="1237"/>
      <c r="AXT187" s="1237"/>
      <c r="AXU187" s="1237"/>
      <c r="AXV187" s="1237"/>
      <c r="AXW187" s="1237"/>
      <c r="AXX187" s="1237"/>
      <c r="AXY187" s="1237"/>
      <c r="AXZ187" s="1237"/>
      <c r="AYA187" s="1237"/>
      <c r="AYB187" s="1237"/>
      <c r="AYC187" s="1237"/>
      <c r="AYD187" s="1237"/>
      <c r="AYE187" s="1237"/>
      <c r="AYF187" s="1237"/>
      <c r="AYG187" s="1237"/>
      <c r="AYH187" s="1237"/>
      <c r="AYI187" s="1237"/>
      <c r="AYJ187" s="1237"/>
      <c r="AYK187" s="1237"/>
      <c r="AYL187" s="1237"/>
      <c r="AYM187" s="1237"/>
      <c r="AYN187" s="1237"/>
      <c r="AYO187" s="1237"/>
      <c r="AYP187" s="1237"/>
      <c r="AYQ187" s="1237"/>
      <c r="AYR187" s="1237"/>
      <c r="AYS187" s="1237"/>
      <c r="AYT187" s="1237"/>
      <c r="AYU187" s="1237"/>
      <c r="AYV187" s="1237"/>
      <c r="AYW187" s="1237"/>
      <c r="AYX187" s="1237"/>
      <c r="AYY187" s="1237"/>
      <c r="AYZ187" s="1237"/>
      <c r="AZA187" s="1237"/>
      <c r="AZB187" s="1237"/>
      <c r="AZC187" s="1237"/>
      <c r="AZD187" s="1237"/>
      <c r="AZE187" s="1237"/>
      <c r="AZF187" s="1237"/>
      <c r="AZG187" s="1237"/>
      <c r="AZH187" s="1237"/>
      <c r="AZI187" s="1237"/>
      <c r="AZJ187" s="1237"/>
      <c r="AZK187" s="1237"/>
      <c r="AZL187" s="1237"/>
      <c r="AZM187" s="1237"/>
      <c r="AZN187" s="1237"/>
      <c r="AZO187" s="1237"/>
      <c r="AZP187" s="1237"/>
      <c r="AZQ187" s="1237"/>
      <c r="AZR187" s="1237"/>
      <c r="AZS187" s="1237"/>
      <c r="AZT187" s="1237"/>
      <c r="AZU187" s="1237"/>
      <c r="AZV187" s="1237"/>
      <c r="AZW187" s="1237"/>
      <c r="AZX187" s="1237"/>
      <c r="AZY187" s="1237"/>
      <c r="AZZ187" s="1237"/>
      <c r="BAA187" s="1237"/>
      <c r="BAB187" s="1237"/>
      <c r="BAC187" s="1237"/>
      <c r="BAD187" s="1237"/>
      <c r="BAE187" s="1237"/>
      <c r="BAF187" s="1237"/>
      <c r="BAG187" s="1237"/>
      <c r="BAH187" s="1237"/>
      <c r="BAI187" s="1237"/>
      <c r="BAJ187" s="1237"/>
      <c r="BAK187" s="1237"/>
      <c r="BAL187" s="1237"/>
      <c r="BAM187" s="1237"/>
      <c r="BAN187" s="1237"/>
      <c r="BAO187" s="1237"/>
      <c r="BAP187" s="1237"/>
      <c r="BAQ187" s="1237"/>
      <c r="BAR187" s="1237"/>
      <c r="BAS187" s="1237"/>
      <c r="BAT187" s="1237"/>
      <c r="BAU187" s="1237"/>
      <c r="BAV187" s="1237"/>
      <c r="BAW187" s="1237"/>
      <c r="BAX187" s="1237"/>
      <c r="BAY187" s="1237"/>
      <c r="BAZ187" s="1237"/>
      <c r="BBA187" s="1237"/>
      <c r="BBB187" s="1237"/>
      <c r="BBC187" s="1237"/>
      <c r="BBD187" s="1237"/>
      <c r="BBE187" s="1237"/>
      <c r="BBF187" s="1237"/>
      <c r="BBG187" s="1237"/>
      <c r="BBH187" s="1237"/>
      <c r="BBI187" s="1237"/>
      <c r="BBJ187" s="1237"/>
      <c r="BBK187" s="1237"/>
      <c r="BBL187" s="1237"/>
      <c r="BBM187" s="1237"/>
      <c r="BBN187" s="1237"/>
      <c r="BBO187" s="1237"/>
      <c r="BBP187" s="1237"/>
      <c r="BBQ187" s="1237"/>
      <c r="BBR187" s="1237"/>
      <c r="BBS187" s="1237"/>
      <c r="BBT187" s="1237"/>
      <c r="BBU187" s="1237"/>
      <c r="BBV187" s="1237"/>
      <c r="BBW187" s="1237"/>
      <c r="BBX187" s="1237"/>
      <c r="BBY187" s="1237"/>
      <c r="BBZ187" s="1237"/>
      <c r="BCA187" s="1237"/>
      <c r="BCB187" s="1237"/>
      <c r="BCC187" s="1237"/>
      <c r="BCD187" s="1237"/>
      <c r="BCE187" s="1237"/>
      <c r="BCF187" s="1237"/>
      <c r="BCG187" s="1237"/>
      <c r="BCH187" s="1237"/>
      <c r="BCI187" s="1237"/>
      <c r="BCJ187" s="1237"/>
      <c r="BCK187" s="1237"/>
      <c r="BCL187" s="1237"/>
      <c r="BCM187" s="1237"/>
      <c r="BCN187" s="1237"/>
      <c r="BCO187" s="1237"/>
      <c r="BCP187" s="1237"/>
      <c r="BCQ187" s="1237"/>
      <c r="BCR187" s="1237"/>
      <c r="BCS187" s="1237"/>
      <c r="BCT187" s="1237"/>
      <c r="BCU187" s="1237"/>
      <c r="BCV187" s="1237"/>
      <c r="BCW187" s="1237"/>
      <c r="BCX187" s="1237"/>
      <c r="BCY187" s="1237"/>
      <c r="BCZ187" s="1237"/>
      <c r="BDA187" s="1237"/>
      <c r="BDB187" s="1237"/>
      <c r="BDC187" s="1237"/>
      <c r="BDD187" s="1237"/>
      <c r="BDE187" s="1237"/>
      <c r="BDF187" s="1237"/>
      <c r="BDG187" s="1237"/>
      <c r="BDH187" s="1237"/>
      <c r="BDI187" s="1237"/>
      <c r="BDJ187" s="1237"/>
      <c r="BDK187" s="1237"/>
      <c r="BDL187" s="1237"/>
      <c r="BDM187" s="1237"/>
      <c r="BDN187" s="1237"/>
      <c r="BDO187" s="1237"/>
      <c r="BDP187" s="1237"/>
      <c r="BDQ187" s="1237"/>
      <c r="BDR187" s="1237"/>
      <c r="BDS187" s="1237"/>
      <c r="BDT187" s="1237"/>
      <c r="BDU187" s="1237"/>
      <c r="BDV187" s="1237"/>
      <c r="BDW187" s="1237"/>
      <c r="BDX187" s="1237"/>
      <c r="BDY187" s="1237"/>
      <c r="BDZ187" s="1237"/>
      <c r="BEA187" s="1237"/>
      <c r="BEB187" s="1237"/>
      <c r="BEC187" s="1237"/>
      <c r="BED187" s="1237"/>
      <c r="BEE187" s="1237"/>
      <c r="BEF187" s="1237"/>
      <c r="BEG187" s="1237"/>
      <c r="BEH187" s="1237"/>
      <c r="BEI187" s="1237"/>
      <c r="BEJ187" s="1237"/>
      <c r="BEK187" s="1237"/>
      <c r="BEL187" s="1237"/>
      <c r="BEM187" s="1237"/>
      <c r="BEN187" s="1237"/>
      <c r="BEO187" s="1237"/>
      <c r="BEP187" s="1237"/>
      <c r="BEQ187" s="1237"/>
      <c r="BER187" s="1237"/>
      <c r="BES187" s="1237"/>
      <c r="BET187" s="1237"/>
      <c r="BEU187" s="1237"/>
      <c r="BEV187" s="1237"/>
      <c r="BEW187" s="1237"/>
      <c r="BEX187" s="1237"/>
      <c r="BEY187" s="1237"/>
      <c r="BEZ187" s="1237"/>
      <c r="BFA187" s="1237"/>
      <c r="BFB187" s="1237"/>
      <c r="BFC187" s="1237"/>
      <c r="BFD187" s="1237"/>
      <c r="BFE187" s="1237"/>
      <c r="BFF187" s="1237"/>
      <c r="BFG187" s="1237"/>
      <c r="BFH187" s="1237"/>
      <c r="BFI187" s="1237"/>
      <c r="BFJ187" s="1237"/>
      <c r="BFK187" s="1237"/>
      <c r="BFL187" s="1237"/>
      <c r="BFM187" s="1237"/>
      <c r="BFN187" s="1237"/>
      <c r="BFO187" s="1237"/>
      <c r="BFP187" s="1237"/>
      <c r="BFQ187" s="1237"/>
      <c r="BFR187" s="1237"/>
      <c r="BFS187" s="1237"/>
      <c r="BFT187" s="1237"/>
      <c r="BFU187" s="1237"/>
      <c r="BFV187" s="1237"/>
      <c r="BFW187" s="1237"/>
      <c r="BFX187" s="1237"/>
      <c r="BFY187" s="1237"/>
      <c r="BFZ187" s="1237"/>
      <c r="BGA187" s="1237"/>
      <c r="BGB187" s="1237"/>
      <c r="BGC187" s="1237"/>
      <c r="BGD187" s="1237"/>
      <c r="BGE187" s="1237"/>
      <c r="BGF187" s="1237"/>
      <c r="BGG187" s="1237"/>
      <c r="BGH187" s="1237"/>
      <c r="BGI187" s="1237"/>
      <c r="BGJ187" s="1237"/>
      <c r="BGK187" s="1237"/>
      <c r="BGL187" s="1237"/>
      <c r="BGM187" s="1237"/>
      <c r="BGN187" s="1237"/>
      <c r="BGO187" s="1237"/>
      <c r="BGP187" s="1237"/>
      <c r="BGQ187" s="1237"/>
      <c r="BGR187" s="1237"/>
      <c r="BGS187" s="1237"/>
      <c r="BGT187" s="1237"/>
      <c r="BGU187" s="1237"/>
      <c r="BGV187" s="1237"/>
      <c r="BGW187" s="1237"/>
      <c r="BGX187" s="1237"/>
      <c r="BGY187" s="1237"/>
      <c r="BGZ187" s="1237"/>
      <c r="BHA187" s="1237"/>
      <c r="BHB187" s="1237"/>
      <c r="BHC187" s="1237"/>
      <c r="BHD187" s="1237"/>
      <c r="BHE187" s="1237"/>
      <c r="BHF187" s="1237"/>
      <c r="BHG187" s="1237"/>
      <c r="BHH187" s="1237"/>
      <c r="BHI187" s="1237"/>
      <c r="BHJ187" s="1237"/>
      <c r="BHK187" s="1237"/>
      <c r="BHL187" s="1237"/>
      <c r="BHM187" s="1237"/>
      <c r="BHN187" s="1237"/>
      <c r="BHO187" s="1237"/>
      <c r="BHP187" s="1237"/>
      <c r="BHQ187" s="1237"/>
      <c r="BHR187" s="1237"/>
      <c r="BHS187" s="1237"/>
      <c r="BHT187" s="1237"/>
      <c r="BHU187" s="1237"/>
      <c r="BHV187" s="1237"/>
      <c r="BHW187" s="1237"/>
      <c r="BHX187" s="1237"/>
      <c r="BHY187" s="1237"/>
      <c r="BHZ187" s="1237"/>
      <c r="BIA187" s="1237"/>
      <c r="BIB187" s="1237"/>
      <c r="BIC187" s="1237"/>
      <c r="BID187" s="1237"/>
      <c r="BIE187" s="1237"/>
      <c r="BIF187" s="1237"/>
      <c r="BIG187" s="1237"/>
      <c r="BIH187" s="1237"/>
      <c r="BII187" s="1237"/>
      <c r="BIJ187" s="1237"/>
      <c r="BIK187" s="1237"/>
      <c r="BIL187" s="1237"/>
      <c r="BIM187" s="1237"/>
      <c r="BIN187" s="1237"/>
      <c r="BIO187" s="1237"/>
      <c r="BIP187" s="1237"/>
      <c r="BIQ187" s="1237"/>
      <c r="BIR187" s="1237"/>
      <c r="BIS187" s="1237"/>
      <c r="BIT187" s="1237"/>
      <c r="BIU187" s="1237"/>
      <c r="BIV187" s="1237"/>
      <c r="BIW187" s="1237"/>
      <c r="BIX187" s="1237"/>
      <c r="BIY187" s="1237"/>
      <c r="BIZ187" s="1237"/>
      <c r="BJA187" s="1237"/>
      <c r="BJB187" s="1237"/>
      <c r="BJC187" s="1237"/>
      <c r="BJD187" s="1237"/>
      <c r="BJE187" s="1237"/>
      <c r="BJF187" s="1237"/>
      <c r="BJG187" s="1237"/>
      <c r="BJH187" s="1237"/>
      <c r="BJI187" s="1237"/>
      <c r="BJJ187" s="1237"/>
      <c r="BJK187" s="1237"/>
      <c r="BJL187" s="1237"/>
      <c r="BJM187" s="1237"/>
      <c r="BJN187" s="1237"/>
      <c r="BJO187" s="1237"/>
      <c r="BJP187" s="1237"/>
      <c r="BJQ187" s="1237"/>
      <c r="BJR187" s="1237"/>
      <c r="BJS187" s="1237"/>
      <c r="BJT187" s="1237"/>
      <c r="BJU187" s="1237"/>
      <c r="BJV187" s="1237"/>
      <c r="BJW187" s="1237"/>
      <c r="BJX187" s="1237"/>
      <c r="BJY187" s="1237"/>
      <c r="BJZ187" s="1237"/>
      <c r="BKA187" s="1237"/>
      <c r="BKB187" s="1237"/>
      <c r="BKC187" s="1237"/>
      <c r="BKD187" s="1237"/>
      <c r="BKE187" s="1237"/>
      <c r="BKF187" s="1237"/>
      <c r="BKG187" s="1237"/>
      <c r="BKH187" s="1237"/>
      <c r="BKI187" s="1237"/>
      <c r="BKJ187" s="1237"/>
      <c r="BKK187" s="1237"/>
      <c r="BKL187" s="1237"/>
      <c r="BKM187" s="1237"/>
      <c r="BKN187" s="1237"/>
      <c r="BKO187" s="1237"/>
      <c r="BKP187" s="1237"/>
      <c r="BKQ187" s="1237"/>
      <c r="BKR187" s="1237"/>
      <c r="BKS187" s="1237"/>
      <c r="BKT187" s="1237"/>
      <c r="BKU187" s="1237"/>
      <c r="BKV187" s="1237"/>
      <c r="BKW187" s="1237"/>
      <c r="BKX187" s="1237"/>
      <c r="BKY187" s="1237"/>
      <c r="BKZ187" s="1237"/>
      <c r="BLA187" s="1237"/>
      <c r="BLB187" s="1237"/>
      <c r="BLC187" s="1237"/>
      <c r="BLD187" s="1237"/>
      <c r="BLE187" s="1237"/>
      <c r="BLF187" s="1237"/>
      <c r="BLG187" s="1237"/>
      <c r="BLH187" s="1237"/>
      <c r="BLI187" s="1237"/>
      <c r="BLJ187" s="1237"/>
      <c r="BLK187" s="1237"/>
      <c r="BLL187" s="1237"/>
      <c r="BLM187" s="1237"/>
      <c r="BLN187" s="1237"/>
      <c r="BLO187" s="1237"/>
      <c r="BLP187" s="1237"/>
      <c r="BLQ187" s="1237"/>
      <c r="BLR187" s="1237"/>
      <c r="BLS187" s="1237"/>
      <c r="BLT187" s="1237"/>
      <c r="BLU187" s="1237"/>
      <c r="BLV187" s="1237"/>
      <c r="BLW187" s="1237"/>
      <c r="BLX187" s="1237"/>
      <c r="BLY187" s="1237"/>
      <c r="BLZ187" s="1237"/>
      <c r="BMA187" s="1237"/>
      <c r="BMB187" s="1237"/>
      <c r="BMC187" s="1237"/>
      <c r="BMD187" s="1237"/>
      <c r="BME187" s="1237"/>
      <c r="BMF187" s="1237"/>
      <c r="BMG187" s="1237"/>
      <c r="BMH187" s="1237"/>
      <c r="BMI187" s="1237"/>
      <c r="BMJ187" s="1237"/>
      <c r="BMK187" s="1237"/>
      <c r="BML187" s="1237"/>
      <c r="BMM187" s="1237"/>
      <c r="BMN187" s="1237"/>
      <c r="BMO187" s="1237"/>
      <c r="BMP187" s="1237"/>
      <c r="BMQ187" s="1237"/>
      <c r="BMR187" s="1237"/>
      <c r="BMS187" s="1237"/>
      <c r="BMT187" s="1237"/>
      <c r="BMU187" s="1237"/>
      <c r="BMV187" s="1237"/>
      <c r="BMW187" s="1237"/>
      <c r="BMX187" s="1237"/>
      <c r="BMY187" s="1237"/>
      <c r="BMZ187" s="1237"/>
      <c r="BNA187" s="1237"/>
      <c r="BNB187" s="1237"/>
      <c r="BNC187" s="1237"/>
      <c r="BND187" s="1237"/>
      <c r="BNE187" s="1237"/>
      <c r="BNF187" s="1237"/>
      <c r="BNG187" s="1237"/>
      <c r="BNH187" s="1237"/>
      <c r="BNI187" s="1237"/>
      <c r="BNJ187" s="1237"/>
      <c r="BNK187" s="1237"/>
      <c r="BNL187" s="1237"/>
      <c r="BNM187" s="1237"/>
      <c r="BNN187" s="1237"/>
      <c r="BNO187" s="1237"/>
      <c r="BNP187" s="1237"/>
      <c r="BNQ187" s="1237"/>
      <c r="BNR187" s="1237"/>
      <c r="BNS187" s="1237"/>
      <c r="BNT187" s="1237"/>
      <c r="BNU187" s="1237"/>
      <c r="BNV187" s="1237"/>
      <c r="BNW187" s="1237"/>
      <c r="BNX187" s="1237"/>
      <c r="BNY187" s="1237"/>
      <c r="BNZ187" s="1237"/>
      <c r="BOA187" s="1237"/>
      <c r="BOB187" s="1237"/>
      <c r="BOC187" s="1237"/>
      <c r="BOD187" s="1237"/>
      <c r="BOE187" s="1237"/>
      <c r="BOF187" s="1237"/>
      <c r="BOG187" s="1237"/>
      <c r="BOH187" s="1237"/>
      <c r="BOI187" s="1237"/>
      <c r="BOJ187" s="1237"/>
      <c r="BOK187" s="1237"/>
      <c r="BOL187" s="1237"/>
      <c r="BOM187" s="1237"/>
      <c r="BON187" s="1237"/>
      <c r="BOO187" s="1237"/>
      <c r="BOP187" s="1237"/>
      <c r="BOQ187" s="1237"/>
      <c r="BOR187" s="1237"/>
      <c r="BOS187" s="1237"/>
      <c r="BOT187" s="1237"/>
      <c r="BOU187" s="1237"/>
      <c r="BOV187" s="1237"/>
      <c r="BOW187" s="1237"/>
      <c r="BOX187" s="1237"/>
      <c r="BOY187" s="1237"/>
      <c r="BOZ187" s="1237"/>
      <c r="BPA187" s="1237"/>
      <c r="BPB187" s="1237"/>
      <c r="BPC187" s="1237"/>
      <c r="BPD187" s="1237"/>
      <c r="BPE187" s="1237"/>
      <c r="BPF187" s="1237"/>
      <c r="BPG187" s="1237"/>
      <c r="BPH187" s="1237"/>
      <c r="BPI187" s="1237"/>
      <c r="BPJ187" s="1237"/>
      <c r="BPK187" s="1237"/>
      <c r="BPL187" s="1237"/>
      <c r="BPM187" s="1237"/>
      <c r="BPN187" s="1237"/>
      <c r="BPO187" s="1237"/>
      <c r="BPP187" s="1237"/>
      <c r="BPQ187" s="1237"/>
      <c r="BPR187" s="1237"/>
      <c r="BPS187" s="1237"/>
      <c r="BPT187" s="1237"/>
      <c r="BPU187" s="1237"/>
      <c r="BPV187" s="1237"/>
      <c r="BPW187" s="1237"/>
      <c r="BPX187" s="1237"/>
      <c r="BPY187" s="1237"/>
      <c r="BPZ187" s="1237"/>
      <c r="BQA187" s="1237"/>
      <c r="BQB187" s="1237"/>
      <c r="BQC187" s="1237"/>
      <c r="BQD187" s="1237"/>
      <c r="BQE187" s="1237"/>
      <c r="BQF187" s="1237"/>
      <c r="BQG187" s="1237"/>
      <c r="BQH187" s="1237"/>
      <c r="BQI187" s="1237"/>
      <c r="BQJ187" s="1237"/>
      <c r="BQK187" s="1237"/>
      <c r="BQL187" s="1237"/>
      <c r="BQM187" s="1237"/>
      <c r="BQN187" s="1237"/>
      <c r="BQO187" s="1237"/>
      <c r="BQP187" s="1237"/>
      <c r="BQQ187" s="1237"/>
      <c r="BQR187" s="1237"/>
      <c r="BQS187" s="1237"/>
      <c r="BQT187" s="1237"/>
      <c r="BQU187" s="1237"/>
      <c r="BQV187" s="1237"/>
      <c r="BQW187" s="1237"/>
      <c r="BQX187" s="1237"/>
      <c r="BQY187" s="1237"/>
      <c r="BQZ187" s="1237"/>
      <c r="BRA187" s="1237"/>
      <c r="BRB187" s="1237"/>
      <c r="BRC187" s="1237"/>
      <c r="BRD187" s="1237"/>
      <c r="BRE187" s="1237"/>
      <c r="BRF187" s="1237"/>
      <c r="BRG187" s="1237"/>
      <c r="BRH187" s="1237"/>
      <c r="BRI187" s="1237"/>
      <c r="BRJ187" s="1237"/>
      <c r="BRK187" s="1237"/>
      <c r="BRL187" s="1237"/>
      <c r="BRM187" s="1237"/>
      <c r="BRN187" s="1237"/>
      <c r="BRO187" s="1237"/>
      <c r="BRP187" s="1237"/>
      <c r="BRQ187" s="1237"/>
      <c r="BRR187" s="1237"/>
      <c r="BRS187" s="1237"/>
      <c r="BRT187" s="1237"/>
      <c r="BRU187" s="1237"/>
      <c r="BRV187" s="1237"/>
      <c r="BRW187" s="1237"/>
      <c r="BRX187" s="1237"/>
      <c r="BRY187" s="1237"/>
      <c r="BRZ187" s="1237"/>
      <c r="BSA187" s="1237"/>
      <c r="BSB187" s="1237"/>
      <c r="BSC187" s="1237"/>
      <c r="BSD187" s="1237"/>
      <c r="BSE187" s="1237"/>
      <c r="BSF187" s="1237"/>
      <c r="BSG187" s="1237"/>
      <c r="BSH187" s="1237"/>
      <c r="BSI187" s="1237"/>
      <c r="BSJ187" s="1237"/>
      <c r="BSK187" s="1237"/>
      <c r="BSL187" s="1237"/>
      <c r="BSM187" s="1237"/>
      <c r="BSN187" s="1237"/>
      <c r="BSO187" s="1237"/>
      <c r="BSP187" s="1237"/>
      <c r="BSQ187" s="1237"/>
      <c r="BSR187" s="1237"/>
      <c r="BSS187" s="1237"/>
      <c r="BST187" s="1237"/>
      <c r="BSU187" s="1237"/>
      <c r="BSV187" s="1237"/>
      <c r="BSW187" s="1237"/>
      <c r="BSX187" s="1237"/>
      <c r="BSY187" s="1237"/>
      <c r="BSZ187" s="1237"/>
      <c r="BTA187" s="1237"/>
      <c r="BTB187" s="1237"/>
      <c r="BTC187" s="1237"/>
      <c r="BTD187" s="1237"/>
      <c r="BTE187" s="1237"/>
      <c r="BTF187" s="1237"/>
      <c r="BTG187" s="1237"/>
      <c r="BTH187" s="1237"/>
      <c r="BTI187" s="1237"/>
      <c r="BTJ187" s="1237"/>
      <c r="BTK187" s="1237"/>
      <c r="BTL187" s="1237"/>
      <c r="BTM187" s="1237"/>
      <c r="BTN187" s="1237"/>
      <c r="BTO187" s="1237"/>
      <c r="BTP187" s="1237"/>
      <c r="BTQ187" s="1237"/>
      <c r="BTR187" s="1237"/>
      <c r="BTS187" s="1237"/>
      <c r="BTT187" s="1237"/>
      <c r="BTU187" s="1237"/>
      <c r="BTV187" s="1237"/>
      <c r="BTW187" s="1237"/>
      <c r="BTX187" s="1237"/>
      <c r="BTY187" s="1237"/>
      <c r="BTZ187" s="1237"/>
      <c r="BUA187" s="1237"/>
      <c r="BUB187" s="1237"/>
      <c r="BUC187" s="1237"/>
      <c r="BUD187" s="1237"/>
      <c r="BUE187" s="1237"/>
      <c r="BUF187" s="1237"/>
      <c r="BUG187" s="1237"/>
      <c r="BUH187" s="1237"/>
      <c r="BUI187" s="1237"/>
      <c r="BUJ187" s="1237"/>
      <c r="BUK187" s="1237"/>
      <c r="BUL187" s="1237"/>
      <c r="BUM187" s="1237"/>
      <c r="BUN187" s="1237"/>
      <c r="BUO187" s="1237"/>
      <c r="BUP187" s="1237"/>
      <c r="BUQ187" s="1237"/>
      <c r="BUR187" s="1237"/>
      <c r="BUS187" s="1237"/>
      <c r="BUT187" s="1237"/>
      <c r="BUU187" s="1237"/>
      <c r="BUV187" s="1237"/>
      <c r="BUW187" s="1237"/>
      <c r="BUX187" s="1237"/>
      <c r="BUY187" s="1237"/>
      <c r="BUZ187" s="1237"/>
      <c r="BVA187" s="1237"/>
      <c r="BVB187" s="1237"/>
      <c r="BVC187" s="1237"/>
      <c r="BVD187" s="1237"/>
      <c r="BVE187" s="1237"/>
      <c r="BVF187" s="1237"/>
      <c r="BVG187" s="1237"/>
      <c r="BVH187" s="1237"/>
      <c r="BVI187" s="1237"/>
      <c r="BVJ187" s="1237"/>
      <c r="BVK187" s="1237"/>
      <c r="BVL187" s="1237"/>
      <c r="BVM187" s="1237"/>
      <c r="BVN187" s="1237"/>
      <c r="BVO187" s="1237"/>
      <c r="BVP187" s="1237"/>
      <c r="BVQ187" s="1237"/>
      <c r="BVR187" s="1237"/>
      <c r="BVS187" s="1237"/>
      <c r="BVT187" s="1237"/>
      <c r="BVU187" s="1237"/>
      <c r="BVV187" s="1237"/>
      <c r="BVW187" s="1237"/>
      <c r="BVX187" s="1237"/>
      <c r="BVY187" s="1237"/>
      <c r="BVZ187" s="1237"/>
      <c r="BWA187" s="1237"/>
      <c r="BWB187" s="1237"/>
      <c r="BWC187" s="1237"/>
      <c r="BWD187" s="1237"/>
      <c r="BWE187" s="1237"/>
      <c r="BWF187" s="1237"/>
      <c r="BWG187" s="1237"/>
      <c r="BWH187" s="1237"/>
      <c r="BWI187" s="1237"/>
      <c r="BWJ187" s="1237"/>
      <c r="BWK187" s="1237"/>
      <c r="BWL187" s="1237"/>
      <c r="BWM187" s="1237"/>
      <c r="BWN187" s="1237"/>
      <c r="BWO187" s="1237"/>
      <c r="BWP187" s="1237"/>
      <c r="BWQ187" s="1237"/>
      <c r="BWR187" s="1237"/>
      <c r="BWS187" s="1237"/>
      <c r="BWT187" s="1237"/>
      <c r="BWU187" s="1237"/>
      <c r="BWV187" s="1237"/>
      <c r="BWW187" s="1237"/>
      <c r="BWX187" s="1237"/>
      <c r="BWY187" s="1237"/>
      <c r="BWZ187" s="1237"/>
      <c r="BXA187" s="1237"/>
      <c r="BXB187" s="1237"/>
      <c r="BXC187" s="1237"/>
      <c r="BXD187" s="1237"/>
      <c r="BXE187" s="1237"/>
      <c r="BXF187" s="1237"/>
      <c r="BXG187" s="1237"/>
      <c r="BXH187" s="1237"/>
      <c r="BXI187" s="1237"/>
      <c r="BXJ187" s="1237"/>
      <c r="BXK187" s="1237"/>
      <c r="BXL187" s="1237"/>
      <c r="BXM187" s="1237"/>
      <c r="BXN187" s="1237"/>
      <c r="BXO187" s="1237"/>
      <c r="BXP187" s="1237"/>
      <c r="BXQ187" s="1237"/>
      <c r="BXR187" s="1237"/>
      <c r="BXS187" s="1237"/>
      <c r="BXT187" s="1237"/>
      <c r="BXU187" s="1237"/>
      <c r="BXV187" s="1237"/>
      <c r="BXW187" s="1237"/>
      <c r="BXX187" s="1237"/>
      <c r="BXY187" s="1237"/>
      <c r="BXZ187" s="1237"/>
      <c r="BYA187" s="1237"/>
      <c r="BYB187" s="1237"/>
      <c r="BYC187" s="1237"/>
      <c r="BYD187" s="1237"/>
      <c r="BYE187" s="1237"/>
      <c r="BYF187" s="1237"/>
      <c r="BYG187" s="1237"/>
      <c r="BYH187" s="1237"/>
      <c r="BYI187" s="1237"/>
      <c r="BYJ187" s="1237"/>
      <c r="BYK187" s="1237"/>
      <c r="BYL187" s="1237"/>
      <c r="BYM187" s="1237"/>
      <c r="BYN187" s="1237"/>
      <c r="BYO187" s="1237"/>
      <c r="BYP187" s="1237"/>
      <c r="BYQ187" s="1237"/>
      <c r="BYR187" s="1237"/>
      <c r="BYS187" s="1237"/>
      <c r="BYT187" s="1237"/>
      <c r="BYU187" s="1237"/>
      <c r="BYV187" s="1237"/>
      <c r="BYW187" s="1237"/>
      <c r="BYX187" s="1237"/>
      <c r="BYY187" s="1237"/>
      <c r="BYZ187" s="1237"/>
      <c r="BZA187" s="1237"/>
      <c r="BZB187" s="1237"/>
      <c r="BZC187" s="1237"/>
      <c r="BZD187" s="1237"/>
      <c r="BZE187" s="1237"/>
      <c r="BZF187" s="1237"/>
      <c r="BZG187" s="1237"/>
      <c r="BZH187" s="1237"/>
      <c r="BZI187" s="1237"/>
      <c r="BZJ187" s="1237"/>
      <c r="BZK187" s="1237"/>
      <c r="BZL187" s="1237"/>
      <c r="BZM187" s="1237"/>
      <c r="BZN187" s="1237"/>
      <c r="BZO187" s="1237"/>
      <c r="BZP187" s="1237"/>
      <c r="BZQ187" s="1237"/>
      <c r="BZR187" s="1237"/>
      <c r="BZS187" s="1237"/>
      <c r="BZT187" s="1237"/>
      <c r="BZU187" s="1237"/>
      <c r="BZV187" s="1237"/>
      <c r="BZW187" s="1237"/>
      <c r="BZX187" s="1237"/>
      <c r="BZY187" s="1237"/>
      <c r="BZZ187" s="1237"/>
      <c r="CAA187" s="1237"/>
      <c r="CAB187" s="1237"/>
      <c r="CAC187" s="1237"/>
      <c r="CAD187" s="1237"/>
      <c r="CAE187" s="1237"/>
      <c r="CAF187" s="1237"/>
      <c r="CAG187" s="1237"/>
      <c r="CAH187" s="1237"/>
      <c r="CAI187" s="1237"/>
      <c r="CAJ187" s="1237"/>
      <c r="CAK187" s="1237"/>
      <c r="CAL187" s="1237"/>
      <c r="CAM187" s="1237"/>
      <c r="CAN187" s="1237"/>
      <c r="CAO187" s="1237"/>
      <c r="CAP187" s="1237"/>
      <c r="CAQ187" s="1237"/>
      <c r="CAR187" s="1237"/>
      <c r="CAS187" s="1237"/>
      <c r="CAT187" s="1237"/>
      <c r="CAU187" s="1237"/>
      <c r="CAV187" s="1237"/>
      <c r="CAW187" s="1237"/>
      <c r="CAX187" s="1237"/>
      <c r="CAY187" s="1237"/>
      <c r="CAZ187" s="1237"/>
      <c r="CBA187" s="1237"/>
      <c r="CBB187" s="1237"/>
      <c r="CBC187" s="1237"/>
      <c r="CBD187" s="1237"/>
      <c r="CBE187" s="1237"/>
      <c r="CBF187" s="1237"/>
      <c r="CBG187" s="1237"/>
      <c r="CBH187" s="1237"/>
      <c r="CBI187" s="1237"/>
      <c r="CBJ187" s="1237"/>
      <c r="CBK187" s="1237"/>
      <c r="CBL187" s="1237"/>
      <c r="CBM187" s="1237"/>
      <c r="CBN187" s="1237"/>
      <c r="CBO187" s="1237"/>
      <c r="CBP187" s="1237"/>
      <c r="CBQ187" s="1237"/>
      <c r="CBR187" s="1237"/>
      <c r="CBS187" s="1237"/>
      <c r="CBT187" s="1237"/>
      <c r="CBU187" s="1237"/>
      <c r="CBV187" s="1237"/>
      <c r="CBW187" s="1237"/>
      <c r="CBX187" s="1237"/>
      <c r="CBY187" s="1237"/>
      <c r="CBZ187" s="1237"/>
      <c r="CCA187" s="1237"/>
      <c r="CCB187" s="1237"/>
      <c r="CCC187" s="1237"/>
      <c r="CCD187" s="1237"/>
      <c r="CCE187" s="1237"/>
      <c r="CCF187" s="1237"/>
      <c r="CCG187" s="1237"/>
      <c r="CCH187" s="1237"/>
      <c r="CCI187" s="1237"/>
      <c r="CCJ187" s="1237"/>
      <c r="CCK187" s="1237"/>
      <c r="CCL187" s="1237"/>
      <c r="CCM187" s="1237"/>
      <c r="CCN187" s="1237"/>
      <c r="CCO187" s="1237"/>
      <c r="CCP187" s="1237"/>
      <c r="CCQ187" s="1237"/>
      <c r="CCR187" s="1237"/>
      <c r="CCS187" s="1237"/>
      <c r="CCT187" s="1237"/>
      <c r="CCU187" s="1237"/>
      <c r="CCV187" s="1237"/>
      <c r="CCW187" s="1237"/>
      <c r="CCX187" s="1237"/>
      <c r="CCY187" s="1237"/>
      <c r="CCZ187" s="1237"/>
      <c r="CDA187" s="1237"/>
      <c r="CDB187" s="1237"/>
      <c r="CDC187" s="1237"/>
      <c r="CDD187" s="1237"/>
      <c r="CDE187" s="1237"/>
      <c r="CDF187" s="1237"/>
      <c r="CDG187" s="1237"/>
      <c r="CDH187" s="1237"/>
      <c r="CDI187" s="1237"/>
      <c r="CDJ187" s="1237"/>
      <c r="CDK187" s="1237"/>
      <c r="CDL187" s="1237"/>
      <c r="CDM187" s="1237"/>
      <c r="CDN187" s="1237"/>
      <c r="CDO187" s="1237"/>
      <c r="CDP187" s="1237"/>
      <c r="CDQ187" s="1237"/>
      <c r="CDR187" s="1237"/>
      <c r="CDS187" s="1237"/>
      <c r="CDT187" s="1237"/>
      <c r="CDU187" s="1237"/>
      <c r="CDV187" s="1237"/>
      <c r="CDW187" s="1237"/>
      <c r="CDX187" s="1237"/>
      <c r="CDY187" s="1237"/>
      <c r="CDZ187" s="1237"/>
      <c r="CEA187" s="1237"/>
      <c r="CEB187" s="1237"/>
      <c r="CEC187" s="1237"/>
      <c r="CED187" s="1237"/>
      <c r="CEE187" s="1237"/>
      <c r="CEF187" s="1237"/>
      <c r="CEG187" s="1237"/>
      <c r="CEH187" s="1237"/>
      <c r="CEI187" s="1237"/>
      <c r="CEJ187" s="1237"/>
      <c r="CEK187" s="1237"/>
      <c r="CEL187" s="1237"/>
      <c r="CEM187" s="1237"/>
      <c r="CEN187" s="1237"/>
      <c r="CEO187" s="1237"/>
      <c r="CEP187" s="1237"/>
      <c r="CEQ187" s="1237"/>
      <c r="CER187" s="1237"/>
      <c r="CES187" s="1237"/>
      <c r="CET187" s="1237"/>
      <c r="CEU187" s="1237"/>
      <c r="CEV187" s="1237"/>
      <c r="CEW187" s="1237"/>
      <c r="CEX187" s="1237"/>
      <c r="CEY187" s="1237"/>
      <c r="CEZ187" s="1237"/>
      <c r="CFA187" s="1237"/>
      <c r="CFB187" s="1237"/>
      <c r="CFC187" s="1237"/>
      <c r="CFD187" s="1237"/>
      <c r="CFE187" s="1237"/>
      <c r="CFF187" s="1237"/>
      <c r="CFG187" s="1237"/>
      <c r="CFH187" s="1237"/>
      <c r="CFI187" s="1237"/>
      <c r="CFJ187" s="1237"/>
      <c r="CFK187" s="1237"/>
      <c r="CFL187" s="1237"/>
      <c r="CFM187" s="1237"/>
      <c r="CFN187" s="1237"/>
      <c r="CFO187" s="1237"/>
      <c r="CFP187" s="1237"/>
      <c r="CFQ187" s="1237"/>
      <c r="CFR187" s="1237"/>
      <c r="CFS187" s="1237"/>
      <c r="CFT187" s="1237"/>
      <c r="CFU187" s="1237"/>
      <c r="CFV187" s="1237"/>
      <c r="CFW187" s="1237"/>
      <c r="CFX187" s="1237"/>
      <c r="CFY187" s="1237"/>
      <c r="CFZ187" s="1237"/>
      <c r="CGA187" s="1237"/>
      <c r="CGB187" s="1237"/>
      <c r="CGC187" s="1237"/>
      <c r="CGD187" s="1237"/>
      <c r="CGE187" s="1237"/>
      <c r="CGF187" s="1237"/>
      <c r="CGG187" s="1237"/>
      <c r="CGH187" s="1237"/>
      <c r="CGI187" s="1237"/>
      <c r="CGJ187" s="1237"/>
      <c r="CGK187" s="1237"/>
      <c r="CGL187" s="1237"/>
      <c r="CGM187" s="1237"/>
      <c r="CGN187" s="1237"/>
      <c r="CGO187" s="1237"/>
      <c r="CGP187" s="1237"/>
      <c r="CGQ187" s="1237"/>
      <c r="CGR187" s="1237"/>
      <c r="CGS187" s="1237"/>
      <c r="CGT187" s="1237"/>
      <c r="CGU187" s="1237"/>
      <c r="CGV187" s="1237"/>
      <c r="CGW187" s="1237"/>
      <c r="CGX187" s="1237"/>
      <c r="CGY187" s="1237"/>
      <c r="CGZ187" s="1237"/>
      <c r="CHA187" s="1237"/>
      <c r="CHB187" s="1237"/>
      <c r="CHC187" s="1237"/>
      <c r="CHD187" s="1237"/>
      <c r="CHE187" s="1237"/>
      <c r="CHF187" s="1237"/>
      <c r="CHG187" s="1237"/>
      <c r="CHH187" s="1237"/>
      <c r="CHI187" s="1237"/>
      <c r="CHJ187" s="1237"/>
      <c r="CHK187" s="1237"/>
      <c r="CHL187" s="1237"/>
      <c r="CHM187" s="1237"/>
      <c r="CHN187" s="1237"/>
      <c r="CHO187" s="1237"/>
      <c r="CHP187" s="1237"/>
      <c r="CHQ187" s="1237"/>
      <c r="CHR187" s="1237"/>
      <c r="CHS187" s="1237"/>
      <c r="CHT187" s="1237"/>
      <c r="CHU187" s="1237"/>
      <c r="CHV187" s="1237"/>
      <c r="CHW187" s="1237"/>
      <c r="CHX187" s="1237"/>
      <c r="CHY187" s="1237"/>
      <c r="CHZ187" s="1237"/>
      <c r="CIA187" s="1237"/>
      <c r="CIB187" s="1237"/>
      <c r="CIC187" s="1237"/>
      <c r="CID187" s="1237"/>
      <c r="CIE187" s="1237"/>
      <c r="CIF187" s="1237"/>
      <c r="CIG187" s="1237"/>
      <c r="CIH187" s="1237"/>
      <c r="CII187" s="1237"/>
      <c r="CIJ187" s="1237"/>
      <c r="CIK187" s="1237"/>
      <c r="CIL187" s="1237"/>
      <c r="CIM187" s="1237"/>
      <c r="CIN187" s="1237"/>
      <c r="CIO187" s="1237"/>
      <c r="CIP187" s="1237"/>
      <c r="CIQ187" s="1237"/>
      <c r="CIR187" s="1237"/>
      <c r="CIS187" s="1237"/>
      <c r="CIT187" s="1237"/>
      <c r="CIU187" s="1237"/>
      <c r="CIV187" s="1237"/>
      <c r="CIW187" s="1237"/>
      <c r="CIX187" s="1237"/>
      <c r="CIY187" s="1237"/>
      <c r="CIZ187" s="1237"/>
      <c r="CJA187" s="1237"/>
      <c r="CJB187" s="1237"/>
      <c r="CJC187" s="1237"/>
      <c r="CJD187" s="1237"/>
      <c r="CJE187" s="1237"/>
      <c r="CJF187" s="1237"/>
      <c r="CJG187" s="1237"/>
      <c r="CJH187" s="1237"/>
      <c r="CJI187" s="1237"/>
      <c r="CJJ187" s="1237"/>
      <c r="CJK187" s="1237"/>
      <c r="CJL187" s="1237"/>
      <c r="CJM187" s="1237"/>
      <c r="CJN187" s="1237"/>
      <c r="CJO187" s="1237"/>
      <c r="CJP187" s="1237"/>
      <c r="CJQ187" s="1237"/>
      <c r="CJR187" s="1237"/>
      <c r="CJS187" s="1237"/>
      <c r="CJT187" s="1237"/>
      <c r="CJU187" s="1237"/>
      <c r="CJV187" s="1237"/>
      <c r="CJW187" s="1237"/>
      <c r="CJX187" s="1237"/>
      <c r="CJY187" s="1237"/>
      <c r="CJZ187" s="1237"/>
      <c r="CKA187" s="1237"/>
      <c r="CKB187" s="1237"/>
      <c r="CKC187" s="1237"/>
      <c r="CKD187" s="1237"/>
      <c r="CKE187" s="1237"/>
      <c r="CKF187" s="1237"/>
      <c r="CKG187" s="1237"/>
      <c r="CKH187" s="1237"/>
      <c r="CKI187" s="1237"/>
      <c r="CKJ187" s="1237"/>
      <c r="CKK187" s="1237"/>
      <c r="CKL187" s="1237"/>
      <c r="CKM187" s="1237"/>
      <c r="CKN187" s="1237"/>
      <c r="CKO187" s="1237"/>
      <c r="CKP187" s="1237"/>
      <c r="CKQ187" s="1237"/>
      <c r="CKR187" s="1237"/>
      <c r="CKS187" s="1237"/>
      <c r="CKT187" s="1237"/>
      <c r="CKU187" s="1237"/>
      <c r="CKV187" s="1237"/>
      <c r="CKW187" s="1237"/>
      <c r="CKX187" s="1237"/>
      <c r="CKY187" s="1237"/>
      <c r="CKZ187" s="1237"/>
      <c r="CLA187" s="1237"/>
      <c r="CLB187" s="1237"/>
      <c r="CLC187" s="1237"/>
      <c r="CLD187" s="1237"/>
      <c r="CLE187" s="1237"/>
      <c r="CLF187" s="1237"/>
      <c r="CLG187" s="1237"/>
      <c r="CLH187" s="1237"/>
      <c r="CLI187" s="1237"/>
      <c r="CLJ187" s="1237"/>
      <c r="CLK187" s="1237"/>
      <c r="CLL187" s="1237"/>
      <c r="CLM187" s="1237"/>
      <c r="CLN187" s="1237"/>
      <c r="CLO187" s="1237"/>
      <c r="CLP187" s="1237"/>
      <c r="CLQ187" s="1237"/>
      <c r="CLR187" s="1237"/>
      <c r="CLS187" s="1237"/>
      <c r="CLT187" s="1237"/>
      <c r="CLU187" s="1237"/>
      <c r="CLV187" s="1237"/>
      <c r="CLW187" s="1237"/>
      <c r="CLX187" s="1237"/>
      <c r="CLY187" s="1237"/>
      <c r="CLZ187" s="1237"/>
      <c r="CMA187" s="1237"/>
      <c r="CMB187" s="1237"/>
      <c r="CMC187" s="1237"/>
      <c r="CMD187" s="1237"/>
      <c r="CME187" s="1237"/>
      <c r="CMF187" s="1237"/>
      <c r="CMG187" s="1237"/>
      <c r="CMH187" s="1237"/>
      <c r="CMI187" s="1237"/>
      <c r="CMJ187" s="1237"/>
      <c r="CMK187" s="1237"/>
      <c r="CML187" s="1237"/>
      <c r="CMM187" s="1237"/>
      <c r="CMN187" s="1237"/>
      <c r="CMO187" s="1237"/>
      <c r="CMP187" s="1237"/>
      <c r="CMQ187" s="1237"/>
      <c r="CMR187" s="1237"/>
      <c r="CMS187" s="1237"/>
      <c r="CMT187" s="1237"/>
      <c r="CMU187" s="1237"/>
      <c r="CMV187" s="1237"/>
      <c r="CMW187" s="1237"/>
      <c r="CMX187" s="1237"/>
      <c r="CMY187" s="1237"/>
      <c r="CMZ187" s="1237"/>
      <c r="CNA187" s="1237"/>
      <c r="CNB187" s="1237"/>
      <c r="CNC187" s="1237"/>
      <c r="CND187" s="1237"/>
      <c r="CNE187" s="1237"/>
      <c r="CNF187" s="1237"/>
      <c r="CNG187" s="1237"/>
      <c r="CNH187" s="1237"/>
      <c r="CNI187" s="1237"/>
      <c r="CNJ187" s="1237"/>
      <c r="CNK187" s="1237"/>
      <c r="CNL187" s="1237"/>
      <c r="CNM187" s="1237"/>
      <c r="CNN187" s="1237"/>
      <c r="CNO187" s="1237"/>
      <c r="CNP187" s="1237"/>
      <c r="CNQ187" s="1237"/>
      <c r="CNR187" s="1237"/>
      <c r="CNS187" s="1237"/>
      <c r="CNT187" s="1237"/>
      <c r="CNU187" s="1237"/>
      <c r="CNV187" s="1237"/>
      <c r="CNW187" s="1237"/>
      <c r="CNX187" s="1237"/>
      <c r="CNY187" s="1237"/>
      <c r="CNZ187" s="1237"/>
      <c r="COA187" s="1237"/>
      <c r="COB187" s="1237"/>
      <c r="COC187" s="1237"/>
      <c r="COD187" s="1237"/>
      <c r="COE187" s="1237"/>
      <c r="COF187" s="1237"/>
      <c r="COG187" s="1237"/>
      <c r="COH187" s="1237"/>
      <c r="COI187" s="1237"/>
      <c r="COJ187" s="1237"/>
      <c r="COK187" s="1237"/>
      <c r="COL187" s="1237"/>
      <c r="COM187" s="1237"/>
      <c r="CON187" s="1237"/>
      <c r="COO187" s="1237"/>
      <c r="COP187" s="1237"/>
      <c r="COQ187" s="1237"/>
      <c r="COR187" s="1237"/>
      <c r="COS187" s="1237"/>
      <c r="COT187" s="1237"/>
      <c r="COU187" s="1237"/>
      <c r="COV187" s="1237"/>
      <c r="COW187" s="1237"/>
      <c r="COX187" s="1237"/>
      <c r="COY187" s="1237"/>
      <c r="COZ187" s="1237"/>
      <c r="CPA187" s="1237"/>
      <c r="CPB187" s="1237"/>
      <c r="CPC187" s="1237"/>
      <c r="CPD187" s="1237"/>
      <c r="CPE187" s="1237"/>
      <c r="CPF187" s="1237"/>
      <c r="CPG187" s="1237"/>
      <c r="CPH187" s="1237"/>
      <c r="CPI187" s="1237"/>
      <c r="CPJ187" s="1237"/>
      <c r="CPK187" s="1237"/>
      <c r="CPL187" s="1237"/>
      <c r="CPM187" s="1237"/>
      <c r="CPN187" s="1237"/>
      <c r="CPO187" s="1237"/>
      <c r="CPP187" s="1237"/>
      <c r="CPQ187" s="1237"/>
      <c r="CPR187" s="1237"/>
      <c r="CPS187" s="1237"/>
      <c r="CPT187" s="1237"/>
      <c r="CPU187" s="1237"/>
      <c r="CPV187" s="1237"/>
      <c r="CPW187" s="1237"/>
      <c r="CPX187" s="1237"/>
      <c r="CPY187" s="1237"/>
      <c r="CPZ187" s="1237"/>
      <c r="CQA187" s="1237"/>
      <c r="CQB187" s="1237"/>
      <c r="CQC187" s="1237"/>
      <c r="CQD187" s="1237"/>
      <c r="CQE187" s="1237"/>
      <c r="CQF187" s="1237"/>
      <c r="CQG187" s="1237"/>
      <c r="CQH187" s="1237"/>
      <c r="CQI187" s="1237"/>
      <c r="CQJ187" s="1237"/>
      <c r="CQK187" s="1237"/>
      <c r="CQL187" s="1237"/>
      <c r="CQM187" s="1237"/>
      <c r="CQN187" s="1237"/>
      <c r="CQO187" s="1237"/>
      <c r="CQP187" s="1237"/>
      <c r="CQQ187" s="1237"/>
      <c r="CQR187" s="1237"/>
      <c r="CQS187" s="1237"/>
      <c r="CQT187" s="1237"/>
      <c r="CQU187" s="1237"/>
      <c r="CQV187" s="1237"/>
      <c r="CQW187" s="1237"/>
      <c r="CQX187" s="1237"/>
      <c r="CQY187" s="1237"/>
      <c r="CQZ187" s="1237"/>
      <c r="CRA187" s="1237"/>
      <c r="CRB187" s="1237"/>
      <c r="CRC187" s="1237"/>
      <c r="CRD187" s="1237"/>
      <c r="CRE187" s="1237"/>
      <c r="CRF187" s="1237"/>
      <c r="CRG187" s="1237"/>
      <c r="CRH187" s="1237"/>
      <c r="CRI187" s="1237"/>
      <c r="CRJ187" s="1237"/>
      <c r="CRK187" s="1237"/>
      <c r="CRL187" s="1237"/>
      <c r="CRM187" s="1237"/>
      <c r="CRN187" s="1237"/>
      <c r="CRO187" s="1237"/>
      <c r="CRP187" s="1237"/>
      <c r="CRQ187" s="1237"/>
      <c r="CRR187" s="1237"/>
      <c r="CRS187" s="1237"/>
      <c r="CRT187" s="1237"/>
      <c r="CRU187" s="1237"/>
      <c r="CRV187" s="1237"/>
      <c r="CRW187" s="1237"/>
      <c r="CRX187" s="1237"/>
      <c r="CRY187" s="1237"/>
      <c r="CRZ187" s="1237"/>
      <c r="CSA187" s="1237"/>
      <c r="CSB187" s="1237"/>
      <c r="CSC187" s="1237"/>
      <c r="CSD187" s="1237"/>
      <c r="CSE187" s="1237"/>
      <c r="CSF187" s="1237"/>
      <c r="CSG187" s="1237"/>
      <c r="CSH187" s="1237"/>
      <c r="CSI187" s="1237"/>
      <c r="CSJ187" s="1237"/>
      <c r="CSK187" s="1237"/>
      <c r="CSL187" s="1237"/>
      <c r="CSM187" s="1237"/>
      <c r="CSN187" s="1237"/>
      <c r="CSO187" s="1237"/>
      <c r="CSP187" s="1237"/>
      <c r="CSQ187" s="1237"/>
      <c r="CSR187" s="1237"/>
      <c r="CSS187" s="1237"/>
      <c r="CST187" s="1237"/>
      <c r="CSU187" s="1237"/>
      <c r="CSV187" s="1237"/>
      <c r="CSW187" s="1237"/>
      <c r="CSX187" s="1237"/>
      <c r="CSY187" s="1237"/>
      <c r="CSZ187" s="1237"/>
      <c r="CTA187" s="1237"/>
      <c r="CTB187" s="1237"/>
      <c r="CTC187" s="1237"/>
      <c r="CTD187" s="1237"/>
      <c r="CTE187" s="1237"/>
      <c r="CTF187" s="1237"/>
      <c r="CTG187" s="1237"/>
      <c r="CTH187" s="1237"/>
      <c r="CTI187" s="1237"/>
      <c r="CTJ187" s="1237"/>
      <c r="CTK187" s="1237"/>
      <c r="CTL187" s="1237"/>
      <c r="CTM187" s="1237"/>
      <c r="CTN187" s="1237"/>
      <c r="CTO187" s="1237"/>
      <c r="CTP187" s="1237"/>
      <c r="CTQ187" s="1237"/>
      <c r="CTR187" s="1237"/>
      <c r="CTS187" s="1237"/>
      <c r="CTT187" s="1237"/>
      <c r="CTU187" s="1237"/>
      <c r="CTV187" s="1237"/>
      <c r="CTW187" s="1237"/>
      <c r="CTX187" s="1237"/>
      <c r="CTY187" s="1237"/>
      <c r="CTZ187" s="1237"/>
      <c r="CUA187" s="1237"/>
      <c r="CUB187" s="1237"/>
      <c r="CUC187" s="1237"/>
      <c r="CUD187" s="1237"/>
      <c r="CUE187" s="1237"/>
      <c r="CUF187" s="1237"/>
      <c r="CUG187" s="1237"/>
      <c r="CUH187" s="1237"/>
      <c r="CUI187" s="1237"/>
      <c r="CUJ187" s="1237"/>
      <c r="CUK187" s="1237"/>
      <c r="CUL187" s="1237"/>
      <c r="CUM187" s="1237"/>
      <c r="CUN187" s="1237"/>
      <c r="CUO187" s="1237"/>
      <c r="CUP187" s="1237"/>
      <c r="CUQ187" s="1237"/>
      <c r="CUR187" s="1237"/>
      <c r="CUS187" s="1237"/>
      <c r="CUT187" s="1237"/>
      <c r="CUU187" s="1237"/>
      <c r="CUV187" s="1237"/>
      <c r="CUW187" s="1237"/>
      <c r="CUX187" s="1237"/>
      <c r="CUY187" s="1237"/>
      <c r="CUZ187" s="1237"/>
      <c r="CVA187" s="1237"/>
      <c r="CVB187" s="1237"/>
      <c r="CVC187" s="1237"/>
      <c r="CVD187" s="1237"/>
      <c r="CVE187" s="1237"/>
      <c r="CVF187" s="1237"/>
      <c r="CVG187" s="1237"/>
      <c r="CVH187" s="1237"/>
      <c r="CVI187" s="1237"/>
      <c r="CVJ187" s="1237"/>
      <c r="CVK187" s="1237"/>
      <c r="CVL187" s="1237"/>
      <c r="CVM187" s="1237"/>
      <c r="CVN187" s="1237"/>
      <c r="CVO187" s="1237"/>
      <c r="CVP187" s="1237"/>
      <c r="CVQ187" s="1237"/>
      <c r="CVR187" s="1237"/>
      <c r="CVS187" s="1237"/>
      <c r="CVT187" s="1237"/>
      <c r="CVU187" s="1237"/>
      <c r="CVV187" s="1237"/>
      <c r="CVW187" s="1237"/>
      <c r="CVX187" s="1237"/>
      <c r="CVY187" s="1237"/>
      <c r="CVZ187" s="1237"/>
      <c r="CWA187" s="1237"/>
      <c r="CWB187" s="1237"/>
      <c r="CWC187" s="1237"/>
      <c r="CWD187" s="1237"/>
      <c r="CWE187" s="1237"/>
      <c r="CWF187" s="1237"/>
      <c r="CWG187" s="1237"/>
      <c r="CWH187" s="1237"/>
      <c r="CWI187" s="1237"/>
      <c r="CWJ187" s="1237"/>
      <c r="CWK187" s="1237"/>
      <c r="CWL187" s="1237"/>
      <c r="CWM187" s="1237"/>
      <c r="CWN187" s="1237"/>
      <c r="CWO187" s="1237"/>
      <c r="CWP187" s="1237"/>
      <c r="CWQ187" s="1237"/>
      <c r="CWR187" s="1237"/>
      <c r="CWS187" s="1237"/>
      <c r="CWT187" s="1237"/>
      <c r="CWU187" s="1237"/>
      <c r="CWV187" s="1237"/>
      <c r="CWW187" s="1237"/>
      <c r="CWX187" s="1237"/>
      <c r="CWY187" s="1237"/>
      <c r="CWZ187" s="1237"/>
      <c r="CXA187" s="1237"/>
      <c r="CXB187" s="1237"/>
      <c r="CXC187" s="1237"/>
      <c r="CXD187" s="1237"/>
      <c r="CXE187" s="1237"/>
      <c r="CXF187" s="1237"/>
      <c r="CXG187" s="1237"/>
      <c r="CXH187" s="1237"/>
      <c r="CXI187" s="1237"/>
      <c r="CXJ187" s="1237"/>
      <c r="CXK187" s="1237"/>
      <c r="CXL187" s="1237"/>
      <c r="CXM187" s="1237"/>
      <c r="CXN187" s="1237"/>
      <c r="CXO187" s="1237"/>
      <c r="CXP187" s="1237"/>
      <c r="CXQ187" s="1237"/>
      <c r="CXR187" s="1237"/>
      <c r="CXS187" s="1237"/>
      <c r="CXT187" s="1237"/>
      <c r="CXU187" s="1237"/>
      <c r="CXV187" s="1237"/>
      <c r="CXW187" s="1237"/>
      <c r="CXX187" s="1237"/>
      <c r="CXY187" s="1237"/>
      <c r="CXZ187" s="1237"/>
      <c r="CYA187" s="1237"/>
      <c r="CYB187" s="1237"/>
      <c r="CYC187" s="1237"/>
      <c r="CYD187" s="1237"/>
      <c r="CYE187" s="1237"/>
      <c r="CYF187" s="1237"/>
      <c r="CYG187" s="1237"/>
      <c r="CYH187" s="1237"/>
      <c r="CYI187" s="1237"/>
      <c r="CYJ187" s="1237"/>
      <c r="CYK187" s="1237"/>
      <c r="CYL187" s="1237"/>
      <c r="CYM187" s="1237"/>
      <c r="CYN187" s="1237"/>
      <c r="CYO187" s="1237"/>
      <c r="CYP187" s="1237"/>
      <c r="CYQ187" s="1237"/>
      <c r="CYR187" s="1237"/>
      <c r="CYS187" s="1237"/>
      <c r="CYT187" s="1237"/>
      <c r="CYU187" s="1237"/>
      <c r="CYV187" s="1237"/>
      <c r="CYW187" s="1237"/>
      <c r="CYX187" s="1237"/>
      <c r="CYY187" s="1237"/>
      <c r="CYZ187" s="1237"/>
      <c r="CZA187" s="1237"/>
      <c r="CZB187" s="1237"/>
      <c r="CZC187" s="1237"/>
      <c r="CZD187" s="1237"/>
      <c r="CZE187" s="1237"/>
      <c r="CZF187" s="1237"/>
      <c r="CZG187" s="1237"/>
      <c r="CZH187" s="1237"/>
      <c r="CZI187" s="1237"/>
      <c r="CZJ187" s="1237"/>
      <c r="CZK187" s="1237"/>
      <c r="CZL187" s="1237"/>
      <c r="CZM187" s="1237"/>
      <c r="CZN187" s="1237"/>
      <c r="CZO187" s="1237"/>
      <c r="CZP187" s="1237"/>
      <c r="CZQ187" s="1237"/>
      <c r="CZR187" s="1237"/>
      <c r="CZS187" s="1237"/>
      <c r="CZT187" s="1237"/>
      <c r="CZU187" s="1237"/>
      <c r="CZV187" s="1237"/>
      <c r="CZW187" s="1237"/>
      <c r="CZX187" s="1237"/>
      <c r="CZY187" s="1237"/>
      <c r="CZZ187" s="1237"/>
      <c r="DAA187" s="1237"/>
      <c r="DAB187" s="1237"/>
      <c r="DAC187" s="1237"/>
      <c r="DAD187" s="1237"/>
      <c r="DAE187" s="1237"/>
      <c r="DAF187" s="1237"/>
      <c r="DAG187" s="1237"/>
      <c r="DAH187" s="1237"/>
      <c r="DAI187" s="1237"/>
      <c r="DAJ187" s="1237"/>
      <c r="DAK187" s="1237"/>
      <c r="DAL187" s="1237"/>
      <c r="DAM187" s="1237"/>
      <c r="DAN187" s="1237"/>
      <c r="DAO187" s="1237"/>
      <c r="DAP187" s="1237"/>
      <c r="DAQ187" s="1237"/>
      <c r="DAR187" s="1237"/>
      <c r="DAS187" s="1237"/>
      <c r="DAT187" s="1237"/>
      <c r="DAU187" s="1237"/>
      <c r="DAV187" s="1237"/>
      <c r="DAW187" s="1237"/>
      <c r="DAX187" s="1237"/>
      <c r="DAY187" s="1237"/>
      <c r="DAZ187" s="1237"/>
      <c r="DBA187" s="1237"/>
      <c r="DBB187" s="1237"/>
      <c r="DBC187" s="1237"/>
      <c r="DBD187" s="1237"/>
      <c r="DBE187" s="1237"/>
      <c r="DBF187" s="1237"/>
      <c r="DBG187" s="1237"/>
      <c r="DBH187" s="1237"/>
      <c r="DBI187" s="1237"/>
      <c r="DBJ187" s="1237"/>
      <c r="DBK187" s="1237"/>
      <c r="DBL187" s="1237"/>
      <c r="DBM187" s="1237"/>
      <c r="DBN187" s="1237"/>
      <c r="DBO187" s="1237"/>
      <c r="DBP187" s="1237"/>
      <c r="DBQ187" s="1237"/>
      <c r="DBR187" s="1237"/>
      <c r="DBS187" s="1237"/>
      <c r="DBT187" s="1237"/>
      <c r="DBU187" s="1237"/>
      <c r="DBV187" s="1237"/>
      <c r="DBW187" s="1237"/>
      <c r="DBX187" s="1237"/>
      <c r="DBY187" s="1237"/>
      <c r="DBZ187" s="1237"/>
      <c r="DCA187" s="1237"/>
      <c r="DCB187" s="1237"/>
      <c r="DCC187" s="1237"/>
      <c r="DCD187" s="1237"/>
      <c r="DCE187" s="1237"/>
      <c r="DCF187" s="1237"/>
      <c r="DCG187" s="1237"/>
      <c r="DCH187" s="1237"/>
      <c r="DCI187" s="1237"/>
      <c r="DCJ187" s="1237"/>
      <c r="DCK187" s="1237"/>
      <c r="DCL187" s="1237"/>
      <c r="DCM187" s="1237"/>
      <c r="DCN187" s="1237"/>
      <c r="DCO187" s="1237"/>
      <c r="DCP187" s="1237"/>
      <c r="DCQ187" s="1237"/>
      <c r="DCR187" s="1237"/>
      <c r="DCS187" s="1237"/>
      <c r="DCT187" s="1237"/>
      <c r="DCU187" s="1237"/>
      <c r="DCV187" s="1237"/>
      <c r="DCW187" s="1237"/>
      <c r="DCX187" s="1237"/>
      <c r="DCY187" s="1237"/>
      <c r="DCZ187" s="1237"/>
      <c r="DDA187" s="1237"/>
      <c r="DDB187" s="1237"/>
      <c r="DDC187" s="1237"/>
      <c r="DDD187" s="1237"/>
      <c r="DDE187" s="1237"/>
      <c r="DDF187" s="1237"/>
      <c r="DDG187" s="1237"/>
      <c r="DDH187" s="1237"/>
      <c r="DDI187" s="1237"/>
      <c r="DDJ187" s="1237"/>
      <c r="DDK187" s="1237"/>
      <c r="DDL187" s="1237"/>
      <c r="DDM187" s="1237"/>
      <c r="DDN187" s="1237"/>
      <c r="DDO187" s="1237"/>
      <c r="DDP187" s="1237"/>
      <c r="DDQ187" s="1237"/>
      <c r="DDR187" s="1237"/>
      <c r="DDS187" s="1237"/>
      <c r="DDT187" s="1237"/>
      <c r="DDU187" s="1237"/>
      <c r="DDV187" s="1237"/>
      <c r="DDW187" s="1237"/>
      <c r="DDX187" s="1237"/>
      <c r="DDY187" s="1237"/>
      <c r="DDZ187" s="1237"/>
      <c r="DEA187" s="1237"/>
      <c r="DEB187" s="1237"/>
      <c r="DEC187" s="1237"/>
      <c r="DED187" s="1237"/>
      <c r="DEE187" s="1237"/>
      <c r="DEF187" s="1237"/>
      <c r="DEG187" s="1237"/>
      <c r="DEH187" s="1237"/>
      <c r="DEI187" s="1237"/>
      <c r="DEJ187" s="1237"/>
      <c r="DEK187" s="1237"/>
      <c r="DEL187" s="1237"/>
      <c r="DEM187" s="1237"/>
      <c r="DEN187" s="1237"/>
      <c r="DEO187" s="1237"/>
      <c r="DEP187" s="1237"/>
      <c r="DEQ187" s="1237"/>
      <c r="DER187" s="1237"/>
      <c r="DES187" s="1237"/>
      <c r="DET187" s="1237"/>
      <c r="DEU187" s="1237"/>
      <c r="DEV187" s="1237"/>
      <c r="DEW187" s="1237"/>
      <c r="DEX187" s="1237"/>
      <c r="DEY187" s="1237"/>
      <c r="DEZ187" s="1237"/>
      <c r="DFA187" s="1237"/>
      <c r="DFB187" s="1237"/>
      <c r="DFC187" s="1237"/>
      <c r="DFD187" s="1237"/>
      <c r="DFE187" s="1237"/>
      <c r="DFF187" s="1237"/>
      <c r="DFG187" s="1237"/>
      <c r="DFH187" s="1237"/>
      <c r="DFI187" s="1237"/>
      <c r="DFJ187" s="1237"/>
      <c r="DFK187" s="1237"/>
      <c r="DFL187" s="1237"/>
      <c r="DFM187" s="1237"/>
      <c r="DFN187" s="1237"/>
      <c r="DFO187" s="1237"/>
      <c r="DFP187" s="1237"/>
      <c r="DFQ187" s="1237"/>
      <c r="DFR187" s="1237"/>
      <c r="DFS187" s="1237"/>
      <c r="DFT187" s="1237"/>
      <c r="DFU187" s="1237"/>
      <c r="DFV187" s="1237"/>
      <c r="DFW187" s="1237"/>
      <c r="DFX187" s="1237"/>
      <c r="DFY187" s="1237"/>
      <c r="DFZ187" s="1237"/>
      <c r="DGA187" s="1237"/>
      <c r="DGB187" s="1237"/>
      <c r="DGC187" s="1237"/>
      <c r="DGD187" s="1237"/>
      <c r="DGE187" s="1237"/>
      <c r="DGF187" s="1237"/>
      <c r="DGG187" s="1237"/>
      <c r="DGH187" s="1237"/>
      <c r="DGI187" s="1237"/>
      <c r="DGJ187" s="1237"/>
      <c r="DGK187" s="1237"/>
      <c r="DGL187" s="1237"/>
      <c r="DGM187" s="1237"/>
      <c r="DGN187" s="1237"/>
      <c r="DGO187" s="1237"/>
      <c r="DGP187" s="1237"/>
      <c r="DGQ187" s="1237"/>
      <c r="DGR187" s="1237"/>
      <c r="DGS187" s="1237"/>
      <c r="DGT187" s="1237"/>
      <c r="DGU187" s="1237"/>
      <c r="DGV187" s="1237"/>
      <c r="DGW187" s="1237"/>
      <c r="DGX187" s="1237"/>
      <c r="DGY187" s="1237"/>
      <c r="DGZ187" s="1237"/>
      <c r="DHA187" s="1237"/>
      <c r="DHB187" s="1237"/>
      <c r="DHC187" s="1237"/>
      <c r="DHD187" s="1237"/>
      <c r="DHE187" s="1237"/>
      <c r="DHF187" s="1237"/>
      <c r="DHG187" s="1237"/>
      <c r="DHH187" s="1237"/>
      <c r="DHI187" s="1237"/>
      <c r="DHJ187" s="1237"/>
      <c r="DHK187" s="1237"/>
      <c r="DHL187" s="1237"/>
      <c r="DHM187" s="1237"/>
      <c r="DHN187" s="1237"/>
      <c r="DHO187" s="1237"/>
      <c r="DHP187" s="1237"/>
      <c r="DHQ187" s="1237"/>
      <c r="DHR187" s="1237"/>
      <c r="DHS187" s="1237"/>
      <c r="DHT187" s="1237"/>
      <c r="DHU187" s="1237"/>
      <c r="DHV187" s="1237"/>
      <c r="DHW187" s="1237"/>
      <c r="DHX187" s="1237"/>
      <c r="DHY187" s="1237"/>
      <c r="DHZ187" s="1237"/>
      <c r="DIA187" s="1237"/>
      <c r="DIB187" s="1237"/>
      <c r="DIC187" s="1237"/>
      <c r="DID187" s="1237"/>
      <c r="DIE187" s="1237"/>
      <c r="DIF187" s="1237"/>
      <c r="DIG187" s="1237"/>
      <c r="DIH187" s="1237"/>
      <c r="DII187" s="1237"/>
      <c r="DIJ187" s="1237"/>
      <c r="DIK187" s="1237"/>
      <c r="DIL187" s="1237"/>
      <c r="DIM187" s="1237"/>
      <c r="DIN187" s="1237"/>
      <c r="DIO187" s="1237"/>
      <c r="DIP187" s="1237"/>
      <c r="DIQ187" s="1237"/>
      <c r="DIR187" s="1237"/>
      <c r="DIS187" s="1237"/>
      <c r="DIT187" s="1237"/>
      <c r="DIU187" s="1237"/>
      <c r="DIV187" s="1237"/>
      <c r="DIW187" s="1237"/>
      <c r="DIX187" s="1237"/>
      <c r="DIY187" s="1237"/>
      <c r="DIZ187" s="1237"/>
      <c r="DJA187" s="1237"/>
      <c r="DJB187" s="1237"/>
      <c r="DJC187" s="1237"/>
      <c r="DJD187" s="1237"/>
      <c r="DJE187" s="1237"/>
      <c r="DJF187" s="1237"/>
      <c r="DJG187" s="1237"/>
      <c r="DJH187" s="1237"/>
      <c r="DJI187" s="1237"/>
      <c r="DJJ187" s="1237"/>
      <c r="DJK187" s="1237"/>
      <c r="DJL187" s="1237"/>
      <c r="DJM187" s="1237"/>
      <c r="DJN187" s="1237"/>
      <c r="DJO187" s="1237"/>
      <c r="DJP187" s="1237"/>
      <c r="DJQ187" s="1237"/>
      <c r="DJR187" s="1237"/>
      <c r="DJS187" s="1237"/>
      <c r="DJT187" s="1237"/>
      <c r="DJU187" s="1237"/>
      <c r="DJV187" s="1237"/>
      <c r="DJW187" s="1237"/>
      <c r="DJX187" s="1237"/>
      <c r="DJY187" s="1237"/>
      <c r="DJZ187" s="1237"/>
      <c r="DKA187" s="1237"/>
      <c r="DKB187" s="1237"/>
      <c r="DKC187" s="1237"/>
      <c r="DKD187" s="1237"/>
      <c r="DKE187" s="1237"/>
      <c r="DKF187" s="1237"/>
      <c r="DKG187" s="1237"/>
      <c r="DKH187" s="1237"/>
      <c r="DKI187" s="1237"/>
      <c r="DKJ187" s="1237"/>
      <c r="DKK187" s="1237"/>
      <c r="DKL187" s="1237"/>
      <c r="DKM187" s="1237"/>
      <c r="DKN187" s="1237"/>
      <c r="DKO187" s="1237"/>
      <c r="DKP187" s="1237"/>
      <c r="DKQ187" s="1237"/>
      <c r="DKR187" s="1237"/>
      <c r="DKS187" s="1237"/>
      <c r="DKT187" s="1237"/>
      <c r="DKU187" s="1237"/>
      <c r="DKV187" s="1237"/>
      <c r="DKW187" s="1237"/>
      <c r="DKX187" s="1237"/>
      <c r="DKY187" s="1237"/>
      <c r="DKZ187" s="1237"/>
      <c r="DLA187" s="1237"/>
      <c r="DLB187" s="1237"/>
      <c r="DLC187" s="1237"/>
      <c r="DLD187" s="1237"/>
      <c r="DLE187" s="1237"/>
      <c r="DLF187" s="1237"/>
      <c r="DLG187" s="1237"/>
      <c r="DLH187" s="1237"/>
      <c r="DLI187" s="1237"/>
      <c r="DLJ187" s="1237"/>
      <c r="DLK187" s="1237"/>
      <c r="DLL187" s="1237"/>
      <c r="DLM187" s="1237"/>
      <c r="DLN187" s="1237"/>
      <c r="DLO187" s="1237"/>
      <c r="DLP187" s="1237"/>
      <c r="DLQ187" s="1237"/>
      <c r="DLR187" s="1237"/>
      <c r="DLS187" s="1237"/>
      <c r="DLT187" s="1237"/>
      <c r="DLU187" s="1237"/>
      <c r="DLV187" s="1237"/>
      <c r="DLW187" s="1237"/>
      <c r="DLX187" s="1237"/>
      <c r="DLY187" s="1237"/>
      <c r="DLZ187" s="1237"/>
      <c r="DMA187" s="1237"/>
      <c r="DMB187" s="1237"/>
      <c r="DMC187" s="1237"/>
      <c r="DMD187" s="1237"/>
      <c r="DME187" s="1237"/>
      <c r="DMF187" s="1237"/>
      <c r="DMG187" s="1237"/>
      <c r="DMH187" s="1237"/>
      <c r="DMI187" s="1237"/>
      <c r="DMJ187" s="1237"/>
      <c r="DMK187" s="1237"/>
      <c r="DML187" s="1237"/>
      <c r="DMM187" s="1237"/>
      <c r="DMN187" s="1237"/>
      <c r="DMO187" s="1237"/>
      <c r="DMP187" s="1237"/>
      <c r="DMQ187" s="1237"/>
      <c r="DMR187" s="1237"/>
      <c r="DMS187" s="1237"/>
      <c r="DMT187" s="1237"/>
      <c r="DMU187" s="1237"/>
      <c r="DMV187" s="1237"/>
      <c r="DMW187" s="1237"/>
      <c r="DMX187" s="1237"/>
      <c r="DMY187" s="1237"/>
      <c r="DMZ187" s="1237"/>
      <c r="DNA187" s="1237"/>
      <c r="DNB187" s="1237"/>
      <c r="DNC187" s="1237"/>
      <c r="DND187" s="1237"/>
      <c r="DNE187" s="1237"/>
      <c r="DNF187" s="1237"/>
      <c r="DNG187" s="1237"/>
      <c r="DNH187" s="1237"/>
      <c r="DNI187" s="1237"/>
      <c r="DNJ187" s="1237"/>
      <c r="DNK187" s="1237"/>
      <c r="DNL187" s="1237"/>
      <c r="DNM187" s="1237"/>
      <c r="DNN187" s="1237"/>
      <c r="DNO187" s="1237"/>
      <c r="DNP187" s="1237"/>
      <c r="DNQ187" s="1237"/>
      <c r="DNR187" s="1237"/>
      <c r="DNS187" s="1237"/>
      <c r="DNT187" s="1237"/>
      <c r="DNU187" s="1237"/>
      <c r="DNV187" s="1237"/>
      <c r="DNW187" s="1237"/>
      <c r="DNX187" s="1237"/>
      <c r="DNY187" s="1237"/>
      <c r="DNZ187" s="1237"/>
      <c r="DOA187" s="1237"/>
      <c r="DOB187" s="1237"/>
      <c r="DOC187" s="1237"/>
      <c r="DOD187" s="1237"/>
      <c r="DOE187" s="1237"/>
      <c r="DOF187" s="1237"/>
      <c r="DOG187" s="1237"/>
      <c r="DOH187" s="1237"/>
      <c r="DOI187" s="1237"/>
      <c r="DOJ187" s="1237"/>
      <c r="DOK187" s="1237"/>
      <c r="DOL187" s="1237"/>
      <c r="DOM187" s="1237"/>
      <c r="DON187" s="1237"/>
      <c r="DOO187" s="1237"/>
      <c r="DOP187" s="1237"/>
      <c r="DOQ187" s="1237"/>
      <c r="DOR187" s="1237"/>
      <c r="DOS187" s="1237"/>
      <c r="DOT187" s="1237"/>
      <c r="DOU187" s="1237"/>
      <c r="DOV187" s="1237"/>
      <c r="DOW187" s="1237"/>
      <c r="DOX187" s="1237"/>
      <c r="DOY187" s="1237"/>
      <c r="DOZ187" s="1237"/>
      <c r="DPA187" s="1237"/>
      <c r="DPB187" s="1237"/>
      <c r="DPC187" s="1237"/>
      <c r="DPD187" s="1237"/>
      <c r="DPE187" s="1237"/>
      <c r="DPF187" s="1237"/>
      <c r="DPG187" s="1237"/>
      <c r="DPH187" s="1237"/>
      <c r="DPI187" s="1237"/>
      <c r="DPJ187" s="1237"/>
      <c r="DPK187" s="1237"/>
      <c r="DPL187" s="1237"/>
      <c r="DPM187" s="1237"/>
      <c r="DPN187" s="1237"/>
      <c r="DPO187" s="1237"/>
      <c r="DPP187" s="1237"/>
      <c r="DPQ187" s="1237"/>
      <c r="DPR187" s="1237"/>
      <c r="DPS187" s="1237"/>
      <c r="DPT187" s="1237"/>
      <c r="DPU187" s="1237"/>
      <c r="DPV187" s="1237"/>
      <c r="DPW187" s="1237"/>
      <c r="DPX187" s="1237"/>
      <c r="DPY187" s="1237"/>
      <c r="DPZ187" s="1237"/>
      <c r="DQA187" s="1237"/>
      <c r="DQB187" s="1237"/>
      <c r="DQC187" s="1237"/>
      <c r="DQD187" s="1237"/>
      <c r="DQE187" s="1237"/>
      <c r="DQF187" s="1237"/>
      <c r="DQG187" s="1237"/>
      <c r="DQH187" s="1237"/>
      <c r="DQI187" s="1237"/>
      <c r="DQJ187" s="1237"/>
      <c r="DQK187" s="1237"/>
      <c r="DQL187" s="1237"/>
      <c r="DQM187" s="1237"/>
      <c r="DQN187" s="1237"/>
      <c r="DQO187" s="1237"/>
      <c r="DQP187" s="1237"/>
      <c r="DQQ187" s="1237"/>
      <c r="DQR187" s="1237"/>
      <c r="DQS187" s="1237"/>
      <c r="DQT187" s="1237"/>
      <c r="DQU187" s="1237"/>
      <c r="DQV187" s="1237"/>
      <c r="DQW187" s="1237"/>
      <c r="DQX187" s="1237"/>
      <c r="DQY187" s="1237"/>
      <c r="DQZ187" s="1237"/>
      <c r="DRA187" s="1237"/>
      <c r="DRB187" s="1237"/>
      <c r="DRC187" s="1237"/>
      <c r="DRD187" s="1237"/>
      <c r="DRE187" s="1237"/>
      <c r="DRF187" s="1237"/>
      <c r="DRG187" s="1237"/>
      <c r="DRH187" s="1237"/>
      <c r="DRI187" s="1237"/>
      <c r="DRJ187" s="1237"/>
      <c r="DRK187" s="1237"/>
      <c r="DRL187" s="1237"/>
      <c r="DRM187" s="1237"/>
      <c r="DRN187" s="1237"/>
      <c r="DRO187" s="1237"/>
      <c r="DRP187" s="1237"/>
      <c r="DRQ187" s="1237"/>
      <c r="DRR187" s="1237"/>
      <c r="DRS187" s="1237"/>
      <c r="DRT187" s="1237"/>
      <c r="DRU187" s="1237"/>
      <c r="DRV187" s="1237"/>
      <c r="DRW187" s="1237"/>
      <c r="DRX187" s="1237"/>
      <c r="DRY187" s="1237"/>
      <c r="DRZ187" s="1237"/>
      <c r="DSA187" s="1237"/>
      <c r="DSB187" s="1237"/>
      <c r="DSC187" s="1237"/>
      <c r="DSD187" s="1237"/>
      <c r="DSE187" s="1237"/>
      <c r="DSF187" s="1237"/>
      <c r="DSG187" s="1237"/>
      <c r="DSH187" s="1237"/>
      <c r="DSI187" s="1237"/>
      <c r="DSJ187" s="1237"/>
      <c r="DSK187" s="1237"/>
      <c r="DSL187" s="1237"/>
      <c r="DSM187" s="1237"/>
      <c r="DSN187" s="1237"/>
      <c r="DSO187" s="1237"/>
      <c r="DSP187" s="1237"/>
      <c r="DSQ187" s="1237"/>
      <c r="DSR187" s="1237"/>
      <c r="DSS187" s="1237"/>
      <c r="DST187" s="1237"/>
      <c r="DSU187" s="1237"/>
      <c r="DSV187" s="1237"/>
      <c r="DSW187" s="1237"/>
      <c r="DSX187" s="1237"/>
      <c r="DSY187" s="1237"/>
      <c r="DSZ187" s="1237"/>
      <c r="DTA187" s="1237"/>
      <c r="DTB187" s="1237"/>
      <c r="DTC187" s="1237"/>
      <c r="DTD187" s="1237"/>
      <c r="DTE187" s="1237"/>
      <c r="DTF187" s="1237"/>
      <c r="DTG187" s="1237"/>
      <c r="DTH187" s="1237"/>
      <c r="DTI187" s="1237"/>
      <c r="DTJ187" s="1237"/>
      <c r="DTK187" s="1237"/>
      <c r="DTL187" s="1237"/>
      <c r="DTM187" s="1237"/>
      <c r="DTN187" s="1237"/>
      <c r="DTO187" s="1237"/>
      <c r="DTP187" s="1237"/>
      <c r="DTQ187" s="1237"/>
      <c r="DTR187" s="1237"/>
      <c r="DTS187" s="1237"/>
      <c r="DTT187" s="1237"/>
      <c r="DTU187" s="1237"/>
      <c r="DTV187" s="1237"/>
      <c r="DTW187" s="1237"/>
      <c r="DTX187" s="1237"/>
      <c r="DTY187" s="1237"/>
      <c r="DTZ187" s="1237"/>
      <c r="DUA187" s="1237"/>
      <c r="DUB187" s="1237"/>
      <c r="DUC187" s="1237"/>
      <c r="DUD187" s="1237"/>
      <c r="DUE187" s="1237"/>
      <c r="DUF187" s="1237"/>
      <c r="DUG187" s="1237"/>
      <c r="DUH187" s="1237"/>
      <c r="DUI187" s="1237"/>
      <c r="DUJ187" s="1237"/>
      <c r="DUK187" s="1237"/>
      <c r="DUL187" s="1237"/>
      <c r="DUM187" s="1237"/>
      <c r="DUN187" s="1237"/>
      <c r="DUO187" s="1237"/>
      <c r="DUP187" s="1237"/>
      <c r="DUQ187" s="1237"/>
      <c r="DUR187" s="1237"/>
      <c r="DUS187" s="1237"/>
      <c r="DUT187" s="1237"/>
      <c r="DUU187" s="1237"/>
      <c r="DUV187" s="1237"/>
      <c r="DUW187" s="1237"/>
      <c r="DUX187" s="1237"/>
      <c r="DUY187" s="1237"/>
      <c r="DUZ187" s="1237"/>
      <c r="DVA187" s="1237"/>
      <c r="DVB187" s="1237"/>
      <c r="DVC187" s="1237"/>
      <c r="DVD187" s="1237"/>
      <c r="DVE187" s="1237"/>
      <c r="DVF187" s="1237"/>
      <c r="DVG187" s="1237"/>
      <c r="DVH187" s="1237"/>
      <c r="DVI187" s="1237"/>
      <c r="DVJ187" s="1237"/>
      <c r="DVK187" s="1237"/>
      <c r="DVL187" s="1237"/>
      <c r="DVM187" s="1237"/>
      <c r="DVN187" s="1237"/>
      <c r="DVO187" s="1237"/>
      <c r="DVP187" s="1237"/>
      <c r="DVQ187" s="1237"/>
      <c r="DVR187" s="1237"/>
      <c r="DVS187" s="1237"/>
      <c r="DVT187" s="1237"/>
      <c r="DVU187" s="1237"/>
      <c r="DVV187" s="1237"/>
      <c r="DVW187" s="1237"/>
      <c r="DVX187" s="1237"/>
      <c r="DVY187" s="1237"/>
      <c r="DVZ187" s="1237"/>
      <c r="DWA187" s="1237"/>
      <c r="DWB187" s="1237"/>
      <c r="DWC187" s="1237"/>
      <c r="DWD187" s="1237"/>
      <c r="DWE187" s="1237"/>
      <c r="DWF187" s="1237"/>
      <c r="DWG187" s="1237"/>
      <c r="DWH187" s="1237"/>
      <c r="DWI187" s="1237"/>
      <c r="DWJ187" s="1237"/>
      <c r="DWK187" s="1237"/>
      <c r="DWL187" s="1237"/>
      <c r="DWM187" s="1237"/>
      <c r="DWN187" s="1237"/>
      <c r="DWO187" s="1237"/>
      <c r="DWP187" s="1237"/>
      <c r="DWQ187" s="1237"/>
      <c r="DWR187" s="1237"/>
      <c r="DWS187" s="1237"/>
      <c r="DWT187" s="1237"/>
      <c r="DWU187" s="1237"/>
      <c r="DWV187" s="1237"/>
      <c r="DWW187" s="1237"/>
      <c r="DWX187" s="1237"/>
      <c r="DWY187" s="1237"/>
      <c r="DWZ187" s="1237"/>
      <c r="DXA187" s="1237"/>
      <c r="DXB187" s="1237"/>
      <c r="DXC187" s="1237"/>
      <c r="DXD187" s="1237"/>
      <c r="DXE187" s="1237"/>
      <c r="DXF187" s="1237"/>
      <c r="DXG187" s="1237"/>
      <c r="DXH187" s="1237"/>
      <c r="DXI187" s="1237"/>
      <c r="DXJ187" s="1237"/>
      <c r="DXK187" s="1237"/>
      <c r="DXL187" s="1237"/>
      <c r="DXM187" s="1237"/>
      <c r="DXN187" s="1237"/>
      <c r="DXO187" s="1237"/>
      <c r="DXP187" s="1237"/>
      <c r="DXQ187" s="1237"/>
      <c r="DXR187" s="1237"/>
      <c r="DXS187" s="1237"/>
      <c r="DXT187" s="1237"/>
      <c r="DXU187" s="1237"/>
      <c r="DXV187" s="1237"/>
      <c r="DXW187" s="1237"/>
      <c r="DXX187" s="1237"/>
      <c r="DXY187" s="1237"/>
      <c r="DXZ187" s="1237"/>
      <c r="DYA187" s="1237"/>
      <c r="DYB187" s="1237"/>
      <c r="DYC187" s="1237"/>
      <c r="DYD187" s="1237"/>
      <c r="DYE187" s="1237"/>
      <c r="DYF187" s="1237"/>
      <c r="DYG187" s="1237"/>
      <c r="DYH187" s="1237"/>
      <c r="DYI187" s="1237"/>
      <c r="DYJ187" s="1237"/>
      <c r="DYK187" s="1237"/>
      <c r="DYL187" s="1237"/>
      <c r="DYM187" s="1237"/>
      <c r="DYN187" s="1237"/>
      <c r="DYO187" s="1237"/>
      <c r="DYP187" s="1237"/>
      <c r="DYQ187" s="1237"/>
      <c r="DYR187" s="1237"/>
      <c r="DYS187" s="1237"/>
      <c r="DYT187" s="1237"/>
      <c r="DYU187" s="1237"/>
      <c r="DYV187" s="1237"/>
      <c r="DYW187" s="1237"/>
      <c r="DYX187" s="1237"/>
      <c r="DYY187" s="1237"/>
      <c r="DYZ187" s="1237"/>
      <c r="DZA187" s="1237"/>
      <c r="DZB187" s="1237"/>
      <c r="DZC187" s="1237"/>
      <c r="DZD187" s="1237"/>
      <c r="DZE187" s="1237"/>
      <c r="DZF187" s="1237"/>
      <c r="DZG187" s="1237"/>
      <c r="DZH187" s="1237"/>
      <c r="DZI187" s="1237"/>
      <c r="DZJ187" s="1237"/>
      <c r="DZK187" s="1237"/>
      <c r="DZL187" s="1237"/>
      <c r="DZM187" s="1237"/>
      <c r="DZN187" s="1237"/>
      <c r="DZO187" s="1237"/>
      <c r="DZP187" s="1237"/>
      <c r="DZQ187" s="1237"/>
      <c r="DZR187" s="1237"/>
      <c r="DZS187" s="1237"/>
      <c r="DZT187" s="1237"/>
      <c r="DZU187" s="1237"/>
      <c r="DZV187" s="1237"/>
      <c r="DZW187" s="1237"/>
      <c r="DZX187" s="1237"/>
      <c r="DZY187" s="1237"/>
      <c r="DZZ187" s="1237"/>
      <c r="EAA187" s="1237"/>
      <c r="EAB187" s="1237"/>
      <c r="EAC187" s="1237"/>
      <c r="EAD187" s="1237"/>
      <c r="EAE187" s="1237"/>
      <c r="EAF187" s="1237"/>
      <c r="EAG187" s="1237"/>
      <c r="EAH187" s="1237"/>
      <c r="EAI187" s="1237"/>
      <c r="EAJ187" s="1237"/>
      <c r="EAK187" s="1237"/>
      <c r="EAL187" s="1237"/>
      <c r="EAM187" s="1237"/>
      <c r="EAN187" s="1237"/>
      <c r="EAO187" s="1237"/>
      <c r="EAP187" s="1237"/>
      <c r="EAQ187" s="1237"/>
      <c r="EAR187" s="1237"/>
      <c r="EAS187" s="1237"/>
      <c r="EAT187" s="1237"/>
      <c r="EAU187" s="1237"/>
      <c r="EAV187" s="1237"/>
      <c r="EAW187" s="1237"/>
      <c r="EAX187" s="1237"/>
      <c r="EAY187" s="1237"/>
      <c r="EAZ187" s="1237"/>
      <c r="EBA187" s="1237"/>
      <c r="EBB187" s="1237"/>
      <c r="EBC187" s="1237"/>
      <c r="EBD187" s="1237"/>
      <c r="EBE187" s="1237"/>
      <c r="EBF187" s="1237"/>
      <c r="EBG187" s="1237"/>
      <c r="EBH187" s="1237"/>
      <c r="EBI187" s="1237"/>
      <c r="EBJ187" s="1237"/>
      <c r="EBK187" s="1237"/>
      <c r="EBL187" s="1237"/>
      <c r="EBM187" s="1237"/>
      <c r="EBN187" s="1237"/>
      <c r="EBO187" s="1237"/>
      <c r="EBP187" s="1237"/>
      <c r="EBQ187" s="1237"/>
      <c r="EBR187" s="1237"/>
      <c r="EBS187" s="1237"/>
      <c r="EBT187" s="1237"/>
      <c r="EBU187" s="1237"/>
      <c r="EBV187" s="1237"/>
      <c r="EBW187" s="1237"/>
      <c r="EBX187" s="1237"/>
      <c r="EBY187" s="1237"/>
      <c r="EBZ187" s="1237"/>
      <c r="ECA187" s="1237"/>
      <c r="ECB187" s="1237"/>
      <c r="ECC187" s="1237"/>
      <c r="ECD187" s="1237"/>
      <c r="ECE187" s="1237"/>
      <c r="ECF187" s="1237"/>
      <c r="ECG187" s="1237"/>
      <c r="ECH187" s="1237"/>
      <c r="ECI187" s="1237"/>
      <c r="ECJ187" s="1237"/>
      <c r="ECK187" s="1237"/>
      <c r="ECL187" s="1237"/>
      <c r="ECM187" s="1237"/>
      <c r="ECN187" s="1237"/>
      <c r="ECO187" s="1237"/>
      <c r="ECP187" s="1237"/>
      <c r="ECQ187" s="1237"/>
      <c r="ECR187" s="1237"/>
      <c r="ECS187" s="1237"/>
      <c r="ECT187" s="1237"/>
      <c r="ECU187" s="1237"/>
      <c r="ECV187" s="1237"/>
      <c r="ECW187" s="1237"/>
      <c r="ECX187" s="1237"/>
      <c r="ECY187" s="1237"/>
      <c r="ECZ187" s="1237"/>
      <c r="EDA187" s="1237"/>
      <c r="EDB187" s="1237"/>
      <c r="EDC187" s="1237"/>
      <c r="EDD187" s="1237"/>
      <c r="EDE187" s="1237"/>
      <c r="EDF187" s="1237"/>
      <c r="EDG187" s="1237"/>
      <c r="EDH187" s="1237"/>
      <c r="EDI187" s="1237"/>
      <c r="EDJ187" s="1237"/>
      <c r="EDK187" s="1237"/>
      <c r="EDL187" s="1237"/>
      <c r="EDM187" s="1237"/>
      <c r="EDN187" s="1237"/>
      <c r="EDO187" s="1237"/>
      <c r="EDP187" s="1237"/>
      <c r="EDQ187" s="1237"/>
      <c r="EDR187" s="1237"/>
      <c r="EDS187" s="1237"/>
      <c r="EDT187" s="1237"/>
      <c r="EDU187" s="1237"/>
      <c r="EDV187" s="1237"/>
      <c r="EDW187" s="1237"/>
      <c r="EDX187" s="1237"/>
      <c r="EDY187" s="1237"/>
      <c r="EDZ187" s="1237"/>
      <c r="EEA187" s="1237"/>
      <c r="EEB187" s="1237"/>
      <c r="EEC187" s="1237"/>
      <c r="EED187" s="1237"/>
      <c r="EEE187" s="1237"/>
      <c r="EEF187" s="1237"/>
      <c r="EEG187" s="1237"/>
      <c r="EEH187" s="1237"/>
      <c r="EEI187" s="1237"/>
      <c r="EEJ187" s="1237"/>
      <c r="EEK187" s="1237"/>
      <c r="EEL187" s="1237"/>
      <c r="EEM187" s="1237"/>
      <c r="EEN187" s="1237"/>
      <c r="EEO187" s="1237"/>
      <c r="EEP187" s="1237"/>
      <c r="EEQ187" s="1237"/>
      <c r="EER187" s="1237"/>
      <c r="EES187" s="1237"/>
      <c r="EET187" s="1237"/>
      <c r="EEU187" s="1237"/>
      <c r="EEV187" s="1237"/>
      <c r="EEW187" s="1237"/>
      <c r="EEX187" s="1237"/>
      <c r="EEY187" s="1237"/>
      <c r="EEZ187" s="1237"/>
      <c r="EFA187" s="1237"/>
      <c r="EFB187" s="1237"/>
      <c r="EFC187" s="1237"/>
      <c r="EFD187" s="1237"/>
      <c r="EFE187" s="1237"/>
      <c r="EFF187" s="1237"/>
      <c r="EFG187" s="1237"/>
      <c r="EFH187" s="1237"/>
      <c r="EFI187" s="1237"/>
      <c r="EFJ187" s="1237"/>
      <c r="EFK187" s="1237"/>
      <c r="EFL187" s="1237"/>
      <c r="EFM187" s="1237"/>
      <c r="EFN187" s="1237"/>
      <c r="EFO187" s="1237"/>
      <c r="EFP187" s="1237"/>
      <c r="EFQ187" s="1237"/>
      <c r="EFR187" s="1237"/>
      <c r="EFS187" s="1237"/>
      <c r="EFT187" s="1237"/>
      <c r="EFU187" s="1237"/>
      <c r="EFV187" s="1237"/>
      <c r="EFW187" s="1237"/>
      <c r="EFX187" s="1237"/>
      <c r="EFY187" s="1237"/>
      <c r="EFZ187" s="1237"/>
      <c r="EGA187" s="1237"/>
      <c r="EGB187" s="1237"/>
      <c r="EGC187" s="1237"/>
      <c r="EGD187" s="1237"/>
      <c r="EGE187" s="1237"/>
      <c r="EGF187" s="1237"/>
      <c r="EGG187" s="1237"/>
      <c r="EGH187" s="1237"/>
      <c r="EGI187" s="1237"/>
      <c r="EGJ187" s="1237"/>
      <c r="EGK187" s="1237"/>
      <c r="EGL187" s="1237"/>
      <c r="EGM187" s="1237"/>
      <c r="EGN187" s="1237"/>
      <c r="EGO187" s="1237"/>
      <c r="EGP187" s="1237"/>
      <c r="EGQ187" s="1237"/>
      <c r="EGR187" s="1237"/>
      <c r="EGS187" s="1237"/>
      <c r="EGT187" s="1237"/>
      <c r="EGU187" s="1237"/>
      <c r="EGV187" s="1237"/>
      <c r="EGW187" s="1237"/>
      <c r="EGX187" s="1237"/>
      <c r="EGY187" s="1237"/>
      <c r="EGZ187" s="1237"/>
      <c r="EHA187" s="1237"/>
      <c r="EHB187" s="1237"/>
      <c r="EHC187" s="1237"/>
      <c r="EHD187" s="1237"/>
      <c r="EHE187" s="1237"/>
      <c r="EHF187" s="1237"/>
      <c r="EHG187" s="1237"/>
      <c r="EHH187" s="1237"/>
      <c r="EHI187" s="1237"/>
      <c r="EHJ187" s="1237"/>
      <c r="EHK187" s="1237"/>
      <c r="EHL187" s="1237"/>
      <c r="EHM187" s="1237"/>
      <c r="EHN187" s="1237"/>
      <c r="EHO187" s="1237"/>
      <c r="EHP187" s="1237"/>
      <c r="EHQ187" s="1237"/>
      <c r="EHR187" s="1237"/>
      <c r="EHS187" s="1237"/>
      <c r="EHT187" s="1237"/>
      <c r="EHU187" s="1237"/>
      <c r="EHV187" s="1237"/>
      <c r="EHW187" s="1237"/>
      <c r="EHX187" s="1237"/>
      <c r="EHY187" s="1237"/>
      <c r="EHZ187" s="1237"/>
      <c r="EIA187" s="1237"/>
      <c r="EIB187" s="1237"/>
      <c r="EIC187" s="1237"/>
      <c r="EID187" s="1237"/>
      <c r="EIE187" s="1237"/>
      <c r="EIF187" s="1237"/>
      <c r="EIG187" s="1237"/>
      <c r="EIH187" s="1237"/>
      <c r="EII187" s="1237"/>
      <c r="EIJ187" s="1237"/>
      <c r="EIK187" s="1237"/>
      <c r="EIL187" s="1237"/>
      <c r="EIM187" s="1237"/>
      <c r="EIN187" s="1237"/>
      <c r="EIO187" s="1237"/>
      <c r="EIP187" s="1237"/>
      <c r="EIQ187" s="1237"/>
      <c r="EIR187" s="1237"/>
      <c r="EIS187" s="1237"/>
      <c r="EIT187" s="1237"/>
      <c r="EIU187" s="1237"/>
      <c r="EIV187" s="1237"/>
      <c r="EIW187" s="1237"/>
      <c r="EIX187" s="1237"/>
      <c r="EIY187" s="1237"/>
      <c r="EIZ187" s="1237"/>
      <c r="EJA187" s="1237"/>
      <c r="EJB187" s="1237"/>
      <c r="EJC187" s="1237"/>
      <c r="EJD187" s="1237"/>
      <c r="EJE187" s="1237"/>
      <c r="EJF187" s="1237"/>
      <c r="EJG187" s="1237"/>
      <c r="EJH187" s="1237"/>
      <c r="EJI187" s="1237"/>
      <c r="EJJ187" s="1237"/>
      <c r="EJK187" s="1237"/>
      <c r="EJL187" s="1237"/>
      <c r="EJM187" s="1237"/>
      <c r="EJN187" s="1237"/>
      <c r="EJO187" s="1237"/>
      <c r="EJP187" s="1237"/>
      <c r="EJQ187" s="1237"/>
      <c r="EJR187" s="1237"/>
      <c r="EJS187" s="1237"/>
      <c r="EJT187" s="1237"/>
      <c r="EJU187" s="1237"/>
      <c r="EJV187" s="1237"/>
      <c r="EJW187" s="1237"/>
      <c r="EJX187" s="1237"/>
      <c r="EJY187" s="1237"/>
      <c r="EJZ187" s="1237"/>
      <c r="EKA187" s="1237"/>
      <c r="EKB187" s="1237"/>
      <c r="EKC187" s="1237"/>
      <c r="EKD187" s="1237"/>
      <c r="EKE187" s="1237"/>
      <c r="EKF187" s="1237"/>
      <c r="EKG187" s="1237"/>
      <c r="EKH187" s="1237"/>
      <c r="EKI187" s="1237"/>
      <c r="EKJ187" s="1237"/>
      <c r="EKK187" s="1237"/>
      <c r="EKL187" s="1237"/>
      <c r="EKM187" s="1237"/>
      <c r="EKN187" s="1237"/>
      <c r="EKO187" s="1237"/>
      <c r="EKP187" s="1237"/>
      <c r="EKQ187" s="1237"/>
      <c r="EKR187" s="1237"/>
      <c r="EKS187" s="1237"/>
      <c r="EKT187" s="1237"/>
      <c r="EKU187" s="1237"/>
      <c r="EKV187" s="1237"/>
      <c r="EKW187" s="1237"/>
      <c r="EKX187" s="1237"/>
      <c r="EKY187" s="1237"/>
      <c r="EKZ187" s="1237"/>
      <c r="ELA187" s="1237"/>
      <c r="ELB187" s="1237"/>
      <c r="ELC187" s="1237"/>
      <c r="ELD187" s="1237"/>
      <c r="ELE187" s="1237"/>
      <c r="ELF187" s="1237"/>
      <c r="ELG187" s="1237"/>
      <c r="ELH187" s="1237"/>
      <c r="ELI187" s="1237"/>
      <c r="ELJ187" s="1237"/>
      <c r="ELK187" s="1237"/>
      <c r="ELL187" s="1237"/>
      <c r="ELM187" s="1237"/>
      <c r="ELN187" s="1237"/>
      <c r="ELO187" s="1237"/>
      <c r="ELP187" s="1237"/>
      <c r="ELQ187" s="1237"/>
      <c r="ELR187" s="1237"/>
      <c r="ELS187" s="1237"/>
      <c r="ELT187" s="1237"/>
      <c r="ELU187" s="1237"/>
      <c r="ELV187" s="1237"/>
      <c r="ELW187" s="1237"/>
      <c r="ELX187" s="1237"/>
      <c r="ELY187" s="1237"/>
      <c r="ELZ187" s="1237"/>
      <c r="EMA187" s="1237"/>
      <c r="EMB187" s="1237"/>
      <c r="EMC187" s="1237"/>
      <c r="EMD187" s="1237"/>
      <c r="EME187" s="1237"/>
      <c r="EMF187" s="1237"/>
      <c r="EMG187" s="1237"/>
      <c r="EMH187" s="1237"/>
      <c r="EMI187" s="1237"/>
      <c r="EMJ187" s="1237"/>
      <c r="EMK187" s="1237"/>
      <c r="EML187" s="1237"/>
      <c r="EMM187" s="1237"/>
      <c r="EMN187" s="1237"/>
      <c r="EMO187" s="1237"/>
      <c r="EMP187" s="1237"/>
      <c r="EMQ187" s="1237"/>
      <c r="EMR187" s="1237"/>
      <c r="EMS187" s="1237"/>
      <c r="EMT187" s="1237"/>
      <c r="EMU187" s="1237"/>
      <c r="EMV187" s="1237"/>
      <c r="EMW187" s="1237"/>
      <c r="EMX187" s="1237"/>
      <c r="EMY187" s="1237"/>
      <c r="EMZ187" s="1237"/>
      <c r="ENA187" s="1237"/>
      <c r="ENB187" s="1237"/>
      <c r="ENC187" s="1237"/>
      <c r="END187" s="1237"/>
      <c r="ENE187" s="1237"/>
      <c r="ENF187" s="1237"/>
      <c r="ENG187" s="1237"/>
      <c r="ENH187" s="1237"/>
      <c r="ENI187" s="1237"/>
      <c r="ENJ187" s="1237"/>
      <c r="ENK187" s="1237"/>
      <c r="ENL187" s="1237"/>
      <c r="ENM187" s="1237"/>
      <c r="ENN187" s="1237"/>
      <c r="ENO187" s="1237"/>
      <c r="ENP187" s="1237"/>
      <c r="ENQ187" s="1237"/>
      <c r="ENR187" s="1237"/>
      <c r="ENS187" s="1237"/>
      <c r="ENT187" s="1237"/>
      <c r="ENU187" s="1237"/>
      <c r="ENV187" s="1237"/>
      <c r="ENW187" s="1237"/>
      <c r="ENX187" s="1237"/>
      <c r="ENY187" s="1237"/>
      <c r="ENZ187" s="1237"/>
      <c r="EOA187" s="1237"/>
      <c r="EOB187" s="1237"/>
      <c r="EOC187" s="1237"/>
      <c r="EOD187" s="1237"/>
      <c r="EOE187" s="1237"/>
      <c r="EOF187" s="1237"/>
      <c r="EOG187" s="1237"/>
      <c r="EOH187" s="1237"/>
      <c r="EOI187" s="1237"/>
      <c r="EOJ187" s="1237"/>
      <c r="EOK187" s="1237"/>
      <c r="EOL187" s="1237"/>
      <c r="EOM187" s="1237"/>
      <c r="EON187" s="1237"/>
      <c r="EOO187" s="1237"/>
      <c r="EOP187" s="1237"/>
      <c r="EOQ187" s="1237"/>
      <c r="EOR187" s="1237"/>
      <c r="EOS187" s="1237"/>
      <c r="EOT187" s="1237"/>
      <c r="EOU187" s="1237"/>
      <c r="EOV187" s="1237"/>
      <c r="EOW187" s="1237"/>
      <c r="EOX187" s="1237"/>
      <c r="EOY187" s="1237"/>
      <c r="EOZ187" s="1237"/>
      <c r="EPA187" s="1237"/>
      <c r="EPB187" s="1237"/>
      <c r="EPC187" s="1237"/>
      <c r="EPD187" s="1237"/>
      <c r="EPE187" s="1237"/>
      <c r="EPF187" s="1237"/>
      <c r="EPG187" s="1237"/>
      <c r="EPH187" s="1237"/>
      <c r="EPI187" s="1237"/>
      <c r="EPJ187" s="1237"/>
      <c r="EPK187" s="1237"/>
      <c r="EPL187" s="1237"/>
      <c r="EPM187" s="1237"/>
      <c r="EPN187" s="1237"/>
      <c r="EPO187" s="1237"/>
      <c r="EPP187" s="1237"/>
      <c r="EPQ187" s="1237"/>
      <c r="EPR187" s="1237"/>
      <c r="EPS187" s="1237"/>
      <c r="EPT187" s="1237"/>
      <c r="EPU187" s="1237"/>
      <c r="EPV187" s="1237"/>
      <c r="EPW187" s="1237"/>
      <c r="EPX187" s="1237"/>
      <c r="EPY187" s="1237"/>
      <c r="EPZ187" s="1237"/>
      <c r="EQA187" s="1237"/>
      <c r="EQB187" s="1237"/>
      <c r="EQC187" s="1237"/>
      <c r="EQD187" s="1237"/>
      <c r="EQE187" s="1237"/>
      <c r="EQF187" s="1237"/>
      <c r="EQG187" s="1237"/>
      <c r="EQH187" s="1237"/>
      <c r="EQI187" s="1237"/>
      <c r="EQJ187" s="1237"/>
      <c r="EQK187" s="1237"/>
      <c r="EQL187" s="1237"/>
      <c r="EQM187" s="1237"/>
      <c r="EQN187" s="1237"/>
      <c r="EQO187" s="1237"/>
      <c r="EQP187" s="1237"/>
      <c r="EQQ187" s="1237"/>
      <c r="EQR187" s="1237"/>
      <c r="EQS187" s="1237"/>
      <c r="EQT187" s="1237"/>
      <c r="EQU187" s="1237"/>
      <c r="EQV187" s="1237"/>
      <c r="EQW187" s="1237"/>
      <c r="EQX187" s="1237"/>
      <c r="EQY187" s="1237"/>
      <c r="EQZ187" s="1237"/>
      <c r="ERA187" s="1237"/>
      <c r="ERB187" s="1237"/>
      <c r="ERC187" s="1237"/>
      <c r="ERD187" s="1237"/>
      <c r="ERE187" s="1237"/>
      <c r="ERF187" s="1237"/>
      <c r="ERG187" s="1237"/>
      <c r="ERH187" s="1237"/>
      <c r="ERI187" s="1237"/>
      <c r="ERJ187" s="1237"/>
      <c r="ERK187" s="1237"/>
      <c r="ERL187" s="1237"/>
      <c r="ERM187" s="1237"/>
      <c r="ERN187" s="1237"/>
      <c r="ERO187" s="1237"/>
      <c r="ERP187" s="1237"/>
      <c r="ERQ187" s="1237"/>
      <c r="ERR187" s="1237"/>
      <c r="ERS187" s="1237"/>
      <c r="ERT187" s="1237"/>
      <c r="ERU187" s="1237"/>
      <c r="ERV187" s="1237"/>
      <c r="ERW187" s="1237"/>
      <c r="ERX187" s="1237"/>
      <c r="ERY187" s="1237"/>
      <c r="ERZ187" s="1237"/>
      <c r="ESA187" s="1237"/>
      <c r="ESB187" s="1237"/>
      <c r="ESC187" s="1237"/>
      <c r="ESD187" s="1237"/>
      <c r="ESE187" s="1237"/>
      <c r="ESF187" s="1237"/>
      <c r="ESG187" s="1237"/>
      <c r="ESH187" s="1237"/>
      <c r="ESI187" s="1237"/>
      <c r="ESJ187" s="1237"/>
      <c r="ESK187" s="1237"/>
      <c r="ESL187" s="1237"/>
      <c r="ESM187" s="1237"/>
      <c r="ESN187" s="1237"/>
      <c r="ESO187" s="1237"/>
      <c r="ESP187" s="1237"/>
      <c r="ESQ187" s="1237"/>
      <c r="ESR187" s="1237"/>
      <c r="ESS187" s="1237"/>
      <c r="EST187" s="1237"/>
      <c r="ESU187" s="1237"/>
      <c r="ESV187" s="1237"/>
      <c r="ESW187" s="1237"/>
      <c r="ESX187" s="1237"/>
      <c r="ESY187" s="1237"/>
      <c r="ESZ187" s="1237"/>
      <c r="ETA187" s="1237"/>
      <c r="ETB187" s="1237"/>
      <c r="ETC187" s="1237"/>
      <c r="ETD187" s="1237"/>
      <c r="ETE187" s="1237"/>
      <c r="ETF187" s="1237"/>
      <c r="ETG187" s="1237"/>
      <c r="ETH187" s="1237"/>
      <c r="ETI187" s="1237"/>
      <c r="ETJ187" s="1237"/>
      <c r="ETK187" s="1237"/>
      <c r="ETL187" s="1237"/>
      <c r="ETM187" s="1237"/>
      <c r="ETN187" s="1237"/>
      <c r="ETO187" s="1237"/>
      <c r="ETP187" s="1237"/>
      <c r="ETQ187" s="1237"/>
      <c r="ETR187" s="1237"/>
      <c r="ETS187" s="1237"/>
      <c r="ETT187" s="1237"/>
      <c r="ETU187" s="1237"/>
      <c r="ETV187" s="1237"/>
      <c r="ETW187" s="1237"/>
      <c r="ETX187" s="1237"/>
      <c r="ETY187" s="1237"/>
      <c r="ETZ187" s="1237"/>
      <c r="EUA187" s="1237"/>
      <c r="EUB187" s="1237"/>
      <c r="EUC187" s="1237"/>
      <c r="EUD187" s="1237"/>
      <c r="EUE187" s="1237"/>
      <c r="EUF187" s="1237"/>
      <c r="EUG187" s="1237"/>
      <c r="EUH187" s="1237"/>
      <c r="EUI187" s="1237"/>
      <c r="EUJ187" s="1237"/>
      <c r="EUK187" s="1237"/>
      <c r="EUL187" s="1237"/>
      <c r="EUM187" s="1237"/>
      <c r="EUN187" s="1237"/>
      <c r="EUO187" s="1237"/>
      <c r="EUP187" s="1237"/>
      <c r="EUQ187" s="1237"/>
      <c r="EUR187" s="1237"/>
      <c r="EUS187" s="1237"/>
      <c r="EUT187" s="1237"/>
      <c r="EUU187" s="1237"/>
      <c r="EUV187" s="1237"/>
      <c r="EUW187" s="1237"/>
      <c r="EUX187" s="1237"/>
      <c r="EUY187" s="1237"/>
      <c r="EUZ187" s="1237"/>
      <c r="EVA187" s="1237"/>
      <c r="EVB187" s="1237"/>
      <c r="EVC187" s="1237"/>
      <c r="EVD187" s="1237"/>
      <c r="EVE187" s="1237"/>
      <c r="EVF187" s="1237"/>
      <c r="EVG187" s="1237"/>
      <c r="EVH187" s="1237"/>
      <c r="EVI187" s="1237"/>
      <c r="EVJ187" s="1237"/>
      <c r="EVK187" s="1237"/>
      <c r="EVL187" s="1237"/>
      <c r="EVM187" s="1237"/>
      <c r="EVN187" s="1237"/>
      <c r="EVO187" s="1237"/>
      <c r="EVP187" s="1237"/>
      <c r="EVQ187" s="1237"/>
      <c r="EVR187" s="1237"/>
      <c r="EVS187" s="1237"/>
      <c r="EVT187" s="1237"/>
      <c r="EVU187" s="1237"/>
      <c r="EVV187" s="1237"/>
      <c r="EVW187" s="1237"/>
      <c r="EVX187" s="1237"/>
      <c r="EVY187" s="1237"/>
      <c r="EVZ187" s="1237"/>
      <c r="EWA187" s="1237"/>
      <c r="EWB187" s="1237"/>
      <c r="EWC187" s="1237"/>
      <c r="EWD187" s="1237"/>
      <c r="EWE187" s="1237"/>
      <c r="EWF187" s="1237"/>
      <c r="EWG187" s="1237"/>
      <c r="EWH187" s="1237"/>
      <c r="EWI187" s="1237"/>
      <c r="EWJ187" s="1237"/>
      <c r="EWK187" s="1237"/>
      <c r="EWL187" s="1237"/>
      <c r="EWM187" s="1237"/>
      <c r="EWN187" s="1237"/>
      <c r="EWO187" s="1237"/>
      <c r="EWP187" s="1237"/>
      <c r="EWQ187" s="1237"/>
      <c r="EWR187" s="1237"/>
      <c r="EWS187" s="1237"/>
      <c r="EWT187" s="1237"/>
      <c r="EWU187" s="1237"/>
      <c r="EWV187" s="1237"/>
      <c r="EWW187" s="1237"/>
      <c r="EWX187" s="1237"/>
      <c r="EWY187" s="1237"/>
      <c r="EWZ187" s="1237"/>
      <c r="EXA187" s="1237"/>
      <c r="EXB187" s="1237"/>
      <c r="EXC187" s="1237"/>
      <c r="EXD187" s="1237"/>
      <c r="EXE187" s="1237"/>
      <c r="EXF187" s="1237"/>
      <c r="EXG187" s="1237"/>
      <c r="EXH187" s="1237"/>
      <c r="EXI187" s="1237"/>
      <c r="EXJ187" s="1237"/>
      <c r="EXK187" s="1237"/>
      <c r="EXL187" s="1237"/>
      <c r="EXM187" s="1237"/>
      <c r="EXN187" s="1237"/>
      <c r="EXO187" s="1237"/>
      <c r="EXP187" s="1237"/>
      <c r="EXQ187" s="1237"/>
      <c r="EXR187" s="1237"/>
      <c r="EXS187" s="1237"/>
      <c r="EXT187" s="1237"/>
      <c r="EXU187" s="1237"/>
      <c r="EXV187" s="1237"/>
      <c r="EXW187" s="1237"/>
      <c r="EXX187" s="1237"/>
      <c r="EXY187" s="1237"/>
      <c r="EXZ187" s="1237"/>
      <c r="EYA187" s="1237"/>
      <c r="EYB187" s="1237"/>
      <c r="EYC187" s="1237"/>
      <c r="EYD187" s="1237"/>
      <c r="EYE187" s="1237"/>
      <c r="EYF187" s="1237"/>
      <c r="EYG187" s="1237"/>
      <c r="EYH187" s="1237"/>
      <c r="EYI187" s="1237"/>
      <c r="EYJ187" s="1237"/>
      <c r="EYK187" s="1237"/>
      <c r="EYL187" s="1237"/>
      <c r="EYM187" s="1237"/>
      <c r="EYN187" s="1237"/>
      <c r="EYO187" s="1237"/>
      <c r="EYP187" s="1237"/>
      <c r="EYQ187" s="1237"/>
      <c r="EYR187" s="1237"/>
      <c r="EYS187" s="1237"/>
      <c r="EYT187" s="1237"/>
      <c r="EYU187" s="1237"/>
      <c r="EYV187" s="1237"/>
      <c r="EYW187" s="1237"/>
      <c r="EYX187" s="1237"/>
      <c r="EYY187" s="1237"/>
      <c r="EYZ187" s="1237"/>
      <c r="EZA187" s="1237"/>
      <c r="EZB187" s="1237"/>
      <c r="EZC187" s="1237"/>
      <c r="EZD187" s="1237"/>
      <c r="EZE187" s="1237"/>
      <c r="EZF187" s="1237"/>
      <c r="EZG187" s="1237"/>
      <c r="EZH187" s="1237"/>
      <c r="EZI187" s="1237"/>
      <c r="EZJ187" s="1237"/>
      <c r="EZK187" s="1237"/>
      <c r="EZL187" s="1237"/>
      <c r="EZM187" s="1237"/>
      <c r="EZN187" s="1237"/>
      <c r="EZO187" s="1237"/>
      <c r="EZP187" s="1237"/>
      <c r="EZQ187" s="1237"/>
      <c r="EZR187" s="1237"/>
      <c r="EZS187" s="1237"/>
      <c r="EZT187" s="1237"/>
      <c r="EZU187" s="1237"/>
      <c r="EZV187" s="1237"/>
      <c r="EZW187" s="1237"/>
      <c r="EZX187" s="1237"/>
      <c r="EZY187" s="1237"/>
      <c r="EZZ187" s="1237"/>
      <c r="FAA187" s="1237"/>
      <c r="FAB187" s="1237"/>
      <c r="FAC187" s="1237"/>
      <c r="FAD187" s="1237"/>
      <c r="FAE187" s="1237"/>
      <c r="FAF187" s="1237"/>
      <c r="FAG187" s="1237"/>
      <c r="FAH187" s="1237"/>
      <c r="FAI187" s="1237"/>
      <c r="FAJ187" s="1237"/>
      <c r="FAK187" s="1237"/>
      <c r="FAL187" s="1237"/>
      <c r="FAM187" s="1237"/>
      <c r="FAN187" s="1237"/>
      <c r="FAO187" s="1237"/>
      <c r="FAP187" s="1237"/>
      <c r="FAQ187" s="1237"/>
      <c r="FAR187" s="1237"/>
      <c r="FAS187" s="1237"/>
      <c r="FAT187" s="1237"/>
      <c r="FAU187" s="1237"/>
      <c r="FAV187" s="1237"/>
      <c r="FAW187" s="1237"/>
      <c r="FAX187" s="1237"/>
      <c r="FAY187" s="1237"/>
      <c r="FAZ187" s="1237"/>
      <c r="FBA187" s="1237"/>
      <c r="FBB187" s="1237"/>
      <c r="FBC187" s="1237"/>
      <c r="FBD187" s="1237"/>
      <c r="FBE187" s="1237"/>
      <c r="FBF187" s="1237"/>
      <c r="FBG187" s="1237"/>
      <c r="FBH187" s="1237"/>
      <c r="FBI187" s="1237"/>
      <c r="FBJ187" s="1237"/>
      <c r="FBK187" s="1237"/>
      <c r="FBL187" s="1237"/>
      <c r="FBM187" s="1237"/>
      <c r="FBN187" s="1237"/>
      <c r="FBO187" s="1237"/>
      <c r="FBP187" s="1237"/>
      <c r="FBQ187" s="1237"/>
      <c r="FBR187" s="1237"/>
      <c r="FBS187" s="1237"/>
      <c r="FBT187" s="1237"/>
      <c r="FBU187" s="1237"/>
      <c r="FBV187" s="1237"/>
      <c r="FBW187" s="1237"/>
      <c r="FBX187" s="1237"/>
      <c r="FBY187" s="1237"/>
      <c r="FBZ187" s="1237"/>
      <c r="FCA187" s="1237"/>
      <c r="FCB187" s="1237"/>
      <c r="FCC187" s="1237"/>
      <c r="FCD187" s="1237"/>
      <c r="FCE187" s="1237"/>
      <c r="FCF187" s="1237"/>
      <c r="FCG187" s="1237"/>
      <c r="FCH187" s="1237"/>
      <c r="FCI187" s="1237"/>
      <c r="FCJ187" s="1237"/>
      <c r="FCK187" s="1237"/>
      <c r="FCL187" s="1237"/>
      <c r="FCM187" s="1237"/>
      <c r="FCN187" s="1237"/>
      <c r="FCO187" s="1237"/>
      <c r="FCP187" s="1237"/>
      <c r="FCQ187" s="1237"/>
      <c r="FCR187" s="1237"/>
      <c r="FCS187" s="1237"/>
      <c r="FCT187" s="1237"/>
      <c r="FCU187" s="1237"/>
      <c r="FCV187" s="1237"/>
      <c r="FCW187" s="1237"/>
      <c r="FCX187" s="1237"/>
      <c r="FCY187" s="1237"/>
      <c r="FCZ187" s="1237"/>
      <c r="FDA187" s="1237"/>
      <c r="FDB187" s="1237"/>
      <c r="FDC187" s="1237"/>
      <c r="FDD187" s="1237"/>
      <c r="FDE187" s="1237"/>
      <c r="FDF187" s="1237"/>
      <c r="FDG187" s="1237"/>
      <c r="FDH187" s="1237"/>
      <c r="FDI187" s="1237"/>
      <c r="FDJ187" s="1237"/>
      <c r="FDK187" s="1237"/>
      <c r="FDL187" s="1237"/>
      <c r="FDM187" s="1237"/>
      <c r="FDN187" s="1237"/>
      <c r="FDO187" s="1237"/>
      <c r="FDP187" s="1237"/>
      <c r="FDQ187" s="1237"/>
      <c r="FDR187" s="1237"/>
      <c r="FDS187" s="1237"/>
      <c r="FDT187" s="1237"/>
      <c r="FDU187" s="1237"/>
      <c r="FDV187" s="1237"/>
      <c r="FDW187" s="1237"/>
      <c r="FDX187" s="1237"/>
      <c r="FDY187" s="1237"/>
      <c r="FDZ187" s="1237"/>
      <c r="FEA187" s="1237"/>
      <c r="FEB187" s="1237"/>
      <c r="FEC187" s="1237"/>
      <c r="FED187" s="1237"/>
      <c r="FEE187" s="1237"/>
      <c r="FEF187" s="1237"/>
      <c r="FEG187" s="1237"/>
      <c r="FEH187" s="1237"/>
      <c r="FEI187" s="1237"/>
      <c r="FEJ187" s="1237"/>
      <c r="FEK187" s="1237"/>
      <c r="FEL187" s="1237"/>
      <c r="FEM187" s="1237"/>
      <c r="FEN187" s="1237"/>
      <c r="FEO187" s="1237"/>
      <c r="FEP187" s="1237"/>
      <c r="FEQ187" s="1237"/>
      <c r="FER187" s="1237"/>
      <c r="FES187" s="1237"/>
      <c r="FET187" s="1237"/>
      <c r="FEU187" s="1237"/>
      <c r="FEV187" s="1237"/>
      <c r="FEW187" s="1237"/>
      <c r="FEX187" s="1237"/>
      <c r="FEY187" s="1237"/>
      <c r="FEZ187" s="1237"/>
      <c r="FFA187" s="1237"/>
      <c r="FFB187" s="1237"/>
      <c r="FFC187" s="1237"/>
      <c r="FFD187" s="1237"/>
      <c r="FFE187" s="1237"/>
      <c r="FFF187" s="1237"/>
      <c r="FFG187" s="1237"/>
      <c r="FFH187" s="1237"/>
      <c r="FFI187" s="1237"/>
      <c r="FFJ187" s="1237"/>
      <c r="FFK187" s="1237"/>
      <c r="FFL187" s="1237"/>
      <c r="FFM187" s="1237"/>
      <c r="FFN187" s="1237"/>
      <c r="FFO187" s="1237"/>
      <c r="FFP187" s="1237"/>
      <c r="FFQ187" s="1237"/>
      <c r="FFR187" s="1237"/>
      <c r="FFS187" s="1237"/>
      <c r="FFT187" s="1237"/>
      <c r="FFU187" s="1237"/>
      <c r="FFV187" s="1237"/>
      <c r="FFW187" s="1237"/>
      <c r="FFX187" s="1237"/>
      <c r="FFY187" s="1237"/>
      <c r="FFZ187" s="1237"/>
      <c r="FGA187" s="1237"/>
      <c r="FGB187" s="1237"/>
      <c r="FGC187" s="1237"/>
      <c r="FGD187" s="1237"/>
      <c r="FGE187" s="1237"/>
      <c r="FGF187" s="1237"/>
      <c r="FGG187" s="1237"/>
      <c r="FGH187" s="1237"/>
      <c r="FGI187" s="1237"/>
      <c r="FGJ187" s="1237"/>
      <c r="FGK187" s="1237"/>
      <c r="FGL187" s="1237"/>
      <c r="FGM187" s="1237"/>
      <c r="FGN187" s="1237"/>
      <c r="FGO187" s="1237"/>
      <c r="FGP187" s="1237"/>
      <c r="FGQ187" s="1237"/>
      <c r="FGR187" s="1237"/>
      <c r="FGS187" s="1237"/>
      <c r="FGT187" s="1237"/>
      <c r="FGU187" s="1237"/>
      <c r="FGV187" s="1237"/>
      <c r="FGW187" s="1237"/>
      <c r="FGX187" s="1237"/>
      <c r="FGY187" s="1237"/>
      <c r="FGZ187" s="1237"/>
      <c r="FHA187" s="1237"/>
      <c r="FHB187" s="1237"/>
      <c r="FHC187" s="1237"/>
      <c r="FHD187" s="1237"/>
      <c r="FHE187" s="1237"/>
      <c r="FHF187" s="1237"/>
      <c r="FHG187" s="1237"/>
      <c r="FHH187" s="1237"/>
      <c r="FHI187" s="1237"/>
      <c r="FHJ187" s="1237"/>
      <c r="FHK187" s="1237"/>
      <c r="FHL187" s="1237"/>
      <c r="FHM187" s="1237"/>
      <c r="FHN187" s="1237"/>
      <c r="FHO187" s="1237"/>
      <c r="FHP187" s="1237"/>
      <c r="FHQ187" s="1237"/>
      <c r="FHR187" s="1237"/>
      <c r="FHS187" s="1237"/>
      <c r="FHT187" s="1237"/>
      <c r="FHU187" s="1237"/>
      <c r="FHV187" s="1237"/>
      <c r="FHW187" s="1237"/>
      <c r="FHX187" s="1237"/>
      <c r="FHY187" s="1237"/>
      <c r="FHZ187" s="1237"/>
      <c r="FIA187" s="1237"/>
      <c r="FIB187" s="1237"/>
      <c r="FIC187" s="1237"/>
      <c r="FID187" s="1237"/>
      <c r="FIE187" s="1237"/>
      <c r="FIF187" s="1237"/>
      <c r="FIG187" s="1237"/>
      <c r="FIH187" s="1237"/>
      <c r="FII187" s="1237"/>
      <c r="FIJ187" s="1237"/>
      <c r="FIK187" s="1237"/>
      <c r="FIL187" s="1237"/>
      <c r="FIM187" s="1237"/>
      <c r="FIN187" s="1237"/>
      <c r="FIO187" s="1237"/>
      <c r="FIP187" s="1237"/>
      <c r="FIQ187" s="1237"/>
      <c r="FIR187" s="1237"/>
      <c r="FIS187" s="1237"/>
      <c r="FIT187" s="1237"/>
      <c r="FIU187" s="1237"/>
      <c r="FIV187" s="1237"/>
      <c r="FIW187" s="1237"/>
      <c r="FIX187" s="1237"/>
      <c r="FIY187" s="1237"/>
      <c r="FIZ187" s="1237"/>
      <c r="FJA187" s="1237"/>
      <c r="FJB187" s="1237"/>
      <c r="FJC187" s="1237"/>
      <c r="FJD187" s="1237"/>
      <c r="FJE187" s="1237"/>
      <c r="FJF187" s="1237"/>
      <c r="FJG187" s="1237"/>
      <c r="FJH187" s="1237"/>
      <c r="FJI187" s="1237"/>
      <c r="FJJ187" s="1237"/>
      <c r="FJK187" s="1237"/>
      <c r="FJL187" s="1237"/>
      <c r="FJM187" s="1237"/>
      <c r="FJN187" s="1237"/>
      <c r="FJO187" s="1237"/>
      <c r="FJP187" s="1237"/>
      <c r="FJQ187" s="1237"/>
      <c r="FJR187" s="1237"/>
      <c r="FJS187" s="1237"/>
      <c r="FJT187" s="1237"/>
      <c r="FJU187" s="1237"/>
      <c r="FJV187" s="1237"/>
      <c r="FJW187" s="1237"/>
      <c r="FJX187" s="1237"/>
      <c r="FJY187" s="1237"/>
      <c r="FJZ187" s="1237"/>
      <c r="FKA187" s="1237"/>
      <c r="FKB187" s="1237"/>
      <c r="FKC187" s="1237"/>
      <c r="FKD187" s="1237"/>
      <c r="FKE187" s="1237"/>
      <c r="FKF187" s="1237"/>
      <c r="FKG187" s="1237"/>
      <c r="FKH187" s="1237"/>
      <c r="FKI187" s="1237"/>
      <c r="FKJ187" s="1237"/>
      <c r="FKK187" s="1237"/>
      <c r="FKL187" s="1237"/>
      <c r="FKM187" s="1237"/>
      <c r="FKN187" s="1237"/>
      <c r="FKO187" s="1237"/>
      <c r="FKP187" s="1237"/>
      <c r="FKQ187" s="1237"/>
      <c r="FKR187" s="1237"/>
      <c r="FKS187" s="1237"/>
      <c r="FKT187" s="1237"/>
      <c r="FKU187" s="1237"/>
      <c r="FKV187" s="1237"/>
      <c r="FKW187" s="1237"/>
      <c r="FKX187" s="1237"/>
      <c r="FKY187" s="1237"/>
      <c r="FKZ187" s="1237"/>
      <c r="FLA187" s="1237"/>
      <c r="FLB187" s="1237"/>
      <c r="FLC187" s="1237"/>
      <c r="FLD187" s="1237"/>
      <c r="FLE187" s="1237"/>
      <c r="FLF187" s="1237"/>
      <c r="FLG187" s="1237"/>
      <c r="FLH187" s="1237"/>
      <c r="FLI187" s="1237"/>
      <c r="FLJ187" s="1237"/>
      <c r="FLK187" s="1237"/>
      <c r="FLL187" s="1237"/>
      <c r="FLM187" s="1237"/>
      <c r="FLN187" s="1237"/>
      <c r="FLO187" s="1237"/>
      <c r="FLP187" s="1237"/>
      <c r="FLQ187" s="1237"/>
      <c r="FLR187" s="1237"/>
      <c r="FLS187" s="1237"/>
      <c r="FLT187" s="1237"/>
      <c r="FLU187" s="1237"/>
      <c r="FLV187" s="1237"/>
      <c r="FLW187" s="1237"/>
      <c r="FLX187" s="1237"/>
      <c r="FLY187" s="1237"/>
      <c r="FLZ187" s="1237"/>
      <c r="FMA187" s="1237"/>
      <c r="FMB187" s="1237"/>
      <c r="FMC187" s="1237"/>
      <c r="FMD187" s="1237"/>
      <c r="FME187" s="1237"/>
      <c r="FMF187" s="1237"/>
      <c r="FMG187" s="1237"/>
      <c r="FMH187" s="1237"/>
      <c r="FMI187" s="1237"/>
      <c r="FMJ187" s="1237"/>
      <c r="FMK187" s="1237"/>
      <c r="FML187" s="1237"/>
      <c r="FMM187" s="1237"/>
      <c r="FMN187" s="1237"/>
      <c r="FMO187" s="1237"/>
      <c r="FMP187" s="1237"/>
      <c r="FMQ187" s="1237"/>
      <c r="FMR187" s="1237"/>
      <c r="FMS187" s="1237"/>
      <c r="FMT187" s="1237"/>
      <c r="FMU187" s="1237"/>
      <c r="FMV187" s="1237"/>
      <c r="FMW187" s="1237"/>
      <c r="FMX187" s="1237"/>
      <c r="FMY187" s="1237"/>
      <c r="FMZ187" s="1237"/>
      <c r="FNA187" s="1237"/>
      <c r="FNB187" s="1237"/>
      <c r="FNC187" s="1237"/>
      <c r="FND187" s="1237"/>
      <c r="FNE187" s="1237"/>
      <c r="FNF187" s="1237"/>
      <c r="FNG187" s="1237"/>
      <c r="FNH187" s="1237"/>
      <c r="FNI187" s="1237"/>
      <c r="FNJ187" s="1237"/>
      <c r="FNK187" s="1237"/>
      <c r="FNL187" s="1237"/>
      <c r="FNM187" s="1237"/>
      <c r="FNN187" s="1237"/>
      <c r="FNO187" s="1237"/>
      <c r="FNP187" s="1237"/>
      <c r="FNQ187" s="1237"/>
      <c r="FNR187" s="1237"/>
      <c r="FNS187" s="1237"/>
      <c r="FNT187" s="1237"/>
      <c r="FNU187" s="1237"/>
      <c r="FNV187" s="1237"/>
      <c r="FNW187" s="1237"/>
      <c r="FNX187" s="1237"/>
      <c r="FNY187" s="1237"/>
      <c r="FNZ187" s="1237"/>
      <c r="FOA187" s="1237"/>
      <c r="FOB187" s="1237"/>
      <c r="FOC187" s="1237"/>
      <c r="FOD187" s="1237"/>
      <c r="FOE187" s="1237"/>
      <c r="FOF187" s="1237"/>
      <c r="FOG187" s="1237"/>
      <c r="FOH187" s="1237"/>
      <c r="FOI187" s="1237"/>
      <c r="FOJ187" s="1237"/>
      <c r="FOK187" s="1237"/>
      <c r="FOL187" s="1237"/>
      <c r="FOM187" s="1237"/>
      <c r="FON187" s="1237"/>
      <c r="FOO187" s="1237"/>
      <c r="FOP187" s="1237"/>
      <c r="FOQ187" s="1237"/>
      <c r="FOR187" s="1237"/>
      <c r="FOS187" s="1237"/>
      <c r="FOT187" s="1237"/>
      <c r="FOU187" s="1237"/>
      <c r="FOV187" s="1237"/>
      <c r="FOW187" s="1237"/>
      <c r="FOX187" s="1237"/>
      <c r="FOY187" s="1237"/>
      <c r="FOZ187" s="1237"/>
      <c r="FPA187" s="1237"/>
      <c r="FPB187" s="1237"/>
      <c r="FPC187" s="1237"/>
      <c r="FPD187" s="1237"/>
      <c r="FPE187" s="1237"/>
      <c r="FPF187" s="1237"/>
      <c r="FPG187" s="1237"/>
      <c r="FPH187" s="1237"/>
      <c r="FPI187" s="1237"/>
      <c r="FPJ187" s="1237"/>
      <c r="FPK187" s="1237"/>
      <c r="FPL187" s="1237"/>
      <c r="FPM187" s="1237"/>
      <c r="FPN187" s="1237"/>
      <c r="FPO187" s="1237"/>
      <c r="FPP187" s="1237"/>
      <c r="FPQ187" s="1237"/>
      <c r="FPR187" s="1237"/>
      <c r="FPS187" s="1237"/>
      <c r="FPT187" s="1237"/>
      <c r="FPU187" s="1237"/>
      <c r="FPV187" s="1237"/>
      <c r="FPW187" s="1237"/>
      <c r="FPX187" s="1237"/>
      <c r="FPY187" s="1237"/>
      <c r="FPZ187" s="1237"/>
      <c r="FQA187" s="1237"/>
      <c r="FQB187" s="1237"/>
      <c r="FQC187" s="1237"/>
      <c r="FQD187" s="1237"/>
      <c r="FQE187" s="1237"/>
      <c r="FQF187" s="1237"/>
      <c r="FQG187" s="1237"/>
      <c r="FQH187" s="1237"/>
      <c r="FQI187" s="1237"/>
      <c r="FQJ187" s="1237"/>
      <c r="FQK187" s="1237"/>
      <c r="FQL187" s="1237"/>
      <c r="FQM187" s="1237"/>
      <c r="FQN187" s="1237"/>
      <c r="FQO187" s="1237"/>
      <c r="FQP187" s="1237"/>
      <c r="FQQ187" s="1237"/>
      <c r="FQR187" s="1237"/>
      <c r="FQS187" s="1237"/>
      <c r="FQT187" s="1237"/>
      <c r="FQU187" s="1237"/>
      <c r="FQV187" s="1237"/>
      <c r="FQW187" s="1237"/>
      <c r="FQX187" s="1237"/>
      <c r="FQY187" s="1237"/>
      <c r="FQZ187" s="1237"/>
      <c r="FRA187" s="1237"/>
      <c r="FRB187" s="1237"/>
      <c r="FRC187" s="1237"/>
      <c r="FRD187" s="1237"/>
      <c r="FRE187" s="1237"/>
      <c r="FRF187" s="1237"/>
      <c r="FRG187" s="1237"/>
      <c r="FRH187" s="1237"/>
      <c r="FRI187" s="1237"/>
      <c r="FRJ187" s="1237"/>
      <c r="FRK187" s="1237"/>
      <c r="FRL187" s="1237"/>
      <c r="FRM187" s="1237"/>
      <c r="FRN187" s="1237"/>
      <c r="FRO187" s="1237"/>
      <c r="FRP187" s="1237"/>
      <c r="FRQ187" s="1237"/>
      <c r="FRR187" s="1237"/>
      <c r="FRS187" s="1237"/>
      <c r="FRT187" s="1237"/>
      <c r="FRU187" s="1237"/>
      <c r="FRV187" s="1237"/>
      <c r="FRW187" s="1237"/>
      <c r="FRX187" s="1237"/>
      <c r="FRY187" s="1237"/>
      <c r="FRZ187" s="1237"/>
      <c r="FSA187" s="1237"/>
      <c r="FSB187" s="1237"/>
      <c r="FSC187" s="1237"/>
      <c r="FSD187" s="1237"/>
      <c r="FSE187" s="1237"/>
      <c r="FSF187" s="1237"/>
      <c r="FSG187" s="1237"/>
      <c r="FSH187" s="1237"/>
      <c r="FSI187" s="1237"/>
      <c r="FSJ187" s="1237"/>
      <c r="FSK187" s="1237"/>
      <c r="FSL187" s="1237"/>
      <c r="FSM187" s="1237"/>
      <c r="FSN187" s="1237"/>
      <c r="FSO187" s="1237"/>
      <c r="FSP187" s="1237"/>
      <c r="FSQ187" s="1237"/>
      <c r="FSR187" s="1237"/>
      <c r="FSS187" s="1237"/>
      <c r="FST187" s="1237"/>
      <c r="FSU187" s="1237"/>
      <c r="FSV187" s="1237"/>
      <c r="FSW187" s="1237"/>
      <c r="FSX187" s="1237"/>
      <c r="FSY187" s="1237"/>
      <c r="FSZ187" s="1237"/>
      <c r="FTA187" s="1237"/>
      <c r="FTB187" s="1237"/>
      <c r="FTC187" s="1237"/>
      <c r="FTD187" s="1237"/>
      <c r="FTE187" s="1237"/>
      <c r="FTF187" s="1237"/>
      <c r="FTG187" s="1237"/>
      <c r="FTH187" s="1237"/>
      <c r="FTI187" s="1237"/>
      <c r="FTJ187" s="1237"/>
      <c r="FTK187" s="1237"/>
      <c r="FTL187" s="1237"/>
      <c r="FTM187" s="1237"/>
      <c r="FTN187" s="1237"/>
      <c r="FTO187" s="1237"/>
      <c r="FTP187" s="1237"/>
      <c r="FTQ187" s="1237"/>
      <c r="FTR187" s="1237"/>
      <c r="FTS187" s="1237"/>
      <c r="FTT187" s="1237"/>
      <c r="FTU187" s="1237"/>
      <c r="FTV187" s="1237"/>
      <c r="FTW187" s="1237"/>
      <c r="FTX187" s="1237"/>
      <c r="FTY187" s="1237"/>
      <c r="FTZ187" s="1237"/>
      <c r="FUA187" s="1237"/>
      <c r="FUB187" s="1237"/>
      <c r="FUC187" s="1237"/>
      <c r="FUD187" s="1237"/>
      <c r="FUE187" s="1237"/>
      <c r="FUF187" s="1237"/>
      <c r="FUG187" s="1237"/>
      <c r="FUH187" s="1237"/>
      <c r="FUI187" s="1237"/>
      <c r="FUJ187" s="1237"/>
      <c r="FUK187" s="1237"/>
      <c r="FUL187" s="1237"/>
      <c r="FUM187" s="1237"/>
      <c r="FUN187" s="1237"/>
      <c r="FUO187" s="1237"/>
      <c r="FUP187" s="1237"/>
      <c r="FUQ187" s="1237"/>
      <c r="FUR187" s="1237"/>
      <c r="FUS187" s="1237"/>
      <c r="FUT187" s="1237"/>
      <c r="FUU187" s="1237"/>
      <c r="FUV187" s="1237"/>
      <c r="FUW187" s="1237"/>
      <c r="FUX187" s="1237"/>
      <c r="FUY187" s="1237"/>
      <c r="FUZ187" s="1237"/>
      <c r="FVA187" s="1237"/>
      <c r="FVB187" s="1237"/>
      <c r="FVC187" s="1237"/>
      <c r="FVD187" s="1237"/>
      <c r="FVE187" s="1237"/>
      <c r="FVF187" s="1237"/>
      <c r="FVG187" s="1237"/>
      <c r="FVH187" s="1237"/>
      <c r="FVI187" s="1237"/>
      <c r="FVJ187" s="1237"/>
      <c r="FVK187" s="1237"/>
      <c r="FVL187" s="1237"/>
      <c r="FVM187" s="1237"/>
      <c r="FVN187" s="1237"/>
      <c r="FVO187" s="1237"/>
      <c r="FVP187" s="1237"/>
      <c r="FVQ187" s="1237"/>
      <c r="FVR187" s="1237"/>
      <c r="FVS187" s="1237"/>
      <c r="FVT187" s="1237"/>
      <c r="FVU187" s="1237"/>
      <c r="FVV187" s="1237"/>
      <c r="FVW187" s="1237"/>
      <c r="FVX187" s="1237"/>
      <c r="FVY187" s="1237"/>
      <c r="FVZ187" s="1237"/>
      <c r="FWA187" s="1237"/>
      <c r="FWB187" s="1237"/>
      <c r="FWC187" s="1237"/>
      <c r="FWD187" s="1237"/>
      <c r="FWE187" s="1237"/>
      <c r="FWF187" s="1237"/>
      <c r="FWG187" s="1237"/>
      <c r="FWH187" s="1237"/>
      <c r="FWI187" s="1237"/>
      <c r="FWJ187" s="1237"/>
      <c r="FWK187" s="1237"/>
      <c r="FWL187" s="1237"/>
      <c r="FWM187" s="1237"/>
      <c r="FWN187" s="1237"/>
      <c r="FWO187" s="1237"/>
      <c r="FWP187" s="1237"/>
      <c r="FWQ187" s="1237"/>
      <c r="FWR187" s="1237"/>
      <c r="FWS187" s="1237"/>
      <c r="FWT187" s="1237"/>
      <c r="FWU187" s="1237"/>
      <c r="FWV187" s="1237"/>
      <c r="FWW187" s="1237"/>
      <c r="FWX187" s="1237"/>
      <c r="FWY187" s="1237"/>
      <c r="FWZ187" s="1237"/>
      <c r="FXA187" s="1237"/>
      <c r="FXB187" s="1237"/>
      <c r="FXC187" s="1237"/>
      <c r="FXD187" s="1237"/>
      <c r="FXE187" s="1237"/>
      <c r="FXF187" s="1237"/>
      <c r="FXG187" s="1237"/>
      <c r="FXH187" s="1237"/>
      <c r="FXI187" s="1237"/>
      <c r="FXJ187" s="1237"/>
      <c r="FXK187" s="1237"/>
      <c r="FXL187" s="1237"/>
      <c r="FXM187" s="1237"/>
      <c r="FXN187" s="1237"/>
      <c r="FXO187" s="1237"/>
      <c r="FXP187" s="1237"/>
      <c r="FXQ187" s="1237"/>
      <c r="FXR187" s="1237"/>
      <c r="FXS187" s="1237"/>
      <c r="FXT187" s="1237"/>
      <c r="FXU187" s="1237"/>
      <c r="FXV187" s="1237"/>
      <c r="FXW187" s="1237"/>
      <c r="FXX187" s="1237"/>
      <c r="FXY187" s="1237"/>
      <c r="FXZ187" s="1237"/>
      <c r="FYA187" s="1237"/>
      <c r="FYB187" s="1237"/>
      <c r="FYC187" s="1237"/>
      <c r="FYD187" s="1237"/>
      <c r="FYE187" s="1237"/>
      <c r="FYF187" s="1237"/>
      <c r="FYG187" s="1237"/>
      <c r="FYH187" s="1237"/>
      <c r="FYI187" s="1237"/>
      <c r="FYJ187" s="1237"/>
      <c r="FYK187" s="1237"/>
      <c r="FYL187" s="1237"/>
      <c r="FYM187" s="1237"/>
      <c r="FYN187" s="1237"/>
      <c r="FYO187" s="1237"/>
      <c r="FYP187" s="1237"/>
      <c r="FYQ187" s="1237"/>
      <c r="FYR187" s="1237"/>
      <c r="FYS187" s="1237"/>
      <c r="FYT187" s="1237"/>
      <c r="FYU187" s="1237"/>
      <c r="FYV187" s="1237"/>
      <c r="FYW187" s="1237"/>
      <c r="FYX187" s="1237"/>
      <c r="FYY187" s="1237"/>
      <c r="FYZ187" s="1237"/>
      <c r="FZA187" s="1237"/>
      <c r="FZB187" s="1237"/>
      <c r="FZC187" s="1237"/>
      <c r="FZD187" s="1237"/>
      <c r="FZE187" s="1237"/>
      <c r="FZF187" s="1237"/>
      <c r="FZG187" s="1237"/>
      <c r="FZH187" s="1237"/>
      <c r="FZI187" s="1237"/>
      <c r="FZJ187" s="1237"/>
      <c r="FZK187" s="1237"/>
      <c r="FZL187" s="1237"/>
      <c r="FZM187" s="1237"/>
      <c r="FZN187" s="1237"/>
      <c r="FZO187" s="1237"/>
      <c r="FZP187" s="1237"/>
      <c r="FZQ187" s="1237"/>
      <c r="FZR187" s="1237"/>
      <c r="FZS187" s="1237"/>
      <c r="FZT187" s="1237"/>
      <c r="FZU187" s="1237"/>
      <c r="FZV187" s="1237"/>
      <c r="FZW187" s="1237"/>
      <c r="FZX187" s="1237"/>
      <c r="FZY187" s="1237"/>
      <c r="FZZ187" s="1237"/>
      <c r="GAA187" s="1237"/>
      <c r="GAB187" s="1237"/>
      <c r="GAC187" s="1237"/>
      <c r="GAD187" s="1237"/>
      <c r="GAE187" s="1237"/>
      <c r="GAF187" s="1237"/>
      <c r="GAG187" s="1237"/>
      <c r="GAH187" s="1237"/>
      <c r="GAI187" s="1237"/>
      <c r="GAJ187" s="1237"/>
      <c r="GAK187" s="1237"/>
      <c r="GAL187" s="1237"/>
      <c r="GAM187" s="1237"/>
      <c r="GAN187" s="1237"/>
      <c r="GAO187" s="1237"/>
      <c r="GAP187" s="1237"/>
      <c r="GAQ187" s="1237"/>
      <c r="GAR187" s="1237"/>
      <c r="GAS187" s="1237"/>
      <c r="GAT187" s="1237"/>
      <c r="GAU187" s="1237"/>
      <c r="GAV187" s="1237"/>
      <c r="GAW187" s="1237"/>
      <c r="GAX187" s="1237"/>
      <c r="GAY187" s="1237"/>
      <c r="GAZ187" s="1237"/>
      <c r="GBA187" s="1237"/>
      <c r="GBB187" s="1237"/>
      <c r="GBC187" s="1237"/>
      <c r="GBD187" s="1237"/>
      <c r="GBE187" s="1237"/>
      <c r="GBF187" s="1237"/>
      <c r="GBG187" s="1237"/>
      <c r="GBH187" s="1237"/>
      <c r="GBI187" s="1237"/>
      <c r="GBJ187" s="1237"/>
      <c r="GBK187" s="1237"/>
      <c r="GBL187" s="1237"/>
      <c r="GBM187" s="1237"/>
      <c r="GBN187" s="1237"/>
      <c r="GBO187" s="1237"/>
      <c r="GBP187" s="1237"/>
      <c r="GBQ187" s="1237"/>
      <c r="GBR187" s="1237"/>
      <c r="GBS187" s="1237"/>
      <c r="GBT187" s="1237"/>
      <c r="GBU187" s="1237"/>
      <c r="GBV187" s="1237"/>
      <c r="GBW187" s="1237"/>
      <c r="GBX187" s="1237"/>
      <c r="GBY187" s="1237"/>
      <c r="GBZ187" s="1237"/>
      <c r="GCA187" s="1237"/>
      <c r="GCB187" s="1237"/>
      <c r="GCC187" s="1237"/>
      <c r="GCD187" s="1237"/>
      <c r="GCE187" s="1237"/>
      <c r="GCF187" s="1237"/>
      <c r="GCG187" s="1237"/>
      <c r="GCH187" s="1237"/>
      <c r="GCI187" s="1237"/>
      <c r="GCJ187" s="1237"/>
      <c r="GCK187" s="1237"/>
      <c r="GCL187" s="1237"/>
      <c r="GCM187" s="1237"/>
      <c r="GCN187" s="1237"/>
      <c r="GCO187" s="1237"/>
      <c r="GCP187" s="1237"/>
      <c r="GCQ187" s="1237"/>
      <c r="GCR187" s="1237"/>
      <c r="GCS187" s="1237"/>
      <c r="GCT187" s="1237"/>
      <c r="GCU187" s="1237"/>
      <c r="GCV187" s="1237"/>
      <c r="GCW187" s="1237"/>
      <c r="GCX187" s="1237"/>
      <c r="GCY187" s="1237"/>
      <c r="GCZ187" s="1237"/>
      <c r="GDA187" s="1237"/>
      <c r="GDB187" s="1237"/>
      <c r="GDC187" s="1237"/>
      <c r="GDD187" s="1237"/>
      <c r="GDE187" s="1237"/>
      <c r="GDF187" s="1237"/>
      <c r="GDG187" s="1237"/>
      <c r="GDH187" s="1237"/>
      <c r="GDI187" s="1237"/>
      <c r="GDJ187" s="1237"/>
      <c r="GDK187" s="1237"/>
      <c r="GDL187" s="1237"/>
      <c r="GDM187" s="1237"/>
      <c r="GDN187" s="1237"/>
      <c r="GDO187" s="1237"/>
      <c r="GDP187" s="1237"/>
      <c r="GDQ187" s="1237"/>
      <c r="GDR187" s="1237"/>
      <c r="GDS187" s="1237"/>
      <c r="GDT187" s="1237"/>
      <c r="GDU187" s="1237"/>
      <c r="GDV187" s="1237"/>
      <c r="GDW187" s="1237"/>
      <c r="GDX187" s="1237"/>
      <c r="GDY187" s="1237"/>
      <c r="GDZ187" s="1237"/>
      <c r="GEA187" s="1237"/>
      <c r="GEB187" s="1237"/>
      <c r="GEC187" s="1237"/>
      <c r="GED187" s="1237"/>
      <c r="GEE187" s="1237"/>
      <c r="GEF187" s="1237"/>
      <c r="GEG187" s="1237"/>
      <c r="GEH187" s="1237"/>
      <c r="GEI187" s="1237"/>
      <c r="GEJ187" s="1237"/>
      <c r="GEK187" s="1237"/>
      <c r="GEL187" s="1237"/>
      <c r="GEM187" s="1237"/>
      <c r="GEN187" s="1237"/>
      <c r="GEO187" s="1237"/>
      <c r="GEP187" s="1237"/>
      <c r="GEQ187" s="1237"/>
      <c r="GER187" s="1237"/>
      <c r="GES187" s="1237"/>
      <c r="GET187" s="1237"/>
      <c r="GEU187" s="1237"/>
      <c r="GEV187" s="1237"/>
      <c r="GEW187" s="1237"/>
      <c r="GEX187" s="1237"/>
      <c r="GEY187" s="1237"/>
      <c r="GEZ187" s="1237"/>
      <c r="GFA187" s="1237"/>
      <c r="GFB187" s="1237"/>
      <c r="GFC187" s="1237"/>
      <c r="GFD187" s="1237"/>
      <c r="GFE187" s="1237"/>
      <c r="GFF187" s="1237"/>
      <c r="GFG187" s="1237"/>
      <c r="GFH187" s="1237"/>
      <c r="GFI187" s="1237"/>
      <c r="GFJ187" s="1237"/>
      <c r="GFK187" s="1237"/>
      <c r="GFL187" s="1237"/>
      <c r="GFM187" s="1237"/>
      <c r="GFN187" s="1237"/>
      <c r="GFO187" s="1237"/>
      <c r="GFP187" s="1237"/>
      <c r="GFQ187" s="1237"/>
      <c r="GFR187" s="1237"/>
      <c r="GFS187" s="1237"/>
      <c r="GFT187" s="1237"/>
      <c r="GFU187" s="1237"/>
      <c r="GFV187" s="1237"/>
      <c r="GFW187" s="1237"/>
      <c r="GFX187" s="1237"/>
      <c r="GFY187" s="1237"/>
      <c r="GFZ187" s="1237"/>
      <c r="GGA187" s="1237"/>
      <c r="GGB187" s="1237"/>
      <c r="GGC187" s="1237"/>
      <c r="GGD187" s="1237"/>
      <c r="GGE187" s="1237"/>
      <c r="GGF187" s="1237"/>
      <c r="GGG187" s="1237"/>
      <c r="GGH187" s="1237"/>
      <c r="GGI187" s="1237"/>
      <c r="GGJ187" s="1237"/>
      <c r="GGK187" s="1237"/>
      <c r="GGL187" s="1237"/>
      <c r="GGM187" s="1237"/>
      <c r="GGN187" s="1237"/>
      <c r="GGO187" s="1237"/>
      <c r="GGP187" s="1237"/>
      <c r="GGQ187" s="1237"/>
      <c r="GGR187" s="1237"/>
      <c r="GGS187" s="1237"/>
      <c r="GGT187" s="1237"/>
      <c r="GGU187" s="1237"/>
      <c r="GGV187" s="1237"/>
      <c r="GGW187" s="1237"/>
      <c r="GGX187" s="1237"/>
      <c r="GGY187" s="1237"/>
      <c r="GGZ187" s="1237"/>
      <c r="GHA187" s="1237"/>
      <c r="GHB187" s="1237"/>
      <c r="GHC187" s="1237"/>
      <c r="GHD187" s="1237"/>
      <c r="GHE187" s="1237"/>
      <c r="GHF187" s="1237"/>
      <c r="GHG187" s="1237"/>
      <c r="GHH187" s="1237"/>
      <c r="GHI187" s="1237"/>
      <c r="GHJ187" s="1237"/>
      <c r="GHK187" s="1237"/>
      <c r="GHL187" s="1237"/>
      <c r="GHM187" s="1237"/>
      <c r="GHN187" s="1237"/>
      <c r="GHO187" s="1237"/>
      <c r="GHP187" s="1237"/>
      <c r="GHQ187" s="1237"/>
      <c r="GHR187" s="1237"/>
      <c r="GHS187" s="1237"/>
      <c r="GHT187" s="1237"/>
      <c r="GHU187" s="1237"/>
      <c r="GHV187" s="1237"/>
      <c r="GHW187" s="1237"/>
      <c r="GHX187" s="1237"/>
      <c r="GHY187" s="1237"/>
      <c r="GHZ187" s="1237"/>
      <c r="GIA187" s="1237"/>
      <c r="GIB187" s="1237"/>
      <c r="GIC187" s="1237"/>
      <c r="GID187" s="1237"/>
      <c r="GIE187" s="1237"/>
      <c r="GIF187" s="1237"/>
      <c r="GIG187" s="1237"/>
      <c r="GIH187" s="1237"/>
      <c r="GII187" s="1237"/>
      <c r="GIJ187" s="1237"/>
      <c r="GIK187" s="1237"/>
      <c r="GIL187" s="1237"/>
      <c r="GIM187" s="1237"/>
      <c r="GIN187" s="1237"/>
      <c r="GIO187" s="1237"/>
      <c r="GIP187" s="1237"/>
      <c r="GIQ187" s="1237"/>
      <c r="GIR187" s="1237"/>
      <c r="GIS187" s="1237"/>
      <c r="GIT187" s="1237"/>
      <c r="GIU187" s="1237"/>
      <c r="GIV187" s="1237"/>
      <c r="GIW187" s="1237"/>
      <c r="GIX187" s="1237"/>
      <c r="GIY187" s="1237"/>
      <c r="GIZ187" s="1237"/>
      <c r="GJA187" s="1237"/>
      <c r="GJB187" s="1237"/>
      <c r="GJC187" s="1237"/>
      <c r="GJD187" s="1237"/>
      <c r="GJE187" s="1237"/>
      <c r="GJF187" s="1237"/>
      <c r="GJG187" s="1237"/>
      <c r="GJH187" s="1237"/>
      <c r="GJI187" s="1237"/>
      <c r="GJJ187" s="1237"/>
      <c r="GJK187" s="1237"/>
      <c r="GJL187" s="1237"/>
      <c r="GJM187" s="1237"/>
      <c r="GJN187" s="1237"/>
      <c r="GJO187" s="1237"/>
      <c r="GJP187" s="1237"/>
      <c r="GJQ187" s="1237"/>
      <c r="GJR187" s="1237"/>
      <c r="GJS187" s="1237"/>
      <c r="GJT187" s="1237"/>
      <c r="GJU187" s="1237"/>
      <c r="GJV187" s="1237"/>
      <c r="GJW187" s="1237"/>
      <c r="GJX187" s="1237"/>
      <c r="GJY187" s="1237"/>
      <c r="GJZ187" s="1237"/>
      <c r="GKA187" s="1237"/>
      <c r="GKB187" s="1237"/>
      <c r="GKC187" s="1237"/>
      <c r="GKD187" s="1237"/>
      <c r="GKE187" s="1237"/>
      <c r="GKF187" s="1237"/>
      <c r="GKG187" s="1237"/>
      <c r="GKH187" s="1237"/>
      <c r="GKI187" s="1237"/>
      <c r="GKJ187" s="1237"/>
      <c r="GKK187" s="1237"/>
      <c r="GKL187" s="1237"/>
      <c r="GKM187" s="1237"/>
      <c r="GKN187" s="1237"/>
      <c r="GKO187" s="1237"/>
      <c r="GKP187" s="1237"/>
      <c r="GKQ187" s="1237"/>
      <c r="GKR187" s="1237"/>
      <c r="GKS187" s="1237"/>
      <c r="GKT187" s="1237"/>
      <c r="GKU187" s="1237"/>
      <c r="GKV187" s="1237"/>
      <c r="GKW187" s="1237"/>
      <c r="GKX187" s="1237"/>
      <c r="GKY187" s="1237"/>
      <c r="GKZ187" s="1237"/>
      <c r="GLA187" s="1237"/>
      <c r="GLB187" s="1237"/>
      <c r="GLC187" s="1237"/>
      <c r="GLD187" s="1237"/>
      <c r="GLE187" s="1237"/>
      <c r="GLF187" s="1237"/>
      <c r="GLG187" s="1237"/>
      <c r="GLH187" s="1237"/>
      <c r="GLI187" s="1237"/>
      <c r="GLJ187" s="1237"/>
      <c r="GLK187" s="1237"/>
      <c r="GLL187" s="1237"/>
      <c r="GLM187" s="1237"/>
      <c r="GLN187" s="1237"/>
      <c r="GLO187" s="1237"/>
      <c r="GLP187" s="1237"/>
      <c r="GLQ187" s="1237"/>
      <c r="GLR187" s="1237"/>
      <c r="GLS187" s="1237"/>
      <c r="GLT187" s="1237"/>
      <c r="GLU187" s="1237"/>
      <c r="GLV187" s="1237"/>
      <c r="GLW187" s="1237"/>
      <c r="GLX187" s="1237"/>
      <c r="GLY187" s="1237"/>
      <c r="GLZ187" s="1237"/>
      <c r="GMA187" s="1237"/>
      <c r="GMB187" s="1237"/>
      <c r="GMC187" s="1237"/>
      <c r="GMD187" s="1237"/>
      <c r="GME187" s="1237"/>
      <c r="GMF187" s="1237"/>
      <c r="GMG187" s="1237"/>
      <c r="GMH187" s="1237"/>
      <c r="GMI187" s="1237"/>
      <c r="GMJ187" s="1237"/>
      <c r="GMK187" s="1237"/>
      <c r="GML187" s="1237"/>
      <c r="GMM187" s="1237"/>
      <c r="GMN187" s="1237"/>
      <c r="GMO187" s="1237"/>
      <c r="GMP187" s="1237"/>
      <c r="GMQ187" s="1237"/>
      <c r="GMR187" s="1237"/>
      <c r="GMS187" s="1237"/>
      <c r="GMT187" s="1237"/>
      <c r="GMU187" s="1237"/>
      <c r="GMV187" s="1237"/>
      <c r="GMW187" s="1237"/>
      <c r="GMX187" s="1237"/>
      <c r="GMY187" s="1237"/>
      <c r="GMZ187" s="1237"/>
      <c r="GNA187" s="1237"/>
      <c r="GNB187" s="1237"/>
      <c r="GNC187" s="1237"/>
      <c r="GND187" s="1237"/>
      <c r="GNE187" s="1237"/>
      <c r="GNF187" s="1237"/>
      <c r="GNG187" s="1237"/>
      <c r="GNH187" s="1237"/>
      <c r="GNI187" s="1237"/>
      <c r="GNJ187" s="1237"/>
      <c r="GNK187" s="1237"/>
      <c r="GNL187" s="1237"/>
      <c r="GNM187" s="1237"/>
      <c r="GNN187" s="1237"/>
      <c r="GNO187" s="1237"/>
      <c r="GNP187" s="1237"/>
      <c r="GNQ187" s="1237"/>
      <c r="GNR187" s="1237"/>
      <c r="GNS187" s="1237"/>
      <c r="GNT187" s="1237"/>
      <c r="GNU187" s="1237"/>
      <c r="GNV187" s="1237"/>
      <c r="GNW187" s="1237"/>
      <c r="GNX187" s="1237"/>
      <c r="GNY187" s="1237"/>
      <c r="GNZ187" s="1237"/>
      <c r="GOA187" s="1237"/>
      <c r="GOB187" s="1237"/>
      <c r="GOC187" s="1237"/>
      <c r="GOD187" s="1237"/>
      <c r="GOE187" s="1237"/>
      <c r="GOF187" s="1237"/>
      <c r="GOG187" s="1237"/>
      <c r="GOH187" s="1237"/>
      <c r="GOI187" s="1237"/>
      <c r="GOJ187" s="1237"/>
      <c r="GOK187" s="1237"/>
      <c r="GOL187" s="1237"/>
      <c r="GOM187" s="1237"/>
      <c r="GON187" s="1237"/>
      <c r="GOO187" s="1237"/>
      <c r="GOP187" s="1237"/>
      <c r="GOQ187" s="1237"/>
      <c r="GOR187" s="1237"/>
      <c r="GOS187" s="1237"/>
      <c r="GOT187" s="1237"/>
      <c r="GOU187" s="1237"/>
      <c r="GOV187" s="1237"/>
      <c r="GOW187" s="1237"/>
      <c r="GOX187" s="1237"/>
      <c r="GOY187" s="1237"/>
      <c r="GOZ187" s="1237"/>
      <c r="GPA187" s="1237"/>
      <c r="GPB187" s="1237"/>
      <c r="GPC187" s="1237"/>
      <c r="GPD187" s="1237"/>
      <c r="GPE187" s="1237"/>
      <c r="GPF187" s="1237"/>
      <c r="GPG187" s="1237"/>
      <c r="GPH187" s="1237"/>
      <c r="GPI187" s="1237"/>
      <c r="GPJ187" s="1237"/>
      <c r="GPK187" s="1237"/>
      <c r="GPL187" s="1237"/>
      <c r="GPM187" s="1237"/>
      <c r="GPN187" s="1237"/>
      <c r="GPO187" s="1237"/>
      <c r="GPP187" s="1237"/>
      <c r="GPQ187" s="1237"/>
      <c r="GPR187" s="1237"/>
      <c r="GPS187" s="1237"/>
      <c r="GPT187" s="1237"/>
      <c r="GPU187" s="1237"/>
      <c r="GPV187" s="1237"/>
      <c r="GPW187" s="1237"/>
      <c r="GPX187" s="1237"/>
      <c r="GPY187" s="1237"/>
      <c r="GPZ187" s="1237"/>
      <c r="GQA187" s="1237"/>
      <c r="GQB187" s="1237"/>
      <c r="GQC187" s="1237"/>
      <c r="GQD187" s="1237"/>
      <c r="GQE187" s="1237"/>
      <c r="GQF187" s="1237"/>
      <c r="GQG187" s="1237"/>
      <c r="GQH187" s="1237"/>
      <c r="GQI187" s="1237"/>
      <c r="GQJ187" s="1237"/>
      <c r="GQK187" s="1237"/>
      <c r="GQL187" s="1237"/>
      <c r="GQM187" s="1237"/>
      <c r="GQN187" s="1237"/>
      <c r="GQO187" s="1237"/>
      <c r="GQP187" s="1237"/>
      <c r="GQQ187" s="1237"/>
      <c r="GQR187" s="1237"/>
      <c r="GQS187" s="1237"/>
      <c r="GQT187" s="1237"/>
      <c r="GQU187" s="1237"/>
      <c r="GQV187" s="1237"/>
      <c r="GQW187" s="1237"/>
      <c r="GQX187" s="1237"/>
      <c r="GQY187" s="1237"/>
      <c r="GQZ187" s="1237"/>
      <c r="GRA187" s="1237"/>
      <c r="GRB187" s="1237"/>
      <c r="GRC187" s="1237"/>
      <c r="GRD187" s="1237"/>
      <c r="GRE187" s="1237"/>
      <c r="GRF187" s="1237"/>
      <c r="GRG187" s="1237"/>
      <c r="GRH187" s="1237"/>
      <c r="GRI187" s="1237"/>
      <c r="GRJ187" s="1237"/>
      <c r="GRK187" s="1237"/>
      <c r="GRL187" s="1237"/>
      <c r="GRM187" s="1237"/>
      <c r="GRN187" s="1237"/>
      <c r="GRO187" s="1237"/>
      <c r="GRP187" s="1237"/>
      <c r="GRQ187" s="1237"/>
      <c r="GRR187" s="1237"/>
      <c r="GRS187" s="1237"/>
      <c r="GRT187" s="1237"/>
      <c r="GRU187" s="1237"/>
      <c r="GRV187" s="1237"/>
      <c r="GRW187" s="1237"/>
      <c r="GRX187" s="1237"/>
      <c r="GRY187" s="1237"/>
      <c r="GRZ187" s="1237"/>
      <c r="GSA187" s="1237"/>
      <c r="GSB187" s="1237"/>
      <c r="GSC187" s="1237"/>
      <c r="GSD187" s="1237"/>
      <c r="GSE187" s="1237"/>
      <c r="GSF187" s="1237"/>
      <c r="GSG187" s="1237"/>
      <c r="GSH187" s="1237"/>
      <c r="GSI187" s="1237"/>
      <c r="GSJ187" s="1237"/>
      <c r="GSK187" s="1237"/>
      <c r="GSL187" s="1237"/>
      <c r="GSM187" s="1237"/>
      <c r="GSN187" s="1237"/>
      <c r="GSO187" s="1237"/>
      <c r="GSP187" s="1237"/>
      <c r="GSQ187" s="1237"/>
      <c r="GSR187" s="1237"/>
      <c r="GSS187" s="1237"/>
      <c r="GST187" s="1237"/>
      <c r="GSU187" s="1237"/>
      <c r="GSV187" s="1237"/>
      <c r="GSW187" s="1237"/>
      <c r="GSX187" s="1237"/>
      <c r="GSY187" s="1237"/>
      <c r="GSZ187" s="1237"/>
      <c r="GTA187" s="1237"/>
      <c r="GTB187" s="1237"/>
      <c r="GTC187" s="1237"/>
      <c r="GTD187" s="1237"/>
      <c r="GTE187" s="1237"/>
      <c r="GTF187" s="1237"/>
      <c r="GTG187" s="1237"/>
      <c r="GTH187" s="1237"/>
      <c r="GTI187" s="1237"/>
      <c r="GTJ187" s="1237"/>
      <c r="GTK187" s="1237"/>
      <c r="GTL187" s="1237"/>
      <c r="GTM187" s="1237"/>
      <c r="GTN187" s="1237"/>
      <c r="GTO187" s="1237"/>
      <c r="GTP187" s="1237"/>
      <c r="GTQ187" s="1237"/>
      <c r="GTR187" s="1237"/>
      <c r="GTS187" s="1237"/>
      <c r="GTT187" s="1237"/>
      <c r="GTU187" s="1237"/>
      <c r="GTV187" s="1237"/>
      <c r="GTW187" s="1237"/>
      <c r="GTX187" s="1237"/>
      <c r="GTY187" s="1237"/>
      <c r="GTZ187" s="1237"/>
      <c r="GUA187" s="1237"/>
      <c r="GUB187" s="1237"/>
      <c r="GUC187" s="1237"/>
      <c r="GUD187" s="1237"/>
      <c r="GUE187" s="1237"/>
      <c r="GUF187" s="1237"/>
      <c r="GUG187" s="1237"/>
      <c r="GUH187" s="1237"/>
      <c r="GUI187" s="1237"/>
      <c r="GUJ187" s="1237"/>
      <c r="GUK187" s="1237"/>
      <c r="GUL187" s="1237"/>
      <c r="GUM187" s="1237"/>
      <c r="GUN187" s="1237"/>
      <c r="GUO187" s="1237"/>
      <c r="GUP187" s="1237"/>
      <c r="GUQ187" s="1237"/>
      <c r="GUR187" s="1237"/>
      <c r="GUS187" s="1237"/>
      <c r="GUT187" s="1237"/>
      <c r="GUU187" s="1237"/>
      <c r="GUV187" s="1237"/>
      <c r="GUW187" s="1237"/>
      <c r="GUX187" s="1237"/>
      <c r="GUY187" s="1237"/>
      <c r="GUZ187" s="1237"/>
      <c r="GVA187" s="1237"/>
      <c r="GVB187" s="1237"/>
      <c r="GVC187" s="1237"/>
      <c r="GVD187" s="1237"/>
      <c r="GVE187" s="1237"/>
      <c r="GVF187" s="1237"/>
      <c r="GVG187" s="1237"/>
      <c r="GVH187" s="1237"/>
      <c r="GVI187" s="1237"/>
      <c r="GVJ187" s="1237"/>
      <c r="GVK187" s="1237"/>
      <c r="GVL187" s="1237"/>
      <c r="GVM187" s="1237"/>
      <c r="GVN187" s="1237"/>
      <c r="GVO187" s="1237"/>
      <c r="GVP187" s="1237"/>
      <c r="GVQ187" s="1237"/>
      <c r="GVR187" s="1237"/>
      <c r="GVS187" s="1237"/>
      <c r="GVT187" s="1237"/>
      <c r="GVU187" s="1237"/>
      <c r="GVV187" s="1237"/>
      <c r="GVW187" s="1237"/>
      <c r="GVX187" s="1237"/>
      <c r="GVY187" s="1237"/>
      <c r="GVZ187" s="1237"/>
      <c r="GWA187" s="1237"/>
      <c r="GWB187" s="1237"/>
      <c r="GWC187" s="1237"/>
      <c r="GWD187" s="1237"/>
      <c r="GWE187" s="1237"/>
      <c r="GWF187" s="1237"/>
      <c r="GWG187" s="1237"/>
      <c r="GWH187" s="1237"/>
      <c r="GWI187" s="1237"/>
      <c r="GWJ187" s="1237"/>
      <c r="GWK187" s="1237"/>
      <c r="GWL187" s="1237"/>
      <c r="GWM187" s="1237"/>
      <c r="GWN187" s="1237"/>
      <c r="GWO187" s="1237"/>
      <c r="GWP187" s="1237"/>
      <c r="GWQ187" s="1237"/>
      <c r="GWR187" s="1237"/>
      <c r="GWS187" s="1237"/>
      <c r="GWT187" s="1237"/>
      <c r="GWU187" s="1237"/>
      <c r="GWV187" s="1237"/>
      <c r="GWW187" s="1237"/>
      <c r="GWX187" s="1237"/>
      <c r="GWY187" s="1237"/>
      <c r="GWZ187" s="1237"/>
      <c r="GXA187" s="1237"/>
      <c r="GXB187" s="1237"/>
      <c r="GXC187" s="1237"/>
      <c r="GXD187" s="1237"/>
      <c r="GXE187" s="1237"/>
      <c r="GXF187" s="1237"/>
      <c r="GXG187" s="1237"/>
      <c r="GXH187" s="1237"/>
      <c r="GXI187" s="1237"/>
      <c r="GXJ187" s="1237"/>
      <c r="GXK187" s="1237"/>
      <c r="GXL187" s="1237"/>
      <c r="GXM187" s="1237"/>
      <c r="GXN187" s="1237"/>
      <c r="GXO187" s="1237"/>
      <c r="GXP187" s="1237"/>
      <c r="GXQ187" s="1237"/>
      <c r="GXR187" s="1237"/>
      <c r="GXS187" s="1237"/>
      <c r="GXT187" s="1237"/>
      <c r="GXU187" s="1237"/>
      <c r="GXV187" s="1237"/>
      <c r="GXW187" s="1237"/>
      <c r="GXX187" s="1237"/>
      <c r="GXY187" s="1237"/>
      <c r="GXZ187" s="1237"/>
      <c r="GYA187" s="1237"/>
      <c r="GYB187" s="1237"/>
      <c r="GYC187" s="1237"/>
      <c r="GYD187" s="1237"/>
      <c r="GYE187" s="1237"/>
      <c r="GYF187" s="1237"/>
      <c r="GYG187" s="1237"/>
      <c r="GYH187" s="1237"/>
      <c r="GYI187" s="1237"/>
      <c r="GYJ187" s="1237"/>
      <c r="GYK187" s="1237"/>
      <c r="GYL187" s="1237"/>
      <c r="GYM187" s="1237"/>
      <c r="GYN187" s="1237"/>
      <c r="GYO187" s="1237"/>
      <c r="GYP187" s="1237"/>
      <c r="GYQ187" s="1237"/>
      <c r="GYR187" s="1237"/>
      <c r="GYS187" s="1237"/>
      <c r="GYT187" s="1237"/>
      <c r="GYU187" s="1237"/>
      <c r="GYV187" s="1237"/>
      <c r="GYW187" s="1237"/>
      <c r="GYX187" s="1237"/>
      <c r="GYY187" s="1237"/>
      <c r="GYZ187" s="1237"/>
      <c r="GZA187" s="1237"/>
      <c r="GZB187" s="1237"/>
      <c r="GZC187" s="1237"/>
      <c r="GZD187" s="1237"/>
      <c r="GZE187" s="1237"/>
      <c r="GZF187" s="1237"/>
      <c r="GZG187" s="1237"/>
      <c r="GZH187" s="1237"/>
      <c r="GZI187" s="1237"/>
      <c r="GZJ187" s="1237"/>
      <c r="GZK187" s="1237"/>
      <c r="GZL187" s="1237"/>
      <c r="GZM187" s="1237"/>
      <c r="GZN187" s="1237"/>
      <c r="GZO187" s="1237"/>
      <c r="GZP187" s="1237"/>
      <c r="GZQ187" s="1237"/>
      <c r="GZR187" s="1237"/>
      <c r="GZS187" s="1237"/>
      <c r="GZT187" s="1237"/>
      <c r="GZU187" s="1237"/>
      <c r="GZV187" s="1237"/>
      <c r="GZW187" s="1237"/>
      <c r="GZX187" s="1237"/>
      <c r="GZY187" s="1237"/>
      <c r="GZZ187" s="1237"/>
      <c r="HAA187" s="1237"/>
      <c r="HAB187" s="1237"/>
      <c r="HAC187" s="1237"/>
      <c r="HAD187" s="1237"/>
      <c r="HAE187" s="1237"/>
      <c r="HAF187" s="1237"/>
      <c r="HAG187" s="1237"/>
      <c r="HAH187" s="1237"/>
      <c r="HAI187" s="1237"/>
      <c r="HAJ187" s="1237"/>
      <c r="HAK187" s="1237"/>
      <c r="HAL187" s="1237"/>
      <c r="HAM187" s="1237"/>
      <c r="HAN187" s="1237"/>
      <c r="HAO187" s="1237"/>
      <c r="HAP187" s="1237"/>
      <c r="HAQ187" s="1237"/>
      <c r="HAR187" s="1237"/>
      <c r="HAS187" s="1237"/>
      <c r="HAT187" s="1237"/>
      <c r="HAU187" s="1237"/>
      <c r="HAV187" s="1237"/>
      <c r="HAW187" s="1237"/>
      <c r="HAX187" s="1237"/>
      <c r="HAY187" s="1237"/>
      <c r="HAZ187" s="1237"/>
      <c r="HBA187" s="1237"/>
      <c r="HBB187" s="1237"/>
      <c r="HBC187" s="1237"/>
      <c r="HBD187" s="1237"/>
      <c r="HBE187" s="1237"/>
      <c r="HBF187" s="1237"/>
      <c r="HBG187" s="1237"/>
      <c r="HBH187" s="1237"/>
      <c r="HBI187" s="1237"/>
      <c r="HBJ187" s="1237"/>
      <c r="HBK187" s="1237"/>
      <c r="HBL187" s="1237"/>
      <c r="HBM187" s="1237"/>
      <c r="HBN187" s="1237"/>
      <c r="HBO187" s="1237"/>
      <c r="HBP187" s="1237"/>
      <c r="HBQ187" s="1237"/>
      <c r="HBR187" s="1237"/>
      <c r="HBS187" s="1237"/>
      <c r="HBT187" s="1237"/>
      <c r="HBU187" s="1237"/>
      <c r="HBV187" s="1237"/>
      <c r="HBW187" s="1237"/>
      <c r="HBX187" s="1237"/>
      <c r="HBY187" s="1237"/>
      <c r="HBZ187" s="1237"/>
      <c r="HCA187" s="1237"/>
      <c r="HCB187" s="1237"/>
      <c r="HCC187" s="1237"/>
      <c r="HCD187" s="1237"/>
      <c r="HCE187" s="1237"/>
      <c r="HCF187" s="1237"/>
      <c r="HCG187" s="1237"/>
      <c r="HCH187" s="1237"/>
      <c r="HCI187" s="1237"/>
      <c r="HCJ187" s="1237"/>
      <c r="HCK187" s="1237"/>
      <c r="HCL187" s="1237"/>
      <c r="HCM187" s="1237"/>
      <c r="HCN187" s="1237"/>
      <c r="HCO187" s="1237"/>
      <c r="HCP187" s="1237"/>
      <c r="HCQ187" s="1237"/>
      <c r="HCR187" s="1237"/>
      <c r="HCS187" s="1237"/>
      <c r="HCT187" s="1237"/>
      <c r="HCU187" s="1237"/>
      <c r="HCV187" s="1237"/>
      <c r="HCW187" s="1237"/>
      <c r="HCX187" s="1237"/>
      <c r="HCY187" s="1237"/>
      <c r="HCZ187" s="1237"/>
      <c r="HDA187" s="1237"/>
      <c r="HDB187" s="1237"/>
      <c r="HDC187" s="1237"/>
      <c r="HDD187" s="1237"/>
      <c r="HDE187" s="1237"/>
      <c r="HDF187" s="1237"/>
      <c r="HDG187" s="1237"/>
      <c r="HDH187" s="1237"/>
      <c r="HDI187" s="1237"/>
      <c r="HDJ187" s="1237"/>
      <c r="HDK187" s="1237"/>
      <c r="HDL187" s="1237"/>
      <c r="HDM187" s="1237"/>
      <c r="HDN187" s="1237"/>
      <c r="HDO187" s="1237"/>
      <c r="HDP187" s="1237"/>
      <c r="HDQ187" s="1237"/>
      <c r="HDR187" s="1237"/>
      <c r="HDS187" s="1237"/>
      <c r="HDT187" s="1237"/>
      <c r="HDU187" s="1237"/>
      <c r="HDV187" s="1237"/>
      <c r="HDW187" s="1237"/>
      <c r="HDX187" s="1237"/>
      <c r="HDY187" s="1237"/>
      <c r="HDZ187" s="1237"/>
      <c r="HEA187" s="1237"/>
      <c r="HEB187" s="1237"/>
      <c r="HEC187" s="1237"/>
      <c r="HED187" s="1237"/>
      <c r="HEE187" s="1237"/>
      <c r="HEF187" s="1237"/>
      <c r="HEG187" s="1237"/>
      <c r="HEH187" s="1237"/>
      <c r="HEI187" s="1237"/>
      <c r="HEJ187" s="1237"/>
      <c r="HEK187" s="1237"/>
      <c r="HEL187" s="1237"/>
      <c r="HEM187" s="1237"/>
      <c r="HEN187" s="1237"/>
      <c r="HEO187" s="1237"/>
      <c r="HEP187" s="1237"/>
      <c r="HEQ187" s="1237"/>
      <c r="HER187" s="1237"/>
      <c r="HES187" s="1237"/>
      <c r="HET187" s="1237"/>
      <c r="HEU187" s="1237"/>
      <c r="HEV187" s="1237"/>
      <c r="HEW187" s="1237"/>
      <c r="HEX187" s="1237"/>
      <c r="HEY187" s="1237"/>
      <c r="HEZ187" s="1237"/>
      <c r="HFA187" s="1237"/>
      <c r="HFB187" s="1237"/>
      <c r="HFC187" s="1237"/>
      <c r="HFD187" s="1237"/>
      <c r="HFE187" s="1237"/>
      <c r="HFF187" s="1237"/>
      <c r="HFG187" s="1237"/>
      <c r="HFH187" s="1237"/>
      <c r="HFI187" s="1237"/>
      <c r="HFJ187" s="1237"/>
      <c r="HFK187" s="1237"/>
      <c r="HFL187" s="1237"/>
      <c r="HFM187" s="1237"/>
      <c r="HFN187" s="1237"/>
      <c r="HFO187" s="1237"/>
      <c r="HFP187" s="1237"/>
      <c r="HFQ187" s="1237"/>
      <c r="HFR187" s="1237"/>
      <c r="HFS187" s="1237"/>
      <c r="HFT187" s="1237"/>
      <c r="HFU187" s="1237"/>
      <c r="HFV187" s="1237"/>
      <c r="HFW187" s="1237"/>
      <c r="HFX187" s="1237"/>
      <c r="HFY187" s="1237"/>
      <c r="HFZ187" s="1237"/>
      <c r="HGA187" s="1237"/>
      <c r="HGB187" s="1237"/>
      <c r="HGC187" s="1237"/>
      <c r="HGD187" s="1237"/>
      <c r="HGE187" s="1237"/>
      <c r="HGF187" s="1237"/>
      <c r="HGG187" s="1237"/>
      <c r="HGH187" s="1237"/>
      <c r="HGI187" s="1237"/>
      <c r="HGJ187" s="1237"/>
      <c r="HGK187" s="1237"/>
      <c r="HGL187" s="1237"/>
      <c r="HGM187" s="1237"/>
      <c r="HGN187" s="1237"/>
      <c r="HGO187" s="1237"/>
      <c r="HGP187" s="1237"/>
      <c r="HGQ187" s="1237"/>
      <c r="HGR187" s="1237"/>
      <c r="HGS187" s="1237"/>
      <c r="HGT187" s="1237"/>
      <c r="HGU187" s="1237"/>
      <c r="HGV187" s="1237"/>
      <c r="HGW187" s="1237"/>
      <c r="HGX187" s="1237"/>
      <c r="HGY187" s="1237"/>
      <c r="HGZ187" s="1237"/>
      <c r="HHA187" s="1237"/>
      <c r="HHB187" s="1237"/>
      <c r="HHC187" s="1237"/>
      <c r="HHD187" s="1237"/>
      <c r="HHE187" s="1237"/>
      <c r="HHF187" s="1237"/>
      <c r="HHG187" s="1237"/>
      <c r="HHH187" s="1237"/>
      <c r="HHI187" s="1237"/>
      <c r="HHJ187" s="1237"/>
      <c r="HHK187" s="1237"/>
      <c r="HHL187" s="1237"/>
      <c r="HHM187" s="1237"/>
      <c r="HHN187" s="1237"/>
      <c r="HHO187" s="1237"/>
      <c r="HHP187" s="1237"/>
      <c r="HHQ187" s="1237"/>
      <c r="HHR187" s="1237"/>
      <c r="HHS187" s="1237"/>
      <c r="HHT187" s="1237"/>
      <c r="HHU187" s="1237"/>
      <c r="HHV187" s="1237"/>
      <c r="HHW187" s="1237"/>
      <c r="HHX187" s="1237"/>
      <c r="HHY187" s="1237"/>
      <c r="HHZ187" s="1237"/>
      <c r="HIA187" s="1237"/>
      <c r="HIB187" s="1237"/>
      <c r="HIC187" s="1237"/>
      <c r="HID187" s="1237"/>
      <c r="HIE187" s="1237"/>
      <c r="HIF187" s="1237"/>
      <c r="HIG187" s="1237"/>
      <c r="HIH187" s="1237"/>
      <c r="HII187" s="1237"/>
      <c r="HIJ187" s="1237"/>
      <c r="HIK187" s="1237"/>
      <c r="HIL187" s="1237"/>
      <c r="HIM187" s="1237"/>
      <c r="HIN187" s="1237"/>
      <c r="HIO187" s="1237"/>
      <c r="HIP187" s="1237"/>
      <c r="HIQ187" s="1237"/>
      <c r="HIR187" s="1237"/>
      <c r="HIS187" s="1237"/>
      <c r="HIT187" s="1237"/>
      <c r="HIU187" s="1237"/>
      <c r="HIV187" s="1237"/>
      <c r="HIW187" s="1237"/>
      <c r="HIX187" s="1237"/>
      <c r="HIY187" s="1237"/>
      <c r="HIZ187" s="1237"/>
      <c r="HJA187" s="1237"/>
      <c r="HJB187" s="1237"/>
      <c r="HJC187" s="1237"/>
      <c r="HJD187" s="1237"/>
      <c r="HJE187" s="1237"/>
      <c r="HJF187" s="1237"/>
      <c r="HJG187" s="1237"/>
      <c r="HJH187" s="1237"/>
      <c r="HJI187" s="1237"/>
      <c r="HJJ187" s="1237"/>
      <c r="HJK187" s="1237"/>
      <c r="HJL187" s="1237"/>
      <c r="HJM187" s="1237"/>
      <c r="HJN187" s="1237"/>
      <c r="HJO187" s="1237"/>
      <c r="HJP187" s="1237"/>
      <c r="HJQ187" s="1237"/>
      <c r="HJR187" s="1237"/>
      <c r="HJS187" s="1237"/>
      <c r="HJT187" s="1237"/>
      <c r="HJU187" s="1237"/>
      <c r="HJV187" s="1237"/>
      <c r="HJW187" s="1237"/>
      <c r="HJX187" s="1237"/>
      <c r="HJY187" s="1237"/>
      <c r="HJZ187" s="1237"/>
      <c r="HKA187" s="1237"/>
      <c r="HKB187" s="1237"/>
      <c r="HKC187" s="1237"/>
      <c r="HKD187" s="1237"/>
      <c r="HKE187" s="1237"/>
      <c r="HKF187" s="1237"/>
      <c r="HKG187" s="1237"/>
      <c r="HKH187" s="1237"/>
      <c r="HKI187" s="1237"/>
      <c r="HKJ187" s="1237"/>
      <c r="HKK187" s="1237"/>
      <c r="HKL187" s="1237"/>
      <c r="HKM187" s="1237"/>
      <c r="HKN187" s="1237"/>
      <c r="HKO187" s="1237"/>
      <c r="HKP187" s="1237"/>
      <c r="HKQ187" s="1237"/>
      <c r="HKR187" s="1237"/>
      <c r="HKS187" s="1237"/>
      <c r="HKT187" s="1237"/>
      <c r="HKU187" s="1237"/>
      <c r="HKV187" s="1237"/>
      <c r="HKW187" s="1237"/>
      <c r="HKX187" s="1237"/>
      <c r="HKY187" s="1237"/>
      <c r="HKZ187" s="1237"/>
      <c r="HLA187" s="1237"/>
      <c r="HLB187" s="1237"/>
      <c r="HLC187" s="1237"/>
      <c r="HLD187" s="1237"/>
      <c r="HLE187" s="1237"/>
      <c r="HLF187" s="1237"/>
      <c r="HLG187" s="1237"/>
      <c r="HLH187" s="1237"/>
      <c r="HLI187" s="1237"/>
      <c r="HLJ187" s="1237"/>
      <c r="HLK187" s="1237"/>
      <c r="HLL187" s="1237"/>
      <c r="HLM187" s="1237"/>
      <c r="HLN187" s="1237"/>
      <c r="HLO187" s="1237"/>
      <c r="HLP187" s="1237"/>
      <c r="HLQ187" s="1237"/>
      <c r="HLR187" s="1237"/>
      <c r="HLS187" s="1237"/>
      <c r="HLT187" s="1237"/>
      <c r="HLU187" s="1237"/>
      <c r="HLV187" s="1237"/>
      <c r="HLW187" s="1237"/>
      <c r="HLX187" s="1237"/>
      <c r="HLY187" s="1237"/>
      <c r="HLZ187" s="1237"/>
      <c r="HMA187" s="1237"/>
      <c r="HMB187" s="1237"/>
      <c r="HMC187" s="1237"/>
      <c r="HMD187" s="1237"/>
      <c r="HME187" s="1237"/>
      <c r="HMF187" s="1237"/>
      <c r="HMG187" s="1237"/>
      <c r="HMH187" s="1237"/>
      <c r="HMI187" s="1237"/>
      <c r="HMJ187" s="1237"/>
      <c r="HMK187" s="1237"/>
      <c r="HML187" s="1237"/>
      <c r="HMM187" s="1237"/>
      <c r="HMN187" s="1237"/>
      <c r="HMO187" s="1237"/>
      <c r="HMP187" s="1237"/>
      <c r="HMQ187" s="1237"/>
      <c r="HMR187" s="1237"/>
      <c r="HMS187" s="1237"/>
      <c r="HMT187" s="1237"/>
      <c r="HMU187" s="1237"/>
      <c r="HMV187" s="1237"/>
      <c r="HMW187" s="1237"/>
      <c r="HMX187" s="1237"/>
      <c r="HMY187" s="1237"/>
      <c r="HMZ187" s="1237"/>
      <c r="HNA187" s="1237"/>
      <c r="HNB187" s="1237"/>
      <c r="HNC187" s="1237"/>
      <c r="HND187" s="1237"/>
      <c r="HNE187" s="1237"/>
      <c r="HNF187" s="1237"/>
      <c r="HNG187" s="1237"/>
      <c r="HNH187" s="1237"/>
      <c r="HNI187" s="1237"/>
      <c r="HNJ187" s="1237"/>
      <c r="HNK187" s="1237"/>
      <c r="HNL187" s="1237"/>
      <c r="HNM187" s="1237"/>
      <c r="HNN187" s="1237"/>
      <c r="HNO187" s="1237"/>
      <c r="HNP187" s="1237"/>
      <c r="HNQ187" s="1237"/>
      <c r="HNR187" s="1237"/>
      <c r="HNS187" s="1237"/>
      <c r="HNT187" s="1237"/>
      <c r="HNU187" s="1237"/>
      <c r="HNV187" s="1237"/>
      <c r="HNW187" s="1237"/>
      <c r="HNX187" s="1237"/>
      <c r="HNY187" s="1237"/>
      <c r="HNZ187" s="1237"/>
      <c r="HOA187" s="1237"/>
      <c r="HOB187" s="1237"/>
      <c r="HOC187" s="1237"/>
      <c r="HOD187" s="1237"/>
      <c r="HOE187" s="1237"/>
      <c r="HOF187" s="1237"/>
      <c r="HOG187" s="1237"/>
      <c r="HOH187" s="1237"/>
      <c r="HOI187" s="1237"/>
      <c r="HOJ187" s="1237"/>
      <c r="HOK187" s="1237"/>
      <c r="HOL187" s="1237"/>
      <c r="HOM187" s="1237"/>
      <c r="HON187" s="1237"/>
      <c r="HOO187" s="1237"/>
      <c r="HOP187" s="1237"/>
      <c r="HOQ187" s="1237"/>
      <c r="HOR187" s="1237"/>
      <c r="HOS187" s="1237"/>
      <c r="HOT187" s="1237"/>
      <c r="HOU187" s="1237"/>
      <c r="HOV187" s="1237"/>
      <c r="HOW187" s="1237"/>
      <c r="HOX187" s="1237"/>
      <c r="HOY187" s="1237"/>
      <c r="HOZ187" s="1237"/>
      <c r="HPA187" s="1237"/>
      <c r="HPB187" s="1237"/>
      <c r="HPC187" s="1237"/>
      <c r="HPD187" s="1237"/>
      <c r="HPE187" s="1237"/>
      <c r="HPF187" s="1237"/>
      <c r="HPG187" s="1237"/>
      <c r="HPH187" s="1237"/>
      <c r="HPI187" s="1237"/>
      <c r="HPJ187" s="1237"/>
      <c r="HPK187" s="1237"/>
      <c r="HPL187" s="1237"/>
      <c r="HPM187" s="1237"/>
      <c r="HPN187" s="1237"/>
      <c r="HPO187" s="1237"/>
      <c r="HPP187" s="1237"/>
      <c r="HPQ187" s="1237"/>
      <c r="HPR187" s="1237"/>
      <c r="HPS187" s="1237"/>
      <c r="HPT187" s="1237"/>
      <c r="HPU187" s="1237"/>
      <c r="HPV187" s="1237"/>
      <c r="HPW187" s="1237"/>
      <c r="HPX187" s="1237"/>
      <c r="HPY187" s="1237"/>
      <c r="HPZ187" s="1237"/>
      <c r="HQA187" s="1237"/>
      <c r="HQB187" s="1237"/>
      <c r="HQC187" s="1237"/>
      <c r="HQD187" s="1237"/>
      <c r="HQE187" s="1237"/>
      <c r="HQF187" s="1237"/>
      <c r="HQG187" s="1237"/>
      <c r="HQH187" s="1237"/>
      <c r="HQI187" s="1237"/>
      <c r="HQJ187" s="1237"/>
      <c r="HQK187" s="1237"/>
      <c r="HQL187" s="1237"/>
      <c r="HQM187" s="1237"/>
      <c r="HQN187" s="1237"/>
      <c r="HQO187" s="1237"/>
      <c r="HQP187" s="1237"/>
      <c r="HQQ187" s="1237"/>
      <c r="HQR187" s="1237"/>
      <c r="HQS187" s="1237"/>
      <c r="HQT187" s="1237"/>
      <c r="HQU187" s="1237"/>
      <c r="HQV187" s="1237"/>
      <c r="HQW187" s="1237"/>
      <c r="HQX187" s="1237"/>
      <c r="HQY187" s="1237"/>
      <c r="HQZ187" s="1237"/>
      <c r="HRA187" s="1237"/>
      <c r="HRB187" s="1237"/>
      <c r="HRC187" s="1237"/>
      <c r="HRD187" s="1237"/>
      <c r="HRE187" s="1237"/>
      <c r="HRF187" s="1237"/>
      <c r="HRG187" s="1237"/>
      <c r="HRH187" s="1237"/>
      <c r="HRI187" s="1237"/>
      <c r="HRJ187" s="1237"/>
      <c r="HRK187" s="1237"/>
      <c r="HRL187" s="1237"/>
      <c r="HRM187" s="1237"/>
      <c r="HRN187" s="1237"/>
      <c r="HRO187" s="1237"/>
      <c r="HRP187" s="1237"/>
      <c r="HRQ187" s="1237"/>
      <c r="HRR187" s="1237"/>
      <c r="HRS187" s="1237"/>
      <c r="HRT187" s="1237"/>
      <c r="HRU187" s="1237"/>
      <c r="HRV187" s="1237"/>
      <c r="HRW187" s="1237"/>
      <c r="HRX187" s="1237"/>
      <c r="HRY187" s="1237"/>
      <c r="HRZ187" s="1237"/>
      <c r="HSA187" s="1237"/>
      <c r="HSB187" s="1237"/>
      <c r="HSC187" s="1237"/>
      <c r="HSD187" s="1237"/>
      <c r="HSE187" s="1237"/>
      <c r="HSF187" s="1237"/>
      <c r="HSG187" s="1237"/>
      <c r="HSH187" s="1237"/>
      <c r="HSI187" s="1237"/>
      <c r="HSJ187" s="1237"/>
      <c r="HSK187" s="1237"/>
      <c r="HSL187" s="1237"/>
      <c r="HSM187" s="1237"/>
      <c r="HSN187" s="1237"/>
      <c r="HSO187" s="1237"/>
      <c r="HSP187" s="1237"/>
      <c r="HSQ187" s="1237"/>
      <c r="HSR187" s="1237"/>
      <c r="HSS187" s="1237"/>
      <c r="HST187" s="1237"/>
      <c r="HSU187" s="1237"/>
      <c r="HSV187" s="1237"/>
      <c r="HSW187" s="1237"/>
      <c r="HSX187" s="1237"/>
      <c r="HSY187" s="1237"/>
      <c r="HSZ187" s="1237"/>
      <c r="HTA187" s="1237"/>
      <c r="HTB187" s="1237"/>
      <c r="HTC187" s="1237"/>
      <c r="HTD187" s="1237"/>
      <c r="HTE187" s="1237"/>
      <c r="HTF187" s="1237"/>
      <c r="HTG187" s="1237"/>
      <c r="HTH187" s="1237"/>
      <c r="HTI187" s="1237"/>
      <c r="HTJ187" s="1237"/>
      <c r="HTK187" s="1237"/>
      <c r="HTL187" s="1237"/>
      <c r="HTM187" s="1237"/>
      <c r="HTN187" s="1237"/>
      <c r="HTO187" s="1237"/>
      <c r="HTP187" s="1237"/>
      <c r="HTQ187" s="1237"/>
      <c r="HTR187" s="1237"/>
      <c r="HTS187" s="1237"/>
      <c r="HTT187" s="1237"/>
      <c r="HTU187" s="1237"/>
      <c r="HTV187" s="1237"/>
      <c r="HTW187" s="1237"/>
      <c r="HTX187" s="1237"/>
      <c r="HTY187" s="1237"/>
      <c r="HTZ187" s="1237"/>
      <c r="HUA187" s="1237"/>
      <c r="HUB187" s="1237"/>
      <c r="HUC187" s="1237"/>
      <c r="HUD187" s="1237"/>
      <c r="HUE187" s="1237"/>
      <c r="HUF187" s="1237"/>
      <c r="HUG187" s="1237"/>
      <c r="HUH187" s="1237"/>
      <c r="HUI187" s="1237"/>
      <c r="HUJ187" s="1237"/>
      <c r="HUK187" s="1237"/>
      <c r="HUL187" s="1237"/>
      <c r="HUM187" s="1237"/>
      <c r="HUN187" s="1237"/>
      <c r="HUO187" s="1237"/>
      <c r="HUP187" s="1237"/>
      <c r="HUQ187" s="1237"/>
      <c r="HUR187" s="1237"/>
      <c r="HUS187" s="1237"/>
      <c r="HUT187" s="1237"/>
      <c r="HUU187" s="1237"/>
      <c r="HUV187" s="1237"/>
      <c r="HUW187" s="1237"/>
      <c r="HUX187" s="1237"/>
      <c r="HUY187" s="1237"/>
      <c r="HUZ187" s="1237"/>
      <c r="HVA187" s="1237"/>
      <c r="HVB187" s="1237"/>
      <c r="HVC187" s="1237"/>
      <c r="HVD187" s="1237"/>
      <c r="HVE187" s="1237"/>
      <c r="HVF187" s="1237"/>
      <c r="HVG187" s="1237"/>
      <c r="HVH187" s="1237"/>
      <c r="HVI187" s="1237"/>
      <c r="HVJ187" s="1237"/>
      <c r="HVK187" s="1237"/>
      <c r="HVL187" s="1237"/>
      <c r="HVM187" s="1237"/>
      <c r="HVN187" s="1237"/>
      <c r="HVO187" s="1237"/>
      <c r="HVP187" s="1237"/>
      <c r="HVQ187" s="1237"/>
      <c r="HVR187" s="1237"/>
      <c r="HVS187" s="1237"/>
      <c r="HVT187" s="1237"/>
      <c r="HVU187" s="1237"/>
      <c r="HVV187" s="1237"/>
      <c r="HVW187" s="1237"/>
      <c r="HVX187" s="1237"/>
      <c r="HVY187" s="1237"/>
      <c r="HVZ187" s="1237"/>
      <c r="HWA187" s="1237"/>
      <c r="HWB187" s="1237"/>
      <c r="HWC187" s="1237"/>
      <c r="HWD187" s="1237"/>
      <c r="HWE187" s="1237"/>
      <c r="HWF187" s="1237"/>
      <c r="HWG187" s="1237"/>
      <c r="HWH187" s="1237"/>
      <c r="HWI187" s="1237"/>
      <c r="HWJ187" s="1237"/>
      <c r="HWK187" s="1237"/>
      <c r="HWL187" s="1237"/>
      <c r="HWM187" s="1237"/>
      <c r="HWN187" s="1237"/>
      <c r="HWO187" s="1237"/>
      <c r="HWP187" s="1237"/>
      <c r="HWQ187" s="1237"/>
      <c r="HWR187" s="1237"/>
      <c r="HWS187" s="1237"/>
      <c r="HWT187" s="1237"/>
      <c r="HWU187" s="1237"/>
      <c r="HWV187" s="1237"/>
      <c r="HWW187" s="1237"/>
      <c r="HWX187" s="1237"/>
      <c r="HWY187" s="1237"/>
      <c r="HWZ187" s="1237"/>
      <c r="HXA187" s="1237"/>
      <c r="HXB187" s="1237"/>
      <c r="HXC187" s="1237"/>
      <c r="HXD187" s="1237"/>
      <c r="HXE187" s="1237"/>
      <c r="HXF187" s="1237"/>
      <c r="HXG187" s="1237"/>
      <c r="HXH187" s="1237"/>
      <c r="HXI187" s="1237"/>
      <c r="HXJ187" s="1237"/>
      <c r="HXK187" s="1237"/>
      <c r="HXL187" s="1237"/>
      <c r="HXM187" s="1237"/>
      <c r="HXN187" s="1237"/>
      <c r="HXO187" s="1237"/>
      <c r="HXP187" s="1237"/>
      <c r="HXQ187" s="1237"/>
      <c r="HXR187" s="1237"/>
      <c r="HXS187" s="1237"/>
      <c r="HXT187" s="1237"/>
      <c r="HXU187" s="1237"/>
      <c r="HXV187" s="1237"/>
      <c r="HXW187" s="1237"/>
      <c r="HXX187" s="1237"/>
      <c r="HXY187" s="1237"/>
      <c r="HXZ187" s="1237"/>
      <c r="HYA187" s="1237"/>
      <c r="HYB187" s="1237"/>
      <c r="HYC187" s="1237"/>
      <c r="HYD187" s="1237"/>
      <c r="HYE187" s="1237"/>
      <c r="HYF187" s="1237"/>
      <c r="HYG187" s="1237"/>
      <c r="HYH187" s="1237"/>
      <c r="HYI187" s="1237"/>
      <c r="HYJ187" s="1237"/>
      <c r="HYK187" s="1237"/>
      <c r="HYL187" s="1237"/>
      <c r="HYM187" s="1237"/>
      <c r="HYN187" s="1237"/>
      <c r="HYO187" s="1237"/>
      <c r="HYP187" s="1237"/>
      <c r="HYQ187" s="1237"/>
      <c r="HYR187" s="1237"/>
      <c r="HYS187" s="1237"/>
      <c r="HYT187" s="1237"/>
      <c r="HYU187" s="1237"/>
      <c r="HYV187" s="1237"/>
      <c r="HYW187" s="1237"/>
      <c r="HYX187" s="1237"/>
      <c r="HYY187" s="1237"/>
      <c r="HYZ187" s="1237"/>
      <c r="HZA187" s="1237"/>
      <c r="HZB187" s="1237"/>
      <c r="HZC187" s="1237"/>
      <c r="HZD187" s="1237"/>
      <c r="HZE187" s="1237"/>
      <c r="HZF187" s="1237"/>
      <c r="HZG187" s="1237"/>
      <c r="HZH187" s="1237"/>
      <c r="HZI187" s="1237"/>
      <c r="HZJ187" s="1237"/>
      <c r="HZK187" s="1237"/>
      <c r="HZL187" s="1237"/>
      <c r="HZM187" s="1237"/>
      <c r="HZN187" s="1237"/>
      <c r="HZO187" s="1237"/>
      <c r="HZP187" s="1237"/>
      <c r="HZQ187" s="1237"/>
      <c r="HZR187" s="1237"/>
      <c r="HZS187" s="1237"/>
      <c r="HZT187" s="1237"/>
      <c r="HZU187" s="1237"/>
      <c r="HZV187" s="1237"/>
      <c r="HZW187" s="1237"/>
      <c r="HZX187" s="1237"/>
      <c r="HZY187" s="1237"/>
      <c r="HZZ187" s="1237"/>
      <c r="IAA187" s="1237"/>
      <c r="IAB187" s="1237"/>
      <c r="IAC187" s="1237"/>
      <c r="IAD187" s="1237"/>
      <c r="IAE187" s="1237"/>
      <c r="IAF187" s="1237"/>
      <c r="IAG187" s="1237"/>
      <c r="IAH187" s="1237"/>
      <c r="IAI187" s="1237"/>
      <c r="IAJ187" s="1237"/>
      <c r="IAK187" s="1237"/>
      <c r="IAL187" s="1237"/>
      <c r="IAM187" s="1237"/>
      <c r="IAN187" s="1237"/>
      <c r="IAO187" s="1237"/>
      <c r="IAP187" s="1237"/>
      <c r="IAQ187" s="1237"/>
      <c r="IAR187" s="1237"/>
      <c r="IAS187" s="1237"/>
      <c r="IAT187" s="1237"/>
      <c r="IAU187" s="1237"/>
      <c r="IAV187" s="1237"/>
      <c r="IAW187" s="1237"/>
      <c r="IAX187" s="1237"/>
      <c r="IAY187" s="1237"/>
      <c r="IAZ187" s="1237"/>
      <c r="IBA187" s="1237"/>
      <c r="IBB187" s="1237"/>
      <c r="IBC187" s="1237"/>
      <c r="IBD187" s="1237"/>
      <c r="IBE187" s="1237"/>
      <c r="IBF187" s="1237"/>
      <c r="IBG187" s="1237"/>
      <c r="IBH187" s="1237"/>
      <c r="IBI187" s="1237"/>
      <c r="IBJ187" s="1237"/>
      <c r="IBK187" s="1237"/>
      <c r="IBL187" s="1237"/>
      <c r="IBM187" s="1237"/>
      <c r="IBN187" s="1237"/>
      <c r="IBO187" s="1237"/>
      <c r="IBP187" s="1237"/>
      <c r="IBQ187" s="1237"/>
      <c r="IBR187" s="1237"/>
      <c r="IBS187" s="1237"/>
      <c r="IBT187" s="1237"/>
      <c r="IBU187" s="1237"/>
      <c r="IBV187" s="1237"/>
      <c r="IBW187" s="1237"/>
      <c r="IBX187" s="1237"/>
      <c r="IBY187" s="1237"/>
      <c r="IBZ187" s="1237"/>
      <c r="ICA187" s="1237"/>
      <c r="ICB187" s="1237"/>
      <c r="ICC187" s="1237"/>
      <c r="ICD187" s="1237"/>
      <c r="ICE187" s="1237"/>
      <c r="ICF187" s="1237"/>
      <c r="ICG187" s="1237"/>
      <c r="ICH187" s="1237"/>
      <c r="ICI187" s="1237"/>
      <c r="ICJ187" s="1237"/>
      <c r="ICK187" s="1237"/>
      <c r="ICL187" s="1237"/>
      <c r="ICM187" s="1237"/>
      <c r="ICN187" s="1237"/>
      <c r="ICO187" s="1237"/>
      <c r="ICP187" s="1237"/>
      <c r="ICQ187" s="1237"/>
      <c r="ICR187" s="1237"/>
      <c r="ICS187" s="1237"/>
      <c r="ICT187" s="1237"/>
      <c r="ICU187" s="1237"/>
      <c r="ICV187" s="1237"/>
      <c r="ICW187" s="1237"/>
      <c r="ICX187" s="1237"/>
      <c r="ICY187" s="1237"/>
      <c r="ICZ187" s="1237"/>
      <c r="IDA187" s="1237"/>
      <c r="IDB187" s="1237"/>
      <c r="IDC187" s="1237"/>
      <c r="IDD187" s="1237"/>
      <c r="IDE187" s="1237"/>
      <c r="IDF187" s="1237"/>
      <c r="IDG187" s="1237"/>
      <c r="IDH187" s="1237"/>
      <c r="IDI187" s="1237"/>
      <c r="IDJ187" s="1237"/>
      <c r="IDK187" s="1237"/>
      <c r="IDL187" s="1237"/>
      <c r="IDM187" s="1237"/>
      <c r="IDN187" s="1237"/>
      <c r="IDO187" s="1237"/>
      <c r="IDP187" s="1237"/>
      <c r="IDQ187" s="1237"/>
      <c r="IDR187" s="1237"/>
      <c r="IDS187" s="1237"/>
      <c r="IDT187" s="1237"/>
      <c r="IDU187" s="1237"/>
      <c r="IDV187" s="1237"/>
      <c r="IDW187" s="1237"/>
      <c r="IDX187" s="1237"/>
      <c r="IDY187" s="1237"/>
      <c r="IDZ187" s="1237"/>
      <c r="IEA187" s="1237"/>
      <c r="IEB187" s="1237"/>
      <c r="IEC187" s="1237"/>
      <c r="IED187" s="1237"/>
      <c r="IEE187" s="1237"/>
      <c r="IEF187" s="1237"/>
      <c r="IEG187" s="1237"/>
      <c r="IEH187" s="1237"/>
      <c r="IEI187" s="1237"/>
      <c r="IEJ187" s="1237"/>
      <c r="IEK187" s="1237"/>
      <c r="IEL187" s="1237"/>
      <c r="IEM187" s="1237"/>
      <c r="IEN187" s="1237"/>
      <c r="IEO187" s="1237"/>
      <c r="IEP187" s="1237"/>
      <c r="IEQ187" s="1237"/>
      <c r="IER187" s="1237"/>
      <c r="IES187" s="1237"/>
      <c r="IET187" s="1237"/>
      <c r="IEU187" s="1237"/>
      <c r="IEV187" s="1237"/>
      <c r="IEW187" s="1237"/>
      <c r="IEX187" s="1237"/>
      <c r="IEY187" s="1237"/>
      <c r="IEZ187" s="1237"/>
      <c r="IFA187" s="1237"/>
      <c r="IFB187" s="1237"/>
      <c r="IFC187" s="1237"/>
      <c r="IFD187" s="1237"/>
      <c r="IFE187" s="1237"/>
      <c r="IFF187" s="1237"/>
      <c r="IFG187" s="1237"/>
      <c r="IFH187" s="1237"/>
      <c r="IFI187" s="1237"/>
      <c r="IFJ187" s="1237"/>
      <c r="IFK187" s="1237"/>
      <c r="IFL187" s="1237"/>
      <c r="IFM187" s="1237"/>
      <c r="IFN187" s="1237"/>
      <c r="IFO187" s="1237"/>
      <c r="IFP187" s="1237"/>
      <c r="IFQ187" s="1237"/>
      <c r="IFR187" s="1237"/>
      <c r="IFS187" s="1237"/>
      <c r="IFT187" s="1237"/>
      <c r="IFU187" s="1237"/>
      <c r="IFV187" s="1237"/>
      <c r="IFW187" s="1237"/>
      <c r="IFX187" s="1237"/>
      <c r="IFY187" s="1237"/>
      <c r="IFZ187" s="1237"/>
      <c r="IGA187" s="1237"/>
      <c r="IGB187" s="1237"/>
      <c r="IGC187" s="1237"/>
      <c r="IGD187" s="1237"/>
      <c r="IGE187" s="1237"/>
      <c r="IGF187" s="1237"/>
      <c r="IGG187" s="1237"/>
      <c r="IGH187" s="1237"/>
      <c r="IGI187" s="1237"/>
      <c r="IGJ187" s="1237"/>
      <c r="IGK187" s="1237"/>
      <c r="IGL187" s="1237"/>
      <c r="IGM187" s="1237"/>
      <c r="IGN187" s="1237"/>
      <c r="IGO187" s="1237"/>
      <c r="IGP187" s="1237"/>
      <c r="IGQ187" s="1237"/>
      <c r="IGR187" s="1237"/>
      <c r="IGS187" s="1237"/>
      <c r="IGT187" s="1237"/>
      <c r="IGU187" s="1237"/>
      <c r="IGV187" s="1237"/>
      <c r="IGW187" s="1237"/>
      <c r="IGX187" s="1237"/>
      <c r="IGY187" s="1237"/>
      <c r="IGZ187" s="1237"/>
      <c r="IHA187" s="1237"/>
      <c r="IHB187" s="1237"/>
      <c r="IHC187" s="1237"/>
      <c r="IHD187" s="1237"/>
      <c r="IHE187" s="1237"/>
      <c r="IHF187" s="1237"/>
      <c r="IHG187" s="1237"/>
      <c r="IHH187" s="1237"/>
      <c r="IHI187" s="1237"/>
      <c r="IHJ187" s="1237"/>
      <c r="IHK187" s="1237"/>
      <c r="IHL187" s="1237"/>
      <c r="IHM187" s="1237"/>
      <c r="IHN187" s="1237"/>
      <c r="IHO187" s="1237"/>
      <c r="IHP187" s="1237"/>
      <c r="IHQ187" s="1237"/>
      <c r="IHR187" s="1237"/>
      <c r="IHS187" s="1237"/>
      <c r="IHT187" s="1237"/>
      <c r="IHU187" s="1237"/>
      <c r="IHV187" s="1237"/>
      <c r="IHW187" s="1237"/>
      <c r="IHX187" s="1237"/>
      <c r="IHY187" s="1237"/>
      <c r="IHZ187" s="1237"/>
      <c r="IIA187" s="1237"/>
      <c r="IIB187" s="1237"/>
      <c r="IIC187" s="1237"/>
      <c r="IID187" s="1237"/>
      <c r="IIE187" s="1237"/>
      <c r="IIF187" s="1237"/>
      <c r="IIG187" s="1237"/>
      <c r="IIH187" s="1237"/>
      <c r="III187" s="1237"/>
      <c r="IIJ187" s="1237"/>
      <c r="IIK187" s="1237"/>
      <c r="IIL187" s="1237"/>
      <c r="IIM187" s="1237"/>
      <c r="IIN187" s="1237"/>
      <c r="IIO187" s="1237"/>
      <c r="IIP187" s="1237"/>
      <c r="IIQ187" s="1237"/>
      <c r="IIR187" s="1237"/>
      <c r="IIS187" s="1237"/>
      <c r="IIT187" s="1237"/>
      <c r="IIU187" s="1237"/>
      <c r="IIV187" s="1237"/>
      <c r="IIW187" s="1237"/>
      <c r="IIX187" s="1237"/>
      <c r="IIY187" s="1237"/>
      <c r="IIZ187" s="1237"/>
      <c r="IJA187" s="1237"/>
      <c r="IJB187" s="1237"/>
      <c r="IJC187" s="1237"/>
      <c r="IJD187" s="1237"/>
      <c r="IJE187" s="1237"/>
      <c r="IJF187" s="1237"/>
      <c r="IJG187" s="1237"/>
      <c r="IJH187" s="1237"/>
      <c r="IJI187" s="1237"/>
      <c r="IJJ187" s="1237"/>
      <c r="IJK187" s="1237"/>
      <c r="IJL187" s="1237"/>
      <c r="IJM187" s="1237"/>
      <c r="IJN187" s="1237"/>
      <c r="IJO187" s="1237"/>
      <c r="IJP187" s="1237"/>
      <c r="IJQ187" s="1237"/>
      <c r="IJR187" s="1237"/>
      <c r="IJS187" s="1237"/>
      <c r="IJT187" s="1237"/>
      <c r="IJU187" s="1237"/>
      <c r="IJV187" s="1237"/>
      <c r="IJW187" s="1237"/>
      <c r="IJX187" s="1237"/>
      <c r="IJY187" s="1237"/>
      <c r="IJZ187" s="1237"/>
      <c r="IKA187" s="1237"/>
      <c r="IKB187" s="1237"/>
      <c r="IKC187" s="1237"/>
      <c r="IKD187" s="1237"/>
      <c r="IKE187" s="1237"/>
      <c r="IKF187" s="1237"/>
      <c r="IKG187" s="1237"/>
      <c r="IKH187" s="1237"/>
      <c r="IKI187" s="1237"/>
      <c r="IKJ187" s="1237"/>
      <c r="IKK187" s="1237"/>
      <c r="IKL187" s="1237"/>
      <c r="IKM187" s="1237"/>
      <c r="IKN187" s="1237"/>
      <c r="IKO187" s="1237"/>
      <c r="IKP187" s="1237"/>
      <c r="IKQ187" s="1237"/>
      <c r="IKR187" s="1237"/>
      <c r="IKS187" s="1237"/>
      <c r="IKT187" s="1237"/>
      <c r="IKU187" s="1237"/>
      <c r="IKV187" s="1237"/>
      <c r="IKW187" s="1237"/>
      <c r="IKX187" s="1237"/>
      <c r="IKY187" s="1237"/>
      <c r="IKZ187" s="1237"/>
      <c r="ILA187" s="1237"/>
      <c r="ILB187" s="1237"/>
      <c r="ILC187" s="1237"/>
      <c r="ILD187" s="1237"/>
      <c r="ILE187" s="1237"/>
      <c r="ILF187" s="1237"/>
      <c r="ILG187" s="1237"/>
      <c r="ILH187" s="1237"/>
      <c r="ILI187" s="1237"/>
      <c r="ILJ187" s="1237"/>
      <c r="ILK187" s="1237"/>
      <c r="ILL187" s="1237"/>
      <c r="ILM187" s="1237"/>
      <c r="ILN187" s="1237"/>
      <c r="ILO187" s="1237"/>
      <c r="ILP187" s="1237"/>
      <c r="ILQ187" s="1237"/>
      <c r="ILR187" s="1237"/>
      <c r="ILS187" s="1237"/>
      <c r="ILT187" s="1237"/>
      <c r="ILU187" s="1237"/>
      <c r="ILV187" s="1237"/>
      <c r="ILW187" s="1237"/>
      <c r="ILX187" s="1237"/>
      <c r="ILY187" s="1237"/>
      <c r="ILZ187" s="1237"/>
      <c r="IMA187" s="1237"/>
      <c r="IMB187" s="1237"/>
      <c r="IMC187" s="1237"/>
      <c r="IMD187" s="1237"/>
      <c r="IME187" s="1237"/>
      <c r="IMF187" s="1237"/>
      <c r="IMG187" s="1237"/>
      <c r="IMH187" s="1237"/>
      <c r="IMI187" s="1237"/>
      <c r="IMJ187" s="1237"/>
      <c r="IMK187" s="1237"/>
      <c r="IML187" s="1237"/>
      <c r="IMM187" s="1237"/>
      <c r="IMN187" s="1237"/>
      <c r="IMO187" s="1237"/>
      <c r="IMP187" s="1237"/>
      <c r="IMQ187" s="1237"/>
      <c r="IMR187" s="1237"/>
      <c r="IMS187" s="1237"/>
      <c r="IMT187" s="1237"/>
      <c r="IMU187" s="1237"/>
      <c r="IMV187" s="1237"/>
      <c r="IMW187" s="1237"/>
      <c r="IMX187" s="1237"/>
      <c r="IMY187" s="1237"/>
      <c r="IMZ187" s="1237"/>
      <c r="INA187" s="1237"/>
      <c r="INB187" s="1237"/>
      <c r="INC187" s="1237"/>
      <c r="IND187" s="1237"/>
      <c r="INE187" s="1237"/>
      <c r="INF187" s="1237"/>
      <c r="ING187" s="1237"/>
      <c r="INH187" s="1237"/>
      <c r="INI187" s="1237"/>
      <c r="INJ187" s="1237"/>
      <c r="INK187" s="1237"/>
      <c r="INL187" s="1237"/>
      <c r="INM187" s="1237"/>
      <c r="INN187" s="1237"/>
      <c r="INO187" s="1237"/>
      <c r="INP187" s="1237"/>
      <c r="INQ187" s="1237"/>
      <c r="INR187" s="1237"/>
      <c r="INS187" s="1237"/>
      <c r="INT187" s="1237"/>
      <c r="INU187" s="1237"/>
      <c r="INV187" s="1237"/>
      <c r="INW187" s="1237"/>
      <c r="INX187" s="1237"/>
      <c r="INY187" s="1237"/>
      <c r="INZ187" s="1237"/>
      <c r="IOA187" s="1237"/>
      <c r="IOB187" s="1237"/>
      <c r="IOC187" s="1237"/>
      <c r="IOD187" s="1237"/>
      <c r="IOE187" s="1237"/>
      <c r="IOF187" s="1237"/>
      <c r="IOG187" s="1237"/>
      <c r="IOH187" s="1237"/>
      <c r="IOI187" s="1237"/>
      <c r="IOJ187" s="1237"/>
      <c r="IOK187" s="1237"/>
      <c r="IOL187" s="1237"/>
      <c r="IOM187" s="1237"/>
      <c r="ION187" s="1237"/>
      <c r="IOO187" s="1237"/>
      <c r="IOP187" s="1237"/>
      <c r="IOQ187" s="1237"/>
      <c r="IOR187" s="1237"/>
      <c r="IOS187" s="1237"/>
      <c r="IOT187" s="1237"/>
      <c r="IOU187" s="1237"/>
      <c r="IOV187" s="1237"/>
      <c r="IOW187" s="1237"/>
      <c r="IOX187" s="1237"/>
      <c r="IOY187" s="1237"/>
      <c r="IOZ187" s="1237"/>
      <c r="IPA187" s="1237"/>
      <c r="IPB187" s="1237"/>
      <c r="IPC187" s="1237"/>
      <c r="IPD187" s="1237"/>
      <c r="IPE187" s="1237"/>
      <c r="IPF187" s="1237"/>
      <c r="IPG187" s="1237"/>
      <c r="IPH187" s="1237"/>
      <c r="IPI187" s="1237"/>
      <c r="IPJ187" s="1237"/>
      <c r="IPK187" s="1237"/>
      <c r="IPL187" s="1237"/>
      <c r="IPM187" s="1237"/>
      <c r="IPN187" s="1237"/>
      <c r="IPO187" s="1237"/>
      <c r="IPP187" s="1237"/>
      <c r="IPQ187" s="1237"/>
      <c r="IPR187" s="1237"/>
      <c r="IPS187" s="1237"/>
      <c r="IPT187" s="1237"/>
      <c r="IPU187" s="1237"/>
      <c r="IPV187" s="1237"/>
      <c r="IPW187" s="1237"/>
      <c r="IPX187" s="1237"/>
      <c r="IPY187" s="1237"/>
      <c r="IPZ187" s="1237"/>
      <c r="IQA187" s="1237"/>
      <c r="IQB187" s="1237"/>
      <c r="IQC187" s="1237"/>
      <c r="IQD187" s="1237"/>
      <c r="IQE187" s="1237"/>
      <c r="IQF187" s="1237"/>
      <c r="IQG187" s="1237"/>
      <c r="IQH187" s="1237"/>
      <c r="IQI187" s="1237"/>
      <c r="IQJ187" s="1237"/>
      <c r="IQK187" s="1237"/>
      <c r="IQL187" s="1237"/>
      <c r="IQM187" s="1237"/>
      <c r="IQN187" s="1237"/>
      <c r="IQO187" s="1237"/>
      <c r="IQP187" s="1237"/>
      <c r="IQQ187" s="1237"/>
      <c r="IQR187" s="1237"/>
      <c r="IQS187" s="1237"/>
      <c r="IQT187" s="1237"/>
      <c r="IQU187" s="1237"/>
      <c r="IQV187" s="1237"/>
      <c r="IQW187" s="1237"/>
      <c r="IQX187" s="1237"/>
      <c r="IQY187" s="1237"/>
      <c r="IQZ187" s="1237"/>
      <c r="IRA187" s="1237"/>
      <c r="IRB187" s="1237"/>
      <c r="IRC187" s="1237"/>
      <c r="IRD187" s="1237"/>
      <c r="IRE187" s="1237"/>
      <c r="IRF187" s="1237"/>
      <c r="IRG187" s="1237"/>
      <c r="IRH187" s="1237"/>
      <c r="IRI187" s="1237"/>
      <c r="IRJ187" s="1237"/>
      <c r="IRK187" s="1237"/>
      <c r="IRL187" s="1237"/>
      <c r="IRM187" s="1237"/>
      <c r="IRN187" s="1237"/>
      <c r="IRO187" s="1237"/>
      <c r="IRP187" s="1237"/>
      <c r="IRQ187" s="1237"/>
      <c r="IRR187" s="1237"/>
      <c r="IRS187" s="1237"/>
      <c r="IRT187" s="1237"/>
      <c r="IRU187" s="1237"/>
      <c r="IRV187" s="1237"/>
      <c r="IRW187" s="1237"/>
      <c r="IRX187" s="1237"/>
      <c r="IRY187" s="1237"/>
      <c r="IRZ187" s="1237"/>
      <c r="ISA187" s="1237"/>
      <c r="ISB187" s="1237"/>
      <c r="ISC187" s="1237"/>
      <c r="ISD187" s="1237"/>
      <c r="ISE187" s="1237"/>
      <c r="ISF187" s="1237"/>
      <c r="ISG187" s="1237"/>
      <c r="ISH187" s="1237"/>
      <c r="ISI187" s="1237"/>
      <c r="ISJ187" s="1237"/>
      <c r="ISK187" s="1237"/>
      <c r="ISL187" s="1237"/>
      <c r="ISM187" s="1237"/>
      <c r="ISN187" s="1237"/>
      <c r="ISO187" s="1237"/>
      <c r="ISP187" s="1237"/>
      <c r="ISQ187" s="1237"/>
      <c r="ISR187" s="1237"/>
      <c r="ISS187" s="1237"/>
      <c r="IST187" s="1237"/>
      <c r="ISU187" s="1237"/>
      <c r="ISV187" s="1237"/>
      <c r="ISW187" s="1237"/>
      <c r="ISX187" s="1237"/>
      <c r="ISY187" s="1237"/>
      <c r="ISZ187" s="1237"/>
      <c r="ITA187" s="1237"/>
      <c r="ITB187" s="1237"/>
      <c r="ITC187" s="1237"/>
      <c r="ITD187" s="1237"/>
      <c r="ITE187" s="1237"/>
      <c r="ITF187" s="1237"/>
      <c r="ITG187" s="1237"/>
      <c r="ITH187" s="1237"/>
      <c r="ITI187" s="1237"/>
      <c r="ITJ187" s="1237"/>
      <c r="ITK187" s="1237"/>
      <c r="ITL187" s="1237"/>
      <c r="ITM187" s="1237"/>
      <c r="ITN187" s="1237"/>
      <c r="ITO187" s="1237"/>
      <c r="ITP187" s="1237"/>
      <c r="ITQ187" s="1237"/>
      <c r="ITR187" s="1237"/>
      <c r="ITS187" s="1237"/>
      <c r="ITT187" s="1237"/>
      <c r="ITU187" s="1237"/>
      <c r="ITV187" s="1237"/>
      <c r="ITW187" s="1237"/>
      <c r="ITX187" s="1237"/>
      <c r="ITY187" s="1237"/>
      <c r="ITZ187" s="1237"/>
      <c r="IUA187" s="1237"/>
      <c r="IUB187" s="1237"/>
      <c r="IUC187" s="1237"/>
      <c r="IUD187" s="1237"/>
      <c r="IUE187" s="1237"/>
      <c r="IUF187" s="1237"/>
      <c r="IUG187" s="1237"/>
      <c r="IUH187" s="1237"/>
      <c r="IUI187" s="1237"/>
      <c r="IUJ187" s="1237"/>
      <c r="IUK187" s="1237"/>
      <c r="IUL187" s="1237"/>
      <c r="IUM187" s="1237"/>
      <c r="IUN187" s="1237"/>
      <c r="IUO187" s="1237"/>
      <c r="IUP187" s="1237"/>
      <c r="IUQ187" s="1237"/>
      <c r="IUR187" s="1237"/>
      <c r="IUS187" s="1237"/>
      <c r="IUT187" s="1237"/>
      <c r="IUU187" s="1237"/>
      <c r="IUV187" s="1237"/>
      <c r="IUW187" s="1237"/>
      <c r="IUX187" s="1237"/>
      <c r="IUY187" s="1237"/>
      <c r="IUZ187" s="1237"/>
      <c r="IVA187" s="1237"/>
      <c r="IVB187" s="1237"/>
      <c r="IVC187" s="1237"/>
      <c r="IVD187" s="1237"/>
      <c r="IVE187" s="1237"/>
      <c r="IVF187" s="1237"/>
      <c r="IVG187" s="1237"/>
      <c r="IVH187" s="1237"/>
      <c r="IVI187" s="1237"/>
      <c r="IVJ187" s="1237"/>
      <c r="IVK187" s="1237"/>
      <c r="IVL187" s="1237"/>
      <c r="IVM187" s="1237"/>
      <c r="IVN187" s="1237"/>
      <c r="IVO187" s="1237"/>
      <c r="IVP187" s="1237"/>
      <c r="IVQ187" s="1237"/>
      <c r="IVR187" s="1237"/>
      <c r="IVS187" s="1237"/>
      <c r="IVT187" s="1237"/>
      <c r="IVU187" s="1237"/>
      <c r="IVV187" s="1237"/>
      <c r="IVW187" s="1237"/>
      <c r="IVX187" s="1237"/>
      <c r="IVY187" s="1237"/>
      <c r="IVZ187" s="1237"/>
      <c r="IWA187" s="1237"/>
      <c r="IWB187" s="1237"/>
      <c r="IWC187" s="1237"/>
      <c r="IWD187" s="1237"/>
      <c r="IWE187" s="1237"/>
      <c r="IWF187" s="1237"/>
      <c r="IWG187" s="1237"/>
      <c r="IWH187" s="1237"/>
      <c r="IWI187" s="1237"/>
      <c r="IWJ187" s="1237"/>
      <c r="IWK187" s="1237"/>
      <c r="IWL187" s="1237"/>
      <c r="IWM187" s="1237"/>
      <c r="IWN187" s="1237"/>
      <c r="IWO187" s="1237"/>
      <c r="IWP187" s="1237"/>
      <c r="IWQ187" s="1237"/>
      <c r="IWR187" s="1237"/>
      <c r="IWS187" s="1237"/>
      <c r="IWT187" s="1237"/>
      <c r="IWU187" s="1237"/>
      <c r="IWV187" s="1237"/>
      <c r="IWW187" s="1237"/>
      <c r="IWX187" s="1237"/>
      <c r="IWY187" s="1237"/>
      <c r="IWZ187" s="1237"/>
      <c r="IXA187" s="1237"/>
      <c r="IXB187" s="1237"/>
      <c r="IXC187" s="1237"/>
      <c r="IXD187" s="1237"/>
      <c r="IXE187" s="1237"/>
      <c r="IXF187" s="1237"/>
      <c r="IXG187" s="1237"/>
      <c r="IXH187" s="1237"/>
      <c r="IXI187" s="1237"/>
      <c r="IXJ187" s="1237"/>
      <c r="IXK187" s="1237"/>
      <c r="IXL187" s="1237"/>
      <c r="IXM187" s="1237"/>
      <c r="IXN187" s="1237"/>
      <c r="IXO187" s="1237"/>
      <c r="IXP187" s="1237"/>
      <c r="IXQ187" s="1237"/>
      <c r="IXR187" s="1237"/>
      <c r="IXS187" s="1237"/>
      <c r="IXT187" s="1237"/>
      <c r="IXU187" s="1237"/>
      <c r="IXV187" s="1237"/>
      <c r="IXW187" s="1237"/>
      <c r="IXX187" s="1237"/>
      <c r="IXY187" s="1237"/>
      <c r="IXZ187" s="1237"/>
      <c r="IYA187" s="1237"/>
      <c r="IYB187" s="1237"/>
      <c r="IYC187" s="1237"/>
      <c r="IYD187" s="1237"/>
      <c r="IYE187" s="1237"/>
      <c r="IYF187" s="1237"/>
      <c r="IYG187" s="1237"/>
      <c r="IYH187" s="1237"/>
      <c r="IYI187" s="1237"/>
      <c r="IYJ187" s="1237"/>
      <c r="IYK187" s="1237"/>
      <c r="IYL187" s="1237"/>
      <c r="IYM187" s="1237"/>
      <c r="IYN187" s="1237"/>
      <c r="IYO187" s="1237"/>
      <c r="IYP187" s="1237"/>
      <c r="IYQ187" s="1237"/>
      <c r="IYR187" s="1237"/>
      <c r="IYS187" s="1237"/>
      <c r="IYT187" s="1237"/>
      <c r="IYU187" s="1237"/>
      <c r="IYV187" s="1237"/>
      <c r="IYW187" s="1237"/>
      <c r="IYX187" s="1237"/>
      <c r="IYY187" s="1237"/>
      <c r="IYZ187" s="1237"/>
      <c r="IZA187" s="1237"/>
      <c r="IZB187" s="1237"/>
      <c r="IZC187" s="1237"/>
      <c r="IZD187" s="1237"/>
      <c r="IZE187" s="1237"/>
      <c r="IZF187" s="1237"/>
      <c r="IZG187" s="1237"/>
      <c r="IZH187" s="1237"/>
      <c r="IZI187" s="1237"/>
      <c r="IZJ187" s="1237"/>
      <c r="IZK187" s="1237"/>
      <c r="IZL187" s="1237"/>
      <c r="IZM187" s="1237"/>
      <c r="IZN187" s="1237"/>
      <c r="IZO187" s="1237"/>
      <c r="IZP187" s="1237"/>
      <c r="IZQ187" s="1237"/>
      <c r="IZR187" s="1237"/>
      <c r="IZS187" s="1237"/>
      <c r="IZT187" s="1237"/>
      <c r="IZU187" s="1237"/>
      <c r="IZV187" s="1237"/>
      <c r="IZW187" s="1237"/>
      <c r="IZX187" s="1237"/>
      <c r="IZY187" s="1237"/>
      <c r="IZZ187" s="1237"/>
      <c r="JAA187" s="1237"/>
      <c r="JAB187" s="1237"/>
      <c r="JAC187" s="1237"/>
      <c r="JAD187" s="1237"/>
      <c r="JAE187" s="1237"/>
      <c r="JAF187" s="1237"/>
      <c r="JAG187" s="1237"/>
      <c r="JAH187" s="1237"/>
      <c r="JAI187" s="1237"/>
      <c r="JAJ187" s="1237"/>
      <c r="JAK187" s="1237"/>
      <c r="JAL187" s="1237"/>
      <c r="JAM187" s="1237"/>
      <c r="JAN187" s="1237"/>
      <c r="JAO187" s="1237"/>
      <c r="JAP187" s="1237"/>
      <c r="JAQ187" s="1237"/>
      <c r="JAR187" s="1237"/>
      <c r="JAS187" s="1237"/>
      <c r="JAT187" s="1237"/>
      <c r="JAU187" s="1237"/>
      <c r="JAV187" s="1237"/>
      <c r="JAW187" s="1237"/>
      <c r="JAX187" s="1237"/>
      <c r="JAY187" s="1237"/>
      <c r="JAZ187" s="1237"/>
      <c r="JBA187" s="1237"/>
      <c r="JBB187" s="1237"/>
      <c r="JBC187" s="1237"/>
      <c r="JBD187" s="1237"/>
      <c r="JBE187" s="1237"/>
      <c r="JBF187" s="1237"/>
      <c r="JBG187" s="1237"/>
      <c r="JBH187" s="1237"/>
      <c r="JBI187" s="1237"/>
      <c r="JBJ187" s="1237"/>
      <c r="JBK187" s="1237"/>
      <c r="JBL187" s="1237"/>
      <c r="JBM187" s="1237"/>
      <c r="JBN187" s="1237"/>
      <c r="JBO187" s="1237"/>
      <c r="JBP187" s="1237"/>
      <c r="JBQ187" s="1237"/>
      <c r="JBR187" s="1237"/>
      <c r="JBS187" s="1237"/>
      <c r="JBT187" s="1237"/>
      <c r="JBU187" s="1237"/>
      <c r="JBV187" s="1237"/>
      <c r="JBW187" s="1237"/>
      <c r="JBX187" s="1237"/>
      <c r="JBY187" s="1237"/>
      <c r="JBZ187" s="1237"/>
      <c r="JCA187" s="1237"/>
      <c r="JCB187" s="1237"/>
      <c r="JCC187" s="1237"/>
      <c r="JCD187" s="1237"/>
      <c r="JCE187" s="1237"/>
      <c r="JCF187" s="1237"/>
      <c r="JCG187" s="1237"/>
      <c r="JCH187" s="1237"/>
      <c r="JCI187" s="1237"/>
      <c r="JCJ187" s="1237"/>
      <c r="JCK187" s="1237"/>
      <c r="JCL187" s="1237"/>
      <c r="JCM187" s="1237"/>
      <c r="JCN187" s="1237"/>
      <c r="JCO187" s="1237"/>
      <c r="JCP187" s="1237"/>
      <c r="JCQ187" s="1237"/>
      <c r="JCR187" s="1237"/>
      <c r="JCS187" s="1237"/>
      <c r="JCT187" s="1237"/>
      <c r="JCU187" s="1237"/>
      <c r="JCV187" s="1237"/>
      <c r="JCW187" s="1237"/>
      <c r="JCX187" s="1237"/>
      <c r="JCY187" s="1237"/>
      <c r="JCZ187" s="1237"/>
      <c r="JDA187" s="1237"/>
      <c r="JDB187" s="1237"/>
      <c r="JDC187" s="1237"/>
      <c r="JDD187" s="1237"/>
      <c r="JDE187" s="1237"/>
      <c r="JDF187" s="1237"/>
      <c r="JDG187" s="1237"/>
      <c r="JDH187" s="1237"/>
      <c r="JDI187" s="1237"/>
      <c r="JDJ187" s="1237"/>
      <c r="JDK187" s="1237"/>
      <c r="JDL187" s="1237"/>
      <c r="JDM187" s="1237"/>
      <c r="JDN187" s="1237"/>
      <c r="JDO187" s="1237"/>
      <c r="JDP187" s="1237"/>
      <c r="JDQ187" s="1237"/>
      <c r="JDR187" s="1237"/>
      <c r="JDS187" s="1237"/>
      <c r="JDT187" s="1237"/>
      <c r="JDU187" s="1237"/>
      <c r="JDV187" s="1237"/>
      <c r="JDW187" s="1237"/>
      <c r="JDX187" s="1237"/>
      <c r="JDY187" s="1237"/>
      <c r="JDZ187" s="1237"/>
      <c r="JEA187" s="1237"/>
      <c r="JEB187" s="1237"/>
      <c r="JEC187" s="1237"/>
      <c r="JED187" s="1237"/>
      <c r="JEE187" s="1237"/>
      <c r="JEF187" s="1237"/>
      <c r="JEG187" s="1237"/>
      <c r="JEH187" s="1237"/>
      <c r="JEI187" s="1237"/>
      <c r="JEJ187" s="1237"/>
      <c r="JEK187" s="1237"/>
      <c r="JEL187" s="1237"/>
      <c r="JEM187" s="1237"/>
      <c r="JEN187" s="1237"/>
      <c r="JEO187" s="1237"/>
      <c r="JEP187" s="1237"/>
      <c r="JEQ187" s="1237"/>
      <c r="JER187" s="1237"/>
      <c r="JES187" s="1237"/>
      <c r="JET187" s="1237"/>
      <c r="JEU187" s="1237"/>
      <c r="JEV187" s="1237"/>
      <c r="JEW187" s="1237"/>
      <c r="JEX187" s="1237"/>
      <c r="JEY187" s="1237"/>
      <c r="JEZ187" s="1237"/>
      <c r="JFA187" s="1237"/>
      <c r="JFB187" s="1237"/>
      <c r="JFC187" s="1237"/>
      <c r="JFD187" s="1237"/>
      <c r="JFE187" s="1237"/>
      <c r="JFF187" s="1237"/>
      <c r="JFG187" s="1237"/>
      <c r="JFH187" s="1237"/>
      <c r="JFI187" s="1237"/>
      <c r="JFJ187" s="1237"/>
      <c r="JFK187" s="1237"/>
      <c r="JFL187" s="1237"/>
      <c r="JFM187" s="1237"/>
      <c r="JFN187" s="1237"/>
      <c r="JFO187" s="1237"/>
      <c r="JFP187" s="1237"/>
      <c r="JFQ187" s="1237"/>
      <c r="JFR187" s="1237"/>
      <c r="JFS187" s="1237"/>
      <c r="JFT187" s="1237"/>
      <c r="JFU187" s="1237"/>
      <c r="JFV187" s="1237"/>
      <c r="JFW187" s="1237"/>
      <c r="JFX187" s="1237"/>
      <c r="JFY187" s="1237"/>
      <c r="JFZ187" s="1237"/>
      <c r="JGA187" s="1237"/>
      <c r="JGB187" s="1237"/>
      <c r="JGC187" s="1237"/>
      <c r="JGD187" s="1237"/>
      <c r="JGE187" s="1237"/>
      <c r="JGF187" s="1237"/>
      <c r="JGG187" s="1237"/>
      <c r="JGH187" s="1237"/>
      <c r="JGI187" s="1237"/>
      <c r="JGJ187" s="1237"/>
      <c r="JGK187" s="1237"/>
      <c r="JGL187" s="1237"/>
      <c r="JGM187" s="1237"/>
      <c r="JGN187" s="1237"/>
      <c r="JGO187" s="1237"/>
      <c r="JGP187" s="1237"/>
      <c r="JGQ187" s="1237"/>
      <c r="JGR187" s="1237"/>
      <c r="JGS187" s="1237"/>
      <c r="JGT187" s="1237"/>
      <c r="JGU187" s="1237"/>
      <c r="JGV187" s="1237"/>
      <c r="JGW187" s="1237"/>
      <c r="JGX187" s="1237"/>
      <c r="JGY187" s="1237"/>
      <c r="JGZ187" s="1237"/>
      <c r="JHA187" s="1237"/>
      <c r="JHB187" s="1237"/>
      <c r="JHC187" s="1237"/>
      <c r="JHD187" s="1237"/>
      <c r="JHE187" s="1237"/>
      <c r="JHF187" s="1237"/>
      <c r="JHG187" s="1237"/>
      <c r="JHH187" s="1237"/>
      <c r="JHI187" s="1237"/>
      <c r="JHJ187" s="1237"/>
      <c r="JHK187" s="1237"/>
      <c r="JHL187" s="1237"/>
      <c r="JHM187" s="1237"/>
      <c r="JHN187" s="1237"/>
      <c r="JHO187" s="1237"/>
      <c r="JHP187" s="1237"/>
      <c r="JHQ187" s="1237"/>
      <c r="JHR187" s="1237"/>
      <c r="JHS187" s="1237"/>
      <c r="JHT187" s="1237"/>
      <c r="JHU187" s="1237"/>
      <c r="JHV187" s="1237"/>
      <c r="JHW187" s="1237"/>
      <c r="JHX187" s="1237"/>
      <c r="JHY187" s="1237"/>
      <c r="JHZ187" s="1237"/>
      <c r="JIA187" s="1237"/>
      <c r="JIB187" s="1237"/>
      <c r="JIC187" s="1237"/>
      <c r="JID187" s="1237"/>
      <c r="JIE187" s="1237"/>
      <c r="JIF187" s="1237"/>
      <c r="JIG187" s="1237"/>
      <c r="JIH187" s="1237"/>
      <c r="JII187" s="1237"/>
      <c r="JIJ187" s="1237"/>
      <c r="JIK187" s="1237"/>
      <c r="JIL187" s="1237"/>
      <c r="JIM187" s="1237"/>
      <c r="JIN187" s="1237"/>
      <c r="JIO187" s="1237"/>
      <c r="JIP187" s="1237"/>
      <c r="JIQ187" s="1237"/>
      <c r="JIR187" s="1237"/>
      <c r="JIS187" s="1237"/>
      <c r="JIT187" s="1237"/>
      <c r="JIU187" s="1237"/>
      <c r="JIV187" s="1237"/>
      <c r="JIW187" s="1237"/>
      <c r="JIX187" s="1237"/>
      <c r="JIY187" s="1237"/>
      <c r="JIZ187" s="1237"/>
      <c r="JJA187" s="1237"/>
      <c r="JJB187" s="1237"/>
      <c r="JJC187" s="1237"/>
      <c r="JJD187" s="1237"/>
      <c r="JJE187" s="1237"/>
      <c r="JJF187" s="1237"/>
      <c r="JJG187" s="1237"/>
      <c r="JJH187" s="1237"/>
      <c r="JJI187" s="1237"/>
      <c r="JJJ187" s="1237"/>
      <c r="JJK187" s="1237"/>
      <c r="JJL187" s="1237"/>
      <c r="JJM187" s="1237"/>
      <c r="JJN187" s="1237"/>
      <c r="JJO187" s="1237"/>
      <c r="JJP187" s="1237"/>
      <c r="JJQ187" s="1237"/>
      <c r="JJR187" s="1237"/>
      <c r="JJS187" s="1237"/>
      <c r="JJT187" s="1237"/>
      <c r="JJU187" s="1237"/>
      <c r="JJV187" s="1237"/>
      <c r="JJW187" s="1237"/>
      <c r="JJX187" s="1237"/>
      <c r="JJY187" s="1237"/>
      <c r="JJZ187" s="1237"/>
      <c r="JKA187" s="1237"/>
      <c r="JKB187" s="1237"/>
      <c r="JKC187" s="1237"/>
      <c r="JKD187" s="1237"/>
      <c r="JKE187" s="1237"/>
      <c r="JKF187" s="1237"/>
      <c r="JKG187" s="1237"/>
      <c r="JKH187" s="1237"/>
      <c r="JKI187" s="1237"/>
      <c r="JKJ187" s="1237"/>
      <c r="JKK187" s="1237"/>
      <c r="JKL187" s="1237"/>
      <c r="JKM187" s="1237"/>
      <c r="JKN187" s="1237"/>
      <c r="JKO187" s="1237"/>
      <c r="JKP187" s="1237"/>
      <c r="JKQ187" s="1237"/>
      <c r="JKR187" s="1237"/>
      <c r="JKS187" s="1237"/>
      <c r="JKT187" s="1237"/>
      <c r="JKU187" s="1237"/>
      <c r="JKV187" s="1237"/>
      <c r="JKW187" s="1237"/>
      <c r="JKX187" s="1237"/>
      <c r="JKY187" s="1237"/>
      <c r="JKZ187" s="1237"/>
      <c r="JLA187" s="1237"/>
      <c r="JLB187" s="1237"/>
      <c r="JLC187" s="1237"/>
      <c r="JLD187" s="1237"/>
      <c r="JLE187" s="1237"/>
      <c r="JLF187" s="1237"/>
      <c r="JLG187" s="1237"/>
      <c r="JLH187" s="1237"/>
      <c r="JLI187" s="1237"/>
      <c r="JLJ187" s="1237"/>
      <c r="JLK187" s="1237"/>
      <c r="JLL187" s="1237"/>
      <c r="JLM187" s="1237"/>
      <c r="JLN187" s="1237"/>
      <c r="JLO187" s="1237"/>
      <c r="JLP187" s="1237"/>
      <c r="JLQ187" s="1237"/>
      <c r="JLR187" s="1237"/>
      <c r="JLS187" s="1237"/>
      <c r="JLT187" s="1237"/>
      <c r="JLU187" s="1237"/>
      <c r="JLV187" s="1237"/>
      <c r="JLW187" s="1237"/>
      <c r="JLX187" s="1237"/>
      <c r="JLY187" s="1237"/>
      <c r="JLZ187" s="1237"/>
      <c r="JMA187" s="1237"/>
      <c r="JMB187" s="1237"/>
      <c r="JMC187" s="1237"/>
      <c r="JMD187" s="1237"/>
      <c r="JME187" s="1237"/>
      <c r="JMF187" s="1237"/>
      <c r="JMG187" s="1237"/>
      <c r="JMH187" s="1237"/>
      <c r="JMI187" s="1237"/>
      <c r="JMJ187" s="1237"/>
      <c r="JMK187" s="1237"/>
      <c r="JML187" s="1237"/>
      <c r="JMM187" s="1237"/>
      <c r="JMN187" s="1237"/>
      <c r="JMO187" s="1237"/>
      <c r="JMP187" s="1237"/>
      <c r="JMQ187" s="1237"/>
      <c r="JMR187" s="1237"/>
      <c r="JMS187" s="1237"/>
      <c r="JMT187" s="1237"/>
      <c r="JMU187" s="1237"/>
      <c r="JMV187" s="1237"/>
      <c r="JMW187" s="1237"/>
      <c r="JMX187" s="1237"/>
      <c r="JMY187" s="1237"/>
      <c r="JMZ187" s="1237"/>
      <c r="JNA187" s="1237"/>
      <c r="JNB187" s="1237"/>
      <c r="JNC187" s="1237"/>
      <c r="JND187" s="1237"/>
      <c r="JNE187" s="1237"/>
      <c r="JNF187" s="1237"/>
      <c r="JNG187" s="1237"/>
      <c r="JNH187" s="1237"/>
      <c r="JNI187" s="1237"/>
      <c r="JNJ187" s="1237"/>
      <c r="JNK187" s="1237"/>
      <c r="JNL187" s="1237"/>
      <c r="JNM187" s="1237"/>
      <c r="JNN187" s="1237"/>
      <c r="JNO187" s="1237"/>
      <c r="JNP187" s="1237"/>
      <c r="JNQ187" s="1237"/>
      <c r="JNR187" s="1237"/>
      <c r="JNS187" s="1237"/>
      <c r="JNT187" s="1237"/>
      <c r="JNU187" s="1237"/>
      <c r="JNV187" s="1237"/>
      <c r="JNW187" s="1237"/>
      <c r="JNX187" s="1237"/>
      <c r="JNY187" s="1237"/>
      <c r="JNZ187" s="1237"/>
      <c r="JOA187" s="1237"/>
      <c r="JOB187" s="1237"/>
      <c r="JOC187" s="1237"/>
      <c r="JOD187" s="1237"/>
      <c r="JOE187" s="1237"/>
      <c r="JOF187" s="1237"/>
      <c r="JOG187" s="1237"/>
      <c r="JOH187" s="1237"/>
      <c r="JOI187" s="1237"/>
      <c r="JOJ187" s="1237"/>
      <c r="JOK187" s="1237"/>
      <c r="JOL187" s="1237"/>
      <c r="JOM187" s="1237"/>
      <c r="JON187" s="1237"/>
      <c r="JOO187" s="1237"/>
      <c r="JOP187" s="1237"/>
      <c r="JOQ187" s="1237"/>
      <c r="JOR187" s="1237"/>
      <c r="JOS187" s="1237"/>
      <c r="JOT187" s="1237"/>
      <c r="JOU187" s="1237"/>
      <c r="JOV187" s="1237"/>
      <c r="JOW187" s="1237"/>
      <c r="JOX187" s="1237"/>
      <c r="JOY187" s="1237"/>
      <c r="JOZ187" s="1237"/>
      <c r="JPA187" s="1237"/>
      <c r="JPB187" s="1237"/>
      <c r="JPC187" s="1237"/>
      <c r="JPD187" s="1237"/>
      <c r="JPE187" s="1237"/>
      <c r="JPF187" s="1237"/>
      <c r="JPG187" s="1237"/>
      <c r="JPH187" s="1237"/>
      <c r="JPI187" s="1237"/>
      <c r="JPJ187" s="1237"/>
      <c r="JPK187" s="1237"/>
      <c r="JPL187" s="1237"/>
      <c r="JPM187" s="1237"/>
      <c r="JPN187" s="1237"/>
      <c r="JPO187" s="1237"/>
      <c r="JPP187" s="1237"/>
      <c r="JPQ187" s="1237"/>
      <c r="JPR187" s="1237"/>
      <c r="JPS187" s="1237"/>
      <c r="JPT187" s="1237"/>
      <c r="JPU187" s="1237"/>
      <c r="JPV187" s="1237"/>
      <c r="JPW187" s="1237"/>
      <c r="JPX187" s="1237"/>
      <c r="JPY187" s="1237"/>
      <c r="JPZ187" s="1237"/>
      <c r="JQA187" s="1237"/>
      <c r="JQB187" s="1237"/>
      <c r="JQC187" s="1237"/>
      <c r="JQD187" s="1237"/>
      <c r="JQE187" s="1237"/>
      <c r="JQF187" s="1237"/>
      <c r="JQG187" s="1237"/>
      <c r="JQH187" s="1237"/>
      <c r="JQI187" s="1237"/>
      <c r="JQJ187" s="1237"/>
      <c r="JQK187" s="1237"/>
      <c r="JQL187" s="1237"/>
      <c r="JQM187" s="1237"/>
      <c r="JQN187" s="1237"/>
      <c r="JQO187" s="1237"/>
      <c r="JQP187" s="1237"/>
      <c r="JQQ187" s="1237"/>
      <c r="JQR187" s="1237"/>
      <c r="JQS187" s="1237"/>
      <c r="JQT187" s="1237"/>
      <c r="JQU187" s="1237"/>
      <c r="JQV187" s="1237"/>
      <c r="JQW187" s="1237"/>
      <c r="JQX187" s="1237"/>
      <c r="JQY187" s="1237"/>
      <c r="JQZ187" s="1237"/>
      <c r="JRA187" s="1237"/>
      <c r="JRB187" s="1237"/>
      <c r="JRC187" s="1237"/>
      <c r="JRD187" s="1237"/>
      <c r="JRE187" s="1237"/>
      <c r="JRF187" s="1237"/>
      <c r="JRG187" s="1237"/>
      <c r="JRH187" s="1237"/>
      <c r="JRI187" s="1237"/>
      <c r="JRJ187" s="1237"/>
      <c r="JRK187" s="1237"/>
      <c r="JRL187" s="1237"/>
      <c r="JRM187" s="1237"/>
      <c r="JRN187" s="1237"/>
      <c r="JRO187" s="1237"/>
      <c r="JRP187" s="1237"/>
      <c r="JRQ187" s="1237"/>
      <c r="JRR187" s="1237"/>
      <c r="JRS187" s="1237"/>
      <c r="JRT187" s="1237"/>
      <c r="JRU187" s="1237"/>
      <c r="JRV187" s="1237"/>
      <c r="JRW187" s="1237"/>
      <c r="JRX187" s="1237"/>
      <c r="JRY187" s="1237"/>
      <c r="JRZ187" s="1237"/>
      <c r="JSA187" s="1237"/>
      <c r="JSB187" s="1237"/>
      <c r="JSC187" s="1237"/>
      <c r="JSD187" s="1237"/>
      <c r="JSE187" s="1237"/>
      <c r="JSF187" s="1237"/>
      <c r="JSG187" s="1237"/>
      <c r="JSH187" s="1237"/>
      <c r="JSI187" s="1237"/>
      <c r="JSJ187" s="1237"/>
      <c r="JSK187" s="1237"/>
      <c r="JSL187" s="1237"/>
      <c r="JSM187" s="1237"/>
      <c r="JSN187" s="1237"/>
      <c r="JSO187" s="1237"/>
      <c r="JSP187" s="1237"/>
      <c r="JSQ187" s="1237"/>
      <c r="JSR187" s="1237"/>
      <c r="JSS187" s="1237"/>
      <c r="JST187" s="1237"/>
      <c r="JSU187" s="1237"/>
      <c r="JSV187" s="1237"/>
      <c r="JSW187" s="1237"/>
      <c r="JSX187" s="1237"/>
      <c r="JSY187" s="1237"/>
      <c r="JSZ187" s="1237"/>
      <c r="JTA187" s="1237"/>
      <c r="JTB187" s="1237"/>
      <c r="JTC187" s="1237"/>
      <c r="JTD187" s="1237"/>
      <c r="JTE187" s="1237"/>
      <c r="JTF187" s="1237"/>
      <c r="JTG187" s="1237"/>
      <c r="JTH187" s="1237"/>
      <c r="JTI187" s="1237"/>
      <c r="JTJ187" s="1237"/>
      <c r="JTK187" s="1237"/>
      <c r="JTL187" s="1237"/>
      <c r="JTM187" s="1237"/>
      <c r="JTN187" s="1237"/>
      <c r="JTO187" s="1237"/>
      <c r="JTP187" s="1237"/>
      <c r="JTQ187" s="1237"/>
      <c r="JTR187" s="1237"/>
      <c r="JTS187" s="1237"/>
      <c r="JTT187" s="1237"/>
      <c r="JTU187" s="1237"/>
      <c r="JTV187" s="1237"/>
      <c r="JTW187" s="1237"/>
      <c r="JTX187" s="1237"/>
      <c r="JTY187" s="1237"/>
      <c r="JTZ187" s="1237"/>
      <c r="JUA187" s="1237"/>
      <c r="JUB187" s="1237"/>
      <c r="JUC187" s="1237"/>
      <c r="JUD187" s="1237"/>
      <c r="JUE187" s="1237"/>
      <c r="JUF187" s="1237"/>
      <c r="JUG187" s="1237"/>
      <c r="JUH187" s="1237"/>
      <c r="JUI187" s="1237"/>
      <c r="JUJ187" s="1237"/>
      <c r="JUK187" s="1237"/>
      <c r="JUL187" s="1237"/>
      <c r="JUM187" s="1237"/>
      <c r="JUN187" s="1237"/>
      <c r="JUO187" s="1237"/>
      <c r="JUP187" s="1237"/>
      <c r="JUQ187" s="1237"/>
      <c r="JUR187" s="1237"/>
      <c r="JUS187" s="1237"/>
      <c r="JUT187" s="1237"/>
      <c r="JUU187" s="1237"/>
      <c r="JUV187" s="1237"/>
      <c r="JUW187" s="1237"/>
      <c r="JUX187" s="1237"/>
      <c r="JUY187" s="1237"/>
      <c r="JUZ187" s="1237"/>
      <c r="JVA187" s="1237"/>
      <c r="JVB187" s="1237"/>
      <c r="JVC187" s="1237"/>
      <c r="JVD187" s="1237"/>
      <c r="JVE187" s="1237"/>
      <c r="JVF187" s="1237"/>
      <c r="JVG187" s="1237"/>
      <c r="JVH187" s="1237"/>
      <c r="JVI187" s="1237"/>
      <c r="JVJ187" s="1237"/>
      <c r="JVK187" s="1237"/>
      <c r="JVL187" s="1237"/>
      <c r="JVM187" s="1237"/>
      <c r="JVN187" s="1237"/>
      <c r="JVO187" s="1237"/>
      <c r="JVP187" s="1237"/>
      <c r="JVQ187" s="1237"/>
      <c r="JVR187" s="1237"/>
      <c r="JVS187" s="1237"/>
      <c r="JVT187" s="1237"/>
      <c r="JVU187" s="1237"/>
      <c r="JVV187" s="1237"/>
      <c r="JVW187" s="1237"/>
      <c r="JVX187" s="1237"/>
      <c r="JVY187" s="1237"/>
      <c r="JVZ187" s="1237"/>
      <c r="JWA187" s="1237"/>
      <c r="JWB187" s="1237"/>
      <c r="JWC187" s="1237"/>
      <c r="JWD187" s="1237"/>
      <c r="JWE187" s="1237"/>
      <c r="JWF187" s="1237"/>
      <c r="JWG187" s="1237"/>
      <c r="JWH187" s="1237"/>
      <c r="JWI187" s="1237"/>
      <c r="JWJ187" s="1237"/>
      <c r="JWK187" s="1237"/>
      <c r="JWL187" s="1237"/>
      <c r="JWM187" s="1237"/>
      <c r="JWN187" s="1237"/>
      <c r="JWO187" s="1237"/>
      <c r="JWP187" s="1237"/>
      <c r="JWQ187" s="1237"/>
      <c r="JWR187" s="1237"/>
      <c r="JWS187" s="1237"/>
      <c r="JWT187" s="1237"/>
      <c r="JWU187" s="1237"/>
      <c r="JWV187" s="1237"/>
      <c r="JWW187" s="1237"/>
      <c r="JWX187" s="1237"/>
      <c r="JWY187" s="1237"/>
      <c r="JWZ187" s="1237"/>
      <c r="JXA187" s="1237"/>
      <c r="JXB187" s="1237"/>
      <c r="JXC187" s="1237"/>
      <c r="JXD187" s="1237"/>
      <c r="JXE187" s="1237"/>
      <c r="JXF187" s="1237"/>
      <c r="JXG187" s="1237"/>
      <c r="JXH187" s="1237"/>
      <c r="JXI187" s="1237"/>
      <c r="JXJ187" s="1237"/>
      <c r="JXK187" s="1237"/>
      <c r="JXL187" s="1237"/>
      <c r="JXM187" s="1237"/>
      <c r="JXN187" s="1237"/>
      <c r="JXO187" s="1237"/>
      <c r="JXP187" s="1237"/>
      <c r="JXQ187" s="1237"/>
      <c r="JXR187" s="1237"/>
      <c r="JXS187" s="1237"/>
      <c r="JXT187" s="1237"/>
      <c r="JXU187" s="1237"/>
      <c r="JXV187" s="1237"/>
      <c r="JXW187" s="1237"/>
      <c r="JXX187" s="1237"/>
      <c r="JXY187" s="1237"/>
      <c r="JXZ187" s="1237"/>
      <c r="JYA187" s="1237"/>
      <c r="JYB187" s="1237"/>
      <c r="JYC187" s="1237"/>
      <c r="JYD187" s="1237"/>
      <c r="JYE187" s="1237"/>
      <c r="JYF187" s="1237"/>
      <c r="JYG187" s="1237"/>
      <c r="JYH187" s="1237"/>
      <c r="JYI187" s="1237"/>
      <c r="JYJ187" s="1237"/>
      <c r="JYK187" s="1237"/>
      <c r="JYL187" s="1237"/>
      <c r="JYM187" s="1237"/>
      <c r="JYN187" s="1237"/>
      <c r="JYO187" s="1237"/>
      <c r="JYP187" s="1237"/>
      <c r="JYQ187" s="1237"/>
      <c r="JYR187" s="1237"/>
      <c r="JYS187" s="1237"/>
      <c r="JYT187" s="1237"/>
      <c r="JYU187" s="1237"/>
      <c r="JYV187" s="1237"/>
      <c r="JYW187" s="1237"/>
      <c r="JYX187" s="1237"/>
      <c r="JYY187" s="1237"/>
      <c r="JYZ187" s="1237"/>
      <c r="JZA187" s="1237"/>
      <c r="JZB187" s="1237"/>
      <c r="JZC187" s="1237"/>
      <c r="JZD187" s="1237"/>
      <c r="JZE187" s="1237"/>
      <c r="JZF187" s="1237"/>
      <c r="JZG187" s="1237"/>
      <c r="JZH187" s="1237"/>
      <c r="JZI187" s="1237"/>
      <c r="JZJ187" s="1237"/>
      <c r="JZK187" s="1237"/>
      <c r="JZL187" s="1237"/>
      <c r="JZM187" s="1237"/>
      <c r="JZN187" s="1237"/>
      <c r="JZO187" s="1237"/>
      <c r="JZP187" s="1237"/>
      <c r="JZQ187" s="1237"/>
      <c r="JZR187" s="1237"/>
      <c r="JZS187" s="1237"/>
      <c r="JZT187" s="1237"/>
      <c r="JZU187" s="1237"/>
      <c r="JZV187" s="1237"/>
      <c r="JZW187" s="1237"/>
      <c r="JZX187" s="1237"/>
      <c r="JZY187" s="1237"/>
      <c r="JZZ187" s="1237"/>
      <c r="KAA187" s="1237"/>
      <c r="KAB187" s="1237"/>
      <c r="KAC187" s="1237"/>
      <c r="KAD187" s="1237"/>
      <c r="KAE187" s="1237"/>
      <c r="KAF187" s="1237"/>
      <c r="KAG187" s="1237"/>
      <c r="KAH187" s="1237"/>
      <c r="KAI187" s="1237"/>
      <c r="KAJ187" s="1237"/>
      <c r="KAK187" s="1237"/>
      <c r="KAL187" s="1237"/>
      <c r="KAM187" s="1237"/>
      <c r="KAN187" s="1237"/>
      <c r="KAO187" s="1237"/>
      <c r="KAP187" s="1237"/>
      <c r="KAQ187" s="1237"/>
      <c r="KAR187" s="1237"/>
      <c r="KAS187" s="1237"/>
      <c r="KAT187" s="1237"/>
      <c r="KAU187" s="1237"/>
      <c r="KAV187" s="1237"/>
      <c r="KAW187" s="1237"/>
      <c r="KAX187" s="1237"/>
      <c r="KAY187" s="1237"/>
      <c r="KAZ187" s="1237"/>
      <c r="KBA187" s="1237"/>
      <c r="KBB187" s="1237"/>
      <c r="KBC187" s="1237"/>
      <c r="KBD187" s="1237"/>
      <c r="KBE187" s="1237"/>
      <c r="KBF187" s="1237"/>
      <c r="KBG187" s="1237"/>
      <c r="KBH187" s="1237"/>
      <c r="KBI187" s="1237"/>
      <c r="KBJ187" s="1237"/>
      <c r="KBK187" s="1237"/>
      <c r="KBL187" s="1237"/>
      <c r="KBM187" s="1237"/>
      <c r="KBN187" s="1237"/>
      <c r="KBO187" s="1237"/>
      <c r="KBP187" s="1237"/>
      <c r="KBQ187" s="1237"/>
      <c r="KBR187" s="1237"/>
      <c r="KBS187" s="1237"/>
      <c r="KBT187" s="1237"/>
      <c r="KBU187" s="1237"/>
      <c r="KBV187" s="1237"/>
      <c r="KBW187" s="1237"/>
      <c r="KBX187" s="1237"/>
      <c r="KBY187" s="1237"/>
      <c r="KBZ187" s="1237"/>
      <c r="KCA187" s="1237"/>
      <c r="KCB187" s="1237"/>
      <c r="KCC187" s="1237"/>
      <c r="KCD187" s="1237"/>
      <c r="KCE187" s="1237"/>
      <c r="KCF187" s="1237"/>
      <c r="KCG187" s="1237"/>
      <c r="KCH187" s="1237"/>
      <c r="KCI187" s="1237"/>
      <c r="KCJ187" s="1237"/>
      <c r="KCK187" s="1237"/>
      <c r="KCL187" s="1237"/>
      <c r="KCM187" s="1237"/>
      <c r="KCN187" s="1237"/>
      <c r="KCO187" s="1237"/>
      <c r="KCP187" s="1237"/>
      <c r="KCQ187" s="1237"/>
      <c r="KCR187" s="1237"/>
      <c r="KCS187" s="1237"/>
      <c r="KCT187" s="1237"/>
      <c r="KCU187" s="1237"/>
      <c r="KCV187" s="1237"/>
      <c r="KCW187" s="1237"/>
      <c r="KCX187" s="1237"/>
      <c r="KCY187" s="1237"/>
      <c r="KCZ187" s="1237"/>
      <c r="KDA187" s="1237"/>
      <c r="KDB187" s="1237"/>
      <c r="KDC187" s="1237"/>
      <c r="KDD187" s="1237"/>
      <c r="KDE187" s="1237"/>
      <c r="KDF187" s="1237"/>
      <c r="KDG187" s="1237"/>
      <c r="KDH187" s="1237"/>
      <c r="KDI187" s="1237"/>
      <c r="KDJ187" s="1237"/>
      <c r="KDK187" s="1237"/>
      <c r="KDL187" s="1237"/>
      <c r="KDM187" s="1237"/>
      <c r="KDN187" s="1237"/>
      <c r="KDO187" s="1237"/>
      <c r="KDP187" s="1237"/>
      <c r="KDQ187" s="1237"/>
      <c r="KDR187" s="1237"/>
      <c r="KDS187" s="1237"/>
      <c r="KDT187" s="1237"/>
      <c r="KDU187" s="1237"/>
      <c r="KDV187" s="1237"/>
      <c r="KDW187" s="1237"/>
      <c r="KDX187" s="1237"/>
      <c r="KDY187" s="1237"/>
      <c r="KDZ187" s="1237"/>
      <c r="KEA187" s="1237"/>
      <c r="KEB187" s="1237"/>
      <c r="KEC187" s="1237"/>
      <c r="KED187" s="1237"/>
      <c r="KEE187" s="1237"/>
      <c r="KEF187" s="1237"/>
      <c r="KEG187" s="1237"/>
      <c r="KEH187" s="1237"/>
      <c r="KEI187" s="1237"/>
      <c r="KEJ187" s="1237"/>
      <c r="KEK187" s="1237"/>
      <c r="KEL187" s="1237"/>
      <c r="KEM187" s="1237"/>
      <c r="KEN187" s="1237"/>
      <c r="KEO187" s="1237"/>
      <c r="KEP187" s="1237"/>
      <c r="KEQ187" s="1237"/>
      <c r="KER187" s="1237"/>
      <c r="KES187" s="1237"/>
      <c r="KET187" s="1237"/>
      <c r="KEU187" s="1237"/>
      <c r="KEV187" s="1237"/>
      <c r="KEW187" s="1237"/>
      <c r="KEX187" s="1237"/>
      <c r="KEY187" s="1237"/>
      <c r="KEZ187" s="1237"/>
      <c r="KFA187" s="1237"/>
      <c r="KFB187" s="1237"/>
      <c r="KFC187" s="1237"/>
      <c r="KFD187" s="1237"/>
      <c r="KFE187" s="1237"/>
      <c r="KFF187" s="1237"/>
      <c r="KFG187" s="1237"/>
      <c r="KFH187" s="1237"/>
      <c r="KFI187" s="1237"/>
      <c r="KFJ187" s="1237"/>
      <c r="KFK187" s="1237"/>
      <c r="KFL187" s="1237"/>
      <c r="KFM187" s="1237"/>
      <c r="KFN187" s="1237"/>
      <c r="KFO187" s="1237"/>
      <c r="KFP187" s="1237"/>
      <c r="KFQ187" s="1237"/>
      <c r="KFR187" s="1237"/>
      <c r="KFS187" s="1237"/>
      <c r="KFT187" s="1237"/>
      <c r="KFU187" s="1237"/>
      <c r="KFV187" s="1237"/>
      <c r="KFW187" s="1237"/>
      <c r="KFX187" s="1237"/>
      <c r="KFY187" s="1237"/>
      <c r="KFZ187" s="1237"/>
      <c r="KGA187" s="1237"/>
      <c r="KGB187" s="1237"/>
      <c r="KGC187" s="1237"/>
      <c r="KGD187" s="1237"/>
      <c r="KGE187" s="1237"/>
      <c r="KGF187" s="1237"/>
      <c r="KGG187" s="1237"/>
      <c r="KGH187" s="1237"/>
      <c r="KGI187" s="1237"/>
      <c r="KGJ187" s="1237"/>
      <c r="KGK187" s="1237"/>
      <c r="KGL187" s="1237"/>
      <c r="KGM187" s="1237"/>
      <c r="KGN187" s="1237"/>
      <c r="KGO187" s="1237"/>
      <c r="KGP187" s="1237"/>
      <c r="KGQ187" s="1237"/>
      <c r="KGR187" s="1237"/>
      <c r="KGS187" s="1237"/>
      <c r="KGT187" s="1237"/>
      <c r="KGU187" s="1237"/>
      <c r="KGV187" s="1237"/>
      <c r="KGW187" s="1237"/>
      <c r="KGX187" s="1237"/>
      <c r="KGY187" s="1237"/>
      <c r="KGZ187" s="1237"/>
      <c r="KHA187" s="1237"/>
      <c r="KHB187" s="1237"/>
      <c r="KHC187" s="1237"/>
      <c r="KHD187" s="1237"/>
      <c r="KHE187" s="1237"/>
      <c r="KHF187" s="1237"/>
      <c r="KHG187" s="1237"/>
      <c r="KHH187" s="1237"/>
      <c r="KHI187" s="1237"/>
      <c r="KHJ187" s="1237"/>
      <c r="KHK187" s="1237"/>
      <c r="KHL187" s="1237"/>
      <c r="KHM187" s="1237"/>
      <c r="KHN187" s="1237"/>
      <c r="KHO187" s="1237"/>
      <c r="KHP187" s="1237"/>
      <c r="KHQ187" s="1237"/>
      <c r="KHR187" s="1237"/>
      <c r="KHS187" s="1237"/>
      <c r="KHT187" s="1237"/>
      <c r="KHU187" s="1237"/>
      <c r="KHV187" s="1237"/>
      <c r="KHW187" s="1237"/>
      <c r="KHX187" s="1237"/>
      <c r="KHY187" s="1237"/>
      <c r="KHZ187" s="1237"/>
      <c r="KIA187" s="1237"/>
      <c r="KIB187" s="1237"/>
      <c r="KIC187" s="1237"/>
      <c r="KID187" s="1237"/>
      <c r="KIE187" s="1237"/>
      <c r="KIF187" s="1237"/>
      <c r="KIG187" s="1237"/>
      <c r="KIH187" s="1237"/>
      <c r="KII187" s="1237"/>
      <c r="KIJ187" s="1237"/>
      <c r="KIK187" s="1237"/>
      <c r="KIL187" s="1237"/>
      <c r="KIM187" s="1237"/>
      <c r="KIN187" s="1237"/>
      <c r="KIO187" s="1237"/>
      <c r="KIP187" s="1237"/>
      <c r="KIQ187" s="1237"/>
      <c r="KIR187" s="1237"/>
      <c r="KIS187" s="1237"/>
      <c r="KIT187" s="1237"/>
      <c r="KIU187" s="1237"/>
      <c r="KIV187" s="1237"/>
      <c r="KIW187" s="1237"/>
      <c r="KIX187" s="1237"/>
      <c r="KIY187" s="1237"/>
      <c r="KIZ187" s="1237"/>
      <c r="KJA187" s="1237"/>
      <c r="KJB187" s="1237"/>
      <c r="KJC187" s="1237"/>
      <c r="KJD187" s="1237"/>
      <c r="KJE187" s="1237"/>
      <c r="KJF187" s="1237"/>
      <c r="KJG187" s="1237"/>
      <c r="KJH187" s="1237"/>
      <c r="KJI187" s="1237"/>
      <c r="KJJ187" s="1237"/>
      <c r="KJK187" s="1237"/>
      <c r="KJL187" s="1237"/>
      <c r="KJM187" s="1237"/>
      <c r="KJN187" s="1237"/>
      <c r="KJO187" s="1237"/>
      <c r="KJP187" s="1237"/>
      <c r="KJQ187" s="1237"/>
      <c r="KJR187" s="1237"/>
      <c r="KJS187" s="1237"/>
      <c r="KJT187" s="1237"/>
      <c r="KJU187" s="1237"/>
      <c r="KJV187" s="1237"/>
      <c r="KJW187" s="1237"/>
      <c r="KJX187" s="1237"/>
      <c r="KJY187" s="1237"/>
      <c r="KJZ187" s="1237"/>
      <c r="KKA187" s="1237"/>
      <c r="KKB187" s="1237"/>
      <c r="KKC187" s="1237"/>
      <c r="KKD187" s="1237"/>
      <c r="KKE187" s="1237"/>
      <c r="KKF187" s="1237"/>
      <c r="KKG187" s="1237"/>
      <c r="KKH187" s="1237"/>
      <c r="KKI187" s="1237"/>
      <c r="KKJ187" s="1237"/>
      <c r="KKK187" s="1237"/>
      <c r="KKL187" s="1237"/>
      <c r="KKM187" s="1237"/>
      <c r="KKN187" s="1237"/>
      <c r="KKO187" s="1237"/>
      <c r="KKP187" s="1237"/>
      <c r="KKQ187" s="1237"/>
      <c r="KKR187" s="1237"/>
      <c r="KKS187" s="1237"/>
      <c r="KKT187" s="1237"/>
      <c r="KKU187" s="1237"/>
      <c r="KKV187" s="1237"/>
      <c r="KKW187" s="1237"/>
      <c r="KKX187" s="1237"/>
      <c r="KKY187" s="1237"/>
      <c r="KKZ187" s="1237"/>
      <c r="KLA187" s="1237"/>
      <c r="KLB187" s="1237"/>
      <c r="KLC187" s="1237"/>
      <c r="KLD187" s="1237"/>
      <c r="KLE187" s="1237"/>
      <c r="KLF187" s="1237"/>
      <c r="KLG187" s="1237"/>
      <c r="KLH187" s="1237"/>
      <c r="KLI187" s="1237"/>
      <c r="KLJ187" s="1237"/>
      <c r="KLK187" s="1237"/>
      <c r="KLL187" s="1237"/>
      <c r="KLM187" s="1237"/>
      <c r="KLN187" s="1237"/>
      <c r="KLO187" s="1237"/>
      <c r="KLP187" s="1237"/>
      <c r="KLQ187" s="1237"/>
      <c r="KLR187" s="1237"/>
      <c r="KLS187" s="1237"/>
      <c r="KLT187" s="1237"/>
      <c r="KLU187" s="1237"/>
      <c r="KLV187" s="1237"/>
      <c r="KLW187" s="1237"/>
      <c r="KLX187" s="1237"/>
      <c r="KLY187" s="1237"/>
      <c r="KLZ187" s="1237"/>
      <c r="KMA187" s="1237"/>
      <c r="KMB187" s="1237"/>
      <c r="KMC187" s="1237"/>
      <c r="KMD187" s="1237"/>
      <c r="KME187" s="1237"/>
      <c r="KMF187" s="1237"/>
      <c r="KMG187" s="1237"/>
      <c r="KMH187" s="1237"/>
      <c r="KMI187" s="1237"/>
      <c r="KMJ187" s="1237"/>
      <c r="KMK187" s="1237"/>
      <c r="KML187" s="1237"/>
      <c r="KMM187" s="1237"/>
      <c r="KMN187" s="1237"/>
      <c r="KMO187" s="1237"/>
      <c r="KMP187" s="1237"/>
      <c r="KMQ187" s="1237"/>
      <c r="KMR187" s="1237"/>
      <c r="KMS187" s="1237"/>
      <c r="KMT187" s="1237"/>
      <c r="KMU187" s="1237"/>
      <c r="KMV187" s="1237"/>
      <c r="KMW187" s="1237"/>
      <c r="KMX187" s="1237"/>
      <c r="KMY187" s="1237"/>
      <c r="KMZ187" s="1237"/>
      <c r="KNA187" s="1237"/>
      <c r="KNB187" s="1237"/>
      <c r="KNC187" s="1237"/>
      <c r="KND187" s="1237"/>
      <c r="KNE187" s="1237"/>
      <c r="KNF187" s="1237"/>
      <c r="KNG187" s="1237"/>
      <c r="KNH187" s="1237"/>
      <c r="KNI187" s="1237"/>
      <c r="KNJ187" s="1237"/>
      <c r="KNK187" s="1237"/>
      <c r="KNL187" s="1237"/>
      <c r="KNM187" s="1237"/>
      <c r="KNN187" s="1237"/>
      <c r="KNO187" s="1237"/>
      <c r="KNP187" s="1237"/>
      <c r="KNQ187" s="1237"/>
      <c r="KNR187" s="1237"/>
      <c r="KNS187" s="1237"/>
      <c r="KNT187" s="1237"/>
      <c r="KNU187" s="1237"/>
      <c r="KNV187" s="1237"/>
      <c r="KNW187" s="1237"/>
      <c r="KNX187" s="1237"/>
      <c r="KNY187" s="1237"/>
      <c r="KNZ187" s="1237"/>
      <c r="KOA187" s="1237"/>
      <c r="KOB187" s="1237"/>
      <c r="KOC187" s="1237"/>
      <c r="KOD187" s="1237"/>
      <c r="KOE187" s="1237"/>
      <c r="KOF187" s="1237"/>
      <c r="KOG187" s="1237"/>
      <c r="KOH187" s="1237"/>
      <c r="KOI187" s="1237"/>
      <c r="KOJ187" s="1237"/>
      <c r="KOK187" s="1237"/>
      <c r="KOL187" s="1237"/>
      <c r="KOM187" s="1237"/>
      <c r="KON187" s="1237"/>
      <c r="KOO187" s="1237"/>
      <c r="KOP187" s="1237"/>
      <c r="KOQ187" s="1237"/>
      <c r="KOR187" s="1237"/>
      <c r="KOS187" s="1237"/>
      <c r="KOT187" s="1237"/>
      <c r="KOU187" s="1237"/>
      <c r="KOV187" s="1237"/>
      <c r="KOW187" s="1237"/>
      <c r="KOX187" s="1237"/>
      <c r="KOY187" s="1237"/>
      <c r="KOZ187" s="1237"/>
      <c r="KPA187" s="1237"/>
      <c r="KPB187" s="1237"/>
      <c r="KPC187" s="1237"/>
      <c r="KPD187" s="1237"/>
      <c r="KPE187" s="1237"/>
      <c r="KPF187" s="1237"/>
      <c r="KPG187" s="1237"/>
      <c r="KPH187" s="1237"/>
      <c r="KPI187" s="1237"/>
      <c r="KPJ187" s="1237"/>
      <c r="KPK187" s="1237"/>
      <c r="KPL187" s="1237"/>
      <c r="KPM187" s="1237"/>
      <c r="KPN187" s="1237"/>
      <c r="KPO187" s="1237"/>
      <c r="KPP187" s="1237"/>
      <c r="KPQ187" s="1237"/>
      <c r="KPR187" s="1237"/>
      <c r="KPS187" s="1237"/>
      <c r="KPT187" s="1237"/>
      <c r="KPU187" s="1237"/>
      <c r="KPV187" s="1237"/>
      <c r="KPW187" s="1237"/>
      <c r="KPX187" s="1237"/>
      <c r="KPY187" s="1237"/>
      <c r="KPZ187" s="1237"/>
      <c r="KQA187" s="1237"/>
      <c r="KQB187" s="1237"/>
      <c r="KQC187" s="1237"/>
      <c r="KQD187" s="1237"/>
      <c r="KQE187" s="1237"/>
      <c r="KQF187" s="1237"/>
      <c r="KQG187" s="1237"/>
      <c r="KQH187" s="1237"/>
      <c r="KQI187" s="1237"/>
      <c r="KQJ187" s="1237"/>
      <c r="KQK187" s="1237"/>
      <c r="KQL187" s="1237"/>
      <c r="KQM187" s="1237"/>
      <c r="KQN187" s="1237"/>
      <c r="KQO187" s="1237"/>
      <c r="KQP187" s="1237"/>
      <c r="KQQ187" s="1237"/>
      <c r="KQR187" s="1237"/>
      <c r="KQS187" s="1237"/>
      <c r="KQT187" s="1237"/>
      <c r="KQU187" s="1237"/>
      <c r="KQV187" s="1237"/>
      <c r="KQW187" s="1237"/>
      <c r="KQX187" s="1237"/>
      <c r="KQY187" s="1237"/>
      <c r="KQZ187" s="1237"/>
      <c r="KRA187" s="1237"/>
      <c r="KRB187" s="1237"/>
      <c r="KRC187" s="1237"/>
      <c r="KRD187" s="1237"/>
      <c r="KRE187" s="1237"/>
      <c r="KRF187" s="1237"/>
      <c r="KRG187" s="1237"/>
      <c r="KRH187" s="1237"/>
      <c r="KRI187" s="1237"/>
      <c r="KRJ187" s="1237"/>
      <c r="KRK187" s="1237"/>
      <c r="KRL187" s="1237"/>
      <c r="KRM187" s="1237"/>
      <c r="KRN187" s="1237"/>
      <c r="KRO187" s="1237"/>
      <c r="KRP187" s="1237"/>
      <c r="KRQ187" s="1237"/>
      <c r="KRR187" s="1237"/>
      <c r="KRS187" s="1237"/>
      <c r="KRT187" s="1237"/>
      <c r="KRU187" s="1237"/>
      <c r="KRV187" s="1237"/>
      <c r="KRW187" s="1237"/>
      <c r="KRX187" s="1237"/>
      <c r="KRY187" s="1237"/>
      <c r="KRZ187" s="1237"/>
      <c r="KSA187" s="1237"/>
      <c r="KSB187" s="1237"/>
      <c r="KSC187" s="1237"/>
      <c r="KSD187" s="1237"/>
      <c r="KSE187" s="1237"/>
      <c r="KSF187" s="1237"/>
      <c r="KSG187" s="1237"/>
      <c r="KSH187" s="1237"/>
      <c r="KSI187" s="1237"/>
      <c r="KSJ187" s="1237"/>
      <c r="KSK187" s="1237"/>
      <c r="KSL187" s="1237"/>
      <c r="KSM187" s="1237"/>
      <c r="KSN187" s="1237"/>
      <c r="KSO187" s="1237"/>
      <c r="KSP187" s="1237"/>
      <c r="KSQ187" s="1237"/>
      <c r="KSR187" s="1237"/>
      <c r="KSS187" s="1237"/>
      <c r="KST187" s="1237"/>
      <c r="KSU187" s="1237"/>
      <c r="KSV187" s="1237"/>
      <c r="KSW187" s="1237"/>
      <c r="KSX187" s="1237"/>
      <c r="KSY187" s="1237"/>
      <c r="KSZ187" s="1237"/>
      <c r="KTA187" s="1237"/>
      <c r="KTB187" s="1237"/>
      <c r="KTC187" s="1237"/>
      <c r="KTD187" s="1237"/>
      <c r="KTE187" s="1237"/>
      <c r="KTF187" s="1237"/>
      <c r="KTG187" s="1237"/>
      <c r="KTH187" s="1237"/>
      <c r="KTI187" s="1237"/>
      <c r="KTJ187" s="1237"/>
      <c r="KTK187" s="1237"/>
      <c r="KTL187" s="1237"/>
      <c r="KTM187" s="1237"/>
      <c r="KTN187" s="1237"/>
      <c r="KTO187" s="1237"/>
      <c r="KTP187" s="1237"/>
      <c r="KTQ187" s="1237"/>
      <c r="KTR187" s="1237"/>
      <c r="KTS187" s="1237"/>
      <c r="KTT187" s="1237"/>
      <c r="KTU187" s="1237"/>
      <c r="KTV187" s="1237"/>
      <c r="KTW187" s="1237"/>
      <c r="KTX187" s="1237"/>
      <c r="KTY187" s="1237"/>
      <c r="KTZ187" s="1237"/>
      <c r="KUA187" s="1237"/>
      <c r="KUB187" s="1237"/>
      <c r="KUC187" s="1237"/>
      <c r="KUD187" s="1237"/>
      <c r="KUE187" s="1237"/>
      <c r="KUF187" s="1237"/>
      <c r="KUG187" s="1237"/>
      <c r="KUH187" s="1237"/>
      <c r="KUI187" s="1237"/>
      <c r="KUJ187" s="1237"/>
      <c r="KUK187" s="1237"/>
      <c r="KUL187" s="1237"/>
      <c r="KUM187" s="1237"/>
      <c r="KUN187" s="1237"/>
      <c r="KUO187" s="1237"/>
      <c r="KUP187" s="1237"/>
      <c r="KUQ187" s="1237"/>
      <c r="KUR187" s="1237"/>
      <c r="KUS187" s="1237"/>
      <c r="KUT187" s="1237"/>
      <c r="KUU187" s="1237"/>
      <c r="KUV187" s="1237"/>
      <c r="KUW187" s="1237"/>
      <c r="KUX187" s="1237"/>
      <c r="KUY187" s="1237"/>
      <c r="KUZ187" s="1237"/>
      <c r="KVA187" s="1237"/>
      <c r="KVB187" s="1237"/>
      <c r="KVC187" s="1237"/>
      <c r="KVD187" s="1237"/>
      <c r="KVE187" s="1237"/>
      <c r="KVF187" s="1237"/>
      <c r="KVG187" s="1237"/>
      <c r="KVH187" s="1237"/>
      <c r="KVI187" s="1237"/>
      <c r="KVJ187" s="1237"/>
      <c r="KVK187" s="1237"/>
      <c r="KVL187" s="1237"/>
      <c r="KVM187" s="1237"/>
      <c r="KVN187" s="1237"/>
      <c r="KVO187" s="1237"/>
      <c r="KVP187" s="1237"/>
      <c r="KVQ187" s="1237"/>
      <c r="KVR187" s="1237"/>
      <c r="KVS187" s="1237"/>
      <c r="KVT187" s="1237"/>
      <c r="KVU187" s="1237"/>
      <c r="KVV187" s="1237"/>
      <c r="KVW187" s="1237"/>
      <c r="KVX187" s="1237"/>
      <c r="KVY187" s="1237"/>
      <c r="KVZ187" s="1237"/>
      <c r="KWA187" s="1237"/>
      <c r="KWB187" s="1237"/>
      <c r="KWC187" s="1237"/>
      <c r="KWD187" s="1237"/>
      <c r="KWE187" s="1237"/>
      <c r="KWF187" s="1237"/>
      <c r="KWG187" s="1237"/>
      <c r="KWH187" s="1237"/>
      <c r="KWI187" s="1237"/>
      <c r="KWJ187" s="1237"/>
      <c r="KWK187" s="1237"/>
      <c r="KWL187" s="1237"/>
      <c r="KWM187" s="1237"/>
      <c r="KWN187" s="1237"/>
      <c r="KWO187" s="1237"/>
      <c r="KWP187" s="1237"/>
      <c r="KWQ187" s="1237"/>
      <c r="KWR187" s="1237"/>
      <c r="KWS187" s="1237"/>
      <c r="KWT187" s="1237"/>
      <c r="KWU187" s="1237"/>
      <c r="KWV187" s="1237"/>
      <c r="KWW187" s="1237"/>
      <c r="KWX187" s="1237"/>
      <c r="KWY187" s="1237"/>
      <c r="KWZ187" s="1237"/>
      <c r="KXA187" s="1237"/>
      <c r="KXB187" s="1237"/>
      <c r="KXC187" s="1237"/>
      <c r="KXD187" s="1237"/>
      <c r="KXE187" s="1237"/>
      <c r="KXF187" s="1237"/>
      <c r="KXG187" s="1237"/>
      <c r="KXH187" s="1237"/>
      <c r="KXI187" s="1237"/>
      <c r="KXJ187" s="1237"/>
      <c r="KXK187" s="1237"/>
      <c r="KXL187" s="1237"/>
      <c r="KXM187" s="1237"/>
      <c r="KXN187" s="1237"/>
      <c r="KXO187" s="1237"/>
      <c r="KXP187" s="1237"/>
      <c r="KXQ187" s="1237"/>
      <c r="KXR187" s="1237"/>
      <c r="KXS187" s="1237"/>
      <c r="KXT187" s="1237"/>
      <c r="KXU187" s="1237"/>
      <c r="KXV187" s="1237"/>
      <c r="KXW187" s="1237"/>
      <c r="KXX187" s="1237"/>
      <c r="KXY187" s="1237"/>
      <c r="KXZ187" s="1237"/>
      <c r="KYA187" s="1237"/>
      <c r="KYB187" s="1237"/>
      <c r="KYC187" s="1237"/>
      <c r="KYD187" s="1237"/>
      <c r="KYE187" s="1237"/>
      <c r="KYF187" s="1237"/>
      <c r="KYG187" s="1237"/>
      <c r="KYH187" s="1237"/>
      <c r="KYI187" s="1237"/>
      <c r="KYJ187" s="1237"/>
      <c r="KYK187" s="1237"/>
      <c r="KYL187" s="1237"/>
      <c r="KYM187" s="1237"/>
      <c r="KYN187" s="1237"/>
      <c r="KYO187" s="1237"/>
      <c r="KYP187" s="1237"/>
      <c r="KYQ187" s="1237"/>
      <c r="KYR187" s="1237"/>
      <c r="KYS187" s="1237"/>
      <c r="KYT187" s="1237"/>
      <c r="KYU187" s="1237"/>
      <c r="KYV187" s="1237"/>
      <c r="KYW187" s="1237"/>
      <c r="KYX187" s="1237"/>
      <c r="KYY187" s="1237"/>
      <c r="KYZ187" s="1237"/>
      <c r="KZA187" s="1237"/>
      <c r="KZB187" s="1237"/>
      <c r="KZC187" s="1237"/>
      <c r="KZD187" s="1237"/>
      <c r="KZE187" s="1237"/>
      <c r="KZF187" s="1237"/>
      <c r="KZG187" s="1237"/>
      <c r="KZH187" s="1237"/>
      <c r="KZI187" s="1237"/>
      <c r="KZJ187" s="1237"/>
      <c r="KZK187" s="1237"/>
      <c r="KZL187" s="1237"/>
      <c r="KZM187" s="1237"/>
      <c r="KZN187" s="1237"/>
      <c r="KZO187" s="1237"/>
      <c r="KZP187" s="1237"/>
      <c r="KZQ187" s="1237"/>
      <c r="KZR187" s="1237"/>
      <c r="KZS187" s="1237"/>
      <c r="KZT187" s="1237"/>
      <c r="KZU187" s="1237"/>
      <c r="KZV187" s="1237"/>
      <c r="KZW187" s="1237"/>
      <c r="KZX187" s="1237"/>
      <c r="KZY187" s="1237"/>
      <c r="KZZ187" s="1237"/>
      <c r="LAA187" s="1237"/>
      <c r="LAB187" s="1237"/>
      <c r="LAC187" s="1237"/>
      <c r="LAD187" s="1237"/>
      <c r="LAE187" s="1237"/>
      <c r="LAF187" s="1237"/>
      <c r="LAG187" s="1237"/>
      <c r="LAH187" s="1237"/>
      <c r="LAI187" s="1237"/>
      <c r="LAJ187" s="1237"/>
      <c r="LAK187" s="1237"/>
      <c r="LAL187" s="1237"/>
      <c r="LAM187" s="1237"/>
      <c r="LAN187" s="1237"/>
      <c r="LAO187" s="1237"/>
      <c r="LAP187" s="1237"/>
      <c r="LAQ187" s="1237"/>
      <c r="LAR187" s="1237"/>
      <c r="LAS187" s="1237"/>
      <c r="LAT187" s="1237"/>
      <c r="LAU187" s="1237"/>
      <c r="LAV187" s="1237"/>
      <c r="LAW187" s="1237"/>
      <c r="LAX187" s="1237"/>
      <c r="LAY187" s="1237"/>
      <c r="LAZ187" s="1237"/>
      <c r="LBA187" s="1237"/>
      <c r="LBB187" s="1237"/>
      <c r="LBC187" s="1237"/>
      <c r="LBD187" s="1237"/>
      <c r="LBE187" s="1237"/>
      <c r="LBF187" s="1237"/>
      <c r="LBG187" s="1237"/>
      <c r="LBH187" s="1237"/>
      <c r="LBI187" s="1237"/>
      <c r="LBJ187" s="1237"/>
      <c r="LBK187" s="1237"/>
      <c r="LBL187" s="1237"/>
      <c r="LBM187" s="1237"/>
      <c r="LBN187" s="1237"/>
      <c r="LBO187" s="1237"/>
      <c r="LBP187" s="1237"/>
      <c r="LBQ187" s="1237"/>
      <c r="LBR187" s="1237"/>
      <c r="LBS187" s="1237"/>
      <c r="LBT187" s="1237"/>
      <c r="LBU187" s="1237"/>
      <c r="LBV187" s="1237"/>
      <c r="LBW187" s="1237"/>
      <c r="LBX187" s="1237"/>
      <c r="LBY187" s="1237"/>
      <c r="LBZ187" s="1237"/>
      <c r="LCA187" s="1237"/>
      <c r="LCB187" s="1237"/>
      <c r="LCC187" s="1237"/>
      <c r="LCD187" s="1237"/>
      <c r="LCE187" s="1237"/>
      <c r="LCF187" s="1237"/>
      <c r="LCG187" s="1237"/>
      <c r="LCH187" s="1237"/>
      <c r="LCI187" s="1237"/>
      <c r="LCJ187" s="1237"/>
      <c r="LCK187" s="1237"/>
      <c r="LCL187" s="1237"/>
      <c r="LCM187" s="1237"/>
      <c r="LCN187" s="1237"/>
      <c r="LCO187" s="1237"/>
      <c r="LCP187" s="1237"/>
      <c r="LCQ187" s="1237"/>
      <c r="LCR187" s="1237"/>
      <c r="LCS187" s="1237"/>
      <c r="LCT187" s="1237"/>
      <c r="LCU187" s="1237"/>
      <c r="LCV187" s="1237"/>
      <c r="LCW187" s="1237"/>
      <c r="LCX187" s="1237"/>
      <c r="LCY187" s="1237"/>
      <c r="LCZ187" s="1237"/>
      <c r="LDA187" s="1237"/>
      <c r="LDB187" s="1237"/>
      <c r="LDC187" s="1237"/>
      <c r="LDD187" s="1237"/>
      <c r="LDE187" s="1237"/>
      <c r="LDF187" s="1237"/>
      <c r="LDG187" s="1237"/>
      <c r="LDH187" s="1237"/>
      <c r="LDI187" s="1237"/>
      <c r="LDJ187" s="1237"/>
      <c r="LDK187" s="1237"/>
      <c r="LDL187" s="1237"/>
      <c r="LDM187" s="1237"/>
      <c r="LDN187" s="1237"/>
      <c r="LDO187" s="1237"/>
      <c r="LDP187" s="1237"/>
      <c r="LDQ187" s="1237"/>
      <c r="LDR187" s="1237"/>
      <c r="LDS187" s="1237"/>
      <c r="LDT187" s="1237"/>
      <c r="LDU187" s="1237"/>
      <c r="LDV187" s="1237"/>
      <c r="LDW187" s="1237"/>
      <c r="LDX187" s="1237"/>
      <c r="LDY187" s="1237"/>
      <c r="LDZ187" s="1237"/>
      <c r="LEA187" s="1237"/>
      <c r="LEB187" s="1237"/>
      <c r="LEC187" s="1237"/>
      <c r="LED187" s="1237"/>
      <c r="LEE187" s="1237"/>
      <c r="LEF187" s="1237"/>
      <c r="LEG187" s="1237"/>
      <c r="LEH187" s="1237"/>
      <c r="LEI187" s="1237"/>
      <c r="LEJ187" s="1237"/>
      <c r="LEK187" s="1237"/>
      <c r="LEL187" s="1237"/>
      <c r="LEM187" s="1237"/>
      <c r="LEN187" s="1237"/>
      <c r="LEO187" s="1237"/>
      <c r="LEP187" s="1237"/>
      <c r="LEQ187" s="1237"/>
      <c r="LER187" s="1237"/>
      <c r="LES187" s="1237"/>
      <c r="LET187" s="1237"/>
      <c r="LEU187" s="1237"/>
      <c r="LEV187" s="1237"/>
      <c r="LEW187" s="1237"/>
      <c r="LEX187" s="1237"/>
      <c r="LEY187" s="1237"/>
      <c r="LEZ187" s="1237"/>
      <c r="LFA187" s="1237"/>
      <c r="LFB187" s="1237"/>
      <c r="LFC187" s="1237"/>
      <c r="LFD187" s="1237"/>
      <c r="LFE187" s="1237"/>
      <c r="LFF187" s="1237"/>
      <c r="LFG187" s="1237"/>
      <c r="LFH187" s="1237"/>
      <c r="LFI187" s="1237"/>
      <c r="LFJ187" s="1237"/>
      <c r="LFK187" s="1237"/>
      <c r="LFL187" s="1237"/>
      <c r="LFM187" s="1237"/>
      <c r="LFN187" s="1237"/>
      <c r="LFO187" s="1237"/>
      <c r="LFP187" s="1237"/>
      <c r="LFQ187" s="1237"/>
      <c r="LFR187" s="1237"/>
      <c r="LFS187" s="1237"/>
      <c r="LFT187" s="1237"/>
      <c r="LFU187" s="1237"/>
      <c r="LFV187" s="1237"/>
      <c r="LFW187" s="1237"/>
      <c r="LFX187" s="1237"/>
      <c r="LFY187" s="1237"/>
      <c r="LFZ187" s="1237"/>
      <c r="LGA187" s="1237"/>
      <c r="LGB187" s="1237"/>
      <c r="LGC187" s="1237"/>
      <c r="LGD187" s="1237"/>
      <c r="LGE187" s="1237"/>
      <c r="LGF187" s="1237"/>
      <c r="LGG187" s="1237"/>
      <c r="LGH187" s="1237"/>
      <c r="LGI187" s="1237"/>
      <c r="LGJ187" s="1237"/>
      <c r="LGK187" s="1237"/>
      <c r="LGL187" s="1237"/>
      <c r="LGM187" s="1237"/>
      <c r="LGN187" s="1237"/>
      <c r="LGO187" s="1237"/>
      <c r="LGP187" s="1237"/>
      <c r="LGQ187" s="1237"/>
      <c r="LGR187" s="1237"/>
      <c r="LGS187" s="1237"/>
      <c r="LGT187" s="1237"/>
      <c r="LGU187" s="1237"/>
      <c r="LGV187" s="1237"/>
      <c r="LGW187" s="1237"/>
      <c r="LGX187" s="1237"/>
      <c r="LGY187" s="1237"/>
      <c r="LGZ187" s="1237"/>
      <c r="LHA187" s="1237"/>
      <c r="LHB187" s="1237"/>
      <c r="LHC187" s="1237"/>
      <c r="LHD187" s="1237"/>
      <c r="LHE187" s="1237"/>
      <c r="LHF187" s="1237"/>
      <c r="LHG187" s="1237"/>
      <c r="LHH187" s="1237"/>
      <c r="LHI187" s="1237"/>
      <c r="LHJ187" s="1237"/>
      <c r="LHK187" s="1237"/>
      <c r="LHL187" s="1237"/>
      <c r="LHM187" s="1237"/>
      <c r="LHN187" s="1237"/>
      <c r="LHO187" s="1237"/>
      <c r="LHP187" s="1237"/>
      <c r="LHQ187" s="1237"/>
      <c r="LHR187" s="1237"/>
      <c r="LHS187" s="1237"/>
      <c r="LHT187" s="1237"/>
      <c r="LHU187" s="1237"/>
      <c r="LHV187" s="1237"/>
      <c r="LHW187" s="1237"/>
      <c r="LHX187" s="1237"/>
      <c r="LHY187" s="1237"/>
      <c r="LHZ187" s="1237"/>
      <c r="LIA187" s="1237"/>
      <c r="LIB187" s="1237"/>
      <c r="LIC187" s="1237"/>
      <c r="LID187" s="1237"/>
      <c r="LIE187" s="1237"/>
      <c r="LIF187" s="1237"/>
      <c r="LIG187" s="1237"/>
      <c r="LIH187" s="1237"/>
      <c r="LII187" s="1237"/>
      <c r="LIJ187" s="1237"/>
      <c r="LIK187" s="1237"/>
      <c r="LIL187" s="1237"/>
      <c r="LIM187" s="1237"/>
      <c r="LIN187" s="1237"/>
      <c r="LIO187" s="1237"/>
      <c r="LIP187" s="1237"/>
      <c r="LIQ187" s="1237"/>
      <c r="LIR187" s="1237"/>
      <c r="LIS187" s="1237"/>
      <c r="LIT187" s="1237"/>
      <c r="LIU187" s="1237"/>
      <c r="LIV187" s="1237"/>
      <c r="LIW187" s="1237"/>
      <c r="LIX187" s="1237"/>
      <c r="LIY187" s="1237"/>
      <c r="LIZ187" s="1237"/>
      <c r="LJA187" s="1237"/>
      <c r="LJB187" s="1237"/>
      <c r="LJC187" s="1237"/>
      <c r="LJD187" s="1237"/>
      <c r="LJE187" s="1237"/>
      <c r="LJF187" s="1237"/>
      <c r="LJG187" s="1237"/>
      <c r="LJH187" s="1237"/>
      <c r="LJI187" s="1237"/>
      <c r="LJJ187" s="1237"/>
      <c r="LJK187" s="1237"/>
      <c r="LJL187" s="1237"/>
      <c r="LJM187" s="1237"/>
      <c r="LJN187" s="1237"/>
      <c r="LJO187" s="1237"/>
      <c r="LJP187" s="1237"/>
      <c r="LJQ187" s="1237"/>
      <c r="LJR187" s="1237"/>
      <c r="LJS187" s="1237"/>
      <c r="LJT187" s="1237"/>
      <c r="LJU187" s="1237"/>
      <c r="LJV187" s="1237"/>
      <c r="LJW187" s="1237"/>
      <c r="LJX187" s="1237"/>
      <c r="LJY187" s="1237"/>
      <c r="LJZ187" s="1237"/>
      <c r="LKA187" s="1237"/>
      <c r="LKB187" s="1237"/>
      <c r="LKC187" s="1237"/>
      <c r="LKD187" s="1237"/>
      <c r="LKE187" s="1237"/>
      <c r="LKF187" s="1237"/>
      <c r="LKG187" s="1237"/>
      <c r="LKH187" s="1237"/>
      <c r="LKI187" s="1237"/>
      <c r="LKJ187" s="1237"/>
      <c r="LKK187" s="1237"/>
      <c r="LKL187" s="1237"/>
      <c r="LKM187" s="1237"/>
      <c r="LKN187" s="1237"/>
      <c r="LKO187" s="1237"/>
      <c r="LKP187" s="1237"/>
      <c r="LKQ187" s="1237"/>
      <c r="LKR187" s="1237"/>
      <c r="LKS187" s="1237"/>
      <c r="LKT187" s="1237"/>
      <c r="LKU187" s="1237"/>
      <c r="LKV187" s="1237"/>
      <c r="LKW187" s="1237"/>
      <c r="LKX187" s="1237"/>
      <c r="LKY187" s="1237"/>
      <c r="LKZ187" s="1237"/>
      <c r="LLA187" s="1237"/>
      <c r="LLB187" s="1237"/>
      <c r="LLC187" s="1237"/>
      <c r="LLD187" s="1237"/>
      <c r="LLE187" s="1237"/>
      <c r="LLF187" s="1237"/>
      <c r="LLG187" s="1237"/>
      <c r="LLH187" s="1237"/>
      <c r="LLI187" s="1237"/>
      <c r="LLJ187" s="1237"/>
      <c r="LLK187" s="1237"/>
      <c r="LLL187" s="1237"/>
      <c r="LLM187" s="1237"/>
      <c r="LLN187" s="1237"/>
      <c r="LLO187" s="1237"/>
      <c r="LLP187" s="1237"/>
      <c r="LLQ187" s="1237"/>
      <c r="LLR187" s="1237"/>
      <c r="LLS187" s="1237"/>
      <c r="LLT187" s="1237"/>
      <c r="LLU187" s="1237"/>
      <c r="LLV187" s="1237"/>
      <c r="LLW187" s="1237"/>
      <c r="LLX187" s="1237"/>
      <c r="LLY187" s="1237"/>
      <c r="LLZ187" s="1237"/>
      <c r="LMA187" s="1237"/>
      <c r="LMB187" s="1237"/>
      <c r="LMC187" s="1237"/>
      <c r="LMD187" s="1237"/>
      <c r="LME187" s="1237"/>
      <c r="LMF187" s="1237"/>
      <c r="LMG187" s="1237"/>
      <c r="LMH187" s="1237"/>
      <c r="LMI187" s="1237"/>
      <c r="LMJ187" s="1237"/>
      <c r="LMK187" s="1237"/>
      <c r="LML187" s="1237"/>
      <c r="LMM187" s="1237"/>
      <c r="LMN187" s="1237"/>
      <c r="LMO187" s="1237"/>
      <c r="LMP187" s="1237"/>
      <c r="LMQ187" s="1237"/>
      <c r="LMR187" s="1237"/>
      <c r="LMS187" s="1237"/>
      <c r="LMT187" s="1237"/>
      <c r="LMU187" s="1237"/>
      <c r="LMV187" s="1237"/>
      <c r="LMW187" s="1237"/>
      <c r="LMX187" s="1237"/>
      <c r="LMY187" s="1237"/>
      <c r="LMZ187" s="1237"/>
      <c r="LNA187" s="1237"/>
      <c r="LNB187" s="1237"/>
      <c r="LNC187" s="1237"/>
      <c r="LND187" s="1237"/>
      <c r="LNE187" s="1237"/>
      <c r="LNF187" s="1237"/>
      <c r="LNG187" s="1237"/>
      <c r="LNH187" s="1237"/>
      <c r="LNI187" s="1237"/>
      <c r="LNJ187" s="1237"/>
      <c r="LNK187" s="1237"/>
      <c r="LNL187" s="1237"/>
      <c r="LNM187" s="1237"/>
      <c r="LNN187" s="1237"/>
      <c r="LNO187" s="1237"/>
      <c r="LNP187" s="1237"/>
      <c r="LNQ187" s="1237"/>
      <c r="LNR187" s="1237"/>
      <c r="LNS187" s="1237"/>
      <c r="LNT187" s="1237"/>
      <c r="LNU187" s="1237"/>
      <c r="LNV187" s="1237"/>
      <c r="LNW187" s="1237"/>
      <c r="LNX187" s="1237"/>
      <c r="LNY187" s="1237"/>
      <c r="LNZ187" s="1237"/>
      <c r="LOA187" s="1237"/>
      <c r="LOB187" s="1237"/>
      <c r="LOC187" s="1237"/>
      <c r="LOD187" s="1237"/>
      <c r="LOE187" s="1237"/>
      <c r="LOF187" s="1237"/>
      <c r="LOG187" s="1237"/>
      <c r="LOH187" s="1237"/>
      <c r="LOI187" s="1237"/>
      <c r="LOJ187" s="1237"/>
      <c r="LOK187" s="1237"/>
      <c r="LOL187" s="1237"/>
      <c r="LOM187" s="1237"/>
      <c r="LON187" s="1237"/>
      <c r="LOO187" s="1237"/>
      <c r="LOP187" s="1237"/>
      <c r="LOQ187" s="1237"/>
      <c r="LOR187" s="1237"/>
      <c r="LOS187" s="1237"/>
      <c r="LOT187" s="1237"/>
      <c r="LOU187" s="1237"/>
      <c r="LOV187" s="1237"/>
      <c r="LOW187" s="1237"/>
      <c r="LOX187" s="1237"/>
      <c r="LOY187" s="1237"/>
      <c r="LOZ187" s="1237"/>
      <c r="LPA187" s="1237"/>
      <c r="LPB187" s="1237"/>
      <c r="LPC187" s="1237"/>
      <c r="LPD187" s="1237"/>
      <c r="LPE187" s="1237"/>
      <c r="LPF187" s="1237"/>
      <c r="LPG187" s="1237"/>
      <c r="LPH187" s="1237"/>
      <c r="LPI187" s="1237"/>
      <c r="LPJ187" s="1237"/>
      <c r="LPK187" s="1237"/>
      <c r="LPL187" s="1237"/>
      <c r="LPM187" s="1237"/>
      <c r="LPN187" s="1237"/>
      <c r="LPO187" s="1237"/>
      <c r="LPP187" s="1237"/>
      <c r="LPQ187" s="1237"/>
      <c r="LPR187" s="1237"/>
      <c r="LPS187" s="1237"/>
      <c r="LPT187" s="1237"/>
      <c r="LPU187" s="1237"/>
      <c r="LPV187" s="1237"/>
      <c r="LPW187" s="1237"/>
      <c r="LPX187" s="1237"/>
      <c r="LPY187" s="1237"/>
      <c r="LPZ187" s="1237"/>
      <c r="LQA187" s="1237"/>
      <c r="LQB187" s="1237"/>
      <c r="LQC187" s="1237"/>
      <c r="LQD187" s="1237"/>
      <c r="LQE187" s="1237"/>
      <c r="LQF187" s="1237"/>
      <c r="LQG187" s="1237"/>
      <c r="LQH187" s="1237"/>
      <c r="LQI187" s="1237"/>
      <c r="LQJ187" s="1237"/>
      <c r="LQK187" s="1237"/>
      <c r="LQL187" s="1237"/>
      <c r="LQM187" s="1237"/>
      <c r="LQN187" s="1237"/>
      <c r="LQO187" s="1237"/>
      <c r="LQP187" s="1237"/>
      <c r="LQQ187" s="1237"/>
      <c r="LQR187" s="1237"/>
      <c r="LQS187" s="1237"/>
      <c r="LQT187" s="1237"/>
      <c r="LQU187" s="1237"/>
      <c r="LQV187" s="1237"/>
      <c r="LQW187" s="1237"/>
      <c r="LQX187" s="1237"/>
      <c r="LQY187" s="1237"/>
      <c r="LQZ187" s="1237"/>
      <c r="LRA187" s="1237"/>
      <c r="LRB187" s="1237"/>
      <c r="LRC187" s="1237"/>
      <c r="LRD187" s="1237"/>
      <c r="LRE187" s="1237"/>
      <c r="LRF187" s="1237"/>
      <c r="LRG187" s="1237"/>
      <c r="LRH187" s="1237"/>
      <c r="LRI187" s="1237"/>
      <c r="LRJ187" s="1237"/>
      <c r="LRK187" s="1237"/>
      <c r="LRL187" s="1237"/>
      <c r="LRM187" s="1237"/>
      <c r="LRN187" s="1237"/>
      <c r="LRO187" s="1237"/>
      <c r="LRP187" s="1237"/>
      <c r="LRQ187" s="1237"/>
      <c r="LRR187" s="1237"/>
      <c r="LRS187" s="1237"/>
      <c r="LRT187" s="1237"/>
      <c r="LRU187" s="1237"/>
      <c r="LRV187" s="1237"/>
      <c r="LRW187" s="1237"/>
      <c r="LRX187" s="1237"/>
      <c r="LRY187" s="1237"/>
      <c r="LRZ187" s="1237"/>
      <c r="LSA187" s="1237"/>
      <c r="LSB187" s="1237"/>
      <c r="LSC187" s="1237"/>
      <c r="LSD187" s="1237"/>
      <c r="LSE187" s="1237"/>
      <c r="LSF187" s="1237"/>
      <c r="LSG187" s="1237"/>
      <c r="LSH187" s="1237"/>
      <c r="LSI187" s="1237"/>
      <c r="LSJ187" s="1237"/>
      <c r="LSK187" s="1237"/>
      <c r="LSL187" s="1237"/>
      <c r="LSM187" s="1237"/>
      <c r="LSN187" s="1237"/>
      <c r="LSO187" s="1237"/>
      <c r="LSP187" s="1237"/>
      <c r="LSQ187" s="1237"/>
      <c r="LSR187" s="1237"/>
      <c r="LSS187" s="1237"/>
      <c r="LST187" s="1237"/>
      <c r="LSU187" s="1237"/>
      <c r="LSV187" s="1237"/>
      <c r="LSW187" s="1237"/>
      <c r="LSX187" s="1237"/>
      <c r="LSY187" s="1237"/>
      <c r="LSZ187" s="1237"/>
      <c r="LTA187" s="1237"/>
      <c r="LTB187" s="1237"/>
      <c r="LTC187" s="1237"/>
      <c r="LTD187" s="1237"/>
      <c r="LTE187" s="1237"/>
      <c r="LTF187" s="1237"/>
      <c r="LTG187" s="1237"/>
      <c r="LTH187" s="1237"/>
      <c r="LTI187" s="1237"/>
      <c r="LTJ187" s="1237"/>
      <c r="LTK187" s="1237"/>
      <c r="LTL187" s="1237"/>
      <c r="LTM187" s="1237"/>
      <c r="LTN187" s="1237"/>
      <c r="LTO187" s="1237"/>
      <c r="LTP187" s="1237"/>
      <c r="LTQ187" s="1237"/>
      <c r="LTR187" s="1237"/>
      <c r="LTS187" s="1237"/>
      <c r="LTT187" s="1237"/>
      <c r="LTU187" s="1237"/>
      <c r="LTV187" s="1237"/>
      <c r="LTW187" s="1237"/>
      <c r="LTX187" s="1237"/>
      <c r="LTY187" s="1237"/>
      <c r="LTZ187" s="1237"/>
      <c r="LUA187" s="1237"/>
      <c r="LUB187" s="1237"/>
      <c r="LUC187" s="1237"/>
      <c r="LUD187" s="1237"/>
      <c r="LUE187" s="1237"/>
      <c r="LUF187" s="1237"/>
      <c r="LUG187" s="1237"/>
      <c r="LUH187" s="1237"/>
      <c r="LUI187" s="1237"/>
      <c r="LUJ187" s="1237"/>
      <c r="LUK187" s="1237"/>
      <c r="LUL187" s="1237"/>
      <c r="LUM187" s="1237"/>
      <c r="LUN187" s="1237"/>
      <c r="LUO187" s="1237"/>
      <c r="LUP187" s="1237"/>
      <c r="LUQ187" s="1237"/>
      <c r="LUR187" s="1237"/>
      <c r="LUS187" s="1237"/>
      <c r="LUT187" s="1237"/>
      <c r="LUU187" s="1237"/>
      <c r="LUV187" s="1237"/>
      <c r="LUW187" s="1237"/>
      <c r="LUX187" s="1237"/>
      <c r="LUY187" s="1237"/>
      <c r="LUZ187" s="1237"/>
      <c r="LVA187" s="1237"/>
      <c r="LVB187" s="1237"/>
      <c r="LVC187" s="1237"/>
      <c r="LVD187" s="1237"/>
      <c r="LVE187" s="1237"/>
      <c r="LVF187" s="1237"/>
      <c r="LVG187" s="1237"/>
      <c r="LVH187" s="1237"/>
      <c r="LVI187" s="1237"/>
      <c r="LVJ187" s="1237"/>
      <c r="LVK187" s="1237"/>
      <c r="LVL187" s="1237"/>
      <c r="LVM187" s="1237"/>
      <c r="LVN187" s="1237"/>
      <c r="LVO187" s="1237"/>
      <c r="LVP187" s="1237"/>
      <c r="LVQ187" s="1237"/>
      <c r="LVR187" s="1237"/>
      <c r="LVS187" s="1237"/>
      <c r="LVT187" s="1237"/>
      <c r="LVU187" s="1237"/>
      <c r="LVV187" s="1237"/>
      <c r="LVW187" s="1237"/>
      <c r="LVX187" s="1237"/>
      <c r="LVY187" s="1237"/>
      <c r="LVZ187" s="1237"/>
      <c r="LWA187" s="1237"/>
      <c r="LWB187" s="1237"/>
      <c r="LWC187" s="1237"/>
      <c r="LWD187" s="1237"/>
      <c r="LWE187" s="1237"/>
      <c r="LWF187" s="1237"/>
      <c r="LWG187" s="1237"/>
      <c r="LWH187" s="1237"/>
      <c r="LWI187" s="1237"/>
      <c r="LWJ187" s="1237"/>
      <c r="LWK187" s="1237"/>
      <c r="LWL187" s="1237"/>
      <c r="LWM187" s="1237"/>
      <c r="LWN187" s="1237"/>
      <c r="LWO187" s="1237"/>
      <c r="LWP187" s="1237"/>
      <c r="LWQ187" s="1237"/>
      <c r="LWR187" s="1237"/>
      <c r="LWS187" s="1237"/>
      <c r="LWT187" s="1237"/>
      <c r="LWU187" s="1237"/>
      <c r="LWV187" s="1237"/>
      <c r="LWW187" s="1237"/>
      <c r="LWX187" s="1237"/>
      <c r="LWY187" s="1237"/>
      <c r="LWZ187" s="1237"/>
      <c r="LXA187" s="1237"/>
      <c r="LXB187" s="1237"/>
      <c r="LXC187" s="1237"/>
      <c r="LXD187" s="1237"/>
      <c r="LXE187" s="1237"/>
      <c r="LXF187" s="1237"/>
      <c r="LXG187" s="1237"/>
      <c r="LXH187" s="1237"/>
      <c r="LXI187" s="1237"/>
      <c r="LXJ187" s="1237"/>
      <c r="LXK187" s="1237"/>
      <c r="LXL187" s="1237"/>
      <c r="LXM187" s="1237"/>
      <c r="LXN187" s="1237"/>
      <c r="LXO187" s="1237"/>
      <c r="LXP187" s="1237"/>
      <c r="LXQ187" s="1237"/>
      <c r="LXR187" s="1237"/>
      <c r="LXS187" s="1237"/>
      <c r="LXT187" s="1237"/>
      <c r="LXU187" s="1237"/>
      <c r="LXV187" s="1237"/>
      <c r="LXW187" s="1237"/>
      <c r="LXX187" s="1237"/>
      <c r="LXY187" s="1237"/>
      <c r="LXZ187" s="1237"/>
      <c r="LYA187" s="1237"/>
      <c r="LYB187" s="1237"/>
      <c r="LYC187" s="1237"/>
      <c r="LYD187" s="1237"/>
      <c r="LYE187" s="1237"/>
      <c r="LYF187" s="1237"/>
      <c r="LYG187" s="1237"/>
      <c r="LYH187" s="1237"/>
      <c r="LYI187" s="1237"/>
      <c r="LYJ187" s="1237"/>
      <c r="LYK187" s="1237"/>
      <c r="LYL187" s="1237"/>
      <c r="LYM187" s="1237"/>
      <c r="LYN187" s="1237"/>
      <c r="LYO187" s="1237"/>
      <c r="LYP187" s="1237"/>
      <c r="LYQ187" s="1237"/>
      <c r="LYR187" s="1237"/>
      <c r="LYS187" s="1237"/>
      <c r="LYT187" s="1237"/>
      <c r="LYU187" s="1237"/>
      <c r="LYV187" s="1237"/>
      <c r="LYW187" s="1237"/>
      <c r="LYX187" s="1237"/>
      <c r="LYY187" s="1237"/>
      <c r="LYZ187" s="1237"/>
      <c r="LZA187" s="1237"/>
      <c r="LZB187" s="1237"/>
      <c r="LZC187" s="1237"/>
      <c r="LZD187" s="1237"/>
      <c r="LZE187" s="1237"/>
      <c r="LZF187" s="1237"/>
      <c r="LZG187" s="1237"/>
      <c r="LZH187" s="1237"/>
      <c r="LZI187" s="1237"/>
      <c r="LZJ187" s="1237"/>
      <c r="LZK187" s="1237"/>
      <c r="LZL187" s="1237"/>
      <c r="LZM187" s="1237"/>
      <c r="LZN187" s="1237"/>
      <c r="LZO187" s="1237"/>
      <c r="LZP187" s="1237"/>
      <c r="LZQ187" s="1237"/>
      <c r="LZR187" s="1237"/>
      <c r="LZS187" s="1237"/>
      <c r="LZT187" s="1237"/>
      <c r="LZU187" s="1237"/>
      <c r="LZV187" s="1237"/>
      <c r="LZW187" s="1237"/>
      <c r="LZX187" s="1237"/>
      <c r="LZY187" s="1237"/>
      <c r="LZZ187" s="1237"/>
      <c r="MAA187" s="1237"/>
      <c r="MAB187" s="1237"/>
      <c r="MAC187" s="1237"/>
      <c r="MAD187" s="1237"/>
      <c r="MAE187" s="1237"/>
      <c r="MAF187" s="1237"/>
      <c r="MAG187" s="1237"/>
      <c r="MAH187" s="1237"/>
      <c r="MAI187" s="1237"/>
      <c r="MAJ187" s="1237"/>
      <c r="MAK187" s="1237"/>
      <c r="MAL187" s="1237"/>
      <c r="MAM187" s="1237"/>
      <c r="MAN187" s="1237"/>
      <c r="MAO187" s="1237"/>
      <c r="MAP187" s="1237"/>
      <c r="MAQ187" s="1237"/>
      <c r="MAR187" s="1237"/>
      <c r="MAS187" s="1237"/>
      <c r="MAT187" s="1237"/>
      <c r="MAU187" s="1237"/>
      <c r="MAV187" s="1237"/>
      <c r="MAW187" s="1237"/>
      <c r="MAX187" s="1237"/>
      <c r="MAY187" s="1237"/>
      <c r="MAZ187" s="1237"/>
      <c r="MBA187" s="1237"/>
      <c r="MBB187" s="1237"/>
      <c r="MBC187" s="1237"/>
      <c r="MBD187" s="1237"/>
      <c r="MBE187" s="1237"/>
      <c r="MBF187" s="1237"/>
      <c r="MBG187" s="1237"/>
      <c r="MBH187" s="1237"/>
      <c r="MBI187" s="1237"/>
      <c r="MBJ187" s="1237"/>
      <c r="MBK187" s="1237"/>
      <c r="MBL187" s="1237"/>
      <c r="MBM187" s="1237"/>
      <c r="MBN187" s="1237"/>
      <c r="MBO187" s="1237"/>
      <c r="MBP187" s="1237"/>
      <c r="MBQ187" s="1237"/>
      <c r="MBR187" s="1237"/>
      <c r="MBS187" s="1237"/>
      <c r="MBT187" s="1237"/>
      <c r="MBU187" s="1237"/>
      <c r="MBV187" s="1237"/>
      <c r="MBW187" s="1237"/>
      <c r="MBX187" s="1237"/>
      <c r="MBY187" s="1237"/>
      <c r="MBZ187" s="1237"/>
      <c r="MCA187" s="1237"/>
      <c r="MCB187" s="1237"/>
      <c r="MCC187" s="1237"/>
      <c r="MCD187" s="1237"/>
      <c r="MCE187" s="1237"/>
      <c r="MCF187" s="1237"/>
      <c r="MCG187" s="1237"/>
      <c r="MCH187" s="1237"/>
      <c r="MCI187" s="1237"/>
      <c r="MCJ187" s="1237"/>
      <c r="MCK187" s="1237"/>
      <c r="MCL187" s="1237"/>
      <c r="MCM187" s="1237"/>
      <c r="MCN187" s="1237"/>
      <c r="MCO187" s="1237"/>
      <c r="MCP187" s="1237"/>
      <c r="MCQ187" s="1237"/>
      <c r="MCR187" s="1237"/>
      <c r="MCS187" s="1237"/>
      <c r="MCT187" s="1237"/>
      <c r="MCU187" s="1237"/>
      <c r="MCV187" s="1237"/>
      <c r="MCW187" s="1237"/>
      <c r="MCX187" s="1237"/>
      <c r="MCY187" s="1237"/>
      <c r="MCZ187" s="1237"/>
      <c r="MDA187" s="1237"/>
      <c r="MDB187" s="1237"/>
      <c r="MDC187" s="1237"/>
      <c r="MDD187" s="1237"/>
      <c r="MDE187" s="1237"/>
      <c r="MDF187" s="1237"/>
      <c r="MDG187" s="1237"/>
      <c r="MDH187" s="1237"/>
      <c r="MDI187" s="1237"/>
      <c r="MDJ187" s="1237"/>
      <c r="MDK187" s="1237"/>
      <c r="MDL187" s="1237"/>
      <c r="MDM187" s="1237"/>
      <c r="MDN187" s="1237"/>
      <c r="MDO187" s="1237"/>
      <c r="MDP187" s="1237"/>
      <c r="MDQ187" s="1237"/>
      <c r="MDR187" s="1237"/>
      <c r="MDS187" s="1237"/>
      <c r="MDT187" s="1237"/>
      <c r="MDU187" s="1237"/>
      <c r="MDV187" s="1237"/>
      <c r="MDW187" s="1237"/>
      <c r="MDX187" s="1237"/>
      <c r="MDY187" s="1237"/>
      <c r="MDZ187" s="1237"/>
      <c r="MEA187" s="1237"/>
      <c r="MEB187" s="1237"/>
      <c r="MEC187" s="1237"/>
      <c r="MED187" s="1237"/>
      <c r="MEE187" s="1237"/>
      <c r="MEF187" s="1237"/>
      <c r="MEG187" s="1237"/>
      <c r="MEH187" s="1237"/>
      <c r="MEI187" s="1237"/>
      <c r="MEJ187" s="1237"/>
      <c r="MEK187" s="1237"/>
      <c r="MEL187" s="1237"/>
      <c r="MEM187" s="1237"/>
      <c r="MEN187" s="1237"/>
      <c r="MEO187" s="1237"/>
      <c r="MEP187" s="1237"/>
      <c r="MEQ187" s="1237"/>
      <c r="MER187" s="1237"/>
      <c r="MES187" s="1237"/>
      <c r="MET187" s="1237"/>
      <c r="MEU187" s="1237"/>
      <c r="MEV187" s="1237"/>
      <c r="MEW187" s="1237"/>
      <c r="MEX187" s="1237"/>
      <c r="MEY187" s="1237"/>
      <c r="MEZ187" s="1237"/>
      <c r="MFA187" s="1237"/>
      <c r="MFB187" s="1237"/>
      <c r="MFC187" s="1237"/>
      <c r="MFD187" s="1237"/>
      <c r="MFE187" s="1237"/>
      <c r="MFF187" s="1237"/>
      <c r="MFG187" s="1237"/>
      <c r="MFH187" s="1237"/>
      <c r="MFI187" s="1237"/>
      <c r="MFJ187" s="1237"/>
      <c r="MFK187" s="1237"/>
      <c r="MFL187" s="1237"/>
      <c r="MFM187" s="1237"/>
      <c r="MFN187" s="1237"/>
      <c r="MFO187" s="1237"/>
      <c r="MFP187" s="1237"/>
      <c r="MFQ187" s="1237"/>
      <c r="MFR187" s="1237"/>
      <c r="MFS187" s="1237"/>
      <c r="MFT187" s="1237"/>
      <c r="MFU187" s="1237"/>
      <c r="MFV187" s="1237"/>
      <c r="MFW187" s="1237"/>
      <c r="MFX187" s="1237"/>
      <c r="MFY187" s="1237"/>
      <c r="MFZ187" s="1237"/>
      <c r="MGA187" s="1237"/>
      <c r="MGB187" s="1237"/>
      <c r="MGC187" s="1237"/>
      <c r="MGD187" s="1237"/>
      <c r="MGE187" s="1237"/>
      <c r="MGF187" s="1237"/>
      <c r="MGG187" s="1237"/>
      <c r="MGH187" s="1237"/>
      <c r="MGI187" s="1237"/>
      <c r="MGJ187" s="1237"/>
      <c r="MGK187" s="1237"/>
      <c r="MGL187" s="1237"/>
      <c r="MGM187" s="1237"/>
      <c r="MGN187" s="1237"/>
      <c r="MGO187" s="1237"/>
      <c r="MGP187" s="1237"/>
      <c r="MGQ187" s="1237"/>
      <c r="MGR187" s="1237"/>
      <c r="MGS187" s="1237"/>
      <c r="MGT187" s="1237"/>
      <c r="MGU187" s="1237"/>
      <c r="MGV187" s="1237"/>
      <c r="MGW187" s="1237"/>
      <c r="MGX187" s="1237"/>
      <c r="MGY187" s="1237"/>
      <c r="MGZ187" s="1237"/>
      <c r="MHA187" s="1237"/>
      <c r="MHB187" s="1237"/>
      <c r="MHC187" s="1237"/>
      <c r="MHD187" s="1237"/>
      <c r="MHE187" s="1237"/>
      <c r="MHF187" s="1237"/>
      <c r="MHG187" s="1237"/>
      <c r="MHH187" s="1237"/>
      <c r="MHI187" s="1237"/>
      <c r="MHJ187" s="1237"/>
      <c r="MHK187" s="1237"/>
      <c r="MHL187" s="1237"/>
      <c r="MHM187" s="1237"/>
      <c r="MHN187" s="1237"/>
      <c r="MHO187" s="1237"/>
      <c r="MHP187" s="1237"/>
      <c r="MHQ187" s="1237"/>
      <c r="MHR187" s="1237"/>
      <c r="MHS187" s="1237"/>
      <c r="MHT187" s="1237"/>
      <c r="MHU187" s="1237"/>
      <c r="MHV187" s="1237"/>
      <c r="MHW187" s="1237"/>
      <c r="MHX187" s="1237"/>
      <c r="MHY187" s="1237"/>
      <c r="MHZ187" s="1237"/>
      <c r="MIA187" s="1237"/>
      <c r="MIB187" s="1237"/>
      <c r="MIC187" s="1237"/>
      <c r="MID187" s="1237"/>
      <c r="MIE187" s="1237"/>
      <c r="MIF187" s="1237"/>
      <c r="MIG187" s="1237"/>
      <c r="MIH187" s="1237"/>
      <c r="MII187" s="1237"/>
      <c r="MIJ187" s="1237"/>
      <c r="MIK187" s="1237"/>
      <c r="MIL187" s="1237"/>
      <c r="MIM187" s="1237"/>
      <c r="MIN187" s="1237"/>
      <c r="MIO187" s="1237"/>
      <c r="MIP187" s="1237"/>
      <c r="MIQ187" s="1237"/>
      <c r="MIR187" s="1237"/>
      <c r="MIS187" s="1237"/>
      <c r="MIT187" s="1237"/>
      <c r="MIU187" s="1237"/>
      <c r="MIV187" s="1237"/>
      <c r="MIW187" s="1237"/>
      <c r="MIX187" s="1237"/>
      <c r="MIY187" s="1237"/>
      <c r="MIZ187" s="1237"/>
      <c r="MJA187" s="1237"/>
      <c r="MJB187" s="1237"/>
      <c r="MJC187" s="1237"/>
      <c r="MJD187" s="1237"/>
      <c r="MJE187" s="1237"/>
      <c r="MJF187" s="1237"/>
      <c r="MJG187" s="1237"/>
      <c r="MJH187" s="1237"/>
      <c r="MJI187" s="1237"/>
      <c r="MJJ187" s="1237"/>
      <c r="MJK187" s="1237"/>
      <c r="MJL187" s="1237"/>
      <c r="MJM187" s="1237"/>
      <c r="MJN187" s="1237"/>
      <c r="MJO187" s="1237"/>
      <c r="MJP187" s="1237"/>
      <c r="MJQ187" s="1237"/>
      <c r="MJR187" s="1237"/>
      <c r="MJS187" s="1237"/>
      <c r="MJT187" s="1237"/>
      <c r="MJU187" s="1237"/>
      <c r="MJV187" s="1237"/>
      <c r="MJW187" s="1237"/>
      <c r="MJX187" s="1237"/>
      <c r="MJY187" s="1237"/>
      <c r="MJZ187" s="1237"/>
      <c r="MKA187" s="1237"/>
      <c r="MKB187" s="1237"/>
      <c r="MKC187" s="1237"/>
      <c r="MKD187" s="1237"/>
      <c r="MKE187" s="1237"/>
      <c r="MKF187" s="1237"/>
      <c r="MKG187" s="1237"/>
      <c r="MKH187" s="1237"/>
      <c r="MKI187" s="1237"/>
      <c r="MKJ187" s="1237"/>
      <c r="MKK187" s="1237"/>
      <c r="MKL187" s="1237"/>
      <c r="MKM187" s="1237"/>
      <c r="MKN187" s="1237"/>
      <c r="MKO187" s="1237"/>
      <c r="MKP187" s="1237"/>
      <c r="MKQ187" s="1237"/>
      <c r="MKR187" s="1237"/>
      <c r="MKS187" s="1237"/>
      <c r="MKT187" s="1237"/>
      <c r="MKU187" s="1237"/>
      <c r="MKV187" s="1237"/>
      <c r="MKW187" s="1237"/>
      <c r="MKX187" s="1237"/>
      <c r="MKY187" s="1237"/>
      <c r="MKZ187" s="1237"/>
      <c r="MLA187" s="1237"/>
      <c r="MLB187" s="1237"/>
      <c r="MLC187" s="1237"/>
      <c r="MLD187" s="1237"/>
      <c r="MLE187" s="1237"/>
      <c r="MLF187" s="1237"/>
      <c r="MLG187" s="1237"/>
      <c r="MLH187" s="1237"/>
      <c r="MLI187" s="1237"/>
      <c r="MLJ187" s="1237"/>
      <c r="MLK187" s="1237"/>
      <c r="MLL187" s="1237"/>
      <c r="MLM187" s="1237"/>
      <c r="MLN187" s="1237"/>
      <c r="MLO187" s="1237"/>
      <c r="MLP187" s="1237"/>
      <c r="MLQ187" s="1237"/>
      <c r="MLR187" s="1237"/>
      <c r="MLS187" s="1237"/>
      <c r="MLT187" s="1237"/>
      <c r="MLU187" s="1237"/>
      <c r="MLV187" s="1237"/>
      <c r="MLW187" s="1237"/>
      <c r="MLX187" s="1237"/>
      <c r="MLY187" s="1237"/>
      <c r="MLZ187" s="1237"/>
      <c r="MMA187" s="1237"/>
      <c r="MMB187" s="1237"/>
      <c r="MMC187" s="1237"/>
      <c r="MMD187" s="1237"/>
      <c r="MME187" s="1237"/>
      <c r="MMF187" s="1237"/>
      <c r="MMG187" s="1237"/>
      <c r="MMH187" s="1237"/>
      <c r="MMI187" s="1237"/>
      <c r="MMJ187" s="1237"/>
      <c r="MMK187" s="1237"/>
      <c r="MML187" s="1237"/>
      <c r="MMM187" s="1237"/>
      <c r="MMN187" s="1237"/>
      <c r="MMO187" s="1237"/>
      <c r="MMP187" s="1237"/>
      <c r="MMQ187" s="1237"/>
      <c r="MMR187" s="1237"/>
      <c r="MMS187" s="1237"/>
      <c r="MMT187" s="1237"/>
      <c r="MMU187" s="1237"/>
      <c r="MMV187" s="1237"/>
      <c r="MMW187" s="1237"/>
      <c r="MMX187" s="1237"/>
      <c r="MMY187" s="1237"/>
      <c r="MMZ187" s="1237"/>
      <c r="MNA187" s="1237"/>
      <c r="MNB187" s="1237"/>
      <c r="MNC187" s="1237"/>
      <c r="MND187" s="1237"/>
      <c r="MNE187" s="1237"/>
      <c r="MNF187" s="1237"/>
      <c r="MNG187" s="1237"/>
      <c r="MNH187" s="1237"/>
      <c r="MNI187" s="1237"/>
      <c r="MNJ187" s="1237"/>
      <c r="MNK187" s="1237"/>
      <c r="MNL187" s="1237"/>
      <c r="MNM187" s="1237"/>
      <c r="MNN187" s="1237"/>
      <c r="MNO187" s="1237"/>
      <c r="MNP187" s="1237"/>
      <c r="MNQ187" s="1237"/>
      <c r="MNR187" s="1237"/>
      <c r="MNS187" s="1237"/>
      <c r="MNT187" s="1237"/>
      <c r="MNU187" s="1237"/>
      <c r="MNV187" s="1237"/>
      <c r="MNW187" s="1237"/>
      <c r="MNX187" s="1237"/>
      <c r="MNY187" s="1237"/>
      <c r="MNZ187" s="1237"/>
      <c r="MOA187" s="1237"/>
      <c r="MOB187" s="1237"/>
      <c r="MOC187" s="1237"/>
      <c r="MOD187" s="1237"/>
      <c r="MOE187" s="1237"/>
      <c r="MOF187" s="1237"/>
      <c r="MOG187" s="1237"/>
      <c r="MOH187" s="1237"/>
      <c r="MOI187" s="1237"/>
      <c r="MOJ187" s="1237"/>
      <c r="MOK187" s="1237"/>
      <c r="MOL187" s="1237"/>
      <c r="MOM187" s="1237"/>
      <c r="MON187" s="1237"/>
      <c r="MOO187" s="1237"/>
      <c r="MOP187" s="1237"/>
      <c r="MOQ187" s="1237"/>
      <c r="MOR187" s="1237"/>
      <c r="MOS187" s="1237"/>
      <c r="MOT187" s="1237"/>
      <c r="MOU187" s="1237"/>
      <c r="MOV187" s="1237"/>
      <c r="MOW187" s="1237"/>
      <c r="MOX187" s="1237"/>
      <c r="MOY187" s="1237"/>
      <c r="MOZ187" s="1237"/>
      <c r="MPA187" s="1237"/>
      <c r="MPB187" s="1237"/>
      <c r="MPC187" s="1237"/>
      <c r="MPD187" s="1237"/>
      <c r="MPE187" s="1237"/>
      <c r="MPF187" s="1237"/>
      <c r="MPG187" s="1237"/>
      <c r="MPH187" s="1237"/>
      <c r="MPI187" s="1237"/>
      <c r="MPJ187" s="1237"/>
      <c r="MPK187" s="1237"/>
      <c r="MPL187" s="1237"/>
      <c r="MPM187" s="1237"/>
      <c r="MPN187" s="1237"/>
      <c r="MPO187" s="1237"/>
      <c r="MPP187" s="1237"/>
      <c r="MPQ187" s="1237"/>
      <c r="MPR187" s="1237"/>
      <c r="MPS187" s="1237"/>
      <c r="MPT187" s="1237"/>
      <c r="MPU187" s="1237"/>
      <c r="MPV187" s="1237"/>
      <c r="MPW187" s="1237"/>
      <c r="MPX187" s="1237"/>
      <c r="MPY187" s="1237"/>
      <c r="MPZ187" s="1237"/>
      <c r="MQA187" s="1237"/>
      <c r="MQB187" s="1237"/>
      <c r="MQC187" s="1237"/>
      <c r="MQD187" s="1237"/>
      <c r="MQE187" s="1237"/>
      <c r="MQF187" s="1237"/>
      <c r="MQG187" s="1237"/>
      <c r="MQH187" s="1237"/>
      <c r="MQI187" s="1237"/>
      <c r="MQJ187" s="1237"/>
      <c r="MQK187" s="1237"/>
      <c r="MQL187" s="1237"/>
      <c r="MQM187" s="1237"/>
      <c r="MQN187" s="1237"/>
      <c r="MQO187" s="1237"/>
      <c r="MQP187" s="1237"/>
      <c r="MQQ187" s="1237"/>
      <c r="MQR187" s="1237"/>
      <c r="MQS187" s="1237"/>
      <c r="MQT187" s="1237"/>
      <c r="MQU187" s="1237"/>
      <c r="MQV187" s="1237"/>
      <c r="MQW187" s="1237"/>
      <c r="MQX187" s="1237"/>
      <c r="MQY187" s="1237"/>
      <c r="MQZ187" s="1237"/>
      <c r="MRA187" s="1237"/>
      <c r="MRB187" s="1237"/>
      <c r="MRC187" s="1237"/>
      <c r="MRD187" s="1237"/>
      <c r="MRE187" s="1237"/>
      <c r="MRF187" s="1237"/>
      <c r="MRG187" s="1237"/>
      <c r="MRH187" s="1237"/>
      <c r="MRI187" s="1237"/>
      <c r="MRJ187" s="1237"/>
      <c r="MRK187" s="1237"/>
      <c r="MRL187" s="1237"/>
      <c r="MRM187" s="1237"/>
      <c r="MRN187" s="1237"/>
      <c r="MRO187" s="1237"/>
      <c r="MRP187" s="1237"/>
      <c r="MRQ187" s="1237"/>
      <c r="MRR187" s="1237"/>
      <c r="MRS187" s="1237"/>
      <c r="MRT187" s="1237"/>
      <c r="MRU187" s="1237"/>
      <c r="MRV187" s="1237"/>
      <c r="MRW187" s="1237"/>
      <c r="MRX187" s="1237"/>
      <c r="MRY187" s="1237"/>
      <c r="MRZ187" s="1237"/>
      <c r="MSA187" s="1237"/>
      <c r="MSB187" s="1237"/>
      <c r="MSC187" s="1237"/>
      <c r="MSD187" s="1237"/>
      <c r="MSE187" s="1237"/>
      <c r="MSF187" s="1237"/>
      <c r="MSG187" s="1237"/>
      <c r="MSH187" s="1237"/>
      <c r="MSI187" s="1237"/>
      <c r="MSJ187" s="1237"/>
      <c r="MSK187" s="1237"/>
      <c r="MSL187" s="1237"/>
      <c r="MSM187" s="1237"/>
      <c r="MSN187" s="1237"/>
      <c r="MSO187" s="1237"/>
      <c r="MSP187" s="1237"/>
      <c r="MSQ187" s="1237"/>
      <c r="MSR187" s="1237"/>
      <c r="MSS187" s="1237"/>
      <c r="MST187" s="1237"/>
      <c r="MSU187" s="1237"/>
      <c r="MSV187" s="1237"/>
      <c r="MSW187" s="1237"/>
      <c r="MSX187" s="1237"/>
      <c r="MSY187" s="1237"/>
      <c r="MSZ187" s="1237"/>
      <c r="MTA187" s="1237"/>
      <c r="MTB187" s="1237"/>
      <c r="MTC187" s="1237"/>
      <c r="MTD187" s="1237"/>
      <c r="MTE187" s="1237"/>
      <c r="MTF187" s="1237"/>
      <c r="MTG187" s="1237"/>
      <c r="MTH187" s="1237"/>
      <c r="MTI187" s="1237"/>
      <c r="MTJ187" s="1237"/>
      <c r="MTK187" s="1237"/>
      <c r="MTL187" s="1237"/>
      <c r="MTM187" s="1237"/>
      <c r="MTN187" s="1237"/>
      <c r="MTO187" s="1237"/>
      <c r="MTP187" s="1237"/>
      <c r="MTQ187" s="1237"/>
      <c r="MTR187" s="1237"/>
      <c r="MTS187" s="1237"/>
      <c r="MTT187" s="1237"/>
      <c r="MTU187" s="1237"/>
      <c r="MTV187" s="1237"/>
      <c r="MTW187" s="1237"/>
      <c r="MTX187" s="1237"/>
      <c r="MTY187" s="1237"/>
      <c r="MTZ187" s="1237"/>
      <c r="MUA187" s="1237"/>
      <c r="MUB187" s="1237"/>
      <c r="MUC187" s="1237"/>
      <c r="MUD187" s="1237"/>
      <c r="MUE187" s="1237"/>
      <c r="MUF187" s="1237"/>
      <c r="MUG187" s="1237"/>
      <c r="MUH187" s="1237"/>
      <c r="MUI187" s="1237"/>
      <c r="MUJ187" s="1237"/>
      <c r="MUK187" s="1237"/>
      <c r="MUL187" s="1237"/>
      <c r="MUM187" s="1237"/>
      <c r="MUN187" s="1237"/>
      <c r="MUO187" s="1237"/>
      <c r="MUP187" s="1237"/>
      <c r="MUQ187" s="1237"/>
      <c r="MUR187" s="1237"/>
      <c r="MUS187" s="1237"/>
      <c r="MUT187" s="1237"/>
      <c r="MUU187" s="1237"/>
      <c r="MUV187" s="1237"/>
      <c r="MUW187" s="1237"/>
      <c r="MUX187" s="1237"/>
      <c r="MUY187" s="1237"/>
      <c r="MUZ187" s="1237"/>
      <c r="MVA187" s="1237"/>
      <c r="MVB187" s="1237"/>
      <c r="MVC187" s="1237"/>
      <c r="MVD187" s="1237"/>
      <c r="MVE187" s="1237"/>
      <c r="MVF187" s="1237"/>
      <c r="MVG187" s="1237"/>
      <c r="MVH187" s="1237"/>
      <c r="MVI187" s="1237"/>
      <c r="MVJ187" s="1237"/>
      <c r="MVK187" s="1237"/>
      <c r="MVL187" s="1237"/>
      <c r="MVM187" s="1237"/>
      <c r="MVN187" s="1237"/>
      <c r="MVO187" s="1237"/>
      <c r="MVP187" s="1237"/>
      <c r="MVQ187" s="1237"/>
      <c r="MVR187" s="1237"/>
      <c r="MVS187" s="1237"/>
      <c r="MVT187" s="1237"/>
      <c r="MVU187" s="1237"/>
      <c r="MVV187" s="1237"/>
      <c r="MVW187" s="1237"/>
      <c r="MVX187" s="1237"/>
      <c r="MVY187" s="1237"/>
      <c r="MVZ187" s="1237"/>
      <c r="MWA187" s="1237"/>
      <c r="MWB187" s="1237"/>
      <c r="MWC187" s="1237"/>
      <c r="MWD187" s="1237"/>
      <c r="MWE187" s="1237"/>
      <c r="MWF187" s="1237"/>
      <c r="MWG187" s="1237"/>
      <c r="MWH187" s="1237"/>
      <c r="MWI187" s="1237"/>
      <c r="MWJ187" s="1237"/>
      <c r="MWK187" s="1237"/>
      <c r="MWL187" s="1237"/>
      <c r="MWM187" s="1237"/>
      <c r="MWN187" s="1237"/>
      <c r="MWO187" s="1237"/>
      <c r="MWP187" s="1237"/>
      <c r="MWQ187" s="1237"/>
      <c r="MWR187" s="1237"/>
      <c r="MWS187" s="1237"/>
      <c r="MWT187" s="1237"/>
      <c r="MWU187" s="1237"/>
      <c r="MWV187" s="1237"/>
      <c r="MWW187" s="1237"/>
      <c r="MWX187" s="1237"/>
      <c r="MWY187" s="1237"/>
      <c r="MWZ187" s="1237"/>
      <c r="MXA187" s="1237"/>
      <c r="MXB187" s="1237"/>
      <c r="MXC187" s="1237"/>
      <c r="MXD187" s="1237"/>
      <c r="MXE187" s="1237"/>
      <c r="MXF187" s="1237"/>
      <c r="MXG187" s="1237"/>
      <c r="MXH187" s="1237"/>
      <c r="MXI187" s="1237"/>
      <c r="MXJ187" s="1237"/>
      <c r="MXK187" s="1237"/>
      <c r="MXL187" s="1237"/>
      <c r="MXM187" s="1237"/>
      <c r="MXN187" s="1237"/>
      <c r="MXO187" s="1237"/>
      <c r="MXP187" s="1237"/>
      <c r="MXQ187" s="1237"/>
      <c r="MXR187" s="1237"/>
      <c r="MXS187" s="1237"/>
      <c r="MXT187" s="1237"/>
      <c r="MXU187" s="1237"/>
      <c r="MXV187" s="1237"/>
      <c r="MXW187" s="1237"/>
      <c r="MXX187" s="1237"/>
      <c r="MXY187" s="1237"/>
      <c r="MXZ187" s="1237"/>
      <c r="MYA187" s="1237"/>
      <c r="MYB187" s="1237"/>
      <c r="MYC187" s="1237"/>
      <c r="MYD187" s="1237"/>
      <c r="MYE187" s="1237"/>
      <c r="MYF187" s="1237"/>
      <c r="MYG187" s="1237"/>
      <c r="MYH187" s="1237"/>
      <c r="MYI187" s="1237"/>
      <c r="MYJ187" s="1237"/>
      <c r="MYK187" s="1237"/>
      <c r="MYL187" s="1237"/>
      <c r="MYM187" s="1237"/>
      <c r="MYN187" s="1237"/>
      <c r="MYO187" s="1237"/>
      <c r="MYP187" s="1237"/>
      <c r="MYQ187" s="1237"/>
      <c r="MYR187" s="1237"/>
      <c r="MYS187" s="1237"/>
      <c r="MYT187" s="1237"/>
      <c r="MYU187" s="1237"/>
      <c r="MYV187" s="1237"/>
      <c r="MYW187" s="1237"/>
      <c r="MYX187" s="1237"/>
      <c r="MYY187" s="1237"/>
      <c r="MYZ187" s="1237"/>
      <c r="MZA187" s="1237"/>
      <c r="MZB187" s="1237"/>
      <c r="MZC187" s="1237"/>
      <c r="MZD187" s="1237"/>
      <c r="MZE187" s="1237"/>
      <c r="MZF187" s="1237"/>
      <c r="MZG187" s="1237"/>
      <c r="MZH187" s="1237"/>
      <c r="MZI187" s="1237"/>
      <c r="MZJ187" s="1237"/>
      <c r="MZK187" s="1237"/>
      <c r="MZL187" s="1237"/>
      <c r="MZM187" s="1237"/>
      <c r="MZN187" s="1237"/>
      <c r="MZO187" s="1237"/>
      <c r="MZP187" s="1237"/>
      <c r="MZQ187" s="1237"/>
      <c r="MZR187" s="1237"/>
      <c r="MZS187" s="1237"/>
      <c r="MZT187" s="1237"/>
      <c r="MZU187" s="1237"/>
      <c r="MZV187" s="1237"/>
      <c r="MZW187" s="1237"/>
      <c r="MZX187" s="1237"/>
      <c r="MZY187" s="1237"/>
      <c r="MZZ187" s="1237"/>
      <c r="NAA187" s="1237"/>
      <c r="NAB187" s="1237"/>
      <c r="NAC187" s="1237"/>
      <c r="NAD187" s="1237"/>
      <c r="NAE187" s="1237"/>
      <c r="NAF187" s="1237"/>
      <c r="NAG187" s="1237"/>
      <c r="NAH187" s="1237"/>
      <c r="NAI187" s="1237"/>
      <c r="NAJ187" s="1237"/>
      <c r="NAK187" s="1237"/>
      <c r="NAL187" s="1237"/>
      <c r="NAM187" s="1237"/>
      <c r="NAN187" s="1237"/>
      <c r="NAO187" s="1237"/>
      <c r="NAP187" s="1237"/>
      <c r="NAQ187" s="1237"/>
      <c r="NAR187" s="1237"/>
      <c r="NAS187" s="1237"/>
      <c r="NAT187" s="1237"/>
      <c r="NAU187" s="1237"/>
      <c r="NAV187" s="1237"/>
      <c r="NAW187" s="1237"/>
      <c r="NAX187" s="1237"/>
      <c r="NAY187" s="1237"/>
      <c r="NAZ187" s="1237"/>
      <c r="NBA187" s="1237"/>
      <c r="NBB187" s="1237"/>
      <c r="NBC187" s="1237"/>
      <c r="NBD187" s="1237"/>
      <c r="NBE187" s="1237"/>
      <c r="NBF187" s="1237"/>
      <c r="NBG187" s="1237"/>
      <c r="NBH187" s="1237"/>
      <c r="NBI187" s="1237"/>
      <c r="NBJ187" s="1237"/>
      <c r="NBK187" s="1237"/>
      <c r="NBL187" s="1237"/>
      <c r="NBM187" s="1237"/>
      <c r="NBN187" s="1237"/>
      <c r="NBO187" s="1237"/>
      <c r="NBP187" s="1237"/>
      <c r="NBQ187" s="1237"/>
      <c r="NBR187" s="1237"/>
      <c r="NBS187" s="1237"/>
      <c r="NBT187" s="1237"/>
      <c r="NBU187" s="1237"/>
      <c r="NBV187" s="1237"/>
      <c r="NBW187" s="1237"/>
      <c r="NBX187" s="1237"/>
      <c r="NBY187" s="1237"/>
      <c r="NBZ187" s="1237"/>
      <c r="NCA187" s="1237"/>
      <c r="NCB187" s="1237"/>
      <c r="NCC187" s="1237"/>
      <c r="NCD187" s="1237"/>
      <c r="NCE187" s="1237"/>
      <c r="NCF187" s="1237"/>
      <c r="NCG187" s="1237"/>
      <c r="NCH187" s="1237"/>
      <c r="NCI187" s="1237"/>
      <c r="NCJ187" s="1237"/>
      <c r="NCK187" s="1237"/>
      <c r="NCL187" s="1237"/>
      <c r="NCM187" s="1237"/>
      <c r="NCN187" s="1237"/>
      <c r="NCO187" s="1237"/>
      <c r="NCP187" s="1237"/>
      <c r="NCQ187" s="1237"/>
      <c r="NCR187" s="1237"/>
      <c r="NCS187" s="1237"/>
      <c r="NCT187" s="1237"/>
      <c r="NCU187" s="1237"/>
      <c r="NCV187" s="1237"/>
      <c r="NCW187" s="1237"/>
      <c r="NCX187" s="1237"/>
      <c r="NCY187" s="1237"/>
      <c r="NCZ187" s="1237"/>
      <c r="NDA187" s="1237"/>
      <c r="NDB187" s="1237"/>
      <c r="NDC187" s="1237"/>
      <c r="NDD187" s="1237"/>
      <c r="NDE187" s="1237"/>
      <c r="NDF187" s="1237"/>
      <c r="NDG187" s="1237"/>
      <c r="NDH187" s="1237"/>
      <c r="NDI187" s="1237"/>
      <c r="NDJ187" s="1237"/>
      <c r="NDK187" s="1237"/>
      <c r="NDL187" s="1237"/>
      <c r="NDM187" s="1237"/>
      <c r="NDN187" s="1237"/>
      <c r="NDO187" s="1237"/>
      <c r="NDP187" s="1237"/>
      <c r="NDQ187" s="1237"/>
      <c r="NDR187" s="1237"/>
      <c r="NDS187" s="1237"/>
      <c r="NDT187" s="1237"/>
      <c r="NDU187" s="1237"/>
      <c r="NDV187" s="1237"/>
      <c r="NDW187" s="1237"/>
      <c r="NDX187" s="1237"/>
      <c r="NDY187" s="1237"/>
      <c r="NDZ187" s="1237"/>
      <c r="NEA187" s="1237"/>
      <c r="NEB187" s="1237"/>
      <c r="NEC187" s="1237"/>
      <c r="NED187" s="1237"/>
      <c r="NEE187" s="1237"/>
      <c r="NEF187" s="1237"/>
      <c r="NEG187" s="1237"/>
      <c r="NEH187" s="1237"/>
      <c r="NEI187" s="1237"/>
      <c r="NEJ187" s="1237"/>
      <c r="NEK187" s="1237"/>
      <c r="NEL187" s="1237"/>
      <c r="NEM187" s="1237"/>
      <c r="NEN187" s="1237"/>
      <c r="NEO187" s="1237"/>
      <c r="NEP187" s="1237"/>
      <c r="NEQ187" s="1237"/>
      <c r="NER187" s="1237"/>
      <c r="NES187" s="1237"/>
      <c r="NET187" s="1237"/>
      <c r="NEU187" s="1237"/>
      <c r="NEV187" s="1237"/>
      <c r="NEW187" s="1237"/>
      <c r="NEX187" s="1237"/>
      <c r="NEY187" s="1237"/>
      <c r="NEZ187" s="1237"/>
      <c r="NFA187" s="1237"/>
      <c r="NFB187" s="1237"/>
      <c r="NFC187" s="1237"/>
      <c r="NFD187" s="1237"/>
      <c r="NFE187" s="1237"/>
      <c r="NFF187" s="1237"/>
      <c r="NFG187" s="1237"/>
      <c r="NFH187" s="1237"/>
      <c r="NFI187" s="1237"/>
      <c r="NFJ187" s="1237"/>
      <c r="NFK187" s="1237"/>
      <c r="NFL187" s="1237"/>
      <c r="NFM187" s="1237"/>
      <c r="NFN187" s="1237"/>
      <c r="NFO187" s="1237"/>
      <c r="NFP187" s="1237"/>
      <c r="NFQ187" s="1237"/>
      <c r="NFR187" s="1237"/>
      <c r="NFS187" s="1237"/>
      <c r="NFT187" s="1237"/>
      <c r="NFU187" s="1237"/>
      <c r="NFV187" s="1237"/>
      <c r="NFW187" s="1237"/>
      <c r="NFX187" s="1237"/>
      <c r="NFY187" s="1237"/>
      <c r="NFZ187" s="1237"/>
      <c r="NGA187" s="1237"/>
      <c r="NGB187" s="1237"/>
      <c r="NGC187" s="1237"/>
      <c r="NGD187" s="1237"/>
      <c r="NGE187" s="1237"/>
      <c r="NGF187" s="1237"/>
      <c r="NGG187" s="1237"/>
      <c r="NGH187" s="1237"/>
      <c r="NGI187" s="1237"/>
      <c r="NGJ187" s="1237"/>
      <c r="NGK187" s="1237"/>
      <c r="NGL187" s="1237"/>
      <c r="NGM187" s="1237"/>
      <c r="NGN187" s="1237"/>
      <c r="NGO187" s="1237"/>
      <c r="NGP187" s="1237"/>
      <c r="NGQ187" s="1237"/>
      <c r="NGR187" s="1237"/>
      <c r="NGS187" s="1237"/>
      <c r="NGT187" s="1237"/>
      <c r="NGU187" s="1237"/>
      <c r="NGV187" s="1237"/>
      <c r="NGW187" s="1237"/>
      <c r="NGX187" s="1237"/>
      <c r="NGY187" s="1237"/>
      <c r="NGZ187" s="1237"/>
      <c r="NHA187" s="1237"/>
      <c r="NHB187" s="1237"/>
      <c r="NHC187" s="1237"/>
      <c r="NHD187" s="1237"/>
      <c r="NHE187" s="1237"/>
      <c r="NHF187" s="1237"/>
      <c r="NHG187" s="1237"/>
      <c r="NHH187" s="1237"/>
      <c r="NHI187" s="1237"/>
      <c r="NHJ187" s="1237"/>
      <c r="NHK187" s="1237"/>
      <c r="NHL187" s="1237"/>
      <c r="NHM187" s="1237"/>
      <c r="NHN187" s="1237"/>
      <c r="NHO187" s="1237"/>
      <c r="NHP187" s="1237"/>
      <c r="NHQ187" s="1237"/>
      <c r="NHR187" s="1237"/>
      <c r="NHS187" s="1237"/>
      <c r="NHT187" s="1237"/>
      <c r="NHU187" s="1237"/>
      <c r="NHV187" s="1237"/>
      <c r="NHW187" s="1237"/>
      <c r="NHX187" s="1237"/>
      <c r="NHY187" s="1237"/>
      <c r="NHZ187" s="1237"/>
      <c r="NIA187" s="1237"/>
      <c r="NIB187" s="1237"/>
      <c r="NIC187" s="1237"/>
      <c r="NID187" s="1237"/>
      <c r="NIE187" s="1237"/>
      <c r="NIF187" s="1237"/>
      <c r="NIG187" s="1237"/>
      <c r="NIH187" s="1237"/>
      <c r="NII187" s="1237"/>
      <c r="NIJ187" s="1237"/>
      <c r="NIK187" s="1237"/>
      <c r="NIL187" s="1237"/>
      <c r="NIM187" s="1237"/>
      <c r="NIN187" s="1237"/>
      <c r="NIO187" s="1237"/>
      <c r="NIP187" s="1237"/>
      <c r="NIQ187" s="1237"/>
      <c r="NIR187" s="1237"/>
      <c r="NIS187" s="1237"/>
      <c r="NIT187" s="1237"/>
      <c r="NIU187" s="1237"/>
      <c r="NIV187" s="1237"/>
      <c r="NIW187" s="1237"/>
      <c r="NIX187" s="1237"/>
      <c r="NIY187" s="1237"/>
      <c r="NIZ187" s="1237"/>
      <c r="NJA187" s="1237"/>
      <c r="NJB187" s="1237"/>
      <c r="NJC187" s="1237"/>
      <c r="NJD187" s="1237"/>
      <c r="NJE187" s="1237"/>
      <c r="NJF187" s="1237"/>
      <c r="NJG187" s="1237"/>
      <c r="NJH187" s="1237"/>
      <c r="NJI187" s="1237"/>
      <c r="NJJ187" s="1237"/>
      <c r="NJK187" s="1237"/>
      <c r="NJL187" s="1237"/>
      <c r="NJM187" s="1237"/>
      <c r="NJN187" s="1237"/>
      <c r="NJO187" s="1237"/>
      <c r="NJP187" s="1237"/>
      <c r="NJQ187" s="1237"/>
      <c r="NJR187" s="1237"/>
      <c r="NJS187" s="1237"/>
      <c r="NJT187" s="1237"/>
      <c r="NJU187" s="1237"/>
      <c r="NJV187" s="1237"/>
      <c r="NJW187" s="1237"/>
      <c r="NJX187" s="1237"/>
      <c r="NJY187" s="1237"/>
      <c r="NJZ187" s="1237"/>
      <c r="NKA187" s="1237"/>
      <c r="NKB187" s="1237"/>
      <c r="NKC187" s="1237"/>
      <c r="NKD187" s="1237"/>
      <c r="NKE187" s="1237"/>
      <c r="NKF187" s="1237"/>
      <c r="NKG187" s="1237"/>
      <c r="NKH187" s="1237"/>
      <c r="NKI187" s="1237"/>
      <c r="NKJ187" s="1237"/>
      <c r="NKK187" s="1237"/>
      <c r="NKL187" s="1237"/>
      <c r="NKM187" s="1237"/>
      <c r="NKN187" s="1237"/>
      <c r="NKO187" s="1237"/>
      <c r="NKP187" s="1237"/>
      <c r="NKQ187" s="1237"/>
      <c r="NKR187" s="1237"/>
      <c r="NKS187" s="1237"/>
      <c r="NKT187" s="1237"/>
      <c r="NKU187" s="1237"/>
      <c r="NKV187" s="1237"/>
      <c r="NKW187" s="1237"/>
      <c r="NKX187" s="1237"/>
      <c r="NKY187" s="1237"/>
      <c r="NKZ187" s="1237"/>
      <c r="NLA187" s="1237"/>
      <c r="NLB187" s="1237"/>
      <c r="NLC187" s="1237"/>
      <c r="NLD187" s="1237"/>
      <c r="NLE187" s="1237"/>
      <c r="NLF187" s="1237"/>
      <c r="NLG187" s="1237"/>
      <c r="NLH187" s="1237"/>
      <c r="NLI187" s="1237"/>
      <c r="NLJ187" s="1237"/>
      <c r="NLK187" s="1237"/>
      <c r="NLL187" s="1237"/>
      <c r="NLM187" s="1237"/>
      <c r="NLN187" s="1237"/>
      <c r="NLO187" s="1237"/>
      <c r="NLP187" s="1237"/>
      <c r="NLQ187" s="1237"/>
      <c r="NLR187" s="1237"/>
      <c r="NLS187" s="1237"/>
      <c r="NLT187" s="1237"/>
      <c r="NLU187" s="1237"/>
      <c r="NLV187" s="1237"/>
      <c r="NLW187" s="1237"/>
      <c r="NLX187" s="1237"/>
      <c r="NLY187" s="1237"/>
      <c r="NLZ187" s="1237"/>
      <c r="NMA187" s="1237"/>
      <c r="NMB187" s="1237"/>
      <c r="NMC187" s="1237"/>
      <c r="NMD187" s="1237"/>
      <c r="NME187" s="1237"/>
      <c r="NMF187" s="1237"/>
      <c r="NMG187" s="1237"/>
      <c r="NMH187" s="1237"/>
      <c r="NMI187" s="1237"/>
      <c r="NMJ187" s="1237"/>
      <c r="NMK187" s="1237"/>
      <c r="NML187" s="1237"/>
      <c r="NMM187" s="1237"/>
      <c r="NMN187" s="1237"/>
      <c r="NMO187" s="1237"/>
      <c r="NMP187" s="1237"/>
      <c r="NMQ187" s="1237"/>
      <c r="NMR187" s="1237"/>
      <c r="NMS187" s="1237"/>
      <c r="NMT187" s="1237"/>
      <c r="NMU187" s="1237"/>
      <c r="NMV187" s="1237"/>
      <c r="NMW187" s="1237"/>
      <c r="NMX187" s="1237"/>
      <c r="NMY187" s="1237"/>
      <c r="NMZ187" s="1237"/>
      <c r="NNA187" s="1237"/>
      <c r="NNB187" s="1237"/>
      <c r="NNC187" s="1237"/>
      <c r="NND187" s="1237"/>
      <c r="NNE187" s="1237"/>
      <c r="NNF187" s="1237"/>
      <c r="NNG187" s="1237"/>
      <c r="NNH187" s="1237"/>
      <c r="NNI187" s="1237"/>
      <c r="NNJ187" s="1237"/>
      <c r="NNK187" s="1237"/>
      <c r="NNL187" s="1237"/>
      <c r="NNM187" s="1237"/>
      <c r="NNN187" s="1237"/>
      <c r="NNO187" s="1237"/>
      <c r="NNP187" s="1237"/>
      <c r="NNQ187" s="1237"/>
      <c r="NNR187" s="1237"/>
      <c r="NNS187" s="1237"/>
      <c r="NNT187" s="1237"/>
      <c r="NNU187" s="1237"/>
      <c r="NNV187" s="1237"/>
      <c r="NNW187" s="1237"/>
      <c r="NNX187" s="1237"/>
      <c r="NNY187" s="1237"/>
      <c r="NNZ187" s="1237"/>
      <c r="NOA187" s="1237"/>
      <c r="NOB187" s="1237"/>
      <c r="NOC187" s="1237"/>
      <c r="NOD187" s="1237"/>
      <c r="NOE187" s="1237"/>
      <c r="NOF187" s="1237"/>
      <c r="NOG187" s="1237"/>
      <c r="NOH187" s="1237"/>
      <c r="NOI187" s="1237"/>
      <c r="NOJ187" s="1237"/>
      <c r="NOK187" s="1237"/>
      <c r="NOL187" s="1237"/>
      <c r="NOM187" s="1237"/>
      <c r="NON187" s="1237"/>
      <c r="NOO187" s="1237"/>
      <c r="NOP187" s="1237"/>
      <c r="NOQ187" s="1237"/>
      <c r="NOR187" s="1237"/>
      <c r="NOS187" s="1237"/>
      <c r="NOT187" s="1237"/>
      <c r="NOU187" s="1237"/>
      <c r="NOV187" s="1237"/>
      <c r="NOW187" s="1237"/>
      <c r="NOX187" s="1237"/>
      <c r="NOY187" s="1237"/>
      <c r="NOZ187" s="1237"/>
      <c r="NPA187" s="1237"/>
      <c r="NPB187" s="1237"/>
      <c r="NPC187" s="1237"/>
      <c r="NPD187" s="1237"/>
      <c r="NPE187" s="1237"/>
      <c r="NPF187" s="1237"/>
      <c r="NPG187" s="1237"/>
      <c r="NPH187" s="1237"/>
      <c r="NPI187" s="1237"/>
      <c r="NPJ187" s="1237"/>
      <c r="NPK187" s="1237"/>
      <c r="NPL187" s="1237"/>
      <c r="NPM187" s="1237"/>
      <c r="NPN187" s="1237"/>
      <c r="NPO187" s="1237"/>
      <c r="NPP187" s="1237"/>
      <c r="NPQ187" s="1237"/>
      <c r="NPR187" s="1237"/>
      <c r="NPS187" s="1237"/>
      <c r="NPT187" s="1237"/>
      <c r="NPU187" s="1237"/>
      <c r="NPV187" s="1237"/>
      <c r="NPW187" s="1237"/>
      <c r="NPX187" s="1237"/>
      <c r="NPY187" s="1237"/>
      <c r="NPZ187" s="1237"/>
      <c r="NQA187" s="1237"/>
      <c r="NQB187" s="1237"/>
      <c r="NQC187" s="1237"/>
      <c r="NQD187" s="1237"/>
      <c r="NQE187" s="1237"/>
      <c r="NQF187" s="1237"/>
      <c r="NQG187" s="1237"/>
      <c r="NQH187" s="1237"/>
      <c r="NQI187" s="1237"/>
      <c r="NQJ187" s="1237"/>
      <c r="NQK187" s="1237"/>
      <c r="NQL187" s="1237"/>
      <c r="NQM187" s="1237"/>
      <c r="NQN187" s="1237"/>
      <c r="NQO187" s="1237"/>
      <c r="NQP187" s="1237"/>
      <c r="NQQ187" s="1237"/>
      <c r="NQR187" s="1237"/>
      <c r="NQS187" s="1237"/>
      <c r="NQT187" s="1237"/>
      <c r="NQU187" s="1237"/>
      <c r="NQV187" s="1237"/>
      <c r="NQW187" s="1237"/>
      <c r="NQX187" s="1237"/>
      <c r="NQY187" s="1237"/>
      <c r="NQZ187" s="1237"/>
      <c r="NRA187" s="1237"/>
      <c r="NRB187" s="1237"/>
      <c r="NRC187" s="1237"/>
      <c r="NRD187" s="1237"/>
      <c r="NRE187" s="1237"/>
      <c r="NRF187" s="1237"/>
      <c r="NRG187" s="1237"/>
      <c r="NRH187" s="1237"/>
      <c r="NRI187" s="1237"/>
      <c r="NRJ187" s="1237"/>
      <c r="NRK187" s="1237"/>
      <c r="NRL187" s="1237"/>
      <c r="NRM187" s="1237"/>
      <c r="NRN187" s="1237"/>
      <c r="NRO187" s="1237"/>
      <c r="NRP187" s="1237"/>
      <c r="NRQ187" s="1237"/>
      <c r="NRR187" s="1237"/>
      <c r="NRS187" s="1237"/>
      <c r="NRT187" s="1237"/>
      <c r="NRU187" s="1237"/>
      <c r="NRV187" s="1237"/>
      <c r="NRW187" s="1237"/>
      <c r="NRX187" s="1237"/>
      <c r="NRY187" s="1237"/>
      <c r="NRZ187" s="1237"/>
      <c r="NSA187" s="1237"/>
      <c r="NSB187" s="1237"/>
      <c r="NSC187" s="1237"/>
      <c r="NSD187" s="1237"/>
      <c r="NSE187" s="1237"/>
      <c r="NSF187" s="1237"/>
      <c r="NSG187" s="1237"/>
      <c r="NSH187" s="1237"/>
      <c r="NSI187" s="1237"/>
      <c r="NSJ187" s="1237"/>
      <c r="NSK187" s="1237"/>
      <c r="NSL187" s="1237"/>
      <c r="NSM187" s="1237"/>
      <c r="NSN187" s="1237"/>
      <c r="NSO187" s="1237"/>
      <c r="NSP187" s="1237"/>
      <c r="NSQ187" s="1237"/>
      <c r="NSR187" s="1237"/>
      <c r="NSS187" s="1237"/>
      <c r="NST187" s="1237"/>
      <c r="NSU187" s="1237"/>
      <c r="NSV187" s="1237"/>
      <c r="NSW187" s="1237"/>
      <c r="NSX187" s="1237"/>
      <c r="NSY187" s="1237"/>
      <c r="NSZ187" s="1237"/>
      <c r="NTA187" s="1237"/>
      <c r="NTB187" s="1237"/>
      <c r="NTC187" s="1237"/>
      <c r="NTD187" s="1237"/>
      <c r="NTE187" s="1237"/>
      <c r="NTF187" s="1237"/>
      <c r="NTG187" s="1237"/>
      <c r="NTH187" s="1237"/>
      <c r="NTI187" s="1237"/>
      <c r="NTJ187" s="1237"/>
      <c r="NTK187" s="1237"/>
      <c r="NTL187" s="1237"/>
      <c r="NTM187" s="1237"/>
      <c r="NTN187" s="1237"/>
      <c r="NTO187" s="1237"/>
      <c r="NTP187" s="1237"/>
      <c r="NTQ187" s="1237"/>
      <c r="NTR187" s="1237"/>
      <c r="NTS187" s="1237"/>
      <c r="NTT187" s="1237"/>
      <c r="NTU187" s="1237"/>
      <c r="NTV187" s="1237"/>
      <c r="NTW187" s="1237"/>
      <c r="NTX187" s="1237"/>
      <c r="NTY187" s="1237"/>
      <c r="NTZ187" s="1237"/>
      <c r="NUA187" s="1237"/>
      <c r="NUB187" s="1237"/>
      <c r="NUC187" s="1237"/>
      <c r="NUD187" s="1237"/>
      <c r="NUE187" s="1237"/>
      <c r="NUF187" s="1237"/>
      <c r="NUG187" s="1237"/>
      <c r="NUH187" s="1237"/>
      <c r="NUI187" s="1237"/>
      <c r="NUJ187" s="1237"/>
      <c r="NUK187" s="1237"/>
      <c r="NUL187" s="1237"/>
      <c r="NUM187" s="1237"/>
      <c r="NUN187" s="1237"/>
      <c r="NUO187" s="1237"/>
      <c r="NUP187" s="1237"/>
      <c r="NUQ187" s="1237"/>
      <c r="NUR187" s="1237"/>
      <c r="NUS187" s="1237"/>
      <c r="NUT187" s="1237"/>
      <c r="NUU187" s="1237"/>
      <c r="NUV187" s="1237"/>
      <c r="NUW187" s="1237"/>
      <c r="NUX187" s="1237"/>
      <c r="NUY187" s="1237"/>
      <c r="NUZ187" s="1237"/>
      <c r="NVA187" s="1237"/>
      <c r="NVB187" s="1237"/>
      <c r="NVC187" s="1237"/>
      <c r="NVD187" s="1237"/>
      <c r="NVE187" s="1237"/>
      <c r="NVF187" s="1237"/>
      <c r="NVG187" s="1237"/>
      <c r="NVH187" s="1237"/>
      <c r="NVI187" s="1237"/>
      <c r="NVJ187" s="1237"/>
      <c r="NVK187" s="1237"/>
      <c r="NVL187" s="1237"/>
      <c r="NVM187" s="1237"/>
      <c r="NVN187" s="1237"/>
      <c r="NVO187" s="1237"/>
      <c r="NVP187" s="1237"/>
      <c r="NVQ187" s="1237"/>
      <c r="NVR187" s="1237"/>
      <c r="NVS187" s="1237"/>
      <c r="NVT187" s="1237"/>
      <c r="NVU187" s="1237"/>
      <c r="NVV187" s="1237"/>
      <c r="NVW187" s="1237"/>
      <c r="NVX187" s="1237"/>
      <c r="NVY187" s="1237"/>
      <c r="NVZ187" s="1237"/>
      <c r="NWA187" s="1237"/>
      <c r="NWB187" s="1237"/>
      <c r="NWC187" s="1237"/>
      <c r="NWD187" s="1237"/>
      <c r="NWE187" s="1237"/>
      <c r="NWF187" s="1237"/>
      <c r="NWG187" s="1237"/>
      <c r="NWH187" s="1237"/>
      <c r="NWI187" s="1237"/>
      <c r="NWJ187" s="1237"/>
      <c r="NWK187" s="1237"/>
      <c r="NWL187" s="1237"/>
      <c r="NWM187" s="1237"/>
      <c r="NWN187" s="1237"/>
      <c r="NWO187" s="1237"/>
      <c r="NWP187" s="1237"/>
      <c r="NWQ187" s="1237"/>
      <c r="NWR187" s="1237"/>
      <c r="NWS187" s="1237"/>
      <c r="NWT187" s="1237"/>
      <c r="NWU187" s="1237"/>
      <c r="NWV187" s="1237"/>
      <c r="NWW187" s="1237"/>
      <c r="NWX187" s="1237"/>
      <c r="NWY187" s="1237"/>
      <c r="NWZ187" s="1237"/>
      <c r="NXA187" s="1237"/>
      <c r="NXB187" s="1237"/>
      <c r="NXC187" s="1237"/>
      <c r="NXD187" s="1237"/>
      <c r="NXE187" s="1237"/>
      <c r="NXF187" s="1237"/>
      <c r="NXG187" s="1237"/>
      <c r="NXH187" s="1237"/>
      <c r="NXI187" s="1237"/>
      <c r="NXJ187" s="1237"/>
      <c r="NXK187" s="1237"/>
      <c r="NXL187" s="1237"/>
      <c r="NXM187" s="1237"/>
      <c r="NXN187" s="1237"/>
      <c r="NXO187" s="1237"/>
      <c r="NXP187" s="1237"/>
      <c r="NXQ187" s="1237"/>
      <c r="NXR187" s="1237"/>
      <c r="NXS187" s="1237"/>
      <c r="NXT187" s="1237"/>
      <c r="NXU187" s="1237"/>
      <c r="NXV187" s="1237"/>
      <c r="NXW187" s="1237"/>
      <c r="NXX187" s="1237"/>
      <c r="NXY187" s="1237"/>
      <c r="NXZ187" s="1237"/>
      <c r="NYA187" s="1237"/>
      <c r="NYB187" s="1237"/>
      <c r="NYC187" s="1237"/>
      <c r="NYD187" s="1237"/>
      <c r="NYE187" s="1237"/>
      <c r="NYF187" s="1237"/>
      <c r="NYG187" s="1237"/>
      <c r="NYH187" s="1237"/>
      <c r="NYI187" s="1237"/>
      <c r="NYJ187" s="1237"/>
      <c r="NYK187" s="1237"/>
      <c r="NYL187" s="1237"/>
      <c r="NYM187" s="1237"/>
      <c r="NYN187" s="1237"/>
      <c r="NYO187" s="1237"/>
      <c r="NYP187" s="1237"/>
      <c r="NYQ187" s="1237"/>
      <c r="NYR187" s="1237"/>
      <c r="NYS187" s="1237"/>
      <c r="NYT187" s="1237"/>
      <c r="NYU187" s="1237"/>
      <c r="NYV187" s="1237"/>
      <c r="NYW187" s="1237"/>
      <c r="NYX187" s="1237"/>
      <c r="NYY187" s="1237"/>
      <c r="NYZ187" s="1237"/>
      <c r="NZA187" s="1237"/>
      <c r="NZB187" s="1237"/>
      <c r="NZC187" s="1237"/>
      <c r="NZD187" s="1237"/>
      <c r="NZE187" s="1237"/>
      <c r="NZF187" s="1237"/>
      <c r="NZG187" s="1237"/>
      <c r="NZH187" s="1237"/>
      <c r="NZI187" s="1237"/>
      <c r="NZJ187" s="1237"/>
      <c r="NZK187" s="1237"/>
      <c r="NZL187" s="1237"/>
      <c r="NZM187" s="1237"/>
      <c r="NZN187" s="1237"/>
      <c r="NZO187" s="1237"/>
      <c r="NZP187" s="1237"/>
      <c r="NZQ187" s="1237"/>
      <c r="NZR187" s="1237"/>
      <c r="NZS187" s="1237"/>
      <c r="NZT187" s="1237"/>
      <c r="NZU187" s="1237"/>
      <c r="NZV187" s="1237"/>
      <c r="NZW187" s="1237"/>
      <c r="NZX187" s="1237"/>
      <c r="NZY187" s="1237"/>
      <c r="NZZ187" s="1237"/>
      <c r="OAA187" s="1237"/>
      <c r="OAB187" s="1237"/>
      <c r="OAC187" s="1237"/>
      <c r="OAD187" s="1237"/>
      <c r="OAE187" s="1237"/>
      <c r="OAF187" s="1237"/>
      <c r="OAG187" s="1237"/>
      <c r="OAH187" s="1237"/>
      <c r="OAI187" s="1237"/>
      <c r="OAJ187" s="1237"/>
      <c r="OAK187" s="1237"/>
      <c r="OAL187" s="1237"/>
      <c r="OAM187" s="1237"/>
      <c r="OAN187" s="1237"/>
      <c r="OAO187" s="1237"/>
      <c r="OAP187" s="1237"/>
      <c r="OAQ187" s="1237"/>
      <c r="OAR187" s="1237"/>
      <c r="OAS187" s="1237"/>
      <c r="OAT187" s="1237"/>
      <c r="OAU187" s="1237"/>
      <c r="OAV187" s="1237"/>
      <c r="OAW187" s="1237"/>
      <c r="OAX187" s="1237"/>
      <c r="OAY187" s="1237"/>
      <c r="OAZ187" s="1237"/>
      <c r="OBA187" s="1237"/>
      <c r="OBB187" s="1237"/>
      <c r="OBC187" s="1237"/>
      <c r="OBD187" s="1237"/>
      <c r="OBE187" s="1237"/>
      <c r="OBF187" s="1237"/>
      <c r="OBG187" s="1237"/>
      <c r="OBH187" s="1237"/>
      <c r="OBI187" s="1237"/>
      <c r="OBJ187" s="1237"/>
      <c r="OBK187" s="1237"/>
      <c r="OBL187" s="1237"/>
      <c r="OBM187" s="1237"/>
      <c r="OBN187" s="1237"/>
      <c r="OBO187" s="1237"/>
      <c r="OBP187" s="1237"/>
      <c r="OBQ187" s="1237"/>
      <c r="OBR187" s="1237"/>
      <c r="OBS187" s="1237"/>
      <c r="OBT187" s="1237"/>
      <c r="OBU187" s="1237"/>
      <c r="OBV187" s="1237"/>
      <c r="OBW187" s="1237"/>
      <c r="OBX187" s="1237"/>
      <c r="OBY187" s="1237"/>
      <c r="OBZ187" s="1237"/>
      <c r="OCA187" s="1237"/>
      <c r="OCB187" s="1237"/>
      <c r="OCC187" s="1237"/>
      <c r="OCD187" s="1237"/>
      <c r="OCE187" s="1237"/>
      <c r="OCF187" s="1237"/>
      <c r="OCG187" s="1237"/>
      <c r="OCH187" s="1237"/>
      <c r="OCI187" s="1237"/>
      <c r="OCJ187" s="1237"/>
      <c r="OCK187" s="1237"/>
      <c r="OCL187" s="1237"/>
      <c r="OCM187" s="1237"/>
      <c r="OCN187" s="1237"/>
      <c r="OCO187" s="1237"/>
      <c r="OCP187" s="1237"/>
      <c r="OCQ187" s="1237"/>
      <c r="OCR187" s="1237"/>
      <c r="OCS187" s="1237"/>
      <c r="OCT187" s="1237"/>
      <c r="OCU187" s="1237"/>
      <c r="OCV187" s="1237"/>
      <c r="OCW187" s="1237"/>
      <c r="OCX187" s="1237"/>
      <c r="OCY187" s="1237"/>
      <c r="OCZ187" s="1237"/>
      <c r="ODA187" s="1237"/>
      <c r="ODB187" s="1237"/>
      <c r="ODC187" s="1237"/>
      <c r="ODD187" s="1237"/>
      <c r="ODE187" s="1237"/>
      <c r="ODF187" s="1237"/>
      <c r="ODG187" s="1237"/>
      <c r="ODH187" s="1237"/>
      <c r="ODI187" s="1237"/>
      <c r="ODJ187" s="1237"/>
      <c r="ODK187" s="1237"/>
      <c r="ODL187" s="1237"/>
      <c r="ODM187" s="1237"/>
      <c r="ODN187" s="1237"/>
      <c r="ODO187" s="1237"/>
      <c r="ODP187" s="1237"/>
      <c r="ODQ187" s="1237"/>
      <c r="ODR187" s="1237"/>
      <c r="ODS187" s="1237"/>
      <c r="ODT187" s="1237"/>
      <c r="ODU187" s="1237"/>
      <c r="ODV187" s="1237"/>
      <c r="ODW187" s="1237"/>
      <c r="ODX187" s="1237"/>
      <c r="ODY187" s="1237"/>
      <c r="ODZ187" s="1237"/>
      <c r="OEA187" s="1237"/>
      <c r="OEB187" s="1237"/>
      <c r="OEC187" s="1237"/>
      <c r="OED187" s="1237"/>
      <c r="OEE187" s="1237"/>
      <c r="OEF187" s="1237"/>
      <c r="OEG187" s="1237"/>
      <c r="OEH187" s="1237"/>
      <c r="OEI187" s="1237"/>
      <c r="OEJ187" s="1237"/>
      <c r="OEK187" s="1237"/>
      <c r="OEL187" s="1237"/>
      <c r="OEM187" s="1237"/>
      <c r="OEN187" s="1237"/>
      <c r="OEO187" s="1237"/>
      <c r="OEP187" s="1237"/>
      <c r="OEQ187" s="1237"/>
      <c r="OER187" s="1237"/>
      <c r="OES187" s="1237"/>
      <c r="OET187" s="1237"/>
      <c r="OEU187" s="1237"/>
      <c r="OEV187" s="1237"/>
      <c r="OEW187" s="1237"/>
      <c r="OEX187" s="1237"/>
      <c r="OEY187" s="1237"/>
      <c r="OEZ187" s="1237"/>
      <c r="OFA187" s="1237"/>
      <c r="OFB187" s="1237"/>
      <c r="OFC187" s="1237"/>
      <c r="OFD187" s="1237"/>
      <c r="OFE187" s="1237"/>
      <c r="OFF187" s="1237"/>
      <c r="OFG187" s="1237"/>
      <c r="OFH187" s="1237"/>
      <c r="OFI187" s="1237"/>
      <c r="OFJ187" s="1237"/>
      <c r="OFK187" s="1237"/>
      <c r="OFL187" s="1237"/>
      <c r="OFM187" s="1237"/>
      <c r="OFN187" s="1237"/>
      <c r="OFO187" s="1237"/>
      <c r="OFP187" s="1237"/>
      <c r="OFQ187" s="1237"/>
      <c r="OFR187" s="1237"/>
      <c r="OFS187" s="1237"/>
      <c r="OFT187" s="1237"/>
      <c r="OFU187" s="1237"/>
      <c r="OFV187" s="1237"/>
      <c r="OFW187" s="1237"/>
      <c r="OFX187" s="1237"/>
      <c r="OFY187" s="1237"/>
      <c r="OFZ187" s="1237"/>
      <c r="OGA187" s="1237"/>
      <c r="OGB187" s="1237"/>
      <c r="OGC187" s="1237"/>
      <c r="OGD187" s="1237"/>
      <c r="OGE187" s="1237"/>
      <c r="OGF187" s="1237"/>
      <c r="OGG187" s="1237"/>
      <c r="OGH187" s="1237"/>
      <c r="OGI187" s="1237"/>
      <c r="OGJ187" s="1237"/>
      <c r="OGK187" s="1237"/>
      <c r="OGL187" s="1237"/>
      <c r="OGM187" s="1237"/>
      <c r="OGN187" s="1237"/>
      <c r="OGO187" s="1237"/>
      <c r="OGP187" s="1237"/>
      <c r="OGQ187" s="1237"/>
      <c r="OGR187" s="1237"/>
      <c r="OGS187" s="1237"/>
      <c r="OGT187" s="1237"/>
      <c r="OGU187" s="1237"/>
      <c r="OGV187" s="1237"/>
      <c r="OGW187" s="1237"/>
      <c r="OGX187" s="1237"/>
      <c r="OGY187" s="1237"/>
      <c r="OGZ187" s="1237"/>
      <c r="OHA187" s="1237"/>
      <c r="OHB187" s="1237"/>
      <c r="OHC187" s="1237"/>
      <c r="OHD187" s="1237"/>
      <c r="OHE187" s="1237"/>
      <c r="OHF187" s="1237"/>
      <c r="OHG187" s="1237"/>
      <c r="OHH187" s="1237"/>
      <c r="OHI187" s="1237"/>
      <c r="OHJ187" s="1237"/>
      <c r="OHK187" s="1237"/>
      <c r="OHL187" s="1237"/>
      <c r="OHM187" s="1237"/>
      <c r="OHN187" s="1237"/>
      <c r="OHO187" s="1237"/>
      <c r="OHP187" s="1237"/>
      <c r="OHQ187" s="1237"/>
      <c r="OHR187" s="1237"/>
      <c r="OHS187" s="1237"/>
      <c r="OHT187" s="1237"/>
      <c r="OHU187" s="1237"/>
      <c r="OHV187" s="1237"/>
      <c r="OHW187" s="1237"/>
      <c r="OHX187" s="1237"/>
      <c r="OHY187" s="1237"/>
      <c r="OHZ187" s="1237"/>
      <c r="OIA187" s="1237"/>
      <c r="OIB187" s="1237"/>
      <c r="OIC187" s="1237"/>
      <c r="OID187" s="1237"/>
      <c r="OIE187" s="1237"/>
      <c r="OIF187" s="1237"/>
      <c r="OIG187" s="1237"/>
      <c r="OIH187" s="1237"/>
      <c r="OII187" s="1237"/>
      <c r="OIJ187" s="1237"/>
      <c r="OIK187" s="1237"/>
      <c r="OIL187" s="1237"/>
      <c r="OIM187" s="1237"/>
      <c r="OIN187" s="1237"/>
      <c r="OIO187" s="1237"/>
      <c r="OIP187" s="1237"/>
      <c r="OIQ187" s="1237"/>
      <c r="OIR187" s="1237"/>
      <c r="OIS187" s="1237"/>
      <c r="OIT187" s="1237"/>
      <c r="OIU187" s="1237"/>
      <c r="OIV187" s="1237"/>
      <c r="OIW187" s="1237"/>
      <c r="OIX187" s="1237"/>
      <c r="OIY187" s="1237"/>
      <c r="OIZ187" s="1237"/>
      <c r="OJA187" s="1237"/>
      <c r="OJB187" s="1237"/>
      <c r="OJC187" s="1237"/>
      <c r="OJD187" s="1237"/>
      <c r="OJE187" s="1237"/>
      <c r="OJF187" s="1237"/>
      <c r="OJG187" s="1237"/>
      <c r="OJH187" s="1237"/>
      <c r="OJI187" s="1237"/>
      <c r="OJJ187" s="1237"/>
      <c r="OJK187" s="1237"/>
      <c r="OJL187" s="1237"/>
      <c r="OJM187" s="1237"/>
      <c r="OJN187" s="1237"/>
      <c r="OJO187" s="1237"/>
      <c r="OJP187" s="1237"/>
      <c r="OJQ187" s="1237"/>
      <c r="OJR187" s="1237"/>
      <c r="OJS187" s="1237"/>
      <c r="OJT187" s="1237"/>
      <c r="OJU187" s="1237"/>
      <c r="OJV187" s="1237"/>
      <c r="OJW187" s="1237"/>
      <c r="OJX187" s="1237"/>
      <c r="OJY187" s="1237"/>
      <c r="OJZ187" s="1237"/>
      <c r="OKA187" s="1237"/>
      <c r="OKB187" s="1237"/>
      <c r="OKC187" s="1237"/>
      <c r="OKD187" s="1237"/>
      <c r="OKE187" s="1237"/>
      <c r="OKF187" s="1237"/>
      <c r="OKG187" s="1237"/>
      <c r="OKH187" s="1237"/>
      <c r="OKI187" s="1237"/>
      <c r="OKJ187" s="1237"/>
      <c r="OKK187" s="1237"/>
      <c r="OKL187" s="1237"/>
      <c r="OKM187" s="1237"/>
      <c r="OKN187" s="1237"/>
      <c r="OKO187" s="1237"/>
      <c r="OKP187" s="1237"/>
      <c r="OKQ187" s="1237"/>
      <c r="OKR187" s="1237"/>
      <c r="OKS187" s="1237"/>
      <c r="OKT187" s="1237"/>
      <c r="OKU187" s="1237"/>
      <c r="OKV187" s="1237"/>
      <c r="OKW187" s="1237"/>
      <c r="OKX187" s="1237"/>
      <c r="OKY187" s="1237"/>
      <c r="OKZ187" s="1237"/>
      <c r="OLA187" s="1237"/>
      <c r="OLB187" s="1237"/>
      <c r="OLC187" s="1237"/>
      <c r="OLD187" s="1237"/>
      <c r="OLE187" s="1237"/>
      <c r="OLF187" s="1237"/>
      <c r="OLG187" s="1237"/>
      <c r="OLH187" s="1237"/>
      <c r="OLI187" s="1237"/>
      <c r="OLJ187" s="1237"/>
      <c r="OLK187" s="1237"/>
      <c r="OLL187" s="1237"/>
      <c r="OLM187" s="1237"/>
      <c r="OLN187" s="1237"/>
      <c r="OLO187" s="1237"/>
      <c r="OLP187" s="1237"/>
      <c r="OLQ187" s="1237"/>
      <c r="OLR187" s="1237"/>
      <c r="OLS187" s="1237"/>
      <c r="OLT187" s="1237"/>
      <c r="OLU187" s="1237"/>
      <c r="OLV187" s="1237"/>
      <c r="OLW187" s="1237"/>
      <c r="OLX187" s="1237"/>
      <c r="OLY187" s="1237"/>
      <c r="OLZ187" s="1237"/>
      <c r="OMA187" s="1237"/>
      <c r="OMB187" s="1237"/>
      <c r="OMC187" s="1237"/>
      <c r="OMD187" s="1237"/>
      <c r="OME187" s="1237"/>
      <c r="OMF187" s="1237"/>
      <c r="OMG187" s="1237"/>
      <c r="OMH187" s="1237"/>
      <c r="OMI187" s="1237"/>
      <c r="OMJ187" s="1237"/>
      <c r="OMK187" s="1237"/>
      <c r="OML187" s="1237"/>
      <c r="OMM187" s="1237"/>
      <c r="OMN187" s="1237"/>
      <c r="OMO187" s="1237"/>
      <c r="OMP187" s="1237"/>
      <c r="OMQ187" s="1237"/>
      <c r="OMR187" s="1237"/>
      <c r="OMS187" s="1237"/>
      <c r="OMT187" s="1237"/>
      <c r="OMU187" s="1237"/>
      <c r="OMV187" s="1237"/>
      <c r="OMW187" s="1237"/>
      <c r="OMX187" s="1237"/>
      <c r="OMY187" s="1237"/>
      <c r="OMZ187" s="1237"/>
      <c r="ONA187" s="1237"/>
      <c r="ONB187" s="1237"/>
      <c r="ONC187" s="1237"/>
      <c r="OND187" s="1237"/>
      <c r="ONE187" s="1237"/>
      <c r="ONF187" s="1237"/>
      <c r="ONG187" s="1237"/>
      <c r="ONH187" s="1237"/>
      <c r="ONI187" s="1237"/>
      <c r="ONJ187" s="1237"/>
      <c r="ONK187" s="1237"/>
      <c r="ONL187" s="1237"/>
      <c r="ONM187" s="1237"/>
      <c r="ONN187" s="1237"/>
      <c r="ONO187" s="1237"/>
      <c r="ONP187" s="1237"/>
      <c r="ONQ187" s="1237"/>
      <c r="ONR187" s="1237"/>
      <c r="ONS187" s="1237"/>
      <c r="ONT187" s="1237"/>
      <c r="ONU187" s="1237"/>
      <c r="ONV187" s="1237"/>
      <c r="ONW187" s="1237"/>
      <c r="ONX187" s="1237"/>
      <c r="ONY187" s="1237"/>
      <c r="ONZ187" s="1237"/>
      <c r="OOA187" s="1237"/>
      <c r="OOB187" s="1237"/>
      <c r="OOC187" s="1237"/>
      <c r="OOD187" s="1237"/>
      <c r="OOE187" s="1237"/>
      <c r="OOF187" s="1237"/>
      <c r="OOG187" s="1237"/>
      <c r="OOH187" s="1237"/>
      <c r="OOI187" s="1237"/>
      <c r="OOJ187" s="1237"/>
      <c r="OOK187" s="1237"/>
      <c r="OOL187" s="1237"/>
      <c r="OOM187" s="1237"/>
      <c r="OON187" s="1237"/>
      <c r="OOO187" s="1237"/>
      <c r="OOP187" s="1237"/>
      <c r="OOQ187" s="1237"/>
      <c r="OOR187" s="1237"/>
      <c r="OOS187" s="1237"/>
      <c r="OOT187" s="1237"/>
      <c r="OOU187" s="1237"/>
      <c r="OOV187" s="1237"/>
      <c r="OOW187" s="1237"/>
      <c r="OOX187" s="1237"/>
      <c r="OOY187" s="1237"/>
      <c r="OOZ187" s="1237"/>
      <c r="OPA187" s="1237"/>
      <c r="OPB187" s="1237"/>
      <c r="OPC187" s="1237"/>
      <c r="OPD187" s="1237"/>
      <c r="OPE187" s="1237"/>
      <c r="OPF187" s="1237"/>
      <c r="OPG187" s="1237"/>
      <c r="OPH187" s="1237"/>
      <c r="OPI187" s="1237"/>
      <c r="OPJ187" s="1237"/>
      <c r="OPK187" s="1237"/>
      <c r="OPL187" s="1237"/>
      <c r="OPM187" s="1237"/>
      <c r="OPN187" s="1237"/>
      <c r="OPO187" s="1237"/>
      <c r="OPP187" s="1237"/>
      <c r="OPQ187" s="1237"/>
      <c r="OPR187" s="1237"/>
      <c r="OPS187" s="1237"/>
      <c r="OPT187" s="1237"/>
      <c r="OPU187" s="1237"/>
      <c r="OPV187" s="1237"/>
      <c r="OPW187" s="1237"/>
      <c r="OPX187" s="1237"/>
      <c r="OPY187" s="1237"/>
      <c r="OPZ187" s="1237"/>
      <c r="OQA187" s="1237"/>
      <c r="OQB187" s="1237"/>
      <c r="OQC187" s="1237"/>
      <c r="OQD187" s="1237"/>
      <c r="OQE187" s="1237"/>
      <c r="OQF187" s="1237"/>
      <c r="OQG187" s="1237"/>
      <c r="OQH187" s="1237"/>
      <c r="OQI187" s="1237"/>
      <c r="OQJ187" s="1237"/>
      <c r="OQK187" s="1237"/>
      <c r="OQL187" s="1237"/>
      <c r="OQM187" s="1237"/>
      <c r="OQN187" s="1237"/>
      <c r="OQO187" s="1237"/>
      <c r="OQP187" s="1237"/>
      <c r="OQQ187" s="1237"/>
      <c r="OQR187" s="1237"/>
      <c r="OQS187" s="1237"/>
      <c r="OQT187" s="1237"/>
      <c r="OQU187" s="1237"/>
      <c r="OQV187" s="1237"/>
      <c r="OQW187" s="1237"/>
      <c r="OQX187" s="1237"/>
      <c r="OQY187" s="1237"/>
      <c r="OQZ187" s="1237"/>
      <c r="ORA187" s="1237"/>
      <c r="ORB187" s="1237"/>
      <c r="ORC187" s="1237"/>
      <c r="ORD187" s="1237"/>
      <c r="ORE187" s="1237"/>
      <c r="ORF187" s="1237"/>
      <c r="ORG187" s="1237"/>
      <c r="ORH187" s="1237"/>
      <c r="ORI187" s="1237"/>
      <c r="ORJ187" s="1237"/>
      <c r="ORK187" s="1237"/>
      <c r="ORL187" s="1237"/>
      <c r="ORM187" s="1237"/>
      <c r="ORN187" s="1237"/>
      <c r="ORO187" s="1237"/>
      <c r="ORP187" s="1237"/>
      <c r="ORQ187" s="1237"/>
      <c r="ORR187" s="1237"/>
      <c r="ORS187" s="1237"/>
      <c r="ORT187" s="1237"/>
      <c r="ORU187" s="1237"/>
      <c r="ORV187" s="1237"/>
      <c r="ORW187" s="1237"/>
      <c r="ORX187" s="1237"/>
      <c r="ORY187" s="1237"/>
      <c r="ORZ187" s="1237"/>
      <c r="OSA187" s="1237"/>
      <c r="OSB187" s="1237"/>
      <c r="OSC187" s="1237"/>
      <c r="OSD187" s="1237"/>
      <c r="OSE187" s="1237"/>
      <c r="OSF187" s="1237"/>
      <c r="OSG187" s="1237"/>
      <c r="OSH187" s="1237"/>
      <c r="OSI187" s="1237"/>
      <c r="OSJ187" s="1237"/>
      <c r="OSK187" s="1237"/>
      <c r="OSL187" s="1237"/>
      <c r="OSM187" s="1237"/>
      <c r="OSN187" s="1237"/>
      <c r="OSO187" s="1237"/>
      <c r="OSP187" s="1237"/>
      <c r="OSQ187" s="1237"/>
      <c r="OSR187" s="1237"/>
      <c r="OSS187" s="1237"/>
      <c r="OST187" s="1237"/>
      <c r="OSU187" s="1237"/>
      <c r="OSV187" s="1237"/>
      <c r="OSW187" s="1237"/>
      <c r="OSX187" s="1237"/>
      <c r="OSY187" s="1237"/>
      <c r="OSZ187" s="1237"/>
      <c r="OTA187" s="1237"/>
      <c r="OTB187" s="1237"/>
      <c r="OTC187" s="1237"/>
      <c r="OTD187" s="1237"/>
      <c r="OTE187" s="1237"/>
      <c r="OTF187" s="1237"/>
      <c r="OTG187" s="1237"/>
      <c r="OTH187" s="1237"/>
      <c r="OTI187" s="1237"/>
      <c r="OTJ187" s="1237"/>
      <c r="OTK187" s="1237"/>
      <c r="OTL187" s="1237"/>
      <c r="OTM187" s="1237"/>
      <c r="OTN187" s="1237"/>
      <c r="OTO187" s="1237"/>
      <c r="OTP187" s="1237"/>
      <c r="OTQ187" s="1237"/>
      <c r="OTR187" s="1237"/>
      <c r="OTS187" s="1237"/>
      <c r="OTT187" s="1237"/>
      <c r="OTU187" s="1237"/>
      <c r="OTV187" s="1237"/>
      <c r="OTW187" s="1237"/>
      <c r="OTX187" s="1237"/>
      <c r="OTY187" s="1237"/>
      <c r="OTZ187" s="1237"/>
      <c r="OUA187" s="1237"/>
      <c r="OUB187" s="1237"/>
      <c r="OUC187" s="1237"/>
      <c r="OUD187" s="1237"/>
      <c r="OUE187" s="1237"/>
      <c r="OUF187" s="1237"/>
      <c r="OUG187" s="1237"/>
      <c r="OUH187" s="1237"/>
      <c r="OUI187" s="1237"/>
      <c r="OUJ187" s="1237"/>
      <c r="OUK187" s="1237"/>
      <c r="OUL187" s="1237"/>
      <c r="OUM187" s="1237"/>
      <c r="OUN187" s="1237"/>
      <c r="OUO187" s="1237"/>
      <c r="OUP187" s="1237"/>
      <c r="OUQ187" s="1237"/>
      <c r="OUR187" s="1237"/>
      <c r="OUS187" s="1237"/>
      <c r="OUT187" s="1237"/>
      <c r="OUU187" s="1237"/>
      <c r="OUV187" s="1237"/>
      <c r="OUW187" s="1237"/>
      <c r="OUX187" s="1237"/>
      <c r="OUY187" s="1237"/>
      <c r="OUZ187" s="1237"/>
      <c r="OVA187" s="1237"/>
      <c r="OVB187" s="1237"/>
      <c r="OVC187" s="1237"/>
      <c r="OVD187" s="1237"/>
      <c r="OVE187" s="1237"/>
      <c r="OVF187" s="1237"/>
      <c r="OVG187" s="1237"/>
      <c r="OVH187" s="1237"/>
      <c r="OVI187" s="1237"/>
      <c r="OVJ187" s="1237"/>
      <c r="OVK187" s="1237"/>
      <c r="OVL187" s="1237"/>
      <c r="OVM187" s="1237"/>
      <c r="OVN187" s="1237"/>
      <c r="OVO187" s="1237"/>
      <c r="OVP187" s="1237"/>
      <c r="OVQ187" s="1237"/>
      <c r="OVR187" s="1237"/>
      <c r="OVS187" s="1237"/>
      <c r="OVT187" s="1237"/>
      <c r="OVU187" s="1237"/>
      <c r="OVV187" s="1237"/>
      <c r="OVW187" s="1237"/>
      <c r="OVX187" s="1237"/>
      <c r="OVY187" s="1237"/>
      <c r="OVZ187" s="1237"/>
      <c r="OWA187" s="1237"/>
      <c r="OWB187" s="1237"/>
      <c r="OWC187" s="1237"/>
      <c r="OWD187" s="1237"/>
      <c r="OWE187" s="1237"/>
      <c r="OWF187" s="1237"/>
      <c r="OWG187" s="1237"/>
      <c r="OWH187" s="1237"/>
      <c r="OWI187" s="1237"/>
      <c r="OWJ187" s="1237"/>
      <c r="OWK187" s="1237"/>
      <c r="OWL187" s="1237"/>
      <c r="OWM187" s="1237"/>
      <c r="OWN187" s="1237"/>
      <c r="OWO187" s="1237"/>
      <c r="OWP187" s="1237"/>
      <c r="OWQ187" s="1237"/>
      <c r="OWR187" s="1237"/>
      <c r="OWS187" s="1237"/>
      <c r="OWT187" s="1237"/>
      <c r="OWU187" s="1237"/>
      <c r="OWV187" s="1237"/>
      <c r="OWW187" s="1237"/>
      <c r="OWX187" s="1237"/>
      <c r="OWY187" s="1237"/>
      <c r="OWZ187" s="1237"/>
      <c r="OXA187" s="1237"/>
      <c r="OXB187" s="1237"/>
      <c r="OXC187" s="1237"/>
      <c r="OXD187" s="1237"/>
      <c r="OXE187" s="1237"/>
      <c r="OXF187" s="1237"/>
      <c r="OXG187" s="1237"/>
      <c r="OXH187" s="1237"/>
      <c r="OXI187" s="1237"/>
      <c r="OXJ187" s="1237"/>
      <c r="OXK187" s="1237"/>
      <c r="OXL187" s="1237"/>
      <c r="OXM187" s="1237"/>
      <c r="OXN187" s="1237"/>
      <c r="OXO187" s="1237"/>
      <c r="OXP187" s="1237"/>
      <c r="OXQ187" s="1237"/>
      <c r="OXR187" s="1237"/>
      <c r="OXS187" s="1237"/>
      <c r="OXT187" s="1237"/>
      <c r="OXU187" s="1237"/>
      <c r="OXV187" s="1237"/>
      <c r="OXW187" s="1237"/>
      <c r="OXX187" s="1237"/>
      <c r="OXY187" s="1237"/>
      <c r="OXZ187" s="1237"/>
      <c r="OYA187" s="1237"/>
      <c r="OYB187" s="1237"/>
      <c r="OYC187" s="1237"/>
      <c r="OYD187" s="1237"/>
      <c r="OYE187" s="1237"/>
      <c r="OYF187" s="1237"/>
      <c r="OYG187" s="1237"/>
      <c r="OYH187" s="1237"/>
      <c r="OYI187" s="1237"/>
      <c r="OYJ187" s="1237"/>
      <c r="OYK187" s="1237"/>
      <c r="OYL187" s="1237"/>
      <c r="OYM187" s="1237"/>
      <c r="OYN187" s="1237"/>
      <c r="OYO187" s="1237"/>
      <c r="OYP187" s="1237"/>
      <c r="OYQ187" s="1237"/>
      <c r="OYR187" s="1237"/>
      <c r="OYS187" s="1237"/>
      <c r="OYT187" s="1237"/>
      <c r="OYU187" s="1237"/>
      <c r="OYV187" s="1237"/>
      <c r="OYW187" s="1237"/>
      <c r="OYX187" s="1237"/>
      <c r="OYY187" s="1237"/>
      <c r="OYZ187" s="1237"/>
      <c r="OZA187" s="1237"/>
      <c r="OZB187" s="1237"/>
      <c r="OZC187" s="1237"/>
      <c r="OZD187" s="1237"/>
      <c r="OZE187" s="1237"/>
      <c r="OZF187" s="1237"/>
      <c r="OZG187" s="1237"/>
      <c r="OZH187" s="1237"/>
      <c r="OZI187" s="1237"/>
      <c r="OZJ187" s="1237"/>
      <c r="OZK187" s="1237"/>
      <c r="OZL187" s="1237"/>
      <c r="OZM187" s="1237"/>
      <c r="OZN187" s="1237"/>
      <c r="OZO187" s="1237"/>
      <c r="OZP187" s="1237"/>
      <c r="OZQ187" s="1237"/>
      <c r="OZR187" s="1237"/>
      <c r="OZS187" s="1237"/>
      <c r="OZT187" s="1237"/>
      <c r="OZU187" s="1237"/>
      <c r="OZV187" s="1237"/>
      <c r="OZW187" s="1237"/>
      <c r="OZX187" s="1237"/>
      <c r="OZY187" s="1237"/>
      <c r="OZZ187" s="1237"/>
      <c r="PAA187" s="1237"/>
      <c r="PAB187" s="1237"/>
      <c r="PAC187" s="1237"/>
      <c r="PAD187" s="1237"/>
      <c r="PAE187" s="1237"/>
      <c r="PAF187" s="1237"/>
      <c r="PAG187" s="1237"/>
      <c r="PAH187" s="1237"/>
      <c r="PAI187" s="1237"/>
      <c r="PAJ187" s="1237"/>
      <c r="PAK187" s="1237"/>
      <c r="PAL187" s="1237"/>
      <c r="PAM187" s="1237"/>
      <c r="PAN187" s="1237"/>
      <c r="PAO187" s="1237"/>
      <c r="PAP187" s="1237"/>
      <c r="PAQ187" s="1237"/>
      <c r="PAR187" s="1237"/>
      <c r="PAS187" s="1237"/>
      <c r="PAT187" s="1237"/>
      <c r="PAU187" s="1237"/>
      <c r="PAV187" s="1237"/>
      <c r="PAW187" s="1237"/>
      <c r="PAX187" s="1237"/>
      <c r="PAY187" s="1237"/>
      <c r="PAZ187" s="1237"/>
      <c r="PBA187" s="1237"/>
      <c r="PBB187" s="1237"/>
      <c r="PBC187" s="1237"/>
      <c r="PBD187" s="1237"/>
      <c r="PBE187" s="1237"/>
      <c r="PBF187" s="1237"/>
      <c r="PBG187" s="1237"/>
      <c r="PBH187" s="1237"/>
      <c r="PBI187" s="1237"/>
      <c r="PBJ187" s="1237"/>
      <c r="PBK187" s="1237"/>
      <c r="PBL187" s="1237"/>
      <c r="PBM187" s="1237"/>
      <c r="PBN187" s="1237"/>
      <c r="PBO187" s="1237"/>
      <c r="PBP187" s="1237"/>
      <c r="PBQ187" s="1237"/>
      <c r="PBR187" s="1237"/>
      <c r="PBS187" s="1237"/>
      <c r="PBT187" s="1237"/>
      <c r="PBU187" s="1237"/>
      <c r="PBV187" s="1237"/>
      <c r="PBW187" s="1237"/>
      <c r="PBX187" s="1237"/>
      <c r="PBY187" s="1237"/>
      <c r="PBZ187" s="1237"/>
      <c r="PCA187" s="1237"/>
      <c r="PCB187" s="1237"/>
      <c r="PCC187" s="1237"/>
      <c r="PCD187" s="1237"/>
      <c r="PCE187" s="1237"/>
      <c r="PCF187" s="1237"/>
      <c r="PCG187" s="1237"/>
      <c r="PCH187" s="1237"/>
      <c r="PCI187" s="1237"/>
      <c r="PCJ187" s="1237"/>
      <c r="PCK187" s="1237"/>
      <c r="PCL187" s="1237"/>
      <c r="PCM187" s="1237"/>
      <c r="PCN187" s="1237"/>
      <c r="PCO187" s="1237"/>
      <c r="PCP187" s="1237"/>
      <c r="PCQ187" s="1237"/>
      <c r="PCR187" s="1237"/>
      <c r="PCS187" s="1237"/>
      <c r="PCT187" s="1237"/>
      <c r="PCU187" s="1237"/>
      <c r="PCV187" s="1237"/>
      <c r="PCW187" s="1237"/>
      <c r="PCX187" s="1237"/>
      <c r="PCY187" s="1237"/>
      <c r="PCZ187" s="1237"/>
      <c r="PDA187" s="1237"/>
      <c r="PDB187" s="1237"/>
      <c r="PDC187" s="1237"/>
      <c r="PDD187" s="1237"/>
      <c r="PDE187" s="1237"/>
      <c r="PDF187" s="1237"/>
      <c r="PDG187" s="1237"/>
      <c r="PDH187" s="1237"/>
      <c r="PDI187" s="1237"/>
      <c r="PDJ187" s="1237"/>
      <c r="PDK187" s="1237"/>
      <c r="PDL187" s="1237"/>
      <c r="PDM187" s="1237"/>
      <c r="PDN187" s="1237"/>
      <c r="PDO187" s="1237"/>
      <c r="PDP187" s="1237"/>
      <c r="PDQ187" s="1237"/>
      <c r="PDR187" s="1237"/>
      <c r="PDS187" s="1237"/>
      <c r="PDT187" s="1237"/>
      <c r="PDU187" s="1237"/>
      <c r="PDV187" s="1237"/>
      <c r="PDW187" s="1237"/>
      <c r="PDX187" s="1237"/>
      <c r="PDY187" s="1237"/>
      <c r="PDZ187" s="1237"/>
      <c r="PEA187" s="1237"/>
      <c r="PEB187" s="1237"/>
      <c r="PEC187" s="1237"/>
      <c r="PED187" s="1237"/>
      <c r="PEE187" s="1237"/>
      <c r="PEF187" s="1237"/>
      <c r="PEG187" s="1237"/>
      <c r="PEH187" s="1237"/>
      <c r="PEI187" s="1237"/>
      <c r="PEJ187" s="1237"/>
      <c r="PEK187" s="1237"/>
      <c r="PEL187" s="1237"/>
      <c r="PEM187" s="1237"/>
      <c r="PEN187" s="1237"/>
      <c r="PEO187" s="1237"/>
      <c r="PEP187" s="1237"/>
      <c r="PEQ187" s="1237"/>
      <c r="PER187" s="1237"/>
      <c r="PES187" s="1237"/>
      <c r="PET187" s="1237"/>
      <c r="PEU187" s="1237"/>
      <c r="PEV187" s="1237"/>
      <c r="PEW187" s="1237"/>
      <c r="PEX187" s="1237"/>
      <c r="PEY187" s="1237"/>
      <c r="PEZ187" s="1237"/>
      <c r="PFA187" s="1237"/>
      <c r="PFB187" s="1237"/>
      <c r="PFC187" s="1237"/>
      <c r="PFD187" s="1237"/>
      <c r="PFE187" s="1237"/>
      <c r="PFF187" s="1237"/>
      <c r="PFG187" s="1237"/>
      <c r="PFH187" s="1237"/>
      <c r="PFI187" s="1237"/>
      <c r="PFJ187" s="1237"/>
      <c r="PFK187" s="1237"/>
      <c r="PFL187" s="1237"/>
      <c r="PFM187" s="1237"/>
      <c r="PFN187" s="1237"/>
      <c r="PFO187" s="1237"/>
      <c r="PFP187" s="1237"/>
      <c r="PFQ187" s="1237"/>
      <c r="PFR187" s="1237"/>
      <c r="PFS187" s="1237"/>
      <c r="PFT187" s="1237"/>
      <c r="PFU187" s="1237"/>
      <c r="PFV187" s="1237"/>
      <c r="PFW187" s="1237"/>
      <c r="PFX187" s="1237"/>
      <c r="PFY187" s="1237"/>
      <c r="PFZ187" s="1237"/>
      <c r="PGA187" s="1237"/>
      <c r="PGB187" s="1237"/>
      <c r="PGC187" s="1237"/>
      <c r="PGD187" s="1237"/>
      <c r="PGE187" s="1237"/>
      <c r="PGF187" s="1237"/>
      <c r="PGG187" s="1237"/>
      <c r="PGH187" s="1237"/>
      <c r="PGI187" s="1237"/>
      <c r="PGJ187" s="1237"/>
      <c r="PGK187" s="1237"/>
      <c r="PGL187" s="1237"/>
      <c r="PGM187" s="1237"/>
      <c r="PGN187" s="1237"/>
      <c r="PGO187" s="1237"/>
      <c r="PGP187" s="1237"/>
      <c r="PGQ187" s="1237"/>
      <c r="PGR187" s="1237"/>
      <c r="PGS187" s="1237"/>
      <c r="PGT187" s="1237"/>
      <c r="PGU187" s="1237"/>
      <c r="PGV187" s="1237"/>
      <c r="PGW187" s="1237"/>
      <c r="PGX187" s="1237"/>
      <c r="PGY187" s="1237"/>
      <c r="PGZ187" s="1237"/>
      <c r="PHA187" s="1237"/>
      <c r="PHB187" s="1237"/>
      <c r="PHC187" s="1237"/>
      <c r="PHD187" s="1237"/>
      <c r="PHE187" s="1237"/>
      <c r="PHF187" s="1237"/>
      <c r="PHG187" s="1237"/>
      <c r="PHH187" s="1237"/>
      <c r="PHI187" s="1237"/>
      <c r="PHJ187" s="1237"/>
      <c r="PHK187" s="1237"/>
      <c r="PHL187" s="1237"/>
      <c r="PHM187" s="1237"/>
      <c r="PHN187" s="1237"/>
      <c r="PHO187" s="1237"/>
      <c r="PHP187" s="1237"/>
      <c r="PHQ187" s="1237"/>
      <c r="PHR187" s="1237"/>
      <c r="PHS187" s="1237"/>
      <c r="PHT187" s="1237"/>
      <c r="PHU187" s="1237"/>
      <c r="PHV187" s="1237"/>
      <c r="PHW187" s="1237"/>
      <c r="PHX187" s="1237"/>
      <c r="PHY187" s="1237"/>
      <c r="PHZ187" s="1237"/>
      <c r="PIA187" s="1237"/>
      <c r="PIB187" s="1237"/>
      <c r="PIC187" s="1237"/>
      <c r="PID187" s="1237"/>
      <c r="PIE187" s="1237"/>
      <c r="PIF187" s="1237"/>
      <c r="PIG187" s="1237"/>
      <c r="PIH187" s="1237"/>
      <c r="PII187" s="1237"/>
      <c r="PIJ187" s="1237"/>
      <c r="PIK187" s="1237"/>
      <c r="PIL187" s="1237"/>
      <c r="PIM187" s="1237"/>
      <c r="PIN187" s="1237"/>
      <c r="PIO187" s="1237"/>
      <c r="PIP187" s="1237"/>
      <c r="PIQ187" s="1237"/>
      <c r="PIR187" s="1237"/>
      <c r="PIS187" s="1237"/>
      <c r="PIT187" s="1237"/>
      <c r="PIU187" s="1237"/>
      <c r="PIV187" s="1237"/>
      <c r="PIW187" s="1237"/>
      <c r="PIX187" s="1237"/>
      <c r="PIY187" s="1237"/>
      <c r="PIZ187" s="1237"/>
      <c r="PJA187" s="1237"/>
      <c r="PJB187" s="1237"/>
      <c r="PJC187" s="1237"/>
      <c r="PJD187" s="1237"/>
      <c r="PJE187" s="1237"/>
      <c r="PJF187" s="1237"/>
      <c r="PJG187" s="1237"/>
      <c r="PJH187" s="1237"/>
      <c r="PJI187" s="1237"/>
      <c r="PJJ187" s="1237"/>
      <c r="PJK187" s="1237"/>
      <c r="PJL187" s="1237"/>
      <c r="PJM187" s="1237"/>
      <c r="PJN187" s="1237"/>
      <c r="PJO187" s="1237"/>
      <c r="PJP187" s="1237"/>
      <c r="PJQ187" s="1237"/>
      <c r="PJR187" s="1237"/>
      <c r="PJS187" s="1237"/>
      <c r="PJT187" s="1237"/>
      <c r="PJU187" s="1237"/>
      <c r="PJV187" s="1237"/>
      <c r="PJW187" s="1237"/>
      <c r="PJX187" s="1237"/>
      <c r="PJY187" s="1237"/>
      <c r="PJZ187" s="1237"/>
      <c r="PKA187" s="1237"/>
      <c r="PKB187" s="1237"/>
      <c r="PKC187" s="1237"/>
      <c r="PKD187" s="1237"/>
      <c r="PKE187" s="1237"/>
      <c r="PKF187" s="1237"/>
      <c r="PKG187" s="1237"/>
      <c r="PKH187" s="1237"/>
      <c r="PKI187" s="1237"/>
      <c r="PKJ187" s="1237"/>
      <c r="PKK187" s="1237"/>
      <c r="PKL187" s="1237"/>
      <c r="PKM187" s="1237"/>
      <c r="PKN187" s="1237"/>
      <c r="PKO187" s="1237"/>
      <c r="PKP187" s="1237"/>
      <c r="PKQ187" s="1237"/>
      <c r="PKR187" s="1237"/>
      <c r="PKS187" s="1237"/>
      <c r="PKT187" s="1237"/>
      <c r="PKU187" s="1237"/>
      <c r="PKV187" s="1237"/>
      <c r="PKW187" s="1237"/>
      <c r="PKX187" s="1237"/>
      <c r="PKY187" s="1237"/>
      <c r="PKZ187" s="1237"/>
      <c r="PLA187" s="1237"/>
      <c r="PLB187" s="1237"/>
      <c r="PLC187" s="1237"/>
      <c r="PLD187" s="1237"/>
      <c r="PLE187" s="1237"/>
      <c r="PLF187" s="1237"/>
      <c r="PLG187" s="1237"/>
      <c r="PLH187" s="1237"/>
      <c r="PLI187" s="1237"/>
      <c r="PLJ187" s="1237"/>
      <c r="PLK187" s="1237"/>
      <c r="PLL187" s="1237"/>
      <c r="PLM187" s="1237"/>
      <c r="PLN187" s="1237"/>
      <c r="PLO187" s="1237"/>
      <c r="PLP187" s="1237"/>
      <c r="PLQ187" s="1237"/>
      <c r="PLR187" s="1237"/>
      <c r="PLS187" s="1237"/>
      <c r="PLT187" s="1237"/>
      <c r="PLU187" s="1237"/>
      <c r="PLV187" s="1237"/>
      <c r="PLW187" s="1237"/>
      <c r="PLX187" s="1237"/>
      <c r="PLY187" s="1237"/>
      <c r="PLZ187" s="1237"/>
      <c r="PMA187" s="1237"/>
      <c r="PMB187" s="1237"/>
      <c r="PMC187" s="1237"/>
      <c r="PMD187" s="1237"/>
      <c r="PME187" s="1237"/>
      <c r="PMF187" s="1237"/>
      <c r="PMG187" s="1237"/>
      <c r="PMH187" s="1237"/>
      <c r="PMI187" s="1237"/>
      <c r="PMJ187" s="1237"/>
      <c r="PMK187" s="1237"/>
      <c r="PML187" s="1237"/>
      <c r="PMM187" s="1237"/>
      <c r="PMN187" s="1237"/>
      <c r="PMO187" s="1237"/>
      <c r="PMP187" s="1237"/>
      <c r="PMQ187" s="1237"/>
      <c r="PMR187" s="1237"/>
      <c r="PMS187" s="1237"/>
      <c r="PMT187" s="1237"/>
      <c r="PMU187" s="1237"/>
      <c r="PMV187" s="1237"/>
      <c r="PMW187" s="1237"/>
      <c r="PMX187" s="1237"/>
      <c r="PMY187" s="1237"/>
      <c r="PMZ187" s="1237"/>
      <c r="PNA187" s="1237"/>
      <c r="PNB187" s="1237"/>
      <c r="PNC187" s="1237"/>
      <c r="PND187" s="1237"/>
      <c r="PNE187" s="1237"/>
      <c r="PNF187" s="1237"/>
      <c r="PNG187" s="1237"/>
      <c r="PNH187" s="1237"/>
      <c r="PNI187" s="1237"/>
      <c r="PNJ187" s="1237"/>
      <c r="PNK187" s="1237"/>
      <c r="PNL187" s="1237"/>
      <c r="PNM187" s="1237"/>
      <c r="PNN187" s="1237"/>
      <c r="PNO187" s="1237"/>
      <c r="PNP187" s="1237"/>
      <c r="PNQ187" s="1237"/>
      <c r="PNR187" s="1237"/>
      <c r="PNS187" s="1237"/>
      <c r="PNT187" s="1237"/>
      <c r="PNU187" s="1237"/>
      <c r="PNV187" s="1237"/>
      <c r="PNW187" s="1237"/>
      <c r="PNX187" s="1237"/>
      <c r="PNY187" s="1237"/>
      <c r="PNZ187" s="1237"/>
      <c r="POA187" s="1237"/>
      <c r="POB187" s="1237"/>
      <c r="POC187" s="1237"/>
      <c r="POD187" s="1237"/>
      <c r="POE187" s="1237"/>
      <c r="POF187" s="1237"/>
      <c r="POG187" s="1237"/>
      <c r="POH187" s="1237"/>
      <c r="POI187" s="1237"/>
      <c r="POJ187" s="1237"/>
      <c r="POK187" s="1237"/>
      <c r="POL187" s="1237"/>
      <c r="POM187" s="1237"/>
      <c r="PON187" s="1237"/>
      <c r="POO187" s="1237"/>
      <c r="POP187" s="1237"/>
      <c r="POQ187" s="1237"/>
      <c r="POR187" s="1237"/>
      <c r="POS187" s="1237"/>
      <c r="POT187" s="1237"/>
      <c r="POU187" s="1237"/>
      <c r="POV187" s="1237"/>
      <c r="POW187" s="1237"/>
      <c r="POX187" s="1237"/>
      <c r="POY187" s="1237"/>
      <c r="POZ187" s="1237"/>
      <c r="PPA187" s="1237"/>
      <c r="PPB187" s="1237"/>
      <c r="PPC187" s="1237"/>
      <c r="PPD187" s="1237"/>
      <c r="PPE187" s="1237"/>
      <c r="PPF187" s="1237"/>
      <c r="PPG187" s="1237"/>
      <c r="PPH187" s="1237"/>
      <c r="PPI187" s="1237"/>
      <c r="PPJ187" s="1237"/>
      <c r="PPK187" s="1237"/>
      <c r="PPL187" s="1237"/>
      <c r="PPM187" s="1237"/>
      <c r="PPN187" s="1237"/>
      <c r="PPO187" s="1237"/>
      <c r="PPP187" s="1237"/>
      <c r="PPQ187" s="1237"/>
      <c r="PPR187" s="1237"/>
      <c r="PPS187" s="1237"/>
      <c r="PPT187" s="1237"/>
      <c r="PPU187" s="1237"/>
      <c r="PPV187" s="1237"/>
      <c r="PPW187" s="1237"/>
      <c r="PPX187" s="1237"/>
      <c r="PPY187" s="1237"/>
      <c r="PPZ187" s="1237"/>
      <c r="PQA187" s="1237"/>
      <c r="PQB187" s="1237"/>
      <c r="PQC187" s="1237"/>
      <c r="PQD187" s="1237"/>
      <c r="PQE187" s="1237"/>
      <c r="PQF187" s="1237"/>
      <c r="PQG187" s="1237"/>
      <c r="PQH187" s="1237"/>
      <c r="PQI187" s="1237"/>
      <c r="PQJ187" s="1237"/>
      <c r="PQK187" s="1237"/>
      <c r="PQL187" s="1237"/>
      <c r="PQM187" s="1237"/>
      <c r="PQN187" s="1237"/>
      <c r="PQO187" s="1237"/>
      <c r="PQP187" s="1237"/>
      <c r="PQQ187" s="1237"/>
      <c r="PQR187" s="1237"/>
      <c r="PQS187" s="1237"/>
      <c r="PQT187" s="1237"/>
      <c r="PQU187" s="1237"/>
      <c r="PQV187" s="1237"/>
      <c r="PQW187" s="1237"/>
      <c r="PQX187" s="1237"/>
      <c r="PQY187" s="1237"/>
      <c r="PQZ187" s="1237"/>
      <c r="PRA187" s="1237"/>
      <c r="PRB187" s="1237"/>
      <c r="PRC187" s="1237"/>
      <c r="PRD187" s="1237"/>
      <c r="PRE187" s="1237"/>
      <c r="PRF187" s="1237"/>
      <c r="PRG187" s="1237"/>
      <c r="PRH187" s="1237"/>
      <c r="PRI187" s="1237"/>
      <c r="PRJ187" s="1237"/>
      <c r="PRK187" s="1237"/>
      <c r="PRL187" s="1237"/>
      <c r="PRM187" s="1237"/>
      <c r="PRN187" s="1237"/>
      <c r="PRO187" s="1237"/>
      <c r="PRP187" s="1237"/>
      <c r="PRQ187" s="1237"/>
      <c r="PRR187" s="1237"/>
      <c r="PRS187" s="1237"/>
      <c r="PRT187" s="1237"/>
      <c r="PRU187" s="1237"/>
      <c r="PRV187" s="1237"/>
      <c r="PRW187" s="1237"/>
      <c r="PRX187" s="1237"/>
      <c r="PRY187" s="1237"/>
      <c r="PRZ187" s="1237"/>
      <c r="PSA187" s="1237"/>
      <c r="PSB187" s="1237"/>
      <c r="PSC187" s="1237"/>
      <c r="PSD187" s="1237"/>
      <c r="PSE187" s="1237"/>
      <c r="PSF187" s="1237"/>
      <c r="PSG187" s="1237"/>
      <c r="PSH187" s="1237"/>
      <c r="PSI187" s="1237"/>
      <c r="PSJ187" s="1237"/>
      <c r="PSK187" s="1237"/>
      <c r="PSL187" s="1237"/>
      <c r="PSM187" s="1237"/>
      <c r="PSN187" s="1237"/>
      <c r="PSO187" s="1237"/>
      <c r="PSP187" s="1237"/>
      <c r="PSQ187" s="1237"/>
      <c r="PSR187" s="1237"/>
      <c r="PSS187" s="1237"/>
      <c r="PST187" s="1237"/>
      <c r="PSU187" s="1237"/>
      <c r="PSV187" s="1237"/>
      <c r="PSW187" s="1237"/>
      <c r="PSX187" s="1237"/>
      <c r="PSY187" s="1237"/>
      <c r="PSZ187" s="1237"/>
      <c r="PTA187" s="1237"/>
      <c r="PTB187" s="1237"/>
      <c r="PTC187" s="1237"/>
      <c r="PTD187" s="1237"/>
      <c r="PTE187" s="1237"/>
      <c r="PTF187" s="1237"/>
      <c r="PTG187" s="1237"/>
      <c r="PTH187" s="1237"/>
      <c r="PTI187" s="1237"/>
      <c r="PTJ187" s="1237"/>
      <c r="PTK187" s="1237"/>
      <c r="PTL187" s="1237"/>
      <c r="PTM187" s="1237"/>
      <c r="PTN187" s="1237"/>
      <c r="PTO187" s="1237"/>
      <c r="PTP187" s="1237"/>
      <c r="PTQ187" s="1237"/>
      <c r="PTR187" s="1237"/>
      <c r="PTS187" s="1237"/>
      <c r="PTT187" s="1237"/>
      <c r="PTU187" s="1237"/>
      <c r="PTV187" s="1237"/>
      <c r="PTW187" s="1237"/>
      <c r="PTX187" s="1237"/>
      <c r="PTY187" s="1237"/>
      <c r="PTZ187" s="1237"/>
      <c r="PUA187" s="1237"/>
      <c r="PUB187" s="1237"/>
      <c r="PUC187" s="1237"/>
      <c r="PUD187" s="1237"/>
      <c r="PUE187" s="1237"/>
      <c r="PUF187" s="1237"/>
      <c r="PUG187" s="1237"/>
      <c r="PUH187" s="1237"/>
      <c r="PUI187" s="1237"/>
      <c r="PUJ187" s="1237"/>
      <c r="PUK187" s="1237"/>
      <c r="PUL187" s="1237"/>
      <c r="PUM187" s="1237"/>
      <c r="PUN187" s="1237"/>
      <c r="PUO187" s="1237"/>
      <c r="PUP187" s="1237"/>
      <c r="PUQ187" s="1237"/>
      <c r="PUR187" s="1237"/>
      <c r="PUS187" s="1237"/>
      <c r="PUT187" s="1237"/>
      <c r="PUU187" s="1237"/>
      <c r="PUV187" s="1237"/>
      <c r="PUW187" s="1237"/>
      <c r="PUX187" s="1237"/>
      <c r="PUY187" s="1237"/>
      <c r="PUZ187" s="1237"/>
      <c r="PVA187" s="1237"/>
      <c r="PVB187" s="1237"/>
      <c r="PVC187" s="1237"/>
      <c r="PVD187" s="1237"/>
      <c r="PVE187" s="1237"/>
      <c r="PVF187" s="1237"/>
      <c r="PVG187" s="1237"/>
      <c r="PVH187" s="1237"/>
      <c r="PVI187" s="1237"/>
      <c r="PVJ187" s="1237"/>
      <c r="PVK187" s="1237"/>
      <c r="PVL187" s="1237"/>
      <c r="PVM187" s="1237"/>
      <c r="PVN187" s="1237"/>
      <c r="PVO187" s="1237"/>
      <c r="PVP187" s="1237"/>
      <c r="PVQ187" s="1237"/>
      <c r="PVR187" s="1237"/>
      <c r="PVS187" s="1237"/>
      <c r="PVT187" s="1237"/>
      <c r="PVU187" s="1237"/>
      <c r="PVV187" s="1237"/>
      <c r="PVW187" s="1237"/>
      <c r="PVX187" s="1237"/>
      <c r="PVY187" s="1237"/>
      <c r="PVZ187" s="1237"/>
      <c r="PWA187" s="1237"/>
      <c r="PWB187" s="1237"/>
      <c r="PWC187" s="1237"/>
      <c r="PWD187" s="1237"/>
      <c r="PWE187" s="1237"/>
      <c r="PWF187" s="1237"/>
      <c r="PWG187" s="1237"/>
      <c r="PWH187" s="1237"/>
      <c r="PWI187" s="1237"/>
      <c r="PWJ187" s="1237"/>
      <c r="PWK187" s="1237"/>
      <c r="PWL187" s="1237"/>
      <c r="PWM187" s="1237"/>
      <c r="PWN187" s="1237"/>
      <c r="PWO187" s="1237"/>
      <c r="PWP187" s="1237"/>
      <c r="PWQ187" s="1237"/>
      <c r="PWR187" s="1237"/>
      <c r="PWS187" s="1237"/>
      <c r="PWT187" s="1237"/>
      <c r="PWU187" s="1237"/>
      <c r="PWV187" s="1237"/>
      <c r="PWW187" s="1237"/>
      <c r="PWX187" s="1237"/>
      <c r="PWY187" s="1237"/>
      <c r="PWZ187" s="1237"/>
      <c r="PXA187" s="1237"/>
      <c r="PXB187" s="1237"/>
      <c r="PXC187" s="1237"/>
      <c r="PXD187" s="1237"/>
      <c r="PXE187" s="1237"/>
      <c r="PXF187" s="1237"/>
      <c r="PXG187" s="1237"/>
      <c r="PXH187" s="1237"/>
      <c r="PXI187" s="1237"/>
      <c r="PXJ187" s="1237"/>
      <c r="PXK187" s="1237"/>
      <c r="PXL187" s="1237"/>
      <c r="PXM187" s="1237"/>
      <c r="PXN187" s="1237"/>
      <c r="PXO187" s="1237"/>
      <c r="PXP187" s="1237"/>
      <c r="PXQ187" s="1237"/>
      <c r="PXR187" s="1237"/>
      <c r="PXS187" s="1237"/>
      <c r="PXT187" s="1237"/>
      <c r="PXU187" s="1237"/>
      <c r="PXV187" s="1237"/>
      <c r="PXW187" s="1237"/>
      <c r="PXX187" s="1237"/>
      <c r="PXY187" s="1237"/>
      <c r="PXZ187" s="1237"/>
      <c r="PYA187" s="1237"/>
      <c r="PYB187" s="1237"/>
      <c r="PYC187" s="1237"/>
      <c r="PYD187" s="1237"/>
      <c r="PYE187" s="1237"/>
      <c r="PYF187" s="1237"/>
      <c r="PYG187" s="1237"/>
      <c r="PYH187" s="1237"/>
      <c r="PYI187" s="1237"/>
      <c r="PYJ187" s="1237"/>
      <c r="PYK187" s="1237"/>
      <c r="PYL187" s="1237"/>
      <c r="PYM187" s="1237"/>
      <c r="PYN187" s="1237"/>
      <c r="PYO187" s="1237"/>
      <c r="PYP187" s="1237"/>
      <c r="PYQ187" s="1237"/>
      <c r="PYR187" s="1237"/>
      <c r="PYS187" s="1237"/>
      <c r="PYT187" s="1237"/>
      <c r="PYU187" s="1237"/>
      <c r="PYV187" s="1237"/>
      <c r="PYW187" s="1237"/>
      <c r="PYX187" s="1237"/>
      <c r="PYY187" s="1237"/>
      <c r="PYZ187" s="1237"/>
      <c r="PZA187" s="1237"/>
      <c r="PZB187" s="1237"/>
      <c r="PZC187" s="1237"/>
      <c r="PZD187" s="1237"/>
      <c r="PZE187" s="1237"/>
      <c r="PZF187" s="1237"/>
      <c r="PZG187" s="1237"/>
      <c r="PZH187" s="1237"/>
      <c r="PZI187" s="1237"/>
      <c r="PZJ187" s="1237"/>
      <c r="PZK187" s="1237"/>
      <c r="PZL187" s="1237"/>
      <c r="PZM187" s="1237"/>
      <c r="PZN187" s="1237"/>
      <c r="PZO187" s="1237"/>
      <c r="PZP187" s="1237"/>
      <c r="PZQ187" s="1237"/>
      <c r="PZR187" s="1237"/>
      <c r="PZS187" s="1237"/>
      <c r="PZT187" s="1237"/>
      <c r="PZU187" s="1237"/>
      <c r="PZV187" s="1237"/>
      <c r="PZW187" s="1237"/>
      <c r="PZX187" s="1237"/>
      <c r="PZY187" s="1237"/>
      <c r="PZZ187" s="1237"/>
      <c r="QAA187" s="1237"/>
      <c r="QAB187" s="1237"/>
      <c r="QAC187" s="1237"/>
      <c r="QAD187" s="1237"/>
      <c r="QAE187" s="1237"/>
      <c r="QAF187" s="1237"/>
      <c r="QAG187" s="1237"/>
      <c r="QAH187" s="1237"/>
      <c r="QAI187" s="1237"/>
      <c r="QAJ187" s="1237"/>
      <c r="QAK187" s="1237"/>
      <c r="QAL187" s="1237"/>
      <c r="QAM187" s="1237"/>
      <c r="QAN187" s="1237"/>
      <c r="QAO187" s="1237"/>
      <c r="QAP187" s="1237"/>
      <c r="QAQ187" s="1237"/>
      <c r="QAR187" s="1237"/>
      <c r="QAS187" s="1237"/>
      <c r="QAT187" s="1237"/>
      <c r="QAU187" s="1237"/>
      <c r="QAV187" s="1237"/>
      <c r="QAW187" s="1237"/>
      <c r="QAX187" s="1237"/>
      <c r="QAY187" s="1237"/>
      <c r="QAZ187" s="1237"/>
      <c r="QBA187" s="1237"/>
      <c r="QBB187" s="1237"/>
      <c r="QBC187" s="1237"/>
      <c r="QBD187" s="1237"/>
      <c r="QBE187" s="1237"/>
      <c r="QBF187" s="1237"/>
      <c r="QBG187" s="1237"/>
      <c r="QBH187" s="1237"/>
      <c r="QBI187" s="1237"/>
      <c r="QBJ187" s="1237"/>
      <c r="QBK187" s="1237"/>
      <c r="QBL187" s="1237"/>
      <c r="QBM187" s="1237"/>
      <c r="QBN187" s="1237"/>
      <c r="QBO187" s="1237"/>
      <c r="QBP187" s="1237"/>
      <c r="QBQ187" s="1237"/>
      <c r="QBR187" s="1237"/>
      <c r="QBS187" s="1237"/>
      <c r="QBT187" s="1237"/>
      <c r="QBU187" s="1237"/>
      <c r="QBV187" s="1237"/>
      <c r="QBW187" s="1237"/>
      <c r="QBX187" s="1237"/>
      <c r="QBY187" s="1237"/>
      <c r="QBZ187" s="1237"/>
      <c r="QCA187" s="1237"/>
      <c r="QCB187" s="1237"/>
      <c r="QCC187" s="1237"/>
      <c r="QCD187" s="1237"/>
      <c r="QCE187" s="1237"/>
      <c r="QCF187" s="1237"/>
      <c r="QCG187" s="1237"/>
      <c r="QCH187" s="1237"/>
      <c r="QCI187" s="1237"/>
      <c r="QCJ187" s="1237"/>
      <c r="QCK187" s="1237"/>
      <c r="QCL187" s="1237"/>
      <c r="QCM187" s="1237"/>
      <c r="QCN187" s="1237"/>
      <c r="QCO187" s="1237"/>
      <c r="QCP187" s="1237"/>
      <c r="QCQ187" s="1237"/>
      <c r="QCR187" s="1237"/>
      <c r="QCS187" s="1237"/>
      <c r="QCT187" s="1237"/>
      <c r="QCU187" s="1237"/>
      <c r="QCV187" s="1237"/>
      <c r="QCW187" s="1237"/>
      <c r="QCX187" s="1237"/>
      <c r="QCY187" s="1237"/>
      <c r="QCZ187" s="1237"/>
      <c r="QDA187" s="1237"/>
      <c r="QDB187" s="1237"/>
      <c r="QDC187" s="1237"/>
      <c r="QDD187" s="1237"/>
      <c r="QDE187" s="1237"/>
      <c r="QDF187" s="1237"/>
      <c r="QDG187" s="1237"/>
      <c r="QDH187" s="1237"/>
      <c r="QDI187" s="1237"/>
      <c r="QDJ187" s="1237"/>
      <c r="QDK187" s="1237"/>
      <c r="QDL187" s="1237"/>
      <c r="QDM187" s="1237"/>
      <c r="QDN187" s="1237"/>
      <c r="QDO187" s="1237"/>
      <c r="QDP187" s="1237"/>
      <c r="QDQ187" s="1237"/>
      <c r="QDR187" s="1237"/>
      <c r="QDS187" s="1237"/>
      <c r="QDT187" s="1237"/>
      <c r="QDU187" s="1237"/>
      <c r="QDV187" s="1237"/>
      <c r="QDW187" s="1237"/>
      <c r="QDX187" s="1237"/>
      <c r="QDY187" s="1237"/>
      <c r="QDZ187" s="1237"/>
      <c r="QEA187" s="1237"/>
      <c r="QEB187" s="1237"/>
      <c r="QEC187" s="1237"/>
      <c r="QED187" s="1237"/>
      <c r="QEE187" s="1237"/>
      <c r="QEF187" s="1237"/>
      <c r="QEG187" s="1237"/>
      <c r="QEH187" s="1237"/>
      <c r="QEI187" s="1237"/>
      <c r="QEJ187" s="1237"/>
      <c r="QEK187" s="1237"/>
      <c r="QEL187" s="1237"/>
      <c r="QEM187" s="1237"/>
      <c r="QEN187" s="1237"/>
      <c r="QEO187" s="1237"/>
      <c r="QEP187" s="1237"/>
      <c r="QEQ187" s="1237"/>
      <c r="QER187" s="1237"/>
      <c r="QES187" s="1237"/>
      <c r="QET187" s="1237"/>
      <c r="QEU187" s="1237"/>
      <c r="QEV187" s="1237"/>
      <c r="QEW187" s="1237"/>
      <c r="QEX187" s="1237"/>
      <c r="QEY187" s="1237"/>
      <c r="QEZ187" s="1237"/>
      <c r="QFA187" s="1237"/>
      <c r="QFB187" s="1237"/>
      <c r="QFC187" s="1237"/>
      <c r="QFD187" s="1237"/>
      <c r="QFE187" s="1237"/>
      <c r="QFF187" s="1237"/>
      <c r="QFG187" s="1237"/>
      <c r="QFH187" s="1237"/>
      <c r="QFI187" s="1237"/>
      <c r="QFJ187" s="1237"/>
      <c r="QFK187" s="1237"/>
      <c r="QFL187" s="1237"/>
      <c r="QFM187" s="1237"/>
      <c r="QFN187" s="1237"/>
      <c r="QFO187" s="1237"/>
      <c r="QFP187" s="1237"/>
      <c r="QFQ187" s="1237"/>
      <c r="QFR187" s="1237"/>
      <c r="QFS187" s="1237"/>
      <c r="QFT187" s="1237"/>
      <c r="QFU187" s="1237"/>
      <c r="QFV187" s="1237"/>
      <c r="QFW187" s="1237"/>
      <c r="QFX187" s="1237"/>
      <c r="QFY187" s="1237"/>
      <c r="QFZ187" s="1237"/>
      <c r="QGA187" s="1237"/>
      <c r="QGB187" s="1237"/>
      <c r="QGC187" s="1237"/>
      <c r="QGD187" s="1237"/>
      <c r="QGE187" s="1237"/>
      <c r="QGF187" s="1237"/>
      <c r="QGG187" s="1237"/>
      <c r="QGH187" s="1237"/>
      <c r="QGI187" s="1237"/>
      <c r="QGJ187" s="1237"/>
      <c r="QGK187" s="1237"/>
      <c r="QGL187" s="1237"/>
      <c r="QGM187" s="1237"/>
      <c r="QGN187" s="1237"/>
      <c r="QGO187" s="1237"/>
      <c r="QGP187" s="1237"/>
      <c r="QGQ187" s="1237"/>
      <c r="QGR187" s="1237"/>
      <c r="QGS187" s="1237"/>
      <c r="QGT187" s="1237"/>
      <c r="QGU187" s="1237"/>
      <c r="QGV187" s="1237"/>
      <c r="QGW187" s="1237"/>
      <c r="QGX187" s="1237"/>
      <c r="QGY187" s="1237"/>
      <c r="QGZ187" s="1237"/>
      <c r="QHA187" s="1237"/>
      <c r="QHB187" s="1237"/>
      <c r="QHC187" s="1237"/>
      <c r="QHD187" s="1237"/>
      <c r="QHE187" s="1237"/>
      <c r="QHF187" s="1237"/>
      <c r="QHG187" s="1237"/>
      <c r="QHH187" s="1237"/>
      <c r="QHI187" s="1237"/>
      <c r="QHJ187" s="1237"/>
      <c r="QHK187" s="1237"/>
      <c r="QHL187" s="1237"/>
      <c r="QHM187" s="1237"/>
      <c r="QHN187" s="1237"/>
      <c r="QHO187" s="1237"/>
      <c r="QHP187" s="1237"/>
      <c r="QHQ187" s="1237"/>
      <c r="QHR187" s="1237"/>
      <c r="QHS187" s="1237"/>
      <c r="QHT187" s="1237"/>
      <c r="QHU187" s="1237"/>
      <c r="QHV187" s="1237"/>
      <c r="QHW187" s="1237"/>
      <c r="QHX187" s="1237"/>
      <c r="QHY187" s="1237"/>
      <c r="QHZ187" s="1237"/>
      <c r="QIA187" s="1237"/>
      <c r="QIB187" s="1237"/>
      <c r="QIC187" s="1237"/>
      <c r="QID187" s="1237"/>
      <c r="QIE187" s="1237"/>
      <c r="QIF187" s="1237"/>
      <c r="QIG187" s="1237"/>
      <c r="QIH187" s="1237"/>
      <c r="QII187" s="1237"/>
      <c r="QIJ187" s="1237"/>
      <c r="QIK187" s="1237"/>
      <c r="QIL187" s="1237"/>
      <c r="QIM187" s="1237"/>
      <c r="QIN187" s="1237"/>
      <c r="QIO187" s="1237"/>
      <c r="QIP187" s="1237"/>
      <c r="QIQ187" s="1237"/>
      <c r="QIR187" s="1237"/>
      <c r="QIS187" s="1237"/>
      <c r="QIT187" s="1237"/>
      <c r="QIU187" s="1237"/>
      <c r="QIV187" s="1237"/>
      <c r="QIW187" s="1237"/>
      <c r="QIX187" s="1237"/>
      <c r="QIY187" s="1237"/>
      <c r="QIZ187" s="1237"/>
      <c r="QJA187" s="1237"/>
      <c r="QJB187" s="1237"/>
      <c r="QJC187" s="1237"/>
      <c r="QJD187" s="1237"/>
      <c r="QJE187" s="1237"/>
      <c r="QJF187" s="1237"/>
      <c r="QJG187" s="1237"/>
      <c r="QJH187" s="1237"/>
      <c r="QJI187" s="1237"/>
      <c r="QJJ187" s="1237"/>
      <c r="QJK187" s="1237"/>
      <c r="QJL187" s="1237"/>
      <c r="QJM187" s="1237"/>
      <c r="QJN187" s="1237"/>
      <c r="QJO187" s="1237"/>
      <c r="QJP187" s="1237"/>
      <c r="QJQ187" s="1237"/>
      <c r="QJR187" s="1237"/>
      <c r="QJS187" s="1237"/>
      <c r="QJT187" s="1237"/>
      <c r="QJU187" s="1237"/>
      <c r="QJV187" s="1237"/>
      <c r="QJW187" s="1237"/>
      <c r="QJX187" s="1237"/>
      <c r="QJY187" s="1237"/>
      <c r="QJZ187" s="1237"/>
      <c r="QKA187" s="1237"/>
      <c r="QKB187" s="1237"/>
      <c r="QKC187" s="1237"/>
      <c r="QKD187" s="1237"/>
      <c r="QKE187" s="1237"/>
      <c r="QKF187" s="1237"/>
      <c r="QKG187" s="1237"/>
      <c r="QKH187" s="1237"/>
      <c r="QKI187" s="1237"/>
      <c r="QKJ187" s="1237"/>
      <c r="QKK187" s="1237"/>
      <c r="QKL187" s="1237"/>
      <c r="QKM187" s="1237"/>
      <c r="QKN187" s="1237"/>
      <c r="QKO187" s="1237"/>
      <c r="QKP187" s="1237"/>
      <c r="QKQ187" s="1237"/>
      <c r="QKR187" s="1237"/>
      <c r="QKS187" s="1237"/>
      <c r="QKT187" s="1237"/>
      <c r="QKU187" s="1237"/>
      <c r="QKV187" s="1237"/>
      <c r="QKW187" s="1237"/>
      <c r="QKX187" s="1237"/>
      <c r="QKY187" s="1237"/>
      <c r="QKZ187" s="1237"/>
      <c r="QLA187" s="1237"/>
      <c r="QLB187" s="1237"/>
      <c r="QLC187" s="1237"/>
      <c r="QLD187" s="1237"/>
      <c r="QLE187" s="1237"/>
      <c r="QLF187" s="1237"/>
      <c r="QLG187" s="1237"/>
      <c r="QLH187" s="1237"/>
      <c r="QLI187" s="1237"/>
      <c r="QLJ187" s="1237"/>
      <c r="QLK187" s="1237"/>
      <c r="QLL187" s="1237"/>
      <c r="QLM187" s="1237"/>
      <c r="QLN187" s="1237"/>
      <c r="QLO187" s="1237"/>
      <c r="QLP187" s="1237"/>
      <c r="QLQ187" s="1237"/>
      <c r="QLR187" s="1237"/>
      <c r="QLS187" s="1237"/>
      <c r="QLT187" s="1237"/>
      <c r="QLU187" s="1237"/>
      <c r="QLV187" s="1237"/>
      <c r="QLW187" s="1237"/>
      <c r="QLX187" s="1237"/>
      <c r="QLY187" s="1237"/>
      <c r="QLZ187" s="1237"/>
      <c r="QMA187" s="1237"/>
      <c r="QMB187" s="1237"/>
      <c r="QMC187" s="1237"/>
      <c r="QMD187" s="1237"/>
      <c r="QME187" s="1237"/>
      <c r="QMF187" s="1237"/>
      <c r="QMG187" s="1237"/>
      <c r="QMH187" s="1237"/>
      <c r="QMI187" s="1237"/>
      <c r="QMJ187" s="1237"/>
      <c r="QMK187" s="1237"/>
      <c r="QML187" s="1237"/>
      <c r="QMM187" s="1237"/>
      <c r="QMN187" s="1237"/>
      <c r="QMO187" s="1237"/>
      <c r="QMP187" s="1237"/>
      <c r="QMQ187" s="1237"/>
      <c r="QMR187" s="1237"/>
      <c r="QMS187" s="1237"/>
      <c r="QMT187" s="1237"/>
      <c r="QMU187" s="1237"/>
      <c r="QMV187" s="1237"/>
      <c r="QMW187" s="1237"/>
      <c r="QMX187" s="1237"/>
      <c r="QMY187" s="1237"/>
      <c r="QMZ187" s="1237"/>
      <c r="QNA187" s="1237"/>
      <c r="QNB187" s="1237"/>
      <c r="QNC187" s="1237"/>
      <c r="QND187" s="1237"/>
      <c r="QNE187" s="1237"/>
      <c r="QNF187" s="1237"/>
      <c r="QNG187" s="1237"/>
      <c r="QNH187" s="1237"/>
      <c r="QNI187" s="1237"/>
      <c r="QNJ187" s="1237"/>
      <c r="QNK187" s="1237"/>
      <c r="QNL187" s="1237"/>
      <c r="QNM187" s="1237"/>
      <c r="QNN187" s="1237"/>
      <c r="QNO187" s="1237"/>
      <c r="QNP187" s="1237"/>
      <c r="QNQ187" s="1237"/>
      <c r="QNR187" s="1237"/>
      <c r="QNS187" s="1237"/>
      <c r="QNT187" s="1237"/>
      <c r="QNU187" s="1237"/>
      <c r="QNV187" s="1237"/>
      <c r="QNW187" s="1237"/>
      <c r="QNX187" s="1237"/>
      <c r="QNY187" s="1237"/>
      <c r="QNZ187" s="1237"/>
      <c r="QOA187" s="1237"/>
      <c r="QOB187" s="1237"/>
      <c r="QOC187" s="1237"/>
      <c r="QOD187" s="1237"/>
      <c r="QOE187" s="1237"/>
      <c r="QOF187" s="1237"/>
      <c r="QOG187" s="1237"/>
      <c r="QOH187" s="1237"/>
      <c r="QOI187" s="1237"/>
      <c r="QOJ187" s="1237"/>
      <c r="QOK187" s="1237"/>
      <c r="QOL187" s="1237"/>
      <c r="QOM187" s="1237"/>
      <c r="QON187" s="1237"/>
      <c r="QOO187" s="1237"/>
      <c r="QOP187" s="1237"/>
      <c r="QOQ187" s="1237"/>
      <c r="QOR187" s="1237"/>
      <c r="QOS187" s="1237"/>
      <c r="QOT187" s="1237"/>
      <c r="QOU187" s="1237"/>
      <c r="QOV187" s="1237"/>
      <c r="QOW187" s="1237"/>
      <c r="QOX187" s="1237"/>
      <c r="QOY187" s="1237"/>
      <c r="QOZ187" s="1237"/>
      <c r="QPA187" s="1237"/>
      <c r="QPB187" s="1237"/>
      <c r="QPC187" s="1237"/>
      <c r="QPD187" s="1237"/>
      <c r="QPE187" s="1237"/>
      <c r="QPF187" s="1237"/>
      <c r="QPG187" s="1237"/>
      <c r="QPH187" s="1237"/>
      <c r="QPI187" s="1237"/>
      <c r="QPJ187" s="1237"/>
      <c r="QPK187" s="1237"/>
      <c r="QPL187" s="1237"/>
      <c r="QPM187" s="1237"/>
      <c r="QPN187" s="1237"/>
      <c r="QPO187" s="1237"/>
      <c r="QPP187" s="1237"/>
      <c r="QPQ187" s="1237"/>
      <c r="QPR187" s="1237"/>
      <c r="QPS187" s="1237"/>
      <c r="QPT187" s="1237"/>
      <c r="QPU187" s="1237"/>
      <c r="QPV187" s="1237"/>
      <c r="QPW187" s="1237"/>
      <c r="QPX187" s="1237"/>
      <c r="QPY187" s="1237"/>
      <c r="QPZ187" s="1237"/>
      <c r="QQA187" s="1237"/>
      <c r="QQB187" s="1237"/>
      <c r="QQC187" s="1237"/>
      <c r="QQD187" s="1237"/>
      <c r="QQE187" s="1237"/>
      <c r="QQF187" s="1237"/>
      <c r="QQG187" s="1237"/>
      <c r="QQH187" s="1237"/>
      <c r="QQI187" s="1237"/>
      <c r="QQJ187" s="1237"/>
      <c r="QQK187" s="1237"/>
      <c r="QQL187" s="1237"/>
      <c r="QQM187" s="1237"/>
      <c r="QQN187" s="1237"/>
      <c r="QQO187" s="1237"/>
      <c r="QQP187" s="1237"/>
      <c r="QQQ187" s="1237"/>
      <c r="QQR187" s="1237"/>
      <c r="QQS187" s="1237"/>
      <c r="QQT187" s="1237"/>
      <c r="QQU187" s="1237"/>
      <c r="QQV187" s="1237"/>
      <c r="QQW187" s="1237"/>
      <c r="QQX187" s="1237"/>
      <c r="QQY187" s="1237"/>
      <c r="QQZ187" s="1237"/>
      <c r="QRA187" s="1237"/>
      <c r="QRB187" s="1237"/>
      <c r="QRC187" s="1237"/>
      <c r="QRD187" s="1237"/>
      <c r="QRE187" s="1237"/>
      <c r="QRF187" s="1237"/>
      <c r="QRG187" s="1237"/>
      <c r="QRH187" s="1237"/>
      <c r="QRI187" s="1237"/>
      <c r="QRJ187" s="1237"/>
      <c r="QRK187" s="1237"/>
      <c r="QRL187" s="1237"/>
      <c r="QRM187" s="1237"/>
      <c r="QRN187" s="1237"/>
      <c r="QRO187" s="1237"/>
      <c r="QRP187" s="1237"/>
      <c r="QRQ187" s="1237"/>
      <c r="QRR187" s="1237"/>
      <c r="QRS187" s="1237"/>
      <c r="QRT187" s="1237"/>
      <c r="QRU187" s="1237"/>
      <c r="QRV187" s="1237"/>
      <c r="QRW187" s="1237"/>
      <c r="QRX187" s="1237"/>
      <c r="QRY187" s="1237"/>
      <c r="QRZ187" s="1237"/>
      <c r="QSA187" s="1237"/>
      <c r="QSB187" s="1237"/>
      <c r="QSC187" s="1237"/>
      <c r="QSD187" s="1237"/>
      <c r="QSE187" s="1237"/>
      <c r="QSF187" s="1237"/>
      <c r="QSG187" s="1237"/>
      <c r="QSH187" s="1237"/>
      <c r="QSI187" s="1237"/>
      <c r="QSJ187" s="1237"/>
      <c r="QSK187" s="1237"/>
      <c r="QSL187" s="1237"/>
      <c r="QSM187" s="1237"/>
      <c r="QSN187" s="1237"/>
      <c r="QSO187" s="1237"/>
      <c r="QSP187" s="1237"/>
      <c r="QSQ187" s="1237"/>
      <c r="QSR187" s="1237"/>
      <c r="QSS187" s="1237"/>
      <c r="QST187" s="1237"/>
      <c r="QSU187" s="1237"/>
      <c r="QSV187" s="1237"/>
      <c r="QSW187" s="1237"/>
      <c r="QSX187" s="1237"/>
      <c r="QSY187" s="1237"/>
      <c r="QSZ187" s="1237"/>
      <c r="QTA187" s="1237"/>
      <c r="QTB187" s="1237"/>
      <c r="QTC187" s="1237"/>
      <c r="QTD187" s="1237"/>
      <c r="QTE187" s="1237"/>
      <c r="QTF187" s="1237"/>
      <c r="QTG187" s="1237"/>
      <c r="QTH187" s="1237"/>
      <c r="QTI187" s="1237"/>
      <c r="QTJ187" s="1237"/>
      <c r="QTK187" s="1237"/>
      <c r="QTL187" s="1237"/>
      <c r="QTM187" s="1237"/>
      <c r="QTN187" s="1237"/>
      <c r="QTO187" s="1237"/>
      <c r="QTP187" s="1237"/>
      <c r="QTQ187" s="1237"/>
      <c r="QTR187" s="1237"/>
      <c r="QTS187" s="1237"/>
      <c r="QTT187" s="1237"/>
      <c r="QTU187" s="1237"/>
      <c r="QTV187" s="1237"/>
      <c r="QTW187" s="1237"/>
      <c r="QTX187" s="1237"/>
      <c r="QTY187" s="1237"/>
      <c r="QTZ187" s="1237"/>
      <c r="QUA187" s="1237"/>
      <c r="QUB187" s="1237"/>
      <c r="QUC187" s="1237"/>
      <c r="QUD187" s="1237"/>
      <c r="QUE187" s="1237"/>
      <c r="QUF187" s="1237"/>
      <c r="QUG187" s="1237"/>
      <c r="QUH187" s="1237"/>
      <c r="QUI187" s="1237"/>
      <c r="QUJ187" s="1237"/>
      <c r="QUK187" s="1237"/>
      <c r="QUL187" s="1237"/>
      <c r="QUM187" s="1237"/>
      <c r="QUN187" s="1237"/>
      <c r="QUO187" s="1237"/>
      <c r="QUP187" s="1237"/>
      <c r="QUQ187" s="1237"/>
      <c r="QUR187" s="1237"/>
      <c r="QUS187" s="1237"/>
      <c r="QUT187" s="1237"/>
      <c r="QUU187" s="1237"/>
      <c r="QUV187" s="1237"/>
      <c r="QUW187" s="1237"/>
      <c r="QUX187" s="1237"/>
      <c r="QUY187" s="1237"/>
      <c r="QUZ187" s="1237"/>
      <c r="QVA187" s="1237"/>
      <c r="QVB187" s="1237"/>
      <c r="QVC187" s="1237"/>
      <c r="QVD187" s="1237"/>
      <c r="QVE187" s="1237"/>
      <c r="QVF187" s="1237"/>
      <c r="QVG187" s="1237"/>
      <c r="QVH187" s="1237"/>
      <c r="QVI187" s="1237"/>
      <c r="QVJ187" s="1237"/>
      <c r="QVK187" s="1237"/>
      <c r="QVL187" s="1237"/>
      <c r="QVM187" s="1237"/>
      <c r="QVN187" s="1237"/>
      <c r="QVO187" s="1237"/>
      <c r="QVP187" s="1237"/>
      <c r="QVQ187" s="1237"/>
      <c r="QVR187" s="1237"/>
      <c r="QVS187" s="1237"/>
      <c r="QVT187" s="1237"/>
      <c r="QVU187" s="1237"/>
      <c r="QVV187" s="1237"/>
      <c r="QVW187" s="1237"/>
      <c r="QVX187" s="1237"/>
      <c r="QVY187" s="1237"/>
      <c r="QVZ187" s="1237"/>
      <c r="QWA187" s="1237"/>
      <c r="QWB187" s="1237"/>
      <c r="QWC187" s="1237"/>
      <c r="QWD187" s="1237"/>
      <c r="QWE187" s="1237"/>
      <c r="QWF187" s="1237"/>
      <c r="QWG187" s="1237"/>
      <c r="QWH187" s="1237"/>
      <c r="QWI187" s="1237"/>
      <c r="QWJ187" s="1237"/>
      <c r="QWK187" s="1237"/>
      <c r="QWL187" s="1237"/>
      <c r="QWM187" s="1237"/>
      <c r="QWN187" s="1237"/>
      <c r="QWO187" s="1237"/>
      <c r="QWP187" s="1237"/>
      <c r="QWQ187" s="1237"/>
      <c r="QWR187" s="1237"/>
      <c r="QWS187" s="1237"/>
      <c r="QWT187" s="1237"/>
      <c r="QWU187" s="1237"/>
      <c r="QWV187" s="1237"/>
      <c r="QWW187" s="1237"/>
      <c r="QWX187" s="1237"/>
      <c r="QWY187" s="1237"/>
      <c r="QWZ187" s="1237"/>
      <c r="QXA187" s="1237"/>
      <c r="QXB187" s="1237"/>
      <c r="QXC187" s="1237"/>
      <c r="QXD187" s="1237"/>
      <c r="QXE187" s="1237"/>
      <c r="QXF187" s="1237"/>
      <c r="QXG187" s="1237"/>
      <c r="QXH187" s="1237"/>
      <c r="QXI187" s="1237"/>
      <c r="QXJ187" s="1237"/>
      <c r="QXK187" s="1237"/>
      <c r="QXL187" s="1237"/>
      <c r="QXM187" s="1237"/>
      <c r="QXN187" s="1237"/>
      <c r="QXO187" s="1237"/>
      <c r="QXP187" s="1237"/>
      <c r="QXQ187" s="1237"/>
      <c r="QXR187" s="1237"/>
      <c r="QXS187" s="1237"/>
      <c r="QXT187" s="1237"/>
      <c r="QXU187" s="1237"/>
      <c r="QXV187" s="1237"/>
      <c r="QXW187" s="1237"/>
      <c r="QXX187" s="1237"/>
      <c r="QXY187" s="1237"/>
      <c r="QXZ187" s="1237"/>
      <c r="QYA187" s="1237"/>
      <c r="QYB187" s="1237"/>
      <c r="QYC187" s="1237"/>
      <c r="QYD187" s="1237"/>
      <c r="QYE187" s="1237"/>
      <c r="QYF187" s="1237"/>
      <c r="QYG187" s="1237"/>
      <c r="QYH187" s="1237"/>
      <c r="QYI187" s="1237"/>
      <c r="QYJ187" s="1237"/>
      <c r="QYK187" s="1237"/>
      <c r="QYL187" s="1237"/>
      <c r="QYM187" s="1237"/>
      <c r="QYN187" s="1237"/>
      <c r="QYO187" s="1237"/>
      <c r="QYP187" s="1237"/>
      <c r="QYQ187" s="1237"/>
      <c r="QYR187" s="1237"/>
      <c r="QYS187" s="1237"/>
      <c r="QYT187" s="1237"/>
      <c r="QYU187" s="1237"/>
      <c r="QYV187" s="1237"/>
      <c r="QYW187" s="1237"/>
      <c r="QYX187" s="1237"/>
      <c r="QYY187" s="1237"/>
      <c r="QYZ187" s="1237"/>
      <c r="QZA187" s="1237"/>
      <c r="QZB187" s="1237"/>
      <c r="QZC187" s="1237"/>
      <c r="QZD187" s="1237"/>
      <c r="QZE187" s="1237"/>
      <c r="QZF187" s="1237"/>
      <c r="QZG187" s="1237"/>
      <c r="QZH187" s="1237"/>
      <c r="QZI187" s="1237"/>
      <c r="QZJ187" s="1237"/>
      <c r="QZK187" s="1237"/>
      <c r="QZL187" s="1237"/>
      <c r="QZM187" s="1237"/>
      <c r="QZN187" s="1237"/>
      <c r="QZO187" s="1237"/>
      <c r="QZP187" s="1237"/>
      <c r="QZQ187" s="1237"/>
      <c r="QZR187" s="1237"/>
      <c r="QZS187" s="1237"/>
      <c r="QZT187" s="1237"/>
      <c r="QZU187" s="1237"/>
      <c r="QZV187" s="1237"/>
      <c r="QZW187" s="1237"/>
      <c r="QZX187" s="1237"/>
      <c r="QZY187" s="1237"/>
      <c r="QZZ187" s="1237"/>
      <c r="RAA187" s="1237"/>
      <c r="RAB187" s="1237"/>
      <c r="RAC187" s="1237"/>
      <c r="RAD187" s="1237"/>
      <c r="RAE187" s="1237"/>
      <c r="RAF187" s="1237"/>
      <c r="RAG187" s="1237"/>
      <c r="RAH187" s="1237"/>
      <c r="RAI187" s="1237"/>
      <c r="RAJ187" s="1237"/>
      <c r="RAK187" s="1237"/>
      <c r="RAL187" s="1237"/>
      <c r="RAM187" s="1237"/>
      <c r="RAN187" s="1237"/>
      <c r="RAO187" s="1237"/>
      <c r="RAP187" s="1237"/>
      <c r="RAQ187" s="1237"/>
      <c r="RAR187" s="1237"/>
      <c r="RAS187" s="1237"/>
      <c r="RAT187" s="1237"/>
      <c r="RAU187" s="1237"/>
      <c r="RAV187" s="1237"/>
      <c r="RAW187" s="1237"/>
      <c r="RAX187" s="1237"/>
      <c r="RAY187" s="1237"/>
      <c r="RAZ187" s="1237"/>
      <c r="RBA187" s="1237"/>
      <c r="RBB187" s="1237"/>
      <c r="RBC187" s="1237"/>
      <c r="RBD187" s="1237"/>
      <c r="RBE187" s="1237"/>
      <c r="RBF187" s="1237"/>
      <c r="RBG187" s="1237"/>
      <c r="RBH187" s="1237"/>
      <c r="RBI187" s="1237"/>
      <c r="RBJ187" s="1237"/>
      <c r="RBK187" s="1237"/>
      <c r="RBL187" s="1237"/>
      <c r="RBM187" s="1237"/>
      <c r="RBN187" s="1237"/>
      <c r="RBO187" s="1237"/>
      <c r="RBP187" s="1237"/>
      <c r="RBQ187" s="1237"/>
      <c r="RBR187" s="1237"/>
      <c r="RBS187" s="1237"/>
      <c r="RBT187" s="1237"/>
      <c r="RBU187" s="1237"/>
      <c r="RBV187" s="1237"/>
      <c r="RBW187" s="1237"/>
      <c r="RBX187" s="1237"/>
      <c r="RBY187" s="1237"/>
      <c r="RBZ187" s="1237"/>
      <c r="RCA187" s="1237"/>
      <c r="RCB187" s="1237"/>
      <c r="RCC187" s="1237"/>
      <c r="RCD187" s="1237"/>
      <c r="RCE187" s="1237"/>
      <c r="RCF187" s="1237"/>
      <c r="RCG187" s="1237"/>
      <c r="RCH187" s="1237"/>
      <c r="RCI187" s="1237"/>
      <c r="RCJ187" s="1237"/>
      <c r="RCK187" s="1237"/>
      <c r="RCL187" s="1237"/>
      <c r="RCM187" s="1237"/>
      <c r="RCN187" s="1237"/>
      <c r="RCO187" s="1237"/>
      <c r="RCP187" s="1237"/>
      <c r="RCQ187" s="1237"/>
      <c r="RCR187" s="1237"/>
      <c r="RCS187" s="1237"/>
      <c r="RCT187" s="1237"/>
      <c r="RCU187" s="1237"/>
      <c r="RCV187" s="1237"/>
      <c r="RCW187" s="1237"/>
      <c r="RCX187" s="1237"/>
      <c r="RCY187" s="1237"/>
      <c r="RCZ187" s="1237"/>
      <c r="RDA187" s="1237"/>
      <c r="RDB187" s="1237"/>
      <c r="RDC187" s="1237"/>
      <c r="RDD187" s="1237"/>
      <c r="RDE187" s="1237"/>
      <c r="RDF187" s="1237"/>
      <c r="RDG187" s="1237"/>
      <c r="RDH187" s="1237"/>
      <c r="RDI187" s="1237"/>
      <c r="RDJ187" s="1237"/>
      <c r="RDK187" s="1237"/>
      <c r="RDL187" s="1237"/>
      <c r="RDM187" s="1237"/>
      <c r="RDN187" s="1237"/>
      <c r="RDO187" s="1237"/>
      <c r="RDP187" s="1237"/>
      <c r="RDQ187" s="1237"/>
      <c r="RDR187" s="1237"/>
      <c r="RDS187" s="1237"/>
      <c r="RDT187" s="1237"/>
      <c r="RDU187" s="1237"/>
      <c r="RDV187" s="1237"/>
      <c r="RDW187" s="1237"/>
      <c r="RDX187" s="1237"/>
      <c r="RDY187" s="1237"/>
      <c r="RDZ187" s="1237"/>
      <c r="REA187" s="1237"/>
      <c r="REB187" s="1237"/>
      <c r="REC187" s="1237"/>
      <c r="RED187" s="1237"/>
      <c r="REE187" s="1237"/>
      <c r="REF187" s="1237"/>
      <c r="REG187" s="1237"/>
      <c r="REH187" s="1237"/>
      <c r="REI187" s="1237"/>
      <c r="REJ187" s="1237"/>
      <c r="REK187" s="1237"/>
      <c r="REL187" s="1237"/>
      <c r="REM187" s="1237"/>
      <c r="REN187" s="1237"/>
      <c r="REO187" s="1237"/>
      <c r="REP187" s="1237"/>
      <c r="REQ187" s="1237"/>
      <c r="RER187" s="1237"/>
      <c r="RES187" s="1237"/>
      <c r="RET187" s="1237"/>
      <c r="REU187" s="1237"/>
      <c r="REV187" s="1237"/>
      <c r="REW187" s="1237"/>
      <c r="REX187" s="1237"/>
      <c r="REY187" s="1237"/>
      <c r="REZ187" s="1237"/>
      <c r="RFA187" s="1237"/>
      <c r="RFB187" s="1237"/>
      <c r="RFC187" s="1237"/>
      <c r="RFD187" s="1237"/>
      <c r="RFE187" s="1237"/>
      <c r="RFF187" s="1237"/>
      <c r="RFG187" s="1237"/>
      <c r="RFH187" s="1237"/>
      <c r="RFI187" s="1237"/>
      <c r="RFJ187" s="1237"/>
      <c r="RFK187" s="1237"/>
      <c r="RFL187" s="1237"/>
      <c r="RFM187" s="1237"/>
      <c r="RFN187" s="1237"/>
      <c r="RFO187" s="1237"/>
      <c r="RFP187" s="1237"/>
      <c r="RFQ187" s="1237"/>
      <c r="RFR187" s="1237"/>
      <c r="RFS187" s="1237"/>
      <c r="RFT187" s="1237"/>
      <c r="RFU187" s="1237"/>
      <c r="RFV187" s="1237"/>
      <c r="RFW187" s="1237"/>
      <c r="RFX187" s="1237"/>
      <c r="RFY187" s="1237"/>
      <c r="RFZ187" s="1237"/>
      <c r="RGA187" s="1237"/>
      <c r="RGB187" s="1237"/>
      <c r="RGC187" s="1237"/>
      <c r="RGD187" s="1237"/>
      <c r="RGE187" s="1237"/>
      <c r="RGF187" s="1237"/>
      <c r="RGG187" s="1237"/>
      <c r="RGH187" s="1237"/>
      <c r="RGI187" s="1237"/>
      <c r="RGJ187" s="1237"/>
      <c r="RGK187" s="1237"/>
      <c r="RGL187" s="1237"/>
      <c r="RGM187" s="1237"/>
      <c r="RGN187" s="1237"/>
      <c r="RGO187" s="1237"/>
      <c r="RGP187" s="1237"/>
      <c r="RGQ187" s="1237"/>
      <c r="RGR187" s="1237"/>
      <c r="RGS187" s="1237"/>
      <c r="RGT187" s="1237"/>
      <c r="RGU187" s="1237"/>
      <c r="RGV187" s="1237"/>
      <c r="RGW187" s="1237"/>
      <c r="RGX187" s="1237"/>
      <c r="RGY187" s="1237"/>
      <c r="RGZ187" s="1237"/>
      <c r="RHA187" s="1237"/>
      <c r="RHB187" s="1237"/>
      <c r="RHC187" s="1237"/>
      <c r="RHD187" s="1237"/>
      <c r="RHE187" s="1237"/>
      <c r="RHF187" s="1237"/>
      <c r="RHG187" s="1237"/>
      <c r="RHH187" s="1237"/>
      <c r="RHI187" s="1237"/>
      <c r="RHJ187" s="1237"/>
      <c r="RHK187" s="1237"/>
      <c r="RHL187" s="1237"/>
      <c r="RHM187" s="1237"/>
      <c r="RHN187" s="1237"/>
      <c r="RHO187" s="1237"/>
      <c r="RHP187" s="1237"/>
      <c r="RHQ187" s="1237"/>
      <c r="RHR187" s="1237"/>
      <c r="RHS187" s="1237"/>
      <c r="RHT187" s="1237"/>
      <c r="RHU187" s="1237"/>
      <c r="RHV187" s="1237"/>
      <c r="RHW187" s="1237"/>
      <c r="RHX187" s="1237"/>
      <c r="RHY187" s="1237"/>
      <c r="RHZ187" s="1237"/>
      <c r="RIA187" s="1237"/>
      <c r="RIB187" s="1237"/>
      <c r="RIC187" s="1237"/>
      <c r="RID187" s="1237"/>
      <c r="RIE187" s="1237"/>
      <c r="RIF187" s="1237"/>
      <c r="RIG187" s="1237"/>
      <c r="RIH187" s="1237"/>
      <c r="RII187" s="1237"/>
      <c r="RIJ187" s="1237"/>
      <c r="RIK187" s="1237"/>
      <c r="RIL187" s="1237"/>
      <c r="RIM187" s="1237"/>
      <c r="RIN187" s="1237"/>
      <c r="RIO187" s="1237"/>
      <c r="RIP187" s="1237"/>
      <c r="RIQ187" s="1237"/>
      <c r="RIR187" s="1237"/>
      <c r="RIS187" s="1237"/>
      <c r="RIT187" s="1237"/>
      <c r="RIU187" s="1237"/>
      <c r="RIV187" s="1237"/>
      <c r="RIW187" s="1237"/>
      <c r="RIX187" s="1237"/>
      <c r="RIY187" s="1237"/>
      <c r="RIZ187" s="1237"/>
      <c r="RJA187" s="1237"/>
      <c r="RJB187" s="1237"/>
      <c r="RJC187" s="1237"/>
      <c r="RJD187" s="1237"/>
      <c r="RJE187" s="1237"/>
      <c r="RJF187" s="1237"/>
      <c r="RJG187" s="1237"/>
      <c r="RJH187" s="1237"/>
      <c r="RJI187" s="1237"/>
      <c r="RJJ187" s="1237"/>
      <c r="RJK187" s="1237"/>
      <c r="RJL187" s="1237"/>
      <c r="RJM187" s="1237"/>
      <c r="RJN187" s="1237"/>
      <c r="RJO187" s="1237"/>
      <c r="RJP187" s="1237"/>
      <c r="RJQ187" s="1237"/>
      <c r="RJR187" s="1237"/>
      <c r="RJS187" s="1237"/>
      <c r="RJT187" s="1237"/>
      <c r="RJU187" s="1237"/>
      <c r="RJV187" s="1237"/>
      <c r="RJW187" s="1237"/>
      <c r="RJX187" s="1237"/>
      <c r="RJY187" s="1237"/>
      <c r="RJZ187" s="1237"/>
      <c r="RKA187" s="1237"/>
      <c r="RKB187" s="1237"/>
      <c r="RKC187" s="1237"/>
      <c r="RKD187" s="1237"/>
      <c r="RKE187" s="1237"/>
      <c r="RKF187" s="1237"/>
      <c r="RKG187" s="1237"/>
      <c r="RKH187" s="1237"/>
      <c r="RKI187" s="1237"/>
      <c r="RKJ187" s="1237"/>
      <c r="RKK187" s="1237"/>
      <c r="RKL187" s="1237"/>
      <c r="RKM187" s="1237"/>
      <c r="RKN187" s="1237"/>
      <c r="RKO187" s="1237"/>
      <c r="RKP187" s="1237"/>
      <c r="RKQ187" s="1237"/>
      <c r="RKR187" s="1237"/>
      <c r="RKS187" s="1237"/>
      <c r="RKT187" s="1237"/>
      <c r="RKU187" s="1237"/>
      <c r="RKV187" s="1237"/>
      <c r="RKW187" s="1237"/>
      <c r="RKX187" s="1237"/>
      <c r="RKY187" s="1237"/>
      <c r="RKZ187" s="1237"/>
      <c r="RLA187" s="1237"/>
      <c r="RLB187" s="1237"/>
      <c r="RLC187" s="1237"/>
      <c r="RLD187" s="1237"/>
      <c r="RLE187" s="1237"/>
      <c r="RLF187" s="1237"/>
      <c r="RLG187" s="1237"/>
      <c r="RLH187" s="1237"/>
      <c r="RLI187" s="1237"/>
      <c r="RLJ187" s="1237"/>
      <c r="RLK187" s="1237"/>
      <c r="RLL187" s="1237"/>
      <c r="RLM187" s="1237"/>
      <c r="RLN187" s="1237"/>
      <c r="RLO187" s="1237"/>
      <c r="RLP187" s="1237"/>
      <c r="RLQ187" s="1237"/>
      <c r="RLR187" s="1237"/>
      <c r="RLS187" s="1237"/>
      <c r="RLT187" s="1237"/>
      <c r="RLU187" s="1237"/>
      <c r="RLV187" s="1237"/>
      <c r="RLW187" s="1237"/>
      <c r="RLX187" s="1237"/>
      <c r="RLY187" s="1237"/>
      <c r="RLZ187" s="1237"/>
      <c r="RMA187" s="1237"/>
      <c r="RMB187" s="1237"/>
      <c r="RMC187" s="1237"/>
      <c r="RMD187" s="1237"/>
      <c r="RME187" s="1237"/>
      <c r="RMF187" s="1237"/>
      <c r="RMG187" s="1237"/>
      <c r="RMH187" s="1237"/>
      <c r="RMI187" s="1237"/>
      <c r="RMJ187" s="1237"/>
      <c r="RMK187" s="1237"/>
      <c r="RML187" s="1237"/>
      <c r="RMM187" s="1237"/>
      <c r="RMN187" s="1237"/>
      <c r="RMO187" s="1237"/>
      <c r="RMP187" s="1237"/>
      <c r="RMQ187" s="1237"/>
      <c r="RMR187" s="1237"/>
      <c r="RMS187" s="1237"/>
      <c r="RMT187" s="1237"/>
      <c r="RMU187" s="1237"/>
      <c r="RMV187" s="1237"/>
      <c r="RMW187" s="1237"/>
      <c r="RMX187" s="1237"/>
      <c r="RMY187" s="1237"/>
      <c r="RMZ187" s="1237"/>
      <c r="RNA187" s="1237"/>
      <c r="RNB187" s="1237"/>
      <c r="RNC187" s="1237"/>
      <c r="RND187" s="1237"/>
      <c r="RNE187" s="1237"/>
      <c r="RNF187" s="1237"/>
      <c r="RNG187" s="1237"/>
      <c r="RNH187" s="1237"/>
      <c r="RNI187" s="1237"/>
      <c r="RNJ187" s="1237"/>
      <c r="RNK187" s="1237"/>
      <c r="RNL187" s="1237"/>
      <c r="RNM187" s="1237"/>
      <c r="RNN187" s="1237"/>
      <c r="RNO187" s="1237"/>
      <c r="RNP187" s="1237"/>
      <c r="RNQ187" s="1237"/>
      <c r="RNR187" s="1237"/>
      <c r="RNS187" s="1237"/>
      <c r="RNT187" s="1237"/>
      <c r="RNU187" s="1237"/>
      <c r="RNV187" s="1237"/>
      <c r="RNW187" s="1237"/>
      <c r="RNX187" s="1237"/>
      <c r="RNY187" s="1237"/>
      <c r="RNZ187" s="1237"/>
      <c r="ROA187" s="1237"/>
      <c r="ROB187" s="1237"/>
      <c r="ROC187" s="1237"/>
      <c r="ROD187" s="1237"/>
      <c r="ROE187" s="1237"/>
      <c r="ROF187" s="1237"/>
      <c r="ROG187" s="1237"/>
      <c r="ROH187" s="1237"/>
      <c r="ROI187" s="1237"/>
      <c r="ROJ187" s="1237"/>
      <c r="ROK187" s="1237"/>
      <c r="ROL187" s="1237"/>
      <c r="ROM187" s="1237"/>
      <c r="RON187" s="1237"/>
      <c r="ROO187" s="1237"/>
      <c r="ROP187" s="1237"/>
      <c r="ROQ187" s="1237"/>
      <c r="ROR187" s="1237"/>
      <c r="ROS187" s="1237"/>
      <c r="ROT187" s="1237"/>
      <c r="ROU187" s="1237"/>
      <c r="ROV187" s="1237"/>
      <c r="ROW187" s="1237"/>
      <c r="ROX187" s="1237"/>
      <c r="ROY187" s="1237"/>
      <c r="ROZ187" s="1237"/>
      <c r="RPA187" s="1237"/>
      <c r="RPB187" s="1237"/>
      <c r="RPC187" s="1237"/>
      <c r="RPD187" s="1237"/>
      <c r="RPE187" s="1237"/>
      <c r="RPF187" s="1237"/>
      <c r="RPG187" s="1237"/>
      <c r="RPH187" s="1237"/>
      <c r="RPI187" s="1237"/>
      <c r="RPJ187" s="1237"/>
      <c r="RPK187" s="1237"/>
      <c r="RPL187" s="1237"/>
      <c r="RPM187" s="1237"/>
      <c r="RPN187" s="1237"/>
      <c r="RPO187" s="1237"/>
      <c r="RPP187" s="1237"/>
      <c r="RPQ187" s="1237"/>
      <c r="RPR187" s="1237"/>
      <c r="RPS187" s="1237"/>
      <c r="RPT187" s="1237"/>
      <c r="RPU187" s="1237"/>
      <c r="RPV187" s="1237"/>
      <c r="RPW187" s="1237"/>
      <c r="RPX187" s="1237"/>
      <c r="RPY187" s="1237"/>
      <c r="RPZ187" s="1237"/>
      <c r="RQA187" s="1237"/>
      <c r="RQB187" s="1237"/>
      <c r="RQC187" s="1237"/>
      <c r="RQD187" s="1237"/>
      <c r="RQE187" s="1237"/>
      <c r="RQF187" s="1237"/>
      <c r="RQG187" s="1237"/>
      <c r="RQH187" s="1237"/>
      <c r="RQI187" s="1237"/>
      <c r="RQJ187" s="1237"/>
      <c r="RQK187" s="1237"/>
      <c r="RQL187" s="1237"/>
      <c r="RQM187" s="1237"/>
      <c r="RQN187" s="1237"/>
      <c r="RQO187" s="1237"/>
      <c r="RQP187" s="1237"/>
      <c r="RQQ187" s="1237"/>
      <c r="RQR187" s="1237"/>
      <c r="RQS187" s="1237"/>
      <c r="RQT187" s="1237"/>
      <c r="RQU187" s="1237"/>
      <c r="RQV187" s="1237"/>
      <c r="RQW187" s="1237"/>
      <c r="RQX187" s="1237"/>
      <c r="RQY187" s="1237"/>
      <c r="RQZ187" s="1237"/>
      <c r="RRA187" s="1237"/>
      <c r="RRB187" s="1237"/>
      <c r="RRC187" s="1237"/>
      <c r="RRD187" s="1237"/>
      <c r="RRE187" s="1237"/>
      <c r="RRF187" s="1237"/>
      <c r="RRG187" s="1237"/>
      <c r="RRH187" s="1237"/>
      <c r="RRI187" s="1237"/>
      <c r="RRJ187" s="1237"/>
      <c r="RRK187" s="1237"/>
      <c r="RRL187" s="1237"/>
      <c r="RRM187" s="1237"/>
      <c r="RRN187" s="1237"/>
      <c r="RRO187" s="1237"/>
      <c r="RRP187" s="1237"/>
      <c r="RRQ187" s="1237"/>
      <c r="RRR187" s="1237"/>
      <c r="RRS187" s="1237"/>
      <c r="RRT187" s="1237"/>
      <c r="RRU187" s="1237"/>
      <c r="RRV187" s="1237"/>
      <c r="RRW187" s="1237"/>
      <c r="RRX187" s="1237"/>
      <c r="RRY187" s="1237"/>
      <c r="RRZ187" s="1237"/>
      <c r="RSA187" s="1237"/>
      <c r="RSB187" s="1237"/>
      <c r="RSC187" s="1237"/>
      <c r="RSD187" s="1237"/>
      <c r="RSE187" s="1237"/>
      <c r="RSF187" s="1237"/>
      <c r="RSG187" s="1237"/>
      <c r="RSH187" s="1237"/>
      <c r="RSI187" s="1237"/>
      <c r="RSJ187" s="1237"/>
      <c r="RSK187" s="1237"/>
      <c r="RSL187" s="1237"/>
      <c r="RSM187" s="1237"/>
      <c r="RSN187" s="1237"/>
      <c r="RSO187" s="1237"/>
      <c r="RSP187" s="1237"/>
      <c r="RSQ187" s="1237"/>
      <c r="RSR187" s="1237"/>
      <c r="RSS187" s="1237"/>
      <c r="RST187" s="1237"/>
      <c r="RSU187" s="1237"/>
      <c r="RSV187" s="1237"/>
      <c r="RSW187" s="1237"/>
      <c r="RSX187" s="1237"/>
      <c r="RSY187" s="1237"/>
      <c r="RSZ187" s="1237"/>
      <c r="RTA187" s="1237"/>
      <c r="RTB187" s="1237"/>
      <c r="RTC187" s="1237"/>
      <c r="RTD187" s="1237"/>
      <c r="RTE187" s="1237"/>
      <c r="RTF187" s="1237"/>
      <c r="RTG187" s="1237"/>
      <c r="RTH187" s="1237"/>
      <c r="RTI187" s="1237"/>
      <c r="RTJ187" s="1237"/>
      <c r="RTK187" s="1237"/>
      <c r="RTL187" s="1237"/>
      <c r="RTM187" s="1237"/>
      <c r="RTN187" s="1237"/>
      <c r="RTO187" s="1237"/>
      <c r="RTP187" s="1237"/>
      <c r="RTQ187" s="1237"/>
      <c r="RTR187" s="1237"/>
      <c r="RTS187" s="1237"/>
      <c r="RTT187" s="1237"/>
      <c r="RTU187" s="1237"/>
      <c r="RTV187" s="1237"/>
      <c r="RTW187" s="1237"/>
      <c r="RTX187" s="1237"/>
      <c r="RTY187" s="1237"/>
      <c r="RTZ187" s="1237"/>
      <c r="RUA187" s="1237"/>
      <c r="RUB187" s="1237"/>
      <c r="RUC187" s="1237"/>
      <c r="RUD187" s="1237"/>
      <c r="RUE187" s="1237"/>
      <c r="RUF187" s="1237"/>
      <c r="RUG187" s="1237"/>
      <c r="RUH187" s="1237"/>
      <c r="RUI187" s="1237"/>
      <c r="RUJ187" s="1237"/>
      <c r="RUK187" s="1237"/>
      <c r="RUL187" s="1237"/>
      <c r="RUM187" s="1237"/>
      <c r="RUN187" s="1237"/>
      <c r="RUO187" s="1237"/>
      <c r="RUP187" s="1237"/>
      <c r="RUQ187" s="1237"/>
      <c r="RUR187" s="1237"/>
      <c r="RUS187" s="1237"/>
      <c r="RUT187" s="1237"/>
      <c r="RUU187" s="1237"/>
      <c r="RUV187" s="1237"/>
      <c r="RUW187" s="1237"/>
      <c r="RUX187" s="1237"/>
      <c r="RUY187" s="1237"/>
      <c r="RUZ187" s="1237"/>
      <c r="RVA187" s="1237"/>
      <c r="RVB187" s="1237"/>
      <c r="RVC187" s="1237"/>
      <c r="RVD187" s="1237"/>
      <c r="RVE187" s="1237"/>
      <c r="RVF187" s="1237"/>
      <c r="RVG187" s="1237"/>
      <c r="RVH187" s="1237"/>
      <c r="RVI187" s="1237"/>
      <c r="RVJ187" s="1237"/>
      <c r="RVK187" s="1237"/>
      <c r="RVL187" s="1237"/>
      <c r="RVM187" s="1237"/>
      <c r="RVN187" s="1237"/>
      <c r="RVO187" s="1237"/>
      <c r="RVP187" s="1237"/>
      <c r="RVQ187" s="1237"/>
      <c r="RVR187" s="1237"/>
      <c r="RVS187" s="1237"/>
      <c r="RVT187" s="1237"/>
      <c r="RVU187" s="1237"/>
      <c r="RVV187" s="1237"/>
      <c r="RVW187" s="1237"/>
      <c r="RVX187" s="1237"/>
      <c r="RVY187" s="1237"/>
      <c r="RVZ187" s="1237"/>
      <c r="RWA187" s="1237"/>
      <c r="RWB187" s="1237"/>
      <c r="RWC187" s="1237"/>
      <c r="RWD187" s="1237"/>
      <c r="RWE187" s="1237"/>
      <c r="RWF187" s="1237"/>
      <c r="RWG187" s="1237"/>
      <c r="RWH187" s="1237"/>
      <c r="RWI187" s="1237"/>
      <c r="RWJ187" s="1237"/>
      <c r="RWK187" s="1237"/>
      <c r="RWL187" s="1237"/>
      <c r="RWM187" s="1237"/>
      <c r="RWN187" s="1237"/>
      <c r="RWO187" s="1237"/>
      <c r="RWP187" s="1237"/>
      <c r="RWQ187" s="1237"/>
      <c r="RWR187" s="1237"/>
      <c r="RWS187" s="1237"/>
      <c r="RWT187" s="1237"/>
      <c r="RWU187" s="1237"/>
      <c r="RWV187" s="1237"/>
      <c r="RWW187" s="1237"/>
      <c r="RWX187" s="1237"/>
      <c r="RWY187" s="1237"/>
      <c r="RWZ187" s="1237"/>
      <c r="RXA187" s="1237"/>
      <c r="RXB187" s="1237"/>
      <c r="RXC187" s="1237"/>
      <c r="RXD187" s="1237"/>
      <c r="RXE187" s="1237"/>
      <c r="RXF187" s="1237"/>
      <c r="RXG187" s="1237"/>
      <c r="RXH187" s="1237"/>
      <c r="RXI187" s="1237"/>
      <c r="RXJ187" s="1237"/>
      <c r="RXK187" s="1237"/>
      <c r="RXL187" s="1237"/>
      <c r="RXM187" s="1237"/>
      <c r="RXN187" s="1237"/>
      <c r="RXO187" s="1237"/>
      <c r="RXP187" s="1237"/>
      <c r="RXQ187" s="1237"/>
      <c r="RXR187" s="1237"/>
      <c r="RXS187" s="1237"/>
      <c r="RXT187" s="1237"/>
      <c r="RXU187" s="1237"/>
      <c r="RXV187" s="1237"/>
      <c r="RXW187" s="1237"/>
      <c r="RXX187" s="1237"/>
      <c r="RXY187" s="1237"/>
      <c r="RXZ187" s="1237"/>
      <c r="RYA187" s="1237"/>
      <c r="RYB187" s="1237"/>
      <c r="RYC187" s="1237"/>
      <c r="RYD187" s="1237"/>
      <c r="RYE187" s="1237"/>
      <c r="RYF187" s="1237"/>
      <c r="RYG187" s="1237"/>
      <c r="RYH187" s="1237"/>
      <c r="RYI187" s="1237"/>
      <c r="RYJ187" s="1237"/>
      <c r="RYK187" s="1237"/>
      <c r="RYL187" s="1237"/>
      <c r="RYM187" s="1237"/>
      <c r="RYN187" s="1237"/>
      <c r="RYO187" s="1237"/>
      <c r="RYP187" s="1237"/>
      <c r="RYQ187" s="1237"/>
      <c r="RYR187" s="1237"/>
      <c r="RYS187" s="1237"/>
      <c r="RYT187" s="1237"/>
      <c r="RYU187" s="1237"/>
      <c r="RYV187" s="1237"/>
      <c r="RYW187" s="1237"/>
      <c r="RYX187" s="1237"/>
      <c r="RYY187" s="1237"/>
      <c r="RYZ187" s="1237"/>
      <c r="RZA187" s="1237"/>
      <c r="RZB187" s="1237"/>
      <c r="RZC187" s="1237"/>
      <c r="RZD187" s="1237"/>
      <c r="RZE187" s="1237"/>
      <c r="RZF187" s="1237"/>
      <c r="RZG187" s="1237"/>
      <c r="RZH187" s="1237"/>
      <c r="RZI187" s="1237"/>
      <c r="RZJ187" s="1237"/>
      <c r="RZK187" s="1237"/>
      <c r="RZL187" s="1237"/>
      <c r="RZM187" s="1237"/>
      <c r="RZN187" s="1237"/>
      <c r="RZO187" s="1237"/>
      <c r="RZP187" s="1237"/>
      <c r="RZQ187" s="1237"/>
      <c r="RZR187" s="1237"/>
      <c r="RZS187" s="1237"/>
      <c r="RZT187" s="1237"/>
      <c r="RZU187" s="1237"/>
      <c r="RZV187" s="1237"/>
      <c r="RZW187" s="1237"/>
      <c r="RZX187" s="1237"/>
      <c r="RZY187" s="1237"/>
      <c r="RZZ187" s="1237"/>
      <c r="SAA187" s="1237"/>
      <c r="SAB187" s="1237"/>
      <c r="SAC187" s="1237"/>
      <c r="SAD187" s="1237"/>
      <c r="SAE187" s="1237"/>
      <c r="SAF187" s="1237"/>
      <c r="SAG187" s="1237"/>
      <c r="SAH187" s="1237"/>
      <c r="SAI187" s="1237"/>
      <c r="SAJ187" s="1237"/>
      <c r="SAK187" s="1237"/>
      <c r="SAL187" s="1237"/>
      <c r="SAM187" s="1237"/>
      <c r="SAN187" s="1237"/>
      <c r="SAO187" s="1237"/>
      <c r="SAP187" s="1237"/>
      <c r="SAQ187" s="1237"/>
      <c r="SAR187" s="1237"/>
      <c r="SAS187" s="1237"/>
      <c r="SAT187" s="1237"/>
      <c r="SAU187" s="1237"/>
      <c r="SAV187" s="1237"/>
      <c r="SAW187" s="1237"/>
      <c r="SAX187" s="1237"/>
      <c r="SAY187" s="1237"/>
      <c r="SAZ187" s="1237"/>
      <c r="SBA187" s="1237"/>
      <c r="SBB187" s="1237"/>
      <c r="SBC187" s="1237"/>
      <c r="SBD187" s="1237"/>
      <c r="SBE187" s="1237"/>
      <c r="SBF187" s="1237"/>
      <c r="SBG187" s="1237"/>
      <c r="SBH187" s="1237"/>
      <c r="SBI187" s="1237"/>
      <c r="SBJ187" s="1237"/>
      <c r="SBK187" s="1237"/>
      <c r="SBL187" s="1237"/>
      <c r="SBM187" s="1237"/>
      <c r="SBN187" s="1237"/>
      <c r="SBO187" s="1237"/>
      <c r="SBP187" s="1237"/>
      <c r="SBQ187" s="1237"/>
      <c r="SBR187" s="1237"/>
      <c r="SBS187" s="1237"/>
      <c r="SBT187" s="1237"/>
      <c r="SBU187" s="1237"/>
      <c r="SBV187" s="1237"/>
      <c r="SBW187" s="1237"/>
      <c r="SBX187" s="1237"/>
      <c r="SBY187" s="1237"/>
      <c r="SBZ187" s="1237"/>
      <c r="SCA187" s="1237"/>
      <c r="SCB187" s="1237"/>
      <c r="SCC187" s="1237"/>
      <c r="SCD187" s="1237"/>
      <c r="SCE187" s="1237"/>
      <c r="SCF187" s="1237"/>
      <c r="SCG187" s="1237"/>
      <c r="SCH187" s="1237"/>
      <c r="SCI187" s="1237"/>
      <c r="SCJ187" s="1237"/>
      <c r="SCK187" s="1237"/>
      <c r="SCL187" s="1237"/>
      <c r="SCM187" s="1237"/>
      <c r="SCN187" s="1237"/>
      <c r="SCO187" s="1237"/>
      <c r="SCP187" s="1237"/>
      <c r="SCQ187" s="1237"/>
      <c r="SCR187" s="1237"/>
      <c r="SCS187" s="1237"/>
      <c r="SCT187" s="1237"/>
      <c r="SCU187" s="1237"/>
      <c r="SCV187" s="1237"/>
      <c r="SCW187" s="1237"/>
      <c r="SCX187" s="1237"/>
      <c r="SCY187" s="1237"/>
      <c r="SCZ187" s="1237"/>
      <c r="SDA187" s="1237"/>
      <c r="SDB187" s="1237"/>
      <c r="SDC187" s="1237"/>
      <c r="SDD187" s="1237"/>
      <c r="SDE187" s="1237"/>
      <c r="SDF187" s="1237"/>
      <c r="SDG187" s="1237"/>
      <c r="SDH187" s="1237"/>
      <c r="SDI187" s="1237"/>
      <c r="SDJ187" s="1237"/>
      <c r="SDK187" s="1237"/>
      <c r="SDL187" s="1237"/>
      <c r="SDM187" s="1237"/>
      <c r="SDN187" s="1237"/>
      <c r="SDO187" s="1237"/>
      <c r="SDP187" s="1237"/>
      <c r="SDQ187" s="1237"/>
      <c r="SDR187" s="1237"/>
      <c r="SDS187" s="1237"/>
      <c r="SDT187" s="1237"/>
      <c r="SDU187" s="1237"/>
      <c r="SDV187" s="1237"/>
      <c r="SDW187" s="1237"/>
      <c r="SDX187" s="1237"/>
      <c r="SDY187" s="1237"/>
      <c r="SDZ187" s="1237"/>
      <c r="SEA187" s="1237"/>
      <c r="SEB187" s="1237"/>
      <c r="SEC187" s="1237"/>
      <c r="SED187" s="1237"/>
      <c r="SEE187" s="1237"/>
      <c r="SEF187" s="1237"/>
      <c r="SEG187" s="1237"/>
      <c r="SEH187" s="1237"/>
      <c r="SEI187" s="1237"/>
      <c r="SEJ187" s="1237"/>
      <c r="SEK187" s="1237"/>
      <c r="SEL187" s="1237"/>
      <c r="SEM187" s="1237"/>
      <c r="SEN187" s="1237"/>
      <c r="SEO187" s="1237"/>
      <c r="SEP187" s="1237"/>
      <c r="SEQ187" s="1237"/>
      <c r="SER187" s="1237"/>
      <c r="SES187" s="1237"/>
      <c r="SET187" s="1237"/>
      <c r="SEU187" s="1237"/>
      <c r="SEV187" s="1237"/>
      <c r="SEW187" s="1237"/>
      <c r="SEX187" s="1237"/>
      <c r="SEY187" s="1237"/>
      <c r="SEZ187" s="1237"/>
      <c r="SFA187" s="1237"/>
      <c r="SFB187" s="1237"/>
      <c r="SFC187" s="1237"/>
      <c r="SFD187" s="1237"/>
      <c r="SFE187" s="1237"/>
      <c r="SFF187" s="1237"/>
      <c r="SFG187" s="1237"/>
      <c r="SFH187" s="1237"/>
      <c r="SFI187" s="1237"/>
      <c r="SFJ187" s="1237"/>
      <c r="SFK187" s="1237"/>
      <c r="SFL187" s="1237"/>
      <c r="SFM187" s="1237"/>
      <c r="SFN187" s="1237"/>
      <c r="SFO187" s="1237"/>
      <c r="SFP187" s="1237"/>
      <c r="SFQ187" s="1237"/>
      <c r="SFR187" s="1237"/>
      <c r="SFS187" s="1237"/>
      <c r="SFT187" s="1237"/>
      <c r="SFU187" s="1237"/>
      <c r="SFV187" s="1237"/>
      <c r="SFW187" s="1237"/>
      <c r="SFX187" s="1237"/>
      <c r="SFY187" s="1237"/>
      <c r="SFZ187" s="1237"/>
      <c r="SGA187" s="1237"/>
      <c r="SGB187" s="1237"/>
      <c r="SGC187" s="1237"/>
      <c r="SGD187" s="1237"/>
      <c r="SGE187" s="1237"/>
      <c r="SGF187" s="1237"/>
      <c r="SGG187" s="1237"/>
      <c r="SGH187" s="1237"/>
      <c r="SGI187" s="1237"/>
      <c r="SGJ187" s="1237"/>
      <c r="SGK187" s="1237"/>
      <c r="SGL187" s="1237"/>
      <c r="SGM187" s="1237"/>
      <c r="SGN187" s="1237"/>
      <c r="SGO187" s="1237"/>
      <c r="SGP187" s="1237"/>
      <c r="SGQ187" s="1237"/>
      <c r="SGR187" s="1237"/>
      <c r="SGS187" s="1237"/>
      <c r="SGT187" s="1237"/>
      <c r="SGU187" s="1237"/>
      <c r="SGV187" s="1237"/>
      <c r="SGW187" s="1237"/>
      <c r="SGX187" s="1237"/>
      <c r="SGY187" s="1237"/>
      <c r="SGZ187" s="1237"/>
      <c r="SHA187" s="1237"/>
      <c r="SHB187" s="1237"/>
      <c r="SHC187" s="1237"/>
      <c r="SHD187" s="1237"/>
      <c r="SHE187" s="1237"/>
      <c r="SHF187" s="1237"/>
      <c r="SHG187" s="1237"/>
      <c r="SHH187" s="1237"/>
      <c r="SHI187" s="1237"/>
      <c r="SHJ187" s="1237"/>
      <c r="SHK187" s="1237"/>
      <c r="SHL187" s="1237"/>
      <c r="SHM187" s="1237"/>
      <c r="SHN187" s="1237"/>
      <c r="SHO187" s="1237"/>
      <c r="SHP187" s="1237"/>
      <c r="SHQ187" s="1237"/>
      <c r="SHR187" s="1237"/>
      <c r="SHS187" s="1237"/>
      <c r="SHT187" s="1237"/>
      <c r="SHU187" s="1237"/>
      <c r="SHV187" s="1237"/>
      <c r="SHW187" s="1237"/>
      <c r="SHX187" s="1237"/>
      <c r="SHY187" s="1237"/>
      <c r="SHZ187" s="1237"/>
      <c r="SIA187" s="1237"/>
      <c r="SIB187" s="1237"/>
      <c r="SIC187" s="1237"/>
      <c r="SID187" s="1237"/>
      <c r="SIE187" s="1237"/>
      <c r="SIF187" s="1237"/>
      <c r="SIG187" s="1237"/>
      <c r="SIH187" s="1237"/>
      <c r="SII187" s="1237"/>
      <c r="SIJ187" s="1237"/>
      <c r="SIK187" s="1237"/>
      <c r="SIL187" s="1237"/>
      <c r="SIM187" s="1237"/>
      <c r="SIN187" s="1237"/>
      <c r="SIO187" s="1237"/>
      <c r="SIP187" s="1237"/>
      <c r="SIQ187" s="1237"/>
      <c r="SIR187" s="1237"/>
      <c r="SIS187" s="1237"/>
      <c r="SIT187" s="1237"/>
      <c r="SIU187" s="1237"/>
      <c r="SIV187" s="1237"/>
      <c r="SIW187" s="1237"/>
      <c r="SIX187" s="1237"/>
      <c r="SIY187" s="1237"/>
      <c r="SIZ187" s="1237"/>
      <c r="SJA187" s="1237"/>
      <c r="SJB187" s="1237"/>
      <c r="SJC187" s="1237"/>
      <c r="SJD187" s="1237"/>
      <c r="SJE187" s="1237"/>
      <c r="SJF187" s="1237"/>
      <c r="SJG187" s="1237"/>
      <c r="SJH187" s="1237"/>
      <c r="SJI187" s="1237"/>
      <c r="SJJ187" s="1237"/>
      <c r="SJK187" s="1237"/>
      <c r="SJL187" s="1237"/>
      <c r="SJM187" s="1237"/>
      <c r="SJN187" s="1237"/>
      <c r="SJO187" s="1237"/>
      <c r="SJP187" s="1237"/>
      <c r="SJQ187" s="1237"/>
      <c r="SJR187" s="1237"/>
      <c r="SJS187" s="1237"/>
      <c r="SJT187" s="1237"/>
      <c r="SJU187" s="1237"/>
      <c r="SJV187" s="1237"/>
      <c r="SJW187" s="1237"/>
      <c r="SJX187" s="1237"/>
      <c r="SJY187" s="1237"/>
      <c r="SJZ187" s="1237"/>
      <c r="SKA187" s="1237"/>
      <c r="SKB187" s="1237"/>
      <c r="SKC187" s="1237"/>
      <c r="SKD187" s="1237"/>
      <c r="SKE187" s="1237"/>
      <c r="SKF187" s="1237"/>
      <c r="SKG187" s="1237"/>
      <c r="SKH187" s="1237"/>
      <c r="SKI187" s="1237"/>
      <c r="SKJ187" s="1237"/>
      <c r="SKK187" s="1237"/>
      <c r="SKL187" s="1237"/>
      <c r="SKM187" s="1237"/>
      <c r="SKN187" s="1237"/>
      <c r="SKO187" s="1237"/>
      <c r="SKP187" s="1237"/>
      <c r="SKQ187" s="1237"/>
      <c r="SKR187" s="1237"/>
      <c r="SKS187" s="1237"/>
      <c r="SKT187" s="1237"/>
      <c r="SKU187" s="1237"/>
      <c r="SKV187" s="1237"/>
      <c r="SKW187" s="1237"/>
      <c r="SKX187" s="1237"/>
      <c r="SKY187" s="1237"/>
      <c r="SKZ187" s="1237"/>
      <c r="SLA187" s="1237"/>
      <c r="SLB187" s="1237"/>
      <c r="SLC187" s="1237"/>
      <c r="SLD187" s="1237"/>
      <c r="SLE187" s="1237"/>
      <c r="SLF187" s="1237"/>
      <c r="SLG187" s="1237"/>
      <c r="SLH187" s="1237"/>
      <c r="SLI187" s="1237"/>
      <c r="SLJ187" s="1237"/>
      <c r="SLK187" s="1237"/>
      <c r="SLL187" s="1237"/>
      <c r="SLM187" s="1237"/>
      <c r="SLN187" s="1237"/>
      <c r="SLO187" s="1237"/>
      <c r="SLP187" s="1237"/>
      <c r="SLQ187" s="1237"/>
      <c r="SLR187" s="1237"/>
      <c r="SLS187" s="1237"/>
      <c r="SLT187" s="1237"/>
      <c r="SLU187" s="1237"/>
      <c r="SLV187" s="1237"/>
      <c r="SLW187" s="1237"/>
      <c r="SLX187" s="1237"/>
      <c r="SLY187" s="1237"/>
      <c r="SLZ187" s="1237"/>
      <c r="SMA187" s="1237"/>
      <c r="SMB187" s="1237"/>
      <c r="SMC187" s="1237"/>
      <c r="SMD187" s="1237"/>
      <c r="SME187" s="1237"/>
      <c r="SMF187" s="1237"/>
      <c r="SMG187" s="1237"/>
      <c r="SMH187" s="1237"/>
      <c r="SMI187" s="1237"/>
      <c r="SMJ187" s="1237"/>
      <c r="SMK187" s="1237"/>
      <c r="SML187" s="1237"/>
      <c r="SMM187" s="1237"/>
      <c r="SMN187" s="1237"/>
      <c r="SMO187" s="1237"/>
      <c r="SMP187" s="1237"/>
      <c r="SMQ187" s="1237"/>
      <c r="SMR187" s="1237"/>
      <c r="SMS187" s="1237"/>
      <c r="SMT187" s="1237"/>
      <c r="SMU187" s="1237"/>
      <c r="SMV187" s="1237"/>
      <c r="SMW187" s="1237"/>
      <c r="SMX187" s="1237"/>
      <c r="SMY187" s="1237"/>
      <c r="SMZ187" s="1237"/>
      <c r="SNA187" s="1237"/>
      <c r="SNB187" s="1237"/>
      <c r="SNC187" s="1237"/>
      <c r="SND187" s="1237"/>
      <c r="SNE187" s="1237"/>
      <c r="SNF187" s="1237"/>
      <c r="SNG187" s="1237"/>
      <c r="SNH187" s="1237"/>
      <c r="SNI187" s="1237"/>
      <c r="SNJ187" s="1237"/>
      <c r="SNK187" s="1237"/>
      <c r="SNL187" s="1237"/>
      <c r="SNM187" s="1237"/>
      <c r="SNN187" s="1237"/>
      <c r="SNO187" s="1237"/>
      <c r="SNP187" s="1237"/>
      <c r="SNQ187" s="1237"/>
      <c r="SNR187" s="1237"/>
      <c r="SNS187" s="1237"/>
      <c r="SNT187" s="1237"/>
      <c r="SNU187" s="1237"/>
      <c r="SNV187" s="1237"/>
      <c r="SNW187" s="1237"/>
      <c r="SNX187" s="1237"/>
      <c r="SNY187" s="1237"/>
      <c r="SNZ187" s="1237"/>
      <c r="SOA187" s="1237"/>
      <c r="SOB187" s="1237"/>
      <c r="SOC187" s="1237"/>
      <c r="SOD187" s="1237"/>
      <c r="SOE187" s="1237"/>
      <c r="SOF187" s="1237"/>
      <c r="SOG187" s="1237"/>
      <c r="SOH187" s="1237"/>
      <c r="SOI187" s="1237"/>
      <c r="SOJ187" s="1237"/>
      <c r="SOK187" s="1237"/>
      <c r="SOL187" s="1237"/>
      <c r="SOM187" s="1237"/>
      <c r="SON187" s="1237"/>
      <c r="SOO187" s="1237"/>
      <c r="SOP187" s="1237"/>
      <c r="SOQ187" s="1237"/>
      <c r="SOR187" s="1237"/>
      <c r="SOS187" s="1237"/>
      <c r="SOT187" s="1237"/>
      <c r="SOU187" s="1237"/>
      <c r="SOV187" s="1237"/>
      <c r="SOW187" s="1237"/>
      <c r="SOX187" s="1237"/>
      <c r="SOY187" s="1237"/>
      <c r="SOZ187" s="1237"/>
      <c r="SPA187" s="1237"/>
      <c r="SPB187" s="1237"/>
      <c r="SPC187" s="1237"/>
      <c r="SPD187" s="1237"/>
      <c r="SPE187" s="1237"/>
      <c r="SPF187" s="1237"/>
      <c r="SPG187" s="1237"/>
      <c r="SPH187" s="1237"/>
      <c r="SPI187" s="1237"/>
      <c r="SPJ187" s="1237"/>
      <c r="SPK187" s="1237"/>
      <c r="SPL187" s="1237"/>
      <c r="SPM187" s="1237"/>
      <c r="SPN187" s="1237"/>
      <c r="SPO187" s="1237"/>
      <c r="SPP187" s="1237"/>
      <c r="SPQ187" s="1237"/>
      <c r="SPR187" s="1237"/>
      <c r="SPS187" s="1237"/>
      <c r="SPT187" s="1237"/>
      <c r="SPU187" s="1237"/>
      <c r="SPV187" s="1237"/>
      <c r="SPW187" s="1237"/>
      <c r="SPX187" s="1237"/>
      <c r="SPY187" s="1237"/>
      <c r="SPZ187" s="1237"/>
      <c r="SQA187" s="1237"/>
      <c r="SQB187" s="1237"/>
      <c r="SQC187" s="1237"/>
      <c r="SQD187" s="1237"/>
      <c r="SQE187" s="1237"/>
      <c r="SQF187" s="1237"/>
      <c r="SQG187" s="1237"/>
      <c r="SQH187" s="1237"/>
      <c r="SQI187" s="1237"/>
      <c r="SQJ187" s="1237"/>
      <c r="SQK187" s="1237"/>
      <c r="SQL187" s="1237"/>
      <c r="SQM187" s="1237"/>
      <c r="SQN187" s="1237"/>
      <c r="SQO187" s="1237"/>
      <c r="SQP187" s="1237"/>
      <c r="SQQ187" s="1237"/>
      <c r="SQR187" s="1237"/>
      <c r="SQS187" s="1237"/>
      <c r="SQT187" s="1237"/>
      <c r="SQU187" s="1237"/>
      <c r="SQV187" s="1237"/>
      <c r="SQW187" s="1237"/>
      <c r="SQX187" s="1237"/>
      <c r="SQY187" s="1237"/>
      <c r="SQZ187" s="1237"/>
      <c r="SRA187" s="1237"/>
      <c r="SRB187" s="1237"/>
      <c r="SRC187" s="1237"/>
      <c r="SRD187" s="1237"/>
      <c r="SRE187" s="1237"/>
      <c r="SRF187" s="1237"/>
      <c r="SRG187" s="1237"/>
      <c r="SRH187" s="1237"/>
      <c r="SRI187" s="1237"/>
      <c r="SRJ187" s="1237"/>
      <c r="SRK187" s="1237"/>
      <c r="SRL187" s="1237"/>
      <c r="SRM187" s="1237"/>
      <c r="SRN187" s="1237"/>
      <c r="SRO187" s="1237"/>
      <c r="SRP187" s="1237"/>
      <c r="SRQ187" s="1237"/>
      <c r="SRR187" s="1237"/>
      <c r="SRS187" s="1237"/>
      <c r="SRT187" s="1237"/>
      <c r="SRU187" s="1237"/>
      <c r="SRV187" s="1237"/>
      <c r="SRW187" s="1237"/>
      <c r="SRX187" s="1237"/>
      <c r="SRY187" s="1237"/>
      <c r="SRZ187" s="1237"/>
      <c r="SSA187" s="1237"/>
      <c r="SSB187" s="1237"/>
      <c r="SSC187" s="1237"/>
      <c r="SSD187" s="1237"/>
      <c r="SSE187" s="1237"/>
      <c r="SSF187" s="1237"/>
      <c r="SSG187" s="1237"/>
      <c r="SSH187" s="1237"/>
      <c r="SSI187" s="1237"/>
      <c r="SSJ187" s="1237"/>
      <c r="SSK187" s="1237"/>
      <c r="SSL187" s="1237"/>
      <c r="SSM187" s="1237"/>
      <c r="SSN187" s="1237"/>
      <c r="SSO187" s="1237"/>
      <c r="SSP187" s="1237"/>
      <c r="SSQ187" s="1237"/>
      <c r="SSR187" s="1237"/>
      <c r="SSS187" s="1237"/>
      <c r="SST187" s="1237"/>
      <c r="SSU187" s="1237"/>
      <c r="SSV187" s="1237"/>
      <c r="SSW187" s="1237"/>
      <c r="SSX187" s="1237"/>
      <c r="SSY187" s="1237"/>
      <c r="SSZ187" s="1237"/>
      <c r="STA187" s="1237"/>
      <c r="STB187" s="1237"/>
      <c r="STC187" s="1237"/>
      <c r="STD187" s="1237"/>
      <c r="STE187" s="1237"/>
      <c r="STF187" s="1237"/>
      <c r="STG187" s="1237"/>
      <c r="STH187" s="1237"/>
      <c r="STI187" s="1237"/>
      <c r="STJ187" s="1237"/>
      <c r="STK187" s="1237"/>
      <c r="STL187" s="1237"/>
      <c r="STM187" s="1237"/>
      <c r="STN187" s="1237"/>
      <c r="STO187" s="1237"/>
      <c r="STP187" s="1237"/>
      <c r="STQ187" s="1237"/>
      <c r="STR187" s="1237"/>
      <c r="STS187" s="1237"/>
      <c r="STT187" s="1237"/>
      <c r="STU187" s="1237"/>
      <c r="STV187" s="1237"/>
      <c r="STW187" s="1237"/>
      <c r="STX187" s="1237"/>
      <c r="STY187" s="1237"/>
      <c r="STZ187" s="1237"/>
      <c r="SUA187" s="1237"/>
      <c r="SUB187" s="1237"/>
      <c r="SUC187" s="1237"/>
      <c r="SUD187" s="1237"/>
      <c r="SUE187" s="1237"/>
      <c r="SUF187" s="1237"/>
      <c r="SUG187" s="1237"/>
      <c r="SUH187" s="1237"/>
      <c r="SUI187" s="1237"/>
      <c r="SUJ187" s="1237"/>
      <c r="SUK187" s="1237"/>
      <c r="SUL187" s="1237"/>
      <c r="SUM187" s="1237"/>
      <c r="SUN187" s="1237"/>
      <c r="SUO187" s="1237"/>
      <c r="SUP187" s="1237"/>
      <c r="SUQ187" s="1237"/>
      <c r="SUR187" s="1237"/>
      <c r="SUS187" s="1237"/>
      <c r="SUT187" s="1237"/>
      <c r="SUU187" s="1237"/>
      <c r="SUV187" s="1237"/>
      <c r="SUW187" s="1237"/>
      <c r="SUX187" s="1237"/>
      <c r="SUY187" s="1237"/>
      <c r="SUZ187" s="1237"/>
      <c r="SVA187" s="1237"/>
      <c r="SVB187" s="1237"/>
      <c r="SVC187" s="1237"/>
      <c r="SVD187" s="1237"/>
      <c r="SVE187" s="1237"/>
      <c r="SVF187" s="1237"/>
      <c r="SVG187" s="1237"/>
      <c r="SVH187" s="1237"/>
      <c r="SVI187" s="1237"/>
      <c r="SVJ187" s="1237"/>
      <c r="SVK187" s="1237"/>
      <c r="SVL187" s="1237"/>
      <c r="SVM187" s="1237"/>
      <c r="SVN187" s="1237"/>
      <c r="SVO187" s="1237"/>
      <c r="SVP187" s="1237"/>
      <c r="SVQ187" s="1237"/>
      <c r="SVR187" s="1237"/>
      <c r="SVS187" s="1237"/>
      <c r="SVT187" s="1237"/>
      <c r="SVU187" s="1237"/>
      <c r="SVV187" s="1237"/>
      <c r="SVW187" s="1237"/>
      <c r="SVX187" s="1237"/>
      <c r="SVY187" s="1237"/>
      <c r="SVZ187" s="1237"/>
      <c r="SWA187" s="1237"/>
      <c r="SWB187" s="1237"/>
      <c r="SWC187" s="1237"/>
      <c r="SWD187" s="1237"/>
      <c r="SWE187" s="1237"/>
      <c r="SWF187" s="1237"/>
      <c r="SWG187" s="1237"/>
      <c r="SWH187" s="1237"/>
      <c r="SWI187" s="1237"/>
      <c r="SWJ187" s="1237"/>
      <c r="SWK187" s="1237"/>
      <c r="SWL187" s="1237"/>
      <c r="SWM187" s="1237"/>
      <c r="SWN187" s="1237"/>
      <c r="SWO187" s="1237"/>
      <c r="SWP187" s="1237"/>
      <c r="SWQ187" s="1237"/>
      <c r="SWR187" s="1237"/>
      <c r="SWS187" s="1237"/>
      <c r="SWT187" s="1237"/>
      <c r="SWU187" s="1237"/>
      <c r="SWV187" s="1237"/>
      <c r="SWW187" s="1237"/>
      <c r="SWX187" s="1237"/>
      <c r="SWY187" s="1237"/>
      <c r="SWZ187" s="1237"/>
      <c r="SXA187" s="1237"/>
      <c r="SXB187" s="1237"/>
      <c r="SXC187" s="1237"/>
      <c r="SXD187" s="1237"/>
      <c r="SXE187" s="1237"/>
      <c r="SXF187" s="1237"/>
      <c r="SXG187" s="1237"/>
      <c r="SXH187" s="1237"/>
      <c r="SXI187" s="1237"/>
      <c r="SXJ187" s="1237"/>
      <c r="SXK187" s="1237"/>
      <c r="SXL187" s="1237"/>
      <c r="SXM187" s="1237"/>
      <c r="SXN187" s="1237"/>
      <c r="SXO187" s="1237"/>
      <c r="SXP187" s="1237"/>
      <c r="SXQ187" s="1237"/>
      <c r="SXR187" s="1237"/>
      <c r="SXS187" s="1237"/>
      <c r="SXT187" s="1237"/>
      <c r="SXU187" s="1237"/>
      <c r="SXV187" s="1237"/>
      <c r="SXW187" s="1237"/>
      <c r="SXX187" s="1237"/>
      <c r="SXY187" s="1237"/>
      <c r="SXZ187" s="1237"/>
      <c r="SYA187" s="1237"/>
      <c r="SYB187" s="1237"/>
      <c r="SYC187" s="1237"/>
      <c r="SYD187" s="1237"/>
      <c r="SYE187" s="1237"/>
      <c r="SYF187" s="1237"/>
      <c r="SYG187" s="1237"/>
      <c r="SYH187" s="1237"/>
      <c r="SYI187" s="1237"/>
      <c r="SYJ187" s="1237"/>
      <c r="SYK187" s="1237"/>
      <c r="SYL187" s="1237"/>
      <c r="SYM187" s="1237"/>
      <c r="SYN187" s="1237"/>
      <c r="SYO187" s="1237"/>
      <c r="SYP187" s="1237"/>
      <c r="SYQ187" s="1237"/>
      <c r="SYR187" s="1237"/>
      <c r="SYS187" s="1237"/>
      <c r="SYT187" s="1237"/>
      <c r="SYU187" s="1237"/>
      <c r="SYV187" s="1237"/>
      <c r="SYW187" s="1237"/>
      <c r="SYX187" s="1237"/>
      <c r="SYY187" s="1237"/>
      <c r="SYZ187" s="1237"/>
      <c r="SZA187" s="1237"/>
      <c r="SZB187" s="1237"/>
      <c r="SZC187" s="1237"/>
      <c r="SZD187" s="1237"/>
      <c r="SZE187" s="1237"/>
      <c r="SZF187" s="1237"/>
      <c r="SZG187" s="1237"/>
      <c r="SZH187" s="1237"/>
      <c r="SZI187" s="1237"/>
      <c r="SZJ187" s="1237"/>
      <c r="SZK187" s="1237"/>
      <c r="SZL187" s="1237"/>
      <c r="SZM187" s="1237"/>
      <c r="SZN187" s="1237"/>
      <c r="SZO187" s="1237"/>
      <c r="SZP187" s="1237"/>
      <c r="SZQ187" s="1237"/>
      <c r="SZR187" s="1237"/>
      <c r="SZS187" s="1237"/>
      <c r="SZT187" s="1237"/>
      <c r="SZU187" s="1237"/>
      <c r="SZV187" s="1237"/>
      <c r="SZW187" s="1237"/>
      <c r="SZX187" s="1237"/>
      <c r="SZY187" s="1237"/>
      <c r="SZZ187" s="1237"/>
      <c r="TAA187" s="1237"/>
      <c r="TAB187" s="1237"/>
      <c r="TAC187" s="1237"/>
      <c r="TAD187" s="1237"/>
      <c r="TAE187" s="1237"/>
      <c r="TAF187" s="1237"/>
      <c r="TAG187" s="1237"/>
      <c r="TAH187" s="1237"/>
      <c r="TAI187" s="1237"/>
      <c r="TAJ187" s="1237"/>
      <c r="TAK187" s="1237"/>
      <c r="TAL187" s="1237"/>
      <c r="TAM187" s="1237"/>
      <c r="TAN187" s="1237"/>
      <c r="TAO187" s="1237"/>
      <c r="TAP187" s="1237"/>
      <c r="TAQ187" s="1237"/>
      <c r="TAR187" s="1237"/>
      <c r="TAS187" s="1237"/>
      <c r="TAT187" s="1237"/>
      <c r="TAU187" s="1237"/>
      <c r="TAV187" s="1237"/>
      <c r="TAW187" s="1237"/>
      <c r="TAX187" s="1237"/>
      <c r="TAY187" s="1237"/>
      <c r="TAZ187" s="1237"/>
      <c r="TBA187" s="1237"/>
      <c r="TBB187" s="1237"/>
      <c r="TBC187" s="1237"/>
      <c r="TBD187" s="1237"/>
      <c r="TBE187" s="1237"/>
      <c r="TBF187" s="1237"/>
      <c r="TBG187" s="1237"/>
      <c r="TBH187" s="1237"/>
      <c r="TBI187" s="1237"/>
      <c r="TBJ187" s="1237"/>
      <c r="TBK187" s="1237"/>
      <c r="TBL187" s="1237"/>
      <c r="TBM187" s="1237"/>
      <c r="TBN187" s="1237"/>
      <c r="TBO187" s="1237"/>
      <c r="TBP187" s="1237"/>
      <c r="TBQ187" s="1237"/>
      <c r="TBR187" s="1237"/>
      <c r="TBS187" s="1237"/>
      <c r="TBT187" s="1237"/>
      <c r="TBU187" s="1237"/>
      <c r="TBV187" s="1237"/>
      <c r="TBW187" s="1237"/>
      <c r="TBX187" s="1237"/>
      <c r="TBY187" s="1237"/>
      <c r="TBZ187" s="1237"/>
      <c r="TCA187" s="1237"/>
      <c r="TCB187" s="1237"/>
      <c r="TCC187" s="1237"/>
      <c r="TCD187" s="1237"/>
      <c r="TCE187" s="1237"/>
      <c r="TCF187" s="1237"/>
      <c r="TCG187" s="1237"/>
      <c r="TCH187" s="1237"/>
      <c r="TCI187" s="1237"/>
      <c r="TCJ187" s="1237"/>
      <c r="TCK187" s="1237"/>
      <c r="TCL187" s="1237"/>
      <c r="TCM187" s="1237"/>
      <c r="TCN187" s="1237"/>
      <c r="TCO187" s="1237"/>
      <c r="TCP187" s="1237"/>
      <c r="TCQ187" s="1237"/>
      <c r="TCR187" s="1237"/>
      <c r="TCS187" s="1237"/>
      <c r="TCT187" s="1237"/>
      <c r="TCU187" s="1237"/>
      <c r="TCV187" s="1237"/>
      <c r="TCW187" s="1237"/>
      <c r="TCX187" s="1237"/>
      <c r="TCY187" s="1237"/>
      <c r="TCZ187" s="1237"/>
      <c r="TDA187" s="1237"/>
      <c r="TDB187" s="1237"/>
      <c r="TDC187" s="1237"/>
      <c r="TDD187" s="1237"/>
      <c r="TDE187" s="1237"/>
      <c r="TDF187" s="1237"/>
      <c r="TDG187" s="1237"/>
      <c r="TDH187" s="1237"/>
      <c r="TDI187" s="1237"/>
      <c r="TDJ187" s="1237"/>
      <c r="TDK187" s="1237"/>
      <c r="TDL187" s="1237"/>
      <c r="TDM187" s="1237"/>
      <c r="TDN187" s="1237"/>
      <c r="TDO187" s="1237"/>
      <c r="TDP187" s="1237"/>
      <c r="TDQ187" s="1237"/>
      <c r="TDR187" s="1237"/>
      <c r="TDS187" s="1237"/>
      <c r="TDT187" s="1237"/>
      <c r="TDU187" s="1237"/>
      <c r="TDV187" s="1237"/>
      <c r="TDW187" s="1237"/>
      <c r="TDX187" s="1237"/>
      <c r="TDY187" s="1237"/>
      <c r="TDZ187" s="1237"/>
      <c r="TEA187" s="1237"/>
      <c r="TEB187" s="1237"/>
      <c r="TEC187" s="1237"/>
      <c r="TED187" s="1237"/>
      <c r="TEE187" s="1237"/>
      <c r="TEF187" s="1237"/>
      <c r="TEG187" s="1237"/>
      <c r="TEH187" s="1237"/>
      <c r="TEI187" s="1237"/>
      <c r="TEJ187" s="1237"/>
      <c r="TEK187" s="1237"/>
      <c r="TEL187" s="1237"/>
      <c r="TEM187" s="1237"/>
      <c r="TEN187" s="1237"/>
      <c r="TEO187" s="1237"/>
      <c r="TEP187" s="1237"/>
      <c r="TEQ187" s="1237"/>
      <c r="TER187" s="1237"/>
      <c r="TES187" s="1237"/>
      <c r="TET187" s="1237"/>
      <c r="TEU187" s="1237"/>
      <c r="TEV187" s="1237"/>
      <c r="TEW187" s="1237"/>
      <c r="TEX187" s="1237"/>
      <c r="TEY187" s="1237"/>
      <c r="TEZ187" s="1237"/>
      <c r="TFA187" s="1237"/>
      <c r="TFB187" s="1237"/>
      <c r="TFC187" s="1237"/>
      <c r="TFD187" s="1237"/>
      <c r="TFE187" s="1237"/>
      <c r="TFF187" s="1237"/>
      <c r="TFG187" s="1237"/>
      <c r="TFH187" s="1237"/>
      <c r="TFI187" s="1237"/>
      <c r="TFJ187" s="1237"/>
      <c r="TFK187" s="1237"/>
      <c r="TFL187" s="1237"/>
      <c r="TFM187" s="1237"/>
      <c r="TFN187" s="1237"/>
      <c r="TFO187" s="1237"/>
      <c r="TFP187" s="1237"/>
      <c r="TFQ187" s="1237"/>
      <c r="TFR187" s="1237"/>
      <c r="TFS187" s="1237"/>
      <c r="TFT187" s="1237"/>
      <c r="TFU187" s="1237"/>
      <c r="TFV187" s="1237"/>
      <c r="TFW187" s="1237"/>
      <c r="TFX187" s="1237"/>
      <c r="TFY187" s="1237"/>
      <c r="TFZ187" s="1237"/>
      <c r="TGA187" s="1237"/>
      <c r="TGB187" s="1237"/>
      <c r="TGC187" s="1237"/>
      <c r="TGD187" s="1237"/>
      <c r="TGE187" s="1237"/>
      <c r="TGF187" s="1237"/>
      <c r="TGG187" s="1237"/>
      <c r="TGH187" s="1237"/>
      <c r="TGI187" s="1237"/>
      <c r="TGJ187" s="1237"/>
      <c r="TGK187" s="1237"/>
      <c r="TGL187" s="1237"/>
      <c r="TGM187" s="1237"/>
      <c r="TGN187" s="1237"/>
      <c r="TGO187" s="1237"/>
      <c r="TGP187" s="1237"/>
      <c r="TGQ187" s="1237"/>
      <c r="TGR187" s="1237"/>
      <c r="TGS187" s="1237"/>
      <c r="TGT187" s="1237"/>
      <c r="TGU187" s="1237"/>
      <c r="TGV187" s="1237"/>
      <c r="TGW187" s="1237"/>
      <c r="TGX187" s="1237"/>
      <c r="TGY187" s="1237"/>
      <c r="TGZ187" s="1237"/>
      <c r="THA187" s="1237"/>
      <c r="THB187" s="1237"/>
      <c r="THC187" s="1237"/>
      <c r="THD187" s="1237"/>
      <c r="THE187" s="1237"/>
      <c r="THF187" s="1237"/>
      <c r="THG187" s="1237"/>
      <c r="THH187" s="1237"/>
      <c r="THI187" s="1237"/>
      <c r="THJ187" s="1237"/>
      <c r="THK187" s="1237"/>
      <c r="THL187" s="1237"/>
      <c r="THM187" s="1237"/>
      <c r="THN187" s="1237"/>
      <c r="THO187" s="1237"/>
      <c r="THP187" s="1237"/>
      <c r="THQ187" s="1237"/>
      <c r="THR187" s="1237"/>
      <c r="THS187" s="1237"/>
      <c r="THT187" s="1237"/>
      <c r="THU187" s="1237"/>
      <c r="THV187" s="1237"/>
      <c r="THW187" s="1237"/>
      <c r="THX187" s="1237"/>
      <c r="THY187" s="1237"/>
      <c r="THZ187" s="1237"/>
      <c r="TIA187" s="1237"/>
      <c r="TIB187" s="1237"/>
      <c r="TIC187" s="1237"/>
      <c r="TID187" s="1237"/>
      <c r="TIE187" s="1237"/>
      <c r="TIF187" s="1237"/>
      <c r="TIG187" s="1237"/>
      <c r="TIH187" s="1237"/>
      <c r="TII187" s="1237"/>
      <c r="TIJ187" s="1237"/>
      <c r="TIK187" s="1237"/>
      <c r="TIL187" s="1237"/>
      <c r="TIM187" s="1237"/>
      <c r="TIN187" s="1237"/>
      <c r="TIO187" s="1237"/>
      <c r="TIP187" s="1237"/>
      <c r="TIQ187" s="1237"/>
      <c r="TIR187" s="1237"/>
      <c r="TIS187" s="1237"/>
      <c r="TIT187" s="1237"/>
      <c r="TIU187" s="1237"/>
      <c r="TIV187" s="1237"/>
      <c r="TIW187" s="1237"/>
      <c r="TIX187" s="1237"/>
      <c r="TIY187" s="1237"/>
      <c r="TIZ187" s="1237"/>
      <c r="TJA187" s="1237"/>
      <c r="TJB187" s="1237"/>
      <c r="TJC187" s="1237"/>
      <c r="TJD187" s="1237"/>
      <c r="TJE187" s="1237"/>
      <c r="TJF187" s="1237"/>
      <c r="TJG187" s="1237"/>
      <c r="TJH187" s="1237"/>
      <c r="TJI187" s="1237"/>
      <c r="TJJ187" s="1237"/>
      <c r="TJK187" s="1237"/>
      <c r="TJL187" s="1237"/>
      <c r="TJM187" s="1237"/>
      <c r="TJN187" s="1237"/>
      <c r="TJO187" s="1237"/>
      <c r="TJP187" s="1237"/>
      <c r="TJQ187" s="1237"/>
      <c r="TJR187" s="1237"/>
      <c r="TJS187" s="1237"/>
      <c r="TJT187" s="1237"/>
      <c r="TJU187" s="1237"/>
      <c r="TJV187" s="1237"/>
      <c r="TJW187" s="1237"/>
      <c r="TJX187" s="1237"/>
      <c r="TJY187" s="1237"/>
      <c r="TJZ187" s="1237"/>
      <c r="TKA187" s="1237"/>
      <c r="TKB187" s="1237"/>
      <c r="TKC187" s="1237"/>
      <c r="TKD187" s="1237"/>
      <c r="TKE187" s="1237"/>
      <c r="TKF187" s="1237"/>
      <c r="TKG187" s="1237"/>
      <c r="TKH187" s="1237"/>
      <c r="TKI187" s="1237"/>
      <c r="TKJ187" s="1237"/>
      <c r="TKK187" s="1237"/>
      <c r="TKL187" s="1237"/>
      <c r="TKM187" s="1237"/>
      <c r="TKN187" s="1237"/>
      <c r="TKO187" s="1237"/>
      <c r="TKP187" s="1237"/>
      <c r="TKQ187" s="1237"/>
      <c r="TKR187" s="1237"/>
      <c r="TKS187" s="1237"/>
      <c r="TKT187" s="1237"/>
      <c r="TKU187" s="1237"/>
      <c r="TKV187" s="1237"/>
      <c r="TKW187" s="1237"/>
      <c r="TKX187" s="1237"/>
      <c r="TKY187" s="1237"/>
      <c r="TKZ187" s="1237"/>
      <c r="TLA187" s="1237"/>
      <c r="TLB187" s="1237"/>
      <c r="TLC187" s="1237"/>
      <c r="TLD187" s="1237"/>
      <c r="TLE187" s="1237"/>
      <c r="TLF187" s="1237"/>
      <c r="TLG187" s="1237"/>
      <c r="TLH187" s="1237"/>
      <c r="TLI187" s="1237"/>
      <c r="TLJ187" s="1237"/>
      <c r="TLK187" s="1237"/>
      <c r="TLL187" s="1237"/>
      <c r="TLM187" s="1237"/>
      <c r="TLN187" s="1237"/>
      <c r="TLO187" s="1237"/>
      <c r="TLP187" s="1237"/>
      <c r="TLQ187" s="1237"/>
      <c r="TLR187" s="1237"/>
      <c r="TLS187" s="1237"/>
      <c r="TLT187" s="1237"/>
      <c r="TLU187" s="1237"/>
      <c r="TLV187" s="1237"/>
      <c r="TLW187" s="1237"/>
      <c r="TLX187" s="1237"/>
      <c r="TLY187" s="1237"/>
      <c r="TLZ187" s="1237"/>
      <c r="TMA187" s="1237"/>
      <c r="TMB187" s="1237"/>
      <c r="TMC187" s="1237"/>
      <c r="TMD187" s="1237"/>
      <c r="TME187" s="1237"/>
      <c r="TMF187" s="1237"/>
      <c r="TMG187" s="1237"/>
      <c r="TMH187" s="1237"/>
      <c r="TMI187" s="1237"/>
      <c r="TMJ187" s="1237"/>
      <c r="TMK187" s="1237"/>
      <c r="TML187" s="1237"/>
      <c r="TMM187" s="1237"/>
      <c r="TMN187" s="1237"/>
      <c r="TMO187" s="1237"/>
      <c r="TMP187" s="1237"/>
      <c r="TMQ187" s="1237"/>
      <c r="TMR187" s="1237"/>
      <c r="TMS187" s="1237"/>
      <c r="TMT187" s="1237"/>
      <c r="TMU187" s="1237"/>
      <c r="TMV187" s="1237"/>
      <c r="TMW187" s="1237"/>
      <c r="TMX187" s="1237"/>
      <c r="TMY187" s="1237"/>
      <c r="TMZ187" s="1237"/>
      <c r="TNA187" s="1237"/>
      <c r="TNB187" s="1237"/>
      <c r="TNC187" s="1237"/>
      <c r="TND187" s="1237"/>
      <c r="TNE187" s="1237"/>
      <c r="TNF187" s="1237"/>
      <c r="TNG187" s="1237"/>
      <c r="TNH187" s="1237"/>
      <c r="TNI187" s="1237"/>
      <c r="TNJ187" s="1237"/>
      <c r="TNK187" s="1237"/>
      <c r="TNL187" s="1237"/>
      <c r="TNM187" s="1237"/>
      <c r="TNN187" s="1237"/>
      <c r="TNO187" s="1237"/>
      <c r="TNP187" s="1237"/>
      <c r="TNQ187" s="1237"/>
      <c r="TNR187" s="1237"/>
      <c r="TNS187" s="1237"/>
      <c r="TNT187" s="1237"/>
      <c r="TNU187" s="1237"/>
      <c r="TNV187" s="1237"/>
      <c r="TNW187" s="1237"/>
      <c r="TNX187" s="1237"/>
      <c r="TNY187" s="1237"/>
      <c r="TNZ187" s="1237"/>
      <c r="TOA187" s="1237"/>
      <c r="TOB187" s="1237"/>
      <c r="TOC187" s="1237"/>
      <c r="TOD187" s="1237"/>
      <c r="TOE187" s="1237"/>
      <c r="TOF187" s="1237"/>
      <c r="TOG187" s="1237"/>
      <c r="TOH187" s="1237"/>
      <c r="TOI187" s="1237"/>
      <c r="TOJ187" s="1237"/>
      <c r="TOK187" s="1237"/>
      <c r="TOL187" s="1237"/>
      <c r="TOM187" s="1237"/>
      <c r="TON187" s="1237"/>
      <c r="TOO187" s="1237"/>
      <c r="TOP187" s="1237"/>
      <c r="TOQ187" s="1237"/>
      <c r="TOR187" s="1237"/>
      <c r="TOS187" s="1237"/>
      <c r="TOT187" s="1237"/>
      <c r="TOU187" s="1237"/>
      <c r="TOV187" s="1237"/>
      <c r="TOW187" s="1237"/>
      <c r="TOX187" s="1237"/>
      <c r="TOY187" s="1237"/>
      <c r="TOZ187" s="1237"/>
      <c r="TPA187" s="1237"/>
      <c r="TPB187" s="1237"/>
      <c r="TPC187" s="1237"/>
      <c r="TPD187" s="1237"/>
      <c r="TPE187" s="1237"/>
      <c r="TPF187" s="1237"/>
      <c r="TPG187" s="1237"/>
      <c r="TPH187" s="1237"/>
      <c r="TPI187" s="1237"/>
      <c r="TPJ187" s="1237"/>
      <c r="TPK187" s="1237"/>
      <c r="TPL187" s="1237"/>
      <c r="TPM187" s="1237"/>
      <c r="TPN187" s="1237"/>
      <c r="TPO187" s="1237"/>
      <c r="TPP187" s="1237"/>
      <c r="TPQ187" s="1237"/>
      <c r="TPR187" s="1237"/>
      <c r="TPS187" s="1237"/>
      <c r="TPT187" s="1237"/>
      <c r="TPU187" s="1237"/>
      <c r="TPV187" s="1237"/>
      <c r="TPW187" s="1237"/>
      <c r="TPX187" s="1237"/>
      <c r="TPY187" s="1237"/>
      <c r="TPZ187" s="1237"/>
      <c r="TQA187" s="1237"/>
      <c r="TQB187" s="1237"/>
      <c r="TQC187" s="1237"/>
      <c r="TQD187" s="1237"/>
      <c r="TQE187" s="1237"/>
      <c r="TQF187" s="1237"/>
      <c r="TQG187" s="1237"/>
      <c r="TQH187" s="1237"/>
      <c r="TQI187" s="1237"/>
      <c r="TQJ187" s="1237"/>
      <c r="TQK187" s="1237"/>
      <c r="TQL187" s="1237"/>
      <c r="TQM187" s="1237"/>
      <c r="TQN187" s="1237"/>
      <c r="TQO187" s="1237"/>
      <c r="TQP187" s="1237"/>
      <c r="TQQ187" s="1237"/>
      <c r="TQR187" s="1237"/>
      <c r="TQS187" s="1237"/>
      <c r="TQT187" s="1237"/>
      <c r="TQU187" s="1237"/>
      <c r="TQV187" s="1237"/>
      <c r="TQW187" s="1237"/>
      <c r="TQX187" s="1237"/>
      <c r="TQY187" s="1237"/>
      <c r="TQZ187" s="1237"/>
      <c r="TRA187" s="1237"/>
      <c r="TRB187" s="1237"/>
      <c r="TRC187" s="1237"/>
      <c r="TRD187" s="1237"/>
      <c r="TRE187" s="1237"/>
      <c r="TRF187" s="1237"/>
      <c r="TRG187" s="1237"/>
      <c r="TRH187" s="1237"/>
      <c r="TRI187" s="1237"/>
      <c r="TRJ187" s="1237"/>
      <c r="TRK187" s="1237"/>
      <c r="TRL187" s="1237"/>
      <c r="TRM187" s="1237"/>
      <c r="TRN187" s="1237"/>
      <c r="TRO187" s="1237"/>
      <c r="TRP187" s="1237"/>
      <c r="TRQ187" s="1237"/>
      <c r="TRR187" s="1237"/>
      <c r="TRS187" s="1237"/>
      <c r="TRT187" s="1237"/>
      <c r="TRU187" s="1237"/>
      <c r="TRV187" s="1237"/>
      <c r="TRW187" s="1237"/>
      <c r="TRX187" s="1237"/>
      <c r="TRY187" s="1237"/>
      <c r="TRZ187" s="1237"/>
      <c r="TSA187" s="1237"/>
      <c r="TSB187" s="1237"/>
      <c r="TSC187" s="1237"/>
      <c r="TSD187" s="1237"/>
      <c r="TSE187" s="1237"/>
      <c r="TSF187" s="1237"/>
      <c r="TSG187" s="1237"/>
      <c r="TSH187" s="1237"/>
      <c r="TSI187" s="1237"/>
      <c r="TSJ187" s="1237"/>
      <c r="TSK187" s="1237"/>
      <c r="TSL187" s="1237"/>
      <c r="TSM187" s="1237"/>
      <c r="TSN187" s="1237"/>
      <c r="TSO187" s="1237"/>
      <c r="TSP187" s="1237"/>
      <c r="TSQ187" s="1237"/>
      <c r="TSR187" s="1237"/>
      <c r="TSS187" s="1237"/>
      <c r="TST187" s="1237"/>
      <c r="TSU187" s="1237"/>
      <c r="TSV187" s="1237"/>
      <c r="TSW187" s="1237"/>
      <c r="TSX187" s="1237"/>
      <c r="TSY187" s="1237"/>
      <c r="TSZ187" s="1237"/>
      <c r="TTA187" s="1237"/>
      <c r="TTB187" s="1237"/>
      <c r="TTC187" s="1237"/>
      <c r="TTD187" s="1237"/>
      <c r="TTE187" s="1237"/>
      <c r="TTF187" s="1237"/>
      <c r="TTG187" s="1237"/>
      <c r="TTH187" s="1237"/>
      <c r="TTI187" s="1237"/>
      <c r="TTJ187" s="1237"/>
      <c r="TTK187" s="1237"/>
      <c r="TTL187" s="1237"/>
      <c r="TTM187" s="1237"/>
      <c r="TTN187" s="1237"/>
      <c r="TTO187" s="1237"/>
      <c r="TTP187" s="1237"/>
      <c r="TTQ187" s="1237"/>
      <c r="TTR187" s="1237"/>
      <c r="TTS187" s="1237"/>
      <c r="TTT187" s="1237"/>
      <c r="TTU187" s="1237"/>
      <c r="TTV187" s="1237"/>
      <c r="TTW187" s="1237"/>
      <c r="TTX187" s="1237"/>
      <c r="TTY187" s="1237"/>
      <c r="TTZ187" s="1237"/>
      <c r="TUA187" s="1237"/>
      <c r="TUB187" s="1237"/>
      <c r="TUC187" s="1237"/>
      <c r="TUD187" s="1237"/>
      <c r="TUE187" s="1237"/>
      <c r="TUF187" s="1237"/>
      <c r="TUG187" s="1237"/>
      <c r="TUH187" s="1237"/>
      <c r="TUI187" s="1237"/>
      <c r="TUJ187" s="1237"/>
      <c r="TUK187" s="1237"/>
      <c r="TUL187" s="1237"/>
      <c r="TUM187" s="1237"/>
      <c r="TUN187" s="1237"/>
      <c r="TUO187" s="1237"/>
      <c r="TUP187" s="1237"/>
      <c r="TUQ187" s="1237"/>
      <c r="TUR187" s="1237"/>
      <c r="TUS187" s="1237"/>
      <c r="TUT187" s="1237"/>
      <c r="TUU187" s="1237"/>
      <c r="TUV187" s="1237"/>
      <c r="TUW187" s="1237"/>
      <c r="TUX187" s="1237"/>
      <c r="TUY187" s="1237"/>
      <c r="TUZ187" s="1237"/>
      <c r="TVA187" s="1237"/>
      <c r="TVB187" s="1237"/>
      <c r="TVC187" s="1237"/>
      <c r="TVD187" s="1237"/>
      <c r="TVE187" s="1237"/>
      <c r="TVF187" s="1237"/>
      <c r="TVG187" s="1237"/>
      <c r="TVH187" s="1237"/>
      <c r="TVI187" s="1237"/>
      <c r="TVJ187" s="1237"/>
      <c r="TVK187" s="1237"/>
      <c r="TVL187" s="1237"/>
      <c r="TVM187" s="1237"/>
      <c r="TVN187" s="1237"/>
      <c r="TVO187" s="1237"/>
      <c r="TVP187" s="1237"/>
      <c r="TVQ187" s="1237"/>
      <c r="TVR187" s="1237"/>
      <c r="TVS187" s="1237"/>
      <c r="TVT187" s="1237"/>
      <c r="TVU187" s="1237"/>
      <c r="TVV187" s="1237"/>
      <c r="TVW187" s="1237"/>
      <c r="TVX187" s="1237"/>
      <c r="TVY187" s="1237"/>
      <c r="TVZ187" s="1237"/>
      <c r="TWA187" s="1237"/>
      <c r="TWB187" s="1237"/>
      <c r="TWC187" s="1237"/>
      <c r="TWD187" s="1237"/>
      <c r="TWE187" s="1237"/>
      <c r="TWF187" s="1237"/>
      <c r="TWG187" s="1237"/>
      <c r="TWH187" s="1237"/>
      <c r="TWI187" s="1237"/>
      <c r="TWJ187" s="1237"/>
      <c r="TWK187" s="1237"/>
      <c r="TWL187" s="1237"/>
      <c r="TWM187" s="1237"/>
      <c r="TWN187" s="1237"/>
      <c r="TWO187" s="1237"/>
      <c r="TWP187" s="1237"/>
      <c r="TWQ187" s="1237"/>
      <c r="TWR187" s="1237"/>
      <c r="TWS187" s="1237"/>
      <c r="TWT187" s="1237"/>
      <c r="TWU187" s="1237"/>
      <c r="TWV187" s="1237"/>
      <c r="TWW187" s="1237"/>
      <c r="TWX187" s="1237"/>
      <c r="TWY187" s="1237"/>
      <c r="TWZ187" s="1237"/>
      <c r="TXA187" s="1237"/>
      <c r="TXB187" s="1237"/>
      <c r="TXC187" s="1237"/>
      <c r="TXD187" s="1237"/>
      <c r="TXE187" s="1237"/>
      <c r="TXF187" s="1237"/>
      <c r="TXG187" s="1237"/>
      <c r="TXH187" s="1237"/>
      <c r="TXI187" s="1237"/>
      <c r="TXJ187" s="1237"/>
      <c r="TXK187" s="1237"/>
      <c r="TXL187" s="1237"/>
      <c r="TXM187" s="1237"/>
      <c r="TXN187" s="1237"/>
      <c r="TXO187" s="1237"/>
      <c r="TXP187" s="1237"/>
      <c r="TXQ187" s="1237"/>
      <c r="TXR187" s="1237"/>
      <c r="TXS187" s="1237"/>
      <c r="TXT187" s="1237"/>
      <c r="TXU187" s="1237"/>
      <c r="TXV187" s="1237"/>
      <c r="TXW187" s="1237"/>
      <c r="TXX187" s="1237"/>
      <c r="TXY187" s="1237"/>
      <c r="TXZ187" s="1237"/>
      <c r="TYA187" s="1237"/>
      <c r="TYB187" s="1237"/>
      <c r="TYC187" s="1237"/>
      <c r="TYD187" s="1237"/>
      <c r="TYE187" s="1237"/>
      <c r="TYF187" s="1237"/>
      <c r="TYG187" s="1237"/>
      <c r="TYH187" s="1237"/>
      <c r="TYI187" s="1237"/>
      <c r="TYJ187" s="1237"/>
      <c r="TYK187" s="1237"/>
      <c r="TYL187" s="1237"/>
      <c r="TYM187" s="1237"/>
      <c r="TYN187" s="1237"/>
      <c r="TYO187" s="1237"/>
      <c r="TYP187" s="1237"/>
      <c r="TYQ187" s="1237"/>
      <c r="TYR187" s="1237"/>
      <c r="TYS187" s="1237"/>
      <c r="TYT187" s="1237"/>
      <c r="TYU187" s="1237"/>
      <c r="TYV187" s="1237"/>
      <c r="TYW187" s="1237"/>
      <c r="TYX187" s="1237"/>
      <c r="TYY187" s="1237"/>
      <c r="TYZ187" s="1237"/>
      <c r="TZA187" s="1237"/>
      <c r="TZB187" s="1237"/>
      <c r="TZC187" s="1237"/>
      <c r="TZD187" s="1237"/>
      <c r="TZE187" s="1237"/>
      <c r="TZF187" s="1237"/>
      <c r="TZG187" s="1237"/>
      <c r="TZH187" s="1237"/>
      <c r="TZI187" s="1237"/>
      <c r="TZJ187" s="1237"/>
      <c r="TZK187" s="1237"/>
      <c r="TZL187" s="1237"/>
      <c r="TZM187" s="1237"/>
      <c r="TZN187" s="1237"/>
      <c r="TZO187" s="1237"/>
      <c r="TZP187" s="1237"/>
      <c r="TZQ187" s="1237"/>
      <c r="TZR187" s="1237"/>
      <c r="TZS187" s="1237"/>
      <c r="TZT187" s="1237"/>
      <c r="TZU187" s="1237"/>
      <c r="TZV187" s="1237"/>
      <c r="TZW187" s="1237"/>
      <c r="TZX187" s="1237"/>
      <c r="TZY187" s="1237"/>
      <c r="TZZ187" s="1237"/>
      <c r="UAA187" s="1237"/>
      <c r="UAB187" s="1237"/>
      <c r="UAC187" s="1237"/>
      <c r="UAD187" s="1237"/>
      <c r="UAE187" s="1237"/>
      <c r="UAF187" s="1237"/>
      <c r="UAG187" s="1237"/>
      <c r="UAH187" s="1237"/>
      <c r="UAI187" s="1237"/>
      <c r="UAJ187" s="1237"/>
      <c r="UAK187" s="1237"/>
      <c r="UAL187" s="1237"/>
      <c r="UAM187" s="1237"/>
      <c r="UAN187" s="1237"/>
      <c r="UAO187" s="1237"/>
      <c r="UAP187" s="1237"/>
      <c r="UAQ187" s="1237"/>
      <c r="UAR187" s="1237"/>
      <c r="UAS187" s="1237"/>
      <c r="UAT187" s="1237"/>
      <c r="UAU187" s="1237"/>
      <c r="UAV187" s="1237"/>
      <c r="UAW187" s="1237"/>
      <c r="UAX187" s="1237"/>
      <c r="UAY187" s="1237"/>
      <c r="UAZ187" s="1237"/>
      <c r="UBA187" s="1237"/>
      <c r="UBB187" s="1237"/>
      <c r="UBC187" s="1237"/>
      <c r="UBD187" s="1237"/>
      <c r="UBE187" s="1237"/>
      <c r="UBF187" s="1237"/>
      <c r="UBG187" s="1237"/>
      <c r="UBH187" s="1237"/>
      <c r="UBI187" s="1237"/>
      <c r="UBJ187" s="1237"/>
      <c r="UBK187" s="1237"/>
      <c r="UBL187" s="1237"/>
      <c r="UBM187" s="1237"/>
      <c r="UBN187" s="1237"/>
      <c r="UBO187" s="1237"/>
      <c r="UBP187" s="1237"/>
      <c r="UBQ187" s="1237"/>
      <c r="UBR187" s="1237"/>
      <c r="UBS187" s="1237"/>
      <c r="UBT187" s="1237"/>
      <c r="UBU187" s="1237"/>
      <c r="UBV187" s="1237"/>
      <c r="UBW187" s="1237"/>
      <c r="UBX187" s="1237"/>
      <c r="UBY187" s="1237"/>
      <c r="UBZ187" s="1237"/>
      <c r="UCA187" s="1237"/>
      <c r="UCB187" s="1237"/>
      <c r="UCC187" s="1237"/>
      <c r="UCD187" s="1237"/>
      <c r="UCE187" s="1237"/>
      <c r="UCF187" s="1237"/>
      <c r="UCG187" s="1237"/>
      <c r="UCH187" s="1237"/>
      <c r="UCI187" s="1237"/>
      <c r="UCJ187" s="1237"/>
      <c r="UCK187" s="1237"/>
      <c r="UCL187" s="1237"/>
      <c r="UCM187" s="1237"/>
      <c r="UCN187" s="1237"/>
      <c r="UCO187" s="1237"/>
      <c r="UCP187" s="1237"/>
      <c r="UCQ187" s="1237"/>
      <c r="UCR187" s="1237"/>
      <c r="UCS187" s="1237"/>
      <c r="UCT187" s="1237"/>
      <c r="UCU187" s="1237"/>
      <c r="UCV187" s="1237"/>
      <c r="UCW187" s="1237"/>
      <c r="UCX187" s="1237"/>
      <c r="UCY187" s="1237"/>
      <c r="UCZ187" s="1237"/>
      <c r="UDA187" s="1237"/>
      <c r="UDB187" s="1237"/>
      <c r="UDC187" s="1237"/>
      <c r="UDD187" s="1237"/>
      <c r="UDE187" s="1237"/>
      <c r="UDF187" s="1237"/>
      <c r="UDG187" s="1237"/>
      <c r="UDH187" s="1237"/>
      <c r="UDI187" s="1237"/>
      <c r="UDJ187" s="1237"/>
      <c r="UDK187" s="1237"/>
      <c r="UDL187" s="1237"/>
      <c r="UDM187" s="1237"/>
      <c r="UDN187" s="1237"/>
      <c r="UDO187" s="1237"/>
      <c r="UDP187" s="1237"/>
      <c r="UDQ187" s="1237"/>
      <c r="UDR187" s="1237"/>
      <c r="UDS187" s="1237"/>
      <c r="UDT187" s="1237"/>
      <c r="UDU187" s="1237"/>
      <c r="UDV187" s="1237"/>
      <c r="UDW187" s="1237"/>
      <c r="UDX187" s="1237"/>
      <c r="UDY187" s="1237"/>
      <c r="UDZ187" s="1237"/>
      <c r="UEA187" s="1237"/>
      <c r="UEB187" s="1237"/>
      <c r="UEC187" s="1237"/>
      <c r="UED187" s="1237"/>
      <c r="UEE187" s="1237"/>
      <c r="UEF187" s="1237"/>
      <c r="UEG187" s="1237"/>
      <c r="UEH187" s="1237"/>
      <c r="UEI187" s="1237"/>
      <c r="UEJ187" s="1237"/>
      <c r="UEK187" s="1237"/>
      <c r="UEL187" s="1237"/>
      <c r="UEM187" s="1237"/>
      <c r="UEN187" s="1237"/>
      <c r="UEO187" s="1237"/>
      <c r="UEP187" s="1237"/>
      <c r="UEQ187" s="1237"/>
      <c r="UER187" s="1237"/>
      <c r="UES187" s="1237"/>
      <c r="UET187" s="1237"/>
      <c r="UEU187" s="1237"/>
      <c r="UEV187" s="1237"/>
      <c r="UEW187" s="1237"/>
      <c r="UEX187" s="1237"/>
      <c r="UEY187" s="1237"/>
      <c r="UEZ187" s="1237"/>
      <c r="UFA187" s="1237"/>
      <c r="UFB187" s="1237"/>
      <c r="UFC187" s="1237"/>
      <c r="UFD187" s="1237"/>
      <c r="UFE187" s="1237"/>
      <c r="UFF187" s="1237"/>
      <c r="UFG187" s="1237"/>
      <c r="UFH187" s="1237"/>
      <c r="UFI187" s="1237"/>
      <c r="UFJ187" s="1237"/>
      <c r="UFK187" s="1237"/>
      <c r="UFL187" s="1237"/>
      <c r="UFM187" s="1237"/>
      <c r="UFN187" s="1237"/>
      <c r="UFO187" s="1237"/>
      <c r="UFP187" s="1237"/>
      <c r="UFQ187" s="1237"/>
      <c r="UFR187" s="1237"/>
      <c r="UFS187" s="1237"/>
      <c r="UFT187" s="1237"/>
      <c r="UFU187" s="1237"/>
      <c r="UFV187" s="1237"/>
      <c r="UFW187" s="1237"/>
      <c r="UFX187" s="1237"/>
      <c r="UFY187" s="1237"/>
      <c r="UFZ187" s="1237"/>
      <c r="UGA187" s="1237"/>
      <c r="UGB187" s="1237"/>
      <c r="UGC187" s="1237"/>
      <c r="UGD187" s="1237"/>
      <c r="UGE187" s="1237"/>
      <c r="UGF187" s="1237"/>
      <c r="UGG187" s="1237"/>
      <c r="UGH187" s="1237"/>
      <c r="UGI187" s="1237"/>
      <c r="UGJ187" s="1237"/>
      <c r="UGK187" s="1237"/>
      <c r="UGL187" s="1237"/>
      <c r="UGM187" s="1237"/>
      <c r="UGN187" s="1237"/>
      <c r="UGO187" s="1237"/>
      <c r="UGP187" s="1237"/>
      <c r="UGQ187" s="1237"/>
      <c r="UGR187" s="1237"/>
      <c r="UGS187" s="1237"/>
      <c r="UGT187" s="1237"/>
      <c r="UGU187" s="1237"/>
      <c r="UGV187" s="1237"/>
      <c r="UGW187" s="1237"/>
      <c r="UGX187" s="1237"/>
      <c r="UGY187" s="1237"/>
      <c r="UGZ187" s="1237"/>
      <c r="UHA187" s="1237"/>
      <c r="UHB187" s="1237"/>
      <c r="UHC187" s="1237"/>
      <c r="UHD187" s="1237"/>
      <c r="UHE187" s="1237"/>
      <c r="UHF187" s="1237"/>
      <c r="UHG187" s="1237"/>
      <c r="UHH187" s="1237"/>
      <c r="UHI187" s="1237"/>
      <c r="UHJ187" s="1237"/>
      <c r="UHK187" s="1237"/>
      <c r="UHL187" s="1237"/>
      <c r="UHM187" s="1237"/>
      <c r="UHN187" s="1237"/>
      <c r="UHO187" s="1237"/>
      <c r="UHP187" s="1237"/>
      <c r="UHQ187" s="1237"/>
      <c r="UHR187" s="1237"/>
      <c r="UHS187" s="1237"/>
      <c r="UHT187" s="1237"/>
      <c r="UHU187" s="1237"/>
      <c r="UHV187" s="1237"/>
      <c r="UHW187" s="1237"/>
      <c r="UHX187" s="1237"/>
      <c r="UHY187" s="1237"/>
      <c r="UHZ187" s="1237"/>
      <c r="UIA187" s="1237"/>
      <c r="UIB187" s="1237"/>
      <c r="UIC187" s="1237"/>
      <c r="UID187" s="1237"/>
      <c r="UIE187" s="1237"/>
      <c r="UIF187" s="1237"/>
      <c r="UIG187" s="1237"/>
      <c r="UIH187" s="1237"/>
      <c r="UII187" s="1237"/>
      <c r="UIJ187" s="1237"/>
      <c r="UIK187" s="1237"/>
      <c r="UIL187" s="1237"/>
      <c r="UIM187" s="1237"/>
      <c r="UIN187" s="1237"/>
      <c r="UIO187" s="1237"/>
      <c r="UIP187" s="1237"/>
      <c r="UIQ187" s="1237"/>
      <c r="UIR187" s="1237"/>
      <c r="UIS187" s="1237"/>
      <c r="UIT187" s="1237"/>
      <c r="UIU187" s="1237"/>
      <c r="UIV187" s="1237"/>
      <c r="UIW187" s="1237"/>
      <c r="UIX187" s="1237"/>
      <c r="UIY187" s="1237"/>
      <c r="UIZ187" s="1237"/>
      <c r="UJA187" s="1237"/>
      <c r="UJB187" s="1237"/>
      <c r="UJC187" s="1237"/>
      <c r="UJD187" s="1237"/>
      <c r="UJE187" s="1237"/>
      <c r="UJF187" s="1237"/>
      <c r="UJG187" s="1237"/>
      <c r="UJH187" s="1237"/>
      <c r="UJI187" s="1237"/>
      <c r="UJJ187" s="1237"/>
      <c r="UJK187" s="1237"/>
      <c r="UJL187" s="1237"/>
      <c r="UJM187" s="1237"/>
      <c r="UJN187" s="1237"/>
      <c r="UJO187" s="1237"/>
      <c r="UJP187" s="1237"/>
      <c r="UJQ187" s="1237"/>
      <c r="UJR187" s="1237"/>
      <c r="UJS187" s="1237"/>
      <c r="UJT187" s="1237"/>
      <c r="UJU187" s="1237"/>
      <c r="UJV187" s="1237"/>
      <c r="UJW187" s="1237"/>
      <c r="UJX187" s="1237"/>
      <c r="UJY187" s="1237"/>
      <c r="UJZ187" s="1237"/>
      <c r="UKA187" s="1237"/>
      <c r="UKB187" s="1237"/>
      <c r="UKC187" s="1237"/>
      <c r="UKD187" s="1237"/>
      <c r="UKE187" s="1237"/>
      <c r="UKF187" s="1237"/>
      <c r="UKG187" s="1237"/>
      <c r="UKH187" s="1237"/>
      <c r="UKI187" s="1237"/>
      <c r="UKJ187" s="1237"/>
      <c r="UKK187" s="1237"/>
      <c r="UKL187" s="1237"/>
      <c r="UKM187" s="1237"/>
      <c r="UKN187" s="1237"/>
      <c r="UKO187" s="1237"/>
      <c r="UKP187" s="1237"/>
      <c r="UKQ187" s="1237"/>
      <c r="UKR187" s="1237"/>
      <c r="UKS187" s="1237"/>
      <c r="UKT187" s="1237"/>
      <c r="UKU187" s="1237"/>
      <c r="UKV187" s="1237"/>
      <c r="UKW187" s="1237"/>
      <c r="UKX187" s="1237"/>
      <c r="UKY187" s="1237"/>
      <c r="UKZ187" s="1237"/>
      <c r="ULA187" s="1237"/>
      <c r="ULB187" s="1237"/>
      <c r="ULC187" s="1237"/>
      <c r="ULD187" s="1237"/>
      <c r="ULE187" s="1237"/>
      <c r="ULF187" s="1237"/>
      <c r="ULG187" s="1237"/>
      <c r="ULH187" s="1237"/>
      <c r="ULI187" s="1237"/>
      <c r="ULJ187" s="1237"/>
      <c r="ULK187" s="1237"/>
      <c r="ULL187" s="1237"/>
      <c r="ULM187" s="1237"/>
      <c r="ULN187" s="1237"/>
      <c r="ULO187" s="1237"/>
      <c r="ULP187" s="1237"/>
      <c r="ULQ187" s="1237"/>
      <c r="ULR187" s="1237"/>
      <c r="ULS187" s="1237"/>
      <c r="ULT187" s="1237"/>
      <c r="ULU187" s="1237"/>
      <c r="ULV187" s="1237"/>
      <c r="ULW187" s="1237"/>
      <c r="ULX187" s="1237"/>
      <c r="ULY187" s="1237"/>
      <c r="ULZ187" s="1237"/>
      <c r="UMA187" s="1237"/>
      <c r="UMB187" s="1237"/>
      <c r="UMC187" s="1237"/>
      <c r="UMD187" s="1237"/>
      <c r="UME187" s="1237"/>
      <c r="UMF187" s="1237"/>
      <c r="UMG187" s="1237"/>
      <c r="UMH187" s="1237"/>
      <c r="UMI187" s="1237"/>
      <c r="UMJ187" s="1237"/>
      <c r="UMK187" s="1237"/>
      <c r="UML187" s="1237"/>
      <c r="UMM187" s="1237"/>
      <c r="UMN187" s="1237"/>
      <c r="UMO187" s="1237"/>
      <c r="UMP187" s="1237"/>
      <c r="UMQ187" s="1237"/>
      <c r="UMR187" s="1237"/>
      <c r="UMS187" s="1237"/>
      <c r="UMT187" s="1237"/>
      <c r="UMU187" s="1237"/>
      <c r="UMV187" s="1237"/>
      <c r="UMW187" s="1237"/>
      <c r="UMX187" s="1237"/>
      <c r="UMY187" s="1237"/>
      <c r="UMZ187" s="1237"/>
      <c r="UNA187" s="1237"/>
      <c r="UNB187" s="1237"/>
      <c r="UNC187" s="1237"/>
      <c r="UND187" s="1237"/>
      <c r="UNE187" s="1237"/>
      <c r="UNF187" s="1237"/>
      <c r="UNG187" s="1237"/>
      <c r="UNH187" s="1237"/>
      <c r="UNI187" s="1237"/>
      <c r="UNJ187" s="1237"/>
      <c r="UNK187" s="1237"/>
      <c r="UNL187" s="1237"/>
      <c r="UNM187" s="1237"/>
      <c r="UNN187" s="1237"/>
      <c r="UNO187" s="1237"/>
      <c r="UNP187" s="1237"/>
      <c r="UNQ187" s="1237"/>
      <c r="UNR187" s="1237"/>
      <c r="UNS187" s="1237"/>
      <c r="UNT187" s="1237"/>
      <c r="UNU187" s="1237"/>
      <c r="UNV187" s="1237"/>
      <c r="UNW187" s="1237"/>
      <c r="UNX187" s="1237"/>
      <c r="UNY187" s="1237"/>
      <c r="UNZ187" s="1237"/>
      <c r="UOA187" s="1237"/>
      <c r="UOB187" s="1237"/>
      <c r="UOC187" s="1237"/>
      <c r="UOD187" s="1237"/>
      <c r="UOE187" s="1237"/>
      <c r="UOF187" s="1237"/>
      <c r="UOG187" s="1237"/>
      <c r="UOH187" s="1237"/>
      <c r="UOI187" s="1237"/>
      <c r="UOJ187" s="1237"/>
      <c r="UOK187" s="1237"/>
      <c r="UOL187" s="1237"/>
      <c r="UOM187" s="1237"/>
      <c r="UON187" s="1237"/>
      <c r="UOO187" s="1237"/>
      <c r="UOP187" s="1237"/>
      <c r="UOQ187" s="1237"/>
      <c r="UOR187" s="1237"/>
      <c r="UOS187" s="1237"/>
      <c r="UOT187" s="1237"/>
      <c r="UOU187" s="1237"/>
      <c r="UOV187" s="1237"/>
      <c r="UOW187" s="1237"/>
      <c r="UOX187" s="1237"/>
      <c r="UOY187" s="1237"/>
      <c r="UOZ187" s="1237"/>
      <c r="UPA187" s="1237"/>
      <c r="UPB187" s="1237"/>
      <c r="UPC187" s="1237"/>
      <c r="UPD187" s="1237"/>
      <c r="UPE187" s="1237"/>
      <c r="UPF187" s="1237"/>
      <c r="UPG187" s="1237"/>
      <c r="UPH187" s="1237"/>
      <c r="UPI187" s="1237"/>
      <c r="UPJ187" s="1237"/>
      <c r="UPK187" s="1237"/>
      <c r="UPL187" s="1237"/>
      <c r="UPM187" s="1237"/>
      <c r="UPN187" s="1237"/>
      <c r="UPO187" s="1237"/>
      <c r="UPP187" s="1237"/>
      <c r="UPQ187" s="1237"/>
      <c r="UPR187" s="1237"/>
      <c r="UPS187" s="1237"/>
      <c r="UPT187" s="1237"/>
      <c r="UPU187" s="1237"/>
      <c r="UPV187" s="1237"/>
      <c r="UPW187" s="1237"/>
      <c r="UPX187" s="1237"/>
      <c r="UPY187" s="1237"/>
      <c r="UPZ187" s="1237"/>
      <c r="UQA187" s="1237"/>
      <c r="UQB187" s="1237"/>
      <c r="UQC187" s="1237"/>
      <c r="UQD187" s="1237"/>
      <c r="UQE187" s="1237"/>
      <c r="UQF187" s="1237"/>
      <c r="UQG187" s="1237"/>
      <c r="UQH187" s="1237"/>
      <c r="UQI187" s="1237"/>
      <c r="UQJ187" s="1237"/>
      <c r="UQK187" s="1237"/>
      <c r="UQL187" s="1237"/>
      <c r="UQM187" s="1237"/>
      <c r="UQN187" s="1237"/>
      <c r="UQO187" s="1237"/>
      <c r="UQP187" s="1237"/>
      <c r="UQQ187" s="1237"/>
      <c r="UQR187" s="1237"/>
      <c r="UQS187" s="1237"/>
      <c r="UQT187" s="1237"/>
      <c r="UQU187" s="1237"/>
      <c r="UQV187" s="1237"/>
      <c r="UQW187" s="1237"/>
      <c r="UQX187" s="1237"/>
      <c r="UQY187" s="1237"/>
      <c r="UQZ187" s="1237"/>
      <c r="URA187" s="1237"/>
      <c r="URB187" s="1237"/>
      <c r="URC187" s="1237"/>
      <c r="URD187" s="1237"/>
      <c r="URE187" s="1237"/>
      <c r="URF187" s="1237"/>
      <c r="URG187" s="1237"/>
      <c r="URH187" s="1237"/>
      <c r="URI187" s="1237"/>
      <c r="URJ187" s="1237"/>
      <c r="URK187" s="1237"/>
      <c r="URL187" s="1237"/>
      <c r="URM187" s="1237"/>
      <c r="URN187" s="1237"/>
      <c r="URO187" s="1237"/>
      <c r="URP187" s="1237"/>
      <c r="URQ187" s="1237"/>
      <c r="URR187" s="1237"/>
      <c r="URS187" s="1237"/>
      <c r="URT187" s="1237"/>
      <c r="URU187" s="1237"/>
      <c r="URV187" s="1237"/>
      <c r="URW187" s="1237"/>
      <c r="URX187" s="1237"/>
      <c r="URY187" s="1237"/>
      <c r="URZ187" s="1237"/>
      <c r="USA187" s="1237"/>
      <c r="USB187" s="1237"/>
      <c r="USC187" s="1237"/>
      <c r="USD187" s="1237"/>
      <c r="USE187" s="1237"/>
      <c r="USF187" s="1237"/>
      <c r="USG187" s="1237"/>
      <c r="USH187" s="1237"/>
      <c r="USI187" s="1237"/>
      <c r="USJ187" s="1237"/>
      <c r="USK187" s="1237"/>
      <c r="USL187" s="1237"/>
      <c r="USM187" s="1237"/>
      <c r="USN187" s="1237"/>
      <c r="USO187" s="1237"/>
      <c r="USP187" s="1237"/>
      <c r="USQ187" s="1237"/>
      <c r="USR187" s="1237"/>
      <c r="USS187" s="1237"/>
      <c r="UST187" s="1237"/>
      <c r="USU187" s="1237"/>
      <c r="USV187" s="1237"/>
      <c r="USW187" s="1237"/>
      <c r="USX187" s="1237"/>
      <c r="USY187" s="1237"/>
      <c r="USZ187" s="1237"/>
      <c r="UTA187" s="1237"/>
      <c r="UTB187" s="1237"/>
      <c r="UTC187" s="1237"/>
      <c r="UTD187" s="1237"/>
      <c r="UTE187" s="1237"/>
      <c r="UTF187" s="1237"/>
      <c r="UTG187" s="1237"/>
      <c r="UTH187" s="1237"/>
      <c r="UTI187" s="1237"/>
      <c r="UTJ187" s="1237"/>
      <c r="UTK187" s="1237"/>
      <c r="UTL187" s="1237"/>
      <c r="UTM187" s="1237"/>
      <c r="UTN187" s="1237"/>
      <c r="UTO187" s="1237"/>
      <c r="UTP187" s="1237"/>
      <c r="UTQ187" s="1237"/>
      <c r="UTR187" s="1237"/>
      <c r="UTS187" s="1237"/>
      <c r="UTT187" s="1237"/>
      <c r="UTU187" s="1237"/>
      <c r="UTV187" s="1237"/>
      <c r="UTW187" s="1237"/>
      <c r="UTX187" s="1237"/>
      <c r="UTY187" s="1237"/>
      <c r="UTZ187" s="1237"/>
      <c r="UUA187" s="1237"/>
      <c r="UUB187" s="1237"/>
      <c r="UUC187" s="1237"/>
      <c r="UUD187" s="1237"/>
      <c r="UUE187" s="1237"/>
      <c r="UUF187" s="1237"/>
      <c r="UUG187" s="1237"/>
      <c r="UUH187" s="1237"/>
      <c r="UUI187" s="1237"/>
      <c r="UUJ187" s="1237"/>
      <c r="UUK187" s="1237"/>
      <c r="UUL187" s="1237"/>
      <c r="UUM187" s="1237"/>
      <c r="UUN187" s="1237"/>
      <c r="UUO187" s="1237"/>
      <c r="UUP187" s="1237"/>
      <c r="UUQ187" s="1237"/>
      <c r="UUR187" s="1237"/>
      <c r="UUS187" s="1237"/>
      <c r="UUT187" s="1237"/>
      <c r="UUU187" s="1237"/>
      <c r="UUV187" s="1237"/>
      <c r="UUW187" s="1237"/>
      <c r="UUX187" s="1237"/>
      <c r="UUY187" s="1237"/>
      <c r="UUZ187" s="1237"/>
      <c r="UVA187" s="1237"/>
      <c r="UVB187" s="1237"/>
      <c r="UVC187" s="1237"/>
      <c r="UVD187" s="1237"/>
      <c r="UVE187" s="1237"/>
      <c r="UVF187" s="1237"/>
      <c r="UVG187" s="1237"/>
      <c r="UVH187" s="1237"/>
      <c r="UVI187" s="1237"/>
      <c r="UVJ187" s="1237"/>
      <c r="UVK187" s="1237"/>
      <c r="UVL187" s="1237"/>
      <c r="UVM187" s="1237"/>
      <c r="UVN187" s="1237"/>
      <c r="UVO187" s="1237"/>
      <c r="UVP187" s="1237"/>
      <c r="UVQ187" s="1237"/>
      <c r="UVR187" s="1237"/>
      <c r="UVS187" s="1237"/>
      <c r="UVT187" s="1237"/>
      <c r="UVU187" s="1237"/>
      <c r="UVV187" s="1237"/>
      <c r="UVW187" s="1237"/>
      <c r="UVX187" s="1237"/>
      <c r="UVY187" s="1237"/>
      <c r="UVZ187" s="1237"/>
      <c r="UWA187" s="1237"/>
      <c r="UWB187" s="1237"/>
      <c r="UWC187" s="1237"/>
      <c r="UWD187" s="1237"/>
      <c r="UWE187" s="1237"/>
      <c r="UWF187" s="1237"/>
      <c r="UWG187" s="1237"/>
      <c r="UWH187" s="1237"/>
      <c r="UWI187" s="1237"/>
      <c r="UWJ187" s="1237"/>
      <c r="UWK187" s="1237"/>
      <c r="UWL187" s="1237"/>
      <c r="UWM187" s="1237"/>
      <c r="UWN187" s="1237"/>
      <c r="UWO187" s="1237"/>
      <c r="UWP187" s="1237"/>
      <c r="UWQ187" s="1237"/>
      <c r="UWR187" s="1237"/>
      <c r="UWS187" s="1237"/>
      <c r="UWT187" s="1237"/>
      <c r="UWU187" s="1237"/>
      <c r="UWV187" s="1237"/>
      <c r="UWW187" s="1237"/>
      <c r="UWX187" s="1237"/>
      <c r="UWY187" s="1237"/>
      <c r="UWZ187" s="1237"/>
      <c r="UXA187" s="1237"/>
      <c r="UXB187" s="1237"/>
      <c r="UXC187" s="1237"/>
      <c r="UXD187" s="1237"/>
      <c r="UXE187" s="1237"/>
      <c r="UXF187" s="1237"/>
      <c r="UXG187" s="1237"/>
      <c r="UXH187" s="1237"/>
      <c r="UXI187" s="1237"/>
      <c r="UXJ187" s="1237"/>
      <c r="UXK187" s="1237"/>
      <c r="UXL187" s="1237"/>
      <c r="UXM187" s="1237"/>
      <c r="UXN187" s="1237"/>
      <c r="UXO187" s="1237"/>
      <c r="UXP187" s="1237"/>
      <c r="UXQ187" s="1237"/>
      <c r="UXR187" s="1237"/>
      <c r="UXS187" s="1237"/>
      <c r="UXT187" s="1237"/>
      <c r="UXU187" s="1237"/>
      <c r="UXV187" s="1237"/>
      <c r="UXW187" s="1237"/>
      <c r="UXX187" s="1237"/>
      <c r="UXY187" s="1237"/>
      <c r="UXZ187" s="1237"/>
      <c r="UYA187" s="1237"/>
      <c r="UYB187" s="1237"/>
      <c r="UYC187" s="1237"/>
      <c r="UYD187" s="1237"/>
      <c r="UYE187" s="1237"/>
      <c r="UYF187" s="1237"/>
      <c r="UYG187" s="1237"/>
      <c r="UYH187" s="1237"/>
      <c r="UYI187" s="1237"/>
      <c r="UYJ187" s="1237"/>
      <c r="UYK187" s="1237"/>
      <c r="UYL187" s="1237"/>
      <c r="UYM187" s="1237"/>
      <c r="UYN187" s="1237"/>
      <c r="UYO187" s="1237"/>
      <c r="UYP187" s="1237"/>
      <c r="UYQ187" s="1237"/>
      <c r="UYR187" s="1237"/>
      <c r="UYS187" s="1237"/>
      <c r="UYT187" s="1237"/>
      <c r="UYU187" s="1237"/>
      <c r="UYV187" s="1237"/>
      <c r="UYW187" s="1237"/>
      <c r="UYX187" s="1237"/>
      <c r="UYY187" s="1237"/>
      <c r="UYZ187" s="1237"/>
      <c r="UZA187" s="1237"/>
      <c r="UZB187" s="1237"/>
      <c r="UZC187" s="1237"/>
      <c r="UZD187" s="1237"/>
      <c r="UZE187" s="1237"/>
      <c r="UZF187" s="1237"/>
      <c r="UZG187" s="1237"/>
      <c r="UZH187" s="1237"/>
      <c r="UZI187" s="1237"/>
      <c r="UZJ187" s="1237"/>
      <c r="UZK187" s="1237"/>
      <c r="UZL187" s="1237"/>
      <c r="UZM187" s="1237"/>
      <c r="UZN187" s="1237"/>
      <c r="UZO187" s="1237"/>
      <c r="UZP187" s="1237"/>
      <c r="UZQ187" s="1237"/>
      <c r="UZR187" s="1237"/>
      <c r="UZS187" s="1237"/>
      <c r="UZT187" s="1237"/>
      <c r="UZU187" s="1237"/>
      <c r="UZV187" s="1237"/>
      <c r="UZW187" s="1237"/>
      <c r="UZX187" s="1237"/>
      <c r="UZY187" s="1237"/>
      <c r="UZZ187" s="1237"/>
      <c r="VAA187" s="1237"/>
      <c r="VAB187" s="1237"/>
      <c r="VAC187" s="1237"/>
      <c r="VAD187" s="1237"/>
      <c r="VAE187" s="1237"/>
      <c r="VAF187" s="1237"/>
      <c r="VAG187" s="1237"/>
      <c r="VAH187" s="1237"/>
      <c r="VAI187" s="1237"/>
      <c r="VAJ187" s="1237"/>
      <c r="VAK187" s="1237"/>
      <c r="VAL187" s="1237"/>
      <c r="VAM187" s="1237"/>
      <c r="VAN187" s="1237"/>
      <c r="VAO187" s="1237"/>
      <c r="VAP187" s="1237"/>
      <c r="VAQ187" s="1237"/>
      <c r="VAR187" s="1237"/>
      <c r="VAS187" s="1237"/>
      <c r="VAT187" s="1237"/>
      <c r="VAU187" s="1237"/>
      <c r="VAV187" s="1237"/>
      <c r="VAW187" s="1237"/>
      <c r="VAX187" s="1237"/>
      <c r="VAY187" s="1237"/>
      <c r="VAZ187" s="1237"/>
      <c r="VBA187" s="1237"/>
      <c r="VBB187" s="1237"/>
      <c r="VBC187" s="1237"/>
      <c r="VBD187" s="1237"/>
      <c r="VBE187" s="1237"/>
      <c r="VBF187" s="1237"/>
      <c r="VBG187" s="1237"/>
      <c r="VBH187" s="1237"/>
      <c r="VBI187" s="1237"/>
      <c r="VBJ187" s="1237"/>
      <c r="VBK187" s="1237"/>
      <c r="VBL187" s="1237"/>
      <c r="VBM187" s="1237"/>
      <c r="VBN187" s="1237"/>
      <c r="VBO187" s="1237"/>
      <c r="VBP187" s="1237"/>
      <c r="VBQ187" s="1237"/>
      <c r="VBR187" s="1237"/>
      <c r="VBS187" s="1237"/>
      <c r="VBT187" s="1237"/>
      <c r="VBU187" s="1237"/>
      <c r="VBV187" s="1237"/>
      <c r="VBW187" s="1237"/>
      <c r="VBX187" s="1237"/>
      <c r="VBY187" s="1237"/>
      <c r="VBZ187" s="1237"/>
      <c r="VCA187" s="1237"/>
      <c r="VCB187" s="1237"/>
      <c r="VCC187" s="1237"/>
      <c r="VCD187" s="1237"/>
      <c r="VCE187" s="1237"/>
      <c r="VCF187" s="1237"/>
      <c r="VCG187" s="1237"/>
      <c r="VCH187" s="1237"/>
      <c r="VCI187" s="1237"/>
      <c r="VCJ187" s="1237"/>
      <c r="VCK187" s="1237"/>
      <c r="VCL187" s="1237"/>
      <c r="VCM187" s="1237"/>
      <c r="VCN187" s="1237"/>
      <c r="VCO187" s="1237"/>
      <c r="VCP187" s="1237"/>
      <c r="VCQ187" s="1237"/>
      <c r="VCR187" s="1237"/>
      <c r="VCS187" s="1237"/>
      <c r="VCT187" s="1237"/>
      <c r="VCU187" s="1237"/>
      <c r="VCV187" s="1237"/>
      <c r="VCW187" s="1237"/>
      <c r="VCX187" s="1237"/>
      <c r="VCY187" s="1237"/>
      <c r="VCZ187" s="1237"/>
      <c r="VDA187" s="1237"/>
      <c r="VDB187" s="1237"/>
      <c r="VDC187" s="1237"/>
      <c r="VDD187" s="1237"/>
      <c r="VDE187" s="1237"/>
      <c r="VDF187" s="1237"/>
      <c r="VDG187" s="1237"/>
      <c r="VDH187" s="1237"/>
      <c r="VDI187" s="1237"/>
      <c r="VDJ187" s="1237"/>
      <c r="VDK187" s="1237"/>
      <c r="VDL187" s="1237"/>
      <c r="VDM187" s="1237"/>
      <c r="VDN187" s="1237"/>
      <c r="VDO187" s="1237"/>
      <c r="VDP187" s="1237"/>
      <c r="VDQ187" s="1237"/>
      <c r="VDR187" s="1237"/>
      <c r="VDS187" s="1237"/>
      <c r="VDT187" s="1237"/>
      <c r="VDU187" s="1237"/>
      <c r="VDV187" s="1237"/>
      <c r="VDW187" s="1237"/>
      <c r="VDX187" s="1237"/>
      <c r="VDY187" s="1237"/>
      <c r="VDZ187" s="1237"/>
      <c r="VEA187" s="1237"/>
      <c r="VEB187" s="1237"/>
      <c r="VEC187" s="1237"/>
      <c r="VED187" s="1237"/>
      <c r="VEE187" s="1237"/>
      <c r="VEF187" s="1237"/>
      <c r="VEG187" s="1237"/>
      <c r="VEH187" s="1237"/>
      <c r="VEI187" s="1237"/>
      <c r="VEJ187" s="1237"/>
      <c r="VEK187" s="1237"/>
      <c r="VEL187" s="1237"/>
      <c r="VEM187" s="1237"/>
      <c r="VEN187" s="1237"/>
      <c r="VEO187" s="1237"/>
      <c r="VEP187" s="1237"/>
      <c r="VEQ187" s="1237"/>
      <c r="VER187" s="1237"/>
      <c r="VES187" s="1237"/>
      <c r="VET187" s="1237"/>
      <c r="VEU187" s="1237"/>
      <c r="VEV187" s="1237"/>
      <c r="VEW187" s="1237"/>
      <c r="VEX187" s="1237"/>
      <c r="VEY187" s="1237"/>
      <c r="VEZ187" s="1237"/>
      <c r="VFA187" s="1237"/>
      <c r="VFB187" s="1237"/>
      <c r="VFC187" s="1237"/>
      <c r="VFD187" s="1237"/>
      <c r="VFE187" s="1237"/>
      <c r="VFF187" s="1237"/>
      <c r="VFG187" s="1237"/>
      <c r="VFH187" s="1237"/>
      <c r="VFI187" s="1237"/>
      <c r="VFJ187" s="1237"/>
      <c r="VFK187" s="1237"/>
      <c r="VFL187" s="1237"/>
      <c r="VFM187" s="1237"/>
      <c r="VFN187" s="1237"/>
      <c r="VFO187" s="1237"/>
      <c r="VFP187" s="1237"/>
      <c r="VFQ187" s="1237"/>
      <c r="VFR187" s="1237"/>
      <c r="VFS187" s="1237"/>
      <c r="VFT187" s="1237"/>
      <c r="VFU187" s="1237"/>
      <c r="VFV187" s="1237"/>
      <c r="VFW187" s="1237"/>
      <c r="VFX187" s="1237"/>
      <c r="VFY187" s="1237"/>
      <c r="VFZ187" s="1237"/>
      <c r="VGA187" s="1237"/>
      <c r="VGB187" s="1237"/>
      <c r="VGC187" s="1237"/>
      <c r="VGD187" s="1237"/>
      <c r="VGE187" s="1237"/>
      <c r="VGF187" s="1237"/>
      <c r="VGG187" s="1237"/>
      <c r="VGH187" s="1237"/>
      <c r="VGI187" s="1237"/>
      <c r="VGJ187" s="1237"/>
      <c r="VGK187" s="1237"/>
      <c r="VGL187" s="1237"/>
      <c r="VGM187" s="1237"/>
      <c r="VGN187" s="1237"/>
      <c r="VGO187" s="1237"/>
      <c r="VGP187" s="1237"/>
      <c r="VGQ187" s="1237"/>
      <c r="VGR187" s="1237"/>
      <c r="VGS187" s="1237"/>
      <c r="VGT187" s="1237"/>
      <c r="VGU187" s="1237"/>
      <c r="VGV187" s="1237"/>
      <c r="VGW187" s="1237"/>
      <c r="VGX187" s="1237"/>
      <c r="VGY187" s="1237"/>
      <c r="VGZ187" s="1237"/>
      <c r="VHA187" s="1237"/>
      <c r="VHB187" s="1237"/>
      <c r="VHC187" s="1237"/>
      <c r="VHD187" s="1237"/>
      <c r="VHE187" s="1237"/>
      <c r="VHF187" s="1237"/>
      <c r="VHG187" s="1237"/>
      <c r="VHH187" s="1237"/>
      <c r="VHI187" s="1237"/>
      <c r="VHJ187" s="1237"/>
      <c r="VHK187" s="1237"/>
      <c r="VHL187" s="1237"/>
      <c r="VHM187" s="1237"/>
      <c r="VHN187" s="1237"/>
      <c r="VHO187" s="1237"/>
      <c r="VHP187" s="1237"/>
      <c r="VHQ187" s="1237"/>
      <c r="VHR187" s="1237"/>
      <c r="VHS187" s="1237"/>
      <c r="VHT187" s="1237"/>
      <c r="VHU187" s="1237"/>
      <c r="VHV187" s="1237"/>
      <c r="VHW187" s="1237"/>
      <c r="VHX187" s="1237"/>
      <c r="VHY187" s="1237"/>
      <c r="VHZ187" s="1237"/>
      <c r="VIA187" s="1237"/>
      <c r="VIB187" s="1237"/>
      <c r="VIC187" s="1237"/>
      <c r="VID187" s="1237"/>
      <c r="VIE187" s="1237"/>
      <c r="VIF187" s="1237"/>
      <c r="VIG187" s="1237"/>
      <c r="VIH187" s="1237"/>
      <c r="VII187" s="1237"/>
      <c r="VIJ187" s="1237"/>
      <c r="VIK187" s="1237"/>
      <c r="VIL187" s="1237"/>
      <c r="VIM187" s="1237"/>
      <c r="VIN187" s="1237"/>
      <c r="VIO187" s="1237"/>
      <c r="VIP187" s="1237"/>
      <c r="VIQ187" s="1237"/>
      <c r="VIR187" s="1237"/>
      <c r="VIS187" s="1237"/>
      <c r="VIT187" s="1237"/>
      <c r="VIU187" s="1237"/>
      <c r="VIV187" s="1237"/>
      <c r="VIW187" s="1237"/>
      <c r="VIX187" s="1237"/>
      <c r="VIY187" s="1237"/>
      <c r="VIZ187" s="1237"/>
      <c r="VJA187" s="1237"/>
      <c r="VJB187" s="1237"/>
      <c r="VJC187" s="1237"/>
      <c r="VJD187" s="1237"/>
      <c r="VJE187" s="1237"/>
      <c r="VJF187" s="1237"/>
      <c r="VJG187" s="1237"/>
      <c r="VJH187" s="1237"/>
      <c r="VJI187" s="1237"/>
      <c r="VJJ187" s="1237"/>
      <c r="VJK187" s="1237"/>
      <c r="VJL187" s="1237"/>
      <c r="VJM187" s="1237"/>
      <c r="VJN187" s="1237"/>
      <c r="VJO187" s="1237"/>
      <c r="VJP187" s="1237"/>
      <c r="VJQ187" s="1237"/>
      <c r="VJR187" s="1237"/>
      <c r="VJS187" s="1237"/>
      <c r="VJT187" s="1237"/>
      <c r="VJU187" s="1237"/>
      <c r="VJV187" s="1237"/>
      <c r="VJW187" s="1237"/>
      <c r="VJX187" s="1237"/>
      <c r="VJY187" s="1237"/>
      <c r="VJZ187" s="1237"/>
      <c r="VKA187" s="1237"/>
      <c r="VKB187" s="1237"/>
      <c r="VKC187" s="1237"/>
      <c r="VKD187" s="1237"/>
      <c r="VKE187" s="1237"/>
      <c r="VKF187" s="1237"/>
      <c r="VKG187" s="1237"/>
      <c r="VKH187" s="1237"/>
      <c r="VKI187" s="1237"/>
      <c r="VKJ187" s="1237"/>
      <c r="VKK187" s="1237"/>
      <c r="VKL187" s="1237"/>
      <c r="VKM187" s="1237"/>
      <c r="VKN187" s="1237"/>
      <c r="VKO187" s="1237"/>
      <c r="VKP187" s="1237"/>
      <c r="VKQ187" s="1237"/>
      <c r="VKR187" s="1237"/>
      <c r="VKS187" s="1237"/>
      <c r="VKT187" s="1237"/>
      <c r="VKU187" s="1237"/>
      <c r="VKV187" s="1237"/>
      <c r="VKW187" s="1237"/>
      <c r="VKX187" s="1237"/>
      <c r="VKY187" s="1237"/>
      <c r="VKZ187" s="1237"/>
      <c r="VLA187" s="1237"/>
      <c r="VLB187" s="1237"/>
      <c r="VLC187" s="1237"/>
      <c r="VLD187" s="1237"/>
      <c r="VLE187" s="1237"/>
      <c r="VLF187" s="1237"/>
      <c r="VLG187" s="1237"/>
      <c r="VLH187" s="1237"/>
      <c r="VLI187" s="1237"/>
      <c r="VLJ187" s="1237"/>
      <c r="VLK187" s="1237"/>
      <c r="VLL187" s="1237"/>
      <c r="VLM187" s="1237"/>
      <c r="VLN187" s="1237"/>
      <c r="VLO187" s="1237"/>
      <c r="VLP187" s="1237"/>
      <c r="VLQ187" s="1237"/>
      <c r="VLR187" s="1237"/>
      <c r="VLS187" s="1237"/>
      <c r="VLT187" s="1237"/>
      <c r="VLU187" s="1237"/>
      <c r="VLV187" s="1237"/>
      <c r="VLW187" s="1237"/>
      <c r="VLX187" s="1237"/>
      <c r="VLY187" s="1237"/>
      <c r="VLZ187" s="1237"/>
      <c r="VMA187" s="1237"/>
      <c r="VMB187" s="1237"/>
      <c r="VMC187" s="1237"/>
      <c r="VMD187" s="1237"/>
      <c r="VME187" s="1237"/>
      <c r="VMF187" s="1237"/>
      <c r="VMG187" s="1237"/>
      <c r="VMH187" s="1237"/>
      <c r="VMI187" s="1237"/>
      <c r="VMJ187" s="1237"/>
      <c r="VMK187" s="1237"/>
      <c r="VML187" s="1237"/>
      <c r="VMM187" s="1237"/>
      <c r="VMN187" s="1237"/>
      <c r="VMO187" s="1237"/>
      <c r="VMP187" s="1237"/>
      <c r="VMQ187" s="1237"/>
      <c r="VMR187" s="1237"/>
      <c r="VMS187" s="1237"/>
      <c r="VMT187" s="1237"/>
      <c r="VMU187" s="1237"/>
      <c r="VMV187" s="1237"/>
      <c r="VMW187" s="1237"/>
      <c r="VMX187" s="1237"/>
      <c r="VMY187" s="1237"/>
      <c r="VMZ187" s="1237"/>
      <c r="VNA187" s="1237"/>
      <c r="VNB187" s="1237"/>
      <c r="VNC187" s="1237"/>
      <c r="VND187" s="1237"/>
      <c r="VNE187" s="1237"/>
      <c r="VNF187" s="1237"/>
      <c r="VNG187" s="1237"/>
      <c r="VNH187" s="1237"/>
      <c r="VNI187" s="1237"/>
      <c r="VNJ187" s="1237"/>
      <c r="VNK187" s="1237"/>
      <c r="VNL187" s="1237"/>
      <c r="VNM187" s="1237"/>
      <c r="VNN187" s="1237"/>
      <c r="VNO187" s="1237"/>
      <c r="VNP187" s="1237"/>
      <c r="VNQ187" s="1237"/>
      <c r="VNR187" s="1237"/>
      <c r="VNS187" s="1237"/>
      <c r="VNT187" s="1237"/>
      <c r="VNU187" s="1237"/>
      <c r="VNV187" s="1237"/>
      <c r="VNW187" s="1237"/>
      <c r="VNX187" s="1237"/>
      <c r="VNY187" s="1237"/>
      <c r="VNZ187" s="1237"/>
      <c r="VOA187" s="1237"/>
      <c r="VOB187" s="1237"/>
      <c r="VOC187" s="1237"/>
      <c r="VOD187" s="1237"/>
      <c r="VOE187" s="1237"/>
      <c r="VOF187" s="1237"/>
      <c r="VOG187" s="1237"/>
      <c r="VOH187" s="1237"/>
      <c r="VOI187" s="1237"/>
      <c r="VOJ187" s="1237"/>
      <c r="VOK187" s="1237"/>
      <c r="VOL187" s="1237"/>
      <c r="VOM187" s="1237"/>
      <c r="VON187" s="1237"/>
      <c r="VOO187" s="1237"/>
      <c r="VOP187" s="1237"/>
      <c r="VOQ187" s="1237"/>
      <c r="VOR187" s="1237"/>
      <c r="VOS187" s="1237"/>
      <c r="VOT187" s="1237"/>
      <c r="VOU187" s="1237"/>
      <c r="VOV187" s="1237"/>
      <c r="VOW187" s="1237"/>
      <c r="VOX187" s="1237"/>
      <c r="VOY187" s="1237"/>
      <c r="VOZ187" s="1237"/>
      <c r="VPA187" s="1237"/>
      <c r="VPB187" s="1237"/>
      <c r="VPC187" s="1237"/>
      <c r="VPD187" s="1237"/>
      <c r="VPE187" s="1237"/>
      <c r="VPF187" s="1237"/>
      <c r="VPG187" s="1237"/>
      <c r="VPH187" s="1237"/>
      <c r="VPI187" s="1237"/>
      <c r="VPJ187" s="1237"/>
      <c r="VPK187" s="1237"/>
      <c r="VPL187" s="1237"/>
      <c r="VPM187" s="1237"/>
      <c r="VPN187" s="1237"/>
      <c r="VPO187" s="1237"/>
      <c r="VPP187" s="1237"/>
      <c r="VPQ187" s="1237"/>
      <c r="VPR187" s="1237"/>
      <c r="VPS187" s="1237"/>
      <c r="VPT187" s="1237"/>
      <c r="VPU187" s="1237"/>
      <c r="VPV187" s="1237"/>
      <c r="VPW187" s="1237"/>
      <c r="VPX187" s="1237"/>
      <c r="VPY187" s="1237"/>
      <c r="VPZ187" s="1237"/>
      <c r="VQA187" s="1237"/>
      <c r="VQB187" s="1237"/>
      <c r="VQC187" s="1237"/>
      <c r="VQD187" s="1237"/>
      <c r="VQE187" s="1237"/>
      <c r="VQF187" s="1237"/>
      <c r="VQG187" s="1237"/>
      <c r="VQH187" s="1237"/>
      <c r="VQI187" s="1237"/>
      <c r="VQJ187" s="1237"/>
      <c r="VQK187" s="1237"/>
      <c r="VQL187" s="1237"/>
      <c r="VQM187" s="1237"/>
      <c r="VQN187" s="1237"/>
      <c r="VQO187" s="1237"/>
      <c r="VQP187" s="1237"/>
      <c r="VQQ187" s="1237"/>
      <c r="VQR187" s="1237"/>
      <c r="VQS187" s="1237"/>
      <c r="VQT187" s="1237"/>
      <c r="VQU187" s="1237"/>
      <c r="VQV187" s="1237"/>
      <c r="VQW187" s="1237"/>
      <c r="VQX187" s="1237"/>
      <c r="VQY187" s="1237"/>
      <c r="VQZ187" s="1237"/>
      <c r="VRA187" s="1237"/>
      <c r="VRB187" s="1237"/>
      <c r="VRC187" s="1237"/>
      <c r="VRD187" s="1237"/>
      <c r="VRE187" s="1237"/>
      <c r="VRF187" s="1237"/>
      <c r="VRG187" s="1237"/>
      <c r="VRH187" s="1237"/>
      <c r="VRI187" s="1237"/>
      <c r="VRJ187" s="1237"/>
      <c r="VRK187" s="1237"/>
      <c r="VRL187" s="1237"/>
      <c r="VRM187" s="1237"/>
      <c r="VRN187" s="1237"/>
      <c r="VRO187" s="1237"/>
      <c r="VRP187" s="1237"/>
      <c r="VRQ187" s="1237"/>
      <c r="VRR187" s="1237"/>
      <c r="VRS187" s="1237"/>
      <c r="VRT187" s="1237"/>
      <c r="VRU187" s="1237"/>
      <c r="VRV187" s="1237"/>
      <c r="VRW187" s="1237"/>
      <c r="VRX187" s="1237"/>
      <c r="VRY187" s="1237"/>
      <c r="VRZ187" s="1237"/>
      <c r="VSA187" s="1237"/>
      <c r="VSB187" s="1237"/>
      <c r="VSC187" s="1237"/>
      <c r="VSD187" s="1237"/>
      <c r="VSE187" s="1237"/>
      <c r="VSF187" s="1237"/>
      <c r="VSG187" s="1237"/>
      <c r="VSH187" s="1237"/>
      <c r="VSI187" s="1237"/>
      <c r="VSJ187" s="1237"/>
      <c r="VSK187" s="1237"/>
      <c r="VSL187" s="1237"/>
      <c r="VSM187" s="1237"/>
      <c r="VSN187" s="1237"/>
      <c r="VSO187" s="1237"/>
      <c r="VSP187" s="1237"/>
      <c r="VSQ187" s="1237"/>
      <c r="VSR187" s="1237"/>
      <c r="VSS187" s="1237"/>
      <c r="VST187" s="1237"/>
      <c r="VSU187" s="1237"/>
      <c r="VSV187" s="1237"/>
      <c r="VSW187" s="1237"/>
      <c r="VSX187" s="1237"/>
      <c r="VSY187" s="1237"/>
      <c r="VSZ187" s="1237"/>
      <c r="VTA187" s="1237"/>
      <c r="VTB187" s="1237"/>
      <c r="VTC187" s="1237"/>
      <c r="VTD187" s="1237"/>
      <c r="VTE187" s="1237"/>
      <c r="VTF187" s="1237"/>
      <c r="VTG187" s="1237"/>
      <c r="VTH187" s="1237"/>
      <c r="VTI187" s="1237"/>
      <c r="VTJ187" s="1237"/>
      <c r="VTK187" s="1237"/>
      <c r="VTL187" s="1237"/>
      <c r="VTM187" s="1237"/>
      <c r="VTN187" s="1237"/>
      <c r="VTO187" s="1237"/>
      <c r="VTP187" s="1237"/>
      <c r="VTQ187" s="1237"/>
      <c r="VTR187" s="1237"/>
      <c r="VTS187" s="1237"/>
      <c r="VTT187" s="1237"/>
      <c r="VTU187" s="1237"/>
      <c r="VTV187" s="1237"/>
      <c r="VTW187" s="1237"/>
      <c r="VTX187" s="1237"/>
      <c r="VTY187" s="1237"/>
      <c r="VTZ187" s="1237"/>
      <c r="VUA187" s="1237"/>
      <c r="VUB187" s="1237"/>
      <c r="VUC187" s="1237"/>
      <c r="VUD187" s="1237"/>
      <c r="VUE187" s="1237"/>
      <c r="VUF187" s="1237"/>
      <c r="VUG187" s="1237"/>
      <c r="VUH187" s="1237"/>
      <c r="VUI187" s="1237"/>
      <c r="VUJ187" s="1237"/>
      <c r="VUK187" s="1237"/>
      <c r="VUL187" s="1237"/>
      <c r="VUM187" s="1237"/>
      <c r="VUN187" s="1237"/>
      <c r="VUO187" s="1237"/>
      <c r="VUP187" s="1237"/>
      <c r="VUQ187" s="1237"/>
      <c r="VUR187" s="1237"/>
      <c r="VUS187" s="1237"/>
      <c r="VUT187" s="1237"/>
      <c r="VUU187" s="1237"/>
      <c r="VUV187" s="1237"/>
      <c r="VUW187" s="1237"/>
      <c r="VUX187" s="1237"/>
      <c r="VUY187" s="1237"/>
      <c r="VUZ187" s="1237"/>
      <c r="VVA187" s="1237"/>
      <c r="VVB187" s="1237"/>
      <c r="VVC187" s="1237"/>
      <c r="VVD187" s="1237"/>
      <c r="VVE187" s="1237"/>
      <c r="VVF187" s="1237"/>
      <c r="VVG187" s="1237"/>
      <c r="VVH187" s="1237"/>
      <c r="VVI187" s="1237"/>
      <c r="VVJ187" s="1237"/>
      <c r="VVK187" s="1237"/>
      <c r="VVL187" s="1237"/>
      <c r="VVM187" s="1237"/>
      <c r="VVN187" s="1237"/>
      <c r="VVO187" s="1237"/>
      <c r="VVP187" s="1237"/>
      <c r="VVQ187" s="1237"/>
      <c r="VVR187" s="1237"/>
      <c r="VVS187" s="1237"/>
      <c r="VVT187" s="1237"/>
      <c r="VVU187" s="1237"/>
      <c r="VVV187" s="1237"/>
      <c r="VVW187" s="1237"/>
      <c r="VVX187" s="1237"/>
      <c r="VVY187" s="1237"/>
      <c r="VVZ187" s="1237"/>
      <c r="VWA187" s="1237"/>
      <c r="VWB187" s="1237"/>
      <c r="VWC187" s="1237"/>
      <c r="VWD187" s="1237"/>
      <c r="VWE187" s="1237"/>
      <c r="VWF187" s="1237"/>
      <c r="VWG187" s="1237"/>
      <c r="VWH187" s="1237"/>
      <c r="VWI187" s="1237"/>
      <c r="VWJ187" s="1237"/>
      <c r="VWK187" s="1237"/>
      <c r="VWL187" s="1237"/>
      <c r="VWM187" s="1237"/>
      <c r="VWN187" s="1237"/>
      <c r="VWO187" s="1237"/>
      <c r="VWP187" s="1237"/>
      <c r="VWQ187" s="1237"/>
      <c r="VWR187" s="1237"/>
      <c r="VWS187" s="1237"/>
      <c r="VWT187" s="1237"/>
      <c r="VWU187" s="1237"/>
      <c r="VWV187" s="1237"/>
      <c r="VWW187" s="1237"/>
      <c r="VWX187" s="1237"/>
      <c r="VWY187" s="1237"/>
      <c r="VWZ187" s="1237"/>
      <c r="VXA187" s="1237"/>
      <c r="VXB187" s="1237"/>
      <c r="VXC187" s="1237"/>
      <c r="VXD187" s="1237"/>
      <c r="VXE187" s="1237"/>
      <c r="VXF187" s="1237"/>
      <c r="VXG187" s="1237"/>
      <c r="VXH187" s="1237"/>
      <c r="VXI187" s="1237"/>
      <c r="VXJ187" s="1237"/>
      <c r="VXK187" s="1237"/>
      <c r="VXL187" s="1237"/>
      <c r="VXM187" s="1237"/>
      <c r="VXN187" s="1237"/>
      <c r="VXO187" s="1237"/>
      <c r="VXP187" s="1237"/>
      <c r="VXQ187" s="1237"/>
      <c r="VXR187" s="1237"/>
      <c r="VXS187" s="1237"/>
      <c r="VXT187" s="1237"/>
      <c r="VXU187" s="1237"/>
      <c r="VXV187" s="1237"/>
      <c r="VXW187" s="1237"/>
      <c r="VXX187" s="1237"/>
      <c r="VXY187" s="1237"/>
      <c r="VXZ187" s="1237"/>
      <c r="VYA187" s="1237"/>
      <c r="VYB187" s="1237"/>
      <c r="VYC187" s="1237"/>
      <c r="VYD187" s="1237"/>
      <c r="VYE187" s="1237"/>
      <c r="VYF187" s="1237"/>
      <c r="VYG187" s="1237"/>
      <c r="VYH187" s="1237"/>
      <c r="VYI187" s="1237"/>
      <c r="VYJ187" s="1237"/>
      <c r="VYK187" s="1237"/>
      <c r="VYL187" s="1237"/>
      <c r="VYM187" s="1237"/>
      <c r="VYN187" s="1237"/>
      <c r="VYO187" s="1237"/>
      <c r="VYP187" s="1237"/>
      <c r="VYQ187" s="1237"/>
      <c r="VYR187" s="1237"/>
      <c r="VYS187" s="1237"/>
      <c r="VYT187" s="1237"/>
      <c r="VYU187" s="1237"/>
      <c r="VYV187" s="1237"/>
      <c r="VYW187" s="1237"/>
      <c r="VYX187" s="1237"/>
      <c r="VYY187" s="1237"/>
      <c r="VYZ187" s="1237"/>
      <c r="VZA187" s="1237"/>
      <c r="VZB187" s="1237"/>
      <c r="VZC187" s="1237"/>
      <c r="VZD187" s="1237"/>
      <c r="VZE187" s="1237"/>
      <c r="VZF187" s="1237"/>
      <c r="VZG187" s="1237"/>
      <c r="VZH187" s="1237"/>
      <c r="VZI187" s="1237"/>
      <c r="VZJ187" s="1237"/>
      <c r="VZK187" s="1237"/>
      <c r="VZL187" s="1237"/>
      <c r="VZM187" s="1237"/>
      <c r="VZN187" s="1237"/>
      <c r="VZO187" s="1237"/>
      <c r="VZP187" s="1237"/>
      <c r="VZQ187" s="1237"/>
      <c r="VZR187" s="1237"/>
      <c r="VZS187" s="1237"/>
      <c r="VZT187" s="1237"/>
      <c r="VZU187" s="1237"/>
      <c r="VZV187" s="1237"/>
      <c r="VZW187" s="1237"/>
      <c r="VZX187" s="1237"/>
      <c r="VZY187" s="1237"/>
      <c r="VZZ187" s="1237"/>
      <c r="WAA187" s="1237"/>
      <c r="WAB187" s="1237"/>
      <c r="WAC187" s="1237"/>
      <c r="WAD187" s="1237"/>
      <c r="WAE187" s="1237"/>
      <c r="WAF187" s="1237"/>
      <c r="WAG187" s="1237"/>
      <c r="WAH187" s="1237"/>
      <c r="WAI187" s="1237"/>
      <c r="WAJ187" s="1237"/>
      <c r="WAK187" s="1237"/>
      <c r="WAL187" s="1237"/>
      <c r="WAM187" s="1237"/>
      <c r="WAN187" s="1237"/>
      <c r="WAO187" s="1237"/>
      <c r="WAP187" s="1237"/>
      <c r="WAQ187" s="1237"/>
      <c r="WAR187" s="1237"/>
      <c r="WAS187" s="1237"/>
      <c r="WAT187" s="1237"/>
      <c r="WAU187" s="1237"/>
      <c r="WAV187" s="1237"/>
      <c r="WAW187" s="1237"/>
      <c r="WAX187" s="1237"/>
      <c r="WAY187" s="1237"/>
      <c r="WAZ187" s="1237"/>
      <c r="WBA187" s="1237"/>
      <c r="WBB187" s="1237"/>
      <c r="WBC187" s="1237"/>
      <c r="WBD187" s="1237"/>
      <c r="WBE187" s="1237"/>
      <c r="WBF187" s="1237"/>
      <c r="WBG187" s="1237"/>
      <c r="WBH187" s="1237"/>
      <c r="WBI187" s="1237"/>
      <c r="WBJ187" s="1237"/>
      <c r="WBK187" s="1237"/>
      <c r="WBL187" s="1237"/>
      <c r="WBM187" s="1237"/>
      <c r="WBN187" s="1237"/>
      <c r="WBO187" s="1237"/>
      <c r="WBP187" s="1237"/>
      <c r="WBQ187" s="1237"/>
      <c r="WBR187" s="1237"/>
      <c r="WBS187" s="1237"/>
      <c r="WBT187" s="1237"/>
      <c r="WBU187" s="1237"/>
      <c r="WBV187" s="1237"/>
      <c r="WBW187" s="1237"/>
      <c r="WBX187" s="1237"/>
      <c r="WBY187" s="1237"/>
      <c r="WBZ187" s="1237"/>
      <c r="WCA187" s="1237"/>
      <c r="WCB187" s="1237"/>
      <c r="WCC187" s="1237"/>
      <c r="WCD187" s="1237"/>
      <c r="WCE187" s="1237"/>
      <c r="WCF187" s="1237"/>
      <c r="WCG187" s="1237"/>
      <c r="WCH187" s="1237"/>
      <c r="WCI187" s="1237"/>
      <c r="WCJ187" s="1237"/>
      <c r="WCK187" s="1237"/>
      <c r="WCL187" s="1237"/>
      <c r="WCM187" s="1237"/>
      <c r="WCN187" s="1237"/>
      <c r="WCO187" s="1237"/>
      <c r="WCP187" s="1237"/>
      <c r="WCQ187" s="1237"/>
      <c r="WCR187" s="1237"/>
      <c r="WCS187" s="1237"/>
      <c r="WCT187" s="1237"/>
      <c r="WCU187" s="1237"/>
      <c r="WCV187" s="1237"/>
      <c r="WCW187" s="1237"/>
      <c r="WCX187" s="1237"/>
      <c r="WCY187" s="1237"/>
      <c r="WCZ187" s="1237"/>
      <c r="WDA187" s="1237"/>
      <c r="WDB187" s="1237"/>
      <c r="WDC187" s="1237"/>
      <c r="WDD187" s="1237"/>
      <c r="WDE187" s="1237"/>
      <c r="WDF187" s="1237"/>
      <c r="WDG187" s="1237"/>
      <c r="WDH187" s="1237"/>
      <c r="WDI187" s="1237"/>
      <c r="WDJ187" s="1237"/>
      <c r="WDK187" s="1237"/>
      <c r="WDL187" s="1237"/>
      <c r="WDM187" s="1237"/>
      <c r="WDN187" s="1237"/>
      <c r="WDO187" s="1237"/>
      <c r="WDP187" s="1237"/>
      <c r="WDQ187" s="1237"/>
      <c r="WDR187" s="1237"/>
      <c r="WDS187" s="1237"/>
      <c r="WDT187" s="1237"/>
      <c r="WDU187" s="1237"/>
      <c r="WDV187" s="1237"/>
      <c r="WDW187" s="1237"/>
      <c r="WDX187" s="1237"/>
      <c r="WDY187" s="1237"/>
      <c r="WDZ187" s="1237"/>
      <c r="WEA187" s="1237"/>
      <c r="WEB187" s="1237"/>
      <c r="WEC187" s="1237"/>
      <c r="WED187" s="1237"/>
      <c r="WEE187" s="1237"/>
      <c r="WEF187" s="1237"/>
      <c r="WEG187" s="1237"/>
      <c r="WEH187" s="1237"/>
      <c r="WEI187" s="1237"/>
      <c r="WEJ187" s="1237"/>
      <c r="WEK187" s="1237"/>
      <c r="WEL187" s="1237"/>
      <c r="WEM187" s="1237"/>
      <c r="WEN187" s="1237"/>
      <c r="WEO187" s="1237"/>
      <c r="WEP187" s="1237"/>
      <c r="WEQ187" s="1237"/>
      <c r="WER187" s="1237"/>
      <c r="WES187" s="1237"/>
      <c r="WET187" s="1237"/>
      <c r="WEU187" s="1237"/>
      <c r="WEV187" s="1237"/>
      <c r="WEW187" s="1237"/>
      <c r="WEX187" s="1237"/>
      <c r="WEY187" s="1237"/>
      <c r="WEZ187" s="1237"/>
      <c r="WFA187" s="1237"/>
      <c r="WFB187" s="1237"/>
      <c r="WFC187" s="1237"/>
      <c r="WFD187" s="1237"/>
      <c r="WFE187" s="1237"/>
      <c r="WFF187" s="1237"/>
      <c r="WFG187" s="1237"/>
      <c r="WFH187" s="1237"/>
      <c r="WFI187" s="1237"/>
      <c r="WFJ187" s="1237"/>
      <c r="WFK187" s="1237"/>
      <c r="WFL187" s="1237"/>
      <c r="WFM187" s="1237"/>
      <c r="WFN187" s="1237"/>
      <c r="WFO187" s="1237"/>
      <c r="WFP187" s="1237"/>
      <c r="WFQ187" s="1237"/>
      <c r="WFR187" s="1237"/>
      <c r="WFS187" s="1237"/>
      <c r="WFT187" s="1237"/>
      <c r="WFU187" s="1237"/>
      <c r="WFV187" s="1237"/>
      <c r="WFW187" s="1237"/>
      <c r="WFX187" s="1237"/>
      <c r="WFY187" s="1237"/>
      <c r="WFZ187" s="1237"/>
      <c r="WGA187" s="1237"/>
      <c r="WGB187" s="1237"/>
      <c r="WGC187" s="1237"/>
      <c r="WGD187" s="1237"/>
      <c r="WGE187" s="1237"/>
      <c r="WGF187" s="1237"/>
      <c r="WGG187" s="1237"/>
      <c r="WGH187" s="1237"/>
      <c r="WGI187" s="1237"/>
      <c r="WGJ187" s="1237"/>
      <c r="WGK187" s="1237"/>
      <c r="WGL187" s="1237"/>
      <c r="WGM187" s="1237"/>
      <c r="WGN187" s="1237"/>
      <c r="WGO187" s="1237"/>
      <c r="WGP187" s="1237"/>
      <c r="WGQ187" s="1237"/>
      <c r="WGR187" s="1237"/>
      <c r="WGS187" s="1237"/>
      <c r="WGT187" s="1237"/>
      <c r="WGU187" s="1237"/>
      <c r="WGV187" s="1237"/>
      <c r="WGW187" s="1237"/>
      <c r="WGX187" s="1237"/>
      <c r="WGY187" s="1237"/>
      <c r="WGZ187" s="1237"/>
      <c r="WHA187" s="1237"/>
      <c r="WHB187" s="1237"/>
      <c r="WHC187" s="1237"/>
      <c r="WHD187" s="1237"/>
      <c r="WHE187" s="1237"/>
      <c r="WHF187" s="1237"/>
      <c r="WHG187" s="1237"/>
      <c r="WHH187" s="1237"/>
      <c r="WHI187" s="1237"/>
      <c r="WHJ187" s="1237"/>
      <c r="WHK187" s="1237"/>
      <c r="WHL187" s="1237"/>
      <c r="WHM187" s="1237"/>
      <c r="WHN187" s="1237"/>
      <c r="WHO187" s="1237"/>
      <c r="WHP187" s="1237"/>
      <c r="WHQ187" s="1237"/>
      <c r="WHR187" s="1237"/>
      <c r="WHS187" s="1237"/>
      <c r="WHT187" s="1237"/>
      <c r="WHU187" s="1237"/>
      <c r="WHV187" s="1237"/>
      <c r="WHW187" s="1237"/>
      <c r="WHX187" s="1237"/>
      <c r="WHY187" s="1237"/>
      <c r="WHZ187" s="1237"/>
      <c r="WIA187" s="1237"/>
      <c r="WIB187" s="1237"/>
      <c r="WIC187" s="1237"/>
      <c r="WID187" s="1237"/>
      <c r="WIE187" s="1237"/>
      <c r="WIF187" s="1237"/>
      <c r="WIG187" s="1237"/>
      <c r="WIH187" s="1237"/>
      <c r="WII187" s="1237"/>
      <c r="WIJ187" s="1237"/>
      <c r="WIK187" s="1237"/>
      <c r="WIL187" s="1237"/>
      <c r="WIM187" s="1237"/>
      <c r="WIN187" s="1237"/>
      <c r="WIO187" s="1237"/>
      <c r="WIP187" s="1237"/>
      <c r="WIQ187" s="1237"/>
      <c r="WIR187" s="1237"/>
      <c r="WIS187" s="1237"/>
      <c r="WIT187" s="1237"/>
      <c r="WIU187" s="1237"/>
      <c r="WIV187" s="1237"/>
      <c r="WIW187" s="1237"/>
      <c r="WIX187" s="1237"/>
      <c r="WIY187" s="1237"/>
      <c r="WIZ187" s="1237"/>
      <c r="WJA187" s="1237"/>
      <c r="WJB187" s="1237"/>
      <c r="WJC187" s="1237"/>
      <c r="WJD187" s="1237"/>
      <c r="WJE187" s="1237"/>
      <c r="WJF187" s="1237"/>
      <c r="WJG187" s="1237"/>
      <c r="WJH187" s="1237"/>
      <c r="WJI187" s="1237"/>
      <c r="WJJ187" s="1237"/>
      <c r="WJK187" s="1237"/>
      <c r="WJL187" s="1237"/>
      <c r="WJM187" s="1237"/>
      <c r="WJN187" s="1237"/>
      <c r="WJO187" s="1237"/>
      <c r="WJP187" s="1237"/>
      <c r="WJQ187" s="1237"/>
      <c r="WJR187" s="1237"/>
      <c r="WJS187" s="1237"/>
      <c r="WJT187" s="1237"/>
      <c r="WJU187" s="1237"/>
      <c r="WJV187" s="1237"/>
      <c r="WJW187" s="1237"/>
      <c r="WJX187" s="1237"/>
      <c r="WJY187" s="1237"/>
      <c r="WJZ187" s="1237"/>
      <c r="WKA187" s="1237"/>
      <c r="WKB187" s="1237"/>
      <c r="WKC187" s="1237"/>
      <c r="WKD187" s="1237"/>
      <c r="WKE187" s="1237"/>
      <c r="WKF187" s="1237"/>
      <c r="WKG187" s="1237"/>
      <c r="WKH187" s="1237"/>
      <c r="WKI187" s="1237"/>
      <c r="WKJ187" s="1237"/>
      <c r="WKK187" s="1237"/>
      <c r="WKL187" s="1237"/>
      <c r="WKM187" s="1237"/>
      <c r="WKN187" s="1237"/>
      <c r="WKO187" s="1237"/>
      <c r="WKP187" s="1237"/>
      <c r="WKQ187" s="1237"/>
      <c r="WKR187" s="1237"/>
      <c r="WKS187" s="1237"/>
      <c r="WKT187" s="1237"/>
      <c r="WKU187" s="1237"/>
      <c r="WKV187" s="1237"/>
      <c r="WKW187" s="1237"/>
      <c r="WKX187" s="1237"/>
      <c r="WKY187" s="1237"/>
      <c r="WKZ187" s="1237"/>
      <c r="WLA187" s="1237"/>
      <c r="WLB187" s="1237"/>
      <c r="WLC187" s="1237"/>
      <c r="WLD187" s="1237"/>
      <c r="WLE187" s="1237"/>
      <c r="WLF187" s="1237"/>
      <c r="WLG187" s="1237"/>
      <c r="WLH187" s="1237"/>
      <c r="WLI187" s="1237"/>
      <c r="WLJ187" s="1237"/>
      <c r="WLK187" s="1237"/>
      <c r="WLL187" s="1237"/>
      <c r="WLM187" s="1237"/>
      <c r="WLN187" s="1237"/>
      <c r="WLO187" s="1237"/>
      <c r="WLP187" s="1237"/>
      <c r="WLQ187" s="1237"/>
      <c r="WLR187" s="1237"/>
      <c r="WLS187" s="1237"/>
      <c r="WLT187" s="1237"/>
      <c r="WLU187" s="1237"/>
      <c r="WLV187" s="1237"/>
      <c r="WLW187" s="1237"/>
      <c r="WLX187" s="1237"/>
      <c r="WLY187" s="1237"/>
      <c r="WLZ187" s="1237"/>
      <c r="WMA187" s="1237"/>
      <c r="WMB187" s="1237"/>
      <c r="WMC187" s="1237"/>
      <c r="WMD187" s="1237"/>
      <c r="WME187" s="1237"/>
      <c r="WMF187" s="1237"/>
      <c r="WMG187" s="1237"/>
      <c r="WMH187" s="1237"/>
      <c r="WMI187" s="1237"/>
      <c r="WMJ187" s="1237"/>
      <c r="WMK187" s="1237"/>
      <c r="WML187" s="1237"/>
      <c r="WMM187" s="1237"/>
      <c r="WMN187" s="1237"/>
      <c r="WMO187" s="1237"/>
      <c r="WMP187" s="1237"/>
      <c r="WMQ187" s="1237"/>
      <c r="WMR187" s="1237"/>
      <c r="WMS187" s="1237"/>
      <c r="WMT187" s="1237"/>
      <c r="WMU187" s="1237"/>
      <c r="WMV187" s="1237"/>
      <c r="WMW187" s="1237"/>
      <c r="WMX187" s="1237"/>
      <c r="WMY187" s="1237"/>
      <c r="WMZ187" s="1237"/>
      <c r="WNA187" s="1237"/>
      <c r="WNB187" s="1237"/>
      <c r="WNC187" s="1237"/>
      <c r="WND187" s="1237"/>
      <c r="WNE187" s="1237"/>
      <c r="WNF187" s="1237"/>
      <c r="WNG187" s="1237"/>
      <c r="WNH187" s="1237"/>
      <c r="WNI187" s="1237"/>
      <c r="WNJ187" s="1237"/>
      <c r="WNK187" s="1237"/>
      <c r="WNL187" s="1237"/>
      <c r="WNM187" s="1237"/>
      <c r="WNN187" s="1237"/>
      <c r="WNO187" s="1237"/>
      <c r="WNP187" s="1237"/>
      <c r="WNQ187" s="1237"/>
      <c r="WNR187" s="1237"/>
      <c r="WNS187" s="1237"/>
      <c r="WNT187" s="1237"/>
      <c r="WNU187" s="1237"/>
      <c r="WNV187" s="1237"/>
      <c r="WNW187" s="1237"/>
      <c r="WNX187" s="1237"/>
      <c r="WNY187" s="1237"/>
      <c r="WNZ187" s="1237"/>
      <c r="WOA187" s="1237"/>
      <c r="WOB187" s="1237"/>
      <c r="WOC187" s="1237"/>
      <c r="WOD187" s="1237"/>
      <c r="WOE187" s="1237"/>
      <c r="WOF187" s="1237"/>
      <c r="WOG187" s="1237"/>
      <c r="WOH187" s="1237"/>
      <c r="WOI187" s="1237"/>
      <c r="WOJ187" s="1237"/>
      <c r="WOK187" s="1237"/>
      <c r="WOL187" s="1237"/>
      <c r="WOM187" s="1237"/>
      <c r="WON187" s="1237"/>
      <c r="WOO187" s="1237"/>
      <c r="WOP187" s="1237"/>
      <c r="WOQ187" s="1237"/>
      <c r="WOR187" s="1237"/>
      <c r="WOS187" s="1237"/>
      <c r="WOT187" s="1237"/>
      <c r="WOU187" s="1237"/>
      <c r="WOV187" s="1237"/>
      <c r="WOW187" s="1237"/>
      <c r="WOX187" s="1237"/>
      <c r="WOY187" s="1237"/>
      <c r="WOZ187" s="1237"/>
      <c r="WPA187" s="1237"/>
      <c r="WPB187" s="1237"/>
      <c r="WPC187" s="1237"/>
      <c r="WPD187" s="1237"/>
      <c r="WPE187" s="1237"/>
      <c r="WPF187" s="1237"/>
      <c r="WPG187" s="1237"/>
      <c r="WPH187" s="1237"/>
      <c r="WPI187" s="1237"/>
      <c r="WPJ187" s="1237"/>
      <c r="WPK187" s="1237"/>
      <c r="WPL187" s="1237"/>
      <c r="WPM187" s="1237"/>
      <c r="WPN187" s="1237"/>
      <c r="WPO187" s="1237"/>
      <c r="WPP187" s="1237"/>
      <c r="WPQ187" s="1237"/>
      <c r="WPR187" s="1237"/>
      <c r="WPS187" s="1237"/>
      <c r="WPT187" s="1237"/>
      <c r="WPU187" s="1237"/>
      <c r="WPV187" s="1237"/>
      <c r="WPW187" s="1237"/>
      <c r="WPX187" s="1237"/>
      <c r="WPY187" s="1237"/>
      <c r="WPZ187" s="1237"/>
      <c r="WQA187" s="1237"/>
      <c r="WQB187" s="1237"/>
      <c r="WQC187" s="1237"/>
      <c r="WQD187" s="1237"/>
      <c r="WQE187" s="1237"/>
      <c r="WQF187" s="1237"/>
      <c r="WQG187" s="1237"/>
      <c r="WQH187" s="1237"/>
      <c r="WQI187" s="1237"/>
      <c r="WQJ187" s="1237"/>
      <c r="WQK187" s="1237"/>
      <c r="WQL187" s="1237"/>
      <c r="WQM187" s="1237"/>
      <c r="WQN187" s="1237"/>
      <c r="WQO187" s="1237"/>
      <c r="WQP187" s="1237"/>
      <c r="WQQ187" s="1237"/>
      <c r="WQR187" s="1237"/>
      <c r="WQS187" s="1237"/>
      <c r="WQT187" s="1237"/>
      <c r="WQU187" s="1237"/>
      <c r="WQV187" s="1237"/>
      <c r="WQW187" s="1237"/>
      <c r="WQX187" s="1237"/>
      <c r="WQY187" s="1237"/>
      <c r="WQZ187" s="1237"/>
      <c r="WRA187" s="1237"/>
      <c r="WRB187" s="1237"/>
      <c r="WRC187" s="1237"/>
      <c r="WRD187" s="1237"/>
      <c r="WRE187" s="1237"/>
      <c r="WRF187" s="1237"/>
      <c r="WRG187" s="1237"/>
      <c r="WRH187" s="1237"/>
      <c r="WRI187" s="1237"/>
      <c r="WRJ187" s="1237"/>
      <c r="WRK187" s="1237"/>
      <c r="WRL187" s="1237"/>
      <c r="WRM187" s="1237"/>
      <c r="WRN187" s="1237"/>
      <c r="WRO187" s="1237"/>
      <c r="WRP187" s="1237"/>
      <c r="WRQ187" s="1237"/>
      <c r="WRR187" s="1237"/>
      <c r="WRS187" s="1237"/>
      <c r="WRT187" s="1237"/>
      <c r="WRU187" s="1237"/>
      <c r="WRV187" s="1237"/>
      <c r="WRW187" s="1237"/>
      <c r="WRX187" s="1237"/>
      <c r="WRY187" s="1237"/>
      <c r="WRZ187" s="1237"/>
      <c r="WSA187" s="1237"/>
      <c r="WSB187" s="1237"/>
      <c r="WSC187" s="1237"/>
      <c r="WSD187" s="1237"/>
      <c r="WSE187" s="1237"/>
      <c r="WSF187" s="1237"/>
      <c r="WSG187" s="1237"/>
      <c r="WSH187" s="1237"/>
      <c r="WSI187" s="1237"/>
      <c r="WSJ187" s="1237"/>
      <c r="WSK187" s="1237"/>
      <c r="WSL187" s="1237"/>
      <c r="WSM187" s="1237"/>
      <c r="WSN187" s="1237"/>
      <c r="WSO187" s="1237"/>
      <c r="WSP187" s="1237"/>
      <c r="WSQ187" s="1237"/>
      <c r="WSR187" s="1237"/>
      <c r="WSS187" s="1237"/>
      <c r="WST187" s="1237"/>
      <c r="WSU187" s="1237"/>
      <c r="WSV187" s="1237"/>
      <c r="WSW187" s="1237"/>
      <c r="WSX187" s="1237"/>
      <c r="WSY187" s="1237"/>
      <c r="WSZ187" s="1237"/>
      <c r="WTA187" s="1237"/>
      <c r="WTB187" s="1237"/>
      <c r="WTC187" s="1237"/>
      <c r="WTD187" s="1237"/>
      <c r="WTE187" s="1237"/>
      <c r="WTF187" s="1237"/>
      <c r="WTG187" s="1237"/>
      <c r="WTH187" s="1237"/>
      <c r="WTI187" s="1237"/>
      <c r="WTJ187" s="1237"/>
      <c r="WTK187" s="1237"/>
      <c r="WTL187" s="1237"/>
      <c r="WTM187" s="1237"/>
      <c r="WTN187" s="1237"/>
      <c r="WTO187" s="1237"/>
      <c r="WTP187" s="1237"/>
      <c r="WTQ187" s="1237"/>
      <c r="WTR187" s="1237"/>
      <c r="WTS187" s="1237"/>
      <c r="WTT187" s="1237"/>
      <c r="WTU187" s="1237"/>
      <c r="WTV187" s="1237"/>
      <c r="WTW187" s="1237"/>
      <c r="WTX187" s="1237"/>
      <c r="WTY187" s="1237"/>
      <c r="WTZ187" s="1237"/>
      <c r="WUA187" s="1237"/>
      <c r="WUB187" s="1237"/>
      <c r="WUC187" s="1237"/>
      <c r="WUD187" s="1237"/>
      <c r="WUE187" s="1237"/>
      <c r="WUF187" s="1237"/>
      <c r="WUG187" s="1237"/>
      <c r="WUH187" s="1237"/>
      <c r="WUI187" s="1237"/>
      <c r="WUJ187" s="1237"/>
      <c r="WUK187" s="1237"/>
      <c r="WUL187" s="1237"/>
      <c r="WUM187" s="1237"/>
      <c r="WUN187" s="1237"/>
      <c r="WUO187" s="1237"/>
      <c r="WUP187" s="1237"/>
      <c r="WUQ187" s="1237"/>
      <c r="WUR187" s="1237"/>
      <c r="WUS187" s="1237"/>
      <c r="WUT187" s="1237"/>
      <c r="WUU187" s="1237"/>
      <c r="WUV187" s="1237"/>
      <c r="WUW187" s="1237"/>
      <c r="WUX187" s="1237"/>
      <c r="WUY187" s="1237"/>
      <c r="WUZ187" s="1237"/>
      <c r="WVA187" s="1237"/>
      <c r="WVB187" s="1237"/>
      <c r="WVC187" s="1237"/>
      <c r="WVD187" s="1237"/>
      <c r="WVE187" s="1237"/>
      <c r="WVF187" s="1237"/>
      <c r="WVG187" s="1237"/>
      <c r="WVH187" s="1237"/>
      <c r="WVI187" s="1237"/>
      <c r="WVJ187" s="1237"/>
      <c r="WVK187" s="1237"/>
      <c r="WVL187" s="1237"/>
      <c r="WVM187" s="1237"/>
      <c r="WVN187" s="1237"/>
      <c r="WVO187" s="1237"/>
      <c r="WVP187" s="1237"/>
      <c r="WVQ187" s="1237"/>
      <c r="WVR187" s="1237"/>
      <c r="WVS187" s="1237"/>
      <c r="WVT187" s="1237"/>
      <c r="WVU187" s="1237"/>
      <c r="WVV187" s="1237"/>
      <c r="WVW187" s="1237"/>
      <c r="WVX187" s="1237"/>
      <c r="WVY187" s="1237"/>
      <c r="WVZ187" s="1237"/>
      <c r="WWA187" s="1237"/>
      <c r="WWB187" s="1237"/>
      <c r="WWC187" s="1237"/>
      <c r="WWD187" s="1237"/>
      <c r="WWE187" s="1237"/>
      <c r="WWF187" s="1237"/>
      <c r="WWG187" s="1237"/>
      <c r="WWH187" s="1237"/>
      <c r="WWI187" s="1237"/>
      <c r="WWJ187" s="1237"/>
      <c r="WWK187" s="1237"/>
      <c r="WWL187" s="1237"/>
      <c r="WWM187" s="1237"/>
      <c r="WWN187" s="1237"/>
      <c r="WWO187" s="1237"/>
      <c r="WWP187" s="1237"/>
      <c r="WWQ187" s="1237"/>
      <c r="WWR187" s="1237"/>
      <c r="WWS187" s="1237"/>
      <c r="WWT187" s="1237"/>
      <c r="WWU187" s="1237"/>
      <c r="WWV187" s="1237"/>
      <c r="WWW187" s="1237"/>
      <c r="WWX187" s="1237"/>
      <c r="WWY187" s="1237"/>
      <c r="WWZ187" s="1237"/>
      <c r="WXA187" s="1237"/>
      <c r="WXB187" s="1237"/>
      <c r="WXC187" s="1237"/>
      <c r="WXD187" s="1237"/>
      <c r="WXE187" s="1237"/>
      <c r="WXF187" s="1237"/>
      <c r="WXG187" s="1237"/>
      <c r="WXH187" s="1237"/>
      <c r="WXI187" s="1237"/>
      <c r="WXJ187" s="1237"/>
      <c r="WXK187" s="1237"/>
      <c r="WXL187" s="1237"/>
      <c r="WXM187" s="1237"/>
      <c r="WXN187" s="1237"/>
      <c r="WXO187" s="1237"/>
      <c r="WXP187" s="1237"/>
      <c r="WXQ187" s="1237"/>
      <c r="WXR187" s="1237"/>
      <c r="WXS187" s="1237"/>
      <c r="WXT187" s="1237"/>
      <c r="WXU187" s="1237"/>
      <c r="WXV187" s="1237"/>
      <c r="WXW187" s="1237"/>
      <c r="WXX187" s="1237"/>
      <c r="WXY187" s="1237"/>
      <c r="WXZ187" s="1237"/>
      <c r="WYA187" s="1237"/>
      <c r="WYB187" s="1237"/>
      <c r="WYC187" s="1237"/>
      <c r="WYD187" s="1237"/>
      <c r="WYE187" s="1237"/>
      <c r="WYF187" s="1237"/>
      <c r="WYG187" s="1237"/>
      <c r="WYH187" s="1237"/>
      <c r="WYI187" s="1237"/>
      <c r="WYJ187" s="1237"/>
      <c r="WYK187" s="1237"/>
      <c r="WYL187" s="1237"/>
      <c r="WYM187" s="1237"/>
      <c r="WYN187" s="1237"/>
      <c r="WYO187" s="1237"/>
      <c r="WYP187" s="1237"/>
      <c r="WYQ187" s="1237"/>
      <c r="WYR187" s="1237"/>
      <c r="WYS187" s="1237"/>
      <c r="WYT187" s="1237"/>
      <c r="WYU187" s="1237"/>
      <c r="WYV187" s="1237"/>
      <c r="WYW187" s="1237"/>
      <c r="WYX187" s="1237"/>
      <c r="WYY187" s="1237"/>
      <c r="WYZ187" s="1237"/>
      <c r="WZA187" s="1237"/>
      <c r="WZB187" s="1237"/>
      <c r="WZC187" s="1237"/>
      <c r="WZD187" s="1237"/>
      <c r="WZE187" s="1237"/>
      <c r="WZF187" s="1237"/>
      <c r="WZG187" s="1237"/>
      <c r="WZH187" s="1237"/>
      <c r="WZI187" s="1237"/>
      <c r="WZJ187" s="1237"/>
      <c r="WZK187" s="1237"/>
      <c r="WZL187" s="1237"/>
      <c r="WZM187" s="1237"/>
      <c r="WZN187" s="1237"/>
      <c r="WZO187" s="1237"/>
      <c r="WZP187" s="1237"/>
      <c r="WZQ187" s="1237"/>
      <c r="WZR187" s="1237"/>
      <c r="WZS187" s="1237"/>
      <c r="WZT187" s="1237"/>
      <c r="WZU187" s="1237"/>
      <c r="WZV187" s="1237"/>
      <c r="WZW187" s="1237"/>
      <c r="WZX187" s="1237"/>
      <c r="WZY187" s="1237"/>
      <c r="WZZ187" s="1237"/>
      <c r="XAA187" s="1237"/>
      <c r="XAB187" s="1237"/>
      <c r="XAC187" s="1237"/>
      <c r="XAD187" s="1237"/>
      <c r="XAE187" s="1237"/>
      <c r="XAF187" s="1237"/>
      <c r="XAG187" s="1237"/>
      <c r="XAH187" s="1237"/>
      <c r="XAI187" s="1237"/>
      <c r="XAJ187" s="1237"/>
      <c r="XAK187" s="1237"/>
      <c r="XAL187" s="1237"/>
      <c r="XAM187" s="1237"/>
      <c r="XAN187" s="1237"/>
      <c r="XAO187" s="1237"/>
      <c r="XAP187" s="1237"/>
      <c r="XAQ187" s="1237"/>
      <c r="XAR187" s="1237"/>
      <c r="XAS187" s="1237"/>
      <c r="XAT187" s="1237"/>
      <c r="XAU187" s="1237"/>
      <c r="XAV187" s="1237"/>
      <c r="XAW187" s="1237"/>
      <c r="XAX187" s="1237"/>
      <c r="XAY187" s="1237"/>
      <c r="XAZ187" s="1237"/>
      <c r="XBA187" s="1237"/>
      <c r="XBB187" s="1237"/>
      <c r="XBC187" s="1237"/>
      <c r="XBD187" s="1237"/>
      <c r="XBE187" s="1237"/>
      <c r="XBF187" s="1237"/>
      <c r="XBG187" s="1237"/>
      <c r="XBH187" s="1237"/>
      <c r="XBI187" s="1237"/>
      <c r="XBJ187" s="1237"/>
      <c r="XBK187" s="1237"/>
      <c r="XBL187" s="1237"/>
      <c r="XBM187" s="1237"/>
      <c r="XBN187" s="1237"/>
      <c r="XBO187" s="1237"/>
      <c r="XBP187" s="1237"/>
      <c r="XBQ187" s="1237"/>
      <c r="XBR187" s="1237"/>
      <c r="XBS187" s="1237"/>
      <c r="XBT187" s="1237"/>
      <c r="XBU187" s="1237"/>
      <c r="XBV187" s="1237"/>
      <c r="XBW187" s="1237"/>
      <c r="XBX187" s="1237"/>
      <c r="XBY187" s="1237"/>
      <c r="XBZ187" s="1237"/>
      <c r="XCA187" s="1237"/>
      <c r="XCB187" s="1237"/>
      <c r="XCC187" s="1237"/>
      <c r="XCD187" s="1237"/>
      <c r="XCE187" s="1237"/>
      <c r="XCF187" s="1237"/>
      <c r="XCG187" s="1237"/>
      <c r="XCH187" s="1237"/>
      <c r="XCI187" s="1237"/>
      <c r="XCJ187" s="1237"/>
      <c r="XCK187" s="1237"/>
      <c r="XCL187" s="1237"/>
      <c r="XCM187" s="1237"/>
      <c r="XCN187" s="1237"/>
      <c r="XCO187" s="1237"/>
      <c r="XCP187" s="1237"/>
      <c r="XCQ187" s="1237"/>
      <c r="XCR187" s="1237"/>
      <c r="XCS187" s="1237"/>
      <c r="XCT187" s="1237"/>
      <c r="XCU187" s="1237"/>
      <c r="XCV187" s="1237"/>
      <c r="XCW187" s="1237"/>
      <c r="XCX187" s="1237"/>
      <c r="XCY187" s="1237"/>
      <c r="XCZ187" s="1237"/>
      <c r="XDA187" s="1237"/>
      <c r="XDB187" s="1237"/>
      <c r="XDC187" s="1237"/>
      <c r="XDD187" s="1237"/>
      <c r="XDE187" s="1237"/>
      <c r="XDF187" s="1237"/>
      <c r="XDG187" s="1237"/>
      <c r="XDH187" s="1237"/>
      <c r="XDI187" s="1237"/>
      <c r="XDJ187" s="1237"/>
      <c r="XDK187" s="1237"/>
      <c r="XDL187" s="1237"/>
      <c r="XDM187" s="1237"/>
      <c r="XDN187" s="1237"/>
      <c r="XDO187" s="1237"/>
      <c r="XDP187" s="1237"/>
      <c r="XDQ187" s="1237"/>
      <c r="XDR187" s="1237"/>
      <c r="XDS187" s="1237"/>
    </row>
    <row r="188" spans="1:16347">
      <c r="C188" t="s">
        <v>927</v>
      </c>
      <c r="E188" s="2503"/>
      <c r="F188" s="993"/>
      <c r="G188" s="993"/>
      <c r="H188" s="993"/>
      <c r="I188" s="993"/>
      <c r="J188" s="993"/>
      <c r="K188" s="993"/>
      <c r="L188" s="993"/>
      <c r="M188" s="993"/>
      <c r="N188" s="993"/>
    </row>
    <row r="189" spans="1:16347" ht="15" customHeight="1">
      <c r="C189" t="s">
        <v>928</v>
      </c>
      <c r="E189" s="2503" t="s">
        <v>760</v>
      </c>
      <c r="F189" s="993">
        <f>F167/$F$79</f>
        <v>0</v>
      </c>
      <c r="G189" s="993">
        <f t="shared" ref="G189:N189" si="25">G167/$F$79</f>
        <v>0</v>
      </c>
      <c r="H189" s="993">
        <f t="shared" si="25"/>
        <v>0</v>
      </c>
      <c r="I189" s="993">
        <f t="shared" si="25"/>
        <v>0</v>
      </c>
      <c r="J189" s="993">
        <f t="shared" si="25"/>
        <v>0</v>
      </c>
      <c r="K189" s="993">
        <f t="shared" si="25"/>
        <v>0</v>
      </c>
      <c r="L189" s="993">
        <f t="shared" si="25"/>
        <v>0</v>
      </c>
      <c r="M189" s="993">
        <f t="shared" si="25"/>
        <v>0</v>
      </c>
      <c r="N189" s="993">
        <f t="shared" si="25"/>
        <v>0</v>
      </c>
    </row>
    <row r="190" spans="1:16347">
      <c r="C190" t="s">
        <v>929</v>
      </c>
      <c r="E190" s="2503" t="str">
        <f>Preferences.AreaUnits</f>
        <v>km^2</v>
      </c>
      <c r="F190" s="993">
        <f>F167/$F$80</f>
        <v>0</v>
      </c>
      <c r="G190" s="993">
        <f t="shared" ref="G190:N190" si="26">G167/$F$80</f>
        <v>0</v>
      </c>
      <c r="H190" s="993">
        <f t="shared" si="26"/>
        <v>0</v>
      </c>
      <c r="I190" s="993">
        <f t="shared" si="26"/>
        <v>0</v>
      </c>
      <c r="J190" s="993">
        <f t="shared" si="26"/>
        <v>0</v>
      </c>
      <c r="K190" s="993">
        <f t="shared" si="26"/>
        <v>0</v>
      </c>
      <c r="L190" s="993">
        <f t="shared" si="26"/>
        <v>0</v>
      </c>
      <c r="M190" s="993">
        <f t="shared" si="26"/>
        <v>0</v>
      </c>
      <c r="N190" s="993">
        <f t="shared" si="26"/>
        <v>0</v>
      </c>
    </row>
    <row r="191" spans="1:16347">
      <c r="C191" t="s">
        <v>838</v>
      </c>
      <c r="F191" s="993"/>
      <c r="G191" s="993"/>
      <c r="H191" s="993"/>
      <c r="I191" s="993"/>
      <c r="J191" s="993"/>
      <c r="K191" s="993"/>
      <c r="L191" s="993"/>
      <c r="M191" s="993"/>
      <c r="N191" s="993"/>
    </row>
    <row r="192" spans="1:16347">
      <c r="C192" t="s">
        <v>922</v>
      </c>
      <c r="F192" s="993"/>
      <c r="G192" s="993">
        <f t="shared" ref="G192:N192" si="27">IF((G189-F189+G191)/(G$69-F$69)&gt;0,(G189-F189+G191)/(G$69-F$69),0)</f>
        <v>0</v>
      </c>
      <c r="H192" s="993">
        <f t="shared" si="27"/>
        <v>0</v>
      </c>
      <c r="I192" s="993">
        <f t="shared" si="27"/>
        <v>0</v>
      </c>
      <c r="J192" s="993">
        <f t="shared" si="27"/>
        <v>0</v>
      </c>
      <c r="K192" s="993">
        <f t="shared" si="27"/>
        <v>0</v>
      </c>
      <c r="L192" s="993">
        <f t="shared" si="27"/>
        <v>0</v>
      </c>
      <c r="M192" s="993">
        <f t="shared" si="27"/>
        <v>0</v>
      </c>
      <c r="N192" s="993">
        <f t="shared" si="27"/>
        <v>0</v>
      </c>
    </row>
    <row r="193" spans="1:15">
      <c r="F193" s="993"/>
      <c r="G193" s="993"/>
      <c r="H193" s="993"/>
      <c r="I193" s="993"/>
      <c r="J193" s="993"/>
      <c r="K193" s="993"/>
      <c r="L193" s="993"/>
      <c r="M193" s="993"/>
      <c r="N193" s="993"/>
    </row>
    <row r="194" spans="1:15">
      <c r="B194" s="3611" t="s">
        <v>2798</v>
      </c>
      <c r="F194" s="993"/>
      <c r="G194" s="993"/>
      <c r="H194" s="993"/>
      <c r="I194" s="993"/>
      <c r="J194" s="993"/>
      <c r="K194" s="993"/>
      <c r="L194" s="993"/>
      <c r="M194" s="993"/>
      <c r="N194" s="993"/>
      <c r="O194" s="993"/>
    </row>
    <row r="195" spans="1:15" hidden="1">
      <c r="C195" t="s">
        <v>169</v>
      </c>
      <c r="E195" s="3611" t="s">
        <v>2812</v>
      </c>
      <c r="F195" s="993"/>
      <c r="G195" s="993"/>
      <c r="H195" s="993"/>
      <c r="I195" s="993"/>
      <c r="J195" s="993"/>
      <c r="K195" s="993"/>
      <c r="L195" s="993"/>
      <c r="M195" s="993"/>
      <c r="N195" s="993"/>
      <c r="O195" s="993"/>
    </row>
    <row r="196" spans="1:15" hidden="1">
      <c r="C196" t="s">
        <v>173</v>
      </c>
      <c r="E196" s="3611" t="s">
        <v>2812</v>
      </c>
      <c r="F196" s="993"/>
      <c r="G196" s="993"/>
      <c r="H196" s="993"/>
      <c r="I196" s="993"/>
      <c r="J196" s="993"/>
      <c r="K196" s="993"/>
      <c r="L196" s="993"/>
      <c r="M196" s="993"/>
      <c r="N196" s="993"/>
      <c r="O196" s="993"/>
    </row>
    <row r="197" spans="1:15" hidden="1">
      <c r="C197" t="s">
        <v>294</v>
      </c>
      <c r="E197" s="3611" t="s">
        <v>2812</v>
      </c>
      <c r="F197" s="993"/>
      <c r="G197" s="993"/>
      <c r="H197" s="993"/>
      <c r="I197" s="993"/>
      <c r="J197" s="993"/>
      <c r="K197" s="993"/>
      <c r="L197" s="993"/>
      <c r="M197" s="993"/>
      <c r="N197" s="993"/>
      <c r="O197" s="993"/>
    </row>
    <row r="198" spans="1:15" hidden="1">
      <c r="F198" s="993"/>
      <c r="G198" s="993"/>
      <c r="H198" s="993"/>
      <c r="I198" s="993"/>
      <c r="J198" s="993"/>
      <c r="K198" s="993"/>
      <c r="L198" s="993"/>
      <c r="M198" s="993"/>
      <c r="N198" s="993"/>
      <c r="O198" s="993"/>
    </row>
    <row r="199" spans="1:15" hidden="1">
      <c r="B199" t="s">
        <v>295</v>
      </c>
      <c r="F199" s="993"/>
      <c r="G199" s="993"/>
      <c r="H199" s="993"/>
      <c r="I199" s="993"/>
      <c r="J199" s="993"/>
      <c r="K199" s="993"/>
      <c r="L199" s="993"/>
      <c r="M199" s="993"/>
      <c r="N199" s="993"/>
      <c r="O199" s="993"/>
    </row>
    <row r="200" spans="1:15" hidden="1">
      <c r="C200" t="s">
        <v>169</v>
      </c>
      <c r="E200" s="3611" t="s">
        <v>2812</v>
      </c>
      <c r="F200" s="993"/>
      <c r="G200" s="993"/>
      <c r="H200" s="993"/>
      <c r="I200" s="993"/>
      <c r="J200" s="993"/>
      <c r="K200" s="993"/>
      <c r="L200" s="993"/>
      <c r="M200" s="993"/>
      <c r="N200" s="993"/>
      <c r="O200" s="993"/>
    </row>
    <row r="201" spans="1:15" hidden="1">
      <c r="C201" t="s">
        <v>173</v>
      </c>
      <c r="E201" s="3611" t="s">
        <v>2812</v>
      </c>
      <c r="F201" s="993"/>
      <c r="G201" s="993"/>
      <c r="H201" s="993"/>
      <c r="I201" s="993"/>
      <c r="J201" s="993"/>
      <c r="K201" s="993"/>
      <c r="L201" s="993"/>
      <c r="M201" s="993"/>
      <c r="N201" s="993"/>
      <c r="O201" s="993"/>
    </row>
    <row r="202" spans="1:15" hidden="1">
      <c r="C202" t="s">
        <v>294</v>
      </c>
      <c r="E202" s="3611" t="s">
        <v>2812</v>
      </c>
      <c r="F202" s="993"/>
      <c r="G202" s="993"/>
      <c r="H202" s="993"/>
      <c r="I202" s="993"/>
      <c r="J202" s="993"/>
      <c r="K202" s="993"/>
      <c r="L202" s="993"/>
      <c r="M202" s="993"/>
      <c r="N202" s="993"/>
    </row>
    <row r="203" spans="1:15" hidden="1">
      <c r="F203" s="993"/>
      <c r="G203" s="993"/>
      <c r="H203" s="993"/>
      <c r="I203" s="993"/>
      <c r="J203" s="993"/>
      <c r="K203" s="993"/>
      <c r="L203" s="993"/>
      <c r="M203" s="993"/>
      <c r="N203" s="993"/>
    </row>
    <row r="204" spans="1:15" hidden="1">
      <c r="B204" t="s">
        <v>293</v>
      </c>
      <c r="F204" s="993"/>
      <c r="G204" s="993"/>
      <c r="H204" s="993"/>
      <c r="I204" s="993"/>
      <c r="J204" s="993"/>
      <c r="K204" s="993"/>
      <c r="L204" s="993"/>
      <c r="M204" s="993"/>
      <c r="N204" s="993"/>
    </row>
    <row r="205" spans="1:15" ht="23.25" hidden="1">
      <c r="A205" s="7"/>
      <c r="C205" t="s">
        <v>169</v>
      </c>
      <c r="E205" s="3611" t="s">
        <v>2812</v>
      </c>
      <c r="F205" s="993"/>
      <c r="G205" s="993"/>
      <c r="H205" s="993"/>
      <c r="I205" s="993"/>
      <c r="J205" s="993"/>
      <c r="K205" s="993"/>
      <c r="L205" s="993"/>
      <c r="M205" s="993"/>
      <c r="N205" s="993"/>
    </row>
    <row r="206" spans="1:15" hidden="1">
      <c r="C206" t="s">
        <v>173</v>
      </c>
      <c r="E206" s="3611" t="s">
        <v>2812</v>
      </c>
      <c r="F206" s="993"/>
      <c r="G206" s="993"/>
      <c r="H206" s="993"/>
      <c r="I206" s="993"/>
      <c r="J206" s="993"/>
      <c r="K206" s="993"/>
      <c r="L206" s="993"/>
      <c r="M206" s="993"/>
      <c r="N206" s="993"/>
    </row>
    <row r="207" spans="1:15" hidden="1">
      <c r="C207" t="s">
        <v>294</v>
      </c>
      <c r="E207" s="3611" t="s">
        <v>2812</v>
      </c>
      <c r="F207" s="993"/>
      <c r="G207" s="993"/>
      <c r="H207" s="993"/>
      <c r="I207" s="993"/>
      <c r="J207" s="993"/>
      <c r="K207" s="993"/>
      <c r="L207" s="993"/>
      <c r="M207" s="993"/>
      <c r="N207" s="993"/>
    </row>
    <row r="209" spans="1:17" ht="15.75">
      <c r="A209" s="443"/>
      <c r="B209" s="511" t="s">
        <v>299</v>
      </c>
      <c r="C209" s="512"/>
      <c r="D209" s="512"/>
      <c r="E209" s="512"/>
      <c r="F209" s="512"/>
      <c r="G209" s="512"/>
      <c r="H209" s="512"/>
      <c r="I209" s="512"/>
      <c r="J209" s="512"/>
      <c r="K209" s="512"/>
      <c r="L209" s="512"/>
      <c r="M209" s="512"/>
      <c r="N209" s="512"/>
      <c r="O209" s="866"/>
    </row>
    <row r="210" spans="1:17" ht="15.75">
      <c r="A210" s="443"/>
      <c r="B210" s="514"/>
      <c r="C210" s="515"/>
      <c r="D210" s="515"/>
      <c r="E210" s="515"/>
      <c r="F210" s="515"/>
      <c r="G210" s="515"/>
      <c r="H210" s="515"/>
      <c r="I210" s="515"/>
      <c r="J210" s="515"/>
      <c r="K210" s="515"/>
      <c r="L210" s="515"/>
      <c r="M210" s="515"/>
      <c r="N210" s="515"/>
      <c r="O210" s="867"/>
    </row>
    <row r="211" spans="1:17" ht="15.75">
      <c r="A211" s="443"/>
      <c r="B211" s="514"/>
      <c r="C211" s="34" t="s">
        <v>930</v>
      </c>
      <c r="D211" s="515"/>
      <c r="E211" s="516"/>
      <c r="F211" s="515"/>
      <c r="G211" s="515"/>
      <c r="H211" s="515"/>
      <c r="I211" s="515"/>
      <c r="J211" s="515"/>
      <c r="K211" s="515"/>
      <c r="L211" s="515"/>
      <c r="M211" s="515"/>
      <c r="N211" s="516" t="str">
        <f>Preferences.EnergyUnits</f>
        <v>TWh</v>
      </c>
      <c r="O211" s="867"/>
    </row>
    <row r="212" spans="1:17" ht="15.75">
      <c r="A212" s="443"/>
      <c r="B212" s="514"/>
      <c r="C212" s="515"/>
      <c r="D212" s="515"/>
      <c r="E212" s="515"/>
      <c r="F212" s="515"/>
      <c r="G212" s="515"/>
      <c r="H212" s="515"/>
      <c r="I212" s="515"/>
      <c r="J212" s="515"/>
      <c r="K212" s="515"/>
      <c r="L212" s="515"/>
      <c r="M212" s="515"/>
      <c r="N212" s="515"/>
      <c r="O212" s="867"/>
    </row>
    <row r="213" spans="1:17" ht="15.75">
      <c r="A213" s="443"/>
      <c r="B213" s="15"/>
      <c r="C213" s="1741" t="s">
        <v>28</v>
      </c>
      <c r="D213" s="1741" t="s">
        <v>29</v>
      </c>
      <c r="E213" s="1741" t="s">
        <v>30</v>
      </c>
      <c r="F213" s="1741" t="s">
        <v>597</v>
      </c>
      <c r="G213" s="1741" t="s">
        <v>133</v>
      </c>
      <c r="H213" s="1741" t="s">
        <v>134</v>
      </c>
      <c r="I213" s="1741" t="s">
        <v>135</v>
      </c>
      <c r="J213" s="1741" t="s">
        <v>136</v>
      </c>
      <c r="K213" s="1741" t="s">
        <v>137</v>
      </c>
      <c r="L213" s="1741" t="s">
        <v>138</v>
      </c>
      <c r="M213" s="1741" t="s">
        <v>139</v>
      </c>
      <c r="N213" s="1741" t="s">
        <v>140</v>
      </c>
      <c r="O213" s="867"/>
    </row>
    <row r="214" spans="1:17" ht="15.75">
      <c r="A214" s="443"/>
      <c r="B214" s="15"/>
      <c r="C214" s="725" t="s">
        <v>97</v>
      </c>
      <c r="D214" s="17" t="str">
        <f>INDEX(Vectors[Description], MATCH($C214, Vectors[Code], 0))</f>
        <v>Electricity (supplied to grid)</v>
      </c>
      <c r="E214" s="725"/>
      <c r="F214" s="726">
        <f t="shared" ref="F214:N214" si="28">F156+F172+F164</f>
        <v>0</v>
      </c>
      <c r="G214" s="2526">
        <f>G156+G172+G164</f>
        <v>3.9627123287671231E-3</v>
      </c>
      <c r="H214" s="2526">
        <f>H156+H172+H164</f>
        <v>1.3017510000000001E-2</v>
      </c>
      <c r="I214" s="2526">
        <f t="shared" si="28"/>
        <v>0.70610130000000026</v>
      </c>
      <c r="J214" s="2526">
        <f t="shared" si="28"/>
        <v>3.2346540000000004</v>
      </c>
      <c r="K214" s="2526">
        <f t="shared" si="28"/>
        <v>5.4831330000000005</v>
      </c>
      <c r="L214" s="2526">
        <f t="shared" si="28"/>
        <v>6.7848840000000008</v>
      </c>
      <c r="M214" s="726">
        <f t="shared" si="28"/>
        <v>7.7316120000000019</v>
      </c>
      <c r="N214" s="726">
        <f t="shared" si="28"/>
        <v>8.7730128000000018</v>
      </c>
      <c r="O214" s="867"/>
    </row>
    <row r="215" spans="1:17" ht="15.75">
      <c r="A215" s="443"/>
      <c r="B215" s="15"/>
      <c r="C215" s="725" t="s">
        <v>449</v>
      </c>
      <c r="D215" s="17" t="str">
        <f>INDEX(Vectors[Description], MATCH($C215, Vectors[Code], 0))</f>
        <v>Wave</v>
      </c>
      <c r="E215" s="725"/>
      <c r="F215" s="726">
        <f t="shared" ref="F215:N215" si="29">-F156</f>
        <v>0</v>
      </c>
      <c r="G215" s="726">
        <f t="shared" si="29"/>
        <v>-3.9627123287671231E-3</v>
      </c>
      <c r="H215" s="726">
        <f t="shared" si="29"/>
        <v>-1.3017510000000001E-2</v>
      </c>
      <c r="I215" s="726">
        <f t="shared" si="29"/>
        <v>-0.39052530000000008</v>
      </c>
      <c r="J215" s="726">
        <f t="shared" si="29"/>
        <v>-2.6035020000000002</v>
      </c>
      <c r="K215" s="726">
        <f t="shared" si="29"/>
        <v>-3.9052530000000001</v>
      </c>
      <c r="L215" s="726">
        <f t="shared" si="29"/>
        <v>-5.2070040000000004</v>
      </c>
      <c r="M215" s="726">
        <f t="shared" si="29"/>
        <v>-5.2070040000000004</v>
      </c>
      <c r="N215" s="726">
        <f t="shared" si="29"/>
        <v>-6.2484048000000012</v>
      </c>
      <c r="O215" s="867"/>
    </row>
    <row r="216" spans="1:17" ht="15.75">
      <c r="A216" s="443"/>
      <c r="B216" s="15"/>
      <c r="C216" s="725" t="s">
        <v>448</v>
      </c>
      <c r="D216" s="17" t="str">
        <f>INDEX(Vectors[Description], MATCH($C216, Vectors[Code], 0))</f>
        <v>Tidal</v>
      </c>
      <c r="E216" s="725"/>
      <c r="F216" s="726">
        <f t="shared" ref="F216:N216" si="30">-(F172+F164)</f>
        <v>0</v>
      </c>
      <c r="G216" s="726">
        <f t="shared" si="30"/>
        <v>0</v>
      </c>
      <c r="H216" s="726">
        <f t="shared" si="30"/>
        <v>0</v>
      </c>
      <c r="I216" s="726">
        <f t="shared" si="30"/>
        <v>-0.31557600000000013</v>
      </c>
      <c r="J216" s="726">
        <f t="shared" si="30"/>
        <v>-0.63115200000000027</v>
      </c>
      <c r="K216" s="726">
        <f t="shared" si="30"/>
        <v>-1.5778800000000002</v>
      </c>
      <c r="L216" s="726">
        <f t="shared" si="30"/>
        <v>-1.5778800000000002</v>
      </c>
      <c r="M216" s="726">
        <f t="shared" si="30"/>
        <v>-2.5246080000000011</v>
      </c>
      <c r="N216" s="726">
        <f t="shared" si="30"/>
        <v>-2.5246080000000011</v>
      </c>
      <c r="O216" s="867"/>
    </row>
    <row r="217" spans="1:17" ht="15.75">
      <c r="A217" s="443"/>
      <c r="B217" s="15"/>
      <c r="C217" s="2463" t="s">
        <v>59</v>
      </c>
      <c r="D217" s="2463"/>
      <c r="E217" s="2463"/>
      <c r="F217" s="2464">
        <f>SUBTOTAL(109,[2013])</f>
        <v>0</v>
      </c>
      <c r="G217" s="2464">
        <f>SUBTOTAL(109,[2015])</f>
        <v>0</v>
      </c>
      <c r="H217" s="2464">
        <f>SUBTOTAL(109,[2020])</f>
        <v>0</v>
      </c>
      <c r="I217" s="2464">
        <f>SUBTOTAL(109,[2025])</f>
        <v>0</v>
      </c>
      <c r="J217" s="2464">
        <f>SUBTOTAL(109,[2030])</f>
        <v>0</v>
      </c>
      <c r="K217" s="2464">
        <f>SUBTOTAL(109,[2035])</f>
        <v>0</v>
      </c>
      <c r="L217" s="2464">
        <f>SUBTOTAL(109,[2040])</f>
        <v>0</v>
      </c>
      <c r="M217" s="2464">
        <f>SUBTOTAL(109,[2045])</f>
        <v>0</v>
      </c>
      <c r="N217" s="2464">
        <f>SUBTOTAL(109,[2050])</f>
        <v>0</v>
      </c>
      <c r="O217" s="867"/>
    </row>
    <row r="218" spans="1:17" ht="15.75">
      <c r="A218" s="443"/>
      <c r="B218" s="15"/>
      <c r="C218" s="17"/>
      <c r="D218" s="17"/>
      <c r="E218" s="17"/>
      <c r="F218" s="449"/>
      <c r="G218" s="449"/>
      <c r="H218" s="449"/>
      <c r="I218" s="449"/>
      <c r="J218" s="449"/>
      <c r="K218" s="449"/>
      <c r="L218" s="449"/>
      <c r="M218" s="449"/>
      <c r="N218" s="449"/>
      <c r="O218" s="867"/>
      <c r="P218" s="1077"/>
      <c r="Q218" s="1077"/>
    </row>
    <row r="219" spans="1:17" ht="15.75">
      <c r="A219" s="443"/>
      <c r="B219" s="15"/>
      <c r="C219" s="34" t="s">
        <v>931</v>
      </c>
      <c r="D219" s="17"/>
      <c r="E219" s="17"/>
      <c r="F219" s="449"/>
      <c r="G219" s="449"/>
      <c r="H219" s="449"/>
      <c r="I219" s="449"/>
      <c r="J219" s="449"/>
      <c r="K219" s="449"/>
      <c r="L219" s="449"/>
      <c r="M219" s="449"/>
      <c r="N219" s="449"/>
      <c r="O219" s="867"/>
      <c r="P219" s="1077"/>
      <c r="Q219" s="1077"/>
    </row>
    <row r="220" spans="1:17" ht="15.75">
      <c r="A220" s="443"/>
      <c r="B220" s="15"/>
      <c r="C220" s="17"/>
      <c r="D220" s="17"/>
      <c r="E220" s="17"/>
      <c r="F220" s="449"/>
      <c r="G220" s="449"/>
      <c r="H220" s="449"/>
      <c r="I220" s="449"/>
      <c r="J220" s="449"/>
      <c r="K220" s="449"/>
      <c r="L220" s="449"/>
      <c r="M220" s="449"/>
      <c r="N220" s="516" t="str">
        <f>Preferences.EnergyUnits</f>
        <v>TWh</v>
      </c>
      <c r="O220" s="867"/>
      <c r="P220" s="1077"/>
      <c r="Q220" s="1077"/>
    </row>
    <row r="221" spans="1:17" ht="15.75">
      <c r="A221" s="443"/>
      <c r="B221" s="15"/>
      <c r="C221" s="873" t="s">
        <v>28</v>
      </c>
      <c r="D221" s="873" t="s">
        <v>29</v>
      </c>
      <c r="E221" s="873" t="s">
        <v>30</v>
      </c>
      <c r="F221" s="873" t="s">
        <v>597</v>
      </c>
      <c r="G221" s="873" t="s">
        <v>133</v>
      </c>
      <c r="H221" s="873" t="s">
        <v>134</v>
      </c>
      <c r="I221" s="873" t="s">
        <v>135</v>
      </c>
      <c r="J221" s="873" t="s">
        <v>136</v>
      </c>
      <c r="K221" s="873" t="s">
        <v>137</v>
      </c>
      <c r="L221" s="873" t="s">
        <v>138</v>
      </c>
      <c r="M221" s="873" t="s">
        <v>139</v>
      </c>
      <c r="N221" s="873" t="s">
        <v>140</v>
      </c>
      <c r="O221" s="867"/>
      <c r="P221" s="1077"/>
      <c r="Q221" s="1077"/>
    </row>
    <row r="222" spans="1:17" ht="15.75">
      <c r="A222" s="443"/>
      <c r="B222" s="15"/>
      <c r="C222" s="17" t="s">
        <v>97</v>
      </c>
      <c r="D222" s="17" t="str">
        <f>INDEX(Vectors[Description], MATCH($C222, Vectors[Code], 0))</f>
        <v>Electricity (supplied to grid)</v>
      </c>
      <c r="E222" s="17"/>
      <c r="F222" s="22">
        <f t="shared" ref="F222:N222" si="31">F156</f>
        <v>0</v>
      </c>
      <c r="G222" s="22">
        <f t="shared" si="31"/>
        <v>3.9627123287671231E-3</v>
      </c>
      <c r="H222" s="2527">
        <f t="shared" si="31"/>
        <v>1.3017510000000001E-2</v>
      </c>
      <c r="I222" s="22">
        <f t="shared" si="31"/>
        <v>0.39052530000000008</v>
      </c>
      <c r="J222" s="22">
        <f t="shared" si="31"/>
        <v>2.6035020000000002</v>
      </c>
      <c r="K222" s="22">
        <f t="shared" si="31"/>
        <v>3.9052530000000001</v>
      </c>
      <c r="L222" s="22">
        <f t="shared" si="31"/>
        <v>5.2070040000000004</v>
      </c>
      <c r="M222" s="22">
        <f t="shared" si="31"/>
        <v>5.2070040000000004</v>
      </c>
      <c r="N222" s="22">
        <f t="shared" si="31"/>
        <v>6.2484048000000012</v>
      </c>
      <c r="O222" s="867"/>
      <c r="P222" s="1077"/>
      <c r="Q222" s="1077"/>
    </row>
    <row r="223" spans="1:17" ht="15.75">
      <c r="A223" s="443"/>
      <c r="B223" s="15"/>
      <c r="C223" s="17" t="s">
        <v>449</v>
      </c>
      <c r="D223" s="17" t="str">
        <f>INDEX(Vectors[Description], MATCH($C223, Vectors[Code], 0))</f>
        <v>Wave</v>
      </c>
      <c r="E223" s="17"/>
      <c r="F223" s="22">
        <f t="shared" ref="F223:N223" si="32">-F156</f>
        <v>0</v>
      </c>
      <c r="G223" s="22">
        <f t="shared" si="32"/>
        <v>-3.9627123287671231E-3</v>
      </c>
      <c r="H223" s="22">
        <f t="shared" si="32"/>
        <v>-1.3017510000000001E-2</v>
      </c>
      <c r="I223" s="22">
        <f t="shared" si="32"/>
        <v>-0.39052530000000008</v>
      </c>
      <c r="J223" s="22">
        <f t="shared" si="32"/>
        <v>-2.6035020000000002</v>
      </c>
      <c r="K223" s="22">
        <f t="shared" si="32"/>
        <v>-3.9052530000000001</v>
      </c>
      <c r="L223" s="22">
        <f t="shared" si="32"/>
        <v>-5.2070040000000004</v>
      </c>
      <c r="M223" s="22">
        <f t="shared" si="32"/>
        <v>-5.2070040000000004</v>
      </c>
      <c r="N223" s="22">
        <f t="shared" si="32"/>
        <v>-6.2484048000000012</v>
      </c>
      <c r="O223" s="867"/>
      <c r="P223" s="1077"/>
      <c r="Q223" s="1077"/>
    </row>
    <row r="224" spans="1:17" ht="15.75">
      <c r="A224" s="443"/>
      <c r="B224" s="15"/>
      <c r="C224" s="17" t="s">
        <v>448</v>
      </c>
      <c r="D224" s="17" t="str">
        <f>INDEX(Vectors[Description], MATCH($C224, Vectors[Code], 0))</f>
        <v>Tidal</v>
      </c>
      <c r="E224" s="17"/>
      <c r="F224" s="22">
        <v>0</v>
      </c>
      <c r="G224" s="22">
        <v>0</v>
      </c>
      <c r="H224" s="22">
        <v>0</v>
      </c>
      <c r="I224" s="22">
        <v>0</v>
      </c>
      <c r="J224" s="22">
        <v>0</v>
      </c>
      <c r="K224" s="22">
        <v>0</v>
      </c>
      <c r="L224" s="22">
        <v>0</v>
      </c>
      <c r="M224" s="22">
        <v>0</v>
      </c>
      <c r="N224" s="22">
        <v>0</v>
      </c>
      <c r="O224" s="867"/>
    </row>
    <row r="225" spans="1:17" ht="15.75">
      <c r="A225" s="443"/>
      <c r="B225" s="15"/>
      <c r="C225" s="2462" t="s">
        <v>59</v>
      </c>
      <c r="D225" s="2462"/>
      <c r="E225" s="2462"/>
      <c r="F225" s="2465">
        <f>SUBTOTAL(109,[2013])</f>
        <v>0</v>
      </c>
      <c r="G225" s="2465">
        <f>SUBTOTAL(109,[2015])</f>
        <v>0</v>
      </c>
      <c r="H225" s="2465">
        <f>SUBTOTAL(109,[2020])</f>
        <v>0</v>
      </c>
      <c r="I225" s="2465">
        <f>SUBTOTAL(109,[2025])</f>
        <v>0</v>
      </c>
      <c r="J225" s="2465">
        <f>SUBTOTAL(109,[2030])</f>
        <v>0</v>
      </c>
      <c r="K225" s="2465">
        <f>SUBTOTAL(109,[2035])</f>
        <v>0</v>
      </c>
      <c r="L225" s="2465">
        <f>SUBTOTAL(109,[2040])</f>
        <v>0</v>
      </c>
      <c r="M225" s="2465">
        <f>SUBTOTAL(109,[2045])</f>
        <v>0</v>
      </c>
      <c r="N225" s="2465">
        <f>SUBTOTAL(109,[2050])</f>
        <v>0</v>
      </c>
      <c r="O225" s="867"/>
      <c r="P225" s="1077"/>
      <c r="Q225" s="1077"/>
    </row>
    <row r="226" spans="1:17" ht="15.75">
      <c r="A226" s="443"/>
      <c r="B226" s="15"/>
      <c r="C226" s="17"/>
      <c r="D226" s="17"/>
      <c r="E226" s="17"/>
      <c r="F226" s="449"/>
      <c r="G226" s="449"/>
      <c r="H226" s="449"/>
      <c r="I226" s="449"/>
      <c r="J226" s="449"/>
      <c r="K226" s="449"/>
      <c r="L226" s="449"/>
      <c r="M226" s="449"/>
      <c r="N226" s="449"/>
      <c r="O226" s="867"/>
      <c r="P226" s="1077"/>
      <c r="Q226" s="1077"/>
    </row>
    <row r="227" spans="1:17" ht="15.75">
      <c r="A227" s="443"/>
      <c r="B227" s="15"/>
      <c r="C227" s="34" t="s">
        <v>932</v>
      </c>
      <c r="D227" s="17"/>
      <c r="E227" s="17"/>
      <c r="F227" s="449"/>
      <c r="G227" s="449"/>
      <c r="H227" s="449"/>
      <c r="I227" s="449"/>
      <c r="J227" s="449"/>
      <c r="K227" s="449"/>
      <c r="L227" s="449"/>
      <c r="M227" s="449"/>
      <c r="N227" s="449"/>
      <c r="O227" s="867"/>
      <c r="P227" s="1077"/>
      <c r="Q227" s="1077"/>
    </row>
    <row r="228" spans="1:17" ht="15.75">
      <c r="A228" s="443"/>
      <c r="B228" s="15"/>
      <c r="C228" s="17"/>
      <c r="D228" s="17"/>
      <c r="E228" s="17"/>
      <c r="F228" s="449"/>
      <c r="G228" s="449"/>
      <c r="H228" s="449"/>
      <c r="I228" s="449"/>
      <c r="J228" s="449"/>
      <c r="K228" s="449"/>
      <c r="L228" s="449"/>
      <c r="M228" s="449"/>
      <c r="N228" s="516" t="str">
        <f>Preferences.EnergyUnits</f>
        <v>TWh</v>
      </c>
      <c r="O228" s="867"/>
      <c r="P228" s="1077"/>
      <c r="Q228" s="1077"/>
    </row>
    <row r="229" spans="1:17" ht="15.75">
      <c r="A229" s="443"/>
      <c r="B229" s="15"/>
      <c r="C229" s="873" t="s">
        <v>28</v>
      </c>
      <c r="D229" s="873" t="s">
        <v>29</v>
      </c>
      <c r="E229" s="873" t="s">
        <v>30</v>
      </c>
      <c r="F229" s="873" t="s">
        <v>597</v>
      </c>
      <c r="G229" s="873" t="s">
        <v>133</v>
      </c>
      <c r="H229" s="873" t="s">
        <v>134</v>
      </c>
      <c r="I229" s="873" t="s">
        <v>135</v>
      </c>
      <c r="J229" s="873" t="s">
        <v>136</v>
      </c>
      <c r="K229" s="873" t="s">
        <v>137</v>
      </c>
      <c r="L229" s="873" t="s">
        <v>138</v>
      </c>
      <c r="M229" s="873" t="s">
        <v>139</v>
      </c>
      <c r="N229" s="873" t="s">
        <v>140</v>
      </c>
      <c r="O229" s="867"/>
      <c r="P229" s="1077"/>
      <c r="Q229" s="1077"/>
    </row>
    <row r="230" spans="1:17" ht="15.75">
      <c r="A230" s="443"/>
      <c r="B230" s="15"/>
      <c r="C230" s="17" t="s">
        <v>97</v>
      </c>
      <c r="D230" s="17" t="str">
        <f>INDEX(Vectors[Description], MATCH($C230, Vectors[Code], 0))</f>
        <v>Electricity (supplied to grid)</v>
      </c>
      <c r="E230" s="17"/>
      <c r="F230" s="22">
        <f t="shared" ref="F230:N230" si="33">F164</f>
        <v>0</v>
      </c>
      <c r="G230" s="22">
        <f t="shared" si="33"/>
        <v>0</v>
      </c>
      <c r="H230" s="22">
        <f t="shared" si="33"/>
        <v>0</v>
      </c>
      <c r="I230" s="22">
        <f t="shared" si="33"/>
        <v>0.31557600000000013</v>
      </c>
      <c r="J230" s="22">
        <f t="shared" si="33"/>
        <v>0.63115200000000027</v>
      </c>
      <c r="K230" s="22">
        <f t="shared" si="33"/>
        <v>1.5778800000000002</v>
      </c>
      <c r="L230" s="22">
        <f t="shared" si="33"/>
        <v>1.5778800000000002</v>
      </c>
      <c r="M230" s="22">
        <f t="shared" si="33"/>
        <v>2.5246080000000011</v>
      </c>
      <c r="N230" s="22">
        <f t="shared" si="33"/>
        <v>2.5246080000000011</v>
      </c>
      <c r="O230" s="867"/>
    </row>
    <row r="231" spans="1:17" ht="15.75">
      <c r="A231" s="443"/>
      <c r="B231" s="15"/>
      <c r="C231" s="17" t="s">
        <v>449</v>
      </c>
      <c r="D231" s="17" t="str">
        <f>INDEX(Vectors[Description], MATCH($C231, Vectors[Code], 0))</f>
        <v>Wave</v>
      </c>
      <c r="E231" s="17"/>
      <c r="F231" s="22">
        <v>0</v>
      </c>
      <c r="G231" s="22">
        <v>0</v>
      </c>
      <c r="H231" s="22">
        <v>0</v>
      </c>
      <c r="I231" s="22">
        <v>0</v>
      </c>
      <c r="J231" s="22">
        <v>0</v>
      </c>
      <c r="K231" s="22">
        <v>0</v>
      </c>
      <c r="L231" s="22">
        <v>0</v>
      </c>
      <c r="M231" s="22">
        <v>0</v>
      </c>
      <c r="N231" s="22">
        <v>0</v>
      </c>
      <c r="O231" s="867"/>
    </row>
    <row r="232" spans="1:17" ht="15.75">
      <c r="A232" s="443"/>
      <c r="B232" s="15"/>
      <c r="C232" s="17" t="s">
        <v>448</v>
      </c>
      <c r="D232" s="17" t="str">
        <f>INDEX(Vectors[Description], MATCH($C232, Vectors[Code], 0))</f>
        <v>Tidal</v>
      </c>
      <c r="E232" s="17"/>
      <c r="F232" s="22">
        <f t="shared" ref="F232:N232" si="34">-F164</f>
        <v>0</v>
      </c>
      <c r="G232" s="22">
        <f t="shared" si="34"/>
        <v>0</v>
      </c>
      <c r="H232" s="22">
        <f t="shared" si="34"/>
        <v>0</v>
      </c>
      <c r="I232" s="22">
        <f t="shared" si="34"/>
        <v>-0.31557600000000013</v>
      </c>
      <c r="J232" s="22">
        <f t="shared" si="34"/>
        <v>-0.63115200000000027</v>
      </c>
      <c r="K232" s="22">
        <f t="shared" si="34"/>
        <v>-1.5778800000000002</v>
      </c>
      <c r="L232" s="22">
        <f t="shared" si="34"/>
        <v>-1.5778800000000002</v>
      </c>
      <c r="M232" s="22">
        <f t="shared" si="34"/>
        <v>-2.5246080000000011</v>
      </c>
      <c r="N232" s="22">
        <f t="shared" si="34"/>
        <v>-2.5246080000000011</v>
      </c>
      <c r="O232" s="867"/>
    </row>
    <row r="233" spans="1:17" ht="15.75">
      <c r="A233" s="443"/>
      <c r="B233" s="15"/>
      <c r="C233" s="2462" t="s">
        <v>59</v>
      </c>
      <c r="D233" s="2462"/>
      <c r="E233" s="2462"/>
      <c r="F233" s="2465">
        <f>SUBTOTAL(109,[2013])</f>
        <v>0</v>
      </c>
      <c r="G233" s="2465">
        <f>SUBTOTAL(109,[2015])</f>
        <v>0</v>
      </c>
      <c r="H233" s="2465">
        <f>SUBTOTAL(109,[2020])</f>
        <v>0</v>
      </c>
      <c r="I233" s="2465">
        <f>SUBTOTAL(109,[2025])</f>
        <v>0</v>
      </c>
      <c r="J233" s="2465">
        <f>SUBTOTAL(109,[2030])</f>
        <v>0</v>
      </c>
      <c r="K233" s="2465">
        <f>SUBTOTAL(109,[2035])</f>
        <v>0</v>
      </c>
      <c r="L233" s="2465">
        <f>SUBTOTAL(109,[2040])</f>
        <v>0</v>
      </c>
      <c r="M233" s="2465">
        <f>SUBTOTAL(109,[2045])</f>
        <v>0</v>
      </c>
      <c r="N233" s="2465">
        <f>SUBTOTAL(109,[2050])</f>
        <v>0</v>
      </c>
      <c r="O233" s="867"/>
    </row>
    <row r="234" spans="1:17" ht="15.75">
      <c r="A234" s="443"/>
      <c r="B234" s="15"/>
      <c r="C234" s="17"/>
      <c r="D234" s="17"/>
      <c r="E234" s="17"/>
      <c r="F234" s="449"/>
      <c r="G234" s="449"/>
      <c r="H234" s="449"/>
      <c r="I234" s="449"/>
      <c r="J234" s="449"/>
      <c r="K234" s="449"/>
      <c r="L234" s="449"/>
      <c r="M234" s="449"/>
      <c r="N234" s="449"/>
      <c r="O234" s="867"/>
    </row>
    <row r="235" spans="1:17" ht="15.75">
      <c r="A235" s="443"/>
      <c r="B235" s="15"/>
      <c r="C235" s="34" t="s">
        <v>933</v>
      </c>
      <c r="D235" s="17"/>
      <c r="E235" s="17"/>
      <c r="F235" s="449"/>
      <c r="G235" s="449"/>
      <c r="H235" s="449"/>
      <c r="I235" s="449"/>
      <c r="J235" s="449"/>
      <c r="K235" s="449"/>
      <c r="L235" s="449"/>
      <c r="M235" s="449"/>
      <c r="N235" s="516" t="str">
        <f>Preferences.EnergyUnits</f>
        <v>TWh</v>
      </c>
      <c r="O235" s="867"/>
    </row>
    <row r="236" spans="1:17" ht="15.75">
      <c r="B236" s="15"/>
      <c r="C236" s="17"/>
      <c r="D236" s="17"/>
      <c r="E236" s="17"/>
      <c r="F236" s="449"/>
      <c r="G236" s="449"/>
      <c r="H236" s="449"/>
      <c r="I236" s="449"/>
      <c r="J236" s="449"/>
      <c r="K236" s="449"/>
      <c r="L236" s="449"/>
      <c r="M236" s="449"/>
      <c r="N236" s="449"/>
      <c r="O236" s="867"/>
    </row>
    <row r="237" spans="1:17" ht="15.75">
      <c r="B237" s="15"/>
      <c r="C237" s="873" t="s">
        <v>28</v>
      </c>
      <c r="D237" s="873" t="s">
        <v>29</v>
      </c>
      <c r="E237" s="873" t="s">
        <v>30</v>
      </c>
      <c r="F237" s="873" t="s">
        <v>597</v>
      </c>
      <c r="G237" s="873" t="s">
        <v>133</v>
      </c>
      <c r="H237" s="873" t="s">
        <v>134</v>
      </c>
      <c r="I237" s="873" t="s">
        <v>135</v>
      </c>
      <c r="J237" s="873" t="s">
        <v>136</v>
      </c>
      <c r="K237" s="873" t="s">
        <v>137</v>
      </c>
      <c r="L237" s="873" t="s">
        <v>138</v>
      </c>
      <c r="M237" s="873" t="s">
        <v>139</v>
      </c>
      <c r="N237" s="873" t="s">
        <v>140</v>
      </c>
      <c r="O237" s="867"/>
    </row>
    <row r="238" spans="1:17" ht="15.75">
      <c r="A238" s="443"/>
      <c r="B238" s="15"/>
      <c r="C238" s="17" t="s">
        <v>97</v>
      </c>
      <c r="D238" s="17" t="str">
        <f>INDEX(Vectors[Description], MATCH($C238, Vectors[Code], 0))</f>
        <v>Electricity (supplied to grid)</v>
      </c>
      <c r="E238" s="17"/>
      <c r="F238" s="22">
        <f t="shared" ref="F238:N238" si="35">F172</f>
        <v>0</v>
      </c>
      <c r="G238" s="22">
        <f t="shared" si="35"/>
        <v>0</v>
      </c>
      <c r="H238" s="22">
        <f t="shared" si="35"/>
        <v>0</v>
      </c>
      <c r="I238" s="22">
        <f t="shared" si="35"/>
        <v>0</v>
      </c>
      <c r="J238" s="22">
        <f t="shared" si="35"/>
        <v>0</v>
      </c>
      <c r="K238" s="22">
        <f t="shared" si="35"/>
        <v>0</v>
      </c>
      <c r="L238" s="22">
        <f t="shared" si="35"/>
        <v>0</v>
      </c>
      <c r="M238" s="22">
        <f t="shared" si="35"/>
        <v>0</v>
      </c>
      <c r="N238" s="22">
        <f t="shared" si="35"/>
        <v>0</v>
      </c>
      <c r="O238" s="867"/>
    </row>
    <row r="239" spans="1:17" ht="15.75">
      <c r="B239" s="15"/>
      <c r="C239" s="17" t="s">
        <v>449</v>
      </c>
      <c r="D239" s="17" t="str">
        <f>INDEX(Vectors[Description], MATCH($C239, Vectors[Code], 0))</f>
        <v>Wave</v>
      </c>
      <c r="E239" s="17"/>
      <c r="F239" s="22">
        <v>0</v>
      </c>
      <c r="G239" s="22">
        <v>0</v>
      </c>
      <c r="H239" s="22">
        <v>0</v>
      </c>
      <c r="I239" s="22">
        <v>0</v>
      </c>
      <c r="J239" s="22">
        <v>0</v>
      </c>
      <c r="K239" s="22">
        <v>0</v>
      </c>
      <c r="L239" s="22">
        <v>0</v>
      </c>
      <c r="M239" s="22">
        <v>0</v>
      </c>
      <c r="N239" s="22">
        <v>0</v>
      </c>
      <c r="O239" s="867"/>
    </row>
    <row r="240" spans="1:17" ht="15.75">
      <c r="B240" s="15"/>
      <c r="C240" s="17" t="s">
        <v>448</v>
      </c>
      <c r="D240" s="17" t="str">
        <f>INDEX(Vectors[Description], MATCH($C240, Vectors[Code], 0))</f>
        <v>Tidal</v>
      </c>
      <c r="E240" s="17"/>
      <c r="F240" s="22">
        <f t="shared" ref="F240:N240" si="36">-F172</f>
        <v>0</v>
      </c>
      <c r="G240" s="22">
        <f t="shared" si="36"/>
        <v>0</v>
      </c>
      <c r="H240" s="22">
        <f t="shared" si="36"/>
        <v>0</v>
      </c>
      <c r="I240" s="22">
        <f t="shared" si="36"/>
        <v>0</v>
      </c>
      <c r="J240" s="22">
        <f t="shared" si="36"/>
        <v>0</v>
      </c>
      <c r="K240" s="22">
        <f t="shared" si="36"/>
        <v>0</v>
      </c>
      <c r="L240" s="22">
        <f t="shared" si="36"/>
        <v>0</v>
      </c>
      <c r="M240" s="22">
        <f t="shared" si="36"/>
        <v>0</v>
      </c>
      <c r="N240" s="22">
        <f t="shared" si="36"/>
        <v>0</v>
      </c>
      <c r="O240" s="867"/>
    </row>
    <row r="241" spans="2:15" ht="15.75">
      <c r="B241" s="15"/>
      <c r="C241" s="2462" t="s">
        <v>59</v>
      </c>
      <c r="D241" s="2462"/>
      <c r="E241" s="2462"/>
      <c r="F241" s="2465">
        <f>SUBTOTAL(109,[2013])</f>
        <v>0</v>
      </c>
      <c r="G241" s="2465">
        <f>SUBTOTAL(109,[2015])</f>
        <v>0</v>
      </c>
      <c r="H241" s="2465">
        <f>SUBTOTAL(109,[2020])</f>
        <v>0</v>
      </c>
      <c r="I241" s="2465">
        <f>SUBTOTAL(109,[2025])</f>
        <v>0</v>
      </c>
      <c r="J241" s="2465">
        <f>SUBTOTAL(109,[2030])</f>
        <v>0</v>
      </c>
      <c r="K241" s="2465">
        <f>SUBTOTAL(109,[2035])</f>
        <v>0</v>
      </c>
      <c r="L241" s="2465">
        <f>SUBTOTAL(109,[2040])</f>
        <v>0</v>
      </c>
      <c r="M241" s="2465">
        <f>SUBTOTAL(109,[2045])</f>
        <v>0</v>
      </c>
      <c r="N241" s="2465">
        <f>SUBTOTAL(109,[2050])</f>
        <v>0</v>
      </c>
      <c r="O241" s="867"/>
    </row>
    <row r="242" spans="2:15" ht="15.75">
      <c r="B242" s="15"/>
      <c r="C242" s="452"/>
      <c r="D242" s="452"/>
      <c r="E242" s="452"/>
      <c r="F242" s="452"/>
      <c r="G242" s="452"/>
      <c r="H242" s="452"/>
      <c r="I242" s="452"/>
      <c r="J242" s="452"/>
      <c r="K242" s="452"/>
      <c r="L242" s="452"/>
      <c r="M242" s="452"/>
      <c r="N242" s="452"/>
      <c r="O242" s="867"/>
    </row>
    <row r="243" spans="2:15">
      <c r="D243" s="2503" t="s">
        <v>5</v>
      </c>
      <c r="E243" t="s">
        <v>5</v>
      </c>
    </row>
    <row r="244" spans="2:15" ht="15.75">
      <c r="B244" s="995" t="s">
        <v>5</v>
      </c>
      <c r="C244" s="996"/>
      <c r="D244" s="997"/>
      <c r="E244" s="997"/>
      <c r="F244" s="997"/>
      <c r="G244" s="997"/>
      <c r="H244" s="997"/>
      <c r="I244" s="997"/>
      <c r="J244" s="997"/>
      <c r="K244" s="997"/>
      <c r="L244" s="997"/>
      <c r="M244" s="997"/>
      <c r="N244" s="997"/>
      <c r="O244" s="997"/>
    </row>
    <row r="245" spans="2:15">
      <c r="B245" s="999"/>
      <c r="C245" s="1000"/>
      <c r="D245" s="1000"/>
      <c r="E245" s="1000"/>
      <c r="F245" s="1000"/>
      <c r="G245" s="1000"/>
      <c r="H245" s="1000"/>
      <c r="I245" s="1000"/>
      <c r="J245" s="1000"/>
      <c r="K245" s="1000"/>
      <c r="L245" s="1000"/>
      <c r="M245" s="1000"/>
      <c r="N245" s="1000"/>
      <c r="O245" s="1000"/>
    </row>
    <row r="246" spans="2:15">
      <c r="B246" s="1002"/>
      <c r="C246" s="488" t="s">
        <v>934</v>
      </c>
      <c r="D246" s="1003"/>
      <c r="E246" s="1004"/>
      <c r="F246" s="1003"/>
      <c r="G246" s="1003"/>
      <c r="H246" s="1003"/>
      <c r="I246" s="1003"/>
      <c r="J246" s="1003"/>
      <c r="K246" s="1003"/>
      <c r="L246" s="1003"/>
      <c r="M246" s="1003"/>
      <c r="N246" s="1004"/>
      <c r="O246" s="1003"/>
    </row>
    <row r="247" spans="2:15">
      <c r="B247" s="1002"/>
      <c r="C247" s="1003"/>
      <c r="D247" s="1003"/>
      <c r="E247" s="1003"/>
      <c r="F247" s="1003"/>
      <c r="G247" s="1003"/>
      <c r="H247" s="1003"/>
      <c r="I247" s="1003"/>
      <c r="J247" s="1003"/>
      <c r="K247" s="1003"/>
      <c r="L247" s="1003"/>
      <c r="M247" s="1003"/>
      <c r="N247" s="1003"/>
      <c r="O247" s="1003"/>
    </row>
    <row r="248" spans="2:15" ht="15.75">
      <c r="B248" s="492"/>
      <c r="C248" s="1006" t="s">
        <v>28</v>
      </c>
      <c r="D248" s="1006" t="s">
        <v>315</v>
      </c>
      <c r="E248" s="1006" t="s">
        <v>30</v>
      </c>
      <c r="F248" s="1006" t="s">
        <v>597</v>
      </c>
      <c r="G248" s="1006" t="s">
        <v>133</v>
      </c>
      <c r="H248" s="1006" t="s">
        <v>134</v>
      </c>
      <c r="I248" s="1006" t="s">
        <v>135</v>
      </c>
      <c r="J248" s="1006" t="s">
        <v>136</v>
      </c>
      <c r="K248" s="1006" t="s">
        <v>137</v>
      </c>
      <c r="L248" s="1006" t="s">
        <v>138</v>
      </c>
      <c r="M248" s="1006" t="s">
        <v>139</v>
      </c>
      <c r="N248" s="1006" t="s">
        <v>140</v>
      </c>
      <c r="O248" s="1003"/>
    </row>
    <row r="249" spans="2:15" ht="15.75">
      <c r="B249" s="492"/>
      <c r="C249" s="1007" t="s">
        <v>935</v>
      </c>
      <c r="D249" s="1007" t="s">
        <v>936</v>
      </c>
      <c r="E249" s="494" t="str">
        <f>Preferences.AreaUnits</f>
        <v>km^2</v>
      </c>
      <c r="F249" s="1008">
        <f t="shared" ref="F249:N249" si="37">F178</f>
        <v>0</v>
      </c>
      <c r="G249" s="1008">
        <f t="shared" si="37"/>
        <v>2.6435952895938475E-2</v>
      </c>
      <c r="H249" s="1008">
        <f t="shared" si="37"/>
        <v>8.6842105263157901E-2</v>
      </c>
      <c r="I249" s="1008">
        <f t="shared" si="37"/>
        <v>2.6052631578947376</v>
      </c>
      <c r="J249" s="1008">
        <f t="shared" si="37"/>
        <v>17.368421052631582</v>
      </c>
      <c r="K249" s="1008">
        <f t="shared" si="37"/>
        <v>26.05263157894737</v>
      </c>
      <c r="L249" s="1008">
        <f t="shared" si="37"/>
        <v>34.736842105263165</v>
      </c>
      <c r="M249" s="1008">
        <f t="shared" si="37"/>
        <v>34.736842105263165</v>
      </c>
      <c r="N249" s="1008">
        <f t="shared" si="37"/>
        <v>41.684210526315802</v>
      </c>
      <c r="O249" s="1003"/>
    </row>
    <row r="250" spans="2:15" ht="15.75">
      <c r="B250" s="492"/>
      <c r="C250" s="1007" t="s">
        <v>767</v>
      </c>
      <c r="D250" s="494" t="str">
        <f>INDEX(Vectors[Description], MATCH($C250, Vectors[Code], 0))</f>
        <v xml:space="preserve">Installed Capacity </v>
      </c>
      <c r="E250" s="494" t="str">
        <f>Preferences.PowerUnits</f>
        <v>GW</v>
      </c>
      <c r="F250" s="1008">
        <f t="shared" ref="F250:N250" si="38">F151</f>
        <v>0</v>
      </c>
      <c r="G250" s="1008">
        <f t="shared" si="38"/>
        <v>1.5220700152207001E-3</v>
      </c>
      <c r="H250" s="1008">
        <f t="shared" si="38"/>
        <v>5.0000000000000001E-3</v>
      </c>
      <c r="I250" s="1008">
        <f t="shared" si="38"/>
        <v>0.15</v>
      </c>
      <c r="J250" s="1008">
        <f t="shared" si="38"/>
        <v>1</v>
      </c>
      <c r="K250" s="1008">
        <f t="shared" si="38"/>
        <v>1.5</v>
      </c>
      <c r="L250" s="1008">
        <f t="shared" si="38"/>
        <v>2</v>
      </c>
      <c r="M250" s="1008">
        <f t="shared" si="38"/>
        <v>2</v>
      </c>
      <c r="N250" s="1008">
        <f t="shared" si="38"/>
        <v>2.4</v>
      </c>
      <c r="O250" s="1003"/>
    </row>
    <row r="251" spans="2:15" ht="15.75">
      <c r="B251" s="492"/>
      <c r="C251" s="1007" t="s">
        <v>316</v>
      </c>
      <c r="D251" s="494" t="s">
        <v>919</v>
      </c>
      <c r="E251" s="1007" t="s">
        <v>760</v>
      </c>
      <c r="F251" s="1193">
        <f t="shared" ref="F251:N251" si="39">F177</f>
        <v>0</v>
      </c>
      <c r="G251" s="496">
        <f t="shared" si="39"/>
        <v>1.0147133434804667</v>
      </c>
      <c r="H251" s="496">
        <f t="shared" si="39"/>
        <v>3.3333333333333335</v>
      </c>
      <c r="I251" s="496">
        <f t="shared" si="39"/>
        <v>100</v>
      </c>
      <c r="J251" s="496">
        <f t="shared" si="39"/>
        <v>666.66666666666663</v>
      </c>
      <c r="K251" s="496">
        <f t="shared" si="39"/>
        <v>1000</v>
      </c>
      <c r="L251" s="496">
        <f t="shared" si="39"/>
        <v>1333.3333333333333</v>
      </c>
      <c r="M251" s="496">
        <f t="shared" si="39"/>
        <v>1333.3333333333333</v>
      </c>
      <c r="N251" s="496">
        <f t="shared" si="39"/>
        <v>1600</v>
      </c>
      <c r="O251" s="1003"/>
    </row>
    <row r="252" spans="2:15" ht="15.75">
      <c r="B252" s="492"/>
      <c r="C252" s="1003"/>
      <c r="D252" s="1003"/>
      <c r="E252" s="1003"/>
      <c r="F252" s="1003"/>
      <c r="G252" s="1003"/>
      <c r="H252" s="1003"/>
      <c r="I252" s="1003"/>
      <c r="J252" s="1003"/>
      <c r="K252" s="1003"/>
      <c r="L252" s="1003"/>
      <c r="M252" s="1003"/>
      <c r="N252" s="1003"/>
      <c r="O252" s="1003"/>
    </row>
    <row r="253" spans="2:15">
      <c r="B253" s="1002"/>
      <c r="C253" s="488" t="s">
        <v>937</v>
      </c>
      <c r="D253" s="1003"/>
      <c r="E253" s="1004"/>
      <c r="F253" s="1003"/>
      <c r="G253" s="1003"/>
      <c r="H253" s="1003"/>
      <c r="I253" s="1003"/>
      <c r="J253" s="1003"/>
      <c r="K253" s="1003"/>
      <c r="L253" s="1003"/>
      <c r="M253" s="1003"/>
      <c r="N253" s="1004"/>
      <c r="O253" s="1003"/>
    </row>
    <row r="254" spans="2:15">
      <c r="B254" s="1002"/>
      <c r="C254" s="1003"/>
      <c r="D254" s="1003"/>
      <c r="E254" s="1003"/>
      <c r="F254" s="1003"/>
      <c r="G254" s="1003"/>
      <c r="H254" s="1003"/>
      <c r="I254" s="1003"/>
      <c r="J254" s="1003"/>
      <c r="K254" s="1003"/>
      <c r="L254" s="1003"/>
      <c r="M254" s="1003"/>
      <c r="N254" s="1003"/>
      <c r="O254" s="1003"/>
    </row>
    <row r="255" spans="2:15" ht="15.75">
      <c r="B255" s="492"/>
      <c r="C255" s="1006" t="s">
        <v>28</v>
      </c>
      <c r="D255" s="1006" t="s">
        <v>315</v>
      </c>
      <c r="E255" s="1006" t="s">
        <v>30</v>
      </c>
      <c r="F255" s="1006" t="s">
        <v>597</v>
      </c>
      <c r="G255" s="1006" t="s">
        <v>133</v>
      </c>
      <c r="H255" s="1006" t="s">
        <v>134</v>
      </c>
      <c r="I255" s="1006" t="s">
        <v>135</v>
      </c>
      <c r="J255" s="1006" t="s">
        <v>136</v>
      </c>
      <c r="K255" s="1006" t="s">
        <v>137</v>
      </c>
      <c r="L255" s="1006" t="s">
        <v>138</v>
      </c>
      <c r="M255" s="1006" t="s">
        <v>139</v>
      </c>
      <c r="N255" s="1006" t="s">
        <v>140</v>
      </c>
      <c r="O255" s="1003"/>
    </row>
    <row r="256" spans="2:15" ht="15.75">
      <c r="B256" s="492"/>
      <c r="C256" s="1007" t="s">
        <v>878</v>
      </c>
      <c r="D256" s="1007" t="s">
        <v>938</v>
      </c>
      <c r="E256" s="494" t="str">
        <f>Preferences.AreaUnits</f>
        <v>km^2</v>
      </c>
      <c r="F256" s="1008">
        <f t="shared" ref="F256:N256" si="40">F184</f>
        <v>0</v>
      </c>
      <c r="G256" s="1008">
        <f t="shared" si="40"/>
        <v>0</v>
      </c>
      <c r="H256" s="1008">
        <f t="shared" si="40"/>
        <v>0</v>
      </c>
      <c r="I256" s="1008">
        <f t="shared" si="40"/>
        <v>6.6666666666666661</v>
      </c>
      <c r="J256" s="1008">
        <f t="shared" si="40"/>
        <v>13.333333333333332</v>
      </c>
      <c r="K256" s="1008">
        <f t="shared" si="40"/>
        <v>33.333333333333329</v>
      </c>
      <c r="L256" s="1008">
        <f t="shared" si="40"/>
        <v>33.333333333333329</v>
      </c>
      <c r="M256" s="1008">
        <f t="shared" si="40"/>
        <v>53.333333333333329</v>
      </c>
      <c r="N256" s="1008">
        <f t="shared" si="40"/>
        <v>53.333333333333329</v>
      </c>
      <c r="O256" s="1003"/>
    </row>
    <row r="257" spans="2:15" ht="15.75">
      <c r="B257" s="492"/>
      <c r="C257" s="1007" t="s">
        <v>767</v>
      </c>
      <c r="D257" s="494" t="str">
        <f>INDEX(Vectors[Description], MATCH($C257, Vectors[Code], 0))</f>
        <v xml:space="preserve">Installed Capacity </v>
      </c>
      <c r="E257" s="494" t="str">
        <f>Preferences.PowerUnits</f>
        <v>GW</v>
      </c>
      <c r="F257" s="1008">
        <f t="shared" ref="F257:N257" si="41">F159</f>
        <v>0</v>
      </c>
      <c r="G257" s="1008">
        <f t="shared" si="41"/>
        <v>0</v>
      </c>
      <c r="H257" s="1008">
        <f t="shared" si="41"/>
        <v>0</v>
      </c>
      <c r="I257" s="1008">
        <f t="shared" si="41"/>
        <v>0.1</v>
      </c>
      <c r="J257" s="1008">
        <f t="shared" si="41"/>
        <v>0.2</v>
      </c>
      <c r="K257" s="1008">
        <f t="shared" si="41"/>
        <v>0.5</v>
      </c>
      <c r="L257" s="1008">
        <f t="shared" si="41"/>
        <v>0.5</v>
      </c>
      <c r="M257" s="1008">
        <f t="shared" si="41"/>
        <v>0.8</v>
      </c>
      <c r="N257" s="1008">
        <f t="shared" si="41"/>
        <v>0.8</v>
      </c>
      <c r="O257" s="1003"/>
    </row>
    <row r="258" spans="2:15" ht="15.75">
      <c r="B258" s="492"/>
      <c r="C258" s="1007" t="s">
        <v>316</v>
      </c>
      <c r="D258" s="1007" t="s">
        <v>939</v>
      </c>
      <c r="E258" s="1007" t="s">
        <v>760</v>
      </c>
      <c r="F258" s="1193">
        <f t="shared" ref="F258:N258" si="42">F183</f>
        <v>0</v>
      </c>
      <c r="G258" s="1193">
        <f t="shared" si="42"/>
        <v>0</v>
      </c>
      <c r="H258" s="1193">
        <f t="shared" si="42"/>
        <v>0</v>
      </c>
      <c r="I258" s="1193">
        <f t="shared" si="42"/>
        <v>50</v>
      </c>
      <c r="J258" s="1193">
        <f t="shared" si="42"/>
        <v>100</v>
      </c>
      <c r="K258" s="1193">
        <f t="shared" si="42"/>
        <v>250</v>
      </c>
      <c r="L258" s="1193">
        <f t="shared" si="42"/>
        <v>250</v>
      </c>
      <c r="M258" s="1193">
        <f t="shared" si="42"/>
        <v>400</v>
      </c>
      <c r="N258" s="1193">
        <f t="shared" si="42"/>
        <v>400</v>
      </c>
      <c r="O258" s="1003"/>
    </row>
    <row r="259" spans="2:15">
      <c r="B259" s="1002"/>
      <c r="C259" s="488"/>
      <c r="D259" s="1003"/>
      <c r="E259" s="1004"/>
      <c r="F259" s="1003"/>
      <c r="G259" s="1003"/>
      <c r="H259" s="1003"/>
      <c r="I259" s="1003"/>
      <c r="J259" s="1003"/>
      <c r="K259" s="1003"/>
      <c r="L259" s="1003"/>
      <c r="M259" s="1003"/>
      <c r="N259" s="1004"/>
      <c r="O259" s="1003"/>
    </row>
    <row r="260" spans="2:15" s="2503" customFormat="1">
      <c r="B260" s="1002"/>
      <c r="C260" s="488" t="s">
        <v>940</v>
      </c>
      <c r="D260" s="1003"/>
      <c r="E260" s="1004"/>
      <c r="F260" s="1003"/>
      <c r="G260" s="1003"/>
      <c r="H260" s="1003"/>
      <c r="I260" s="1003"/>
      <c r="J260" s="1003"/>
      <c r="K260" s="1003"/>
      <c r="L260" s="1003"/>
      <c r="M260" s="1003"/>
      <c r="N260" s="1004"/>
      <c r="O260" s="1003"/>
    </row>
    <row r="261" spans="2:15">
      <c r="B261" s="1002"/>
      <c r="C261" s="1003"/>
      <c r="D261" s="1003"/>
      <c r="E261" s="1003"/>
      <c r="F261" s="1003"/>
      <c r="G261" s="1003"/>
      <c r="H261" s="1003"/>
      <c r="I261" s="1003"/>
      <c r="J261" s="1003"/>
      <c r="K261" s="1003"/>
      <c r="L261" s="1003"/>
      <c r="M261" s="1003"/>
      <c r="N261" s="1003"/>
      <c r="O261" s="1003"/>
    </row>
    <row r="262" spans="2:15" ht="15.75">
      <c r="B262" s="492"/>
      <c r="C262" s="1006" t="s">
        <v>28</v>
      </c>
      <c r="D262" s="1006" t="s">
        <v>315</v>
      </c>
      <c r="E262" s="1006" t="s">
        <v>30</v>
      </c>
      <c r="F262" s="1006" t="s">
        <v>597</v>
      </c>
      <c r="G262" s="1006" t="s">
        <v>133</v>
      </c>
      <c r="H262" s="1006" t="s">
        <v>134</v>
      </c>
      <c r="I262" s="1006" t="s">
        <v>135</v>
      </c>
      <c r="J262" s="1006" t="s">
        <v>136</v>
      </c>
      <c r="K262" s="1006" t="s">
        <v>137</v>
      </c>
      <c r="L262" s="1006" t="s">
        <v>138</v>
      </c>
      <c r="M262" s="1006" t="s">
        <v>139</v>
      </c>
      <c r="N262" s="1006" t="s">
        <v>140</v>
      </c>
      <c r="O262" s="1003"/>
    </row>
    <row r="263" spans="2:15" ht="15.75">
      <c r="B263" s="492"/>
      <c r="C263" s="1007" t="s">
        <v>878</v>
      </c>
      <c r="D263" s="1007" t="s">
        <v>941</v>
      </c>
      <c r="E263" s="494" t="str">
        <f>Preferences.AreaUnits</f>
        <v>km^2</v>
      </c>
      <c r="F263" s="1008">
        <f t="shared" ref="F263:N263" si="43">F190</f>
        <v>0</v>
      </c>
      <c r="G263" s="1008">
        <f t="shared" si="43"/>
        <v>0</v>
      </c>
      <c r="H263" s="1008">
        <f t="shared" si="43"/>
        <v>0</v>
      </c>
      <c r="I263" s="1008">
        <f t="shared" si="43"/>
        <v>0</v>
      </c>
      <c r="J263" s="1008">
        <f t="shared" si="43"/>
        <v>0</v>
      </c>
      <c r="K263" s="1008">
        <f t="shared" si="43"/>
        <v>0</v>
      </c>
      <c r="L263" s="1008">
        <f t="shared" si="43"/>
        <v>0</v>
      </c>
      <c r="M263" s="1008">
        <f t="shared" si="43"/>
        <v>0</v>
      </c>
      <c r="N263" s="1008">
        <f t="shared" si="43"/>
        <v>0</v>
      </c>
      <c r="O263" s="1003"/>
    </row>
    <row r="264" spans="2:15" ht="15.75">
      <c r="B264" s="492"/>
      <c r="C264" s="1007" t="s">
        <v>767</v>
      </c>
      <c r="D264" s="494" t="str">
        <f>INDEX(Vectors[Description], MATCH($C264, Vectors[Code], 0))</f>
        <v xml:space="preserve">Installed Capacity </v>
      </c>
      <c r="E264" s="494" t="str">
        <f>Preferences.PowerUnits</f>
        <v>GW</v>
      </c>
      <c r="F264" s="1008">
        <f t="shared" ref="F264:N264" si="44">F167</f>
        <v>0</v>
      </c>
      <c r="G264" s="1008">
        <f t="shared" si="44"/>
        <v>0</v>
      </c>
      <c r="H264" s="1008">
        <f t="shared" si="44"/>
        <v>0</v>
      </c>
      <c r="I264" s="1008">
        <f t="shared" si="44"/>
        <v>0</v>
      </c>
      <c r="J264" s="1008">
        <f t="shared" si="44"/>
        <v>0</v>
      </c>
      <c r="K264" s="1008">
        <f t="shared" si="44"/>
        <v>0</v>
      </c>
      <c r="L264" s="1008">
        <f t="shared" si="44"/>
        <v>0</v>
      </c>
      <c r="M264" s="1008">
        <f t="shared" si="44"/>
        <v>0</v>
      </c>
      <c r="N264" s="1008">
        <f t="shared" si="44"/>
        <v>0</v>
      </c>
      <c r="O264" s="1003"/>
    </row>
    <row r="265" spans="2:15" ht="15.75">
      <c r="B265" s="492"/>
      <c r="C265" s="1007" t="s">
        <v>316</v>
      </c>
      <c r="D265" s="1007" t="s">
        <v>942</v>
      </c>
      <c r="E265" s="1007" t="s">
        <v>760</v>
      </c>
      <c r="F265" s="1193">
        <f t="shared" ref="F265:N265" si="45">F189</f>
        <v>0</v>
      </c>
      <c r="G265" s="1193">
        <f t="shared" si="45"/>
        <v>0</v>
      </c>
      <c r="H265" s="1193">
        <f t="shared" si="45"/>
        <v>0</v>
      </c>
      <c r="I265" s="1193">
        <f t="shared" si="45"/>
        <v>0</v>
      </c>
      <c r="J265" s="1193">
        <f t="shared" si="45"/>
        <v>0</v>
      </c>
      <c r="K265" s="1193">
        <f t="shared" si="45"/>
        <v>0</v>
      </c>
      <c r="L265" s="1193">
        <f t="shared" si="45"/>
        <v>0</v>
      </c>
      <c r="M265" s="1193">
        <f t="shared" si="45"/>
        <v>0</v>
      </c>
      <c r="N265" s="1193">
        <f t="shared" si="45"/>
        <v>0</v>
      </c>
      <c r="O265" s="1003"/>
    </row>
    <row r="266" spans="2:15" ht="15.75">
      <c r="B266" s="497"/>
      <c r="C266" s="1010"/>
      <c r="D266" s="1010"/>
      <c r="E266" s="1010"/>
      <c r="F266" s="1010"/>
      <c r="G266" s="1010"/>
      <c r="H266" s="1010"/>
      <c r="I266" s="1010"/>
      <c r="J266" s="1010"/>
      <c r="K266" s="1010"/>
      <c r="L266" s="1010"/>
      <c r="M266" s="1010"/>
      <c r="N266" s="1010"/>
      <c r="O266" s="1003"/>
    </row>
    <row r="267" spans="2:15">
      <c r="F267" t="s">
        <v>5</v>
      </c>
    </row>
    <row r="268" spans="2:15" ht="15.75">
      <c r="B268" s="995" t="s">
        <v>2795</v>
      </c>
      <c r="C268" s="997"/>
      <c r="D268" s="997"/>
      <c r="E268" s="997"/>
      <c r="F268" s="997"/>
      <c r="G268" s="997"/>
      <c r="H268" s="997"/>
      <c r="I268" s="997"/>
      <c r="J268" s="997"/>
      <c r="K268" s="997"/>
      <c r="L268" s="997"/>
      <c r="M268" s="997"/>
      <c r="N268" s="997"/>
      <c r="O268" s="997"/>
    </row>
    <row r="269" spans="2:15" hidden="1">
      <c r="B269" s="1002"/>
      <c r="C269" s="1003"/>
      <c r="D269" s="1003"/>
      <c r="E269" s="1003"/>
      <c r="F269" s="1003"/>
      <c r="G269" s="1003"/>
      <c r="H269" s="1003"/>
      <c r="I269" s="1003"/>
      <c r="J269" s="1003"/>
      <c r="K269" s="1003"/>
      <c r="L269" s="1003"/>
      <c r="M269" s="1003"/>
      <c r="N269" s="1003"/>
      <c r="O269" s="1003"/>
    </row>
    <row r="270" spans="2:15" ht="15.75" hidden="1">
      <c r="B270" s="492"/>
      <c r="C270" s="500" t="s">
        <v>770</v>
      </c>
      <c r="D270" s="1012"/>
      <c r="E270" s="1012"/>
      <c r="F270" s="1012"/>
      <c r="G270" s="1012"/>
      <c r="H270" s="1012"/>
      <c r="I270" s="1012"/>
      <c r="J270" s="1012"/>
      <c r="K270" s="1012"/>
      <c r="L270" s="1012"/>
      <c r="M270" s="1012"/>
      <c r="N270" s="1013" t="s">
        <v>2812</v>
      </c>
      <c r="O270" s="1240"/>
    </row>
    <row r="271" spans="2:15" ht="15.75" hidden="1">
      <c r="B271" s="492"/>
      <c r="C271" s="1003"/>
      <c r="D271" s="1003"/>
      <c r="E271" s="1003"/>
      <c r="F271" s="1003"/>
      <c r="G271" s="1003"/>
      <c r="H271" s="1003"/>
      <c r="I271" s="1003"/>
      <c r="J271" s="1003"/>
      <c r="K271" s="1003"/>
      <c r="L271" s="1003"/>
      <c r="M271" s="1003"/>
      <c r="N271" s="1003"/>
      <c r="O271" s="1240"/>
    </row>
    <row r="272" spans="2:15" ht="15.75" hidden="1">
      <c r="B272" s="492"/>
      <c r="C272" s="1006" t="s">
        <v>28</v>
      </c>
      <c r="D272" s="1006" t="s">
        <v>29</v>
      </c>
      <c r="E272" s="1006" t="s">
        <v>30</v>
      </c>
      <c r="F272" s="1006">
        <v>2013</v>
      </c>
      <c r="G272" s="1006" t="s">
        <v>133</v>
      </c>
      <c r="H272" s="1006" t="s">
        <v>134</v>
      </c>
      <c r="I272" s="1006" t="s">
        <v>135</v>
      </c>
      <c r="J272" s="1006" t="s">
        <v>136</v>
      </c>
      <c r="K272" s="1006" t="s">
        <v>137</v>
      </c>
      <c r="L272" s="1006" t="s">
        <v>138</v>
      </c>
      <c r="M272" s="1006" t="s">
        <v>139</v>
      </c>
      <c r="N272" s="1006" t="s">
        <v>140</v>
      </c>
      <c r="O272" s="1240"/>
    </row>
    <row r="273" spans="2:15" ht="15.75" hidden="1">
      <c r="B273" s="492"/>
      <c r="C273" s="1007" t="s">
        <v>328</v>
      </c>
      <c r="D273" s="494" t="s">
        <v>329</v>
      </c>
      <c r="E273" s="494"/>
      <c r="F273" s="1008">
        <f>F195</f>
        <v>0</v>
      </c>
      <c r="G273" s="1008">
        <f t="shared" ref="G273:N274" si="46">G195</f>
        <v>0</v>
      </c>
      <c r="H273" s="1008">
        <f t="shared" si="46"/>
        <v>0</v>
      </c>
      <c r="I273" s="1008">
        <f t="shared" si="46"/>
        <v>0</v>
      </c>
      <c r="J273" s="1008">
        <f t="shared" si="46"/>
        <v>0</v>
      </c>
      <c r="K273" s="1008">
        <f t="shared" si="46"/>
        <v>0</v>
      </c>
      <c r="L273" s="1008">
        <f t="shared" si="46"/>
        <v>0</v>
      </c>
      <c r="M273" s="1008">
        <f t="shared" si="46"/>
        <v>0</v>
      </c>
      <c r="N273" s="1008">
        <f t="shared" si="46"/>
        <v>0</v>
      </c>
      <c r="O273" s="1240"/>
    </row>
    <row r="274" spans="2:15" ht="15.75" hidden="1">
      <c r="B274" s="492"/>
      <c r="C274" s="1007" t="s">
        <v>335</v>
      </c>
      <c r="D274" s="494" t="s">
        <v>336</v>
      </c>
      <c r="E274" s="494"/>
      <c r="F274" s="1008">
        <f>F196</f>
        <v>0</v>
      </c>
      <c r="G274" s="1008">
        <f t="shared" si="46"/>
        <v>0</v>
      </c>
      <c r="H274" s="1008">
        <f t="shared" si="46"/>
        <v>0</v>
      </c>
      <c r="I274" s="1008">
        <f t="shared" si="46"/>
        <v>0</v>
      </c>
      <c r="J274" s="1008">
        <f t="shared" si="46"/>
        <v>0</v>
      </c>
      <c r="K274" s="1008">
        <f t="shared" si="46"/>
        <v>0</v>
      </c>
      <c r="L274" s="1008">
        <f>L196</f>
        <v>0</v>
      </c>
      <c r="M274" s="1008">
        <f t="shared" si="46"/>
        <v>0</v>
      </c>
      <c r="N274" s="1008">
        <f t="shared" si="46"/>
        <v>0</v>
      </c>
      <c r="O274" s="1240"/>
    </row>
    <row r="275" spans="2:15" hidden="1">
      <c r="B275" s="503"/>
      <c r="C275" s="1007" t="s">
        <v>326</v>
      </c>
      <c r="D275" s="494" t="s">
        <v>327</v>
      </c>
      <c r="E275" s="494"/>
      <c r="F275" s="1008">
        <f>F200</f>
        <v>0</v>
      </c>
      <c r="G275" s="1008">
        <f t="shared" ref="G275:N276" si="47">G200</f>
        <v>0</v>
      </c>
      <c r="H275" s="1008">
        <f t="shared" si="47"/>
        <v>0</v>
      </c>
      <c r="I275" s="1008">
        <f t="shared" si="47"/>
        <v>0</v>
      </c>
      <c r="J275" s="1008">
        <f t="shared" si="47"/>
        <v>0</v>
      </c>
      <c r="K275" s="1008">
        <f t="shared" si="47"/>
        <v>0</v>
      </c>
      <c r="L275" s="1008">
        <f t="shared" si="47"/>
        <v>0</v>
      </c>
      <c r="M275" s="1008">
        <f t="shared" si="47"/>
        <v>0</v>
      </c>
      <c r="N275" s="1008">
        <f t="shared" si="47"/>
        <v>0</v>
      </c>
      <c r="O275" s="1241"/>
    </row>
    <row r="276" spans="2:15" hidden="1">
      <c r="B276" s="503"/>
      <c r="C276" s="1007" t="s">
        <v>333</v>
      </c>
      <c r="D276" s="494" t="s">
        <v>334</v>
      </c>
      <c r="E276" s="494"/>
      <c r="F276" s="1008">
        <f>F201</f>
        <v>0</v>
      </c>
      <c r="G276" s="1008">
        <f t="shared" si="47"/>
        <v>0</v>
      </c>
      <c r="H276" s="1008">
        <f t="shared" si="47"/>
        <v>0</v>
      </c>
      <c r="I276" s="1008">
        <f t="shared" si="47"/>
        <v>0</v>
      </c>
      <c r="J276" s="1008">
        <f t="shared" si="47"/>
        <v>0</v>
      </c>
      <c r="K276" s="1008">
        <f>K201</f>
        <v>0</v>
      </c>
      <c r="L276" s="1008">
        <f t="shared" si="47"/>
        <v>0</v>
      </c>
      <c r="M276" s="1008">
        <f t="shared" si="47"/>
        <v>0</v>
      </c>
      <c r="N276" s="1008">
        <f t="shared" si="47"/>
        <v>0</v>
      </c>
      <c r="O276" s="1241"/>
    </row>
    <row r="277" spans="2:15" hidden="1">
      <c r="B277" s="503"/>
      <c r="C277" s="1007" t="s">
        <v>324</v>
      </c>
      <c r="D277" s="494" t="s">
        <v>325</v>
      </c>
      <c r="E277" s="494"/>
      <c r="F277" s="1008">
        <f>F205</f>
        <v>0</v>
      </c>
      <c r="G277" s="1008">
        <f>G205</f>
        <v>0</v>
      </c>
      <c r="H277" s="1008">
        <f t="shared" ref="G277:N278" si="48">H205</f>
        <v>0</v>
      </c>
      <c r="I277" s="1008">
        <f t="shared" si="48"/>
        <v>0</v>
      </c>
      <c r="J277" s="1008">
        <f t="shared" si="48"/>
        <v>0</v>
      </c>
      <c r="K277" s="1008">
        <f t="shared" si="48"/>
        <v>0</v>
      </c>
      <c r="L277" s="1008">
        <f t="shared" si="48"/>
        <v>0</v>
      </c>
      <c r="M277" s="1008">
        <f t="shared" si="48"/>
        <v>0</v>
      </c>
      <c r="N277" s="1008">
        <f t="shared" si="48"/>
        <v>0</v>
      </c>
      <c r="O277" s="1241"/>
    </row>
    <row r="278" spans="2:15" hidden="1">
      <c r="B278" s="2529"/>
      <c r="C278" s="1007" t="s">
        <v>331</v>
      </c>
      <c r="D278" s="494" t="s">
        <v>332</v>
      </c>
      <c r="E278" s="494"/>
      <c r="F278" s="1194">
        <f>F206</f>
        <v>0</v>
      </c>
      <c r="G278" s="1194">
        <f t="shared" si="48"/>
        <v>0</v>
      </c>
      <c r="H278" s="1194">
        <f t="shared" si="48"/>
        <v>0</v>
      </c>
      <c r="I278" s="1194">
        <f t="shared" si="48"/>
        <v>0</v>
      </c>
      <c r="J278" s="1194">
        <f t="shared" si="48"/>
        <v>0</v>
      </c>
      <c r="K278" s="1194">
        <f t="shared" si="48"/>
        <v>0</v>
      </c>
      <c r="L278" s="1194">
        <f>L206</f>
        <v>0</v>
      </c>
      <c r="M278" s="1194">
        <f t="shared" si="48"/>
        <v>0</v>
      </c>
      <c r="N278" s="1194">
        <f t="shared" si="48"/>
        <v>0</v>
      </c>
      <c r="O278" s="1241"/>
    </row>
    <row r="279" spans="2:15" hidden="1">
      <c r="B279" s="1014"/>
      <c r="C279" s="1010"/>
      <c r="D279" s="1010"/>
      <c r="E279" s="1010"/>
      <c r="F279" s="1010"/>
      <c r="G279" s="1010"/>
      <c r="H279" s="1010"/>
      <c r="I279" s="1010"/>
      <c r="J279" s="1010"/>
      <c r="K279" s="1010"/>
      <c r="L279" s="1010"/>
      <c r="M279" s="1010"/>
      <c r="N279" s="1010"/>
      <c r="O279" s="1242"/>
    </row>
    <row r="280" spans="2:15">
      <c r="M280" s="2503" t="s">
        <v>5</v>
      </c>
    </row>
    <row r="281" spans="2:15">
      <c r="F281" t="s">
        <v>5</v>
      </c>
    </row>
  </sheetData>
  <pageMargins left="0.7" right="0.7" top="0.75" bottom="0.75" header="0.3" footer="0.3"/>
  <pageSetup orientation="portrait" r:id="rId1"/>
  <tableParts count="7">
    <tablePart r:id="rId2"/>
    <tablePart r:id="rId3"/>
    <tablePart r:id="rId4"/>
    <tablePart r:id="rId5"/>
    <tablePart r:id="rId6"/>
    <tablePart r:id="rId7"/>
    <tablePart r:id="rId8"/>
  </tableParts>
</worksheet>
</file>

<file path=xl/worksheets/sheet21.xml><?xml version="1.0" encoding="utf-8"?>
<worksheet xmlns="http://schemas.openxmlformats.org/spreadsheetml/2006/main" xmlns:r="http://schemas.openxmlformats.org/officeDocument/2006/relationships">
  <sheetPr>
    <tabColor theme="9"/>
  </sheetPr>
  <dimension ref="A1:DI137"/>
  <sheetViews>
    <sheetView showGridLines="0" topLeftCell="A8" zoomScale="80" zoomScaleNormal="80" workbookViewId="0">
      <selection activeCell="E38" sqref="E38"/>
    </sheetView>
  </sheetViews>
  <sheetFormatPr defaultColWidth="8.85546875" defaultRowHeight="15"/>
  <cols>
    <col min="1" max="1" width="7.7109375" style="2503" customWidth="1"/>
    <col min="2" max="2" width="5.85546875" style="2503" customWidth="1"/>
    <col min="3" max="3" width="20.42578125" style="2503" customWidth="1"/>
    <col min="4" max="4" width="30.7109375" style="2503" customWidth="1"/>
    <col min="5" max="5" width="20.7109375" style="2503" customWidth="1"/>
    <col min="6" max="14" width="17.7109375" style="2503" customWidth="1"/>
    <col min="15" max="15" width="2" style="2503" customWidth="1"/>
    <col min="16" max="16" width="10.85546875" style="2503" customWidth="1"/>
    <col min="17" max="17" width="10.85546875" style="2503" bestFit="1" customWidth="1"/>
    <col min="18" max="18" width="8.85546875" style="2503"/>
    <col min="19" max="19" width="10.85546875" style="2503" bestFit="1" customWidth="1"/>
    <col min="20" max="22" width="8.85546875" style="2503"/>
    <col min="23" max="23" width="9.5703125" style="2503" bestFit="1" customWidth="1"/>
    <col min="24" max="16384" width="8.85546875" style="2503"/>
  </cols>
  <sheetData>
    <row r="1" spans="1:15" ht="20.25">
      <c r="A1" s="863" t="s">
        <v>538</v>
      </c>
      <c r="B1" s="863" t="s">
        <v>539</v>
      </c>
      <c r="C1" s="863"/>
    </row>
    <row r="2" spans="1:15" s="6" customFormat="1" ht="15.75">
      <c r="A2" s="864" t="s">
        <v>534</v>
      </c>
      <c r="B2" s="864" t="s">
        <v>535</v>
      </c>
      <c r="C2" s="864"/>
      <c r="E2" s="5"/>
    </row>
    <row r="4" spans="1:15" ht="23.25">
      <c r="A4" s="7"/>
      <c r="B4" s="511" t="s">
        <v>6</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12"/>
      <c r="D6" s="515"/>
      <c r="E6" s="516"/>
      <c r="F6" s="515"/>
      <c r="G6" s="515"/>
      <c r="H6" s="515"/>
      <c r="I6" s="515"/>
      <c r="J6" s="515"/>
      <c r="K6" s="515"/>
      <c r="L6" s="515"/>
      <c r="M6" s="515"/>
      <c r="N6" s="515"/>
      <c r="O6" s="867"/>
    </row>
    <row r="7" spans="1:15" ht="15.75">
      <c r="B7" s="15"/>
      <c r="C7" s="515"/>
      <c r="D7" s="16" t="s">
        <v>7</v>
      </c>
      <c r="E7" s="16" t="s">
        <v>8</v>
      </c>
      <c r="F7" s="515"/>
      <c r="G7" s="515"/>
      <c r="H7" s="515"/>
      <c r="I7" s="515"/>
      <c r="J7" s="515"/>
      <c r="K7" s="515"/>
      <c r="L7" s="515"/>
      <c r="M7" s="515"/>
      <c r="N7" s="515"/>
      <c r="O7" s="867"/>
    </row>
    <row r="8" spans="1:15" ht="15.75">
      <c r="B8" s="15"/>
      <c r="C8" s="515"/>
      <c r="D8" s="868" t="s">
        <v>1269</v>
      </c>
      <c r="E8" s="868">
        <f>IV.a.Scenario</f>
        <v>4</v>
      </c>
      <c r="F8" s="515"/>
      <c r="G8" s="515"/>
      <c r="H8" s="515"/>
      <c r="I8" s="515"/>
      <c r="J8" s="515"/>
      <c r="K8" s="515"/>
      <c r="L8" s="515"/>
      <c r="M8" s="515"/>
      <c r="N8" s="515"/>
      <c r="O8" s="867"/>
    </row>
    <row r="9" spans="1:15">
      <c r="B9" s="1252"/>
      <c r="C9" s="869"/>
      <c r="D9" s="869"/>
      <c r="E9" s="869"/>
      <c r="F9" s="869"/>
      <c r="G9" s="869"/>
      <c r="H9" s="869"/>
      <c r="I9" s="869"/>
      <c r="J9" s="869"/>
      <c r="K9" s="869"/>
      <c r="L9" s="869"/>
      <c r="M9" s="869"/>
      <c r="N9" s="869"/>
      <c r="O9" s="870"/>
    </row>
    <row r="11" spans="1:15" ht="23.25">
      <c r="A11" s="7"/>
      <c r="B11" s="878" t="s">
        <v>33</v>
      </c>
      <c r="C11" s="879"/>
      <c r="D11" s="879"/>
      <c r="E11" s="879"/>
      <c r="F11" s="879"/>
      <c r="G11" s="879"/>
      <c r="H11" s="879"/>
      <c r="I11" s="879"/>
      <c r="J11" s="879"/>
      <c r="K11" s="879"/>
      <c r="L11" s="879"/>
      <c r="M11" s="879"/>
      <c r="N11" s="879"/>
      <c r="O11" s="880"/>
    </row>
    <row r="12" spans="1:15">
      <c r="B12" s="110"/>
      <c r="C12" s="67"/>
      <c r="D12" s="67"/>
      <c r="E12" s="67"/>
      <c r="F12" s="67"/>
      <c r="G12" s="67"/>
      <c r="H12" s="67"/>
      <c r="I12" s="67"/>
      <c r="J12" s="67"/>
      <c r="K12" s="67"/>
      <c r="L12" s="67"/>
      <c r="M12" s="67"/>
      <c r="N12" s="67"/>
      <c r="O12" s="885"/>
    </row>
    <row r="13" spans="1:15">
      <c r="B13" s="110"/>
      <c r="C13" s="49" t="s">
        <v>1906</v>
      </c>
      <c r="D13" s="67"/>
      <c r="E13" s="51"/>
      <c r="F13" s="67"/>
      <c r="G13" s="67"/>
      <c r="H13" s="67"/>
      <c r="I13" s="67"/>
      <c r="J13" s="67"/>
      <c r="K13" s="67"/>
      <c r="L13" s="67"/>
      <c r="M13" s="67"/>
      <c r="N13" s="51" t="str">
        <f>Preferences.PowerUnits</f>
        <v>GW</v>
      </c>
      <c r="O13" s="885"/>
    </row>
    <row r="14" spans="1:15">
      <c r="B14" s="110"/>
      <c r="C14" s="67"/>
      <c r="D14" s="67"/>
      <c r="E14" s="67"/>
      <c r="F14" s="67"/>
      <c r="G14" s="67"/>
      <c r="H14" s="67"/>
      <c r="I14" s="67"/>
      <c r="J14" s="67"/>
      <c r="K14" s="67"/>
      <c r="L14" s="67"/>
      <c r="M14" s="67"/>
      <c r="N14" s="67"/>
      <c r="O14" s="885"/>
    </row>
    <row r="15" spans="1:15" ht="15.75">
      <c r="B15" s="55"/>
      <c r="C15" s="887" t="s">
        <v>8</v>
      </c>
      <c r="D15" s="887" t="s">
        <v>72</v>
      </c>
      <c r="E15" s="887" t="s">
        <v>30</v>
      </c>
      <c r="F15" s="92">
        <v>2013</v>
      </c>
      <c r="G15" s="92">
        <v>2015</v>
      </c>
      <c r="H15" s="92">
        <v>2020</v>
      </c>
      <c r="I15" s="92">
        <v>2025</v>
      </c>
      <c r="J15" s="92">
        <v>2030</v>
      </c>
      <c r="K15" s="92">
        <v>2035</v>
      </c>
      <c r="L15" s="92">
        <v>2040</v>
      </c>
      <c r="M15" s="92">
        <v>2045</v>
      </c>
      <c r="N15" s="92">
        <v>2050</v>
      </c>
      <c r="O15" s="885"/>
    </row>
    <row r="16" spans="1:15" ht="15.75">
      <c r="B16" s="975"/>
      <c r="C16" s="65">
        <v>1</v>
      </c>
      <c r="D16" s="108"/>
      <c r="E16" s="890"/>
      <c r="F16" s="59">
        <v>0</v>
      </c>
      <c r="G16" s="892">
        <v>0</v>
      </c>
      <c r="H16" s="59">
        <v>0</v>
      </c>
      <c r="I16" s="59">
        <v>0</v>
      </c>
      <c r="J16" s="59">
        <v>0</v>
      </c>
      <c r="K16" s="59">
        <v>0</v>
      </c>
      <c r="L16" s="59">
        <v>0</v>
      </c>
      <c r="M16" s="59">
        <v>0</v>
      </c>
      <c r="N16" s="59">
        <v>0</v>
      </c>
      <c r="O16" s="893"/>
    </row>
    <row r="17" spans="1:15" ht="15.75">
      <c r="B17" s="55"/>
      <c r="C17" s="65">
        <v>2</v>
      </c>
      <c r="D17" s="108"/>
      <c r="E17" s="108"/>
      <c r="F17" s="59">
        <v>0</v>
      </c>
      <c r="G17" s="60">
        <v>0</v>
      </c>
      <c r="H17" s="60">
        <v>0</v>
      </c>
      <c r="I17" s="60">
        <f>(Unit.GW)*0.5</f>
        <v>0.5</v>
      </c>
      <c r="J17" s="60">
        <f>(Unit.GW)*0.5</f>
        <v>0.5</v>
      </c>
      <c r="K17" s="60">
        <f>(Unit.GW)*1</f>
        <v>1</v>
      </c>
      <c r="L17" s="60">
        <f>(Unit.GW)*1</f>
        <v>1</v>
      </c>
      <c r="M17" s="60">
        <v>1.5</v>
      </c>
      <c r="N17" s="60">
        <f>(Unit.GW)*2</f>
        <v>2</v>
      </c>
      <c r="O17" s="885"/>
    </row>
    <row r="18" spans="1:15" ht="15.75">
      <c r="B18" s="55"/>
      <c r="C18" s="65">
        <v>3</v>
      </c>
      <c r="D18" s="108"/>
      <c r="E18" s="108"/>
      <c r="F18" s="59">
        <v>0</v>
      </c>
      <c r="G18" s="60">
        <v>0</v>
      </c>
      <c r="H18" s="60">
        <f>(Unit.GW)*0.5</f>
        <v>0.5</v>
      </c>
      <c r="I18" s="60">
        <v>0.75</v>
      </c>
      <c r="J18" s="60">
        <v>1</v>
      </c>
      <c r="K18" s="60">
        <v>2</v>
      </c>
      <c r="L18" s="60">
        <v>2.5</v>
      </c>
      <c r="M18" s="60">
        <v>3</v>
      </c>
      <c r="N18" s="60">
        <v>3.5</v>
      </c>
      <c r="O18" s="885"/>
    </row>
    <row r="19" spans="1:15" ht="15.75">
      <c r="B19" s="55"/>
      <c r="C19" s="896">
        <v>4</v>
      </c>
      <c r="D19" s="897"/>
      <c r="E19" s="897"/>
      <c r="F19" s="1187">
        <v>0</v>
      </c>
      <c r="G19" s="907">
        <v>0</v>
      </c>
      <c r="H19" s="60">
        <f>(Unit.GW)*0.5</f>
        <v>0.5</v>
      </c>
      <c r="I19" s="60">
        <f>(Unit.GW)*1</f>
        <v>1</v>
      </c>
      <c r="J19" s="60">
        <f>(Unit.GW)*2</f>
        <v>2</v>
      </c>
      <c r="K19" s="60">
        <v>3</v>
      </c>
      <c r="L19" s="60">
        <v>4</v>
      </c>
      <c r="M19" s="60">
        <v>4.5</v>
      </c>
      <c r="N19" s="60">
        <v>5</v>
      </c>
      <c r="O19" s="885"/>
    </row>
    <row r="20" spans="1:15" ht="15.75">
      <c r="B20" s="55"/>
      <c r="C20" s="1024" t="s">
        <v>37</v>
      </c>
      <c r="D20" s="901"/>
      <c r="E20" s="901"/>
      <c r="F20" s="902">
        <f>(INDEX(F$16:F$19,ROUNDDOWN($E$8,0))*(1-MOD($E$8,1)))+(INDEX(F$16:F$19,ROUNDUP($E$8,0))*MOD($E$8,1))</f>
        <v>0</v>
      </c>
      <c r="G20" s="2492">
        <f t="shared" ref="G20:N20" si="0">(INDEX(G$16:G$19,ROUNDDOWN($E$8,0))*(1-MOD($E$8,1)))+(INDEX(G$16:G$19,ROUNDUP($E$8,0))*MOD($E$8,1))</f>
        <v>0</v>
      </c>
      <c r="H20" s="902">
        <f t="shared" si="0"/>
        <v>0.5</v>
      </c>
      <c r="I20" s="902">
        <f t="shared" si="0"/>
        <v>1</v>
      </c>
      <c r="J20" s="902">
        <f t="shared" si="0"/>
        <v>2</v>
      </c>
      <c r="K20" s="902">
        <f t="shared" si="0"/>
        <v>3</v>
      </c>
      <c r="L20" s="902">
        <f t="shared" si="0"/>
        <v>4</v>
      </c>
      <c r="M20" s="902">
        <f t="shared" si="0"/>
        <v>4.5</v>
      </c>
      <c r="N20" s="902">
        <f t="shared" si="0"/>
        <v>5</v>
      </c>
      <c r="O20" s="885"/>
    </row>
    <row r="21" spans="1:15">
      <c r="B21" s="45"/>
      <c r="C21" s="67"/>
      <c r="D21" s="200"/>
      <c r="E21" s="67"/>
      <c r="F21" s="67"/>
      <c r="G21" s="1095"/>
      <c r="H21" s="1095" t="s">
        <v>5</v>
      </c>
      <c r="I21" s="1095"/>
      <c r="J21" s="1095"/>
      <c r="K21" s="1095"/>
      <c r="L21" s="1095"/>
      <c r="M21" s="1095"/>
      <c r="N21" s="1095"/>
      <c r="O21" s="885"/>
    </row>
    <row r="22" spans="1:15">
      <c r="B22" s="45"/>
      <c r="C22" s="3862" t="s">
        <v>64</v>
      </c>
      <c r="D22" s="200"/>
      <c r="E22" s="67"/>
      <c r="F22" s="67"/>
      <c r="G22" s="67"/>
      <c r="H22" s="67"/>
      <c r="I22" s="67"/>
      <c r="J22" s="67" t="s">
        <v>5</v>
      </c>
      <c r="K22" s="67"/>
      <c r="L22" s="67"/>
      <c r="M22" s="67"/>
      <c r="N22" s="67"/>
      <c r="O22" s="885"/>
    </row>
    <row r="23" spans="1:15">
      <c r="B23" s="45"/>
      <c r="C23" s="3863" t="s">
        <v>65</v>
      </c>
      <c r="D23" s="3866" t="s">
        <v>3091</v>
      </c>
      <c r="E23" s="67"/>
      <c r="F23" s="67"/>
      <c r="G23" s="67"/>
      <c r="H23" s="67"/>
      <c r="I23" s="67"/>
      <c r="J23" s="67"/>
      <c r="K23" s="67"/>
      <c r="L23" s="67"/>
      <c r="M23" s="67" t="s">
        <v>5</v>
      </c>
      <c r="N23" s="67"/>
      <c r="O23" s="885"/>
    </row>
    <row r="24" spans="1:15">
      <c r="B24" s="111"/>
      <c r="C24" s="1074"/>
      <c r="D24" s="1159"/>
      <c r="E24" s="1074"/>
      <c r="F24" s="1074"/>
      <c r="G24" s="1074"/>
      <c r="H24" s="1074"/>
      <c r="I24" s="1074"/>
      <c r="J24" s="1074" t="s">
        <v>5</v>
      </c>
      <c r="K24" s="1074"/>
      <c r="L24" s="1074"/>
      <c r="M24" s="1074"/>
      <c r="N24" s="1074"/>
      <c r="O24" s="1109"/>
    </row>
    <row r="26" spans="1:15" s="6" customFormat="1" ht="23.25">
      <c r="A26" s="40"/>
      <c r="B26" s="878" t="s">
        <v>70</v>
      </c>
      <c r="C26" s="879"/>
      <c r="D26" s="879"/>
      <c r="E26" s="879"/>
      <c r="F26" s="879"/>
      <c r="G26" s="879"/>
      <c r="H26" s="879"/>
      <c r="I26" s="879"/>
      <c r="J26" s="879"/>
      <c r="K26" s="879"/>
      <c r="L26" s="879"/>
      <c r="M26" s="879"/>
      <c r="N26" s="879"/>
      <c r="O26" s="880"/>
    </row>
    <row r="27" spans="1:15">
      <c r="B27" s="110"/>
      <c r="C27" s="67"/>
      <c r="D27" s="67"/>
      <c r="E27" s="67"/>
      <c r="F27" s="67"/>
      <c r="G27" s="67"/>
      <c r="H27" s="67"/>
      <c r="I27" s="67"/>
      <c r="J27" s="67"/>
      <c r="K27" s="67"/>
      <c r="L27" s="67"/>
      <c r="M27" s="67"/>
      <c r="N27" s="67"/>
      <c r="O27" s="885"/>
    </row>
    <row r="28" spans="1:15">
      <c r="B28" s="110"/>
      <c r="C28" s="49" t="s">
        <v>858</v>
      </c>
      <c r="D28" s="67"/>
      <c r="E28" s="67"/>
      <c r="F28" s="67"/>
      <c r="G28" s="67"/>
      <c r="H28" s="67"/>
      <c r="I28" s="67"/>
      <c r="J28" s="67"/>
      <c r="K28" s="67"/>
      <c r="L28" s="67"/>
      <c r="M28" s="67"/>
      <c r="N28" s="67"/>
      <c r="O28" s="885"/>
    </row>
    <row r="29" spans="1:15">
      <c r="B29" s="110"/>
      <c r="C29" s="67"/>
      <c r="D29" s="67"/>
      <c r="E29" s="67"/>
      <c r="F29" s="67"/>
      <c r="G29" s="67"/>
      <c r="H29" s="67"/>
      <c r="I29" s="67"/>
      <c r="J29" s="67"/>
      <c r="K29" s="67"/>
      <c r="L29" s="67"/>
      <c r="M29" s="67"/>
      <c r="N29" s="67"/>
      <c r="O29" s="885"/>
    </row>
    <row r="30" spans="1:15" ht="15.75">
      <c r="B30" s="55"/>
      <c r="C30" s="887" t="s">
        <v>132</v>
      </c>
      <c r="D30" s="887" t="s">
        <v>731</v>
      </c>
      <c r="E30" s="887" t="s">
        <v>30</v>
      </c>
      <c r="F30" s="92">
        <v>2013</v>
      </c>
      <c r="G30" s="92">
        <v>2015</v>
      </c>
      <c r="H30" s="92">
        <v>2020</v>
      </c>
      <c r="I30" s="92">
        <v>2025</v>
      </c>
      <c r="J30" s="92">
        <v>2030</v>
      </c>
      <c r="K30" s="92">
        <v>2035</v>
      </c>
      <c r="L30" s="92">
        <v>2040</v>
      </c>
      <c r="M30" s="92">
        <v>2045</v>
      </c>
      <c r="N30" s="92">
        <v>2050</v>
      </c>
      <c r="O30" s="885"/>
    </row>
    <row r="31" spans="1:15" ht="15.75">
      <c r="B31" s="55"/>
      <c r="C31" s="916" t="s">
        <v>446</v>
      </c>
      <c r="D31" s="917" t="s">
        <v>79</v>
      </c>
      <c r="E31" s="917"/>
      <c r="F31" s="2493">
        <v>9.7000000000000003E-2</v>
      </c>
      <c r="G31" s="919">
        <v>9.7000000000000003E-2</v>
      </c>
      <c r="H31" s="919">
        <v>9.7000000000000003E-2</v>
      </c>
      <c r="I31" s="919">
        <v>9.7000000000000003E-2</v>
      </c>
      <c r="J31" s="919">
        <v>9.7000000000000003E-2</v>
      </c>
      <c r="K31" s="919">
        <v>9.7000000000000003E-2</v>
      </c>
      <c r="L31" s="919">
        <v>9.7000000000000003E-2</v>
      </c>
      <c r="M31" s="919">
        <v>9.7000000000000003E-2</v>
      </c>
      <c r="N31" s="919">
        <v>9.7000000000000003E-2</v>
      </c>
      <c r="O31" s="885"/>
    </row>
    <row r="32" spans="1:15">
      <c r="B32" s="110"/>
      <c r="C32" s="67"/>
      <c r="D32" s="67"/>
      <c r="E32" s="67"/>
      <c r="F32" s="67"/>
      <c r="G32" s="67"/>
      <c r="H32" s="67"/>
      <c r="I32" s="67"/>
      <c r="J32" s="67"/>
      <c r="K32" s="67"/>
      <c r="L32" s="67"/>
      <c r="M32" s="67"/>
      <c r="N32" s="67"/>
      <c r="O32" s="885"/>
    </row>
    <row r="33" spans="1:113">
      <c r="B33" s="110"/>
      <c r="C33" s="49" t="s">
        <v>3499</v>
      </c>
      <c r="D33" s="67"/>
      <c r="E33" s="51"/>
      <c r="F33" s="67"/>
      <c r="G33" s="67"/>
      <c r="H33" s="67"/>
      <c r="I33" s="67"/>
      <c r="J33" s="67"/>
      <c r="K33" s="67"/>
      <c r="L33" s="67"/>
      <c r="M33" s="67"/>
      <c r="N33" s="51" t="s">
        <v>43</v>
      </c>
      <c r="O33" s="885"/>
    </row>
    <row r="34" spans="1:113" ht="5.25" customHeight="1">
      <c r="B34" s="110"/>
      <c r="C34" s="67"/>
      <c r="D34" s="67"/>
      <c r="E34" s="67"/>
      <c r="F34" s="67"/>
      <c r="G34" s="67"/>
      <c r="H34" s="67"/>
      <c r="I34" s="67"/>
      <c r="J34" s="67"/>
      <c r="K34" s="67"/>
      <c r="L34" s="67"/>
      <c r="M34" s="67"/>
      <c r="N34" s="67"/>
      <c r="O34" s="885"/>
    </row>
    <row r="35" spans="1:113" ht="15.75">
      <c r="B35" s="55"/>
      <c r="C35" s="887" t="s">
        <v>132</v>
      </c>
      <c r="D35" s="887" t="s">
        <v>731</v>
      </c>
      <c r="E35" s="887" t="s">
        <v>30</v>
      </c>
      <c r="F35" s="92">
        <v>2013</v>
      </c>
      <c r="G35" s="92">
        <v>2015</v>
      </c>
      <c r="H35" s="92">
        <v>2020</v>
      </c>
      <c r="I35" s="92">
        <v>2025</v>
      </c>
      <c r="J35" s="92">
        <v>2030</v>
      </c>
      <c r="K35" s="92">
        <v>2035</v>
      </c>
      <c r="L35" s="92">
        <v>2040</v>
      </c>
      <c r="M35" s="92">
        <v>2045</v>
      </c>
      <c r="N35" s="92">
        <v>2050</v>
      </c>
      <c r="O35" s="885"/>
    </row>
    <row r="36" spans="1:113" s="6" customFormat="1" ht="15.75">
      <c r="B36" s="975"/>
      <c r="C36" s="916" t="s">
        <v>446</v>
      </c>
      <c r="D36" s="917" t="s">
        <v>79</v>
      </c>
      <c r="E36" s="917"/>
      <c r="F36" s="918">
        <v>0.12</v>
      </c>
      <c r="G36" s="919">
        <v>0.12</v>
      </c>
      <c r="H36" s="919">
        <v>0.12</v>
      </c>
      <c r="I36" s="919">
        <v>0.15</v>
      </c>
      <c r="J36" s="919">
        <v>0.2</v>
      </c>
      <c r="K36" s="919">
        <v>0.2</v>
      </c>
      <c r="L36" s="919">
        <v>0.2</v>
      </c>
      <c r="M36" s="919">
        <v>0.2</v>
      </c>
      <c r="N36" s="919">
        <v>0.2</v>
      </c>
      <c r="O36" s="893"/>
    </row>
    <row r="37" spans="1:113" s="6" customFormat="1" ht="15.75">
      <c r="B37" s="975"/>
      <c r="C37" s="65"/>
      <c r="D37" s="108"/>
      <c r="E37" s="108"/>
      <c r="F37" s="93"/>
      <c r="G37" s="93"/>
      <c r="H37" s="93"/>
      <c r="I37" s="93"/>
      <c r="J37" s="93"/>
      <c r="K37" s="93"/>
      <c r="L37" s="93"/>
      <c r="M37" s="93"/>
      <c r="N37" s="93"/>
      <c r="O37" s="893"/>
    </row>
    <row r="38" spans="1:113" s="6" customFormat="1" ht="15.75">
      <c r="B38" s="975"/>
      <c r="C38" s="65"/>
      <c r="D38" s="3874" t="s">
        <v>1907</v>
      </c>
      <c r="E38" s="3875">
        <f>2.5*Unit.kW</f>
        <v>2.4999999999999998E-6</v>
      </c>
      <c r="F38" s="3873" t="str">
        <f>Preferences.PowerUnits</f>
        <v>GW</v>
      </c>
      <c r="G38" s="93"/>
      <c r="H38" s="93"/>
      <c r="I38" s="93"/>
      <c r="J38" s="93"/>
      <c r="K38" s="93"/>
      <c r="L38" s="93"/>
      <c r="M38" s="93"/>
      <c r="N38" s="93"/>
      <c r="O38" s="893"/>
    </row>
    <row r="39" spans="1:113">
      <c r="B39" s="45"/>
      <c r="C39" s="3864"/>
      <c r="D39" s="200"/>
      <c r="E39" s="67"/>
      <c r="F39" s="67"/>
      <c r="G39" s="67"/>
      <c r="H39" s="67"/>
      <c r="I39" s="67"/>
      <c r="J39" s="67"/>
      <c r="K39" s="67"/>
      <c r="L39" s="67"/>
      <c r="M39" s="67"/>
      <c r="N39" s="67"/>
      <c r="O39" s="885"/>
    </row>
    <row r="41" spans="1:113" s="6" customFormat="1" ht="23.25">
      <c r="A41" s="40"/>
      <c r="B41" s="878" t="s">
        <v>2794</v>
      </c>
      <c r="C41" s="879"/>
      <c r="D41" s="879"/>
      <c r="E41" s="879"/>
      <c r="F41" s="879"/>
      <c r="G41" s="879"/>
      <c r="H41" s="879"/>
      <c r="I41" s="879"/>
      <c r="J41" s="879"/>
      <c r="K41" s="879"/>
      <c r="L41" s="879"/>
      <c r="M41" s="879"/>
      <c r="N41" s="879"/>
      <c r="O41" s="879"/>
      <c r="P41" s="656"/>
      <c r="Q41" s="2530"/>
      <c r="R41" s="656"/>
      <c r="S41" s="656"/>
      <c r="T41" s="656"/>
      <c r="U41" s="656"/>
      <c r="V41" s="656"/>
      <c r="W41" s="656"/>
      <c r="X41" s="656"/>
      <c r="Y41" s="656"/>
      <c r="Z41" s="656"/>
      <c r="AA41" s="656"/>
      <c r="AB41" s="656"/>
      <c r="AC41" s="656"/>
      <c r="AD41" s="656"/>
      <c r="AE41" s="656"/>
    </row>
    <row r="42" spans="1:113" s="6" customFormat="1" hidden="1">
      <c r="A42" s="2503"/>
      <c r="B42" s="881"/>
      <c r="C42" s="882"/>
      <c r="D42" s="882"/>
      <c r="E42" s="882"/>
      <c r="F42" s="882"/>
      <c r="G42" s="882"/>
      <c r="H42" s="882"/>
      <c r="I42" s="882"/>
      <c r="J42" s="882"/>
      <c r="K42" s="882"/>
      <c r="L42" s="882"/>
      <c r="M42" s="882"/>
      <c r="N42" s="882"/>
      <c r="O42" s="882"/>
      <c r="P42" s="1077"/>
      <c r="Q42" s="2501"/>
      <c r="R42" s="1176"/>
      <c r="S42" s="1176"/>
      <c r="T42" s="1176"/>
      <c r="U42" s="1176"/>
      <c r="V42" s="1176"/>
      <c r="W42" s="1176"/>
      <c r="X42" s="1176"/>
      <c r="Y42" s="1176"/>
      <c r="Z42" s="1176"/>
      <c r="AA42" s="1176"/>
      <c r="AB42" s="1176"/>
      <c r="AC42" s="1176"/>
      <c r="AD42" s="1176"/>
      <c r="AE42" s="1176"/>
      <c r="AF42" s="2503"/>
      <c r="AG42" s="2503"/>
      <c r="AH42" s="2503"/>
      <c r="AI42" s="2503"/>
      <c r="AJ42" s="2503"/>
      <c r="AK42" s="2503"/>
      <c r="AL42" s="2503"/>
      <c r="AM42" s="2503"/>
      <c r="AN42" s="2503"/>
      <c r="AO42" s="2503"/>
      <c r="AP42" s="2503"/>
      <c r="AQ42" s="2503"/>
      <c r="AR42" s="2503"/>
      <c r="AS42" s="2503"/>
      <c r="AT42" s="2503"/>
      <c r="AU42" s="2503"/>
      <c r="AV42" s="2503"/>
      <c r="AW42" s="2503"/>
      <c r="AX42" s="2503"/>
      <c r="AY42" s="2503"/>
      <c r="AZ42" s="2503"/>
      <c r="BA42" s="2503"/>
      <c r="BB42" s="2503"/>
      <c r="BC42" s="2503"/>
      <c r="BD42" s="2503"/>
      <c r="BE42" s="2503"/>
      <c r="BF42" s="2503"/>
      <c r="BG42" s="2503"/>
      <c r="BH42" s="2503"/>
      <c r="BI42" s="2503"/>
      <c r="BJ42" s="2503"/>
      <c r="BK42" s="2503"/>
      <c r="BL42" s="2503"/>
      <c r="BM42" s="2503"/>
      <c r="BN42" s="2503"/>
      <c r="BO42" s="2503"/>
      <c r="BP42" s="2503"/>
      <c r="BQ42" s="2503"/>
      <c r="BR42" s="2503"/>
      <c r="BS42" s="2503"/>
      <c r="BT42" s="2503"/>
      <c r="BU42" s="2503"/>
      <c r="BV42" s="2503"/>
      <c r="BW42" s="2503"/>
      <c r="BX42" s="2503"/>
      <c r="BY42" s="2503"/>
      <c r="BZ42" s="2503"/>
      <c r="CA42" s="2503"/>
      <c r="CB42" s="2503"/>
      <c r="CC42" s="2503"/>
      <c r="CD42" s="2503"/>
      <c r="CE42" s="2503"/>
      <c r="CF42" s="2503"/>
      <c r="CG42" s="2503"/>
      <c r="CH42" s="2503"/>
      <c r="CI42" s="2503"/>
      <c r="CJ42" s="2503"/>
      <c r="CK42" s="2503"/>
      <c r="CL42" s="2503"/>
      <c r="CM42" s="2503"/>
      <c r="CN42" s="2503"/>
      <c r="CO42" s="2503"/>
      <c r="CP42" s="2503"/>
      <c r="CQ42" s="2503"/>
      <c r="CR42" s="2503"/>
      <c r="CS42" s="2503"/>
      <c r="CT42" s="2503"/>
      <c r="CU42" s="2503"/>
      <c r="CV42" s="2503"/>
      <c r="CW42" s="2503"/>
      <c r="CX42" s="2503"/>
      <c r="CY42" s="2503"/>
      <c r="CZ42" s="2503"/>
      <c r="DA42" s="2503"/>
      <c r="DB42" s="2503"/>
      <c r="DC42" s="2503"/>
      <c r="DD42" s="2503"/>
      <c r="DE42" s="2503"/>
      <c r="DF42" s="2503"/>
      <c r="DG42" s="2503"/>
      <c r="DH42" s="2503"/>
      <c r="DI42" s="2503"/>
    </row>
    <row r="43" spans="1:113" s="6" customFormat="1" ht="15.75" hidden="1" customHeight="1">
      <c r="A43" s="2503"/>
      <c r="B43" s="110"/>
      <c r="C43" s="49" t="s">
        <v>1908</v>
      </c>
      <c r="D43" s="924"/>
      <c r="E43" s="941"/>
      <c r="F43" s="942"/>
      <c r="G43" s="943"/>
      <c r="H43" s="943"/>
      <c r="I43" s="943"/>
      <c r="J43" s="943"/>
      <c r="K43" s="943"/>
      <c r="L43" s="943"/>
      <c r="M43" s="943"/>
      <c r="N43" s="944" t="s">
        <v>2821</v>
      </c>
      <c r="O43" s="67"/>
      <c r="P43" s="1077"/>
      <c r="Q43" s="2501"/>
      <c r="R43" s="1088"/>
      <c r="S43" s="1176"/>
      <c r="T43" s="1176"/>
      <c r="U43" s="1176"/>
      <c r="V43" s="1176"/>
      <c r="W43" s="1176"/>
      <c r="X43" s="1176"/>
      <c r="Y43" s="1176"/>
      <c r="Z43" s="1176"/>
      <c r="AA43" s="1176"/>
      <c r="AB43" s="1176"/>
      <c r="AC43" s="1176"/>
      <c r="AD43" s="1176"/>
      <c r="AE43" s="1176"/>
      <c r="AF43" s="2503"/>
      <c r="AG43" s="2503"/>
      <c r="AH43" s="2503"/>
      <c r="AI43" s="2503"/>
      <c r="AJ43" s="2503"/>
      <c r="AK43" s="2503"/>
      <c r="AL43" s="2503"/>
      <c r="AM43" s="2503"/>
      <c r="AN43" s="2503"/>
      <c r="AO43" s="2503"/>
      <c r="AP43" s="2503"/>
      <c r="AQ43" s="2503"/>
      <c r="AR43" s="2503"/>
      <c r="AS43" s="2503"/>
      <c r="AT43" s="2503"/>
      <c r="AU43" s="2503"/>
      <c r="AV43" s="2503"/>
      <c r="AW43" s="2503"/>
      <c r="AX43" s="2503"/>
      <c r="AY43" s="2503"/>
      <c r="AZ43" s="2503"/>
      <c r="BA43" s="2503"/>
      <c r="BB43" s="2503"/>
      <c r="BC43" s="2503"/>
      <c r="BD43" s="2503"/>
      <c r="BE43" s="2503"/>
      <c r="BF43" s="2503"/>
      <c r="BG43" s="2503"/>
      <c r="BH43" s="2503"/>
      <c r="BI43" s="2503"/>
      <c r="BJ43" s="2503"/>
      <c r="BK43" s="2503"/>
      <c r="BL43" s="2503"/>
      <c r="BM43" s="2503"/>
      <c r="BN43" s="2503"/>
      <c r="BO43" s="2503"/>
      <c r="BP43" s="2503"/>
      <c r="BQ43" s="2503"/>
      <c r="BR43" s="2503"/>
      <c r="BS43" s="2503"/>
      <c r="BT43" s="2503"/>
      <c r="BU43" s="2503"/>
      <c r="BV43" s="2503"/>
      <c r="BW43" s="2503"/>
      <c r="BX43" s="2503"/>
      <c r="BY43" s="2503"/>
      <c r="BZ43" s="2503"/>
      <c r="CA43" s="2503"/>
      <c r="CB43" s="2503"/>
      <c r="CC43" s="2503"/>
      <c r="CD43" s="2503"/>
      <c r="CE43" s="2503"/>
      <c r="CF43" s="2503"/>
      <c r="CG43" s="2503"/>
      <c r="CH43" s="2503"/>
      <c r="CI43" s="2503"/>
      <c r="CJ43" s="2503"/>
      <c r="CK43" s="2503"/>
      <c r="CL43" s="2503"/>
      <c r="CM43" s="2503"/>
      <c r="CN43" s="2503"/>
      <c r="CO43" s="2503"/>
      <c r="CP43" s="2503"/>
      <c r="CQ43" s="2503"/>
      <c r="CR43" s="2503"/>
      <c r="CS43" s="2503"/>
      <c r="CT43" s="2503"/>
      <c r="CU43" s="2503"/>
      <c r="CV43" s="2503"/>
      <c r="CW43" s="2503"/>
      <c r="CX43" s="2503"/>
      <c r="CY43" s="2503"/>
      <c r="CZ43" s="2503"/>
      <c r="DA43" s="2503"/>
      <c r="DB43" s="2503"/>
      <c r="DC43" s="2503"/>
      <c r="DD43" s="2503"/>
      <c r="DE43" s="2503"/>
      <c r="DF43" s="2503"/>
      <c r="DG43" s="2503"/>
      <c r="DH43" s="2503"/>
      <c r="DI43" s="2503"/>
    </row>
    <row r="44" spans="1:113" s="6" customFormat="1" ht="4.5" hidden="1" customHeight="1">
      <c r="A44" s="2503"/>
      <c r="B44" s="110"/>
      <c r="C44" s="946"/>
      <c r="D44" s="924"/>
      <c r="E44" s="941"/>
      <c r="F44" s="942"/>
      <c r="G44" s="943"/>
      <c r="H44" s="943"/>
      <c r="I44" s="943"/>
      <c r="J44" s="943"/>
      <c r="K44" s="943"/>
      <c r="L44" s="943"/>
      <c r="M44" s="943"/>
      <c r="N44" s="67"/>
      <c r="O44" s="67"/>
      <c r="P44" s="1077"/>
      <c r="Q44" s="2501"/>
      <c r="R44" s="1176"/>
      <c r="S44" s="1176"/>
      <c r="T44" s="1176"/>
      <c r="U44" s="1176"/>
      <c r="V44" s="1176"/>
      <c r="W44" s="1176"/>
      <c r="X44" s="1176"/>
      <c r="Y44" s="1176"/>
      <c r="Z44" s="1176"/>
      <c r="AA44" s="1176"/>
      <c r="AB44" s="1176"/>
      <c r="AC44" s="1176"/>
      <c r="AD44" s="1176"/>
      <c r="AE44" s="1176"/>
      <c r="AF44" s="2503"/>
      <c r="AG44" s="2503"/>
      <c r="AH44" s="2503"/>
      <c r="AI44" s="2503"/>
      <c r="AJ44" s="2503"/>
      <c r="AK44" s="2503"/>
      <c r="AL44" s="2503"/>
      <c r="AM44" s="2503"/>
      <c r="AN44" s="2503"/>
      <c r="AO44" s="2503"/>
      <c r="AP44" s="2503"/>
      <c r="AQ44" s="2503"/>
      <c r="AR44" s="2503"/>
      <c r="AS44" s="2503"/>
      <c r="AT44" s="2503"/>
      <c r="AU44" s="2503"/>
      <c r="AV44" s="2503"/>
      <c r="AW44" s="2503"/>
      <c r="AX44" s="2503"/>
      <c r="AY44" s="2503"/>
      <c r="AZ44" s="2503"/>
      <c r="BA44" s="2503"/>
      <c r="BB44" s="2503"/>
      <c r="BC44" s="2503"/>
      <c r="BD44" s="2503"/>
      <c r="BE44" s="2503"/>
      <c r="BF44" s="2503"/>
      <c r="BG44" s="2503"/>
      <c r="BH44" s="2503"/>
      <c r="BI44" s="2503"/>
      <c r="BJ44" s="2503"/>
      <c r="BK44" s="2503"/>
      <c r="BL44" s="2503"/>
      <c r="BM44" s="2503"/>
      <c r="BN44" s="2503"/>
      <c r="BO44" s="2503"/>
      <c r="BP44" s="2503"/>
      <c r="BQ44" s="2503"/>
      <c r="BR44" s="2503"/>
      <c r="BS44" s="2503"/>
      <c r="BT44" s="2503"/>
      <c r="BU44" s="2503"/>
      <c r="BV44" s="2503"/>
      <c r="BW44" s="2503"/>
      <c r="BX44" s="2503"/>
      <c r="BY44" s="2503"/>
      <c r="BZ44" s="2503"/>
      <c r="CA44" s="2503"/>
      <c r="CB44" s="2503"/>
      <c r="CC44" s="2503"/>
      <c r="CD44" s="2503"/>
      <c r="CE44" s="2503"/>
      <c r="CF44" s="2503"/>
      <c r="CG44" s="2503"/>
      <c r="CH44" s="2503"/>
      <c r="CI44" s="2503"/>
      <c r="CJ44" s="2503"/>
      <c r="CK44" s="2503"/>
      <c r="CL44" s="2503"/>
      <c r="CM44" s="2503"/>
      <c r="CN44" s="2503"/>
      <c r="CO44" s="2503"/>
      <c r="CP44" s="2503"/>
      <c r="CQ44" s="2503"/>
      <c r="CR44" s="2503"/>
      <c r="CS44" s="2503"/>
      <c r="CT44" s="2503"/>
      <c r="CU44" s="2503"/>
      <c r="CV44" s="2503"/>
      <c r="CW44" s="2503"/>
      <c r="CX44" s="2503"/>
      <c r="CY44" s="2503"/>
      <c r="CZ44" s="2503"/>
      <c r="DA44" s="2503"/>
      <c r="DB44" s="2503"/>
      <c r="DC44" s="2503"/>
      <c r="DD44" s="2503"/>
      <c r="DE44" s="2503"/>
      <c r="DF44" s="2503"/>
      <c r="DG44" s="2503"/>
      <c r="DH44" s="2503"/>
      <c r="DI44" s="2503"/>
    </row>
    <row r="45" spans="1:113" s="6" customFormat="1" hidden="1">
      <c r="A45" s="2503"/>
      <c r="B45" s="110"/>
      <c r="C45" s="1179"/>
      <c r="D45" s="1079"/>
      <c r="E45" s="980" t="s">
        <v>160</v>
      </c>
      <c r="F45" s="981">
        <v>2013</v>
      </c>
      <c r="G45" s="974">
        <v>2015</v>
      </c>
      <c r="H45" s="974">
        <v>2020</v>
      </c>
      <c r="I45" s="974">
        <v>2025</v>
      </c>
      <c r="J45" s="974">
        <v>2030</v>
      </c>
      <c r="K45" s="974">
        <v>2035</v>
      </c>
      <c r="L45" s="974">
        <v>2040</v>
      </c>
      <c r="M45" s="974">
        <v>2045</v>
      </c>
      <c r="N45" s="974">
        <v>2050</v>
      </c>
      <c r="O45" s="67"/>
      <c r="P45" s="656"/>
      <c r="Q45" s="2501"/>
      <c r="R45" s="1176"/>
      <c r="S45" s="1176"/>
      <c r="T45" s="1176"/>
      <c r="U45" s="1176"/>
      <c r="V45" s="1176"/>
      <c r="W45" s="1176"/>
      <c r="X45" s="1176"/>
      <c r="Y45" s="1176"/>
      <c r="Z45" s="1176"/>
      <c r="AA45" s="1176"/>
      <c r="AB45" s="1176"/>
      <c r="AC45" s="1176"/>
      <c r="AD45" s="1176"/>
      <c r="AE45" s="1176"/>
      <c r="AF45" s="2503"/>
      <c r="AG45" s="2503"/>
      <c r="AH45" s="2503"/>
      <c r="AI45" s="2503"/>
      <c r="AJ45" s="2503"/>
      <c r="AK45" s="2503"/>
      <c r="AL45" s="2503"/>
      <c r="AM45" s="2503"/>
      <c r="AN45" s="2503"/>
      <c r="AO45" s="2503"/>
      <c r="AP45" s="2503"/>
      <c r="AQ45" s="2503"/>
      <c r="AR45" s="2503"/>
      <c r="AS45" s="2503"/>
      <c r="AT45" s="2503"/>
      <c r="AU45" s="2503"/>
      <c r="AV45" s="2503"/>
      <c r="AW45" s="2503"/>
      <c r="AX45" s="2503"/>
      <c r="AY45" s="2503"/>
      <c r="AZ45" s="2503"/>
      <c r="BA45" s="2503"/>
      <c r="BB45" s="2503"/>
      <c r="BC45" s="2503"/>
      <c r="BD45" s="2503"/>
      <c r="BE45" s="2503"/>
      <c r="BF45" s="2503"/>
      <c r="BG45" s="2503"/>
      <c r="BH45" s="2503"/>
      <c r="BI45" s="2503"/>
      <c r="BJ45" s="2503"/>
      <c r="BK45" s="2503"/>
      <c r="BL45" s="2503"/>
      <c r="BM45" s="2503"/>
      <c r="BN45" s="2503"/>
      <c r="BO45" s="2503"/>
      <c r="BP45" s="2503"/>
      <c r="BQ45" s="2503"/>
      <c r="BR45" s="2503"/>
      <c r="BS45" s="2503"/>
      <c r="BT45" s="2503"/>
      <c r="BU45" s="2503"/>
      <c r="BV45" s="2503"/>
      <c r="BW45" s="2503"/>
      <c r="BX45" s="2503"/>
      <c r="BY45" s="2503"/>
      <c r="BZ45" s="2503"/>
      <c r="CA45" s="2503"/>
      <c r="CB45" s="2503"/>
      <c r="CC45" s="2503"/>
      <c r="CD45" s="2503"/>
      <c r="CE45" s="2503"/>
      <c r="CF45" s="2503"/>
      <c r="CG45" s="2503"/>
      <c r="CH45" s="2503"/>
      <c r="CI45" s="2503"/>
      <c r="CJ45" s="2503"/>
      <c r="CK45" s="2503"/>
      <c r="CL45" s="2503"/>
      <c r="CM45" s="2503"/>
      <c r="CN45" s="2503"/>
      <c r="CO45" s="2503"/>
      <c r="CP45" s="2503"/>
      <c r="CQ45" s="2503"/>
      <c r="CR45" s="2503"/>
      <c r="CS45" s="2503"/>
      <c r="CT45" s="2503"/>
      <c r="CU45" s="2503"/>
      <c r="CV45" s="2503"/>
      <c r="CW45" s="2503"/>
      <c r="CX45" s="2503"/>
      <c r="CY45" s="2503"/>
      <c r="CZ45" s="2503"/>
      <c r="DA45" s="2503"/>
      <c r="DB45" s="2503"/>
      <c r="DC45" s="2503"/>
      <c r="DD45" s="2503"/>
      <c r="DE45" s="2503"/>
      <c r="DF45" s="2503"/>
      <c r="DG45" s="2503"/>
      <c r="DH45" s="2503"/>
      <c r="DI45" s="2503"/>
    </row>
    <row r="46" spans="1:113" s="6" customFormat="1" ht="15.75" hidden="1" customHeight="1">
      <c r="A46" s="2503"/>
      <c r="B46" s="110"/>
      <c r="C46" s="976" t="s">
        <v>738</v>
      </c>
      <c r="D46" s="1079"/>
      <c r="E46" s="966"/>
      <c r="F46" s="1080"/>
      <c r="G46" s="1080"/>
      <c r="H46" s="1080"/>
      <c r="I46" s="1080"/>
      <c r="J46" s="1080"/>
      <c r="K46" s="1080"/>
      <c r="L46" s="1080"/>
      <c r="M46" s="1080"/>
      <c r="N46" s="1080"/>
      <c r="O46" s="67"/>
      <c r="P46" s="1077"/>
      <c r="Q46" s="2501"/>
      <c r="R46" s="1176"/>
      <c r="S46" s="1176"/>
      <c r="T46" s="1176"/>
      <c r="U46" s="1176"/>
      <c r="V46" s="1176"/>
      <c r="W46" s="1176"/>
      <c r="X46" s="1176"/>
      <c r="Y46" s="1176"/>
      <c r="Z46" s="1176"/>
      <c r="AA46" s="1176"/>
      <c r="AB46" s="1176"/>
      <c r="AC46" s="1176"/>
      <c r="AD46" s="1176"/>
      <c r="AE46" s="1176"/>
      <c r="AF46" s="2503"/>
      <c r="AG46" s="2503"/>
      <c r="AH46" s="2503"/>
      <c r="AI46" s="2503"/>
      <c r="AJ46" s="2503"/>
      <c r="AK46" s="2503"/>
      <c r="AL46" s="2503"/>
      <c r="AM46" s="2503"/>
      <c r="AN46" s="2503"/>
      <c r="AO46" s="2503"/>
      <c r="AP46" s="2503"/>
      <c r="AQ46" s="2503"/>
      <c r="AR46" s="2503"/>
      <c r="AS46" s="2503"/>
      <c r="AT46" s="2503"/>
      <c r="AU46" s="2503"/>
      <c r="AV46" s="2503"/>
      <c r="AW46" s="2503"/>
      <c r="AX46" s="2503"/>
      <c r="AY46" s="2503"/>
      <c r="AZ46" s="2503"/>
      <c r="BA46" s="2503"/>
      <c r="BB46" s="2503"/>
      <c r="BC46" s="2503"/>
      <c r="BD46" s="2503"/>
      <c r="BE46" s="2503"/>
      <c r="BF46" s="2503"/>
      <c r="BG46" s="2503"/>
      <c r="BH46" s="2503"/>
      <c r="BI46" s="2503"/>
      <c r="BJ46" s="2503"/>
      <c r="BK46" s="2503"/>
      <c r="BL46" s="2503"/>
      <c r="BM46" s="2503"/>
      <c r="BN46" s="2503"/>
      <c r="BO46" s="2503"/>
      <c r="BP46" s="2503"/>
      <c r="BQ46" s="2503"/>
      <c r="BR46" s="2503"/>
      <c r="BS46" s="2503"/>
      <c r="BT46" s="2503"/>
      <c r="BU46" s="2503"/>
      <c r="BV46" s="2503"/>
      <c r="BW46" s="2503"/>
      <c r="BX46" s="2503"/>
      <c r="BY46" s="2503"/>
      <c r="BZ46" s="2503"/>
      <c r="CA46" s="2503"/>
      <c r="CB46" s="2503"/>
      <c r="CC46" s="2503"/>
      <c r="CD46" s="2503"/>
      <c r="CE46" s="2503"/>
      <c r="CF46" s="2503"/>
      <c r="CG46" s="2503"/>
      <c r="CH46" s="2503"/>
      <c r="CI46" s="2503"/>
      <c r="CJ46" s="2503"/>
      <c r="CK46" s="2503"/>
      <c r="CL46" s="2503"/>
      <c r="CM46" s="2503"/>
      <c r="CN46" s="2503"/>
      <c r="CO46" s="2503"/>
      <c r="CP46" s="2503"/>
      <c r="CQ46" s="2503"/>
      <c r="CR46" s="2503"/>
      <c r="CS46" s="2503"/>
      <c r="CT46" s="2503"/>
      <c r="CU46" s="2503"/>
      <c r="CV46" s="2503"/>
      <c r="CW46" s="2503"/>
      <c r="CX46" s="2503"/>
      <c r="CY46" s="2503"/>
      <c r="CZ46" s="2503"/>
      <c r="DA46" s="2503"/>
      <c r="DB46" s="2503"/>
      <c r="DC46" s="2503"/>
      <c r="DD46" s="2503"/>
      <c r="DE46" s="2503"/>
      <c r="DF46" s="2503"/>
      <c r="DG46" s="2503"/>
      <c r="DH46" s="2503"/>
      <c r="DI46" s="2503"/>
    </row>
    <row r="47" spans="1:113" s="6" customFormat="1" ht="15.75" hidden="1" customHeight="1">
      <c r="A47" s="2503"/>
      <c r="B47" s="110"/>
      <c r="C47" s="952" t="s">
        <v>739</v>
      </c>
      <c r="D47" s="924"/>
      <c r="E47" s="953"/>
      <c r="F47" s="954"/>
      <c r="G47" s="954"/>
      <c r="H47" s="954"/>
      <c r="I47" s="954"/>
      <c r="J47" s="954"/>
      <c r="K47" s="954"/>
      <c r="L47" s="954"/>
      <c r="M47" s="954"/>
      <c r="N47" s="954"/>
      <c r="O47" s="67"/>
      <c r="P47" s="1077"/>
      <c r="Q47" s="2501"/>
      <c r="R47" s="1176"/>
      <c r="S47" s="2531"/>
      <c r="T47" s="1176"/>
      <c r="U47" s="1176"/>
      <c r="V47" s="1176"/>
      <c r="W47" s="2531"/>
      <c r="X47" s="1176"/>
      <c r="Y47" s="1176"/>
      <c r="Z47" s="1176"/>
      <c r="AA47" s="1176"/>
      <c r="AB47" s="1176"/>
      <c r="AC47" s="1176"/>
      <c r="AD47" s="1176"/>
      <c r="AE47" s="1176"/>
      <c r="AF47" s="2503"/>
      <c r="AG47" s="2503"/>
      <c r="AH47" s="2503"/>
      <c r="AI47" s="2503"/>
      <c r="AJ47" s="2503"/>
      <c r="AK47" s="2503"/>
      <c r="AL47" s="2503"/>
      <c r="AM47" s="2503"/>
      <c r="AN47" s="2503"/>
      <c r="AO47" s="2503"/>
      <c r="AP47" s="2503"/>
      <c r="AQ47" s="2503"/>
      <c r="AR47" s="2503"/>
      <c r="AS47" s="2503"/>
      <c r="AT47" s="2503"/>
      <c r="AU47" s="2503"/>
      <c r="AV47" s="2503"/>
      <c r="AW47" s="2503"/>
      <c r="AX47" s="2503"/>
      <c r="AY47" s="2503"/>
      <c r="AZ47" s="2503"/>
      <c r="BA47" s="2503"/>
      <c r="BB47" s="2503"/>
      <c r="BC47" s="2503"/>
      <c r="BD47" s="2503"/>
      <c r="BE47" s="2503"/>
      <c r="BF47" s="2503"/>
      <c r="BG47" s="2503"/>
      <c r="BH47" s="2503"/>
      <c r="BI47" s="2503"/>
      <c r="BJ47" s="2503"/>
      <c r="BK47" s="2503"/>
      <c r="BL47" s="2503"/>
      <c r="BM47" s="2503"/>
      <c r="BN47" s="2503"/>
      <c r="BO47" s="2503"/>
      <c r="BP47" s="2503"/>
      <c r="BQ47" s="2503"/>
      <c r="BR47" s="2503"/>
      <c r="BS47" s="2503"/>
      <c r="BT47" s="2503"/>
      <c r="BU47" s="2503"/>
      <c r="BV47" s="2503"/>
      <c r="BW47" s="2503"/>
      <c r="BX47" s="2503"/>
      <c r="BY47" s="2503"/>
      <c r="BZ47" s="2503"/>
      <c r="CA47" s="2503"/>
      <c r="CB47" s="2503"/>
      <c r="CC47" s="2503"/>
      <c r="CD47" s="2503"/>
      <c r="CE47" s="2503"/>
      <c r="CF47" s="2503"/>
      <c r="CG47" s="2503"/>
      <c r="CH47" s="2503"/>
      <c r="CI47" s="2503"/>
      <c r="CJ47" s="2503"/>
      <c r="CK47" s="2503"/>
      <c r="CL47" s="2503"/>
      <c r="CM47" s="2503"/>
      <c r="CN47" s="2503"/>
      <c r="CO47" s="2503"/>
      <c r="CP47" s="2503"/>
      <c r="CQ47" s="2503"/>
      <c r="CR47" s="2503"/>
      <c r="CS47" s="2503"/>
      <c r="CT47" s="2503"/>
      <c r="CU47" s="2503"/>
      <c r="CV47" s="2503"/>
      <c r="CW47" s="2503"/>
      <c r="CX47" s="2503"/>
      <c r="CY47" s="2503"/>
      <c r="CZ47" s="2503"/>
      <c r="DA47" s="2503"/>
      <c r="DB47" s="2503"/>
      <c r="DC47" s="2503"/>
      <c r="DD47" s="2503"/>
      <c r="DE47" s="2503"/>
      <c r="DF47" s="2503"/>
      <c r="DG47" s="2503"/>
      <c r="DH47" s="2503"/>
      <c r="DI47" s="2503"/>
    </row>
    <row r="48" spans="1:113" s="6" customFormat="1" ht="15.75" hidden="1" customHeight="1">
      <c r="A48" s="2503"/>
      <c r="B48" s="110"/>
      <c r="C48" s="956" t="s">
        <v>740</v>
      </c>
      <c r="D48" s="957"/>
      <c r="E48" s="958"/>
      <c r="F48" s="959"/>
      <c r="G48" s="959"/>
      <c r="H48" s="959"/>
      <c r="I48" s="959"/>
      <c r="J48" s="959"/>
      <c r="K48" s="959"/>
      <c r="L48" s="959"/>
      <c r="M48" s="959"/>
      <c r="N48" s="959"/>
      <c r="O48" s="67"/>
      <c r="P48" s="1077"/>
      <c r="Q48" s="2501"/>
      <c r="R48" s="1176"/>
      <c r="S48" s="1176"/>
      <c r="T48" s="1176"/>
      <c r="U48" s="1176"/>
      <c r="V48" s="1176"/>
      <c r="W48" s="1176"/>
      <c r="X48" s="1176"/>
      <c r="Y48" s="1176"/>
      <c r="Z48" s="1176"/>
      <c r="AA48" s="1176"/>
      <c r="AB48" s="1176"/>
      <c r="AC48" s="1176"/>
      <c r="AD48" s="1176"/>
      <c r="AE48" s="1176"/>
      <c r="AF48" s="2503"/>
      <c r="AG48" s="2503"/>
      <c r="AH48" s="2503"/>
      <c r="AI48" s="2503"/>
      <c r="AJ48" s="2503"/>
      <c r="AK48" s="2503"/>
      <c r="AL48" s="2503"/>
      <c r="AM48" s="2503"/>
      <c r="AN48" s="2503"/>
      <c r="AO48" s="2503"/>
      <c r="AP48" s="2503"/>
      <c r="AQ48" s="2503"/>
      <c r="AR48" s="2503"/>
      <c r="AS48" s="2503"/>
      <c r="AT48" s="2503"/>
      <c r="AU48" s="2503"/>
      <c r="AV48" s="2503"/>
      <c r="AW48" s="2503"/>
      <c r="AX48" s="2503"/>
      <c r="AY48" s="2503"/>
      <c r="AZ48" s="2503"/>
      <c r="BA48" s="2503"/>
      <c r="BB48" s="2503"/>
      <c r="BC48" s="2503"/>
      <c r="BD48" s="2503"/>
      <c r="BE48" s="2503"/>
      <c r="BF48" s="2503"/>
      <c r="BG48" s="2503"/>
      <c r="BH48" s="2503"/>
      <c r="BI48" s="2503"/>
      <c r="BJ48" s="2503"/>
      <c r="BK48" s="2503"/>
      <c r="BL48" s="2503"/>
      <c r="BM48" s="2503"/>
      <c r="BN48" s="2503"/>
      <c r="BO48" s="2503"/>
      <c r="BP48" s="2503"/>
      <c r="BQ48" s="2503"/>
      <c r="BR48" s="2503"/>
      <c r="BS48" s="2503"/>
      <c r="BT48" s="2503"/>
      <c r="BU48" s="2503"/>
      <c r="BV48" s="2503"/>
      <c r="BW48" s="2503"/>
      <c r="BX48" s="2503"/>
      <c r="BY48" s="2503"/>
      <c r="BZ48" s="2503"/>
      <c r="CA48" s="2503"/>
      <c r="CB48" s="2503"/>
      <c r="CC48" s="2503"/>
      <c r="CD48" s="2503"/>
      <c r="CE48" s="2503"/>
      <c r="CF48" s="2503"/>
      <c r="CG48" s="2503"/>
      <c r="CH48" s="2503"/>
      <c r="CI48" s="2503"/>
      <c r="CJ48" s="2503"/>
      <c r="CK48" s="2503"/>
      <c r="CL48" s="2503"/>
      <c r="CM48" s="2503"/>
      <c r="CN48" s="2503"/>
      <c r="CO48" s="2503"/>
      <c r="CP48" s="2503"/>
      <c r="CQ48" s="2503"/>
      <c r="CR48" s="2503"/>
      <c r="CS48" s="2503"/>
      <c r="CT48" s="2503"/>
      <c r="CU48" s="2503"/>
      <c r="CV48" s="2503"/>
      <c r="CW48" s="2503"/>
      <c r="CX48" s="2503"/>
      <c r="CY48" s="2503"/>
      <c r="CZ48" s="2503"/>
      <c r="DA48" s="2503"/>
      <c r="DB48" s="2503"/>
      <c r="DC48" s="2503"/>
      <c r="DD48" s="2503"/>
      <c r="DE48" s="2503"/>
      <c r="DF48" s="2503"/>
      <c r="DG48" s="2503"/>
      <c r="DH48" s="2503"/>
      <c r="DI48" s="2503"/>
    </row>
    <row r="49" spans="1:113" s="6" customFormat="1" hidden="1">
      <c r="A49" s="2503"/>
      <c r="B49" s="110"/>
      <c r="C49" s="946"/>
      <c r="D49" s="924"/>
      <c r="E49" s="941"/>
      <c r="F49" s="942"/>
      <c r="G49" s="943"/>
      <c r="H49" s="943"/>
      <c r="I49" s="943"/>
      <c r="J49" s="943"/>
      <c r="K49" s="943"/>
      <c r="L49" s="943"/>
      <c r="M49" s="943"/>
      <c r="N49" s="67"/>
      <c r="O49" s="67"/>
      <c r="P49" s="1077"/>
      <c r="Q49" s="2501"/>
      <c r="R49" s="1088"/>
      <c r="S49" s="1176"/>
      <c r="T49" s="1176"/>
      <c r="U49" s="1176"/>
      <c r="V49" s="1176"/>
      <c r="W49" s="1176"/>
      <c r="X49" s="1176"/>
      <c r="Y49" s="1176"/>
      <c r="Z49" s="1176"/>
      <c r="AA49" s="1176"/>
      <c r="AB49" s="1176"/>
      <c r="AC49" s="1176"/>
      <c r="AD49" s="1176"/>
      <c r="AE49" s="1176"/>
      <c r="AF49" s="2503"/>
      <c r="AG49" s="2503"/>
      <c r="AH49" s="2503"/>
      <c r="AI49" s="2503"/>
      <c r="AJ49" s="2503"/>
      <c r="AK49" s="2503"/>
      <c r="AL49" s="2503"/>
      <c r="AM49" s="2503"/>
      <c r="AN49" s="2503"/>
      <c r="AO49" s="2503"/>
      <c r="AP49" s="2503"/>
      <c r="AQ49" s="2503"/>
      <c r="AR49" s="2503"/>
      <c r="AS49" s="2503"/>
      <c r="AT49" s="2503"/>
      <c r="AU49" s="2503"/>
      <c r="AV49" s="2503"/>
      <c r="AW49" s="2503"/>
      <c r="AX49" s="2503"/>
      <c r="AY49" s="2503"/>
      <c r="AZ49" s="2503"/>
      <c r="BA49" s="2503"/>
      <c r="BB49" s="2503"/>
      <c r="BC49" s="2503"/>
      <c r="BD49" s="2503"/>
      <c r="BE49" s="2503"/>
      <c r="BF49" s="2503"/>
      <c r="BG49" s="2503"/>
      <c r="BH49" s="2503"/>
      <c r="BI49" s="2503"/>
      <c r="BJ49" s="2503"/>
      <c r="BK49" s="2503"/>
      <c r="BL49" s="2503"/>
      <c r="BM49" s="2503"/>
      <c r="BN49" s="2503"/>
      <c r="BO49" s="2503"/>
      <c r="BP49" s="2503"/>
      <c r="BQ49" s="2503"/>
      <c r="BR49" s="2503"/>
      <c r="BS49" s="2503"/>
      <c r="BT49" s="2503"/>
      <c r="BU49" s="2503"/>
      <c r="BV49" s="2503"/>
      <c r="BW49" s="2503"/>
      <c r="BX49" s="2503"/>
      <c r="BY49" s="2503"/>
      <c r="BZ49" s="2503"/>
      <c r="CA49" s="2503"/>
      <c r="CB49" s="2503"/>
      <c r="CC49" s="2503"/>
      <c r="CD49" s="2503"/>
      <c r="CE49" s="2503"/>
      <c r="CF49" s="2503"/>
      <c r="CG49" s="2503"/>
      <c r="CH49" s="2503"/>
      <c r="CI49" s="2503"/>
      <c r="CJ49" s="2503"/>
      <c r="CK49" s="2503"/>
      <c r="CL49" s="2503"/>
      <c r="CM49" s="2503"/>
      <c r="CN49" s="2503"/>
      <c r="CO49" s="2503"/>
      <c r="CP49" s="2503"/>
      <c r="CQ49" s="2503"/>
      <c r="CR49" s="2503"/>
      <c r="CS49" s="2503"/>
      <c r="CT49" s="2503"/>
      <c r="CU49" s="2503"/>
      <c r="CV49" s="2503"/>
      <c r="CW49" s="2503"/>
      <c r="CX49" s="2503"/>
      <c r="CY49" s="2503"/>
      <c r="CZ49" s="2503"/>
      <c r="DA49" s="2503"/>
      <c r="DB49" s="2503"/>
      <c r="DC49" s="2503"/>
      <c r="DD49" s="2503"/>
      <c r="DE49" s="2503"/>
      <c r="DF49" s="2503"/>
      <c r="DG49" s="2503"/>
      <c r="DH49" s="2503"/>
      <c r="DI49" s="2503"/>
    </row>
    <row r="50" spans="1:113" ht="15.75" hidden="1" customHeight="1">
      <c r="B50" s="110"/>
      <c r="C50" s="49" t="s">
        <v>1909</v>
      </c>
      <c r="D50" s="924"/>
      <c r="E50" s="941"/>
      <c r="F50" s="942"/>
      <c r="G50" s="943"/>
      <c r="H50" s="943"/>
      <c r="I50" s="943"/>
      <c r="J50" s="943"/>
      <c r="K50" s="943"/>
      <c r="L50" s="943"/>
      <c r="M50" s="943"/>
      <c r="N50" s="944" t="s">
        <v>2821</v>
      </c>
      <c r="O50" s="67"/>
      <c r="P50" s="1077"/>
      <c r="Q50" s="1083"/>
      <c r="R50" s="518"/>
      <c r="S50" s="4153"/>
      <c r="T50" s="4153"/>
      <c r="U50" s="4153"/>
      <c r="V50" s="4153"/>
      <c r="W50" s="1175"/>
      <c r="X50" s="4153"/>
      <c r="Y50" s="4153"/>
      <c r="Z50" s="1176"/>
      <c r="AA50" s="1083"/>
      <c r="AB50" s="1083"/>
      <c r="AC50" s="1083"/>
      <c r="AD50" s="1083"/>
      <c r="AE50" s="1083"/>
    </row>
    <row r="51" spans="1:113" ht="6" hidden="1" customHeight="1">
      <c r="B51" s="110"/>
      <c r="C51" s="946"/>
      <c r="D51" s="924"/>
      <c r="E51" s="941"/>
      <c r="F51" s="942"/>
      <c r="G51" s="943"/>
      <c r="H51" s="943"/>
      <c r="I51" s="943"/>
      <c r="J51" s="943"/>
      <c r="K51" s="943"/>
      <c r="L51" s="943"/>
      <c r="M51" s="943"/>
      <c r="N51" s="67"/>
      <c r="O51" s="67"/>
      <c r="P51" s="1077"/>
      <c r="Q51" s="1083"/>
      <c r="R51" s="1175"/>
      <c r="S51" s="4154"/>
      <c r="T51" s="4154"/>
      <c r="U51" s="4153"/>
      <c r="V51" s="4153"/>
      <c r="W51" s="1175"/>
      <c r="X51" s="2505"/>
      <c r="Y51" s="2505"/>
      <c r="Z51" s="1177"/>
      <c r="AA51" s="1083"/>
      <c r="AB51" s="1083"/>
      <c r="AC51" s="1083"/>
      <c r="AD51" s="1083"/>
      <c r="AE51" s="1083"/>
    </row>
    <row r="52" spans="1:113" hidden="1">
      <c r="B52" s="110"/>
      <c r="C52" s="1179"/>
      <c r="D52" s="1079"/>
      <c r="E52" s="980" t="s">
        <v>160</v>
      </c>
      <c r="F52" s="981">
        <v>2013</v>
      </c>
      <c r="G52" s="974">
        <v>2015</v>
      </c>
      <c r="H52" s="974">
        <v>2020</v>
      </c>
      <c r="I52" s="974">
        <v>2025</v>
      </c>
      <c r="J52" s="974">
        <v>2030</v>
      </c>
      <c r="K52" s="974">
        <v>2035</v>
      </c>
      <c r="L52" s="974">
        <v>2040</v>
      </c>
      <c r="M52" s="974">
        <v>2045</v>
      </c>
      <c r="N52" s="974">
        <v>2050</v>
      </c>
      <c r="O52" s="67"/>
      <c r="P52" s="1077"/>
      <c r="Q52" s="1083"/>
      <c r="R52" s="1077"/>
      <c r="S52" s="629"/>
      <c r="T52" s="629"/>
      <c r="U52" s="1077"/>
      <c r="V52" s="629"/>
      <c r="W52" s="1175"/>
      <c r="X52" s="629"/>
      <c r="Y52" s="629"/>
      <c r="Z52" s="1083"/>
      <c r="AA52" s="1083"/>
      <c r="AB52" s="1083"/>
      <c r="AC52" s="1083"/>
      <c r="AD52" s="1083"/>
      <c r="AE52" s="1083"/>
    </row>
    <row r="53" spans="1:113" ht="15.75" hidden="1" customHeight="1">
      <c r="B53" s="110"/>
      <c r="C53" s="976" t="s">
        <v>738</v>
      </c>
      <c r="D53" s="1079"/>
      <c r="E53" s="966"/>
      <c r="F53" s="1080"/>
      <c r="G53" s="1080"/>
      <c r="H53" s="1080"/>
      <c r="I53" s="1080"/>
      <c r="J53" s="1080"/>
      <c r="K53" s="1080"/>
      <c r="L53" s="1080"/>
      <c r="M53" s="1080"/>
      <c r="N53" s="1080"/>
      <c r="O53" s="67"/>
      <c r="P53" s="1077"/>
      <c r="Q53" s="1083"/>
      <c r="R53" s="1077"/>
      <c r="S53" s="629"/>
      <c r="T53" s="629"/>
      <c r="U53" s="1077"/>
      <c r="V53" s="629"/>
      <c r="W53" s="1175"/>
      <c r="X53" s="629"/>
      <c r="Y53" s="629"/>
      <c r="Z53" s="1083"/>
      <c r="AA53" s="1083"/>
      <c r="AB53" s="1083"/>
      <c r="AC53" s="1083"/>
      <c r="AD53" s="1083"/>
      <c r="AE53" s="1083"/>
    </row>
    <row r="54" spans="1:113" ht="15.75" hidden="1" customHeight="1">
      <c r="B54" s="110"/>
      <c r="C54" s="952" t="s">
        <v>739</v>
      </c>
      <c r="D54" s="924"/>
      <c r="E54" s="953"/>
      <c r="F54" s="954"/>
      <c r="G54" s="954"/>
      <c r="H54" s="954"/>
      <c r="I54" s="954"/>
      <c r="J54" s="954"/>
      <c r="K54" s="954"/>
      <c r="L54" s="954"/>
      <c r="M54" s="954"/>
      <c r="N54" s="954"/>
      <c r="O54" s="67"/>
      <c r="P54" s="1077"/>
      <c r="Q54" s="1083"/>
      <c r="R54" s="2532"/>
      <c r="S54" s="2533"/>
      <c r="T54" s="1178"/>
      <c r="U54" s="2533"/>
      <c r="V54" s="1178"/>
      <c r="W54" s="1178"/>
      <c r="X54" s="2534"/>
      <c r="Y54" s="2535"/>
      <c r="Z54" s="1083"/>
      <c r="AA54" s="1083"/>
      <c r="AB54" s="1083"/>
      <c r="AC54" s="1083"/>
      <c r="AD54" s="1083"/>
      <c r="AE54" s="1077"/>
    </row>
    <row r="55" spans="1:113" ht="15.75" hidden="1" customHeight="1">
      <c r="B55" s="110"/>
      <c r="C55" s="956" t="s">
        <v>740</v>
      </c>
      <c r="D55" s="957"/>
      <c r="E55" s="958"/>
      <c r="F55" s="959"/>
      <c r="G55" s="959"/>
      <c r="H55" s="959"/>
      <c r="I55" s="959"/>
      <c r="J55" s="959"/>
      <c r="K55" s="959"/>
      <c r="L55" s="959"/>
      <c r="M55" s="959"/>
      <c r="N55" s="959"/>
      <c r="O55" s="67"/>
      <c r="P55" s="1077"/>
      <c r="Q55" s="1083"/>
      <c r="R55" s="2532"/>
      <c r="S55" s="2532"/>
      <c r="T55" s="2533"/>
      <c r="U55" s="2533"/>
      <c r="V55" s="2534"/>
      <c r="W55" s="2532"/>
      <c r="X55" s="2532"/>
      <c r="Y55" s="2532"/>
      <c r="Z55" s="2532"/>
      <c r="AA55" s="2532"/>
      <c r="AB55" s="2532"/>
      <c r="AC55" s="2532"/>
      <c r="AD55" s="2532"/>
      <c r="AE55" s="2536"/>
    </row>
    <row r="56" spans="1:113" ht="15.75" hidden="1" customHeight="1">
      <c r="B56" s="47"/>
      <c r="C56" s="47"/>
      <c r="D56" s="67"/>
      <c r="E56" s="943"/>
      <c r="F56" s="67"/>
      <c r="G56" s="67"/>
      <c r="H56" s="67"/>
      <c r="I56" s="1185"/>
      <c r="J56" s="1185"/>
      <c r="K56" s="47"/>
      <c r="L56" s="47"/>
      <c r="M56" s="47"/>
      <c r="N56" s="47"/>
      <c r="O56" s="47"/>
      <c r="Q56" s="1083"/>
      <c r="R56" s="1088"/>
      <c r="S56" s="2532"/>
      <c r="T56" s="2533"/>
      <c r="U56" s="2533"/>
      <c r="V56" s="2534"/>
      <c r="W56" s="2532"/>
      <c r="X56" s="2532"/>
      <c r="Y56" s="2532"/>
      <c r="Z56" s="2532"/>
      <c r="AA56" s="2532"/>
      <c r="AB56" s="2532"/>
      <c r="AC56" s="2532"/>
      <c r="AD56" s="2532"/>
      <c r="AE56" s="2536"/>
    </row>
    <row r="57" spans="1:113" ht="11.25" customHeight="1">
      <c r="B57" s="1082"/>
      <c r="C57" s="1088"/>
      <c r="D57" s="2532"/>
      <c r="E57" s="2533"/>
      <c r="F57" s="2533"/>
      <c r="G57" s="2532"/>
      <c r="H57" s="2532"/>
      <c r="I57" s="2532"/>
      <c r="J57" s="2532"/>
      <c r="K57" s="2532"/>
      <c r="L57" s="2532"/>
      <c r="M57" s="2537"/>
      <c r="N57" s="2537" t="s">
        <v>5</v>
      </c>
      <c r="O57" s="2538"/>
      <c r="Q57" s="1083"/>
      <c r="R57" s="1088"/>
      <c r="S57" s="2532"/>
      <c r="T57" s="2533"/>
      <c r="U57" s="2533"/>
      <c r="V57" s="2534"/>
      <c r="W57" s="2532"/>
      <c r="X57" s="2532"/>
      <c r="Y57" s="2532"/>
      <c r="Z57" s="2532"/>
      <c r="AA57" s="2532"/>
      <c r="AB57" s="2532"/>
      <c r="AC57" s="2532"/>
      <c r="AD57" s="2532"/>
      <c r="AE57" s="2536"/>
    </row>
    <row r="58" spans="1:113" ht="15.75">
      <c r="B58" s="878" t="s">
        <v>178</v>
      </c>
      <c r="C58" s="879"/>
      <c r="D58" s="879"/>
      <c r="E58" s="879"/>
      <c r="F58" s="879"/>
      <c r="G58" s="879"/>
      <c r="H58" s="879"/>
      <c r="I58" s="879"/>
      <c r="J58" s="879"/>
      <c r="K58" s="879"/>
      <c r="L58" s="879"/>
      <c r="M58" s="879"/>
      <c r="N58" s="879"/>
      <c r="O58" s="880"/>
      <c r="Q58" s="1077"/>
      <c r="R58" s="1077"/>
      <c r="S58" s="1077"/>
      <c r="T58" s="1701"/>
      <c r="U58" s="1701"/>
      <c r="V58" s="1077"/>
      <c r="W58" s="1077"/>
      <c r="X58" s="1077"/>
      <c r="Y58" s="1077"/>
      <c r="Z58" s="1077"/>
      <c r="AA58" s="1077"/>
      <c r="AB58" s="1077"/>
      <c r="AC58" s="1077"/>
      <c r="AD58" s="1077"/>
      <c r="AE58" s="1077"/>
    </row>
    <row r="59" spans="1:113">
      <c r="B59" s="110"/>
      <c r="C59" s="67"/>
      <c r="D59" s="67"/>
      <c r="E59" s="67"/>
      <c r="F59" s="67"/>
      <c r="G59" s="67"/>
      <c r="H59" s="67"/>
      <c r="I59" s="67"/>
      <c r="J59" s="67"/>
      <c r="K59" s="67"/>
      <c r="L59" s="67"/>
      <c r="M59" s="67"/>
      <c r="N59" s="67"/>
      <c r="O59" s="885"/>
      <c r="Q59" s="1083"/>
      <c r="R59" s="617"/>
      <c r="S59" s="617"/>
      <c r="T59" s="616"/>
      <c r="U59" s="212"/>
      <c r="V59" s="212"/>
      <c r="W59" s="2539"/>
      <c r="X59" s="1083"/>
      <c r="Y59" s="1083"/>
      <c r="Z59" s="1083"/>
      <c r="AA59" s="1083"/>
      <c r="AB59" s="1083"/>
      <c r="AC59" s="1083"/>
      <c r="AD59" s="1083"/>
      <c r="AE59" s="1077"/>
    </row>
    <row r="60" spans="1:113">
      <c r="B60" s="110"/>
      <c r="C60" s="49" t="s">
        <v>745</v>
      </c>
      <c r="D60" s="67"/>
      <c r="E60" s="51"/>
      <c r="F60" s="67"/>
      <c r="G60" s="67"/>
      <c r="H60" s="67"/>
      <c r="I60" s="67"/>
      <c r="J60" s="67"/>
      <c r="K60" s="67"/>
      <c r="L60" s="67"/>
      <c r="M60" s="67"/>
      <c r="N60" s="51" t="str">
        <f>Preferences.PowerUnits</f>
        <v>GW</v>
      </c>
      <c r="O60" s="885"/>
      <c r="Q60" s="1083"/>
      <c r="R60" s="617"/>
      <c r="S60" s="519"/>
      <c r="T60" s="1085"/>
      <c r="U60" s="1086"/>
      <c r="V60" s="1086"/>
      <c r="W60" s="2539"/>
      <c r="X60" s="1083"/>
      <c r="Y60" s="1083"/>
      <c r="Z60" s="1083"/>
      <c r="AA60" s="1083"/>
      <c r="AB60" s="1083"/>
      <c r="AC60" s="1083"/>
      <c r="AD60" s="1083"/>
      <c r="AE60" s="1077"/>
    </row>
    <row r="61" spans="1:113">
      <c r="B61" s="110"/>
      <c r="C61" s="67"/>
      <c r="D61" s="67"/>
      <c r="E61" s="67"/>
      <c r="F61" s="67"/>
      <c r="G61" s="67"/>
      <c r="H61" s="67"/>
      <c r="I61" s="67"/>
      <c r="J61" s="67"/>
      <c r="K61" s="67"/>
      <c r="L61" s="67"/>
      <c r="M61" s="67"/>
      <c r="N61" s="67"/>
      <c r="O61" s="885"/>
      <c r="Q61" s="1083"/>
      <c r="R61" s="1084"/>
      <c r="S61" s="519"/>
      <c r="T61" s="1085"/>
      <c r="U61" s="1086"/>
      <c r="V61" s="1086"/>
      <c r="W61" s="1087"/>
      <c r="X61" s="1083"/>
      <c r="Y61" s="1083"/>
      <c r="Z61" s="1083"/>
      <c r="AA61" s="1083"/>
      <c r="AB61" s="1083"/>
      <c r="AC61" s="1083"/>
      <c r="AD61" s="1083"/>
      <c r="AE61" s="1077"/>
    </row>
    <row r="62" spans="1:113" ht="15.75">
      <c r="B62" s="55"/>
      <c r="C62" s="887" t="s">
        <v>132</v>
      </c>
      <c r="D62" s="887" t="s">
        <v>72</v>
      </c>
      <c r="E62" s="887" t="s">
        <v>30</v>
      </c>
      <c r="F62" s="92">
        <v>2013</v>
      </c>
      <c r="G62" s="92">
        <v>2015</v>
      </c>
      <c r="H62" s="92">
        <v>2020</v>
      </c>
      <c r="I62" s="92">
        <v>2025</v>
      </c>
      <c r="J62" s="92">
        <v>2030</v>
      </c>
      <c r="K62" s="92">
        <v>2035</v>
      </c>
      <c r="L62" s="92">
        <v>2040</v>
      </c>
      <c r="M62" s="92">
        <v>2045</v>
      </c>
      <c r="N62" s="92">
        <v>2050</v>
      </c>
      <c r="O62" s="885"/>
      <c r="Q62" s="1083"/>
      <c r="R62" s="1084"/>
      <c r="S62" s="519"/>
      <c r="T62" s="1085"/>
      <c r="U62" s="1086"/>
      <c r="V62" s="1086"/>
      <c r="W62" s="1087"/>
      <c r="X62" s="1083"/>
      <c r="Y62" s="1083"/>
      <c r="Z62" s="1083"/>
      <c r="AA62" s="1083"/>
      <c r="AB62" s="1083"/>
      <c r="AC62" s="1083"/>
      <c r="AD62" s="1083"/>
      <c r="AE62" s="1077"/>
    </row>
    <row r="63" spans="1:113" ht="15.75">
      <c r="B63" s="975"/>
      <c r="C63" s="916" t="s">
        <v>446</v>
      </c>
      <c r="D63" s="917" t="s">
        <v>79</v>
      </c>
      <c r="E63" s="917"/>
      <c r="F63" s="921">
        <f t="shared" ref="F63:N63" si="1">F20</f>
        <v>0</v>
      </c>
      <c r="G63" s="2540">
        <f t="shared" si="1"/>
        <v>0</v>
      </c>
      <c r="H63" s="921">
        <f t="shared" si="1"/>
        <v>0.5</v>
      </c>
      <c r="I63" s="921">
        <f t="shared" si="1"/>
        <v>1</v>
      </c>
      <c r="J63" s="921">
        <f t="shared" si="1"/>
        <v>2</v>
      </c>
      <c r="K63" s="921">
        <f t="shared" si="1"/>
        <v>3</v>
      </c>
      <c r="L63" s="921">
        <f t="shared" si="1"/>
        <v>4</v>
      </c>
      <c r="M63" s="921">
        <f t="shared" si="1"/>
        <v>4.5</v>
      </c>
      <c r="N63" s="921">
        <f t="shared" si="1"/>
        <v>5</v>
      </c>
      <c r="O63" s="893"/>
      <c r="Q63" s="1083"/>
      <c r="R63" s="1088"/>
      <c r="S63" s="519"/>
      <c r="T63" s="1085"/>
      <c r="U63" s="1086"/>
      <c r="V63" s="1086"/>
      <c r="W63" s="1087"/>
      <c r="X63" s="1083"/>
      <c r="Y63" s="1083"/>
      <c r="Z63" s="1083"/>
      <c r="AA63" s="1083"/>
      <c r="AB63" s="1083"/>
      <c r="AC63" s="1083"/>
      <c r="AD63" s="1083"/>
      <c r="AE63" s="1077"/>
    </row>
    <row r="64" spans="1:113" ht="11.25" customHeight="1">
      <c r="B64" s="45"/>
      <c r="C64" s="65"/>
      <c r="D64" s="108"/>
      <c r="E64" s="108"/>
      <c r="F64" s="172"/>
      <c r="G64" s="165"/>
      <c r="H64" s="165"/>
      <c r="I64" s="165"/>
      <c r="J64" s="165"/>
      <c r="K64" s="165"/>
      <c r="L64" s="165"/>
      <c r="M64" s="165"/>
      <c r="N64" s="165"/>
      <c r="O64" s="885"/>
      <c r="Q64" s="1083"/>
      <c r="R64" s="1084"/>
      <c r="S64" s="519"/>
      <c r="T64" s="1085"/>
      <c r="U64" s="1086"/>
      <c r="V64" s="1086"/>
      <c r="W64" s="1087"/>
      <c r="X64" s="1083"/>
      <c r="Y64" s="1083"/>
      <c r="Z64" s="1083"/>
      <c r="AA64" s="1083"/>
      <c r="AB64" s="1083"/>
      <c r="AC64" s="1083"/>
      <c r="AD64" s="1083"/>
      <c r="AE64" s="1077"/>
    </row>
    <row r="65" spans="1:31">
      <c r="Q65" s="1083"/>
      <c r="R65" s="2504"/>
      <c r="S65" s="518"/>
      <c r="T65" s="518"/>
      <c r="U65" s="2541"/>
      <c r="V65" s="2542"/>
      <c r="W65" s="2542"/>
      <c r="X65" s="2542"/>
      <c r="Y65" s="2542"/>
      <c r="Z65" s="2542"/>
      <c r="AA65" s="2542"/>
      <c r="AB65" s="2542"/>
      <c r="AC65" s="2542"/>
      <c r="AD65" s="2542"/>
      <c r="AE65" s="1077"/>
    </row>
    <row r="66" spans="1:31">
      <c r="B66" s="2503" t="s">
        <v>1910</v>
      </c>
      <c r="F66" s="2503">
        <v>2013</v>
      </c>
      <c r="G66" s="2503">
        <v>2015</v>
      </c>
      <c r="H66" s="2503">
        <v>2020</v>
      </c>
      <c r="I66" s="2503">
        <v>2025</v>
      </c>
      <c r="J66" s="2503">
        <v>2030</v>
      </c>
      <c r="K66" s="2503">
        <v>2035</v>
      </c>
      <c r="L66" s="2503">
        <v>2040</v>
      </c>
      <c r="M66" s="2503">
        <v>2045</v>
      </c>
      <c r="N66" s="2503">
        <v>2050</v>
      </c>
      <c r="Q66" s="1083"/>
      <c r="R66" s="2504"/>
      <c r="S66" s="2543"/>
      <c r="T66" s="518"/>
      <c r="U66" s="2544"/>
      <c r="V66" s="2544"/>
      <c r="W66" s="2545"/>
      <c r="X66" s="2545"/>
      <c r="Y66" s="2545"/>
      <c r="Z66" s="2545"/>
      <c r="AA66" s="2545"/>
      <c r="AB66" s="2545"/>
      <c r="AC66" s="2545"/>
      <c r="AD66" s="2545"/>
      <c r="AE66" s="1077"/>
    </row>
    <row r="67" spans="1:31">
      <c r="Q67" s="1083"/>
      <c r="R67" s="2504"/>
      <c r="S67" s="2543"/>
      <c r="T67" s="518"/>
      <c r="U67" s="2544"/>
      <c r="V67" s="2544"/>
      <c r="W67" s="2545"/>
      <c r="X67" s="2545"/>
      <c r="Y67" s="2545"/>
      <c r="Z67" s="2545"/>
      <c r="AA67" s="2545"/>
      <c r="AB67" s="2545"/>
      <c r="AC67" s="2545"/>
      <c r="AD67" s="2545"/>
      <c r="AE67" s="1077"/>
    </row>
    <row r="68" spans="1:31">
      <c r="C68" s="363" t="s">
        <v>871</v>
      </c>
      <c r="E68" s="382" t="str">
        <f>Preferences.PowerUnits</f>
        <v>GW</v>
      </c>
      <c r="F68" s="374">
        <f t="shared" ref="F68:N68" si="2">F$63</f>
        <v>0</v>
      </c>
      <c r="G68" s="374">
        <f t="shared" si="2"/>
        <v>0</v>
      </c>
      <c r="H68" s="374">
        <f t="shared" si="2"/>
        <v>0.5</v>
      </c>
      <c r="I68" s="374">
        <f t="shared" si="2"/>
        <v>1</v>
      </c>
      <c r="J68" s="374">
        <f t="shared" si="2"/>
        <v>2</v>
      </c>
      <c r="K68" s="374">
        <f t="shared" si="2"/>
        <v>3</v>
      </c>
      <c r="L68" s="374">
        <f t="shared" si="2"/>
        <v>4</v>
      </c>
      <c r="M68" s="374">
        <f t="shared" si="2"/>
        <v>4.5</v>
      </c>
      <c r="N68" s="374">
        <f t="shared" si="2"/>
        <v>5</v>
      </c>
      <c r="Q68" s="1083"/>
      <c r="R68" s="2504"/>
      <c r="S68" s="518"/>
      <c r="T68" s="518"/>
      <c r="U68" s="2546"/>
      <c r="V68" s="2546"/>
      <c r="W68" s="2547"/>
      <c r="X68" s="2547"/>
      <c r="Y68" s="2547"/>
      <c r="Z68" s="2547"/>
      <c r="AA68" s="2547"/>
      <c r="AB68" s="2547"/>
      <c r="AC68" s="2547"/>
      <c r="AD68" s="2547"/>
      <c r="AE68" s="1077"/>
    </row>
    <row r="69" spans="1:31">
      <c r="B69" s="2503" t="s">
        <v>219</v>
      </c>
      <c r="C69" s="2503" t="s">
        <v>858</v>
      </c>
      <c r="E69" s="382"/>
      <c r="F69" s="989">
        <f t="shared" ref="F69:N69" si="3">F$31</f>
        <v>9.7000000000000003E-2</v>
      </c>
      <c r="G69" s="989">
        <f t="shared" si="3"/>
        <v>9.7000000000000003E-2</v>
      </c>
      <c r="H69" s="989">
        <f t="shared" si="3"/>
        <v>9.7000000000000003E-2</v>
      </c>
      <c r="I69" s="989">
        <f t="shared" si="3"/>
        <v>9.7000000000000003E-2</v>
      </c>
      <c r="J69" s="989">
        <f t="shared" si="3"/>
        <v>9.7000000000000003E-2</v>
      </c>
      <c r="K69" s="989">
        <f t="shared" si="3"/>
        <v>9.7000000000000003E-2</v>
      </c>
      <c r="L69" s="989">
        <f t="shared" si="3"/>
        <v>9.7000000000000003E-2</v>
      </c>
      <c r="M69" s="989">
        <f t="shared" si="3"/>
        <v>9.7000000000000003E-2</v>
      </c>
      <c r="N69" s="989">
        <f t="shared" si="3"/>
        <v>9.7000000000000003E-2</v>
      </c>
      <c r="Q69" s="1083"/>
      <c r="R69" s="2504"/>
      <c r="S69" s="518"/>
      <c r="T69" s="518"/>
      <c r="U69" s="2541"/>
      <c r="V69" s="2542"/>
      <c r="W69" s="2542"/>
      <c r="X69" s="2542"/>
      <c r="Y69" s="2542"/>
      <c r="Z69" s="2542"/>
      <c r="AA69" s="2542"/>
      <c r="AB69" s="2542"/>
      <c r="AC69" s="2542"/>
      <c r="AD69" s="2542"/>
      <c r="AE69" s="1077"/>
    </row>
    <row r="70" spans="1:31">
      <c r="B70" s="988" t="s">
        <v>221</v>
      </c>
      <c r="C70" s="363" t="s">
        <v>872</v>
      </c>
      <c r="E70" s="382"/>
      <c r="F70" s="366">
        <f t="shared" ref="F70:N70" si="4">F68*F69</f>
        <v>0</v>
      </c>
      <c r="G70" s="366">
        <f t="shared" si="4"/>
        <v>0</v>
      </c>
      <c r="H70" s="366">
        <f t="shared" si="4"/>
        <v>4.8500000000000001E-2</v>
      </c>
      <c r="I70" s="366">
        <f t="shared" si="4"/>
        <v>9.7000000000000003E-2</v>
      </c>
      <c r="J70" s="366">
        <f t="shared" si="4"/>
        <v>0.19400000000000001</v>
      </c>
      <c r="K70" s="366">
        <f t="shared" si="4"/>
        <v>0.29100000000000004</v>
      </c>
      <c r="L70" s="366">
        <f t="shared" si="4"/>
        <v>0.38800000000000001</v>
      </c>
      <c r="M70" s="366">
        <f t="shared" si="4"/>
        <v>0.4365</v>
      </c>
      <c r="N70" s="366">
        <f t="shared" si="4"/>
        <v>0.48499999999999999</v>
      </c>
      <c r="Q70" s="1083"/>
      <c r="R70" s="2504"/>
      <c r="S70" s="2543"/>
      <c r="T70" s="518"/>
      <c r="U70" s="2546"/>
      <c r="V70" s="2546"/>
      <c r="W70" s="2546"/>
      <c r="X70" s="2546"/>
      <c r="Y70" s="2546"/>
      <c r="Z70" s="2546"/>
      <c r="AA70" s="2546"/>
      <c r="AB70" s="2546"/>
      <c r="AC70" s="2546"/>
      <c r="AD70" s="2546"/>
      <c r="AE70" s="1077"/>
    </row>
    <row r="71" spans="1:31">
      <c r="C71" s="363" t="s">
        <v>873</v>
      </c>
      <c r="E71" s="382" t="str">
        <f>Preferences.EnergyUnits</f>
        <v>TWh</v>
      </c>
      <c r="F71" s="366">
        <f t="shared" ref="F71:N71" si="5">F70*Preferences.Unit.Power*Unit.year/Preferences.Unit.Energy</f>
        <v>0</v>
      </c>
      <c r="G71" s="366">
        <f t="shared" si="5"/>
        <v>0</v>
      </c>
      <c r="H71" s="366">
        <f t="shared" si="5"/>
        <v>0.425151</v>
      </c>
      <c r="I71" s="366">
        <f t="shared" si="5"/>
        <v>0.850302</v>
      </c>
      <c r="J71" s="1190">
        <f t="shared" si="5"/>
        <v>1.700604</v>
      </c>
      <c r="K71" s="366">
        <f t="shared" si="5"/>
        <v>2.5509060000000003</v>
      </c>
      <c r="L71" s="366">
        <f t="shared" si="5"/>
        <v>3.401208</v>
      </c>
      <c r="M71" s="366">
        <f t="shared" si="5"/>
        <v>3.8263590000000001</v>
      </c>
      <c r="N71" s="366">
        <f t="shared" si="5"/>
        <v>4.2515099999999997</v>
      </c>
      <c r="Q71" s="1083"/>
      <c r="R71" s="2504"/>
      <c r="S71" s="2543"/>
      <c r="T71" s="518"/>
      <c r="U71" s="2546"/>
      <c r="V71" s="2546"/>
      <c r="W71" s="2546"/>
      <c r="X71" s="2546"/>
      <c r="Y71" s="2546"/>
      <c r="Z71" s="2546"/>
      <c r="AA71" s="2546"/>
      <c r="AB71" s="2546"/>
      <c r="AC71" s="2546"/>
      <c r="AD71" s="2546"/>
      <c r="AE71" s="1077"/>
    </row>
    <row r="72" spans="1:31">
      <c r="E72" s="382"/>
      <c r="Q72" s="1077"/>
      <c r="R72" s="1077"/>
      <c r="S72" s="1077"/>
      <c r="T72" s="1228"/>
      <c r="U72" s="1077"/>
      <c r="V72" s="1077"/>
      <c r="W72" s="1077"/>
      <c r="X72" s="1077"/>
      <c r="Y72" s="2548"/>
      <c r="Z72" s="2548"/>
      <c r="AA72" s="1077"/>
      <c r="AB72" s="1077"/>
      <c r="AC72" s="1077"/>
      <c r="AD72" s="1077"/>
      <c r="AE72" s="1077"/>
    </row>
    <row r="73" spans="1:31">
      <c r="B73" s="414" t="s">
        <v>1911</v>
      </c>
      <c r="E73" s="382"/>
      <c r="Q73" s="1077"/>
      <c r="R73" s="1077"/>
      <c r="S73" s="1077"/>
      <c r="T73" s="1077"/>
      <c r="U73" s="1077"/>
      <c r="V73" s="1077"/>
      <c r="W73" s="1077"/>
      <c r="X73" s="1077"/>
      <c r="Y73" s="1077"/>
      <c r="Z73" s="1077"/>
      <c r="AA73" s="1077"/>
      <c r="AB73" s="1077"/>
      <c r="AC73" s="1077"/>
      <c r="AD73" s="1077"/>
      <c r="AE73" s="1077"/>
    </row>
    <row r="74" spans="1:31">
      <c r="B74" s="414"/>
      <c r="C74" s="363" t="s">
        <v>1912</v>
      </c>
      <c r="E74" s="364" t="str">
        <f>Preferences.PowerUnits</f>
        <v>GW</v>
      </c>
      <c r="F74" s="366">
        <f t="shared" ref="F74:N74" si="6">F70/F$36</f>
        <v>0</v>
      </c>
      <c r="G74" s="366">
        <f t="shared" si="6"/>
        <v>0</v>
      </c>
      <c r="H74" s="366">
        <f t="shared" si="6"/>
        <v>0.40416666666666667</v>
      </c>
      <c r="I74" s="366">
        <f t="shared" si="6"/>
        <v>0.64666666666666672</v>
      </c>
      <c r="J74" s="366">
        <f t="shared" si="6"/>
        <v>0.97</v>
      </c>
      <c r="K74" s="366">
        <f t="shared" si="6"/>
        <v>1.4550000000000001</v>
      </c>
      <c r="L74" s="366">
        <f t="shared" si="6"/>
        <v>1.94</v>
      </c>
      <c r="M74" s="366">
        <f t="shared" si="6"/>
        <v>2.1824999999999997</v>
      </c>
      <c r="N74" s="366">
        <f t="shared" si="6"/>
        <v>2.4249999999999998</v>
      </c>
      <c r="Q74" s="86"/>
      <c r="R74" s="208"/>
      <c r="S74" s="2549"/>
      <c r="T74" s="1077"/>
      <c r="U74" s="1077"/>
      <c r="V74" s="1077"/>
      <c r="W74" s="1077"/>
      <c r="X74" s="1077"/>
      <c r="Y74" s="1077"/>
      <c r="Z74" s="1077"/>
      <c r="AA74" s="1077"/>
      <c r="AB74" s="1077"/>
      <c r="AC74" s="1077"/>
      <c r="AD74" s="1077"/>
      <c r="AE74" s="1077"/>
    </row>
    <row r="75" spans="1:31">
      <c r="B75" s="2550" t="s">
        <v>1748</v>
      </c>
      <c r="C75" s="2503" t="s">
        <v>1913</v>
      </c>
      <c r="E75" s="382" t="str">
        <f>Preferences.PowerUnits &amp; " / m2"</f>
        <v>GW / m2</v>
      </c>
      <c r="F75" s="2560">
        <f t="shared" ref="F75:N75" si="7">Global.IrelandIncidentSolarEnergy*Unit.W</f>
        <v>1.0000000000000001E-7</v>
      </c>
      <c r="G75" s="2560">
        <f t="shared" si="7"/>
        <v>1.0000000000000001E-7</v>
      </c>
      <c r="H75" s="2560">
        <f t="shared" si="7"/>
        <v>1.0000000000000001E-7</v>
      </c>
      <c r="I75" s="2560">
        <f t="shared" si="7"/>
        <v>1.0000000000000001E-7</v>
      </c>
      <c r="J75" s="2560">
        <f t="shared" si="7"/>
        <v>1.0000000000000001E-7</v>
      </c>
      <c r="K75" s="2560">
        <f t="shared" si="7"/>
        <v>1.0000000000000001E-7</v>
      </c>
      <c r="L75" s="2560">
        <f t="shared" si="7"/>
        <v>1.0000000000000001E-7</v>
      </c>
      <c r="M75" s="2560">
        <f t="shared" si="7"/>
        <v>1.0000000000000001E-7</v>
      </c>
      <c r="N75" s="2560">
        <f t="shared" si="7"/>
        <v>1.0000000000000001E-7</v>
      </c>
      <c r="Q75" s="1077"/>
      <c r="R75" s="1077"/>
      <c r="S75" s="1077"/>
      <c r="T75" s="1077"/>
      <c r="U75" s="1077"/>
      <c r="V75" s="1077"/>
      <c r="W75" s="1077"/>
      <c r="X75" s="1077"/>
      <c r="Y75" s="1077"/>
      <c r="Z75" s="1077"/>
      <c r="AA75" s="1077"/>
      <c r="AB75" s="1077"/>
      <c r="AC75" s="1077"/>
      <c r="AD75" s="1077"/>
      <c r="AE75" s="1077"/>
    </row>
    <row r="76" spans="1:31">
      <c r="B76" s="2503" t="s">
        <v>221</v>
      </c>
      <c r="C76" s="363" t="s">
        <v>1914</v>
      </c>
      <c r="E76" s="382" t="s">
        <v>1915</v>
      </c>
      <c r="F76" s="2551">
        <f>F74/F75</f>
        <v>0</v>
      </c>
      <c r="G76" s="2551">
        <f t="shared" ref="G76:N76" si="8">G74/G75</f>
        <v>0</v>
      </c>
      <c r="H76" s="2551">
        <f t="shared" si="8"/>
        <v>4041666.6666666665</v>
      </c>
      <c r="I76" s="2551">
        <f t="shared" si="8"/>
        <v>6466666.666666667</v>
      </c>
      <c r="J76" s="2551">
        <f t="shared" si="8"/>
        <v>9699999.9999999981</v>
      </c>
      <c r="K76" s="2551">
        <f t="shared" si="8"/>
        <v>14550000</v>
      </c>
      <c r="L76" s="2551">
        <f t="shared" si="8"/>
        <v>19399999.999999996</v>
      </c>
      <c r="M76" s="2551">
        <f t="shared" si="8"/>
        <v>21824999.999999996</v>
      </c>
      <c r="N76" s="2551">
        <f t="shared" si="8"/>
        <v>24249999.999999996</v>
      </c>
      <c r="Q76" s="1077"/>
      <c r="R76" s="1077"/>
      <c r="S76" s="1077"/>
      <c r="T76" s="1077"/>
      <c r="U76" s="1077"/>
      <c r="V76" s="1077"/>
      <c r="W76" s="1077"/>
      <c r="X76" s="1077"/>
      <c r="Y76" s="1077"/>
      <c r="Z76" s="1077"/>
      <c r="AA76" s="1077"/>
      <c r="AB76" s="1077"/>
      <c r="AC76" s="1077"/>
      <c r="AD76" s="1077"/>
      <c r="AE76" s="1077"/>
    </row>
    <row r="77" spans="1:31" ht="15.75">
      <c r="C77" s="363"/>
      <c r="E77" s="382"/>
      <c r="F77" s="2551"/>
      <c r="G77" s="2551" t="s">
        <v>5</v>
      </c>
      <c r="H77" s="2551"/>
      <c r="I77" s="2551"/>
      <c r="J77" s="2551"/>
      <c r="K77" s="2551"/>
      <c r="L77" s="2551"/>
      <c r="M77" s="2551"/>
      <c r="N77" s="2551"/>
      <c r="Q77" s="2530"/>
      <c r="R77" s="656"/>
      <c r="S77" s="656"/>
      <c r="T77" s="656"/>
      <c r="U77" s="656"/>
      <c r="V77" s="656"/>
      <c r="W77" s="656"/>
      <c r="X77" s="656"/>
      <c r="Y77" s="656"/>
      <c r="Z77" s="656"/>
      <c r="AA77" s="656"/>
      <c r="AB77" s="656"/>
      <c r="AC77" s="656"/>
      <c r="AD77" s="656"/>
      <c r="AE77" s="656"/>
    </row>
    <row r="78" spans="1:31">
      <c r="A78" s="39"/>
      <c r="C78" s="414" t="s">
        <v>1916</v>
      </c>
      <c r="E78" s="1381" t="s">
        <v>1915</v>
      </c>
      <c r="F78" s="2561">
        <f>F76/INDEX(Global.Assumptions[Households], MATCH(F$66, Global.Assumptions[Year], 0))</f>
        <v>0</v>
      </c>
      <c r="G78" s="2561">
        <f>G76/INDEX(Global.Assumptions[Households], MATCH(G$66, Global.Assumptions[Year], 0))</f>
        <v>0</v>
      </c>
      <c r="H78" s="2561">
        <f>H76/INDEX(Global.Assumptions[Households], MATCH(H$66, Global.Assumptions[Year], 0))</f>
        <v>2.2223903076030491</v>
      </c>
      <c r="I78" s="2561">
        <f>I76/INDEX(Global.Assumptions[Households], MATCH(I$66, Global.Assumptions[Year], 0))</f>
        <v>3.3821381433505824</v>
      </c>
      <c r="J78" s="2561">
        <f>J76/INDEX(Global.Assumptions[Households], MATCH(J$66, Global.Assumptions[Year], 0))</f>
        <v>4.8498660029622602</v>
      </c>
      <c r="K78" s="2561">
        <f>K76/INDEX(Global.Assumptions[Households], MATCH(K$66, Global.Assumptions[Year], 0))</f>
        <v>6.951489358226544</v>
      </c>
      <c r="L78" s="2561">
        <f>L76/INDEX(Global.Assumptions[Households], MATCH(L$66, Global.Assumptions[Year], 0))</f>
        <v>8.8546870572845933</v>
      </c>
      <c r="M78" s="2561">
        <f>M76/INDEX(Global.Assumptions[Households], MATCH(M$66, Global.Assumptions[Year], 0))</f>
        <v>9.538118343159578</v>
      </c>
      <c r="N78" s="2561">
        <f>N76/INDEX(Global.Assumptions[Households], MATCH(N$66, Global.Assumptions[Year], 0))</f>
        <v>10.144275953304497</v>
      </c>
      <c r="Q78" s="2500"/>
      <c r="R78" s="1077"/>
      <c r="S78" s="1077"/>
      <c r="T78" s="1077"/>
      <c r="U78" s="1077"/>
      <c r="V78" s="1077"/>
      <c r="W78" s="1077"/>
      <c r="X78" s="1077"/>
      <c r="Y78" s="1077"/>
      <c r="Z78" s="1077"/>
      <c r="AA78" s="1077"/>
      <c r="AB78" s="1077"/>
      <c r="AC78" s="1077"/>
      <c r="AD78" s="1077"/>
      <c r="AE78" s="1077"/>
    </row>
    <row r="79" spans="1:31">
      <c r="A79" s="39"/>
      <c r="C79" s="414" t="s">
        <v>1917</v>
      </c>
      <c r="E79" s="1381" t="s">
        <v>1915</v>
      </c>
      <c r="F79" s="990">
        <f>F76/INDEX(Global.Assumptions[Population], MATCH(F$66, Global.Assumptions[Year], 0))</f>
        <v>0</v>
      </c>
      <c r="G79" s="990">
        <f>G76/INDEX(Global.Assumptions[Population], MATCH(G$66, Global.Assumptions[Year], 0))</f>
        <v>0</v>
      </c>
      <c r="H79" s="990">
        <f>H76/INDEX(Global.Assumptions[Population], MATCH(H$66, Global.Assumptions[Year], 0))</f>
        <v>0.83564215363904837</v>
      </c>
      <c r="I79" s="990">
        <f>I76/INDEX(Global.Assumptions[Population], MATCH(I$66, Global.Assumptions[Year], 0))</f>
        <v>1.2927427208220097</v>
      </c>
      <c r="J79" s="990">
        <f>J76/INDEX(Global.Assumptions[Population], MATCH(J$66, Global.Assumptions[Year], 0))</f>
        <v>1.8849071134715352</v>
      </c>
      <c r="K79" s="990">
        <f>K76/INDEX(Global.Assumptions[Population], MATCH(K$66, Global.Assumptions[Year], 0))</f>
        <v>2.7478957834673561</v>
      </c>
      <c r="L79" s="990">
        <f>L76/INDEX(Global.Assumptions[Population], MATCH(L$66, Global.Assumptions[Year], 0))</f>
        <v>3.5611047887732128</v>
      </c>
      <c r="M79" s="990">
        <f>M76/INDEX(Global.Assumptions[Population], MATCH(M$66, Global.Assumptions[Year], 0))</f>
        <v>3.9038650744539356</v>
      </c>
      <c r="N79" s="990">
        <f>N76/INDEX(Global.Assumptions[Population], MATCH(N$66, Global.Assumptions[Year], 0))</f>
        <v>4.2267816472102071</v>
      </c>
      <c r="Q79" s="1077"/>
      <c r="R79" s="207"/>
      <c r="S79" s="521"/>
      <c r="T79" s="2552"/>
      <c r="U79" s="1236"/>
      <c r="V79" s="1236"/>
      <c r="W79" s="1228"/>
      <c r="X79" s="1228"/>
      <c r="Y79" s="1228"/>
      <c r="Z79" s="1228"/>
      <c r="AA79" s="1228"/>
      <c r="AB79" s="1228"/>
      <c r="AC79" s="1228"/>
      <c r="AD79" s="2553"/>
      <c r="AE79" s="1077"/>
    </row>
    <row r="80" spans="1:31">
      <c r="C80" s="414"/>
      <c r="E80" s="1381"/>
      <c r="F80" s="990"/>
      <c r="G80" s="990"/>
      <c r="H80" s="990" t="s">
        <v>5</v>
      </c>
      <c r="I80" s="990"/>
      <c r="J80" s="990"/>
      <c r="K80" s="990"/>
      <c r="L80" s="990"/>
      <c r="M80" s="990"/>
      <c r="N80" s="990"/>
      <c r="Q80" s="1077"/>
      <c r="R80" s="2554"/>
      <c r="S80" s="521"/>
      <c r="T80" s="2552"/>
      <c r="U80" s="1236"/>
      <c r="V80" s="1236"/>
      <c r="W80" s="1228"/>
      <c r="X80" s="1228"/>
      <c r="Y80" s="1228"/>
      <c r="Z80" s="1228"/>
      <c r="AA80" s="1228"/>
      <c r="AB80" s="1228"/>
      <c r="AC80" s="1228"/>
      <c r="AD80" s="1077"/>
      <c r="AE80" s="1077"/>
    </row>
    <row r="81" spans="2:31">
      <c r="B81" s="2503" t="s">
        <v>757</v>
      </c>
      <c r="C81" s="363"/>
      <c r="F81" s="366"/>
      <c r="G81" s="366"/>
      <c r="H81" s="366"/>
      <c r="I81" s="366"/>
      <c r="J81" s="366"/>
      <c r="K81" s="366"/>
      <c r="L81" s="366"/>
      <c r="M81" s="366"/>
      <c r="N81" s="366"/>
      <c r="Q81" s="1077"/>
      <c r="R81" s="2555"/>
      <c r="S81" s="521"/>
      <c r="T81" s="2552"/>
      <c r="U81" s="2556"/>
      <c r="V81" s="1230"/>
      <c r="W81" s="1230"/>
      <c r="X81" s="1230"/>
      <c r="Y81" s="1230"/>
      <c r="Z81" s="1230"/>
      <c r="AA81" s="1230"/>
      <c r="AB81" s="1230"/>
      <c r="AC81" s="1230"/>
      <c r="AD81" s="1230"/>
      <c r="AE81" s="1077"/>
    </row>
    <row r="82" spans="2:31">
      <c r="F82" s="993"/>
      <c r="G82" s="993"/>
      <c r="H82" s="993"/>
      <c r="I82" s="993"/>
      <c r="J82" s="993"/>
      <c r="K82" s="993"/>
      <c r="L82" s="993"/>
      <c r="M82" s="993"/>
      <c r="N82" s="993"/>
      <c r="Q82" s="1077"/>
      <c r="R82" s="2557"/>
      <c r="S82" s="521"/>
      <c r="T82" s="2558"/>
      <c r="U82" s="2559"/>
      <c r="V82" s="2559"/>
      <c r="W82" s="2559"/>
      <c r="X82" s="2559"/>
      <c r="Y82" s="2559"/>
      <c r="Z82" s="2559"/>
      <c r="AA82" s="2559"/>
      <c r="AB82" s="2559"/>
      <c r="AC82" s="2559"/>
      <c r="AD82" s="2559"/>
      <c r="AE82" s="1077"/>
    </row>
    <row r="83" spans="2:31">
      <c r="C83" s="2503" t="s">
        <v>1918</v>
      </c>
      <c r="E83" s="2503" t="s">
        <v>760</v>
      </c>
      <c r="F83" s="2515">
        <f>F68/plantsize.IV.a</f>
        <v>0</v>
      </c>
      <c r="G83" s="2515">
        <f t="shared" ref="G83:N83" si="9">G68/plantsize.IV.a</f>
        <v>0</v>
      </c>
      <c r="H83" s="2515">
        <f t="shared" si="9"/>
        <v>200000.00000000003</v>
      </c>
      <c r="I83" s="2515">
        <f>I68/plantsize.IV.a</f>
        <v>400000.00000000006</v>
      </c>
      <c r="J83" s="2515">
        <f t="shared" si="9"/>
        <v>800000.00000000012</v>
      </c>
      <c r="K83" s="2515">
        <f t="shared" si="9"/>
        <v>1200000</v>
      </c>
      <c r="L83" s="2515">
        <f t="shared" si="9"/>
        <v>1600000.0000000002</v>
      </c>
      <c r="M83" s="2515">
        <f t="shared" si="9"/>
        <v>1800000.0000000002</v>
      </c>
      <c r="N83" s="2515">
        <f t="shared" si="9"/>
        <v>2000000.0000000002</v>
      </c>
      <c r="Q83" s="1077"/>
      <c r="R83" s="2557"/>
      <c r="S83" s="521"/>
      <c r="T83" s="2558"/>
      <c r="U83" s="2559"/>
      <c r="V83" s="2559"/>
      <c r="W83" s="2559"/>
      <c r="X83" s="2559"/>
      <c r="Y83" s="2559"/>
      <c r="Z83" s="2559"/>
      <c r="AA83" s="2559"/>
      <c r="AB83" s="2559"/>
      <c r="AC83" s="2559"/>
      <c r="AD83" s="2559"/>
      <c r="AE83" s="1077"/>
    </row>
    <row r="84" spans="2:31">
      <c r="C84" s="2503" t="s">
        <v>1919</v>
      </c>
      <c r="F84" s="2515"/>
      <c r="G84" s="2515"/>
      <c r="H84" s="2517"/>
      <c r="I84" s="2517"/>
      <c r="J84" s="2517"/>
      <c r="K84" s="2517"/>
      <c r="L84" s="2517">
        <f>IF($E$8=1,0,-G63)</f>
        <v>0</v>
      </c>
      <c r="M84" s="2517">
        <f>IF($E$8=1,0,-H63)</f>
        <v>-0.5</v>
      </c>
      <c r="N84" s="2517">
        <f>IF($E$8=1,0,-I63)</f>
        <v>-1</v>
      </c>
      <c r="Q84" s="1077"/>
      <c r="R84" s="2557"/>
      <c r="S84" s="521"/>
      <c r="T84" s="2558"/>
      <c r="U84" s="2559"/>
      <c r="V84" s="2559"/>
      <c r="W84" s="2559"/>
      <c r="X84" s="2559"/>
      <c r="Y84" s="2559"/>
      <c r="Z84" s="2559"/>
      <c r="AA84" s="2559"/>
      <c r="AB84" s="2559"/>
      <c r="AC84" s="2559"/>
      <c r="AD84" s="2559"/>
      <c r="AE84" s="1077"/>
    </row>
    <row r="85" spans="2:31">
      <c r="C85" s="2503" t="s">
        <v>1920</v>
      </c>
      <c r="E85" s="2503" t="s">
        <v>760</v>
      </c>
      <c r="F85" s="2515"/>
      <c r="G85" s="2515"/>
      <c r="H85" s="2515"/>
      <c r="I85" s="2515"/>
      <c r="J85" s="2515">
        <f>J84/plantsize.IV.a</f>
        <v>0</v>
      </c>
      <c r="K85" s="2515">
        <f>K84/plantsize.IV.a</f>
        <v>0</v>
      </c>
      <c r="L85" s="2515">
        <f>L84/plantsize.IV.a</f>
        <v>0</v>
      </c>
      <c r="M85" s="2515">
        <f>M84/plantsize.IV.a</f>
        <v>-200000.00000000003</v>
      </c>
      <c r="N85" s="2515">
        <f>N84/plantsize.IV.a</f>
        <v>-400000.00000000006</v>
      </c>
      <c r="Q85" s="1077"/>
      <c r="R85" s="2554"/>
      <c r="S85" s="521"/>
      <c r="T85" s="2552"/>
      <c r="U85" s="1236"/>
      <c r="V85" s="1236"/>
      <c r="W85" s="1228"/>
      <c r="X85" s="1228"/>
      <c r="Y85" s="1228"/>
      <c r="Z85" s="1228"/>
      <c r="AA85" s="1228"/>
      <c r="AB85" s="1228"/>
      <c r="AC85" s="1228"/>
      <c r="AD85" s="1077"/>
      <c r="AE85" s="1077"/>
    </row>
    <row r="86" spans="2:31">
      <c r="C86" s="2503" t="s">
        <v>1921</v>
      </c>
      <c r="F86" s="2515"/>
      <c r="G86" s="2515">
        <f>G83-G85</f>
        <v>0</v>
      </c>
      <c r="H86" s="2515">
        <f>H83-H85</f>
        <v>200000.00000000003</v>
      </c>
      <c r="I86" s="2515">
        <f t="shared" ref="I86:N86" si="10">I83-I85</f>
        <v>400000.00000000006</v>
      </c>
      <c r="J86" s="2515">
        <f t="shared" si="10"/>
        <v>800000.00000000012</v>
      </c>
      <c r="K86" s="2515">
        <f t="shared" si="10"/>
        <v>1200000</v>
      </c>
      <c r="L86" s="2515">
        <f t="shared" si="10"/>
        <v>1600000.0000000002</v>
      </c>
      <c r="M86" s="2515">
        <f t="shared" si="10"/>
        <v>2000000.0000000002</v>
      </c>
      <c r="N86" s="2515">
        <f t="shared" si="10"/>
        <v>2400000.0000000005</v>
      </c>
      <c r="Q86" s="1077"/>
      <c r="R86" s="207"/>
      <c r="S86" s="521"/>
      <c r="T86" s="2552"/>
      <c r="U86" s="1236"/>
      <c r="V86" s="1236"/>
      <c r="W86" s="1228"/>
      <c r="X86" s="1228"/>
      <c r="Y86" s="1228"/>
      <c r="Z86" s="1228"/>
      <c r="AA86" s="1228"/>
      <c r="AB86" s="1228"/>
      <c r="AC86" s="1228"/>
      <c r="AD86" s="2553"/>
      <c r="AE86" s="1077"/>
    </row>
    <row r="87" spans="2:31">
      <c r="C87" s="2503" t="s">
        <v>922</v>
      </c>
      <c r="F87" s="2515"/>
      <c r="G87" s="2515">
        <f t="shared" ref="G87:N87" si="11">IF(((G86-F83)/(G$30-F$30))&gt;0,(G86-F83)/(G$30-F$30),0)</f>
        <v>0</v>
      </c>
      <c r="H87" s="2515">
        <f t="shared" si="11"/>
        <v>40000.000000000007</v>
      </c>
      <c r="I87" s="2515">
        <f t="shared" si="11"/>
        <v>40000.000000000007</v>
      </c>
      <c r="J87" s="2515">
        <f t="shared" si="11"/>
        <v>80000.000000000015</v>
      </c>
      <c r="K87" s="2515">
        <f t="shared" si="11"/>
        <v>79999.999999999971</v>
      </c>
      <c r="L87" s="2515">
        <f t="shared" si="11"/>
        <v>80000.000000000044</v>
      </c>
      <c r="M87" s="2515">
        <f t="shared" si="11"/>
        <v>80000</v>
      </c>
      <c r="N87" s="2515">
        <f t="shared" si="11"/>
        <v>120000.00000000004</v>
      </c>
      <c r="Q87" s="1077"/>
      <c r="R87" s="2554"/>
      <c r="S87" s="521"/>
      <c r="T87" s="2552"/>
      <c r="U87" s="1236"/>
      <c r="V87" s="1236"/>
      <c r="W87" s="1228"/>
      <c r="X87" s="1228"/>
      <c r="Y87" s="1228"/>
      <c r="Z87" s="1228"/>
      <c r="AA87" s="1228"/>
      <c r="AB87" s="1228"/>
      <c r="AC87" s="1228"/>
      <c r="AD87" s="1077"/>
      <c r="AE87" s="1077"/>
    </row>
    <row r="88" spans="2:31">
      <c r="F88" s="993"/>
      <c r="G88" s="993"/>
      <c r="H88" s="993"/>
      <c r="I88" s="993"/>
      <c r="J88" s="993"/>
      <c r="K88" s="993"/>
      <c r="L88" s="993"/>
      <c r="M88" s="993"/>
      <c r="N88" s="993"/>
      <c r="Q88" s="1077"/>
      <c r="R88" s="2555"/>
      <c r="S88" s="521"/>
      <c r="T88" s="2552"/>
      <c r="U88" s="2556"/>
      <c r="V88" s="1230"/>
      <c r="W88" s="1230"/>
      <c r="X88" s="1230"/>
      <c r="Y88" s="1230"/>
      <c r="Z88" s="1230"/>
      <c r="AA88" s="1230"/>
      <c r="AB88" s="1230"/>
      <c r="AC88" s="1230"/>
      <c r="AD88" s="1230"/>
      <c r="AE88" s="1077"/>
    </row>
    <row r="89" spans="2:31">
      <c r="B89" s="3611" t="s">
        <v>2798</v>
      </c>
      <c r="F89" s="993"/>
      <c r="G89" s="993"/>
      <c r="H89" s="993"/>
      <c r="I89" s="993"/>
      <c r="J89" s="993"/>
      <c r="K89" s="993"/>
      <c r="L89" s="993"/>
      <c r="M89" s="993"/>
      <c r="N89" s="993"/>
      <c r="O89" s="993"/>
      <c r="Q89" s="1077"/>
      <c r="R89" s="2557"/>
      <c r="S89" s="521"/>
      <c r="T89" s="2558"/>
      <c r="U89" s="1236"/>
      <c r="V89" s="1236"/>
      <c r="W89" s="1236"/>
      <c r="X89" s="1236"/>
      <c r="Y89" s="1236"/>
      <c r="Z89" s="1236"/>
      <c r="AA89" s="1236"/>
      <c r="AB89" s="1236"/>
      <c r="AC89" s="1236"/>
      <c r="AD89" s="1236"/>
      <c r="AE89" s="1077"/>
    </row>
    <row r="90" spans="2:31" hidden="1">
      <c r="C90" s="2503" t="s">
        <v>169</v>
      </c>
      <c r="E90" s="3611" t="s">
        <v>2812</v>
      </c>
      <c r="F90" s="993"/>
      <c r="G90" s="993"/>
      <c r="H90" s="993"/>
      <c r="I90" s="993"/>
      <c r="J90" s="993"/>
      <c r="K90" s="993"/>
      <c r="L90" s="993"/>
      <c r="M90" s="993"/>
      <c r="N90" s="993"/>
      <c r="O90" s="993"/>
      <c r="Q90" s="1077"/>
      <c r="R90" s="2557"/>
      <c r="S90" s="521"/>
      <c r="T90" s="2558"/>
      <c r="U90" s="1236"/>
      <c r="V90" s="1236"/>
      <c r="W90" s="1236"/>
      <c r="X90" s="1236"/>
      <c r="Y90" s="1236"/>
      <c r="Z90" s="1236"/>
      <c r="AA90" s="1236"/>
      <c r="AB90" s="1236"/>
      <c r="AC90" s="1236"/>
      <c r="AD90" s="1236"/>
      <c r="AE90" s="1077"/>
    </row>
    <row r="91" spans="2:31" hidden="1">
      <c r="C91" s="2503" t="s">
        <v>173</v>
      </c>
      <c r="E91" s="3611" t="s">
        <v>2812</v>
      </c>
      <c r="F91" s="993"/>
      <c r="G91" s="993"/>
      <c r="H91" s="993"/>
      <c r="I91" s="993"/>
      <c r="J91" s="993"/>
      <c r="K91" s="993"/>
      <c r="L91" s="993"/>
      <c r="M91" s="993"/>
      <c r="N91" s="993"/>
      <c r="O91" s="993"/>
      <c r="P91" s="374"/>
      <c r="Q91" s="1077"/>
      <c r="R91" s="2557"/>
      <c r="S91" s="521"/>
      <c r="T91" s="2558"/>
      <c r="U91" s="1236"/>
      <c r="V91" s="1236"/>
      <c r="W91" s="1236"/>
      <c r="X91" s="1236"/>
      <c r="Y91" s="1236"/>
      <c r="Z91" s="1236"/>
      <c r="AA91" s="1236"/>
      <c r="AB91" s="1236"/>
      <c r="AC91" s="1236"/>
      <c r="AD91" s="1236"/>
      <c r="AE91" s="1077"/>
    </row>
    <row r="92" spans="2:31" hidden="1">
      <c r="C92" s="2503" t="s">
        <v>294</v>
      </c>
      <c r="E92" s="3611" t="s">
        <v>2812</v>
      </c>
      <c r="F92" s="993"/>
      <c r="G92" s="993"/>
      <c r="H92" s="993"/>
      <c r="I92" s="993"/>
      <c r="J92" s="993"/>
      <c r="K92" s="993"/>
      <c r="L92" s="993"/>
      <c r="M92" s="993"/>
      <c r="N92" s="993"/>
      <c r="O92" s="993"/>
      <c r="Q92" s="1077"/>
      <c r="R92" s="1077"/>
      <c r="S92" s="1077"/>
      <c r="T92" s="1228"/>
      <c r="U92" s="1077"/>
      <c r="V92" s="1077"/>
      <c r="W92" s="1077"/>
      <c r="X92" s="1077"/>
      <c r="Y92" s="2548"/>
      <c r="Z92" s="2548"/>
      <c r="AA92" s="1077"/>
      <c r="AB92" s="1077"/>
      <c r="AC92" s="1077"/>
      <c r="AD92" s="1077"/>
      <c r="AE92" s="1077"/>
    </row>
    <row r="93" spans="2:31" hidden="1">
      <c r="C93" s="363"/>
      <c r="F93" s="366"/>
      <c r="G93" s="366"/>
      <c r="H93" s="366"/>
      <c r="I93" s="366"/>
      <c r="J93" s="366"/>
      <c r="K93" s="366"/>
      <c r="L93" s="366"/>
      <c r="M93" s="366"/>
      <c r="N93" s="366"/>
      <c r="O93" s="993"/>
    </row>
    <row r="94" spans="2:31" hidden="1">
      <c r="B94" s="2503" t="s">
        <v>295</v>
      </c>
      <c r="F94" s="993"/>
      <c r="G94" s="993"/>
      <c r="H94" s="993"/>
      <c r="I94" s="993"/>
      <c r="J94" s="993"/>
      <c r="K94" s="993"/>
      <c r="L94" s="993"/>
      <c r="M94" s="993"/>
      <c r="N94" s="993"/>
      <c r="O94" s="993"/>
      <c r="P94" s="389"/>
    </row>
    <row r="95" spans="2:31" hidden="1">
      <c r="C95" s="2503" t="s">
        <v>169</v>
      </c>
      <c r="E95" s="3611" t="s">
        <v>2812</v>
      </c>
      <c r="F95" s="993"/>
      <c r="G95" s="993"/>
      <c r="H95" s="993"/>
      <c r="I95" s="993"/>
      <c r="J95" s="993"/>
      <c r="K95" s="993"/>
      <c r="L95" s="993"/>
      <c r="M95" s="993"/>
      <c r="N95" s="993"/>
      <c r="O95" s="993"/>
    </row>
    <row r="96" spans="2:31" hidden="1">
      <c r="C96" s="2503" t="s">
        <v>173</v>
      </c>
      <c r="E96" s="3611" t="s">
        <v>2812</v>
      </c>
      <c r="F96" s="993"/>
      <c r="G96" s="993"/>
      <c r="H96" s="993"/>
      <c r="I96" s="993"/>
      <c r="J96" s="993"/>
      <c r="K96" s="993"/>
      <c r="L96" s="993"/>
      <c r="M96" s="993"/>
      <c r="N96" s="993"/>
      <c r="O96" s="993"/>
    </row>
    <row r="97" spans="2:17" hidden="1">
      <c r="C97" s="2503" t="s">
        <v>294</v>
      </c>
      <c r="E97" s="3611" t="s">
        <v>2812</v>
      </c>
      <c r="F97" s="993"/>
      <c r="G97" s="993"/>
      <c r="H97" s="993"/>
      <c r="I97" s="993"/>
      <c r="J97" s="993"/>
      <c r="K97" s="993"/>
      <c r="L97" s="993"/>
      <c r="M97" s="993"/>
      <c r="N97" s="993"/>
    </row>
    <row r="98" spans="2:17" hidden="1">
      <c r="F98" s="993"/>
      <c r="G98" s="993"/>
      <c r="H98" s="993"/>
      <c r="I98" s="993"/>
      <c r="J98" s="993"/>
      <c r="K98" s="993"/>
      <c r="L98" s="993"/>
      <c r="M98" s="993"/>
      <c r="N98" s="993"/>
    </row>
    <row r="99" spans="2:17" hidden="1">
      <c r="B99" s="2503" t="s">
        <v>293</v>
      </c>
      <c r="F99" s="993"/>
      <c r="G99" s="993"/>
      <c r="H99" s="993"/>
      <c r="I99" s="993"/>
      <c r="J99" s="993"/>
      <c r="K99" s="993"/>
      <c r="L99" s="993"/>
      <c r="M99" s="993"/>
      <c r="N99" s="993"/>
    </row>
    <row r="100" spans="2:17" hidden="1">
      <c r="C100" s="2503" t="s">
        <v>169</v>
      </c>
      <c r="E100" s="3611" t="s">
        <v>2812</v>
      </c>
      <c r="F100" s="993"/>
      <c r="G100" s="993"/>
      <c r="H100" s="993"/>
      <c r="I100" s="993"/>
      <c r="J100" s="993"/>
      <c r="K100" s="993"/>
      <c r="L100" s="993"/>
      <c r="M100" s="993"/>
      <c r="N100" s="993"/>
    </row>
    <row r="101" spans="2:17" hidden="1">
      <c r="C101" s="2503" t="s">
        <v>173</v>
      </c>
      <c r="E101" s="3611" t="s">
        <v>2812</v>
      </c>
      <c r="F101" s="993"/>
      <c r="G101" s="993"/>
      <c r="H101" s="993"/>
      <c r="I101" s="993"/>
      <c r="J101" s="993"/>
      <c r="K101" s="993"/>
      <c r="L101" s="993"/>
      <c r="M101" s="993"/>
      <c r="N101" s="993"/>
      <c r="P101" s="994"/>
    </row>
    <row r="102" spans="2:17" hidden="1">
      <c r="C102" s="2503" t="s">
        <v>294</v>
      </c>
      <c r="E102" s="3611" t="s">
        <v>2812</v>
      </c>
      <c r="F102" s="993"/>
      <c r="G102" s="993"/>
      <c r="H102" s="993"/>
      <c r="I102" s="993"/>
      <c r="J102" s="993"/>
      <c r="K102" s="993"/>
      <c r="L102" s="993"/>
      <c r="M102" s="993"/>
      <c r="N102" s="993"/>
      <c r="P102" s="994"/>
    </row>
    <row r="103" spans="2:17">
      <c r="P103" s="994"/>
    </row>
    <row r="104" spans="2:17" ht="15.75">
      <c r="B104" s="511" t="s">
        <v>299</v>
      </c>
      <c r="C104" s="512"/>
      <c r="D104" s="512"/>
      <c r="E104" s="512"/>
      <c r="F104" s="512"/>
      <c r="G104" s="512"/>
      <c r="H104" s="512"/>
      <c r="I104" s="512"/>
      <c r="J104" s="512"/>
      <c r="K104" s="512"/>
      <c r="L104" s="512"/>
      <c r="M104" s="512"/>
      <c r="N104" s="512"/>
      <c r="O104" s="866"/>
      <c r="P104" s="994"/>
    </row>
    <row r="105" spans="2:17">
      <c r="B105" s="514"/>
      <c r="C105" s="515"/>
      <c r="D105" s="515"/>
      <c r="E105" s="515"/>
      <c r="F105" s="515"/>
      <c r="G105" s="515"/>
      <c r="H105" s="515"/>
      <c r="I105" s="515"/>
      <c r="J105" s="515"/>
      <c r="K105" s="515"/>
      <c r="L105" s="515"/>
      <c r="M105" s="515"/>
      <c r="N105" s="515"/>
      <c r="O105" s="867"/>
      <c r="P105" s="994"/>
    </row>
    <row r="106" spans="2:17">
      <c r="B106" s="514"/>
      <c r="C106" s="34" t="s">
        <v>765</v>
      </c>
      <c r="D106" s="515"/>
      <c r="E106" s="516"/>
      <c r="F106" s="515"/>
      <c r="G106" s="515"/>
      <c r="H106" s="515"/>
      <c r="I106" s="515"/>
      <c r="J106" s="515"/>
      <c r="K106" s="515"/>
      <c r="L106" s="515"/>
      <c r="M106" s="515"/>
      <c r="N106" s="516" t="str">
        <f>Preferences.EnergyUnits</f>
        <v>TWh</v>
      </c>
      <c r="O106" s="867"/>
      <c r="P106" s="994"/>
    </row>
    <row r="107" spans="2:17">
      <c r="B107" s="514"/>
      <c r="C107" s="515"/>
      <c r="D107" s="515"/>
      <c r="E107" s="515"/>
      <c r="F107" s="515"/>
      <c r="G107" s="515"/>
      <c r="H107" s="515"/>
      <c r="I107" s="515"/>
      <c r="J107" s="515"/>
      <c r="K107" s="515"/>
      <c r="L107" s="515"/>
      <c r="M107" s="515"/>
      <c r="N107" s="515"/>
      <c r="O107" s="867"/>
      <c r="P107" s="994"/>
    </row>
    <row r="108" spans="2:17" ht="15.75">
      <c r="B108" s="15"/>
      <c r="C108" s="873" t="s">
        <v>28</v>
      </c>
      <c r="D108" s="873" t="s">
        <v>29</v>
      </c>
      <c r="E108" s="873" t="s">
        <v>30</v>
      </c>
      <c r="F108" s="873" t="s">
        <v>597</v>
      </c>
      <c r="G108" s="873" t="s">
        <v>133</v>
      </c>
      <c r="H108" s="873" t="s">
        <v>134</v>
      </c>
      <c r="I108" s="873" t="s">
        <v>135</v>
      </c>
      <c r="J108" s="873" t="s">
        <v>136</v>
      </c>
      <c r="K108" s="873" t="s">
        <v>137</v>
      </c>
      <c r="L108" s="873" t="s">
        <v>138</v>
      </c>
      <c r="M108" s="873" t="s">
        <v>139</v>
      </c>
      <c r="N108" s="873" t="s">
        <v>140</v>
      </c>
      <c r="O108" s="867"/>
      <c r="P108" s="994"/>
      <c r="Q108" s="2503" t="s">
        <v>5</v>
      </c>
    </row>
    <row r="109" spans="2:17" ht="15.75">
      <c r="B109" s="15"/>
      <c r="C109" s="17" t="s">
        <v>97</v>
      </c>
      <c r="D109" s="17" t="str">
        <f>INDEX(Vectors[Description], MATCH($C109, Vectors[Code], 0))</f>
        <v>Electricity (supplied to grid)</v>
      </c>
      <c r="E109" s="17"/>
      <c r="F109" s="2521">
        <f t="shared" ref="F109:N109" si="12">F$71</f>
        <v>0</v>
      </c>
      <c r="G109" s="2521">
        <f t="shared" si="12"/>
        <v>0</v>
      </c>
      <c r="H109" s="2521">
        <f t="shared" si="12"/>
        <v>0.425151</v>
      </c>
      <c r="I109" s="2521">
        <f t="shared" si="12"/>
        <v>0.850302</v>
      </c>
      <c r="J109" s="2521">
        <f t="shared" si="12"/>
        <v>1.700604</v>
      </c>
      <c r="K109" s="2521">
        <f t="shared" si="12"/>
        <v>2.5509060000000003</v>
      </c>
      <c r="L109" s="2521">
        <f t="shared" si="12"/>
        <v>3.401208</v>
      </c>
      <c r="M109" s="2521">
        <f t="shared" si="12"/>
        <v>3.8263590000000001</v>
      </c>
      <c r="N109" s="2521">
        <f t="shared" si="12"/>
        <v>4.2515099999999997</v>
      </c>
      <c r="O109" s="867"/>
      <c r="P109" s="994"/>
    </row>
    <row r="110" spans="2:17" ht="15.75">
      <c r="B110" s="15"/>
      <c r="C110" s="17" t="s">
        <v>446</v>
      </c>
      <c r="D110" s="17" t="str">
        <f>INDEX(Vectors[Description], MATCH($C110, Vectors[Code], 0))</f>
        <v>Solar</v>
      </c>
      <c r="E110" s="17"/>
      <c r="F110" s="2521">
        <f t="shared" ref="F110:N110" si="13">-F$71</f>
        <v>0</v>
      </c>
      <c r="G110" s="2521">
        <f t="shared" si="13"/>
        <v>0</v>
      </c>
      <c r="H110" s="2521">
        <f t="shared" si="13"/>
        <v>-0.425151</v>
      </c>
      <c r="I110" s="2521">
        <f t="shared" si="13"/>
        <v>-0.850302</v>
      </c>
      <c r="J110" s="2521">
        <f t="shared" si="13"/>
        <v>-1.700604</v>
      </c>
      <c r="K110" s="2521">
        <f t="shared" si="13"/>
        <v>-2.5509060000000003</v>
      </c>
      <c r="L110" s="2521">
        <f t="shared" si="13"/>
        <v>-3.401208</v>
      </c>
      <c r="M110" s="2521">
        <f t="shared" si="13"/>
        <v>-3.8263590000000001</v>
      </c>
      <c r="N110" s="2521">
        <f t="shared" si="13"/>
        <v>-4.2515099999999997</v>
      </c>
      <c r="O110" s="867"/>
      <c r="P110" s="994"/>
    </row>
    <row r="111" spans="2:17" ht="15.75">
      <c r="B111" s="15"/>
      <c r="C111" s="2462" t="s">
        <v>59</v>
      </c>
      <c r="D111" s="2462"/>
      <c r="E111" s="2462"/>
      <c r="F111" s="2465">
        <f>SUBTOTAL(105,[2013])</f>
        <v>0</v>
      </c>
      <c r="G111" s="2465">
        <f>SUBTOTAL(105,[2015])</f>
        <v>0</v>
      </c>
      <c r="H111" s="2465">
        <f>SUBTOTAL(105,[2020])</f>
        <v>-0.425151</v>
      </c>
      <c r="I111" s="2465">
        <f>SUBTOTAL(105,[2025])</f>
        <v>-0.850302</v>
      </c>
      <c r="J111" s="2465">
        <f>SUBTOTAL(105,[2030])</f>
        <v>-1.700604</v>
      </c>
      <c r="K111" s="2465">
        <f>SUBTOTAL(105,[2035])</f>
        <v>-2.5509060000000003</v>
      </c>
      <c r="L111" s="2465">
        <f>SUBTOTAL(105,[2040])</f>
        <v>-3.401208</v>
      </c>
      <c r="M111" s="2465">
        <f>SUBTOTAL(105,[2045])</f>
        <v>-3.8263590000000001</v>
      </c>
      <c r="N111" s="2465">
        <f>SUBTOTAL(105,[2050])</f>
        <v>-4.2515099999999997</v>
      </c>
      <c r="O111" s="867"/>
      <c r="P111" s="994"/>
    </row>
    <row r="112" spans="2:17" ht="15.75">
      <c r="B112" s="35"/>
      <c r="C112" s="452"/>
      <c r="D112" s="452"/>
      <c r="E112" s="452"/>
      <c r="F112" s="452"/>
      <c r="G112" s="452"/>
      <c r="H112" s="452"/>
      <c r="I112" s="452"/>
      <c r="J112" s="452"/>
      <c r="K112" s="452"/>
      <c r="L112" s="452"/>
      <c r="M112" s="452"/>
      <c r="N112" s="452"/>
      <c r="O112" s="515"/>
    </row>
    <row r="113" spans="2:21">
      <c r="C113" s="2503" t="s">
        <v>5</v>
      </c>
    </row>
    <row r="114" spans="2:21" ht="15.75">
      <c r="B114" s="995" t="s">
        <v>313</v>
      </c>
      <c r="C114" s="996"/>
      <c r="D114" s="997"/>
      <c r="E114" s="997"/>
      <c r="F114" s="997"/>
      <c r="G114" s="997"/>
      <c r="H114" s="997"/>
      <c r="I114" s="997"/>
      <c r="J114" s="997"/>
      <c r="K114" s="997"/>
      <c r="L114" s="997"/>
      <c r="M114" s="997"/>
      <c r="N114" s="997"/>
      <c r="O114" s="998"/>
    </row>
    <row r="115" spans="2:21">
      <c r="B115" s="999"/>
      <c r="C115" s="1000"/>
      <c r="D115" s="1000"/>
      <c r="E115" s="1000"/>
      <c r="F115" s="1000"/>
      <c r="G115" s="1000"/>
      <c r="H115" s="1000"/>
      <c r="I115" s="1000"/>
      <c r="J115" s="1000"/>
      <c r="K115" s="1000"/>
      <c r="L115" s="1000"/>
      <c r="M115" s="1000"/>
      <c r="N115" s="1000"/>
      <c r="O115" s="1001"/>
    </row>
    <row r="116" spans="2:21">
      <c r="B116" s="1002"/>
      <c r="C116" s="488" t="s">
        <v>314</v>
      </c>
      <c r="D116" s="1003"/>
      <c r="E116" s="1004"/>
      <c r="F116" s="1003"/>
      <c r="G116" s="1003"/>
      <c r="H116" s="1003"/>
      <c r="I116" s="1003"/>
      <c r="J116" s="1003"/>
      <c r="K116" s="1003"/>
      <c r="L116" s="1003"/>
      <c r="M116" s="1003"/>
      <c r="N116" s="1004"/>
      <c r="O116" s="1005"/>
    </row>
    <row r="117" spans="2:21">
      <c r="B117" s="1002"/>
      <c r="C117" s="1003"/>
      <c r="D117" s="1003"/>
      <c r="E117" s="1003"/>
      <c r="F117" s="1003"/>
      <c r="G117" s="1003"/>
      <c r="H117" s="1003"/>
      <c r="I117" s="1003"/>
      <c r="J117" s="1003"/>
      <c r="K117" s="1003"/>
      <c r="L117" s="1003"/>
      <c r="M117" s="1003"/>
      <c r="N117" s="1003"/>
      <c r="O117" s="1005"/>
    </row>
    <row r="118" spans="2:21" ht="15.75">
      <c r="B118" s="492"/>
      <c r="C118" s="1006" t="s">
        <v>28</v>
      </c>
      <c r="D118" s="1006" t="s">
        <v>315</v>
      </c>
      <c r="E118" s="1006" t="s">
        <v>30</v>
      </c>
      <c r="F118" s="1006" t="s">
        <v>597</v>
      </c>
      <c r="G118" s="1006" t="s">
        <v>133</v>
      </c>
      <c r="H118" s="1006" t="s">
        <v>134</v>
      </c>
      <c r="I118" s="1006" t="s">
        <v>135</v>
      </c>
      <c r="J118" s="1006" t="s">
        <v>136</v>
      </c>
      <c r="K118" s="1006" t="s">
        <v>137</v>
      </c>
      <c r="L118" s="1006" t="s">
        <v>138</v>
      </c>
      <c r="M118" s="1006" t="s">
        <v>139</v>
      </c>
      <c r="N118" s="1006" t="s">
        <v>140</v>
      </c>
      <c r="O118" s="1005"/>
    </row>
    <row r="119" spans="2:21" ht="15.75">
      <c r="B119" s="492"/>
      <c r="C119" s="1007" t="s">
        <v>887</v>
      </c>
      <c r="D119" s="1007" t="s">
        <v>3498</v>
      </c>
      <c r="E119" s="494" t="str">
        <f>Preferences.AreaUnits</f>
        <v>km^2</v>
      </c>
      <c r="F119" s="2438">
        <f t="shared" ref="F119:N119" si="14">F76*Unit.m2</f>
        <v>0</v>
      </c>
      <c r="G119" s="2438">
        <f t="shared" si="14"/>
        <v>0</v>
      </c>
      <c r="H119" s="2438">
        <f t="shared" si="14"/>
        <v>4.0416666666666661</v>
      </c>
      <c r="I119" s="2438">
        <f t="shared" si="14"/>
        <v>6.4666666666666668</v>
      </c>
      <c r="J119" s="2438">
        <f t="shared" si="14"/>
        <v>9.6999999999999975</v>
      </c>
      <c r="K119" s="2438">
        <f t="shared" si="14"/>
        <v>14.549999999999999</v>
      </c>
      <c r="L119" s="2438">
        <f t="shared" si="14"/>
        <v>19.399999999999995</v>
      </c>
      <c r="M119" s="2438">
        <f t="shared" si="14"/>
        <v>21.824999999999996</v>
      </c>
      <c r="N119" s="2438">
        <f t="shared" si="14"/>
        <v>24.249999999999996</v>
      </c>
      <c r="O119" s="1005"/>
    </row>
    <row r="120" spans="2:21" ht="15.75">
      <c r="B120" s="492"/>
      <c r="C120" s="1007" t="s">
        <v>767</v>
      </c>
      <c r="D120" s="494" t="str">
        <f>INDEX(Vectors[Description], MATCH($C120, Vectors[Code], 0))</f>
        <v xml:space="preserve">Installed Capacity </v>
      </c>
      <c r="E120" s="494" t="str">
        <f>Preferences.PowerUnits</f>
        <v>GW</v>
      </c>
      <c r="F120" s="2438">
        <f t="shared" ref="F120:N120" si="15">F63</f>
        <v>0</v>
      </c>
      <c r="G120" s="2438">
        <f t="shared" si="15"/>
        <v>0</v>
      </c>
      <c r="H120" s="2438">
        <f t="shared" si="15"/>
        <v>0.5</v>
      </c>
      <c r="I120" s="2438">
        <f t="shared" si="15"/>
        <v>1</v>
      </c>
      <c r="J120" s="2438">
        <f t="shared" si="15"/>
        <v>2</v>
      </c>
      <c r="K120" s="2438">
        <f t="shared" si="15"/>
        <v>3</v>
      </c>
      <c r="L120" s="2438">
        <f t="shared" si="15"/>
        <v>4</v>
      </c>
      <c r="M120" s="2438">
        <f t="shared" si="15"/>
        <v>4.5</v>
      </c>
      <c r="N120" s="2438">
        <f t="shared" si="15"/>
        <v>5</v>
      </c>
      <c r="O120" s="1005"/>
    </row>
    <row r="121" spans="2:21" ht="15.75">
      <c r="B121" s="497"/>
      <c r="C121" s="1010"/>
      <c r="D121" s="1010"/>
      <c r="E121" s="1010"/>
      <c r="F121" s="1010"/>
      <c r="G121" s="1010"/>
      <c r="H121" s="1010"/>
      <c r="I121" s="1010"/>
      <c r="J121" s="1010"/>
      <c r="K121" s="1010"/>
      <c r="L121" s="1010"/>
      <c r="M121" s="1010"/>
      <c r="N121" s="1010"/>
      <c r="O121" s="1011"/>
    </row>
    <row r="123" spans="2:21" ht="15.75">
      <c r="B123" s="995" t="s">
        <v>322</v>
      </c>
      <c r="C123" s="997"/>
      <c r="D123" s="997"/>
      <c r="E123" s="997"/>
      <c r="F123" s="997"/>
      <c r="G123" s="997"/>
      <c r="H123" s="997"/>
      <c r="I123" s="997"/>
      <c r="J123" s="997"/>
      <c r="K123" s="997"/>
      <c r="L123" s="997"/>
      <c r="M123" s="997"/>
      <c r="N123" s="997"/>
      <c r="O123" s="998"/>
    </row>
    <row r="124" spans="2:21" hidden="1">
      <c r="B124" s="1002"/>
      <c r="C124" s="1003"/>
      <c r="D124" s="1003"/>
      <c r="E124" s="1003"/>
      <c r="F124" s="1003"/>
      <c r="G124" s="1003"/>
      <c r="H124" s="1003"/>
      <c r="I124" s="1003"/>
      <c r="J124" s="1003"/>
      <c r="K124" s="1003"/>
      <c r="L124" s="1003"/>
      <c r="M124" s="1003"/>
      <c r="N124" s="1003"/>
      <c r="O124" s="1005"/>
    </row>
    <row r="125" spans="2:21" hidden="1">
      <c r="B125" s="1002"/>
      <c r="C125" s="500" t="s">
        <v>770</v>
      </c>
      <c r="D125" s="1012"/>
      <c r="E125" s="1012"/>
      <c r="F125" s="1012"/>
      <c r="G125" s="1012"/>
      <c r="H125" s="1012"/>
      <c r="I125" s="1012"/>
      <c r="J125" s="1012"/>
      <c r="K125" s="1012"/>
      <c r="L125" s="1012"/>
      <c r="M125" s="1012"/>
      <c r="N125" s="1013" t="s">
        <v>2812</v>
      </c>
      <c r="O125" s="1005"/>
    </row>
    <row r="126" spans="2:21" hidden="1">
      <c r="B126" s="1002"/>
      <c r="C126" s="1003"/>
      <c r="D126" s="1003"/>
      <c r="E126" s="1003"/>
      <c r="F126" s="1003"/>
      <c r="G126" s="1003"/>
      <c r="H126" s="1003"/>
      <c r="I126" s="1003"/>
      <c r="J126" s="1003"/>
      <c r="K126" s="1003"/>
      <c r="L126" s="1003"/>
      <c r="M126" s="1003"/>
      <c r="N126" s="1003"/>
      <c r="O126" s="1005"/>
    </row>
    <row r="127" spans="2:21" ht="15.75" hidden="1">
      <c r="B127" s="492"/>
      <c r="C127" s="1006" t="s">
        <v>28</v>
      </c>
      <c r="D127" s="1006" t="s">
        <v>29</v>
      </c>
      <c r="E127" s="1006" t="s">
        <v>30</v>
      </c>
      <c r="F127" s="1006">
        <v>2013</v>
      </c>
      <c r="G127" s="1006" t="s">
        <v>133</v>
      </c>
      <c r="H127" s="1006" t="s">
        <v>134</v>
      </c>
      <c r="I127" s="1006" t="s">
        <v>135</v>
      </c>
      <c r="J127" s="1006" t="s">
        <v>136</v>
      </c>
      <c r="K127" s="1006" t="s">
        <v>137</v>
      </c>
      <c r="L127" s="1006" t="s">
        <v>138</v>
      </c>
      <c r="M127" s="1006" t="s">
        <v>139</v>
      </c>
      <c r="N127" s="1006" t="s">
        <v>140</v>
      </c>
      <c r="O127" s="1150"/>
      <c r="R127" s="1152"/>
      <c r="S127" s="1153"/>
      <c r="T127" s="1152"/>
      <c r="U127" s="1152"/>
    </row>
    <row r="128" spans="2:21" ht="15.75" hidden="1">
      <c r="B128" s="492"/>
      <c r="C128" s="1007" t="s">
        <v>328</v>
      </c>
      <c r="D128" s="494" t="s">
        <v>329</v>
      </c>
      <c r="E128" s="494"/>
      <c r="F128" s="1008"/>
      <c r="G128" s="1008"/>
      <c r="H128" s="1008"/>
      <c r="I128" s="1008"/>
      <c r="J128" s="1008"/>
      <c r="K128" s="1008"/>
      <c r="L128" s="1008"/>
      <c r="M128" s="1008"/>
      <c r="N128" s="1008"/>
      <c r="O128" s="1150"/>
      <c r="S128" s="6"/>
    </row>
    <row r="129" spans="2:19" ht="15.75" hidden="1">
      <c r="B129" s="492"/>
      <c r="C129" s="1007" t="s">
        <v>335</v>
      </c>
      <c r="D129" s="494" t="s">
        <v>336</v>
      </c>
      <c r="E129" s="494"/>
      <c r="F129" s="1008"/>
      <c r="G129" s="1008"/>
      <c r="H129" s="1008"/>
      <c r="I129" s="1008"/>
      <c r="J129" s="1008"/>
      <c r="K129" s="1008"/>
      <c r="L129" s="1008"/>
      <c r="M129" s="1008"/>
      <c r="N129" s="1008"/>
      <c r="O129" s="1150"/>
      <c r="S129" s="6"/>
    </row>
    <row r="130" spans="2:19" ht="15.75" hidden="1">
      <c r="B130" s="492"/>
      <c r="C130" s="1007" t="s">
        <v>326</v>
      </c>
      <c r="D130" s="494" t="s">
        <v>327</v>
      </c>
      <c r="E130" s="494"/>
      <c r="F130" s="1008"/>
      <c r="G130" s="1008"/>
      <c r="H130" s="1008"/>
      <c r="I130" s="1008"/>
      <c r="J130" s="1008"/>
      <c r="K130" s="1008"/>
      <c r="L130" s="1008"/>
      <c r="M130" s="1008"/>
      <c r="N130" s="1008"/>
      <c r="O130" s="1150"/>
      <c r="S130" s="6"/>
    </row>
    <row r="131" spans="2:19" ht="15.75" hidden="1">
      <c r="B131" s="492"/>
      <c r="C131" s="1007" t="s">
        <v>333</v>
      </c>
      <c r="D131" s="494" t="s">
        <v>334</v>
      </c>
      <c r="E131" s="494"/>
      <c r="F131" s="1008"/>
      <c r="G131" s="1008"/>
      <c r="H131" s="1008"/>
      <c r="I131" s="1008"/>
      <c r="J131" s="1008"/>
      <c r="K131" s="1008"/>
      <c r="L131" s="1008"/>
      <c r="M131" s="1008"/>
      <c r="N131" s="1008"/>
      <c r="O131" s="1150"/>
    </row>
    <row r="132" spans="2:19" hidden="1">
      <c r="B132" s="503"/>
      <c r="C132" s="1007" t="s">
        <v>324</v>
      </c>
      <c r="D132" s="494" t="s">
        <v>325</v>
      </c>
      <c r="E132" s="494"/>
      <c r="F132" s="1008"/>
      <c r="G132" s="1008"/>
      <c r="H132" s="1008"/>
      <c r="I132" s="1008"/>
      <c r="J132" s="1008"/>
      <c r="K132" s="1008"/>
      <c r="L132" s="1008"/>
      <c r="M132" s="1008"/>
      <c r="N132" s="1008"/>
      <c r="O132" s="1151"/>
    </row>
    <row r="133" spans="2:19" hidden="1">
      <c r="B133" s="503"/>
      <c r="C133" s="1007" t="s">
        <v>331</v>
      </c>
      <c r="D133" s="494" t="s">
        <v>332</v>
      </c>
      <c r="E133" s="494"/>
      <c r="F133" s="1008"/>
      <c r="G133" s="1008"/>
      <c r="H133" s="1008"/>
      <c r="I133" s="1008"/>
      <c r="J133" s="1008"/>
      <c r="K133" s="1008"/>
      <c r="L133" s="1008"/>
      <c r="M133" s="1008"/>
      <c r="N133" s="1008"/>
      <c r="O133" s="1151"/>
    </row>
    <row r="134" spans="2:19" hidden="1">
      <c r="B134" s="1014"/>
      <c r="C134" s="1010"/>
      <c r="D134" s="1010"/>
      <c r="E134" s="1010"/>
      <c r="F134" s="1010"/>
      <c r="G134" s="1010"/>
      <c r="H134" s="1010"/>
      <c r="I134" s="1010"/>
      <c r="J134" s="1010"/>
      <c r="K134" s="1010"/>
      <c r="L134" s="1010"/>
      <c r="M134" s="1010"/>
      <c r="N134" s="1010"/>
      <c r="O134" s="1015"/>
    </row>
    <row r="137" spans="2:19">
      <c r="D137" s="2503" t="s">
        <v>5</v>
      </c>
    </row>
  </sheetData>
  <mergeCells count="4">
    <mergeCell ref="S50:V50"/>
    <mergeCell ref="X50:Y50"/>
    <mergeCell ref="S51:T51"/>
    <mergeCell ref="U51:V51"/>
  </mergeCells>
  <pageMargins left="0.7" right="0.7" top="0.75" bottom="0.75" header="0.3" footer="0.3"/>
  <pageSetup orientation="portrait" r:id="rId1"/>
  <tableParts count="2">
    <tablePart r:id="rId2"/>
    <tablePart r:id="rId3"/>
  </tableParts>
</worksheet>
</file>

<file path=xl/worksheets/sheet22.xml><?xml version="1.0" encoding="utf-8"?>
<worksheet xmlns="http://schemas.openxmlformats.org/spreadsheetml/2006/main" xmlns:r="http://schemas.openxmlformats.org/officeDocument/2006/relationships">
  <sheetPr>
    <tabColor theme="9"/>
  </sheetPr>
  <dimension ref="A1:DI128"/>
  <sheetViews>
    <sheetView showGridLines="0" topLeftCell="A2" zoomScale="80" zoomScaleNormal="80" workbookViewId="0">
      <selection activeCell="C22" sqref="C22"/>
    </sheetView>
  </sheetViews>
  <sheetFormatPr defaultColWidth="8.85546875" defaultRowHeight="15"/>
  <cols>
    <col min="1" max="1" width="7.7109375" style="3482" customWidth="1"/>
    <col min="2" max="2" width="5.85546875" style="3482" customWidth="1"/>
    <col min="3" max="3" width="20.42578125" style="3482" customWidth="1"/>
    <col min="4" max="4" width="30.7109375" style="3482" customWidth="1"/>
    <col min="5" max="5" width="20.7109375" style="3482" customWidth="1"/>
    <col min="6" max="14" width="17.7109375" style="3482" customWidth="1"/>
    <col min="15" max="15" width="2" style="3482" customWidth="1"/>
    <col min="16" max="16" width="10.85546875" style="3482" customWidth="1"/>
    <col min="17" max="16384" width="8.85546875" style="3482"/>
  </cols>
  <sheetData>
    <row r="1" spans="1:15" ht="20.25">
      <c r="A1" s="863" t="s">
        <v>538</v>
      </c>
      <c r="B1" s="863" t="s">
        <v>539</v>
      </c>
      <c r="C1" s="863"/>
      <c r="E1" s="3835"/>
    </row>
    <row r="2" spans="1:15" s="6" customFormat="1" ht="15.75">
      <c r="A2" s="864" t="s">
        <v>25</v>
      </c>
      <c r="B2" s="864" t="s">
        <v>26</v>
      </c>
      <c r="C2" s="864"/>
    </row>
    <row r="4" spans="1:15" ht="23.25">
      <c r="A4" s="7"/>
      <c r="B4" s="511" t="s">
        <v>6</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12"/>
      <c r="D6" s="515"/>
      <c r="E6" s="516"/>
      <c r="F6" s="515"/>
      <c r="G6" s="515"/>
      <c r="H6" s="515"/>
      <c r="I6" s="515"/>
      <c r="J6" s="515"/>
      <c r="K6" s="515"/>
      <c r="L6" s="515"/>
      <c r="M6" s="515"/>
      <c r="N6" s="515"/>
      <c r="O6" s="867"/>
    </row>
    <row r="7" spans="1:15" ht="15.75">
      <c r="B7" s="15"/>
      <c r="C7" s="515"/>
      <c r="D7" s="16" t="s">
        <v>7</v>
      </c>
      <c r="E7" s="16" t="s">
        <v>8</v>
      </c>
      <c r="F7" s="515"/>
      <c r="G7" s="515"/>
      <c r="H7" s="515"/>
      <c r="I7" s="515"/>
      <c r="J7" s="515"/>
      <c r="K7" s="515"/>
      <c r="L7" s="515"/>
      <c r="M7" s="515"/>
      <c r="N7" s="515"/>
      <c r="O7" s="867"/>
    </row>
    <row r="8" spans="1:15" ht="15.75">
      <c r="B8" s="15"/>
      <c r="C8" s="515"/>
      <c r="D8" s="868" t="s">
        <v>1269</v>
      </c>
      <c r="E8" s="868">
        <f>IV.b.Scenario</f>
        <v>4</v>
      </c>
      <c r="F8" s="515"/>
      <c r="G8" s="515"/>
      <c r="H8" s="515"/>
      <c r="I8" s="515"/>
      <c r="J8" s="515"/>
      <c r="K8" s="515"/>
      <c r="L8" s="515"/>
      <c r="M8" s="515"/>
      <c r="N8" s="515"/>
      <c r="O8" s="867"/>
    </row>
    <row r="9" spans="1:15">
      <c r="B9" s="1252"/>
      <c r="C9" s="869"/>
      <c r="D9" s="869"/>
      <c r="E9" s="869"/>
      <c r="F9" s="869"/>
      <c r="G9" s="869"/>
      <c r="H9" s="869"/>
      <c r="I9" s="869"/>
      <c r="J9" s="869"/>
      <c r="K9" s="869"/>
      <c r="L9" s="869"/>
      <c r="M9" s="869"/>
      <c r="N9" s="869"/>
      <c r="O9" s="870"/>
    </row>
    <row r="11" spans="1:15" ht="23.25">
      <c r="A11" s="7"/>
      <c r="B11" s="878" t="s">
        <v>33</v>
      </c>
      <c r="C11" s="879"/>
      <c r="D11" s="879"/>
      <c r="E11" s="879"/>
      <c r="F11" s="879"/>
      <c r="G11" s="879"/>
      <c r="H11" s="879"/>
      <c r="I11" s="879"/>
      <c r="J11" s="879"/>
      <c r="K11" s="879"/>
      <c r="L11" s="879"/>
      <c r="M11" s="879"/>
      <c r="N11" s="879"/>
      <c r="O11" s="880"/>
    </row>
    <row r="12" spans="1:15">
      <c r="B12" s="110"/>
      <c r="C12" s="67"/>
      <c r="D12" s="67"/>
      <c r="E12" s="67"/>
      <c r="F12" s="67"/>
      <c r="G12" s="67"/>
      <c r="H12" s="67"/>
      <c r="I12" s="67"/>
      <c r="J12" s="67"/>
      <c r="K12" s="67"/>
      <c r="L12" s="67"/>
      <c r="M12" s="67"/>
      <c r="N12" s="67"/>
      <c r="O12" s="885"/>
    </row>
    <row r="13" spans="1:15">
      <c r="B13" s="110"/>
      <c r="C13" s="49" t="s">
        <v>2729</v>
      </c>
      <c r="D13" s="67"/>
      <c r="E13" s="51"/>
      <c r="F13" s="67"/>
      <c r="G13" s="67"/>
      <c r="H13" s="67"/>
      <c r="I13" s="67"/>
      <c r="J13" s="67"/>
      <c r="K13" s="67"/>
      <c r="L13" s="67"/>
      <c r="M13" s="67"/>
      <c r="N13" s="51" t="s">
        <v>2730</v>
      </c>
      <c r="O13" s="885"/>
    </row>
    <row r="14" spans="1:15">
      <c r="B14" s="110"/>
      <c r="C14" s="67"/>
      <c r="D14" s="67"/>
      <c r="E14" s="67"/>
      <c r="F14" s="67"/>
      <c r="G14" s="67"/>
      <c r="H14" s="67"/>
      <c r="I14" s="67"/>
      <c r="J14" s="67"/>
      <c r="K14" s="67"/>
      <c r="L14" s="67"/>
      <c r="M14" s="67"/>
      <c r="N14" s="67"/>
      <c r="O14" s="885"/>
    </row>
    <row r="15" spans="1:15" ht="15.75">
      <c r="B15" s="55"/>
      <c r="C15" s="887" t="s">
        <v>8</v>
      </c>
      <c r="D15" s="887" t="s">
        <v>72</v>
      </c>
      <c r="E15" s="887" t="s">
        <v>30</v>
      </c>
      <c r="F15" s="92">
        <v>2013</v>
      </c>
      <c r="G15" s="92">
        <v>2015</v>
      </c>
      <c r="H15" s="92">
        <v>2020</v>
      </c>
      <c r="I15" s="92">
        <v>2025</v>
      </c>
      <c r="J15" s="92">
        <v>2030</v>
      </c>
      <c r="K15" s="92">
        <v>2035</v>
      </c>
      <c r="L15" s="92">
        <v>2040</v>
      </c>
      <c r="M15" s="92">
        <v>2045</v>
      </c>
      <c r="N15" s="92">
        <v>2050</v>
      </c>
      <c r="O15" s="885"/>
    </row>
    <row r="16" spans="1:15" ht="15.75">
      <c r="B16" s="975"/>
      <c r="C16" s="65">
        <v>1</v>
      </c>
      <c r="D16" s="108"/>
      <c r="E16" s="890"/>
      <c r="F16" s="2670">
        <v>0.08</v>
      </c>
      <c r="G16" s="3487">
        <v>0.1</v>
      </c>
      <c r="H16" s="3487">
        <v>0.1</v>
      </c>
      <c r="I16" s="3487">
        <v>0.1</v>
      </c>
      <c r="J16" s="3487">
        <v>0.1</v>
      </c>
      <c r="K16" s="3487">
        <v>0.1</v>
      </c>
      <c r="L16" s="3487">
        <v>0.1</v>
      </c>
      <c r="M16" s="3487">
        <v>0.1</v>
      </c>
      <c r="N16" s="3487">
        <v>0.1</v>
      </c>
      <c r="O16" s="893"/>
    </row>
    <row r="17" spans="1:15" ht="15.75">
      <c r="B17" s="55"/>
      <c r="C17" s="65">
        <v>2</v>
      </c>
      <c r="D17" s="108"/>
      <c r="E17" s="108"/>
      <c r="F17" s="2670">
        <v>0.08</v>
      </c>
      <c r="G17" s="3488">
        <v>0.18604651162790697</v>
      </c>
      <c r="H17" s="3488">
        <v>0.30232558139534882</v>
      </c>
      <c r="I17" s="3488">
        <v>0.41860465116279066</v>
      </c>
      <c r="J17" s="3488">
        <v>0.53488372093023251</v>
      </c>
      <c r="K17" s="3488">
        <v>0.65116279069767447</v>
      </c>
      <c r="L17" s="3488">
        <v>0.76744186046511631</v>
      </c>
      <c r="M17" s="3488">
        <v>0.88372093023255816</v>
      </c>
      <c r="N17" s="2950">
        <v>1</v>
      </c>
      <c r="O17" s="885"/>
    </row>
    <row r="18" spans="1:15" ht="15.75">
      <c r="B18" s="55"/>
      <c r="C18" s="65">
        <v>3</v>
      </c>
      <c r="D18" s="108"/>
      <c r="E18" s="108"/>
      <c r="F18" s="2670">
        <v>0.08</v>
      </c>
      <c r="G18" s="3488">
        <v>0.3</v>
      </c>
      <c r="H18" s="3488">
        <v>0.7</v>
      </c>
      <c r="I18" s="3488">
        <v>1</v>
      </c>
      <c r="J18" s="3488">
        <v>1.3</v>
      </c>
      <c r="K18" s="3488">
        <v>1.6</v>
      </c>
      <c r="L18" s="3488">
        <v>1.9</v>
      </c>
      <c r="M18" s="3488">
        <v>2.2000000000000002</v>
      </c>
      <c r="N18" s="2950">
        <v>2.5</v>
      </c>
      <c r="O18" s="885"/>
    </row>
    <row r="19" spans="1:15" ht="15.75">
      <c r="B19" s="55"/>
      <c r="C19" s="896">
        <v>4</v>
      </c>
      <c r="D19" s="897"/>
      <c r="E19" s="897"/>
      <c r="F19" s="2671">
        <v>0.08</v>
      </c>
      <c r="G19" s="3488">
        <v>0.55813953488372092</v>
      </c>
      <c r="H19" s="3489">
        <v>1</v>
      </c>
      <c r="I19" s="3489">
        <v>1.5</v>
      </c>
      <c r="J19" s="3489">
        <v>2</v>
      </c>
      <c r="K19" s="3489">
        <v>2.5</v>
      </c>
      <c r="L19" s="3489">
        <v>3</v>
      </c>
      <c r="M19" s="3489">
        <v>4</v>
      </c>
      <c r="N19" s="3509">
        <v>5</v>
      </c>
      <c r="O19" s="885"/>
    </row>
    <row r="20" spans="1:15" ht="15.75">
      <c r="B20" s="55"/>
      <c r="C20" s="1024" t="s">
        <v>37</v>
      </c>
      <c r="D20" s="901"/>
      <c r="E20" s="901"/>
      <c r="F20" s="3350">
        <f>(INDEX(F$16:F$19,ROUNDDOWN($E$8,0))*(1-MOD($E$8,1)))+(INDEX(F$16:F$19,ROUNDUP($E$8,0))*MOD($E$8,1))</f>
        <v>0.08</v>
      </c>
      <c r="G20" s="3351">
        <f t="shared" ref="G20:N20" si="0">(INDEX(G$16:G$19,ROUNDDOWN($E$8,0))*(1-MOD($E$8,1)))+(INDEX(G$16:G$19,ROUNDUP($E$8,0))*MOD($E$8,1))</f>
        <v>0.55813953488372092</v>
      </c>
      <c r="H20" s="3350">
        <f t="shared" si="0"/>
        <v>1</v>
      </c>
      <c r="I20" s="3350">
        <f t="shared" si="0"/>
        <v>1.5</v>
      </c>
      <c r="J20" s="3350">
        <f t="shared" si="0"/>
        <v>2</v>
      </c>
      <c r="K20" s="3350">
        <f t="shared" si="0"/>
        <v>2.5</v>
      </c>
      <c r="L20" s="3350">
        <f t="shared" si="0"/>
        <v>3</v>
      </c>
      <c r="M20" s="3350">
        <f t="shared" si="0"/>
        <v>4</v>
      </c>
      <c r="N20" s="3350">
        <f t="shared" si="0"/>
        <v>5</v>
      </c>
      <c r="O20" s="885"/>
    </row>
    <row r="21" spans="1:15">
      <c r="B21" s="45"/>
      <c r="C21" s="67"/>
      <c r="D21" s="200"/>
      <c r="E21" s="67"/>
      <c r="F21" s="67"/>
      <c r="G21" s="67"/>
      <c r="H21" s="67"/>
      <c r="I21" s="67"/>
      <c r="J21" s="67"/>
      <c r="K21" s="67"/>
      <c r="L21" s="67"/>
      <c r="M21" s="67"/>
      <c r="N21" s="67"/>
      <c r="O21" s="885"/>
    </row>
    <row r="22" spans="1:15">
      <c r="B22" s="46"/>
      <c r="C22" s="3862" t="s">
        <v>64</v>
      </c>
      <c r="D22" s="200"/>
      <c r="E22" s="67"/>
      <c r="F22" s="67"/>
      <c r="G22" s="67"/>
      <c r="H22" s="67" t="s">
        <v>5</v>
      </c>
      <c r="I22" s="67"/>
      <c r="J22" s="67"/>
      <c r="K22" s="67"/>
      <c r="L22" s="67"/>
      <c r="M22" s="67"/>
      <c r="N22" s="67"/>
      <c r="O22" s="67"/>
    </row>
    <row r="23" spans="1:15">
      <c r="B23" s="46"/>
      <c r="C23" s="3863" t="s">
        <v>65</v>
      </c>
      <c r="D23" s="3866" t="s">
        <v>3090</v>
      </c>
      <c r="E23" s="67"/>
      <c r="F23" s="67"/>
      <c r="G23" s="67"/>
      <c r="H23" s="67"/>
      <c r="I23" s="67"/>
      <c r="J23" s="67"/>
      <c r="K23" s="67"/>
      <c r="L23" s="67"/>
      <c r="M23" s="67"/>
      <c r="N23" s="67"/>
      <c r="O23" s="67"/>
    </row>
    <row r="24" spans="1:15">
      <c r="B24" s="46"/>
      <c r="C24" s="3863"/>
      <c r="D24" s="3866" t="s">
        <v>3092</v>
      </c>
      <c r="E24" s="67"/>
      <c r="F24" s="67"/>
      <c r="G24" s="67"/>
      <c r="H24" s="67"/>
      <c r="I24" s="67"/>
      <c r="J24" s="67"/>
      <c r="K24" s="67"/>
      <c r="L24" s="67"/>
      <c r="M24" s="67"/>
      <c r="N24" s="67"/>
      <c r="O24" s="67"/>
    </row>
    <row r="25" spans="1:15">
      <c r="B25" s="46"/>
      <c r="C25" s="67"/>
      <c r="D25" s="200"/>
      <c r="E25" s="67"/>
      <c r="F25" s="67"/>
      <c r="G25" s="67"/>
      <c r="H25" s="67"/>
      <c r="I25" s="67"/>
      <c r="J25" s="67"/>
      <c r="K25" s="67"/>
      <c r="L25" s="67"/>
      <c r="M25" s="67"/>
      <c r="N25" s="67"/>
      <c r="O25" s="67"/>
    </row>
    <row r="27" spans="1:15" s="6" customFormat="1" ht="23.25">
      <c r="A27" s="40"/>
      <c r="B27" s="878" t="s">
        <v>70</v>
      </c>
      <c r="C27" s="879"/>
      <c r="D27" s="879"/>
      <c r="E27" s="879"/>
      <c r="F27" s="879"/>
      <c r="G27" s="879"/>
      <c r="H27" s="879"/>
      <c r="I27" s="879"/>
      <c r="J27" s="879"/>
      <c r="K27" s="879"/>
      <c r="L27" s="879"/>
      <c r="M27" s="879"/>
      <c r="N27" s="879"/>
      <c r="O27" s="880"/>
    </row>
    <row r="28" spans="1:15">
      <c r="B28" s="110"/>
      <c r="C28" s="67"/>
      <c r="D28" s="67"/>
      <c r="E28" s="67"/>
      <c r="F28" s="67"/>
      <c r="G28" s="67"/>
      <c r="H28" s="67"/>
      <c r="I28" s="67"/>
      <c r="J28" s="67"/>
      <c r="K28" s="67"/>
      <c r="L28" s="67"/>
      <c r="M28" s="67"/>
      <c r="N28" s="67"/>
      <c r="O28" s="885"/>
    </row>
    <row r="29" spans="1:15">
      <c r="B29" s="110"/>
      <c r="C29" s="49" t="s">
        <v>3497</v>
      </c>
      <c r="D29" s="67"/>
      <c r="E29" s="51"/>
      <c r="F29" s="67"/>
      <c r="G29" s="67"/>
      <c r="H29" s="67"/>
      <c r="I29" s="67"/>
      <c r="J29" s="67"/>
      <c r="K29" s="67"/>
      <c r="L29" s="67"/>
      <c r="M29" s="67"/>
      <c r="N29" s="51" t="s">
        <v>43</v>
      </c>
      <c r="O29" s="885"/>
    </row>
    <row r="30" spans="1:15">
      <c r="B30" s="110"/>
      <c r="C30" s="67"/>
      <c r="D30" s="67"/>
      <c r="E30" s="67"/>
      <c r="F30" s="67"/>
      <c r="G30" s="67"/>
      <c r="H30" s="67"/>
      <c r="I30" s="67"/>
      <c r="J30" s="67"/>
      <c r="K30" s="67"/>
      <c r="L30" s="67"/>
      <c r="M30" s="67"/>
      <c r="N30" s="67"/>
      <c r="O30" s="885"/>
    </row>
    <row r="31" spans="1:15" ht="15.75">
      <c r="B31" s="55"/>
      <c r="C31" s="887" t="s">
        <v>132</v>
      </c>
      <c r="D31" s="887" t="s">
        <v>731</v>
      </c>
      <c r="E31" s="887" t="s">
        <v>30</v>
      </c>
      <c r="F31" s="92">
        <v>2013</v>
      </c>
      <c r="G31" s="92">
        <v>2015</v>
      </c>
      <c r="H31" s="92">
        <v>2020</v>
      </c>
      <c r="I31" s="92">
        <v>2025</v>
      </c>
      <c r="J31" s="92">
        <v>2030</v>
      </c>
      <c r="K31" s="92">
        <v>2035</v>
      </c>
      <c r="L31" s="92">
        <v>2040</v>
      </c>
      <c r="M31" s="92">
        <v>2045</v>
      </c>
      <c r="N31" s="92">
        <v>2050</v>
      </c>
      <c r="O31" s="885"/>
    </row>
    <row r="32" spans="1:15" s="6" customFormat="1" ht="15.75">
      <c r="B32" s="975"/>
      <c r="C32" s="916" t="s">
        <v>446</v>
      </c>
      <c r="D32" s="917" t="s">
        <v>79</v>
      </c>
      <c r="E32" s="917"/>
      <c r="F32" s="3510">
        <v>0.35</v>
      </c>
      <c r="G32" s="3511">
        <v>0.35</v>
      </c>
      <c r="H32" s="3511">
        <v>0.35</v>
      </c>
      <c r="I32" s="3511">
        <v>0.35</v>
      </c>
      <c r="J32" s="3511">
        <v>0.4</v>
      </c>
      <c r="K32" s="3511">
        <v>0.4</v>
      </c>
      <c r="L32" s="3511">
        <v>0.4</v>
      </c>
      <c r="M32" s="3511">
        <v>0.4</v>
      </c>
      <c r="N32" s="3512">
        <v>0.4</v>
      </c>
      <c r="O32" s="893"/>
    </row>
    <row r="33" spans="1:113">
      <c r="B33" s="45"/>
      <c r="C33" s="67"/>
      <c r="D33" s="200"/>
      <c r="E33" s="67"/>
      <c r="F33" s="67"/>
      <c r="G33" s="67"/>
      <c r="H33" s="67"/>
      <c r="I33" s="67"/>
      <c r="J33" s="67"/>
      <c r="K33" s="67"/>
      <c r="L33" s="67"/>
      <c r="M33" s="67"/>
      <c r="N33" s="67"/>
      <c r="O33" s="885"/>
    </row>
    <row r="34" spans="1:113">
      <c r="B34" s="46"/>
      <c r="C34" s="49" t="s">
        <v>2731</v>
      </c>
      <c r="D34" s="67"/>
      <c r="E34" s="51"/>
      <c r="F34" s="67"/>
      <c r="G34" s="67"/>
      <c r="H34" s="67"/>
      <c r="I34" s="67"/>
      <c r="J34" s="67"/>
      <c r="K34" s="67"/>
      <c r="L34" s="67"/>
      <c r="M34" s="67"/>
      <c r="N34" s="51" t="s">
        <v>2732</v>
      </c>
      <c r="O34" s="67"/>
    </row>
    <row r="35" spans="1:113" ht="5.25" customHeight="1">
      <c r="B35" s="46"/>
      <c r="C35" s="67"/>
      <c r="D35" s="67"/>
      <c r="E35" s="67"/>
      <c r="F35" s="67"/>
      <c r="G35" s="67"/>
      <c r="H35" s="67"/>
      <c r="I35" s="67"/>
      <c r="J35" s="67"/>
      <c r="K35" s="67"/>
      <c r="L35" s="67"/>
      <c r="M35" s="67"/>
      <c r="N35" s="67"/>
      <c r="O35" s="67"/>
    </row>
    <row r="36" spans="1:113" ht="15.75">
      <c r="B36" s="257"/>
      <c r="C36" s="887" t="s">
        <v>132</v>
      </c>
      <c r="D36" s="887" t="s">
        <v>731</v>
      </c>
      <c r="E36" s="887" t="s">
        <v>30</v>
      </c>
      <c r="F36" s="92">
        <v>2013</v>
      </c>
      <c r="G36" s="92">
        <v>2015</v>
      </c>
      <c r="H36" s="92">
        <v>2020</v>
      </c>
      <c r="I36" s="92">
        <v>2025</v>
      </c>
      <c r="J36" s="92">
        <v>2030</v>
      </c>
      <c r="K36" s="92">
        <v>2035</v>
      </c>
      <c r="L36" s="92">
        <v>2040</v>
      </c>
      <c r="M36" s="92">
        <v>2045</v>
      </c>
      <c r="N36" s="92">
        <v>2050</v>
      </c>
      <c r="O36" s="67"/>
      <c r="P36" s="1077"/>
      <c r="Q36" s="1077"/>
      <c r="R36" s="1077"/>
      <c r="S36" s="1077"/>
      <c r="T36" s="1077"/>
      <c r="U36" s="1077"/>
      <c r="V36" s="1077"/>
      <c r="W36" s="1077"/>
      <c r="X36" s="1077"/>
      <c r="Y36" s="1077"/>
      <c r="Z36" s="1077"/>
      <c r="AA36" s="1077"/>
      <c r="AB36" s="1077"/>
      <c r="AC36" s="1077"/>
      <c r="AD36" s="1077"/>
      <c r="AE36" s="1077"/>
      <c r="AF36" s="1077"/>
      <c r="AG36" s="1077"/>
      <c r="AH36" s="1077"/>
      <c r="AI36" s="1077"/>
      <c r="AJ36" s="1077"/>
      <c r="AK36" s="1077"/>
    </row>
    <row r="37" spans="1:113" ht="15.75">
      <c r="B37" s="257"/>
      <c r="C37" s="916" t="s">
        <v>96</v>
      </c>
      <c r="D37" s="917" t="s">
        <v>86</v>
      </c>
      <c r="E37" s="917"/>
      <c r="F37" s="3510">
        <v>7.1428571428571425E-2</v>
      </c>
      <c r="G37" s="3511">
        <v>7.1428571428571425E-2</v>
      </c>
      <c r="H37" s="3511">
        <v>7.1428571428571425E-2</v>
      </c>
      <c r="I37" s="3511">
        <v>7.1428571428571425E-2</v>
      </c>
      <c r="J37" s="3511">
        <v>7.1428571428571425E-2</v>
      </c>
      <c r="K37" s="3511">
        <v>7.1428571428571425E-2</v>
      </c>
      <c r="L37" s="3511">
        <v>7.1428571428571425E-2</v>
      </c>
      <c r="M37" s="3511">
        <v>7.1428571428571425E-2</v>
      </c>
      <c r="N37" s="3512">
        <v>7.1428571428571425E-2</v>
      </c>
      <c r="O37" s="67"/>
      <c r="P37" s="1077"/>
      <c r="Q37" s="1077"/>
      <c r="R37" s="1077"/>
      <c r="S37" s="1077"/>
      <c r="T37" s="1077"/>
      <c r="U37" s="1077"/>
      <c r="V37" s="1077"/>
      <c r="W37" s="1077"/>
      <c r="X37" s="1077"/>
      <c r="Y37" s="1077"/>
      <c r="Z37" s="1077"/>
      <c r="AA37" s="1077"/>
      <c r="AB37" s="1077"/>
      <c r="AC37" s="1077"/>
      <c r="AD37" s="1077"/>
      <c r="AE37" s="1077"/>
      <c r="AF37" s="1077"/>
      <c r="AG37" s="1077"/>
      <c r="AH37" s="1077"/>
      <c r="AI37" s="1077"/>
      <c r="AJ37" s="1077"/>
      <c r="AK37" s="1077"/>
    </row>
    <row r="38" spans="1:113">
      <c r="B38" s="46"/>
      <c r="C38" s="67"/>
      <c r="D38" s="200"/>
      <c r="E38" s="67"/>
      <c r="F38" s="67"/>
      <c r="G38" s="67"/>
      <c r="H38" s="67"/>
      <c r="I38" s="67"/>
      <c r="J38" s="67"/>
      <c r="K38" s="67"/>
      <c r="L38" s="67"/>
      <c r="M38" s="67"/>
      <c r="N38" s="67"/>
      <c r="O38" s="67"/>
      <c r="P38" s="1077"/>
      <c r="Q38" s="1077"/>
      <c r="R38" s="1077"/>
      <c r="S38" s="1077"/>
      <c r="T38" s="1077"/>
      <c r="U38" s="1077"/>
      <c r="V38" s="1077"/>
      <c r="W38" s="1077"/>
      <c r="X38" s="1077"/>
      <c r="Y38" s="1077"/>
      <c r="Z38" s="1077"/>
      <c r="AA38" s="1077"/>
      <c r="AB38" s="1077"/>
      <c r="AC38" s="1077"/>
      <c r="AD38" s="1077"/>
      <c r="AE38" s="1077"/>
      <c r="AF38" s="1077"/>
      <c r="AG38" s="1077"/>
      <c r="AH38" s="1077"/>
      <c r="AI38" s="1077"/>
      <c r="AJ38" s="1077"/>
      <c r="AK38" s="1077"/>
    </row>
    <row r="39" spans="1:113" s="6" customFormat="1" ht="15.75">
      <c r="B39" s="975"/>
      <c r="C39" s="65"/>
      <c r="D39" s="3874" t="s">
        <v>1907</v>
      </c>
      <c r="E39" s="2278">
        <f>2*Global.IrelandIncidentSolarEnergy_SouthFacing*$F$32*Unit.W</f>
        <v>7.7000000000000001E-8</v>
      </c>
      <c r="F39" s="3873" t="str">
        <f>Preferences.PowerUnits&amp;"/average"</f>
        <v>GW/average</v>
      </c>
      <c r="G39" s="2600"/>
      <c r="H39" s="2600"/>
      <c r="I39" s="2600"/>
      <c r="J39" s="2600"/>
      <c r="K39" s="2600"/>
      <c r="L39" s="2600"/>
      <c r="M39" s="2600"/>
      <c r="N39" s="2600"/>
      <c r="O39" s="108"/>
      <c r="P39" s="656"/>
      <c r="Q39" s="656"/>
      <c r="R39" s="656"/>
      <c r="S39" s="656"/>
      <c r="T39" s="656"/>
      <c r="U39" s="656"/>
      <c r="V39" s="656"/>
      <c r="W39" s="656"/>
      <c r="X39" s="656"/>
      <c r="Y39" s="656"/>
      <c r="Z39" s="656"/>
      <c r="AA39" s="656"/>
      <c r="AB39" s="656"/>
      <c r="AC39" s="656"/>
      <c r="AD39" s="656"/>
      <c r="AE39" s="656"/>
      <c r="AF39" s="656"/>
      <c r="AG39" s="656"/>
      <c r="AH39" s="656"/>
      <c r="AI39" s="656"/>
      <c r="AJ39" s="656"/>
      <c r="AK39" s="656"/>
    </row>
    <row r="40" spans="1:113">
      <c r="B40" s="46"/>
      <c r="C40" s="3864" t="s">
        <v>3496</v>
      </c>
      <c r="D40" s="200"/>
      <c r="E40" s="67"/>
      <c r="F40" s="67"/>
      <c r="G40" s="67"/>
      <c r="H40" s="67"/>
      <c r="I40" s="67"/>
      <c r="J40" s="67"/>
      <c r="K40" s="67"/>
      <c r="L40" s="67"/>
      <c r="M40" s="67"/>
      <c r="N40" s="67"/>
      <c r="O40" s="67"/>
      <c r="P40" s="1077"/>
      <c r="Q40" s="1077"/>
      <c r="R40" s="1077"/>
      <c r="S40" s="1077"/>
      <c r="T40" s="1077"/>
      <c r="U40" s="1077"/>
      <c r="V40" s="1077"/>
      <c r="W40" s="1077"/>
      <c r="X40" s="1077"/>
      <c r="Y40" s="1077"/>
      <c r="Z40" s="1077"/>
      <c r="AA40" s="1077"/>
      <c r="AB40" s="1077"/>
      <c r="AC40" s="1077"/>
      <c r="AD40" s="1077"/>
      <c r="AE40" s="1077"/>
      <c r="AF40" s="1077"/>
      <c r="AG40" s="1077"/>
      <c r="AH40" s="1077"/>
      <c r="AI40" s="1077"/>
      <c r="AJ40" s="1077"/>
      <c r="AK40" s="1077"/>
    </row>
    <row r="41" spans="1:113">
      <c r="P41" s="1077"/>
      <c r="Q41" s="1077"/>
      <c r="R41" s="1077"/>
      <c r="S41" s="1077"/>
      <c r="T41" s="1077"/>
      <c r="U41" s="1077"/>
      <c r="V41" s="1077"/>
      <c r="W41" s="1077"/>
      <c r="X41" s="1077"/>
      <c r="Y41" s="1077"/>
      <c r="Z41" s="1077"/>
      <c r="AA41" s="1077"/>
      <c r="AB41" s="1077"/>
      <c r="AC41" s="1077"/>
      <c r="AD41" s="1077"/>
      <c r="AE41" s="1077"/>
      <c r="AF41" s="1077"/>
      <c r="AG41" s="1077"/>
      <c r="AH41" s="1077"/>
      <c r="AI41" s="1077"/>
      <c r="AJ41" s="1077"/>
      <c r="AK41" s="1077"/>
    </row>
    <row r="42" spans="1:113" s="6" customFormat="1" ht="23.25">
      <c r="A42" s="40"/>
      <c r="B42" s="878" t="s">
        <v>2794</v>
      </c>
      <c r="C42" s="879"/>
      <c r="D42" s="879"/>
      <c r="E42" s="879"/>
      <c r="F42" s="879"/>
      <c r="G42" s="879"/>
      <c r="H42" s="879"/>
      <c r="I42" s="879"/>
      <c r="J42" s="879"/>
      <c r="K42" s="879"/>
      <c r="L42" s="879"/>
      <c r="M42" s="879"/>
      <c r="N42" s="879"/>
      <c r="O42" s="879"/>
      <c r="P42" s="656"/>
      <c r="Q42" s="2530"/>
      <c r="R42" s="656"/>
      <c r="S42" s="656"/>
      <c r="T42" s="656"/>
      <c r="U42" s="656"/>
      <c r="V42" s="656"/>
      <c r="W42" s="656"/>
      <c r="X42" s="656"/>
      <c r="Y42" s="656"/>
      <c r="Z42" s="656"/>
      <c r="AA42" s="656"/>
      <c r="AB42" s="656"/>
      <c r="AC42" s="656"/>
      <c r="AD42" s="656"/>
      <c r="AE42" s="656"/>
      <c r="AF42" s="656"/>
      <c r="AG42" s="656"/>
      <c r="AH42" s="656"/>
      <c r="AI42" s="656"/>
      <c r="AJ42" s="656"/>
      <c r="AK42" s="656"/>
    </row>
    <row r="43" spans="1:113" hidden="1">
      <c r="B43" s="881"/>
      <c r="C43" s="882"/>
      <c r="D43" s="882"/>
      <c r="E43" s="882"/>
      <c r="F43" s="882"/>
      <c r="G43" s="882"/>
      <c r="H43" s="882"/>
      <c r="I43" s="882"/>
      <c r="J43" s="882"/>
      <c r="K43" s="882"/>
      <c r="L43" s="882"/>
      <c r="M43" s="882"/>
      <c r="N43" s="882"/>
      <c r="O43" s="882"/>
      <c r="P43" s="1077"/>
      <c r="Q43" s="2500"/>
      <c r="R43" s="1077"/>
      <c r="S43" s="1077"/>
      <c r="T43" s="1077"/>
      <c r="U43" s="1077"/>
      <c r="V43" s="1077"/>
      <c r="W43" s="1077"/>
      <c r="X43" s="1077"/>
      <c r="Y43" s="1077"/>
      <c r="Z43" s="1077"/>
      <c r="AA43" s="1077"/>
      <c r="AB43" s="1077"/>
      <c r="AC43" s="1077"/>
      <c r="AD43" s="1077"/>
      <c r="AE43" s="1077"/>
      <c r="AF43" s="1077"/>
      <c r="AG43" s="1077"/>
      <c r="AH43" s="1077"/>
      <c r="AI43" s="1077"/>
      <c r="AJ43" s="1077"/>
      <c r="AK43" s="1077"/>
    </row>
    <row r="44" spans="1:113" s="6" customFormat="1" hidden="1">
      <c r="A44" s="3482"/>
      <c r="B44" s="110"/>
      <c r="C44" s="49" t="s">
        <v>2733</v>
      </c>
      <c r="D44" s="924"/>
      <c r="E44" s="941"/>
      <c r="F44" s="2519"/>
      <c r="G44" s="943"/>
      <c r="H44" s="943"/>
      <c r="I44" s="943"/>
      <c r="J44" s="943"/>
      <c r="K44" s="943"/>
      <c r="L44" s="943"/>
      <c r="M44" s="943"/>
      <c r="N44" s="944" t="s">
        <v>2822</v>
      </c>
      <c r="O44" s="67"/>
      <c r="P44" s="1077"/>
      <c r="Q44" s="1077"/>
      <c r="R44" s="207"/>
      <c r="S44" s="521"/>
      <c r="T44" s="2552"/>
      <c r="U44" s="3513"/>
      <c r="V44" s="3513"/>
      <c r="W44" s="1228"/>
      <c r="X44" s="1228"/>
      <c r="Y44" s="1228"/>
      <c r="Z44" s="1228"/>
      <c r="AA44" s="1228"/>
      <c r="AB44" s="1228"/>
      <c r="AC44" s="1228"/>
      <c r="AD44" s="2553"/>
      <c r="AE44" s="1077"/>
      <c r="AF44" s="1077"/>
      <c r="AG44" s="1077"/>
      <c r="AH44" s="1077"/>
      <c r="AI44" s="1077"/>
      <c r="AJ44" s="1077"/>
      <c r="AK44" s="1077"/>
      <c r="AL44" s="3482"/>
      <c r="AM44" s="3482"/>
      <c r="AN44" s="3482"/>
      <c r="AO44" s="3482"/>
      <c r="AP44" s="3482"/>
      <c r="AQ44" s="3482"/>
      <c r="AR44" s="3482"/>
      <c r="AS44" s="3482"/>
      <c r="AT44" s="3482"/>
      <c r="AU44" s="3482"/>
      <c r="AV44" s="3482"/>
      <c r="AW44" s="3482"/>
      <c r="AX44" s="3482"/>
      <c r="AY44" s="3482"/>
      <c r="AZ44" s="3482"/>
      <c r="BA44" s="3482"/>
      <c r="BB44" s="3482"/>
      <c r="BC44" s="3482"/>
      <c r="BD44" s="3482"/>
      <c r="BE44" s="3482"/>
      <c r="BF44" s="3482"/>
      <c r="BG44" s="3482"/>
      <c r="BH44" s="3482"/>
      <c r="BI44" s="3482"/>
      <c r="BJ44" s="3482"/>
      <c r="BK44" s="3482"/>
      <c r="BL44" s="3482"/>
      <c r="BM44" s="3482"/>
      <c r="BN44" s="3482"/>
      <c r="BO44" s="3482"/>
      <c r="BP44" s="3482"/>
      <c r="BQ44" s="3482"/>
      <c r="BR44" s="3482"/>
      <c r="BS44" s="3482"/>
      <c r="BT44" s="3482"/>
      <c r="BU44" s="3482"/>
      <c r="BV44" s="3482"/>
      <c r="BW44" s="3482"/>
      <c r="BX44" s="3482"/>
      <c r="BY44" s="3482"/>
      <c r="BZ44" s="3482"/>
      <c r="CA44" s="3482"/>
      <c r="CB44" s="3482"/>
      <c r="CC44" s="3482"/>
      <c r="CD44" s="3482"/>
      <c r="CE44" s="3482"/>
      <c r="CF44" s="3482"/>
      <c r="CG44" s="3482"/>
      <c r="CH44" s="3482"/>
      <c r="CI44" s="3482"/>
      <c r="CJ44" s="3482"/>
      <c r="CK44" s="3482"/>
      <c r="CL44" s="3482"/>
      <c r="CM44" s="3482"/>
      <c r="CN44" s="3482"/>
      <c r="CO44" s="3482"/>
      <c r="CP44" s="3482"/>
      <c r="CQ44" s="3482"/>
      <c r="CR44" s="3482"/>
      <c r="CS44" s="3482"/>
      <c r="CT44" s="3482"/>
      <c r="CU44" s="3482"/>
      <c r="CV44" s="3482"/>
      <c r="CW44" s="3482"/>
      <c r="CX44" s="3482"/>
      <c r="CY44" s="3482"/>
      <c r="CZ44" s="3482"/>
      <c r="DA44" s="3482"/>
      <c r="DB44" s="3482"/>
      <c r="DC44" s="3482"/>
      <c r="DD44" s="3482"/>
      <c r="DE44" s="3482"/>
      <c r="DF44" s="3482"/>
      <c r="DG44" s="3482"/>
      <c r="DH44" s="3482"/>
      <c r="DI44" s="3482"/>
    </row>
    <row r="45" spans="1:113" s="6" customFormat="1" ht="4.5" hidden="1" customHeight="1">
      <c r="A45" s="3482"/>
      <c r="B45" s="110"/>
      <c r="C45" s="946"/>
      <c r="D45" s="924"/>
      <c r="E45" s="941"/>
      <c r="F45" s="2519"/>
      <c r="G45" s="943"/>
      <c r="H45" s="943"/>
      <c r="I45" s="943"/>
      <c r="J45" s="943"/>
      <c r="K45" s="943"/>
      <c r="L45" s="943"/>
      <c r="M45" s="943"/>
      <c r="N45" s="67"/>
      <c r="O45" s="67"/>
      <c r="P45" s="1077"/>
      <c r="Q45" s="1077"/>
      <c r="R45" s="2554"/>
      <c r="S45" s="521"/>
      <c r="T45" s="2552"/>
      <c r="U45" s="3513"/>
      <c r="V45" s="3513"/>
      <c r="W45" s="1228"/>
      <c r="X45" s="1228"/>
      <c r="Y45" s="1228"/>
      <c r="Z45" s="1228"/>
      <c r="AA45" s="1228"/>
      <c r="AB45" s="1228"/>
      <c r="AC45" s="1228"/>
      <c r="AD45" s="1077"/>
      <c r="AE45" s="1077"/>
      <c r="AF45" s="1077"/>
      <c r="AG45" s="1077"/>
      <c r="AH45" s="1077"/>
      <c r="AI45" s="1077"/>
      <c r="AJ45" s="1077"/>
      <c r="AK45" s="1077"/>
      <c r="AL45" s="3482"/>
      <c r="AM45" s="3482"/>
      <c r="AN45" s="3482"/>
      <c r="AO45" s="3482"/>
      <c r="AP45" s="3482"/>
      <c r="AQ45" s="3482"/>
      <c r="AR45" s="3482"/>
      <c r="AS45" s="3482"/>
      <c r="AT45" s="3482"/>
      <c r="AU45" s="3482"/>
      <c r="AV45" s="3482"/>
      <c r="AW45" s="3482"/>
      <c r="AX45" s="3482"/>
      <c r="AY45" s="3482"/>
      <c r="AZ45" s="3482"/>
      <c r="BA45" s="3482"/>
      <c r="BB45" s="3482"/>
      <c r="BC45" s="3482"/>
      <c r="BD45" s="3482"/>
      <c r="BE45" s="3482"/>
      <c r="BF45" s="3482"/>
      <c r="BG45" s="3482"/>
      <c r="BH45" s="3482"/>
      <c r="BI45" s="3482"/>
      <c r="BJ45" s="3482"/>
      <c r="BK45" s="3482"/>
      <c r="BL45" s="3482"/>
      <c r="BM45" s="3482"/>
      <c r="BN45" s="3482"/>
      <c r="BO45" s="3482"/>
      <c r="BP45" s="3482"/>
      <c r="BQ45" s="3482"/>
      <c r="BR45" s="3482"/>
      <c r="BS45" s="3482"/>
      <c r="BT45" s="3482"/>
      <c r="BU45" s="3482"/>
      <c r="BV45" s="3482"/>
      <c r="BW45" s="3482"/>
      <c r="BX45" s="3482"/>
      <c r="BY45" s="3482"/>
      <c r="BZ45" s="3482"/>
      <c r="CA45" s="3482"/>
      <c r="CB45" s="3482"/>
      <c r="CC45" s="3482"/>
      <c r="CD45" s="3482"/>
      <c r="CE45" s="3482"/>
      <c r="CF45" s="3482"/>
      <c r="CG45" s="3482"/>
      <c r="CH45" s="3482"/>
      <c r="CI45" s="3482"/>
      <c r="CJ45" s="3482"/>
      <c r="CK45" s="3482"/>
      <c r="CL45" s="3482"/>
      <c r="CM45" s="3482"/>
      <c r="CN45" s="3482"/>
      <c r="CO45" s="3482"/>
      <c r="CP45" s="3482"/>
      <c r="CQ45" s="3482"/>
      <c r="CR45" s="3482"/>
      <c r="CS45" s="3482"/>
      <c r="CT45" s="3482"/>
      <c r="CU45" s="3482"/>
      <c r="CV45" s="3482"/>
      <c r="CW45" s="3482"/>
      <c r="CX45" s="3482"/>
      <c r="CY45" s="3482"/>
      <c r="CZ45" s="3482"/>
      <c r="DA45" s="3482"/>
      <c r="DB45" s="3482"/>
      <c r="DC45" s="3482"/>
      <c r="DD45" s="3482"/>
      <c r="DE45" s="3482"/>
      <c r="DF45" s="3482"/>
      <c r="DG45" s="3482"/>
      <c r="DH45" s="3482"/>
      <c r="DI45" s="3482"/>
    </row>
    <row r="46" spans="1:113" s="6" customFormat="1" hidden="1">
      <c r="A46" s="3482"/>
      <c r="B46" s="110"/>
      <c r="C46" s="1179"/>
      <c r="D46" s="1079"/>
      <c r="E46" s="980" t="s">
        <v>160</v>
      </c>
      <c r="F46" s="981">
        <v>2013</v>
      </c>
      <c r="G46" s="974">
        <v>2015</v>
      </c>
      <c r="H46" s="974">
        <v>2020</v>
      </c>
      <c r="I46" s="974">
        <v>2025</v>
      </c>
      <c r="J46" s="974">
        <v>2030</v>
      </c>
      <c r="K46" s="974">
        <v>2035</v>
      </c>
      <c r="L46" s="974">
        <v>2040</v>
      </c>
      <c r="M46" s="974">
        <v>2045</v>
      </c>
      <c r="N46" s="974">
        <v>2050</v>
      </c>
      <c r="O46" s="67"/>
      <c r="P46" s="1077"/>
      <c r="Q46" s="1077"/>
      <c r="R46" s="2555"/>
      <c r="S46" s="521"/>
      <c r="T46" s="2552"/>
      <c r="U46" s="2556"/>
      <c r="V46" s="1230"/>
      <c r="W46" s="1230"/>
      <c r="X46" s="1230"/>
      <c r="Y46" s="1230"/>
      <c r="Z46" s="1230"/>
      <c r="AA46" s="1230"/>
      <c r="AB46" s="1230"/>
      <c r="AC46" s="1230"/>
      <c r="AD46" s="1230"/>
      <c r="AE46" s="1077"/>
      <c r="AF46" s="1077"/>
      <c r="AG46" s="1077"/>
      <c r="AH46" s="1077"/>
      <c r="AI46" s="1077"/>
      <c r="AJ46" s="1077"/>
      <c r="AK46" s="1077"/>
      <c r="AL46" s="3482"/>
      <c r="AM46" s="3482"/>
      <c r="AN46" s="3482"/>
      <c r="AO46" s="3482"/>
      <c r="AP46" s="3482"/>
      <c r="AQ46" s="3482"/>
      <c r="AR46" s="3482"/>
      <c r="AS46" s="3482"/>
      <c r="AT46" s="3482"/>
      <c r="AU46" s="3482"/>
      <c r="AV46" s="3482"/>
      <c r="AW46" s="3482"/>
      <c r="AX46" s="3482"/>
      <c r="AY46" s="3482"/>
      <c r="AZ46" s="3482"/>
      <c r="BA46" s="3482"/>
      <c r="BB46" s="3482"/>
      <c r="BC46" s="3482"/>
      <c r="BD46" s="3482"/>
      <c r="BE46" s="3482"/>
      <c r="BF46" s="3482"/>
      <c r="BG46" s="3482"/>
      <c r="BH46" s="3482"/>
      <c r="BI46" s="3482"/>
      <c r="BJ46" s="3482"/>
      <c r="BK46" s="3482"/>
      <c r="BL46" s="3482"/>
      <c r="BM46" s="3482"/>
      <c r="BN46" s="3482"/>
      <c r="BO46" s="3482"/>
      <c r="BP46" s="3482"/>
      <c r="BQ46" s="3482"/>
      <c r="BR46" s="3482"/>
      <c r="BS46" s="3482"/>
      <c r="BT46" s="3482"/>
      <c r="BU46" s="3482"/>
      <c r="BV46" s="3482"/>
      <c r="BW46" s="3482"/>
      <c r="BX46" s="3482"/>
      <c r="BY46" s="3482"/>
      <c r="BZ46" s="3482"/>
      <c r="CA46" s="3482"/>
      <c r="CB46" s="3482"/>
      <c r="CC46" s="3482"/>
      <c r="CD46" s="3482"/>
      <c r="CE46" s="3482"/>
      <c r="CF46" s="3482"/>
      <c r="CG46" s="3482"/>
      <c r="CH46" s="3482"/>
      <c r="CI46" s="3482"/>
      <c r="CJ46" s="3482"/>
      <c r="CK46" s="3482"/>
      <c r="CL46" s="3482"/>
      <c r="CM46" s="3482"/>
      <c r="CN46" s="3482"/>
      <c r="CO46" s="3482"/>
      <c r="CP46" s="3482"/>
      <c r="CQ46" s="3482"/>
      <c r="CR46" s="3482"/>
      <c r="CS46" s="3482"/>
      <c r="CT46" s="3482"/>
      <c r="CU46" s="3482"/>
      <c r="CV46" s="3482"/>
      <c r="CW46" s="3482"/>
      <c r="CX46" s="3482"/>
      <c r="CY46" s="3482"/>
      <c r="CZ46" s="3482"/>
      <c r="DA46" s="3482"/>
      <c r="DB46" s="3482"/>
      <c r="DC46" s="3482"/>
      <c r="DD46" s="3482"/>
      <c r="DE46" s="3482"/>
      <c r="DF46" s="3482"/>
      <c r="DG46" s="3482"/>
      <c r="DH46" s="3482"/>
      <c r="DI46" s="3482"/>
    </row>
    <row r="47" spans="1:113" s="6" customFormat="1" hidden="1">
      <c r="A47" s="3482"/>
      <c r="B47" s="110"/>
      <c r="C47" s="976" t="s">
        <v>738</v>
      </c>
      <c r="D47" s="1079"/>
      <c r="E47" s="2424"/>
      <c r="F47" s="2427"/>
      <c r="G47" s="2427"/>
      <c r="H47" s="2427"/>
      <c r="I47" s="2427"/>
      <c r="J47" s="2427"/>
      <c r="K47" s="2427"/>
      <c r="L47" s="2427"/>
      <c r="M47" s="2427"/>
      <c r="N47" s="2427"/>
      <c r="O47" s="67"/>
      <c r="P47" s="1077"/>
      <c r="Q47" s="1077"/>
      <c r="R47" s="2557"/>
      <c r="S47" s="521"/>
      <c r="T47" s="3359"/>
      <c r="U47" s="3399"/>
      <c r="V47" s="3399"/>
      <c r="W47" s="3399"/>
      <c r="X47" s="3399"/>
      <c r="Y47" s="3399"/>
      <c r="Z47" s="3399"/>
      <c r="AA47" s="3399"/>
      <c r="AB47" s="3399"/>
      <c r="AC47" s="3399"/>
      <c r="AD47" s="3399"/>
      <c r="AE47" s="1077"/>
      <c r="AF47" s="1077"/>
      <c r="AG47" s="1077"/>
      <c r="AH47" s="1077"/>
      <c r="AI47" s="1077"/>
      <c r="AJ47" s="1077"/>
      <c r="AK47" s="1077"/>
      <c r="AL47" s="3482"/>
      <c r="AM47" s="3482"/>
      <c r="AN47" s="3482"/>
      <c r="AO47" s="3482"/>
      <c r="AP47" s="3482"/>
      <c r="AQ47" s="3482"/>
      <c r="AR47" s="3482"/>
      <c r="AS47" s="3482"/>
      <c r="AT47" s="3482"/>
      <c r="AU47" s="3482"/>
      <c r="AV47" s="3482"/>
      <c r="AW47" s="3482"/>
      <c r="AX47" s="3482"/>
      <c r="AY47" s="3482"/>
      <c r="AZ47" s="3482"/>
      <c r="BA47" s="3482"/>
      <c r="BB47" s="3482"/>
      <c r="BC47" s="3482"/>
      <c r="BD47" s="3482"/>
      <c r="BE47" s="3482"/>
      <c r="BF47" s="3482"/>
      <c r="BG47" s="3482"/>
      <c r="BH47" s="3482"/>
      <c r="BI47" s="3482"/>
      <c r="BJ47" s="3482"/>
      <c r="BK47" s="3482"/>
      <c r="BL47" s="3482"/>
      <c r="BM47" s="3482"/>
      <c r="BN47" s="3482"/>
      <c r="BO47" s="3482"/>
      <c r="BP47" s="3482"/>
      <c r="BQ47" s="3482"/>
      <c r="BR47" s="3482"/>
      <c r="BS47" s="3482"/>
      <c r="BT47" s="3482"/>
      <c r="BU47" s="3482"/>
      <c r="BV47" s="3482"/>
      <c r="BW47" s="3482"/>
      <c r="BX47" s="3482"/>
      <c r="BY47" s="3482"/>
      <c r="BZ47" s="3482"/>
      <c r="CA47" s="3482"/>
      <c r="CB47" s="3482"/>
      <c r="CC47" s="3482"/>
      <c r="CD47" s="3482"/>
      <c r="CE47" s="3482"/>
      <c r="CF47" s="3482"/>
      <c r="CG47" s="3482"/>
      <c r="CH47" s="3482"/>
      <c r="CI47" s="3482"/>
      <c r="CJ47" s="3482"/>
      <c r="CK47" s="3482"/>
      <c r="CL47" s="3482"/>
      <c r="CM47" s="3482"/>
      <c r="CN47" s="3482"/>
      <c r="CO47" s="3482"/>
      <c r="CP47" s="3482"/>
      <c r="CQ47" s="3482"/>
      <c r="CR47" s="3482"/>
      <c r="CS47" s="3482"/>
      <c r="CT47" s="3482"/>
      <c r="CU47" s="3482"/>
      <c r="CV47" s="3482"/>
      <c r="CW47" s="3482"/>
      <c r="CX47" s="3482"/>
      <c r="CY47" s="3482"/>
      <c r="CZ47" s="3482"/>
      <c r="DA47" s="3482"/>
      <c r="DB47" s="3482"/>
      <c r="DC47" s="3482"/>
      <c r="DD47" s="3482"/>
      <c r="DE47" s="3482"/>
      <c r="DF47" s="3482"/>
      <c r="DG47" s="3482"/>
      <c r="DH47" s="3482"/>
      <c r="DI47" s="3482"/>
    </row>
    <row r="48" spans="1:113" s="6" customFormat="1" hidden="1">
      <c r="A48" s="3482"/>
      <c r="B48" s="110"/>
      <c r="C48" s="952" t="s">
        <v>739</v>
      </c>
      <c r="D48" s="924"/>
      <c r="E48" s="2425"/>
      <c r="F48" s="2428"/>
      <c r="G48" s="2428"/>
      <c r="H48" s="2428"/>
      <c r="I48" s="2428"/>
      <c r="J48" s="2428"/>
      <c r="K48" s="2428"/>
      <c r="L48" s="2428"/>
      <c r="M48" s="2428"/>
      <c r="N48" s="2428"/>
      <c r="O48" s="67"/>
      <c r="P48" s="656"/>
      <c r="Q48" s="656"/>
      <c r="R48" s="1077"/>
      <c r="S48" s="521"/>
      <c r="T48" s="3359"/>
      <c r="U48" s="1077"/>
      <c r="V48" s="3399"/>
      <c r="W48" s="3399"/>
      <c r="X48" s="2565"/>
      <c r="Y48" s="2565"/>
      <c r="Z48" s="2565"/>
      <c r="AA48" s="2565"/>
      <c r="AB48" s="2565"/>
      <c r="AC48" s="2565"/>
      <c r="AD48" s="2565"/>
      <c r="AE48" s="2565"/>
      <c r="AF48" s="2565"/>
      <c r="AG48" s="2565"/>
      <c r="AH48" s="1077"/>
      <c r="AI48" s="1077"/>
      <c r="AJ48" s="1077"/>
      <c r="AK48" s="1077"/>
      <c r="AL48" s="3482"/>
      <c r="AM48" s="3482"/>
      <c r="AN48" s="3482"/>
      <c r="AO48" s="3482"/>
      <c r="AP48" s="3482"/>
      <c r="AQ48" s="3482"/>
      <c r="AR48" s="3482"/>
      <c r="AS48" s="3482"/>
      <c r="AT48" s="3482"/>
      <c r="AU48" s="3482"/>
      <c r="AV48" s="3482"/>
      <c r="AW48" s="3482"/>
      <c r="AX48" s="3482"/>
      <c r="AY48" s="3482"/>
      <c r="AZ48" s="3482"/>
      <c r="BA48" s="3482"/>
      <c r="BB48" s="3482"/>
      <c r="BC48" s="3482"/>
      <c r="BD48" s="3482"/>
      <c r="BE48" s="3482"/>
      <c r="BF48" s="3482"/>
      <c r="BG48" s="3482"/>
      <c r="BH48" s="3482"/>
      <c r="BI48" s="3482"/>
      <c r="BJ48" s="3482"/>
      <c r="BK48" s="3482"/>
      <c r="BL48" s="3482"/>
      <c r="BM48" s="3482"/>
      <c r="BN48" s="3482"/>
      <c r="BO48" s="3482"/>
      <c r="BP48" s="3482"/>
      <c r="BQ48" s="3482"/>
      <c r="BR48" s="3482"/>
      <c r="BS48" s="3482"/>
      <c r="BT48" s="3482"/>
      <c r="BU48" s="3482"/>
      <c r="BV48" s="3482"/>
      <c r="BW48" s="3482"/>
      <c r="BX48" s="3482"/>
      <c r="BY48" s="3482"/>
      <c r="BZ48" s="3482"/>
      <c r="CA48" s="3482"/>
      <c r="CB48" s="3482"/>
      <c r="CC48" s="3482"/>
      <c r="CD48" s="3482"/>
      <c r="CE48" s="3482"/>
      <c r="CF48" s="3482"/>
      <c r="CG48" s="3482"/>
      <c r="CH48" s="3482"/>
      <c r="CI48" s="3482"/>
      <c r="CJ48" s="3482"/>
      <c r="CK48" s="3482"/>
      <c r="CL48" s="3482"/>
      <c r="CM48" s="3482"/>
      <c r="CN48" s="3482"/>
      <c r="CO48" s="3482"/>
      <c r="CP48" s="3482"/>
      <c r="CQ48" s="3482"/>
      <c r="CR48" s="3482"/>
      <c r="CS48" s="3482"/>
      <c r="CT48" s="3482"/>
      <c r="CU48" s="3482"/>
      <c r="CV48" s="3482"/>
      <c r="CW48" s="3482"/>
      <c r="CX48" s="3482"/>
      <c r="CY48" s="3482"/>
      <c r="CZ48" s="3482"/>
      <c r="DA48" s="3482"/>
      <c r="DB48" s="3482"/>
      <c r="DC48" s="3482"/>
      <c r="DD48" s="3482"/>
      <c r="DE48" s="3482"/>
      <c r="DF48" s="3482"/>
      <c r="DG48" s="3482"/>
      <c r="DH48" s="3482"/>
      <c r="DI48" s="3482"/>
    </row>
    <row r="49" spans="1:113" hidden="1">
      <c r="B49" s="110"/>
      <c r="C49" s="956" t="s">
        <v>740</v>
      </c>
      <c r="D49" s="957"/>
      <c r="E49" s="2426"/>
      <c r="F49" s="2429"/>
      <c r="G49" s="2429"/>
      <c r="H49" s="2429"/>
      <c r="I49" s="2429"/>
      <c r="J49" s="2429"/>
      <c r="K49" s="2429"/>
      <c r="L49" s="2429"/>
      <c r="M49" s="2429"/>
      <c r="N49" s="2429"/>
      <c r="O49" s="67"/>
      <c r="P49" s="1077"/>
      <c r="Q49" s="1077"/>
      <c r="R49" s="2557"/>
      <c r="S49" s="521"/>
      <c r="T49" s="3359"/>
      <c r="U49" s="3399"/>
      <c r="V49" s="3399"/>
      <c r="W49" s="3399"/>
      <c r="X49" s="3399"/>
      <c r="Y49" s="3399"/>
      <c r="Z49" s="3399"/>
      <c r="AA49" s="3399"/>
      <c r="AB49" s="3399"/>
      <c r="AC49" s="3399"/>
      <c r="AD49" s="3399"/>
      <c r="AE49" s="1077"/>
      <c r="AF49" s="1077"/>
      <c r="AG49" s="1077"/>
      <c r="AH49" s="1077"/>
      <c r="AI49" s="1077"/>
      <c r="AJ49" s="1077"/>
      <c r="AK49" s="1077"/>
    </row>
    <row r="50" spans="1:113" s="6" customFormat="1" hidden="1">
      <c r="A50" s="3482"/>
      <c r="B50" s="110"/>
      <c r="C50" s="946"/>
      <c r="D50" s="924"/>
      <c r="E50" s="941"/>
      <c r="F50" s="2519"/>
      <c r="G50" s="943"/>
      <c r="H50" s="943"/>
      <c r="I50" s="943"/>
      <c r="J50" s="943"/>
      <c r="K50" s="943"/>
      <c r="L50" s="943"/>
      <c r="M50" s="943"/>
      <c r="N50" s="67"/>
      <c r="O50" s="67"/>
      <c r="P50" s="1077"/>
      <c r="Q50" s="1077"/>
      <c r="R50" s="2554"/>
      <c r="S50" s="521"/>
      <c r="T50" s="2552"/>
      <c r="U50" s="3513"/>
      <c r="V50" s="3513"/>
      <c r="W50" s="1228"/>
      <c r="X50" s="1228"/>
      <c r="Y50" s="1228"/>
      <c r="Z50" s="1228"/>
      <c r="AA50" s="1228"/>
      <c r="AB50" s="1228"/>
      <c r="AC50" s="1228"/>
      <c r="AD50" s="1077"/>
      <c r="AE50" s="1077"/>
      <c r="AF50" s="1077"/>
      <c r="AG50" s="1077"/>
      <c r="AH50" s="1077"/>
      <c r="AI50" s="1077"/>
      <c r="AJ50" s="1077"/>
      <c r="AK50" s="1077"/>
      <c r="AL50" s="3482"/>
      <c r="AM50" s="3482"/>
      <c r="AN50" s="3482"/>
      <c r="AO50" s="3482"/>
      <c r="AP50" s="3482"/>
      <c r="AQ50" s="3482"/>
      <c r="AR50" s="3482"/>
      <c r="AS50" s="3482"/>
      <c r="AT50" s="3482"/>
      <c r="AU50" s="3482"/>
      <c r="AV50" s="3482"/>
      <c r="AW50" s="3482"/>
      <c r="AX50" s="3482"/>
      <c r="AY50" s="3482"/>
      <c r="AZ50" s="3482"/>
      <c r="BA50" s="3482"/>
      <c r="BB50" s="3482"/>
      <c r="BC50" s="3482"/>
      <c r="BD50" s="3482"/>
      <c r="BE50" s="3482"/>
      <c r="BF50" s="3482"/>
      <c r="BG50" s="3482"/>
      <c r="BH50" s="3482"/>
      <c r="BI50" s="3482"/>
      <c r="BJ50" s="3482"/>
      <c r="BK50" s="3482"/>
      <c r="BL50" s="3482"/>
      <c r="BM50" s="3482"/>
      <c r="BN50" s="3482"/>
      <c r="BO50" s="3482"/>
      <c r="BP50" s="3482"/>
      <c r="BQ50" s="3482"/>
      <c r="BR50" s="3482"/>
      <c r="BS50" s="3482"/>
      <c r="BT50" s="3482"/>
      <c r="BU50" s="3482"/>
      <c r="BV50" s="3482"/>
      <c r="BW50" s="3482"/>
      <c r="BX50" s="3482"/>
      <c r="BY50" s="3482"/>
      <c r="BZ50" s="3482"/>
      <c r="CA50" s="3482"/>
      <c r="CB50" s="3482"/>
      <c r="CC50" s="3482"/>
      <c r="CD50" s="3482"/>
      <c r="CE50" s="3482"/>
      <c r="CF50" s="3482"/>
      <c r="CG50" s="3482"/>
      <c r="CH50" s="3482"/>
      <c r="CI50" s="3482"/>
      <c r="CJ50" s="3482"/>
      <c r="CK50" s="3482"/>
      <c r="CL50" s="3482"/>
      <c r="CM50" s="3482"/>
      <c r="CN50" s="3482"/>
      <c r="CO50" s="3482"/>
      <c r="CP50" s="3482"/>
      <c r="CQ50" s="3482"/>
      <c r="CR50" s="3482"/>
      <c r="CS50" s="3482"/>
      <c r="CT50" s="3482"/>
      <c r="CU50" s="3482"/>
      <c r="CV50" s="3482"/>
      <c r="CW50" s="3482"/>
      <c r="CX50" s="3482"/>
      <c r="CY50" s="3482"/>
      <c r="CZ50" s="3482"/>
      <c r="DA50" s="3482"/>
      <c r="DB50" s="3482"/>
      <c r="DC50" s="3482"/>
      <c r="DD50" s="3482"/>
      <c r="DE50" s="3482"/>
      <c r="DF50" s="3482"/>
      <c r="DG50" s="3482"/>
      <c r="DH50" s="3482"/>
      <c r="DI50" s="3482"/>
    </row>
    <row r="51" spans="1:113" hidden="1">
      <c r="B51" s="110"/>
      <c r="C51" s="49" t="s">
        <v>2734</v>
      </c>
      <c r="D51" s="924"/>
      <c r="E51" s="941"/>
      <c r="F51" s="2519"/>
      <c r="G51" s="943"/>
      <c r="H51" s="943"/>
      <c r="I51" s="943"/>
      <c r="J51" s="943"/>
      <c r="K51" s="943"/>
      <c r="L51" s="943"/>
      <c r="M51" s="943"/>
      <c r="N51" s="944" t="s">
        <v>2822</v>
      </c>
      <c r="O51" s="67"/>
      <c r="P51" s="1077"/>
      <c r="Q51" s="1077"/>
      <c r="R51" s="207"/>
      <c r="S51" s="521"/>
      <c r="T51" s="2552"/>
      <c r="U51" s="3513"/>
      <c r="V51" s="3513"/>
      <c r="W51" s="1228"/>
      <c r="X51" s="1228"/>
      <c r="Y51" s="1228"/>
      <c r="Z51" s="1228"/>
      <c r="AA51" s="1228"/>
      <c r="AB51" s="1228"/>
      <c r="AC51" s="1228"/>
      <c r="AD51" s="2553"/>
      <c r="AE51" s="1077"/>
      <c r="AF51" s="1077"/>
      <c r="AG51" s="1077"/>
      <c r="AH51" s="1077"/>
      <c r="AI51" s="1077"/>
      <c r="AJ51" s="1077"/>
      <c r="AK51" s="1077"/>
    </row>
    <row r="52" spans="1:113" hidden="1">
      <c r="B52" s="110"/>
      <c r="C52" s="946"/>
      <c r="D52" s="924"/>
      <c r="E52" s="941"/>
      <c r="F52" s="2519"/>
      <c r="G52" s="943"/>
      <c r="H52" s="943"/>
      <c r="I52" s="943"/>
      <c r="J52" s="943"/>
      <c r="K52" s="943"/>
      <c r="L52" s="943"/>
      <c r="M52" s="943"/>
      <c r="N52" s="67"/>
      <c r="O52" s="67"/>
      <c r="P52" s="1077"/>
      <c r="Q52" s="1077"/>
      <c r="R52" s="2554"/>
      <c r="S52" s="521"/>
      <c r="T52" s="2552"/>
      <c r="U52" s="3513"/>
      <c r="V52" s="3513"/>
      <c r="W52" s="1228"/>
      <c r="X52" s="1228"/>
      <c r="Y52" s="1228"/>
      <c r="Z52" s="1228"/>
      <c r="AA52" s="1228"/>
      <c r="AB52" s="1228"/>
      <c r="AC52" s="1228"/>
      <c r="AD52" s="1077"/>
      <c r="AE52" s="1077"/>
      <c r="AF52" s="1077"/>
      <c r="AG52" s="1077"/>
      <c r="AH52" s="1077"/>
      <c r="AI52" s="1077"/>
      <c r="AJ52" s="1077"/>
      <c r="AK52" s="1077"/>
    </row>
    <row r="53" spans="1:113" hidden="1">
      <c r="B53" s="110"/>
      <c r="C53" s="1179"/>
      <c r="D53" s="1079"/>
      <c r="E53" s="980" t="s">
        <v>160</v>
      </c>
      <c r="F53" s="981">
        <v>2013</v>
      </c>
      <c r="G53" s="974">
        <v>2015</v>
      </c>
      <c r="H53" s="974">
        <v>2020</v>
      </c>
      <c r="I53" s="974">
        <v>2025</v>
      </c>
      <c r="J53" s="974">
        <v>2030</v>
      </c>
      <c r="K53" s="974">
        <v>2035</v>
      </c>
      <c r="L53" s="974">
        <v>2040</v>
      </c>
      <c r="M53" s="974">
        <v>2045</v>
      </c>
      <c r="N53" s="974">
        <v>2050</v>
      </c>
      <c r="O53" s="67"/>
      <c r="P53" s="1077"/>
      <c r="Q53" s="1077"/>
      <c r="R53" s="2555"/>
      <c r="S53" s="521"/>
      <c r="T53" s="2552"/>
      <c r="U53" s="2556"/>
      <c r="V53" s="1230"/>
      <c r="W53" s="1230"/>
      <c r="X53" s="1230"/>
      <c r="Y53" s="1230"/>
      <c r="Z53" s="1230"/>
      <c r="AA53" s="1230"/>
      <c r="AB53" s="1230"/>
      <c r="AC53" s="1230"/>
      <c r="AD53" s="1230"/>
      <c r="AE53" s="1077"/>
      <c r="AF53" s="1077"/>
      <c r="AG53" s="1077"/>
      <c r="AH53" s="1077"/>
      <c r="AI53" s="1077"/>
      <c r="AJ53" s="1077"/>
      <c r="AK53" s="1077"/>
    </row>
    <row r="54" spans="1:113" hidden="1">
      <c r="B54" s="110"/>
      <c r="C54" s="976" t="s">
        <v>738</v>
      </c>
      <c r="D54" s="1079"/>
      <c r="E54" s="2424"/>
      <c r="F54" s="2427"/>
      <c r="G54" s="2427"/>
      <c r="H54" s="2427"/>
      <c r="I54" s="2427"/>
      <c r="J54" s="2427"/>
      <c r="K54" s="2427"/>
      <c r="L54" s="2427"/>
      <c r="M54" s="2427"/>
      <c r="N54" s="2427"/>
      <c r="O54" s="67"/>
      <c r="P54" s="1077"/>
      <c r="Q54" s="1077"/>
      <c r="R54" s="2557"/>
      <c r="S54" s="1077"/>
      <c r="T54" s="1077"/>
      <c r="U54" s="3513"/>
      <c r="V54" s="3513"/>
      <c r="W54" s="3513"/>
      <c r="X54" s="3513"/>
      <c r="Y54" s="3513"/>
      <c r="Z54" s="3513"/>
      <c r="AA54" s="3513"/>
      <c r="AB54" s="3513"/>
      <c r="AC54" s="3513"/>
      <c r="AD54" s="3513"/>
      <c r="AE54" s="1077"/>
      <c r="AF54" s="1077"/>
      <c r="AG54" s="1077"/>
      <c r="AH54" s="1077"/>
      <c r="AI54" s="1077"/>
      <c r="AJ54" s="1077"/>
      <c r="AK54" s="1077"/>
    </row>
    <row r="55" spans="1:113" hidden="1">
      <c r="B55" s="110"/>
      <c r="C55" s="952" t="s">
        <v>739</v>
      </c>
      <c r="D55" s="924"/>
      <c r="E55" s="2425"/>
      <c r="F55" s="2428"/>
      <c r="G55" s="2428"/>
      <c r="H55" s="2428"/>
      <c r="I55" s="2428"/>
      <c r="J55" s="2428"/>
      <c r="K55" s="2428"/>
      <c r="L55" s="2428"/>
      <c r="M55" s="2428"/>
      <c r="N55" s="2428"/>
      <c r="O55" s="67"/>
      <c r="P55" s="1077"/>
      <c r="Q55" s="1077"/>
      <c r="R55" s="2557"/>
      <c r="S55" s="521"/>
      <c r="T55" s="3359"/>
      <c r="U55" s="3513"/>
      <c r="V55" s="3513"/>
      <c r="W55" s="3513"/>
      <c r="X55" s="2565"/>
      <c r="Y55" s="2565"/>
      <c r="Z55" s="2565"/>
      <c r="AA55" s="2565"/>
      <c r="AB55" s="2565"/>
      <c r="AC55" s="2565"/>
      <c r="AD55" s="2565"/>
      <c r="AE55" s="2565"/>
      <c r="AF55" s="2565"/>
      <c r="AG55" s="2565"/>
      <c r="AH55" s="1077"/>
      <c r="AI55" s="1077"/>
      <c r="AJ55" s="1077"/>
      <c r="AK55" s="1077"/>
    </row>
    <row r="56" spans="1:113" hidden="1">
      <c r="B56" s="110"/>
      <c r="C56" s="956" t="s">
        <v>740</v>
      </c>
      <c r="D56" s="957"/>
      <c r="E56" s="2426"/>
      <c r="F56" s="2429"/>
      <c r="G56" s="2429"/>
      <c r="H56" s="2429"/>
      <c r="I56" s="2429"/>
      <c r="J56" s="2429"/>
      <c r="K56" s="2429"/>
      <c r="L56" s="2429"/>
      <c r="M56" s="2429"/>
      <c r="N56" s="2429"/>
      <c r="O56" s="67"/>
      <c r="P56" s="1077"/>
      <c r="Q56" s="1077"/>
      <c r="R56" s="2557"/>
      <c r="S56" s="521"/>
      <c r="T56" s="3359"/>
      <c r="U56" s="3513"/>
      <c r="V56" s="3513"/>
      <c r="W56" s="3513"/>
      <c r="X56" s="3513"/>
      <c r="Y56" s="3513"/>
      <c r="Z56" s="3513"/>
      <c r="AA56" s="3513"/>
      <c r="AB56" s="3513"/>
      <c r="AC56" s="3513"/>
      <c r="AD56" s="3513"/>
      <c r="AE56" s="1077"/>
      <c r="AF56" s="1077"/>
      <c r="AG56" s="1077"/>
      <c r="AH56" s="1077"/>
      <c r="AI56" s="1077"/>
      <c r="AJ56" s="1077"/>
      <c r="AK56" s="1077"/>
    </row>
    <row r="57" spans="1:113" hidden="1">
      <c r="B57" s="47"/>
      <c r="C57" s="47"/>
      <c r="D57" s="67"/>
      <c r="E57" s="943"/>
      <c r="F57" s="67"/>
      <c r="G57" s="67"/>
      <c r="H57" s="67"/>
      <c r="I57" s="3436"/>
      <c r="J57" s="3436"/>
      <c r="K57" s="47"/>
      <c r="L57" s="47"/>
      <c r="M57" s="47"/>
      <c r="N57" s="47"/>
      <c r="O57" s="47"/>
      <c r="P57" s="1077"/>
      <c r="Q57" s="1077"/>
      <c r="R57" s="1077"/>
      <c r="S57" s="1077"/>
      <c r="T57" s="1228"/>
      <c r="U57" s="1077"/>
      <c r="V57" s="1077"/>
      <c r="W57" s="1077"/>
      <c r="X57" s="1077"/>
      <c r="Y57" s="3514"/>
      <c r="Z57" s="3514"/>
      <c r="AA57" s="1077"/>
      <c r="AB57" s="1077"/>
      <c r="AC57" s="1077"/>
      <c r="AD57" s="1077"/>
      <c r="AE57" s="1077"/>
      <c r="AF57" s="1077"/>
      <c r="AG57" s="1077"/>
      <c r="AH57" s="1077"/>
      <c r="AI57" s="1077"/>
      <c r="AJ57" s="1077"/>
      <c r="AK57" s="1077"/>
    </row>
    <row r="58" spans="1:113">
      <c r="P58" s="1077"/>
      <c r="Q58" s="1077"/>
      <c r="R58" s="1173"/>
      <c r="S58" s="1173"/>
      <c r="T58" s="1173"/>
      <c r="U58" s="1173"/>
      <c r="V58" s="1173"/>
      <c r="W58" s="1077"/>
      <c r="X58" s="1077"/>
      <c r="Y58" s="1077"/>
      <c r="Z58" s="1077"/>
      <c r="AA58" s="1077"/>
      <c r="AB58" s="1077"/>
      <c r="AC58" s="1077"/>
      <c r="AD58" s="1077"/>
      <c r="AE58" s="1077"/>
      <c r="AF58" s="1077"/>
      <c r="AG58" s="1077"/>
      <c r="AH58" s="1077"/>
      <c r="AI58" s="1077"/>
      <c r="AJ58" s="1077"/>
      <c r="AK58" s="1077"/>
    </row>
    <row r="59" spans="1:113" ht="15.75">
      <c r="B59" s="3482" t="s">
        <v>2735</v>
      </c>
      <c r="F59" s="3482">
        <v>2013</v>
      </c>
      <c r="G59" s="3482">
        <v>2015</v>
      </c>
      <c r="H59" s="3482">
        <v>2020</v>
      </c>
      <c r="I59" s="3482">
        <v>2025</v>
      </c>
      <c r="J59" s="3482">
        <v>2030</v>
      </c>
      <c r="K59" s="3482">
        <v>2035</v>
      </c>
      <c r="L59" s="3482">
        <v>2040</v>
      </c>
      <c r="M59" s="3482">
        <v>2045</v>
      </c>
      <c r="N59" s="3482">
        <v>2050</v>
      </c>
      <c r="P59" s="1077"/>
      <c r="Q59" s="2530"/>
      <c r="R59" s="656"/>
      <c r="S59" s="656"/>
      <c r="T59" s="656"/>
      <c r="U59" s="656"/>
      <c r="V59" s="656"/>
      <c r="W59" s="656"/>
      <c r="X59" s="656"/>
      <c r="Y59" s="656"/>
      <c r="Z59" s="656"/>
      <c r="AA59" s="656"/>
      <c r="AB59" s="656"/>
      <c r="AC59" s="656"/>
      <c r="AD59" s="656"/>
      <c r="AE59" s="656"/>
      <c r="AF59" s="1077"/>
      <c r="AG59" s="1077"/>
      <c r="AH59" s="1077"/>
      <c r="AI59" s="1077"/>
      <c r="AJ59" s="1077"/>
      <c r="AK59" s="1077"/>
    </row>
    <row r="60" spans="1:113">
      <c r="P60" s="1077"/>
      <c r="Q60" s="86"/>
      <c r="R60"/>
      <c r="S60" s="1181"/>
      <c r="T60" s="1181"/>
      <c r="U60" s="1181"/>
      <c r="V60" s="1181"/>
      <c r="W60" s="86"/>
      <c r="X60" s="86"/>
      <c r="Y60" s="86"/>
      <c r="Z60" s="86"/>
      <c r="AA60" s="86"/>
      <c r="AB60" s="86"/>
      <c r="AC60" s="86"/>
      <c r="AD60" s="86"/>
      <c r="AE60" s="86"/>
      <c r="AF60" s="1077"/>
      <c r="AG60" s="1077"/>
      <c r="AH60" s="1077"/>
      <c r="AI60" s="1077"/>
      <c r="AJ60" s="1077"/>
      <c r="AK60" s="1077"/>
    </row>
    <row r="61" spans="1:113" ht="15.75">
      <c r="C61" s="363" t="s">
        <v>2736</v>
      </c>
      <c r="E61" s="382" t="s">
        <v>2748</v>
      </c>
      <c r="F61" s="2510">
        <f t="shared" ref="F61:N61" si="1">F20</f>
        <v>0.08</v>
      </c>
      <c r="G61" s="2510">
        <f t="shared" si="1"/>
        <v>0.55813953488372092</v>
      </c>
      <c r="H61" s="2510">
        <f t="shared" si="1"/>
        <v>1</v>
      </c>
      <c r="I61" s="2510">
        <f t="shared" si="1"/>
        <v>1.5</v>
      </c>
      <c r="J61" s="2510">
        <f t="shared" si="1"/>
        <v>2</v>
      </c>
      <c r="K61" s="2510">
        <f t="shared" si="1"/>
        <v>2.5</v>
      </c>
      <c r="L61" s="2510">
        <f t="shared" si="1"/>
        <v>3</v>
      </c>
      <c r="M61" s="2510">
        <f t="shared" si="1"/>
        <v>4</v>
      </c>
      <c r="N61" s="2510">
        <f t="shared" si="1"/>
        <v>5</v>
      </c>
      <c r="P61" s="1077"/>
      <c r="Q61" s="3427"/>
      <c r="R61"/>
      <c r="S61" s="3429"/>
      <c r="T61" s="3429"/>
      <c r="U61" s="3429"/>
      <c r="V61" s="3429"/>
      <c r="W61" s="3429"/>
      <c r="X61" s="3429"/>
      <c r="Y61" s="3429"/>
      <c r="Z61" s="3429"/>
      <c r="AA61" s="3429"/>
      <c r="AB61" s="3429"/>
      <c r="AC61" s="3429"/>
      <c r="AD61" s="3429"/>
      <c r="AE61" s="3429"/>
      <c r="AF61" s="1077"/>
      <c r="AG61" s="1077"/>
      <c r="AH61" s="1077"/>
      <c r="AI61" s="1077"/>
      <c r="AJ61" s="1077"/>
      <c r="AK61" s="1077"/>
    </row>
    <row r="62" spans="1:113" ht="15" customHeight="1">
      <c r="B62" s="3482" t="s">
        <v>219</v>
      </c>
      <c r="C62" s="3482" t="s">
        <v>220</v>
      </c>
      <c r="E62" s="382"/>
      <c r="F62" s="3515">
        <f>INDEX(Global.Assumptions[Households], MATCH(F$59, Global.Assumptions[Year], 0))</f>
        <v>1672651.1289147851</v>
      </c>
      <c r="G62" s="3515">
        <f>INDEX(Global.Assumptions[Households], MATCH(G$59, Global.Assumptions[Year], 0))</f>
        <v>1724685.0990151383</v>
      </c>
      <c r="H62" s="3515">
        <f>INDEX(Global.Assumptions[Households], MATCH(H$59, Global.Assumptions[Year], 0))</f>
        <v>1818612.4430257217</v>
      </c>
      <c r="I62" s="3515">
        <f>INDEX(Global.Assumptions[Households], MATCH(I$59, Global.Assumptions[Year], 0))</f>
        <v>1912005.4807283345</v>
      </c>
      <c r="J62" s="3515">
        <f>INDEX(Global.Assumptions[Households], MATCH(J$59, Global.Assumptions[Year], 0))</f>
        <v>2000055.258037091</v>
      </c>
      <c r="K62" s="3515">
        <f>INDEX(Global.Assumptions[Households], MATCH(K$59, Global.Assumptions[Year], 0))</f>
        <v>2093076.6415949718</v>
      </c>
      <c r="L62" s="3515">
        <f>INDEX(Global.Assumptions[Households], MATCH(L$59, Global.Assumptions[Year], 0))</f>
        <v>2190930.0548391445</v>
      </c>
      <c r="M62" s="3515">
        <f>INDEX(Global.Assumptions[Households], MATCH(M$59, Global.Assumptions[Year], 0))</f>
        <v>2288187.1680332171</v>
      </c>
      <c r="N62" s="3515">
        <f>INDEX(Global.Assumptions[Households], MATCH(N$59, Global.Assumptions[Year], 0))</f>
        <v>2390510.6792861409</v>
      </c>
      <c r="P62" s="1077"/>
      <c r="Q62" s="3427"/>
      <c r="R62"/>
      <c r="S62" s="3429"/>
      <c r="T62" s="3429"/>
      <c r="U62" s="3429"/>
      <c r="V62" s="3429"/>
      <c r="W62" s="3429"/>
      <c r="X62" s="3429"/>
      <c r="Y62" s="3429"/>
      <c r="Z62" s="3429"/>
      <c r="AA62" s="3429"/>
      <c r="AB62" s="3429"/>
      <c r="AC62" s="3429"/>
      <c r="AD62" s="3429"/>
      <c r="AE62" s="3429"/>
      <c r="AF62" s="1077"/>
      <c r="AG62" s="1077"/>
      <c r="AH62" s="1077"/>
      <c r="AI62" s="1077"/>
      <c r="AJ62" s="1077"/>
      <c r="AK62" s="1077"/>
    </row>
    <row r="63" spans="1:113" ht="15.75">
      <c r="B63" s="3482" t="s">
        <v>221</v>
      </c>
      <c r="C63" s="363" t="s">
        <v>2737</v>
      </c>
      <c r="E63" s="382" t="s">
        <v>2748</v>
      </c>
      <c r="F63" s="3515">
        <f>F61*F62</f>
        <v>133812.09031318282</v>
      </c>
      <c r="G63" s="3515">
        <f t="shared" ref="G63:N63" si="2">G61*G62</f>
        <v>962614.9389851935</v>
      </c>
      <c r="H63" s="3515">
        <f t="shared" si="2"/>
        <v>1818612.4430257217</v>
      </c>
      <c r="I63" s="3515">
        <f t="shared" si="2"/>
        <v>2868008.2210925017</v>
      </c>
      <c r="J63" s="3515">
        <f t="shared" si="2"/>
        <v>4000110.516074182</v>
      </c>
      <c r="K63" s="3515">
        <f t="shared" si="2"/>
        <v>5232691.6039874293</v>
      </c>
      <c r="L63" s="3515">
        <f t="shared" si="2"/>
        <v>6572790.1645174334</v>
      </c>
      <c r="M63" s="3515">
        <f t="shared" si="2"/>
        <v>9152748.6721328683</v>
      </c>
      <c r="N63" s="3515">
        <f t="shared" si="2"/>
        <v>11952553.396430705</v>
      </c>
      <c r="P63" s="1077"/>
      <c r="Q63" s="3427"/>
      <c r="R63"/>
      <c r="S63" s="3429"/>
      <c r="T63" s="3429"/>
      <c r="U63" s="3429"/>
      <c r="V63" s="3429"/>
      <c r="W63" s="3429"/>
      <c r="X63" s="3429"/>
      <c r="Y63" s="3429"/>
      <c r="Z63" s="3429"/>
      <c r="AA63" s="3429"/>
      <c r="AB63" s="3429"/>
      <c r="AC63" s="3429"/>
      <c r="AD63" s="3429"/>
      <c r="AE63" s="3429"/>
      <c r="AF63" s="1077"/>
      <c r="AG63" s="1077"/>
      <c r="AH63" s="1077"/>
      <c r="AI63" s="1077"/>
      <c r="AJ63" s="1077"/>
      <c r="AK63" s="1077"/>
    </row>
    <row r="64" spans="1:113" ht="15.75">
      <c r="C64" s="414" t="s">
        <v>2738</v>
      </c>
      <c r="E64" s="1381" t="s">
        <v>2749</v>
      </c>
      <c r="F64" s="2561">
        <f>F63/INDEX(Global.Assumptions[Population], MATCH(F$59, Global.Assumptions[Year], 0))</f>
        <v>2.9133284777858707E-2</v>
      </c>
      <c r="G64" s="2561">
        <f>G63/INDEX(Global.Assumptions[Population], MATCH(G$59, Global.Assumptions[Year], 0))</f>
        <v>0.20650801401673147</v>
      </c>
      <c r="H64" s="2561">
        <f>H63/INDEX(Global.Assumptions[Population], MATCH(H$59, Global.Assumptions[Year], 0))</f>
        <v>0.37601052829479226</v>
      </c>
      <c r="I64" s="2561">
        <f>I63/INDEX(Global.Assumptions[Population], MATCH(I$59, Global.Assumptions[Year], 0))</f>
        <v>0.5733397037744864</v>
      </c>
      <c r="J64" s="2561">
        <f>J63/INDEX(Global.Assumptions[Population], MATCH(J$59, Global.Assumptions[Year], 0))</f>
        <v>0.77730275942479599</v>
      </c>
      <c r="K64" s="2561">
        <f>K63/INDEX(Global.Assumptions[Population], MATCH(K$59, Global.Assumptions[Year], 0))</f>
        <v>0.98823994465856313</v>
      </c>
      <c r="L64" s="2561">
        <f>L63/INDEX(Global.Assumptions[Population], MATCH(L$59, Global.Assumptions[Year], 0))</f>
        <v>1.2065151819827067</v>
      </c>
      <c r="M64" s="2561">
        <f>M63/INDEX(Global.Assumptions[Population], MATCH(M$59, Global.Assumptions[Year], 0))</f>
        <v>1.6371636140386781</v>
      </c>
      <c r="N64" s="3595">
        <f>N63/INDEX(Global.Assumptions[Population], MATCH(N$59, Global.Assumptions[Year], 0))</f>
        <v>2.0833333333333335</v>
      </c>
      <c r="O64" s="3482" t="s">
        <v>5</v>
      </c>
      <c r="Q64" s="3427"/>
      <c r="R64"/>
      <c r="S64" s="3429"/>
      <c r="T64" s="3429"/>
      <c r="U64" s="3429"/>
      <c r="V64" s="3429"/>
      <c r="W64" s="3429"/>
      <c r="X64" s="3429"/>
      <c r="Y64" s="3429"/>
      <c r="Z64" s="3429"/>
      <c r="AA64" s="3429"/>
      <c r="AB64" s="3429"/>
      <c r="AC64" s="3429"/>
      <c r="AD64" s="3429"/>
      <c r="AE64" s="3429"/>
      <c r="AF64" s="1077"/>
    </row>
    <row r="65" spans="2:32" ht="15.75">
      <c r="B65" s="3482" t="s">
        <v>219</v>
      </c>
      <c r="C65" s="3482" t="s">
        <v>2739</v>
      </c>
      <c r="E65" s="382" t="s">
        <v>1493</v>
      </c>
      <c r="F65" s="2510">
        <f t="shared" ref="F65:N65" si="3">Global.IrelandIncidentSolarEnergy</f>
        <v>100</v>
      </c>
      <c r="G65" s="2510">
        <f t="shared" si="3"/>
        <v>100</v>
      </c>
      <c r="H65" s="2510">
        <f t="shared" si="3"/>
        <v>100</v>
      </c>
      <c r="I65" s="2510">
        <f t="shared" si="3"/>
        <v>100</v>
      </c>
      <c r="J65" s="2510">
        <f t="shared" si="3"/>
        <v>100</v>
      </c>
      <c r="K65" s="2510">
        <f t="shared" si="3"/>
        <v>100</v>
      </c>
      <c r="L65" s="2510">
        <f t="shared" si="3"/>
        <v>100</v>
      </c>
      <c r="M65" s="2510">
        <f t="shared" si="3"/>
        <v>100</v>
      </c>
      <c r="N65" s="2510">
        <f t="shared" si="3"/>
        <v>100</v>
      </c>
      <c r="Q65" s="3427"/>
      <c r="R65"/>
      <c r="S65" s="3429"/>
      <c r="T65" s="3429"/>
      <c r="U65" s="3429"/>
      <c r="V65" s="3429"/>
      <c r="W65" s="3429"/>
      <c r="X65" s="3429"/>
      <c r="Y65" s="3429"/>
      <c r="Z65" s="3429"/>
      <c r="AA65" s="3429"/>
      <c r="AB65" s="3429"/>
      <c r="AC65" s="3429"/>
      <c r="AD65" s="3429"/>
      <c r="AE65" s="3429"/>
      <c r="AF65" s="1077"/>
    </row>
    <row r="66" spans="2:32">
      <c r="B66" s="3482" t="s">
        <v>221</v>
      </c>
      <c r="C66" s="363" t="s">
        <v>2740</v>
      </c>
      <c r="E66" s="382" t="str">
        <f>Preferences.EnergyUnits &amp; " / year"</f>
        <v>TWh / year</v>
      </c>
      <c r="F66" s="2514">
        <f t="shared" ref="F66:N66" si="4">F$63*F$65*Unit.year*Unit.J</f>
        <v>0.11729967836853607</v>
      </c>
      <c r="G66" s="2490">
        <f t="shared" si="4"/>
        <v>0.84382825551442076</v>
      </c>
      <c r="H66" s="2490">
        <f t="shared" si="4"/>
        <v>1.5941956675563476</v>
      </c>
      <c r="I66" s="2490">
        <f t="shared" si="4"/>
        <v>2.5140960066096874</v>
      </c>
      <c r="J66" s="2490">
        <f t="shared" si="4"/>
        <v>3.5064968783906281</v>
      </c>
      <c r="K66" s="2490">
        <f t="shared" si="4"/>
        <v>4.5869774600553805</v>
      </c>
      <c r="L66" s="2490">
        <f t="shared" si="4"/>
        <v>5.7617078582159831</v>
      </c>
      <c r="M66" s="2490">
        <f t="shared" si="4"/>
        <v>8.0232994859916733</v>
      </c>
      <c r="N66" s="2490">
        <f t="shared" si="4"/>
        <v>10.477608307311156</v>
      </c>
      <c r="Q66" s="86"/>
      <c r="R66"/>
      <c r="S66" s="1181"/>
      <c r="T66" s="1181"/>
      <c r="U66" s="1181"/>
      <c r="V66" s="1181"/>
      <c r="W66" s="86"/>
      <c r="X66" s="86"/>
      <c r="Y66" s="86"/>
      <c r="Z66" s="86"/>
      <c r="AA66" s="86"/>
      <c r="AB66" s="86"/>
      <c r="AC66" s="86"/>
      <c r="AD66" s="86"/>
      <c r="AE66" s="86"/>
      <c r="AF66" s="1077"/>
    </row>
    <row r="67" spans="2:32">
      <c r="B67" s="3482" t="s">
        <v>219</v>
      </c>
      <c r="C67" s="3482" t="s">
        <v>1307</v>
      </c>
      <c r="E67" s="382"/>
      <c r="F67" s="3516">
        <f>F$32</f>
        <v>0.35</v>
      </c>
      <c r="G67" s="3516">
        <f t="shared" ref="G67:N67" si="5">G$32</f>
        <v>0.35</v>
      </c>
      <c r="H67" s="3516">
        <f t="shared" si="5"/>
        <v>0.35</v>
      </c>
      <c r="I67" s="3516">
        <f t="shared" si="5"/>
        <v>0.35</v>
      </c>
      <c r="J67" s="3516">
        <f t="shared" si="5"/>
        <v>0.4</v>
      </c>
      <c r="K67" s="3516">
        <f t="shared" si="5"/>
        <v>0.4</v>
      </c>
      <c r="L67" s="3516">
        <f t="shared" si="5"/>
        <v>0.4</v>
      </c>
      <c r="M67" s="3516">
        <f t="shared" si="5"/>
        <v>0.4</v>
      </c>
      <c r="N67" s="3516">
        <f t="shared" si="5"/>
        <v>0.4</v>
      </c>
      <c r="Q67" s="3427"/>
      <c r="R67"/>
      <c r="S67" s="3429"/>
      <c r="T67" s="3429"/>
      <c r="U67" s="3429"/>
      <c r="V67" s="3429"/>
      <c r="W67" s="3429"/>
      <c r="X67" s="3429"/>
      <c r="Y67" s="3429"/>
      <c r="Z67" s="3429"/>
      <c r="AA67" s="3429"/>
      <c r="AB67" s="3429"/>
      <c r="AC67" s="3429"/>
      <c r="AD67" s="3429"/>
      <c r="AE67" s="3429"/>
      <c r="AF67" s="1077"/>
    </row>
    <row r="68" spans="2:32">
      <c r="B68" s="3482" t="s">
        <v>221</v>
      </c>
      <c r="C68" s="363" t="s">
        <v>2741</v>
      </c>
      <c r="E68" s="364" t="str">
        <f>Preferences.EnergyUnits &amp; " / year"</f>
        <v>TWh / year</v>
      </c>
      <c r="F68" s="2514">
        <f t="shared" ref="F68:N68" si="6">F$66*F$67</f>
        <v>4.1054887428987621E-2</v>
      </c>
      <c r="G68" s="2490">
        <f>(G$66*G$67)*Unit.TWh</f>
        <v>0.29533988943004724</v>
      </c>
      <c r="H68" s="2490">
        <f t="shared" si="6"/>
        <v>0.55796848364472162</v>
      </c>
      <c r="I68" s="2490">
        <f t="shared" si="6"/>
        <v>0.87993360231339046</v>
      </c>
      <c r="J68" s="2490">
        <f t="shared" si="6"/>
        <v>1.4025987513562512</v>
      </c>
      <c r="K68" s="2490">
        <f t="shared" si="6"/>
        <v>1.8347909840221523</v>
      </c>
      <c r="L68" s="2490">
        <f t="shared" si="6"/>
        <v>2.3046831432863932</v>
      </c>
      <c r="M68" s="2490">
        <f t="shared" si="6"/>
        <v>3.2093197943966696</v>
      </c>
      <c r="N68" s="2490">
        <f t="shared" si="6"/>
        <v>4.1910433229244628</v>
      </c>
      <c r="Q68" s="86"/>
      <c r="R68"/>
      <c r="S68" s="3517"/>
      <c r="T68" s="3517"/>
      <c r="U68" s="3517"/>
      <c r="V68" s="3517"/>
      <c r="W68" s="3518"/>
      <c r="X68" s="4155"/>
      <c r="Y68" s="4155"/>
      <c r="Z68" s="3429"/>
      <c r="AA68" s="86"/>
      <c r="AB68" s="86"/>
      <c r="AC68" s="86"/>
      <c r="AD68" s="86"/>
      <c r="AE68" s="86"/>
      <c r="AF68" s="1077"/>
    </row>
    <row r="69" spans="2:32">
      <c r="C69" s="363"/>
      <c r="E69" s="382"/>
      <c r="F69" s="2490"/>
      <c r="G69" s="2490"/>
      <c r="H69" s="2490"/>
      <c r="I69" s="2490"/>
      <c r="J69" s="2490"/>
      <c r="K69" s="2490"/>
      <c r="L69" s="2490"/>
      <c r="M69" s="2490"/>
      <c r="N69" s="2490"/>
      <c r="Q69" s="86"/>
      <c r="R69"/>
      <c r="S69" s="3517"/>
      <c r="T69" s="3517"/>
      <c r="U69" s="3517"/>
      <c r="V69" s="3517"/>
      <c r="W69" s="3518"/>
      <c r="X69" s="3517"/>
      <c r="Y69" s="3517"/>
      <c r="Z69" s="3519"/>
      <c r="AA69" s="86"/>
      <c r="AB69" s="86"/>
      <c r="AC69" s="86"/>
      <c r="AD69" s="86"/>
      <c r="AE69" s="86"/>
      <c r="AF69" s="1077"/>
    </row>
    <row r="70" spans="2:32">
      <c r="B70" s="3482" t="s">
        <v>219</v>
      </c>
      <c r="C70" s="3482" t="s">
        <v>2742</v>
      </c>
      <c r="E70" s="382"/>
      <c r="F70" s="3516">
        <f t="shared" ref="F70:N70" si="7">$F37</f>
        <v>7.1428571428571425E-2</v>
      </c>
      <c r="G70" s="3516">
        <f t="shared" si="7"/>
        <v>7.1428571428571425E-2</v>
      </c>
      <c r="H70" s="3516">
        <f t="shared" si="7"/>
        <v>7.1428571428571425E-2</v>
      </c>
      <c r="I70" s="3516">
        <f t="shared" si="7"/>
        <v>7.1428571428571425E-2</v>
      </c>
      <c r="J70" s="3516">
        <f t="shared" si="7"/>
        <v>7.1428571428571425E-2</v>
      </c>
      <c r="K70" s="3516">
        <f t="shared" si="7"/>
        <v>7.1428571428571425E-2</v>
      </c>
      <c r="L70" s="3516">
        <f t="shared" si="7"/>
        <v>7.1428571428571425E-2</v>
      </c>
      <c r="M70" s="3516">
        <f t="shared" si="7"/>
        <v>7.1428571428571425E-2</v>
      </c>
      <c r="N70" s="3516">
        <f t="shared" si="7"/>
        <v>7.1428571428571425E-2</v>
      </c>
      <c r="Q70" s="86"/>
      <c r="R70"/>
      <c r="S70" s="629"/>
      <c r="T70" s="629"/>
      <c r="U70" s="629"/>
      <c r="V70" s="629"/>
      <c r="W70" s="3518"/>
      <c r="X70" s="629"/>
      <c r="Y70" s="629"/>
      <c r="Z70" s="86"/>
      <c r="AA70" s="86"/>
      <c r="AB70" s="86"/>
      <c r="AC70" s="86"/>
      <c r="AD70" s="86"/>
      <c r="AE70" s="86"/>
      <c r="AF70" s="1077"/>
    </row>
    <row r="71" spans="2:32">
      <c r="B71" s="3482" t="s">
        <v>221</v>
      </c>
      <c r="C71" s="363" t="s">
        <v>2743</v>
      </c>
      <c r="E71" s="364" t="str">
        <f>Preferences.EnergyUnits &amp; " / year"</f>
        <v>TWh / year</v>
      </c>
      <c r="F71" s="2490">
        <f t="shared" ref="F71:N71" si="8">F$68*F70</f>
        <v>2.9324919592134012E-3</v>
      </c>
      <c r="G71" s="2490">
        <f t="shared" si="8"/>
        <v>2.1095706387860517E-2</v>
      </c>
      <c r="H71" s="2490">
        <f t="shared" si="8"/>
        <v>3.9854891688908684E-2</v>
      </c>
      <c r="I71" s="2490">
        <f t="shared" si="8"/>
        <v>6.285240016524217E-2</v>
      </c>
      <c r="J71" s="2490">
        <f t="shared" si="8"/>
        <v>0.10018562509687508</v>
      </c>
      <c r="K71" s="2490">
        <f t="shared" si="8"/>
        <v>0.13105649885872517</v>
      </c>
      <c r="L71" s="2490">
        <f t="shared" si="8"/>
        <v>0.16462022452045666</v>
      </c>
      <c r="M71" s="2490">
        <f t="shared" si="8"/>
        <v>0.22923712817119068</v>
      </c>
      <c r="N71" s="2490">
        <f t="shared" si="8"/>
        <v>0.29936023735174733</v>
      </c>
      <c r="Q71" s="86"/>
      <c r="R71" s="3518"/>
      <c r="S71" s="629"/>
      <c r="T71" s="629"/>
      <c r="U71" s="629"/>
      <c r="V71" s="629"/>
      <c r="W71" s="3518"/>
      <c r="X71" s="629"/>
      <c r="Y71" s="629"/>
      <c r="Z71" s="86"/>
      <c r="AA71" s="86"/>
      <c r="AB71" s="86"/>
      <c r="AC71" s="86"/>
      <c r="AD71" s="86"/>
      <c r="AE71" s="86"/>
      <c r="AF71" s="1077"/>
    </row>
    <row r="72" spans="2:32">
      <c r="C72" s="363"/>
      <c r="E72" s="364"/>
      <c r="F72" s="2490"/>
      <c r="G72" s="2490"/>
      <c r="H72" s="2490"/>
      <c r="I72" s="2490"/>
      <c r="J72" s="2490"/>
      <c r="K72" s="2490"/>
      <c r="L72" s="2490"/>
      <c r="M72" s="2490"/>
      <c r="N72" s="2490"/>
      <c r="Q72" s="86"/>
      <c r="R72" s="3520"/>
      <c r="S72" s="3521"/>
      <c r="T72" s="208"/>
      <c r="U72" s="3520"/>
      <c r="V72" s="1181"/>
      <c r="W72" s="86"/>
      <c r="X72" s="3522"/>
      <c r="Y72" s="3385"/>
      <c r="Z72" s="86"/>
      <c r="AA72" s="86"/>
      <c r="AB72" s="86"/>
      <c r="AC72" s="86"/>
      <c r="AD72" s="86"/>
      <c r="AE72" s="86"/>
      <c r="AF72" s="1077"/>
    </row>
    <row r="73" spans="2:32">
      <c r="B73" s="3482" t="s">
        <v>1757</v>
      </c>
      <c r="C73" s="363"/>
      <c r="E73" s="364" t="s">
        <v>280</v>
      </c>
      <c r="F73" s="2490">
        <f t="shared" ref="F73:N73" si="9">F68/((1/Unit.W)*Unit.year*Unit.J)</f>
        <v>4.6834231609613986E-3</v>
      </c>
      <c r="G73" s="2490">
        <f t="shared" si="9"/>
        <v>3.3691522864481772E-2</v>
      </c>
      <c r="H73" s="2490">
        <f t="shared" si="9"/>
        <v>6.3651435505900258E-2</v>
      </c>
      <c r="I73" s="2490">
        <f t="shared" si="9"/>
        <v>0.10038028773823757</v>
      </c>
      <c r="J73" s="2490">
        <f t="shared" si="9"/>
        <v>0.1600044206429673</v>
      </c>
      <c r="K73" s="2490">
        <f t="shared" si="9"/>
        <v>0.2093076641594972</v>
      </c>
      <c r="L73" s="2490">
        <f t="shared" si="9"/>
        <v>0.2629116065806974</v>
      </c>
      <c r="M73" s="2490">
        <f t="shared" si="9"/>
        <v>0.36610994688531479</v>
      </c>
      <c r="N73" s="2490">
        <f t="shared" si="9"/>
        <v>0.47810213585722827</v>
      </c>
      <c r="Q73" s="86"/>
      <c r="R73" s="3520"/>
      <c r="S73" s="3521"/>
      <c r="T73" s="208"/>
      <c r="U73" s="3520"/>
      <c r="V73" s="1181"/>
      <c r="W73" s="86"/>
      <c r="X73" s="3523"/>
      <c r="Y73" s="3385"/>
      <c r="Z73" s="86"/>
      <c r="AA73" s="86"/>
      <c r="AB73" s="86"/>
      <c r="AC73" s="86"/>
      <c r="AD73" s="86"/>
      <c r="AE73" s="86"/>
      <c r="AF73" s="1077"/>
    </row>
    <row r="74" spans="2:32">
      <c r="F74" s="2515"/>
      <c r="G74" s="2515">
        <f>G73</f>
        <v>3.3691522864481772E-2</v>
      </c>
      <c r="H74" s="2516">
        <f>IF((H73-G73)&gt;0,H73-G73,0)</f>
        <v>2.9959912641418486E-2</v>
      </c>
      <c r="I74" s="2516">
        <f t="shared" ref="I74:N74" si="10">IF((I73-H73)&gt;0,I73-H73,0)</f>
        <v>3.6728852232337308E-2</v>
      </c>
      <c r="J74" s="2516">
        <f t="shared" si="10"/>
        <v>5.9624132904729732E-2</v>
      </c>
      <c r="K74" s="2516">
        <f t="shared" si="10"/>
        <v>4.9303243516529899E-2</v>
      </c>
      <c r="L74" s="2516">
        <f t="shared" si="10"/>
        <v>5.3603942421200201E-2</v>
      </c>
      <c r="M74" s="2516">
        <f t="shared" si="10"/>
        <v>0.10319834030461739</v>
      </c>
      <c r="N74" s="2516">
        <f t="shared" si="10"/>
        <v>0.11199218897191349</v>
      </c>
      <c r="P74" s="994"/>
      <c r="Q74" s="86"/>
      <c r="R74" s="86"/>
      <c r="S74" s="86"/>
      <c r="T74" s="3494"/>
      <c r="U74" s="3494"/>
      <c r="V74" s="86"/>
      <c r="W74" s="86"/>
      <c r="X74" s="86"/>
      <c r="Y74" s="86"/>
      <c r="Z74" s="86"/>
      <c r="AA74" s="86"/>
      <c r="AB74" s="86"/>
      <c r="AC74" s="86"/>
      <c r="AD74" s="86"/>
      <c r="AE74" s="86"/>
      <c r="AF74" s="1077"/>
    </row>
    <row r="75" spans="2:32">
      <c r="F75" s="2515"/>
      <c r="G75" s="2515"/>
      <c r="H75" s="2516"/>
      <c r="I75" s="2516"/>
      <c r="J75" s="2516"/>
      <c r="K75" s="2516"/>
      <c r="L75" s="2516"/>
      <c r="M75" s="2516"/>
      <c r="N75" s="2516"/>
      <c r="P75" s="994"/>
      <c r="Q75" s="86"/>
      <c r="R75" s="617"/>
      <c r="S75" s="617"/>
      <c r="T75" s="616"/>
      <c r="U75" s="212"/>
      <c r="V75" s="212"/>
      <c r="W75" s="2539"/>
      <c r="X75" s="86"/>
      <c r="Y75" s="86"/>
      <c r="Z75" s="86"/>
      <c r="AA75" s="86"/>
      <c r="AB75" s="86"/>
      <c r="AC75" s="86"/>
      <c r="AD75" s="86"/>
      <c r="AE75" s="86"/>
      <c r="AF75" s="1077"/>
    </row>
    <row r="76" spans="2:32">
      <c r="B76" s="3482" t="s">
        <v>1106</v>
      </c>
      <c r="D76" s="3482" t="s">
        <v>2744</v>
      </c>
      <c r="F76" s="2515">
        <f>F73/plantsize.IV.b</f>
        <v>60823.677415083097</v>
      </c>
      <c r="G76" s="2515">
        <f>G73/plantsize.IV.b</f>
        <v>437552.24499326979</v>
      </c>
      <c r="H76" s="2515">
        <f t="shared" ref="H76:N76" si="11">H73/plantsize.IV.b</f>
        <v>826642.01955714624</v>
      </c>
      <c r="I76" s="2515">
        <f t="shared" si="11"/>
        <v>1303640.1004965918</v>
      </c>
      <c r="J76" s="2515">
        <f t="shared" si="11"/>
        <v>2077979.4888697052</v>
      </c>
      <c r="K76" s="2515">
        <f t="shared" si="11"/>
        <v>2718281.3527207426</v>
      </c>
      <c r="L76" s="2515">
        <f t="shared" si="11"/>
        <v>3414436.4490999663</v>
      </c>
      <c r="M76" s="2515">
        <f t="shared" si="11"/>
        <v>4754674.6348742181</v>
      </c>
      <c r="N76" s="2515">
        <f t="shared" si="11"/>
        <v>6209118.6474964712</v>
      </c>
      <c r="P76" s="994"/>
      <c r="Q76" s="86"/>
      <c r="R76" s="617"/>
      <c r="S76" s="206"/>
      <c r="T76" s="622"/>
      <c r="U76" s="3433"/>
      <c r="V76" s="3433"/>
      <c r="W76" s="2539"/>
      <c r="X76" s="86"/>
      <c r="Y76" s="86"/>
      <c r="Z76" s="86"/>
      <c r="AA76" s="86"/>
      <c r="AB76" s="86"/>
      <c r="AC76" s="86"/>
      <c r="AD76" s="86"/>
      <c r="AE76" s="86"/>
      <c r="AF76" s="1077"/>
    </row>
    <row r="77" spans="2:32">
      <c r="D77" s="3482" t="s">
        <v>1897</v>
      </c>
      <c r="F77" s="2515"/>
      <c r="G77" s="2515"/>
      <c r="H77" s="2515"/>
      <c r="I77" s="2515"/>
      <c r="J77" s="2515"/>
      <c r="K77" s="2515">
        <f>G76</f>
        <v>437552.24499326979</v>
      </c>
      <c r="L77" s="2515">
        <f>H76</f>
        <v>826642.01955714624</v>
      </c>
      <c r="M77" s="2515">
        <f>I76</f>
        <v>1303640.1004965918</v>
      </c>
      <c r="N77" s="2515">
        <f>J76</f>
        <v>2077979.4888697052</v>
      </c>
      <c r="P77" s="994"/>
      <c r="Q77" s="86"/>
      <c r="R77" s="3434"/>
      <c r="S77" s="206"/>
      <c r="T77" s="622"/>
      <c r="U77" s="3433"/>
      <c r="V77" s="3433"/>
      <c r="W77" s="3435"/>
      <c r="X77" s="86"/>
      <c r="Y77" s="86"/>
      <c r="Z77" s="86"/>
      <c r="AA77" s="86"/>
      <c r="AB77" s="86"/>
      <c r="AC77" s="86"/>
      <c r="AD77" s="86"/>
      <c r="AE77" s="86"/>
      <c r="AF77" s="1077"/>
    </row>
    <row r="78" spans="2:32">
      <c r="D78" s="3482" t="s">
        <v>2745</v>
      </c>
      <c r="F78" s="2515"/>
      <c r="G78" s="2515">
        <f>G76+G77</f>
        <v>437552.24499326979</v>
      </c>
      <c r="H78" s="2515">
        <f t="shared" ref="H78:N78" si="12">H76+H77</f>
        <v>826642.01955714624</v>
      </c>
      <c r="I78" s="2515">
        <f t="shared" si="12"/>
        <v>1303640.1004965918</v>
      </c>
      <c r="J78" s="2515">
        <f t="shared" si="12"/>
        <v>2077979.4888697052</v>
      </c>
      <c r="K78" s="2515">
        <f>K76+K77</f>
        <v>3155833.5977140125</v>
      </c>
      <c r="L78" s="2515">
        <f t="shared" si="12"/>
        <v>4241078.4686571127</v>
      </c>
      <c r="M78" s="2515">
        <f t="shared" si="12"/>
        <v>6058314.7353708101</v>
      </c>
      <c r="N78" s="2515">
        <f t="shared" si="12"/>
        <v>8287098.1363661764</v>
      </c>
      <c r="P78" s="994"/>
      <c r="Q78" s="86"/>
      <c r="R78" s="3428"/>
      <c r="S78" s="206"/>
      <c r="T78" s="622"/>
      <c r="U78" s="3433"/>
      <c r="V78" s="3433"/>
      <c r="W78" s="3435"/>
      <c r="X78" s="86"/>
      <c r="Y78" s="86"/>
      <c r="Z78" s="86"/>
      <c r="AA78" s="86"/>
      <c r="AB78" s="86"/>
      <c r="AC78" s="86"/>
      <c r="AD78" s="86"/>
      <c r="AE78" s="86"/>
      <c r="AF78" s="1077"/>
    </row>
    <row r="79" spans="2:32">
      <c r="D79" s="3482" t="s">
        <v>2746</v>
      </c>
      <c r="F79" s="2515"/>
      <c r="G79" s="2515">
        <f t="shared" ref="G79:N79" si="13">G78/(G59-F59)</f>
        <v>218776.1224966349</v>
      </c>
      <c r="H79" s="2515">
        <f t="shared" si="13"/>
        <v>165328.40391142925</v>
      </c>
      <c r="I79" s="2515">
        <f t="shared" si="13"/>
        <v>260728.02009931835</v>
      </c>
      <c r="J79" s="2515">
        <f t="shared" si="13"/>
        <v>415595.89777394105</v>
      </c>
      <c r="K79" s="2515">
        <f t="shared" si="13"/>
        <v>631166.71954280254</v>
      </c>
      <c r="L79" s="2515">
        <f t="shared" si="13"/>
        <v>848215.69373142254</v>
      </c>
      <c r="M79" s="2515">
        <f t="shared" si="13"/>
        <v>1211662.9470741621</v>
      </c>
      <c r="N79" s="2515">
        <f t="shared" si="13"/>
        <v>1657419.6272732352</v>
      </c>
      <c r="P79" s="994"/>
      <c r="Q79" s="86"/>
      <c r="R79" s="3434"/>
      <c r="S79" s="206"/>
      <c r="T79" s="622"/>
      <c r="U79" s="3433"/>
      <c r="V79" s="3433"/>
      <c r="W79" s="3435"/>
      <c r="X79" s="86"/>
      <c r="Y79" s="86"/>
      <c r="Z79" s="86"/>
      <c r="AA79" s="86"/>
      <c r="AB79" s="86"/>
      <c r="AC79" s="86"/>
      <c r="AD79" s="86"/>
      <c r="AE79" s="86"/>
      <c r="AF79" s="1077"/>
    </row>
    <row r="80" spans="2:32">
      <c r="F80" s="2515"/>
      <c r="G80" s="2515"/>
      <c r="H80" s="2516"/>
      <c r="I80" s="2516"/>
      <c r="J80" s="2516"/>
      <c r="K80" s="2516"/>
      <c r="L80" s="2516"/>
      <c r="M80" s="2516"/>
      <c r="N80" s="2516"/>
      <c r="P80" s="994"/>
      <c r="Q80" s="86"/>
      <c r="R80" s="3434"/>
      <c r="S80" s="206"/>
      <c r="T80" s="622"/>
      <c r="U80" s="212"/>
      <c r="V80" s="1091"/>
      <c r="W80" s="1091"/>
      <c r="X80" s="1091"/>
      <c r="Y80" s="1091"/>
      <c r="Z80" s="1091"/>
      <c r="AA80" s="1091"/>
      <c r="AB80" s="1091"/>
      <c r="AC80" s="1091"/>
      <c r="AD80" s="1091"/>
      <c r="AE80" s="86"/>
      <c r="AF80" s="1077"/>
    </row>
    <row r="81" spans="2:32">
      <c r="B81" s="3611" t="s">
        <v>2798</v>
      </c>
      <c r="F81" s="2515"/>
      <c r="G81" s="2515" t="s">
        <v>5</v>
      </c>
      <c r="H81" s="2515"/>
      <c r="I81" s="2515"/>
      <c r="J81" s="2515"/>
      <c r="K81" s="2515"/>
      <c r="L81" s="2515"/>
      <c r="M81" s="2515"/>
      <c r="N81" s="2515"/>
      <c r="O81" s="2515"/>
      <c r="P81" s="994"/>
      <c r="Q81" s="86"/>
      <c r="R81" s="3524"/>
      <c r="S81" s="3432"/>
      <c r="T81" s="622"/>
      <c r="U81" s="3433"/>
      <c r="V81" s="3433"/>
      <c r="W81" s="3525"/>
      <c r="X81" s="3525"/>
      <c r="Y81" s="3525"/>
      <c r="Z81" s="3525"/>
      <c r="AA81" s="3525"/>
      <c r="AB81" s="3525"/>
      <c r="AC81" s="3525"/>
      <c r="AD81" s="3526"/>
      <c r="AE81" s="86"/>
      <c r="AF81" s="1077"/>
    </row>
    <row r="82" spans="2:32" hidden="1">
      <c r="C82" s="3482" t="s">
        <v>169</v>
      </c>
      <c r="E82" s="3611" t="s">
        <v>2812</v>
      </c>
      <c r="F82" s="2515"/>
      <c r="G82" s="2515"/>
      <c r="H82" s="2515"/>
      <c r="I82" s="2515"/>
      <c r="J82" s="2515"/>
      <c r="K82" s="2515"/>
      <c r="L82" s="2515"/>
      <c r="M82" s="2515"/>
      <c r="N82" s="2515"/>
      <c r="O82" s="2515"/>
      <c r="P82" s="994"/>
      <c r="Q82" s="86"/>
      <c r="R82" s="3524"/>
      <c r="S82" s="3432"/>
      <c r="T82" s="622"/>
      <c r="U82" s="3433"/>
      <c r="V82" s="3433"/>
      <c r="W82" s="3525"/>
      <c r="X82" s="3525"/>
      <c r="Y82" s="3525"/>
      <c r="Z82" s="3525"/>
      <c r="AA82" s="3525"/>
      <c r="AB82" s="3525"/>
      <c r="AC82" s="3525"/>
      <c r="AD82" s="3526"/>
      <c r="AE82" s="86"/>
      <c r="AF82" s="1077"/>
    </row>
    <row r="83" spans="2:32" hidden="1">
      <c r="C83" s="3482" t="s">
        <v>173</v>
      </c>
      <c r="E83" s="3611" t="s">
        <v>2812</v>
      </c>
      <c r="F83" s="2515"/>
      <c r="G83" s="2515"/>
      <c r="H83" s="2515"/>
      <c r="I83" s="2515"/>
      <c r="J83" s="2515"/>
      <c r="K83" s="2515"/>
      <c r="L83" s="2515"/>
      <c r="M83" s="2515"/>
      <c r="N83" s="2515"/>
      <c r="O83" s="2515"/>
      <c r="P83" s="994"/>
      <c r="Q83" s="86"/>
      <c r="R83" s="3524"/>
      <c r="S83" s="206"/>
      <c r="T83" s="622"/>
      <c r="U83" s="3433"/>
      <c r="V83" s="3433"/>
      <c r="W83" s="3435"/>
      <c r="X83" s="3435"/>
      <c r="Y83" s="3435"/>
      <c r="Z83" s="3435"/>
      <c r="AA83" s="3435"/>
      <c r="AB83" s="3435"/>
      <c r="AC83" s="3435"/>
      <c r="AD83" s="86"/>
      <c r="AE83" s="86"/>
      <c r="AF83" s="1077"/>
    </row>
    <row r="84" spans="2:32" hidden="1">
      <c r="C84" s="3482" t="s">
        <v>294</v>
      </c>
      <c r="E84" s="3611" t="s">
        <v>2812</v>
      </c>
      <c r="F84" s="2515"/>
      <c r="G84" s="2515"/>
      <c r="H84" s="2515"/>
      <c r="I84" s="2515"/>
      <c r="J84" s="2515"/>
      <c r="K84" s="2515"/>
      <c r="L84" s="2515"/>
      <c r="M84" s="2515"/>
      <c r="N84" s="2515"/>
      <c r="O84" s="2515"/>
      <c r="P84" s="994"/>
      <c r="Q84" s="86"/>
      <c r="R84" s="3434"/>
      <c r="S84" s="206"/>
      <c r="T84" s="622"/>
      <c r="U84" s="212"/>
      <c r="V84" s="1091"/>
      <c r="W84" s="1091"/>
      <c r="X84" s="1091"/>
      <c r="Y84" s="1091"/>
      <c r="Z84" s="1091"/>
      <c r="AA84" s="1091"/>
      <c r="AB84" s="1091"/>
      <c r="AC84" s="1091"/>
      <c r="AD84" s="1091"/>
      <c r="AE84" s="86"/>
      <c r="AF84" s="1077"/>
    </row>
    <row r="85" spans="2:32" hidden="1">
      <c r="C85" s="363"/>
      <c r="F85" s="2490"/>
      <c r="G85" s="2490"/>
      <c r="H85" s="2490"/>
      <c r="I85" s="2490"/>
      <c r="J85" s="2490"/>
      <c r="K85" s="2490"/>
      <c r="L85" s="2490"/>
      <c r="M85" s="2490"/>
      <c r="N85" s="2490"/>
      <c r="O85" s="2515"/>
      <c r="P85" s="994"/>
      <c r="Q85" s="86"/>
      <c r="R85" s="3524"/>
      <c r="S85" s="3432"/>
      <c r="T85" s="622"/>
      <c r="U85" s="3433"/>
      <c r="V85" s="3433"/>
      <c r="W85" s="3433"/>
      <c r="X85" s="3433"/>
      <c r="Y85" s="3433"/>
      <c r="Z85" s="3433"/>
      <c r="AA85" s="3433"/>
      <c r="AB85" s="3433"/>
      <c r="AC85" s="3433"/>
      <c r="AD85" s="3433"/>
      <c r="AE85" s="86"/>
      <c r="AF85" s="1077"/>
    </row>
    <row r="86" spans="2:32" hidden="1">
      <c r="B86" s="3482" t="s">
        <v>295</v>
      </c>
      <c r="F86" s="2515"/>
      <c r="G86" s="2515"/>
      <c r="H86" s="2515"/>
      <c r="I86" s="2515"/>
      <c r="J86" s="2515"/>
      <c r="K86" s="2515"/>
      <c r="L86" s="2515"/>
      <c r="M86" s="2515"/>
      <c r="N86" s="2515"/>
      <c r="O86" s="2515"/>
      <c r="P86" s="994"/>
      <c r="Q86" s="86"/>
      <c r="R86" s="3524"/>
      <c r="S86" s="3432"/>
      <c r="T86" s="622"/>
      <c r="U86" s="3433"/>
      <c r="V86" s="3433"/>
      <c r="W86" s="3433"/>
      <c r="X86" s="3433"/>
      <c r="Y86" s="3433"/>
      <c r="Z86" s="3433"/>
      <c r="AA86" s="3433"/>
      <c r="AB86" s="3433"/>
      <c r="AC86" s="3433"/>
      <c r="AD86" s="3433"/>
      <c r="AE86" s="86"/>
      <c r="AF86" s="1077"/>
    </row>
    <row r="87" spans="2:32" hidden="1">
      <c r="C87" s="3482" t="s">
        <v>169</v>
      </c>
      <c r="E87" s="3611" t="s">
        <v>2812</v>
      </c>
      <c r="F87" s="2515"/>
      <c r="G87" s="2515"/>
      <c r="H87" s="2515"/>
      <c r="I87" s="2515"/>
      <c r="J87" s="2515"/>
      <c r="K87" s="2515"/>
      <c r="L87" s="2515"/>
      <c r="M87" s="2515"/>
      <c r="N87" s="2515"/>
      <c r="O87" s="2515"/>
      <c r="P87" s="994"/>
      <c r="Q87" s="86"/>
      <c r="R87" s="86"/>
      <c r="S87" s="86"/>
      <c r="T87" s="3435"/>
      <c r="U87" s="86"/>
      <c r="V87" s="86"/>
      <c r="W87" s="86"/>
      <c r="X87" s="86"/>
      <c r="Y87" s="3527"/>
      <c r="Z87" s="3527"/>
      <c r="AA87" s="86"/>
      <c r="AB87" s="86"/>
      <c r="AC87" s="86"/>
      <c r="AD87" s="86"/>
      <c r="AE87" s="86"/>
      <c r="AF87" s="1077"/>
    </row>
    <row r="88" spans="2:32" hidden="1">
      <c r="C88" s="3482" t="s">
        <v>173</v>
      </c>
      <c r="E88" s="3611" t="s">
        <v>2812</v>
      </c>
      <c r="F88" s="2515"/>
      <c r="G88" s="2515"/>
      <c r="H88" s="2515"/>
      <c r="I88" s="2515"/>
      <c r="J88" s="2515"/>
      <c r="K88" s="2515"/>
      <c r="L88" s="2515"/>
      <c r="M88" s="2515"/>
      <c r="N88" s="2515"/>
      <c r="O88" s="2515"/>
      <c r="P88" s="994"/>
      <c r="Q88" s="86"/>
      <c r="R88" s="86"/>
      <c r="S88" s="86"/>
      <c r="T88" s="3494"/>
      <c r="U88" s="3494"/>
      <c r="V88" s="86"/>
      <c r="W88" s="86"/>
      <c r="X88" s="86"/>
      <c r="Y88" s="86"/>
      <c r="Z88" s="86"/>
      <c r="AA88" s="86"/>
      <c r="AB88" s="86"/>
      <c r="AC88" s="86"/>
      <c r="AD88" s="86"/>
      <c r="AE88" s="86"/>
      <c r="AF88" s="1077"/>
    </row>
    <row r="89" spans="2:32" hidden="1">
      <c r="C89" s="3482" t="s">
        <v>294</v>
      </c>
      <c r="E89" s="3611" t="s">
        <v>2812</v>
      </c>
      <c r="F89" s="2515"/>
      <c r="G89" s="2515"/>
      <c r="H89" s="2515"/>
      <c r="I89" s="2515"/>
      <c r="J89" s="2515"/>
      <c r="K89" s="2515"/>
      <c r="L89" s="2515"/>
      <c r="M89" s="2515"/>
      <c r="N89" s="2515"/>
      <c r="Q89" s="86"/>
      <c r="R89" s="86"/>
      <c r="S89" s="3528"/>
      <c r="T89" s="86"/>
      <c r="U89" s="86"/>
      <c r="V89" s="86"/>
      <c r="W89" s="86"/>
      <c r="X89" s="86"/>
      <c r="Y89" s="86"/>
      <c r="Z89" s="86"/>
      <c r="AA89" s="86"/>
      <c r="AB89" s="86"/>
      <c r="AC89" s="86"/>
      <c r="AD89" s="86"/>
      <c r="AE89" s="86"/>
      <c r="AF89" s="1077"/>
    </row>
    <row r="90" spans="2:32" hidden="1">
      <c r="F90" s="2515"/>
      <c r="G90" s="2515"/>
      <c r="H90" s="2515"/>
      <c r="I90" s="2515"/>
      <c r="J90" s="2515"/>
      <c r="K90" s="2515"/>
      <c r="L90" s="2515"/>
      <c r="M90" s="2515"/>
      <c r="N90" s="2515"/>
      <c r="Q90" s="86"/>
      <c r="R90" s="86"/>
      <c r="S90" s="86"/>
      <c r="T90" s="86"/>
      <c r="U90" s="86"/>
      <c r="V90" s="86"/>
      <c r="W90" s="86"/>
      <c r="X90" s="86"/>
      <c r="Y90" s="86"/>
      <c r="Z90" s="86"/>
      <c r="AA90" s="86"/>
      <c r="AB90" s="86"/>
      <c r="AC90" s="86"/>
      <c r="AD90" s="86"/>
      <c r="AE90" s="86"/>
      <c r="AF90" s="1077"/>
    </row>
    <row r="91" spans="2:32" hidden="1">
      <c r="B91" s="3482" t="s">
        <v>293</v>
      </c>
      <c r="F91" s="2515"/>
      <c r="G91" s="2515"/>
      <c r="H91" s="2515"/>
      <c r="I91" s="2515"/>
      <c r="J91" s="2515"/>
      <c r="K91" s="2515"/>
      <c r="L91" s="2515"/>
      <c r="M91" s="2515"/>
      <c r="N91" s="2515"/>
      <c r="Q91" s="1077"/>
      <c r="R91" s="1077"/>
      <c r="S91" s="1077"/>
      <c r="T91" s="1077"/>
      <c r="U91" s="1077"/>
      <c r="V91" s="1077"/>
      <c r="W91" s="1077"/>
      <c r="X91" s="1077"/>
      <c r="Y91" s="1077"/>
      <c r="Z91" s="1077"/>
      <c r="AA91" s="1077"/>
      <c r="AB91" s="1077"/>
      <c r="AC91" s="1077"/>
      <c r="AD91" s="1077"/>
      <c r="AE91" s="1077"/>
      <c r="AF91" s="1077"/>
    </row>
    <row r="92" spans="2:32" hidden="1">
      <c r="C92" s="3482" t="s">
        <v>169</v>
      </c>
      <c r="E92" s="3611" t="s">
        <v>2812</v>
      </c>
      <c r="F92" s="2515"/>
      <c r="G92" s="2515"/>
      <c r="H92" s="2515"/>
      <c r="I92" s="2515"/>
      <c r="J92" s="2515"/>
      <c r="K92" s="2515"/>
      <c r="L92" s="2515"/>
      <c r="M92" s="2515"/>
      <c r="N92" s="2515"/>
    </row>
    <row r="93" spans="2:32" hidden="1">
      <c r="C93" s="3482" t="s">
        <v>173</v>
      </c>
      <c r="E93" s="3611" t="s">
        <v>2812</v>
      </c>
      <c r="F93" s="2515"/>
      <c r="G93" s="2515"/>
      <c r="H93" s="2515"/>
      <c r="I93" s="2515"/>
      <c r="J93" s="2515"/>
      <c r="K93" s="2515"/>
      <c r="L93" s="2515"/>
      <c r="M93" s="2515"/>
      <c r="N93" s="2515"/>
    </row>
    <row r="94" spans="2:32" hidden="1">
      <c r="C94" s="3482" t="s">
        <v>294</v>
      </c>
      <c r="E94" s="3611" t="s">
        <v>2812</v>
      </c>
      <c r="F94" s="2515"/>
      <c r="G94" s="2515"/>
      <c r="H94" s="2515"/>
      <c r="I94" s="2515"/>
      <c r="J94" s="2515"/>
      <c r="K94" s="2515"/>
      <c r="L94" s="2515"/>
      <c r="M94" s="2515"/>
      <c r="N94" s="2515"/>
    </row>
    <row r="96" spans="2:32" ht="15.75">
      <c r="B96" s="511" t="s">
        <v>299</v>
      </c>
      <c r="C96" s="512"/>
      <c r="D96" s="512"/>
      <c r="E96" s="512"/>
      <c r="F96" s="512"/>
      <c r="G96" s="512"/>
      <c r="H96" s="512"/>
      <c r="I96" s="512"/>
      <c r="J96" s="512"/>
      <c r="K96" s="512"/>
      <c r="L96" s="512"/>
      <c r="M96" s="512"/>
      <c r="N96" s="512"/>
      <c r="O96" s="866"/>
    </row>
    <row r="97" spans="1:17">
      <c r="B97" s="514"/>
      <c r="C97" s="515"/>
      <c r="D97" s="515"/>
      <c r="E97" s="515"/>
      <c r="F97" s="515"/>
      <c r="G97" s="515"/>
      <c r="H97" s="515"/>
      <c r="I97" s="515"/>
      <c r="J97" s="515"/>
      <c r="K97" s="515"/>
      <c r="L97" s="515"/>
      <c r="M97" s="515"/>
      <c r="N97" s="515"/>
      <c r="O97" s="867"/>
      <c r="Q97" s="3482" t="s">
        <v>5</v>
      </c>
    </row>
    <row r="98" spans="1:17">
      <c r="B98" s="514"/>
      <c r="C98" s="34" t="s">
        <v>765</v>
      </c>
      <c r="D98" s="515"/>
      <c r="E98" s="516"/>
      <c r="F98" s="515"/>
      <c r="G98" s="515"/>
      <c r="H98" s="515"/>
      <c r="I98" s="515"/>
      <c r="J98" s="515"/>
      <c r="K98" s="515"/>
      <c r="L98" s="515"/>
      <c r="M98" s="515"/>
      <c r="N98" s="516" t="str">
        <f>Preferences.EnergyUnits</f>
        <v>TWh</v>
      </c>
      <c r="O98" s="867"/>
    </row>
    <row r="99" spans="1:17">
      <c r="B99" s="514"/>
      <c r="C99" s="515"/>
      <c r="D99" s="515"/>
      <c r="E99" s="515"/>
      <c r="F99" s="515"/>
      <c r="G99" s="515"/>
      <c r="H99" s="515"/>
      <c r="I99" s="515"/>
      <c r="J99" s="515"/>
      <c r="K99" s="515"/>
      <c r="L99" s="515"/>
      <c r="M99" s="515"/>
      <c r="N99" s="515"/>
      <c r="O99" s="867"/>
    </row>
    <row r="100" spans="1:17" ht="15.75">
      <c r="B100" s="15"/>
      <c r="C100" s="873" t="s">
        <v>28</v>
      </c>
      <c r="D100" s="873" t="s">
        <v>29</v>
      </c>
      <c r="E100" s="873" t="s">
        <v>30</v>
      </c>
      <c r="F100" s="873" t="s">
        <v>597</v>
      </c>
      <c r="G100" s="873" t="s">
        <v>133</v>
      </c>
      <c r="H100" s="873" t="s">
        <v>134</v>
      </c>
      <c r="I100" s="873" t="s">
        <v>135</v>
      </c>
      <c r="J100" s="873" t="s">
        <v>136</v>
      </c>
      <c r="K100" s="873" t="s">
        <v>137</v>
      </c>
      <c r="L100" s="873" t="s">
        <v>138</v>
      </c>
      <c r="M100" s="873" t="s">
        <v>139</v>
      </c>
      <c r="N100" s="873" t="s">
        <v>140</v>
      </c>
      <c r="O100" s="867"/>
    </row>
    <row r="101" spans="1:17" ht="15.75">
      <c r="B101" s="15"/>
      <c r="C101" s="17" t="s">
        <v>31</v>
      </c>
      <c r="D101" s="2487" t="str">
        <f>INDEX(Vectors[Description], MATCH([Vector], Vectors[Code], 0))</f>
        <v>Domestic solar thermal</v>
      </c>
      <c r="E101" s="17"/>
      <c r="F101" s="2521">
        <f t="shared" ref="F101:N101" si="14">F$68</f>
        <v>4.1054887428987621E-2</v>
      </c>
      <c r="G101" s="2521">
        <f t="shared" si="14"/>
        <v>0.29533988943004724</v>
      </c>
      <c r="H101" s="2521">
        <f t="shared" si="14"/>
        <v>0.55796848364472162</v>
      </c>
      <c r="I101" s="2521">
        <f t="shared" si="14"/>
        <v>0.87993360231339046</v>
      </c>
      <c r="J101" s="2521">
        <f t="shared" si="14"/>
        <v>1.4025987513562512</v>
      </c>
      <c r="K101" s="2521">
        <f t="shared" si="14"/>
        <v>1.8347909840221523</v>
      </c>
      <c r="L101" s="2521">
        <f t="shared" si="14"/>
        <v>2.3046831432863932</v>
      </c>
      <c r="M101" s="2521">
        <f t="shared" si="14"/>
        <v>3.2093197943966696</v>
      </c>
      <c r="N101" s="2521">
        <f t="shared" si="14"/>
        <v>4.1910433229244628</v>
      </c>
      <c r="O101" s="867"/>
    </row>
    <row r="102" spans="1:17" ht="15.75">
      <c r="B102" s="15"/>
      <c r="C102" s="17" t="s">
        <v>446</v>
      </c>
      <c r="D102" s="2487" t="str">
        <f>INDEX(Vectors[Description], MATCH([Vector], Vectors[Code], 0))</f>
        <v>Solar</v>
      </c>
      <c r="E102" s="17"/>
      <c r="F102" s="2521">
        <f t="shared" ref="F102:N102" si="15">-F$68</f>
        <v>-4.1054887428987621E-2</v>
      </c>
      <c r="G102" s="2521">
        <f t="shared" si="15"/>
        <v>-0.29533988943004724</v>
      </c>
      <c r="H102" s="2521">
        <f t="shared" si="15"/>
        <v>-0.55796848364472162</v>
      </c>
      <c r="I102" s="2521">
        <f t="shared" si="15"/>
        <v>-0.87993360231339046</v>
      </c>
      <c r="J102" s="2521">
        <f t="shared" si="15"/>
        <v>-1.4025987513562512</v>
      </c>
      <c r="K102" s="2521">
        <f t="shared" si="15"/>
        <v>-1.8347909840221523</v>
      </c>
      <c r="L102" s="2521">
        <f t="shared" si="15"/>
        <v>-2.3046831432863932</v>
      </c>
      <c r="M102" s="2521">
        <f t="shared" si="15"/>
        <v>-3.2093197943966696</v>
      </c>
      <c r="N102" s="2521">
        <f t="shared" si="15"/>
        <v>-4.1910433229244628</v>
      </c>
      <c r="O102" s="867"/>
    </row>
    <row r="103" spans="1:17" ht="15.75">
      <c r="B103" s="15"/>
      <c r="C103" s="17" t="s">
        <v>96</v>
      </c>
      <c r="D103" s="2487" t="str">
        <f>INDEX(Vectors[Description], MATCH([Vector], Vectors[Code], 0))</f>
        <v>Electricity (delivered to end user)</v>
      </c>
      <c r="E103" s="17"/>
      <c r="F103" s="2521">
        <f t="shared" ref="F103:N103" si="16">-F$71</f>
        <v>-2.9324919592134012E-3</v>
      </c>
      <c r="G103" s="2521">
        <f t="shared" si="16"/>
        <v>-2.1095706387860517E-2</v>
      </c>
      <c r="H103" s="2521">
        <f t="shared" si="16"/>
        <v>-3.9854891688908684E-2</v>
      </c>
      <c r="I103" s="2521">
        <f t="shared" si="16"/>
        <v>-6.285240016524217E-2</v>
      </c>
      <c r="J103" s="2521">
        <f t="shared" si="16"/>
        <v>-0.10018562509687508</v>
      </c>
      <c r="K103" s="2521">
        <f t="shared" si="16"/>
        <v>-0.13105649885872517</v>
      </c>
      <c r="L103" s="2521">
        <f t="shared" si="16"/>
        <v>-0.16462022452045666</v>
      </c>
      <c r="M103" s="2521">
        <f t="shared" si="16"/>
        <v>-0.22923712817119068</v>
      </c>
      <c r="N103" s="2521">
        <f t="shared" si="16"/>
        <v>-0.29936023735174733</v>
      </c>
      <c r="O103" s="867"/>
    </row>
    <row r="104" spans="1:17" ht="15.75">
      <c r="B104" s="15"/>
      <c r="C104" s="17" t="s">
        <v>416</v>
      </c>
      <c r="D104" s="2487" t="str">
        <f>INDEX(Vectors[Description], MATCH([Vector], Vectors[Code], 0))</f>
        <v>Lighting &amp; appliances</v>
      </c>
      <c r="E104" s="17"/>
      <c r="F104" s="2521">
        <f t="shared" ref="F104:N104" si="17">F$71</f>
        <v>2.9324919592134012E-3</v>
      </c>
      <c r="G104" s="2521">
        <f t="shared" si="17"/>
        <v>2.1095706387860517E-2</v>
      </c>
      <c r="H104" s="2521">
        <f t="shared" si="17"/>
        <v>3.9854891688908684E-2</v>
      </c>
      <c r="I104" s="2521">
        <f t="shared" si="17"/>
        <v>6.285240016524217E-2</v>
      </c>
      <c r="J104" s="2521">
        <f t="shared" si="17"/>
        <v>0.10018562509687508</v>
      </c>
      <c r="K104" s="2521">
        <f t="shared" si="17"/>
        <v>0.13105649885872517</v>
      </c>
      <c r="L104" s="2521">
        <f t="shared" si="17"/>
        <v>0.16462022452045666</v>
      </c>
      <c r="M104" s="2521">
        <f t="shared" si="17"/>
        <v>0.22923712817119068</v>
      </c>
      <c r="N104" s="2521">
        <f t="shared" si="17"/>
        <v>0.29936023735174733</v>
      </c>
      <c r="O104" s="867"/>
    </row>
    <row r="105" spans="1:17" ht="15.75">
      <c r="B105" s="15"/>
      <c r="C105" s="2462" t="s">
        <v>59</v>
      </c>
      <c r="D105" s="2462"/>
      <c r="E105" s="2462"/>
      <c r="F105" s="2465">
        <f>SUBTOTAL(105,[2013])</f>
        <v>-4.1054887428987621E-2</v>
      </c>
      <c r="G105" s="2465">
        <f>SUBTOTAL(105,[2015])</f>
        <v>-0.29533988943004724</v>
      </c>
      <c r="H105" s="2465">
        <f>SUBTOTAL(105,[2020])</f>
        <v>-0.55796848364472162</v>
      </c>
      <c r="I105" s="2465">
        <f>SUBTOTAL(105,[2025])</f>
        <v>-0.87993360231339046</v>
      </c>
      <c r="J105" s="2465">
        <f>SUBTOTAL(105,[2030])</f>
        <v>-1.4025987513562512</v>
      </c>
      <c r="K105" s="2465">
        <f>SUBTOTAL(105,[2035])</f>
        <v>-1.8347909840221523</v>
      </c>
      <c r="L105" s="2465">
        <f>SUBTOTAL(105,[2040])</f>
        <v>-2.3046831432863932</v>
      </c>
      <c r="M105" s="2465">
        <f>SUBTOTAL(105,[2045])</f>
        <v>-3.2093197943966696</v>
      </c>
      <c r="N105" s="2465">
        <f>SUBTOTAL(105,[2050])</f>
        <v>-4.1910433229244628</v>
      </c>
      <c r="O105" s="867"/>
    </row>
    <row r="106" spans="1:17" ht="15.75">
      <c r="B106" s="15"/>
      <c r="C106" s="452"/>
      <c r="D106" s="452"/>
      <c r="E106" s="452"/>
      <c r="F106" s="452"/>
      <c r="G106" s="452"/>
      <c r="H106" s="452"/>
      <c r="I106" s="452"/>
      <c r="J106" s="452"/>
      <c r="K106" s="452"/>
      <c r="L106" s="452"/>
      <c r="M106" s="452"/>
      <c r="N106" s="452"/>
      <c r="O106" s="35"/>
    </row>
    <row r="107" spans="1:17" ht="23.25">
      <c r="A107" s="7"/>
    </row>
    <row r="108" spans="1:17" ht="15.75">
      <c r="B108" s="995" t="s">
        <v>313</v>
      </c>
      <c r="C108" s="996"/>
      <c r="D108" s="997"/>
      <c r="E108" s="997"/>
      <c r="F108" s="997"/>
      <c r="G108" s="997"/>
      <c r="H108" s="997"/>
      <c r="I108" s="997"/>
      <c r="J108" s="997"/>
      <c r="K108" s="997"/>
      <c r="L108" s="997"/>
      <c r="M108" s="997"/>
      <c r="N108" s="997"/>
      <c r="O108" s="998"/>
    </row>
    <row r="109" spans="1:17">
      <c r="B109" s="999"/>
      <c r="C109" s="1000"/>
      <c r="D109" s="1000"/>
      <c r="E109" s="1000"/>
      <c r="F109" s="1000"/>
      <c r="G109" s="1000"/>
      <c r="H109" s="1000"/>
      <c r="I109" s="1000"/>
      <c r="J109" s="1000"/>
      <c r="K109" s="1000"/>
      <c r="L109" s="1000"/>
      <c r="M109" s="1000"/>
      <c r="N109" s="1000"/>
      <c r="O109" s="1001"/>
    </row>
    <row r="110" spans="1:17">
      <c r="B110" s="1002"/>
      <c r="C110" s="488" t="s">
        <v>314</v>
      </c>
      <c r="D110" s="1003"/>
      <c r="E110" s="1004"/>
      <c r="F110" s="1003"/>
      <c r="G110" s="1003"/>
      <c r="H110" s="1003"/>
      <c r="I110" s="1003"/>
      <c r="J110" s="1003"/>
      <c r="K110" s="1003"/>
      <c r="L110" s="1003"/>
      <c r="M110" s="1003"/>
      <c r="N110" s="1004"/>
      <c r="O110" s="1005"/>
    </row>
    <row r="111" spans="1:17" ht="15.75">
      <c r="A111" s="443"/>
      <c r="B111" s="1002"/>
      <c r="C111" s="1003"/>
      <c r="D111" s="1003"/>
      <c r="E111" s="1003"/>
      <c r="F111" s="1003"/>
      <c r="G111" s="1003"/>
      <c r="H111" s="1003"/>
      <c r="I111" s="1003"/>
      <c r="J111" s="1003"/>
      <c r="K111" s="1003"/>
      <c r="L111" s="1003"/>
      <c r="M111" s="1003"/>
      <c r="N111" s="1003"/>
      <c r="O111" s="1005"/>
    </row>
    <row r="112" spans="1:17" ht="15.75">
      <c r="A112" s="443"/>
      <c r="B112" s="492"/>
      <c r="C112" s="1006" t="s">
        <v>28</v>
      </c>
      <c r="D112" s="1006" t="s">
        <v>315</v>
      </c>
      <c r="E112" s="1006" t="s">
        <v>30</v>
      </c>
      <c r="F112" s="1006" t="s">
        <v>597</v>
      </c>
      <c r="G112" s="1006" t="s">
        <v>133</v>
      </c>
      <c r="H112" s="1006" t="s">
        <v>134</v>
      </c>
      <c r="I112" s="1006" t="s">
        <v>135</v>
      </c>
      <c r="J112" s="1006" t="s">
        <v>136</v>
      </c>
      <c r="K112" s="1006" t="s">
        <v>137</v>
      </c>
      <c r="L112" s="1006" t="s">
        <v>138</v>
      </c>
      <c r="M112" s="1006" t="s">
        <v>139</v>
      </c>
      <c r="N112" s="1006" t="s">
        <v>140</v>
      </c>
      <c r="O112" s="1005"/>
    </row>
    <row r="113" spans="1:25" ht="15.75">
      <c r="A113" s="443"/>
      <c r="B113" s="492"/>
      <c r="C113" s="1007" t="s">
        <v>887</v>
      </c>
      <c r="D113" s="1007" t="s">
        <v>2747</v>
      </c>
      <c r="E113" s="494" t="str">
        <f>Preferences.AreaUnits</f>
        <v>km^2</v>
      </c>
      <c r="F113" s="2438">
        <f t="shared" ref="F113:N113" si="18">F63*Unit.m2</f>
        <v>0.13381209031318281</v>
      </c>
      <c r="G113" s="2438">
        <f t="shared" si="18"/>
        <v>0.96261493898519346</v>
      </c>
      <c r="H113" s="2438">
        <f t="shared" si="18"/>
        <v>1.8186124430257216</v>
      </c>
      <c r="I113" s="2438">
        <f t="shared" si="18"/>
        <v>2.8680082210925013</v>
      </c>
      <c r="J113" s="2438">
        <f t="shared" si="18"/>
        <v>4.0001105160741819</v>
      </c>
      <c r="K113" s="2438">
        <f t="shared" si="18"/>
        <v>5.2326916039874289</v>
      </c>
      <c r="L113" s="2438">
        <f t="shared" si="18"/>
        <v>6.5727901645174329</v>
      </c>
      <c r="M113" s="2438">
        <f t="shared" si="18"/>
        <v>9.1527486721328675</v>
      </c>
      <c r="N113" s="2438">
        <f t="shared" si="18"/>
        <v>11.952553396430703</v>
      </c>
      <c r="O113" s="1005"/>
      <c r="Q113" s="1077"/>
      <c r="R113" s="1077"/>
      <c r="S113" s="1077"/>
      <c r="T113" s="1077"/>
      <c r="U113" s="1077"/>
      <c r="V113" s="1077"/>
      <c r="W113" s="1077"/>
      <c r="X113" s="1077"/>
      <c r="Y113" s="1077"/>
    </row>
    <row r="114" spans="1:25" ht="15.75">
      <c r="A114" s="443"/>
      <c r="B114" s="492"/>
      <c r="C114" s="1007" t="s">
        <v>767</v>
      </c>
      <c r="D114" s="494" t="s">
        <v>768</v>
      </c>
      <c r="E114" s="494" t="str">
        <f>Preferences.PowerUnits</f>
        <v>GW</v>
      </c>
      <c r="F114" s="2438">
        <f t="shared" ref="F114:N114" si="19">F73</f>
        <v>4.6834231609613986E-3</v>
      </c>
      <c r="G114" s="2438">
        <f t="shared" si="19"/>
        <v>3.3691522864481772E-2</v>
      </c>
      <c r="H114" s="2438">
        <f t="shared" si="19"/>
        <v>6.3651435505900258E-2</v>
      </c>
      <c r="I114" s="2438">
        <f t="shared" si="19"/>
        <v>0.10038028773823757</v>
      </c>
      <c r="J114" s="2438">
        <f t="shared" si="19"/>
        <v>0.1600044206429673</v>
      </c>
      <c r="K114" s="2438">
        <f t="shared" si="19"/>
        <v>0.2093076641594972</v>
      </c>
      <c r="L114" s="2438">
        <f t="shared" si="19"/>
        <v>0.2629116065806974</v>
      </c>
      <c r="M114" s="2438">
        <f t="shared" si="19"/>
        <v>0.36610994688531479</v>
      </c>
      <c r="N114" s="2438">
        <f t="shared" si="19"/>
        <v>0.47810213585722827</v>
      </c>
      <c r="O114" s="1005"/>
      <c r="Q114" s="1077"/>
      <c r="R114" s="1077"/>
      <c r="S114" s="1077"/>
      <c r="T114" s="1077"/>
      <c r="U114" s="1077"/>
      <c r="V114" s="1077"/>
      <c r="W114" s="1077"/>
      <c r="X114" s="1077"/>
      <c r="Y114" s="1077"/>
    </row>
    <row r="115" spans="1:25" ht="15.75">
      <c r="A115" s="443"/>
      <c r="B115" s="497"/>
      <c r="C115" s="1010"/>
      <c r="D115" s="1010"/>
      <c r="E115" s="1010"/>
      <c r="F115" s="1010"/>
      <c r="G115" s="1010"/>
      <c r="H115" s="1010"/>
      <c r="I115" s="1010"/>
      <c r="J115" s="1010"/>
      <c r="K115" s="1010"/>
      <c r="L115" s="1010"/>
      <c r="M115" s="1010"/>
      <c r="N115" s="1010"/>
      <c r="O115" s="1011"/>
      <c r="Q115" s="1077"/>
      <c r="R115" s="1077"/>
      <c r="S115" s="1077"/>
      <c r="T115" s="1077"/>
      <c r="U115" s="1077"/>
      <c r="V115" s="1077"/>
      <c r="W115" s="1077"/>
      <c r="X115" s="1077"/>
      <c r="Y115" s="1077"/>
    </row>
    <row r="116" spans="1:25" ht="15.75">
      <c r="A116" s="443"/>
      <c r="Q116" s="1077"/>
      <c r="R116" s="1077"/>
      <c r="S116" s="1077"/>
      <c r="T116" s="1077"/>
      <c r="U116" s="1077"/>
      <c r="V116" s="1077"/>
      <c r="W116" s="1077"/>
      <c r="X116" s="1077"/>
      <c r="Y116" s="1077"/>
    </row>
    <row r="117" spans="1:25" ht="15.75">
      <c r="A117" s="443"/>
      <c r="B117" s="995" t="s">
        <v>2795</v>
      </c>
      <c r="C117" s="997"/>
      <c r="D117" s="997"/>
      <c r="E117" s="997"/>
      <c r="F117" s="997"/>
      <c r="G117" s="997"/>
      <c r="H117" s="997"/>
      <c r="I117" s="997"/>
      <c r="J117" s="997"/>
      <c r="K117" s="997"/>
      <c r="L117" s="997"/>
      <c r="M117" s="997"/>
      <c r="N117" s="997"/>
      <c r="O117" s="998"/>
      <c r="Q117" s="1077"/>
      <c r="R117" s="1077"/>
      <c r="S117" s="1077"/>
      <c r="T117" s="1077"/>
      <c r="U117" s="1077"/>
      <c r="V117" s="1077"/>
      <c r="W117" s="1077"/>
      <c r="X117" s="1077"/>
      <c r="Y117" s="1077"/>
    </row>
    <row r="118" spans="1:25" hidden="1">
      <c r="B118" s="1002"/>
      <c r="C118" s="1003"/>
      <c r="D118" s="1003"/>
      <c r="E118" s="1003"/>
      <c r="F118" s="1003"/>
      <c r="G118" s="1003"/>
      <c r="H118" s="1003"/>
      <c r="I118" s="1003"/>
      <c r="J118" s="1003"/>
      <c r="K118" s="1003"/>
      <c r="L118" s="1003"/>
      <c r="M118" s="1003"/>
      <c r="N118" s="1003"/>
      <c r="O118" s="1005"/>
      <c r="Q118" s="1077"/>
      <c r="R118" s="1077"/>
      <c r="S118" s="1077"/>
      <c r="T118" s="1077"/>
      <c r="U118" s="1077"/>
      <c r="V118" s="1077"/>
      <c r="W118" s="1077"/>
      <c r="X118" s="1077"/>
      <c r="Y118" s="1077"/>
    </row>
    <row r="119" spans="1:25" hidden="1">
      <c r="B119" s="1002"/>
      <c r="C119" s="500" t="s">
        <v>770</v>
      </c>
      <c r="D119" s="1012"/>
      <c r="E119" s="1012"/>
      <c r="F119" s="1012"/>
      <c r="G119" s="1012"/>
      <c r="H119" s="1012"/>
      <c r="I119" s="1012"/>
      <c r="J119" s="1012"/>
      <c r="K119" s="1012"/>
      <c r="L119" s="1012"/>
      <c r="M119" s="1012"/>
      <c r="N119" s="1013" t="s">
        <v>2812</v>
      </c>
      <c r="O119" s="1005"/>
      <c r="Q119" s="1077"/>
      <c r="R119" s="1077"/>
      <c r="S119" s="656"/>
      <c r="T119" s="1077"/>
      <c r="U119" s="1077"/>
      <c r="V119" s="1077"/>
      <c r="W119" s="1077"/>
      <c r="X119" s="1077"/>
      <c r="Y119" s="1077"/>
    </row>
    <row r="120" spans="1:25" hidden="1">
      <c r="B120" s="1002"/>
      <c r="C120" s="1003"/>
      <c r="D120" s="1003"/>
      <c r="E120" s="1003"/>
      <c r="F120" s="1003"/>
      <c r="G120" s="1003"/>
      <c r="H120" s="1003"/>
      <c r="I120" s="1003"/>
      <c r="J120" s="1003"/>
      <c r="K120" s="1003"/>
      <c r="L120" s="1003"/>
      <c r="M120" s="1003"/>
      <c r="N120" s="1003"/>
      <c r="O120" s="1005"/>
      <c r="Q120" s="1077"/>
      <c r="R120" s="1077"/>
      <c r="S120" s="656"/>
      <c r="T120" s="1077"/>
      <c r="U120" s="1077"/>
      <c r="V120" s="1077"/>
      <c r="W120" s="1077"/>
      <c r="X120" s="1077"/>
      <c r="Y120" s="1077"/>
    </row>
    <row r="121" spans="1:25" ht="15.75" hidden="1">
      <c r="B121" s="492"/>
      <c r="C121" s="1006" t="s">
        <v>28</v>
      </c>
      <c r="D121" s="1006" t="s">
        <v>29</v>
      </c>
      <c r="E121" s="1006" t="s">
        <v>30</v>
      </c>
      <c r="F121" s="1006">
        <v>2013</v>
      </c>
      <c r="G121" s="1006" t="s">
        <v>133</v>
      </c>
      <c r="H121" s="1006" t="s">
        <v>134</v>
      </c>
      <c r="I121" s="1006" t="s">
        <v>135</v>
      </c>
      <c r="J121" s="1006" t="s">
        <v>136</v>
      </c>
      <c r="K121" s="1006" t="s">
        <v>137</v>
      </c>
      <c r="L121" s="1006" t="s">
        <v>138</v>
      </c>
      <c r="M121" s="1006" t="s">
        <v>139</v>
      </c>
      <c r="N121" s="1006" t="s">
        <v>140</v>
      </c>
      <c r="O121" s="1150"/>
      <c r="Q121" s="1077"/>
      <c r="R121" s="1077"/>
      <c r="S121" s="656"/>
      <c r="T121" s="1077"/>
      <c r="U121" s="1077"/>
      <c r="V121" s="1077"/>
      <c r="W121" s="1077"/>
      <c r="X121" s="1077"/>
      <c r="Y121" s="1077"/>
    </row>
    <row r="122" spans="1:25" ht="15.75" hidden="1">
      <c r="B122" s="492"/>
      <c r="C122" s="1007" t="s">
        <v>328</v>
      </c>
      <c r="D122" s="494" t="s">
        <v>329</v>
      </c>
      <c r="E122" s="494"/>
      <c r="F122" s="3456">
        <v>0</v>
      </c>
      <c r="G122" s="3456">
        <v>0</v>
      </c>
      <c r="H122" s="3456">
        <v>0</v>
      </c>
      <c r="I122" s="3456">
        <v>0</v>
      </c>
      <c r="J122" s="3456">
        <v>0</v>
      </c>
      <c r="K122" s="3456">
        <v>0</v>
      </c>
      <c r="L122" s="3456">
        <v>0</v>
      </c>
      <c r="M122" s="3456">
        <v>0</v>
      </c>
      <c r="N122" s="3456">
        <v>0</v>
      </c>
      <c r="O122" s="1150"/>
      <c r="Q122" s="1077"/>
      <c r="R122" s="1077"/>
      <c r="S122" s="656"/>
      <c r="T122" s="1077"/>
      <c r="U122" s="1077"/>
      <c r="V122" s="1077"/>
      <c r="W122" s="1077"/>
      <c r="X122" s="1077"/>
      <c r="Y122" s="1077"/>
    </row>
    <row r="123" spans="1:25" ht="15.75" hidden="1">
      <c r="B123" s="492"/>
      <c r="C123" s="1007" t="s">
        <v>335</v>
      </c>
      <c r="D123" s="494" t="s">
        <v>336</v>
      </c>
      <c r="E123" s="494"/>
      <c r="F123" s="3456">
        <v>0</v>
      </c>
      <c r="G123" s="3456">
        <v>0</v>
      </c>
      <c r="H123" s="3456">
        <v>0</v>
      </c>
      <c r="I123" s="3456">
        <v>0</v>
      </c>
      <c r="J123" s="3456">
        <v>0</v>
      </c>
      <c r="K123" s="3456">
        <v>0</v>
      </c>
      <c r="L123" s="3456">
        <v>0</v>
      </c>
      <c r="M123" s="3456">
        <v>0</v>
      </c>
      <c r="N123" s="3456">
        <v>0</v>
      </c>
      <c r="O123" s="1150"/>
      <c r="Q123" s="1077"/>
      <c r="R123" s="1077"/>
      <c r="S123" s="1077"/>
      <c r="T123" s="1077"/>
      <c r="U123" s="1077"/>
      <c r="V123" s="1077"/>
      <c r="W123" s="1077"/>
      <c r="X123" s="1077"/>
      <c r="Y123" s="1077"/>
    </row>
    <row r="124" spans="1:25" ht="15.75" hidden="1">
      <c r="B124" s="492"/>
      <c r="C124" s="1007" t="s">
        <v>326</v>
      </c>
      <c r="D124" s="494" t="s">
        <v>327</v>
      </c>
      <c r="E124" s="494"/>
      <c r="F124" s="3456">
        <v>0</v>
      </c>
      <c r="G124" s="3456">
        <v>0</v>
      </c>
      <c r="H124" s="3456">
        <v>0</v>
      </c>
      <c r="I124" s="3456">
        <v>0</v>
      </c>
      <c r="J124" s="3456">
        <v>0</v>
      </c>
      <c r="K124" s="3456">
        <v>0</v>
      </c>
      <c r="L124" s="3456">
        <v>0</v>
      </c>
      <c r="M124" s="3456">
        <v>0</v>
      </c>
      <c r="N124" s="3456">
        <v>0</v>
      </c>
      <c r="O124" s="1150"/>
      <c r="Q124" s="1077"/>
      <c r="R124" s="1077"/>
      <c r="S124" s="1077"/>
      <c r="T124" s="1077"/>
      <c r="U124" s="1077"/>
      <c r="V124" s="1077"/>
      <c r="W124" s="1077"/>
      <c r="X124" s="1077"/>
      <c r="Y124" s="1077"/>
    </row>
    <row r="125" spans="1:25" ht="15.75" hidden="1">
      <c r="B125" s="492"/>
      <c r="C125" s="1007" t="s">
        <v>333</v>
      </c>
      <c r="D125" s="494" t="s">
        <v>334</v>
      </c>
      <c r="E125" s="494"/>
      <c r="F125" s="3456">
        <v>0</v>
      </c>
      <c r="G125" s="3456">
        <v>0</v>
      </c>
      <c r="H125" s="3456">
        <v>0</v>
      </c>
      <c r="I125" s="3456">
        <v>0</v>
      </c>
      <c r="J125" s="3456">
        <v>0</v>
      </c>
      <c r="K125" s="3456">
        <v>0</v>
      </c>
      <c r="L125" s="3456">
        <v>0</v>
      </c>
      <c r="M125" s="3456">
        <v>0</v>
      </c>
      <c r="N125" s="3456">
        <v>0</v>
      </c>
      <c r="O125" s="1150"/>
      <c r="Q125" s="1077"/>
      <c r="R125" s="1077"/>
      <c r="S125" s="1077"/>
      <c r="T125" s="1077"/>
      <c r="U125" s="1077"/>
      <c r="V125" s="1077"/>
      <c r="W125" s="1077"/>
      <c r="X125" s="1077"/>
      <c r="Y125" s="1077"/>
    </row>
    <row r="126" spans="1:25" hidden="1">
      <c r="B126" s="503"/>
      <c r="C126" s="1007" t="s">
        <v>324</v>
      </c>
      <c r="D126" s="494" t="s">
        <v>325</v>
      </c>
      <c r="E126" s="494"/>
      <c r="F126" s="3456">
        <v>0</v>
      </c>
      <c r="G126" s="3456">
        <v>0</v>
      </c>
      <c r="H126" s="3456">
        <v>0</v>
      </c>
      <c r="I126" s="3456">
        <v>0</v>
      </c>
      <c r="J126" s="3456">
        <v>0</v>
      </c>
      <c r="K126" s="3456">
        <v>0</v>
      </c>
      <c r="L126" s="3456">
        <v>0</v>
      </c>
      <c r="M126" s="3456">
        <v>0</v>
      </c>
      <c r="N126" s="3456">
        <v>0</v>
      </c>
      <c r="O126" s="1151"/>
      <c r="Q126" s="1077"/>
      <c r="R126" s="1077"/>
      <c r="S126" s="1077"/>
      <c r="T126" s="1077"/>
      <c r="U126" s="1077"/>
      <c r="V126" s="1077"/>
      <c r="W126" s="1077"/>
      <c r="X126" s="1077"/>
      <c r="Y126" s="1077"/>
    </row>
    <row r="127" spans="1:25" hidden="1">
      <c r="B127" s="503"/>
      <c r="C127" s="1007" t="s">
        <v>331</v>
      </c>
      <c r="D127" s="494" t="s">
        <v>332</v>
      </c>
      <c r="E127" s="494"/>
      <c r="F127" s="3456">
        <v>0</v>
      </c>
      <c r="G127" s="3456">
        <v>0</v>
      </c>
      <c r="H127" s="3456">
        <v>0</v>
      </c>
      <c r="I127" s="3456">
        <v>0</v>
      </c>
      <c r="J127" s="3456">
        <v>0</v>
      </c>
      <c r="K127" s="3456">
        <v>0</v>
      </c>
      <c r="L127" s="3456">
        <v>0</v>
      </c>
      <c r="M127" s="3456">
        <v>0</v>
      </c>
      <c r="N127" s="3456">
        <v>0</v>
      </c>
      <c r="O127" s="1151"/>
      <c r="Q127" s="1077"/>
      <c r="R127" s="1077"/>
      <c r="S127" s="1077"/>
      <c r="T127" s="1077"/>
      <c r="U127" s="1077"/>
      <c r="V127" s="1077"/>
      <c r="W127" s="1077"/>
      <c r="X127" s="1077"/>
      <c r="Y127" s="1077"/>
    </row>
    <row r="128" spans="1:25" hidden="1">
      <c r="B128" s="1014"/>
      <c r="C128" s="1010"/>
      <c r="D128" s="1010"/>
      <c r="E128" s="1010"/>
      <c r="F128" s="1010"/>
      <c r="G128" s="1010"/>
      <c r="H128" s="1010"/>
      <c r="I128" s="1010"/>
      <c r="J128" s="1010"/>
      <c r="K128" s="1010"/>
      <c r="L128" s="1010"/>
      <c r="M128" s="1010"/>
      <c r="N128" s="1010"/>
      <c r="O128" s="1015"/>
    </row>
  </sheetData>
  <mergeCells count="1">
    <mergeCell ref="X68:Y68"/>
  </mergeCells>
  <pageMargins left="0.7" right="0.7" top="0.75" bottom="0.75" header="0.3" footer="0.3"/>
  <tableParts count="2">
    <tablePart r:id="rId1"/>
    <tablePart r:id="rId2"/>
  </tableParts>
</worksheet>
</file>

<file path=xl/worksheets/sheet23.xml><?xml version="1.0" encoding="utf-8"?>
<worksheet xmlns="http://schemas.openxmlformats.org/spreadsheetml/2006/main" xmlns:r="http://schemas.openxmlformats.org/officeDocument/2006/relationships">
  <sheetPr>
    <tabColor theme="9"/>
  </sheetPr>
  <dimension ref="A1:DI132"/>
  <sheetViews>
    <sheetView showGridLines="0" zoomScale="80" zoomScaleNormal="80" workbookViewId="0">
      <selection activeCell="F105" sqref="F105"/>
    </sheetView>
  </sheetViews>
  <sheetFormatPr defaultColWidth="8.85546875" defaultRowHeight="15"/>
  <cols>
    <col min="1" max="1" width="7.7109375" style="2503" customWidth="1"/>
    <col min="2" max="2" width="5.85546875" style="2503" customWidth="1"/>
    <col min="3" max="3" width="20.42578125" style="2503" customWidth="1"/>
    <col min="4" max="4" width="30.7109375" style="2503" customWidth="1"/>
    <col min="5" max="5" width="20.7109375" style="2503" customWidth="1"/>
    <col min="6" max="14" width="17.7109375" style="2503" customWidth="1"/>
    <col min="15" max="15" width="2" style="2503" customWidth="1"/>
    <col min="16" max="16" width="10.85546875" style="2503" customWidth="1"/>
    <col min="17" max="17" width="8.85546875" style="2503"/>
    <col min="18" max="18" width="12" style="2503" bestFit="1" customWidth="1"/>
    <col min="19" max="19" width="10.85546875" style="2503" bestFit="1" customWidth="1"/>
    <col min="20" max="16384" width="8.85546875" style="2503"/>
  </cols>
  <sheetData>
    <row r="1" spans="1:15" ht="20.25">
      <c r="A1" s="863" t="s">
        <v>538</v>
      </c>
      <c r="B1" s="863" t="s">
        <v>539</v>
      </c>
      <c r="C1" s="863"/>
      <c r="G1" s="3590"/>
    </row>
    <row r="2" spans="1:15" s="6" customFormat="1" ht="15.75">
      <c r="A2" s="864" t="s">
        <v>536</v>
      </c>
      <c r="B2" s="864" t="s">
        <v>537</v>
      </c>
      <c r="C2" s="864"/>
      <c r="E2" s="5"/>
    </row>
    <row r="4" spans="1:15" ht="23.25">
      <c r="A4" s="7"/>
      <c r="B4" s="511" t="s">
        <v>6</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12"/>
      <c r="D6" s="515"/>
      <c r="E6" s="516"/>
      <c r="F6" s="515"/>
      <c r="G6" s="515"/>
      <c r="H6" s="515"/>
      <c r="I6" s="515"/>
      <c r="J6" s="515"/>
      <c r="K6" s="515"/>
      <c r="L6" s="515"/>
      <c r="M6" s="515"/>
      <c r="N6" s="515"/>
      <c r="O6" s="867"/>
    </row>
    <row r="7" spans="1:15" ht="15.75">
      <c r="B7" s="15"/>
      <c r="C7" s="515"/>
      <c r="D7" s="16" t="s">
        <v>7</v>
      </c>
      <c r="E7" s="16" t="s">
        <v>8</v>
      </c>
      <c r="F7" s="515"/>
      <c r="G7" s="515"/>
      <c r="H7" s="515"/>
      <c r="I7" s="515"/>
      <c r="J7" s="515"/>
      <c r="K7" s="515"/>
      <c r="L7" s="515"/>
      <c r="M7" s="515"/>
      <c r="N7" s="515"/>
      <c r="O7" s="867"/>
    </row>
    <row r="8" spans="1:15" ht="15.75">
      <c r="B8" s="15"/>
      <c r="C8" s="515"/>
      <c r="D8" s="868" t="s">
        <v>1269</v>
      </c>
      <c r="E8" s="868">
        <f>IV.c.Scenario</f>
        <v>4</v>
      </c>
      <c r="F8" s="515"/>
      <c r="G8" s="515"/>
      <c r="H8" s="515"/>
      <c r="I8" s="515"/>
      <c r="J8" s="515"/>
      <c r="K8" s="515"/>
      <c r="L8" s="515"/>
      <c r="M8" s="515"/>
      <c r="N8" s="515"/>
      <c r="O8" s="867"/>
    </row>
    <row r="9" spans="1:15">
      <c r="B9" s="1252"/>
      <c r="C9" s="869"/>
      <c r="D9" s="869"/>
      <c r="E9" s="869"/>
      <c r="F9" s="869"/>
      <c r="G9" s="869"/>
      <c r="H9" s="869"/>
      <c r="I9" s="869"/>
      <c r="J9" s="869"/>
      <c r="K9" s="869"/>
      <c r="L9" s="869"/>
      <c r="M9" s="869"/>
      <c r="N9" s="869"/>
      <c r="O9" s="870"/>
    </row>
    <row r="11" spans="1:15" ht="23.25">
      <c r="A11" s="7"/>
      <c r="B11" s="878" t="s">
        <v>33</v>
      </c>
      <c r="C11" s="879"/>
      <c r="D11" s="879"/>
      <c r="E11" s="879"/>
      <c r="F11" s="879"/>
      <c r="G11" s="879"/>
      <c r="H11" s="879"/>
      <c r="I11" s="879"/>
      <c r="J11" s="879"/>
      <c r="K11" s="879"/>
      <c r="L11" s="879"/>
      <c r="M11" s="879"/>
      <c r="N11" s="879"/>
      <c r="O11" s="880"/>
    </row>
    <row r="12" spans="1:15">
      <c r="B12" s="110"/>
      <c r="C12" s="67"/>
      <c r="D12" s="67"/>
      <c r="E12" s="67"/>
      <c r="F12" s="67"/>
      <c r="G12" s="67"/>
      <c r="H12" s="67"/>
      <c r="I12" s="67"/>
      <c r="J12" s="67"/>
      <c r="K12" s="67"/>
      <c r="L12" s="67"/>
      <c r="M12" s="67"/>
      <c r="N12" s="67"/>
      <c r="O12" s="885"/>
    </row>
    <row r="13" spans="1:15">
      <c r="B13" s="110"/>
      <c r="C13" s="49" t="s">
        <v>1923</v>
      </c>
      <c r="D13" s="67"/>
      <c r="E13" s="51"/>
      <c r="F13" s="67"/>
      <c r="G13" s="67"/>
      <c r="H13" s="67"/>
      <c r="I13" s="67"/>
      <c r="J13" s="67"/>
      <c r="K13" s="67"/>
      <c r="L13" s="67"/>
      <c r="M13" s="67"/>
      <c r="N13" s="51" t="str">
        <f>Preferences.PowerUnits</f>
        <v>GW</v>
      </c>
      <c r="O13" s="885"/>
    </row>
    <row r="14" spans="1:15">
      <c r="B14" s="110"/>
      <c r="C14" s="67"/>
      <c r="D14" s="67"/>
      <c r="E14" s="67"/>
      <c r="F14" s="67"/>
      <c r="G14" s="67"/>
      <c r="H14" s="67"/>
      <c r="I14" s="67"/>
      <c r="J14" s="67"/>
      <c r="K14" s="67"/>
      <c r="L14" s="67"/>
      <c r="M14" s="67"/>
      <c r="N14" s="67"/>
      <c r="O14" s="885"/>
    </row>
    <row r="15" spans="1:15" ht="15.75">
      <c r="B15" s="55"/>
      <c r="C15" s="887" t="s">
        <v>8</v>
      </c>
      <c r="D15" s="887" t="s">
        <v>72</v>
      </c>
      <c r="E15" s="887" t="s">
        <v>30</v>
      </c>
      <c r="F15" s="92">
        <v>2013</v>
      </c>
      <c r="G15" s="1276">
        <v>2015</v>
      </c>
      <c r="H15" s="92">
        <v>2020</v>
      </c>
      <c r="I15" s="92">
        <v>2025</v>
      </c>
      <c r="J15" s="92">
        <v>2030</v>
      </c>
      <c r="K15" s="92">
        <v>2035</v>
      </c>
      <c r="L15" s="92">
        <v>2040</v>
      </c>
      <c r="M15" s="92">
        <v>2045</v>
      </c>
      <c r="N15" s="92">
        <v>2050</v>
      </c>
      <c r="O15" s="885"/>
    </row>
    <row r="16" spans="1:15" ht="15.75">
      <c r="B16" s="975"/>
      <c r="C16" s="65">
        <v>1</v>
      </c>
      <c r="D16" s="108"/>
      <c r="E16" s="890"/>
      <c r="F16" s="59">
        <v>0</v>
      </c>
      <c r="G16" s="2562">
        <v>0</v>
      </c>
      <c r="H16" s="1493">
        <v>0</v>
      </c>
      <c r="I16" s="1493">
        <v>0</v>
      </c>
      <c r="J16" s="1493">
        <v>0</v>
      </c>
      <c r="K16" s="1493">
        <v>0</v>
      </c>
      <c r="L16" s="1493">
        <v>0</v>
      </c>
      <c r="M16" s="1493">
        <v>0</v>
      </c>
      <c r="N16" s="1493">
        <v>0</v>
      </c>
      <c r="O16" s="893"/>
    </row>
    <row r="17" spans="1:15" ht="15.75">
      <c r="B17" s="55"/>
      <c r="C17" s="65">
        <v>2</v>
      </c>
      <c r="D17" s="108"/>
      <c r="E17" s="108"/>
      <c r="F17" s="59">
        <v>0</v>
      </c>
      <c r="G17" s="2562">
        <v>0</v>
      </c>
      <c r="H17" s="1492">
        <v>0</v>
      </c>
      <c r="I17" s="1492">
        <v>0</v>
      </c>
      <c r="J17" s="1492">
        <f>(Unit.GW)*0.05</f>
        <v>0.05</v>
      </c>
      <c r="K17" s="1492">
        <f>(Unit.GW)*0.05</f>
        <v>0.05</v>
      </c>
      <c r="L17" s="1492">
        <f>(Unit.GW)*0.05</f>
        <v>0.05</v>
      </c>
      <c r="M17" s="1492">
        <f>(Unit.GW)*0.05</f>
        <v>0.05</v>
      </c>
      <c r="N17" s="1492">
        <f>(Unit.GW)*0.05</f>
        <v>0.05</v>
      </c>
      <c r="O17" s="885"/>
    </row>
    <row r="18" spans="1:15" ht="15.75">
      <c r="B18" s="55"/>
      <c r="C18" s="65">
        <v>3</v>
      </c>
      <c r="D18" s="108"/>
      <c r="E18" s="108"/>
      <c r="F18" s="59">
        <v>0</v>
      </c>
      <c r="G18" s="2562">
        <v>0</v>
      </c>
      <c r="H18" s="1492">
        <f>(Unit.GW)*0.05</f>
        <v>0.05</v>
      </c>
      <c r="I18" s="1492">
        <f>(Unit.GW)*0.05</f>
        <v>0.05</v>
      </c>
      <c r="J18" s="1492">
        <f>(Unit.GW)*0.05</f>
        <v>0.05</v>
      </c>
      <c r="K18" s="1492">
        <f>(Unit.GW)*0.105</f>
        <v>0.105</v>
      </c>
      <c r="L18" s="1492">
        <f>(Unit.GW)*0.1</f>
        <v>0.1</v>
      </c>
      <c r="M18" s="1492">
        <f>(Unit.GW)*0.1</f>
        <v>0.1</v>
      </c>
      <c r="N18" s="1492">
        <f>(Unit.GW)*0.1</f>
        <v>0.1</v>
      </c>
      <c r="O18" s="885"/>
    </row>
    <row r="19" spans="1:15" ht="15.75">
      <c r="B19" s="55"/>
      <c r="C19" s="896">
        <v>4</v>
      </c>
      <c r="D19" s="897"/>
      <c r="E19" s="897"/>
      <c r="F19" s="1187">
        <v>0</v>
      </c>
      <c r="G19" s="2562">
        <v>0</v>
      </c>
      <c r="H19" s="1492">
        <f>(Unit.GW)*0.1</f>
        <v>0.1</v>
      </c>
      <c r="I19" s="1492">
        <f>(Unit.GW)*0.1</f>
        <v>0.1</v>
      </c>
      <c r="J19" s="1492">
        <f>(Unit.GW)*0.1</f>
        <v>0.1</v>
      </c>
      <c r="K19" s="1492">
        <f>(Unit.GW)*0.183333333333333</f>
        <v>0.18333333333333299</v>
      </c>
      <c r="L19" s="1492">
        <f>(Unit.GW)*0.183333333333333</f>
        <v>0.18333333333333299</v>
      </c>
      <c r="M19" s="1492">
        <f>(Unit.GW)*0.2</f>
        <v>0.2</v>
      </c>
      <c r="N19" s="1492">
        <f>(Unit.GW)*0.2</f>
        <v>0.2</v>
      </c>
      <c r="O19" s="885"/>
    </row>
    <row r="20" spans="1:15" ht="15.75">
      <c r="B20" s="55"/>
      <c r="C20" s="1024" t="s">
        <v>37</v>
      </c>
      <c r="D20" s="901"/>
      <c r="E20" s="901"/>
      <c r="F20" s="902">
        <f>(INDEX(F$16:F$19,ROUNDDOWN($E$8,0))*(1-MOD($E$8,1)))+(INDEX(F$16:F$19,ROUNDUP($E$8,0))*MOD($E$8,1))</f>
        <v>0</v>
      </c>
      <c r="G20" s="2492">
        <f t="shared" ref="G20:N20" si="0">(INDEX(G$16:G$19,ROUNDDOWN($E$8,0))*(1-MOD($E$8,1)))+(INDEX(G$16:G$19,ROUNDUP($E$8,0))*MOD($E$8,1))</f>
        <v>0</v>
      </c>
      <c r="H20" s="902">
        <f t="shared" si="0"/>
        <v>0.1</v>
      </c>
      <c r="I20" s="902">
        <f t="shared" si="0"/>
        <v>0.1</v>
      </c>
      <c r="J20" s="902">
        <f t="shared" si="0"/>
        <v>0.1</v>
      </c>
      <c r="K20" s="902">
        <f t="shared" si="0"/>
        <v>0.18333333333333299</v>
      </c>
      <c r="L20" s="902">
        <f t="shared" si="0"/>
        <v>0.18333333333333299</v>
      </c>
      <c r="M20" s="902">
        <f t="shared" si="0"/>
        <v>0.2</v>
      </c>
      <c r="N20" s="902">
        <f t="shared" si="0"/>
        <v>0.2</v>
      </c>
      <c r="O20" s="885"/>
    </row>
    <row r="21" spans="1:15">
      <c r="B21" s="45"/>
      <c r="C21" s="67"/>
      <c r="D21" s="200"/>
      <c r="E21" s="67"/>
      <c r="F21" s="67"/>
      <c r="G21" s="67"/>
      <c r="H21" s="67"/>
      <c r="I21" s="67"/>
      <c r="J21" s="67"/>
      <c r="K21" s="67"/>
      <c r="L21" s="67"/>
      <c r="M21" s="67"/>
      <c r="N21" s="67"/>
      <c r="O21" s="885"/>
    </row>
    <row r="22" spans="1:15">
      <c r="B22" s="46"/>
      <c r="C22" s="3862" t="s">
        <v>64</v>
      </c>
      <c r="D22" s="200"/>
      <c r="E22" s="67"/>
      <c r="F22" s="67"/>
      <c r="G22" s="67"/>
      <c r="H22" s="67"/>
      <c r="I22" s="67"/>
      <c r="J22" s="67"/>
      <c r="K22" s="67"/>
      <c r="L22" s="67"/>
      <c r="M22" s="67"/>
      <c r="N22" s="67"/>
      <c r="O22" s="67"/>
    </row>
    <row r="23" spans="1:15">
      <c r="B23" s="46"/>
      <c r="C23" s="3863" t="s">
        <v>65</v>
      </c>
      <c r="D23" s="3866" t="s">
        <v>3093</v>
      </c>
      <c r="E23" s="67"/>
      <c r="F23" s="67"/>
      <c r="G23" s="67"/>
      <c r="H23" s="67"/>
      <c r="I23" s="67"/>
      <c r="J23" s="67"/>
      <c r="K23" s="67"/>
      <c r="L23" s="67"/>
      <c r="M23" s="67"/>
      <c r="N23" s="67"/>
      <c r="O23" s="67"/>
    </row>
    <row r="24" spans="1:15">
      <c r="B24" s="46"/>
      <c r="C24" s="67"/>
      <c r="D24" s="200"/>
      <c r="E24" s="67"/>
      <c r="F24" s="67"/>
      <c r="G24" s="67" t="s">
        <v>5</v>
      </c>
      <c r="H24" s="67"/>
      <c r="I24" s="67"/>
      <c r="J24" s="67"/>
      <c r="K24" s="67"/>
      <c r="L24" s="67"/>
      <c r="M24" s="67"/>
      <c r="N24" s="67"/>
      <c r="O24" s="67"/>
    </row>
    <row r="26" spans="1:15" s="6" customFormat="1" ht="23.25">
      <c r="A26" s="40"/>
      <c r="B26" s="878" t="s">
        <v>70</v>
      </c>
      <c r="C26" s="879"/>
      <c r="D26" s="879"/>
      <c r="E26" s="879"/>
      <c r="F26" s="879"/>
      <c r="G26" s="879"/>
      <c r="H26" s="879"/>
      <c r="I26" s="879"/>
      <c r="J26" s="879"/>
      <c r="K26" s="879"/>
      <c r="L26" s="879"/>
      <c r="M26" s="879"/>
      <c r="N26" s="879"/>
      <c r="O26" s="880"/>
    </row>
    <row r="27" spans="1:15">
      <c r="B27" s="110"/>
      <c r="C27" s="67"/>
      <c r="D27" s="67"/>
      <c r="E27" s="67"/>
      <c r="F27" s="67"/>
      <c r="G27" s="67"/>
      <c r="H27" s="67"/>
      <c r="I27" s="67"/>
      <c r="J27" s="67"/>
      <c r="K27" s="67"/>
      <c r="L27" s="67"/>
      <c r="M27" s="67"/>
      <c r="N27" s="67"/>
      <c r="O27" s="885"/>
    </row>
    <row r="28" spans="1:15">
      <c r="B28" s="110"/>
      <c r="C28" s="49" t="s">
        <v>858</v>
      </c>
      <c r="D28" s="67"/>
      <c r="E28" s="67"/>
      <c r="F28" s="67"/>
      <c r="G28" s="51"/>
      <c r="H28" s="67"/>
      <c r="I28" s="67"/>
      <c r="J28" s="67"/>
      <c r="K28" s="67"/>
      <c r="L28" s="67"/>
      <c r="M28" s="67"/>
      <c r="N28" s="67"/>
      <c r="O28" s="885"/>
    </row>
    <row r="29" spans="1:15">
      <c r="B29" s="110"/>
      <c r="C29" s="67"/>
      <c r="D29" s="67"/>
      <c r="E29" s="67"/>
      <c r="F29" s="67"/>
      <c r="G29" s="67"/>
      <c r="H29" s="67"/>
      <c r="I29" s="67"/>
      <c r="J29" s="67"/>
      <c r="K29" s="67"/>
      <c r="L29" s="67"/>
      <c r="M29" s="67"/>
      <c r="N29" s="67"/>
      <c r="O29" s="885"/>
    </row>
    <row r="30" spans="1:15" ht="15.75">
      <c r="B30" s="55"/>
      <c r="C30" s="887" t="s">
        <v>132</v>
      </c>
      <c r="D30" s="887" t="s">
        <v>731</v>
      </c>
      <c r="E30" s="887" t="s">
        <v>30</v>
      </c>
      <c r="F30" s="92">
        <v>2013</v>
      </c>
      <c r="G30" s="1276">
        <v>2015</v>
      </c>
      <c r="H30" s="92">
        <v>2020</v>
      </c>
      <c r="I30" s="92">
        <v>2025</v>
      </c>
      <c r="J30" s="92">
        <v>2030</v>
      </c>
      <c r="K30" s="92">
        <v>2035</v>
      </c>
      <c r="L30" s="92">
        <v>2040</v>
      </c>
      <c r="M30" s="92">
        <v>2045</v>
      </c>
      <c r="N30" s="92">
        <v>2050</v>
      </c>
      <c r="O30" s="885"/>
    </row>
    <row r="31" spans="1:15" ht="15.75">
      <c r="B31" s="55"/>
      <c r="C31" s="916" t="s">
        <v>447</v>
      </c>
      <c r="D31" s="917" t="s">
        <v>397</v>
      </c>
      <c r="E31" s="917" t="s">
        <v>65</v>
      </c>
      <c r="F31" s="2493">
        <v>0.24</v>
      </c>
      <c r="G31" s="2563">
        <v>0.24</v>
      </c>
      <c r="H31" s="919">
        <v>0.24</v>
      </c>
      <c r="I31" s="919">
        <v>0.24</v>
      </c>
      <c r="J31" s="919">
        <v>0.24</v>
      </c>
      <c r="K31" s="919">
        <v>0.24</v>
      </c>
      <c r="L31" s="919">
        <v>0.24</v>
      </c>
      <c r="M31" s="919">
        <v>0.24</v>
      </c>
      <c r="N31" s="919">
        <v>0.24</v>
      </c>
      <c r="O31" s="885"/>
    </row>
    <row r="32" spans="1:15" ht="15.75">
      <c r="B32" s="55"/>
      <c r="C32" s="65"/>
      <c r="D32" s="108"/>
      <c r="E32" s="108"/>
      <c r="F32" s="94"/>
      <c r="G32" s="93"/>
      <c r="H32" s="93"/>
      <c r="I32" s="93"/>
      <c r="J32" s="93"/>
      <c r="K32" s="93"/>
      <c r="L32" s="93"/>
      <c r="M32" s="93"/>
      <c r="N32" s="93"/>
      <c r="O32" s="885"/>
    </row>
    <row r="33" spans="1:113" ht="15.75">
      <c r="B33" s="55"/>
      <c r="C33" s="49" t="s">
        <v>735</v>
      </c>
      <c r="D33" s="67"/>
      <c r="E33" s="67"/>
      <c r="F33" s="67"/>
      <c r="G33" s="51"/>
      <c r="H33" s="67"/>
      <c r="I33" s="67"/>
      <c r="J33" s="67"/>
      <c r="K33" s="67"/>
      <c r="L33" s="67"/>
      <c r="M33" s="67"/>
      <c r="N33" s="67"/>
      <c r="O33" s="885"/>
    </row>
    <row r="34" spans="1:113" ht="6.75" customHeight="1">
      <c r="B34" s="55"/>
      <c r="C34" s="67"/>
      <c r="D34" s="67"/>
      <c r="E34" s="67"/>
      <c r="F34" s="67"/>
      <c r="G34" s="67"/>
      <c r="H34" s="67"/>
      <c r="I34" s="67"/>
      <c r="J34" s="67"/>
      <c r="K34" s="67"/>
      <c r="L34" s="67"/>
      <c r="M34" s="67"/>
      <c r="N34" s="67"/>
      <c r="O34" s="885"/>
    </row>
    <row r="35" spans="1:113" ht="15.75">
      <c r="B35" s="55"/>
      <c r="C35" s="887"/>
      <c r="D35" s="887"/>
      <c r="E35" s="887"/>
      <c r="F35" s="92"/>
      <c r="G35" s="1161" t="s">
        <v>895</v>
      </c>
      <c r="H35" s="67"/>
      <c r="I35" s="920"/>
      <c r="J35" s="920"/>
      <c r="K35" s="920"/>
      <c r="L35" s="920"/>
      <c r="M35" s="920"/>
      <c r="N35" s="920"/>
      <c r="O35" s="885"/>
    </row>
    <row r="36" spans="1:113" ht="15.75">
      <c r="B36" s="55"/>
      <c r="C36" s="923"/>
      <c r="D36" s="924" t="s">
        <v>859</v>
      </c>
      <c r="E36" s="923"/>
      <c r="F36" s="1162">
        <v>5.0000000000000004E-6</v>
      </c>
      <c r="G36" s="1222" t="str">
        <f>Preferences.PowerUnits&amp;"peak"</f>
        <v>GWpeak</v>
      </c>
      <c r="H36" s="67"/>
      <c r="I36" s="920"/>
      <c r="J36" s="920"/>
      <c r="K36" s="920"/>
      <c r="L36" s="920"/>
      <c r="M36" s="920"/>
      <c r="N36" s="920"/>
      <c r="O36" s="885"/>
    </row>
    <row r="37" spans="1:113" ht="15.75">
      <c r="B37" s="55"/>
      <c r="C37" s="926"/>
      <c r="D37" s="199" t="s">
        <v>860</v>
      </c>
      <c r="E37" s="199"/>
      <c r="F37" s="352">
        <f>(0.5/24%)*Unit.W/Unit.m2</f>
        <v>2.0833333333333337E-3</v>
      </c>
      <c r="G37" s="1165" t="str">
        <f>Preferences.PowerUnits&amp;"peak/"&amp;Preferences.AreaUnits</f>
        <v>GWpeak/km^2</v>
      </c>
      <c r="H37" s="67"/>
      <c r="I37" s="59"/>
      <c r="J37" s="59"/>
      <c r="K37" s="59"/>
      <c r="L37" s="59"/>
      <c r="M37" s="59"/>
      <c r="N37" s="59"/>
      <c r="O37" s="885"/>
    </row>
    <row r="38" spans="1:113">
      <c r="B38" s="110"/>
      <c r="C38" s="67"/>
      <c r="D38" s="67"/>
      <c r="E38" s="67"/>
      <c r="F38" s="67"/>
      <c r="G38" s="67"/>
      <c r="H38" s="67"/>
      <c r="I38" s="67"/>
      <c r="J38" s="67"/>
      <c r="K38" s="67"/>
      <c r="L38" s="67"/>
      <c r="M38" s="67"/>
      <c r="N38" s="67"/>
      <c r="O38" s="885"/>
    </row>
    <row r="39" spans="1:113">
      <c r="B39" s="110"/>
      <c r="C39" s="3862" t="s">
        <v>64</v>
      </c>
      <c r="D39" s="67"/>
      <c r="E39" s="67"/>
      <c r="F39" s="67"/>
      <c r="G39" s="67"/>
      <c r="H39" s="67"/>
      <c r="I39" s="67"/>
      <c r="J39" s="67"/>
      <c r="K39" s="67"/>
      <c r="L39" s="67"/>
      <c r="M39" s="67"/>
      <c r="N39" s="67"/>
      <c r="O39" s="885"/>
    </row>
    <row r="40" spans="1:113" s="927" customFormat="1" ht="12.75">
      <c r="B40" s="1169"/>
      <c r="C40" s="929" t="s">
        <v>65</v>
      </c>
      <c r="D40" s="930" t="s">
        <v>861</v>
      </c>
      <c r="E40" s="931"/>
      <c r="F40" s="931"/>
      <c r="G40" s="931"/>
      <c r="H40" s="931"/>
      <c r="I40" s="931"/>
      <c r="J40" s="931"/>
      <c r="K40" s="931"/>
      <c r="L40" s="931"/>
      <c r="M40" s="931"/>
      <c r="N40" s="931"/>
      <c r="O40" s="932"/>
    </row>
    <row r="41" spans="1:113">
      <c r="B41" s="45"/>
      <c r="C41" s="67"/>
      <c r="D41" s="200"/>
      <c r="E41" s="67"/>
      <c r="F41" s="67"/>
      <c r="G41" s="67"/>
      <c r="H41" s="67"/>
      <c r="I41" s="67"/>
      <c r="J41" s="67"/>
      <c r="K41" s="67"/>
      <c r="L41" s="67"/>
      <c r="M41" s="67"/>
      <c r="N41" s="67"/>
      <c r="O41" s="885"/>
    </row>
    <row r="42" spans="1:113">
      <c r="B42" s="86"/>
      <c r="C42" s="1077"/>
      <c r="D42" s="1432"/>
      <c r="E42" s="1077"/>
      <c r="F42" s="1077"/>
      <c r="G42" s="1077"/>
      <c r="H42" s="1077"/>
      <c r="I42" s="1077"/>
      <c r="J42" s="1077"/>
      <c r="K42" s="1077"/>
      <c r="L42" s="1077"/>
      <c r="M42" s="1077"/>
      <c r="N42" s="1077"/>
      <c r="O42" s="1077"/>
    </row>
    <row r="43" spans="1:113" ht="15.75">
      <c r="B43" s="878" t="s">
        <v>2794</v>
      </c>
      <c r="C43" s="879"/>
      <c r="D43" s="879"/>
      <c r="E43" s="879"/>
      <c r="F43" s="879"/>
      <c r="G43" s="879"/>
      <c r="H43" s="879"/>
      <c r="I43" s="879"/>
      <c r="J43" s="879"/>
      <c r="K43" s="879"/>
      <c r="L43" s="879"/>
      <c r="M43" s="879"/>
      <c r="N43" s="879"/>
      <c r="O43" s="879"/>
      <c r="P43" s="2530"/>
      <c r="Q43" s="656"/>
      <c r="R43" s="656"/>
      <c r="S43" s="656"/>
      <c r="T43" s="656"/>
      <c r="U43" s="656"/>
      <c r="V43" s="656"/>
      <c r="W43" s="656"/>
      <c r="X43" s="656"/>
      <c r="Y43" s="656"/>
      <c r="Z43" s="656"/>
      <c r="AA43" s="656"/>
      <c r="AB43" s="656"/>
      <c r="AC43" s="656"/>
      <c r="AD43" s="656"/>
      <c r="AE43" s="1077"/>
    </row>
    <row r="44" spans="1:113" ht="5.25" hidden="1" customHeight="1">
      <c r="B44" s="881"/>
      <c r="C44" s="882"/>
      <c r="D44" s="882"/>
      <c r="E44" s="882"/>
      <c r="F44" s="882"/>
      <c r="G44" s="882"/>
      <c r="H44" s="882"/>
      <c r="I44" s="882"/>
      <c r="J44" s="882"/>
      <c r="K44" s="882"/>
      <c r="L44" s="882"/>
      <c r="M44" s="882"/>
      <c r="N44" s="882"/>
      <c r="O44" s="882"/>
      <c r="P44" s="1077"/>
      <c r="Q44" s="1077"/>
      <c r="R44" s="1077"/>
      <c r="S44" s="1077"/>
      <c r="T44" s="1077"/>
      <c r="U44" s="1077"/>
      <c r="V44" s="1077"/>
      <c r="W44" s="1077"/>
      <c r="X44" s="1077"/>
      <c r="Y44" s="1077"/>
      <c r="Z44" s="1077"/>
      <c r="AA44" s="1077"/>
      <c r="AB44" s="1077"/>
      <c r="AC44" s="1077"/>
      <c r="AD44" s="1077"/>
      <c r="AE44" s="1077"/>
    </row>
    <row r="45" spans="1:113" hidden="1">
      <c r="B45" s="110"/>
      <c r="C45" s="49" t="s">
        <v>1924</v>
      </c>
      <c r="D45" s="924"/>
      <c r="E45" s="941"/>
      <c r="F45" s="942"/>
      <c r="G45" s="942"/>
      <c r="H45" s="943"/>
      <c r="I45" s="943"/>
      <c r="J45" s="943"/>
      <c r="K45" s="943"/>
      <c r="L45" s="943"/>
      <c r="M45" s="943"/>
      <c r="N45" s="944" t="s">
        <v>2819</v>
      </c>
      <c r="O45" s="67"/>
      <c r="P45" s="86"/>
      <c r="Q45" s="86"/>
      <c r="R45" s="86"/>
      <c r="S45" s="86"/>
      <c r="T45" s="86"/>
      <c r="U45" s="86"/>
      <c r="V45" s="86"/>
      <c r="W45" s="86"/>
      <c r="X45" s="86"/>
      <c r="Y45" s="86"/>
      <c r="Z45" s="86"/>
      <c r="AA45" s="86"/>
      <c r="AB45" s="86"/>
      <c r="AC45" s="86"/>
      <c r="AD45" s="86"/>
      <c r="AE45" s="1077"/>
    </row>
    <row r="46" spans="1:113" s="6" customFormat="1" ht="5.25" hidden="1" customHeight="1">
      <c r="A46" s="2503"/>
      <c r="B46" s="110"/>
      <c r="C46" s="946"/>
      <c r="D46" s="924"/>
      <c r="E46" s="941"/>
      <c r="F46" s="945"/>
      <c r="G46" s="945"/>
      <c r="H46" s="943"/>
      <c r="I46" s="943"/>
      <c r="J46" s="943"/>
      <c r="K46" s="943"/>
      <c r="L46" s="943"/>
      <c r="M46" s="943"/>
      <c r="N46" s="67"/>
      <c r="O46" s="67"/>
      <c r="P46" s="2564"/>
      <c r="Q46" s="1088"/>
      <c r="R46" s="2531"/>
      <c r="S46" s="2531"/>
      <c r="T46" s="2531"/>
      <c r="U46" s="2531"/>
      <c r="V46" s="2531"/>
      <c r="W46" s="2531"/>
      <c r="X46" s="2531"/>
      <c r="Y46" s="2531"/>
      <c r="Z46" s="2531"/>
      <c r="AA46" s="2531"/>
      <c r="AB46" s="2531"/>
      <c r="AC46" s="2531"/>
      <c r="AD46" s="2531"/>
      <c r="AE46" s="656"/>
      <c r="AF46" s="2503"/>
      <c r="AG46" s="2503"/>
      <c r="AH46" s="2503"/>
      <c r="AI46" s="2503"/>
      <c r="AJ46" s="2503"/>
      <c r="AK46" s="2503"/>
      <c r="AL46" s="2503"/>
      <c r="AM46" s="2503"/>
      <c r="AN46" s="2503"/>
      <c r="AO46" s="2503"/>
      <c r="AP46" s="2503"/>
      <c r="AQ46" s="2503"/>
      <c r="AR46" s="2503"/>
      <c r="AS46" s="2503"/>
      <c r="AT46" s="2503"/>
      <c r="AU46" s="2503"/>
      <c r="AV46" s="2503"/>
      <c r="AW46" s="2503"/>
      <c r="AX46" s="2503"/>
      <c r="AY46" s="2503"/>
      <c r="AZ46" s="2503"/>
      <c r="BA46" s="2503"/>
      <c r="BB46" s="2503"/>
      <c r="BC46" s="2503"/>
      <c r="BD46" s="2503"/>
      <c r="BE46" s="2503"/>
      <c r="BF46" s="2503"/>
      <c r="BG46" s="2503"/>
      <c r="BH46" s="2503"/>
      <c r="BI46" s="2503"/>
      <c r="BJ46" s="2503"/>
      <c r="BK46" s="2503"/>
      <c r="BL46" s="2503"/>
      <c r="BM46" s="2503"/>
      <c r="BN46" s="2503"/>
      <c r="BO46" s="2503"/>
      <c r="BP46" s="2503"/>
      <c r="BQ46" s="2503"/>
      <c r="BR46" s="2503"/>
      <c r="BS46" s="2503"/>
      <c r="BT46" s="2503"/>
      <c r="BU46" s="2503"/>
      <c r="BV46" s="2503"/>
      <c r="BW46" s="2503"/>
      <c r="BX46" s="2503"/>
      <c r="BY46" s="2503"/>
      <c r="BZ46" s="2503"/>
      <c r="CA46" s="2503"/>
      <c r="CB46" s="2503"/>
      <c r="CC46" s="2503"/>
      <c r="CD46" s="2503"/>
      <c r="CE46" s="2503"/>
      <c r="CF46" s="2503"/>
      <c r="CG46" s="2503"/>
      <c r="CH46" s="2503"/>
      <c r="CI46" s="2503"/>
      <c r="CJ46" s="2503"/>
      <c r="CK46" s="2503"/>
      <c r="CL46" s="2503"/>
      <c r="CM46" s="2503"/>
      <c r="CN46" s="2503"/>
      <c r="CO46" s="2503"/>
      <c r="CP46" s="2503"/>
      <c r="CQ46" s="2503"/>
      <c r="CR46" s="2503"/>
      <c r="CS46" s="2503"/>
      <c r="CT46" s="2503"/>
      <c r="CU46" s="2503"/>
      <c r="CV46" s="2503"/>
      <c r="CW46" s="2503"/>
      <c r="CX46" s="2503"/>
      <c r="CY46" s="2503"/>
      <c r="CZ46" s="2503"/>
      <c r="DA46" s="2503"/>
      <c r="DB46" s="2503"/>
      <c r="DC46" s="2503"/>
      <c r="DD46" s="2503"/>
      <c r="DE46" s="2503"/>
      <c r="DF46" s="2503"/>
      <c r="DG46" s="2503"/>
      <c r="DH46" s="2503"/>
      <c r="DI46" s="2503"/>
    </row>
    <row r="47" spans="1:113" s="6" customFormat="1" ht="12.75" hidden="1" customHeight="1">
      <c r="A47" s="2503"/>
      <c r="B47" s="110"/>
      <c r="C47" s="1179"/>
      <c r="D47" s="1079"/>
      <c r="E47" s="980" t="s">
        <v>160</v>
      </c>
      <c r="F47" s="981">
        <v>2013</v>
      </c>
      <c r="G47" s="974">
        <v>2015</v>
      </c>
      <c r="H47" s="974">
        <v>2020</v>
      </c>
      <c r="I47" s="974">
        <v>2025</v>
      </c>
      <c r="J47" s="974">
        <v>2030</v>
      </c>
      <c r="K47" s="974">
        <v>2035</v>
      </c>
      <c r="L47" s="974">
        <v>2040</v>
      </c>
      <c r="M47" s="974">
        <v>2045</v>
      </c>
      <c r="N47" s="974">
        <v>2050</v>
      </c>
      <c r="O47" s="67"/>
      <c r="P47" s="2564"/>
      <c r="Q47" s="2531"/>
      <c r="R47" s="2531"/>
      <c r="S47" s="2531"/>
      <c r="T47" s="2531"/>
      <c r="U47" s="2531"/>
      <c r="V47" s="2531"/>
      <c r="W47" s="2531"/>
      <c r="X47" s="2531"/>
      <c r="Y47" s="2531"/>
      <c r="Z47" s="2531"/>
      <c r="AA47" s="2531"/>
      <c r="AB47" s="2531"/>
      <c r="AC47" s="2531"/>
      <c r="AD47" s="2531"/>
      <c r="AE47" s="656"/>
      <c r="AF47" s="2503"/>
      <c r="AG47" s="2503"/>
      <c r="AH47" s="2503"/>
      <c r="AI47" s="2503"/>
      <c r="AJ47" s="2503"/>
      <c r="AK47" s="2503"/>
      <c r="AL47" s="2503"/>
      <c r="AM47" s="2503"/>
      <c r="AN47" s="2503"/>
      <c r="AO47" s="2503"/>
      <c r="AP47" s="2503"/>
      <c r="AQ47" s="2503"/>
      <c r="AR47" s="2503"/>
      <c r="AS47" s="2503"/>
      <c r="AT47" s="2503"/>
      <c r="AU47" s="2503"/>
      <c r="AV47" s="2503"/>
      <c r="AW47" s="2503"/>
      <c r="AX47" s="2503"/>
      <c r="AY47" s="2503"/>
      <c r="AZ47" s="2503"/>
      <c r="BA47" s="2503"/>
      <c r="BB47" s="2503"/>
      <c r="BC47" s="2503"/>
      <c r="BD47" s="2503"/>
      <c r="BE47" s="2503"/>
      <c r="BF47" s="2503"/>
      <c r="BG47" s="2503"/>
      <c r="BH47" s="2503"/>
      <c r="BI47" s="2503"/>
      <c r="BJ47" s="2503"/>
      <c r="BK47" s="2503"/>
      <c r="BL47" s="2503"/>
      <c r="BM47" s="2503"/>
      <c r="BN47" s="2503"/>
      <c r="BO47" s="2503"/>
      <c r="BP47" s="2503"/>
      <c r="BQ47" s="2503"/>
      <c r="BR47" s="2503"/>
      <c r="BS47" s="2503"/>
      <c r="BT47" s="2503"/>
      <c r="BU47" s="2503"/>
      <c r="BV47" s="2503"/>
      <c r="BW47" s="2503"/>
      <c r="BX47" s="2503"/>
      <c r="BY47" s="2503"/>
      <c r="BZ47" s="2503"/>
      <c r="CA47" s="2503"/>
      <c r="CB47" s="2503"/>
      <c r="CC47" s="2503"/>
      <c r="CD47" s="2503"/>
      <c r="CE47" s="2503"/>
      <c r="CF47" s="2503"/>
      <c r="CG47" s="2503"/>
      <c r="CH47" s="2503"/>
      <c r="CI47" s="2503"/>
      <c r="CJ47" s="2503"/>
      <c r="CK47" s="2503"/>
      <c r="CL47" s="2503"/>
      <c r="CM47" s="2503"/>
      <c r="CN47" s="2503"/>
      <c r="CO47" s="2503"/>
      <c r="CP47" s="2503"/>
      <c r="CQ47" s="2503"/>
      <c r="CR47" s="2503"/>
      <c r="CS47" s="2503"/>
      <c r="CT47" s="2503"/>
      <c r="CU47" s="2503"/>
      <c r="CV47" s="2503"/>
      <c r="CW47" s="2503"/>
      <c r="CX47" s="2503"/>
      <c r="CY47" s="2503"/>
      <c r="CZ47" s="2503"/>
      <c r="DA47" s="2503"/>
      <c r="DB47" s="2503"/>
      <c r="DC47" s="2503"/>
      <c r="DD47" s="2503"/>
      <c r="DE47" s="2503"/>
      <c r="DF47" s="2503"/>
      <c r="DG47" s="2503"/>
      <c r="DH47" s="2503"/>
      <c r="DI47" s="2503"/>
    </row>
    <row r="48" spans="1:113" s="6" customFormat="1" hidden="1">
      <c r="A48" s="2503"/>
      <c r="B48" s="110"/>
      <c r="C48" s="976" t="s">
        <v>738</v>
      </c>
      <c r="D48" s="1079"/>
      <c r="E48" s="966"/>
      <c r="F48" s="1080"/>
      <c r="G48" s="1080"/>
      <c r="H48" s="1080"/>
      <c r="I48" s="1080"/>
      <c r="J48" s="1080"/>
      <c r="K48" s="1080"/>
      <c r="L48" s="1080"/>
      <c r="M48" s="1080"/>
      <c r="N48" s="1080"/>
      <c r="O48" s="67"/>
      <c r="P48" s="656"/>
      <c r="Q48" s="2531"/>
      <c r="R48" s="2531"/>
      <c r="S48" s="2531"/>
      <c r="T48" s="2531"/>
      <c r="U48" s="2531"/>
      <c r="V48" s="2531"/>
      <c r="W48" s="2531"/>
      <c r="X48" s="2531"/>
      <c r="Y48" s="2531"/>
      <c r="Z48" s="2531"/>
      <c r="AA48" s="2531"/>
      <c r="AB48" s="2531"/>
      <c r="AC48" s="2531"/>
      <c r="AD48" s="2531"/>
      <c r="AE48" s="656"/>
      <c r="AF48" s="2503"/>
      <c r="AG48" s="2503"/>
      <c r="AH48" s="2503"/>
      <c r="AI48" s="2503"/>
      <c r="AJ48" s="2503"/>
      <c r="AK48" s="2503"/>
      <c r="AL48" s="2503"/>
      <c r="AM48" s="2503"/>
      <c r="AN48" s="2503"/>
      <c r="AO48" s="2503"/>
      <c r="AP48" s="2503"/>
      <c r="AQ48" s="2503"/>
      <c r="AR48" s="2503"/>
      <c r="AS48" s="2503"/>
      <c r="AT48" s="2503"/>
      <c r="AU48" s="2503"/>
      <c r="AV48" s="2503"/>
      <c r="AW48" s="2503"/>
      <c r="AX48" s="2503"/>
      <c r="AY48" s="2503"/>
      <c r="AZ48" s="2503"/>
      <c r="BA48" s="2503"/>
      <c r="BB48" s="2503"/>
      <c r="BC48" s="2503"/>
      <c r="BD48" s="2503"/>
      <c r="BE48" s="2503"/>
      <c r="BF48" s="2503"/>
      <c r="BG48" s="2503"/>
      <c r="BH48" s="2503"/>
      <c r="BI48" s="2503"/>
      <c r="BJ48" s="2503"/>
      <c r="BK48" s="2503"/>
      <c r="BL48" s="2503"/>
      <c r="BM48" s="2503"/>
      <c r="BN48" s="2503"/>
      <c r="BO48" s="2503"/>
      <c r="BP48" s="2503"/>
      <c r="BQ48" s="2503"/>
      <c r="BR48" s="2503"/>
      <c r="BS48" s="2503"/>
      <c r="BT48" s="2503"/>
      <c r="BU48" s="2503"/>
      <c r="BV48" s="2503"/>
      <c r="BW48" s="2503"/>
      <c r="BX48" s="2503"/>
      <c r="BY48" s="2503"/>
      <c r="BZ48" s="2503"/>
      <c r="CA48" s="2503"/>
      <c r="CB48" s="2503"/>
      <c r="CC48" s="2503"/>
      <c r="CD48" s="2503"/>
      <c r="CE48" s="2503"/>
      <c r="CF48" s="2503"/>
      <c r="CG48" s="2503"/>
      <c r="CH48" s="2503"/>
      <c r="CI48" s="2503"/>
      <c r="CJ48" s="2503"/>
      <c r="CK48" s="2503"/>
      <c r="CL48" s="2503"/>
      <c r="CM48" s="2503"/>
      <c r="CN48" s="2503"/>
      <c r="CO48" s="2503"/>
      <c r="CP48" s="2503"/>
      <c r="CQ48" s="2503"/>
      <c r="CR48" s="2503"/>
      <c r="CS48" s="2503"/>
      <c r="CT48" s="2503"/>
      <c r="CU48" s="2503"/>
      <c r="CV48" s="2503"/>
      <c r="CW48" s="2503"/>
      <c r="CX48" s="2503"/>
      <c r="CY48" s="2503"/>
      <c r="CZ48" s="2503"/>
      <c r="DA48" s="2503"/>
      <c r="DB48" s="2503"/>
      <c r="DC48" s="2503"/>
      <c r="DD48" s="2503"/>
      <c r="DE48" s="2503"/>
      <c r="DF48" s="2503"/>
      <c r="DG48" s="2503"/>
      <c r="DH48" s="2503"/>
      <c r="DI48" s="2503"/>
    </row>
    <row r="49" spans="2:31" hidden="1">
      <c r="B49" s="110"/>
      <c r="C49" s="952" t="s">
        <v>739</v>
      </c>
      <c r="D49" s="924"/>
      <c r="E49" s="953"/>
      <c r="F49" s="954"/>
      <c r="G49" s="954"/>
      <c r="H49" s="954"/>
      <c r="I49" s="954"/>
      <c r="J49" s="954"/>
      <c r="K49" s="954"/>
      <c r="L49" s="954"/>
      <c r="M49" s="954"/>
      <c r="N49" s="954"/>
      <c r="O49" s="67"/>
      <c r="P49" s="1077"/>
      <c r="Q49" s="1077"/>
      <c r="R49" s="2565"/>
      <c r="S49" s="86"/>
      <c r="T49" s="86"/>
      <c r="U49" s="86"/>
      <c r="V49" s="86"/>
      <c r="W49" s="86"/>
      <c r="X49" s="86"/>
      <c r="Y49" s="86"/>
      <c r="Z49" s="86"/>
      <c r="AA49" s="86"/>
      <c r="AB49" s="86"/>
      <c r="AC49" s="86"/>
      <c r="AD49" s="86"/>
      <c r="AE49" s="1077"/>
    </row>
    <row r="50" spans="2:31" hidden="1">
      <c r="B50" s="110"/>
      <c r="C50" s="956" t="s">
        <v>740</v>
      </c>
      <c r="D50" s="957"/>
      <c r="E50" s="958"/>
      <c r="F50" s="959"/>
      <c r="G50" s="959"/>
      <c r="H50" s="959"/>
      <c r="I50" s="959"/>
      <c r="J50" s="959"/>
      <c r="K50" s="959"/>
      <c r="L50" s="959"/>
      <c r="M50" s="959"/>
      <c r="N50" s="959"/>
      <c r="O50" s="67"/>
      <c r="P50" s="86"/>
      <c r="Q50" s="2531"/>
      <c r="R50" s="86"/>
      <c r="S50" s="86"/>
      <c r="T50" s="86"/>
      <c r="U50" s="86"/>
      <c r="V50" s="86"/>
      <c r="W50" s="86"/>
      <c r="X50" s="86"/>
      <c r="Y50" s="86"/>
      <c r="Z50" s="86"/>
      <c r="AA50" s="86"/>
      <c r="AB50" s="86"/>
      <c r="AC50" s="86"/>
      <c r="AD50" s="86"/>
      <c r="AE50" s="1077"/>
    </row>
    <row r="51" spans="2:31" hidden="1">
      <c r="B51" s="110"/>
      <c r="C51" s="946"/>
      <c r="D51" s="924"/>
      <c r="E51" s="941"/>
      <c r="F51" s="942"/>
      <c r="G51" s="942"/>
      <c r="H51" s="943"/>
      <c r="I51" s="943"/>
      <c r="J51" s="943"/>
      <c r="K51" s="943"/>
      <c r="L51" s="943"/>
      <c r="M51" s="943"/>
      <c r="N51" s="67"/>
      <c r="O51" s="67"/>
      <c r="P51" s="1077"/>
      <c r="Q51" s="1088"/>
      <c r="R51" s="1077"/>
      <c r="S51" s="1431"/>
      <c r="T51" s="1077"/>
      <c r="U51" s="1077"/>
      <c r="V51" s="1077"/>
      <c r="W51" s="1077"/>
      <c r="X51" s="1077"/>
      <c r="Y51" s="1077"/>
      <c r="Z51" s="1077"/>
      <c r="AA51" s="1077"/>
      <c r="AB51" s="1077"/>
      <c r="AC51" s="1431"/>
      <c r="AD51" s="1077"/>
      <c r="AE51" s="1077"/>
    </row>
    <row r="52" spans="2:31" hidden="1">
      <c r="B52" s="110"/>
      <c r="C52" s="49" t="s">
        <v>1925</v>
      </c>
      <c r="D52" s="924"/>
      <c r="E52" s="941"/>
      <c r="F52" s="942"/>
      <c r="G52" s="942"/>
      <c r="H52" s="943"/>
      <c r="I52" s="943"/>
      <c r="J52" s="943"/>
      <c r="K52" s="943"/>
      <c r="L52" s="943"/>
      <c r="M52" s="943"/>
      <c r="N52" s="944" t="s">
        <v>2819</v>
      </c>
      <c r="O52" s="67"/>
      <c r="P52" s="1077"/>
      <c r="Q52" s="1077"/>
      <c r="R52" s="2536"/>
      <c r="S52" s="2566"/>
      <c r="T52" s="2536"/>
      <c r="U52" s="2536"/>
      <c r="V52" s="2536"/>
      <c r="W52" s="2536"/>
      <c r="X52" s="2536"/>
      <c r="Y52" s="2536"/>
      <c r="Z52" s="2536"/>
      <c r="AA52" s="2536"/>
      <c r="AB52" s="2536"/>
      <c r="AC52" s="2536"/>
      <c r="AD52" s="1077"/>
      <c r="AE52" s="1077"/>
    </row>
    <row r="53" spans="2:31" hidden="1">
      <c r="B53" s="110"/>
      <c r="C53" s="946"/>
      <c r="D53" s="924"/>
      <c r="E53" s="941"/>
      <c r="F53" s="942"/>
      <c r="G53" s="942"/>
      <c r="H53" s="943"/>
      <c r="I53" s="943"/>
      <c r="J53" s="943"/>
      <c r="K53" s="943"/>
      <c r="L53" s="943"/>
      <c r="M53" s="943"/>
      <c r="N53" s="67"/>
      <c r="O53" s="67"/>
      <c r="P53" s="1077"/>
      <c r="Q53" s="86"/>
      <c r="R53" s="2536"/>
      <c r="S53" s="1431"/>
      <c r="T53" s="2556"/>
      <c r="U53" s="2556"/>
      <c r="V53" s="2556"/>
      <c r="W53" s="2556"/>
      <c r="X53" s="2556"/>
      <c r="Y53" s="2556"/>
      <c r="Z53" s="2556"/>
      <c r="AA53" s="2556"/>
      <c r="AB53" s="2556"/>
      <c r="AC53" s="2556"/>
      <c r="AD53" s="86"/>
      <c r="AE53" s="1077"/>
    </row>
    <row r="54" spans="2:31" hidden="1">
      <c r="B54" s="110"/>
      <c r="C54" s="1179"/>
      <c r="D54" s="1079"/>
      <c r="E54" s="980" t="s">
        <v>160</v>
      </c>
      <c r="F54" s="981">
        <v>2013</v>
      </c>
      <c r="G54" s="974">
        <v>2015</v>
      </c>
      <c r="H54" s="974">
        <v>2020</v>
      </c>
      <c r="I54" s="974">
        <v>2025</v>
      </c>
      <c r="J54" s="974">
        <v>2030</v>
      </c>
      <c r="K54" s="974">
        <v>2035</v>
      </c>
      <c r="L54" s="974">
        <v>2040</v>
      </c>
      <c r="M54" s="974">
        <v>2045</v>
      </c>
      <c r="N54" s="974">
        <v>2050</v>
      </c>
      <c r="O54" s="67"/>
      <c r="P54" s="1077"/>
      <c r="Q54" s="86"/>
      <c r="R54" s="1077"/>
      <c r="S54" s="1431"/>
      <c r="T54" s="2567"/>
      <c r="U54" s="2567"/>
      <c r="V54" s="2567"/>
      <c r="W54" s="2567"/>
      <c r="X54" s="2567"/>
      <c r="Y54" s="2567"/>
      <c r="Z54" s="2567"/>
      <c r="AA54" s="2567"/>
      <c r="AB54" s="2567"/>
      <c r="AC54" s="2567"/>
      <c r="AD54" s="86"/>
      <c r="AE54" s="1077"/>
    </row>
    <row r="55" spans="2:31" hidden="1">
      <c r="B55" s="110"/>
      <c r="C55" s="976" t="s">
        <v>738</v>
      </c>
      <c r="D55" s="1079"/>
      <c r="E55" s="966"/>
      <c r="F55" s="1080"/>
      <c r="G55" s="1080"/>
      <c r="H55" s="1080"/>
      <c r="I55" s="1080"/>
      <c r="J55" s="1080"/>
      <c r="K55" s="1080"/>
      <c r="L55" s="1080"/>
      <c r="M55" s="1080"/>
      <c r="N55" s="1080"/>
      <c r="O55" s="67"/>
      <c r="P55" s="1077"/>
      <c r="Q55" s="86"/>
      <c r="R55" s="1077"/>
      <c r="S55" s="1431"/>
      <c r="T55" s="2567"/>
      <c r="U55" s="2567"/>
      <c r="V55" s="2567"/>
      <c r="W55" s="2567"/>
      <c r="X55" s="2567"/>
      <c r="Y55" s="2567"/>
      <c r="Z55" s="2567"/>
      <c r="AA55" s="2567"/>
      <c r="AB55" s="2567"/>
      <c r="AC55" s="2567"/>
      <c r="AD55" s="86"/>
      <c r="AE55" s="1077"/>
    </row>
    <row r="56" spans="2:31" hidden="1">
      <c r="B56" s="110"/>
      <c r="C56" s="952" t="s">
        <v>739</v>
      </c>
      <c r="D56" s="924"/>
      <c r="E56" s="953"/>
      <c r="F56" s="954"/>
      <c r="G56" s="954"/>
      <c r="H56" s="954"/>
      <c r="I56" s="954"/>
      <c r="J56" s="954"/>
      <c r="K56" s="954"/>
      <c r="L56" s="954"/>
      <c r="M56" s="954"/>
      <c r="N56" s="954"/>
      <c r="O56" s="67"/>
      <c r="P56" s="1077"/>
      <c r="Q56" s="86"/>
      <c r="R56" s="1077"/>
      <c r="S56" s="1431"/>
      <c r="T56" s="2567"/>
      <c r="U56" s="2567"/>
      <c r="V56" s="2567"/>
      <c r="W56" s="2567"/>
      <c r="X56" s="2567"/>
      <c r="Y56" s="2567"/>
      <c r="Z56" s="2567"/>
      <c r="AA56" s="2567"/>
      <c r="AB56" s="2567"/>
      <c r="AC56" s="2567"/>
      <c r="AD56" s="86"/>
      <c r="AE56" s="1077"/>
    </row>
    <row r="57" spans="2:31" hidden="1">
      <c r="B57" s="110"/>
      <c r="C57" s="956" t="s">
        <v>740</v>
      </c>
      <c r="D57" s="957"/>
      <c r="E57" s="958"/>
      <c r="F57" s="959"/>
      <c r="G57" s="959"/>
      <c r="H57" s="959"/>
      <c r="I57" s="959"/>
      <c r="J57" s="959"/>
      <c r="K57" s="959"/>
      <c r="L57" s="959"/>
      <c r="M57" s="959"/>
      <c r="N57" s="959"/>
      <c r="O57" s="67"/>
      <c r="P57" s="1077"/>
      <c r="Q57" s="1088"/>
      <c r="R57" s="1077"/>
      <c r="S57" s="1431"/>
      <c r="T57" s="2567"/>
      <c r="U57" s="2567"/>
      <c r="V57" s="2567"/>
      <c r="W57" s="2567"/>
      <c r="X57" s="2567"/>
      <c r="Y57" s="2567"/>
      <c r="Z57" s="2567"/>
      <c r="AA57" s="2567"/>
      <c r="AB57" s="2567"/>
      <c r="AC57" s="1431"/>
      <c r="AD57" s="86"/>
      <c r="AE57" s="1077"/>
    </row>
    <row r="58" spans="2:31" hidden="1">
      <c r="B58" s="110"/>
      <c r="C58" s="46"/>
      <c r="D58" s="67"/>
      <c r="E58" s="51"/>
      <c r="F58" s="2568"/>
      <c r="G58" s="2568"/>
      <c r="H58" s="2568"/>
      <c r="I58" s="2568"/>
      <c r="J58" s="2568"/>
      <c r="K58" s="2568"/>
      <c r="L58" s="2568"/>
      <c r="M58" s="2568"/>
      <c r="N58" s="2568"/>
      <c r="O58" s="46"/>
      <c r="P58" s="1077"/>
      <c r="Q58" s="86"/>
      <c r="R58" s="1077"/>
      <c r="S58" s="1431"/>
      <c r="T58" s="2567"/>
      <c r="U58" s="2567"/>
      <c r="V58" s="2567"/>
      <c r="W58" s="2567"/>
      <c r="X58" s="2567"/>
      <c r="Y58" s="2567"/>
      <c r="Z58" s="2567"/>
      <c r="AA58" s="2567"/>
      <c r="AB58" s="2567"/>
      <c r="AC58" s="2567"/>
      <c r="AD58" s="86"/>
      <c r="AE58" s="1077"/>
    </row>
    <row r="59" spans="2:31">
      <c r="B59" s="86"/>
      <c r="C59" s="1077"/>
      <c r="D59" s="1432"/>
      <c r="E59" s="1077"/>
      <c r="F59" s="1077"/>
      <c r="G59" s="1077"/>
      <c r="H59" s="1077"/>
      <c r="I59" s="1077"/>
      <c r="J59" s="1077"/>
      <c r="K59" s="1077"/>
      <c r="L59" s="1077"/>
      <c r="M59" s="1077"/>
      <c r="N59" s="1077"/>
      <c r="O59" s="1077"/>
      <c r="P59" s="1077"/>
      <c r="Q59" s="86"/>
      <c r="R59" s="2536"/>
      <c r="S59" s="1431"/>
      <c r="T59" s="2556"/>
      <c r="U59" s="2556"/>
      <c r="V59" s="2556"/>
      <c r="W59" s="2556"/>
      <c r="X59" s="2556"/>
      <c r="Y59" s="2556"/>
      <c r="Z59" s="2556"/>
      <c r="AA59" s="2556"/>
      <c r="AB59" s="2556"/>
      <c r="AC59" s="2556"/>
      <c r="AD59" s="86"/>
      <c r="AE59" s="1077"/>
    </row>
    <row r="60" spans="2:31" ht="15.75">
      <c r="B60" s="878" t="s">
        <v>178</v>
      </c>
      <c r="C60" s="879"/>
      <c r="D60" s="879"/>
      <c r="E60" s="879"/>
      <c r="F60" s="879"/>
      <c r="G60" s="879"/>
      <c r="H60" s="879"/>
      <c r="I60" s="879"/>
      <c r="J60" s="879"/>
      <c r="K60" s="879"/>
      <c r="L60" s="879"/>
      <c r="M60" s="879"/>
      <c r="N60" s="879"/>
      <c r="O60" s="879"/>
      <c r="P60" s="1077"/>
      <c r="Q60" s="86"/>
      <c r="R60" s="1077"/>
      <c r="S60" s="1431"/>
      <c r="T60" s="2567"/>
      <c r="U60" s="2567"/>
      <c r="V60" s="2567"/>
      <c r="W60" s="2567"/>
      <c r="X60" s="2567"/>
      <c r="Y60" s="2567"/>
      <c r="Z60" s="2567"/>
      <c r="AA60" s="2567"/>
      <c r="AB60" s="2567"/>
      <c r="AC60" s="2567"/>
      <c r="AD60" s="86"/>
      <c r="AE60" s="1077"/>
    </row>
    <row r="61" spans="2:31">
      <c r="B61" s="110"/>
      <c r="C61" s="67"/>
      <c r="D61" s="67"/>
      <c r="E61" s="67"/>
      <c r="F61" s="67"/>
      <c r="G61" s="67"/>
      <c r="H61" s="67"/>
      <c r="I61" s="67"/>
      <c r="J61" s="67"/>
      <c r="K61" s="67"/>
      <c r="L61" s="67"/>
      <c r="M61" s="67"/>
      <c r="N61" s="67"/>
      <c r="O61" s="67"/>
      <c r="P61" s="1077"/>
      <c r="Q61" s="86"/>
      <c r="R61" s="1077"/>
      <c r="S61" s="1431"/>
      <c r="T61" s="2567"/>
      <c r="U61" s="2567"/>
      <c r="V61" s="2567"/>
      <c r="W61" s="2567"/>
      <c r="X61" s="2567"/>
      <c r="Y61" s="2567"/>
      <c r="Z61" s="2567"/>
      <c r="AA61" s="2567"/>
      <c r="AB61" s="2567"/>
      <c r="AC61" s="2567"/>
      <c r="AD61" s="86"/>
      <c r="AE61" s="1077"/>
    </row>
    <row r="62" spans="2:31">
      <c r="B62" s="110"/>
      <c r="C62" s="49" t="s">
        <v>870</v>
      </c>
      <c r="D62" s="67"/>
      <c r="E62" s="51"/>
      <c r="F62" s="67"/>
      <c r="G62" s="67"/>
      <c r="H62" s="67"/>
      <c r="I62" s="67"/>
      <c r="J62" s="67"/>
      <c r="K62" s="67"/>
      <c r="L62" s="67"/>
      <c r="M62" s="67"/>
      <c r="N62" s="51" t="str">
        <f>Preferences.PowerUnits</f>
        <v>GW</v>
      </c>
      <c r="O62" s="67"/>
      <c r="P62" s="1077"/>
      <c r="Q62" s="207"/>
      <c r="R62" s="1077"/>
      <c r="S62" s="2569"/>
      <c r="T62" s="2570"/>
      <c r="U62" s="2570"/>
      <c r="V62" s="2570"/>
      <c r="W62" s="2567"/>
      <c r="X62" s="2567"/>
      <c r="Y62" s="2567"/>
      <c r="Z62" s="2567"/>
      <c r="AA62" s="2567"/>
      <c r="AB62" s="2567"/>
      <c r="AC62" s="2567"/>
      <c r="AD62" s="86"/>
      <c r="AE62" s="1077"/>
    </row>
    <row r="63" spans="2:31">
      <c r="B63" s="110"/>
      <c r="C63" s="67"/>
      <c r="D63" s="67"/>
      <c r="E63" s="67"/>
      <c r="F63" s="67"/>
      <c r="G63" s="67"/>
      <c r="H63" s="67"/>
      <c r="I63" s="67"/>
      <c r="J63" s="67"/>
      <c r="K63" s="67"/>
      <c r="L63" s="67"/>
      <c r="M63" s="67"/>
      <c r="N63" s="67"/>
      <c r="O63" s="67"/>
      <c r="P63" s="1077"/>
      <c r="Q63" s="1077"/>
      <c r="R63" s="2536"/>
      <c r="S63" s="2569"/>
      <c r="T63" s="2495"/>
      <c r="U63" s="2495"/>
      <c r="V63" s="2495"/>
      <c r="W63" s="2536"/>
      <c r="X63" s="2536"/>
      <c r="Y63" s="2536"/>
      <c r="Z63" s="2536"/>
      <c r="AA63" s="2536"/>
      <c r="AB63" s="2536"/>
      <c r="AC63" s="2536"/>
      <c r="AD63" s="86"/>
      <c r="AE63" s="1077"/>
    </row>
    <row r="64" spans="2:31" ht="15.75">
      <c r="B64" s="55"/>
      <c r="C64" s="887" t="s">
        <v>132</v>
      </c>
      <c r="D64" s="887" t="s">
        <v>72</v>
      </c>
      <c r="E64" s="887" t="s">
        <v>30</v>
      </c>
      <c r="F64" s="92">
        <v>2013</v>
      </c>
      <c r="G64" s="1276">
        <v>2015</v>
      </c>
      <c r="H64" s="92">
        <v>2020</v>
      </c>
      <c r="I64" s="92">
        <v>2025</v>
      </c>
      <c r="J64" s="92">
        <v>2030</v>
      </c>
      <c r="K64" s="92">
        <v>2035</v>
      </c>
      <c r="L64" s="92">
        <v>2040</v>
      </c>
      <c r="M64" s="92">
        <v>2045</v>
      </c>
      <c r="N64" s="92">
        <v>2050</v>
      </c>
      <c r="O64" s="67"/>
      <c r="P64" s="1077"/>
      <c r="Q64" s="207"/>
      <c r="R64" s="2536"/>
      <c r="S64" s="2569"/>
      <c r="T64" s="2495"/>
      <c r="U64" s="2495"/>
      <c r="V64" s="2495"/>
      <c r="W64" s="2536"/>
      <c r="X64" s="2536"/>
      <c r="Y64" s="2536"/>
      <c r="Z64" s="2536"/>
      <c r="AA64" s="2536"/>
      <c r="AB64" s="2536"/>
      <c r="AC64" s="2536"/>
      <c r="AD64" s="86"/>
      <c r="AE64" s="1077"/>
    </row>
    <row r="65" spans="1:31" ht="15.75">
      <c r="B65" s="975"/>
      <c r="C65" s="916" t="s">
        <v>447</v>
      </c>
      <c r="D65" s="917" t="str">
        <f>INDEX(Vectors[Description], MATCH($C65, Vectors[Code], 0))</f>
        <v>Wind</v>
      </c>
      <c r="E65" s="917"/>
      <c r="F65" s="921">
        <f t="shared" ref="F65:N65" si="1">F20</f>
        <v>0</v>
      </c>
      <c r="G65" s="2540">
        <f t="shared" si="1"/>
        <v>0</v>
      </c>
      <c r="H65" s="921">
        <f t="shared" si="1"/>
        <v>0.1</v>
      </c>
      <c r="I65" s="921">
        <f t="shared" si="1"/>
        <v>0.1</v>
      </c>
      <c r="J65" s="921">
        <f t="shared" si="1"/>
        <v>0.1</v>
      </c>
      <c r="K65" s="921">
        <f t="shared" si="1"/>
        <v>0.18333333333333299</v>
      </c>
      <c r="L65" s="921">
        <f t="shared" si="1"/>
        <v>0.18333333333333299</v>
      </c>
      <c r="M65" s="921">
        <f t="shared" si="1"/>
        <v>0.2</v>
      </c>
      <c r="N65" s="921">
        <f t="shared" si="1"/>
        <v>0.2</v>
      </c>
      <c r="O65" s="108"/>
      <c r="P65" s="1077"/>
      <c r="Q65" s="1077"/>
      <c r="R65" s="2536"/>
      <c r="S65" s="208"/>
      <c r="T65" s="2536"/>
      <c r="U65" s="2536"/>
      <c r="V65" s="2536"/>
      <c r="W65" s="2536"/>
      <c r="X65" s="2536"/>
      <c r="Y65" s="2536"/>
      <c r="Z65" s="2536"/>
      <c r="AA65" s="2536"/>
      <c r="AB65" s="2536"/>
      <c r="AC65" s="2536"/>
      <c r="AD65" s="86"/>
      <c r="AE65" s="1077"/>
    </row>
    <row r="66" spans="1:31">
      <c r="B66" s="45"/>
      <c r="C66" s="65"/>
      <c r="D66" s="108"/>
      <c r="E66" s="108"/>
      <c r="F66" s="172"/>
      <c r="G66" s="165"/>
      <c r="H66" s="165"/>
      <c r="I66" s="165"/>
      <c r="J66" s="165"/>
      <c r="K66" s="165"/>
      <c r="L66" s="165"/>
      <c r="M66" s="165"/>
      <c r="N66" s="165"/>
      <c r="O66" s="67"/>
      <c r="P66" s="1077"/>
      <c r="Q66" s="1077"/>
      <c r="R66" s="86"/>
      <c r="S66" s="208"/>
      <c r="T66" s="86"/>
      <c r="U66" s="86"/>
      <c r="V66" s="86"/>
      <c r="W66" s="86"/>
      <c r="X66" s="86"/>
      <c r="Y66" s="86"/>
      <c r="Z66" s="86"/>
      <c r="AA66" s="86"/>
      <c r="AB66" s="86"/>
      <c r="AC66" s="86"/>
      <c r="AD66" s="86"/>
      <c r="AE66" s="1077"/>
    </row>
    <row r="67" spans="1:31">
      <c r="P67" s="1077"/>
      <c r="Q67" s="1077"/>
      <c r="R67" s="1077"/>
      <c r="S67" s="1077"/>
      <c r="T67" s="1077"/>
      <c r="U67" s="1077"/>
      <c r="V67" s="1077"/>
      <c r="W67" s="1077"/>
      <c r="X67" s="1077"/>
      <c r="Y67" s="1077"/>
      <c r="Z67" s="1077"/>
      <c r="AA67" s="1077"/>
      <c r="AB67" s="1077"/>
      <c r="AC67" s="1077"/>
      <c r="AD67" s="1077"/>
      <c r="AE67" s="1077"/>
    </row>
    <row r="68" spans="1:31" ht="23.25">
      <c r="A68" s="7"/>
      <c r="B68" s="2503" t="s">
        <v>1926</v>
      </c>
      <c r="F68" s="2503">
        <v>2013</v>
      </c>
      <c r="G68" s="2503">
        <v>2015</v>
      </c>
      <c r="H68" s="2503">
        <v>2020</v>
      </c>
      <c r="I68" s="2503">
        <v>2025</v>
      </c>
      <c r="J68" s="2503">
        <v>2030</v>
      </c>
      <c r="K68" s="2503">
        <v>2035</v>
      </c>
      <c r="L68" s="2503">
        <v>2040</v>
      </c>
      <c r="M68" s="2503">
        <v>2045</v>
      </c>
      <c r="N68" s="2503">
        <v>2050</v>
      </c>
      <c r="P68" s="1077"/>
      <c r="Q68" s="1077"/>
      <c r="R68" s="1077"/>
      <c r="S68" s="1077"/>
      <c r="T68" s="1077"/>
      <c r="U68" s="1077"/>
      <c r="V68" s="1077"/>
      <c r="W68" s="1077"/>
      <c r="X68" s="1077"/>
      <c r="Y68" s="1077"/>
      <c r="Z68" s="1077"/>
      <c r="AA68" s="1077"/>
      <c r="AB68" s="1077"/>
      <c r="AC68" s="1077"/>
      <c r="AD68" s="1077"/>
      <c r="AE68" s="1077"/>
    </row>
    <row r="70" spans="1:31">
      <c r="C70" s="363" t="s">
        <v>871</v>
      </c>
      <c r="E70" s="2503" t="str">
        <f>Preferences.PowerUnits</f>
        <v>GW</v>
      </c>
      <c r="F70" s="374">
        <f t="shared" ref="F70:N70" si="2">F$65</f>
        <v>0</v>
      </c>
      <c r="G70" s="374">
        <f t="shared" si="2"/>
        <v>0</v>
      </c>
      <c r="H70" s="374">
        <f t="shared" si="2"/>
        <v>0.1</v>
      </c>
      <c r="I70" s="374">
        <f t="shared" si="2"/>
        <v>0.1</v>
      </c>
      <c r="J70" s="374">
        <f t="shared" si="2"/>
        <v>0.1</v>
      </c>
      <c r="K70" s="374">
        <f t="shared" si="2"/>
        <v>0.18333333333333299</v>
      </c>
      <c r="L70" s="374">
        <f t="shared" si="2"/>
        <v>0.18333333333333299</v>
      </c>
      <c r="M70" s="374">
        <f t="shared" si="2"/>
        <v>0.2</v>
      </c>
      <c r="N70" s="374">
        <f t="shared" si="2"/>
        <v>0.2</v>
      </c>
    </row>
    <row r="71" spans="1:31">
      <c r="B71" s="2503" t="s">
        <v>219</v>
      </c>
      <c r="C71" s="2503" t="s">
        <v>858</v>
      </c>
      <c r="F71" s="989">
        <f>F$31</f>
        <v>0.24</v>
      </c>
      <c r="G71" s="989">
        <f t="shared" ref="G71:N71" si="3">G$31</f>
        <v>0.24</v>
      </c>
      <c r="H71" s="989">
        <f t="shared" si="3"/>
        <v>0.24</v>
      </c>
      <c r="I71" s="989">
        <f t="shared" si="3"/>
        <v>0.24</v>
      </c>
      <c r="J71" s="989">
        <f t="shared" si="3"/>
        <v>0.24</v>
      </c>
      <c r="K71" s="989">
        <f t="shared" si="3"/>
        <v>0.24</v>
      </c>
      <c r="L71" s="989">
        <f t="shared" si="3"/>
        <v>0.24</v>
      </c>
      <c r="M71" s="989">
        <f t="shared" si="3"/>
        <v>0.24</v>
      </c>
      <c r="N71" s="989">
        <f t="shared" si="3"/>
        <v>0.24</v>
      </c>
    </row>
    <row r="72" spans="1:31">
      <c r="B72" s="988" t="s">
        <v>221</v>
      </c>
      <c r="C72" s="363" t="s">
        <v>872</v>
      </c>
      <c r="F72" s="366">
        <f t="shared" ref="F72:N72" si="4">F70*F71</f>
        <v>0</v>
      </c>
      <c r="G72" s="366">
        <f t="shared" si="4"/>
        <v>0</v>
      </c>
      <c r="H72" s="366">
        <f t="shared" si="4"/>
        <v>2.4E-2</v>
      </c>
      <c r="I72" s="366">
        <f t="shared" si="4"/>
        <v>2.4E-2</v>
      </c>
      <c r="J72" s="366">
        <f t="shared" si="4"/>
        <v>2.4E-2</v>
      </c>
      <c r="K72" s="366">
        <f t="shared" si="4"/>
        <v>4.3999999999999914E-2</v>
      </c>
      <c r="L72" s="366">
        <f t="shared" si="4"/>
        <v>4.3999999999999914E-2</v>
      </c>
      <c r="M72" s="366">
        <f t="shared" si="4"/>
        <v>4.8000000000000001E-2</v>
      </c>
      <c r="N72" s="366">
        <f t="shared" si="4"/>
        <v>4.8000000000000001E-2</v>
      </c>
    </row>
    <row r="73" spans="1:31">
      <c r="C73" s="363" t="s">
        <v>873</v>
      </c>
      <c r="E73" s="2503" t="str">
        <f>Preferences.EnergyUnits</f>
        <v>TWh</v>
      </c>
      <c r="F73" s="366">
        <f t="shared" ref="F73:N73" si="5">F72*Preferences.Unit.Power*Unit.year/Preferences.Unit.Energy</f>
        <v>0</v>
      </c>
      <c r="G73" s="366">
        <f t="shared" si="5"/>
        <v>0</v>
      </c>
      <c r="H73" s="366">
        <f t="shared" si="5"/>
        <v>0.21038399999999999</v>
      </c>
      <c r="I73" s="366">
        <f t="shared" si="5"/>
        <v>0.21038399999999999</v>
      </c>
      <c r="J73" s="366">
        <f t="shared" si="5"/>
        <v>0.21038399999999999</v>
      </c>
      <c r="K73" s="366">
        <f t="shared" si="5"/>
        <v>0.38570399999999927</v>
      </c>
      <c r="L73" s="366">
        <f t="shared" si="5"/>
        <v>0.38570399999999927</v>
      </c>
      <c r="M73" s="366">
        <f t="shared" si="5"/>
        <v>0.42076799999999998</v>
      </c>
      <c r="N73" s="366">
        <f t="shared" si="5"/>
        <v>0.42076799999999998</v>
      </c>
    </row>
    <row r="74" spans="1:31">
      <c r="C74" s="363"/>
      <c r="E74" s="2503" t="s">
        <v>5</v>
      </c>
      <c r="F74" s="366"/>
      <c r="G74" s="366"/>
      <c r="H74" s="366" t="s">
        <v>5</v>
      </c>
      <c r="I74" s="366"/>
      <c r="J74" s="366"/>
      <c r="K74" s="366"/>
      <c r="L74" s="366"/>
      <c r="M74" s="366"/>
      <c r="N74" s="366"/>
    </row>
    <row r="75" spans="1:31">
      <c r="B75" s="2503" t="s">
        <v>757</v>
      </c>
      <c r="C75" s="363"/>
      <c r="F75" s="366"/>
      <c r="G75" s="366"/>
      <c r="H75" s="366"/>
      <c r="I75" s="366"/>
      <c r="J75" s="366"/>
      <c r="K75" s="366"/>
      <c r="L75" s="366"/>
      <c r="M75" s="366"/>
      <c r="N75" s="366"/>
    </row>
    <row r="76" spans="1:31">
      <c r="C76" s="2503" t="s">
        <v>1927</v>
      </c>
      <c r="E76" s="2503" t="s">
        <v>760</v>
      </c>
      <c r="F76" s="993">
        <f>F70/$F$36</f>
        <v>0</v>
      </c>
      <c r="G76" s="993">
        <f t="shared" ref="G76:N76" si="6">G70/$F$36</f>
        <v>0</v>
      </c>
      <c r="H76" s="993">
        <f t="shared" si="6"/>
        <v>20000</v>
      </c>
      <c r="I76" s="993">
        <f t="shared" si="6"/>
        <v>20000</v>
      </c>
      <c r="J76" s="993">
        <f>J70/$F$36</f>
        <v>20000</v>
      </c>
      <c r="K76" s="993">
        <f t="shared" si="6"/>
        <v>36666.666666666591</v>
      </c>
      <c r="L76" s="993">
        <f t="shared" si="6"/>
        <v>36666.666666666591</v>
      </c>
      <c r="M76" s="993">
        <f t="shared" si="6"/>
        <v>40000</v>
      </c>
      <c r="N76" s="993">
        <f t="shared" si="6"/>
        <v>40000</v>
      </c>
    </row>
    <row r="77" spans="1:31">
      <c r="C77" s="2503" t="s">
        <v>876</v>
      </c>
      <c r="E77" s="2503" t="str">
        <f>Preferences.AreaUnits</f>
        <v>km^2</v>
      </c>
      <c r="F77" s="993">
        <f>F70/$F$37</f>
        <v>0</v>
      </c>
      <c r="G77" s="993">
        <f t="shared" ref="G77:N77" si="7">G70/$F$37</f>
        <v>0</v>
      </c>
      <c r="H77" s="993">
        <f t="shared" si="7"/>
        <v>47.999999999999993</v>
      </c>
      <c r="I77" s="993">
        <f t="shared" si="7"/>
        <v>47.999999999999993</v>
      </c>
      <c r="J77" s="993">
        <f t="shared" si="7"/>
        <v>47.999999999999993</v>
      </c>
      <c r="K77" s="993">
        <f t="shared" si="7"/>
        <v>87.999999999999815</v>
      </c>
      <c r="L77" s="993">
        <f t="shared" si="7"/>
        <v>87.999999999999815</v>
      </c>
      <c r="M77" s="993">
        <f t="shared" si="7"/>
        <v>95.999999999999986</v>
      </c>
      <c r="N77" s="993">
        <f t="shared" si="7"/>
        <v>95.999999999999986</v>
      </c>
      <c r="O77" s="992"/>
    </row>
    <row r="78" spans="1:31">
      <c r="F78" s="993"/>
      <c r="G78" s="993"/>
      <c r="H78" s="993"/>
      <c r="I78" s="993"/>
      <c r="J78" s="993"/>
      <c r="K78" s="993"/>
      <c r="L78" s="993"/>
      <c r="M78" s="993"/>
      <c r="N78" s="993"/>
      <c r="O78" s="992"/>
    </row>
    <row r="79" spans="1:31">
      <c r="C79" s="2503" t="s">
        <v>991</v>
      </c>
      <c r="F79" s="993"/>
      <c r="G79" s="993">
        <f t="shared" ref="G79:N79" si="8">(G76-F76)/(G68-F68)</f>
        <v>0</v>
      </c>
      <c r="H79" s="993">
        <f t="shared" si="8"/>
        <v>4000</v>
      </c>
      <c r="I79" s="993">
        <f t="shared" si="8"/>
        <v>0</v>
      </c>
      <c r="J79" s="993">
        <f t="shared" si="8"/>
        <v>0</v>
      </c>
      <c r="K79" s="993">
        <f t="shared" si="8"/>
        <v>3333.3333333333185</v>
      </c>
      <c r="L79" s="993">
        <f t="shared" si="8"/>
        <v>0</v>
      </c>
      <c r="M79" s="993">
        <f t="shared" si="8"/>
        <v>666.66666666668175</v>
      </c>
      <c r="N79" s="993">
        <f t="shared" si="8"/>
        <v>0</v>
      </c>
      <c r="O79" s="992"/>
    </row>
    <row r="80" spans="1:31">
      <c r="C80" s="2503" t="s">
        <v>1928</v>
      </c>
      <c r="F80" s="993"/>
      <c r="G80" s="993"/>
      <c r="H80" s="993"/>
      <c r="I80" s="993"/>
      <c r="J80" s="993"/>
      <c r="K80" s="993"/>
      <c r="L80" s="993">
        <f>G76/(L68-K68)</f>
        <v>0</v>
      </c>
      <c r="M80" s="993">
        <f>H76/(M68-L68)</f>
        <v>4000</v>
      </c>
      <c r="N80" s="993">
        <f>I76/(N68-M68)</f>
        <v>4000</v>
      </c>
      <c r="O80" s="992"/>
    </row>
    <row r="81" spans="2:16">
      <c r="C81" s="2503" t="s">
        <v>1929</v>
      </c>
      <c r="F81" s="993"/>
      <c r="G81" s="993">
        <f>SUM(G79:G80)</f>
        <v>0</v>
      </c>
      <c r="H81" s="993">
        <f t="shared" ref="H81:N81" si="9">SUM(H79:H80)</f>
        <v>4000</v>
      </c>
      <c r="I81" s="993">
        <f t="shared" si="9"/>
        <v>0</v>
      </c>
      <c r="J81" s="993">
        <f t="shared" si="9"/>
        <v>0</v>
      </c>
      <c r="K81" s="993">
        <f t="shared" si="9"/>
        <v>3333.3333333333185</v>
      </c>
      <c r="L81" s="993">
        <f t="shared" si="9"/>
        <v>0</v>
      </c>
      <c r="M81" s="993">
        <f t="shared" si="9"/>
        <v>4666.6666666666815</v>
      </c>
      <c r="N81" s="993">
        <f t="shared" si="9"/>
        <v>4000</v>
      </c>
      <c r="O81" s="992"/>
    </row>
    <row r="82" spans="2:16">
      <c r="F82" s="993"/>
      <c r="G82" s="993"/>
      <c r="H82" s="993"/>
      <c r="I82" s="993"/>
      <c r="J82" s="993"/>
      <c r="K82" s="993"/>
      <c r="L82" s="993"/>
      <c r="M82" s="993"/>
      <c r="N82" s="993"/>
      <c r="O82" s="992"/>
    </row>
    <row r="83" spans="2:16">
      <c r="B83" s="3611" t="s">
        <v>2798</v>
      </c>
      <c r="F83" s="993"/>
      <c r="G83" s="993"/>
      <c r="H83" s="993"/>
      <c r="I83" s="993"/>
      <c r="J83" s="993"/>
      <c r="K83" s="993"/>
      <c r="L83" s="993"/>
      <c r="M83" s="993"/>
      <c r="N83" s="993"/>
      <c r="O83" s="992"/>
    </row>
    <row r="84" spans="2:16" hidden="1">
      <c r="C84" s="2503" t="s">
        <v>169</v>
      </c>
      <c r="E84" s="3611" t="s">
        <v>2812</v>
      </c>
      <c r="F84" s="993"/>
      <c r="G84" s="993"/>
      <c r="H84" s="993"/>
      <c r="I84" s="993"/>
      <c r="J84" s="993"/>
      <c r="K84" s="993"/>
      <c r="L84" s="993"/>
      <c r="M84" s="993"/>
      <c r="N84" s="993"/>
      <c r="O84" s="992"/>
    </row>
    <row r="85" spans="2:16" hidden="1">
      <c r="C85" s="2503" t="s">
        <v>173</v>
      </c>
      <c r="E85" s="3611" t="s">
        <v>2812</v>
      </c>
      <c r="F85" s="993"/>
      <c r="G85" s="993"/>
      <c r="H85" s="993"/>
      <c r="I85" s="993"/>
      <c r="J85" s="993"/>
      <c r="K85" s="993"/>
      <c r="L85" s="993"/>
      <c r="M85" s="993"/>
      <c r="N85" s="993"/>
      <c r="O85" s="992"/>
    </row>
    <row r="86" spans="2:16" hidden="1">
      <c r="C86" s="2503" t="s">
        <v>294</v>
      </c>
      <c r="E86" s="3611" t="s">
        <v>2812</v>
      </c>
      <c r="F86" s="993"/>
      <c r="G86" s="993"/>
      <c r="H86" s="993"/>
      <c r="I86" s="993"/>
      <c r="J86" s="993"/>
      <c r="K86" s="993"/>
      <c r="L86" s="993"/>
      <c r="M86" s="993"/>
      <c r="N86" s="993"/>
      <c r="O86" s="992"/>
    </row>
    <row r="87" spans="2:16" hidden="1">
      <c r="C87" s="363"/>
      <c r="F87" s="366"/>
      <c r="G87" s="366"/>
      <c r="H87" s="366"/>
      <c r="I87" s="366"/>
      <c r="J87" s="366"/>
      <c r="K87" s="366"/>
      <c r="L87" s="366"/>
      <c r="M87" s="366"/>
      <c r="N87" s="366"/>
      <c r="O87" s="992"/>
    </row>
    <row r="88" spans="2:16" hidden="1">
      <c r="B88" s="2503" t="s">
        <v>295</v>
      </c>
      <c r="F88" s="993"/>
      <c r="G88" s="993"/>
      <c r="H88" s="993"/>
      <c r="I88" s="993"/>
      <c r="J88" s="993"/>
      <c r="K88" s="993"/>
      <c r="L88" s="993"/>
      <c r="M88" s="993"/>
      <c r="N88" s="993"/>
      <c r="O88" s="992"/>
      <c r="P88" s="39"/>
    </row>
    <row r="89" spans="2:16" hidden="1">
      <c r="C89" s="2503" t="s">
        <v>169</v>
      </c>
      <c r="E89" s="3611" t="s">
        <v>2812</v>
      </c>
      <c r="F89" s="993"/>
      <c r="G89" s="993"/>
      <c r="H89" s="993"/>
      <c r="I89" s="993"/>
      <c r="J89" s="993"/>
      <c r="K89" s="993"/>
      <c r="L89" s="993"/>
      <c r="M89" s="993"/>
      <c r="N89" s="993"/>
      <c r="O89" s="992"/>
      <c r="P89" s="39"/>
    </row>
    <row r="90" spans="2:16" hidden="1">
      <c r="C90" s="2503" t="s">
        <v>173</v>
      </c>
      <c r="E90" s="3611" t="s">
        <v>2812</v>
      </c>
      <c r="F90" s="993"/>
      <c r="G90" s="993"/>
      <c r="H90" s="993"/>
      <c r="I90" s="993"/>
      <c r="J90" s="993"/>
      <c r="K90" s="993"/>
      <c r="L90" s="993"/>
      <c r="M90" s="993"/>
      <c r="N90" s="993"/>
      <c r="O90" s="992"/>
      <c r="P90" s="39"/>
    </row>
    <row r="91" spans="2:16" hidden="1">
      <c r="C91" s="2503" t="s">
        <v>294</v>
      </c>
      <c r="E91" s="3611" t="s">
        <v>2812</v>
      </c>
      <c r="F91" s="993"/>
      <c r="G91" s="993"/>
      <c r="H91" s="993"/>
      <c r="I91" s="993"/>
      <c r="J91" s="993"/>
      <c r="K91" s="993"/>
      <c r="L91" s="993"/>
      <c r="M91" s="993"/>
      <c r="N91" s="993"/>
      <c r="P91" s="39"/>
    </row>
    <row r="92" spans="2:16" hidden="1">
      <c r="F92" s="993"/>
      <c r="G92" s="993"/>
      <c r="H92" s="993"/>
      <c r="I92" s="993"/>
      <c r="J92" s="993"/>
      <c r="K92" s="993"/>
      <c r="L92" s="993"/>
      <c r="M92" s="993"/>
      <c r="N92" s="993"/>
      <c r="P92" s="39"/>
    </row>
    <row r="93" spans="2:16" hidden="1">
      <c r="B93" s="2503" t="s">
        <v>293</v>
      </c>
      <c r="F93" s="993"/>
      <c r="G93" s="993"/>
      <c r="H93" s="993"/>
      <c r="I93" s="993"/>
      <c r="J93" s="993"/>
      <c r="K93" s="993"/>
      <c r="L93" s="993"/>
      <c r="M93" s="993"/>
      <c r="N93" s="993"/>
    </row>
    <row r="94" spans="2:16" hidden="1">
      <c r="C94" s="2503" t="s">
        <v>169</v>
      </c>
      <c r="E94" s="3611" t="s">
        <v>2812</v>
      </c>
      <c r="F94" s="993"/>
      <c r="G94" s="993"/>
      <c r="H94" s="993"/>
      <c r="I94" s="993"/>
      <c r="J94" s="993"/>
      <c r="K94" s="993"/>
      <c r="L94" s="993"/>
      <c r="M94" s="993"/>
      <c r="N94" s="993"/>
    </row>
    <row r="95" spans="2:16" hidden="1">
      <c r="C95" s="2503" t="s">
        <v>173</v>
      </c>
      <c r="E95" s="3611" t="s">
        <v>2812</v>
      </c>
      <c r="F95" s="993"/>
      <c r="G95" s="993"/>
      <c r="H95" s="993"/>
      <c r="I95" s="993"/>
      <c r="J95" s="993"/>
      <c r="K95" s="993"/>
      <c r="L95" s="993"/>
      <c r="M95" s="993"/>
      <c r="N95" s="993"/>
    </row>
    <row r="96" spans="2:16" hidden="1">
      <c r="C96" s="2503" t="s">
        <v>294</v>
      </c>
      <c r="E96" s="3611" t="s">
        <v>2812</v>
      </c>
      <c r="F96" s="993"/>
      <c r="G96" s="993"/>
      <c r="H96" s="993"/>
      <c r="I96" s="993"/>
      <c r="J96" s="993"/>
      <c r="K96" s="993"/>
      <c r="L96" s="993"/>
      <c r="M96" s="993"/>
      <c r="N96" s="993"/>
    </row>
    <row r="98" spans="1:21" ht="15.75">
      <c r="B98" s="511" t="s">
        <v>299</v>
      </c>
      <c r="C98" s="512"/>
      <c r="D98" s="512"/>
      <c r="E98" s="512"/>
      <c r="F98" s="512"/>
      <c r="G98" s="512"/>
      <c r="H98" s="512"/>
      <c r="I98" s="512"/>
      <c r="J98" s="512"/>
      <c r="K98" s="512"/>
      <c r="L98" s="512"/>
      <c r="M98" s="512"/>
      <c r="N98" s="512"/>
      <c r="O98" s="866"/>
      <c r="P98" s="39"/>
    </row>
    <row r="99" spans="1:21">
      <c r="B99" s="514"/>
      <c r="C99" s="515"/>
      <c r="D99" s="515"/>
      <c r="E99" s="515"/>
      <c r="F99" s="515"/>
      <c r="G99" s="515"/>
      <c r="H99" s="515"/>
      <c r="I99" s="515"/>
      <c r="J99" s="515"/>
      <c r="K99" s="515"/>
      <c r="L99" s="515"/>
      <c r="M99" s="515"/>
      <c r="N99" s="515"/>
      <c r="O99" s="867"/>
      <c r="P99" s="39"/>
    </row>
    <row r="100" spans="1:21">
      <c r="B100" s="514"/>
      <c r="C100" s="34" t="s">
        <v>765</v>
      </c>
      <c r="D100" s="515"/>
      <c r="E100" s="516"/>
      <c r="F100" s="515"/>
      <c r="G100" s="516"/>
      <c r="H100" s="515"/>
      <c r="I100" s="515"/>
      <c r="J100" s="515"/>
      <c r="K100" s="515"/>
      <c r="L100" s="515"/>
      <c r="M100" s="515"/>
      <c r="N100" s="516" t="str">
        <f>Preferences.EnergyUnits</f>
        <v>TWh</v>
      </c>
      <c r="O100" s="867"/>
      <c r="P100" s="39"/>
    </row>
    <row r="101" spans="1:21">
      <c r="B101" s="514"/>
      <c r="C101" s="515"/>
      <c r="D101" s="515"/>
      <c r="E101" s="515"/>
      <c r="F101" s="515"/>
      <c r="G101" s="515"/>
      <c r="H101" s="515"/>
      <c r="I101" s="515"/>
      <c r="J101" s="515"/>
      <c r="K101" s="515"/>
      <c r="L101" s="515"/>
      <c r="M101" s="515"/>
      <c r="N101" s="515"/>
      <c r="O101" s="867"/>
      <c r="P101" s="39"/>
    </row>
    <row r="102" spans="1:21" ht="23.25">
      <c r="A102" s="7"/>
      <c r="B102" s="15"/>
      <c r="C102" s="873" t="s">
        <v>28</v>
      </c>
      <c r="D102" s="873" t="s">
        <v>29</v>
      </c>
      <c r="E102" s="873" t="s">
        <v>30</v>
      </c>
      <c r="F102" s="873" t="s">
        <v>597</v>
      </c>
      <c r="G102" s="873" t="s">
        <v>133</v>
      </c>
      <c r="H102" s="873" t="s">
        <v>134</v>
      </c>
      <c r="I102" s="873" t="s">
        <v>135</v>
      </c>
      <c r="J102" s="873" t="s">
        <v>136</v>
      </c>
      <c r="K102" s="873" t="s">
        <v>137</v>
      </c>
      <c r="L102" s="873" t="s">
        <v>138</v>
      </c>
      <c r="M102" s="873" t="s">
        <v>139</v>
      </c>
      <c r="N102" s="873" t="s">
        <v>140</v>
      </c>
      <c r="O102" s="867"/>
      <c r="P102" s="39"/>
    </row>
    <row r="103" spans="1:21" ht="15.75">
      <c r="B103" s="15"/>
      <c r="C103" s="17" t="s">
        <v>97</v>
      </c>
      <c r="D103" s="17" t="str">
        <f>INDEX(Vectors[Description], MATCH($C103, Vectors[Code], 0))</f>
        <v>Electricity (supplied to grid)</v>
      </c>
      <c r="E103" s="17"/>
      <c r="F103" s="22">
        <f t="shared" ref="F103:N103" si="10">F73</f>
        <v>0</v>
      </c>
      <c r="G103" s="22">
        <f t="shared" si="10"/>
        <v>0</v>
      </c>
      <c r="H103" s="22">
        <f t="shared" si="10"/>
        <v>0.21038399999999999</v>
      </c>
      <c r="I103" s="22">
        <f t="shared" si="10"/>
        <v>0.21038399999999999</v>
      </c>
      <c r="J103" s="22">
        <f t="shared" si="10"/>
        <v>0.21038399999999999</v>
      </c>
      <c r="K103" s="22">
        <f t="shared" si="10"/>
        <v>0.38570399999999927</v>
      </c>
      <c r="L103" s="22">
        <f t="shared" si="10"/>
        <v>0.38570399999999927</v>
      </c>
      <c r="M103" s="22">
        <f t="shared" si="10"/>
        <v>0.42076799999999998</v>
      </c>
      <c r="N103" s="22">
        <f t="shared" si="10"/>
        <v>0.42076799999999998</v>
      </c>
      <c r="O103" s="867"/>
      <c r="P103" s="39"/>
    </row>
    <row r="104" spans="1:21" ht="15.75">
      <c r="B104" s="15"/>
      <c r="C104" s="17" t="s">
        <v>447</v>
      </c>
      <c r="D104" s="17" t="str">
        <f>INDEX(Vectors[Description], MATCH($C104, Vectors[Code], 0))</f>
        <v>Wind</v>
      </c>
      <c r="E104" s="17"/>
      <c r="F104" s="22">
        <f t="shared" ref="F104:N104" si="11">-F73</f>
        <v>0</v>
      </c>
      <c r="G104" s="22">
        <f t="shared" si="11"/>
        <v>0</v>
      </c>
      <c r="H104" s="22">
        <f t="shared" si="11"/>
        <v>-0.21038399999999999</v>
      </c>
      <c r="I104" s="22">
        <f t="shared" si="11"/>
        <v>-0.21038399999999999</v>
      </c>
      <c r="J104" s="22">
        <f t="shared" si="11"/>
        <v>-0.21038399999999999</v>
      </c>
      <c r="K104" s="22">
        <f t="shared" si="11"/>
        <v>-0.38570399999999927</v>
      </c>
      <c r="L104" s="22">
        <f t="shared" si="11"/>
        <v>-0.38570399999999927</v>
      </c>
      <c r="M104" s="22">
        <f t="shared" si="11"/>
        <v>-0.42076799999999998</v>
      </c>
      <c r="N104" s="22">
        <f t="shared" si="11"/>
        <v>-0.42076799999999998</v>
      </c>
      <c r="O104" s="867"/>
      <c r="P104" s="39"/>
    </row>
    <row r="105" spans="1:21" ht="15.75">
      <c r="B105" s="15"/>
      <c r="C105" s="2462" t="s">
        <v>59</v>
      </c>
      <c r="D105" s="2462"/>
      <c r="E105" s="2462"/>
      <c r="F105" s="2465">
        <f>SUBTOTAL(109,[2013])</f>
        <v>0</v>
      </c>
      <c r="G105" s="2465">
        <f>SUBTOTAL(109,[2015])</f>
        <v>0</v>
      </c>
      <c r="H105" s="2465">
        <f>SUBTOTAL(109,[2020])</f>
        <v>0</v>
      </c>
      <c r="I105" s="2465">
        <f>SUBTOTAL(109,[2025])</f>
        <v>0</v>
      </c>
      <c r="J105" s="2465">
        <f>SUBTOTAL(109,[2030])</f>
        <v>0</v>
      </c>
      <c r="K105" s="2465">
        <f>SUBTOTAL(109,[2035])</f>
        <v>0</v>
      </c>
      <c r="L105" s="2465">
        <f>SUBTOTAL(109,[2040])</f>
        <v>0</v>
      </c>
      <c r="M105" s="2465">
        <f>SUBTOTAL(109,[2045])</f>
        <v>0</v>
      </c>
      <c r="N105" s="2465">
        <f>SUBTOTAL(109,[2050])</f>
        <v>0</v>
      </c>
      <c r="O105" s="867"/>
      <c r="P105" s="39"/>
    </row>
    <row r="106" spans="1:21" ht="15.75">
      <c r="A106" s="443"/>
      <c r="B106" s="15"/>
      <c r="C106" s="452"/>
      <c r="D106" s="452"/>
      <c r="E106" s="452"/>
      <c r="F106" s="452"/>
      <c r="G106" s="452"/>
      <c r="H106" s="452"/>
      <c r="I106" s="452"/>
      <c r="J106" s="452"/>
      <c r="K106" s="452"/>
      <c r="L106" s="452"/>
      <c r="M106" s="452"/>
      <c r="N106" s="452"/>
      <c r="O106" s="867"/>
      <c r="P106" s="2503" t="s">
        <v>5</v>
      </c>
    </row>
    <row r="107" spans="1:21" ht="15.75">
      <c r="A107" s="443"/>
    </row>
    <row r="108" spans="1:21" ht="15.75">
      <c r="A108" s="443"/>
      <c r="B108" s="995" t="s">
        <v>313</v>
      </c>
      <c r="C108" s="996"/>
      <c r="D108" s="997"/>
      <c r="E108" s="997"/>
      <c r="F108" s="997"/>
      <c r="G108" s="997"/>
      <c r="H108" s="997"/>
      <c r="I108" s="997"/>
      <c r="J108" s="997"/>
      <c r="K108" s="997"/>
      <c r="L108" s="997"/>
      <c r="M108" s="997"/>
      <c r="N108" s="997"/>
      <c r="O108" s="998"/>
    </row>
    <row r="109" spans="1:21" ht="15.75">
      <c r="A109" s="443"/>
      <c r="B109" s="999"/>
      <c r="C109" s="1000"/>
      <c r="D109" s="1000"/>
      <c r="E109" s="1000"/>
      <c r="F109" s="1000"/>
      <c r="G109" s="1000"/>
      <c r="H109" s="1000"/>
      <c r="I109" s="1000"/>
      <c r="J109" s="1000"/>
      <c r="K109" s="1000"/>
      <c r="L109" s="1000"/>
      <c r="M109" s="1000"/>
      <c r="N109" s="1000"/>
      <c r="O109" s="1001"/>
    </row>
    <row r="110" spans="1:21">
      <c r="B110" s="1002"/>
      <c r="C110" s="488" t="s">
        <v>314</v>
      </c>
      <c r="D110" s="1003"/>
      <c r="E110" s="1004"/>
      <c r="F110" s="1003"/>
      <c r="G110" s="1004"/>
      <c r="H110" s="1003"/>
      <c r="I110" s="1003"/>
      <c r="J110" s="1003"/>
      <c r="K110" s="1003"/>
      <c r="L110" s="1003"/>
      <c r="M110" s="1003"/>
      <c r="N110" s="1004"/>
      <c r="O110" s="1005"/>
    </row>
    <row r="111" spans="1:21">
      <c r="B111" s="1002"/>
      <c r="C111" s="1003"/>
      <c r="D111" s="1003"/>
      <c r="E111" s="1003"/>
      <c r="F111" s="1003"/>
      <c r="G111" s="1003"/>
      <c r="H111" s="1003"/>
      <c r="I111" s="1003"/>
      <c r="J111" s="1003"/>
      <c r="K111" s="1003"/>
      <c r="L111" s="1003"/>
      <c r="M111" s="1003"/>
      <c r="N111" s="1003"/>
      <c r="O111" s="1005"/>
      <c r="R111" s="1152"/>
      <c r="S111" s="1153"/>
      <c r="T111" s="1152"/>
      <c r="U111" s="1152"/>
    </row>
    <row r="112" spans="1:21" ht="15.75">
      <c r="B112" s="492"/>
      <c r="C112" s="1006" t="s">
        <v>28</v>
      </c>
      <c r="D112" s="1006" t="s">
        <v>315</v>
      </c>
      <c r="E112" s="1006" t="s">
        <v>30</v>
      </c>
      <c r="F112" s="1006" t="s">
        <v>597</v>
      </c>
      <c r="G112" s="1006" t="s">
        <v>133</v>
      </c>
      <c r="H112" s="1006" t="s">
        <v>134</v>
      </c>
      <c r="I112" s="1006" t="s">
        <v>135</v>
      </c>
      <c r="J112" s="1006" t="s">
        <v>136</v>
      </c>
      <c r="K112" s="1006" t="s">
        <v>137</v>
      </c>
      <c r="L112" s="1006" t="s">
        <v>138</v>
      </c>
      <c r="M112" s="1006" t="s">
        <v>139</v>
      </c>
      <c r="N112" s="1006" t="s">
        <v>140</v>
      </c>
      <c r="O112" s="1005"/>
      <c r="S112" s="6"/>
    </row>
    <row r="113" spans="2:30" ht="15.75">
      <c r="B113" s="492"/>
      <c r="C113" s="1007" t="s">
        <v>887</v>
      </c>
      <c r="D113" s="1007" t="str">
        <f>"micro wind if "&amp;ROUND($F$37*Unit.m2/Unit.W,0)&amp;" Wpeak/m2"</f>
        <v>micro wind if 2 Wpeak/m2</v>
      </c>
      <c r="E113" s="494" t="str">
        <f>Preferences.AreaUnits</f>
        <v>km^2</v>
      </c>
      <c r="F113" s="1008">
        <f t="shared" ref="F113:N113" si="12">F77</f>
        <v>0</v>
      </c>
      <c r="G113" s="1008">
        <f t="shared" si="12"/>
        <v>0</v>
      </c>
      <c r="H113" s="1008">
        <f t="shared" si="12"/>
        <v>47.999999999999993</v>
      </c>
      <c r="I113" s="1008">
        <f t="shared" si="12"/>
        <v>47.999999999999993</v>
      </c>
      <c r="J113" s="1008">
        <f t="shared" si="12"/>
        <v>47.999999999999993</v>
      </c>
      <c r="K113" s="1008">
        <f t="shared" si="12"/>
        <v>87.999999999999815</v>
      </c>
      <c r="L113" s="1008">
        <f t="shared" si="12"/>
        <v>87.999999999999815</v>
      </c>
      <c r="M113" s="1008">
        <f t="shared" si="12"/>
        <v>95.999999999999986</v>
      </c>
      <c r="N113" s="1008">
        <f t="shared" si="12"/>
        <v>95.999999999999986</v>
      </c>
      <c r="O113" s="1005"/>
      <c r="S113" s="6"/>
    </row>
    <row r="114" spans="2:30" ht="15.75">
      <c r="B114" s="492"/>
      <c r="C114" s="1007" t="s">
        <v>767</v>
      </c>
      <c r="D114" s="494" t="str">
        <f>INDEX(Vectors[Description], MATCH([Vector], Vectors[Code], 0))</f>
        <v xml:space="preserve">Installed Capacity </v>
      </c>
      <c r="E114" s="494" t="str">
        <f>Preferences.PowerUnits</f>
        <v>GW</v>
      </c>
      <c r="F114" s="1008">
        <f t="shared" ref="F114:N114" si="13">F65</f>
        <v>0</v>
      </c>
      <c r="G114" s="1008">
        <f t="shared" si="13"/>
        <v>0</v>
      </c>
      <c r="H114" s="1008">
        <f t="shared" si="13"/>
        <v>0.1</v>
      </c>
      <c r="I114" s="1008">
        <f t="shared" si="13"/>
        <v>0.1</v>
      </c>
      <c r="J114" s="1008">
        <f t="shared" si="13"/>
        <v>0.1</v>
      </c>
      <c r="K114" s="1008">
        <f t="shared" si="13"/>
        <v>0.18333333333333299</v>
      </c>
      <c r="L114" s="1008">
        <f t="shared" si="13"/>
        <v>0.18333333333333299</v>
      </c>
      <c r="M114" s="1008">
        <f t="shared" si="13"/>
        <v>0.2</v>
      </c>
      <c r="N114" s="1008">
        <f t="shared" si="13"/>
        <v>0.2</v>
      </c>
      <c r="O114" s="1005"/>
      <c r="S114" s="6"/>
    </row>
    <row r="115" spans="2:30" ht="15.75">
      <c r="B115" s="492"/>
      <c r="C115" s="1007" t="s">
        <v>316</v>
      </c>
      <c r="D115" s="494" t="str">
        <f>C76</f>
        <v>Approximate total 5kW turbines</v>
      </c>
      <c r="E115" s="1007" t="s">
        <v>760</v>
      </c>
      <c r="F115" s="1193">
        <f t="shared" ref="F115:N115" si="14">F76</f>
        <v>0</v>
      </c>
      <c r="G115" s="496">
        <f t="shared" si="14"/>
        <v>0</v>
      </c>
      <c r="H115" s="496">
        <f t="shared" si="14"/>
        <v>20000</v>
      </c>
      <c r="I115" s="496">
        <f t="shared" si="14"/>
        <v>20000</v>
      </c>
      <c r="J115" s="496">
        <f t="shared" si="14"/>
        <v>20000</v>
      </c>
      <c r="K115" s="496">
        <f t="shared" si="14"/>
        <v>36666.666666666591</v>
      </c>
      <c r="L115" s="496">
        <f t="shared" si="14"/>
        <v>36666.666666666591</v>
      </c>
      <c r="M115" s="496">
        <f t="shared" si="14"/>
        <v>40000</v>
      </c>
      <c r="N115" s="496">
        <f t="shared" si="14"/>
        <v>40000</v>
      </c>
      <c r="O115" s="1005"/>
    </row>
    <row r="116" spans="2:30" ht="15.75">
      <c r="B116" s="497"/>
      <c r="C116" s="1010"/>
      <c r="D116" s="1010"/>
      <c r="E116" s="1010"/>
      <c r="F116" s="1010"/>
      <c r="G116" s="1010"/>
      <c r="H116" s="1010"/>
      <c r="I116" s="1010"/>
      <c r="J116" s="1010"/>
      <c r="K116" s="1010"/>
      <c r="L116" s="1010"/>
      <c r="M116" s="1010"/>
      <c r="N116" s="1010"/>
      <c r="O116" s="1011"/>
    </row>
    <row r="117" spans="2:30" ht="15.75">
      <c r="P117" s="2530"/>
      <c r="Q117" s="1077"/>
      <c r="R117" s="1077"/>
      <c r="S117" s="1077"/>
      <c r="T117" s="1077"/>
      <c r="U117" s="1077"/>
      <c r="V117" s="1077"/>
      <c r="W117" s="1077"/>
      <c r="X117" s="1077"/>
      <c r="Y117" s="1077"/>
      <c r="Z117" s="1077"/>
      <c r="AA117" s="1077"/>
      <c r="AB117" s="1077"/>
      <c r="AC117" s="1077"/>
      <c r="AD117" s="1077"/>
    </row>
    <row r="118" spans="2:30" ht="15.75">
      <c r="B118" s="995" t="s">
        <v>2795</v>
      </c>
      <c r="C118" s="997"/>
      <c r="D118" s="997"/>
      <c r="E118" s="997"/>
      <c r="F118" s="997"/>
      <c r="G118" s="997"/>
      <c r="H118" s="997"/>
      <c r="I118" s="997"/>
      <c r="J118" s="997"/>
      <c r="K118" s="997"/>
      <c r="L118" s="997"/>
      <c r="M118" s="997"/>
      <c r="N118" s="997"/>
      <c r="O118" s="997"/>
      <c r="P118" s="1077"/>
      <c r="Q118" s="1077"/>
      <c r="R118" s="1077"/>
      <c r="S118" s="1077"/>
      <c r="T118" s="1077"/>
      <c r="U118" s="1077"/>
      <c r="V118" s="1077"/>
      <c r="W118" s="1077"/>
      <c r="X118" s="1077"/>
      <c r="Y118" s="1077"/>
      <c r="Z118" s="1077"/>
      <c r="AA118" s="1077"/>
      <c r="AB118" s="1077"/>
      <c r="AC118" s="1077"/>
      <c r="AD118" s="1077"/>
    </row>
    <row r="119" spans="2:30" hidden="1">
      <c r="B119" s="1002"/>
      <c r="C119" s="1003"/>
      <c r="D119" s="1003"/>
      <c r="E119" s="1003"/>
      <c r="F119" s="1003"/>
      <c r="G119" s="1003"/>
      <c r="H119" s="1003"/>
      <c r="I119" s="1003"/>
      <c r="J119" s="1003"/>
      <c r="K119" s="1003"/>
      <c r="L119" s="1003"/>
      <c r="M119" s="1003"/>
      <c r="N119" s="1003"/>
      <c r="O119" s="1003"/>
      <c r="P119" s="1077"/>
      <c r="Q119" s="207"/>
      <c r="R119" s="1077"/>
      <c r="S119" s="1077"/>
      <c r="T119" s="1077"/>
      <c r="U119" s="1077"/>
      <c r="V119" s="1077"/>
      <c r="W119" s="1077"/>
      <c r="X119" s="1077"/>
      <c r="Y119" s="1077"/>
      <c r="Z119" s="1077"/>
      <c r="AA119" s="1077"/>
      <c r="AB119" s="1077"/>
      <c r="AC119" s="2553"/>
      <c r="AD119" s="1077"/>
    </row>
    <row r="120" spans="2:30" hidden="1">
      <c r="B120" s="1002"/>
      <c r="C120" s="500" t="s">
        <v>770</v>
      </c>
      <c r="D120" s="1012"/>
      <c r="E120" s="1012"/>
      <c r="F120" s="1012"/>
      <c r="G120" s="1012"/>
      <c r="H120" s="1012"/>
      <c r="I120" s="1012"/>
      <c r="J120" s="1012"/>
      <c r="K120" s="1012"/>
      <c r="L120" s="1012"/>
      <c r="M120" s="1012"/>
      <c r="N120" s="1013" t="s">
        <v>2812</v>
      </c>
      <c r="O120" s="1003"/>
      <c r="P120" s="1077"/>
      <c r="Q120" s="1077"/>
      <c r="R120" s="1077"/>
      <c r="S120" s="1077"/>
      <c r="T120" s="1077"/>
      <c r="U120" s="1077"/>
      <c r="V120" s="1077"/>
      <c r="W120" s="1077"/>
      <c r="X120" s="1077"/>
      <c r="Y120" s="1077"/>
      <c r="Z120" s="1077"/>
      <c r="AA120" s="1077"/>
      <c r="AB120" s="1077"/>
      <c r="AC120" s="1077"/>
      <c r="AD120" s="1077"/>
    </row>
    <row r="121" spans="2:30" ht="15.75" hidden="1">
      <c r="B121" s="1002"/>
      <c r="C121" s="1003"/>
      <c r="D121" s="1003"/>
      <c r="E121" s="1003"/>
      <c r="F121" s="1003"/>
      <c r="G121" s="1003"/>
      <c r="H121" s="1003"/>
      <c r="I121" s="1003"/>
      <c r="J121" s="1003"/>
      <c r="K121" s="1003"/>
      <c r="L121" s="1003"/>
      <c r="M121" s="1003"/>
      <c r="N121" s="1003"/>
      <c r="O121" s="1003"/>
      <c r="P121" s="2571"/>
      <c r="Q121" s="2572"/>
      <c r="R121" s="2572"/>
      <c r="S121" s="2572"/>
      <c r="T121" s="2572"/>
      <c r="U121" s="2572"/>
      <c r="V121" s="2572"/>
      <c r="W121" s="2572"/>
      <c r="X121" s="2572"/>
      <c r="Y121" s="2572"/>
      <c r="Z121" s="2572"/>
      <c r="AA121" s="2572"/>
      <c r="AB121" s="2572"/>
      <c r="AC121" s="2572"/>
      <c r="AD121" s="521"/>
    </row>
    <row r="122" spans="2:30" ht="15.75" hidden="1">
      <c r="B122" s="492"/>
      <c r="C122" s="1006" t="s">
        <v>28</v>
      </c>
      <c r="D122" s="1006" t="s">
        <v>29</v>
      </c>
      <c r="E122" s="1006" t="s">
        <v>30</v>
      </c>
      <c r="F122" s="1006">
        <v>2013</v>
      </c>
      <c r="G122" s="1006">
        <v>2015</v>
      </c>
      <c r="H122" s="1006" t="s">
        <v>134</v>
      </c>
      <c r="I122" s="1006" t="s">
        <v>135</v>
      </c>
      <c r="J122" s="1006" t="s">
        <v>136</v>
      </c>
      <c r="K122" s="1006" t="s">
        <v>137</v>
      </c>
      <c r="L122" s="1006" t="s">
        <v>138</v>
      </c>
      <c r="M122" s="1006" t="s">
        <v>139</v>
      </c>
      <c r="N122" s="1006" t="s">
        <v>140</v>
      </c>
      <c r="O122" s="1240"/>
      <c r="P122" s="2571"/>
      <c r="Q122" s="656"/>
      <c r="R122" s="206"/>
      <c r="S122" s="206"/>
      <c r="T122" s="2573"/>
      <c r="U122" s="2573"/>
      <c r="V122" s="2573"/>
      <c r="W122" s="2573"/>
      <c r="X122" s="2573"/>
      <c r="Y122" s="2573"/>
      <c r="Z122" s="2573"/>
      <c r="AA122" s="2573"/>
      <c r="AB122" s="2573"/>
      <c r="AC122" s="2573"/>
      <c r="AD122" s="521"/>
    </row>
    <row r="123" spans="2:30" ht="15.75" hidden="1">
      <c r="B123" s="492"/>
      <c r="C123" s="1007" t="s">
        <v>328</v>
      </c>
      <c r="D123" s="494" t="s">
        <v>329</v>
      </c>
      <c r="E123" s="494"/>
      <c r="F123" s="1008">
        <f>F84</f>
        <v>0</v>
      </c>
      <c r="G123" s="1008">
        <f t="shared" ref="G123:N124" si="15">G84</f>
        <v>0</v>
      </c>
      <c r="H123" s="1008">
        <f t="shared" si="15"/>
        <v>0</v>
      </c>
      <c r="I123" s="1008">
        <f t="shared" si="15"/>
        <v>0</v>
      </c>
      <c r="J123" s="1008">
        <f t="shared" si="15"/>
        <v>0</v>
      </c>
      <c r="K123" s="1008">
        <f t="shared" si="15"/>
        <v>0</v>
      </c>
      <c r="L123" s="1008">
        <f t="shared" si="15"/>
        <v>0</v>
      </c>
      <c r="M123" s="1008">
        <f t="shared" si="15"/>
        <v>0</v>
      </c>
      <c r="N123" s="1008">
        <f t="shared" si="15"/>
        <v>0</v>
      </c>
      <c r="O123" s="1240"/>
      <c r="P123" s="2571"/>
      <c r="Q123" s="656"/>
      <c r="R123" s="206"/>
      <c r="S123" s="206"/>
      <c r="T123" s="2573"/>
      <c r="U123" s="2573"/>
      <c r="V123" s="2573"/>
      <c r="W123" s="2573"/>
      <c r="X123" s="2573"/>
      <c r="Y123" s="2573"/>
      <c r="Z123" s="2573"/>
      <c r="AA123" s="2573"/>
      <c r="AB123" s="2573"/>
      <c r="AC123" s="2573"/>
      <c r="AD123" s="521"/>
    </row>
    <row r="124" spans="2:30" ht="15.75" hidden="1">
      <c r="B124" s="492"/>
      <c r="C124" s="1007" t="s">
        <v>335</v>
      </c>
      <c r="D124" s="494" t="s">
        <v>336</v>
      </c>
      <c r="E124" s="494"/>
      <c r="F124" s="1008">
        <f>F85</f>
        <v>0</v>
      </c>
      <c r="G124" s="1008">
        <f t="shared" si="15"/>
        <v>0</v>
      </c>
      <c r="H124" s="1008">
        <f t="shared" si="15"/>
        <v>0</v>
      </c>
      <c r="I124" s="1008">
        <f t="shared" si="15"/>
        <v>0</v>
      </c>
      <c r="J124" s="1008">
        <f t="shared" si="15"/>
        <v>0</v>
      </c>
      <c r="K124" s="1008">
        <f t="shared" si="15"/>
        <v>0</v>
      </c>
      <c r="L124" s="1008">
        <f t="shared" si="15"/>
        <v>0</v>
      </c>
      <c r="M124" s="1008">
        <f t="shared" si="15"/>
        <v>0</v>
      </c>
      <c r="N124" s="1008">
        <f t="shared" si="15"/>
        <v>0</v>
      </c>
      <c r="O124" s="1240"/>
      <c r="P124" s="2571"/>
      <c r="Q124" s="656"/>
      <c r="R124" s="206"/>
      <c r="S124" s="206"/>
      <c r="T124" s="2573"/>
      <c r="U124" s="2573"/>
      <c r="V124" s="2573"/>
      <c r="W124" s="2573"/>
      <c r="X124" s="2573"/>
      <c r="Y124" s="2573"/>
      <c r="Z124" s="2573"/>
      <c r="AA124" s="2573"/>
      <c r="AB124" s="2573"/>
      <c r="AC124" s="2573"/>
      <c r="AD124" s="521"/>
    </row>
    <row r="125" spans="2:30" ht="15.75" hidden="1">
      <c r="B125" s="492"/>
      <c r="C125" s="1007" t="s">
        <v>326</v>
      </c>
      <c r="D125" s="494" t="s">
        <v>327</v>
      </c>
      <c r="E125" s="494"/>
      <c r="F125" s="1008">
        <f>F89</f>
        <v>0</v>
      </c>
      <c r="G125" s="1008">
        <f t="shared" ref="G125:N126" si="16">G89</f>
        <v>0</v>
      </c>
      <c r="H125" s="1008">
        <f t="shared" si="16"/>
        <v>0</v>
      </c>
      <c r="I125" s="1008">
        <f t="shared" si="16"/>
        <v>0</v>
      </c>
      <c r="J125" s="1008">
        <f t="shared" si="16"/>
        <v>0</v>
      </c>
      <c r="K125" s="1008">
        <f t="shared" si="16"/>
        <v>0</v>
      </c>
      <c r="L125" s="1008">
        <f t="shared" si="16"/>
        <v>0</v>
      </c>
      <c r="M125" s="1008">
        <f t="shared" si="16"/>
        <v>0</v>
      </c>
      <c r="N125" s="1008">
        <f t="shared" si="16"/>
        <v>0</v>
      </c>
      <c r="O125" s="1240"/>
      <c r="P125" s="2571"/>
      <c r="Q125" s="656"/>
      <c r="R125" s="206"/>
      <c r="S125" s="206"/>
      <c r="T125" s="2573"/>
      <c r="U125" s="2573"/>
      <c r="V125" s="2573"/>
      <c r="W125" s="2573"/>
      <c r="X125" s="2573"/>
      <c r="Y125" s="2573"/>
      <c r="Z125" s="2573"/>
      <c r="AA125" s="2573"/>
      <c r="AB125" s="2573"/>
      <c r="AC125" s="2573"/>
      <c r="AD125" s="521"/>
    </row>
    <row r="126" spans="2:30" hidden="1">
      <c r="B126" s="503"/>
      <c r="C126" s="1007" t="s">
        <v>333</v>
      </c>
      <c r="D126" s="494" t="s">
        <v>334</v>
      </c>
      <c r="E126" s="494"/>
      <c r="F126" s="1008">
        <f>F90</f>
        <v>0</v>
      </c>
      <c r="G126" s="1008">
        <f t="shared" si="16"/>
        <v>0</v>
      </c>
      <c r="H126" s="1008">
        <f t="shared" si="16"/>
        <v>0</v>
      </c>
      <c r="I126" s="1008">
        <f t="shared" si="16"/>
        <v>0</v>
      </c>
      <c r="J126" s="1008">
        <f t="shared" si="16"/>
        <v>0</v>
      </c>
      <c r="K126" s="1008">
        <f t="shared" si="16"/>
        <v>0</v>
      </c>
      <c r="L126" s="1008">
        <f t="shared" si="16"/>
        <v>0</v>
      </c>
      <c r="M126" s="1008">
        <f t="shared" si="16"/>
        <v>0</v>
      </c>
      <c r="N126" s="1008">
        <f t="shared" si="16"/>
        <v>0</v>
      </c>
      <c r="O126" s="1241"/>
      <c r="P126" s="1718"/>
      <c r="Q126" s="656"/>
      <c r="R126" s="206"/>
      <c r="S126" s="206"/>
      <c r="T126" s="2573"/>
      <c r="U126" s="2573"/>
      <c r="V126" s="2573"/>
      <c r="W126" s="2573"/>
      <c r="X126" s="2573"/>
      <c r="Y126" s="2573"/>
      <c r="Z126" s="2573"/>
      <c r="AA126" s="2573"/>
      <c r="AB126" s="2573"/>
      <c r="AC126" s="2573"/>
      <c r="AD126" s="2574"/>
    </row>
    <row r="127" spans="2:30" hidden="1">
      <c r="B127" s="503"/>
      <c r="C127" s="1007" t="s">
        <v>324</v>
      </c>
      <c r="D127" s="494" t="s">
        <v>325</v>
      </c>
      <c r="E127" s="494"/>
      <c r="F127" s="1008">
        <f>F94</f>
        <v>0</v>
      </c>
      <c r="G127" s="1008">
        <f t="shared" ref="G127:N127" si="17">G94</f>
        <v>0</v>
      </c>
      <c r="H127" s="1008">
        <f t="shared" si="17"/>
        <v>0</v>
      </c>
      <c r="I127" s="1008">
        <f t="shared" si="17"/>
        <v>0</v>
      </c>
      <c r="J127" s="1008">
        <f t="shared" si="17"/>
        <v>0</v>
      </c>
      <c r="K127" s="1008">
        <f t="shared" si="17"/>
        <v>0</v>
      </c>
      <c r="L127" s="1008">
        <f t="shared" si="17"/>
        <v>0</v>
      </c>
      <c r="M127" s="1008">
        <f t="shared" si="17"/>
        <v>0</v>
      </c>
      <c r="N127" s="1008">
        <f t="shared" si="17"/>
        <v>0</v>
      </c>
      <c r="O127" s="1241"/>
      <c r="P127" s="1718"/>
      <c r="Q127" s="656"/>
      <c r="R127" s="206"/>
      <c r="S127" s="206"/>
      <c r="T127" s="2573"/>
      <c r="U127" s="2573"/>
      <c r="V127" s="2573"/>
      <c r="W127" s="2573"/>
      <c r="X127" s="2573"/>
      <c r="Y127" s="2573"/>
      <c r="Z127" s="2573"/>
      <c r="AA127" s="2573"/>
      <c r="AB127" s="2573"/>
      <c r="AC127" s="2573"/>
      <c r="AD127" s="2574"/>
    </row>
    <row r="128" spans="2:30" hidden="1">
      <c r="B128" s="503"/>
      <c r="C128" s="1007" t="s">
        <v>331</v>
      </c>
      <c r="D128" s="494" t="s">
        <v>325</v>
      </c>
      <c r="E128" s="494"/>
      <c r="F128" s="1008"/>
      <c r="G128" s="1008"/>
      <c r="H128" s="1008"/>
      <c r="I128" s="1008"/>
      <c r="J128" s="1008"/>
      <c r="K128" s="1008"/>
      <c r="L128" s="1008"/>
      <c r="M128" s="1008"/>
      <c r="N128" s="1008"/>
      <c r="O128" s="1241"/>
      <c r="P128" s="1718"/>
      <c r="Q128" s="1077"/>
      <c r="R128" s="1077"/>
      <c r="S128" s="1077"/>
      <c r="T128" s="1077"/>
      <c r="U128" s="1077"/>
      <c r="V128" s="1077"/>
      <c r="W128" s="1077"/>
      <c r="X128" s="1077"/>
      <c r="Y128" s="1077"/>
      <c r="Z128" s="1077"/>
      <c r="AA128" s="1077"/>
      <c r="AB128" s="1077"/>
      <c r="AC128" s="1077"/>
      <c r="AD128" s="2574"/>
    </row>
    <row r="129" spans="2:30" hidden="1">
      <c r="B129" s="1014"/>
      <c r="C129" s="1010"/>
      <c r="D129" s="1010"/>
      <c r="E129" s="1010"/>
      <c r="F129" s="1010"/>
      <c r="G129" s="1010"/>
      <c r="H129" s="1010"/>
      <c r="I129" s="1010"/>
      <c r="J129" s="1010"/>
      <c r="K129" s="1010"/>
      <c r="L129" s="1010"/>
      <c r="M129" s="1010"/>
      <c r="N129" s="1010"/>
      <c r="O129" s="1242"/>
      <c r="P129" s="1077"/>
      <c r="Q129" s="1077"/>
      <c r="R129" s="1077"/>
      <c r="S129" s="1077"/>
      <c r="T129" s="1077"/>
      <c r="U129" s="1077"/>
      <c r="V129" s="1077"/>
      <c r="W129" s="1077"/>
      <c r="X129" s="1077"/>
      <c r="Y129" s="1077"/>
      <c r="Z129" s="1077"/>
      <c r="AA129" s="1077"/>
      <c r="AB129" s="1077"/>
      <c r="AC129" s="1077"/>
      <c r="AD129" s="1077"/>
    </row>
    <row r="130" spans="2:30">
      <c r="P130" s="39"/>
    </row>
    <row r="131" spans="2:30">
      <c r="P131" s="39"/>
    </row>
    <row r="132" spans="2:30">
      <c r="P132" s="39"/>
    </row>
  </sheetData>
  <pageMargins left="0.7" right="0.7" top="0.75" bottom="0.75" header="0.3" footer="0.3"/>
  <tableParts count="2">
    <tablePart r:id="rId1"/>
    <tablePart r:id="rId2"/>
  </tableParts>
</worksheet>
</file>

<file path=xl/worksheets/sheet24.xml><?xml version="1.0" encoding="utf-8"?>
<worksheet xmlns="http://schemas.openxmlformats.org/spreadsheetml/2006/main" xmlns:r="http://schemas.openxmlformats.org/officeDocument/2006/relationships">
  <sheetPr>
    <tabColor theme="9"/>
  </sheetPr>
  <dimension ref="A1:R431"/>
  <sheetViews>
    <sheetView showGridLines="0" zoomScale="80" zoomScaleNormal="80" workbookViewId="0">
      <selection activeCell="F317" sqref="F317"/>
    </sheetView>
  </sheetViews>
  <sheetFormatPr defaultColWidth="8.85546875" defaultRowHeight="15"/>
  <cols>
    <col min="1" max="1" width="7.7109375" style="2685" customWidth="1"/>
    <col min="2" max="2" width="9" style="2685" customWidth="1"/>
    <col min="3" max="3" width="33.5703125" style="2685" customWidth="1"/>
    <col min="4" max="4" width="30.7109375" style="2685" customWidth="1"/>
    <col min="5" max="5" width="20.7109375" style="2685" customWidth="1"/>
    <col min="6" max="15" width="17.7109375" style="2685" customWidth="1"/>
    <col min="16" max="16" width="10.42578125" style="2685" customWidth="1"/>
    <col min="17" max="17" width="10.85546875" style="2685" customWidth="1"/>
    <col min="18" max="18" width="44.7109375" style="2685" customWidth="1"/>
    <col min="19" max="16384" width="8.85546875" style="2685"/>
  </cols>
  <sheetData>
    <row r="1" spans="1:16" ht="20.25">
      <c r="A1" s="863" t="s">
        <v>580</v>
      </c>
      <c r="B1" s="863" t="s">
        <v>581</v>
      </c>
      <c r="C1" s="863"/>
      <c r="D1" s="3835" t="s">
        <v>5</v>
      </c>
    </row>
    <row r="2" spans="1:16" s="6" customFormat="1" ht="15.75">
      <c r="A2" s="864" t="s">
        <v>575</v>
      </c>
      <c r="B2" s="864" t="s">
        <v>576</v>
      </c>
      <c r="C2" s="864"/>
      <c r="E2" s="5"/>
    </row>
    <row r="4" spans="1:16" ht="23.25">
      <c r="A4" s="7"/>
      <c r="B4" s="511" t="s">
        <v>361</v>
      </c>
      <c r="C4" s="865"/>
      <c r="D4" s="512"/>
      <c r="E4" s="513"/>
      <c r="F4" s="512"/>
      <c r="G4" s="512"/>
      <c r="H4" s="512"/>
      <c r="I4" s="512"/>
      <c r="J4" s="512"/>
      <c r="K4" s="512"/>
      <c r="L4" s="512"/>
      <c r="M4" s="512"/>
      <c r="N4" s="512"/>
      <c r="O4" s="512"/>
      <c r="P4" s="866"/>
    </row>
    <row r="5" spans="1:16">
      <c r="B5" s="514"/>
      <c r="C5" s="12"/>
      <c r="D5" s="515"/>
      <c r="E5" s="516"/>
      <c r="F5" s="515"/>
      <c r="G5" s="515"/>
      <c r="H5" s="515"/>
      <c r="I5" s="515"/>
      <c r="J5" s="515"/>
      <c r="K5" s="515"/>
      <c r="L5" s="515"/>
      <c r="M5" s="515"/>
      <c r="N5" s="515"/>
      <c r="O5" s="515"/>
      <c r="P5" s="867"/>
    </row>
    <row r="6" spans="1:16" ht="15.75">
      <c r="B6" s="15"/>
      <c r="C6" s="515"/>
      <c r="D6" s="16" t="s">
        <v>7</v>
      </c>
      <c r="E6" s="16" t="s">
        <v>8</v>
      </c>
      <c r="F6" s="515"/>
      <c r="G6" s="515"/>
      <c r="H6" s="515"/>
      <c r="I6" s="515"/>
      <c r="J6" s="515"/>
      <c r="K6" s="515"/>
      <c r="L6" s="515"/>
      <c r="M6" s="515"/>
      <c r="N6" s="515"/>
      <c r="O6" s="515"/>
      <c r="P6" s="867"/>
    </row>
    <row r="7" spans="1:16" ht="15.75">
      <c r="B7" s="15"/>
      <c r="C7" s="515"/>
      <c r="D7" s="868" t="s">
        <v>2104</v>
      </c>
      <c r="E7" s="868">
        <f>V.a.Scenario</f>
        <v>2</v>
      </c>
      <c r="F7" s="515"/>
      <c r="G7" s="515"/>
      <c r="H7" s="515"/>
      <c r="I7" s="515"/>
      <c r="J7" s="515"/>
      <c r="K7" s="515"/>
      <c r="L7" s="515"/>
      <c r="M7" s="515"/>
      <c r="N7" s="515"/>
      <c r="O7" s="515"/>
      <c r="P7" s="867"/>
    </row>
    <row r="8" spans="1:16" ht="15.75">
      <c r="B8" s="450"/>
      <c r="C8" s="452"/>
      <c r="D8" s="452"/>
      <c r="E8" s="452"/>
      <c r="F8" s="869"/>
      <c r="G8" s="869"/>
      <c r="H8" s="869"/>
      <c r="I8" s="869"/>
      <c r="J8" s="869"/>
      <c r="K8" s="869"/>
      <c r="L8" s="869"/>
      <c r="M8" s="869"/>
      <c r="N8" s="869"/>
      <c r="O8" s="869"/>
      <c r="P8" s="870"/>
    </row>
    <row r="10" spans="1:16" ht="23.25">
      <c r="A10" s="7"/>
      <c r="B10" s="511" t="s">
        <v>24</v>
      </c>
      <c r="C10" s="512"/>
      <c r="D10" s="512"/>
      <c r="E10" s="512"/>
      <c r="F10" s="512"/>
      <c r="G10" s="512"/>
      <c r="H10" s="512"/>
      <c r="I10" s="512"/>
      <c r="J10" s="512"/>
      <c r="K10" s="512"/>
      <c r="L10" s="512"/>
      <c r="M10" s="512"/>
      <c r="N10" s="512"/>
      <c r="O10" s="512"/>
      <c r="P10" s="866"/>
    </row>
    <row r="11" spans="1:16">
      <c r="A11" s="39"/>
      <c r="B11" s="871"/>
      <c r="C11" s="515"/>
      <c r="D11" s="515"/>
      <c r="E11" s="515"/>
      <c r="F11" s="515"/>
      <c r="G11" s="515"/>
      <c r="H11" s="515"/>
      <c r="I11" s="515"/>
      <c r="J11" s="515"/>
      <c r="K11" s="515"/>
      <c r="L11" s="515"/>
      <c r="M11" s="515"/>
      <c r="N11" s="515"/>
      <c r="O11" s="515"/>
      <c r="P11" s="867"/>
    </row>
    <row r="12" spans="1:16">
      <c r="A12" s="39"/>
      <c r="B12" s="871"/>
      <c r="C12" s="34" t="s">
        <v>2105</v>
      </c>
      <c r="D12" s="515"/>
      <c r="E12" s="516"/>
      <c r="F12" s="515"/>
      <c r="G12" s="515"/>
      <c r="H12" s="515"/>
      <c r="I12" s="515"/>
      <c r="J12" s="515"/>
      <c r="K12" s="515"/>
      <c r="L12" s="515"/>
      <c r="M12" s="515"/>
      <c r="N12" s="516" t="str">
        <f>Preferences.EnergyUnits</f>
        <v>TWh</v>
      </c>
      <c r="O12" s="515"/>
      <c r="P12" s="515"/>
    </row>
    <row r="13" spans="1:16">
      <c r="A13" s="39"/>
      <c r="B13" s="871"/>
      <c r="C13" s="12"/>
      <c r="D13" s="515"/>
      <c r="E13" s="516"/>
      <c r="F13" s="515"/>
      <c r="G13" s="515"/>
      <c r="H13" s="515"/>
      <c r="I13" s="515"/>
      <c r="J13" s="515"/>
      <c r="K13" s="515"/>
      <c r="L13" s="515"/>
      <c r="M13" s="515"/>
      <c r="N13" s="515"/>
      <c r="O13" s="515"/>
      <c r="P13" s="515"/>
    </row>
    <row r="14" spans="1:16" s="6" customFormat="1" ht="15.75">
      <c r="A14" s="2801"/>
      <c r="B14" s="872"/>
      <c r="C14" s="873" t="s">
        <v>28</v>
      </c>
      <c r="D14" s="873" t="s">
        <v>29</v>
      </c>
      <c r="E14" s="873" t="s">
        <v>30</v>
      </c>
      <c r="F14" s="873" t="s">
        <v>597</v>
      </c>
      <c r="G14" s="873" t="s">
        <v>133</v>
      </c>
      <c r="H14" s="873" t="s">
        <v>134</v>
      </c>
      <c r="I14" s="873" t="s">
        <v>135</v>
      </c>
      <c r="J14" s="873" t="s">
        <v>136</v>
      </c>
      <c r="K14" s="873" t="s">
        <v>137</v>
      </c>
      <c r="L14" s="873" t="s">
        <v>138</v>
      </c>
      <c r="M14" s="873" t="s">
        <v>139</v>
      </c>
      <c r="N14" s="873" t="s">
        <v>140</v>
      </c>
      <c r="O14" s="873"/>
      <c r="P14" s="873"/>
    </row>
    <row r="15" spans="1:16" s="6" customFormat="1" ht="15.75">
      <c r="A15" s="2801"/>
      <c r="B15" s="872"/>
      <c r="C15" s="873" t="s">
        <v>432</v>
      </c>
      <c r="D15" s="873" t="s">
        <v>382</v>
      </c>
      <c r="E15" s="873"/>
      <c r="F15" s="2800">
        <f ca="1">INDEX(INDIRECT("'"&amp;V.a.Inputs[#Headers]&amp;"'!Year.Matrix"), MATCH("Subtotal."&amp;$A$2, INDIRECT("'"&amp;V.a.Inputs[#Headers]&amp;"'!Year.Modules"), 0), MATCH([Vector], INDIRECT("'"&amp;V.a.Inputs[#Headers]&amp;"'!Year.Vectors"), 0))</f>
        <v>0.4334068201700001</v>
      </c>
      <c r="G15" s="2800">
        <f ca="1">INDEX(INDIRECT("'"&amp;V.a.Inputs[#Headers]&amp;"'!Year.Matrix"), MATCH("Subtotal."&amp;$A$2, INDIRECT("'"&amp;V.a.Inputs[#Headers]&amp;"'!Year.Modules"), 0), MATCH([Vector], INDIRECT("'"&amp;V.a.Inputs[#Headers]&amp;"'!Year.Vectors"), 0))</f>
        <v>1.0742385181146412</v>
      </c>
      <c r="H15" s="2800">
        <f ca="1">INDEX(INDIRECT("'"&amp;V.a.Inputs[#Headers]&amp;"'!Year.Matrix"), MATCH("Subtotal."&amp;$A$2, INDIRECT("'"&amp;V.a.Inputs[#Headers]&amp;"'!Year.Modules"), 0), MATCH([Vector], INDIRECT("'"&amp;V.a.Inputs[#Headers]&amp;"'!Year.Vectors"), 0))</f>
        <v>3.4730781007789262</v>
      </c>
      <c r="I15" s="2800">
        <f ca="1">INDEX(INDIRECT("'"&amp;V.a.Inputs[#Headers]&amp;"'!Year.Matrix"), MATCH("Subtotal."&amp;$A$2, INDIRECT("'"&amp;V.a.Inputs[#Headers]&amp;"'!Year.Modules"), 0), MATCH([Vector], INDIRECT("'"&amp;V.a.Inputs[#Headers]&amp;"'!Year.Vectors"), 0))</f>
        <v>8.3320251015035147</v>
      </c>
      <c r="J15" s="2800">
        <f ca="1">INDEX(INDIRECT("'"&amp;V.a.Inputs[#Headers]&amp;"'!Year.Matrix"), MATCH("Subtotal."&amp;$A$2, INDIRECT("'"&amp;V.a.Inputs[#Headers]&amp;"'!Year.Modules"), 0), MATCH([Vector], INDIRECT("'"&amp;V.a.Inputs[#Headers]&amp;"'!Year.Vectors"), 0))</f>
        <v>11.556354871441844</v>
      </c>
      <c r="K15" s="2800">
        <f ca="1">INDEX(INDIRECT("'"&amp;V.a.Inputs[#Headers]&amp;"'!Year.Matrix"), MATCH("Subtotal."&amp;$A$2, INDIRECT("'"&amp;V.a.Inputs[#Headers]&amp;"'!Year.Modules"), 0), MATCH([Vector], INDIRECT("'"&amp;V.a.Inputs[#Headers]&amp;"'!Year.Vectors"), 0))</f>
        <v>14.881855923773518</v>
      </c>
      <c r="L15" s="2800">
        <f ca="1">INDEX(INDIRECT("'"&amp;V.a.Inputs[#Headers]&amp;"'!Year.Matrix"), MATCH("Subtotal."&amp;$A$2, INDIRECT("'"&amp;V.a.Inputs[#Headers]&amp;"'!Year.Modules"), 0), MATCH([Vector], INDIRECT("'"&amp;V.a.Inputs[#Headers]&amp;"'!Year.Vectors"), 0))</f>
        <v>21.598415710930002</v>
      </c>
      <c r="M15" s="2800">
        <f ca="1">INDEX(INDIRECT("'"&amp;V.a.Inputs[#Headers]&amp;"'!Year.Matrix"), MATCH("Subtotal."&amp;$A$2, INDIRECT("'"&amp;V.a.Inputs[#Headers]&amp;"'!Year.Modules"), 0), MATCH([Vector], INDIRECT("'"&amp;V.a.Inputs[#Headers]&amp;"'!Year.Vectors"), 0))</f>
        <v>23.453273053128505</v>
      </c>
      <c r="N15" s="2800">
        <f ca="1">INDEX(INDIRECT("'"&amp;V.a.Inputs[#Headers]&amp;"'!Year.Matrix"), MATCH("Subtotal."&amp;$A$2, INDIRECT("'"&amp;V.a.Inputs[#Headers]&amp;"'!Year.Modules"), 0), MATCH([Vector], INDIRECT("'"&amp;V.a.Inputs[#Headers]&amp;"'!Year.Vectors"), 0))</f>
        <v>23.706484479667335</v>
      </c>
      <c r="O15" s="873"/>
      <c r="P15" s="873"/>
    </row>
    <row r="16" spans="1:16" s="6" customFormat="1" ht="15.75">
      <c r="A16" s="2801"/>
      <c r="B16" s="872"/>
      <c r="C16" s="17" t="s">
        <v>433</v>
      </c>
      <c r="D16" s="17" t="s">
        <v>383</v>
      </c>
      <c r="E16" s="17"/>
      <c r="F16" s="2800">
        <f ca="1">INDEX(INDIRECT("'"&amp;V.a.Inputs[#Headers]&amp;"'!Year.Matrix"), MATCH("Subtotal."&amp;$A$2, INDIRECT("'"&amp;V.a.Inputs[#Headers]&amp;"'!Year.Modules"), 0), MATCH([Vector], INDIRECT("'"&amp;V.a.Inputs[#Headers]&amp;"'!Year.Vectors"), 0))</f>
        <v>0.1469939508333333</v>
      </c>
      <c r="G16" s="2800">
        <f ca="1">INDEX(INDIRECT("'"&amp;V.a.Inputs[#Headers]&amp;"'!Year.Matrix"), MATCH("Subtotal."&amp;$A$2, INDIRECT("'"&amp;V.a.Inputs[#Headers]&amp;"'!Year.Modules"), 0), MATCH([Vector], INDIRECT("'"&amp;V.a.Inputs[#Headers]&amp;"'!Year.Vectors"), 0))</f>
        <v>0.30315030492522765</v>
      </c>
      <c r="H16" s="2800">
        <f ca="1">INDEX(INDIRECT("'"&amp;V.a.Inputs[#Headers]&amp;"'!Year.Matrix"), MATCH("Subtotal."&amp;$A$2, INDIRECT("'"&amp;V.a.Inputs[#Headers]&amp;"'!Year.Modules"), 0), MATCH([Vector], INDIRECT("'"&amp;V.a.Inputs[#Headers]&amp;"'!Year.Vectors"), 0))</f>
        <v>1.5106164705314096</v>
      </c>
      <c r="I16" s="2800">
        <f ca="1">INDEX(INDIRECT("'"&amp;V.a.Inputs[#Headers]&amp;"'!Year.Matrix"), MATCH("Subtotal."&amp;$A$2, INDIRECT("'"&amp;V.a.Inputs[#Headers]&amp;"'!Year.Modules"), 0), MATCH([Vector], INDIRECT("'"&amp;V.a.Inputs[#Headers]&amp;"'!Year.Vectors"), 0))</f>
        <v>3.021188431319072</v>
      </c>
      <c r="J16" s="2800">
        <f ca="1">INDEX(INDIRECT("'"&amp;V.a.Inputs[#Headers]&amp;"'!Year.Matrix"), MATCH("Subtotal."&amp;$A$2, INDIRECT("'"&amp;V.a.Inputs[#Headers]&amp;"'!Year.Modules"), 0), MATCH([Vector], INDIRECT("'"&amp;V.a.Inputs[#Headers]&amp;"'!Year.Vectors"), 0))</f>
        <v>7.9086168792688998</v>
      </c>
      <c r="K16" s="2800">
        <f ca="1">INDEX(INDIRECT("'"&amp;V.a.Inputs[#Headers]&amp;"'!Year.Matrix"), MATCH("Subtotal."&amp;$A$2, INDIRECT("'"&amp;V.a.Inputs[#Headers]&amp;"'!Year.Modules"), 0), MATCH([Vector], INDIRECT("'"&amp;V.a.Inputs[#Headers]&amp;"'!Year.Vectors"), 0))</f>
        <v>11.85886901389615</v>
      </c>
      <c r="L16" s="2800">
        <f ca="1">INDEX(INDIRECT("'"&amp;V.a.Inputs[#Headers]&amp;"'!Year.Matrix"), MATCH("Subtotal."&amp;$A$2, INDIRECT("'"&amp;V.a.Inputs[#Headers]&amp;"'!Year.Modules"), 0), MATCH([Vector], INDIRECT("'"&amp;V.a.Inputs[#Headers]&amp;"'!Year.Vectors"), 0))</f>
        <v>17.935298834659971</v>
      </c>
      <c r="M16" s="2800">
        <f ca="1">INDEX(INDIRECT("'"&amp;V.a.Inputs[#Headers]&amp;"'!Year.Matrix"), MATCH("Subtotal."&amp;$A$2, INDIRECT("'"&amp;V.a.Inputs[#Headers]&amp;"'!Year.Modules"), 0), MATCH([Vector], INDIRECT("'"&amp;V.a.Inputs[#Headers]&amp;"'!Year.Vectors"), 0))</f>
        <v>23.221401849807123</v>
      </c>
      <c r="N16" s="2800">
        <f ca="1">INDEX(INDIRECT("'"&amp;V.a.Inputs[#Headers]&amp;"'!Year.Matrix"), MATCH("Subtotal."&amp;$A$2, INDIRECT("'"&amp;V.a.Inputs[#Headers]&amp;"'!Year.Modules"), 0), MATCH([Vector], INDIRECT("'"&amp;V.a.Inputs[#Headers]&amp;"'!Year.Vectors"), 0))</f>
        <v>27.862294761138976</v>
      </c>
      <c r="O16" s="873"/>
      <c r="P16" s="873"/>
    </row>
    <row r="17" spans="1:18" s="6" customFormat="1" ht="15.75">
      <c r="A17" s="2801"/>
      <c r="B17" s="872"/>
      <c r="C17" s="17" t="s">
        <v>434</v>
      </c>
      <c r="D17" s="17" t="s">
        <v>384</v>
      </c>
      <c r="E17" s="17"/>
      <c r="F17" s="2800">
        <f ca="1">INDEX(INDIRECT("'"&amp;V.a.Inputs[#Headers]&amp;"'!Year.Matrix"), MATCH("Subtotal."&amp;$A$2, INDIRECT("'"&amp;V.a.Inputs[#Headers]&amp;"'!Year.Modules"), 0), MATCH([Vector], INDIRECT("'"&amp;V.a.Inputs[#Headers]&amp;"'!Year.Vectors"), 0))</f>
        <v>0.11749909065550901</v>
      </c>
      <c r="G17" s="2800">
        <f ca="1">INDEX(INDIRECT("'"&amp;V.a.Inputs[#Headers]&amp;"'!Year.Matrix"), MATCH("Subtotal."&amp;$A$2, INDIRECT("'"&amp;V.a.Inputs[#Headers]&amp;"'!Year.Modules"), 0), MATCH([Vector], INDIRECT("'"&amp;V.a.Inputs[#Headers]&amp;"'!Year.Vectors"), 0))</f>
        <v>0.13447853364046278</v>
      </c>
      <c r="H17" s="2800">
        <f ca="1">INDEX(INDIRECT("'"&amp;V.a.Inputs[#Headers]&amp;"'!Year.Matrix"), MATCH("Subtotal."&amp;$A$2, INDIRECT("'"&amp;V.a.Inputs[#Headers]&amp;"'!Year.Modules"), 0), MATCH([Vector], INDIRECT("'"&amp;V.a.Inputs[#Headers]&amp;"'!Year.Vectors"), 0))</f>
        <v>0.14794501798441054</v>
      </c>
      <c r="I17" s="2800">
        <f ca="1">INDEX(INDIRECT("'"&amp;V.a.Inputs[#Headers]&amp;"'!Year.Matrix"), MATCH("Subtotal."&amp;$A$2, INDIRECT("'"&amp;V.a.Inputs[#Headers]&amp;"'!Year.Modules"), 0), MATCH([Vector], INDIRECT("'"&amp;V.a.Inputs[#Headers]&amp;"'!Year.Vectors"), 0))</f>
        <v>0.16872527422163447</v>
      </c>
      <c r="J17" s="2800">
        <f ca="1">INDEX(INDIRECT("'"&amp;V.a.Inputs[#Headers]&amp;"'!Year.Matrix"), MATCH("Subtotal."&amp;$A$2, INDIRECT("'"&amp;V.a.Inputs[#Headers]&amp;"'!Year.Modules"), 0), MATCH([Vector], INDIRECT("'"&amp;V.a.Inputs[#Headers]&amp;"'!Year.Vectors"), 0))</f>
        <v>0.16588202572781321</v>
      </c>
      <c r="K17" s="2800">
        <f ca="1">INDEX(INDIRECT("'"&amp;V.a.Inputs[#Headers]&amp;"'!Year.Matrix"), MATCH("Subtotal."&amp;$A$2, INDIRECT("'"&amp;V.a.Inputs[#Headers]&amp;"'!Year.Modules"), 0), MATCH([Vector], INDIRECT("'"&amp;V.a.Inputs[#Headers]&amp;"'!Year.Vectors"), 0))</f>
        <v>0.16174046741956455</v>
      </c>
      <c r="L17" s="2800">
        <f ca="1">INDEX(INDIRECT("'"&amp;V.a.Inputs[#Headers]&amp;"'!Year.Matrix"), MATCH("Subtotal."&amp;$A$2, INDIRECT("'"&amp;V.a.Inputs[#Headers]&amp;"'!Year.Modules"), 0), MATCH([Vector], INDIRECT("'"&amp;V.a.Inputs[#Headers]&amp;"'!Year.Vectors"), 0))</f>
        <v>0.15626201242516538</v>
      </c>
      <c r="M17" s="2800">
        <f ca="1">INDEX(INDIRECT("'"&amp;V.a.Inputs[#Headers]&amp;"'!Year.Matrix"), MATCH("Subtotal."&amp;$A$2, INDIRECT("'"&amp;V.a.Inputs[#Headers]&amp;"'!Year.Modules"), 0), MATCH([Vector], INDIRECT("'"&amp;V.a.Inputs[#Headers]&amp;"'!Year.Vectors"), 0))</f>
        <v>0.14940807387289254</v>
      </c>
      <c r="N17" s="2800">
        <f ca="1">INDEX(INDIRECT("'"&amp;V.a.Inputs[#Headers]&amp;"'!Year.Matrix"), MATCH("Subtotal."&amp;$A$2, INDIRECT("'"&amp;V.a.Inputs[#Headers]&amp;"'!Year.Modules"), 0), MATCH([Vector], INDIRECT("'"&amp;V.a.Inputs[#Headers]&amp;"'!Year.Vectors"), 0))</f>
        <v>0.14114006489102265</v>
      </c>
      <c r="O17" s="873"/>
      <c r="P17" s="873"/>
    </row>
    <row r="18" spans="1:18" s="6" customFormat="1" ht="15.75">
      <c r="A18" s="2801"/>
      <c r="B18" s="872"/>
      <c r="C18" s="873" t="s">
        <v>430</v>
      </c>
      <c r="D18" s="873" t="s">
        <v>380</v>
      </c>
      <c r="E18" s="873"/>
      <c r="F18" s="2800">
        <f ca="1">INDEX(INDIRECT("'"&amp;V.a.Inputs[#Headers]&amp;"'!Year.Matrix"), MATCH("Subtotal."&amp;$A$2, INDIRECT("'"&amp;V.a.Inputs[#Headers]&amp;"'!Year.Modules"), 0), MATCH([Vector], INDIRECT("'"&amp;V.a.Inputs[#Headers]&amp;"'!Year.Vectors"), 0))</f>
        <v>0.16958333333333334</v>
      </c>
      <c r="G18" s="2800">
        <f ca="1">INDEX(INDIRECT("'"&amp;V.a.Inputs[#Headers]&amp;"'!Year.Matrix"), MATCH("Subtotal."&amp;$A$2, INDIRECT("'"&amp;V.a.Inputs[#Headers]&amp;"'!Year.Modules"), 0), MATCH([Vector], INDIRECT("'"&amp;V.a.Inputs[#Headers]&amp;"'!Year.Vectors"), 0))</f>
        <v>2.9254922797006762</v>
      </c>
      <c r="H18" s="2800">
        <f ca="1">INDEX(INDIRECT("'"&amp;V.a.Inputs[#Headers]&amp;"'!Year.Matrix"), MATCH("Subtotal."&amp;$A$2, INDIRECT("'"&amp;V.a.Inputs[#Headers]&amp;"'!Year.Modules"), 0), MATCH([Vector], INDIRECT("'"&amp;V.a.Inputs[#Headers]&amp;"'!Year.Vectors"), 0))</f>
        <v>10.560023127898354</v>
      </c>
      <c r="I18" s="2800">
        <f ca="1">INDEX(INDIRECT("'"&amp;V.a.Inputs[#Headers]&amp;"'!Year.Matrix"), MATCH("Subtotal."&amp;$A$2, INDIRECT("'"&amp;V.a.Inputs[#Headers]&amp;"'!Year.Modules"), 0), MATCH([Vector], INDIRECT("'"&amp;V.a.Inputs[#Headers]&amp;"'!Year.Vectors"), 0))</f>
        <v>19.357134768779371</v>
      </c>
      <c r="J18" s="2800">
        <f ca="1">INDEX(INDIRECT("'"&amp;V.a.Inputs[#Headers]&amp;"'!Year.Matrix"), MATCH("Subtotal."&amp;$A$2, INDIRECT("'"&amp;V.a.Inputs[#Headers]&amp;"'!Year.Modules"), 0), MATCH([Vector], INDIRECT("'"&amp;V.a.Inputs[#Headers]&amp;"'!Year.Vectors"), 0))</f>
        <v>29.45092534174433</v>
      </c>
      <c r="K18" s="2800">
        <f ca="1">INDEX(INDIRECT("'"&amp;V.a.Inputs[#Headers]&amp;"'!Year.Matrix"), MATCH("Subtotal."&amp;$A$2, INDIRECT("'"&amp;V.a.Inputs[#Headers]&amp;"'!Year.Modules"), 0), MATCH([Vector], INDIRECT("'"&amp;V.a.Inputs[#Headers]&amp;"'!Year.Vectors"), 0))</f>
        <v>40.989276385826031</v>
      </c>
      <c r="L18" s="2800">
        <f ca="1">INDEX(INDIRECT("'"&amp;V.a.Inputs[#Headers]&amp;"'!Year.Matrix"), MATCH("Subtotal."&amp;$A$2, INDIRECT("'"&amp;V.a.Inputs[#Headers]&amp;"'!Year.Modules"), 0), MATCH([Vector], INDIRECT("'"&amp;V.a.Inputs[#Headers]&amp;"'!Year.Vectors"), 0))</f>
        <v>54.135182368629792</v>
      </c>
      <c r="M18" s="2800">
        <f ca="1">INDEX(INDIRECT("'"&amp;V.a.Inputs[#Headers]&amp;"'!Year.Matrix"), MATCH("Subtotal."&amp;$A$2, INDIRECT("'"&amp;V.a.Inputs[#Headers]&amp;"'!Year.Modules"), 0), MATCH([Vector], INDIRECT("'"&amp;V.a.Inputs[#Headers]&amp;"'!Year.Vectors"), 0))</f>
        <v>69.068203392186163</v>
      </c>
      <c r="N18" s="2800">
        <f ca="1">INDEX(INDIRECT("'"&amp;V.a.Inputs[#Headers]&amp;"'!Year.Matrix"), MATCH("Subtotal."&amp;$A$2, INDIRECT("'"&amp;V.a.Inputs[#Headers]&amp;"'!Year.Modules"), 0), MATCH([Vector], INDIRECT("'"&amp;V.a.Inputs[#Headers]&amp;"'!Year.Vectors"), 0))</f>
        <v>85.98605217389283</v>
      </c>
      <c r="O18" s="873"/>
      <c r="P18" s="873"/>
    </row>
    <row r="19" spans="1:18" s="6" customFormat="1" ht="15.75">
      <c r="A19" s="2801"/>
      <c r="B19" s="872"/>
      <c r="C19" s="873" t="s">
        <v>431</v>
      </c>
      <c r="D19" s="873" t="s">
        <v>381</v>
      </c>
      <c r="E19" s="873"/>
      <c r="F19" s="2800">
        <f ca="1">INDEX(INDIRECT("'"&amp;V.a.Inputs[#Headers]&amp;"'!Year.Matrix"), MATCH("Subtotal."&amp;$A$2, INDIRECT("'"&amp;V.a.Inputs[#Headers]&amp;"'!Year.Modules"), 0), MATCH([Vector], INDIRECT("'"&amp;V.a.Inputs[#Headers]&amp;"'!Year.Vectors"), 0))</f>
        <v>0.14350000000000002</v>
      </c>
      <c r="G19" s="2800">
        <f ca="1">INDEX(INDIRECT("'"&amp;V.a.Inputs[#Headers]&amp;"'!Year.Matrix"), MATCH("Subtotal."&amp;$A$2, INDIRECT("'"&amp;V.a.Inputs[#Headers]&amp;"'!Year.Modules"), 0), MATCH([Vector], INDIRECT("'"&amp;V.a.Inputs[#Headers]&amp;"'!Year.Vectors"), 0))</f>
        <v>0.17750982181293876</v>
      </c>
      <c r="H19" s="2800">
        <f ca="1">INDEX(INDIRECT("'"&amp;V.a.Inputs[#Headers]&amp;"'!Year.Matrix"), MATCH("Subtotal."&amp;$A$2, INDIRECT("'"&amp;V.a.Inputs[#Headers]&amp;"'!Year.Modules"), 0), MATCH([Vector], INDIRECT("'"&amp;V.a.Inputs[#Headers]&amp;"'!Year.Vectors"), 0))</f>
        <v>0.26905561870922784</v>
      </c>
      <c r="I19" s="2800">
        <f ca="1">INDEX(INDIRECT("'"&amp;V.a.Inputs[#Headers]&amp;"'!Year.Matrix"), MATCH("Subtotal."&amp;$A$2, INDIRECT("'"&amp;V.a.Inputs[#Headers]&amp;"'!Year.Modules"), 0), MATCH([Vector], INDIRECT("'"&amp;V.a.Inputs[#Headers]&amp;"'!Year.Vectors"), 0))</f>
        <v>0.37055006275752844</v>
      </c>
      <c r="J19" s="2800">
        <f ca="1">INDEX(INDIRECT("'"&amp;V.a.Inputs[#Headers]&amp;"'!Year.Matrix"), MATCH("Subtotal."&amp;$A$2, INDIRECT("'"&amp;V.a.Inputs[#Headers]&amp;"'!Year.Modules"), 0), MATCH([Vector], INDIRECT("'"&amp;V.a.Inputs[#Headers]&amp;"'!Year.Vectors"), 0))</f>
        <v>0.48283502255691169</v>
      </c>
      <c r="K19" s="2800">
        <f ca="1">INDEX(INDIRECT("'"&amp;V.a.Inputs[#Headers]&amp;"'!Year.Matrix"), MATCH("Subtotal."&amp;$A$2, INDIRECT("'"&amp;V.a.Inputs[#Headers]&amp;"'!Year.Modules"), 0), MATCH([Vector], INDIRECT("'"&amp;V.a.Inputs[#Headers]&amp;"'!Year.Vectors"), 0))</f>
        <v>0.60681631464215224</v>
      </c>
      <c r="L19" s="2800">
        <f ca="1">INDEX(INDIRECT("'"&amp;V.a.Inputs[#Headers]&amp;"'!Year.Matrix"), MATCH("Subtotal."&amp;$A$2, INDIRECT("'"&amp;V.a.Inputs[#Headers]&amp;"'!Year.Modules"), 0), MATCH([Vector], INDIRECT("'"&amp;V.a.Inputs[#Headers]&amp;"'!Year.Vectors"), 0))</f>
        <v>0.74346827555139616</v>
      </c>
      <c r="M19" s="2800">
        <f ca="1">INDEX(INDIRECT("'"&amp;V.a.Inputs[#Headers]&amp;"'!Year.Matrix"), MATCH("Subtotal."&amp;$A$2, INDIRECT("'"&amp;V.a.Inputs[#Headers]&amp;"'!Year.Modules"), 0), MATCH([Vector], INDIRECT("'"&amp;V.a.Inputs[#Headers]&amp;"'!Year.Vectors"), 0))</f>
        <v>0.89383864833915727</v>
      </c>
      <c r="N19" s="2800">
        <f ca="1">INDEX(INDIRECT("'"&amp;V.a.Inputs[#Headers]&amp;"'!Year.Matrix"), MATCH("Subtotal."&amp;$A$2, INDIRECT("'"&amp;V.a.Inputs[#Headers]&amp;"'!Year.Modules"), 0), MATCH([Vector], INDIRECT("'"&amp;V.a.Inputs[#Headers]&amp;"'!Year.Vectors"), 0))</f>
        <v>1.0590538045843265</v>
      </c>
      <c r="O19" s="17"/>
      <c r="P19" s="17"/>
    </row>
    <row r="20" spans="1:18" s="6" customFormat="1" ht="15.75">
      <c r="A20" s="2801"/>
      <c r="B20" s="872"/>
      <c r="C20" s="17"/>
      <c r="D20" s="17"/>
      <c r="E20" s="17"/>
      <c r="F20" s="22"/>
      <c r="G20" s="22"/>
      <c r="H20" s="22"/>
      <c r="I20" s="22"/>
      <c r="J20" s="22"/>
      <c r="K20" s="22"/>
      <c r="L20" s="22"/>
      <c r="M20" s="22"/>
      <c r="N20" s="22"/>
      <c r="O20" s="17"/>
      <c r="P20" s="17"/>
    </row>
    <row r="21" spans="1:18" s="6" customFormat="1" ht="15.75">
      <c r="A21" s="2801"/>
      <c r="B21" s="2689"/>
      <c r="C21" s="34" t="s">
        <v>2106</v>
      </c>
      <c r="D21" s="515"/>
      <c r="E21" s="516"/>
      <c r="F21" s="515"/>
      <c r="G21" s="515"/>
      <c r="H21" s="515"/>
      <c r="I21" s="515"/>
      <c r="J21" s="515"/>
      <c r="K21" s="515"/>
      <c r="L21" s="515"/>
      <c r="M21" s="515"/>
      <c r="N21" s="516" t="str">
        <f>Preferences.EnergyUnits</f>
        <v>TWh</v>
      </c>
      <c r="O21" s="17"/>
      <c r="P21" s="17"/>
    </row>
    <row r="22" spans="1:18" s="6" customFormat="1" ht="5.25" customHeight="1">
      <c r="A22" s="2801"/>
      <c r="B22" s="2689"/>
      <c r="C22" s="12"/>
      <c r="D22" s="515"/>
      <c r="E22" s="516"/>
      <c r="F22" s="515"/>
      <c r="G22" s="515"/>
      <c r="H22" s="515"/>
      <c r="I22" s="515"/>
      <c r="J22" s="515"/>
      <c r="K22" s="515"/>
      <c r="L22" s="515"/>
      <c r="M22" s="515"/>
      <c r="N22" s="515"/>
      <c r="O22" s="17"/>
      <c r="P22" s="17"/>
    </row>
    <row r="23" spans="1:18" s="6" customFormat="1" ht="15.75">
      <c r="A23" s="2801"/>
      <c r="B23" s="2689"/>
      <c r="C23" s="873" t="s">
        <v>28</v>
      </c>
      <c r="D23" s="873" t="s">
        <v>29</v>
      </c>
      <c r="E23" s="873" t="s">
        <v>30</v>
      </c>
      <c r="F23" s="873" t="s">
        <v>597</v>
      </c>
      <c r="G23" s="873" t="s">
        <v>133</v>
      </c>
      <c r="H23" s="873" t="s">
        <v>134</v>
      </c>
      <c r="I23" s="873" t="s">
        <v>135</v>
      </c>
      <c r="J23" s="873" t="s">
        <v>136</v>
      </c>
      <c r="K23" s="873" t="s">
        <v>137</v>
      </c>
      <c r="L23" s="873" t="s">
        <v>138</v>
      </c>
      <c r="M23" s="873" t="s">
        <v>139</v>
      </c>
      <c r="N23" s="873" t="s">
        <v>140</v>
      </c>
      <c r="O23" s="17"/>
      <c r="P23" s="17"/>
    </row>
    <row r="24" spans="1:18" s="6" customFormat="1" ht="15.75">
      <c r="A24" s="2801"/>
      <c r="B24" s="2689"/>
      <c r="C24" s="873" t="s">
        <v>98</v>
      </c>
      <c r="D24" s="873" t="s">
        <v>88</v>
      </c>
      <c r="E24" s="873"/>
      <c r="F24" s="2800">
        <f ca="1">INDEX(INDIRECT("'"&amp;V.a.InputsRequested[#Headers]&amp;"'!Year.Matrix"), MATCH("Subtotal."&amp;$A$2, INDIRECT("'"&amp;V.a.InputsRequested[#Headers]&amp;"'!Year.Modules"), 0), MATCH([Vector], INDIRECT("'"&amp;V.a.InputsRequested[#Headers]&amp;"'!Year.Vectors"), 0))</f>
        <v>-23.785388252829463</v>
      </c>
      <c r="G24" s="2800">
        <f ca="1">INDEX(INDIRECT("'"&amp;V.a.InputsRequested[#Headers]&amp;"'!Year.Matrix"), MATCH("Subtotal."&amp;$A$2, INDIRECT("'"&amp;V.a.InputsRequested[#Headers]&amp;"'!Year.Modules"), 0), MATCH([Vector], INDIRECT("'"&amp;V.a.InputsRequested[#Headers]&amp;"'!Year.Vectors"), 0))</f>
        <v>-24.283329943926542</v>
      </c>
      <c r="H24" s="2800">
        <f ca="1">INDEX(INDIRECT("'"&amp;V.a.InputsRequested[#Headers]&amp;"'!Year.Matrix"), MATCH("Subtotal."&amp;$A$2, INDIRECT("'"&amp;V.a.InputsRequested[#Headers]&amp;"'!Year.Modules"), 0), MATCH([Vector], INDIRECT("'"&amp;V.a.InputsRequested[#Headers]&amp;"'!Year.Vectors"), 0))</f>
        <v>-16.777250665890641</v>
      </c>
      <c r="I24" s="2800">
        <f ca="1">INDEX(INDIRECT("'"&amp;V.a.InputsRequested[#Headers]&amp;"'!Year.Matrix"), MATCH("Subtotal."&amp;$A$2, INDIRECT("'"&amp;V.a.InputsRequested[#Headers]&amp;"'!Year.Modules"), 0), MATCH([Vector], INDIRECT("'"&amp;V.a.InputsRequested[#Headers]&amp;"'!Year.Vectors"), 0))</f>
        <v>-10.924447090064488</v>
      </c>
      <c r="J24" s="2800">
        <f ca="1">INDEX(INDIRECT("'"&amp;V.a.InputsRequested[#Headers]&amp;"'!Year.Matrix"), MATCH("Subtotal."&amp;$A$2, INDIRECT("'"&amp;V.a.InputsRequested[#Headers]&amp;"'!Year.Modules"), 0), MATCH([Vector], INDIRECT("'"&amp;V.a.InputsRequested[#Headers]&amp;"'!Year.Vectors"), 0))</f>
        <v>-7.3833809460243156</v>
      </c>
      <c r="K24" s="2800">
        <f ca="1">INDEX(INDIRECT("'"&amp;V.a.InputsRequested[#Headers]&amp;"'!Year.Matrix"), MATCH("Subtotal."&amp;$A$2, INDIRECT("'"&amp;V.a.InputsRequested[#Headers]&amp;"'!Year.Modules"), 0), MATCH([Vector], INDIRECT("'"&amp;V.a.InputsRequested[#Headers]&amp;"'!Year.Vectors"), 0))</f>
        <v>-25.062916527922088</v>
      </c>
      <c r="L24" s="2800">
        <f ca="1">INDEX(INDIRECT("'"&amp;V.a.InputsRequested[#Headers]&amp;"'!Year.Matrix"), MATCH("Subtotal."&amp;$A$2, INDIRECT("'"&amp;V.a.InputsRequested[#Headers]&amp;"'!Year.Modules"), 0), MATCH([Vector], INDIRECT("'"&amp;V.a.InputsRequested[#Headers]&amp;"'!Year.Vectors"), 0))</f>
        <v>-26.552829881435457</v>
      </c>
      <c r="M24" s="2800">
        <f ca="1">INDEX(INDIRECT("'"&amp;V.a.InputsRequested[#Headers]&amp;"'!Year.Matrix"), MATCH("Subtotal."&amp;$A$2, INDIRECT("'"&amp;V.a.InputsRequested[#Headers]&amp;"'!Year.Modules"), 0), MATCH([Vector], INDIRECT("'"&amp;V.a.InputsRequested[#Headers]&amp;"'!Year.Vectors"), 0))</f>
        <v>-26.608380914267954</v>
      </c>
      <c r="N24" s="2800">
        <f ca="1">INDEX(INDIRECT("'"&amp;V.a.InputsRequested[#Headers]&amp;"'!Year.Matrix"), MATCH("Subtotal."&amp;$A$2, INDIRECT("'"&amp;V.a.InputsRequested[#Headers]&amp;"'!Year.Modules"), 0), MATCH([Vector], INDIRECT("'"&amp;V.a.InputsRequested[#Headers]&amp;"'!Year.Vectors"), 0))</f>
        <v>-26.675755503624643</v>
      </c>
      <c r="O24" s="17"/>
      <c r="P24" s="17"/>
    </row>
    <row r="25" spans="1:18" s="6" customFormat="1" ht="15.75">
      <c r="A25" s="2801"/>
      <c r="B25" s="2689"/>
      <c r="C25" s="873" t="s">
        <v>99</v>
      </c>
      <c r="D25" s="873" t="s">
        <v>89</v>
      </c>
      <c r="E25" s="873"/>
      <c r="F25" s="2800">
        <f ca="1">INDEX(INDIRECT("'"&amp;V.a.InputsRequested[#Headers]&amp;"'!Year.Matrix"), MATCH("Subtotal."&amp;$A$2, INDIRECT("'"&amp;V.a.InputsRequested[#Headers]&amp;"'!Year.Modules"), 0), MATCH([Vector], INDIRECT("'"&amp;V.a.InputsRequested[#Headers]&amp;"'!Year.Vectors"), 0))</f>
        <v>-77.30436277743145</v>
      </c>
      <c r="G25" s="2800">
        <f ca="1">INDEX(INDIRECT("'"&amp;V.a.InputsRequested[#Headers]&amp;"'!Year.Matrix"), MATCH("Subtotal."&amp;$A$2, INDIRECT("'"&amp;V.a.InputsRequested[#Headers]&amp;"'!Year.Modules"), 0), MATCH([Vector], INDIRECT("'"&amp;V.a.InputsRequested[#Headers]&amp;"'!Year.Vectors"), 0))</f>
        <v>-71.530693121474101</v>
      </c>
      <c r="H25" s="2800">
        <f ca="1">INDEX(INDIRECT("'"&amp;V.a.InputsRequested[#Headers]&amp;"'!Year.Matrix"), MATCH("Subtotal."&amp;$A$2, INDIRECT("'"&amp;V.a.InputsRequested[#Headers]&amp;"'!Year.Modules"), 0), MATCH([Vector], INDIRECT("'"&amp;V.a.InputsRequested[#Headers]&amp;"'!Year.Vectors"), 0))</f>
        <v>-67.727908156726983</v>
      </c>
      <c r="I25" s="2800">
        <f ca="1">INDEX(INDIRECT("'"&amp;V.a.InputsRequested[#Headers]&amp;"'!Year.Matrix"), MATCH("Subtotal."&amp;$A$2, INDIRECT("'"&amp;V.a.InputsRequested[#Headers]&amp;"'!Year.Modules"), 0), MATCH([Vector], INDIRECT("'"&amp;V.a.InputsRequested[#Headers]&amp;"'!Year.Vectors"), 0))</f>
        <v>-64.320243216158687</v>
      </c>
      <c r="J25" s="2800">
        <f ca="1">INDEX(INDIRECT("'"&amp;V.a.InputsRequested[#Headers]&amp;"'!Year.Matrix"), MATCH("Subtotal."&amp;$A$2, INDIRECT("'"&amp;V.a.InputsRequested[#Headers]&amp;"'!Year.Modules"), 0), MATCH([Vector], INDIRECT("'"&amp;V.a.InputsRequested[#Headers]&amp;"'!Year.Vectors"), 0))</f>
        <v>-62.603377123518747</v>
      </c>
      <c r="K25" s="2800">
        <f ca="1">INDEX(INDIRECT("'"&amp;V.a.InputsRequested[#Headers]&amp;"'!Year.Matrix"), MATCH("Subtotal."&amp;$A$2, INDIRECT("'"&amp;V.a.InputsRequested[#Headers]&amp;"'!Year.Modules"), 0), MATCH([Vector], INDIRECT("'"&amp;V.a.InputsRequested[#Headers]&amp;"'!Year.Vectors"), 0))</f>
        <v>-60.945104672714244</v>
      </c>
      <c r="L25" s="2800">
        <f ca="1">INDEX(INDIRECT("'"&amp;V.a.InputsRequested[#Headers]&amp;"'!Year.Matrix"), MATCH("Subtotal."&amp;$A$2, INDIRECT("'"&amp;V.a.InputsRequested[#Headers]&amp;"'!Year.Modules"), 0), MATCH([Vector], INDIRECT("'"&amp;V.a.InputsRequested[#Headers]&amp;"'!Year.Vectors"), 0))</f>
        <v>-59.499711865312101</v>
      </c>
      <c r="M25" s="2800">
        <f ca="1">INDEX(INDIRECT("'"&amp;V.a.InputsRequested[#Headers]&amp;"'!Year.Matrix"), MATCH("Subtotal."&amp;$A$2, INDIRECT("'"&amp;V.a.InputsRequested[#Headers]&amp;"'!Year.Modules"), 0), MATCH([Vector], INDIRECT("'"&amp;V.a.InputsRequested[#Headers]&amp;"'!Year.Vectors"), 0))</f>
        <v>-58.124185560784845</v>
      </c>
      <c r="N25" s="2800">
        <f ca="1">INDEX(INDIRECT("'"&amp;V.a.InputsRequested[#Headers]&amp;"'!Year.Matrix"), MATCH("Subtotal."&amp;$A$2, INDIRECT("'"&amp;V.a.InputsRequested[#Headers]&amp;"'!Year.Modules"), 0), MATCH([Vector], INDIRECT("'"&amp;V.a.InputsRequested[#Headers]&amp;"'!Year.Vectors"), 0))</f>
        <v>-56.959239737930005</v>
      </c>
      <c r="O25" s="17"/>
      <c r="P25" s="17"/>
    </row>
    <row r="26" spans="1:18" s="6" customFormat="1" ht="15.75">
      <c r="A26" s="2801"/>
      <c r="B26" s="2689"/>
      <c r="C26" s="17" t="s">
        <v>100</v>
      </c>
      <c r="D26" s="17" t="s">
        <v>90</v>
      </c>
      <c r="E26" s="17"/>
      <c r="F26" s="2800">
        <f ca="1">INDEX(INDIRECT("'"&amp;V.a.InputsRequested[#Headers]&amp;"'!Year.Matrix"), MATCH("Subtotal."&amp;$A$2, INDIRECT("'"&amp;V.a.InputsRequested[#Headers]&amp;"'!Year.Modules"), 0), MATCH([Vector], INDIRECT("'"&amp;V.a.InputsRequested[#Headers]&amp;"'!Year.Vectors"), 0))</f>
        <v>-46.087463451131669</v>
      </c>
      <c r="G26" s="2800">
        <f ca="1">INDEX(INDIRECT("'"&amp;V.a.InputsRequested[#Headers]&amp;"'!Year.Matrix"), MATCH("Subtotal."&amp;$A$2, INDIRECT("'"&amp;V.a.InputsRequested[#Headers]&amp;"'!Year.Modules"), 0), MATCH([Vector], INDIRECT("'"&amp;V.a.InputsRequested[#Headers]&amp;"'!Year.Vectors"), 0))</f>
        <v>-47.061138851804969</v>
      </c>
      <c r="H26" s="2800">
        <f ca="1">INDEX(INDIRECT("'"&amp;V.a.InputsRequested[#Headers]&amp;"'!Year.Matrix"), MATCH("Subtotal."&amp;$A$2, INDIRECT("'"&amp;V.a.InputsRequested[#Headers]&amp;"'!Year.Modules"), 0), MATCH([Vector], INDIRECT("'"&amp;V.a.InputsRequested[#Headers]&amp;"'!Year.Vectors"), 0))</f>
        <v>-47.057336420652923</v>
      </c>
      <c r="I26" s="2800">
        <f ca="1">INDEX(INDIRECT("'"&amp;V.a.InputsRequested[#Headers]&amp;"'!Year.Matrix"), MATCH("Subtotal."&amp;$A$2, INDIRECT("'"&amp;V.a.InputsRequested[#Headers]&amp;"'!Year.Modules"), 0), MATCH([Vector], INDIRECT("'"&amp;V.a.InputsRequested[#Headers]&amp;"'!Year.Vectors"), 0))</f>
        <v>-41.890914268588375</v>
      </c>
      <c r="J26" s="2800">
        <f ca="1">INDEX(INDIRECT("'"&amp;V.a.InputsRequested[#Headers]&amp;"'!Year.Matrix"), MATCH("Subtotal."&amp;$A$2, INDIRECT("'"&amp;V.a.InputsRequested[#Headers]&amp;"'!Year.Modules"), 0), MATCH([Vector], INDIRECT("'"&amp;V.a.InputsRequested[#Headers]&amp;"'!Year.Vectors"), 0))</f>
        <v>-36.165911728331508</v>
      </c>
      <c r="K26" s="2800">
        <f ca="1">INDEX(INDIRECT("'"&amp;V.a.InputsRequested[#Headers]&amp;"'!Year.Matrix"), MATCH("Subtotal."&amp;$A$2, INDIRECT("'"&amp;V.a.InputsRequested[#Headers]&amp;"'!Year.Modules"), 0), MATCH([Vector], INDIRECT("'"&amp;V.a.InputsRequested[#Headers]&amp;"'!Year.Vectors"), 0))</f>
        <v>-47.262037859892096</v>
      </c>
      <c r="L26" s="2800">
        <f ca="1">INDEX(INDIRECT("'"&amp;V.a.InputsRequested[#Headers]&amp;"'!Year.Matrix"), MATCH("Subtotal."&amp;$A$2, INDIRECT("'"&amp;V.a.InputsRequested[#Headers]&amp;"'!Year.Modules"), 0), MATCH([Vector], INDIRECT("'"&amp;V.a.InputsRequested[#Headers]&amp;"'!Year.Vectors"), 0))</f>
        <v>-64.374281374415659</v>
      </c>
      <c r="M26" s="2800">
        <f ca="1">INDEX(INDIRECT("'"&amp;V.a.InputsRequested[#Headers]&amp;"'!Year.Matrix"), MATCH("Subtotal."&amp;$A$2, INDIRECT("'"&amp;V.a.InputsRequested[#Headers]&amp;"'!Year.Modules"), 0), MATCH([Vector], INDIRECT("'"&amp;V.a.InputsRequested[#Headers]&amp;"'!Year.Vectors"), 0))</f>
        <v>-81.151315027229458</v>
      </c>
      <c r="N26" s="2800">
        <f ca="1">INDEX(INDIRECT("'"&amp;V.a.InputsRequested[#Headers]&amp;"'!Year.Matrix"), MATCH("Subtotal."&amp;$A$2, INDIRECT("'"&amp;V.a.InputsRequested[#Headers]&amp;"'!Year.Modules"), 0), MATCH([Vector], INDIRECT("'"&amp;V.a.InputsRequested[#Headers]&amp;"'!Year.Vectors"), 0))</f>
        <v>-97.729775249431782</v>
      </c>
      <c r="O26" s="17"/>
      <c r="P26" s="17"/>
    </row>
    <row r="27" spans="1:18" s="6" customFormat="1" ht="15.75">
      <c r="A27" s="2801"/>
      <c r="B27" s="2689"/>
      <c r="C27" s="17"/>
      <c r="D27" s="17"/>
      <c r="E27" s="17"/>
      <c r="F27" s="22"/>
      <c r="G27" s="22"/>
      <c r="H27" s="22"/>
      <c r="I27" s="22"/>
      <c r="J27" s="22"/>
      <c r="K27" s="22"/>
      <c r="L27" s="22"/>
      <c r="M27" s="22"/>
      <c r="N27" s="22"/>
      <c r="O27" s="22"/>
      <c r="P27" s="17"/>
    </row>
    <row r="28" spans="1:18">
      <c r="B28" s="877"/>
    </row>
    <row r="29" spans="1:18" ht="23.25" collapsed="1">
      <c r="A29" s="7"/>
      <c r="B29" s="878" t="s">
        <v>33</v>
      </c>
      <c r="C29" s="879"/>
      <c r="D29" s="879"/>
      <c r="E29" s="879"/>
      <c r="F29" s="879"/>
      <c r="G29" s="879"/>
      <c r="H29" s="879"/>
      <c r="I29" s="879"/>
      <c r="J29" s="879"/>
      <c r="K29" s="879"/>
      <c r="L29" s="879"/>
      <c r="M29" s="879"/>
      <c r="N29" s="879"/>
      <c r="O29" s="879"/>
      <c r="P29" s="880"/>
      <c r="R29" s="381"/>
    </row>
    <row r="30" spans="1:18">
      <c r="B30" s="881"/>
      <c r="C30" s="882"/>
      <c r="D30" s="882"/>
      <c r="E30" s="882"/>
      <c r="F30" s="882"/>
      <c r="G30" s="882"/>
      <c r="H30" s="882"/>
      <c r="I30" s="882"/>
      <c r="J30" s="882"/>
      <c r="K30" s="882"/>
      <c r="L30" s="882"/>
      <c r="M30" s="882"/>
      <c r="N30" s="882"/>
      <c r="O30" s="882"/>
      <c r="P30" s="883"/>
    </row>
    <row r="31" spans="1:18">
      <c r="B31" s="904"/>
      <c r="C31" s="49" t="s">
        <v>2107</v>
      </c>
      <c r="D31" s="200"/>
      <c r="E31" s="67"/>
      <c r="F31" s="49" t="s">
        <v>2104</v>
      </c>
      <c r="G31" s="67"/>
      <c r="H31" s="67"/>
      <c r="I31" s="67"/>
      <c r="J31" s="67"/>
      <c r="K31" s="49"/>
      <c r="L31" s="67"/>
      <c r="M31" s="67"/>
      <c r="N31" s="67"/>
      <c r="O31" s="67"/>
      <c r="P31" s="885"/>
    </row>
    <row r="32" spans="1:18" ht="5.25" customHeight="1">
      <c r="B32" s="904"/>
      <c r="C32" s="67"/>
      <c r="D32" s="200"/>
      <c r="E32" s="67"/>
      <c r="F32" s="67"/>
      <c r="G32" s="67"/>
      <c r="H32" s="67"/>
      <c r="I32" s="67"/>
      <c r="J32" s="67"/>
      <c r="K32" s="67"/>
      <c r="L32" s="67"/>
      <c r="M32" s="67"/>
      <c r="N32" s="67"/>
      <c r="O32" s="67"/>
      <c r="P32" s="885"/>
    </row>
    <row r="33" spans="2:16" ht="15.75">
      <c r="B33" s="886"/>
      <c r="C33" s="887" t="s">
        <v>2108</v>
      </c>
      <c r="D33" s="887" t="s">
        <v>2109</v>
      </c>
      <c r="E33" s="887" t="s">
        <v>2110</v>
      </c>
      <c r="F33" s="2690">
        <v>1</v>
      </c>
      <c r="G33" s="2690">
        <v>2</v>
      </c>
      <c r="H33" s="2690">
        <v>3</v>
      </c>
      <c r="I33" s="2690">
        <v>4</v>
      </c>
      <c r="J33" s="67"/>
      <c r="K33" s="67"/>
      <c r="L33" s="67"/>
      <c r="M33" s="67"/>
      <c r="N33" s="67"/>
      <c r="O33" s="67"/>
      <c r="P33" s="885"/>
    </row>
    <row r="34" spans="2:16" ht="15.75">
      <c r="B34" s="886"/>
      <c r="C34" s="2691" t="s">
        <v>432</v>
      </c>
      <c r="D34" s="890" t="s">
        <v>382</v>
      </c>
      <c r="E34" s="890" t="s">
        <v>16</v>
      </c>
      <c r="F34" s="1094">
        <v>1</v>
      </c>
      <c r="G34" s="1094">
        <v>1</v>
      </c>
      <c r="H34" s="1094">
        <v>0</v>
      </c>
      <c r="I34" s="1094">
        <v>0</v>
      </c>
      <c r="J34" s="67"/>
      <c r="K34" s="67"/>
      <c r="L34" s="67"/>
      <c r="M34" s="67"/>
      <c r="N34" s="67"/>
      <c r="O34" s="67"/>
      <c r="P34" s="885"/>
    </row>
    <row r="35" spans="2:16" ht="15.75">
      <c r="B35" s="886"/>
      <c r="C35" s="109" t="s">
        <v>432</v>
      </c>
      <c r="D35" s="108" t="s">
        <v>382</v>
      </c>
      <c r="E35" s="108" t="s">
        <v>1712</v>
      </c>
      <c r="F35" s="1095">
        <v>0</v>
      </c>
      <c r="G35" s="1095">
        <v>0</v>
      </c>
      <c r="H35" s="1095">
        <v>1</v>
      </c>
      <c r="I35" s="1095">
        <v>0</v>
      </c>
      <c r="J35" s="67"/>
      <c r="K35" s="67"/>
      <c r="L35" s="67"/>
      <c r="M35" s="67"/>
      <c r="N35" s="67"/>
      <c r="O35" s="67"/>
      <c r="P35" s="885"/>
    </row>
    <row r="36" spans="2:16" ht="15.75">
      <c r="B36" s="886"/>
      <c r="C36" s="2692" t="s">
        <v>432</v>
      </c>
      <c r="D36" s="1507" t="s">
        <v>382</v>
      </c>
      <c r="E36" s="1507" t="s">
        <v>15</v>
      </c>
      <c r="F36" s="2693">
        <v>0</v>
      </c>
      <c r="G36" s="2693">
        <v>0</v>
      </c>
      <c r="H36" s="2693">
        <v>0</v>
      </c>
      <c r="I36" s="2693">
        <v>1</v>
      </c>
      <c r="J36" s="67"/>
      <c r="K36" s="67"/>
      <c r="L36" s="67"/>
      <c r="M36" s="67"/>
      <c r="N36" s="67"/>
      <c r="O36" s="67"/>
      <c r="P36" s="885"/>
    </row>
    <row r="37" spans="2:16" ht="15.75">
      <c r="B37" s="886"/>
      <c r="C37" s="2691" t="s">
        <v>433</v>
      </c>
      <c r="D37" s="890" t="s">
        <v>383</v>
      </c>
      <c r="E37" s="890" t="s">
        <v>16</v>
      </c>
      <c r="F37" s="1094">
        <v>0</v>
      </c>
      <c r="G37" s="1094">
        <v>0</v>
      </c>
      <c r="H37" s="1094">
        <v>0</v>
      </c>
      <c r="I37" s="1094">
        <v>0</v>
      </c>
      <c r="J37" s="67"/>
      <c r="K37" s="67"/>
      <c r="L37" s="67"/>
      <c r="M37" s="67"/>
      <c r="N37" s="67"/>
      <c r="O37" s="67"/>
      <c r="P37" s="885"/>
    </row>
    <row r="38" spans="2:16" ht="15.75">
      <c r="B38" s="886"/>
      <c r="C38" s="109" t="s">
        <v>433</v>
      </c>
      <c r="D38" s="108" t="s">
        <v>383</v>
      </c>
      <c r="E38" s="108" t="s">
        <v>1712</v>
      </c>
      <c r="F38" s="1095">
        <v>0</v>
      </c>
      <c r="G38" s="1095">
        <v>0</v>
      </c>
      <c r="H38" s="1095">
        <v>1</v>
      </c>
      <c r="I38" s="1095">
        <v>0</v>
      </c>
      <c r="J38" s="67"/>
      <c r="K38" s="67"/>
      <c r="L38" s="67"/>
      <c r="M38" s="67"/>
      <c r="N38" s="67"/>
      <c r="O38" s="67"/>
      <c r="P38" s="885"/>
    </row>
    <row r="39" spans="2:16" ht="15.75">
      <c r="B39" s="886"/>
      <c r="C39" s="2692" t="s">
        <v>433</v>
      </c>
      <c r="D39" s="1507" t="s">
        <v>383</v>
      </c>
      <c r="E39" s="1507" t="s">
        <v>15</v>
      </c>
      <c r="F39" s="2693">
        <v>1</v>
      </c>
      <c r="G39" s="2693">
        <v>1</v>
      </c>
      <c r="H39" s="2693">
        <v>0</v>
      </c>
      <c r="I39" s="2693">
        <v>1</v>
      </c>
      <c r="J39" s="67"/>
      <c r="K39" s="67"/>
      <c r="L39" s="67"/>
      <c r="M39" s="67"/>
      <c r="N39" s="67"/>
      <c r="O39" s="67"/>
      <c r="P39" s="885"/>
    </row>
    <row r="40" spans="2:16" ht="15.75">
      <c r="B40" s="886"/>
      <c r="C40" s="109" t="s">
        <v>430</v>
      </c>
      <c r="D40" s="108" t="s">
        <v>380</v>
      </c>
      <c r="E40" s="108" t="s">
        <v>16</v>
      </c>
      <c r="F40" s="1095">
        <v>0</v>
      </c>
      <c r="G40" s="1095">
        <v>1</v>
      </c>
      <c r="H40" s="1095">
        <v>0</v>
      </c>
      <c r="I40" s="1095">
        <v>0</v>
      </c>
      <c r="J40" s="67"/>
      <c r="K40" s="67"/>
      <c r="L40" s="67"/>
      <c r="M40" s="67"/>
      <c r="N40" s="67"/>
      <c r="O40" s="67"/>
      <c r="P40" s="885"/>
    </row>
    <row r="41" spans="2:16" ht="15.75">
      <c r="B41" s="886"/>
      <c r="C41" s="109" t="s">
        <v>430</v>
      </c>
      <c r="D41" s="108" t="s">
        <v>380</v>
      </c>
      <c r="E41" s="108" t="s">
        <v>1712</v>
      </c>
      <c r="F41" s="1095">
        <v>1</v>
      </c>
      <c r="G41" s="1095">
        <v>0</v>
      </c>
      <c r="H41" s="1095">
        <v>1</v>
      </c>
      <c r="I41" s="1095">
        <v>0</v>
      </c>
      <c r="J41" s="67"/>
      <c r="K41" s="67"/>
      <c r="L41" s="67"/>
      <c r="M41" s="67"/>
      <c r="N41" s="67"/>
      <c r="O41" s="67"/>
      <c r="P41" s="885"/>
    </row>
    <row r="42" spans="2:16" ht="15.75">
      <c r="B42" s="886"/>
      <c r="C42" s="2692" t="s">
        <v>430</v>
      </c>
      <c r="D42" s="1507" t="s">
        <v>380</v>
      </c>
      <c r="E42" s="1507" t="s">
        <v>15</v>
      </c>
      <c r="F42" s="2693">
        <v>0</v>
      </c>
      <c r="G42" s="2693">
        <v>0</v>
      </c>
      <c r="H42" s="2693">
        <v>0</v>
      </c>
      <c r="I42" s="2693">
        <v>1</v>
      </c>
      <c r="J42" s="67"/>
      <c r="K42" s="67"/>
      <c r="L42" s="67"/>
      <c r="M42" s="67"/>
      <c r="N42" s="67"/>
      <c r="O42" s="67"/>
      <c r="P42" s="885"/>
    </row>
    <row r="43" spans="2:16" ht="15.75">
      <c r="B43" s="886"/>
      <c r="C43" s="109" t="s">
        <v>431</v>
      </c>
      <c r="D43" s="108" t="s">
        <v>381</v>
      </c>
      <c r="E43" s="108" t="s">
        <v>16</v>
      </c>
      <c r="F43" s="1095">
        <v>0</v>
      </c>
      <c r="G43" s="1095">
        <v>0</v>
      </c>
      <c r="H43" s="1095">
        <v>0</v>
      </c>
      <c r="I43" s="1095">
        <v>0</v>
      </c>
      <c r="J43" s="67"/>
      <c r="K43" s="67"/>
      <c r="L43" s="67"/>
      <c r="M43" s="67"/>
      <c r="N43" s="67"/>
      <c r="O43" s="67"/>
      <c r="P43" s="885"/>
    </row>
    <row r="44" spans="2:16" ht="15.75">
      <c r="B44" s="886"/>
      <c r="C44" s="109" t="s">
        <v>431</v>
      </c>
      <c r="D44" s="108" t="s">
        <v>381</v>
      </c>
      <c r="E44" s="108" t="s">
        <v>1712</v>
      </c>
      <c r="F44" s="1095">
        <v>1</v>
      </c>
      <c r="G44" s="1095">
        <v>1</v>
      </c>
      <c r="H44" s="1095">
        <v>1</v>
      </c>
      <c r="I44" s="1095">
        <v>1</v>
      </c>
      <c r="J44" s="67"/>
      <c r="K44" s="67"/>
      <c r="L44" s="67"/>
      <c r="M44" s="67"/>
      <c r="N44" s="67"/>
      <c r="O44" s="67"/>
      <c r="P44" s="885"/>
    </row>
    <row r="45" spans="2:16" ht="15.75">
      <c r="B45" s="886"/>
      <c r="C45" s="2692" t="s">
        <v>431</v>
      </c>
      <c r="D45" s="1507" t="s">
        <v>381</v>
      </c>
      <c r="E45" s="1507" t="s">
        <v>15</v>
      </c>
      <c r="F45" s="2693">
        <v>0</v>
      </c>
      <c r="G45" s="2693">
        <v>0</v>
      </c>
      <c r="H45" s="2693">
        <v>0</v>
      </c>
      <c r="I45" s="2693">
        <v>0</v>
      </c>
      <c r="J45" s="67"/>
      <c r="K45" s="67"/>
      <c r="L45" s="67"/>
      <c r="M45" s="67"/>
      <c r="N45" s="67"/>
      <c r="O45" s="67"/>
      <c r="P45" s="885"/>
    </row>
    <row r="46" spans="2:16" ht="15.75">
      <c r="B46" s="886"/>
      <c r="C46" s="109" t="s">
        <v>434</v>
      </c>
      <c r="D46" s="108" t="s">
        <v>384</v>
      </c>
      <c r="E46" s="108" t="s">
        <v>16</v>
      </c>
      <c r="F46" s="1095">
        <v>0</v>
      </c>
      <c r="G46" s="1095">
        <v>0</v>
      </c>
      <c r="H46" s="1095">
        <v>0</v>
      </c>
      <c r="I46" s="1095">
        <v>0</v>
      </c>
      <c r="J46" s="67"/>
      <c r="K46" s="67"/>
      <c r="L46" s="67"/>
      <c r="M46" s="67"/>
      <c r="N46" s="67"/>
      <c r="O46" s="67"/>
      <c r="P46" s="885"/>
    </row>
    <row r="47" spans="2:16" ht="15.75">
      <c r="B47" s="886"/>
      <c r="C47" s="109" t="s">
        <v>434</v>
      </c>
      <c r="D47" s="108" t="s">
        <v>384</v>
      </c>
      <c r="E47" s="108" t="s">
        <v>1712</v>
      </c>
      <c r="F47" s="1095">
        <v>0</v>
      </c>
      <c r="G47" s="1095">
        <v>0</v>
      </c>
      <c r="H47" s="1095">
        <v>0</v>
      </c>
      <c r="I47" s="1095">
        <v>0</v>
      </c>
      <c r="J47" s="67"/>
      <c r="K47" s="67"/>
      <c r="L47" s="67"/>
      <c r="M47" s="67"/>
      <c r="N47" s="67"/>
      <c r="O47" s="67"/>
      <c r="P47" s="885"/>
    </row>
    <row r="48" spans="2:16" ht="15.75">
      <c r="B48" s="886"/>
      <c r="C48" s="2613" t="s">
        <v>434</v>
      </c>
      <c r="D48" s="199" t="s">
        <v>384</v>
      </c>
      <c r="E48" s="199" t="s">
        <v>15</v>
      </c>
      <c r="F48" s="1096">
        <v>1</v>
      </c>
      <c r="G48" s="1096">
        <v>1</v>
      </c>
      <c r="H48" s="1096">
        <v>1</v>
      </c>
      <c r="I48" s="1096">
        <v>1</v>
      </c>
      <c r="J48" s="67"/>
      <c r="K48" s="67"/>
      <c r="L48" s="67"/>
      <c r="M48" s="67"/>
      <c r="N48" s="67"/>
      <c r="O48" s="67"/>
      <c r="P48" s="885"/>
    </row>
    <row r="49" spans="1:18" ht="15.75">
      <c r="B49" s="886"/>
      <c r="C49" s="65"/>
      <c r="D49" s="108"/>
      <c r="E49" s="108"/>
      <c r="F49" s="108"/>
      <c r="G49" s="108"/>
      <c r="H49" s="108"/>
      <c r="I49" s="108"/>
      <c r="J49" s="67"/>
      <c r="K49" s="67"/>
      <c r="L49" s="67"/>
      <c r="M49" s="67"/>
      <c r="N49" s="67"/>
      <c r="O49" s="67"/>
      <c r="P49" s="885"/>
    </row>
    <row r="50" spans="1:18">
      <c r="B50" s="904"/>
      <c r="C50" s="3600" t="s">
        <v>64</v>
      </c>
      <c r="D50" s="108"/>
      <c r="E50" s="108"/>
      <c r="F50" s="59"/>
      <c r="G50" s="60"/>
      <c r="H50" s="60"/>
      <c r="I50" s="60"/>
      <c r="J50" s="60"/>
      <c r="K50" s="60"/>
      <c r="L50" s="60"/>
      <c r="M50" s="60"/>
      <c r="N50" s="60"/>
      <c r="O50" s="60"/>
      <c r="P50" s="885"/>
    </row>
    <row r="51" spans="1:18">
      <c r="B51" s="904"/>
      <c r="C51" s="65"/>
      <c r="D51" s="2278" t="s">
        <v>2111</v>
      </c>
      <c r="E51" s="108"/>
      <c r="F51" s="59"/>
      <c r="G51" s="60"/>
      <c r="H51" s="60"/>
      <c r="I51" s="60"/>
      <c r="J51" s="60"/>
      <c r="K51" s="60"/>
      <c r="L51" s="60"/>
      <c r="M51" s="60"/>
      <c r="N51" s="60"/>
      <c r="O51" s="60"/>
      <c r="P51" s="885"/>
    </row>
    <row r="52" spans="1:18">
      <c r="B52" s="904"/>
      <c r="C52" s="65"/>
      <c r="D52" s="2278" t="s">
        <v>2112</v>
      </c>
      <c r="E52" s="108"/>
      <c r="F52" s="59"/>
      <c r="G52" s="60"/>
      <c r="H52" s="60"/>
      <c r="I52" s="60"/>
      <c r="J52" s="60"/>
      <c r="K52" s="60"/>
      <c r="L52" s="60"/>
      <c r="M52" s="60"/>
      <c r="N52" s="60"/>
      <c r="O52" s="60"/>
      <c r="P52" s="885"/>
    </row>
    <row r="53" spans="1:18">
      <c r="B53" s="904"/>
      <c r="C53" s="65"/>
      <c r="D53" s="2278" t="s">
        <v>2113</v>
      </c>
      <c r="E53" s="108"/>
      <c r="F53" s="59"/>
      <c r="G53" s="60"/>
      <c r="H53" s="60"/>
      <c r="I53" s="60"/>
      <c r="J53" s="60"/>
      <c r="K53" s="60"/>
      <c r="L53" s="60"/>
      <c r="M53" s="60"/>
      <c r="N53" s="60"/>
      <c r="O53" s="60"/>
      <c r="P53" s="885"/>
    </row>
    <row r="54" spans="1:18">
      <c r="B54" s="904"/>
      <c r="C54" s="109"/>
      <c r="D54" s="933"/>
      <c r="E54" s="108"/>
      <c r="F54" s="59"/>
      <c r="G54" s="60"/>
      <c r="H54" s="60"/>
      <c r="I54" s="60"/>
      <c r="J54" s="60"/>
      <c r="K54" s="60"/>
      <c r="L54" s="60"/>
      <c r="M54" s="60"/>
      <c r="N54" s="60"/>
      <c r="O54" s="60"/>
      <c r="P54" s="885"/>
    </row>
    <row r="55" spans="1:18">
      <c r="B55" s="877"/>
    </row>
    <row r="56" spans="1:18" s="6" customFormat="1" ht="23.25" collapsed="1">
      <c r="A56" s="40"/>
      <c r="B56" s="878" t="s">
        <v>70</v>
      </c>
      <c r="C56" s="879"/>
      <c r="D56" s="879"/>
      <c r="E56" s="879"/>
      <c r="F56" s="879"/>
      <c r="G56" s="879"/>
      <c r="H56" s="879"/>
      <c r="I56" s="879"/>
      <c r="J56" s="879"/>
      <c r="K56" s="879"/>
      <c r="L56" s="879"/>
      <c r="M56" s="879"/>
      <c r="N56" s="879"/>
      <c r="O56" s="879"/>
      <c r="P56" s="880"/>
    </row>
    <row r="57" spans="1:18" ht="7.5" customHeight="1">
      <c r="B57" s="884"/>
      <c r="C57" s="67"/>
      <c r="D57" s="67"/>
      <c r="E57" s="67"/>
      <c r="F57" s="67"/>
      <c r="G57" s="67"/>
      <c r="H57" s="67"/>
      <c r="I57" s="67"/>
      <c r="J57" s="67"/>
      <c r="K57" s="67"/>
      <c r="L57" s="67"/>
      <c r="M57" s="67"/>
      <c r="N57" s="67"/>
      <c r="O57" s="67"/>
      <c r="P57" s="885"/>
      <c r="R57" s="6"/>
    </row>
    <row r="58" spans="1:18">
      <c r="B58" s="884"/>
      <c r="C58" s="49" t="s">
        <v>2156</v>
      </c>
      <c r="D58" s="67"/>
      <c r="E58" s="67"/>
      <c r="F58" s="67"/>
      <c r="G58" s="67"/>
      <c r="H58" s="51"/>
      <c r="I58" s="67"/>
      <c r="J58" s="67"/>
      <c r="K58" s="1226" t="s">
        <v>2114</v>
      </c>
      <c r="L58" s="67"/>
      <c r="M58" s="67"/>
      <c r="N58" s="67"/>
      <c r="O58" s="67"/>
      <c r="P58" s="67"/>
      <c r="R58" s="6"/>
    </row>
    <row r="59" spans="1:18" ht="7.5" customHeight="1">
      <c r="B59" s="884"/>
      <c r="C59" s="67"/>
      <c r="D59" s="67"/>
      <c r="E59" s="67"/>
      <c r="F59" s="67"/>
      <c r="G59" s="67"/>
      <c r="H59" s="67"/>
      <c r="I59" s="67"/>
      <c r="J59" s="67"/>
      <c r="K59" s="67"/>
      <c r="L59" s="67"/>
      <c r="M59" s="923"/>
      <c r="N59" s="923"/>
      <c r="O59" s="923"/>
      <c r="P59" s="2694"/>
      <c r="R59" s="6"/>
    </row>
    <row r="60" spans="1:18" s="2" customFormat="1" ht="14.25" customHeight="1">
      <c r="B60" s="904"/>
      <c r="C60" s="265"/>
      <c r="D60" s="265"/>
      <c r="E60" s="265"/>
      <c r="F60" s="2695"/>
      <c r="G60" s="2696" t="s">
        <v>383</v>
      </c>
      <c r="H60" s="2697" t="s">
        <v>382</v>
      </c>
      <c r="I60" s="2697" t="s">
        <v>380</v>
      </c>
      <c r="J60" s="2697" t="s">
        <v>381</v>
      </c>
      <c r="K60" s="2697" t="s">
        <v>384</v>
      </c>
      <c r="L60" s="46"/>
      <c r="M60" s="2698"/>
      <c r="N60" s="57"/>
      <c r="O60" s="57"/>
      <c r="P60" s="2596"/>
      <c r="R60" s="4"/>
    </row>
    <row r="61" spans="1:18" ht="15.75">
      <c r="B61" s="886"/>
      <c r="C61" s="1028" t="s">
        <v>132</v>
      </c>
      <c r="D61" s="1028" t="s">
        <v>72</v>
      </c>
      <c r="E61" s="1028" t="s">
        <v>30</v>
      </c>
      <c r="F61" s="2699" t="s">
        <v>2115</v>
      </c>
      <c r="G61" s="2700" t="s">
        <v>433</v>
      </c>
      <c r="H61" s="2701" t="s">
        <v>432</v>
      </c>
      <c r="I61" s="2701" t="s">
        <v>430</v>
      </c>
      <c r="J61" s="2701" t="s">
        <v>431</v>
      </c>
      <c r="K61" s="2701" t="s">
        <v>434</v>
      </c>
      <c r="L61" s="1197"/>
      <c r="M61" s="109"/>
      <c r="N61" s="108"/>
      <c r="O61" s="108"/>
      <c r="P61" s="2596"/>
      <c r="R61" s="6"/>
    </row>
    <row r="62" spans="1:18" ht="15.75">
      <c r="B62" s="886"/>
      <c r="C62" s="2702" t="s">
        <v>98</v>
      </c>
      <c r="D62" s="2702" t="s">
        <v>88</v>
      </c>
      <c r="E62" s="1099" t="s">
        <v>1164</v>
      </c>
      <c r="F62" s="2703"/>
      <c r="G62" s="2704"/>
      <c r="H62" s="2705">
        <v>0.9</v>
      </c>
      <c r="I62" s="2705">
        <v>0.9</v>
      </c>
      <c r="J62" s="2704"/>
      <c r="K62" s="2706"/>
      <c r="L62" s="2578"/>
      <c r="M62" s="109"/>
      <c r="N62" s="108"/>
      <c r="O62" s="108"/>
      <c r="P62" s="2596"/>
      <c r="R62" s="6"/>
    </row>
    <row r="63" spans="1:18" ht="17.25" customHeight="1">
      <c r="B63" s="886"/>
      <c r="C63" s="924" t="s">
        <v>99</v>
      </c>
      <c r="D63" s="924" t="s">
        <v>89</v>
      </c>
      <c r="E63" s="923"/>
      <c r="F63" s="2707"/>
      <c r="G63" s="2705">
        <v>0.318</v>
      </c>
      <c r="H63" s="2705">
        <v>0.37</v>
      </c>
      <c r="I63" s="2705">
        <v>0.37</v>
      </c>
      <c r="J63" s="2705">
        <v>0.31</v>
      </c>
      <c r="K63" s="2708"/>
      <c r="L63" s="2578"/>
      <c r="M63" s="109"/>
      <c r="N63" s="108"/>
      <c r="O63" s="108"/>
      <c r="P63" s="2709"/>
      <c r="R63" s="6"/>
    </row>
    <row r="64" spans="1:18" ht="15.75">
      <c r="B64" s="886"/>
      <c r="C64" s="957" t="s">
        <v>100</v>
      </c>
      <c r="D64" s="957" t="s">
        <v>90</v>
      </c>
      <c r="E64" s="2710" t="s">
        <v>2116</v>
      </c>
      <c r="F64" s="2711"/>
      <c r="G64" s="2712">
        <v>0.75</v>
      </c>
      <c r="H64" s="2712">
        <v>0.58499999999999996</v>
      </c>
      <c r="I64" s="2712">
        <v>0.58499999999999996</v>
      </c>
      <c r="J64" s="2712"/>
      <c r="K64" s="2713">
        <v>1</v>
      </c>
      <c r="L64" s="2578"/>
      <c r="M64" s="109"/>
      <c r="N64" s="108"/>
      <c r="O64" s="108"/>
      <c r="P64" s="2596"/>
      <c r="Q64" s="39"/>
      <c r="R64" s="859"/>
    </row>
    <row r="65" spans="2:18" ht="15.75">
      <c r="B65" s="886"/>
      <c r="C65" s="924"/>
      <c r="D65" s="924"/>
      <c r="E65" s="923"/>
      <c r="F65" s="2578"/>
      <c r="G65" s="2714"/>
      <c r="H65" s="2578"/>
      <c r="I65" s="2578"/>
      <c r="J65" s="2578"/>
      <c r="K65" s="2578"/>
      <c r="L65" s="2578"/>
      <c r="M65" s="109"/>
      <c r="N65" s="108"/>
      <c r="O65" s="108"/>
      <c r="P65" s="2596"/>
      <c r="Q65" s="39"/>
      <c r="R65" s="859"/>
    </row>
    <row r="66" spans="2:18">
      <c r="B66" s="904"/>
      <c r="C66" s="3862" t="s">
        <v>64</v>
      </c>
      <c r="D66" s="200"/>
      <c r="E66" s="67"/>
      <c r="F66" s="67"/>
      <c r="G66" s="67"/>
      <c r="H66" s="67"/>
      <c r="I66" s="67"/>
      <c r="J66" s="67"/>
      <c r="K66" s="67"/>
      <c r="L66" s="67"/>
      <c r="M66" s="109"/>
      <c r="N66" s="108"/>
      <c r="O66" s="108"/>
      <c r="P66" s="2596"/>
      <c r="Q66" s="39"/>
      <c r="R66" s="859"/>
    </row>
    <row r="67" spans="2:18" s="927" customFormat="1">
      <c r="B67" s="928"/>
      <c r="C67" s="929" t="s">
        <v>65</v>
      </c>
      <c r="D67" s="930" t="s">
        <v>3094</v>
      </c>
      <c r="E67" s="931"/>
      <c r="F67" s="931"/>
      <c r="G67" s="931"/>
      <c r="H67" s="931"/>
      <c r="I67" s="931"/>
      <c r="J67" s="931"/>
      <c r="K67" s="931"/>
      <c r="L67" s="931"/>
      <c r="M67" s="109"/>
      <c r="N67" s="108"/>
      <c r="O67" s="108"/>
      <c r="P67" s="2596"/>
      <c r="Q67" s="1309"/>
      <c r="R67" s="859"/>
    </row>
    <row r="68" spans="2:18" s="927" customFormat="1">
      <c r="B68" s="928"/>
      <c r="C68" s="929" t="s">
        <v>1164</v>
      </c>
      <c r="D68" s="933" t="s">
        <v>2117</v>
      </c>
      <c r="E68" s="931"/>
      <c r="F68" s="931"/>
      <c r="G68" s="931"/>
      <c r="H68" s="931"/>
      <c r="I68" s="931"/>
      <c r="J68" s="931"/>
      <c r="K68" s="931"/>
      <c r="L68" s="931"/>
      <c r="M68" s="109"/>
      <c r="N68" s="108"/>
      <c r="O68" s="108"/>
      <c r="P68" s="2596"/>
      <c r="Q68" s="1309"/>
      <c r="R68" s="39"/>
    </row>
    <row r="69" spans="2:18" s="927" customFormat="1">
      <c r="B69" s="928"/>
      <c r="C69" s="2725" t="s">
        <v>2116</v>
      </c>
      <c r="D69" s="933" t="s">
        <v>2118</v>
      </c>
      <c r="E69" s="931"/>
      <c r="F69" s="931"/>
      <c r="G69" s="931"/>
      <c r="H69" s="931"/>
      <c r="I69" s="931"/>
      <c r="J69" s="931"/>
      <c r="K69" s="931"/>
      <c r="L69" s="931"/>
      <c r="M69" s="109"/>
      <c r="N69" s="108"/>
      <c r="O69" s="108"/>
      <c r="P69" s="2709"/>
      <c r="Q69" s="1309"/>
      <c r="R69" s="39"/>
    </row>
    <row r="70" spans="2:18" s="927" customFormat="1">
      <c r="B70" s="928"/>
      <c r="C70" s="109"/>
      <c r="D70" s="933"/>
      <c r="E70" s="931"/>
      <c r="F70" s="931"/>
      <c r="G70" s="931"/>
      <c r="H70" s="931"/>
      <c r="I70" s="931"/>
      <c r="J70" s="931"/>
      <c r="K70" s="931"/>
      <c r="L70" s="931"/>
      <c r="M70" s="109"/>
      <c r="N70" s="108"/>
      <c r="O70" s="108"/>
      <c r="P70" s="2596"/>
      <c r="Q70" s="1309"/>
      <c r="R70" s="39"/>
    </row>
    <row r="71" spans="2:18" s="2720" customFormat="1">
      <c r="B71" s="2715"/>
      <c r="C71" s="2716" t="s">
        <v>2119</v>
      </c>
      <c r="D71" s="2605"/>
      <c r="E71" s="2605"/>
      <c r="F71" s="2605"/>
      <c r="G71" s="2605"/>
      <c r="H71" s="2717"/>
      <c r="I71" s="2605"/>
      <c r="J71" s="2605"/>
      <c r="K71" s="2718" t="s">
        <v>2114</v>
      </c>
      <c r="L71" s="2605"/>
      <c r="M71" s="109"/>
      <c r="N71" s="108"/>
      <c r="O71" s="108"/>
      <c r="P71" s="2596"/>
      <c r="Q71" s="2719"/>
      <c r="R71" s="39"/>
    </row>
    <row r="72" spans="2:18" s="2720" customFormat="1" ht="9.75" customHeight="1">
      <c r="B72" s="2715"/>
      <c r="C72" s="2605"/>
      <c r="D72" s="2605"/>
      <c r="E72" s="2605"/>
      <c r="F72" s="2605"/>
      <c r="G72" s="2605"/>
      <c r="H72" s="2605"/>
      <c r="I72" s="2605"/>
      <c r="J72" s="2605"/>
      <c r="K72" s="2605"/>
      <c r="L72" s="2605"/>
      <c r="M72" s="109"/>
      <c r="N72" s="108"/>
      <c r="O72" s="108"/>
      <c r="P72" s="2596"/>
      <c r="Q72" s="2719"/>
      <c r="R72" s="2719"/>
    </row>
    <row r="73" spans="2:18" s="2720" customFormat="1" ht="14.25" customHeight="1">
      <c r="B73" s="2715"/>
      <c r="C73" s="2721"/>
      <c r="D73" s="2721"/>
      <c r="E73" s="2721"/>
      <c r="F73" s="2722"/>
      <c r="G73" s="2723" t="s">
        <v>2120</v>
      </c>
      <c r="H73" s="2724" t="s">
        <v>2121</v>
      </c>
      <c r="I73" s="2724" t="s">
        <v>380</v>
      </c>
      <c r="J73" s="2724" t="s">
        <v>381</v>
      </c>
      <c r="K73" s="2724" t="s">
        <v>384</v>
      </c>
      <c r="L73" s="2605"/>
      <c r="M73" s="2725"/>
      <c r="N73" s="2197"/>
      <c r="O73" s="2197"/>
      <c r="P73" s="2726"/>
      <c r="Q73" s="2719"/>
      <c r="R73" s="2719"/>
    </row>
    <row r="74" spans="2:18" s="2720" customFormat="1" ht="15.75">
      <c r="B74" s="2727"/>
      <c r="C74" s="2728" t="s">
        <v>132</v>
      </c>
      <c r="D74" s="2728" t="s">
        <v>72</v>
      </c>
      <c r="E74" s="2728" t="s">
        <v>30</v>
      </c>
      <c r="F74" s="2729" t="s">
        <v>2115</v>
      </c>
      <c r="G74" s="2730" t="s">
        <v>433</v>
      </c>
      <c r="H74" s="2731" t="s">
        <v>432</v>
      </c>
      <c r="I74" s="2731" t="s">
        <v>430</v>
      </c>
      <c r="J74" s="2731" t="s">
        <v>431</v>
      </c>
      <c r="K74" s="2731" t="s">
        <v>434</v>
      </c>
      <c r="L74" s="2732"/>
      <c r="M74" s="109"/>
      <c r="N74" s="108"/>
      <c r="O74" s="108"/>
      <c r="P74" s="2596"/>
      <c r="Q74" s="2719"/>
      <c r="R74" s="2719"/>
    </row>
    <row r="75" spans="2:18" s="2720" customFormat="1" ht="15.75">
      <c r="B75" s="2727"/>
      <c r="C75" s="2733" t="s">
        <v>98</v>
      </c>
      <c r="D75" s="2733" t="s">
        <v>88</v>
      </c>
      <c r="E75" s="2734" t="s">
        <v>1164</v>
      </c>
      <c r="F75" s="2735"/>
      <c r="G75" s="2736"/>
      <c r="H75" s="2708">
        <v>0.95</v>
      </c>
      <c r="I75" s="2706">
        <v>0.95</v>
      </c>
      <c r="J75" s="2706"/>
      <c r="K75" s="2706"/>
      <c r="L75" s="2708"/>
      <c r="M75" s="2708"/>
      <c r="N75" s="2708"/>
      <c r="O75" s="2708"/>
      <c r="P75" s="2605"/>
      <c r="Q75" s="2719"/>
      <c r="R75" s="2719"/>
    </row>
    <row r="76" spans="2:18" s="2720" customFormat="1" ht="15.75">
      <c r="B76" s="2727"/>
      <c r="C76" s="2626" t="s">
        <v>99</v>
      </c>
      <c r="D76" s="2626" t="s">
        <v>89</v>
      </c>
      <c r="E76" s="2737"/>
      <c r="F76" s="2738"/>
      <c r="G76" s="2628">
        <v>0.38200000000000001</v>
      </c>
      <c r="H76" s="2708">
        <v>0.45</v>
      </c>
      <c r="I76" s="2708">
        <v>0.45</v>
      </c>
      <c r="J76" s="2708">
        <v>0.316</v>
      </c>
      <c r="K76" s="2708"/>
      <c r="L76" s="2708"/>
      <c r="M76" s="51"/>
      <c r="N76" s="67"/>
      <c r="O76" s="67"/>
      <c r="P76" s="67"/>
      <c r="Q76" s="1077"/>
      <c r="R76" s="1077"/>
    </row>
    <row r="77" spans="2:18" s="2720" customFormat="1" ht="15.75">
      <c r="B77" s="2727"/>
      <c r="C77" s="2739" t="s">
        <v>100</v>
      </c>
      <c r="D77" s="2739" t="s">
        <v>90</v>
      </c>
      <c r="E77" s="2740" t="s">
        <v>2116</v>
      </c>
      <c r="F77" s="2741"/>
      <c r="G77" s="2742">
        <v>0.85</v>
      </c>
      <c r="H77" s="2712">
        <v>0.66200000000000003</v>
      </c>
      <c r="I77" s="2712">
        <v>0.66200000000000003</v>
      </c>
      <c r="J77" s="2713"/>
      <c r="K77" s="2713">
        <v>1</v>
      </c>
      <c r="L77" s="2708"/>
      <c r="M77" s="2708"/>
      <c r="N77" s="2708"/>
      <c r="O77" s="2708"/>
      <c r="P77" s="2605"/>
      <c r="Q77" s="2719"/>
      <c r="R77" s="2719"/>
    </row>
    <row r="78" spans="2:18" s="2720" customFormat="1" ht="6" customHeight="1">
      <c r="B78" s="2727"/>
      <c r="C78" s="2626"/>
      <c r="D78" s="2626"/>
      <c r="E78" s="2737"/>
      <c r="F78" s="2708"/>
      <c r="G78" s="2628"/>
      <c r="H78" s="2708"/>
      <c r="I78" s="2708"/>
      <c r="J78" s="2708"/>
      <c r="K78" s="2708"/>
      <c r="L78" s="2708"/>
      <c r="M78" s="2708"/>
      <c r="N78" s="2708"/>
      <c r="O78" s="2708"/>
      <c r="P78" s="2605"/>
      <c r="Q78" s="2719"/>
      <c r="R78" s="2719"/>
    </row>
    <row r="79" spans="2:18" s="2720" customFormat="1" ht="12.75">
      <c r="B79" s="2715"/>
      <c r="C79" s="2605" t="s">
        <v>64</v>
      </c>
      <c r="D79" s="2743"/>
      <c r="E79" s="2605"/>
      <c r="F79" s="2605"/>
      <c r="G79" s="2605"/>
      <c r="H79" s="2605"/>
      <c r="I79" s="2605"/>
      <c r="J79" s="2605"/>
      <c r="K79" s="2605"/>
      <c r="L79" s="2605"/>
      <c r="M79" s="2605"/>
      <c r="N79" s="2605"/>
      <c r="O79" s="2605"/>
      <c r="P79" s="2605"/>
      <c r="Q79" s="2719"/>
      <c r="R79" s="2719"/>
    </row>
    <row r="80" spans="2:18" s="927" customFormat="1" ht="12.75">
      <c r="B80" s="928"/>
      <c r="C80" s="929" t="s">
        <v>1164</v>
      </c>
      <c r="D80" s="933" t="s">
        <v>2117</v>
      </c>
      <c r="E80" s="931"/>
      <c r="F80" s="931"/>
      <c r="G80" s="931"/>
      <c r="H80" s="931"/>
      <c r="I80" s="931"/>
      <c r="J80" s="931"/>
      <c r="K80" s="931"/>
      <c r="L80" s="931"/>
      <c r="M80" s="931"/>
      <c r="N80" s="931"/>
      <c r="O80" s="931"/>
      <c r="P80" s="931"/>
      <c r="Q80" s="1309"/>
      <c r="R80" s="1309"/>
    </row>
    <row r="81" spans="2:18" s="927" customFormat="1" ht="12.75">
      <c r="B81" s="928"/>
      <c r="C81" s="2744" t="s">
        <v>2116</v>
      </c>
      <c r="D81" s="933" t="s">
        <v>2118</v>
      </c>
      <c r="E81" s="931"/>
      <c r="F81" s="931"/>
      <c r="G81" s="931"/>
      <c r="H81" s="931"/>
      <c r="I81" s="931"/>
      <c r="J81" s="931"/>
      <c r="K81" s="931"/>
      <c r="L81" s="931"/>
      <c r="M81" s="931"/>
      <c r="N81" s="931"/>
      <c r="O81" s="931"/>
      <c r="P81" s="931"/>
      <c r="Q81" s="1309"/>
      <c r="R81" s="1309"/>
    </row>
    <row r="82" spans="2:18" s="2720" customFormat="1" ht="12.75">
      <c r="B82" s="2745"/>
      <c r="C82" s="2746"/>
      <c r="D82" s="2746"/>
      <c r="E82" s="2746"/>
      <c r="F82" s="2746"/>
      <c r="G82" s="2605"/>
      <c r="H82" s="2605"/>
      <c r="I82" s="2605"/>
      <c r="J82" s="2605"/>
      <c r="K82" s="2605"/>
      <c r="L82" s="2605"/>
      <c r="M82" s="2605"/>
      <c r="N82" s="2605"/>
      <c r="O82" s="2605"/>
      <c r="P82" s="2605"/>
      <c r="Q82" s="2719"/>
      <c r="R82" s="2719"/>
    </row>
    <row r="83" spans="2:18">
      <c r="B83" s="67"/>
      <c r="C83" s="1271" t="s">
        <v>2108</v>
      </c>
      <c r="D83" s="1271" t="s">
        <v>2109</v>
      </c>
      <c r="E83" s="1271" t="s">
        <v>2110</v>
      </c>
      <c r="F83" s="1271" t="s">
        <v>2122</v>
      </c>
      <c r="G83" s="1103"/>
      <c r="H83" s="1200"/>
      <c r="I83" s="1200"/>
      <c r="J83" s="108"/>
      <c r="K83" s="108"/>
      <c r="L83" s="108"/>
      <c r="M83" s="67"/>
      <c r="N83" s="67"/>
      <c r="O83" s="67"/>
      <c r="P83" s="67"/>
      <c r="Q83" s="39"/>
      <c r="R83" s="39"/>
    </row>
    <row r="84" spans="2:18">
      <c r="B84" s="67"/>
      <c r="C84" s="2611" t="s">
        <v>432</v>
      </c>
      <c r="D84" s="977" t="s">
        <v>382</v>
      </c>
      <c r="E84" s="977" t="s">
        <v>16</v>
      </c>
      <c r="F84" s="2747">
        <v>0.5</v>
      </c>
      <c r="G84" s="1614"/>
      <c r="H84" s="977"/>
      <c r="I84" s="2803">
        <f>((100000/1000000)*VI.a!I178)</f>
        <v>0</v>
      </c>
      <c r="J84" s="108"/>
      <c r="K84" s="108"/>
      <c r="L84" s="108"/>
      <c r="M84" s="67"/>
      <c r="N84" s="67"/>
      <c r="O84" s="67"/>
      <c r="P84" s="67"/>
      <c r="Q84" s="39"/>
      <c r="R84" s="39"/>
    </row>
    <row r="85" spans="2:18">
      <c r="B85" s="1197"/>
      <c r="C85" s="109" t="s">
        <v>432</v>
      </c>
      <c r="D85" s="108" t="s">
        <v>382</v>
      </c>
      <c r="E85" s="108" t="s">
        <v>1712</v>
      </c>
      <c r="F85" s="2596">
        <v>0.5</v>
      </c>
      <c r="G85" s="1615"/>
      <c r="H85" s="108"/>
      <c r="I85" s="2674">
        <f>16000000*Conversion.UKgallons.to.litres*Constants.Density.JetFuel*Constants.GCV.ATF</f>
        <v>0.68019633270084001</v>
      </c>
      <c r="J85" s="108"/>
      <c r="K85" s="108"/>
      <c r="L85" s="108"/>
      <c r="M85" s="67"/>
      <c r="N85" s="67"/>
      <c r="O85" s="67"/>
      <c r="P85" s="67"/>
      <c r="Q85" s="39"/>
      <c r="R85" s="39"/>
    </row>
    <row r="86" spans="2:18">
      <c r="B86" s="2578"/>
      <c r="C86" s="2613" t="s">
        <v>432</v>
      </c>
      <c r="D86" s="199" t="s">
        <v>382</v>
      </c>
      <c r="E86" s="199" t="s">
        <v>15</v>
      </c>
      <c r="F86" s="2598">
        <v>0.5</v>
      </c>
      <c r="G86" s="1616"/>
      <c r="H86" s="199"/>
      <c r="I86" s="2678">
        <f>800*Unit.GWh</f>
        <v>0.8</v>
      </c>
      <c r="J86" s="945"/>
      <c r="K86" s="945"/>
      <c r="L86" s="945"/>
      <c r="M86" s="47"/>
      <c r="N86" s="47"/>
      <c r="O86" s="47"/>
      <c r="P86" s="47"/>
      <c r="Q86" s="39"/>
      <c r="R86" s="39"/>
    </row>
    <row r="87" spans="2:18">
      <c r="B87" s="2578"/>
      <c r="C87" s="2611" t="s">
        <v>433</v>
      </c>
      <c r="D87" s="977" t="s">
        <v>383</v>
      </c>
      <c r="E87" s="977" t="s">
        <v>16</v>
      </c>
      <c r="F87" s="2748">
        <v>0.5</v>
      </c>
      <c r="G87" s="1614"/>
      <c r="H87" s="977"/>
      <c r="I87" s="2804"/>
      <c r="J87" s="945"/>
      <c r="K87" s="945"/>
      <c r="L87" s="945"/>
      <c r="M87" s="47"/>
      <c r="N87" s="47"/>
      <c r="O87" s="47"/>
      <c r="P87" s="47"/>
      <c r="Q87" s="39"/>
      <c r="R87" s="39"/>
    </row>
    <row r="88" spans="2:18">
      <c r="B88" s="2578"/>
      <c r="C88" s="109" t="s">
        <v>433</v>
      </c>
      <c r="D88" s="108" t="s">
        <v>383</v>
      </c>
      <c r="E88" s="108" t="s">
        <v>1712</v>
      </c>
      <c r="F88" s="2596">
        <v>0.5</v>
      </c>
      <c r="G88" s="1615"/>
      <c r="H88" s="108"/>
      <c r="I88" s="2674">
        <f>I85</f>
        <v>0.68019633270084001</v>
      </c>
      <c r="J88" s="945"/>
      <c r="K88" s="945"/>
      <c r="L88" s="945"/>
      <c r="M88" s="47"/>
      <c r="N88" s="47"/>
      <c r="O88" s="47"/>
      <c r="P88" s="47"/>
      <c r="Q88" s="39"/>
      <c r="R88" s="39"/>
    </row>
    <row r="89" spans="2:18">
      <c r="B89" s="2578"/>
      <c r="C89" s="2613" t="s">
        <v>433</v>
      </c>
      <c r="D89" s="199" t="s">
        <v>383</v>
      </c>
      <c r="E89" s="199" t="s">
        <v>15</v>
      </c>
      <c r="F89" s="2598">
        <v>0.5</v>
      </c>
      <c r="G89" s="1616"/>
      <c r="H89" s="199"/>
      <c r="I89" s="2805">
        <f>2*Unit.MW*93%*Conversion.to.annual.energy</f>
        <v>1.6304760000000001E-2</v>
      </c>
      <c r="J89" s="945"/>
      <c r="K89" s="945"/>
      <c r="L89" s="945"/>
      <c r="M89" s="47"/>
      <c r="N89" s="47"/>
      <c r="O89" s="47"/>
      <c r="P89" s="47"/>
      <c r="Q89" s="39"/>
      <c r="R89" s="39"/>
    </row>
    <row r="90" spans="2:18">
      <c r="B90" s="67"/>
      <c r="C90" s="2611" t="s">
        <v>430</v>
      </c>
      <c r="D90" s="977" t="s">
        <v>380</v>
      </c>
      <c r="E90" s="977" t="s">
        <v>16</v>
      </c>
      <c r="F90" s="2747">
        <v>0.5</v>
      </c>
      <c r="G90" s="1614"/>
      <c r="H90" s="977"/>
      <c r="I90" s="2803">
        <f>I84</f>
        <v>0</v>
      </c>
      <c r="J90" s="945"/>
      <c r="K90" s="945"/>
      <c r="L90" s="945"/>
      <c r="M90" s="47"/>
      <c r="N90" s="47"/>
      <c r="O90" s="47"/>
      <c r="P90" s="47"/>
      <c r="Q90" s="39"/>
      <c r="R90" s="39"/>
    </row>
    <row r="91" spans="2:18">
      <c r="B91" s="931"/>
      <c r="C91" s="109" t="s">
        <v>430</v>
      </c>
      <c r="D91" s="108" t="s">
        <v>380</v>
      </c>
      <c r="E91" s="108" t="s">
        <v>1712</v>
      </c>
      <c r="F91" s="2596">
        <v>0.5</v>
      </c>
      <c r="G91" s="2749"/>
      <c r="H91" s="108"/>
      <c r="I91" s="2674">
        <f>I85</f>
        <v>0.68019633270084001</v>
      </c>
      <c r="J91" s="945"/>
      <c r="K91" s="945"/>
      <c r="L91" s="945"/>
      <c r="M91" s="47"/>
      <c r="N91" s="47"/>
      <c r="O91" s="47"/>
      <c r="P91" s="47"/>
      <c r="Q91" s="39"/>
      <c r="R91" s="39"/>
    </row>
    <row r="92" spans="2:18">
      <c r="B92" s="931"/>
      <c r="C92" s="2613" t="s">
        <v>430</v>
      </c>
      <c r="D92" s="199" t="s">
        <v>380</v>
      </c>
      <c r="E92" s="199" t="s">
        <v>15</v>
      </c>
      <c r="F92" s="2598">
        <v>0.5</v>
      </c>
      <c r="G92" s="2750"/>
      <c r="H92" s="978"/>
      <c r="I92" s="2678">
        <f>I86</f>
        <v>0.8</v>
      </c>
      <c r="J92" s="47"/>
      <c r="K92" s="47"/>
      <c r="L92" s="47"/>
      <c r="M92" s="47"/>
      <c r="N92" s="47"/>
      <c r="O92" s="47"/>
      <c r="P92" s="47"/>
      <c r="Q92" s="39"/>
      <c r="R92" s="39"/>
    </row>
    <row r="93" spans="2:18">
      <c r="B93" s="931"/>
      <c r="C93" s="2611" t="s">
        <v>431</v>
      </c>
      <c r="D93" s="977" t="s">
        <v>381</v>
      </c>
      <c r="E93" s="977" t="s">
        <v>16</v>
      </c>
      <c r="F93" s="2748">
        <v>0.5</v>
      </c>
      <c r="G93" s="2751"/>
      <c r="H93" s="973"/>
      <c r="I93" s="2804"/>
      <c r="J93" s="47"/>
      <c r="K93" s="47"/>
      <c r="L93" s="47"/>
      <c r="M93" s="47"/>
      <c r="N93" s="47"/>
      <c r="O93" s="47"/>
      <c r="P93" s="47"/>
    </row>
    <row r="94" spans="2:18">
      <c r="B94" s="931"/>
      <c r="C94" s="109" t="s">
        <v>431</v>
      </c>
      <c r="D94" s="108" t="s">
        <v>381</v>
      </c>
      <c r="E94" s="108" t="s">
        <v>1712</v>
      </c>
      <c r="F94" s="2596">
        <v>0.5</v>
      </c>
      <c r="G94" s="2749"/>
      <c r="H94" s="67"/>
      <c r="I94" s="2674">
        <f>206*Unit.MW*95%*Conversion.to.annual.energy</f>
        <v>1.7155062000000001</v>
      </c>
      <c r="J94" s="47"/>
      <c r="K94" s="47"/>
      <c r="L94" s="47"/>
      <c r="M94" s="47"/>
      <c r="N94" s="47"/>
      <c r="O94" s="47"/>
      <c r="P94" s="47"/>
    </row>
    <row r="95" spans="2:18">
      <c r="B95" s="2605"/>
      <c r="C95" s="2613" t="s">
        <v>431</v>
      </c>
      <c r="D95" s="199" t="s">
        <v>381</v>
      </c>
      <c r="E95" s="199" t="s">
        <v>15</v>
      </c>
      <c r="F95" s="2598">
        <v>0.5</v>
      </c>
      <c r="G95" s="2752"/>
      <c r="H95" s="978"/>
      <c r="I95" s="2678"/>
      <c r="J95" s="47"/>
      <c r="K95" s="47"/>
      <c r="L95" s="47"/>
      <c r="M95" s="47"/>
      <c r="N95" s="47"/>
      <c r="O95" s="47"/>
      <c r="P95" s="47"/>
    </row>
    <row r="96" spans="2:18">
      <c r="B96" s="2605"/>
      <c r="C96" s="2611" t="s">
        <v>434</v>
      </c>
      <c r="D96" s="977" t="s">
        <v>384</v>
      </c>
      <c r="E96" s="977" t="s">
        <v>16</v>
      </c>
      <c r="F96" s="2747">
        <v>0.5</v>
      </c>
      <c r="G96" s="2753"/>
      <c r="H96" s="2721"/>
      <c r="I96" s="2803"/>
      <c r="J96" s="2754"/>
      <c r="K96" s="2754"/>
      <c r="L96" s="2754"/>
      <c r="M96" s="47"/>
      <c r="N96" s="47"/>
      <c r="O96" s="47"/>
      <c r="P96" s="47"/>
    </row>
    <row r="97" spans="1:18">
      <c r="B97" s="2605"/>
      <c r="C97" s="109" t="s">
        <v>434</v>
      </c>
      <c r="D97" s="108" t="s">
        <v>384</v>
      </c>
      <c r="E97" s="108" t="s">
        <v>1712</v>
      </c>
      <c r="F97" s="2596">
        <v>0.5</v>
      </c>
      <c r="G97" s="2755"/>
      <c r="H97" s="2605"/>
      <c r="I97" s="2674"/>
      <c r="J97" s="2754"/>
      <c r="K97" s="2754"/>
      <c r="L97" s="2754"/>
      <c r="M97" s="47"/>
      <c r="N97" s="47"/>
      <c r="O97" s="47"/>
      <c r="P97" s="47"/>
    </row>
    <row r="98" spans="1:18">
      <c r="B98" s="2732"/>
      <c r="C98" s="2613" t="s">
        <v>434</v>
      </c>
      <c r="D98" s="199" t="s">
        <v>384</v>
      </c>
      <c r="E98" s="199" t="s">
        <v>15</v>
      </c>
      <c r="F98" s="2598">
        <v>0.5</v>
      </c>
      <c r="G98" s="2752"/>
      <c r="H98" s="2756"/>
      <c r="I98" s="2678">
        <f>3*Unit.MW*94%*Conversion.to.annual.energy</f>
        <v>2.4720120000000002E-2</v>
      </c>
      <c r="J98" s="2754"/>
      <c r="K98" s="2754"/>
      <c r="L98" s="2754"/>
      <c r="M98" s="47"/>
      <c r="N98" s="47"/>
      <c r="O98" s="47"/>
      <c r="P98" s="47"/>
    </row>
    <row r="99" spans="1:18">
      <c r="B99" s="2708"/>
      <c r="C99" s="2708"/>
      <c r="D99" s="2708"/>
      <c r="E99" s="2708"/>
      <c r="F99" s="2605"/>
      <c r="G99" s="2605"/>
      <c r="H99" s="2605"/>
      <c r="I99" s="2754"/>
      <c r="J99" s="2754"/>
      <c r="K99" s="2754"/>
      <c r="L99" s="2754"/>
      <c r="M99" s="47"/>
      <c r="N99" s="47"/>
      <c r="O99" s="47"/>
      <c r="P99" s="47"/>
      <c r="R99" s="1077"/>
    </row>
    <row r="100" spans="1:18">
      <c r="A100" s="2684"/>
      <c r="B100" s="2757"/>
      <c r="C100" s="2758" t="s">
        <v>2123</v>
      </c>
      <c r="D100" s="2759">
        <v>30</v>
      </c>
      <c r="E100" s="2760" t="s">
        <v>2124</v>
      </c>
      <c r="F100" s="2759"/>
      <c r="G100" s="2759"/>
      <c r="H100" s="2759"/>
      <c r="I100" s="2761">
        <v>3.3333333333333333E-2</v>
      </c>
      <c r="J100" s="2760" t="s">
        <v>2125</v>
      </c>
      <c r="K100" s="2759"/>
      <c r="L100" s="2762"/>
      <c r="M100" s="47"/>
      <c r="N100" s="47"/>
      <c r="O100" s="47"/>
      <c r="P100" s="47"/>
      <c r="R100" s="1077"/>
    </row>
    <row r="101" spans="1:18">
      <c r="B101" s="2708"/>
      <c r="C101" s="2708"/>
      <c r="D101" s="2708"/>
      <c r="E101" s="2708"/>
      <c r="F101" s="2605"/>
      <c r="G101" s="2605"/>
      <c r="H101" s="2605"/>
      <c r="I101" s="2754"/>
      <c r="J101" s="2754"/>
      <c r="K101" s="2754"/>
      <c r="L101" s="2754"/>
      <c r="M101" s="47"/>
      <c r="N101" s="47"/>
      <c r="O101" s="47"/>
      <c r="P101" s="47"/>
      <c r="R101" s="1077"/>
    </row>
    <row r="102" spans="1:18">
      <c r="A102" s="398"/>
      <c r="B102" s="2763"/>
      <c r="C102" s="2763"/>
      <c r="D102" s="2763"/>
      <c r="E102" s="2763"/>
      <c r="F102" s="2763"/>
      <c r="G102" s="2763"/>
      <c r="H102" s="2764"/>
      <c r="I102" s="2764"/>
      <c r="J102" s="2764"/>
      <c r="K102" s="2764"/>
      <c r="L102" s="2764"/>
      <c r="M102" s="398"/>
      <c r="N102" s="398"/>
      <c r="O102" s="398"/>
      <c r="P102" s="398"/>
      <c r="Q102" s="398"/>
      <c r="R102" s="1077"/>
    </row>
    <row r="103" spans="1:18" ht="15.75">
      <c r="A103" s="39"/>
      <c r="B103" s="2765" t="s">
        <v>810</v>
      </c>
      <c r="C103" s="936"/>
      <c r="D103" s="936"/>
      <c r="E103" s="936"/>
      <c r="F103" s="936"/>
      <c r="G103" s="936"/>
      <c r="H103" s="936"/>
      <c r="I103" s="936"/>
      <c r="J103" s="936"/>
      <c r="K103" s="936"/>
      <c r="L103" s="936"/>
      <c r="M103" s="936"/>
      <c r="N103" s="936"/>
      <c r="O103" s="936"/>
      <c r="P103" s="936"/>
      <c r="Q103" s="2766"/>
      <c r="R103" s="2530"/>
    </row>
    <row r="104" spans="1:18" ht="17.25" hidden="1" customHeight="1">
      <c r="A104" s="39"/>
      <c r="B104" s="1076"/>
      <c r="C104" s="108"/>
      <c r="D104" s="108"/>
      <c r="E104" s="108"/>
      <c r="F104" s="108"/>
      <c r="G104" s="108"/>
      <c r="H104" s="108"/>
      <c r="I104" s="108"/>
      <c r="J104" s="108"/>
      <c r="K104" s="108"/>
      <c r="L104" s="108"/>
      <c r="M104" s="108"/>
      <c r="N104" s="108"/>
      <c r="O104" s="108"/>
      <c r="P104" s="108"/>
      <c r="Q104" s="47"/>
      <c r="R104" s="2530"/>
    </row>
    <row r="105" spans="1:18" ht="15.75" hidden="1">
      <c r="A105" s="39"/>
      <c r="B105" s="1076"/>
      <c r="C105" s="2767" t="s">
        <v>169</v>
      </c>
      <c r="D105" s="108"/>
      <c r="E105" s="108"/>
      <c r="F105" s="108"/>
      <c r="G105" s="108"/>
      <c r="H105" s="108"/>
      <c r="I105" s="108"/>
      <c r="J105" s="108"/>
      <c r="K105" s="108"/>
      <c r="L105" s="108"/>
      <c r="M105" s="108"/>
      <c r="N105" s="108"/>
      <c r="O105" s="108"/>
      <c r="P105" s="108"/>
      <c r="Q105" s="47"/>
      <c r="R105" s="2530"/>
    </row>
    <row r="106" spans="1:18" ht="4.5" hidden="1" customHeight="1">
      <c r="A106" s="39"/>
      <c r="B106" s="931"/>
      <c r="C106" s="931"/>
      <c r="D106" s="931"/>
      <c r="E106" s="931"/>
      <c r="F106" s="931"/>
      <c r="G106" s="931"/>
      <c r="H106" s="931"/>
      <c r="I106" s="931"/>
      <c r="J106" s="931"/>
      <c r="K106" s="931"/>
      <c r="L106" s="931"/>
      <c r="M106" s="67"/>
      <c r="N106" s="67"/>
      <c r="O106" s="67"/>
      <c r="P106" s="67"/>
      <c r="Q106" s="47"/>
      <c r="R106" s="2500"/>
    </row>
    <row r="107" spans="1:18" hidden="1">
      <c r="B107" s="904"/>
      <c r="C107" s="49" t="s">
        <v>2126</v>
      </c>
      <c r="D107" s="200"/>
      <c r="E107" s="67"/>
      <c r="F107" s="2686"/>
      <c r="G107" s="4156"/>
      <c r="H107" s="4156"/>
      <c r="I107" s="4156"/>
      <c r="J107" s="4156"/>
      <c r="K107" s="49"/>
      <c r="L107" s="67"/>
      <c r="M107" s="67"/>
      <c r="N107" s="67"/>
      <c r="O107" s="67"/>
      <c r="P107" s="49" t="s">
        <v>2816</v>
      </c>
      <c r="Q107" s="67"/>
      <c r="R107" s="2500"/>
    </row>
    <row r="108" spans="1:18" ht="5.25" hidden="1" customHeight="1">
      <c r="B108" s="904"/>
      <c r="C108" s="67"/>
      <c r="D108" s="200"/>
      <c r="E108" s="67"/>
      <c r="F108" s="67"/>
      <c r="G108" s="67"/>
      <c r="H108" s="67"/>
      <c r="I108" s="67"/>
      <c r="J108" s="67"/>
      <c r="K108" s="67"/>
      <c r="L108" s="67"/>
      <c r="M108" s="67"/>
      <c r="N108" s="67"/>
      <c r="O108" s="67"/>
      <c r="P108" s="67"/>
      <c r="Q108" s="67"/>
      <c r="R108" s="1077"/>
    </row>
    <row r="109" spans="1:18" ht="15.75" hidden="1">
      <c r="B109" s="886"/>
      <c r="C109" s="1271" t="s">
        <v>2108</v>
      </c>
      <c r="D109" s="1271" t="s">
        <v>2109</v>
      </c>
      <c r="E109" s="1271" t="s">
        <v>2110</v>
      </c>
      <c r="F109" s="980" t="s">
        <v>160</v>
      </c>
      <c r="G109" s="974">
        <v>2010</v>
      </c>
      <c r="H109" s="974">
        <v>2015</v>
      </c>
      <c r="I109" s="974">
        <v>2020</v>
      </c>
      <c r="J109" s="974">
        <v>2025</v>
      </c>
      <c r="K109" s="974">
        <v>2030</v>
      </c>
      <c r="L109" s="974">
        <v>2035</v>
      </c>
      <c r="M109" s="974">
        <v>2040</v>
      </c>
      <c r="N109" s="974">
        <v>2045</v>
      </c>
      <c r="O109" s="965">
        <v>2050</v>
      </c>
      <c r="P109" s="47"/>
      <c r="Q109" s="47"/>
      <c r="R109" s="1077"/>
    </row>
    <row r="110" spans="1:18" ht="15.75" hidden="1">
      <c r="B110" s="886"/>
      <c r="C110" s="2611" t="s">
        <v>432</v>
      </c>
      <c r="D110" s="977" t="s">
        <v>382</v>
      </c>
      <c r="E110" s="977" t="s">
        <v>16</v>
      </c>
      <c r="F110" s="966"/>
      <c r="G110" s="2768"/>
      <c r="H110" s="2769"/>
      <c r="I110" s="2769"/>
      <c r="J110" s="2769"/>
      <c r="K110" s="2769"/>
      <c r="L110" s="2769"/>
      <c r="M110" s="2769"/>
      <c r="N110" s="2769"/>
      <c r="O110" s="2768"/>
      <c r="P110" s="47"/>
      <c r="Q110" s="47"/>
      <c r="R110" s="1077" t="s">
        <v>5</v>
      </c>
    </row>
    <row r="111" spans="1:18" ht="15.75" hidden="1">
      <c r="B111" s="886"/>
      <c r="C111" s="109" t="s">
        <v>432</v>
      </c>
      <c r="D111" s="108" t="s">
        <v>382</v>
      </c>
      <c r="E111" s="108" t="s">
        <v>1712</v>
      </c>
      <c r="F111" s="953"/>
      <c r="G111" s="2770"/>
      <c r="H111" s="2771"/>
      <c r="I111" s="2771"/>
      <c r="J111" s="2771"/>
      <c r="K111" s="2771"/>
      <c r="L111" s="2771"/>
      <c r="M111" s="2771"/>
      <c r="N111" s="2771"/>
      <c r="O111" s="2770"/>
      <c r="P111" s="47"/>
      <c r="Q111" s="47"/>
      <c r="R111" s="1077"/>
    </row>
    <row r="112" spans="1:18" ht="15.75" hidden="1">
      <c r="B112" s="886"/>
      <c r="C112" s="2613" t="s">
        <v>432</v>
      </c>
      <c r="D112" s="199" t="s">
        <v>382</v>
      </c>
      <c r="E112" s="199" t="s">
        <v>15</v>
      </c>
      <c r="F112" s="958"/>
      <c r="G112" s="2772"/>
      <c r="H112" s="2773"/>
      <c r="I112" s="2773"/>
      <c r="J112" s="2773"/>
      <c r="K112" s="2773"/>
      <c r="L112" s="2773"/>
      <c r="M112" s="2773"/>
      <c r="N112" s="2773"/>
      <c r="O112" s="2772"/>
      <c r="P112" s="47"/>
      <c r="Q112" s="47"/>
      <c r="R112" s="1077"/>
    </row>
    <row r="113" spans="2:18" ht="15.75" hidden="1">
      <c r="B113" s="886"/>
      <c r="C113" s="2611" t="s">
        <v>433</v>
      </c>
      <c r="D113" s="977" t="s">
        <v>383</v>
      </c>
      <c r="E113" s="977" t="s">
        <v>16</v>
      </c>
      <c r="F113" s="966"/>
      <c r="G113" s="2774"/>
      <c r="H113" s="2769"/>
      <c r="I113" s="2769"/>
      <c r="J113" s="2769"/>
      <c r="K113" s="2769"/>
      <c r="L113" s="2769"/>
      <c r="M113" s="2769"/>
      <c r="N113" s="2769"/>
      <c r="O113" s="2774"/>
      <c r="P113" s="47"/>
      <c r="Q113" s="47"/>
      <c r="R113" s="1077"/>
    </row>
    <row r="114" spans="2:18" ht="15.75" hidden="1">
      <c r="B114" s="886"/>
      <c r="C114" s="109" t="s">
        <v>433</v>
      </c>
      <c r="D114" s="108" t="s">
        <v>383</v>
      </c>
      <c r="E114" s="108" t="s">
        <v>1712</v>
      </c>
      <c r="F114" s="953"/>
      <c r="G114" s="2770"/>
      <c r="H114" s="2771"/>
      <c r="I114" s="2771"/>
      <c r="J114" s="2771"/>
      <c r="K114" s="2771"/>
      <c r="L114" s="2771"/>
      <c r="M114" s="2771"/>
      <c r="N114" s="2771"/>
      <c r="O114" s="2770"/>
      <c r="P114" s="47"/>
      <c r="Q114" s="47"/>
      <c r="R114" s="1077"/>
    </row>
    <row r="115" spans="2:18" ht="15.75" hidden="1">
      <c r="B115" s="886"/>
      <c r="C115" s="2613" t="s">
        <v>433</v>
      </c>
      <c r="D115" s="199" t="s">
        <v>383</v>
      </c>
      <c r="E115" s="199" t="s">
        <v>15</v>
      </c>
      <c r="F115" s="958"/>
      <c r="G115" s="2772"/>
      <c r="H115" s="2773"/>
      <c r="I115" s="2773"/>
      <c r="J115" s="2773"/>
      <c r="K115" s="2773"/>
      <c r="L115" s="2773"/>
      <c r="M115" s="2773"/>
      <c r="N115" s="2773"/>
      <c r="O115" s="2772"/>
      <c r="P115" s="47"/>
      <c r="Q115" s="47"/>
      <c r="R115" s="1077"/>
    </row>
    <row r="116" spans="2:18" ht="15.75" hidden="1">
      <c r="B116" s="886"/>
      <c r="C116" s="2611" t="s">
        <v>430</v>
      </c>
      <c r="D116" s="977" t="s">
        <v>380</v>
      </c>
      <c r="E116" s="977" t="s">
        <v>16</v>
      </c>
      <c r="F116" s="966"/>
      <c r="G116" s="2768"/>
      <c r="H116" s="2769"/>
      <c r="I116" s="2769"/>
      <c r="J116" s="2769"/>
      <c r="K116" s="2769"/>
      <c r="L116" s="2769"/>
      <c r="M116" s="2769"/>
      <c r="N116" s="2769"/>
      <c r="O116" s="2768"/>
      <c r="P116" s="47"/>
      <c r="Q116" s="47"/>
      <c r="R116" s="1077"/>
    </row>
    <row r="117" spans="2:18" ht="15.75" hidden="1">
      <c r="B117" s="886"/>
      <c r="C117" s="109" t="s">
        <v>430</v>
      </c>
      <c r="D117" s="108" t="s">
        <v>380</v>
      </c>
      <c r="E117" s="108" t="s">
        <v>1712</v>
      </c>
      <c r="F117" s="953"/>
      <c r="G117" s="2770"/>
      <c r="H117" s="2771"/>
      <c r="I117" s="2771"/>
      <c r="J117" s="2771"/>
      <c r="K117" s="2771"/>
      <c r="L117" s="2771"/>
      <c r="M117" s="2771"/>
      <c r="N117" s="2771"/>
      <c r="O117" s="2770"/>
      <c r="P117" s="47"/>
      <c r="Q117" s="47"/>
      <c r="R117" s="1077"/>
    </row>
    <row r="118" spans="2:18" ht="15.75" hidden="1">
      <c r="B118" s="886"/>
      <c r="C118" s="2613" t="s">
        <v>430</v>
      </c>
      <c r="D118" s="199" t="s">
        <v>380</v>
      </c>
      <c r="E118" s="199" t="s">
        <v>15</v>
      </c>
      <c r="F118" s="958"/>
      <c r="G118" s="2772"/>
      <c r="H118" s="2773"/>
      <c r="I118" s="2773"/>
      <c r="J118" s="2773"/>
      <c r="K118" s="2773"/>
      <c r="L118" s="2773"/>
      <c r="M118" s="2773"/>
      <c r="N118" s="2773"/>
      <c r="O118" s="2772"/>
      <c r="P118" s="47"/>
      <c r="Q118" s="47"/>
      <c r="R118" s="1077"/>
    </row>
    <row r="119" spans="2:18" ht="15.75" hidden="1">
      <c r="B119" s="886"/>
      <c r="C119" s="2611" t="s">
        <v>431</v>
      </c>
      <c r="D119" s="977" t="s">
        <v>381</v>
      </c>
      <c r="E119" s="977" t="s">
        <v>16</v>
      </c>
      <c r="F119" s="966"/>
      <c r="G119" s="2774"/>
      <c r="H119" s="2769"/>
      <c r="I119" s="2769"/>
      <c r="J119" s="2769"/>
      <c r="K119" s="2769"/>
      <c r="L119" s="2769"/>
      <c r="M119" s="2769"/>
      <c r="N119" s="2769"/>
      <c r="O119" s="2774"/>
      <c r="P119" s="47"/>
      <c r="Q119" s="47"/>
      <c r="R119" s="1077"/>
    </row>
    <row r="120" spans="2:18" ht="15.75" hidden="1">
      <c r="B120" s="886"/>
      <c r="C120" s="109" t="s">
        <v>431</v>
      </c>
      <c r="D120" s="108" t="s">
        <v>381</v>
      </c>
      <c r="E120" s="108" t="s">
        <v>1712</v>
      </c>
      <c r="F120" s="953"/>
      <c r="G120" s="2770"/>
      <c r="H120" s="2771"/>
      <c r="I120" s="2771"/>
      <c r="J120" s="2771"/>
      <c r="K120" s="2771"/>
      <c r="L120" s="2771"/>
      <c r="M120" s="2771"/>
      <c r="N120" s="2771"/>
      <c r="O120" s="2770"/>
      <c r="P120" s="47"/>
      <c r="Q120" s="47"/>
      <c r="R120" s="1077"/>
    </row>
    <row r="121" spans="2:18" ht="15.75" hidden="1">
      <c r="B121" s="886"/>
      <c r="C121" s="2613" t="s">
        <v>431</v>
      </c>
      <c r="D121" s="199" t="s">
        <v>381</v>
      </c>
      <c r="E121" s="199" t="s">
        <v>15</v>
      </c>
      <c r="F121" s="958"/>
      <c r="G121" s="2772"/>
      <c r="H121" s="2773"/>
      <c r="I121" s="2773"/>
      <c r="J121" s="2773"/>
      <c r="K121" s="2773"/>
      <c r="L121" s="2773"/>
      <c r="M121" s="2773"/>
      <c r="N121" s="2773"/>
      <c r="O121" s="2772"/>
      <c r="P121" s="47"/>
      <c r="Q121" s="47"/>
      <c r="R121" s="1077"/>
    </row>
    <row r="122" spans="2:18" ht="15.75" hidden="1">
      <c r="B122" s="886"/>
      <c r="C122" s="2611" t="s">
        <v>434</v>
      </c>
      <c r="D122" s="977" t="s">
        <v>384</v>
      </c>
      <c r="E122" s="977" t="s">
        <v>16</v>
      </c>
      <c r="F122" s="966"/>
      <c r="G122" s="2768"/>
      <c r="H122" s="2769"/>
      <c r="I122" s="2769"/>
      <c r="J122" s="2769"/>
      <c r="K122" s="2769"/>
      <c r="L122" s="2769"/>
      <c r="M122" s="2769"/>
      <c r="N122" s="2769"/>
      <c r="O122" s="2768"/>
      <c r="P122" s="47"/>
      <c r="Q122" s="47"/>
      <c r="R122" s="1077"/>
    </row>
    <row r="123" spans="2:18" ht="15.75" hidden="1">
      <c r="B123" s="886"/>
      <c r="C123" s="109" t="s">
        <v>434</v>
      </c>
      <c r="D123" s="108" t="s">
        <v>384</v>
      </c>
      <c r="E123" s="108" t="s">
        <v>1712</v>
      </c>
      <c r="F123" s="953"/>
      <c r="G123" s="2770"/>
      <c r="H123" s="2771"/>
      <c r="I123" s="2771"/>
      <c r="J123" s="2771"/>
      <c r="K123" s="2771"/>
      <c r="L123" s="2771"/>
      <c r="M123" s="2771"/>
      <c r="N123" s="2771"/>
      <c r="O123" s="2770"/>
      <c r="P123" s="47"/>
      <c r="Q123" s="47"/>
      <c r="R123" s="1077"/>
    </row>
    <row r="124" spans="2:18" ht="15.75" hidden="1">
      <c r="B124" s="886"/>
      <c r="C124" s="2613" t="s">
        <v>434</v>
      </c>
      <c r="D124" s="199" t="s">
        <v>384</v>
      </c>
      <c r="E124" s="199" t="s">
        <v>15</v>
      </c>
      <c r="F124" s="958"/>
      <c r="G124" s="2772"/>
      <c r="H124" s="2773"/>
      <c r="I124" s="2773"/>
      <c r="J124" s="2773"/>
      <c r="K124" s="2773"/>
      <c r="L124" s="2773"/>
      <c r="M124" s="2773"/>
      <c r="N124" s="2773"/>
      <c r="O124" s="2772"/>
      <c r="P124" s="47"/>
      <c r="Q124" s="47"/>
      <c r="R124" s="207"/>
    </row>
    <row r="125" spans="2:18" ht="12.75" hidden="1" customHeight="1">
      <c r="B125" s="110"/>
      <c r="C125" s="67"/>
      <c r="D125" s="67"/>
      <c r="E125" s="67"/>
      <c r="F125" s="67"/>
      <c r="G125" s="67"/>
      <c r="H125" s="67"/>
      <c r="I125" s="67"/>
      <c r="J125" s="67"/>
      <c r="K125" s="67"/>
      <c r="L125" s="67"/>
      <c r="M125" s="67"/>
      <c r="N125" s="67"/>
      <c r="O125" s="67"/>
      <c r="P125" s="67"/>
      <c r="Q125" s="67"/>
      <c r="R125" s="1077"/>
    </row>
    <row r="126" spans="2:18" hidden="1">
      <c r="B126" s="110"/>
      <c r="C126" s="67"/>
      <c r="D126" s="51" t="s">
        <v>2123</v>
      </c>
      <c r="E126" s="67">
        <v>30</v>
      </c>
      <c r="F126" s="67" t="s">
        <v>2124</v>
      </c>
      <c r="G126" s="67"/>
      <c r="H126" s="67"/>
      <c r="I126" s="2686"/>
      <c r="J126" s="1095">
        <v>3.3333333333333333E-2</v>
      </c>
      <c r="K126" s="67" t="s">
        <v>2125</v>
      </c>
      <c r="L126" s="67"/>
      <c r="M126" s="67"/>
      <c r="N126" s="67"/>
      <c r="O126" s="67"/>
      <c r="P126" s="67"/>
      <c r="Q126" s="67"/>
      <c r="R126" s="2572"/>
    </row>
    <row r="127" spans="2:18" ht="15.75" hidden="1" customHeight="1">
      <c r="B127" s="110"/>
      <c r="C127" s="49" t="s">
        <v>2127</v>
      </c>
      <c r="D127" s="200"/>
      <c r="E127" s="67"/>
      <c r="F127" s="2686"/>
      <c r="G127" s="2686"/>
      <c r="H127" s="2686"/>
      <c r="I127" s="2686"/>
      <c r="J127" s="49"/>
      <c r="K127" s="67"/>
      <c r="L127" s="67"/>
      <c r="M127" s="67"/>
      <c r="N127" s="67"/>
      <c r="O127" s="49" t="s">
        <v>2816</v>
      </c>
      <c r="P127" s="67"/>
      <c r="Q127" s="67"/>
      <c r="R127" s="2775"/>
    </row>
    <row r="128" spans="2:18" ht="5.25" hidden="1" customHeight="1">
      <c r="B128" s="110"/>
      <c r="C128" s="67"/>
      <c r="D128" s="200"/>
      <c r="E128" s="67"/>
      <c r="F128" s="67"/>
      <c r="G128" s="67"/>
      <c r="H128" s="67"/>
      <c r="I128" s="67"/>
      <c r="J128" s="67"/>
      <c r="K128" s="67"/>
      <c r="L128" s="67"/>
      <c r="M128" s="67"/>
      <c r="N128" s="67"/>
      <c r="O128" s="67"/>
      <c r="P128" s="67"/>
      <c r="Q128" s="67"/>
      <c r="R128" s="2775"/>
    </row>
    <row r="129" spans="2:18" hidden="1">
      <c r="B129" s="110"/>
      <c r="C129" s="1271" t="s">
        <v>2108</v>
      </c>
      <c r="D129" s="1271" t="s">
        <v>2109</v>
      </c>
      <c r="E129" s="1271" t="s">
        <v>2110</v>
      </c>
      <c r="F129" s="980" t="s">
        <v>160</v>
      </c>
      <c r="G129" s="974">
        <v>2010</v>
      </c>
      <c r="H129" s="974">
        <v>2015</v>
      </c>
      <c r="I129" s="974">
        <v>2020</v>
      </c>
      <c r="J129" s="974">
        <v>2025</v>
      </c>
      <c r="K129" s="951">
        <v>2030</v>
      </c>
      <c r="L129" s="951">
        <v>2035</v>
      </c>
      <c r="M129" s="951">
        <v>2040</v>
      </c>
      <c r="N129" s="951">
        <v>2045</v>
      </c>
      <c r="O129" s="951">
        <v>2050</v>
      </c>
      <c r="P129" s="47"/>
      <c r="Q129" s="47"/>
      <c r="R129" s="2775"/>
    </row>
    <row r="130" spans="2:18" hidden="1">
      <c r="B130" s="110"/>
      <c r="C130" s="2611" t="s">
        <v>432</v>
      </c>
      <c r="D130" s="977" t="s">
        <v>382</v>
      </c>
      <c r="E130" s="977" t="s">
        <v>16</v>
      </c>
      <c r="F130" s="966"/>
      <c r="G130" s="2768"/>
      <c r="H130" s="2769"/>
      <c r="I130" s="2769"/>
      <c r="J130" s="2769"/>
      <c r="K130" s="2769"/>
      <c r="L130" s="2769"/>
      <c r="M130" s="2769"/>
      <c r="N130" s="2769"/>
      <c r="O130" s="2768"/>
      <c r="P130" s="47"/>
      <c r="Q130" s="47"/>
      <c r="R130" s="1228"/>
    </row>
    <row r="131" spans="2:18" hidden="1" collapsed="1">
      <c r="B131" s="904"/>
      <c r="C131" s="109" t="s">
        <v>432</v>
      </c>
      <c r="D131" s="108" t="s">
        <v>382</v>
      </c>
      <c r="E131" s="108" t="s">
        <v>1712</v>
      </c>
      <c r="F131" s="953"/>
      <c r="G131" s="2770"/>
      <c r="H131" s="2770"/>
      <c r="I131" s="2770"/>
      <c r="J131" s="2770"/>
      <c r="K131" s="2770"/>
      <c r="L131" s="2770"/>
      <c r="M131" s="2770"/>
      <c r="N131" s="2770"/>
      <c r="O131" s="2770"/>
      <c r="P131" s="47"/>
      <c r="Q131" s="47"/>
      <c r="R131" s="2776"/>
    </row>
    <row r="132" spans="2:18" hidden="1">
      <c r="B132" s="904"/>
      <c r="C132" s="2613" t="s">
        <v>432</v>
      </c>
      <c r="D132" s="199" t="s">
        <v>382</v>
      </c>
      <c r="E132" s="199" t="s">
        <v>15</v>
      </c>
      <c r="F132" s="958"/>
      <c r="G132" s="2770"/>
      <c r="H132" s="2770"/>
      <c r="I132" s="2770"/>
      <c r="J132" s="2770"/>
      <c r="K132" s="2770"/>
      <c r="L132" s="2770"/>
      <c r="M132" s="2770"/>
      <c r="N132" s="2770"/>
      <c r="O132" s="2770"/>
      <c r="P132" s="47"/>
      <c r="Q132" s="47"/>
      <c r="R132" s="2776"/>
    </row>
    <row r="133" spans="2:18" ht="15.75" hidden="1">
      <c r="B133" s="886"/>
      <c r="C133" s="2611" t="s">
        <v>433</v>
      </c>
      <c r="D133" s="977" t="s">
        <v>383</v>
      </c>
      <c r="E133" s="977" t="s">
        <v>16</v>
      </c>
      <c r="F133" s="966"/>
      <c r="G133" s="2774"/>
      <c r="H133" s="2769"/>
      <c r="I133" s="2769"/>
      <c r="J133" s="2769"/>
      <c r="K133" s="2769"/>
      <c r="L133" s="2769"/>
      <c r="M133" s="2769"/>
      <c r="N133" s="2769"/>
      <c r="O133" s="2774"/>
      <c r="P133" s="47"/>
      <c r="Q133" s="47"/>
      <c r="R133" s="2775"/>
    </row>
    <row r="134" spans="2:18" ht="15.75" hidden="1">
      <c r="B134" s="886"/>
      <c r="C134" s="109" t="s">
        <v>433</v>
      </c>
      <c r="D134" s="108" t="s">
        <v>383</v>
      </c>
      <c r="E134" s="108" t="s">
        <v>1712</v>
      </c>
      <c r="F134" s="953"/>
      <c r="G134" s="2770"/>
      <c r="H134" s="2771"/>
      <c r="I134" s="2771"/>
      <c r="J134" s="2771"/>
      <c r="K134" s="2771"/>
      <c r="L134" s="2771"/>
      <c r="M134" s="2771"/>
      <c r="N134" s="2771"/>
      <c r="O134" s="2770"/>
      <c r="P134" s="47"/>
      <c r="Q134" s="47"/>
      <c r="R134" s="2776"/>
    </row>
    <row r="135" spans="2:18" ht="15.75" hidden="1">
      <c r="B135" s="886"/>
      <c r="C135" s="2613" t="s">
        <v>433</v>
      </c>
      <c r="D135" s="199" t="s">
        <v>383</v>
      </c>
      <c r="E135" s="199" t="s">
        <v>15</v>
      </c>
      <c r="F135" s="958"/>
      <c r="G135" s="2772"/>
      <c r="H135" s="2772"/>
      <c r="I135" s="2772"/>
      <c r="J135" s="2772"/>
      <c r="K135" s="2772"/>
      <c r="L135" s="2772"/>
      <c r="M135" s="2772"/>
      <c r="N135" s="2772"/>
      <c r="O135" s="2772"/>
      <c r="P135" s="47"/>
      <c r="Q135" s="47"/>
      <c r="R135" s="1077"/>
    </row>
    <row r="136" spans="2:18" ht="15.75" hidden="1">
      <c r="B136" s="886"/>
      <c r="C136" s="2611" t="s">
        <v>430</v>
      </c>
      <c r="D136" s="977" t="s">
        <v>380</v>
      </c>
      <c r="E136" s="977" t="s">
        <v>16</v>
      </c>
      <c r="F136" s="966"/>
      <c r="G136" s="2768"/>
      <c r="H136" s="2769"/>
      <c r="I136" s="2769"/>
      <c r="J136" s="2769"/>
      <c r="K136" s="2769"/>
      <c r="L136" s="2769"/>
      <c r="M136" s="2769"/>
      <c r="N136" s="2769"/>
      <c r="O136" s="2768"/>
      <c r="P136" s="47"/>
      <c r="Q136" s="47"/>
      <c r="R136" s="2775"/>
    </row>
    <row r="137" spans="2:18" ht="15.75" hidden="1">
      <c r="B137" s="886"/>
      <c r="C137" s="109" t="s">
        <v>430</v>
      </c>
      <c r="D137" s="108" t="s">
        <v>380</v>
      </c>
      <c r="E137" s="108" t="s">
        <v>1712</v>
      </c>
      <c r="F137" s="953"/>
      <c r="G137" s="2770"/>
      <c r="H137" s="2771"/>
      <c r="I137" s="2771"/>
      <c r="J137" s="2771"/>
      <c r="K137" s="2771"/>
      <c r="L137" s="2771"/>
      <c r="M137" s="2771"/>
      <c r="N137" s="2771"/>
      <c r="O137" s="2770"/>
      <c r="P137" s="47"/>
      <c r="Q137" s="47"/>
      <c r="R137" s="2776"/>
    </row>
    <row r="138" spans="2:18" ht="15.75" hidden="1">
      <c r="B138" s="886"/>
      <c r="C138" s="2613" t="s">
        <v>430</v>
      </c>
      <c r="D138" s="199" t="s">
        <v>380</v>
      </c>
      <c r="E138" s="199" t="s">
        <v>15</v>
      </c>
      <c r="F138" s="958"/>
      <c r="G138" s="2772"/>
      <c r="H138" s="2773"/>
      <c r="I138" s="2773"/>
      <c r="J138" s="2773"/>
      <c r="K138" s="2773"/>
      <c r="L138" s="2773"/>
      <c r="M138" s="2773"/>
      <c r="N138" s="2773"/>
      <c r="O138" s="2772"/>
      <c r="P138" s="47"/>
      <c r="Q138" s="47"/>
      <c r="R138" s="2776"/>
    </row>
    <row r="139" spans="2:18" ht="15.75" hidden="1">
      <c r="B139" s="886"/>
      <c r="C139" s="2611" t="s">
        <v>431</v>
      </c>
      <c r="D139" s="977" t="s">
        <v>381</v>
      </c>
      <c r="E139" s="977" t="s">
        <v>16</v>
      </c>
      <c r="F139" s="966"/>
      <c r="G139" s="2774"/>
      <c r="H139" s="2769"/>
      <c r="I139" s="2769"/>
      <c r="J139" s="2769"/>
      <c r="K139" s="2769"/>
      <c r="L139" s="2769"/>
      <c r="M139" s="2769"/>
      <c r="N139" s="2769"/>
      <c r="O139" s="2774"/>
      <c r="P139" s="47"/>
      <c r="Q139" s="47"/>
      <c r="R139" s="1077"/>
    </row>
    <row r="140" spans="2:18" ht="15.75" hidden="1">
      <c r="B140" s="886"/>
      <c r="C140" s="109" t="s">
        <v>431</v>
      </c>
      <c r="D140" s="108" t="s">
        <v>381</v>
      </c>
      <c r="E140" s="108" t="s">
        <v>1712</v>
      </c>
      <c r="F140" s="953"/>
      <c r="G140" s="2770"/>
      <c r="H140" s="2771"/>
      <c r="I140" s="2771"/>
      <c r="J140" s="2771"/>
      <c r="K140" s="2771"/>
      <c r="L140" s="2771"/>
      <c r="M140" s="2771"/>
      <c r="N140" s="2771"/>
      <c r="O140" s="2770"/>
      <c r="P140" s="47"/>
      <c r="Q140" s="47"/>
      <c r="R140" s="1077"/>
    </row>
    <row r="141" spans="2:18" s="414" customFormat="1" ht="15.75" hidden="1">
      <c r="B141" s="886"/>
      <c r="C141" s="2613" t="s">
        <v>431</v>
      </c>
      <c r="D141" s="199" t="s">
        <v>381</v>
      </c>
      <c r="E141" s="199" t="s">
        <v>15</v>
      </c>
      <c r="F141" s="958"/>
      <c r="G141" s="2772"/>
      <c r="H141" s="2773"/>
      <c r="I141" s="2773"/>
      <c r="J141" s="2773"/>
      <c r="K141" s="2773"/>
      <c r="L141" s="2773"/>
      <c r="M141" s="2773"/>
      <c r="N141" s="2773"/>
      <c r="O141" s="2772"/>
      <c r="P141" s="2777"/>
      <c r="Q141" s="2777"/>
      <c r="R141" s="1077"/>
    </row>
    <row r="142" spans="2:18" s="414" customFormat="1" ht="15.75" hidden="1">
      <c r="B142" s="886"/>
      <c r="C142" s="2611" t="s">
        <v>434</v>
      </c>
      <c r="D142" s="977" t="s">
        <v>384</v>
      </c>
      <c r="E142" s="977" t="s">
        <v>16</v>
      </c>
      <c r="F142" s="966"/>
      <c r="G142" s="2768"/>
      <c r="H142" s="2769"/>
      <c r="I142" s="2769"/>
      <c r="J142" s="2769"/>
      <c r="K142" s="2769"/>
      <c r="L142" s="2769"/>
      <c r="M142" s="2769"/>
      <c r="N142" s="2769"/>
      <c r="O142" s="2768"/>
      <c r="P142" s="2777"/>
      <c r="Q142" s="2777"/>
      <c r="R142" s="1077"/>
    </row>
    <row r="143" spans="2:18" ht="15.75" hidden="1">
      <c r="B143" s="886"/>
      <c r="C143" s="109" t="s">
        <v>434</v>
      </c>
      <c r="D143" s="108" t="s">
        <v>384</v>
      </c>
      <c r="E143" s="108" t="s">
        <v>1712</v>
      </c>
      <c r="F143" s="953"/>
      <c r="G143" s="2770"/>
      <c r="H143" s="2771"/>
      <c r="I143" s="2771"/>
      <c r="J143" s="2771"/>
      <c r="K143" s="2771"/>
      <c r="L143" s="2771"/>
      <c r="M143" s="2771"/>
      <c r="N143" s="2771"/>
      <c r="O143" s="2770"/>
      <c r="P143" s="47"/>
      <c r="Q143" s="47"/>
      <c r="R143" s="1077"/>
    </row>
    <row r="144" spans="2:18" ht="15.75" hidden="1">
      <c r="B144" s="886"/>
      <c r="C144" s="2613" t="s">
        <v>434</v>
      </c>
      <c r="D144" s="199" t="s">
        <v>384</v>
      </c>
      <c r="E144" s="199" t="s">
        <v>15</v>
      </c>
      <c r="F144" s="958"/>
      <c r="G144" s="2772"/>
      <c r="H144" s="2772"/>
      <c r="I144" s="2772"/>
      <c r="J144" s="2772"/>
      <c r="K144" s="2772"/>
      <c r="L144" s="2772"/>
      <c r="M144" s="2772"/>
      <c r="N144" s="2772"/>
      <c r="O144" s="2772"/>
      <c r="P144" s="47"/>
      <c r="Q144" s="47"/>
      <c r="R144" s="1077"/>
    </row>
    <row r="145" spans="2:18" s="414" customFormat="1" ht="15.75" hidden="1">
      <c r="B145" s="886"/>
      <c r="C145" s="67"/>
      <c r="D145" s="67"/>
      <c r="E145" s="67"/>
      <c r="F145" s="67"/>
      <c r="G145" s="67"/>
      <c r="H145" s="67"/>
      <c r="I145" s="67"/>
      <c r="J145" s="67"/>
      <c r="K145" s="67"/>
      <c r="L145" s="67"/>
      <c r="M145" s="67"/>
      <c r="N145" s="67"/>
      <c r="O145" s="67"/>
      <c r="P145" s="286"/>
      <c r="Q145" s="286"/>
      <c r="R145" s="2778"/>
    </row>
    <row r="146" spans="2:18" s="414" customFormat="1" ht="15.75" hidden="1">
      <c r="B146" s="886"/>
      <c r="C146" s="49" t="s">
        <v>2128</v>
      </c>
      <c r="D146" s="200"/>
      <c r="E146" s="67"/>
      <c r="F146" s="2686"/>
      <c r="G146" s="2686"/>
      <c r="H146" s="2686"/>
      <c r="I146" s="2686"/>
      <c r="J146" s="49"/>
      <c r="K146" s="67"/>
      <c r="L146" s="67"/>
      <c r="M146" s="67"/>
      <c r="N146" s="67"/>
      <c r="O146" s="49" t="s">
        <v>2816</v>
      </c>
      <c r="P146" s="286"/>
      <c r="Q146" s="286"/>
      <c r="R146" s="207"/>
    </row>
    <row r="147" spans="2:18" ht="4.5" hidden="1" customHeight="1">
      <c r="B147" s="886"/>
      <c r="C147" s="67"/>
      <c r="D147" s="200"/>
      <c r="E147" s="67"/>
      <c r="F147" s="67"/>
      <c r="G147" s="67"/>
      <c r="H147" s="67"/>
      <c r="I147" s="67"/>
      <c r="J147" s="67"/>
      <c r="K147" s="67"/>
      <c r="L147" s="67"/>
      <c r="M147" s="67"/>
      <c r="N147" s="67"/>
      <c r="O147" s="67"/>
      <c r="P147" s="67"/>
      <c r="Q147" s="67"/>
      <c r="R147" s="1077"/>
    </row>
    <row r="148" spans="2:18" ht="15.75" hidden="1">
      <c r="B148" s="886"/>
      <c r="C148" s="1271" t="s">
        <v>2108</v>
      </c>
      <c r="D148" s="1271" t="s">
        <v>2109</v>
      </c>
      <c r="E148" s="1271" t="s">
        <v>2110</v>
      </c>
      <c r="F148" s="980" t="s">
        <v>160</v>
      </c>
      <c r="G148" s="974">
        <v>2010</v>
      </c>
      <c r="H148" s="974">
        <v>2015</v>
      </c>
      <c r="I148" s="974">
        <v>2020</v>
      </c>
      <c r="J148" s="974">
        <v>2025</v>
      </c>
      <c r="K148" s="974">
        <v>2030</v>
      </c>
      <c r="L148" s="974">
        <v>2035</v>
      </c>
      <c r="M148" s="974">
        <v>2040</v>
      </c>
      <c r="N148" s="974">
        <v>2045</v>
      </c>
      <c r="O148" s="974">
        <v>2050</v>
      </c>
      <c r="P148" s="47"/>
      <c r="Q148" s="47"/>
      <c r="R148" s="1077"/>
    </row>
    <row r="149" spans="2:18" s="414" customFormat="1" hidden="1">
      <c r="B149" s="110"/>
      <c r="C149" s="2611" t="s">
        <v>432</v>
      </c>
      <c r="D149" s="977" t="s">
        <v>382</v>
      </c>
      <c r="E149" s="977" t="s">
        <v>16</v>
      </c>
      <c r="F149" s="966"/>
      <c r="G149" s="2768"/>
      <c r="H149" s="2769"/>
      <c r="I149" s="2769"/>
      <c r="J149" s="2769"/>
      <c r="K149" s="2769"/>
      <c r="L149" s="2769"/>
      <c r="M149" s="2769"/>
      <c r="N149" s="2769"/>
      <c r="O149" s="2768"/>
      <c r="P149" s="2777"/>
      <c r="Q149" s="2777"/>
      <c r="R149" s="1706"/>
    </row>
    <row r="150" spans="2:18" s="414" customFormat="1" hidden="1">
      <c r="B150" s="110"/>
      <c r="C150" s="109" t="s">
        <v>432</v>
      </c>
      <c r="D150" s="108" t="s">
        <v>382</v>
      </c>
      <c r="E150" s="108" t="s">
        <v>1712</v>
      </c>
      <c r="F150" s="953"/>
      <c r="G150" s="2770"/>
      <c r="H150" s="2771"/>
      <c r="I150" s="2771"/>
      <c r="J150" s="2771"/>
      <c r="K150" s="2771"/>
      <c r="L150" s="2771"/>
      <c r="M150" s="2771"/>
      <c r="N150" s="2771"/>
      <c r="O150" s="2770"/>
      <c r="P150" s="2777"/>
      <c r="Q150" s="2777"/>
      <c r="R150" s="1706"/>
    </row>
    <row r="151" spans="2:18" hidden="1">
      <c r="B151" s="110"/>
      <c r="C151" s="2613" t="s">
        <v>432</v>
      </c>
      <c r="D151" s="199" t="s">
        <v>382</v>
      </c>
      <c r="E151" s="199" t="s">
        <v>15</v>
      </c>
      <c r="F151" s="958"/>
      <c r="G151" s="2772"/>
      <c r="H151" s="2773"/>
      <c r="I151" s="2773"/>
      <c r="J151" s="2773"/>
      <c r="K151" s="2773"/>
      <c r="L151" s="2773"/>
      <c r="M151" s="2773"/>
      <c r="N151" s="2773"/>
      <c r="O151" s="2772"/>
      <c r="P151" s="47"/>
      <c r="Q151" s="47"/>
      <c r="R151" s="1077"/>
    </row>
    <row r="152" spans="2:18" hidden="1">
      <c r="B152" s="110"/>
      <c r="C152" s="2611" t="s">
        <v>433</v>
      </c>
      <c r="D152" s="977" t="s">
        <v>383</v>
      </c>
      <c r="E152" s="977" t="s">
        <v>16</v>
      </c>
      <c r="F152" s="966"/>
      <c r="G152" s="2774"/>
      <c r="H152" s="2769"/>
      <c r="I152" s="2769"/>
      <c r="J152" s="2769"/>
      <c r="K152" s="2769"/>
      <c r="L152" s="2769"/>
      <c r="M152" s="2769"/>
      <c r="N152" s="2769"/>
      <c r="O152" s="2774"/>
      <c r="P152" s="47"/>
      <c r="Q152" s="47"/>
      <c r="R152" s="1077"/>
    </row>
    <row r="153" spans="2:18" hidden="1">
      <c r="B153" s="110"/>
      <c r="C153" s="109" t="s">
        <v>433</v>
      </c>
      <c r="D153" s="108" t="s">
        <v>383</v>
      </c>
      <c r="E153" s="108" t="s">
        <v>1712</v>
      </c>
      <c r="F153" s="953"/>
      <c r="G153" s="2770"/>
      <c r="H153" s="2771"/>
      <c r="I153" s="2771"/>
      <c r="J153" s="2771"/>
      <c r="K153" s="2771"/>
      <c r="L153" s="2771"/>
      <c r="M153" s="2771"/>
      <c r="N153" s="2771"/>
      <c r="O153" s="2770"/>
      <c r="P153" s="47"/>
      <c r="Q153" s="47"/>
      <c r="R153" s="1077"/>
    </row>
    <row r="154" spans="2:18" hidden="1">
      <c r="B154" s="110"/>
      <c r="C154" s="2613" t="s">
        <v>433</v>
      </c>
      <c r="D154" s="199" t="s">
        <v>383</v>
      </c>
      <c r="E154" s="199" t="s">
        <v>15</v>
      </c>
      <c r="F154" s="958"/>
      <c r="G154" s="2772"/>
      <c r="H154" s="2773"/>
      <c r="I154" s="2773"/>
      <c r="J154" s="2773"/>
      <c r="K154" s="2773"/>
      <c r="L154" s="2773"/>
      <c r="M154" s="2773"/>
      <c r="N154" s="2773"/>
      <c r="O154" s="2772"/>
      <c r="P154" s="47"/>
      <c r="Q154" s="47"/>
    </row>
    <row r="155" spans="2:18" hidden="1">
      <c r="B155" s="904"/>
      <c r="C155" s="2611" t="s">
        <v>430</v>
      </c>
      <c r="D155" s="977" t="s">
        <v>380</v>
      </c>
      <c r="E155" s="977" t="s">
        <v>16</v>
      </c>
      <c r="F155" s="966"/>
      <c r="G155" s="2768"/>
      <c r="H155" s="2769"/>
      <c r="I155" s="2769"/>
      <c r="J155" s="2769"/>
      <c r="K155" s="2769"/>
      <c r="L155" s="2769"/>
      <c r="M155" s="2769"/>
      <c r="N155" s="2769"/>
      <c r="O155" s="2768"/>
      <c r="P155" s="47"/>
      <c r="Q155" s="47"/>
    </row>
    <row r="156" spans="2:18" hidden="1">
      <c r="B156" s="904"/>
      <c r="C156" s="109" t="s">
        <v>430</v>
      </c>
      <c r="D156" s="108" t="s">
        <v>380</v>
      </c>
      <c r="E156" s="108" t="s">
        <v>1712</v>
      </c>
      <c r="F156" s="953"/>
      <c r="G156" s="2770"/>
      <c r="H156" s="2771"/>
      <c r="I156" s="2771"/>
      <c r="J156" s="2771"/>
      <c r="K156" s="2771"/>
      <c r="L156" s="2771"/>
      <c r="M156" s="2771"/>
      <c r="N156" s="2771"/>
      <c r="O156" s="2770"/>
      <c r="P156" s="47"/>
      <c r="Q156" s="47"/>
    </row>
    <row r="157" spans="2:18" ht="15.75" hidden="1">
      <c r="B157" s="886"/>
      <c r="C157" s="2613" t="s">
        <v>430</v>
      </c>
      <c r="D157" s="199" t="s">
        <v>380</v>
      </c>
      <c r="E157" s="199" t="s">
        <v>15</v>
      </c>
      <c r="F157" s="958"/>
      <c r="G157" s="2772"/>
      <c r="H157" s="2773"/>
      <c r="I157" s="2773"/>
      <c r="J157" s="2773"/>
      <c r="K157" s="2773"/>
      <c r="L157" s="2773"/>
      <c r="M157" s="2773"/>
      <c r="N157" s="2773"/>
      <c r="O157" s="2772"/>
      <c r="P157" s="47"/>
      <c r="Q157" s="47"/>
    </row>
    <row r="158" spans="2:18" ht="15.75" hidden="1">
      <c r="B158" s="886"/>
      <c r="C158" s="2611" t="s">
        <v>431</v>
      </c>
      <c r="D158" s="977" t="s">
        <v>381</v>
      </c>
      <c r="E158" s="977" t="s">
        <v>16</v>
      </c>
      <c r="F158" s="966"/>
      <c r="G158" s="2774"/>
      <c r="H158" s="2769"/>
      <c r="I158" s="2769"/>
      <c r="J158" s="2769"/>
      <c r="K158" s="2769"/>
      <c r="L158" s="2769"/>
      <c r="M158" s="2769"/>
      <c r="N158" s="2769"/>
      <c r="O158" s="2774"/>
      <c r="P158" s="47"/>
      <c r="Q158" s="47"/>
    </row>
    <row r="159" spans="2:18" ht="15.75" hidden="1">
      <c r="B159" s="886"/>
      <c r="C159" s="109" t="s">
        <v>431</v>
      </c>
      <c r="D159" s="108" t="s">
        <v>381</v>
      </c>
      <c r="E159" s="108" t="s">
        <v>1712</v>
      </c>
      <c r="F159" s="953"/>
      <c r="G159" s="2770"/>
      <c r="H159" s="2771"/>
      <c r="I159" s="2771"/>
      <c r="J159" s="2771"/>
      <c r="K159" s="2771"/>
      <c r="L159" s="2771"/>
      <c r="M159" s="2771"/>
      <c r="N159" s="2771"/>
      <c r="O159" s="2770"/>
      <c r="P159" s="47"/>
      <c r="Q159" s="47"/>
    </row>
    <row r="160" spans="2:18" ht="15.75" hidden="1">
      <c r="B160" s="886"/>
      <c r="C160" s="2613" t="s">
        <v>431</v>
      </c>
      <c r="D160" s="199" t="s">
        <v>381</v>
      </c>
      <c r="E160" s="199" t="s">
        <v>15</v>
      </c>
      <c r="F160" s="958"/>
      <c r="G160" s="2772"/>
      <c r="H160" s="2773"/>
      <c r="I160" s="2773"/>
      <c r="J160" s="2773"/>
      <c r="K160" s="2773"/>
      <c r="L160" s="2773"/>
      <c r="M160" s="2773"/>
      <c r="N160" s="2773"/>
      <c r="O160" s="2772"/>
      <c r="P160" s="47"/>
      <c r="Q160" s="47"/>
    </row>
    <row r="161" spans="1:17" ht="15.75" hidden="1">
      <c r="B161" s="886"/>
      <c r="C161" s="2611" t="s">
        <v>434</v>
      </c>
      <c r="D161" s="977" t="s">
        <v>384</v>
      </c>
      <c r="E161" s="977" t="s">
        <v>16</v>
      </c>
      <c r="F161" s="966"/>
      <c r="G161" s="2768"/>
      <c r="H161" s="2769"/>
      <c r="I161" s="2769"/>
      <c r="J161" s="2769"/>
      <c r="K161" s="2769"/>
      <c r="L161" s="2769"/>
      <c r="M161" s="2769"/>
      <c r="N161" s="2769"/>
      <c r="O161" s="2768"/>
      <c r="P161" s="47"/>
      <c r="Q161" s="47"/>
    </row>
    <row r="162" spans="1:17" ht="15.75" hidden="1">
      <c r="B162" s="886"/>
      <c r="C162" s="109" t="s">
        <v>434</v>
      </c>
      <c r="D162" s="108" t="s">
        <v>384</v>
      </c>
      <c r="E162" s="108" t="s">
        <v>1712</v>
      </c>
      <c r="F162" s="953"/>
      <c r="G162" s="2770"/>
      <c r="H162" s="2771"/>
      <c r="I162" s="2771"/>
      <c r="J162" s="2771"/>
      <c r="K162" s="2771"/>
      <c r="L162" s="2771"/>
      <c r="M162" s="2771"/>
      <c r="N162" s="2771"/>
      <c r="O162" s="2770"/>
      <c r="P162" s="47"/>
      <c r="Q162" s="47"/>
    </row>
    <row r="163" spans="1:17" ht="15.75" hidden="1">
      <c r="B163" s="886"/>
      <c r="C163" s="2613" t="s">
        <v>434</v>
      </c>
      <c r="D163" s="199" t="s">
        <v>384</v>
      </c>
      <c r="E163" s="199" t="s">
        <v>15</v>
      </c>
      <c r="F163" s="958"/>
      <c r="G163" s="2772"/>
      <c r="H163" s="2773"/>
      <c r="I163" s="2773"/>
      <c r="J163" s="2773"/>
      <c r="K163" s="2773"/>
      <c r="L163" s="2773"/>
      <c r="M163" s="2773"/>
      <c r="N163" s="2773"/>
      <c r="O163" s="2772"/>
      <c r="P163" s="47"/>
      <c r="Q163" s="47"/>
    </row>
    <row r="164" spans="1:17" ht="15.75" hidden="1">
      <c r="B164" s="886"/>
      <c r="C164" s="67"/>
      <c r="D164" s="67"/>
      <c r="E164" s="67"/>
      <c r="F164" s="67"/>
      <c r="G164" s="67"/>
      <c r="H164" s="67"/>
      <c r="I164" s="67"/>
      <c r="J164" s="67"/>
      <c r="K164" s="67"/>
      <c r="L164" s="67"/>
      <c r="M164" s="67"/>
      <c r="N164" s="67"/>
      <c r="O164" s="67"/>
      <c r="P164" s="67"/>
      <c r="Q164" s="67"/>
    </row>
    <row r="165" spans="1:17" ht="15.75" hidden="1">
      <c r="B165" s="886"/>
      <c r="C165" s="47"/>
      <c r="D165" s="47"/>
      <c r="E165" s="47"/>
      <c r="F165" s="47"/>
      <c r="G165" s="47"/>
      <c r="H165" s="47"/>
      <c r="I165" s="47"/>
      <c r="J165" s="47"/>
      <c r="K165" s="47"/>
      <c r="L165" s="47"/>
      <c r="M165" s="47"/>
      <c r="N165" s="47"/>
      <c r="O165" s="47"/>
      <c r="P165" s="47"/>
      <c r="Q165" s="47"/>
    </row>
    <row r="166" spans="1:17" ht="18.75" hidden="1">
      <c r="B166" s="886"/>
      <c r="C166" s="2779" t="s">
        <v>173</v>
      </c>
      <c r="D166" s="47"/>
      <c r="E166" s="47"/>
      <c r="F166" s="47"/>
      <c r="G166" s="47"/>
      <c r="H166" s="47"/>
      <c r="I166" s="47"/>
      <c r="J166" s="47"/>
      <c r="K166" s="47"/>
      <c r="L166" s="47"/>
      <c r="M166" s="47"/>
      <c r="N166" s="47"/>
      <c r="O166" s="47"/>
      <c r="P166" s="47"/>
      <c r="Q166" s="47"/>
    </row>
    <row r="167" spans="1:17" ht="15.75" hidden="1">
      <c r="B167" s="886"/>
      <c r="C167" s="49" t="s">
        <v>2129</v>
      </c>
      <c r="D167" s="200"/>
      <c r="E167" s="67"/>
      <c r="F167" s="2686"/>
      <c r="G167" s="2686"/>
      <c r="H167" s="2686"/>
      <c r="I167" s="2686"/>
      <c r="J167" s="49"/>
      <c r="K167" s="67"/>
      <c r="L167" s="67"/>
      <c r="M167" s="67"/>
      <c r="N167" s="67"/>
      <c r="O167" s="49" t="s">
        <v>2816</v>
      </c>
      <c r="P167" s="67"/>
      <c r="Q167" s="67"/>
    </row>
    <row r="168" spans="1:17" ht="15.75" hidden="1">
      <c r="B168" s="886"/>
      <c r="C168" s="67"/>
      <c r="D168" s="200"/>
      <c r="E168" s="67"/>
      <c r="F168" s="67"/>
      <c r="G168" s="67"/>
      <c r="H168" s="67"/>
      <c r="I168" s="67"/>
      <c r="J168" s="67"/>
      <c r="K168" s="67"/>
      <c r="L168" s="67"/>
      <c r="M168" s="67"/>
      <c r="N168" s="67"/>
      <c r="O168" s="67"/>
      <c r="P168" s="67"/>
      <c r="Q168" s="67"/>
    </row>
    <row r="169" spans="1:17" ht="15.75" hidden="1">
      <c r="B169" s="886"/>
      <c r="C169" s="887" t="s">
        <v>2108</v>
      </c>
      <c r="D169" s="887" t="s">
        <v>2109</v>
      </c>
      <c r="E169" s="1271" t="s">
        <v>2110</v>
      </c>
      <c r="F169" s="980" t="s">
        <v>160</v>
      </c>
      <c r="G169" s="974">
        <v>2010</v>
      </c>
      <c r="H169" s="974">
        <v>2015</v>
      </c>
      <c r="I169" s="974">
        <v>2020</v>
      </c>
      <c r="J169" s="974">
        <v>2025</v>
      </c>
      <c r="K169" s="974">
        <v>2030</v>
      </c>
      <c r="L169" s="974">
        <v>2035</v>
      </c>
      <c r="M169" s="974">
        <v>2040</v>
      </c>
      <c r="N169" s="974">
        <v>2045</v>
      </c>
      <c r="O169" s="974">
        <v>2050</v>
      </c>
      <c r="P169" s="47"/>
      <c r="Q169" s="47"/>
    </row>
    <row r="170" spans="1:17" ht="15.75" hidden="1">
      <c r="B170" s="886"/>
      <c r="C170" s="2691" t="s">
        <v>432</v>
      </c>
      <c r="D170" s="890" t="s">
        <v>382</v>
      </c>
      <c r="E170" s="977" t="s">
        <v>16</v>
      </c>
      <c r="F170" s="966"/>
      <c r="G170" s="2768"/>
      <c r="H170" s="2769"/>
      <c r="I170" s="2769"/>
      <c r="J170" s="2769"/>
      <c r="K170" s="2769"/>
      <c r="L170" s="2769"/>
      <c r="M170" s="2769"/>
      <c r="N170" s="2769"/>
      <c r="O170" s="2768"/>
      <c r="P170" s="47"/>
      <c r="Q170" s="47"/>
    </row>
    <row r="171" spans="1:17" ht="23.25" hidden="1">
      <c r="A171" s="7"/>
      <c r="B171" s="886"/>
      <c r="C171" s="109" t="s">
        <v>432</v>
      </c>
      <c r="D171" s="108" t="s">
        <v>382</v>
      </c>
      <c r="E171" s="108" t="s">
        <v>1712</v>
      </c>
      <c r="F171" s="953"/>
      <c r="G171" s="2770"/>
      <c r="H171" s="2771"/>
      <c r="I171" s="2771"/>
      <c r="J171" s="2771"/>
      <c r="K171" s="2771"/>
      <c r="L171" s="2771"/>
      <c r="M171" s="2771"/>
      <c r="N171" s="2771"/>
      <c r="O171" s="2770"/>
      <c r="P171" s="47"/>
      <c r="Q171" s="47"/>
    </row>
    <row r="172" spans="1:17" ht="15.75" hidden="1">
      <c r="B172" s="886"/>
      <c r="C172" s="2692" t="s">
        <v>432</v>
      </c>
      <c r="D172" s="1507" t="s">
        <v>382</v>
      </c>
      <c r="E172" s="199" t="s">
        <v>15</v>
      </c>
      <c r="F172" s="958"/>
      <c r="G172" s="2772"/>
      <c r="H172" s="2773"/>
      <c r="I172" s="2773"/>
      <c r="J172" s="2773"/>
      <c r="K172" s="2773"/>
      <c r="L172" s="2773"/>
      <c r="M172" s="2773"/>
      <c r="N172" s="2773"/>
      <c r="O172" s="2772"/>
      <c r="P172" s="47"/>
      <c r="Q172" s="47"/>
    </row>
    <row r="173" spans="1:17" hidden="1">
      <c r="B173" s="110"/>
      <c r="C173" s="2691" t="s">
        <v>433</v>
      </c>
      <c r="D173" s="890" t="s">
        <v>383</v>
      </c>
      <c r="E173" s="977" t="s">
        <v>16</v>
      </c>
      <c r="F173" s="966"/>
      <c r="G173" s="2774"/>
      <c r="H173" s="2769"/>
      <c r="I173" s="2769"/>
      <c r="J173" s="2769"/>
      <c r="K173" s="2769"/>
      <c r="L173" s="2769"/>
      <c r="M173" s="2769"/>
      <c r="N173" s="2769"/>
      <c r="O173" s="2774"/>
      <c r="P173" s="47"/>
      <c r="Q173" s="47"/>
    </row>
    <row r="174" spans="1:17" hidden="1">
      <c r="B174" s="110"/>
      <c r="C174" s="109" t="s">
        <v>433</v>
      </c>
      <c r="D174" s="108" t="s">
        <v>383</v>
      </c>
      <c r="E174" s="108" t="s">
        <v>1712</v>
      </c>
      <c r="F174" s="953"/>
      <c r="G174" s="2770"/>
      <c r="H174" s="2771"/>
      <c r="I174" s="2771"/>
      <c r="J174" s="2771"/>
      <c r="K174" s="2771"/>
      <c r="L174" s="2771"/>
      <c r="M174" s="2771"/>
      <c r="N174" s="2771"/>
      <c r="O174" s="2770"/>
      <c r="P174" s="47"/>
      <c r="Q174" s="47"/>
    </row>
    <row r="175" spans="1:17" hidden="1">
      <c r="B175" s="110"/>
      <c r="C175" s="2692" t="s">
        <v>433</v>
      </c>
      <c r="D175" s="1507" t="s">
        <v>383</v>
      </c>
      <c r="E175" s="199" t="s">
        <v>15</v>
      </c>
      <c r="F175" s="958"/>
      <c r="G175" s="2772"/>
      <c r="H175" s="2773"/>
      <c r="I175" s="2773"/>
      <c r="J175" s="2773"/>
      <c r="K175" s="2773"/>
      <c r="L175" s="2773"/>
      <c r="M175" s="2773"/>
      <c r="N175" s="2773"/>
      <c r="O175" s="2772"/>
      <c r="P175" s="47"/>
      <c r="Q175" s="47"/>
    </row>
    <row r="176" spans="1:17" hidden="1">
      <c r="B176" s="110"/>
      <c r="C176" s="109" t="s">
        <v>430</v>
      </c>
      <c r="D176" s="108" t="s">
        <v>380</v>
      </c>
      <c r="E176" s="977" t="s">
        <v>16</v>
      </c>
      <c r="F176" s="966"/>
      <c r="G176" s="2768"/>
      <c r="H176" s="2769"/>
      <c r="I176" s="2769"/>
      <c r="J176" s="2769"/>
      <c r="K176" s="2769"/>
      <c r="L176" s="2769"/>
      <c r="M176" s="2769"/>
      <c r="N176" s="2769"/>
      <c r="O176" s="2768"/>
      <c r="P176" s="47"/>
      <c r="Q176" s="47"/>
    </row>
    <row r="177" spans="1:18" hidden="1">
      <c r="B177" s="110"/>
      <c r="C177" s="109" t="s">
        <v>430</v>
      </c>
      <c r="D177" s="108" t="s">
        <v>380</v>
      </c>
      <c r="E177" s="108" t="s">
        <v>1712</v>
      </c>
      <c r="F177" s="953"/>
      <c r="G177" s="2770"/>
      <c r="H177" s="2771"/>
      <c r="I177" s="2771"/>
      <c r="J177" s="2771"/>
      <c r="K177" s="2771"/>
      <c r="L177" s="2771"/>
      <c r="M177" s="2771"/>
      <c r="N177" s="2771"/>
      <c r="O177" s="2770"/>
      <c r="P177" s="47"/>
      <c r="Q177" s="47"/>
    </row>
    <row r="178" spans="1:18" hidden="1">
      <c r="B178" s="110"/>
      <c r="C178" s="2692" t="s">
        <v>430</v>
      </c>
      <c r="D178" s="1507" t="s">
        <v>380</v>
      </c>
      <c r="E178" s="199" t="s">
        <v>15</v>
      </c>
      <c r="F178" s="958"/>
      <c r="G178" s="2772"/>
      <c r="H178" s="2773"/>
      <c r="I178" s="2773"/>
      <c r="J178" s="2773"/>
      <c r="K178" s="2773"/>
      <c r="L178" s="2773"/>
      <c r="M178" s="2773"/>
      <c r="N178" s="2773"/>
      <c r="O178" s="2772"/>
      <c r="P178" s="47"/>
      <c r="Q178" s="47"/>
    </row>
    <row r="179" spans="1:18" hidden="1">
      <c r="B179" s="904"/>
      <c r="C179" s="109" t="s">
        <v>431</v>
      </c>
      <c r="D179" s="108" t="s">
        <v>381</v>
      </c>
      <c r="E179" s="977" t="s">
        <v>16</v>
      </c>
      <c r="F179" s="966"/>
      <c r="G179" s="2774"/>
      <c r="H179" s="2769"/>
      <c r="I179" s="2769"/>
      <c r="J179" s="2769"/>
      <c r="K179" s="2769"/>
      <c r="L179" s="2769"/>
      <c r="M179" s="2769"/>
      <c r="N179" s="2769"/>
      <c r="O179" s="2774"/>
      <c r="P179" s="47"/>
      <c r="Q179" s="47"/>
    </row>
    <row r="180" spans="1:18" hidden="1">
      <c r="B180" s="904"/>
      <c r="C180" s="109" t="s">
        <v>431</v>
      </c>
      <c r="D180" s="108" t="s">
        <v>381</v>
      </c>
      <c r="E180" s="108" t="s">
        <v>1712</v>
      </c>
      <c r="F180" s="953"/>
      <c r="G180" s="2770"/>
      <c r="H180" s="2771"/>
      <c r="I180" s="2771"/>
      <c r="J180" s="2771"/>
      <c r="K180" s="2771"/>
      <c r="L180" s="2771"/>
      <c r="M180" s="2771"/>
      <c r="N180" s="2771"/>
      <c r="O180" s="2770"/>
      <c r="P180" s="47"/>
      <c r="Q180" s="47"/>
    </row>
    <row r="181" spans="1:18" ht="15.75" hidden="1">
      <c r="A181" s="414"/>
      <c r="B181" s="886"/>
      <c r="C181" s="2692" t="s">
        <v>431</v>
      </c>
      <c r="D181" s="1507" t="s">
        <v>381</v>
      </c>
      <c r="E181" s="199" t="s">
        <v>15</v>
      </c>
      <c r="F181" s="958"/>
      <c r="G181" s="2772"/>
      <c r="H181" s="2773"/>
      <c r="I181" s="2773"/>
      <c r="J181" s="2773"/>
      <c r="K181" s="2773"/>
      <c r="L181" s="2773"/>
      <c r="M181" s="2773"/>
      <c r="N181" s="2773"/>
      <c r="O181" s="2772"/>
      <c r="P181" s="47"/>
      <c r="Q181" s="47"/>
      <c r="R181" s="1077"/>
    </row>
    <row r="182" spans="1:18" ht="15.75" hidden="1">
      <c r="A182" s="414"/>
      <c r="B182" s="886"/>
      <c r="C182" s="109" t="s">
        <v>434</v>
      </c>
      <c r="D182" s="108" t="s">
        <v>384</v>
      </c>
      <c r="E182" s="977" t="s">
        <v>16</v>
      </c>
      <c r="F182" s="966"/>
      <c r="G182" s="2768"/>
      <c r="H182" s="2769"/>
      <c r="I182" s="2769"/>
      <c r="J182" s="2769"/>
      <c r="K182" s="2769"/>
      <c r="L182" s="2769"/>
      <c r="M182" s="2769"/>
      <c r="N182" s="2769"/>
      <c r="O182" s="2768"/>
      <c r="P182" s="47"/>
      <c r="Q182" s="47"/>
      <c r="R182" s="1077"/>
    </row>
    <row r="183" spans="1:18" ht="15.75" hidden="1">
      <c r="B183" s="886"/>
      <c r="C183" s="109" t="s">
        <v>434</v>
      </c>
      <c r="D183" s="108" t="s">
        <v>384</v>
      </c>
      <c r="E183" s="108" t="s">
        <v>1712</v>
      </c>
      <c r="F183" s="953"/>
      <c r="G183" s="2770"/>
      <c r="H183" s="2771"/>
      <c r="I183" s="2771"/>
      <c r="J183" s="2771"/>
      <c r="K183" s="2771"/>
      <c r="L183" s="2771"/>
      <c r="M183" s="2771"/>
      <c r="N183" s="2771"/>
      <c r="O183" s="2770"/>
      <c r="P183" s="47"/>
      <c r="Q183" s="47"/>
      <c r="R183" s="1077"/>
    </row>
    <row r="184" spans="1:18" ht="15.75" hidden="1">
      <c r="B184" s="886"/>
      <c r="C184" s="2613" t="s">
        <v>434</v>
      </c>
      <c r="D184" s="199" t="s">
        <v>384</v>
      </c>
      <c r="E184" s="199" t="s">
        <v>15</v>
      </c>
      <c r="F184" s="958"/>
      <c r="G184" s="2772"/>
      <c r="H184" s="2773"/>
      <c r="I184" s="2773"/>
      <c r="J184" s="2773"/>
      <c r="K184" s="2773"/>
      <c r="L184" s="2773"/>
      <c r="M184" s="2773"/>
      <c r="N184" s="2773"/>
      <c r="O184" s="2772"/>
      <c r="P184" s="47"/>
      <c r="Q184" s="47"/>
      <c r="R184" s="1077"/>
    </row>
    <row r="185" spans="1:18" ht="15.75" hidden="1">
      <c r="A185" s="414"/>
      <c r="B185" s="886"/>
      <c r="C185" s="67"/>
      <c r="D185" s="67"/>
      <c r="E185" s="67"/>
      <c r="F185" s="67"/>
      <c r="G185" s="67"/>
      <c r="H185" s="67"/>
      <c r="I185" s="67"/>
      <c r="J185" s="67"/>
      <c r="K185" s="67"/>
      <c r="L185" s="67"/>
      <c r="M185" s="67"/>
      <c r="N185" s="67"/>
      <c r="O185" s="67"/>
      <c r="P185" s="67"/>
      <c r="Q185" s="67"/>
      <c r="R185" s="1077"/>
    </row>
    <row r="186" spans="1:18" ht="15.75" hidden="1">
      <c r="A186" s="414"/>
      <c r="B186" s="886"/>
      <c r="C186" s="49" t="s">
        <v>2130</v>
      </c>
      <c r="D186" s="200"/>
      <c r="E186" s="67"/>
      <c r="F186" s="2686"/>
      <c r="G186" s="2686"/>
      <c r="H186" s="2686"/>
      <c r="I186" s="2686"/>
      <c r="J186" s="49"/>
      <c r="K186" s="67"/>
      <c r="L186" s="67"/>
      <c r="M186" s="67"/>
      <c r="N186" s="67"/>
      <c r="O186" s="49" t="s">
        <v>2816</v>
      </c>
      <c r="P186" s="67"/>
      <c r="Q186" s="67"/>
      <c r="R186" s="1077"/>
    </row>
    <row r="187" spans="1:18" ht="4.5" hidden="1" customHeight="1">
      <c r="B187" s="886"/>
      <c r="C187" s="67"/>
      <c r="D187" s="200"/>
      <c r="E187" s="67"/>
      <c r="F187" s="67"/>
      <c r="G187" s="67"/>
      <c r="H187" s="67"/>
      <c r="I187" s="67"/>
      <c r="J187" s="67"/>
      <c r="K187" s="67"/>
      <c r="L187" s="67"/>
      <c r="M187" s="67"/>
      <c r="N187" s="67"/>
      <c r="O187" s="885"/>
      <c r="P187" s="47"/>
      <c r="Q187" s="47"/>
      <c r="R187" s="1077"/>
    </row>
    <row r="188" spans="1:18" ht="15.75" hidden="1">
      <c r="B188" s="886"/>
      <c r="C188" s="887" t="s">
        <v>2108</v>
      </c>
      <c r="D188" s="887" t="s">
        <v>2109</v>
      </c>
      <c r="E188" s="887" t="s">
        <v>2110</v>
      </c>
      <c r="F188" s="949" t="s">
        <v>160</v>
      </c>
      <c r="G188" s="951">
        <v>2010</v>
      </c>
      <c r="H188" s="951">
        <v>2015</v>
      </c>
      <c r="I188" s="951">
        <v>2020</v>
      </c>
      <c r="J188" s="951">
        <v>2025</v>
      </c>
      <c r="K188" s="951">
        <v>2030</v>
      </c>
      <c r="L188" s="951">
        <v>2035</v>
      </c>
      <c r="M188" s="951">
        <v>2040</v>
      </c>
      <c r="N188" s="951">
        <v>2045</v>
      </c>
      <c r="O188" s="951">
        <v>2050</v>
      </c>
      <c r="P188" s="47"/>
      <c r="Q188" s="47"/>
      <c r="R188" s="1077"/>
    </row>
    <row r="189" spans="1:18" ht="15.75" hidden="1">
      <c r="A189" s="414"/>
      <c r="B189" s="886"/>
      <c r="C189" s="2691" t="s">
        <v>432</v>
      </c>
      <c r="D189" s="890" t="s">
        <v>382</v>
      </c>
      <c r="E189" s="890" t="s">
        <v>16</v>
      </c>
      <c r="F189" s="966"/>
      <c r="G189" s="2780"/>
      <c r="H189" s="2780"/>
      <c r="I189" s="2780"/>
      <c r="J189" s="2780"/>
      <c r="K189" s="2780"/>
      <c r="L189" s="2780"/>
      <c r="M189" s="2780"/>
      <c r="N189" s="2780"/>
      <c r="O189" s="2780"/>
      <c r="P189" s="47"/>
      <c r="Q189" s="47"/>
      <c r="R189" s="1228"/>
    </row>
    <row r="190" spans="1:18" ht="15.75" hidden="1">
      <c r="A190" s="414"/>
      <c r="B190" s="886"/>
      <c r="C190" s="109" t="s">
        <v>432</v>
      </c>
      <c r="D190" s="108" t="s">
        <v>382</v>
      </c>
      <c r="E190" s="108" t="s">
        <v>1712</v>
      </c>
      <c r="F190" s="953"/>
      <c r="G190" s="2781"/>
      <c r="H190" s="2781"/>
      <c r="I190" s="2781"/>
      <c r="J190" s="2781"/>
      <c r="K190" s="2781"/>
      <c r="L190" s="2781"/>
      <c r="M190" s="2781"/>
      <c r="N190" s="2781"/>
      <c r="O190" s="2781"/>
      <c r="P190" s="47"/>
      <c r="Q190" s="47"/>
      <c r="R190" s="2776"/>
    </row>
    <row r="191" spans="1:18" ht="15.75" hidden="1">
      <c r="B191" s="886"/>
      <c r="C191" s="2692" t="s">
        <v>432</v>
      </c>
      <c r="D191" s="1507" t="s">
        <v>382</v>
      </c>
      <c r="E191" s="1507" t="s">
        <v>15</v>
      </c>
      <c r="F191" s="958"/>
      <c r="G191" s="2782"/>
      <c r="H191" s="2773"/>
      <c r="I191" s="2773"/>
      <c r="J191" s="2773"/>
      <c r="K191" s="2773"/>
      <c r="L191" s="2773"/>
      <c r="M191" s="2773"/>
      <c r="N191" s="2773"/>
      <c r="O191" s="2782"/>
      <c r="P191" s="47"/>
      <c r="Q191" s="47"/>
      <c r="R191" s="2776"/>
    </row>
    <row r="192" spans="1:18" ht="15.75" hidden="1">
      <c r="B192" s="886"/>
      <c r="C192" s="2691" t="s">
        <v>433</v>
      </c>
      <c r="D192" s="890" t="s">
        <v>383</v>
      </c>
      <c r="E192" s="890" t="s">
        <v>16</v>
      </c>
      <c r="F192" s="966"/>
      <c r="G192" s="2774"/>
      <c r="H192" s="2769"/>
      <c r="I192" s="2769"/>
      <c r="J192" s="2769"/>
      <c r="K192" s="2769"/>
      <c r="L192" s="2769"/>
      <c r="M192" s="2769"/>
      <c r="N192" s="2769"/>
      <c r="O192" s="2774"/>
      <c r="P192" s="47"/>
      <c r="Q192" s="47"/>
      <c r="R192" s="1077"/>
    </row>
    <row r="193" spans="2:18" ht="15.75" hidden="1">
      <c r="B193" s="886"/>
      <c r="C193" s="109" t="s">
        <v>433</v>
      </c>
      <c r="D193" s="108" t="s">
        <v>383</v>
      </c>
      <c r="E193" s="108" t="s">
        <v>1712</v>
      </c>
      <c r="F193" s="953"/>
      <c r="G193" s="2770"/>
      <c r="H193" s="2771"/>
      <c r="I193" s="2771"/>
      <c r="J193" s="2771"/>
      <c r="K193" s="2771"/>
      <c r="L193" s="2771"/>
      <c r="M193" s="2771"/>
      <c r="N193" s="2771"/>
      <c r="O193" s="2770"/>
      <c r="P193" s="47"/>
      <c r="Q193" s="47"/>
      <c r="R193" s="2776"/>
    </row>
    <row r="194" spans="2:18" ht="15.75" hidden="1">
      <c r="B194" s="886"/>
      <c r="C194" s="2692" t="s">
        <v>433</v>
      </c>
      <c r="D194" s="1507" t="s">
        <v>383</v>
      </c>
      <c r="E194" s="1507" t="s">
        <v>15</v>
      </c>
      <c r="F194" s="958"/>
      <c r="G194" s="2772"/>
      <c r="H194" s="2773"/>
      <c r="I194" s="2773"/>
      <c r="J194" s="2773"/>
      <c r="K194" s="2773"/>
      <c r="L194" s="2773"/>
      <c r="M194" s="2773"/>
      <c r="N194" s="2773"/>
      <c r="O194" s="2772"/>
      <c r="P194" s="47"/>
      <c r="Q194" s="47"/>
      <c r="R194" s="1077"/>
    </row>
    <row r="195" spans="2:18" ht="15.75" hidden="1">
      <c r="B195" s="886"/>
      <c r="C195" s="109" t="s">
        <v>430</v>
      </c>
      <c r="D195" s="108" t="s">
        <v>380</v>
      </c>
      <c r="E195" s="108" t="s">
        <v>16</v>
      </c>
      <c r="F195" s="966"/>
      <c r="G195" s="2768"/>
      <c r="H195" s="2769"/>
      <c r="I195" s="2769"/>
      <c r="J195" s="2769"/>
      <c r="K195" s="2769"/>
      <c r="L195" s="2769"/>
      <c r="M195" s="2769"/>
      <c r="N195" s="2769"/>
      <c r="O195" s="2768"/>
      <c r="P195" s="47"/>
      <c r="Q195" s="47"/>
      <c r="R195" s="1077"/>
    </row>
    <row r="196" spans="2:18" ht="15.75" hidden="1">
      <c r="B196" s="886"/>
      <c r="C196" s="109" t="s">
        <v>430</v>
      </c>
      <c r="D196" s="108" t="s">
        <v>380</v>
      </c>
      <c r="E196" s="108" t="s">
        <v>1712</v>
      </c>
      <c r="F196" s="953"/>
      <c r="G196" s="2770"/>
      <c r="H196" s="2771"/>
      <c r="I196" s="2771"/>
      <c r="J196" s="2771"/>
      <c r="K196" s="2771"/>
      <c r="L196" s="2771"/>
      <c r="M196" s="2771"/>
      <c r="N196" s="2771"/>
      <c r="O196" s="2770"/>
      <c r="P196" s="47"/>
      <c r="Q196" s="47"/>
      <c r="R196" s="2776"/>
    </row>
    <row r="197" spans="2:18" hidden="1">
      <c r="B197" s="110"/>
      <c r="C197" s="2692" t="s">
        <v>430</v>
      </c>
      <c r="D197" s="1507" t="s">
        <v>380</v>
      </c>
      <c r="E197" s="1507" t="s">
        <v>15</v>
      </c>
      <c r="F197" s="958"/>
      <c r="G197" s="2772"/>
      <c r="H197" s="2773"/>
      <c r="I197" s="2773"/>
      <c r="J197" s="2773"/>
      <c r="K197" s="2773"/>
      <c r="L197" s="2773"/>
      <c r="M197" s="2773"/>
      <c r="N197" s="2773"/>
      <c r="O197" s="2772"/>
      <c r="P197" s="47"/>
      <c r="Q197" s="47"/>
      <c r="R197" s="2776"/>
    </row>
    <row r="198" spans="2:18" hidden="1">
      <c r="B198" s="110"/>
      <c r="C198" s="109" t="s">
        <v>431</v>
      </c>
      <c r="D198" s="108" t="s">
        <v>381</v>
      </c>
      <c r="E198" s="108" t="s">
        <v>16</v>
      </c>
      <c r="F198" s="966"/>
      <c r="G198" s="2774"/>
      <c r="H198" s="2769"/>
      <c r="I198" s="2769"/>
      <c r="J198" s="2769"/>
      <c r="K198" s="2769"/>
      <c r="L198" s="2769"/>
      <c r="M198" s="2769"/>
      <c r="N198" s="2769"/>
      <c r="O198" s="2774"/>
      <c r="P198" s="47"/>
      <c r="Q198" s="47"/>
      <c r="R198" s="1077"/>
    </row>
    <row r="199" spans="2:18" hidden="1">
      <c r="B199" s="110"/>
      <c r="C199" s="109" t="s">
        <v>431</v>
      </c>
      <c r="D199" s="108" t="s">
        <v>381</v>
      </c>
      <c r="E199" s="108" t="s">
        <v>1712</v>
      </c>
      <c r="F199" s="953"/>
      <c r="G199" s="2770"/>
      <c r="H199" s="2771"/>
      <c r="I199" s="2771"/>
      <c r="J199" s="2771"/>
      <c r="K199" s="2771"/>
      <c r="L199" s="2771"/>
      <c r="M199" s="2771"/>
      <c r="N199" s="2771"/>
      <c r="O199" s="2770"/>
      <c r="P199" s="47"/>
      <c r="Q199" s="47"/>
      <c r="R199" s="1077"/>
    </row>
    <row r="200" spans="2:18" hidden="1">
      <c r="B200" s="110"/>
      <c r="C200" s="2692" t="s">
        <v>431</v>
      </c>
      <c r="D200" s="1507" t="s">
        <v>381</v>
      </c>
      <c r="E200" s="1507" t="s">
        <v>15</v>
      </c>
      <c r="F200" s="958"/>
      <c r="G200" s="2772"/>
      <c r="H200" s="2773"/>
      <c r="I200" s="2773"/>
      <c r="J200" s="2773"/>
      <c r="K200" s="2773"/>
      <c r="L200" s="2773"/>
      <c r="M200" s="2773"/>
      <c r="N200" s="2773"/>
      <c r="O200" s="2772"/>
      <c r="P200" s="47"/>
      <c r="Q200" s="47"/>
      <c r="R200" s="1077"/>
    </row>
    <row r="201" spans="2:18" hidden="1">
      <c r="B201" s="110"/>
      <c r="C201" s="109" t="s">
        <v>434</v>
      </c>
      <c r="D201" s="108" t="s">
        <v>384</v>
      </c>
      <c r="E201" s="108" t="s">
        <v>16</v>
      </c>
      <c r="F201" s="966"/>
      <c r="G201" s="2768"/>
      <c r="H201" s="2769"/>
      <c r="I201" s="2769"/>
      <c r="J201" s="2769"/>
      <c r="K201" s="2769"/>
      <c r="L201" s="2769"/>
      <c r="M201" s="2769"/>
      <c r="N201" s="2769"/>
      <c r="O201" s="2768"/>
      <c r="P201" s="47"/>
      <c r="Q201" s="47"/>
      <c r="R201" s="1077"/>
    </row>
    <row r="202" spans="2:18" hidden="1">
      <c r="B202" s="110"/>
      <c r="C202" s="109" t="s">
        <v>434</v>
      </c>
      <c r="D202" s="108" t="s">
        <v>384</v>
      </c>
      <c r="E202" s="108" t="s">
        <v>1712</v>
      </c>
      <c r="F202" s="953"/>
      <c r="G202" s="2770"/>
      <c r="H202" s="2771"/>
      <c r="I202" s="2771"/>
      <c r="J202" s="2771"/>
      <c r="K202" s="2771"/>
      <c r="L202" s="2771"/>
      <c r="M202" s="2771"/>
      <c r="N202" s="2771"/>
      <c r="O202" s="2770"/>
      <c r="P202" s="47"/>
      <c r="Q202" s="47"/>
      <c r="R202" s="1077"/>
    </row>
    <row r="203" spans="2:18" hidden="1">
      <c r="B203" s="904"/>
      <c r="C203" s="2613" t="s">
        <v>434</v>
      </c>
      <c r="D203" s="199" t="s">
        <v>384</v>
      </c>
      <c r="E203" s="199" t="s">
        <v>15</v>
      </c>
      <c r="F203" s="958"/>
      <c r="G203" s="2772"/>
      <c r="H203" s="2772"/>
      <c r="I203" s="2772"/>
      <c r="J203" s="2772"/>
      <c r="K203" s="2772"/>
      <c r="L203" s="2772"/>
      <c r="M203" s="2772"/>
      <c r="N203" s="2772"/>
      <c r="O203" s="2772"/>
      <c r="P203" s="47"/>
      <c r="Q203" s="47"/>
      <c r="R203" s="1077"/>
    </row>
    <row r="204" spans="2:18" ht="11.25" hidden="1" customHeight="1">
      <c r="B204" s="904"/>
      <c r="C204" s="67"/>
      <c r="D204" s="67"/>
      <c r="E204" s="67"/>
      <c r="F204" s="67"/>
      <c r="G204" s="67"/>
      <c r="H204" s="67"/>
      <c r="I204" s="67"/>
      <c r="J204" s="67"/>
      <c r="K204" s="67"/>
      <c r="L204" s="67"/>
      <c r="M204" s="67"/>
      <c r="N204" s="67"/>
      <c r="O204" s="67"/>
      <c r="P204" s="67"/>
      <c r="Q204" s="67"/>
      <c r="R204" s="1077"/>
    </row>
    <row r="205" spans="2:18" ht="15.75" hidden="1">
      <c r="B205" s="886"/>
      <c r="C205" s="49" t="s">
        <v>2131</v>
      </c>
      <c r="D205" s="200"/>
      <c r="E205" s="67"/>
      <c r="F205" s="2686"/>
      <c r="G205" s="2686"/>
      <c r="H205" s="2686"/>
      <c r="I205" s="2686"/>
      <c r="J205" s="49"/>
      <c r="K205" s="67"/>
      <c r="L205" s="67"/>
      <c r="M205" s="67"/>
      <c r="N205" s="67"/>
      <c r="O205" s="49" t="s">
        <v>2816</v>
      </c>
      <c r="P205" s="67"/>
      <c r="Q205" s="67"/>
      <c r="R205" s="1077"/>
    </row>
    <row r="206" spans="2:18" ht="3" hidden="1" customHeight="1">
      <c r="B206" s="886"/>
      <c r="C206" s="67"/>
      <c r="D206" s="200"/>
      <c r="E206" s="67"/>
      <c r="F206" s="67"/>
      <c r="G206" s="67"/>
      <c r="H206" s="67"/>
      <c r="I206" s="67"/>
      <c r="J206" s="67"/>
      <c r="K206" s="67"/>
      <c r="L206" s="67"/>
      <c r="M206" s="67"/>
      <c r="N206" s="67"/>
      <c r="O206" s="67"/>
      <c r="P206" s="67"/>
      <c r="Q206" s="67"/>
      <c r="R206" s="1077"/>
    </row>
    <row r="207" spans="2:18" ht="15.75" hidden="1">
      <c r="B207" s="886"/>
      <c r="C207" s="887" t="s">
        <v>2108</v>
      </c>
      <c r="D207" s="887" t="s">
        <v>2109</v>
      </c>
      <c r="E207" s="1271" t="s">
        <v>2110</v>
      </c>
      <c r="F207" s="980" t="s">
        <v>160</v>
      </c>
      <c r="G207" s="974">
        <v>2010</v>
      </c>
      <c r="H207" s="974">
        <v>2015</v>
      </c>
      <c r="I207" s="974">
        <v>2020</v>
      </c>
      <c r="J207" s="974">
        <v>2025</v>
      </c>
      <c r="K207" s="974">
        <v>2030</v>
      </c>
      <c r="L207" s="974">
        <v>2035</v>
      </c>
      <c r="M207" s="974">
        <v>2040</v>
      </c>
      <c r="N207" s="974">
        <v>2045</v>
      </c>
      <c r="O207" s="974">
        <v>2050</v>
      </c>
      <c r="P207" s="47"/>
      <c r="Q207" s="47"/>
      <c r="R207" s="1077"/>
    </row>
    <row r="208" spans="2:18" ht="15.75" hidden="1">
      <c r="B208" s="886"/>
      <c r="C208" s="2691" t="s">
        <v>432</v>
      </c>
      <c r="D208" s="890" t="s">
        <v>382</v>
      </c>
      <c r="E208" s="977" t="s">
        <v>16</v>
      </c>
      <c r="F208" s="966"/>
      <c r="G208" s="2768"/>
      <c r="H208" s="2769"/>
      <c r="I208" s="2769"/>
      <c r="J208" s="2769"/>
      <c r="K208" s="2769"/>
      <c r="L208" s="2769"/>
      <c r="M208" s="2769"/>
      <c r="N208" s="2769"/>
      <c r="O208" s="2768"/>
      <c r="P208" s="47"/>
      <c r="Q208" s="47"/>
      <c r="R208" s="1077"/>
    </row>
    <row r="209" spans="1:18" ht="15.75" hidden="1">
      <c r="B209" s="886"/>
      <c r="C209" s="109" t="s">
        <v>432</v>
      </c>
      <c r="D209" s="108" t="s">
        <v>382</v>
      </c>
      <c r="E209" s="108" t="s">
        <v>1712</v>
      </c>
      <c r="F209" s="953"/>
      <c r="G209" s="2770"/>
      <c r="H209" s="2771"/>
      <c r="I209" s="2771"/>
      <c r="J209" s="2771"/>
      <c r="K209" s="2771"/>
      <c r="L209" s="2771"/>
      <c r="M209" s="2771"/>
      <c r="N209" s="2771"/>
      <c r="O209" s="2770"/>
      <c r="P209" s="47"/>
      <c r="Q209" s="47"/>
      <c r="R209" s="1077"/>
    </row>
    <row r="210" spans="1:18" ht="15.75" hidden="1">
      <c r="B210" s="886"/>
      <c r="C210" s="2692" t="s">
        <v>432</v>
      </c>
      <c r="D210" s="1507" t="s">
        <v>382</v>
      </c>
      <c r="E210" s="108" t="s">
        <v>15</v>
      </c>
      <c r="F210" s="953"/>
      <c r="G210" s="2770"/>
      <c r="H210" s="2773"/>
      <c r="I210" s="2773"/>
      <c r="J210" s="2773"/>
      <c r="K210" s="2773"/>
      <c r="L210" s="2773"/>
      <c r="M210" s="2773"/>
      <c r="N210" s="2773"/>
      <c r="O210" s="2772"/>
      <c r="P210" s="47"/>
      <c r="Q210" s="47"/>
      <c r="R210" s="1077"/>
    </row>
    <row r="211" spans="1:18" ht="15.75" hidden="1">
      <c r="B211" s="886"/>
      <c r="C211" s="2691" t="s">
        <v>433</v>
      </c>
      <c r="D211" s="890" t="s">
        <v>383</v>
      </c>
      <c r="E211" s="977" t="s">
        <v>16</v>
      </c>
      <c r="F211" s="966"/>
      <c r="G211" s="2774"/>
      <c r="H211" s="2769"/>
      <c r="I211" s="2769"/>
      <c r="J211" s="2769"/>
      <c r="K211" s="2769"/>
      <c r="L211" s="2769"/>
      <c r="M211" s="2769"/>
      <c r="N211" s="2769"/>
      <c r="O211" s="2774"/>
      <c r="P211" s="47"/>
      <c r="Q211" s="47"/>
      <c r="R211" s="1077"/>
    </row>
    <row r="212" spans="1:18" ht="15.75" hidden="1">
      <c r="B212" s="886"/>
      <c r="C212" s="109" t="s">
        <v>433</v>
      </c>
      <c r="D212" s="108" t="s">
        <v>383</v>
      </c>
      <c r="E212" s="108" t="s">
        <v>1712</v>
      </c>
      <c r="F212" s="953"/>
      <c r="G212" s="2770"/>
      <c r="H212" s="2771"/>
      <c r="I212" s="2771"/>
      <c r="J212" s="2771"/>
      <c r="K212" s="2771"/>
      <c r="L212" s="2771"/>
      <c r="M212" s="2771"/>
      <c r="N212" s="2771"/>
      <c r="O212" s="2770"/>
      <c r="P212" s="47"/>
      <c r="Q212" s="47"/>
    </row>
    <row r="213" spans="1:18" ht="15.75" hidden="1">
      <c r="B213" s="886"/>
      <c r="C213" s="2692" t="s">
        <v>433</v>
      </c>
      <c r="D213" s="1507" t="s">
        <v>383</v>
      </c>
      <c r="E213" s="108" t="s">
        <v>15</v>
      </c>
      <c r="F213" s="953"/>
      <c r="G213" s="2770"/>
      <c r="H213" s="2773"/>
      <c r="I213" s="2773"/>
      <c r="J213" s="2773"/>
      <c r="K213" s="2773"/>
      <c r="L213" s="2773"/>
      <c r="M213" s="2773"/>
      <c r="N213" s="2773"/>
      <c r="O213" s="2772"/>
      <c r="P213" s="47"/>
      <c r="Q213" s="47"/>
    </row>
    <row r="214" spans="1:18" ht="15.75" hidden="1">
      <c r="B214" s="886"/>
      <c r="C214" s="109" t="s">
        <v>430</v>
      </c>
      <c r="D214" s="108" t="s">
        <v>380</v>
      </c>
      <c r="E214" s="977" t="s">
        <v>16</v>
      </c>
      <c r="F214" s="966"/>
      <c r="G214" s="2768"/>
      <c r="H214" s="2769"/>
      <c r="I214" s="2769"/>
      <c r="J214" s="2769"/>
      <c r="K214" s="2769"/>
      <c r="L214" s="2769"/>
      <c r="M214" s="2769"/>
      <c r="N214" s="2769"/>
      <c r="O214" s="2768"/>
      <c r="P214" s="47"/>
      <c r="Q214" s="47"/>
    </row>
    <row r="215" spans="1:18" ht="15.75" hidden="1">
      <c r="B215" s="886"/>
      <c r="C215" s="109" t="s">
        <v>430</v>
      </c>
      <c r="D215" s="108" t="s">
        <v>380</v>
      </c>
      <c r="E215" s="108" t="s">
        <v>1712</v>
      </c>
      <c r="F215" s="953"/>
      <c r="G215" s="2770"/>
      <c r="H215" s="2771"/>
      <c r="I215" s="2771"/>
      <c r="J215" s="2771"/>
      <c r="K215" s="2771"/>
      <c r="L215" s="2771"/>
      <c r="M215" s="2771"/>
      <c r="N215" s="2771"/>
      <c r="O215" s="2770"/>
      <c r="P215" s="47"/>
      <c r="Q215" s="47"/>
    </row>
    <row r="216" spans="1:18" ht="15.75" hidden="1">
      <c r="B216" s="886"/>
      <c r="C216" s="2692" t="s">
        <v>430</v>
      </c>
      <c r="D216" s="1507" t="s">
        <v>380</v>
      </c>
      <c r="E216" s="108" t="s">
        <v>15</v>
      </c>
      <c r="F216" s="953"/>
      <c r="G216" s="2770"/>
      <c r="H216" s="2773"/>
      <c r="I216" s="2773"/>
      <c r="J216" s="2773"/>
      <c r="K216" s="2773"/>
      <c r="L216" s="2773"/>
      <c r="M216" s="2773"/>
      <c r="N216" s="2773"/>
      <c r="O216" s="2772"/>
      <c r="P216" s="47"/>
      <c r="Q216" s="47"/>
    </row>
    <row r="217" spans="1:18" ht="15.75" hidden="1">
      <c r="B217" s="886"/>
      <c r="C217" s="109" t="s">
        <v>431</v>
      </c>
      <c r="D217" s="108" t="s">
        <v>381</v>
      </c>
      <c r="E217" s="977" t="s">
        <v>16</v>
      </c>
      <c r="F217" s="966"/>
      <c r="G217" s="2774"/>
      <c r="H217" s="2769"/>
      <c r="I217" s="2769"/>
      <c r="J217" s="2769"/>
      <c r="K217" s="2769"/>
      <c r="L217" s="2769"/>
      <c r="M217" s="2769"/>
      <c r="N217" s="2769"/>
      <c r="O217" s="2774"/>
      <c r="P217" s="47"/>
      <c r="Q217" s="47"/>
    </row>
    <row r="218" spans="1:18" ht="15.75" hidden="1">
      <c r="B218" s="886"/>
      <c r="C218" s="109" t="s">
        <v>431</v>
      </c>
      <c r="D218" s="108" t="s">
        <v>381</v>
      </c>
      <c r="E218" s="108" t="s">
        <v>1712</v>
      </c>
      <c r="F218" s="953"/>
      <c r="G218" s="2770"/>
      <c r="H218" s="2771"/>
      <c r="I218" s="2771"/>
      <c r="J218" s="2771"/>
      <c r="K218" s="2771"/>
      <c r="L218" s="2771"/>
      <c r="M218" s="2771"/>
      <c r="N218" s="2771"/>
      <c r="O218" s="2770"/>
      <c r="P218" s="47"/>
      <c r="Q218" s="47"/>
    </row>
    <row r="219" spans="1:18" ht="15.75" hidden="1">
      <c r="B219" s="886"/>
      <c r="C219" s="2692" t="s">
        <v>431</v>
      </c>
      <c r="D219" s="1507" t="s">
        <v>381</v>
      </c>
      <c r="E219" s="108" t="s">
        <v>15</v>
      </c>
      <c r="F219" s="953"/>
      <c r="G219" s="2770"/>
      <c r="H219" s="2773"/>
      <c r="I219" s="2773"/>
      <c r="J219" s="2773"/>
      <c r="K219" s="2773"/>
      <c r="L219" s="2773"/>
      <c r="M219" s="2773"/>
      <c r="N219" s="2773"/>
      <c r="O219" s="2772"/>
      <c r="P219" s="47"/>
      <c r="Q219" s="47"/>
    </row>
    <row r="220" spans="1:18" ht="15.75" hidden="1">
      <c r="B220" s="886"/>
      <c r="C220" s="109" t="s">
        <v>434</v>
      </c>
      <c r="D220" s="108" t="s">
        <v>384</v>
      </c>
      <c r="E220" s="977" t="s">
        <v>16</v>
      </c>
      <c r="F220" s="966"/>
      <c r="G220" s="2768"/>
      <c r="H220" s="2771"/>
      <c r="I220" s="2771"/>
      <c r="J220" s="2771"/>
      <c r="K220" s="2771"/>
      <c r="L220" s="2771"/>
      <c r="M220" s="2771"/>
      <c r="N220" s="2771"/>
      <c r="O220" s="2770"/>
      <c r="P220" s="47"/>
      <c r="Q220" s="47"/>
    </row>
    <row r="221" spans="1:18" hidden="1">
      <c r="B221" s="110"/>
      <c r="C221" s="109" t="s">
        <v>434</v>
      </c>
      <c r="D221" s="108" t="s">
        <v>384</v>
      </c>
      <c r="E221" s="108" t="s">
        <v>1712</v>
      </c>
      <c r="F221" s="953"/>
      <c r="G221" s="2770"/>
      <c r="H221" s="2771"/>
      <c r="I221" s="2771"/>
      <c r="J221" s="2771"/>
      <c r="K221" s="2771"/>
      <c r="L221" s="2771"/>
      <c r="M221" s="2771"/>
      <c r="N221" s="2771"/>
      <c r="O221" s="2770"/>
      <c r="P221" s="47"/>
      <c r="Q221" s="47"/>
    </row>
    <row r="222" spans="1:18" hidden="1">
      <c r="B222" s="110"/>
      <c r="C222" s="2613" t="s">
        <v>434</v>
      </c>
      <c r="D222" s="199" t="s">
        <v>384</v>
      </c>
      <c r="E222" s="199" t="s">
        <v>15</v>
      </c>
      <c r="F222" s="958"/>
      <c r="G222" s="2772"/>
      <c r="H222" s="2773"/>
      <c r="I222" s="2773"/>
      <c r="J222" s="2773"/>
      <c r="K222" s="2773"/>
      <c r="L222" s="2773"/>
      <c r="M222" s="2773"/>
      <c r="N222" s="2773"/>
      <c r="O222" s="2772"/>
      <c r="P222" s="47"/>
      <c r="Q222" s="47"/>
    </row>
    <row r="223" spans="1:18" hidden="1">
      <c r="B223" s="110"/>
      <c r="C223" s="67"/>
      <c r="D223" s="67"/>
      <c r="E223" s="67"/>
      <c r="F223" s="67"/>
      <c r="G223" s="67"/>
      <c r="H223" s="67"/>
      <c r="I223" s="67"/>
      <c r="J223" s="67"/>
      <c r="K223" s="67"/>
      <c r="L223" s="67"/>
      <c r="M223" s="67"/>
      <c r="N223" s="67"/>
      <c r="O223" s="67"/>
      <c r="P223" s="67"/>
      <c r="Q223" s="67"/>
    </row>
    <row r="224" spans="1:18">
      <c r="A224" s="39"/>
      <c r="B224" s="1186"/>
      <c r="C224" s="39"/>
    </row>
    <row r="226" spans="2:16" ht="15.75">
      <c r="B226" s="2783" t="s">
        <v>207</v>
      </c>
    </row>
    <row r="227" spans="2:16">
      <c r="B227" s="363">
        <v>1</v>
      </c>
      <c r="C227" s="2685" t="s">
        <v>2132</v>
      </c>
    </row>
    <row r="228" spans="2:16">
      <c r="B228" s="363">
        <v>2</v>
      </c>
      <c r="C228" s="2685" t="s">
        <v>2133</v>
      </c>
    </row>
    <row r="229" spans="2:16">
      <c r="B229" s="363">
        <v>3</v>
      </c>
      <c r="C229" s="2685" t="s">
        <v>2134</v>
      </c>
    </row>
    <row r="230" spans="2:16">
      <c r="B230" s="363">
        <v>4</v>
      </c>
      <c r="C230" s="2685" t="s">
        <v>2135</v>
      </c>
      <c r="E230" s="2685" t="s">
        <v>5</v>
      </c>
    </row>
    <row r="231" spans="2:16">
      <c r="B231" s="363">
        <v>5</v>
      </c>
      <c r="C231" s="2685" t="s">
        <v>2136</v>
      </c>
    </row>
    <row r="232" spans="2:16">
      <c r="B232" s="363">
        <v>6</v>
      </c>
      <c r="C232" s="2685" t="s">
        <v>2137</v>
      </c>
    </row>
    <row r="233" spans="2:16">
      <c r="F233" s="363">
        <v>2013</v>
      </c>
      <c r="G233" s="363">
        <v>2015</v>
      </c>
      <c r="H233" s="363">
        <v>2020</v>
      </c>
      <c r="I233" s="363">
        <v>2025</v>
      </c>
      <c r="J233" s="363">
        <v>2030</v>
      </c>
      <c r="K233" s="363">
        <v>2035</v>
      </c>
      <c r="L233" s="363">
        <v>2040</v>
      </c>
      <c r="M233" s="363">
        <v>2045</v>
      </c>
      <c r="N233" s="363">
        <v>2050</v>
      </c>
    </row>
    <row r="234" spans="2:16">
      <c r="B234" s="363">
        <v>1</v>
      </c>
      <c r="C234" s="363" t="s">
        <v>2138</v>
      </c>
    </row>
    <row r="235" spans="2:16">
      <c r="C235" s="363" t="s">
        <v>432</v>
      </c>
      <c r="D235" s="381" t="s">
        <v>382</v>
      </c>
      <c r="E235" s="364" t="str">
        <f>Preferences.EnergyUnits</f>
        <v>TWh</v>
      </c>
      <c r="F235" s="366">
        <f ca="1">F$15</f>
        <v>0.4334068201700001</v>
      </c>
      <c r="G235" s="366">
        <f t="shared" ref="G235:N235" ca="1" si="0">G$15</f>
        <v>1.0742385181146412</v>
      </c>
      <c r="H235" s="366">
        <f t="shared" ca="1" si="0"/>
        <v>3.4730781007789262</v>
      </c>
      <c r="I235" s="366">
        <f t="shared" ca="1" si="0"/>
        <v>8.3320251015035147</v>
      </c>
      <c r="J235" s="366">
        <f t="shared" ca="1" si="0"/>
        <v>11.556354871441844</v>
      </c>
      <c r="K235" s="366">
        <f t="shared" ca="1" si="0"/>
        <v>14.881855923773518</v>
      </c>
      <c r="L235" s="366">
        <f t="shared" ca="1" si="0"/>
        <v>21.598415710930002</v>
      </c>
      <c r="M235" s="366">
        <f t="shared" ca="1" si="0"/>
        <v>23.453273053128505</v>
      </c>
      <c r="N235" s="366">
        <f t="shared" ca="1" si="0"/>
        <v>23.706484479667335</v>
      </c>
    </row>
    <row r="236" spans="2:16">
      <c r="B236" s="1381" t="s">
        <v>219</v>
      </c>
      <c r="C236" s="414" t="s">
        <v>2139</v>
      </c>
      <c r="D236" s="414" t="s">
        <v>16</v>
      </c>
      <c r="E236" s="1381"/>
      <c r="F236" s="2784">
        <f>SUMIFS(INDEX($F$34:$I$48, , MATCH($E$7, $F$33:$I$33, 0)), $C$34:$C$48, $C$235, $E$34:$E$48, D236 )</f>
        <v>1</v>
      </c>
      <c r="G236" s="2784"/>
      <c r="H236" s="2784"/>
      <c r="I236" s="2784"/>
      <c r="J236" s="2784"/>
      <c r="K236" s="2784"/>
      <c r="L236" s="2784"/>
      <c r="M236" s="2784"/>
      <c r="N236" s="2784"/>
      <c r="P236" s="414"/>
    </row>
    <row r="237" spans="2:16">
      <c r="B237" s="1381" t="s">
        <v>219</v>
      </c>
      <c r="C237" s="414" t="s">
        <v>2140</v>
      </c>
      <c r="D237" s="414"/>
      <c r="E237" s="1381"/>
      <c r="F237" s="2784">
        <f>INDEX($H$62:$H$64, MATCH($C238, $C$62:$C$64, 0))</f>
        <v>0.9</v>
      </c>
      <c r="G237" s="2784">
        <f>INDEX($H$62:$H$64, MATCH($C238, $C$62:$C$64, 0))</f>
        <v>0.9</v>
      </c>
      <c r="H237" s="2784">
        <f>INDEX($H$62:$H$64, MATCH($C238, $C$62:$C$64, 0))</f>
        <v>0.9</v>
      </c>
      <c r="I237" s="2784">
        <f t="shared" ref="I237:N237" si="1">INDEX($H$75:$H$77, MATCH($C238, $C$75:$C$77, 0))</f>
        <v>0.95</v>
      </c>
      <c r="J237" s="2784">
        <f t="shared" si="1"/>
        <v>0.95</v>
      </c>
      <c r="K237" s="2784">
        <f t="shared" si="1"/>
        <v>0.95</v>
      </c>
      <c r="L237" s="2784">
        <f t="shared" si="1"/>
        <v>0.95</v>
      </c>
      <c r="M237" s="2784">
        <f t="shared" si="1"/>
        <v>0.95</v>
      </c>
      <c r="N237" s="2784">
        <f t="shared" si="1"/>
        <v>0.95</v>
      </c>
      <c r="P237" s="414"/>
    </row>
    <row r="238" spans="2:16">
      <c r="B238" s="1624" t="s">
        <v>221</v>
      </c>
      <c r="C238" s="2" t="s">
        <v>98</v>
      </c>
      <c r="D238" s="2" t="s">
        <v>88</v>
      </c>
      <c r="E238" s="367" t="str">
        <f>Preferences.EnergyUnits</f>
        <v>TWh</v>
      </c>
      <c r="F238" s="1335">
        <f ca="1">F$235*$F236*F$237</f>
        <v>0.39006613815300012</v>
      </c>
      <c r="G238" s="1335">
        <f t="shared" ref="G238:N238" ca="1" si="2">G$235*$F236*G$237</f>
        <v>0.96681466630317714</v>
      </c>
      <c r="H238" s="1335">
        <f t="shared" ca="1" si="2"/>
        <v>3.1257702907010336</v>
      </c>
      <c r="I238" s="1335">
        <f t="shared" ca="1" si="2"/>
        <v>7.9154238464283386</v>
      </c>
      <c r="J238" s="1335">
        <f t="shared" ca="1" si="2"/>
        <v>10.978537127869751</v>
      </c>
      <c r="K238" s="1335">
        <f t="shared" ca="1" si="2"/>
        <v>14.137763127584842</v>
      </c>
      <c r="L238" s="1335">
        <f t="shared" ca="1" si="2"/>
        <v>20.5184949253835</v>
      </c>
      <c r="M238" s="1335">
        <f t="shared" ca="1" si="2"/>
        <v>22.28060940047208</v>
      </c>
      <c r="N238" s="1335">
        <f t="shared" ca="1" si="2"/>
        <v>22.521160255683967</v>
      </c>
    </row>
    <row r="239" spans="2:16">
      <c r="C239" s="988"/>
      <c r="E239" s="382"/>
      <c r="F239" s="366"/>
      <c r="G239" s="366"/>
      <c r="H239" s="366"/>
      <c r="I239" s="366"/>
      <c r="J239" s="366"/>
      <c r="K239" s="366"/>
      <c r="L239" s="366"/>
      <c r="M239" s="366"/>
      <c r="N239" s="366"/>
    </row>
    <row r="240" spans="2:16">
      <c r="B240" s="1381" t="s">
        <v>219</v>
      </c>
      <c r="C240" s="414" t="s">
        <v>2139</v>
      </c>
      <c r="D240" s="414" t="s">
        <v>1712</v>
      </c>
      <c r="E240" s="1381"/>
      <c r="F240" s="2784">
        <f>SUMIFS(INDEX($F$34:$I$48, , MATCH($E$7, $F$33:$I$33, 0)), $C$34:$C$48, $C$235, $E$34:$E$48, D240 )</f>
        <v>0</v>
      </c>
      <c r="G240" s="2784"/>
      <c r="H240" s="2784"/>
      <c r="I240" s="2784"/>
      <c r="J240" s="2784"/>
      <c r="K240" s="2784"/>
      <c r="L240" s="2784"/>
      <c r="M240" s="2784"/>
      <c r="N240" s="2784"/>
      <c r="P240" s="414"/>
    </row>
    <row r="241" spans="2:17">
      <c r="B241" s="1381" t="s">
        <v>219</v>
      </c>
      <c r="C241" s="414" t="s">
        <v>2140</v>
      </c>
      <c r="D241" s="414"/>
      <c r="E241" s="1381"/>
      <c r="F241" s="2784">
        <f>INDEX($H$62:$H$64, MATCH($C242, $C$62:$C$64, 0))</f>
        <v>0.37</v>
      </c>
      <c r="G241" s="2784">
        <f>INDEX($H$62:$H$64, MATCH($C242, $C$62:$C$64, 0))</f>
        <v>0.37</v>
      </c>
      <c r="H241" s="2784">
        <f>INDEX($H$62:$H$64, MATCH($C242, $C$62:$C$64, 0))</f>
        <v>0.37</v>
      </c>
      <c r="I241" s="2784">
        <f t="shared" ref="I241:N241" si="3">INDEX($H$75:$H$77, MATCH($C242, $C$75:$C$77, 0))</f>
        <v>0.45</v>
      </c>
      <c r="J241" s="2784">
        <f t="shared" si="3"/>
        <v>0.45</v>
      </c>
      <c r="K241" s="2784">
        <f t="shared" si="3"/>
        <v>0.45</v>
      </c>
      <c r="L241" s="2784">
        <f t="shared" si="3"/>
        <v>0.45</v>
      </c>
      <c r="M241" s="2784">
        <f t="shared" si="3"/>
        <v>0.45</v>
      </c>
      <c r="N241" s="2784">
        <f t="shared" si="3"/>
        <v>0.45</v>
      </c>
      <c r="P241" s="414"/>
    </row>
    <row r="242" spans="2:17">
      <c r="B242" s="1624" t="s">
        <v>221</v>
      </c>
      <c r="C242" s="2" t="s">
        <v>99</v>
      </c>
      <c r="D242" s="2" t="s">
        <v>89</v>
      </c>
      <c r="E242" s="367" t="str">
        <f>Preferences.EnergyUnits</f>
        <v>TWh</v>
      </c>
      <c r="F242" s="1335">
        <f ca="1">F$235*$F240*F241</f>
        <v>0</v>
      </c>
      <c r="G242" s="1335">
        <f t="shared" ref="G242:N242" ca="1" si="4">G$235*$F240*G241</f>
        <v>0</v>
      </c>
      <c r="H242" s="1335">
        <f t="shared" ca="1" si="4"/>
        <v>0</v>
      </c>
      <c r="I242" s="1335">
        <f t="shared" ca="1" si="4"/>
        <v>0</v>
      </c>
      <c r="J242" s="1335">
        <f t="shared" ca="1" si="4"/>
        <v>0</v>
      </c>
      <c r="K242" s="1335">
        <f t="shared" ca="1" si="4"/>
        <v>0</v>
      </c>
      <c r="L242" s="1335">
        <f t="shared" ca="1" si="4"/>
        <v>0</v>
      </c>
      <c r="M242" s="1335">
        <f t="shared" ca="1" si="4"/>
        <v>0</v>
      </c>
      <c r="N242" s="1335">
        <f t="shared" ca="1" si="4"/>
        <v>0</v>
      </c>
    </row>
    <row r="243" spans="2:17">
      <c r="C243" s="363"/>
      <c r="E243" s="382"/>
      <c r="F243" s="366"/>
      <c r="G243" s="366"/>
      <c r="H243" s="366"/>
      <c r="I243" s="366"/>
      <c r="J243" s="366"/>
      <c r="K243" s="366"/>
      <c r="L243" s="366"/>
      <c r="M243" s="366"/>
      <c r="N243" s="366"/>
    </row>
    <row r="244" spans="2:17">
      <c r="B244" s="1381" t="s">
        <v>219</v>
      </c>
      <c r="C244" s="414" t="s">
        <v>2139</v>
      </c>
      <c r="D244" s="414" t="s">
        <v>15</v>
      </c>
      <c r="E244" s="1381"/>
      <c r="F244" s="2784">
        <f>SUMIFS(INDEX($F$34:$I$48, , MATCH($E$7, $F$33:$I$33, 0)), $C$34:$C$48, $C$235, $E$34:$E$48, D244 )</f>
        <v>0</v>
      </c>
      <c r="G244" s="2784"/>
      <c r="H244" s="2784"/>
      <c r="I244" s="2784"/>
      <c r="J244" s="2784"/>
      <c r="K244" s="2784"/>
      <c r="L244" s="2784"/>
      <c r="M244" s="2784"/>
      <c r="N244" s="2784"/>
      <c r="P244" s="414"/>
    </row>
    <row r="245" spans="2:17">
      <c r="B245" s="1381" t="s">
        <v>219</v>
      </c>
      <c r="C245" s="414" t="s">
        <v>2140</v>
      </c>
      <c r="D245" s="414"/>
      <c r="E245" s="1381"/>
      <c r="F245" s="2784">
        <f>INDEX($H$62:$H$64, MATCH($C246, $C$62:$C$64, 0))</f>
        <v>0.58499999999999996</v>
      </c>
      <c r="G245" s="2784">
        <f>INDEX($H$62:$H$64, MATCH($C246, $C$62:$C$64, 0))</f>
        <v>0.58499999999999996</v>
      </c>
      <c r="H245" s="2784">
        <f>INDEX($H$62:$H$64, MATCH($C246, $C$62:$C$64, 0))</f>
        <v>0.58499999999999996</v>
      </c>
      <c r="I245" s="2784">
        <f t="shared" ref="I245:N245" si="5">INDEX($H$75:$H$77, MATCH($C246, $C$75:$C$77, 0))</f>
        <v>0.66200000000000003</v>
      </c>
      <c r="J245" s="2784">
        <f t="shared" si="5"/>
        <v>0.66200000000000003</v>
      </c>
      <c r="K245" s="2784">
        <f t="shared" si="5"/>
        <v>0.66200000000000003</v>
      </c>
      <c r="L245" s="2784">
        <f t="shared" si="5"/>
        <v>0.66200000000000003</v>
      </c>
      <c r="M245" s="2784">
        <f t="shared" si="5"/>
        <v>0.66200000000000003</v>
      </c>
      <c r="N245" s="2784">
        <f t="shared" si="5"/>
        <v>0.66200000000000003</v>
      </c>
      <c r="P245" s="414"/>
    </row>
    <row r="246" spans="2:17">
      <c r="B246" s="1624" t="s">
        <v>221</v>
      </c>
      <c r="C246" s="2" t="s">
        <v>100</v>
      </c>
      <c r="D246" s="2" t="s">
        <v>90</v>
      </c>
      <c r="E246" s="367" t="str">
        <f>Preferences.EnergyUnits</f>
        <v>TWh</v>
      </c>
      <c r="F246" s="1335">
        <f ca="1">F$235*$F244*F245</f>
        <v>0</v>
      </c>
      <c r="G246" s="1335">
        <f t="shared" ref="G246:N246" ca="1" si="6">G$235*$F244*G245</f>
        <v>0</v>
      </c>
      <c r="H246" s="1335">
        <f t="shared" ca="1" si="6"/>
        <v>0</v>
      </c>
      <c r="I246" s="1335">
        <f t="shared" ca="1" si="6"/>
        <v>0</v>
      </c>
      <c r="J246" s="1335">
        <f t="shared" ca="1" si="6"/>
        <v>0</v>
      </c>
      <c r="K246" s="1335">
        <f t="shared" ca="1" si="6"/>
        <v>0</v>
      </c>
      <c r="L246" s="1335">
        <f t="shared" ca="1" si="6"/>
        <v>0</v>
      </c>
      <c r="M246" s="1335">
        <f t="shared" ca="1" si="6"/>
        <v>0</v>
      </c>
      <c r="N246" s="1335">
        <f t="shared" ca="1" si="6"/>
        <v>0</v>
      </c>
    </row>
    <row r="247" spans="2:17">
      <c r="C247" s="363"/>
      <c r="E247" s="382"/>
      <c r="F247" s="366"/>
      <c r="G247" s="366"/>
      <c r="H247" s="366"/>
      <c r="I247" s="366"/>
      <c r="J247" s="366"/>
      <c r="K247" s="366"/>
      <c r="L247" s="366"/>
      <c r="M247" s="366"/>
      <c r="N247" s="366"/>
    </row>
    <row r="248" spans="2:17">
      <c r="B248" s="363">
        <v>2</v>
      </c>
      <c r="C248" s="363" t="s">
        <v>2141</v>
      </c>
      <c r="E248" s="2688"/>
    </row>
    <row r="249" spans="2:17">
      <c r="C249" s="363" t="s">
        <v>433</v>
      </c>
      <c r="D249" s="381" t="s">
        <v>383</v>
      </c>
      <c r="E249" s="364" t="str">
        <f>Preferences.EnergyUnits</f>
        <v>TWh</v>
      </c>
      <c r="F249" s="366">
        <f ca="1">F$16</f>
        <v>0.1469939508333333</v>
      </c>
      <c r="G249" s="366">
        <f t="shared" ref="G249:N249" ca="1" si="7">G$16</f>
        <v>0.30315030492522765</v>
      </c>
      <c r="H249" s="366">
        <f t="shared" ca="1" si="7"/>
        <v>1.5106164705314096</v>
      </c>
      <c r="I249" s="366">
        <f t="shared" ca="1" si="7"/>
        <v>3.021188431319072</v>
      </c>
      <c r="J249" s="366">
        <f t="shared" ca="1" si="7"/>
        <v>7.9086168792688998</v>
      </c>
      <c r="K249" s="366">
        <f t="shared" ca="1" si="7"/>
        <v>11.85886901389615</v>
      </c>
      <c r="L249" s="366">
        <f t="shared" ca="1" si="7"/>
        <v>17.935298834659971</v>
      </c>
      <c r="M249" s="366">
        <f t="shared" ca="1" si="7"/>
        <v>23.221401849807123</v>
      </c>
      <c r="N249" s="366">
        <f t="shared" ca="1" si="7"/>
        <v>27.862294761138976</v>
      </c>
    </row>
    <row r="250" spans="2:17">
      <c r="B250" s="1381" t="s">
        <v>219</v>
      </c>
      <c r="C250" s="414" t="s">
        <v>2139</v>
      </c>
      <c r="D250" s="414" t="s">
        <v>16</v>
      </c>
      <c r="E250" s="1381"/>
      <c r="F250" s="2784">
        <f>SUMIFS(INDEX($F$34:$I$48, , MATCH($E$7, $F$33:$I$33, 0)), $C$34:$C$48, $C$249, $E$34:$E$48, D250 )</f>
        <v>0</v>
      </c>
      <c r="G250" s="2784"/>
      <c r="H250" s="2784"/>
      <c r="I250" s="2784"/>
      <c r="J250" s="2784"/>
      <c r="K250" s="2784"/>
      <c r="L250" s="2784"/>
      <c r="M250" s="2784"/>
      <c r="N250" s="2784"/>
    </row>
    <row r="251" spans="2:17">
      <c r="B251" s="1381" t="s">
        <v>219</v>
      </c>
      <c r="C251" s="414" t="s">
        <v>2140</v>
      </c>
      <c r="D251" s="414"/>
      <c r="E251" s="1381"/>
      <c r="F251" s="2784">
        <f>INDEX($G$62:$G$64, MATCH($C252, $C$62:$C$64, 0))</f>
        <v>0</v>
      </c>
      <c r="G251" s="2784">
        <f>INDEX($G$62:$G$64, MATCH($C252, $C$62:$C$64, 0))</f>
        <v>0</v>
      </c>
      <c r="H251" s="2784">
        <f>INDEX($G$62:$G$64, MATCH($C252, $C$62:$C$64, 0))</f>
        <v>0</v>
      </c>
      <c r="I251" s="2784">
        <f t="shared" ref="I251:N251" si="8">INDEX($G$75:$G$77, MATCH($C252, $C$75:$C$77, 0))</f>
        <v>0</v>
      </c>
      <c r="J251" s="2784">
        <f t="shared" si="8"/>
        <v>0</v>
      </c>
      <c r="K251" s="2784">
        <f t="shared" si="8"/>
        <v>0</v>
      </c>
      <c r="L251" s="2784">
        <f t="shared" si="8"/>
        <v>0</v>
      </c>
      <c r="M251" s="2784">
        <f t="shared" si="8"/>
        <v>0</v>
      </c>
      <c r="N251" s="2784">
        <f t="shared" si="8"/>
        <v>0</v>
      </c>
      <c r="Q251" s="414"/>
    </row>
    <row r="252" spans="2:17">
      <c r="B252" s="1624" t="s">
        <v>221</v>
      </c>
      <c r="C252" s="2" t="s">
        <v>98</v>
      </c>
      <c r="D252" s="2" t="s">
        <v>88</v>
      </c>
      <c r="E252" s="367" t="str">
        <f>Preferences.EnergyUnits</f>
        <v>TWh</v>
      </c>
      <c r="F252" s="1335">
        <f ca="1">F$249*$F250*F251</f>
        <v>0</v>
      </c>
      <c r="G252" s="1335">
        <f t="shared" ref="G252:N252" ca="1" si="9">G$249*$F250*G251</f>
        <v>0</v>
      </c>
      <c r="H252" s="1335">
        <f t="shared" ca="1" si="9"/>
        <v>0</v>
      </c>
      <c r="I252" s="1335">
        <f t="shared" ca="1" si="9"/>
        <v>0</v>
      </c>
      <c r="J252" s="1335">
        <f t="shared" ca="1" si="9"/>
        <v>0</v>
      </c>
      <c r="K252" s="1335">
        <f t="shared" ca="1" si="9"/>
        <v>0</v>
      </c>
      <c r="L252" s="1335">
        <f t="shared" ca="1" si="9"/>
        <v>0</v>
      </c>
      <c r="M252" s="1335">
        <f t="shared" ca="1" si="9"/>
        <v>0</v>
      </c>
      <c r="N252" s="1335">
        <f t="shared" ca="1" si="9"/>
        <v>0</v>
      </c>
      <c r="Q252" s="414"/>
    </row>
    <row r="253" spans="2:17">
      <c r="C253" s="988"/>
      <c r="E253" s="382"/>
      <c r="F253" s="366"/>
      <c r="G253" s="366"/>
      <c r="H253" s="366"/>
      <c r="I253" s="366"/>
      <c r="J253" s="366"/>
      <c r="K253" s="366"/>
      <c r="L253" s="366"/>
      <c r="M253" s="366"/>
      <c r="N253" s="366"/>
    </row>
    <row r="254" spans="2:17">
      <c r="B254" s="1381" t="s">
        <v>219</v>
      </c>
      <c r="C254" s="414" t="s">
        <v>2139</v>
      </c>
      <c r="D254" s="414" t="s">
        <v>1712</v>
      </c>
      <c r="E254" s="1381"/>
      <c r="F254" s="2784">
        <f>SUMIFS(INDEX($F$34:$I$48, , MATCH($E$7, $F$33:$I$33, 0)), $C$34:$C$48, $C$249, $E$34:$E$48, D254 )</f>
        <v>0</v>
      </c>
      <c r="G254" s="2784"/>
      <c r="H254" s="2784"/>
      <c r="I254" s="2784"/>
      <c r="J254" s="2784"/>
      <c r="K254" s="2784"/>
      <c r="L254" s="2784"/>
      <c r="M254" s="2784"/>
      <c r="N254" s="2784"/>
    </row>
    <row r="255" spans="2:17">
      <c r="B255" s="1381" t="s">
        <v>219</v>
      </c>
      <c r="C255" s="414" t="s">
        <v>2140</v>
      </c>
      <c r="D255" s="414"/>
      <c r="E255" s="1381"/>
      <c r="F255" s="2784">
        <f>INDEX($G$62:$G$64, MATCH($C256, $C$62:$C$64, 0))</f>
        <v>0.318</v>
      </c>
      <c r="G255" s="2784">
        <f>INDEX($G$62:$G$64, MATCH($C256, $C$62:$C$64, 0))</f>
        <v>0.318</v>
      </c>
      <c r="H255" s="2784">
        <f>INDEX($G$62:$G$64, MATCH($C256, $C$62:$C$64, 0))</f>
        <v>0.318</v>
      </c>
      <c r="I255" s="2784">
        <f t="shared" ref="I255:N255" si="10">INDEX($G$75:$G$77, MATCH($C256, $C$75:$C$77, 0))</f>
        <v>0.38200000000000001</v>
      </c>
      <c r="J255" s="2784">
        <f t="shared" si="10"/>
        <v>0.38200000000000001</v>
      </c>
      <c r="K255" s="2784">
        <f t="shared" si="10"/>
        <v>0.38200000000000001</v>
      </c>
      <c r="L255" s="2784">
        <f t="shared" si="10"/>
        <v>0.38200000000000001</v>
      </c>
      <c r="M255" s="2784">
        <f t="shared" si="10"/>
        <v>0.38200000000000001</v>
      </c>
      <c r="N255" s="2784">
        <f t="shared" si="10"/>
        <v>0.38200000000000001</v>
      </c>
      <c r="Q255" s="414"/>
    </row>
    <row r="256" spans="2:17">
      <c r="B256" s="1624" t="s">
        <v>221</v>
      </c>
      <c r="C256" s="2" t="s">
        <v>99</v>
      </c>
      <c r="D256" s="2" t="s">
        <v>89</v>
      </c>
      <c r="E256" s="367" t="str">
        <f>Preferences.EnergyUnits</f>
        <v>TWh</v>
      </c>
      <c r="F256" s="1335">
        <f ca="1">F$249*$F254*F255</f>
        <v>0</v>
      </c>
      <c r="G256" s="1335">
        <f t="shared" ref="G256:N256" ca="1" si="11">G$249*$F254*G255</f>
        <v>0</v>
      </c>
      <c r="H256" s="1335">
        <f t="shared" ca="1" si="11"/>
        <v>0</v>
      </c>
      <c r="I256" s="1335">
        <f t="shared" ca="1" si="11"/>
        <v>0</v>
      </c>
      <c r="J256" s="1335">
        <f t="shared" ca="1" si="11"/>
        <v>0</v>
      </c>
      <c r="K256" s="1335">
        <f t="shared" ca="1" si="11"/>
        <v>0</v>
      </c>
      <c r="L256" s="1335">
        <f t="shared" ca="1" si="11"/>
        <v>0</v>
      </c>
      <c r="M256" s="1335">
        <f t="shared" ca="1" si="11"/>
        <v>0</v>
      </c>
      <c r="N256" s="1335">
        <f t="shared" ca="1" si="11"/>
        <v>0</v>
      </c>
      <c r="Q256" s="414"/>
    </row>
    <row r="257" spans="2:17">
      <c r="C257" s="363"/>
      <c r="E257" s="382"/>
      <c r="F257" s="366"/>
      <c r="G257" s="366"/>
      <c r="H257" s="366"/>
      <c r="I257" s="366"/>
      <c r="J257" s="366"/>
      <c r="K257" s="366"/>
      <c r="L257" s="366"/>
      <c r="M257" s="366"/>
      <c r="N257" s="366"/>
    </row>
    <row r="258" spans="2:17">
      <c r="B258" s="1381" t="s">
        <v>219</v>
      </c>
      <c r="C258" s="414" t="s">
        <v>2139</v>
      </c>
      <c r="D258" s="414" t="s">
        <v>15</v>
      </c>
      <c r="E258" s="1381"/>
      <c r="F258" s="2784">
        <f>SUMIFS(INDEX($F$34:$I$48, , MATCH($E$7, $F$33:$I$33, 0)), $C$34:$C$48, $C$249, $E$34:$E$48, D258 )</f>
        <v>1</v>
      </c>
      <c r="G258" s="2784"/>
      <c r="H258" s="2784"/>
      <c r="I258" s="2784"/>
      <c r="J258" s="2784"/>
      <c r="K258" s="2784"/>
      <c r="L258" s="2784"/>
      <c r="M258" s="2784"/>
      <c r="N258" s="2784"/>
    </row>
    <row r="259" spans="2:17">
      <c r="B259" s="1381" t="s">
        <v>219</v>
      </c>
      <c r="C259" s="414" t="s">
        <v>2140</v>
      </c>
      <c r="D259" s="414"/>
      <c r="E259" s="1381"/>
      <c r="F259" s="2784">
        <f>INDEX($G$62:$G$64, MATCH($C260, $C$62:$C$64, 0))</f>
        <v>0.75</v>
      </c>
      <c r="G259" s="2784">
        <f>INDEX($G$62:$G$64, MATCH($C260, $C$62:$C$64, 0))</f>
        <v>0.75</v>
      </c>
      <c r="H259" s="2784">
        <f>INDEX($G$62:$G$64, MATCH($C260, $C$62:$C$64, 0))</f>
        <v>0.75</v>
      </c>
      <c r="I259" s="2784">
        <f t="shared" ref="I259:N259" si="12">INDEX($G$75:$G$77, MATCH($C260, $C$75:$C$77, 0))</f>
        <v>0.85</v>
      </c>
      <c r="J259" s="2784">
        <f t="shared" si="12"/>
        <v>0.85</v>
      </c>
      <c r="K259" s="2784">
        <f t="shared" si="12"/>
        <v>0.85</v>
      </c>
      <c r="L259" s="2784">
        <f t="shared" si="12"/>
        <v>0.85</v>
      </c>
      <c r="M259" s="2784">
        <f t="shared" si="12"/>
        <v>0.85</v>
      </c>
      <c r="N259" s="2784">
        <f t="shared" si="12"/>
        <v>0.85</v>
      </c>
      <c r="Q259" s="414"/>
    </row>
    <row r="260" spans="2:17">
      <c r="B260" s="988" t="s">
        <v>221</v>
      </c>
      <c r="C260" s="2" t="s">
        <v>100</v>
      </c>
      <c r="D260" s="2" t="s">
        <v>90</v>
      </c>
      <c r="E260" s="367" t="str">
        <f>Preferences.EnergyUnits</f>
        <v>TWh</v>
      </c>
      <c r="F260" s="1335">
        <f ca="1">F$249*$F258*F259</f>
        <v>0.11024546312499997</v>
      </c>
      <c r="G260" s="1335">
        <f t="shared" ref="G260:N260" ca="1" si="13">G$249*$F258*G259</f>
        <v>0.22736272869392074</v>
      </c>
      <c r="H260" s="1335">
        <f t="shared" ca="1" si="13"/>
        <v>1.1329623528985571</v>
      </c>
      <c r="I260" s="1335">
        <f t="shared" ca="1" si="13"/>
        <v>2.5680101666212112</v>
      </c>
      <c r="J260" s="1335">
        <f t="shared" ca="1" si="13"/>
        <v>6.7223243473785645</v>
      </c>
      <c r="K260" s="1335">
        <f t="shared" ca="1" si="13"/>
        <v>10.080038661811727</v>
      </c>
      <c r="L260" s="1335">
        <f t="shared" ca="1" si="13"/>
        <v>15.245004009460974</v>
      </c>
      <c r="M260" s="1335">
        <f t="shared" ca="1" si="13"/>
        <v>19.738191572336053</v>
      </c>
      <c r="N260" s="1335">
        <f t="shared" ca="1" si="13"/>
        <v>23.682950546968129</v>
      </c>
      <c r="Q260" s="414"/>
    </row>
    <row r="261" spans="2:17">
      <c r="C261" s="991"/>
      <c r="E261" s="2688"/>
      <c r="F261" s="374"/>
      <c r="G261" s="374"/>
      <c r="H261" s="374"/>
      <c r="I261" s="374"/>
      <c r="J261" s="374"/>
      <c r="K261" s="374"/>
      <c r="L261" s="374"/>
      <c r="M261" s="374"/>
      <c r="N261" s="374"/>
    </row>
    <row r="262" spans="2:17">
      <c r="B262" s="363">
        <v>3</v>
      </c>
      <c r="C262" s="363" t="s">
        <v>2142</v>
      </c>
      <c r="E262" s="2688"/>
    </row>
    <row r="263" spans="2:17">
      <c r="C263" s="363" t="s">
        <v>430</v>
      </c>
      <c r="D263" s="381" t="s">
        <v>380</v>
      </c>
      <c r="E263" s="364" t="str">
        <f>Preferences.EnergyUnits</f>
        <v>TWh</v>
      </c>
      <c r="F263" s="366">
        <f t="shared" ref="F263:N263" ca="1" si="14">F$18</f>
        <v>0.16958333333333334</v>
      </c>
      <c r="G263" s="366">
        <f t="shared" ca="1" si="14"/>
        <v>2.9254922797006762</v>
      </c>
      <c r="H263" s="366">
        <f t="shared" ca="1" si="14"/>
        <v>10.560023127898354</v>
      </c>
      <c r="I263" s="366">
        <f t="shared" ca="1" si="14"/>
        <v>19.357134768779371</v>
      </c>
      <c r="J263" s="366">
        <f t="shared" ca="1" si="14"/>
        <v>29.45092534174433</v>
      </c>
      <c r="K263" s="366">
        <f t="shared" ca="1" si="14"/>
        <v>40.989276385826031</v>
      </c>
      <c r="L263" s="366">
        <f t="shared" ca="1" si="14"/>
        <v>54.135182368629792</v>
      </c>
      <c r="M263" s="366">
        <f t="shared" ca="1" si="14"/>
        <v>69.068203392186163</v>
      </c>
      <c r="N263" s="366">
        <f t="shared" ca="1" si="14"/>
        <v>85.98605217389283</v>
      </c>
    </row>
    <row r="264" spans="2:17">
      <c r="B264" s="1381" t="s">
        <v>219</v>
      </c>
      <c r="C264" s="414" t="s">
        <v>2139</v>
      </c>
      <c r="D264" s="414" t="s">
        <v>16</v>
      </c>
      <c r="E264" s="1381"/>
      <c r="F264" s="2784">
        <f>SUMIFS(INDEX($F$34:$I$48, , MATCH($E$7, $F$33:$I$33, 0)), $C$34:$C$48, $C$263, $E$34:$E$48, D264 )</f>
        <v>1</v>
      </c>
      <c r="G264" s="2784"/>
      <c r="H264" s="2784"/>
      <c r="I264" s="2784"/>
      <c r="J264" s="2784"/>
      <c r="K264" s="2784"/>
      <c r="L264" s="2784"/>
      <c r="M264" s="2784"/>
      <c r="N264" s="2784"/>
    </row>
    <row r="265" spans="2:17">
      <c r="B265" s="1381" t="s">
        <v>219</v>
      </c>
      <c r="C265" s="414" t="s">
        <v>2140</v>
      </c>
      <c r="D265" s="414"/>
      <c r="E265" s="1381"/>
      <c r="F265" s="2784">
        <f>INDEX($I$62:$I$64, MATCH($C266, $C$62:$C$64, 0))</f>
        <v>0.9</v>
      </c>
      <c r="G265" s="2784">
        <f>INDEX($I$62:$I$64, MATCH($C266, $C$62:$C$64, 0))</f>
        <v>0.9</v>
      </c>
      <c r="H265" s="2784">
        <f>INDEX($I$62:$I$64, MATCH($C266, $C$62:$C$64, 0))</f>
        <v>0.9</v>
      </c>
      <c r="I265" s="2784">
        <f t="shared" ref="I265:N265" si="15">INDEX($I$75:$I$77, MATCH($C266, $C$75:$C$77, 0))</f>
        <v>0.95</v>
      </c>
      <c r="J265" s="2784">
        <f t="shared" si="15"/>
        <v>0.95</v>
      </c>
      <c r="K265" s="2784">
        <f t="shared" si="15"/>
        <v>0.95</v>
      </c>
      <c r="L265" s="2784">
        <f t="shared" si="15"/>
        <v>0.95</v>
      </c>
      <c r="M265" s="2784">
        <f t="shared" si="15"/>
        <v>0.95</v>
      </c>
      <c r="N265" s="2784">
        <f t="shared" si="15"/>
        <v>0.95</v>
      </c>
    </row>
    <row r="266" spans="2:17">
      <c r="B266" s="1624" t="s">
        <v>221</v>
      </c>
      <c r="C266" s="2" t="s">
        <v>98</v>
      </c>
      <c r="D266" s="2" t="s">
        <v>88</v>
      </c>
      <c r="E266" s="367" t="str">
        <f>Preferences.EnergyUnits</f>
        <v>TWh</v>
      </c>
      <c r="F266" s="1335">
        <f ca="1">F$263*$F264*F265</f>
        <v>0.15262500000000001</v>
      </c>
      <c r="G266" s="1335">
        <f t="shared" ref="G266:M266" ca="1" si="16">G$263*$F264*G265</f>
        <v>2.6329430517306087</v>
      </c>
      <c r="H266" s="1335">
        <f t="shared" ca="1" si="16"/>
        <v>9.5040208151085199</v>
      </c>
      <c r="I266" s="1335">
        <f t="shared" ca="1" si="16"/>
        <v>18.389278030340403</v>
      </c>
      <c r="J266" s="1335">
        <f t="shared" ca="1" si="16"/>
        <v>27.978379074657113</v>
      </c>
      <c r="K266" s="1335">
        <f t="shared" ca="1" si="16"/>
        <v>38.939812566534727</v>
      </c>
      <c r="L266" s="1335">
        <f t="shared" ca="1" si="16"/>
        <v>51.4284232501983</v>
      </c>
      <c r="M266" s="1335">
        <f t="shared" ca="1" si="16"/>
        <v>65.61479322257685</v>
      </c>
      <c r="N266" s="1335">
        <f ca="1">N$263*$F264*N265</f>
        <v>81.686749565198184</v>
      </c>
    </row>
    <row r="267" spans="2:17">
      <c r="C267" s="988"/>
      <c r="E267" s="382"/>
      <c r="F267" s="366"/>
      <c r="G267" s="366"/>
      <c r="H267" s="366"/>
      <c r="I267" s="366"/>
      <c r="J267" s="366"/>
      <c r="K267" s="366"/>
      <c r="L267" s="366"/>
      <c r="M267" s="366"/>
      <c r="N267" s="366"/>
    </row>
    <row r="268" spans="2:17">
      <c r="B268" s="1381" t="s">
        <v>219</v>
      </c>
      <c r="C268" s="414" t="s">
        <v>2139</v>
      </c>
      <c r="D268" s="414" t="s">
        <v>1712</v>
      </c>
      <c r="E268" s="1381"/>
      <c r="F268" s="2784">
        <f>SUMIFS(INDEX($F$34:$I$48, , MATCH($E$7, $F$33:$I$33, 0)), $C$34:$C$48, $C$263, $E$34:$E$48, D268 )</f>
        <v>0</v>
      </c>
      <c r="G268" s="2784"/>
      <c r="H268" s="2784"/>
      <c r="I268" s="2784"/>
      <c r="J268" s="2784"/>
      <c r="K268" s="2784"/>
      <c r="L268" s="2784"/>
      <c r="M268" s="2784"/>
      <c r="N268" s="2784"/>
    </row>
    <row r="269" spans="2:17">
      <c r="B269" s="1381" t="s">
        <v>219</v>
      </c>
      <c r="C269" s="414" t="s">
        <v>2140</v>
      </c>
      <c r="D269" s="414"/>
      <c r="E269" s="1381"/>
      <c r="F269" s="2784">
        <f>INDEX($I$62:$I$64, MATCH($C270, $C$62:$C$64, 0))</f>
        <v>0.37</v>
      </c>
      <c r="G269" s="2784">
        <f>INDEX($I$62:$I$64, MATCH($C270, $C$62:$C$64, 0))</f>
        <v>0.37</v>
      </c>
      <c r="H269" s="2784">
        <f>INDEX($I$62:$I$64, MATCH($C270, $C$62:$C$64, 0))</f>
        <v>0.37</v>
      </c>
      <c r="I269" s="2784">
        <f t="shared" ref="I269:N269" si="17">INDEX($I$75:$I$77, MATCH($C270, $C$75:$C$77, 0))</f>
        <v>0.45</v>
      </c>
      <c r="J269" s="2784">
        <f t="shared" si="17"/>
        <v>0.45</v>
      </c>
      <c r="K269" s="2784">
        <f t="shared" si="17"/>
        <v>0.45</v>
      </c>
      <c r="L269" s="2784">
        <f t="shared" si="17"/>
        <v>0.45</v>
      </c>
      <c r="M269" s="2784">
        <f t="shared" si="17"/>
        <v>0.45</v>
      </c>
      <c r="N269" s="2784">
        <f t="shared" si="17"/>
        <v>0.45</v>
      </c>
    </row>
    <row r="270" spans="2:17">
      <c r="B270" s="1624" t="s">
        <v>221</v>
      </c>
      <c r="C270" s="2" t="s">
        <v>99</v>
      </c>
      <c r="D270" s="2" t="s">
        <v>89</v>
      </c>
      <c r="E270" s="367" t="str">
        <f>Preferences.EnergyUnits</f>
        <v>TWh</v>
      </c>
      <c r="F270" s="1335">
        <f ca="1">F$263*$F268*F269</f>
        <v>0</v>
      </c>
      <c r="G270" s="1335">
        <f t="shared" ref="G270:N270" ca="1" si="18">G$263*$F268*G269</f>
        <v>0</v>
      </c>
      <c r="H270" s="1335">
        <f t="shared" ca="1" si="18"/>
        <v>0</v>
      </c>
      <c r="I270" s="1335">
        <f t="shared" ca="1" si="18"/>
        <v>0</v>
      </c>
      <c r="J270" s="1335">
        <f t="shared" ca="1" si="18"/>
        <v>0</v>
      </c>
      <c r="K270" s="1335">
        <f t="shared" ca="1" si="18"/>
        <v>0</v>
      </c>
      <c r="L270" s="1335">
        <f t="shared" ca="1" si="18"/>
        <v>0</v>
      </c>
      <c r="M270" s="1335">
        <f t="shared" ca="1" si="18"/>
        <v>0</v>
      </c>
      <c r="N270" s="1335">
        <f t="shared" ca="1" si="18"/>
        <v>0</v>
      </c>
    </row>
    <row r="271" spans="2:17">
      <c r="C271" s="363"/>
      <c r="E271" s="382"/>
      <c r="F271" s="366"/>
      <c r="G271" s="366"/>
      <c r="H271" s="366"/>
      <c r="I271" s="366"/>
      <c r="J271" s="366"/>
      <c r="K271" s="366"/>
      <c r="L271" s="366"/>
      <c r="M271" s="366"/>
      <c r="N271" s="366"/>
    </row>
    <row r="272" spans="2:17">
      <c r="B272" s="1381" t="s">
        <v>219</v>
      </c>
      <c r="C272" s="414" t="s">
        <v>2139</v>
      </c>
      <c r="D272" s="414" t="s">
        <v>15</v>
      </c>
      <c r="E272" s="1381"/>
      <c r="F272" s="2784">
        <f>SUMIFS(INDEX($F$34:$I$48, , MATCH($E$7, $F$33:$I$33, 0)), $C$34:$C$48, $C$263, $E$34:$E$48, D272 )</f>
        <v>0</v>
      </c>
      <c r="G272" s="2784"/>
      <c r="H272" s="2784"/>
      <c r="I272" s="2784"/>
      <c r="J272" s="2784"/>
      <c r="K272" s="2784"/>
      <c r="L272" s="2784"/>
      <c r="M272" s="2784"/>
      <c r="N272" s="2784"/>
    </row>
    <row r="273" spans="2:18">
      <c r="B273" s="1381" t="s">
        <v>219</v>
      </c>
      <c r="C273" s="414" t="s">
        <v>2140</v>
      </c>
      <c r="D273" s="414"/>
      <c r="E273" s="1381"/>
      <c r="F273" s="2784">
        <f>INDEX($I$62:$I$64, MATCH($C274, $C$62:$C$64, 0))</f>
        <v>0.58499999999999996</v>
      </c>
      <c r="G273" s="2784">
        <f>INDEX($I$62:$I$64, MATCH($C274, $C$62:$C$64, 0))</f>
        <v>0.58499999999999996</v>
      </c>
      <c r="H273" s="2784">
        <f>INDEX($I$62:$I$64, MATCH($C274, $C$62:$C$64, 0))</f>
        <v>0.58499999999999996</v>
      </c>
      <c r="I273" s="2784">
        <f t="shared" ref="I273:N273" si="19">INDEX($I$75:$I$77, MATCH($C274, $C$75:$C$77, 0))</f>
        <v>0.66200000000000003</v>
      </c>
      <c r="J273" s="2784">
        <f t="shared" si="19"/>
        <v>0.66200000000000003</v>
      </c>
      <c r="K273" s="2784">
        <f t="shared" si="19"/>
        <v>0.66200000000000003</v>
      </c>
      <c r="L273" s="2784">
        <f t="shared" si="19"/>
        <v>0.66200000000000003</v>
      </c>
      <c r="M273" s="2784">
        <f t="shared" si="19"/>
        <v>0.66200000000000003</v>
      </c>
      <c r="N273" s="2784">
        <f t="shared" si="19"/>
        <v>0.66200000000000003</v>
      </c>
    </row>
    <row r="274" spans="2:18">
      <c r="B274" s="1624" t="s">
        <v>221</v>
      </c>
      <c r="C274" s="2" t="s">
        <v>100</v>
      </c>
      <c r="D274" s="2" t="s">
        <v>90</v>
      </c>
      <c r="E274" s="367" t="str">
        <f>Preferences.EnergyUnits</f>
        <v>TWh</v>
      </c>
      <c r="F274" s="1335">
        <f ca="1">F$263*$F272*F273</f>
        <v>0</v>
      </c>
      <c r="G274" s="1335">
        <f t="shared" ref="G274:N274" ca="1" si="20">G$263*$F272*G273</f>
        <v>0</v>
      </c>
      <c r="H274" s="1335">
        <f t="shared" ca="1" si="20"/>
        <v>0</v>
      </c>
      <c r="I274" s="1335">
        <f t="shared" ca="1" si="20"/>
        <v>0</v>
      </c>
      <c r="J274" s="1335">
        <f t="shared" ca="1" si="20"/>
        <v>0</v>
      </c>
      <c r="K274" s="1335">
        <f t="shared" ca="1" si="20"/>
        <v>0</v>
      </c>
      <c r="L274" s="1335">
        <f t="shared" ca="1" si="20"/>
        <v>0</v>
      </c>
      <c r="M274" s="1335">
        <f t="shared" ca="1" si="20"/>
        <v>0</v>
      </c>
      <c r="N274" s="1335">
        <f t="shared" ca="1" si="20"/>
        <v>0</v>
      </c>
    </row>
    <row r="275" spans="2:18">
      <c r="B275" s="1624"/>
      <c r="C275" s="2"/>
      <c r="D275" s="2"/>
      <c r="E275" s="367"/>
      <c r="F275" s="2785"/>
      <c r="G275" s="2785"/>
      <c r="H275" s="2785"/>
      <c r="I275" s="2785"/>
      <c r="J275" s="2785"/>
      <c r="K275" s="2785"/>
      <c r="L275" s="2785"/>
      <c r="M275" s="2785"/>
      <c r="N275" s="2785"/>
    </row>
    <row r="276" spans="2:18">
      <c r="C276" s="363" t="s">
        <v>431</v>
      </c>
      <c r="D276" s="381" t="s">
        <v>381</v>
      </c>
      <c r="E276" s="364" t="str">
        <f>Preferences.EnergyUnits</f>
        <v>TWh</v>
      </c>
      <c r="F276" s="366">
        <f t="shared" ref="F276:N276" ca="1" si="21">F$19</f>
        <v>0.14350000000000002</v>
      </c>
      <c r="G276" s="366">
        <f t="shared" ca="1" si="21"/>
        <v>0.17750982181293876</v>
      </c>
      <c r="H276" s="366">
        <f t="shared" ca="1" si="21"/>
        <v>0.26905561870922784</v>
      </c>
      <c r="I276" s="366">
        <f t="shared" ca="1" si="21"/>
        <v>0.37055006275752844</v>
      </c>
      <c r="J276" s="366">
        <f t="shared" ca="1" si="21"/>
        <v>0.48283502255691169</v>
      </c>
      <c r="K276" s="366">
        <f t="shared" ca="1" si="21"/>
        <v>0.60681631464215224</v>
      </c>
      <c r="L276" s="366">
        <f t="shared" ca="1" si="21"/>
        <v>0.74346827555139616</v>
      </c>
      <c r="M276" s="366">
        <f t="shared" ca="1" si="21"/>
        <v>0.89383864833915727</v>
      </c>
      <c r="N276" s="366">
        <f t="shared" ca="1" si="21"/>
        <v>1.0590538045843265</v>
      </c>
    </row>
    <row r="277" spans="2:18">
      <c r="B277" s="1381" t="s">
        <v>219</v>
      </c>
      <c r="C277" s="414" t="s">
        <v>2139</v>
      </c>
      <c r="D277" s="414" t="s">
        <v>16</v>
      </c>
      <c r="E277" s="1381"/>
      <c r="F277" s="2784">
        <f>SUMIFS(INDEX($F$34:$I$48, , MATCH($E$7, $F$33:$I$33, 0)), $C$34:$C$48, $C$276, $E$34:$E$48, D277 )</f>
        <v>0</v>
      </c>
      <c r="G277" s="2784"/>
      <c r="H277" s="2784"/>
      <c r="I277" s="2784"/>
      <c r="J277" s="2784"/>
      <c r="K277" s="2784"/>
      <c r="L277" s="2784"/>
      <c r="M277" s="2784"/>
      <c r="N277" s="2784"/>
    </row>
    <row r="278" spans="2:18">
      <c r="B278" s="1381" t="s">
        <v>219</v>
      </c>
      <c r="C278" s="414" t="s">
        <v>2140</v>
      </c>
      <c r="D278" s="414"/>
      <c r="E278" s="1381"/>
      <c r="F278" s="2784">
        <f>INDEX($J$62:$J$64, MATCH($C279, $C$62:$C$64, 0))</f>
        <v>0</v>
      </c>
      <c r="G278" s="2784">
        <f>INDEX($J$62:$J$64, MATCH($C279, $C$62:$C$64, 0))</f>
        <v>0</v>
      </c>
      <c r="H278" s="2784">
        <f>INDEX($J$62:$J$64, MATCH($C279, $C$62:$C$64, 0))</f>
        <v>0</v>
      </c>
      <c r="I278" s="2784"/>
      <c r="J278" s="2784"/>
      <c r="K278" s="2784"/>
      <c r="L278" s="2784"/>
      <c r="M278" s="2784"/>
      <c r="N278" s="2784"/>
    </row>
    <row r="279" spans="2:18" collapsed="1">
      <c r="B279" s="1624" t="s">
        <v>221</v>
      </c>
      <c r="C279" s="2" t="s">
        <v>98</v>
      </c>
      <c r="D279" s="2" t="s">
        <v>88</v>
      </c>
      <c r="E279" s="367" t="str">
        <f>Preferences.EnergyUnits</f>
        <v>TWh</v>
      </c>
      <c r="F279" s="1335">
        <f ca="1">F$276*$F277*$F278</f>
        <v>0</v>
      </c>
      <c r="G279" s="1335">
        <f t="shared" ref="G279:N279" ca="1" si="22">G$276*$F277*$F278</f>
        <v>0</v>
      </c>
      <c r="H279" s="1335">
        <f t="shared" ca="1" si="22"/>
        <v>0</v>
      </c>
      <c r="I279" s="1335">
        <f t="shared" ca="1" si="22"/>
        <v>0</v>
      </c>
      <c r="J279" s="1335">
        <f t="shared" ca="1" si="22"/>
        <v>0</v>
      </c>
      <c r="K279" s="1335">
        <f t="shared" ca="1" si="22"/>
        <v>0</v>
      </c>
      <c r="L279" s="1335">
        <f t="shared" ca="1" si="22"/>
        <v>0</v>
      </c>
      <c r="M279" s="1335">
        <f t="shared" ca="1" si="22"/>
        <v>0</v>
      </c>
      <c r="N279" s="1335">
        <f t="shared" ca="1" si="22"/>
        <v>0</v>
      </c>
    </row>
    <row r="280" spans="2:18">
      <c r="C280" s="988"/>
      <c r="E280" s="382"/>
      <c r="F280" s="366"/>
      <c r="G280" s="366"/>
      <c r="H280" s="366"/>
      <c r="I280" s="366"/>
      <c r="J280" s="366"/>
      <c r="K280" s="366"/>
      <c r="L280" s="366"/>
      <c r="M280" s="366"/>
      <c r="N280" s="366"/>
    </row>
    <row r="281" spans="2:18">
      <c r="B281" s="1381" t="s">
        <v>219</v>
      </c>
      <c r="C281" s="414" t="s">
        <v>2139</v>
      </c>
      <c r="D281" s="414" t="s">
        <v>1712</v>
      </c>
      <c r="E281" s="1381"/>
      <c r="F281" s="2784">
        <f>SUMIFS(INDEX($F$34:$I$48, , MATCH($E$7, $F$33:$I$33, 0)), $C$34:$C$48, $C$276, $E$34:$E$48, D281 )</f>
        <v>1</v>
      </c>
      <c r="G281" s="2784"/>
      <c r="H281" s="2784"/>
      <c r="I281" s="2784"/>
      <c r="J281" s="2784"/>
      <c r="K281" s="2784"/>
      <c r="L281" s="2784"/>
      <c r="M281" s="2784"/>
      <c r="N281" s="2784"/>
    </row>
    <row r="282" spans="2:18" ht="15.75" customHeight="1">
      <c r="B282" s="1381" t="s">
        <v>219</v>
      </c>
      <c r="C282" s="414" t="s">
        <v>2140</v>
      </c>
      <c r="D282" s="414"/>
      <c r="E282" s="1381"/>
      <c r="F282" s="2784">
        <f>INDEX($J$62:$J$64, MATCH($C283, $C$62:$C$64, 0))</f>
        <v>0.31</v>
      </c>
      <c r="G282" s="2784">
        <f>INDEX($J$62:$J$64, MATCH($C283, $C$62:$C$64, 0))</f>
        <v>0.31</v>
      </c>
      <c r="H282" s="2784">
        <f>INDEX($J$62:$J$64, MATCH($C283, $C$62:$C$64, 0))</f>
        <v>0.31</v>
      </c>
      <c r="I282" s="2784">
        <f t="shared" ref="I282:N282" si="23">INDEX($J$75:$J$77, MATCH($C283, $C$75:$C$77, 0))</f>
        <v>0.316</v>
      </c>
      <c r="J282" s="2784">
        <f t="shared" si="23"/>
        <v>0.316</v>
      </c>
      <c r="K282" s="2784">
        <f t="shared" si="23"/>
        <v>0.316</v>
      </c>
      <c r="L282" s="2784">
        <f t="shared" si="23"/>
        <v>0.316</v>
      </c>
      <c r="M282" s="2784">
        <f t="shared" si="23"/>
        <v>0.316</v>
      </c>
      <c r="N282" s="2784">
        <f t="shared" si="23"/>
        <v>0.316</v>
      </c>
      <c r="P282" s="398"/>
      <c r="Q282" s="398"/>
      <c r="R282" s="398"/>
    </row>
    <row r="283" spans="2:18">
      <c r="B283" s="1624" t="s">
        <v>221</v>
      </c>
      <c r="C283" s="2" t="s">
        <v>99</v>
      </c>
      <c r="D283" s="2" t="s">
        <v>89</v>
      </c>
      <c r="E283" s="367" t="str">
        <f>Preferences.EnergyUnits</f>
        <v>TWh</v>
      </c>
      <c r="F283" s="1335">
        <f ca="1">F$276*$F281*F282</f>
        <v>4.4485000000000004E-2</v>
      </c>
      <c r="G283" s="1335">
        <f t="shared" ref="G283:N283" ca="1" si="24">G$276*$F281*G282</f>
        <v>5.5028044762011015E-2</v>
      </c>
      <c r="H283" s="1335">
        <f t="shared" ca="1" si="24"/>
        <v>8.3407241799860629E-2</v>
      </c>
      <c r="I283" s="1335">
        <f t="shared" ca="1" si="24"/>
        <v>0.117093819831379</v>
      </c>
      <c r="J283" s="1335">
        <f t="shared" ca="1" si="24"/>
        <v>0.1525758671279841</v>
      </c>
      <c r="K283" s="1335">
        <f t="shared" ca="1" si="24"/>
        <v>0.19175395542692011</v>
      </c>
      <c r="L283" s="1335">
        <f t="shared" ca="1" si="24"/>
        <v>0.23493597507424119</v>
      </c>
      <c r="M283" s="1335">
        <f t="shared" ca="1" si="24"/>
        <v>0.28245301287517371</v>
      </c>
      <c r="N283" s="1335">
        <f t="shared" ca="1" si="24"/>
        <v>0.3346610022486472</v>
      </c>
      <c r="P283" s="398"/>
      <c r="Q283" s="398"/>
      <c r="R283" s="398"/>
    </row>
    <row r="284" spans="2:18">
      <c r="C284" s="363"/>
      <c r="E284" s="382"/>
      <c r="F284" s="366"/>
      <c r="G284" s="366"/>
      <c r="H284" s="366"/>
      <c r="I284" s="366"/>
      <c r="J284" s="366"/>
      <c r="K284" s="366"/>
      <c r="L284" s="366"/>
      <c r="M284" s="366"/>
      <c r="N284" s="366"/>
      <c r="P284" s="398"/>
      <c r="Q284" s="398"/>
      <c r="R284" s="398"/>
    </row>
    <row r="285" spans="2:18">
      <c r="B285" s="1381" t="s">
        <v>219</v>
      </c>
      <c r="C285" s="414" t="s">
        <v>2139</v>
      </c>
      <c r="D285" s="414" t="s">
        <v>15</v>
      </c>
      <c r="E285" s="1381"/>
      <c r="F285" s="2784">
        <f>SUMIFS(INDEX($F$34:$I$48, , MATCH($E$7, $F$33:$I$33, 0)), $C$34:$C$48, $C$276, $E$34:$E$48, D285 )</f>
        <v>0</v>
      </c>
      <c r="G285" s="2784"/>
      <c r="H285" s="2784"/>
      <c r="I285" s="2784"/>
      <c r="J285" s="2784"/>
      <c r="K285" s="2784"/>
      <c r="L285" s="2784"/>
      <c r="M285" s="2784"/>
      <c r="N285" s="2784"/>
      <c r="P285" s="398"/>
      <c r="Q285" s="398"/>
      <c r="R285" s="398"/>
    </row>
    <row r="286" spans="2:18">
      <c r="B286" s="1381" t="s">
        <v>219</v>
      </c>
      <c r="C286" s="414" t="s">
        <v>2140</v>
      </c>
      <c r="D286" s="414"/>
      <c r="E286" s="1381"/>
      <c r="F286" s="2784">
        <f>INDEX($J$62:$J$64, MATCH($C287, $C$62:$C$64, 0))</f>
        <v>0</v>
      </c>
      <c r="G286" s="2784"/>
      <c r="H286" s="2784"/>
      <c r="I286" s="2784"/>
      <c r="J286" s="2784"/>
      <c r="K286" s="2784"/>
      <c r="L286" s="2784"/>
      <c r="M286" s="2784"/>
      <c r="N286" s="2784"/>
      <c r="P286" s="398"/>
      <c r="Q286" s="398"/>
      <c r="R286" s="398"/>
    </row>
    <row r="287" spans="2:18">
      <c r="B287" s="1624" t="s">
        <v>221</v>
      </c>
      <c r="C287" s="2" t="s">
        <v>100</v>
      </c>
      <c r="D287" s="2" t="s">
        <v>90</v>
      </c>
      <c r="E287" s="367" t="str">
        <f>Preferences.EnergyUnits</f>
        <v>TWh</v>
      </c>
      <c r="F287" s="1335">
        <f ca="1">F$276*$F285*$F286</f>
        <v>0</v>
      </c>
      <c r="G287" s="1335">
        <f t="shared" ref="G287:N287" ca="1" si="25">G$276*$F285*$F286</f>
        <v>0</v>
      </c>
      <c r="H287" s="1335">
        <f t="shared" ca="1" si="25"/>
        <v>0</v>
      </c>
      <c r="I287" s="1335">
        <f t="shared" ca="1" si="25"/>
        <v>0</v>
      </c>
      <c r="J287" s="1335">
        <f t="shared" ca="1" si="25"/>
        <v>0</v>
      </c>
      <c r="K287" s="1335">
        <f t="shared" ca="1" si="25"/>
        <v>0</v>
      </c>
      <c r="L287" s="1335">
        <f t="shared" ca="1" si="25"/>
        <v>0</v>
      </c>
      <c r="M287" s="1335">
        <f t="shared" ca="1" si="25"/>
        <v>0</v>
      </c>
      <c r="N287" s="1335">
        <f t="shared" ca="1" si="25"/>
        <v>0</v>
      </c>
      <c r="P287" s="398"/>
      <c r="Q287" s="398"/>
      <c r="R287" s="398"/>
    </row>
    <row r="288" spans="2:18">
      <c r="C288" s="363"/>
      <c r="D288" s="381"/>
      <c r="E288" s="364"/>
      <c r="F288" s="366"/>
      <c r="G288" s="366"/>
      <c r="H288" s="366"/>
      <c r="I288" s="366"/>
      <c r="J288" s="366"/>
      <c r="K288" s="366"/>
      <c r="L288" s="366"/>
      <c r="M288" s="366"/>
      <c r="N288" s="366"/>
      <c r="P288" s="398"/>
      <c r="Q288" s="398"/>
      <c r="R288" s="398"/>
    </row>
    <row r="289" spans="1:18">
      <c r="B289" s="363">
        <v>4</v>
      </c>
      <c r="C289" s="363" t="s">
        <v>2143</v>
      </c>
      <c r="E289" s="2688"/>
      <c r="P289" s="398"/>
      <c r="Q289" s="398"/>
      <c r="R289" s="398"/>
    </row>
    <row r="290" spans="1:18">
      <c r="C290" s="363" t="s">
        <v>434</v>
      </c>
      <c r="D290" s="381" t="s">
        <v>384</v>
      </c>
      <c r="E290" s="364" t="str">
        <f>Preferences.EnergyUnits</f>
        <v>TWh</v>
      </c>
      <c r="F290" s="366">
        <f t="shared" ref="F290:N290" ca="1" si="26">F$17</f>
        <v>0.11749909065550901</v>
      </c>
      <c r="G290" s="366">
        <f t="shared" ca="1" si="26"/>
        <v>0.13447853364046278</v>
      </c>
      <c r="H290" s="366">
        <f t="shared" ca="1" si="26"/>
        <v>0.14794501798441054</v>
      </c>
      <c r="I290" s="366">
        <f t="shared" ca="1" si="26"/>
        <v>0.16872527422163447</v>
      </c>
      <c r="J290" s="366">
        <f t="shared" ca="1" si="26"/>
        <v>0.16588202572781321</v>
      </c>
      <c r="K290" s="366">
        <f t="shared" ca="1" si="26"/>
        <v>0.16174046741956455</v>
      </c>
      <c r="L290" s="366">
        <f t="shared" ca="1" si="26"/>
        <v>0.15626201242516538</v>
      </c>
      <c r="M290" s="366">
        <f t="shared" ca="1" si="26"/>
        <v>0.14940807387289254</v>
      </c>
      <c r="N290" s="366">
        <f t="shared" ca="1" si="26"/>
        <v>0.14114006489102265</v>
      </c>
      <c r="P290" s="398"/>
      <c r="Q290" s="398"/>
      <c r="R290" s="398"/>
    </row>
    <row r="291" spans="1:18">
      <c r="B291" s="1381" t="s">
        <v>219</v>
      </c>
      <c r="C291" s="414" t="s">
        <v>2139</v>
      </c>
      <c r="D291" s="414" t="s">
        <v>16</v>
      </c>
      <c r="E291" s="1381"/>
      <c r="F291" s="2784">
        <f>SUMIFS(INDEX($F$34:$I$48, , MATCH($E$7, $F$33:$I$33, 0)), $C$34:$C$48, $C$290, $E$34:$E$48, D291 )</f>
        <v>0</v>
      </c>
      <c r="G291" s="2784"/>
      <c r="H291" s="2784"/>
      <c r="I291" s="2784"/>
      <c r="J291" s="2784"/>
      <c r="K291" s="2784"/>
      <c r="L291" s="2784"/>
      <c r="M291" s="2784"/>
      <c r="N291" s="2784"/>
      <c r="P291" s="398"/>
      <c r="Q291" s="398"/>
      <c r="R291" s="398"/>
    </row>
    <row r="292" spans="1:18">
      <c r="B292" s="1381" t="s">
        <v>219</v>
      </c>
      <c r="C292" s="414" t="s">
        <v>2140</v>
      </c>
      <c r="D292" s="414"/>
      <c r="E292" s="1381"/>
      <c r="F292" s="2784">
        <f>INDEX($K$62:$K$64, MATCH($C293, $C$62:$C$64, 0))</f>
        <v>0</v>
      </c>
      <c r="G292" s="2784">
        <f>INDEX($K$62:$K$64, MATCH($C293, $C$62:$C$64, 0))</f>
        <v>0</v>
      </c>
      <c r="H292" s="2784">
        <f>INDEX($K$62:$K$64, MATCH($C293, $C$62:$C$64, 0))</f>
        <v>0</v>
      </c>
      <c r="I292" s="2784">
        <f t="shared" ref="I292:N292" si="27">INDEX($K$75:$K$77, MATCH($C293, $C$75:$C$77, 0))</f>
        <v>0</v>
      </c>
      <c r="J292" s="2784">
        <f t="shared" si="27"/>
        <v>0</v>
      </c>
      <c r="K292" s="2784">
        <f t="shared" si="27"/>
        <v>0</v>
      </c>
      <c r="L292" s="2784">
        <f t="shared" si="27"/>
        <v>0</v>
      </c>
      <c r="M292" s="2784">
        <f t="shared" si="27"/>
        <v>0</v>
      </c>
      <c r="N292" s="2784">
        <f t="shared" si="27"/>
        <v>0</v>
      </c>
      <c r="P292" s="398"/>
      <c r="Q292" s="398"/>
      <c r="R292" s="398"/>
    </row>
    <row r="293" spans="1:18">
      <c r="B293" s="1624" t="s">
        <v>221</v>
      </c>
      <c r="C293" s="2" t="s">
        <v>98</v>
      </c>
      <c r="D293" s="2" t="s">
        <v>88</v>
      </c>
      <c r="E293" s="367" t="str">
        <f>Preferences.EnergyUnits</f>
        <v>TWh</v>
      </c>
      <c r="F293" s="1335">
        <f ca="1">F$290*$F291*F292</f>
        <v>0</v>
      </c>
      <c r="G293" s="1335">
        <f t="shared" ref="G293:N293" ca="1" si="28">G$290*$F291*G292</f>
        <v>0</v>
      </c>
      <c r="H293" s="1335">
        <f t="shared" ca="1" si="28"/>
        <v>0</v>
      </c>
      <c r="I293" s="1335">
        <f t="shared" ca="1" si="28"/>
        <v>0</v>
      </c>
      <c r="J293" s="1335">
        <f t="shared" ca="1" si="28"/>
        <v>0</v>
      </c>
      <c r="K293" s="1335">
        <f t="shared" ca="1" si="28"/>
        <v>0</v>
      </c>
      <c r="L293" s="1335">
        <f t="shared" ca="1" si="28"/>
        <v>0</v>
      </c>
      <c r="M293" s="1335">
        <f t="shared" ca="1" si="28"/>
        <v>0</v>
      </c>
      <c r="N293" s="1335">
        <f t="shared" ca="1" si="28"/>
        <v>0</v>
      </c>
      <c r="P293" s="2785"/>
      <c r="Q293" s="398"/>
      <c r="R293" s="398"/>
    </row>
    <row r="294" spans="1:18">
      <c r="C294" s="988"/>
      <c r="E294" s="382"/>
      <c r="F294" s="366"/>
      <c r="G294" s="366"/>
      <c r="H294" s="366"/>
      <c r="I294" s="366"/>
      <c r="J294" s="366"/>
      <c r="K294" s="366"/>
      <c r="L294" s="366"/>
      <c r="M294" s="366"/>
      <c r="N294" s="366"/>
      <c r="P294" s="398"/>
      <c r="Q294" s="398"/>
      <c r="R294" s="398"/>
    </row>
    <row r="295" spans="1:18">
      <c r="B295" s="1381" t="s">
        <v>219</v>
      </c>
      <c r="C295" s="414" t="s">
        <v>2139</v>
      </c>
      <c r="D295" s="414" t="s">
        <v>1712</v>
      </c>
      <c r="E295" s="1381"/>
      <c r="F295" s="2784">
        <f>SUMIFS(INDEX($F$34:$I$48, , MATCH($E$7, $F$33:$I$33, 0)), $C$34:$C$48, $C$290, $E$34:$E$48, D295 )</f>
        <v>0</v>
      </c>
      <c r="G295" s="2784"/>
      <c r="H295" s="2784"/>
      <c r="I295" s="2784"/>
      <c r="J295" s="2784"/>
      <c r="K295" s="2784"/>
      <c r="L295" s="2784"/>
      <c r="M295" s="2784"/>
      <c r="N295" s="2784"/>
      <c r="P295" s="398"/>
      <c r="Q295" s="398"/>
      <c r="R295" s="398"/>
    </row>
    <row r="296" spans="1:18" collapsed="1">
      <c r="B296" s="1381" t="s">
        <v>219</v>
      </c>
      <c r="C296" s="414" t="s">
        <v>2140</v>
      </c>
      <c r="D296" s="414"/>
      <c r="E296" s="1381"/>
      <c r="F296" s="2784">
        <f>INDEX($K$62:$K$64, MATCH($C297, $C$62:$C$64, 0))</f>
        <v>0</v>
      </c>
      <c r="G296" s="2784">
        <f>INDEX($K$62:$K$64, MATCH($C297, $C$62:$C$64, 0))</f>
        <v>0</v>
      </c>
      <c r="H296" s="2784">
        <f>INDEX($K$62:$K$64, MATCH($C297, $C$62:$C$64, 0))</f>
        <v>0</v>
      </c>
      <c r="I296" s="2784">
        <f t="shared" ref="I296:N296" si="29">INDEX($K$75:$K$77, MATCH($C297, $C$75:$C$77, 0))</f>
        <v>0</v>
      </c>
      <c r="J296" s="2784">
        <f t="shared" si="29"/>
        <v>0</v>
      </c>
      <c r="K296" s="2784">
        <f t="shared" si="29"/>
        <v>0</v>
      </c>
      <c r="L296" s="2784">
        <f t="shared" si="29"/>
        <v>0</v>
      </c>
      <c r="M296" s="2784">
        <f t="shared" si="29"/>
        <v>0</v>
      </c>
      <c r="N296" s="2784">
        <f t="shared" si="29"/>
        <v>0</v>
      </c>
      <c r="P296" s="398"/>
      <c r="Q296" s="398"/>
      <c r="R296" s="398"/>
    </row>
    <row r="297" spans="1:18">
      <c r="B297" s="1624" t="s">
        <v>221</v>
      </c>
      <c r="C297" s="2" t="s">
        <v>99</v>
      </c>
      <c r="D297" s="2" t="s">
        <v>89</v>
      </c>
      <c r="E297" s="367" t="str">
        <f>Preferences.EnergyUnits</f>
        <v>TWh</v>
      </c>
      <c r="F297" s="1335">
        <f ca="1">F$290*$F295*F296</f>
        <v>0</v>
      </c>
      <c r="G297" s="1335">
        <f t="shared" ref="G297:N297" ca="1" si="30">G$290*$F295*G296</f>
        <v>0</v>
      </c>
      <c r="H297" s="1335">
        <f t="shared" ca="1" si="30"/>
        <v>0</v>
      </c>
      <c r="I297" s="1335">
        <f t="shared" ca="1" si="30"/>
        <v>0</v>
      </c>
      <c r="J297" s="1335">
        <f t="shared" ca="1" si="30"/>
        <v>0</v>
      </c>
      <c r="K297" s="1335">
        <f t="shared" ca="1" si="30"/>
        <v>0</v>
      </c>
      <c r="L297" s="1335">
        <f t="shared" ca="1" si="30"/>
        <v>0</v>
      </c>
      <c r="M297" s="1335">
        <f t="shared" ca="1" si="30"/>
        <v>0</v>
      </c>
      <c r="N297" s="1335">
        <f t="shared" ca="1" si="30"/>
        <v>0</v>
      </c>
      <c r="P297" s="398"/>
      <c r="Q297" s="398"/>
      <c r="R297" s="398"/>
    </row>
    <row r="298" spans="1:18">
      <c r="C298" s="363"/>
      <c r="E298" s="382"/>
      <c r="F298" s="366"/>
      <c r="G298" s="366"/>
      <c r="H298" s="366"/>
      <c r="I298" s="366"/>
      <c r="J298" s="366"/>
      <c r="K298" s="366"/>
      <c r="L298" s="366"/>
      <c r="M298" s="366"/>
      <c r="N298" s="366"/>
      <c r="P298" s="398"/>
      <c r="Q298" s="398"/>
      <c r="R298" s="398"/>
    </row>
    <row r="299" spans="1:18">
      <c r="B299" s="1381" t="s">
        <v>219</v>
      </c>
      <c r="C299" s="414" t="s">
        <v>2139</v>
      </c>
      <c r="D299" s="414" t="s">
        <v>15</v>
      </c>
      <c r="E299" s="1381"/>
      <c r="F299" s="2784">
        <f>SUMIFS(INDEX($F$34:$I$48, , MATCH($E$7, $F$33:$I$33, 0)), $C$34:$C$48, $C$290, $E$34:$E$48, D299 )</f>
        <v>1</v>
      </c>
      <c r="G299" s="2784"/>
      <c r="H299" s="2784"/>
      <c r="I299" s="2784"/>
      <c r="J299" s="2784"/>
      <c r="K299" s="2784"/>
      <c r="L299" s="2784"/>
      <c r="M299" s="2784"/>
      <c r="N299" s="2784"/>
      <c r="P299" s="398"/>
      <c r="Q299" s="398"/>
      <c r="R299" s="398"/>
    </row>
    <row r="300" spans="1:18">
      <c r="B300" s="1381" t="s">
        <v>219</v>
      </c>
      <c r="C300" s="414" t="s">
        <v>2140</v>
      </c>
      <c r="D300" s="414"/>
      <c r="E300" s="1381"/>
      <c r="F300" s="2784">
        <f>INDEX($K$62:$K$64, MATCH($C301, $C$62:$C$64, 0))</f>
        <v>1</v>
      </c>
      <c r="G300" s="2784">
        <f>INDEX($K$62:$K$64, MATCH($C301, $C$62:$C$64, 0))</f>
        <v>1</v>
      </c>
      <c r="H300" s="2784">
        <f>INDEX($K$62:$K$64, MATCH($C301, $C$62:$C$64, 0))</f>
        <v>1</v>
      </c>
      <c r="I300" s="2784">
        <f t="shared" ref="I300:N300" si="31">INDEX($K$75:$K$77, MATCH($C301, $C$75:$C$77, 0))</f>
        <v>1</v>
      </c>
      <c r="J300" s="2784">
        <f t="shared" si="31"/>
        <v>1</v>
      </c>
      <c r="K300" s="2784">
        <f t="shared" si="31"/>
        <v>1</v>
      </c>
      <c r="L300" s="2784">
        <f t="shared" si="31"/>
        <v>1</v>
      </c>
      <c r="M300" s="2784">
        <f t="shared" si="31"/>
        <v>1</v>
      </c>
      <c r="N300" s="2784">
        <f t="shared" si="31"/>
        <v>1</v>
      </c>
      <c r="P300" s="398"/>
      <c r="Q300" s="398"/>
      <c r="R300" s="398"/>
    </row>
    <row r="301" spans="1:18">
      <c r="B301" s="1624" t="s">
        <v>221</v>
      </c>
      <c r="C301" s="2" t="s">
        <v>100</v>
      </c>
      <c r="D301" s="2" t="s">
        <v>90</v>
      </c>
      <c r="E301" s="367" t="str">
        <f>Preferences.EnergyUnits</f>
        <v>TWh</v>
      </c>
      <c r="F301" s="1335">
        <f ca="1">F$290*$F299*F300</f>
        <v>0.11749909065550901</v>
      </c>
      <c r="G301" s="1335">
        <f t="shared" ref="G301:N301" ca="1" si="32">G$290*$F299*G300</f>
        <v>0.13447853364046278</v>
      </c>
      <c r="H301" s="1335">
        <f t="shared" ca="1" si="32"/>
        <v>0.14794501798441054</v>
      </c>
      <c r="I301" s="1335">
        <f t="shared" ca="1" si="32"/>
        <v>0.16872527422163447</v>
      </c>
      <c r="J301" s="1335">
        <f t="shared" ca="1" si="32"/>
        <v>0.16588202572781321</v>
      </c>
      <c r="K301" s="1335">
        <f t="shared" ca="1" si="32"/>
        <v>0.16174046741956455</v>
      </c>
      <c r="L301" s="1335">
        <f t="shared" ca="1" si="32"/>
        <v>0.15626201242516538</v>
      </c>
      <c r="M301" s="1335">
        <f t="shared" ca="1" si="32"/>
        <v>0.14940807387289254</v>
      </c>
      <c r="N301" s="1335">
        <f t="shared" ca="1" si="32"/>
        <v>0.14114006489102265</v>
      </c>
      <c r="P301" s="398"/>
      <c r="Q301" s="398"/>
      <c r="R301" s="398"/>
    </row>
    <row r="302" spans="1:18">
      <c r="C302" s="363"/>
      <c r="D302" s="381"/>
      <c r="E302" s="364"/>
      <c r="F302" s="366"/>
      <c r="G302" s="366"/>
      <c r="H302" s="366"/>
      <c r="I302" s="366"/>
      <c r="J302" s="366"/>
      <c r="K302" s="366"/>
      <c r="L302" s="366"/>
      <c r="M302" s="366"/>
      <c r="N302" s="366"/>
      <c r="P302" s="398"/>
      <c r="Q302" s="398"/>
      <c r="R302" s="398"/>
    </row>
    <row r="303" spans="1:18" ht="23.25">
      <c r="A303" s="7"/>
      <c r="B303" s="363">
        <v>5</v>
      </c>
      <c r="C303" s="363" t="s">
        <v>2144</v>
      </c>
      <c r="E303" s="2688"/>
      <c r="F303" s="374"/>
      <c r="G303" s="374"/>
      <c r="H303" s="374"/>
      <c r="I303" s="374"/>
      <c r="J303" s="374"/>
      <c r="K303" s="374"/>
      <c r="L303" s="374"/>
      <c r="M303" s="374"/>
      <c r="N303" s="374"/>
      <c r="P303" s="398"/>
      <c r="Q303" s="398"/>
      <c r="R303" s="398"/>
    </row>
    <row r="304" spans="1:18" collapsed="1">
      <c r="C304" s="991"/>
      <c r="E304" s="2688"/>
      <c r="F304" s="374"/>
      <c r="G304" s="374"/>
      <c r="H304" s="374"/>
      <c r="I304" s="374"/>
      <c r="J304" s="374"/>
      <c r="K304" s="374"/>
      <c r="L304" s="374"/>
      <c r="M304" s="374"/>
      <c r="N304" s="374"/>
      <c r="P304" s="398"/>
      <c r="Q304" s="398"/>
      <c r="R304" s="398"/>
    </row>
    <row r="305" spans="1:18">
      <c r="C305" s="363" t="s">
        <v>2145</v>
      </c>
      <c r="E305" s="2688"/>
      <c r="F305" s="374"/>
      <c r="G305" s="374"/>
      <c r="H305" s="374"/>
      <c r="I305" s="374"/>
      <c r="J305" s="374"/>
      <c r="K305" s="374"/>
      <c r="L305" s="374"/>
      <c r="M305" s="374"/>
      <c r="N305" s="374"/>
      <c r="P305" s="398"/>
      <c r="Q305" s="398"/>
      <c r="R305" s="398"/>
    </row>
    <row r="306" spans="1:18" ht="15" customHeight="1">
      <c r="B306" s="382" t="s">
        <v>98</v>
      </c>
      <c r="C306" s="2" t="s">
        <v>88</v>
      </c>
      <c r="E306" s="367" t="str">
        <f>Preferences.EnergyUnits</f>
        <v>TWh</v>
      </c>
      <c r="F306" s="374">
        <f t="shared" ref="F306:M306" ca="1" si="33">F238+F252+F266+F279+F293</f>
        <v>0.54269113815300019</v>
      </c>
      <c r="G306" s="374">
        <f t="shared" ca="1" si="33"/>
        <v>3.5997577180337856</v>
      </c>
      <c r="H306" s="374">
        <f t="shared" ca="1" si="33"/>
        <v>12.629791105809554</v>
      </c>
      <c r="I306" s="374">
        <f t="shared" ca="1" si="33"/>
        <v>26.304701876768743</v>
      </c>
      <c r="J306" s="374">
        <f t="shared" ca="1" si="33"/>
        <v>38.956916202526862</v>
      </c>
      <c r="K306" s="374">
        <f t="shared" ca="1" si="33"/>
        <v>53.077575694119567</v>
      </c>
      <c r="L306" s="374">
        <f t="shared" ca="1" si="33"/>
        <v>71.9469181755818</v>
      </c>
      <c r="M306" s="374">
        <f t="shared" ca="1" si="33"/>
        <v>87.895402623048938</v>
      </c>
      <c r="N306" s="374">
        <f ca="1">N238+N252+N266+N279+N293</f>
        <v>104.20790982088215</v>
      </c>
      <c r="P306" s="398"/>
      <c r="Q306" s="398"/>
      <c r="R306" s="398"/>
    </row>
    <row r="307" spans="1:18" ht="12" customHeight="1">
      <c r="A307" s="443"/>
      <c r="B307" s="382" t="s">
        <v>99</v>
      </c>
      <c r="C307" s="2" t="s">
        <v>89</v>
      </c>
      <c r="E307" s="367" t="str">
        <f>Preferences.EnergyUnits</f>
        <v>TWh</v>
      </c>
      <c r="F307" s="374">
        <f t="shared" ref="F307:N307" ca="1" si="34">F242+F256+F270+F283+F295</f>
        <v>4.4485000000000004E-2</v>
      </c>
      <c r="G307" s="374">
        <f t="shared" ca="1" si="34"/>
        <v>5.5028044762011015E-2</v>
      </c>
      <c r="H307" s="374">
        <f t="shared" ca="1" si="34"/>
        <v>8.3407241799860629E-2</v>
      </c>
      <c r="I307" s="374">
        <f t="shared" ca="1" si="34"/>
        <v>0.117093819831379</v>
      </c>
      <c r="J307" s="374">
        <f t="shared" ca="1" si="34"/>
        <v>0.1525758671279841</v>
      </c>
      <c r="K307" s="374">
        <f t="shared" ca="1" si="34"/>
        <v>0.19175395542692011</v>
      </c>
      <c r="L307" s="374">
        <f t="shared" ca="1" si="34"/>
        <v>0.23493597507424119</v>
      </c>
      <c r="M307" s="374">
        <f t="shared" ca="1" si="34"/>
        <v>0.28245301287517371</v>
      </c>
      <c r="N307" s="374">
        <f t="shared" ca="1" si="34"/>
        <v>0.3346610022486472</v>
      </c>
      <c r="P307" s="398"/>
      <c r="Q307" s="398"/>
      <c r="R307" s="398"/>
    </row>
    <row r="308" spans="1:18" ht="15.75">
      <c r="A308" s="443"/>
      <c r="B308" s="382" t="s">
        <v>100</v>
      </c>
      <c r="C308" s="2" t="s">
        <v>90</v>
      </c>
      <c r="E308" s="367" t="str">
        <f>Preferences.EnergyUnits</f>
        <v>TWh</v>
      </c>
      <c r="F308" s="374">
        <f t="shared" ref="F308:N308" ca="1" si="35">F246+F260+F274+F287+F301</f>
        <v>0.22774455378050898</v>
      </c>
      <c r="G308" s="374">
        <f t="shared" ca="1" si="35"/>
        <v>0.36184126233438352</v>
      </c>
      <c r="H308" s="374">
        <f t="shared" ca="1" si="35"/>
        <v>1.2809073708829677</v>
      </c>
      <c r="I308" s="374">
        <f t="shared" ca="1" si="35"/>
        <v>2.7367354408428457</v>
      </c>
      <c r="J308" s="374">
        <f t="shared" ca="1" si="35"/>
        <v>6.8882063731063781</v>
      </c>
      <c r="K308" s="374">
        <f t="shared" ca="1" si="35"/>
        <v>10.241779129231292</v>
      </c>
      <c r="L308" s="374">
        <f t="shared" ca="1" si="35"/>
        <v>15.401266021886139</v>
      </c>
      <c r="M308" s="374">
        <f t="shared" ca="1" si="35"/>
        <v>19.887599646208944</v>
      </c>
      <c r="N308" s="374">
        <f t="shared" ca="1" si="35"/>
        <v>23.824090611859152</v>
      </c>
    </row>
    <row r="309" spans="1:18" ht="15.75">
      <c r="A309" s="443"/>
      <c r="C309" s="991"/>
      <c r="E309" s="2688"/>
      <c r="F309" s="374"/>
      <c r="G309" s="374"/>
      <c r="H309" s="374"/>
      <c r="I309" s="374"/>
      <c r="J309" s="374"/>
      <c r="K309" s="374"/>
      <c r="L309" s="374"/>
      <c r="M309" s="374"/>
      <c r="N309" s="374"/>
    </row>
    <row r="310" spans="1:18" ht="15.75">
      <c r="A310" s="443"/>
      <c r="C310" s="363" t="s">
        <v>2146</v>
      </c>
      <c r="E310" s="2688"/>
      <c r="F310" s="374"/>
      <c r="G310" s="374"/>
      <c r="H310" s="374"/>
      <c r="I310" s="374"/>
      <c r="J310" s="374"/>
      <c r="K310" s="374"/>
      <c r="L310" s="374"/>
      <c r="M310" s="374"/>
      <c r="N310" s="374"/>
    </row>
    <row r="311" spans="1:18" ht="15.75">
      <c r="A311" s="443"/>
      <c r="B311" s="382" t="s">
        <v>98</v>
      </c>
      <c r="C311" s="2" t="s">
        <v>88</v>
      </c>
      <c r="E311" s="367" t="str">
        <f>Preferences.EnergyUnits</f>
        <v>TWh</v>
      </c>
      <c r="F311" s="374">
        <f ca="1">MAX(MIN(F306, -F24),0)</f>
        <v>0.54269113815300019</v>
      </c>
      <c r="G311" s="374">
        <f t="shared" ref="G311:N313" ca="1" si="36">MAX(MIN(G306, -G24),0)</f>
        <v>3.5997577180337856</v>
      </c>
      <c r="H311" s="374">
        <f t="shared" ca="1" si="36"/>
        <v>12.629791105809554</v>
      </c>
      <c r="I311" s="374">
        <f t="shared" ca="1" si="36"/>
        <v>10.924447090064488</v>
      </c>
      <c r="J311" s="374">
        <f t="shared" ca="1" si="36"/>
        <v>7.3833809460243156</v>
      </c>
      <c r="K311" s="374">
        <f t="shared" ca="1" si="36"/>
        <v>25.062916527922088</v>
      </c>
      <c r="L311" s="374">
        <f t="shared" ca="1" si="36"/>
        <v>26.552829881435457</v>
      </c>
      <c r="M311" s="374">
        <f t="shared" ca="1" si="36"/>
        <v>26.608380914267954</v>
      </c>
      <c r="N311" s="374">
        <f t="shared" ca="1" si="36"/>
        <v>26.675755503624643</v>
      </c>
    </row>
    <row r="312" spans="1:18" ht="15.75">
      <c r="A312" s="443"/>
      <c r="B312" s="382" t="s">
        <v>99</v>
      </c>
      <c r="C312" s="2" t="s">
        <v>89</v>
      </c>
      <c r="E312" s="367" t="str">
        <f>Preferences.EnergyUnits</f>
        <v>TWh</v>
      </c>
      <c r="F312" s="374">
        <f ca="1">MAX(MIN(F307, -F25),0)</f>
        <v>4.4485000000000004E-2</v>
      </c>
      <c r="G312" s="374">
        <f t="shared" ca="1" si="36"/>
        <v>5.5028044762011015E-2</v>
      </c>
      <c r="H312" s="374">
        <f t="shared" ca="1" si="36"/>
        <v>8.3407241799860629E-2</v>
      </c>
      <c r="I312" s="374">
        <f t="shared" ca="1" si="36"/>
        <v>0.117093819831379</v>
      </c>
      <c r="J312" s="374">
        <f t="shared" ca="1" si="36"/>
        <v>0.1525758671279841</v>
      </c>
      <c r="K312" s="374">
        <f t="shared" ca="1" si="36"/>
        <v>0.19175395542692011</v>
      </c>
      <c r="L312" s="374">
        <f t="shared" ca="1" si="36"/>
        <v>0.23493597507424119</v>
      </c>
      <c r="M312" s="374">
        <f t="shared" ca="1" si="36"/>
        <v>0.28245301287517371</v>
      </c>
      <c r="N312" s="374">
        <f t="shared" ca="1" si="36"/>
        <v>0.3346610022486472</v>
      </c>
    </row>
    <row r="313" spans="1:18" ht="14.25" customHeight="1">
      <c r="A313" s="443"/>
      <c r="B313" s="382" t="s">
        <v>100</v>
      </c>
      <c r="C313" s="2" t="s">
        <v>90</v>
      </c>
      <c r="E313" s="367" t="str">
        <f>Preferences.EnergyUnits</f>
        <v>TWh</v>
      </c>
      <c r="F313" s="374">
        <f ca="1">MAX(MIN(F308, -F26),0)</f>
        <v>0.22774455378050898</v>
      </c>
      <c r="G313" s="374">
        <f t="shared" ca="1" si="36"/>
        <v>0.36184126233438352</v>
      </c>
      <c r="H313" s="374">
        <f t="shared" ca="1" si="36"/>
        <v>1.2809073708829677</v>
      </c>
      <c r="I313" s="374">
        <f t="shared" ca="1" si="36"/>
        <v>2.7367354408428457</v>
      </c>
      <c r="J313" s="374">
        <f t="shared" ca="1" si="36"/>
        <v>6.8882063731063781</v>
      </c>
      <c r="K313" s="374">
        <f t="shared" ca="1" si="36"/>
        <v>10.241779129231292</v>
      </c>
      <c r="L313" s="374">
        <f t="shared" ca="1" si="36"/>
        <v>15.401266021886139</v>
      </c>
      <c r="M313" s="374">
        <f t="shared" ca="1" si="36"/>
        <v>19.887599646208944</v>
      </c>
      <c r="N313" s="374">
        <f t="shared" ca="1" si="36"/>
        <v>23.824090611859152</v>
      </c>
    </row>
    <row r="314" spans="1:18" ht="15.75">
      <c r="A314" s="443"/>
      <c r="C314" s="991"/>
      <c r="F314" s="374"/>
      <c r="G314" s="374"/>
      <c r="H314" s="374"/>
      <c r="I314" s="374"/>
      <c r="J314" s="374"/>
      <c r="K314" s="374"/>
      <c r="L314" s="374"/>
      <c r="M314" s="374"/>
      <c r="N314" s="374"/>
    </row>
    <row r="315" spans="1:18" ht="15.75">
      <c r="A315" s="443"/>
      <c r="B315" s="3951" t="s">
        <v>28</v>
      </c>
      <c r="C315" s="3952" t="s">
        <v>2147</v>
      </c>
      <c r="D315" s="1189" t="s">
        <v>2148</v>
      </c>
      <c r="E315" s="3951" t="s">
        <v>1491</v>
      </c>
      <c r="F315" s="3952" t="s">
        <v>597</v>
      </c>
      <c r="G315" s="3952" t="s">
        <v>133</v>
      </c>
      <c r="H315" s="3952" t="s">
        <v>134</v>
      </c>
      <c r="I315" s="3952" t="s">
        <v>135</v>
      </c>
      <c r="J315" s="3952" t="s">
        <v>136</v>
      </c>
      <c r="K315" s="3952" t="s">
        <v>137</v>
      </c>
      <c r="L315" s="3952" t="s">
        <v>138</v>
      </c>
      <c r="M315" s="3952" t="s">
        <v>139</v>
      </c>
      <c r="N315" s="3952" t="s">
        <v>140</v>
      </c>
    </row>
    <row r="316" spans="1:18" ht="13.5" customHeight="1">
      <c r="A316" s="443"/>
      <c r="B316" s="3951" t="s">
        <v>98</v>
      </c>
      <c r="C316" s="3953" t="s">
        <v>88</v>
      </c>
      <c r="D316" s="1189"/>
      <c r="E316" s="3954" t="str">
        <f>Preferences.EnergyUnits</f>
        <v>TWh</v>
      </c>
      <c r="F316" s="3955">
        <f t="shared" ref="F316:N316" ca="1" si="37">F306-F311</f>
        <v>0</v>
      </c>
      <c r="G316" s="3955">
        <f t="shared" ca="1" si="37"/>
        <v>0</v>
      </c>
      <c r="H316" s="3955">
        <f t="shared" ca="1" si="37"/>
        <v>0</v>
      </c>
      <c r="I316" s="3955">
        <f t="shared" ca="1" si="37"/>
        <v>15.380254786704254</v>
      </c>
      <c r="J316" s="3955">
        <f t="shared" ca="1" si="37"/>
        <v>31.573535256502545</v>
      </c>
      <c r="K316" s="3955">
        <f t="shared" ca="1" si="37"/>
        <v>28.014659166197479</v>
      </c>
      <c r="L316" s="3955">
        <f t="shared" ca="1" si="37"/>
        <v>45.394088294146343</v>
      </c>
      <c r="M316" s="3955">
        <f t="shared" ca="1" si="37"/>
        <v>61.287021708780983</v>
      </c>
      <c r="N316" s="3955">
        <f t="shared" ca="1" si="37"/>
        <v>77.532154317257508</v>
      </c>
    </row>
    <row r="317" spans="1:18" s="39" customFormat="1" ht="15.75">
      <c r="A317" s="1642"/>
      <c r="B317" s="3951" t="s">
        <v>99</v>
      </c>
      <c r="C317" s="3953" t="s">
        <v>89</v>
      </c>
      <c r="D317" s="1189"/>
      <c r="E317" s="3954" t="str">
        <f>Preferences.EnergyUnits</f>
        <v>TWh</v>
      </c>
      <c r="F317" s="3955">
        <f ca="1">F307-F312</f>
        <v>0</v>
      </c>
      <c r="G317" s="3955">
        <f t="shared" ref="G317:N318" ca="1" si="38">G307-G312</f>
        <v>0</v>
      </c>
      <c r="H317" s="3955">
        <f t="shared" ca="1" si="38"/>
        <v>0</v>
      </c>
      <c r="I317" s="3955">
        <f t="shared" ca="1" si="38"/>
        <v>0</v>
      </c>
      <c r="J317" s="3955">
        <f t="shared" ca="1" si="38"/>
        <v>0</v>
      </c>
      <c r="K317" s="3955">
        <f t="shared" ca="1" si="38"/>
        <v>0</v>
      </c>
      <c r="L317" s="3955">
        <f t="shared" ca="1" si="38"/>
        <v>0</v>
      </c>
      <c r="M317" s="3955">
        <f t="shared" ca="1" si="38"/>
        <v>0</v>
      </c>
      <c r="N317" s="3955">
        <f t="shared" ca="1" si="38"/>
        <v>0</v>
      </c>
    </row>
    <row r="318" spans="1:18" ht="15.75">
      <c r="A318" s="443"/>
      <c r="B318" s="3951" t="s">
        <v>100</v>
      </c>
      <c r="C318" s="3953" t="s">
        <v>90</v>
      </c>
      <c r="D318" s="1189"/>
      <c r="E318" s="3954" t="str">
        <f>Preferences.EnergyUnits</f>
        <v>TWh</v>
      </c>
      <c r="F318" s="3955">
        <f ca="1">F308-F313</f>
        <v>0</v>
      </c>
      <c r="G318" s="3955">
        <f t="shared" ca="1" si="38"/>
        <v>0</v>
      </c>
      <c r="H318" s="3955">
        <f t="shared" ca="1" si="38"/>
        <v>0</v>
      </c>
      <c r="I318" s="3955">
        <f t="shared" ca="1" si="38"/>
        <v>0</v>
      </c>
      <c r="J318" s="3955">
        <f t="shared" ca="1" si="38"/>
        <v>0</v>
      </c>
      <c r="K318" s="3955">
        <f t="shared" ca="1" si="38"/>
        <v>0</v>
      </c>
      <c r="L318" s="3955">
        <f t="shared" ca="1" si="38"/>
        <v>0</v>
      </c>
      <c r="M318" s="3955">
        <f t="shared" ca="1" si="38"/>
        <v>0</v>
      </c>
      <c r="N318" s="3955">
        <f t="shared" ca="1" si="38"/>
        <v>0</v>
      </c>
    </row>
    <row r="319" spans="1:18">
      <c r="B319" s="382"/>
      <c r="C319" s="2"/>
      <c r="F319" s="374"/>
      <c r="G319" s="374"/>
      <c r="H319" s="374"/>
      <c r="I319" s="374"/>
      <c r="J319" s="374"/>
      <c r="K319" s="374"/>
      <c r="L319" s="374"/>
      <c r="M319" s="374"/>
      <c r="N319" s="374"/>
    </row>
    <row r="320" spans="1:18" ht="23.25">
      <c r="A320" s="7"/>
      <c r="B320" s="363">
        <v>6</v>
      </c>
      <c r="C320" s="363" t="s">
        <v>2149</v>
      </c>
      <c r="F320" s="366"/>
      <c r="G320" s="366"/>
      <c r="H320" s="366"/>
      <c r="I320" s="366"/>
      <c r="J320" s="366"/>
      <c r="K320" s="366"/>
      <c r="L320" s="366"/>
      <c r="M320" s="366"/>
      <c r="N320" s="366"/>
    </row>
    <row r="321" spans="2:15">
      <c r="B321" s="363"/>
      <c r="C321" s="363"/>
      <c r="F321" s="366"/>
      <c r="G321" s="366"/>
      <c r="H321" s="366"/>
      <c r="I321" s="366"/>
      <c r="J321" s="366"/>
      <c r="K321" s="366"/>
      <c r="L321" s="366"/>
      <c r="M321" s="366"/>
      <c r="N321" s="366"/>
    </row>
    <row r="322" spans="2:15">
      <c r="B322" s="367"/>
      <c r="C322" s="2685" t="s">
        <v>2150</v>
      </c>
      <c r="E322" s="2685" t="s">
        <v>254</v>
      </c>
      <c r="F322" s="2167">
        <f t="array" aca="1" ref="F322" ca="1">SUM(F$311:F$313*SUMIFS(EF[CO2], EF[Vector], $B$311:$B$313))</f>
        <v>0.24158752466535785</v>
      </c>
      <c r="G322" s="2167">
        <f t="array" aca="1" ref="G322" ca="1">SUM(G$311:G$313*SUMIFS(EF[CO2], EF[Vector], $B$311:$B$313))</f>
        <v>1.3039562180674993</v>
      </c>
      <c r="H322" s="2167">
        <f t="array" aca="1" ref="H322" ca="1">SUM(H$311:H$313*SUMIFS(EF[CO2], EF[Vector], $B$311:$B$313))</f>
        <v>4.5483387816642304</v>
      </c>
      <c r="I322" s="2167">
        <f t="array" aca="1" ref="I322" ca="1">SUM(I$311:I$313*SUMIFS(EF[CO2], EF[Vector], $B$311:$B$313))</f>
        <v>4.2795045259295694</v>
      </c>
      <c r="J322" s="2167">
        <f t="array" aca="1" ref="J322" ca="1">SUM(J$311:J$313*SUMIFS(EF[CO2], EF[Vector], $B$311:$B$313))</f>
        <v>3.9432183894787181</v>
      </c>
      <c r="K322" s="2167">
        <f t="array" aca="1" ref="K322" ca="1">SUM(K$311:K$313*SUMIFS(EF[CO2], EF[Vector], $B$311:$B$313))</f>
        <v>10.609111376385965</v>
      </c>
      <c r="L322" s="2167">
        <f t="array" aca="1" ref="L322" ca="1">SUM(L$311:L$313*SUMIFS(EF[CO2], EF[Vector], $B$311:$B$313))</f>
        <v>12.179790717984302</v>
      </c>
      <c r="M322" s="2167">
        <f t="array" aca="1" ref="M322" ca="1">SUM(M$311:M$313*SUMIFS(EF[CO2], EF[Vector], $B$311:$B$313))</f>
        <v>13.129532390118314</v>
      </c>
      <c r="N322" s="2167">
        <f t="array" aca="1" ref="N322" ca="1">SUM(N$311:N$313*SUMIFS(EF[CO2], EF[Vector], $B$311:$B$313))</f>
        <v>13.971939359188873</v>
      </c>
    </row>
    <row r="323" spans="2:15">
      <c r="B323" s="367"/>
      <c r="F323" s="413" t="s">
        <v>5</v>
      </c>
      <c r="G323" s="413"/>
      <c r="H323" s="413" t="s">
        <v>5</v>
      </c>
      <c r="I323" s="413"/>
      <c r="J323" s="413"/>
      <c r="K323" s="413"/>
      <c r="L323" s="413"/>
      <c r="M323" s="413"/>
      <c r="N323" s="413"/>
    </row>
    <row r="324" spans="2:15">
      <c r="B324" s="363">
        <v>6</v>
      </c>
      <c r="C324" s="363" t="s">
        <v>2151</v>
      </c>
      <c r="F324" s="413"/>
      <c r="G324" s="413"/>
      <c r="H324" s="413"/>
      <c r="I324" s="413"/>
      <c r="J324" s="413"/>
      <c r="K324" s="413"/>
      <c r="L324" s="413"/>
      <c r="M324" s="413"/>
      <c r="N324" s="413"/>
    </row>
    <row r="325" spans="2:15">
      <c r="B325" s="363"/>
      <c r="C325" s="363"/>
      <c r="F325" s="413"/>
      <c r="G325" s="413"/>
      <c r="H325" s="413"/>
      <c r="I325" s="413"/>
      <c r="J325" s="413"/>
      <c r="K325" s="413"/>
      <c r="L325" s="413"/>
      <c r="M325" s="413"/>
      <c r="N325" s="413"/>
    </row>
    <row r="326" spans="2:15">
      <c r="B326" s="363" t="s">
        <v>2152</v>
      </c>
      <c r="C326" s="363" t="s">
        <v>59</v>
      </c>
      <c r="F326" s="413"/>
      <c r="G326" s="413"/>
      <c r="H326" s="413"/>
      <c r="I326" s="413"/>
      <c r="J326" s="413"/>
      <c r="K326" s="413"/>
      <c r="L326" s="413"/>
      <c r="M326" s="413"/>
      <c r="N326" s="413" t="s">
        <v>2153</v>
      </c>
    </row>
    <row r="327" spans="2:15">
      <c r="B327" s="363"/>
      <c r="C327" s="363" t="s">
        <v>2109</v>
      </c>
      <c r="D327" s="363"/>
      <c r="E327" s="363" t="s">
        <v>2110</v>
      </c>
      <c r="F327" s="364">
        <v>2013</v>
      </c>
      <c r="G327" s="364" t="s">
        <v>133</v>
      </c>
      <c r="H327" s="364" t="s">
        <v>134</v>
      </c>
      <c r="I327" s="364" t="s">
        <v>135</v>
      </c>
      <c r="J327" s="364" t="s">
        <v>136</v>
      </c>
      <c r="K327" s="364" t="s">
        <v>137</v>
      </c>
      <c r="L327" s="364" t="s">
        <v>138</v>
      </c>
      <c r="M327" s="364" t="s">
        <v>139</v>
      </c>
      <c r="N327" s="364" t="s">
        <v>140</v>
      </c>
      <c r="O327" s="364"/>
    </row>
    <row r="328" spans="2:15">
      <c r="B328" s="363"/>
      <c r="C328" s="2" t="s">
        <v>382</v>
      </c>
      <c r="E328" s="2" t="s">
        <v>16</v>
      </c>
      <c r="F328" s="424">
        <f ca="1">IFERROR(F$238/plantsize.V.a.Dry_bio_and_waste_to_solid,0)</f>
        <v>0.78013227630600024</v>
      </c>
      <c r="G328" s="424">
        <f t="shared" ref="G328:N328" ca="1" si="39">IFERROR(G$238/plantsize.V.a.Dry_bio_and_waste_to_solid,0)</f>
        <v>1.9336293326063543</v>
      </c>
      <c r="H328" s="424">
        <f t="shared" ca="1" si="39"/>
        <v>6.2515405814020673</v>
      </c>
      <c r="I328" s="424">
        <f t="shared" ca="1" si="39"/>
        <v>15.830847692856677</v>
      </c>
      <c r="J328" s="424">
        <f t="shared" ca="1" si="39"/>
        <v>21.957074255739503</v>
      </c>
      <c r="K328" s="424">
        <f t="shared" ca="1" si="39"/>
        <v>28.275526255169684</v>
      </c>
      <c r="L328" s="424">
        <f t="shared" ca="1" si="39"/>
        <v>41.036989850767</v>
      </c>
      <c r="M328" s="424">
        <f t="shared" ca="1" si="39"/>
        <v>44.561218800944161</v>
      </c>
      <c r="N328" s="424">
        <f t="shared" ca="1" si="39"/>
        <v>45.042320511367933</v>
      </c>
      <c r="O328" s="424"/>
    </row>
    <row r="329" spans="2:15">
      <c r="B329" s="363"/>
      <c r="C329" s="2" t="s">
        <v>382</v>
      </c>
      <c r="E329" s="2" t="s">
        <v>1712</v>
      </c>
      <c r="F329" s="424">
        <f ca="1">IFERROR(F$242/plantsize.V.a.Dry_bio_and_waste_to_liquid,0)</f>
        <v>0</v>
      </c>
      <c r="G329" s="424">
        <f t="shared" ref="G329:N329" ca="1" si="40">IFERROR(G$242/plantsize.V.a.Dry_bio_and_waste_to_liquid,0)</f>
        <v>0</v>
      </c>
      <c r="H329" s="424">
        <f t="shared" ca="1" si="40"/>
        <v>0</v>
      </c>
      <c r="I329" s="424">
        <f t="shared" ca="1" si="40"/>
        <v>0</v>
      </c>
      <c r="J329" s="424">
        <f t="shared" ca="1" si="40"/>
        <v>0</v>
      </c>
      <c r="K329" s="424">
        <f t="shared" ca="1" si="40"/>
        <v>0</v>
      </c>
      <c r="L329" s="424">
        <f t="shared" ca="1" si="40"/>
        <v>0</v>
      </c>
      <c r="M329" s="424">
        <f t="shared" ca="1" si="40"/>
        <v>0</v>
      </c>
      <c r="N329" s="424">
        <f t="shared" ca="1" si="40"/>
        <v>0</v>
      </c>
      <c r="O329" s="424"/>
    </row>
    <row r="330" spans="2:15">
      <c r="B330" s="363"/>
      <c r="C330" s="2" t="s">
        <v>382</v>
      </c>
      <c r="E330" s="2" t="s">
        <v>15</v>
      </c>
      <c r="F330" s="424">
        <f ca="1">IFERROR(F$246/plantsize.V.a.Dry_bio_and_waste_to_gas,0)</f>
        <v>0</v>
      </c>
      <c r="G330" s="424">
        <f t="shared" ref="G330:N330" ca="1" si="41">IFERROR(G$246/plantsize.V.a.Dry_bio_and_waste_to_gas,0)</f>
        <v>0</v>
      </c>
      <c r="H330" s="424">
        <f t="shared" ca="1" si="41"/>
        <v>0</v>
      </c>
      <c r="I330" s="424">
        <f t="shared" ca="1" si="41"/>
        <v>0</v>
      </c>
      <c r="J330" s="424">
        <f t="shared" ca="1" si="41"/>
        <v>0</v>
      </c>
      <c r="K330" s="424">
        <f t="shared" ca="1" si="41"/>
        <v>0</v>
      </c>
      <c r="L330" s="424">
        <f t="shared" ca="1" si="41"/>
        <v>0</v>
      </c>
      <c r="M330" s="424">
        <f t="shared" ca="1" si="41"/>
        <v>0</v>
      </c>
      <c r="N330" s="424">
        <f t="shared" ca="1" si="41"/>
        <v>0</v>
      </c>
      <c r="O330" s="424"/>
    </row>
    <row r="331" spans="2:15">
      <c r="B331" s="363"/>
      <c r="C331" s="2" t="s">
        <v>383</v>
      </c>
      <c r="E331" s="2" t="s">
        <v>16</v>
      </c>
      <c r="F331" s="424">
        <f ca="1">IFERROR(F252/plantsize.V.a.Wet_bio_and_waste_to_solid,0)</f>
        <v>0</v>
      </c>
      <c r="G331" s="424">
        <f t="shared" ref="G331:N331" ca="1" si="42">IFERROR(G252/plantsize.V.a.Wet_bio_and_waste_to_solid,0)</f>
        <v>0</v>
      </c>
      <c r="H331" s="424">
        <f t="shared" ca="1" si="42"/>
        <v>0</v>
      </c>
      <c r="I331" s="424">
        <f t="shared" ca="1" si="42"/>
        <v>0</v>
      </c>
      <c r="J331" s="424">
        <f t="shared" ca="1" si="42"/>
        <v>0</v>
      </c>
      <c r="K331" s="424">
        <f t="shared" ca="1" si="42"/>
        <v>0</v>
      </c>
      <c r="L331" s="424">
        <f t="shared" ca="1" si="42"/>
        <v>0</v>
      </c>
      <c r="M331" s="424">
        <f t="shared" ca="1" si="42"/>
        <v>0</v>
      </c>
      <c r="N331" s="424">
        <f t="shared" ca="1" si="42"/>
        <v>0</v>
      </c>
      <c r="O331" s="424"/>
    </row>
    <row r="332" spans="2:15">
      <c r="B332" s="363"/>
      <c r="C332" s="2" t="s">
        <v>383</v>
      </c>
      <c r="E332" s="2" t="s">
        <v>1712</v>
      </c>
      <c r="F332" s="424">
        <f ca="1">IFERROR(F256/plantsize.V.a.Wet_bio_and_waste_to_liquid,0)</f>
        <v>0</v>
      </c>
      <c r="G332" s="424">
        <f t="shared" ref="G332:N332" ca="1" si="43">IFERROR(G256/plantsize.V.a.Wet_bio_and_waste_to_liquid,0)</f>
        <v>0</v>
      </c>
      <c r="H332" s="424">
        <f t="shared" ca="1" si="43"/>
        <v>0</v>
      </c>
      <c r="I332" s="424">
        <f t="shared" ca="1" si="43"/>
        <v>0</v>
      </c>
      <c r="J332" s="424">
        <f t="shared" ca="1" si="43"/>
        <v>0</v>
      </c>
      <c r="K332" s="424">
        <f t="shared" ca="1" si="43"/>
        <v>0</v>
      </c>
      <c r="L332" s="424">
        <f t="shared" ca="1" si="43"/>
        <v>0</v>
      </c>
      <c r="M332" s="424">
        <f t="shared" ca="1" si="43"/>
        <v>0</v>
      </c>
      <c r="N332" s="424">
        <f t="shared" ca="1" si="43"/>
        <v>0</v>
      </c>
      <c r="O332" s="424"/>
    </row>
    <row r="333" spans="2:15">
      <c r="B333" s="363"/>
      <c r="C333" s="2" t="s">
        <v>383</v>
      </c>
      <c r="E333" s="2" t="s">
        <v>15</v>
      </c>
      <c r="F333" s="424">
        <f ca="1">IFERROR(F260/plantsize.V.a.Wet_bio_and_waste_to_gas,0)</f>
        <v>0.22049092624999994</v>
      </c>
      <c r="G333" s="424">
        <f t="shared" ref="G333:N333" ca="1" si="44">IFERROR(G260/plantsize.V.a.Wet_bio_and_waste_to_gas,0)</f>
        <v>0.45472545738784148</v>
      </c>
      <c r="H333" s="424">
        <f t="shared" ca="1" si="44"/>
        <v>2.2659247057971141</v>
      </c>
      <c r="I333" s="424">
        <f t="shared" ca="1" si="44"/>
        <v>5.1360203332424224</v>
      </c>
      <c r="J333" s="424">
        <f t="shared" ca="1" si="44"/>
        <v>13.444648694757129</v>
      </c>
      <c r="K333" s="424">
        <f t="shared" ca="1" si="44"/>
        <v>20.160077323623455</v>
      </c>
      <c r="L333" s="424">
        <f t="shared" ca="1" si="44"/>
        <v>30.490008018921948</v>
      </c>
      <c r="M333" s="424">
        <f t="shared" ca="1" si="44"/>
        <v>39.476383144672106</v>
      </c>
      <c r="N333" s="424">
        <f t="shared" ca="1" si="44"/>
        <v>47.365901093936259</v>
      </c>
      <c r="O333" s="424"/>
    </row>
    <row r="334" spans="2:15">
      <c r="B334" s="363"/>
      <c r="C334" s="2" t="s">
        <v>380</v>
      </c>
      <c r="E334" s="2" t="s">
        <v>16</v>
      </c>
      <c r="F334" s="424">
        <f ca="1">IFERROR(F266/plantsize.V.a.Energy_crops_2nd_generation_to_solid,0)</f>
        <v>0.30525000000000002</v>
      </c>
      <c r="G334" s="424">
        <f t="shared" ref="G334:N334" ca="1" si="45">IFERROR(G266/plantsize.V.a.Energy_crops_2nd_generation_to_solid,0)</f>
        <v>5.2658861034612174</v>
      </c>
      <c r="H334" s="424">
        <f t="shared" ca="1" si="45"/>
        <v>19.00804163021704</v>
      </c>
      <c r="I334" s="424">
        <f t="shared" ca="1" si="45"/>
        <v>36.778556060680806</v>
      </c>
      <c r="J334" s="424">
        <f t="shared" ca="1" si="45"/>
        <v>55.956758149314226</v>
      </c>
      <c r="K334" s="424">
        <f t="shared" ca="1" si="45"/>
        <v>77.879625133069453</v>
      </c>
      <c r="L334" s="424">
        <f t="shared" ca="1" si="45"/>
        <v>102.8568465003966</v>
      </c>
      <c r="M334" s="424">
        <f t="shared" ca="1" si="45"/>
        <v>131.2295864451537</v>
      </c>
      <c r="N334" s="424">
        <f t="shared" ca="1" si="45"/>
        <v>163.37349913039637</v>
      </c>
      <c r="O334" s="424"/>
    </row>
    <row r="335" spans="2:15">
      <c r="B335" s="363"/>
      <c r="C335" s="2" t="s">
        <v>380</v>
      </c>
      <c r="E335" s="2" t="s">
        <v>1712</v>
      </c>
      <c r="F335" s="424">
        <f ca="1">IFERROR(F270/plantsize.V.a.Energy_crops_2nd_generation_to_liquid,0)</f>
        <v>0</v>
      </c>
      <c r="G335" s="424">
        <f t="shared" ref="G335:N335" ca="1" si="46">IFERROR(G270/plantsize.V.a.Energy_crops_2nd_generation_to_liquid,0)</f>
        <v>0</v>
      </c>
      <c r="H335" s="424">
        <f t="shared" ca="1" si="46"/>
        <v>0</v>
      </c>
      <c r="I335" s="424">
        <f t="shared" ca="1" si="46"/>
        <v>0</v>
      </c>
      <c r="J335" s="424">
        <f t="shared" ca="1" si="46"/>
        <v>0</v>
      </c>
      <c r="K335" s="424">
        <f t="shared" ca="1" si="46"/>
        <v>0</v>
      </c>
      <c r="L335" s="424">
        <f t="shared" ca="1" si="46"/>
        <v>0</v>
      </c>
      <c r="M335" s="424">
        <f t="shared" ca="1" si="46"/>
        <v>0</v>
      </c>
      <c r="N335" s="424">
        <f t="shared" ca="1" si="46"/>
        <v>0</v>
      </c>
      <c r="O335" s="424"/>
    </row>
    <row r="336" spans="2:15">
      <c r="B336" s="363"/>
      <c r="C336" s="2" t="s">
        <v>380</v>
      </c>
      <c r="E336" s="2" t="s">
        <v>15</v>
      </c>
      <c r="F336" s="424">
        <f ca="1">IFERROR(F274/plantsize.V.a.Energy_crops_2nd_generation_to_gas,0)</f>
        <v>0</v>
      </c>
      <c r="G336" s="424">
        <f t="shared" ref="G336:N336" ca="1" si="47">IFERROR(G274/plantsize.V.a.Energy_crops_2nd_generation_to_gas,0)</f>
        <v>0</v>
      </c>
      <c r="H336" s="424">
        <f t="shared" ca="1" si="47"/>
        <v>0</v>
      </c>
      <c r="I336" s="424">
        <f t="shared" ca="1" si="47"/>
        <v>0</v>
      </c>
      <c r="J336" s="424">
        <f t="shared" ca="1" si="47"/>
        <v>0</v>
      </c>
      <c r="K336" s="424">
        <f t="shared" ca="1" si="47"/>
        <v>0</v>
      </c>
      <c r="L336" s="424">
        <f t="shared" ca="1" si="47"/>
        <v>0</v>
      </c>
      <c r="M336" s="424">
        <f t="shared" ca="1" si="47"/>
        <v>0</v>
      </c>
      <c r="N336" s="424">
        <f t="shared" ca="1" si="47"/>
        <v>0</v>
      </c>
      <c r="O336" s="424"/>
    </row>
    <row r="337" spans="2:17">
      <c r="B337" s="363"/>
      <c r="C337" s="2" t="s">
        <v>381</v>
      </c>
      <c r="E337" s="2" t="s">
        <v>16</v>
      </c>
      <c r="F337" s="424">
        <f ca="1">IFERROR(F279/plantsize.V.a.Energy_crops_1st_generation_to_solid,0)</f>
        <v>0</v>
      </c>
      <c r="G337" s="424">
        <f t="shared" ref="G337:N337" ca="1" si="48">IFERROR(G279/plantsize.V.a.Energy_crops_1st_generation_to_solid,0)</f>
        <v>0</v>
      </c>
      <c r="H337" s="424">
        <f t="shared" ca="1" si="48"/>
        <v>0</v>
      </c>
      <c r="I337" s="424">
        <f t="shared" ca="1" si="48"/>
        <v>0</v>
      </c>
      <c r="J337" s="424">
        <f t="shared" ca="1" si="48"/>
        <v>0</v>
      </c>
      <c r="K337" s="424">
        <f t="shared" ca="1" si="48"/>
        <v>0</v>
      </c>
      <c r="L337" s="424">
        <f t="shared" ca="1" si="48"/>
        <v>0</v>
      </c>
      <c r="M337" s="424">
        <f t="shared" ca="1" si="48"/>
        <v>0</v>
      </c>
      <c r="N337" s="424">
        <f t="shared" ca="1" si="48"/>
        <v>0</v>
      </c>
      <c r="O337" s="424"/>
    </row>
    <row r="338" spans="2:17">
      <c r="B338" s="363"/>
      <c r="C338" s="2" t="s">
        <v>381</v>
      </c>
      <c r="E338" s="2" t="s">
        <v>1712</v>
      </c>
      <c r="F338" s="424">
        <f ca="1">IFERROR(F283/plantsize.V.a.Energy_crops_1st_generation_to_liquid,0)</f>
        <v>8.8970000000000007E-2</v>
      </c>
      <c r="G338" s="424">
        <f t="shared" ref="G338:N338" ca="1" si="49">IFERROR(G283/plantsize.V.a.Energy_crops_1st_generation_to_liquid,0)</f>
        <v>0.11005608952402203</v>
      </c>
      <c r="H338" s="424">
        <f t="shared" ca="1" si="49"/>
        <v>0.16681448359972126</v>
      </c>
      <c r="I338" s="424">
        <f t="shared" ca="1" si="49"/>
        <v>0.23418763966275799</v>
      </c>
      <c r="J338" s="424">
        <f t="shared" ca="1" si="49"/>
        <v>0.3051517342559682</v>
      </c>
      <c r="K338" s="424">
        <f t="shared" ca="1" si="49"/>
        <v>0.38350791085384023</v>
      </c>
      <c r="L338" s="424">
        <f t="shared" ca="1" si="49"/>
        <v>0.46987195014848238</v>
      </c>
      <c r="M338" s="424">
        <f t="shared" ca="1" si="49"/>
        <v>0.56490602575034743</v>
      </c>
      <c r="N338" s="424">
        <f t="shared" ca="1" si="49"/>
        <v>0.6693220044972944</v>
      </c>
      <c r="O338" s="424"/>
    </row>
    <row r="339" spans="2:17">
      <c r="B339" s="363"/>
      <c r="C339" s="2" t="s">
        <v>381</v>
      </c>
      <c r="E339" s="2" t="s">
        <v>15</v>
      </c>
      <c r="F339" s="424">
        <f ca="1">IFERROR(F287/plantsize.V.a.Energy_crops_1st_generation_to_gas,0)</f>
        <v>0</v>
      </c>
      <c r="G339" s="424">
        <f t="shared" ref="G339:N339" ca="1" si="50">IFERROR(G287/plantsize.V.a.Energy_crops_1st_generation_to_gas,0)</f>
        <v>0</v>
      </c>
      <c r="H339" s="424">
        <f t="shared" ca="1" si="50"/>
        <v>0</v>
      </c>
      <c r="I339" s="424">
        <f t="shared" ca="1" si="50"/>
        <v>0</v>
      </c>
      <c r="J339" s="424">
        <f t="shared" ca="1" si="50"/>
        <v>0</v>
      </c>
      <c r="K339" s="424">
        <f t="shared" ca="1" si="50"/>
        <v>0</v>
      </c>
      <c r="L339" s="424">
        <f t="shared" ca="1" si="50"/>
        <v>0</v>
      </c>
      <c r="M339" s="424">
        <f t="shared" ca="1" si="50"/>
        <v>0</v>
      </c>
      <c r="N339" s="424">
        <f t="shared" ca="1" si="50"/>
        <v>0</v>
      </c>
      <c r="O339" s="424"/>
    </row>
    <row r="340" spans="2:17">
      <c r="B340" s="367"/>
      <c r="C340" s="2" t="s">
        <v>384</v>
      </c>
      <c r="E340" s="2" t="s">
        <v>16</v>
      </c>
      <c r="F340" s="424">
        <f ca="1">IFERROR(F293/plantsize.V.a.Gaseous_waste_to_solid,0)</f>
        <v>0</v>
      </c>
      <c r="G340" s="424">
        <f t="shared" ref="G340:N340" ca="1" si="51">IFERROR(G293/plantsize.V.a.Gaseous_waste_to_solid,0)</f>
        <v>0</v>
      </c>
      <c r="H340" s="424">
        <f t="shared" ca="1" si="51"/>
        <v>0</v>
      </c>
      <c r="I340" s="424">
        <f t="shared" ca="1" si="51"/>
        <v>0</v>
      </c>
      <c r="J340" s="424">
        <f t="shared" ca="1" si="51"/>
        <v>0</v>
      </c>
      <c r="K340" s="424">
        <f t="shared" ca="1" si="51"/>
        <v>0</v>
      </c>
      <c r="L340" s="424">
        <f t="shared" ca="1" si="51"/>
        <v>0</v>
      </c>
      <c r="M340" s="424">
        <f t="shared" ca="1" si="51"/>
        <v>0</v>
      </c>
      <c r="N340" s="424">
        <f t="shared" ca="1" si="51"/>
        <v>0</v>
      </c>
      <c r="O340" s="424"/>
    </row>
    <row r="341" spans="2:17">
      <c r="B341" s="367"/>
      <c r="C341" s="2" t="s">
        <v>384</v>
      </c>
      <c r="E341" s="2" t="s">
        <v>1712</v>
      </c>
      <c r="F341" s="424">
        <f ca="1">IFERROR(F297/plantsize.V.a.Gaseous_waste_to_liquid,0)</f>
        <v>0</v>
      </c>
      <c r="G341" s="424">
        <f t="shared" ref="G341:N341" ca="1" si="52">IFERROR(G297/plantsize.V.a.Gaseous_waste_to_liquid,0)</f>
        <v>0</v>
      </c>
      <c r="H341" s="424">
        <f t="shared" ca="1" si="52"/>
        <v>0</v>
      </c>
      <c r="I341" s="424">
        <f t="shared" ca="1" si="52"/>
        <v>0</v>
      </c>
      <c r="J341" s="424">
        <f t="shared" ca="1" si="52"/>
        <v>0</v>
      </c>
      <c r="K341" s="424">
        <f t="shared" ca="1" si="52"/>
        <v>0</v>
      </c>
      <c r="L341" s="424">
        <f t="shared" ca="1" si="52"/>
        <v>0</v>
      </c>
      <c r="M341" s="424">
        <f t="shared" ca="1" si="52"/>
        <v>0</v>
      </c>
      <c r="N341" s="424">
        <f t="shared" ca="1" si="52"/>
        <v>0</v>
      </c>
      <c r="O341" s="424"/>
    </row>
    <row r="342" spans="2:17">
      <c r="B342" s="367"/>
      <c r="C342" s="2" t="s">
        <v>384</v>
      </c>
      <c r="E342" s="2" t="s">
        <v>15</v>
      </c>
      <c r="F342" s="424">
        <f ca="1">IFERROR(F301/plantsize.V.a.Gaseous_waste_to_gas,0)</f>
        <v>0.23499818131101802</v>
      </c>
      <c r="G342" s="424">
        <f t="shared" ref="G342:N342" ca="1" si="53">IFERROR(G301/plantsize.V.a.Gaseous_waste_to_gas,0)</f>
        <v>0.26895706728092555</v>
      </c>
      <c r="H342" s="424">
        <f t="shared" ca="1" si="53"/>
        <v>0.29589003596882107</v>
      </c>
      <c r="I342" s="424">
        <f t="shared" ca="1" si="53"/>
        <v>0.33745054844326894</v>
      </c>
      <c r="J342" s="424">
        <f t="shared" ca="1" si="53"/>
        <v>0.33176405145562643</v>
      </c>
      <c r="K342" s="424">
        <f t="shared" ca="1" si="53"/>
        <v>0.3234809348391291</v>
      </c>
      <c r="L342" s="424">
        <f t="shared" ca="1" si="53"/>
        <v>0.31252402485033076</v>
      </c>
      <c r="M342" s="424">
        <f t="shared" ca="1" si="53"/>
        <v>0.29881614774578508</v>
      </c>
      <c r="N342" s="424">
        <f t="shared" ca="1" si="53"/>
        <v>0.28228012978204531</v>
      </c>
      <c r="O342" s="424"/>
    </row>
    <row r="343" spans="2:17">
      <c r="B343" s="363"/>
      <c r="C343" s="363"/>
      <c r="F343" s="413"/>
      <c r="G343" s="413"/>
      <c r="H343" s="413"/>
      <c r="I343" s="413"/>
      <c r="J343" s="413"/>
      <c r="K343" s="413"/>
      <c r="L343" s="413"/>
      <c r="M343" s="413"/>
      <c r="N343" s="413"/>
      <c r="O343" s="413"/>
    </row>
    <row r="344" spans="2:17">
      <c r="B344" s="363" t="s">
        <v>2154</v>
      </c>
      <c r="C344" s="363" t="s">
        <v>2155</v>
      </c>
      <c r="F344" s="413"/>
      <c r="G344" s="413"/>
      <c r="H344" s="413"/>
      <c r="I344" s="413"/>
      <c r="J344" s="413"/>
      <c r="K344" s="413"/>
      <c r="L344" s="413"/>
      <c r="M344" s="413"/>
      <c r="N344" s="413" t="s">
        <v>2153</v>
      </c>
      <c r="O344" s="413"/>
    </row>
    <row r="345" spans="2:17">
      <c r="B345" s="363"/>
      <c r="C345" s="363" t="s">
        <v>2109</v>
      </c>
      <c r="D345" s="363"/>
      <c r="E345" s="363" t="s">
        <v>2110</v>
      </c>
      <c r="F345" s="364">
        <v>2013</v>
      </c>
      <c r="G345" s="364" t="s">
        <v>133</v>
      </c>
      <c r="H345" s="364" t="s">
        <v>134</v>
      </c>
      <c r="I345" s="364" t="s">
        <v>135</v>
      </c>
      <c r="J345" s="364" t="s">
        <v>136</v>
      </c>
      <c r="K345" s="364" t="s">
        <v>137</v>
      </c>
      <c r="L345" s="364" t="s">
        <v>138</v>
      </c>
      <c r="M345" s="364" t="s">
        <v>139</v>
      </c>
      <c r="N345" s="364" t="s">
        <v>140</v>
      </c>
      <c r="O345" s="364"/>
    </row>
    <row r="346" spans="2:17">
      <c r="B346" s="363"/>
      <c r="C346" s="2" t="s">
        <v>382</v>
      </c>
      <c r="E346" s="2" t="s">
        <v>16</v>
      </c>
      <c r="F346" s="2445">
        <f t="shared" ref="F346:N346" ca="1" si="54">MAX((G328-F328)/(G$345-F$345),0)+(F328*$J$126)</f>
        <v>0.60275293736037694</v>
      </c>
      <c r="G346" s="424">
        <f t="shared" ca="1" si="54"/>
        <v>0.92803656084602115</v>
      </c>
      <c r="H346" s="424">
        <f t="shared" ca="1" si="54"/>
        <v>2.1242461083376578</v>
      </c>
      <c r="I346" s="424">
        <f t="shared" ca="1" si="54"/>
        <v>1.7529402356717878</v>
      </c>
      <c r="J346" s="424">
        <f t="shared" ca="1" si="54"/>
        <v>1.9955928750773531</v>
      </c>
      <c r="K346" s="424">
        <f t="shared" ca="1" si="54"/>
        <v>3.4948102609584524</v>
      </c>
      <c r="L346" s="424">
        <f t="shared" ca="1" si="54"/>
        <v>2.0727454517276653</v>
      </c>
      <c r="M346" s="424">
        <f t="shared" ca="1" si="54"/>
        <v>1.5815943021162264</v>
      </c>
      <c r="N346" s="424">
        <f t="shared" ca="1" si="54"/>
        <v>1.5233825473763465</v>
      </c>
      <c r="O346" s="424"/>
      <c r="Q346" s="723"/>
    </row>
    <row r="347" spans="2:17">
      <c r="B347" s="363"/>
      <c r="C347" s="2" t="s">
        <v>382</v>
      </c>
      <c r="E347" s="2" t="s">
        <v>1712</v>
      </c>
      <c r="F347" s="2445">
        <f t="shared" ref="F347:F360" ca="1" si="55">MAX((G329-F329)/(G$345-F$345),0)+(F329*$J$126)</f>
        <v>0</v>
      </c>
      <c r="G347" s="424">
        <f t="shared" ref="G347:N360" ca="1" si="56">MAX((H329-G329)/(H$345-G$345),0)+(G329*$J$126)</f>
        <v>0</v>
      </c>
      <c r="H347" s="424">
        <f t="shared" ca="1" si="56"/>
        <v>0</v>
      </c>
      <c r="I347" s="424">
        <f t="shared" ca="1" si="56"/>
        <v>0</v>
      </c>
      <c r="J347" s="424">
        <f t="shared" ca="1" si="56"/>
        <v>0</v>
      </c>
      <c r="K347" s="424">
        <f t="shared" ca="1" si="56"/>
        <v>0</v>
      </c>
      <c r="L347" s="424">
        <f t="shared" ca="1" si="56"/>
        <v>0</v>
      </c>
      <c r="M347" s="424">
        <f t="shared" ca="1" si="56"/>
        <v>0</v>
      </c>
      <c r="N347" s="424">
        <f t="shared" ca="1" si="56"/>
        <v>0</v>
      </c>
      <c r="O347" s="424"/>
      <c r="Q347" s="723"/>
    </row>
    <row r="348" spans="2:17">
      <c r="B348" s="363"/>
      <c r="C348" s="2" t="s">
        <v>382</v>
      </c>
      <c r="E348" s="2" t="s">
        <v>15</v>
      </c>
      <c r="F348" s="2445">
        <f t="shared" ca="1" si="55"/>
        <v>0</v>
      </c>
      <c r="G348" s="424">
        <f t="shared" ca="1" si="56"/>
        <v>0</v>
      </c>
      <c r="H348" s="424">
        <f t="shared" ca="1" si="56"/>
        <v>0</v>
      </c>
      <c r="I348" s="424">
        <f t="shared" ca="1" si="56"/>
        <v>0</v>
      </c>
      <c r="J348" s="424">
        <f t="shared" ca="1" si="56"/>
        <v>0</v>
      </c>
      <c r="K348" s="424">
        <f t="shared" ca="1" si="56"/>
        <v>0</v>
      </c>
      <c r="L348" s="424">
        <f t="shared" ca="1" si="56"/>
        <v>0</v>
      </c>
      <c r="M348" s="424">
        <f t="shared" ca="1" si="56"/>
        <v>0</v>
      </c>
      <c r="N348" s="424">
        <f t="shared" ca="1" si="56"/>
        <v>0</v>
      </c>
      <c r="O348" s="424"/>
      <c r="Q348" s="723"/>
    </row>
    <row r="349" spans="2:17">
      <c r="B349" s="363"/>
      <c r="C349" s="2" t="s">
        <v>383</v>
      </c>
      <c r="E349" s="2" t="s">
        <v>16</v>
      </c>
      <c r="F349" s="2445">
        <f t="shared" ca="1" si="55"/>
        <v>0</v>
      </c>
      <c r="G349" s="424">
        <f t="shared" ca="1" si="56"/>
        <v>0</v>
      </c>
      <c r="H349" s="424">
        <f t="shared" ca="1" si="56"/>
        <v>0</v>
      </c>
      <c r="I349" s="424">
        <f t="shared" ca="1" si="56"/>
        <v>0</v>
      </c>
      <c r="J349" s="424">
        <f t="shared" ca="1" si="56"/>
        <v>0</v>
      </c>
      <c r="K349" s="424">
        <f t="shared" ca="1" si="56"/>
        <v>0</v>
      </c>
      <c r="L349" s="424">
        <f t="shared" ca="1" si="56"/>
        <v>0</v>
      </c>
      <c r="M349" s="424">
        <f t="shared" ca="1" si="56"/>
        <v>0</v>
      </c>
      <c r="N349" s="424">
        <f t="shared" ca="1" si="56"/>
        <v>0</v>
      </c>
      <c r="O349" s="424"/>
      <c r="Q349" s="723"/>
    </row>
    <row r="350" spans="2:17">
      <c r="B350" s="363"/>
      <c r="C350" s="2" t="s">
        <v>383</v>
      </c>
      <c r="E350" s="2" t="s">
        <v>1712</v>
      </c>
      <c r="F350" s="2445">
        <f t="shared" ca="1" si="55"/>
        <v>0</v>
      </c>
      <c r="G350" s="424">
        <f t="shared" ca="1" si="56"/>
        <v>0</v>
      </c>
      <c r="H350" s="424">
        <f t="shared" ca="1" si="56"/>
        <v>0</v>
      </c>
      <c r="I350" s="424">
        <f t="shared" ca="1" si="56"/>
        <v>0</v>
      </c>
      <c r="J350" s="424">
        <f t="shared" ca="1" si="56"/>
        <v>0</v>
      </c>
      <c r="K350" s="424">
        <f t="shared" ca="1" si="56"/>
        <v>0</v>
      </c>
      <c r="L350" s="424">
        <f t="shared" ca="1" si="56"/>
        <v>0</v>
      </c>
      <c r="M350" s="424">
        <f t="shared" ca="1" si="56"/>
        <v>0</v>
      </c>
      <c r="N350" s="424">
        <f t="shared" ca="1" si="56"/>
        <v>0</v>
      </c>
      <c r="O350" s="424"/>
      <c r="Q350" s="723"/>
    </row>
    <row r="351" spans="2:17">
      <c r="B351" s="363"/>
      <c r="C351" s="2" t="s">
        <v>383</v>
      </c>
      <c r="E351" s="2" t="s">
        <v>15</v>
      </c>
      <c r="F351" s="2445">
        <f t="shared" ca="1" si="55"/>
        <v>0.12446696311058743</v>
      </c>
      <c r="G351" s="424">
        <f t="shared" ca="1" si="56"/>
        <v>0.37739736492811593</v>
      </c>
      <c r="H351" s="424">
        <f t="shared" ca="1" si="56"/>
        <v>0.64954994901563212</v>
      </c>
      <c r="I351" s="424">
        <f t="shared" ca="1" si="56"/>
        <v>1.8329263500776889</v>
      </c>
      <c r="J351" s="424">
        <f t="shared" ca="1" si="56"/>
        <v>1.7912406822651694</v>
      </c>
      <c r="K351" s="424">
        <f t="shared" ca="1" si="56"/>
        <v>2.7379887165138137</v>
      </c>
      <c r="L351" s="424">
        <f t="shared" ca="1" si="56"/>
        <v>2.8136086257807631</v>
      </c>
      <c r="M351" s="424">
        <f t="shared" ca="1" si="56"/>
        <v>2.8937830280085675</v>
      </c>
      <c r="N351" s="424">
        <f t="shared" ca="1" si="56"/>
        <v>1.6019686874046735</v>
      </c>
      <c r="O351" s="424"/>
      <c r="Q351" s="723"/>
    </row>
    <row r="352" spans="2:17">
      <c r="B352" s="363"/>
      <c r="C352" s="2" t="s">
        <v>380</v>
      </c>
      <c r="E352" s="2" t="s">
        <v>16</v>
      </c>
      <c r="F352" s="2445">
        <f t="shared" ca="1" si="55"/>
        <v>2.4904930517306085</v>
      </c>
      <c r="G352" s="424">
        <f t="shared" ca="1" si="56"/>
        <v>2.9239606421332054</v>
      </c>
      <c r="H352" s="424">
        <f t="shared" ca="1" si="56"/>
        <v>4.1877042737666548</v>
      </c>
      <c r="I352" s="424">
        <f t="shared" ca="1" si="56"/>
        <v>5.0615922864160439</v>
      </c>
      <c r="J352" s="424">
        <f t="shared" ca="1" si="56"/>
        <v>6.2497986683948534</v>
      </c>
      <c r="K352" s="424">
        <f t="shared" ca="1" si="56"/>
        <v>7.5914317779010769</v>
      </c>
      <c r="L352" s="424">
        <f t="shared" ca="1" si="56"/>
        <v>9.1031095389646399</v>
      </c>
      <c r="M352" s="424">
        <f t="shared" ca="1" si="56"/>
        <v>10.803102085220324</v>
      </c>
      <c r="N352" s="424">
        <f t="shared" ca="1" si="56"/>
        <v>5.5254776941662511</v>
      </c>
      <c r="O352" s="424"/>
      <c r="Q352" s="723"/>
    </row>
    <row r="353" spans="2:17">
      <c r="B353" s="363"/>
      <c r="C353" s="2" t="s">
        <v>380</v>
      </c>
      <c r="E353" s="2" t="s">
        <v>1712</v>
      </c>
      <c r="F353" s="2445">
        <f t="shared" ca="1" si="55"/>
        <v>0</v>
      </c>
      <c r="G353" s="424">
        <f t="shared" ca="1" si="56"/>
        <v>0</v>
      </c>
      <c r="H353" s="424">
        <f t="shared" ca="1" si="56"/>
        <v>0</v>
      </c>
      <c r="I353" s="424">
        <f t="shared" ca="1" si="56"/>
        <v>0</v>
      </c>
      <c r="J353" s="424">
        <f t="shared" ca="1" si="56"/>
        <v>0</v>
      </c>
      <c r="K353" s="424">
        <f t="shared" ca="1" si="56"/>
        <v>0</v>
      </c>
      <c r="L353" s="424">
        <f t="shared" ca="1" si="56"/>
        <v>0</v>
      </c>
      <c r="M353" s="424">
        <f t="shared" ca="1" si="56"/>
        <v>0</v>
      </c>
      <c r="N353" s="424">
        <f t="shared" ca="1" si="56"/>
        <v>0</v>
      </c>
      <c r="O353" s="424"/>
      <c r="Q353" s="723"/>
    </row>
    <row r="354" spans="2:17">
      <c r="B354" s="363"/>
      <c r="C354" s="2" t="s">
        <v>380</v>
      </c>
      <c r="E354" s="2" t="s">
        <v>15</v>
      </c>
      <c r="F354" s="2445">
        <f t="shared" ca="1" si="55"/>
        <v>0</v>
      </c>
      <c r="G354" s="424">
        <f t="shared" ca="1" si="56"/>
        <v>0</v>
      </c>
      <c r="H354" s="424">
        <f t="shared" ca="1" si="56"/>
        <v>0</v>
      </c>
      <c r="I354" s="424">
        <f t="shared" ca="1" si="56"/>
        <v>0</v>
      </c>
      <c r="J354" s="424">
        <f t="shared" ca="1" si="56"/>
        <v>0</v>
      </c>
      <c r="K354" s="424">
        <f t="shared" ca="1" si="56"/>
        <v>0</v>
      </c>
      <c r="L354" s="424">
        <f t="shared" ca="1" si="56"/>
        <v>0</v>
      </c>
      <c r="M354" s="424">
        <f t="shared" ca="1" si="56"/>
        <v>0</v>
      </c>
      <c r="N354" s="424">
        <f t="shared" ca="1" si="56"/>
        <v>0</v>
      </c>
      <c r="O354" s="424"/>
      <c r="Q354" s="723"/>
    </row>
    <row r="355" spans="2:17">
      <c r="B355" s="363"/>
      <c r="C355" s="2" t="s">
        <v>381</v>
      </c>
      <c r="E355" s="2" t="s">
        <v>16</v>
      </c>
      <c r="F355" s="2445">
        <f t="shared" ca="1" si="55"/>
        <v>0</v>
      </c>
      <c r="G355" s="424">
        <f t="shared" ca="1" si="56"/>
        <v>0</v>
      </c>
      <c r="H355" s="424">
        <f t="shared" ca="1" si="56"/>
        <v>0</v>
      </c>
      <c r="I355" s="424">
        <f t="shared" ca="1" si="56"/>
        <v>0</v>
      </c>
      <c r="J355" s="424">
        <f t="shared" ca="1" si="56"/>
        <v>0</v>
      </c>
      <c r="K355" s="424">
        <f t="shared" ca="1" si="56"/>
        <v>0</v>
      </c>
      <c r="L355" s="424">
        <f t="shared" ca="1" si="56"/>
        <v>0</v>
      </c>
      <c r="M355" s="424">
        <f t="shared" ca="1" si="56"/>
        <v>0</v>
      </c>
      <c r="N355" s="424">
        <f t="shared" ca="1" si="56"/>
        <v>0</v>
      </c>
      <c r="O355" s="424"/>
      <c r="Q355" s="723"/>
    </row>
    <row r="356" spans="2:17">
      <c r="B356" s="363"/>
      <c r="C356" s="2" t="s">
        <v>381</v>
      </c>
      <c r="E356" s="2" t="s">
        <v>1712</v>
      </c>
      <c r="F356" s="2445">
        <f t="shared" ca="1" si="55"/>
        <v>1.3508711428677678E-2</v>
      </c>
      <c r="G356" s="424">
        <f t="shared" ca="1" si="56"/>
        <v>1.5020215132607246E-2</v>
      </c>
      <c r="H356" s="424">
        <f t="shared" ca="1" si="56"/>
        <v>1.9035113999264719E-2</v>
      </c>
      <c r="I356" s="424">
        <f t="shared" ca="1" si="56"/>
        <v>2.1999073574067309E-2</v>
      </c>
      <c r="J356" s="424">
        <f t="shared" ca="1" si="56"/>
        <v>2.5842959794773347E-2</v>
      </c>
      <c r="K356" s="424">
        <f t="shared" ca="1" si="56"/>
        <v>3.0056404887389768E-2</v>
      </c>
      <c r="L356" s="424">
        <f t="shared" ca="1" si="56"/>
        <v>3.4669213458655757E-2</v>
      </c>
      <c r="M356" s="424">
        <f t="shared" ca="1" si="56"/>
        <v>3.9713396607734305E-2</v>
      </c>
      <c r="N356" s="424">
        <f t="shared" ca="1" si="56"/>
        <v>2.2637232022022315E-2</v>
      </c>
      <c r="O356" s="424"/>
      <c r="Q356" s="723"/>
    </row>
    <row r="357" spans="2:17">
      <c r="B357" s="363"/>
      <c r="C357" s="2" t="s">
        <v>381</v>
      </c>
      <c r="E357" s="2" t="s">
        <v>15</v>
      </c>
      <c r="F357" s="2445">
        <f t="shared" ca="1" si="55"/>
        <v>0</v>
      </c>
      <c r="G357" s="424">
        <f t="shared" ca="1" si="56"/>
        <v>0</v>
      </c>
      <c r="H357" s="424">
        <f t="shared" ca="1" si="56"/>
        <v>0</v>
      </c>
      <c r="I357" s="424">
        <f t="shared" ca="1" si="56"/>
        <v>0</v>
      </c>
      <c r="J357" s="424">
        <f t="shared" ca="1" si="56"/>
        <v>0</v>
      </c>
      <c r="K357" s="424">
        <f t="shared" ca="1" si="56"/>
        <v>0</v>
      </c>
      <c r="L357" s="424">
        <f t="shared" ca="1" si="56"/>
        <v>0</v>
      </c>
      <c r="M357" s="424">
        <f t="shared" ca="1" si="56"/>
        <v>0</v>
      </c>
      <c r="N357" s="424">
        <f t="shared" ca="1" si="56"/>
        <v>0</v>
      </c>
      <c r="O357" s="424"/>
      <c r="Q357" s="723"/>
    </row>
    <row r="358" spans="2:17">
      <c r="B358" s="367"/>
      <c r="C358" s="2" t="s">
        <v>384</v>
      </c>
      <c r="E358" s="2" t="s">
        <v>16</v>
      </c>
      <c r="F358" s="2445">
        <f t="shared" ca="1" si="55"/>
        <v>0</v>
      </c>
      <c r="G358" s="424">
        <f t="shared" ca="1" si="56"/>
        <v>0</v>
      </c>
      <c r="H358" s="424">
        <f t="shared" ca="1" si="56"/>
        <v>0</v>
      </c>
      <c r="I358" s="424">
        <f t="shared" ca="1" si="56"/>
        <v>0</v>
      </c>
      <c r="J358" s="424">
        <f t="shared" ca="1" si="56"/>
        <v>0</v>
      </c>
      <c r="K358" s="424">
        <f t="shared" ca="1" si="56"/>
        <v>0</v>
      </c>
      <c r="L358" s="424">
        <f t="shared" ca="1" si="56"/>
        <v>0</v>
      </c>
      <c r="M358" s="424">
        <f t="shared" ca="1" si="56"/>
        <v>0</v>
      </c>
      <c r="N358" s="424">
        <f t="shared" ca="1" si="56"/>
        <v>0</v>
      </c>
      <c r="O358" s="424"/>
    </row>
    <row r="359" spans="2:17">
      <c r="B359" s="367"/>
      <c r="C359" s="2" t="s">
        <v>384</v>
      </c>
      <c r="E359" s="2" t="s">
        <v>1712</v>
      </c>
      <c r="F359" s="2445">
        <f t="shared" ca="1" si="55"/>
        <v>0</v>
      </c>
      <c r="G359" s="424">
        <f t="shared" ca="1" si="56"/>
        <v>0</v>
      </c>
      <c r="H359" s="424">
        <f t="shared" ca="1" si="56"/>
        <v>0</v>
      </c>
      <c r="I359" s="424">
        <f t="shared" ca="1" si="56"/>
        <v>0</v>
      </c>
      <c r="J359" s="424">
        <f t="shared" ca="1" si="56"/>
        <v>0</v>
      </c>
      <c r="K359" s="424">
        <f t="shared" ca="1" si="56"/>
        <v>0</v>
      </c>
      <c r="L359" s="424">
        <f t="shared" ca="1" si="56"/>
        <v>0</v>
      </c>
      <c r="M359" s="424">
        <f t="shared" ca="1" si="56"/>
        <v>0</v>
      </c>
      <c r="N359" s="424">
        <f t="shared" ca="1" si="56"/>
        <v>0</v>
      </c>
      <c r="O359" s="424"/>
    </row>
    <row r="360" spans="2:17">
      <c r="B360" s="367"/>
      <c r="C360" s="2" t="s">
        <v>384</v>
      </c>
      <c r="E360" s="2" t="s">
        <v>15</v>
      </c>
      <c r="F360" s="2445">
        <f t="shared" ca="1" si="55"/>
        <v>2.4812715695321036E-2</v>
      </c>
      <c r="G360" s="424">
        <f t="shared" ca="1" si="56"/>
        <v>1.4351829313609956E-2</v>
      </c>
      <c r="H360" s="424">
        <f t="shared" ca="1" si="56"/>
        <v>1.8175103693850274E-2</v>
      </c>
      <c r="I360" s="424">
        <f t="shared" ca="1" si="56"/>
        <v>1.1248351614775632E-2</v>
      </c>
      <c r="J360" s="424">
        <f t="shared" ca="1" si="56"/>
        <v>1.1058801715187548E-2</v>
      </c>
      <c r="K360" s="424">
        <f t="shared" ca="1" si="56"/>
        <v>1.078269782797097E-2</v>
      </c>
      <c r="L360" s="424">
        <f t="shared" ca="1" si="56"/>
        <v>1.0417467495011025E-2</v>
      </c>
      <c r="M360" s="424">
        <f t="shared" ca="1" si="56"/>
        <v>9.9605382581928366E-3</v>
      </c>
      <c r="N360" s="424">
        <f t="shared" ca="1" si="56"/>
        <v>9.5470352836854334E-3</v>
      </c>
      <c r="O360" s="424"/>
    </row>
    <row r="361" spans="2:17">
      <c r="B361" s="367"/>
      <c r="F361" s="413"/>
      <c r="G361" s="413"/>
      <c r="H361" s="413"/>
      <c r="I361" s="413"/>
      <c r="J361" s="413"/>
      <c r="K361" s="413"/>
      <c r="L361" s="413"/>
      <c r="M361" s="413"/>
      <c r="N361" s="413"/>
      <c r="O361" s="413"/>
    </row>
    <row r="362" spans="2:17">
      <c r="B362" s="3611" t="s">
        <v>2798</v>
      </c>
      <c r="F362" s="993"/>
      <c r="G362" s="993"/>
      <c r="H362" s="993"/>
      <c r="I362" s="993"/>
      <c r="J362" s="993"/>
      <c r="K362" s="993"/>
      <c r="L362" s="993"/>
      <c r="M362" s="993"/>
      <c r="N362" s="993"/>
      <c r="O362" s="993"/>
    </row>
    <row r="363" spans="2:17" hidden="1">
      <c r="C363" s="2685" t="s">
        <v>169</v>
      </c>
      <c r="E363" s="3611" t="s">
        <v>2812</v>
      </c>
      <c r="F363" s="993"/>
      <c r="G363" s="993"/>
      <c r="H363" s="993"/>
      <c r="I363" s="993"/>
      <c r="J363" s="993"/>
      <c r="K363" s="993"/>
      <c r="L363" s="993"/>
      <c r="M363" s="993"/>
      <c r="N363" s="993"/>
      <c r="O363" s="993"/>
    </row>
    <row r="364" spans="2:17" hidden="1">
      <c r="C364" s="2685" t="s">
        <v>173</v>
      </c>
      <c r="E364" s="3611" t="s">
        <v>2812</v>
      </c>
      <c r="F364" s="993"/>
      <c r="G364" s="993"/>
      <c r="H364" s="993"/>
      <c r="I364" s="993"/>
      <c r="J364" s="993"/>
      <c r="K364" s="993"/>
      <c r="L364" s="993"/>
      <c r="M364" s="993"/>
      <c r="N364" s="993"/>
      <c r="O364" s="993"/>
    </row>
    <row r="365" spans="2:17" hidden="1">
      <c r="C365" s="2685" t="s">
        <v>294</v>
      </c>
      <c r="E365" s="3611" t="s">
        <v>2812</v>
      </c>
      <c r="F365" s="993"/>
      <c r="G365" s="993"/>
      <c r="H365" s="993"/>
      <c r="I365" s="993"/>
      <c r="J365" s="993"/>
      <c r="K365" s="993"/>
      <c r="L365" s="993"/>
      <c r="M365" s="993"/>
      <c r="N365" s="993"/>
      <c r="O365" s="993"/>
    </row>
    <row r="366" spans="2:17" hidden="1">
      <c r="C366" s="363"/>
      <c r="F366" s="366"/>
      <c r="G366" s="366"/>
      <c r="H366" s="366"/>
      <c r="I366" s="366"/>
      <c r="J366" s="366"/>
      <c r="K366" s="366"/>
      <c r="L366" s="366"/>
      <c r="M366" s="366"/>
      <c r="N366" s="366"/>
      <c r="O366" s="366"/>
    </row>
    <row r="367" spans="2:17" hidden="1">
      <c r="B367" s="2685" t="s">
        <v>295</v>
      </c>
      <c r="F367" s="993"/>
      <c r="G367" s="993"/>
      <c r="H367" s="993"/>
      <c r="I367" s="993"/>
      <c r="J367" s="993"/>
      <c r="K367" s="993"/>
      <c r="L367" s="993"/>
      <c r="M367" s="993"/>
      <c r="N367" s="993"/>
      <c r="O367" s="993"/>
    </row>
    <row r="368" spans="2:17" hidden="1">
      <c r="C368" s="2685" t="s">
        <v>169</v>
      </c>
      <c r="E368" s="3611" t="s">
        <v>2812</v>
      </c>
      <c r="F368" s="993"/>
      <c r="G368" s="993"/>
      <c r="H368" s="993"/>
      <c r="I368" s="993"/>
      <c r="J368" s="993"/>
      <c r="K368" s="993"/>
      <c r="L368" s="993"/>
      <c r="M368" s="993"/>
      <c r="N368" s="993"/>
      <c r="O368" s="993"/>
    </row>
    <row r="369" spans="2:17" hidden="1">
      <c r="C369" s="2685" t="s">
        <v>173</v>
      </c>
      <c r="E369" s="3611" t="s">
        <v>2812</v>
      </c>
      <c r="F369" s="993"/>
      <c r="G369" s="993"/>
      <c r="H369" s="993"/>
      <c r="I369" s="993"/>
      <c r="J369" s="993"/>
      <c r="K369" s="993"/>
      <c r="L369" s="993"/>
      <c r="M369" s="993"/>
      <c r="N369" s="993"/>
      <c r="O369" s="993"/>
    </row>
    <row r="370" spans="2:17" hidden="1">
      <c r="C370" s="2685" t="s">
        <v>294</v>
      </c>
      <c r="E370" s="3611" t="s">
        <v>2812</v>
      </c>
      <c r="F370" s="993"/>
      <c r="G370" s="993"/>
      <c r="H370" s="993"/>
      <c r="I370" s="993"/>
      <c r="J370" s="993"/>
      <c r="K370" s="993"/>
      <c r="L370" s="993"/>
      <c r="M370" s="993"/>
      <c r="N370" s="993"/>
      <c r="O370" s="993"/>
    </row>
    <row r="371" spans="2:17" hidden="1">
      <c r="F371" s="993"/>
      <c r="G371" s="993"/>
      <c r="H371" s="993"/>
      <c r="I371" s="993"/>
      <c r="J371" s="993"/>
      <c r="K371" s="993"/>
      <c r="L371" s="993"/>
      <c r="M371" s="993"/>
      <c r="N371" s="993"/>
      <c r="O371" s="993"/>
    </row>
    <row r="372" spans="2:17" hidden="1">
      <c r="B372" s="2685" t="s">
        <v>293</v>
      </c>
      <c r="F372" s="993"/>
      <c r="G372" s="993"/>
      <c r="H372" s="993"/>
      <c r="I372" s="993"/>
      <c r="J372" s="993"/>
      <c r="K372" s="993"/>
      <c r="L372" s="993"/>
      <c r="M372" s="993"/>
      <c r="N372" s="993"/>
      <c r="O372" s="993"/>
    </row>
    <row r="373" spans="2:17" hidden="1">
      <c r="C373" s="2685" t="s">
        <v>169</v>
      </c>
      <c r="E373" s="3611" t="s">
        <v>2812</v>
      </c>
      <c r="F373" s="993"/>
      <c r="G373" s="993"/>
      <c r="H373" s="993"/>
      <c r="I373" s="993"/>
      <c r="J373" s="993"/>
      <c r="K373" s="993"/>
      <c r="L373" s="993"/>
      <c r="M373" s="993"/>
      <c r="N373" s="993"/>
      <c r="O373" s="993"/>
    </row>
    <row r="374" spans="2:17" hidden="1">
      <c r="C374" s="2685" t="s">
        <v>173</v>
      </c>
      <c r="E374" s="3611" t="s">
        <v>2812</v>
      </c>
      <c r="F374" s="993"/>
      <c r="G374" s="993"/>
      <c r="H374" s="993"/>
      <c r="I374" s="993"/>
      <c r="J374" s="993"/>
      <c r="K374" s="993"/>
      <c r="L374" s="993"/>
      <c r="M374" s="993"/>
      <c r="N374" s="993"/>
      <c r="O374" s="993"/>
    </row>
    <row r="375" spans="2:17" hidden="1">
      <c r="C375" s="2685" t="s">
        <v>294</v>
      </c>
      <c r="E375" s="3611" t="s">
        <v>2812</v>
      </c>
      <c r="F375" s="993"/>
      <c r="G375" s="993"/>
      <c r="H375" s="993"/>
      <c r="I375" s="993"/>
      <c r="J375" s="993"/>
      <c r="K375" s="993"/>
      <c r="L375" s="993"/>
      <c r="M375" s="993"/>
      <c r="N375" s="993"/>
      <c r="O375" s="993"/>
    </row>
    <row r="378" spans="2:17" ht="15.75">
      <c r="B378" s="511" t="s">
        <v>299</v>
      </c>
      <c r="C378" s="512"/>
      <c r="D378" s="512"/>
      <c r="E378" s="512"/>
      <c r="F378" s="512"/>
      <c r="G378" s="512"/>
      <c r="H378" s="512"/>
      <c r="I378" s="512"/>
      <c r="J378" s="512"/>
      <c r="K378" s="512"/>
      <c r="L378" s="512"/>
      <c r="M378" s="512"/>
      <c r="N378" s="512"/>
      <c r="O378" s="866"/>
      <c r="Q378" s="723"/>
    </row>
    <row r="379" spans="2:17">
      <c r="B379" s="514"/>
      <c r="C379" s="515"/>
      <c r="D379" s="515"/>
      <c r="E379" s="515"/>
      <c r="F379" s="515"/>
      <c r="G379" s="515"/>
      <c r="H379" s="515"/>
      <c r="I379" s="515"/>
      <c r="J379" s="515"/>
      <c r="K379" s="515"/>
      <c r="L379" s="515"/>
      <c r="M379" s="515"/>
      <c r="N379" s="515"/>
      <c r="O379" s="867"/>
      <c r="Q379" s="723"/>
    </row>
    <row r="380" spans="2:17">
      <c r="B380" s="514"/>
      <c r="C380" s="34" t="s">
        <v>765</v>
      </c>
      <c r="D380" s="515"/>
      <c r="E380" s="516" t="str">
        <f>Preferences.EnergyUnits</f>
        <v>TWh</v>
      </c>
      <c r="F380" s="515"/>
      <c r="G380" s="515"/>
      <c r="H380" s="515"/>
      <c r="I380" s="515"/>
      <c r="J380" s="515"/>
      <c r="K380" s="515"/>
      <c r="L380" s="515"/>
      <c r="M380" s="515"/>
      <c r="N380" s="515"/>
      <c r="O380" s="867"/>
      <c r="Q380" s="723"/>
    </row>
    <row r="381" spans="2:17">
      <c r="B381" s="514"/>
      <c r="C381" s="515"/>
      <c r="D381" s="515"/>
      <c r="E381" s="515"/>
      <c r="F381" s="515"/>
      <c r="G381" s="515"/>
      <c r="H381" s="515"/>
      <c r="I381" s="515"/>
      <c r="J381" s="515"/>
      <c r="K381" s="515"/>
      <c r="L381" s="515"/>
      <c r="M381" s="515"/>
      <c r="N381" s="515"/>
      <c r="O381" s="867"/>
    </row>
    <row r="382" spans="2:17" ht="15.75">
      <c r="B382" s="15"/>
      <c r="C382" s="873" t="s">
        <v>28</v>
      </c>
      <c r="D382" s="873" t="s">
        <v>29</v>
      </c>
      <c r="E382" s="873" t="s">
        <v>30</v>
      </c>
      <c r="F382" s="873" t="s">
        <v>597</v>
      </c>
      <c r="G382" s="873" t="s">
        <v>133</v>
      </c>
      <c r="H382" s="873" t="s">
        <v>134</v>
      </c>
      <c r="I382" s="873" t="s">
        <v>135</v>
      </c>
      <c r="J382" s="873" t="s">
        <v>136</v>
      </c>
      <c r="K382" s="873" t="s">
        <v>137</v>
      </c>
      <c r="L382" s="873" t="s">
        <v>138</v>
      </c>
      <c r="M382" s="873" t="s">
        <v>139</v>
      </c>
      <c r="N382" s="873" t="s">
        <v>140</v>
      </c>
      <c r="O382" s="867"/>
    </row>
    <row r="383" spans="2:17" ht="15.75">
      <c r="B383" s="15"/>
      <c r="C383" s="17" t="s">
        <v>98</v>
      </c>
      <c r="D383" s="2487" t="str">
        <f>INDEX(Vectors[Description], MATCH([Vector], Vectors[Code], 0))</f>
        <v>Solid hydrocarbons</v>
      </c>
      <c r="E383" s="17"/>
      <c r="F383" s="22">
        <f ca="1">F306</f>
        <v>0.54269113815300019</v>
      </c>
      <c r="G383" s="22">
        <f t="shared" ref="G383:N383" ca="1" si="57">G306</f>
        <v>3.5997577180337856</v>
      </c>
      <c r="H383" s="22">
        <f t="shared" ca="1" si="57"/>
        <v>12.629791105809554</v>
      </c>
      <c r="I383" s="22">
        <f t="shared" ca="1" si="57"/>
        <v>26.304701876768743</v>
      </c>
      <c r="J383" s="22">
        <f t="shared" ca="1" si="57"/>
        <v>38.956916202526862</v>
      </c>
      <c r="K383" s="22">
        <f t="shared" ca="1" si="57"/>
        <v>53.077575694119567</v>
      </c>
      <c r="L383" s="22">
        <f t="shared" ca="1" si="57"/>
        <v>71.9469181755818</v>
      </c>
      <c r="M383" s="22">
        <f t="shared" ca="1" si="57"/>
        <v>87.895402623048938</v>
      </c>
      <c r="N383" s="22">
        <f t="shared" ca="1" si="57"/>
        <v>104.20790982088215</v>
      </c>
      <c r="O383" s="867"/>
    </row>
    <row r="384" spans="2:17" ht="15.75">
      <c r="B384" s="15"/>
      <c r="C384" s="17" t="s">
        <v>99</v>
      </c>
      <c r="D384" s="2487" t="str">
        <f>INDEX(Vectors[Description], MATCH([Vector], Vectors[Code], 0))</f>
        <v>Liquid hydrocarbons</v>
      </c>
      <c r="E384" s="17"/>
      <c r="F384" s="22">
        <f t="shared" ref="F384:N385" ca="1" si="58">F307</f>
        <v>4.4485000000000004E-2</v>
      </c>
      <c r="G384" s="22">
        <f t="shared" ca="1" si="58"/>
        <v>5.5028044762011015E-2</v>
      </c>
      <c r="H384" s="22">
        <f t="shared" ca="1" si="58"/>
        <v>8.3407241799860629E-2</v>
      </c>
      <c r="I384" s="22">
        <f t="shared" ca="1" si="58"/>
        <v>0.117093819831379</v>
      </c>
      <c r="J384" s="22">
        <f t="shared" ca="1" si="58"/>
        <v>0.1525758671279841</v>
      </c>
      <c r="K384" s="22">
        <f t="shared" ca="1" si="58"/>
        <v>0.19175395542692011</v>
      </c>
      <c r="L384" s="22">
        <f t="shared" ca="1" si="58"/>
        <v>0.23493597507424119</v>
      </c>
      <c r="M384" s="22">
        <f t="shared" ca="1" si="58"/>
        <v>0.28245301287517371</v>
      </c>
      <c r="N384" s="22">
        <f t="shared" ca="1" si="58"/>
        <v>0.3346610022486472</v>
      </c>
      <c r="O384" s="867"/>
    </row>
    <row r="385" spans="2:17" ht="15.75">
      <c r="B385" s="15"/>
      <c r="C385" s="17" t="s">
        <v>100</v>
      </c>
      <c r="D385" s="2487" t="str">
        <f>INDEX(Vectors[Description], MATCH([Vector], Vectors[Code], 0))</f>
        <v>Gaseous hydrocarbons</v>
      </c>
      <c r="E385" s="17"/>
      <c r="F385" s="22">
        <f t="shared" ca="1" si="58"/>
        <v>0.22774455378050898</v>
      </c>
      <c r="G385" s="22">
        <f t="shared" ca="1" si="58"/>
        <v>0.36184126233438352</v>
      </c>
      <c r="H385" s="22">
        <f t="shared" ca="1" si="58"/>
        <v>1.2809073708829677</v>
      </c>
      <c r="I385" s="22">
        <f t="shared" ca="1" si="58"/>
        <v>2.7367354408428457</v>
      </c>
      <c r="J385" s="22">
        <f t="shared" ca="1" si="58"/>
        <v>6.8882063731063781</v>
      </c>
      <c r="K385" s="22">
        <f t="shared" ca="1" si="58"/>
        <v>10.241779129231292</v>
      </c>
      <c r="L385" s="22">
        <f t="shared" ca="1" si="58"/>
        <v>15.401266021886139</v>
      </c>
      <c r="M385" s="22">
        <f t="shared" ca="1" si="58"/>
        <v>19.887599646208944</v>
      </c>
      <c r="N385" s="22">
        <f t="shared" ca="1" si="58"/>
        <v>23.824090611859152</v>
      </c>
      <c r="O385" s="867"/>
    </row>
    <row r="386" spans="2:17" ht="15.75">
      <c r="B386" s="15"/>
      <c r="C386" s="17" t="s">
        <v>432</v>
      </c>
      <c r="D386" s="2487" t="str">
        <f>INDEX(Vectors[Description], MATCH([Vector], Vectors[Code], 0))</f>
        <v>Dry biomass and waste</v>
      </c>
      <c r="E386" s="17"/>
      <c r="F386" s="22">
        <f t="shared" ref="F386:N386" ca="1" si="59">-F$15</f>
        <v>-0.4334068201700001</v>
      </c>
      <c r="G386" s="22">
        <f t="shared" ca="1" si="59"/>
        <v>-1.0742385181146412</v>
      </c>
      <c r="H386" s="22">
        <f t="shared" ca="1" si="59"/>
        <v>-3.4730781007789262</v>
      </c>
      <c r="I386" s="22">
        <f t="shared" ca="1" si="59"/>
        <v>-8.3320251015035147</v>
      </c>
      <c r="J386" s="22">
        <f t="shared" ca="1" si="59"/>
        <v>-11.556354871441844</v>
      </c>
      <c r="K386" s="22">
        <f t="shared" ca="1" si="59"/>
        <v>-14.881855923773518</v>
      </c>
      <c r="L386" s="22">
        <f t="shared" ca="1" si="59"/>
        <v>-21.598415710930002</v>
      </c>
      <c r="M386" s="22">
        <f t="shared" ca="1" si="59"/>
        <v>-23.453273053128505</v>
      </c>
      <c r="N386" s="22">
        <f t="shared" ca="1" si="59"/>
        <v>-23.706484479667335</v>
      </c>
      <c r="O386" s="867"/>
    </row>
    <row r="387" spans="2:17" ht="15.75">
      <c r="B387" s="15"/>
      <c r="C387" s="17" t="s">
        <v>433</v>
      </c>
      <c r="D387" s="2487" t="str">
        <f>INDEX(Vectors[Description], MATCH([Vector], Vectors[Code], 0))</f>
        <v>Wet biomass and waste</v>
      </c>
      <c r="E387" s="17"/>
      <c r="F387" s="22">
        <f ca="1">-F$16</f>
        <v>-0.1469939508333333</v>
      </c>
      <c r="G387" s="22">
        <f t="shared" ref="G387:N387" ca="1" si="60">-G$16</f>
        <v>-0.30315030492522765</v>
      </c>
      <c r="H387" s="22">
        <f t="shared" ca="1" si="60"/>
        <v>-1.5106164705314096</v>
      </c>
      <c r="I387" s="22">
        <f t="shared" ca="1" si="60"/>
        <v>-3.021188431319072</v>
      </c>
      <c r="J387" s="22">
        <f t="shared" ca="1" si="60"/>
        <v>-7.9086168792688998</v>
      </c>
      <c r="K387" s="22">
        <f t="shared" ca="1" si="60"/>
        <v>-11.85886901389615</v>
      </c>
      <c r="L387" s="22">
        <f t="shared" ca="1" si="60"/>
        <v>-17.935298834659971</v>
      </c>
      <c r="M387" s="22">
        <f t="shared" ca="1" si="60"/>
        <v>-23.221401849807123</v>
      </c>
      <c r="N387" s="22">
        <f t="shared" ca="1" si="60"/>
        <v>-27.862294761138976</v>
      </c>
      <c r="O387" s="867"/>
    </row>
    <row r="388" spans="2:17" ht="15.75">
      <c r="B388" s="15"/>
      <c r="C388" s="17" t="s">
        <v>434</v>
      </c>
      <c r="D388" s="2487" t="str">
        <f>INDEX(Vectors[Description], MATCH([Vector], Vectors[Code], 0))</f>
        <v>Gaseous waste</v>
      </c>
      <c r="E388" s="17"/>
      <c r="F388" s="22">
        <f ca="1">-F17</f>
        <v>-0.11749909065550901</v>
      </c>
      <c r="G388" s="22">
        <f t="shared" ref="G388:N388" ca="1" si="61">-G17</f>
        <v>-0.13447853364046278</v>
      </c>
      <c r="H388" s="22">
        <f t="shared" ca="1" si="61"/>
        <v>-0.14794501798441054</v>
      </c>
      <c r="I388" s="22">
        <f t="shared" ca="1" si="61"/>
        <v>-0.16872527422163447</v>
      </c>
      <c r="J388" s="22">
        <f t="shared" ca="1" si="61"/>
        <v>-0.16588202572781321</v>
      </c>
      <c r="K388" s="22">
        <f t="shared" ca="1" si="61"/>
        <v>-0.16174046741956455</v>
      </c>
      <c r="L388" s="22">
        <f t="shared" ca="1" si="61"/>
        <v>-0.15626201242516538</v>
      </c>
      <c r="M388" s="22">
        <f t="shared" ca="1" si="61"/>
        <v>-0.14940807387289254</v>
      </c>
      <c r="N388" s="22">
        <f t="shared" ca="1" si="61"/>
        <v>-0.14114006489102265</v>
      </c>
      <c r="O388" s="867"/>
    </row>
    <row r="389" spans="2:17" ht="15.75">
      <c r="B389" s="15"/>
      <c r="C389" s="17" t="s">
        <v>430</v>
      </c>
      <c r="D389" s="2487" t="str">
        <f>INDEX(Vectors[Description], MATCH([Vector], Vectors[Code], 0))</f>
        <v>Energy crops (second generation)</v>
      </c>
      <c r="E389" s="17"/>
      <c r="F389" s="22">
        <f t="shared" ref="F389:N389" ca="1" si="62">-F$18</f>
        <v>-0.16958333333333334</v>
      </c>
      <c r="G389" s="22">
        <f t="shared" ca="1" si="62"/>
        <v>-2.9254922797006762</v>
      </c>
      <c r="H389" s="22">
        <f t="shared" ca="1" si="62"/>
        <v>-10.560023127898354</v>
      </c>
      <c r="I389" s="22">
        <f t="shared" ca="1" si="62"/>
        <v>-19.357134768779371</v>
      </c>
      <c r="J389" s="22">
        <f t="shared" ca="1" si="62"/>
        <v>-29.45092534174433</v>
      </c>
      <c r="K389" s="22">
        <f t="shared" ca="1" si="62"/>
        <v>-40.989276385826031</v>
      </c>
      <c r="L389" s="22">
        <f t="shared" ca="1" si="62"/>
        <v>-54.135182368629792</v>
      </c>
      <c r="M389" s="22">
        <f t="shared" ca="1" si="62"/>
        <v>-69.068203392186163</v>
      </c>
      <c r="N389" s="22">
        <f t="shared" ca="1" si="62"/>
        <v>-85.98605217389283</v>
      </c>
      <c r="O389" s="867"/>
    </row>
    <row r="390" spans="2:17" ht="15.75">
      <c r="B390" s="15"/>
      <c r="C390" s="17" t="s">
        <v>431</v>
      </c>
      <c r="D390" s="2487" t="str">
        <f>INDEX(Vectors[Description], MATCH([Vector], Vectors[Code], 0))</f>
        <v>Energy crops (first generation)</v>
      </c>
      <c r="E390" s="17"/>
      <c r="F390" s="22">
        <f t="shared" ref="F390:N390" ca="1" si="63">-F$19</f>
        <v>-0.14350000000000002</v>
      </c>
      <c r="G390" s="22">
        <f t="shared" ca="1" si="63"/>
        <v>-0.17750982181293876</v>
      </c>
      <c r="H390" s="22">
        <f t="shared" ca="1" si="63"/>
        <v>-0.26905561870922784</v>
      </c>
      <c r="I390" s="22">
        <f t="shared" ca="1" si="63"/>
        <v>-0.37055006275752844</v>
      </c>
      <c r="J390" s="22">
        <f t="shared" ca="1" si="63"/>
        <v>-0.48283502255691169</v>
      </c>
      <c r="K390" s="22">
        <f t="shared" ca="1" si="63"/>
        <v>-0.60681631464215224</v>
      </c>
      <c r="L390" s="22">
        <f t="shared" ca="1" si="63"/>
        <v>-0.74346827555139616</v>
      </c>
      <c r="M390" s="22">
        <f t="shared" ca="1" si="63"/>
        <v>-0.89383864833915727</v>
      </c>
      <c r="N390" s="22">
        <f t="shared" ca="1" si="63"/>
        <v>-1.0590538045843265</v>
      </c>
      <c r="O390" s="867"/>
    </row>
    <row r="391" spans="2:17" ht="15.75">
      <c r="B391" s="15"/>
      <c r="C391" s="17" t="s">
        <v>104</v>
      </c>
      <c r="D391" s="2487" t="str">
        <f>INDEX(Vectors[Description], MATCH([Vector], Vectors[Code], 0))</f>
        <v>Conversion losses</v>
      </c>
      <c r="E391" s="17"/>
      <c r="F391" s="2521">
        <f ca="1">SUM(V.a.Inputs[2013])-SUM(F$306:F$308)</f>
        <v>0.19606250305866657</v>
      </c>
      <c r="G391" s="2521">
        <f ca="1">SUM(V.a.Inputs[2015])-SUM(G$306:G$308)</f>
        <v>0.59824243306376701</v>
      </c>
      <c r="H391" s="2521">
        <f ca="1">SUM(V.a.Inputs[2020])-SUM(H$306:H$308)</f>
        <v>1.966612617409945</v>
      </c>
      <c r="I391" s="2521">
        <f ca="1">SUM(V.a.Inputs[2025])-SUM(I$306:I$308)</f>
        <v>2.0910925011381494</v>
      </c>
      <c r="J391" s="2521">
        <f ca="1">SUM(V.a.Inputs[2030])-SUM(J$306:J$308)</f>
        <v>3.5669156979785797</v>
      </c>
      <c r="K391" s="2521">
        <f ca="1">SUM(V.a.Inputs[2035])-SUM(K$306:K$308)</f>
        <v>4.9874493267796325</v>
      </c>
      <c r="L391" s="2521">
        <f ca="1">SUM(V.a.Inputs[2040])-SUM(L$306:L$308)</f>
        <v>6.9855070296541442</v>
      </c>
      <c r="M391" s="2521">
        <f ca="1">SUM(V.a.Inputs[2045])-SUM(M$306:M$308)</f>
        <v>8.7206697352007865</v>
      </c>
      <c r="N391" s="2521">
        <f ca="1">SUM(V.a.Inputs[2050])-SUM(N$306:N$308)</f>
        <v>10.388363849184515</v>
      </c>
      <c r="O391" s="867"/>
    </row>
    <row r="392" spans="2:17" ht="15.75">
      <c r="B392" s="15"/>
      <c r="C392" s="2462" t="s">
        <v>59</v>
      </c>
      <c r="D392" s="2462"/>
      <c r="E392" s="2462"/>
      <c r="F392" s="3950">
        <f ca="1">SUBTOTAL(109,[2013])</f>
        <v>0</v>
      </c>
      <c r="G392" s="3950">
        <f ca="1">SUBTOTAL(109,[2015])</f>
        <v>8.8817841970012523E-16</v>
      </c>
      <c r="H392" s="3950">
        <f ca="1">SUBTOTAL(109,[2020])</f>
        <v>0</v>
      </c>
      <c r="I392" s="3950">
        <f ca="1">SUBTOTAL(109,[2025])</f>
        <v>-5.3290705182007514E-15</v>
      </c>
      <c r="J392" s="3950">
        <f ca="1">SUBTOTAL(109,[2030])</f>
        <v>4.4408920985006262E-15</v>
      </c>
      <c r="K392" s="3950">
        <f ca="1">SUBTOTAL(109,[2035])</f>
        <v>-1.4210854715202004E-14</v>
      </c>
      <c r="L392" s="3950">
        <f ca="1">SUBTOTAL(109,[2040])</f>
        <v>0</v>
      </c>
      <c r="M392" s="3950">
        <f ca="1">SUBTOTAL(109,[2045])</f>
        <v>0</v>
      </c>
      <c r="N392" s="3950">
        <f ca="1">SUBTOTAL(109,[2050])</f>
        <v>-1.7763568394002505E-14</v>
      </c>
      <c r="O392" s="867"/>
    </row>
    <row r="393" spans="2:17" ht="15.75">
      <c r="B393" s="15"/>
      <c r="C393" s="18"/>
      <c r="D393" s="18"/>
      <c r="E393" s="18"/>
      <c r="F393" s="449"/>
      <c r="G393" s="449"/>
      <c r="H393" s="449"/>
      <c r="I393" s="449"/>
      <c r="J393" s="449"/>
      <c r="K393" s="449"/>
      <c r="L393" s="449"/>
      <c r="M393" s="449"/>
      <c r="N393" s="449"/>
      <c r="O393" s="867"/>
    </row>
    <row r="394" spans="2:17" ht="15.75">
      <c r="B394" s="35"/>
      <c r="C394" s="452"/>
      <c r="D394" s="452"/>
      <c r="E394" s="452"/>
      <c r="F394" s="452"/>
      <c r="G394" s="452"/>
      <c r="H394" s="452"/>
      <c r="I394" s="452"/>
      <c r="J394" s="452"/>
      <c r="K394" s="452"/>
      <c r="L394" s="452"/>
      <c r="M394" s="452"/>
      <c r="N394" s="452"/>
      <c r="O394" s="515"/>
      <c r="Q394" s="2685" t="s">
        <v>5</v>
      </c>
    </row>
    <row r="396" spans="2:17" ht="15.75">
      <c r="B396" s="1127" t="s">
        <v>303</v>
      </c>
      <c r="C396" s="1128"/>
      <c r="D396" s="1129"/>
      <c r="E396" s="1129"/>
      <c r="F396" s="1129"/>
      <c r="G396" s="1129"/>
      <c r="H396" s="1129"/>
      <c r="I396" s="1129"/>
      <c r="J396" s="1129"/>
      <c r="K396" s="1129"/>
      <c r="L396" s="1129"/>
      <c r="M396" s="1129"/>
      <c r="N396" s="1129"/>
      <c r="O396" s="1130"/>
    </row>
    <row r="397" spans="2:17">
      <c r="B397" s="1131"/>
      <c r="C397" s="1132"/>
      <c r="D397" s="1132"/>
      <c r="E397" s="1132"/>
      <c r="F397" s="1132"/>
      <c r="G397" s="1132"/>
      <c r="H397" s="1132"/>
      <c r="I397" s="1132"/>
      <c r="J397" s="1132"/>
      <c r="K397" s="1132"/>
      <c r="L397" s="1132"/>
      <c r="M397" s="1132"/>
      <c r="N397" s="1132"/>
      <c r="O397" s="1133"/>
    </row>
    <row r="398" spans="2:17">
      <c r="B398" s="1134"/>
      <c r="C398" s="462" t="s">
        <v>1349</v>
      </c>
      <c r="D398" s="1135"/>
      <c r="E398" s="1136"/>
      <c r="F398" s="1135"/>
      <c r="G398" s="1135"/>
      <c r="H398" s="1135"/>
      <c r="I398" s="1135"/>
      <c r="J398" s="1135"/>
      <c r="K398" s="1135"/>
      <c r="L398" s="1135"/>
      <c r="M398" s="1135"/>
      <c r="N398" s="1136" t="s">
        <v>254</v>
      </c>
      <c r="O398" s="1138"/>
    </row>
    <row r="399" spans="2:17">
      <c r="B399" s="1134"/>
      <c r="C399" s="1135"/>
      <c r="D399" s="1135"/>
      <c r="E399" s="1135"/>
      <c r="F399" s="1135"/>
      <c r="G399" s="1135"/>
      <c r="H399" s="1135"/>
      <c r="I399" s="1135"/>
      <c r="J399" s="1135"/>
      <c r="K399" s="1135"/>
      <c r="L399" s="1135"/>
      <c r="M399" s="1135"/>
      <c r="N399" s="1135"/>
      <c r="O399" s="1138"/>
    </row>
    <row r="400" spans="2:17" ht="15.75">
      <c r="B400" s="467"/>
      <c r="C400" s="1339" t="s">
        <v>305</v>
      </c>
      <c r="D400" s="1339" t="s">
        <v>306</v>
      </c>
      <c r="E400" s="1339" t="s">
        <v>30</v>
      </c>
      <c r="F400" s="1339" t="s">
        <v>597</v>
      </c>
      <c r="G400" s="1339" t="s">
        <v>133</v>
      </c>
      <c r="H400" s="1339" t="s">
        <v>134</v>
      </c>
      <c r="I400" s="1339" t="s">
        <v>135</v>
      </c>
      <c r="J400" s="1339" t="s">
        <v>136</v>
      </c>
      <c r="K400" s="1339" t="s">
        <v>137</v>
      </c>
      <c r="L400" s="1339" t="s">
        <v>138</v>
      </c>
      <c r="M400" s="1339" t="s">
        <v>139</v>
      </c>
      <c r="N400" s="1339" t="s">
        <v>140</v>
      </c>
      <c r="O400" s="1138"/>
    </row>
    <row r="401" spans="2:15" ht="15.75">
      <c r="B401" s="467"/>
      <c r="C401" s="1139" t="s">
        <v>253</v>
      </c>
      <c r="D401" s="2665" t="s">
        <v>458</v>
      </c>
      <c r="E401" s="2786" t="s">
        <v>413</v>
      </c>
      <c r="F401" s="2786">
        <f ca="1">-F322</f>
        <v>-0.24158752466535785</v>
      </c>
      <c r="G401" s="2786">
        <f t="shared" ref="G401:N401" ca="1" si="64">-G322</f>
        <v>-1.3039562180674993</v>
      </c>
      <c r="H401" s="2786">
        <f t="shared" ca="1" si="64"/>
        <v>-4.5483387816642304</v>
      </c>
      <c r="I401" s="2786">
        <f t="shared" ca="1" si="64"/>
        <v>-4.2795045259295694</v>
      </c>
      <c r="J401" s="2786">
        <f t="shared" ca="1" si="64"/>
        <v>-3.9432183894787181</v>
      </c>
      <c r="K401" s="2786">
        <f t="shared" ca="1" si="64"/>
        <v>-10.609111376385965</v>
      </c>
      <c r="L401" s="2786">
        <f t="shared" ca="1" si="64"/>
        <v>-12.179790717984302</v>
      </c>
      <c r="M401" s="2786">
        <f t="shared" ca="1" si="64"/>
        <v>-13.129532390118314</v>
      </c>
      <c r="N401" s="2786">
        <f t="shared" ca="1" si="64"/>
        <v>-13.971939359188873</v>
      </c>
      <c r="O401" s="1138"/>
    </row>
    <row r="402" spans="2:15" ht="15.75">
      <c r="B402" s="467"/>
      <c r="C402" s="3505" t="s">
        <v>59</v>
      </c>
      <c r="D402" s="2682"/>
      <c r="E402" s="3507"/>
      <c r="F402" s="3508">
        <f ca="1">SUBTOTAL(109,[2013])</f>
        <v>-0.24158752466535785</v>
      </c>
      <c r="G402" s="3508">
        <f ca="1">SUBTOTAL(109,[2015])</f>
        <v>-1.3039562180674993</v>
      </c>
      <c r="H402" s="3508">
        <f ca="1">SUBTOTAL(109,[2020])</f>
        <v>-4.5483387816642304</v>
      </c>
      <c r="I402" s="3508">
        <f ca="1">SUBTOTAL(109,[2025])</f>
        <v>-4.2795045259295694</v>
      </c>
      <c r="J402" s="3508">
        <f ca="1">SUBTOTAL(109,[2030])</f>
        <v>-3.9432183894787181</v>
      </c>
      <c r="K402" s="3508">
        <f ca="1">SUBTOTAL(109,[2035])</f>
        <v>-10.609111376385965</v>
      </c>
      <c r="L402" s="3508">
        <f ca="1">SUBTOTAL(109,[2040])</f>
        <v>-12.179790717984302</v>
      </c>
      <c r="M402" s="3508">
        <f ca="1">SUBTOTAL(109,[2045])</f>
        <v>-13.129532390118314</v>
      </c>
      <c r="N402" s="3508">
        <f ca="1">SUBTOTAL(109,[2050])</f>
        <v>-13.971939359188873</v>
      </c>
      <c r="O402" s="1138"/>
    </row>
    <row r="403" spans="2:15" ht="15.75">
      <c r="B403" s="467"/>
      <c r="C403" s="1149"/>
      <c r="D403" s="1149"/>
      <c r="E403" s="1149"/>
      <c r="F403" s="1149"/>
      <c r="G403" s="1149"/>
      <c r="H403" s="1149"/>
      <c r="I403" s="1149"/>
      <c r="J403" s="1149"/>
      <c r="K403" s="1149"/>
      <c r="L403" s="1149"/>
      <c r="M403" s="1149"/>
      <c r="N403" s="1149"/>
      <c r="O403" s="474"/>
    </row>
    <row r="405" spans="2:15" ht="15.75">
      <c r="B405" s="995" t="s">
        <v>313</v>
      </c>
      <c r="C405" s="996"/>
      <c r="D405" s="997"/>
      <c r="E405" s="997"/>
      <c r="F405" s="997"/>
      <c r="G405" s="997"/>
      <c r="H405" s="997"/>
      <c r="I405" s="997"/>
      <c r="J405" s="997"/>
      <c r="K405" s="997"/>
      <c r="L405" s="997"/>
      <c r="M405" s="997"/>
      <c r="N405" s="997"/>
      <c r="O405" s="998"/>
    </row>
    <row r="406" spans="2:15">
      <c r="B406" s="999"/>
      <c r="C406" s="1000"/>
      <c r="D406" s="1000"/>
      <c r="E406" s="1000"/>
      <c r="F406" s="1000"/>
      <c r="G406" s="1000"/>
      <c r="H406" s="1000"/>
      <c r="I406" s="1000"/>
      <c r="J406" s="1000"/>
      <c r="K406" s="1000"/>
      <c r="L406" s="1000"/>
      <c r="M406" s="1000"/>
      <c r="N406" s="1000"/>
      <c r="O406" s="1001"/>
    </row>
    <row r="407" spans="2:15">
      <c r="B407" s="1002"/>
      <c r="C407" s="488" t="s">
        <v>314</v>
      </c>
      <c r="D407" s="1003"/>
      <c r="E407" s="1004"/>
      <c r="F407" s="1003"/>
      <c r="G407" s="1003"/>
      <c r="H407" s="1003"/>
      <c r="I407" s="1003"/>
      <c r="J407" s="1003"/>
      <c r="K407" s="1003"/>
      <c r="L407" s="1003"/>
      <c r="M407" s="1003"/>
      <c r="N407" s="1004"/>
      <c r="O407" s="1005"/>
    </row>
    <row r="408" spans="2:15">
      <c r="B408" s="1002"/>
      <c r="C408" s="1003"/>
      <c r="D408" s="1003"/>
      <c r="E408" s="1003"/>
      <c r="F408" s="1003"/>
      <c r="G408" s="1003"/>
      <c r="H408" s="1003"/>
      <c r="I408" s="1003"/>
      <c r="J408" s="1003"/>
      <c r="K408" s="1003"/>
      <c r="L408" s="1003"/>
      <c r="M408" s="1003"/>
      <c r="N408" s="1003"/>
      <c r="O408" s="1005"/>
    </row>
    <row r="409" spans="2:15" ht="15.75">
      <c r="B409" s="492"/>
      <c r="C409" s="1006" t="s">
        <v>28</v>
      </c>
      <c r="D409" s="1006" t="s">
        <v>315</v>
      </c>
      <c r="E409" s="1006" t="s">
        <v>30</v>
      </c>
      <c r="F409" s="1006">
        <v>2013</v>
      </c>
      <c r="G409" s="1006" t="s">
        <v>133</v>
      </c>
      <c r="H409" s="1006" t="s">
        <v>134</v>
      </c>
      <c r="I409" s="1006" t="s">
        <v>135</v>
      </c>
      <c r="J409" s="1006" t="s">
        <v>136</v>
      </c>
      <c r="K409" s="1006" t="s">
        <v>137</v>
      </c>
      <c r="L409" s="1006" t="s">
        <v>138</v>
      </c>
      <c r="M409" s="1006" t="s">
        <v>139</v>
      </c>
      <c r="N409" s="1006" t="s">
        <v>140</v>
      </c>
      <c r="O409" s="1005"/>
    </row>
    <row r="410" spans="2:15" ht="15.75">
      <c r="B410" s="492"/>
      <c r="C410" s="1007"/>
      <c r="D410" s="494"/>
      <c r="E410" s="494"/>
      <c r="F410" s="1008"/>
      <c r="G410" s="1008"/>
      <c r="H410" s="1008"/>
      <c r="I410" s="1008"/>
      <c r="J410" s="1008"/>
      <c r="K410" s="1008"/>
      <c r="L410" s="1008"/>
      <c r="M410" s="1008"/>
      <c r="N410" s="1008"/>
      <c r="O410" s="1005"/>
    </row>
    <row r="411" spans="2:15" ht="15.75">
      <c r="B411" s="492"/>
      <c r="C411" s="1007"/>
      <c r="D411" s="494"/>
      <c r="E411" s="494"/>
      <c r="F411" s="1008"/>
      <c r="G411" s="1008"/>
      <c r="H411" s="1008"/>
      <c r="I411" s="1008"/>
      <c r="J411" s="1008"/>
      <c r="K411" s="1008"/>
      <c r="L411" s="1008"/>
      <c r="M411" s="1008"/>
      <c r="N411" s="1008"/>
      <c r="O411" s="1005"/>
    </row>
    <row r="412" spans="2:15" ht="15.75">
      <c r="B412" s="497"/>
      <c r="C412" s="1010"/>
      <c r="D412" s="1010"/>
      <c r="E412" s="1010"/>
      <c r="F412" s="1010"/>
      <c r="G412" s="1010"/>
      <c r="H412" s="1010"/>
      <c r="I412" s="1010"/>
      <c r="J412" s="1010"/>
      <c r="K412" s="1010"/>
      <c r="L412" s="1010"/>
      <c r="M412" s="1010"/>
      <c r="N412" s="1010"/>
      <c r="O412" s="1011"/>
    </row>
    <row r="414" spans="2:15" ht="15.75">
      <c r="B414" s="995" t="s">
        <v>2795</v>
      </c>
      <c r="C414" s="997"/>
      <c r="D414" s="997"/>
      <c r="E414" s="997"/>
      <c r="F414" s="997"/>
      <c r="G414" s="997"/>
      <c r="H414" s="997"/>
      <c r="I414" s="997"/>
      <c r="J414" s="997"/>
      <c r="K414" s="997"/>
      <c r="L414" s="997"/>
      <c r="M414" s="997"/>
      <c r="N414" s="997"/>
      <c r="O414" s="998"/>
    </row>
    <row r="415" spans="2:15" hidden="1">
      <c r="B415" s="1002"/>
      <c r="C415" s="1003"/>
      <c r="D415" s="1003"/>
      <c r="E415" s="1003"/>
      <c r="F415" s="1003"/>
      <c r="G415" s="1003"/>
      <c r="H415" s="1003"/>
      <c r="I415" s="1003"/>
      <c r="J415" s="1003"/>
      <c r="K415" s="1003"/>
      <c r="L415" s="1003"/>
      <c r="M415" s="1003"/>
      <c r="N415" s="1003"/>
      <c r="O415" s="1005"/>
    </row>
    <row r="416" spans="2:15" hidden="1">
      <c r="B416" s="1002"/>
      <c r="C416" s="500" t="s">
        <v>770</v>
      </c>
      <c r="D416" s="1012"/>
      <c r="E416" s="1012"/>
      <c r="F416" s="1012"/>
      <c r="G416" s="1012"/>
      <c r="H416" s="1012"/>
      <c r="I416" s="1012"/>
      <c r="J416" s="1012"/>
      <c r="K416" s="1012"/>
      <c r="L416" s="1012"/>
      <c r="M416" s="1012"/>
      <c r="N416" s="1013" t="s">
        <v>2812</v>
      </c>
      <c r="O416" s="1005"/>
    </row>
    <row r="417" spans="2:17" hidden="1">
      <c r="B417" s="1002"/>
      <c r="C417" s="1003"/>
      <c r="D417" s="1003"/>
      <c r="E417" s="1003"/>
      <c r="F417" s="1003"/>
      <c r="G417" s="1003"/>
      <c r="H417" s="1003"/>
      <c r="I417" s="1003"/>
      <c r="J417" s="1003"/>
      <c r="K417" s="1003"/>
      <c r="L417" s="1003"/>
      <c r="M417" s="1003"/>
      <c r="N417" s="1003"/>
      <c r="O417" s="1005"/>
    </row>
    <row r="418" spans="2:17" ht="15.75" hidden="1">
      <c r="B418" s="492"/>
      <c r="C418" s="1006" t="s">
        <v>28</v>
      </c>
      <c r="D418" s="1006" t="s">
        <v>29</v>
      </c>
      <c r="E418" s="1006" t="s">
        <v>30</v>
      </c>
      <c r="F418" s="1006">
        <v>2013</v>
      </c>
      <c r="G418" s="1006" t="s">
        <v>133</v>
      </c>
      <c r="H418" s="1006" t="s">
        <v>134</v>
      </c>
      <c r="I418" s="1006" t="s">
        <v>135</v>
      </c>
      <c r="J418" s="1006" t="s">
        <v>136</v>
      </c>
      <c r="K418" s="1006" t="s">
        <v>137</v>
      </c>
      <c r="L418" s="1006" t="s">
        <v>138</v>
      </c>
      <c r="M418" s="1006" t="s">
        <v>139</v>
      </c>
      <c r="N418" s="1006" t="s">
        <v>140</v>
      </c>
      <c r="O418" s="1150"/>
    </row>
    <row r="419" spans="2:17" ht="15.75" hidden="1">
      <c r="B419" s="492"/>
      <c r="C419" s="1007" t="s">
        <v>324</v>
      </c>
      <c r="D419" s="494" t="s">
        <v>325</v>
      </c>
      <c r="E419" s="494"/>
      <c r="F419" s="2787"/>
      <c r="G419" s="2787"/>
      <c r="H419" s="2787"/>
      <c r="I419" s="2787"/>
      <c r="J419" s="2787"/>
      <c r="K419" s="2787"/>
      <c r="L419" s="2787"/>
      <c r="M419" s="2787"/>
      <c r="N419" s="2787"/>
      <c r="O419" s="1150"/>
    </row>
    <row r="420" spans="2:17" ht="15.75" hidden="1">
      <c r="B420" s="492"/>
      <c r="C420" s="1007" t="s">
        <v>331</v>
      </c>
      <c r="D420" s="494" t="s">
        <v>332</v>
      </c>
      <c r="E420" s="494"/>
      <c r="F420" s="2787"/>
      <c r="G420" s="2787"/>
      <c r="H420" s="2787"/>
      <c r="I420" s="2787"/>
      <c r="J420" s="2787"/>
      <c r="K420" s="2787"/>
      <c r="L420" s="2787"/>
      <c r="M420" s="2787"/>
      <c r="N420" s="2787"/>
      <c r="O420" s="1150"/>
    </row>
    <row r="421" spans="2:17" ht="15.75" hidden="1">
      <c r="B421" s="492"/>
      <c r="C421" s="1007" t="s">
        <v>326</v>
      </c>
      <c r="D421" s="494" t="s">
        <v>327</v>
      </c>
      <c r="E421" s="494"/>
      <c r="F421" s="2787"/>
      <c r="G421" s="2787"/>
      <c r="H421" s="2787"/>
      <c r="I421" s="2787"/>
      <c r="J421" s="2787"/>
      <c r="K421" s="2787"/>
      <c r="L421" s="2787"/>
      <c r="M421" s="2787"/>
      <c r="N421" s="2787"/>
      <c r="O421" s="1150"/>
    </row>
    <row r="422" spans="2:17" ht="15.75" hidden="1">
      <c r="B422" s="492"/>
      <c r="C422" s="1007" t="s">
        <v>333</v>
      </c>
      <c r="D422" s="494" t="s">
        <v>334</v>
      </c>
      <c r="E422" s="494"/>
      <c r="F422" s="2787"/>
      <c r="G422" s="2787"/>
      <c r="H422" s="2787"/>
      <c r="I422" s="2787"/>
      <c r="J422" s="2787"/>
      <c r="K422" s="2787"/>
      <c r="L422" s="2787"/>
      <c r="M422" s="2787"/>
      <c r="N422" s="2787"/>
      <c r="O422" s="1150"/>
    </row>
    <row r="423" spans="2:17" hidden="1">
      <c r="B423" s="503"/>
      <c r="C423" s="1007" t="s">
        <v>328</v>
      </c>
      <c r="D423" s="494" t="s">
        <v>329</v>
      </c>
      <c r="E423" s="494"/>
      <c r="F423" s="2787"/>
      <c r="G423" s="2787"/>
      <c r="H423" s="2787"/>
      <c r="I423" s="2787"/>
      <c r="J423" s="2787"/>
      <c r="K423" s="2787"/>
      <c r="L423" s="2787"/>
      <c r="M423" s="2787"/>
      <c r="N423" s="2787"/>
      <c r="O423" s="1151"/>
    </row>
    <row r="424" spans="2:17" hidden="1">
      <c r="B424" s="503"/>
      <c r="C424" s="1007" t="s">
        <v>335</v>
      </c>
      <c r="D424" s="494" t="s">
        <v>336</v>
      </c>
      <c r="E424" s="494"/>
      <c r="F424" s="2788"/>
      <c r="G424" s="2788"/>
      <c r="H424" s="2788"/>
      <c r="I424" s="2788"/>
      <c r="J424" s="2788"/>
      <c r="K424" s="2788"/>
      <c r="L424" s="2788"/>
      <c r="M424" s="2788"/>
      <c r="N424" s="2788"/>
      <c r="O424" s="1151"/>
    </row>
    <row r="425" spans="2:17" hidden="1">
      <c r="B425" s="1014"/>
      <c r="C425" s="1010"/>
      <c r="D425" s="1010"/>
      <c r="E425" s="1010"/>
      <c r="F425" s="1010"/>
      <c r="G425" s="1010"/>
      <c r="H425" s="1010"/>
      <c r="I425" s="1010"/>
      <c r="J425" s="1010"/>
      <c r="K425" s="1010"/>
      <c r="L425" s="1010"/>
      <c r="M425" s="1010"/>
      <c r="N425" s="1010"/>
      <c r="O425" s="1015"/>
    </row>
    <row r="427" spans="2:17">
      <c r="Q427" s="39"/>
    </row>
    <row r="428" spans="2:17">
      <c r="Q428" s="39"/>
    </row>
    <row r="429" spans="2:17">
      <c r="Q429" s="39"/>
    </row>
    <row r="430" spans="2:17">
      <c r="Q430" s="39"/>
    </row>
    <row r="431" spans="2:17">
      <c r="Q431" s="39"/>
    </row>
  </sheetData>
  <mergeCells count="2">
    <mergeCell ref="G107:H107"/>
    <mergeCell ref="I107:J107"/>
  </mergeCells>
  <pageMargins left="0.7" right="0.7" top="0.75" bottom="0.75" header="0.3" footer="0.3"/>
  <pageSetup orientation="portrait" r:id="rId1"/>
  <tableParts count="5">
    <tablePart r:id="rId2"/>
    <tablePart r:id="rId3"/>
    <tablePart r:id="rId4"/>
    <tablePart r:id="rId5"/>
    <tablePart r:id="rId6"/>
  </tableParts>
</worksheet>
</file>

<file path=xl/worksheets/sheet25.xml><?xml version="1.0" encoding="utf-8"?>
<worksheet xmlns="http://schemas.openxmlformats.org/spreadsheetml/2006/main" xmlns:r="http://schemas.openxmlformats.org/officeDocument/2006/relationships">
  <sheetPr>
    <tabColor theme="9"/>
  </sheetPr>
  <dimension ref="A1:AO146"/>
  <sheetViews>
    <sheetView showGridLines="0" zoomScale="80" zoomScaleNormal="80" workbookViewId="0">
      <selection activeCell="I27" sqref="I27"/>
    </sheetView>
  </sheetViews>
  <sheetFormatPr defaultColWidth="8.85546875" defaultRowHeight="15"/>
  <cols>
    <col min="1" max="1" width="7.7109375" style="3415" customWidth="1"/>
    <col min="2" max="2" width="5.85546875" style="3415" customWidth="1"/>
    <col min="3" max="3" width="20.42578125" style="3415" customWidth="1"/>
    <col min="4" max="4" width="30.7109375" style="3415" customWidth="1"/>
    <col min="5" max="5" width="20.7109375" style="3415" customWidth="1"/>
    <col min="6" max="15" width="17.7109375" style="3415" customWidth="1"/>
    <col min="16" max="16" width="2" customWidth="1"/>
    <col min="17" max="17" width="10.85546875" style="3415" customWidth="1"/>
    <col min="18" max="26" width="8.85546875" style="3415"/>
    <col min="27" max="27" width="25.140625" style="3415" customWidth="1"/>
    <col min="28" max="16384" width="8.85546875" style="3415"/>
  </cols>
  <sheetData>
    <row r="1" spans="1:16" ht="20.25">
      <c r="A1" s="863" t="s">
        <v>580</v>
      </c>
      <c r="B1" s="863" t="s">
        <v>581</v>
      </c>
      <c r="C1" s="863"/>
      <c r="F1" s="3854"/>
    </row>
    <row r="2" spans="1:16" s="6" customFormat="1" ht="15.75">
      <c r="A2" s="864" t="s">
        <v>578</v>
      </c>
      <c r="B2" s="864" t="s">
        <v>579</v>
      </c>
      <c r="C2" s="864"/>
      <c r="D2" s="6" t="s">
        <v>5</v>
      </c>
      <c r="E2" s="5"/>
      <c r="P2"/>
    </row>
    <row r="4" spans="1:16" ht="23.25">
      <c r="A4" s="7"/>
      <c r="B4" s="511" t="s">
        <v>361</v>
      </c>
      <c r="C4" s="865"/>
      <c r="D4" s="512"/>
      <c r="E4" s="513"/>
      <c r="F4" s="512"/>
      <c r="G4" s="512"/>
      <c r="H4" s="512"/>
      <c r="I4" s="512"/>
      <c r="J4" s="512"/>
      <c r="K4" s="512"/>
      <c r="L4" s="512"/>
      <c r="M4" s="512"/>
      <c r="N4" s="512"/>
      <c r="O4" s="512"/>
    </row>
    <row r="5" spans="1:16">
      <c r="B5" s="514"/>
      <c r="C5" s="12"/>
      <c r="D5" s="515"/>
      <c r="E5" s="516"/>
      <c r="F5" s="515"/>
      <c r="G5" s="515"/>
      <c r="H5" s="515"/>
      <c r="I5" s="515"/>
      <c r="J5" s="515"/>
      <c r="K5" s="515"/>
      <c r="L5" s="515"/>
      <c r="M5" s="515"/>
      <c r="N5" s="515"/>
      <c r="O5" s="515"/>
    </row>
    <row r="6" spans="1:16" ht="15.75">
      <c r="B6" s="15"/>
      <c r="C6" s="515"/>
      <c r="D6" s="16" t="s">
        <v>7</v>
      </c>
      <c r="E6" s="16" t="s">
        <v>8</v>
      </c>
      <c r="F6" s="515"/>
      <c r="G6" s="515"/>
      <c r="H6" s="515"/>
      <c r="I6" s="515"/>
      <c r="J6" s="515"/>
      <c r="K6" s="515"/>
      <c r="L6" s="515"/>
      <c r="M6" s="515"/>
      <c r="N6" s="515"/>
      <c r="O6" s="515"/>
    </row>
    <row r="7" spans="1:16" ht="15.75">
      <c r="B7" s="15"/>
      <c r="C7" s="515"/>
      <c r="D7" s="868" t="s">
        <v>2104</v>
      </c>
      <c r="E7" s="868">
        <f>V.b.Scenario</f>
        <v>4</v>
      </c>
      <c r="F7" s="515"/>
      <c r="G7" s="515"/>
      <c r="H7" s="515"/>
      <c r="I7" s="515"/>
      <c r="J7" s="515"/>
      <c r="K7" s="515"/>
      <c r="L7" s="515"/>
      <c r="M7" s="515"/>
      <c r="N7" s="515"/>
      <c r="O7" s="515"/>
    </row>
    <row r="8" spans="1:16" ht="15.75">
      <c r="B8" s="450"/>
      <c r="C8" s="452"/>
      <c r="D8" s="452"/>
      <c r="E8" s="452"/>
      <c r="F8" s="869"/>
      <c r="G8" s="869"/>
      <c r="H8" s="869"/>
      <c r="I8" s="869"/>
      <c r="J8" s="869"/>
      <c r="K8" s="869"/>
      <c r="L8" s="869"/>
      <c r="M8" s="869"/>
      <c r="N8" s="869"/>
      <c r="O8" s="869"/>
    </row>
    <row r="10" spans="1:16" ht="23.25">
      <c r="A10" s="7"/>
      <c r="B10" s="511" t="s">
        <v>24</v>
      </c>
      <c r="C10" s="512"/>
      <c r="D10" s="512"/>
      <c r="E10" s="512"/>
      <c r="F10" s="512"/>
      <c r="G10" s="512"/>
      <c r="H10" s="512"/>
      <c r="I10" s="512"/>
      <c r="J10" s="512"/>
      <c r="K10" s="512"/>
      <c r="L10" s="512"/>
      <c r="M10" s="512"/>
      <c r="N10" s="512"/>
      <c r="O10" s="866"/>
    </row>
    <row r="11" spans="1:16">
      <c r="B11" s="871"/>
      <c r="C11" s="515"/>
      <c r="D11" s="515"/>
      <c r="E11" s="515"/>
      <c r="F11" s="515"/>
      <c r="G11" s="515"/>
      <c r="H11" s="515"/>
      <c r="I11" s="515"/>
      <c r="J11" s="515"/>
      <c r="K11" s="515"/>
      <c r="L11" s="515"/>
      <c r="M11" s="515"/>
      <c r="N11" s="515"/>
      <c r="O11" s="867"/>
    </row>
    <row r="12" spans="1:16" s="6" customFormat="1" ht="15.75">
      <c r="A12" s="3"/>
      <c r="B12" s="2689"/>
      <c r="C12" s="34" t="s">
        <v>2106</v>
      </c>
      <c r="D12" s="515"/>
      <c r="E12" s="516"/>
      <c r="F12" s="515"/>
      <c r="G12" s="515"/>
      <c r="H12" s="515"/>
      <c r="I12" s="515"/>
      <c r="J12" s="515"/>
      <c r="K12" s="515"/>
      <c r="L12" s="515"/>
      <c r="M12" s="515"/>
      <c r="N12" s="516" t="str">
        <f>Preferences.EnergyUnits</f>
        <v>TWh</v>
      </c>
      <c r="O12" s="17"/>
      <c r="P12"/>
    </row>
    <row r="13" spans="1:16" s="6" customFormat="1" ht="15.75">
      <c r="A13" s="3"/>
      <c r="B13" s="2689"/>
      <c r="C13" s="12"/>
      <c r="D13" s="515"/>
      <c r="E13" s="516"/>
      <c r="F13" s="515"/>
      <c r="G13" s="515"/>
      <c r="H13" s="515"/>
      <c r="I13" s="515"/>
      <c r="J13" s="515"/>
      <c r="K13" s="515"/>
      <c r="L13" s="515"/>
      <c r="M13" s="515"/>
      <c r="N13" s="515"/>
      <c r="O13" s="17"/>
      <c r="P13"/>
    </row>
    <row r="14" spans="1:16" s="6" customFormat="1" ht="15.75">
      <c r="A14" s="3"/>
      <c r="B14" s="2689"/>
      <c r="C14" s="873" t="s">
        <v>28</v>
      </c>
      <c r="D14" s="873" t="s">
        <v>29</v>
      </c>
      <c r="E14" s="873" t="s">
        <v>30</v>
      </c>
      <c r="F14" s="873" t="s">
        <v>597</v>
      </c>
      <c r="G14" s="873" t="s">
        <v>133</v>
      </c>
      <c r="H14" s="873" t="s">
        <v>134</v>
      </c>
      <c r="I14" s="873" t="s">
        <v>135</v>
      </c>
      <c r="J14" s="873" t="s">
        <v>136</v>
      </c>
      <c r="K14" s="873" t="s">
        <v>137</v>
      </c>
      <c r="L14" s="873" t="s">
        <v>138</v>
      </c>
      <c r="M14" s="873" t="s">
        <v>139</v>
      </c>
      <c r="N14" s="873" t="s">
        <v>140</v>
      </c>
      <c r="O14" s="17"/>
      <c r="P14"/>
    </row>
    <row r="15" spans="1:16" s="6" customFormat="1" ht="15.75">
      <c r="A15" s="3"/>
      <c r="B15" s="2689"/>
      <c r="C15" s="873" t="s">
        <v>98</v>
      </c>
      <c r="D15" s="873" t="s">
        <v>88</v>
      </c>
      <c r="E15" s="873"/>
      <c r="F15" s="2800">
        <f ca="1">INDEX(INDIRECT("'"&amp;V.b.Inputs[#Headers]&amp;"'!Year.Matrix"), MATCH("Subtotal."&amp;$A$2, INDIRECT("'"&amp;V.b.Inputs[#Headers]&amp;"'!Year.Modules"), 0), MATCH([Vector], INDIRECT("'"&amp;V.b.Inputs[#Headers]&amp;"'!Year.Vectors"), 0))</f>
        <v>-23.242697114676464</v>
      </c>
      <c r="G15" s="2800">
        <f ca="1">INDEX(INDIRECT("'"&amp;V.b.Inputs[#Headers]&amp;"'!Year.Matrix"), MATCH("Subtotal."&amp;$A$2, INDIRECT("'"&amp;V.b.Inputs[#Headers]&amp;"'!Year.Modules"), 0), MATCH([Vector], INDIRECT("'"&amp;V.b.Inputs[#Headers]&amp;"'!Year.Vectors"), 0))</f>
        <v>-20.683572225892757</v>
      </c>
      <c r="H15" s="2800">
        <f ca="1">INDEX(INDIRECT("'"&amp;V.b.Inputs[#Headers]&amp;"'!Year.Matrix"), MATCH("Subtotal."&amp;$A$2, INDIRECT("'"&amp;V.b.Inputs[#Headers]&amp;"'!Year.Modules"), 0), MATCH([Vector], INDIRECT("'"&amp;V.b.Inputs[#Headers]&amp;"'!Year.Vectors"), 0))</f>
        <v>-4.1474595600810868</v>
      </c>
      <c r="I15" s="2800">
        <f ca="1">INDEX(INDIRECT("'"&amp;V.b.Inputs[#Headers]&amp;"'!Year.Matrix"), MATCH("Subtotal."&amp;$A$2, INDIRECT("'"&amp;V.b.Inputs[#Headers]&amp;"'!Year.Modules"), 0), MATCH([Vector], INDIRECT("'"&amp;V.b.Inputs[#Headers]&amp;"'!Year.Vectors"), 0))</f>
        <v>15.380254786704254</v>
      </c>
      <c r="J15" s="2800">
        <f ca="1">INDEX(INDIRECT("'"&amp;V.b.Inputs[#Headers]&amp;"'!Year.Matrix"), MATCH("Subtotal."&amp;$A$2, INDIRECT("'"&amp;V.b.Inputs[#Headers]&amp;"'!Year.Modules"), 0), MATCH([Vector], INDIRECT("'"&amp;V.b.Inputs[#Headers]&amp;"'!Year.Vectors"), 0))</f>
        <v>31.573535256502545</v>
      </c>
      <c r="K15" s="2800">
        <f ca="1">INDEX(INDIRECT("'"&amp;V.b.Inputs[#Headers]&amp;"'!Year.Matrix"), MATCH("Subtotal."&amp;$A$2, INDIRECT("'"&amp;V.b.Inputs[#Headers]&amp;"'!Year.Modules"), 0), MATCH([Vector], INDIRECT("'"&amp;V.b.Inputs[#Headers]&amp;"'!Year.Vectors"), 0))</f>
        <v>28.014659166197479</v>
      </c>
      <c r="L15" s="2800">
        <f ca="1">INDEX(INDIRECT("'"&amp;V.b.Inputs[#Headers]&amp;"'!Year.Matrix"), MATCH("Subtotal."&amp;$A$2, INDIRECT("'"&amp;V.b.Inputs[#Headers]&amp;"'!Year.Modules"), 0), MATCH([Vector], INDIRECT("'"&amp;V.b.Inputs[#Headers]&amp;"'!Year.Vectors"), 0))</f>
        <v>45.394088294146343</v>
      </c>
      <c r="M15" s="2800">
        <f ca="1">INDEX(INDIRECT("'"&amp;V.b.Inputs[#Headers]&amp;"'!Year.Matrix"), MATCH("Subtotal."&amp;$A$2, INDIRECT("'"&amp;V.b.Inputs[#Headers]&amp;"'!Year.Modules"), 0), MATCH([Vector], INDIRECT("'"&amp;V.b.Inputs[#Headers]&amp;"'!Year.Vectors"), 0))</f>
        <v>61.287021708780983</v>
      </c>
      <c r="N15" s="2800">
        <f ca="1">INDEX(INDIRECT("'"&amp;V.b.Inputs[#Headers]&amp;"'!Year.Matrix"), MATCH("Subtotal."&amp;$A$2, INDIRECT("'"&amp;V.b.Inputs[#Headers]&amp;"'!Year.Modules"), 0), MATCH([Vector], INDIRECT("'"&amp;V.b.Inputs[#Headers]&amp;"'!Year.Vectors"), 0))</f>
        <v>77.532154317257508</v>
      </c>
      <c r="O15" s="17"/>
      <c r="P15"/>
    </row>
    <row r="16" spans="1:16" s="6" customFormat="1" ht="15.75">
      <c r="A16" s="3"/>
      <c r="B16" s="2689"/>
      <c r="C16" s="873" t="s">
        <v>99</v>
      </c>
      <c r="D16" s="873" t="s">
        <v>89</v>
      </c>
      <c r="E16" s="873"/>
      <c r="F16" s="2800">
        <f ca="1">INDEX(INDIRECT("'"&amp;V.b.Inputs[#Headers]&amp;"'!Year.Matrix"), MATCH("Subtotal."&amp;$A$2, INDIRECT("'"&amp;V.b.Inputs[#Headers]&amp;"'!Year.Modules"), 0), MATCH([Vector], INDIRECT("'"&amp;V.b.Inputs[#Headers]&amp;"'!Year.Vectors"), 0))</f>
        <v>-77.259877777431456</v>
      </c>
      <c r="G16" s="2800">
        <f ca="1">INDEX(INDIRECT("'"&amp;V.b.Inputs[#Headers]&amp;"'!Year.Matrix"), MATCH("Subtotal."&amp;$A$2, INDIRECT("'"&amp;V.b.Inputs[#Headers]&amp;"'!Year.Modules"), 0), MATCH([Vector], INDIRECT("'"&amp;V.b.Inputs[#Headers]&amp;"'!Year.Vectors"), 0))</f>
        <v>-71.47566507671209</v>
      </c>
      <c r="H16" s="2800">
        <f ca="1">INDEX(INDIRECT("'"&amp;V.b.Inputs[#Headers]&amp;"'!Year.Matrix"), MATCH("Subtotal."&amp;$A$2, INDIRECT("'"&amp;V.b.Inputs[#Headers]&amp;"'!Year.Modules"), 0), MATCH([Vector], INDIRECT("'"&amp;V.b.Inputs[#Headers]&amp;"'!Year.Vectors"), 0))</f>
        <v>-67.644500914927121</v>
      </c>
      <c r="I16" s="2800">
        <f ca="1">INDEX(INDIRECT("'"&amp;V.b.Inputs[#Headers]&amp;"'!Year.Matrix"), MATCH("Subtotal."&amp;$A$2, INDIRECT("'"&amp;V.b.Inputs[#Headers]&amp;"'!Year.Modules"), 0), MATCH([Vector], INDIRECT("'"&amp;V.b.Inputs[#Headers]&amp;"'!Year.Vectors"), 0))</f>
        <v>-64.203149396327305</v>
      </c>
      <c r="J16" s="2800">
        <f ca="1">INDEX(INDIRECT("'"&amp;V.b.Inputs[#Headers]&amp;"'!Year.Matrix"), MATCH("Subtotal."&amp;$A$2, INDIRECT("'"&amp;V.b.Inputs[#Headers]&amp;"'!Year.Modules"), 0), MATCH([Vector], INDIRECT("'"&amp;V.b.Inputs[#Headers]&amp;"'!Year.Vectors"), 0))</f>
        <v>-62.450801256390761</v>
      </c>
      <c r="K16" s="2800">
        <f ca="1">INDEX(INDIRECT("'"&amp;V.b.Inputs[#Headers]&amp;"'!Year.Matrix"), MATCH("Subtotal."&amp;$A$2, INDIRECT("'"&amp;V.b.Inputs[#Headers]&amp;"'!Year.Modules"), 0), MATCH([Vector], INDIRECT("'"&amp;V.b.Inputs[#Headers]&amp;"'!Year.Vectors"), 0))</f>
        <v>-60.753350717287326</v>
      </c>
      <c r="L16" s="2800">
        <f ca="1">INDEX(INDIRECT("'"&amp;V.b.Inputs[#Headers]&amp;"'!Year.Matrix"), MATCH("Subtotal."&amp;$A$2, INDIRECT("'"&amp;V.b.Inputs[#Headers]&amp;"'!Year.Modules"), 0), MATCH([Vector], INDIRECT("'"&amp;V.b.Inputs[#Headers]&amp;"'!Year.Vectors"), 0))</f>
        <v>-59.264775890237857</v>
      </c>
      <c r="M16" s="2800">
        <f ca="1">INDEX(INDIRECT("'"&amp;V.b.Inputs[#Headers]&amp;"'!Year.Matrix"), MATCH("Subtotal."&amp;$A$2, INDIRECT("'"&amp;V.b.Inputs[#Headers]&amp;"'!Year.Modules"), 0), MATCH([Vector], INDIRECT("'"&amp;V.b.Inputs[#Headers]&amp;"'!Year.Vectors"), 0))</f>
        <v>-57.841732547909672</v>
      </c>
      <c r="N16" s="2800">
        <f ca="1">INDEX(INDIRECT("'"&amp;V.b.Inputs[#Headers]&amp;"'!Year.Matrix"), MATCH("Subtotal."&amp;$A$2, INDIRECT("'"&amp;V.b.Inputs[#Headers]&amp;"'!Year.Modules"), 0), MATCH([Vector], INDIRECT("'"&amp;V.b.Inputs[#Headers]&amp;"'!Year.Vectors"), 0))</f>
        <v>-56.624578735681361</v>
      </c>
      <c r="O16" s="17"/>
      <c r="P16"/>
    </row>
    <row r="17" spans="1:16" s="6" customFormat="1" ht="15.75">
      <c r="A17" s="3"/>
      <c r="B17" s="2689"/>
      <c r="C17" s="873" t="s">
        <v>100</v>
      </c>
      <c r="D17" s="2993" t="s">
        <v>90</v>
      </c>
      <c r="E17" s="2993"/>
      <c r="F17" s="2521">
        <f ca="1">INDEX(INDIRECT("'"&amp;V.b.Inputs[#Headers]&amp;"'!Year.Matrix"), MATCH("Subtotal."&amp;$A$2, INDIRECT("'"&amp;V.b.Inputs[#Headers]&amp;"'!Year.Modules"), 0), MATCH([Vector], INDIRECT("'"&amp;V.b.Inputs[#Headers]&amp;"'!Year.Vectors"), 0))</f>
        <v>-45.859718897351158</v>
      </c>
      <c r="G17" s="2521">
        <f ca="1">INDEX(INDIRECT("'"&amp;V.b.Inputs[#Headers]&amp;"'!Year.Matrix"), MATCH("Subtotal."&amp;$A$2, INDIRECT("'"&amp;V.b.Inputs[#Headers]&amp;"'!Year.Modules"), 0), MATCH([Vector], INDIRECT("'"&amp;V.b.Inputs[#Headers]&amp;"'!Year.Vectors"), 0))</f>
        <v>-46.699297589470589</v>
      </c>
      <c r="H17" s="2521">
        <f ca="1">INDEX(INDIRECT("'"&amp;V.b.Inputs[#Headers]&amp;"'!Year.Matrix"), MATCH("Subtotal."&amp;$A$2, INDIRECT("'"&amp;V.b.Inputs[#Headers]&amp;"'!Year.Modules"), 0), MATCH([Vector], INDIRECT("'"&amp;V.b.Inputs[#Headers]&amp;"'!Year.Vectors"), 0))</f>
        <v>-45.776429049769959</v>
      </c>
      <c r="I17" s="2521">
        <f ca="1">INDEX(INDIRECT("'"&amp;V.b.Inputs[#Headers]&amp;"'!Year.Matrix"), MATCH("Subtotal."&amp;$A$2, INDIRECT("'"&amp;V.b.Inputs[#Headers]&amp;"'!Year.Modules"), 0), MATCH([Vector], INDIRECT("'"&amp;V.b.Inputs[#Headers]&amp;"'!Year.Vectors"), 0))</f>
        <v>-39.154178827745532</v>
      </c>
      <c r="J17" s="2521">
        <f ca="1">INDEX(INDIRECT("'"&amp;V.b.Inputs[#Headers]&amp;"'!Year.Matrix"), MATCH("Subtotal."&amp;$A$2, INDIRECT("'"&amp;V.b.Inputs[#Headers]&amp;"'!Year.Modules"), 0), MATCH([Vector], INDIRECT("'"&amp;V.b.Inputs[#Headers]&amp;"'!Year.Vectors"), 0))</f>
        <v>-29.27770535522513</v>
      </c>
      <c r="K17" s="2521">
        <f ca="1">INDEX(INDIRECT("'"&amp;V.b.Inputs[#Headers]&amp;"'!Year.Matrix"), MATCH("Subtotal."&amp;$A$2, INDIRECT("'"&amp;V.b.Inputs[#Headers]&amp;"'!Year.Modules"), 0), MATCH([Vector], INDIRECT("'"&amp;V.b.Inputs[#Headers]&amp;"'!Year.Vectors"), 0))</f>
        <v>-37.020258730660807</v>
      </c>
      <c r="L17" s="2521">
        <f ca="1">INDEX(INDIRECT("'"&amp;V.b.Inputs[#Headers]&amp;"'!Year.Matrix"), MATCH("Subtotal."&amp;$A$2, INDIRECT("'"&amp;V.b.Inputs[#Headers]&amp;"'!Year.Modules"), 0), MATCH([Vector], INDIRECT("'"&amp;V.b.Inputs[#Headers]&amp;"'!Year.Vectors"), 0))</f>
        <v>-48.973015352529522</v>
      </c>
      <c r="M17" s="2521">
        <f ca="1">INDEX(INDIRECT("'"&amp;V.b.Inputs[#Headers]&amp;"'!Year.Matrix"), MATCH("Subtotal."&amp;$A$2, INDIRECT("'"&amp;V.b.Inputs[#Headers]&amp;"'!Year.Modules"), 0), MATCH([Vector], INDIRECT("'"&amp;V.b.Inputs[#Headers]&amp;"'!Year.Vectors"), 0))</f>
        <v>-61.263715381020518</v>
      </c>
      <c r="N17" s="2521">
        <f ca="1">INDEX(INDIRECT("'"&amp;V.b.Inputs[#Headers]&amp;"'!Year.Matrix"), MATCH("Subtotal."&amp;$A$2, INDIRECT("'"&amp;V.b.Inputs[#Headers]&amp;"'!Year.Modules"), 0), MATCH([Vector], INDIRECT("'"&amp;V.b.Inputs[#Headers]&amp;"'!Year.Vectors"), 0))</f>
        <v>-73.905684637572634</v>
      </c>
      <c r="O17" s="17"/>
      <c r="P17"/>
    </row>
    <row r="18" spans="1:16" s="6" customFormat="1" ht="15.75">
      <c r="A18" s="3"/>
      <c r="B18" s="2689"/>
      <c r="C18" s="17"/>
      <c r="D18" s="17"/>
      <c r="E18" s="17"/>
      <c r="F18" s="2521"/>
      <c r="G18" s="2521"/>
      <c r="H18" s="2521"/>
      <c r="I18" s="2521"/>
      <c r="J18" s="2521"/>
      <c r="K18" s="2521"/>
      <c r="L18" s="2521"/>
      <c r="M18" s="2521"/>
      <c r="N18" s="2521"/>
      <c r="O18" s="17"/>
      <c r="P18"/>
    </row>
    <row r="19" spans="1:16">
      <c r="B19" s="877"/>
    </row>
    <row r="20" spans="1:16" s="6" customFormat="1" ht="23.25">
      <c r="A20" s="40"/>
      <c r="B20" s="878" t="s">
        <v>33</v>
      </c>
      <c r="C20" s="879"/>
      <c r="D20" s="879"/>
      <c r="E20" s="879"/>
      <c r="F20" s="879"/>
      <c r="G20" s="879"/>
      <c r="H20" s="879"/>
      <c r="I20" s="879"/>
      <c r="J20" s="879"/>
      <c r="K20" s="879"/>
      <c r="L20" s="879"/>
      <c r="M20" s="879"/>
      <c r="N20" s="879"/>
      <c r="O20" s="880"/>
      <c r="P20"/>
    </row>
    <row r="21" spans="1:16">
      <c r="B21" s="110"/>
      <c r="C21" s="67"/>
      <c r="D21" s="67"/>
      <c r="E21" s="67"/>
      <c r="F21" s="67"/>
      <c r="G21" s="67"/>
      <c r="H21" s="67"/>
      <c r="I21" s="67"/>
      <c r="J21" s="67"/>
      <c r="K21" s="67"/>
      <c r="L21" s="67"/>
      <c r="M21" s="67"/>
      <c r="N21" s="67"/>
      <c r="O21" s="885"/>
    </row>
    <row r="22" spans="1:16">
      <c r="B22" s="110"/>
      <c r="C22" s="49" t="s">
        <v>2721</v>
      </c>
      <c r="D22" s="67"/>
      <c r="E22" s="51"/>
      <c r="F22" s="67"/>
      <c r="G22" s="67"/>
      <c r="H22" s="67"/>
      <c r="I22" s="67"/>
      <c r="J22" s="67"/>
      <c r="K22" s="67"/>
      <c r="L22" s="67"/>
      <c r="M22" s="67"/>
      <c r="N22" s="51" t="str">
        <f>Preferences.EnergyUnits</f>
        <v>TWh</v>
      </c>
      <c r="O22" s="885"/>
    </row>
    <row r="23" spans="1:16">
      <c r="B23" s="110"/>
      <c r="C23" s="67"/>
      <c r="D23" s="67"/>
      <c r="E23" s="67"/>
      <c r="F23" s="67"/>
      <c r="G23" s="67"/>
      <c r="H23" s="67"/>
      <c r="I23" s="67"/>
      <c r="J23" s="67"/>
      <c r="K23" s="67"/>
      <c r="L23" s="67"/>
      <c r="M23" s="67"/>
      <c r="N23" s="67"/>
      <c r="O23" s="885"/>
    </row>
    <row r="24" spans="1:16" ht="15.75">
      <c r="B24" s="55"/>
      <c r="C24" s="887" t="s">
        <v>8</v>
      </c>
      <c r="D24" s="887" t="s">
        <v>72</v>
      </c>
      <c r="E24" s="887" t="s">
        <v>30</v>
      </c>
      <c r="F24" s="92">
        <v>2013</v>
      </c>
      <c r="G24" s="92">
        <v>2015</v>
      </c>
      <c r="H24" s="92">
        <v>2020</v>
      </c>
      <c r="I24" s="92">
        <v>2025</v>
      </c>
      <c r="J24" s="92">
        <v>2030</v>
      </c>
      <c r="K24" s="92">
        <v>2035</v>
      </c>
      <c r="L24" s="92">
        <v>2040</v>
      </c>
      <c r="M24" s="92">
        <v>2045</v>
      </c>
      <c r="N24" s="92">
        <v>2050</v>
      </c>
      <c r="O24" s="885"/>
    </row>
    <row r="25" spans="1:16" s="6" customFormat="1" ht="15.75">
      <c r="B25" s="975"/>
      <c r="C25" s="65">
        <v>1</v>
      </c>
      <c r="D25" s="108"/>
      <c r="E25" s="890"/>
      <c r="F25" s="2670">
        <f>636*Unit.TJ</f>
        <v>0.17666666666666667</v>
      </c>
      <c r="G25" s="2670">
        <f>Unit.TWh*0.25</f>
        <v>0.25</v>
      </c>
      <c r="H25" s="2670">
        <f>Unit.TWh*0.25</f>
        <v>0.25</v>
      </c>
      <c r="I25" s="2670">
        <f>0.2*Unit.TWh</f>
        <v>0.2</v>
      </c>
      <c r="J25" s="2670">
        <f>Unit.TWh*1</f>
        <v>1</v>
      </c>
      <c r="K25" s="2670">
        <f>Unit.TWh*1</f>
        <v>1</v>
      </c>
      <c r="L25" s="2670">
        <f>Unit.TWh*0.5</f>
        <v>0.5</v>
      </c>
      <c r="M25" s="2670">
        <v>0</v>
      </c>
      <c r="N25" s="2670">
        <v>0</v>
      </c>
      <c r="O25" s="893"/>
      <c r="P25"/>
    </row>
    <row r="26" spans="1:16" ht="15.75">
      <c r="B26" s="55"/>
      <c r="C26" s="65">
        <v>2</v>
      </c>
      <c r="D26" s="108"/>
      <c r="E26" s="108"/>
      <c r="F26" s="2670">
        <f>636*Unit.TJ</f>
        <v>0.17666666666666667</v>
      </c>
      <c r="G26" s="2670">
        <f>Unit.TWh*0.25</f>
        <v>0.25</v>
      </c>
      <c r="H26" s="2670">
        <f>Unit.TWh*1</f>
        <v>1</v>
      </c>
      <c r="I26" s="2670">
        <f>Unit.TWh*1</f>
        <v>1</v>
      </c>
      <c r="J26" s="2670">
        <f>1.4*Unit.TWh</f>
        <v>1.4</v>
      </c>
      <c r="K26" s="2670">
        <f>Unit.TWh*1.8</f>
        <v>1.8</v>
      </c>
      <c r="L26" s="2670">
        <f>Unit.TWh*2.2</f>
        <v>2.2000000000000002</v>
      </c>
      <c r="M26" s="2670">
        <f>Unit.TWh*2.6</f>
        <v>2.6</v>
      </c>
      <c r="N26" s="2670">
        <f>Unit.TWh*3</f>
        <v>3</v>
      </c>
      <c r="O26" s="885"/>
    </row>
    <row r="27" spans="1:16" ht="15.75">
      <c r="B27" s="55"/>
      <c r="C27" s="65">
        <v>3</v>
      </c>
      <c r="D27" s="108"/>
      <c r="E27" s="108"/>
      <c r="F27" s="2670">
        <f>636*Unit.TJ</f>
        <v>0.17666666666666667</v>
      </c>
      <c r="G27" s="2670">
        <f>Unit.TWh*0.25</f>
        <v>0.25</v>
      </c>
      <c r="H27" s="2670">
        <f>Unit.TWh*1</f>
        <v>1</v>
      </c>
      <c r="I27" s="2670">
        <f>Unit.TWh*1.85714285714286</f>
        <v>1.8571428571428601</v>
      </c>
      <c r="J27" s="2670">
        <f>Unit.TWh*2.68571428571428</f>
        <v>2.6857142857142802</v>
      </c>
      <c r="K27" s="2670">
        <f>Unit.TWh*3.51428571428571</f>
        <v>3.5142857142857098</v>
      </c>
      <c r="L27" s="2670">
        <f>Unit.TWh*4.34285714285714</f>
        <v>4.3428571428571399</v>
      </c>
      <c r="M27" s="2670">
        <f>Unit.TWh*5.17142857142857</f>
        <v>5.1714285714285699</v>
      </c>
      <c r="N27" s="2670">
        <f>Unit.TWh*6</f>
        <v>6</v>
      </c>
      <c r="O27" s="885"/>
    </row>
    <row r="28" spans="1:16" ht="15.75">
      <c r="B28" s="55"/>
      <c r="C28" s="896">
        <v>4</v>
      </c>
      <c r="D28" s="897"/>
      <c r="E28" s="897"/>
      <c r="F28" s="2670">
        <f>636*Unit.TJ</f>
        <v>0.17666666666666667</v>
      </c>
      <c r="G28" s="2670">
        <f>Unit.TWh*0.25</f>
        <v>0.25</v>
      </c>
      <c r="H28" s="2670">
        <f>1.4*Unit.TWh</f>
        <v>1.4</v>
      </c>
      <c r="I28" s="2670">
        <f>Unit.TWh*2.46428571428571</f>
        <v>2.46428571428571</v>
      </c>
      <c r="J28" s="2670">
        <f>Unit.TWh*3.57142857142857</f>
        <v>3.5714285714285698</v>
      </c>
      <c r="K28" s="2670">
        <f>Unit.TWh*4.67857142857143</f>
        <v>4.6785714285714297</v>
      </c>
      <c r="L28" s="2670">
        <f>Unit.TWh*5.78571428571429</f>
        <v>5.78571428571429</v>
      </c>
      <c r="M28" s="2670">
        <f>Unit.TWh*6.89285714285715</f>
        <v>6.8928571428571503</v>
      </c>
      <c r="N28" s="2670">
        <f>Unit.TWh*8</f>
        <v>8</v>
      </c>
      <c r="O28" s="885"/>
    </row>
    <row r="29" spans="1:16" ht="15.75">
      <c r="B29" s="55"/>
      <c r="C29" s="1024" t="s">
        <v>37</v>
      </c>
      <c r="D29" s="901"/>
      <c r="E29" s="901"/>
      <c r="F29" s="3350">
        <f>(INDEX(F$25:F$28,ROUNDDOWN($E$7,0))*(1-MOD($E$7,1)))+(INDEX(F$25:F$28,ROUNDUP($E$7,0))*MOD($E$7,1))</f>
        <v>0.17666666666666667</v>
      </c>
      <c r="G29" s="3351">
        <f t="shared" ref="G29:N29" si="0">(INDEX(G$25:G$28,ROUNDDOWN($E$7,0))*(1-MOD($E$7,1)))+(INDEX(G$25:G$28,ROUNDUP($E$7,0))*MOD($E$7,1))</f>
        <v>0.25</v>
      </c>
      <c r="H29" s="3350">
        <f t="shared" si="0"/>
        <v>1.4</v>
      </c>
      <c r="I29" s="3350">
        <f t="shared" si="0"/>
        <v>2.46428571428571</v>
      </c>
      <c r="J29" s="3350">
        <f t="shared" si="0"/>
        <v>3.5714285714285698</v>
      </c>
      <c r="K29" s="3350">
        <f t="shared" si="0"/>
        <v>4.6785714285714297</v>
      </c>
      <c r="L29" s="3350">
        <f t="shared" si="0"/>
        <v>5.78571428571429</v>
      </c>
      <c r="M29" s="3350">
        <f t="shared" si="0"/>
        <v>6.8928571428571503</v>
      </c>
      <c r="N29" s="3350">
        <f t="shared" si="0"/>
        <v>8</v>
      </c>
      <c r="O29" s="885"/>
    </row>
    <row r="30" spans="1:16" ht="15.75">
      <c r="B30" s="55"/>
      <c r="C30" s="1271"/>
      <c r="D30" s="1271"/>
      <c r="E30" s="1271"/>
      <c r="F30" s="922"/>
      <c r="G30" s="922" t="s">
        <v>5</v>
      </c>
      <c r="H30" s="922"/>
      <c r="I30" s="922"/>
      <c r="J30" s="922"/>
      <c r="K30" s="922"/>
      <c r="L30" s="922"/>
      <c r="M30" s="922"/>
      <c r="N30" s="922"/>
      <c r="O30" s="885"/>
    </row>
    <row r="31" spans="1:16" ht="15.75">
      <c r="B31" s="55"/>
      <c r="C31" s="49" t="s">
        <v>3095</v>
      </c>
      <c r="D31" s="67"/>
      <c r="E31" s="51"/>
      <c r="F31" s="67"/>
      <c r="G31" s="67" t="s">
        <v>5</v>
      </c>
      <c r="H31" s="67" t="s">
        <v>5</v>
      </c>
      <c r="I31" s="67"/>
      <c r="J31" s="67" t="s">
        <v>5</v>
      </c>
      <c r="K31" s="67"/>
      <c r="L31" s="67"/>
      <c r="M31" s="67"/>
      <c r="N31" s="51" t="str">
        <f>Preferences.EnergyUnits</f>
        <v>TWh</v>
      </c>
      <c r="O31" s="885"/>
    </row>
    <row r="32" spans="1:16" ht="15.75">
      <c r="B32" s="55"/>
      <c r="C32" s="67"/>
      <c r="D32" s="67"/>
      <c r="E32" s="67"/>
      <c r="F32" s="67"/>
      <c r="G32" s="67"/>
      <c r="H32" s="67"/>
      <c r="I32" s="67"/>
      <c r="J32" s="67"/>
      <c r="K32" s="67"/>
      <c r="L32" s="67"/>
      <c r="M32" s="67"/>
      <c r="N32" s="67"/>
      <c r="O32" s="885"/>
    </row>
    <row r="33" spans="2:41" ht="15.75">
      <c r="B33" s="55"/>
      <c r="C33" s="887" t="s">
        <v>8</v>
      </c>
      <c r="D33" s="887" t="s">
        <v>72</v>
      </c>
      <c r="E33" s="887" t="s">
        <v>30</v>
      </c>
      <c r="F33" s="92">
        <v>2013</v>
      </c>
      <c r="G33" s="92">
        <v>2015</v>
      </c>
      <c r="H33" s="92">
        <v>2020</v>
      </c>
      <c r="I33" s="92">
        <v>2025</v>
      </c>
      <c r="J33" s="92">
        <v>2030</v>
      </c>
      <c r="K33" s="92">
        <v>2035</v>
      </c>
      <c r="L33" s="92">
        <v>2040</v>
      </c>
      <c r="M33" s="92">
        <v>2045</v>
      </c>
      <c r="N33" s="92">
        <v>2050</v>
      </c>
      <c r="O33" s="885"/>
    </row>
    <row r="34" spans="2:41" ht="15.75">
      <c r="B34" s="55"/>
      <c r="C34" s="65">
        <v>1</v>
      </c>
      <c r="D34" s="108"/>
      <c r="E34" s="890"/>
      <c r="F34" s="2670">
        <f>79*Unit.ktoe</f>
        <v>0.91876999999999998</v>
      </c>
      <c r="G34" s="2670">
        <f>90*Unit.ktoe</f>
        <v>1.0467</v>
      </c>
      <c r="H34" s="2670">
        <f>90*Unit.ktoe</f>
        <v>1.0467</v>
      </c>
      <c r="I34" s="2670">
        <f>90*Unit.ktoe</f>
        <v>1.0467</v>
      </c>
      <c r="J34" s="2670">
        <v>0.6</v>
      </c>
      <c r="K34" s="2670">
        <v>0.44999999999999996</v>
      </c>
      <c r="L34" s="2670">
        <v>0.29999999999999993</v>
      </c>
      <c r="M34" s="2670">
        <v>0.14999999999999991</v>
      </c>
      <c r="N34" s="2670">
        <v>0</v>
      </c>
      <c r="O34" s="885"/>
    </row>
    <row r="35" spans="2:41" ht="15.75">
      <c r="B35" s="55"/>
      <c r="C35" s="65">
        <v>2</v>
      </c>
      <c r="D35" s="108"/>
      <c r="E35" s="108"/>
      <c r="F35" s="2670">
        <f>79*Unit.ktoe</f>
        <v>0.91876999999999998</v>
      </c>
      <c r="G35" s="2670">
        <f>90*Unit.ktoe</f>
        <v>1.0467</v>
      </c>
      <c r="H35" s="2670">
        <f>110*Unit.ktoe</f>
        <v>1.2792999999999999</v>
      </c>
      <c r="I35" s="2670">
        <f>1.5*Unit.TWh</f>
        <v>1.5</v>
      </c>
      <c r="J35" s="2670">
        <f>Unit.TWh*1.8</f>
        <v>1.8</v>
      </c>
      <c r="K35" s="2670">
        <f>Unit.TWh*2.1</f>
        <v>2.1</v>
      </c>
      <c r="L35" s="2670">
        <f>Unit.TWh*2.4</f>
        <v>2.4</v>
      </c>
      <c r="M35" s="2670">
        <f>Unit.TWh*2.7</f>
        <v>2.7</v>
      </c>
      <c r="N35" s="2670">
        <f>Unit.TWh*3</f>
        <v>3</v>
      </c>
      <c r="O35" s="885"/>
    </row>
    <row r="36" spans="2:41" ht="15.75">
      <c r="B36" s="55"/>
      <c r="C36" s="65">
        <v>3</v>
      </c>
      <c r="D36" s="108"/>
      <c r="E36" s="108"/>
      <c r="F36" s="2670">
        <f>79*Unit.ktoe</f>
        <v>0.91876999999999998</v>
      </c>
      <c r="G36" s="2670">
        <f>90*Unit.ktoe</f>
        <v>1.0467</v>
      </c>
      <c r="H36" s="2670">
        <f>110*Unit.ktoe</f>
        <v>1.2792999999999999</v>
      </c>
      <c r="I36" s="2670">
        <f>Unit.TWh*1.96916666666667</f>
        <v>1.9691666666666701</v>
      </c>
      <c r="J36" s="2670">
        <f>Unit.TWh*2.77533333333333</f>
        <v>2.7753333333333301</v>
      </c>
      <c r="K36" s="2670">
        <f>Unit.TWh*3.5815</f>
        <v>3.5815000000000001</v>
      </c>
      <c r="L36" s="2670">
        <f>Unit.TWh*4.38766666666667</f>
        <v>4.3876666666666697</v>
      </c>
      <c r="M36" s="2670">
        <f>Unit.TWh*5.19383333333333</f>
        <v>5.1938333333333304</v>
      </c>
      <c r="N36" s="2670">
        <f>Unit.TWh*6</f>
        <v>6</v>
      </c>
      <c r="O36" s="67"/>
      <c r="Q36" s="1077"/>
      <c r="R36" s="1077"/>
      <c r="S36" s="1077"/>
      <c r="T36" s="1077"/>
      <c r="U36" s="1077"/>
      <c r="V36" s="1077"/>
      <c r="W36" s="1077"/>
      <c r="X36" s="1077"/>
      <c r="Y36" s="1077"/>
      <c r="Z36" s="1077"/>
      <c r="AA36" s="1077"/>
      <c r="AB36" s="1077"/>
      <c r="AC36" s="1077"/>
      <c r="AD36" s="1077"/>
      <c r="AE36" s="1077"/>
      <c r="AF36" s="1077"/>
      <c r="AG36" s="1077"/>
      <c r="AH36" s="1077"/>
      <c r="AI36" s="1077"/>
      <c r="AJ36" s="1077"/>
    </row>
    <row r="37" spans="2:41" ht="15.75">
      <c r="B37" s="55"/>
      <c r="C37" s="896">
        <v>4</v>
      </c>
      <c r="D37" s="897"/>
      <c r="E37" s="897"/>
      <c r="F37" s="2670">
        <f>79*Unit.ktoe</f>
        <v>0.91876999999999998</v>
      </c>
      <c r="G37" s="2670">
        <f>90*Unit.ktoe</f>
        <v>1.0467</v>
      </c>
      <c r="H37" s="2670">
        <f>130*Unit.ktoe</f>
        <v>1.5119</v>
      </c>
      <c r="I37" s="2670">
        <f>Unit.TWh*2.49633333333333</f>
        <v>2.4963333333333302</v>
      </c>
      <c r="J37" s="2670">
        <f>Unit.TWh*3.59706666666667</f>
        <v>3.5970666666666702</v>
      </c>
      <c r="K37" s="2670">
        <f>Unit.TWh*4.6978</f>
        <v>4.6978</v>
      </c>
      <c r="L37" s="2670">
        <f>Unit.TWh*5.79853333333333</f>
        <v>5.7985333333333298</v>
      </c>
      <c r="M37" s="2670">
        <f>Unit.TWh*6.89926666666667</f>
        <v>6.8992666666666702</v>
      </c>
      <c r="N37" s="2670">
        <f>Unit.TWh*8</f>
        <v>8</v>
      </c>
      <c r="O37" s="67"/>
      <c r="Q37" s="1077"/>
      <c r="R37" s="1077"/>
      <c r="S37" s="1077"/>
      <c r="T37" s="1077"/>
      <c r="U37" s="1077"/>
      <c r="V37" s="1077"/>
      <c r="W37" s="1077"/>
      <c r="X37" s="1077"/>
      <c r="Y37" s="1077"/>
      <c r="Z37" s="1077"/>
      <c r="AA37" s="1077"/>
      <c r="AB37" s="1077"/>
      <c r="AC37" s="1077"/>
      <c r="AD37" s="1077"/>
      <c r="AE37" s="1077"/>
      <c r="AF37" s="1077"/>
      <c r="AG37" s="1077"/>
      <c r="AH37" s="1077"/>
      <c r="AI37" s="1077"/>
      <c r="AJ37" s="1077"/>
    </row>
    <row r="38" spans="2:41" ht="15.75">
      <c r="B38" s="55"/>
      <c r="C38" s="1024" t="s">
        <v>37</v>
      </c>
      <c r="D38" s="901"/>
      <c r="E38" s="901"/>
      <c r="F38" s="3350">
        <f>(INDEX(F$34:F$37,ROUNDDOWN($E$7,0))*(1-MOD($E$7,1)))+(INDEX(F$34:F$37,ROUNDUP($E$7,0))*MOD($E$7,1))</f>
        <v>0.91876999999999998</v>
      </c>
      <c r="G38" s="3351">
        <f t="shared" ref="G38:N38" si="1">(INDEX(G$34:G$37,ROUNDDOWN($E$7,0))*(1-MOD($E$7,1)))+(INDEX(G$34:G$37,ROUNDUP($E$7,0))*MOD($E$7,1))</f>
        <v>1.0467</v>
      </c>
      <c r="H38" s="3350">
        <f t="shared" si="1"/>
        <v>1.5119</v>
      </c>
      <c r="I38" s="3350">
        <f t="shared" si="1"/>
        <v>2.4963333333333302</v>
      </c>
      <c r="J38" s="3350">
        <f t="shared" si="1"/>
        <v>3.5970666666666702</v>
      </c>
      <c r="K38" s="3350">
        <f t="shared" si="1"/>
        <v>4.6978</v>
      </c>
      <c r="L38" s="3350">
        <f t="shared" si="1"/>
        <v>5.7985333333333298</v>
      </c>
      <c r="M38" s="3350">
        <f t="shared" si="1"/>
        <v>6.8992666666666702</v>
      </c>
      <c r="N38" s="3350">
        <f t="shared" si="1"/>
        <v>8</v>
      </c>
      <c r="O38" s="67"/>
      <c r="Q38" s="1077"/>
      <c r="R38" s="1077"/>
      <c r="S38" s="1077"/>
      <c r="T38" s="1077"/>
      <c r="U38" s="1077"/>
      <c r="V38" s="1077"/>
      <c r="W38" s="1077"/>
      <c r="X38" s="1077"/>
      <c r="Y38" s="1077"/>
      <c r="Z38" s="1077"/>
      <c r="AA38" s="1077"/>
      <c r="AB38" s="1077"/>
      <c r="AC38" s="1077"/>
      <c r="AD38" s="1077"/>
      <c r="AE38" s="1077"/>
      <c r="AF38" s="1077"/>
      <c r="AG38" s="1077"/>
      <c r="AH38" s="1077"/>
      <c r="AI38" s="1077"/>
      <c r="AJ38" s="1077"/>
    </row>
    <row r="39" spans="2:41" ht="15.75">
      <c r="B39" s="55"/>
      <c r="C39" s="65"/>
      <c r="D39" s="108"/>
      <c r="E39" s="108"/>
      <c r="F39" s="2679"/>
      <c r="G39" s="2600" t="s">
        <v>5</v>
      </c>
      <c r="H39" s="2600" t="s">
        <v>5</v>
      </c>
      <c r="I39" s="2600"/>
      <c r="J39" s="2600"/>
      <c r="K39" s="2600"/>
      <c r="L39" s="2600"/>
      <c r="M39" s="2600"/>
      <c r="N39" s="2600"/>
      <c r="O39" s="2600"/>
      <c r="Q39" s="1077"/>
      <c r="R39" s="1077"/>
      <c r="S39" s="1077"/>
      <c r="T39" s="1077"/>
      <c r="U39" s="1077"/>
      <c r="V39" s="1077"/>
      <c r="W39" s="1077"/>
      <c r="X39" s="1077"/>
      <c r="Y39" s="1077"/>
      <c r="Z39" s="1077"/>
      <c r="AA39" s="1077"/>
      <c r="AB39" s="1077"/>
      <c r="AC39" s="1077"/>
      <c r="AD39" s="1077"/>
      <c r="AE39" s="1077"/>
      <c r="AF39" s="1077"/>
      <c r="AG39" s="1077"/>
      <c r="AH39" s="1077"/>
      <c r="AI39" s="1077"/>
      <c r="AJ39" s="1077"/>
      <c r="AK39" s="1077"/>
      <c r="AL39" s="1077"/>
      <c r="AM39" s="1077"/>
      <c r="AN39" s="1077"/>
      <c r="AO39" s="1077"/>
    </row>
    <row r="40" spans="2:41" ht="15.75">
      <c r="B40" s="55"/>
      <c r="C40" s="49" t="s">
        <v>735</v>
      </c>
      <c r="D40" s="67"/>
      <c r="E40" s="67"/>
      <c r="F40" s="67"/>
      <c r="G40" s="51"/>
      <c r="H40" s="67"/>
      <c r="I40" s="67"/>
      <c r="J40" s="67"/>
      <c r="K40" s="67"/>
      <c r="L40" s="67"/>
      <c r="M40" s="67"/>
      <c r="N40" s="67"/>
      <c r="O40" s="67"/>
      <c r="Q40" s="1077"/>
      <c r="R40" s="1077"/>
      <c r="S40" s="1077"/>
      <c r="T40" s="1077"/>
      <c r="U40" s="1077"/>
      <c r="V40" s="1077"/>
      <c r="W40" s="1077"/>
      <c r="X40" s="1077"/>
      <c r="Y40" s="656"/>
      <c r="Z40" s="1077"/>
      <c r="AA40" s="1077"/>
      <c r="AB40" s="1077"/>
      <c r="AC40" s="1077"/>
      <c r="AD40" s="1077"/>
      <c r="AE40" s="1077"/>
      <c r="AF40" s="1077"/>
      <c r="AG40" s="1077"/>
      <c r="AH40" s="1077"/>
      <c r="AI40" s="1077"/>
      <c r="AJ40" s="1077"/>
      <c r="AK40" s="1077"/>
      <c r="AL40" s="1077"/>
      <c r="AM40" s="1077"/>
      <c r="AN40" s="1077"/>
      <c r="AO40" s="1077"/>
    </row>
    <row r="41" spans="2:41" ht="4.5" customHeight="1">
      <c r="B41" s="55"/>
      <c r="C41" s="67"/>
      <c r="D41" s="67"/>
      <c r="E41" s="67"/>
      <c r="F41" s="67"/>
      <c r="G41" s="67"/>
      <c r="H41" s="67"/>
      <c r="I41" s="67"/>
      <c r="J41" s="67"/>
      <c r="K41" s="67"/>
      <c r="L41" s="67"/>
      <c r="M41" s="67"/>
      <c r="N41" s="67"/>
      <c r="O41" s="67"/>
      <c r="Q41" s="1077"/>
      <c r="R41" s="1077"/>
      <c r="S41" s="1077"/>
      <c r="T41" s="1077"/>
      <c r="U41" s="1077"/>
      <c r="V41" s="1077"/>
      <c r="W41" s="1077"/>
      <c r="X41" s="1077"/>
      <c r="Y41" s="1077"/>
      <c r="Z41" s="1077"/>
      <c r="AA41" s="1077"/>
      <c r="AB41" s="1077"/>
      <c r="AC41" s="1077"/>
      <c r="AD41" s="1077"/>
      <c r="AE41" s="1077"/>
      <c r="AF41" s="1077"/>
      <c r="AG41" s="1077"/>
      <c r="AH41" s="1077"/>
      <c r="AI41" s="1077"/>
      <c r="AJ41" s="1077"/>
      <c r="AK41" s="1077"/>
      <c r="AL41" s="1077"/>
      <c r="AM41" s="1077"/>
      <c r="AN41" s="1077"/>
      <c r="AO41" s="1077"/>
    </row>
    <row r="42" spans="2:41" ht="15.75">
      <c r="B42" s="55"/>
      <c r="C42" s="887"/>
      <c r="D42" s="887"/>
      <c r="E42" s="887"/>
      <c r="F42" s="92"/>
      <c r="G42" s="1161" t="s">
        <v>895</v>
      </c>
      <c r="H42" s="1161"/>
      <c r="I42" s="67"/>
      <c r="J42" s="920"/>
      <c r="K42" s="920"/>
      <c r="L42" s="920"/>
      <c r="M42" s="920"/>
      <c r="N42" s="920"/>
      <c r="O42" s="920"/>
      <c r="Q42" s="1077"/>
      <c r="R42" s="1077"/>
      <c r="S42" s="1077"/>
      <c r="T42" s="1077"/>
      <c r="U42" s="1077"/>
      <c r="V42" s="1077"/>
      <c r="W42" s="1077"/>
      <c r="X42" s="1077"/>
      <c r="Y42" s="2555"/>
      <c r="Z42" s="1077"/>
      <c r="AA42" s="1077"/>
      <c r="AB42" s="1077"/>
      <c r="AC42" s="1077"/>
      <c r="AD42" s="1077"/>
      <c r="AE42" s="1077"/>
      <c r="AF42" s="1077"/>
      <c r="AG42" s="1077"/>
      <c r="AH42" s="1077"/>
      <c r="AI42" s="1077"/>
      <c r="AJ42" s="1077"/>
      <c r="AK42" s="1077"/>
      <c r="AL42" s="1077"/>
      <c r="AM42" s="1077"/>
      <c r="AN42" s="1077"/>
      <c r="AO42" s="1077"/>
    </row>
    <row r="43" spans="2:41" ht="15.75">
      <c r="B43" s="55"/>
      <c r="C43" s="911"/>
      <c r="D43" s="910" t="s">
        <v>2722</v>
      </c>
      <c r="E43" s="911"/>
      <c r="F43" s="2844">
        <f>0.6*Unit.W/Unit.m2</f>
        <v>6.0000000000000006E-4</v>
      </c>
      <c r="G43" s="2845" t="str">
        <f>Preferences.PowerUnits&amp;"/"&amp;Preferences.AreaUnits</f>
        <v>GW/km^2</v>
      </c>
      <c r="H43" s="2846"/>
      <c r="I43" s="67"/>
      <c r="J43" s="920"/>
      <c r="K43" s="920"/>
      <c r="L43" s="920"/>
      <c r="M43" s="920"/>
      <c r="N43" s="920"/>
      <c r="O43" s="920"/>
      <c r="Q43" s="1077"/>
      <c r="R43" s="1077"/>
      <c r="S43" s="1077"/>
      <c r="T43" s="1077"/>
      <c r="U43" s="1077"/>
      <c r="V43" s="1077"/>
      <c r="W43" s="1077"/>
      <c r="X43" s="1077"/>
      <c r="Y43" s="2555"/>
      <c r="Z43" s="1077"/>
      <c r="AA43" s="1077"/>
      <c r="AB43" s="1077"/>
      <c r="AC43" s="1077"/>
      <c r="AD43" s="1077"/>
      <c r="AE43" s="1077"/>
      <c r="AF43" s="1077"/>
      <c r="AG43" s="1077"/>
      <c r="AH43" s="1077"/>
      <c r="AI43" s="1077"/>
      <c r="AJ43" s="1077"/>
      <c r="AK43" s="1077"/>
      <c r="AL43" s="1077"/>
      <c r="AM43" s="1077"/>
      <c r="AN43" s="1077"/>
      <c r="AO43" s="1077"/>
    </row>
    <row r="44" spans="2:41" ht="15.75">
      <c r="B44" s="55"/>
      <c r="C44" s="65"/>
      <c r="D44" s="108"/>
      <c r="E44" s="108"/>
      <c r="F44" s="65"/>
      <c r="G44" s="2600"/>
      <c r="H44" s="2600"/>
      <c r="I44" s="2600"/>
      <c r="J44" s="2600"/>
      <c r="K44" s="2600"/>
      <c r="L44" s="2600"/>
      <c r="M44" s="2600"/>
      <c r="N44" s="2600"/>
      <c r="O44" s="2600"/>
      <c r="Q44" s="2530"/>
      <c r="R44" s="656"/>
      <c r="S44" s="1077"/>
      <c r="T44" s="1077"/>
      <c r="U44" s="1077"/>
      <c r="V44" s="1077"/>
      <c r="W44" s="1077"/>
      <c r="X44" s="1077"/>
      <c r="Y44" s="2555"/>
      <c r="Z44" s="656"/>
      <c r="AA44" s="656"/>
      <c r="AB44" s="656"/>
      <c r="AC44" s="656"/>
      <c r="AD44" s="656"/>
      <c r="AE44" s="656"/>
      <c r="AF44" s="1077"/>
      <c r="AG44" s="1077"/>
      <c r="AH44" s="1077"/>
      <c r="AI44" s="1077"/>
      <c r="AJ44" s="1077"/>
      <c r="AK44" s="1077"/>
      <c r="AL44" s="1077"/>
      <c r="AM44" s="1077"/>
      <c r="AN44" s="1077"/>
      <c r="AO44" s="1077"/>
    </row>
    <row r="45" spans="2:41" s="2" customFormat="1">
      <c r="B45" s="45"/>
      <c r="C45" s="3490" t="s">
        <v>64</v>
      </c>
      <c r="D45" s="930"/>
      <c r="E45" s="46"/>
      <c r="F45" s="46"/>
      <c r="G45" s="46"/>
      <c r="H45" s="46"/>
      <c r="I45" s="46"/>
      <c r="J45" s="46"/>
      <c r="K45" s="46"/>
      <c r="L45" s="46"/>
      <c r="M45" s="46"/>
      <c r="N45" s="46"/>
      <c r="O45" s="46"/>
      <c r="P45"/>
      <c r="Q45" s="1077"/>
      <c r="R45" s="1077"/>
      <c r="S45" s="86"/>
      <c r="T45" s="86"/>
      <c r="U45" s="86"/>
      <c r="V45" s="86"/>
      <c r="W45" s="86"/>
      <c r="X45" s="86"/>
      <c r="Y45" s="2555"/>
      <c r="Z45" s="1077"/>
      <c r="AA45" s="1077"/>
      <c r="AB45" s="1077"/>
      <c r="AC45" s="1077"/>
      <c r="AD45" s="1077"/>
      <c r="AE45" s="1077"/>
      <c r="AF45" s="86"/>
      <c r="AG45" s="86"/>
      <c r="AH45" s="86"/>
      <c r="AI45" s="86"/>
      <c r="AJ45" s="86"/>
      <c r="AK45" s="86"/>
      <c r="AL45" s="86"/>
      <c r="AM45" s="86"/>
      <c r="AN45" s="86"/>
      <c r="AO45" s="86"/>
    </row>
    <row r="46" spans="2:41" s="3493" customFormat="1">
      <c r="B46" s="3491"/>
      <c r="C46" s="929" t="s">
        <v>65</v>
      </c>
      <c r="D46" s="930" t="s">
        <v>3096</v>
      </c>
      <c r="E46" s="933"/>
      <c r="F46" s="933"/>
      <c r="G46" s="933"/>
      <c r="H46" s="933"/>
      <c r="I46" s="933"/>
      <c r="J46" s="933"/>
      <c r="K46" s="933"/>
      <c r="L46" s="933"/>
      <c r="M46" s="933"/>
      <c r="N46" s="933"/>
      <c r="O46" s="933"/>
      <c r="P46"/>
      <c r="Q46" s="1077"/>
      <c r="R46" s="207"/>
      <c r="S46" s="3492"/>
      <c r="T46" s="3492"/>
      <c r="U46" s="3492"/>
      <c r="V46" s="3492"/>
      <c r="W46" s="3492"/>
      <c r="X46" s="3492"/>
      <c r="Y46" s="2555"/>
      <c r="Z46" s="1077"/>
      <c r="AA46" s="1077"/>
      <c r="AB46" s="1077"/>
      <c r="AC46" s="1077"/>
      <c r="AD46" s="1077"/>
      <c r="AE46" s="1077"/>
      <c r="AF46" s="3492"/>
      <c r="AG46" s="3492"/>
      <c r="AH46" s="3492"/>
      <c r="AI46" s="3492"/>
      <c r="AJ46" s="3492"/>
      <c r="AK46" s="3492"/>
      <c r="AL46" s="3492"/>
      <c r="AM46" s="3492"/>
      <c r="AN46" s="3492"/>
      <c r="AO46" s="3492"/>
    </row>
    <row r="47" spans="2:41" s="3493" customFormat="1">
      <c r="B47" s="3491"/>
      <c r="C47" s="3863" t="s">
        <v>67</v>
      </c>
      <c r="D47" s="3864" t="s">
        <v>3098</v>
      </c>
      <c r="E47" s="933"/>
      <c r="F47" s="933"/>
      <c r="G47" s="933"/>
      <c r="H47" s="933"/>
      <c r="I47" s="933"/>
      <c r="J47" s="933"/>
      <c r="K47" s="933"/>
      <c r="L47" s="933"/>
      <c r="M47" s="933"/>
      <c r="N47" s="933"/>
      <c r="O47" s="933"/>
      <c r="P47"/>
      <c r="Q47" s="1077"/>
      <c r="R47" s="207"/>
      <c r="S47" s="3492"/>
      <c r="T47" s="3492"/>
      <c r="U47" s="3492"/>
      <c r="V47" s="3492"/>
      <c r="W47" s="3492"/>
      <c r="X47" s="3492"/>
      <c r="Y47" s="1432"/>
      <c r="Z47" s="1077"/>
      <c r="AA47" s="1077"/>
      <c r="AB47" s="1077"/>
      <c r="AC47" s="1077"/>
      <c r="AD47" s="1077"/>
      <c r="AE47" s="1077"/>
      <c r="AF47" s="3492"/>
      <c r="AG47" s="3492"/>
      <c r="AH47" s="3492"/>
      <c r="AI47" s="3492"/>
      <c r="AJ47" s="3492"/>
      <c r="AK47" s="3492"/>
      <c r="AL47" s="3492"/>
      <c r="AM47" s="3492"/>
      <c r="AN47" s="3492"/>
      <c r="AO47" s="3492"/>
    </row>
    <row r="48" spans="2:41" s="2" customFormat="1">
      <c r="B48" s="111"/>
      <c r="C48" s="3863"/>
      <c r="D48" s="3864" t="s">
        <v>3099</v>
      </c>
      <c r="E48" s="115"/>
      <c r="F48" s="115"/>
      <c r="G48" s="115"/>
      <c r="H48" s="115"/>
      <c r="I48" s="115"/>
      <c r="J48" s="115"/>
      <c r="K48" s="115"/>
      <c r="L48" s="115"/>
      <c r="M48" s="115"/>
      <c r="N48" s="115"/>
      <c r="O48" s="115"/>
      <c r="P48"/>
      <c r="Q48" s="1077"/>
      <c r="R48" s="1077"/>
      <c r="S48" s="86"/>
      <c r="T48" s="86"/>
      <c r="U48" s="86"/>
      <c r="V48" s="86"/>
      <c r="W48" s="86"/>
      <c r="X48" s="86"/>
      <c r="Y48" s="2555"/>
      <c r="Z48" s="1077"/>
      <c r="AA48" s="1077"/>
      <c r="AB48" s="1077"/>
      <c r="AC48" s="1077"/>
      <c r="AD48" s="1077"/>
      <c r="AE48" s="1077"/>
      <c r="AF48" s="86"/>
      <c r="AG48" s="86"/>
      <c r="AH48" s="86"/>
      <c r="AI48" s="86"/>
      <c r="AJ48" s="86"/>
      <c r="AK48" s="86"/>
      <c r="AL48" s="86"/>
      <c r="AM48" s="86"/>
      <c r="AN48" s="86"/>
      <c r="AO48" s="86"/>
    </row>
    <row r="49" spans="1:41">
      <c r="Q49" s="1077"/>
      <c r="R49" s="1077"/>
      <c r="S49" s="1077"/>
      <c r="T49" s="1077"/>
      <c r="U49" s="1077"/>
      <c r="V49" s="1077"/>
      <c r="W49" s="1077"/>
      <c r="X49" s="1077"/>
      <c r="Y49" s="2555"/>
      <c r="Z49" s="1077"/>
      <c r="AA49" s="1077"/>
      <c r="AB49" s="1077"/>
      <c r="AC49" s="1077"/>
      <c r="AD49" s="1077"/>
      <c r="AE49" s="1077"/>
      <c r="AF49" s="1077"/>
      <c r="AG49" s="1077"/>
      <c r="AH49" s="1077"/>
      <c r="AI49" s="1077"/>
      <c r="AJ49" s="1077"/>
      <c r="AK49" s="1077"/>
      <c r="AL49" s="1077"/>
      <c r="AM49" s="1077"/>
      <c r="AN49" s="1077"/>
      <c r="AO49" s="1077"/>
    </row>
    <row r="50" spans="1:41" s="6" customFormat="1" ht="23.25" collapsed="1">
      <c r="A50" s="40"/>
      <c r="B50" s="878" t="s">
        <v>70</v>
      </c>
      <c r="C50" s="879"/>
      <c r="D50" s="879"/>
      <c r="E50" s="879"/>
      <c r="F50" s="879"/>
      <c r="G50" s="879"/>
      <c r="H50" s="879"/>
      <c r="I50" s="879"/>
      <c r="J50" s="879"/>
      <c r="K50" s="879"/>
      <c r="L50" s="879"/>
      <c r="M50" s="879"/>
      <c r="N50" s="879"/>
      <c r="O50" s="879"/>
      <c r="P50"/>
      <c r="Q50" s="1077"/>
      <c r="R50" s="1077"/>
      <c r="S50" s="656"/>
      <c r="T50" s="656"/>
      <c r="U50" s="656"/>
      <c r="V50" s="656"/>
      <c r="W50" s="656"/>
      <c r="X50" s="656"/>
      <c r="Y50" s="521"/>
      <c r="Z50" s="521"/>
      <c r="AA50" s="1077"/>
      <c r="AB50" s="1077"/>
      <c r="AC50" s="1077"/>
      <c r="AD50" s="1077"/>
      <c r="AE50" s="1077"/>
      <c r="AF50" s="656"/>
      <c r="AG50" s="656"/>
      <c r="AH50" s="656"/>
      <c r="AI50" s="656"/>
      <c r="AJ50" s="656"/>
      <c r="AK50" s="656"/>
      <c r="AL50" s="656"/>
      <c r="AM50" s="656"/>
      <c r="AN50" s="656"/>
      <c r="AO50" s="656"/>
    </row>
    <row r="51" spans="1:41" ht="15.75">
      <c r="B51" s="886"/>
      <c r="C51" s="924"/>
      <c r="D51" s="924"/>
      <c r="E51" s="923"/>
      <c r="F51" s="2708"/>
      <c r="G51" s="2714"/>
      <c r="H51" s="2708"/>
      <c r="I51" s="2708"/>
      <c r="J51" s="2708"/>
      <c r="K51" s="2708"/>
      <c r="L51" s="2708"/>
      <c r="M51" s="2708"/>
      <c r="N51" s="2708"/>
      <c r="O51" s="2708"/>
      <c r="Q51" s="1077"/>
      <c r="R51" s="1077"/>
      <c r="S51" s="1077"/>
      <c r="T51" s="1077"/>
      <c r="U51" s="1077"/>
      <c r="V51" s="1077"/>
      <c r="W51" s="1077"/>
      <c r="X51" s="1077"/>
      <c r="Y51" s="521"/>
      <c r="Z51" s="521"/>
      <c r="AA51" s="1077"/>
      <c r="AB51" s="1077"/>
      <c r="AC51" s="1077"/>
      <c r="AD51" s="1077"/>
      <c r="AE51" s="1077"/>
      <c r="AF51" s="1077"/>
      <c r="AG51" s="1077"/>
      <c r="AH51" s="1077"/>
      <c r="AI51" s="1077"/>
      <c r="AJ51" s="1077"/>
      <c r="AK51" s="1077"/>
      <c r="AL51" s="1077"/>
      <c r="AM51" s="1077"/>
      <c r="AN51" s="1077"/>
      <c r="AO51" s="1077"/>
    </row>
    <row r="52" spans="1:41">
      <c r="Q52" s="1077"/>
      <c r="R52" s="1077"/>
      <c r="S52" s="1077"/>
      <c r="T52" s="1077"/>
      <c r="U52" s="1077"/>
      <c r="V52" s="1077"/>
      <c r="W52" s="1077"/>
      <c r="X52" s="1077"/>
      <c r="Y52" s="521"/>
      <c r="Z52" s="521"/>
      <c r="AA52" s="1077"/>
      <c r="AB52" s="1077"/>
      <c r="AC52" s="1077"/>
      <c r="AD52" s="1077"/>
      <c r="AE52" s="1077"/>
      <c r="AF52" s="1077"/>
      <c r="AG52" s="1077"/>
      <c r="AH52" s="1077"/>
      <c r="AI52" s="1077"/>
      <c r="AJ52" s="1077"/>
      <c r="AK52" s="1077"/>
      <c r="AL52" s="1077"/>
      <c r="AM52" s="1077"/>
      <c r="AN52" s="1077"/>
      <c r="AO52" s="1077"/>
    </row>
    <row r="53" spans="1:41" s="6" customFormat="1" ht="24" customHeight="1">
      <c r="A53" s="40"/>
      <c r="B53" s="878" t="s">
        <v>2794</v>
      </c>
      <c r="C53" s="879"/>
      <c r="D53" s="879"/>
      <c r="E53" s="879"/>
      <c r="F53" s="879"/>
      <c r="G53" s="879"/>
      <c r="H53" s="879"/>
      <c r="I53" s="879"/>
      <c r="J53" s="879"/>
      <c r="K53" s="879"/>
      <c r="L53" s="879"/>
      <c r="M53" s="879"/>
      <c r="N53" s="879"/>
      <c r="O53" s="879"/>
      <c r="P53"/>
      <c r="Q53" s="656"/>
      <c r="R53" s="656"/>
      <c r="S53" s="656"/>
      <c r="T53" s="656"/>
      <c r="U53" s="656"/>
      <c r="V53" s="656"/>
      <c r="W53" s="656"/>
      <c r="X53" s="656"/>
      <c r="Y53" s="521"/>
      <c r="Z53" s="521"/>
      <c r="AA53" s="656"/>
      <c r="AB53" s="656"/>
      <c r="AC53" s="656"/>
      <c r="AD53" s="656"/>
      <c r="AE53" s="656"/>
      <c r="AF53" s="656"/>
      <c r="AG53" s="656"/>
      <c r="AH53" s="656"/>
      <c r="AI53" s="656"/>
      <c r="AJ53" s="656"/>
      <c r="AK53" s="656"/>
      <c r="AL53" s="656"/>
      <c r="AM53" s="656"/>
      <c r="AN53" s="656"/>
      <c r="AO53" s="656"/>
    </row>
    <row r="54" spans="1:41" hidden="1">
      <c r="B54" s="881"/>
      <c r="C54" s="882"/>
      <c r="D54" s="882"/>
      <c r="E54" s="882"/>
      <c r="F54" s="882"/>
      <c r="G54" s="882"/>
      <c r="H54" s="882"/>
      <c r="I54" s="882"/>
      <c r="J54" s="882"/>
      <c r="K54" s="882"/>
      <c r="L54" s="882"/>
      <c r="M54" s="882"/>
      <c r="N54" s="882"/>
      <c r="O54" s="882"/>
      <c r="Q54" s="1077"/>
      <c r="R54" s="1077"/>
      <c r="S54" s="1077"/>
      <c r="T54" s="1077"/>
      <c r="U54" s="1077"/>
      <c r="V54" s="1077"/>
      <c r="W54" s="1077"/>
      <c r="X54" s="1077"/>
      <c r="Y54" s="521"/>
      <c r="Z54" s="521"/>
      <c r="AA54" s="1077"/>
      <c r="AB54" s="1077"/>
      <c r="AC54" s="1077"/>
      <c r="AD54" s="1077"/>
      <c r="AE54" s="1077"/>
      <c r="AF54" s="1077"/>
      <c r="AG54" s="1077"/>
      <c r="AH54" s="1077"/>
      <c r="AI54" s="1077"/>
      <c r="AJ54" s="1077"/>
      <c r="AK54" s="1077"/>
      <c r="AL54" s="1077"/>
      <c r="AM54" s="1077"/>
      <c r="AN54" s="1077"/>
      <c r="AO54" s="1077"/>
    </row>
    <row r="55" spans="1:41" hidden="1">
      <c r="B55" s="110"/>
      <c r="C55" s="49" t="s">
        <v>2723</v>
      </c>
      <c r="D55" s="924"/>
      <c r="E55" s="941"/>
      <c r="F55" s="2519"/>
      <c r="G55" s="943"/>
      <c r="H55" s="943"/>
      <c r="I55" s="943"/>
      <c r="J55" s="943"/>
      <c r="K55" s="943"/>
      <c r="L55" s="943"/>
      <c r="M55" s="943"/>
      <c r="N55" s="944" t="s">
        <v>2818</v>
      </c>
      <c r="O55" s="67"/>
      <c r="Q55" s="1077"/>
      <c r="R55" s="1077"/>
      <c r="S55" s="1077"/>
      <c r="T55" s="1077"/>
      <c r="U55" s="1077"/>
      <c r="V55" s="1077"/>
      <c r="W55" s="1077"/>
      <c r="X55" s="1173"/>
      <c r="Y55" s="521"/>
      <c r="Z55" s="656"/>
      <c r="AA55" s="1077"/>
      <c r="AB55" s="1077"/>
      <c r="AC55" s="1077"/>
      <c r="AD55" s="1077"/>
      <c r="AE55" s="1077"/>
      <c r="AF55" s="1077"/>
      <c r="AG55" s="1077"/>
      <c r="AH55" s="1077"/>
      <c r="AI55" s="1077"/>
      <c r="AJ55" s="1077"/>
      <c r="AK55" s="1077"/>
      <c r="AL55" s="1077"/>
      <c r="AM55" s="1077"/>
      <c r="AN55" s="1077"/>
      <c r="AO55" s="1077"/>
    </row>
    <row r="56" spans="1:41" ht="4.5" hidden="1" customHeight="1">
      <c r="B56" s="110"/>
      <c r="C56" s="946"/>
      <c r="D56" s="924"/>
      <c r="E56" s="941"/>
      <c r="F56" s="2519"/>
      <c r="G56" s="943"/>
      <c r="H56" s="943"/>
      <c r="I56" s="943"/>
      <c r="J56" s="943"/>
      <c r="K56" s="943"/>
      <c r="L56" s="943"/>
      <c r="M56" s="943"/>
      <c r="N56" s="67"/>
      <c r="O56" s="67"/>
      <c r="Q56" s="1077"/>
      <c r="R56" s="1077"/>
      <c r="S56" s="1077"/>
      <c r="T56" s="1077"/>
      <c r="U56" s="1077"/>
      <c r="V56" s="1077"/>
      <c r="W56" s="1077"/>
      <c r="X56" s="1173"/>
      <c r="Y56" s="521"/>
      <c r="Z56" s="656"/>
      <c r="AA56" s="1077"/>
      <c r="AB56" s="1077"/>
      <c r="AC56" s="1077"/>
      <c r="AD56" s="1077"/>
      <c r="AE56" s="1077"/>
      <c r="AF56" s="1077"/>
      <c r="AG56" s="1077"/>
      <c r="AH56" s="1077"/>
      <c r="AI56" s="1077"/>
      <c r="AJ56" s="1077"/>
      <c r="AK56" s="1077"/>
      <c r="AL56" s="1077"/>
      <c r="AM56" s="1077"/>
      <c r="AN56" s="1077"/>
      <c r="AO56" s="1077"/>
    </row>
    <row r="57" spans="1:41" hidden="1">
      <c r="B57" s="110"/>
      <c r="C57" s="947"/>
      <c r="D57" s="948"/>
      <c r="E57" s="949" t="s">
        <v>160</v>
      </c>
      <c r="F57" s="985">
        <v>2013</v>
      </c>
      <c r="G57" s="985">
        <v>2015</v>
      </c>
      <c r="H57" s="985">
        <v>2020</v>
      </c>
      <c r="I57" s="985">
        <v>2025</v>
      </c>
      <c r="J57" s="985">
        <v>2030</v>
      </c>
      <c r="K57" s="985">
        <v>2035</v>
      </c>
      <c r="L57" s="985">
        <v>2040</v>
      </c>
      <c r="M57" s="985">
        <v>2045</v>
      </c>
      <c r="N57" s="985">
        <v>2050</v>
      </c>
      <c r="O57" s="67"/>
      <c r="Q57" s="1077"/>
      <c r="R57" s="1077"/>
      <c r="S57" s="3494"/>
      <c r="T57" s="1077"/>
      <c r="U57" s="1077"/>
      <c r="V57" s="1077"/>
      <c r="W57" s="1077"/>
      <c r="X57" s="1173"/>
      <c r="Y57" s="521"/>
      <c r="Z57" s="656"/>
      <c r="AA57" s="1077"/>
      <c r="AB57" s="1077"/>
      <c r="AC57" s="1077"/>
      <c r="AD57" s="1077"/>
      <c r="AE57" s="1077"/>
      <c r="AF57" s="1077"/>
      <c r="AG57" s="1077"/>
      <c r="AH57" s="1077"/>
      <c r="AI57" s="1077"/>
      <c r="AJ57" s="1077"/>
      <c r="AK57" s="1077"/>
      <c r="AL57" s="1077"/>
      <c r="AM57" s="1077"/>
      <c r="AN57" s="1077"/>
      <c r="AO57" s="1077"/>
    </row>
    <row r="58" spans="1:41" hidden="1">
      <c r="B58" s="110"/>
      <c r="C58" s="952" t="s">
        <v>738</v>
      </c>
      <c r="D58" s="924"/>
      <c r="E58" s="2425"/>
      <c r="F58" s="3495"/>
      <c r="G58" s="3496"/>
      <c r="H58" s="3496"/>
      <c r="I58" s="3496"/>
      <c r="J58" s="3496"/>
      <c r="K58" s="3496"/>
      <c r="L58" s="3496"/>
      <c r="M58" s="3496"/>
      <c r="N58" s="3495"/>
      <c r="O58" s="67"/>
      <c r="Q58" s="1077"/>
      <c r="R58" s="1077"/>
      <c r="S58" s="1077"/>
      <c r="T58" s="1077"/>
      <c r="U58" s="1077"/>
      <c r="V58" s="1077"/>
      <c r="W58" s="1077"/>
      <c r="X58" s="1077"/>
      <c r="Y58" s="1077"/>
      <c r="Z58" s="1077"/>
      <c r="AA58" s="1077"/>
      <c r="AB58" s="1077"/>
      <c r="AC58" s="1077"/>
      <c r="AD58" s="1077"/>
      <c r="AE58" s="1077"/>
      <c r="AF58" s="1077"/>
      <c r="AG58" s="1077"/>
      <c r="AH58" s="1077"/>
      <c r="AI58" s="1077"/>
      <c r="AJ58" s="1077"/>
      <c r="AK58" s="1077"/>
      <c r="AL58" s="1077"/>
      <c r="AM58" s="1077"/>
      <c r="AN58" s="1077"/>
      <c r="AO58" s="1077"/>
    </row>
    <row r="59" spans="1:41" hidden="1">
      <c r="B59" s="110"/>
      <c r="C59" s="952" t="s">
        <v>739</v>
      </c>
      <c r="D59" s="924"/>
      <c r="E59" s="2425"/>
      <c r="F59" s="3495"/>
      <c r="G59" s="3495"/>
      <c r="H59" s="3495"/>
      <c r="I59" s="3495"/>
      <c r="J59" s="3495"/>
      <c r="K59" s="3495"/>
      <c r="L59" s="3495"/>
      <c r="M59" s="3495"/>
      <c r="N59" s="3495"/>
      <c r="O59" s="67"/>
      <c r="Q59" s="1173"/>
      <c r="R59" s="1173"/>
      <c r="S59" s="1077"/>
      <c r="T59" s="1077"/>
      <c r="U59" s="1077"/>
      <c r="V59" s="1077"/>
      <c r="W59" s="1077"/>
      <c r="X59" s="1077"/>
      <c r="Y59" s="1077"/>
      <c r="Z59" s="1077"/>
      <c r="AA59" s="1077"/>
      <c r="AB59" s="1077"/>
      <c r="AC59" s="1077"/>
      <c r="AD59" s="1077"/>
      <c r="AE59" s="1077"/>
      <c r="AF59" s="1077"/>
      <c r="AG59" s="1077"/>
      <c r="AH59" s="1077"/>
      <c r="AI59" s="1077"/>
      <c r="AJ59" s="1077"/>
      <c r="AK59" s="1077"/>
      <c r="AL59" s="1077"/>
      <c r="AM59" s="1077"/>
      <c r="AN59" s="1077"/>
      <c r="AO59" s="1077"/>
    </row>
    <row r="60" spans="1:41" hidden="1">
      <c r="B60" s="110"/>
      <c r="C60" s="956" t="s">
        <v>740</v>
      </c>
      <c r="D60" s="957"/>
      <c r="E60" s="2426"/>
      <c r="F60" s="3497"/>
      <c r="G60" s="3498"/>
      <c r="H60" s="3498"/>
      <c r="I60" s="3498"/>
      <c r="J60" s="3498"/>
      <c r="K60" s="3498"/>
      <c r="L60" s="3498"/>
      <c r="M60" s="3498"/>
      <c r="N60" s="3497"/>
      <c r="O60" s="67"/>
      <c r="Q60" s="1077"/>
      <c r="R60" s="1077"/>
      <c r="S60" s="1077"/>
      <c r="T60" s="1077"/>
      <c r="U60" s="1077"/>
      <c r="V60" s="1077"/>
      <c r="W60" s="1077"/>
      <c r="X60" s="1173"/>
      <c r="Y60" s="1077"/>
      <c r="Z60" s="1077"/>
      <c r="AA60" s="1077"/>
      <c r="AB60" s="1077"/>
      <c r="AC60" s="1077"/>
      <c r="AD60" s="1077"/>
      <c r="AE60" s="1077"/>
      <c r="AF60" s="1077"/>
      <c r="AG60" s="1077"/>
      <c r="AH60" s="1077"/>
      <c r="AI60" s="1077"/>
      <c r="AJ60" s="1077"/>
      <c r="AK60" s="1077"/>
      <c r="AL60" s="1077"/>
      <c r="AM60" s="1077"/>
      <c r="AN60" s="1077"/>
      <c r="AO60" s="1077"/>
    </row>
    <row r="61" spans="1:41" hidden="1">
      <c r="B61" s="110"/>
      <c r="C61" s="946"/>
      <c r="D61" s="924"/>
      <c r="E61" s="941"/>
      <c r="F61" s="2519"/>
      <c r="G61" s="943"/>
      <c r="H61" s="943"/>
      <c r="I61" s="943"/>
      <c r="J61" s="943"/>
      <c r="K61" s="943"/>
      <c r="L61" s="943"/>
      <c r="M61" s="943"/>
      <c r="N61" s="67"/>
      <c r="O61" s="67"/>
      <c r="Q61" s="1077"/>
      <c r="R61" s="1077"/>
      <c r="S61" s="1077"/>
      <c r="T61" s="1077"/>
      <c r="U61" s="1077"/>
      <c r="V61" s="1077"/>
      <c r="W61" s="1077"/>
      <c r="X61" s="1173"/>
      <c r="Y61" s="1077"/>
      <c r="Z61" s="1077"/>
      <c r="AA61" s="1077"/>
      <c r="AB61" s="1077"/>
      <c r="AC61" s="1077"/>
      <c r="AD61" s="1077"/>
      <c r="AE61" s="1077"/>
      <c r="AF61" s="1077"/>
      <c r="AG61" s="1077"/>
      <c r="AH61" s="1077"/>
      <c r="AI61" s="1077"/>
      <c r="AJ61" s="1077"/>
      <c r="AK61" s="1077"/>
      <c r="AL61" s="1077"/>
      <c r="AM61" s="1077"/>
      <c r="AN61" s="1077"/>
      <c r="AO61" s="1077"/>
    </row>
    <row r="62" spans="1:41" hidden="1">
      <c r="B62" s="110"/>
      <c r="C62" s="49" t="s">
        <v>2724</v>
      </c>
      <c r="D62" s="924"/>
      <c r="E62" s="941"/>
      <c r="F62" s="2519"/>
      <c r="G62" s="943"/>
      <c r="H62" s="943"/>
      <c r="I62" s="943"/>
      <c r="J62" s="943"/>
      <c r="K62" s="943"/>
      <c r="L62" s="943"/>
      <c r="M62" s="943"/>
      <c r="N62" s="944" t="s">
        <v>2818</v>
      </c>
      <c r="O62" s="67"/>
      <c r="Q62" s="1077"/>
      <c r="R62" s="1077"/>
      <c r="S62" s="1077"/>
      <c r="T62" s="1077"/>
      <c r="U62" s="1077"/>
      <c r="V62" s="1077"/>
      <c r="W62" s="1077"/>
      <c r="X62" s="1173"/>
      <c r="Y62" s="1077"/>
      <c r="Z62" s="1077"/>
      <c r="AA62" s="1077"/>
      <c r="AB62" s="1077"/>
      <c r="AC62" s="1077"/>
      <c r="AD62" s="1077"/>
      <c r="AE62" s="1077"/>
      <c r="AF62" s="1077"/>
      <c r="AG62" s="1077"/>
      <c r="AH62" s="1077"/>
      <c r="AI62" s="1077"/>
      <c r="AJ62" s="1077"/>
      <c r="AK62" s="1077"/>
      <c r="AL62" s="1077"/>
      <c r="AM62" s="1077"/>
      <c r="AN62" s="1077"/>
      <c r="AO62" s="1077"/>
    </row>
    <row r="63" spans="1:41" ht="4.5" hidden="1" customHeight="1">
      <c r="B63" s="110"/>
      <c r="C63" s="946"/>
      <c r="D63" s="924"/>
      <c r="E63" s="941"/>
      <c r="F63" s="2519"/>
      <c r="G63" s="943"/>
      <c r="H63" s="943"/>
      <c r="I63" s="943"/>
      <c r="J63" s="943"/>
      <c r="K63" s="943"/>
      <c r="L63" s="943"/>
      <c r="M63" s="943"/>
      <c r="N63" s="67"/>
      <c r="O63" s="67"/>
      <c r="Q63" s="1077"/>
      <c r="R63" s="1077"/>
      <c r="S63" s="1077"/>
      <c r="T63" s="1077"/>
      <c r="U63" s="1077"/>
      <c r="V63" s="1077"/>
      <c r="W63" s="1077"/>
      <c r="X63" s="1173"/>
      <c r="Y63" s="1077"/>
      <c r="Z63" s="1077"/>
      <c r="AA63" s="1077"/>
      <c r="AB63" s="1077"/>
      <c r="AC63" s="1077"/>
      <c r="AD63" s="1077"/>
      <c r="AE63" s="1077"/>
      <c r="AF63" s="1077"/>
      <c r="AG63" s="1077"/>
      <c r="AH63" s="1077"/>
      <c r="AI63" s="1077"/>
      <c r="AJ63" s="1077"/>
      <c r="AK63" s="1077"/>
      <c r="AL63" s="1077"/>
      <c r="AM63" s="1077"/>
      <c r="AN63" s="1077"/>
      <c r="AO63" s="1077"/>
    </row>
    <row r="64" spans="1:41" hidden="1">
      <c r="B64" s="110"/>
      <c r="C64" s="947"/>
      <c r="D64" s="948"/>
      <c r="E64" s="949" t="s">
        <v>160</v>
      </c>
      <c r="F64" s="985">
        <v>2013</v>
      </c>
      <c r="G64" s="985">
        <v>2015</v>
      </c>
      <c r="H64" s="985">
        <v>2020</v>
      </c>
      <c r="I64" s="985">
        <v>2025</v>
      </c>
      <c r="J64" s="985">
        <v>2030</v>
      </c>
      <c r="K64" s="985">
        <v>2035</v>
      </c>
      <c r="L64" s="985">
        <v>2040</v>
      </c>
      <c r="M64" s="985">
        <v>2045</v>
      </c>
      <c r="N64" s="985">
        <v>2050</v>
      </c>
      <c r="O64" s="67"/>
      <c r="Q64" s="1077"/>
      <c r="R64" s="656"/>
      <c r="S64" s="656"/>
      <c r="T64" s="656"/>
      <c r="U64" s="656"/>
      <c r="V64" s="656"/>
      <c r="W64" s="656"/>
      <c r="X64" s="1173"/>
      <c r="Y64" s="1077"/>
      <c r="Z64" s="1077"/>
      <c r="AA64" s="1077"/>
      <c r="AB64" s="1077"/>
      <c r="AC64" s="1077"/>
      <c r="AD64" s="1077"/>
      <c r="AE64" s="1077"/>
      <c r="AF64" s="1077"/>
      <c r="AG64" s="1077"/>
      <c r="AH64" s="1077"/>
      <c r="AI64" s="1077"/>
      <c r="AJ64" s="1077"/>
      <c r="AK64" s="1077"/>
      <c r="AL64" s="1077"/>
      <c r="AM64" s="1077"/>
      <c r="AN64" s="1077"/>
      <c r="AO64" s="1077"/>
    </row>
    <row r="65" spans="2:41" hidden="1">
      <c r="B65" s="110"/>
      <c r="C65" s="952" t="s">
        <v>738</v>
      </c>
      <c r="D65" s="924"/>
      <c r="E65" s="2425"/>
      <c r="F65" s="3495"/>
      <c r="G65" s="3496"/>
      <c r="H65" s="3496"/>
      <c r="I65" s="3496"/>
      <c r="J65" s="3496"/>
      <c r="K65" s="3496"/>
      <c r="L65" s="3496"/>
      <c r="M65" s="3496"/>
      <c r="N65" s="3495"/>
      <c r="O65" s="67"/>
      <c r="Q65" s="1077"/>
      <c r="R65" s="1077"/>
      <c r="S65" s="1077"/>
      <c r="T65" s="1077"/>
      <c r="U65" s="1077"/>
      <c r="V65" s="1077"/>
      <c r="W65" s="1077"/>
      <c r="X65" s="1077"/>
      <c r="Y65" s="1077"/>
      <c r="Z65" s="1077"/>
      <c r="AA65" s="1077"/>
      <c r="AB65" s="1077"/>
      <c r="AC65" s="1077"/>
      <c r="AD65" s="1077"/>
      <c r="AE65" s="1077"/>
      <c r="AF65" s="1077"/>
      <c r="AG65" s="1077"/>
      <c r="AH65" s="1077"/>
      <c r="AI65" s="1077"/>
      <c r="AJ65" s="1077"/>
      <c r="AK65" s="1077"/>
      <c r="AL65" s="1077"/>
      <c r="AM65" s="1077"/>
      <c r="AN65" s="1077"/>
      <c r="AO65" s="1077"/>
    </row>
    <row r="66" spans="2:41" hidden="1">
      <c r="B66" s="110"/>
      <c r="C66" s="952" t="s">
        <v>739</v>
      </c>
      <c r="D66" s="924"/>
      <c r="E66" s="2425"/>
      <c r="F66" s="3495"/>
      <c r="G66" s="3495"/>
      <c r="H66" s="3495"/>
      <c r="I66" s="3495"/>
      <c r="J66" s="3495"/>
      <c r="K66" s="3495"/>
      <c r="L66" s="3495"/>
      <c r="M66" s="3495"/>
      <c r="N66" s="3495"/>
      <c r="O66" s="67"/>
      <c r="Q66" s="1173"/>
      <c r="R66" s="1173"/>
      <c r="S66" s="1077"/>
      <c r="T66" s="1077"/>
      <c r="U66" s="1077"/>
      <c r="V66" s="1077"/>
      <c r="W66" s="1077"/>
      <c r="X66" s="1077"/>
      <c r="Y66" s="1077"/>
      <c r="Z66" s="1077"/>
      <c r="AA66" s="1077"/>
      <c r="AB66" s="1077"/>
      <c r="AC66" s="1077"/>
      <c r="AD66" s="1077"/>
      <c r="AE66" s="1077"/>
      <c r="AF66" s="1077"/>
      <c r="AG66" s="1077"/>
      <c r="AH66" s="1077"/>
      <c r="AI66" s="1077"/>
      <c r="AJ66" s="1077"/>
      <c r="AK66" s="1077"/>
      <c r="AL66" s="1077"/>
      <c r="AM66" s="1077"/>
      <c r="AN66" s="1077"/>
      <c r="AO66" s="1077"/>
    </row>
    <row r="67" spans="2:41" hidden="1">
      <c r="B67" s="110"/>
      <c r="C67" s="956" t="s">
        <v>740</v>
      </c>
      <c r="D67" s="957"/>
      <c r="E67" s="2426"/>
      <c r="F67" s="3497"/>
      <c r="G67" s="3498"/>
      <c r="H67" s="3498"/>
      <c r="I67" s="3498"/>
      <c r="J67" s="3498"/>
      <c r="K67" s="3498"/>
      <c r="L67" s="3498"/>
      <c r="M67" s="3498"/>
      <c r="N67" s="3497"/>
      <c r="O67" s="67"/>
      <c r="Q67" s="1077"/>
      <c r="R67" s="1077"/>
      <c r="S67" s="1077"/>
      <c r="T67" s="1077"/>
      <c r="U67" s="1077"/>
      <c r="V67" s="1077"/>
      <c r="W67" s="1077"/>
      <c r="X67" s="1077"/>
      <c r="Y67" s="1077"/>
      <c r="Z67" s="1077"/>
      <c r="AA67" s="1077"/>
      <c r="AB67" s="1077"/>
      <c r="AC67" s="1077"/>
      <c r="AD67" s="1077"/>
      <c r="AE67" s="1077"/>
      <c r="AF67" s="1077"/>
      <c r="AG67" s="1077"/>
      <c r="AH67" s="1077"/>
      <c r="AI67" s="1077"/>
      <c r="AJ67" s="1077"/>
      <c r="AK67" s="1077"/>
      <c r="AL67" s="1077"/>
      <c r="AM67" s="1077"/>
      <c r="AN67" s="1077"/>
      <c r="AO67" s="1077"/>
    </row>
    <row r="68" spans="2:41" hidden="1">
      <c r="B68" s="47"/>
      <c r="C68" s="47"/>
      <c r="D68" s="67"/>
      <c r="E68" s="943"/>
      <c r="F68" s="67"/>
      <c r="G68" s="67"/>
      <c r="H68" s="67"/>
      <c r="I68" s="3436"/>
      <c r="J68" s="3436"/>
      <c r="K68" s="47"/>
      <c r="L68" s="47"/>
      <c r="M68" s="47"/>
      <c r="N68" s="47"/>
      <c r="O68" s="47"/>
      <c r="Q68" s="1077"/>
      <c r="R68" s="1077"/>
      <c r="S68" s="1077"/>
      <c r="T68" s="1077"/>
      <c r="U68" s="1077"/>
      <c r="V68" s="1077"/>
      <c r="W68" s="1077"/>
      <c r="X68" s="1077"/>
      <c r="Y68" s="1077"/>
      <c r="Z68" s="1077"/>
      <c r="AA68" s="1077"/>
      <c r="AB68" s="1077"/>
      <c r="AC68" s="1077"/>
      <c r="AD68" s="1077"/>
      <c r="AE68" s="1077"/>
      <c r="AF68" s="1077"/>
      <c r="AG68" s="1077"/>
      <c r="AH68" s="1077"/>
      <c r="AI68" s="1077"/>
      <c r="AJ68" s="1077"/>
      <c r="AK68" s="1077"/>
      <c r="AL68" s="1077"/>
      <c r="AM68" s="1077"/>
      <c r="AN68" s="1077"/>
      <c r="AO68" s="1077"/>
    </row>
    <row r="69" spans="2:41">
      <c r="Q69" s="1077"/>
      <c r="R69" s="1077"/>
      <c r="S69" s="1077"/>
      <c r="T69" s="1077"/>
      <c r="U69" s="1077"/>
      <c r="V69" s="1077"/>
      <c r="W69" s="1077"/>
      <c r="X69" s="1077"/>
      <c r="Y69" s="1077"/>
      <c r="Z69" s="1077"/>
      <c r="AA69" s="1077"/>
      <c r="AB69" s="1077"/>
      <c r="AC69" s="2189"/>
      <c r="AD69" s="2189"/>
      <c r="AE69" s="2189"/>
      <c r="AF69" s="2189"/>
      <c r="AG69" s="2189"/>
      <c r="AH69" s="2189"/>
      <c r="AI69" s="2189"/>
      <c r="AJ69" s="2189"/>
      <c r="AK69" s="2189"/>
      <c r="AL69" s="2189"/>
      <c r="AM69" s="2189"/>
      <c r="AN69" s="2189"/>
      <c r="AO69" s="1077"/>
    </row>
    <row r="70" spans="2:41" ht="15.75">
      <c r="B70" s="1110" t="s">
        <v>207</v>
      </c>
      <c r="Q70" s="1077"/>
      <c r="R70" s="1077"/>
      <c r="S70" s="1077"/>
      <c r="T70" s="207"/>
      <c r="U70" s="1431"/>
      <c r="V70" s="1431"/>
      <c r="W70" s="1431"/>
      <c r="X70" s="1077"/>
      <c r="Y70" s="207"/>
      <c r="Z70" s="1077"/>
      <c r="AA70" s="1077"/>
      <c r="AB70" s="1077"/>
      <c r="AC70" s="1077"/>
      <c r="AD70" s="1077"/>
      <c r="AE70" s="1077"/>
      <c r="AF70" s="1077"/>
      <c r="AG70" s="1077"/>
      <c r="AH70" s="1077"/>
      <c r="AI70" s="1077"/>
      <c r="AJ70" s="1077"/>
      <c r="AK70" s="1077"/>
      <c r="AL70" s="1077"/>
      <c r="AM70" s="1077"/>
      <c r="AN70" s="1077"/>
      <c r="AO70" s="1077"/>
    </row>
    <row r="71" spans="2:41">
      <c r="B71" s="363">
        <v>1</v>
      </c>
      <c r="C71" s="3415" t="s">
        <v>2725</v>
      </c>
      <c r="Q71" s="1077"/>
      <c r="R71" s="1077"/>
      <c r="S71" s="1077"/>
      <c r="T71" s="3499"/>
      <c r="U71" s="1077"/>
      <c r="V71" s="3494"/>
      <c r="W71" s="3494"/>
      <c r="X71" s="1077"/>
      <c r="Y71" s="1173"/>
      <c r="Z71" s="1077"/>
      <c r="AA71" s="1077"/>
      <c r="AB71" s="1077"/>
      <c r="AC71" s="2189"/>
      <c r="AD71" s="2189"/>
      <c r="AE71" s="2189"/>
      <c r="AF71" s="2189"/>
      <c r="AG71" s="2189"/>
      <c r="AH71" s="2189"/>
      <c r="AI71" s="2189"/>
      <c r="AJ71" s="2189"/>
      <c r="AK71" s="2189"/>
      <c r="AL71" s="2189"/>
      <c r="AM71" s="2189"/>
      <c r="AN71" s="2189"/>
      <c r="AO71" s="1077"/>
    </row>
    <row r="72" spans="2:41">
      <c r="Q72" s="1077"/>
      <c r="R72" s="1077"/>
      <c r="S72" s="1077"/>
      <c r="T72" s="1077"/>
      <c r="U72" s="1077"/>
      <c r="V72" s="3494"/>
      <c r="W72" s="3494"/>
      <c r="X72" s="1077"/>
      <c r="Y72" s="86"/>
      <c r="Z72" s="1077"/>
      <c r="AA72" s="1077"/>
      <c r="AB72" s="1077"/>
      <c r="AC72" s="2189"/>
      <c r="AD72" s="2189"/>
      <c r="AE72" s="2189"/>
      <c r="AF72" s="2189"/>
      <c r="AG72" s="2189"/>
      <c r="AH72" s="2189"/>
      <c r="AI72" s="2189"/>
      <c r="AJ72" s="2189"/>
      <c r="AK72" s="2189"/>
      <c r="AL72" s="2189"/>
      <c r="AM72" s="2189"/>
      <c r="AN72" s="2189"/>
      <c r="AO72" s="1077"/>
    </row>
    <row r="73" spans="2:41">
      <c r="C73" s="363" t="s">
        <v>872</v>
      </c>
      <c r="F73" s="2556">
        <v>2013</v>
      </c>
      <c r="G73" s="2556">
        <v>2015</v>
      </c>
      <c r="H73" s="2556">
        <v>2020</v>
      </c>
      <c r="I73" s="2556">
        <v>2025</v>
      </c>
      <c r="J73" s="2556">
        <v>2030</v>
      </c>
      <c r="K73" s="2556">
        <v>2035</v>
      </c>
      <c r="L73" s="2556">
        <v>2040</v>
      </c>
      <c r="M73" s="2556">
        <v>2045</v>
      </c>
      <c r="N73" s="2556">
        <v>2050</v>
      </c>
      <c r="Q73" s="1077"/>
      <c r="R73" s="1077"/>
      <c r="S73" s="1077"/>
      <c r="T73" s="1077"/>
      <c r="U73" s="1077"/>
      <c r="V73" s="1077"/>
      <c r="W73" s="1077"/>
      <c r="X73" s="1077"/>
      <c r="Y73" s="1173"/>
      <c r="Z73" s="1077"/>
      <c r="AA73" s="1077"/>
      <c r="AB73" s="1077"/>
      <c r="AC73" s="1077"/>
      <c r="AD73" s="1077"/>
      <c r="AE73" s="1077"/>
      <c r="AF73" s="1077"/>
      <c r="AG73" s="1077"/>
      <c r="AH73" s="1077"/>
      <c r="AI73" s="1077"/>
      <c r="AJ73" s="1077"/>
      <c r="AK73" s="1077"/>
      <c r="AL73" s="1077"/>
      <c r="AM73" s="1077"/>
      <c r="AN73" s="1077"/>
      <c r="AO73" s="1077"/>
    </row>
    <row r="74" spans="2:41">
      <c r="B74" s="382" t="s">
        <v>98</v>
      </c>
      <c r="C74" s="2" t="s">
        <v>88</v>
      </c>
      <c r="E74" s="382" t="str">
        <f>Preferences.EnergyUnits</f>
        <v>TWh</v>
      </c>
      <c r="F74" s="2510">
        <f t="shared" ref="F74:N74" si="2">F29</f>
        <v>0.17666666666666667</v>
      </c>
      <c r="G74" s="2510">
        <f t="shared" si="2"/>
        <v>0.25</v>
      </c>
      <c r="H74" s="2510">
        <f t="shared" si="2"/>
        <v>1.4</v>
      </c>
      <c r="I74" s="2510">
        <f t="shared" si="2"/>
        <v>2.46428571428571</v>
      </c>
      <c r="J74" s="2510">
        <f t="shared" si="2"/>
        <v>3.5714285714285698</v>
      </c>
      <c r="K74" s="2510">
        <f t="shared" si="2"/>
        <v>4.6785714285714297</v>
      </c>
      <c r="L74" s="2510">
        <f t="shared" si="2"/>
        <v>5.78571428571429</v>
      </c>
      <c r="M74" s="2510">
        <f t="shared" si="2"/>
        <v>6.8928571428571503</v>
      </c>
      <c r="N74" s="2510">
        <f t="shared" si="2"/>
        <v>8</v>
      </c>
      <c r="Q74" s="1077"/>
      <c r="R74" s="1077"/>
      <c r="S74" s="1077"/>
      <c r="T74" s="1077"/>
      <c r="U74" s="3500"/>
      <c r="V74" s="1077"/>
      <c r="W74" s="1077"/>
      <c r="X74" s="1077"/>
      <c r="Y74" s="1173"/>
      <c r="Z74" s="1077"/>
      <c r="AA74" s="1077"/>
      <c r="AB74" s="1077"/>
      <c r="AC74" s="2496"/>
      <c r="AD74" s="2496"/>
      <c r="AE74" s="2496"/>
      <c r="AF74" s="2496"/>
      <c r="AG74" s="2496"/>
      <c r="AH74" s="2496"/>
      <c r="AI74" s="2496"/>
      <c r="AJ74" s="2496"/>
      <c r="AK74" s="2496"/>
      <c r="AL74" s="2496"/>
      <c r="AM74" s="2496"/>
      <c r="AN74" s="2496"/>
      <c r="AO74" s="1077"/>
    </row>
    <row r="75" spans="2:41">
      <c r="B75" s="382" t="s">
        <v>99</v>
      </c>
      <c r="C75" s="2" t="s">
        <v>89</v>
      </c>
      <c r="E75" s="382" t="str">
        <f>Preferences.EnergyUnits</f>
        <v>TWh</v>
      </c>
      <c r="F75" s="2510">
        <f t="shared" ref="F75:N75" si="3">F38</f>
        <v>0.91876999999999998</v>
      </c>
      <c r="G75" s="2510">
        <f t="shared" si="3"/>
        <v>1.0467</v>
      </c>
      <c r="H75" s="2510">
        <f t="shared" si="3"/>
        <v>1.5119</v>
      </c>
      <c r="I75" s="2510">
        <f t="shared" si="3"/>
        <v>2.4963333333333302</v>
      </c>
      <c r="J75" s="2510">
        <f t="shared" si="3"/>
        <v>3.5970666666666702</v>
      </c>
      <c r="K75" s="2510">
        <f t="shared" si="3"/>
        <v>4.6978</v>
      </c>
      <c r="L75" s="2510">
        <f t="shared" si="3"/>
        <v>5.7985333333333298</v>
      </c>
      <c r="M75" s="2510">
        <f t="shared" si="3"/>
        <v>6.8992666666666702</v>
      </c>
      <c r="N75" s="2510">
        <f t="shared" si="3"/>
        <v>8</v>
      </c>
      <c r="Q75" s="1077"/>
      <c r="R75" s="1077"/>
      <c r="S75" s="1077"/>
      <c r="T75" s="1077"/>
      <c r="U75" s="1077"/>
      <c r="V75" s="1077"/>
      <c r="W75" s="1077"/>
      <c r="X75" s="1077"/>
      <c r="Y75" s="1173"/>
      <c r="Z75" s="1077"/>
      <c r="AA75" s="1077"/>
      <c r="AB75" s="1077"/>
      <c r="AC75" s="1077"/>
      <c r="AD75" s="1077"/>
      <c r="AE75" s="1077"/>
      <c r="AF75" s="1077"/>
      <c r="AG75" s="1077"/>
      <c r="AH75" s="1077"/>
      <c r="AI75" s="1077"/>
      <c r="AJ75" s="1077"/>
      <c r="AK75" s="1077"/>
      <c r="AL75" s="1077"/>
      <c r="AM75" s="1077"/>
      <c r="AN75" s="1077"/>
      <c r="AO75" s="1077"/>
    </row>
    <row r="76" spans="2:41">
      <c r="B76" s="382"/>
      <c r="C76" s="2"/>
      <c r="E76" s="382"/>
      <c r="F76" s="2510"/>
      <c r="G76" s="2510"/>
      <c r="H76" s="2510"/>
      <c r="I76" s="2510"/>
      <c r="J76" s="2510"/>
      <c r="K76" s="2510"/>
      <c r="L76" s="2510"/>
      <c r="M76" s="2510"/>
      <c r="N76" s="2510"/>
      <c r="Q76" s="1077"/>
      <c r="R76" s="1077"/>
      <c r="S76" s="1077"/>
      <c r="T76" s="1077"/>
      <c r="U76" s="1077"/>
      <c r="V76" s="1077"/>
      <c r="W76" s="1077"/>
      <c r="X76" s="1077"/>
      <c r="Y76" s="1173"/>
      <c r="Z76" s="1077"/>
      <c r="AA76" s="1077"/>
      <c r="AB76" s="1077"/>
      <c r="AC76" s="1077"/>
      <c r="AD76" s="3494"/>
      <c r="AE76" s="3494"/>
      <c r="AF76" s="3494"/>
      <c r="AG76" s="3494"/>
      <c r="AH76" s="3494"/>
      <c r="AI76" s="3494"/>
      <c r="AJ76" s="3494"/>
      <c r="AK76" s="3494"/>
      <c r="AL76" s="3494"/>
      <c r="AM76" s="3494"/>
      <c r="AN76" s="3494"/>
      <c r="AO76" s="1077"/>
    </row>
    <row r="77" spans="2:41">
      <c r="B77" s="382"/>
      <c r="C77" s="363" t="s">
        <v>2726</v>
      </c>
      <c r="E77" s="382"/>
      <c r="F77" s="2510"/>
      <c r="G77" s="2510"/>
      <c r="H77" s="2510"/>
      <c r="I77" s="2510"/>
      <c r="J77" s="2510"/>
      <c r="K77" s="2510"/>
      <c r="L77" s="2510"/>
      <c r="M77" s="2510"/>
      <c r="N77" s="2510"/>
      <c r="Q77" s="1077"/>
      <c r="R77" s="1077"/>
      <c r="S77" s="1077"/>
      <c r="T77" s="1077"/>
      <c r="U77" s="1077"/>
      <c r="V77" s="1077"/>
      <c r="W77" s="1077"/>
      <c r="X77" s="1077"/>
      <c r="Y77" s="1077"/>
      <c r="Z77" s="1077"/>
      <c r="AA77" s="1077"/>
      <c r="AB77" s="1077"/>
      <c r="AC77" s="1077"/>
      <c r="AD77" s="1077"/>
      <c r="AE77" s="1077"/>
      <c r="AF77" s="1077"/>
      <c r="AG77" s="1077"/>
      <c r="AH77" s="1077"/>
      <c r="AI77" s="1077"/>
      <c r="AJ77" s="1077"/>
      <c r="AK77" s="1077"/>
      <c r="AL77" s="1077"/>
      <c r="AM77" s="1077"/>
      <c r="AN77" s="1077"/>
      <c r="AO77" s="1077"/>
    </row>
    <row r="78" spans="2:41">
      <c r="B78" s="382" t="s">
        <v>98</v>
      </c>
      <c r="C78" s="2" t="s">
        <v>88</v>
      </c>
      <c r="E78" s="382" t="str">
        <f>Preferences.EnergyUnits</f>
        <v>TWh</v>
      </c>
      <c r="F78" s="2510">
        <f ca="1">MIN(F74, -F15)</f>
        <v>0.17666666666666667</v>
      </c>
      <c r="G78" s="2510">
        <f t="shared" ref="F78:N79" ca="1" si="4">MIN(G74, -G15)</f>
        <v>0.25</v>
      </c>
      <c r="H78" s="2510">
        <f t="shared" ca="1" si="4"/>
        <v>1.4</v>
      </c>
      <c r="I78" s="2510">
        <f t="shared" ca="1" si="4"/>
        <v>-15.380254786704254</v>
      </c>
      <c r="J78" s="2510">
        <f t="shared" ca="1" si="4"/>
        <v>-31.573535256502545</v>
      </c>
      <c r="K78" s="2510">
        <f t="shared" ca="1" si="4"/>
        <v>-28.014659166197479</v>
      </c>
      <c r="L78" s="2510">
        <f t="shared" ca="1" si="4"/>
        <v>-45.394088294146343</v>
      </c>
      <c r="M78" s="2510">
        <f t="shared" ca="1" si="4"/>
        <v>-61.287021708780983</v>
      </c>
      <c r="N78" s="2510">
        <f t="shared" ca="1" si="4"/>
        <v>-77.532154317257508</v>
      </c>
      <c r="Q78" s="1077"/>
      <c r="R78" s="1077"/>
      <c r="S78" s="1077"/>
      <c r="T78" s="1077"/>
      <c r="U78" s="1077"/>
      <c r="V78" s="1077"/>
      <c r="W78" s="1077"/>
      <c r="X78" s="1077"/>
      <c r="Y78" s="1077"/>
      <c r="Z78" s="1077"/>
      <c r="AA78" s="1077"/>
      <c r="AB78" s="1077"/>
      <c r="AC78" s="2189"/>
      <c r="AD78" s="2189"/>
      <c r="AE78" s="2189"/>
      <c r="AF78" s="2189"/>
      <c r="AG78" s="2189"/>
      <c r="AH78" s="2189"/>
      <c r="AI78" s="2189"/>
      <c r="AJ78" s="2189"/>
      <c r="AK78" s="2189"/>
      <c r="AL78" s="2189"/>
      <c r="AM78" s="2189"/>
      <c r="AN78" s="2189"/>
      <c r="AO78" s="1077"/>
    </row>
    <row r="79" spans="2:41">
      <c r="B79" s="382" t="s">
        <v>99</v>
      </c>
      <c r="C79" s="2" t="s">
        <v>89</v>
      </c>
      <c r="E79" s="382" t="str">
        <f>Preferences.EnergyUnits</f>
        <v>TWh</v>
      </c>
      <c r="F79" s="2510">
        <f t="shared" ca="1" si="4"/>
        <v>0.91876999999999998</v>
      </c>
      <c r="G79" s="2510">
        <f t="shared" ca="1" si="4"/>
        <v>1.0467</v>
      </c>
      <c r="H79" s="2510">
        <f t="shared" ca="1" si="4"/>
        <v>1.5119</v>
      </c>
      <c r="I79" s="2510">
        <f t="shared" ca="1" si="4"/>
        <v>2.4963333333333302</v>
      </c>
      <c r="J79" s="2510">
        <f t="shared" ca="1" si="4"/>
        <v>3.5970666666666702</v>
      </c>
      <c r="K79" s="2510">
        <f t="shared" ca="1" si="4"/>
        <v>4.6978</v>
      </c>
      <c r="L79" s="2510">
        <f t="shared" ca="1" si="4"/>
        <v>5.7985333333333298</v>
      </c>
      <c r="M79" s="2510">
        <f t="shared" ca="1" si="4"/>
        <v>6.8992666666666702</v>
      </c>
      <c r="N79" s="2510">
        <f t="shared" ca="1" si="4"/>
        <v>8</v>
      </c>
      <c r="Q79" s="1077"/>
      <c r="R79" s="1077"/>
      <c r="S79" s="1077"/>
      <c r="T79" s="1077"/>
      <c r="U79" s="1077"/>
      <c r="V79" s="1077"/>
      <c r="W79" s="1077"/>
      <c r="X79" s="1077"/>
      <c r="Y79" s="1077"/>
      <c r="Z79" s="1077"/>
      <c r="AA79" s="1077"/>
      <c r="AB79" s="1077"/>
      <c r="AC79" s="1077"/>
      <c r="AD79" s="1077"/>
      <c r="AE79" s="1077"/>
      <c r="AF79" s="1077"/>
      <c r="AG79" s="1077"/>
      <c r="AH79" s="1077"/>
      <c r="AI79" s="1077"/>
      <c r="AJ79" s="1077"/>
      <c r="AK79" s="1077"/>
      <c r="AL79" s="1077"/>
      <c r="AM79" s="1077"/>
      <c r="AN79" s="1077"/>
      <c r="AO79" s="1077"/>
    </row>
    <row r="80" spans="2:41">
      <c r="B80" s="382" t="s">
        <v>100</v>
      </c>
      <c r="C80" s="3415" t="s">
        <v>90</v>
      </c>
      <c r="E80" s="382" t="str">
        <f>Preferences.EnergyUnits</f>
        <v>TWh</v>
      </c>
      <c r="F80" s="2510">
        <f t="shared" ref="F80:N80" ca="1" si="5">MIN(0,-F17)</f>
        <v>0</v>
      </c>
      <c r="G80" s="2510">
        <f t="shared" ca="1" si="5"/>
        <v>0</v>
      </c>
      <c r="H80" s="2510">
        <f t="shared" ca="1" si="5"/>
        <v>0</v>
      </c>
      <c r="I80" s="2510">
        <f t="shared" ca="1" si="5"/>
        <v>0</v>
      </c>
      <c r="J80" s="2510">
        <f t="shared" ca="1" si="5"/>
        <v>0</v>
      </c>
      <c r="K80" s="2510">
        <f t="shared" ca="1" si="5"/>
        <v>0</v>
      </c>
      <c r="L80" s="2510">
        <f t="shared" ca="1" si="5"/>
        <v>0</v>
      </c>
      <c r="M80" s="2510">
        <f t="shared" ca="1" si="5"/>
        <v>0</v>
      </c>
      <c r="N80" s="2510">
        <f t="shared" ca="1" si="5"/>
        <v>0</v>
      </c>
      <c r="Q80" s="1077"/>
      <c r="R80" s="1077"/>
      <c r="S80" s="1077"/>
      <c r="T80" s="1077"/>
      <c r="U80" s="1077"/>
      <c r="V80" s="1077"/>
      <c r="W80" s="1077"/>
      <c r="X80" s="1077"/>
      <c r="Y80" s="1077"/>
      <c r="Z80" s="1077"/>
      <c r="AA80" s="1077"/>
      <c r="AB80" s="1077"/>
      <c r="AC80" s="1077"/>
      <c r="AD80" s="1077"/>
      <c r="AE80" s="1077"/>
      <c r="AF80" s="1077"/>
      <c r="AG80" s="1077"/>
      <c r="AH80" s="1077"/>
      <c r="AI80" s="1077"/>
      <c r="AJ80" s="1077"/>
      <c r="AK80" s="1077"/>
      <c r="AL80" s="1077"/>
      <c r="AM80" s="1077"/>
      <c r="AN80" s="1077"/>
      <c r="AO80" s="1077"/>
    </row>
    <row r="81" spans="2:14">
      <c r="B81" s="382"/>
      <c r="E81" s="382"/>
      <c r="F81" s="2510"/>
      <c r="G81" s="2510"/>
      <c r="H81" s="2510"/>
      <c r="I81" s="2510"/>
      <c r="J81" s="2510"/>
      <c r="K81" s="2510"/>
      <c r="L81" s="2510"/>
      <c r="M81" s="2510"/>
      <c r="N81" s="2510"/>
    </row>
    <row r="82" spans="2:14">
      <c r="B82" s="382"/>
      <c r="C82" s="363" t="s">
        <v>2775</v>
      </c>
      <c r="E82" s="382"/>
      <c r="F82" s="2510"/>
      <c r="G82" s="2510"/>
      <c r="H82" s="2510"/>
      <c r="I82" s="2510"/>
      <c r="J82" s="2510"/>
      <c r="K82" s="2510"/>
      <c r="L82" s="2510"/>
      <c r="M82" s="2510"/>
      <c r="N82" s="2510"/>
    </row>
    <row r="83" spans="2:14">
      <c r="B83" s="382" t="s">
        <v>98</v>
      </c>
      <c r="C83" s="2" t="s">
        <v>88</v>
      </c>
      <c r="E83" s="382" t="str">
        <f>Preferences.EnergyUnits</f>
        <v>TWh</v>
      </c>
      <c r="F83" s="2510">
        <f t="shared" ref="F83:N85" ca="1" si="6">IF((MIN(F78, -F15)&gt;0),MIN(F78, -F15),0)</f>
        <v>0.17666666666666667</v>
      </c>
      <c r="G83" s="2510">
        <f t="shared" ca="1" si="6"/>
        <v>0.25</v>
      </c>
      <c r="H83" s="2510">
        <f t="shared" ca="1" si="6"/>
        <v>1.4</v>
      </c>
      <c r="I83" s="2510">
        <f t="shared" ca="1" si="6"/>
        <v>0</v>
      </c>
      <c r="J83" s="2510">
        <f t="shared" ca="1" si="6"/>
        <v>0</v>
      </c>
      <c r="K83" s="2510">
        <f t="shared" ca="1" si="6"/>
        <v>0</v>
      </c>
      <c r="L83" s="2510">
        <f t="shared" ca="1" si="6"/>
        <v>0</v>
      </c>
      <c r="M83" s="2510">
        <f t="shared" ca="1" si="6"/>
        <v>0</v>
      </c>
      <c r="N83" s="2510">
        <f t="shared" ca="1" si="6"/>
        <v>0</v>
      </c>
    </row>
    <row r="84" spans="2:14">
      <c r="B84" s="382" t="s">
        <v>99</v>
      </c>
      <c r="C84" s="2" t="s">
        <v>89</v>
      </c>
      <c r="E84" s="382" t="str">
        <f>Preferences.EnergyUnits</f>
        <v>TWh</v>
      </c>
      <c r="F84" s="2510">
        <f t="shared" ca="1" si="6"/>
        <v>0.91876999999999998</v>
      </c>
      <c r="G84" s="2510">
        <f t="shared" ca="1" si="6"/>
        <v>1.0467</v>
      </c>
      <c r="H84" s="2510">
        <f t="shared" ca="1" si="6"/>
        <v>1.5119</v>
      </c>
      <c r="I84" s="2510">
        <f t="shared" ca="1" si="6"/>
        <v>2.4963333333333302</v>
      </c>
      <c r="J84" s="2510">
        <f t="shared" ca="1" si="6"/>
        <v>3.5970666666666702</v>
      </c>
      <c r="K84" s="2510">
        <f t="shared" ca="1" si="6"/>
        <v>4.6978</v>
      </c>
      <c r="L84" s="2510">
        <f t="shared" ca="1" si="6"/>
        <v>5.7985333333333298</v>
      </c>
      <c r="M84" s="2510">
        <f t="shared" ca="1" si="6"/>
        <v>6.8992666666666702</v>
      </c>
      <c r="N84" s="2510">
        <f t="shared" ca="1" si="6"/>
        <v>8</v>
      </c>
    </row>
    <row r="85" spans="2:14">
      <c r="B85" s="382" t="s">
        <v>100</v>
      </c>
      <c r="C85" s="3415" t="s">
        <v>90</v>
      </c>
      <c r="E85" s="382" t="str">
        <f>Preferences.EnergyUnits</f>
        <v>TWh</v>
      </c>
      <c r="F85" s="2510">
        <f t="shared" ca="1" si="6"/>
        <v>0</v>
      </c>
      <c r="G85" s="2510">
        <f t="shared" ca="1" si="6"/>
        <v>0</v>
      </c>
      <c r="H85" s="2510">
        <f t="shared" ca="1" si="6"/>
        <v>0</v>
      </c>
      <c r="I85" s="2510">
        <f t="shared" ca="1" si="6"/>
        <v>0</v>
      </c>
      <c r="J85" s="2510">
        <f t="shared" ca="1" si="6"/>
        <v>0</v>
      </c>
      <c r="K85" s="2510">
        <f t="shared" ca="1" si="6"/>
        <v>0</v>
      </c>
      <c r="L85" s="2510">
        <f t="shared" ca="1" si="6"/>
        <v>0</v>
      </c>
      <c r="M85" s="2510">
        <f t="shared" ca="1" si="6"/>
        <v>0</v>
      </c>
      <c r="N85" s="2510">
        <f t="shared" ca="1" si="6"/>
        <v>0</v>
      </c>
    </row>
    <row r="86" spans="2:14">
      <c r="B86" s="382"/>
      <c r="C86" s="2"/>
      <c r="D86" s="3415" t="s">
        <v>5</v>
      </c>
      <c r="F86" s="2511"/>
      <c r="G86" s="2511"/>
      <c r="H86" s="2511"/>
      <c r="I86" s="2511"/>
      <c r="J86" s="2511"/>
      <c r="K86" s="2511"/>
      <c r="L86" s="2511"/>
      <c r="M86" s="2511"/>
      <c r="N86" s="2511"/>
    </row>
    <row r="87" spans="2:14">
      <c r="B87" s="3415">
        <v>2</v>
      </c>
      <c r="C87" s="363" t="s">
        <v>2150</v>
      </c>
      <c r="E87" s="382" t="s">
        <v>254</v>
      </c>
      <c r="F87" s="2167">
        <f t="array" aca="1" ref="F87" ca="1">SUM(F$83:F$84*SUMIFS(EF[CO2],EF[Vector], $B$83:$B$84))</f>
        <v>0.30209165159999996</v>
      </c>
      <c r="G87" s="2167">
        <f t="array" aca="1" ref="G87" ca="1">SUM(G$83:G$84*SUMIFS(EF[CO2],EF[Vector], $B$83:$B$84))</f>
        <v>0.36060879599999995</v>
      </c>
      <c r="H87" s="2167">
        <f t="array" aca="1" ref="H87" ca="1">SUM(H$83:H$84*SUMIFS(EF[CO2],EF[Vector], $B$83:$B$84))</f>
        <v>0.87163153199999999</v>
      </c>
      <c r="I87" s="2167">
        <f t="array" aca="1" ref="I87" ca="1">SUM(I$83:I$84*SUMIFS(EF[CO2],EF[Vector], $B$83:$B$84))</f>
        <v>0.65873243999999909</v>
      </c>
      <c r="J87" s="2167">
        <f t="array" aca="1" ref="J87" ca="1">SUM(J$83:J$84*SUMIFS(EF[CO2],EF[Vector], $B$83:$B$84))</f>
        <v>0.94919395200000078</v>
      </c>
      <c r="K87" s="2167">
        <f t="array" aca="1" ref="K87" ca="1">SUM(K$83:K$84*SUMIFS(EF[CO2],EF[Vector], $B$83:$B$84))</f>
        <v>1.2396554639999997</v>
      </c>
      <c r="L87" s="2167">
        <f t="array" aca="1" ref="L87" ca="1">SUM(L$83:L$84*SUMIFS(EF[CO2],EF[Vector], $B$83:$B$84))</f>
        <v>1.5301169759999989</v>
      </c>
      <c r="M87" s="2167">
        <f t="array" aca="1" ref="M87" ca="1">SUM(M$83:M$84*SUMIFS(EF[CO2],EF[Vector], $B$83:$B$84))</f>
        <v>1.8205784880000007</v>
      </c>
      <c r="N87" s="2167">
        <f t="array" aca="1" ref="N87" ca="1">SUM(N$83:N$84*SUMIFS(EF[CO2],EF[Vector], $B$83:$B$84))</f>
        <v>2.1110399999999996</v>
      </c>
    </row>
    <row r="88" spans="2:14">
      <c r="C88" s="363"/>
      <c r="E88" s="382"/>
      <c r="F88" s="2167"/>
      <c r="G88" s="2167"/>
      <c r="H88" s="2167"/>
      <c r="I88" s="2167"/>
      <c r="J88" s="2167"/>
      <c r="K88" s="2167"/>
      <c r="L88" s="2167"/>
      <c r="M88" s="2167"/>
      <c r="N88" s="2167"/>
    </row>
    <row r="89" spans="2:14">
      <c r="C89" s="2" t="s">
        <v>2727</v>
      </c>
      <c r="E89" s="382" t="str">
        <f>Preferences.AreaUnits</f>
        <v>km^2</v>
      </c>
      <c r="F89" s="2445">
        <f ca="1">SUM(F78:F80)*Conversion.to.average.power/$F$43</f>
        <v>208.27375972824288</v>
      </c>
      <c r="G89" s="2445">
        <f t="shared" ref="G89:N89" ca="1" si="7">SUM(G78:G80)*Conversion.to.average.power/$F$43</f>
        <v>246.53966081070794</v>
      </c>
      <c r="H89" s="2445">
        <f t="shared" ca="1" si="7"/>
        <v>553.63525743402522</v>
      </c>
      <c r="I89" s="2445">
        <f t="shared" ca="1" si="7"/>
        <v>-2449.6010064208153</v>
      </c>
      <c r="J89" s="2445">
        <f t="shared" ca="1" si="7"/>
        <v>-5319.1247604068494</v>
      </c>
      <c r="K89" s="2445">
        <f t="shared" ca="1" si="7"/>
        <v>-4433.200084834868</v>
      </c>
      <c r="L89" s="2445">
        <f t="shared" ca="1" si="7"/>
        <v>-7528.2445358607119</v>
      </c>
      <c r="M89" s="2445">
        <f t="shared" ca="1" si="7"/>
        <v>-10340.663746694483</v>
      </c>
      <c r="N89" s="2445">
        <f t="shared" ca="1" si="7"/>
        <v>-13220.046071423205</v>
      </c>
    </row>
    <row r="90" spans="2:14">
      <c r="C90" s="2"/>
      <c r="E90" s="382"/>
      <c r="F90" s="2445"/>
      <c r="G90" s="2445"/>
      <c r="H90" s="2445"/>
      <c r="I90" s="2445"/>
      <c r="J90" s="2445"/>
      <c r="K90" s="2445"/>
      <c r="L90" s="2445"/>
      <c r="M90" s="2445"/>
      <c r="N90" s="2445"/>
    </row>
    <row r="91" spans="2:14">
      <c r="B91" s="363">
        <v>3</v>
      </c>
      <c r="C91" s="363" t="s">
        <v>2795</v>
      </c>
      <c r="E91" s="382"/>
      <c r="H91" s="3580" t="s">
        <v>5</v>
      </c>
    </row>
    <row r="92" spans="2:14" hidden="1">
      <c r="B92" s="363"/>
      <c r="E92" s="382"/>
    </row>
    <row r="93" spans="2:14" hidden="1">
      <c r="B93" s="3415" t="s">
        <v>293</v>
      </c>
      <c r="F93" s="2515"/>
      <c r="G93" s="2515"/>
      <c r="H93" s="2515"/>
      <c r="I93" s="2515"/>
      <c r="J93" s="2515"/>
      <c r="K93" s="2515"/>
      <c r="L93" s="2515"/>
      <c r="M93" s="2515"/>
      <c r="N93" s="2515"/>
    </row>
    <row r="94" spans="2:14" hidden="1">
      <c r="C94" s="3415" t="s">
        <v>294</v>
      </c>
      <c r="E94" s="3611" t="s">
        <v>2812</v>
      </c>
      <c r="F94" s="2515"/>
      <c r="G94" s="2515"/>
      <c r="H94" s="2515"/>
      <c r="I94" s="2515"/>
      <c r="J94" s="2515"/>
      <c r="K94" s="2515"/>
      <c r="L94" s="2515"/>
      <c r="M94" s="2515"/>
      <c r="N94" s="2515"/>
    </row>
    <row r="95" spans="2:14" hidden="1"/>
    <row r="96" spans="2:14" hidden="1">
      <c r="B96" s="3415" t="s">
        <v>295</v>
      </c>
      <c r="F96" s="2515"/>
      <c r="G96" s="2515"/>
      <c r="H96" s="2515"/>
      <c r="I96" s="2515"/>
      <c r="J96" s="2515"/>
      <c r="K96" s="2515"/>
      <c r="L96" s="2515"/>
      <c r="M96" s="2515"/>
      <c r="N96" s="2515"/>
    </row>
    <row r="97" spans="1:24" hidden="1">
      <c r="C97" s="3415" t="s">
        <v>294</v>
      </c>
      <c r="E97" s="3611" t="s">
        <v>2812</v>
      </c>
      <c r="F97" s="2515"/>
      <c r="G97" s="2515"/>
      <c r="H97" s="2515"/>
      <c r="I97" s="2515"/>
      <c r="J97" s="2515"/>
      <c r="K97" s="2515"/>
      <c r="L97" s="2515"/>
      <c r="M97" s="2515"/>
      <c r="N97" s="2515"/>
    </row>
    <row r="98" spans="1:24" hidden="1"/>
    <row r="99" spans="1:24" hidden="1">
      <c r="B99" s="3415" t="s">
        <v>296</v>
      </c>
      <c r="F99" s="2515"/>
      <c r="G99" s="2515"/>
      <c r="H99" s="2515"/>
      <c r="I99" s="2515"/>
      <c r="J99" s="2515"/>
      <c r="K99" s="2515"/>
      <c r="L99" s="2515"/>
      <c r="M99" s="2515"/>
      <c r="N99" s="2515"/>
    </row>
    <row r="100" spans="1:24" hidden="1">
      <c r="C100" s="3415" t="s">
        <v>294</v>
      </c>
      <c r="E100" s="3611" t="s">
        <v>2812</v>
      </c>
      <c r="F100" s="2515"/>
      <c r="G100" s="2515"/>
      <c r="H100" s="2515"/>
      <c r="I100" s="2515"/>
      <c r="J100" s="2515"/>
      <c r="K100" s="2515"/>
      <c r="L100" s="2515"/>
      <c r="M100" s="2515"/>
      <c r="N100" s="2515"/>
    </row>
    <row r="101" spans="1:24" ht="23.25">
      <c r="A101" s="7"/>
    </row>
    <row r="102" spans="1:24" ht="15.75">
      <c r="B102" s="511" t="s">
        <v>299</v>
      </c>
      <c r="C102" s="512"/>
      <c r="D102" s="512"/>
      <c r="E102" s="512"/>
      <c r="F102" s="512"/>
      <c r="G102" s="512"/>
      <c r="H102" s="512"/>
      <c r="I102" s="512"/>
      <c r="J102" s="512"/>
      <c r="K102" s="512"/>
      <c r="L102" s="512"/>
      <c r="M102" s="512"/>
      <c r="N102" s="512"/>
      <c r="O102" s="866"/>
    </row>
    <row r="103" spans="1:24">
      <c r="B103" s="514"/>
      <c r="C103" s="515"/>
      <c r="D103" s="515"/>
      <c r="E103" s="515"/>
      <c r="F103" s="515"/>
      <c r="G103" s="515"/>
      <c r="H103" s="515"/>
      <c r="I103" s="515"/>
      <c r="J103" s="515"/>
      <c r="K103" s="515"/>
      <c r="L103" s="515"/>
      <c r="M103" s="515"/>
      <c r="N103" s="515"/>
      <c r="O103" s="867"/>
    </row>
    <row r="104" spans="1:24">
      <c r="B104" s="514"/>
      <c r="C104" s="34" t="s">
        <v>765</v>
      </c>
      <c r="D104" s="515"/>
      <c r="E104" s="516"/>
      <c r="F104" s="515"/>
      <c r="G104" s="515"/>
      <c r="H104" s="515"/>
      <c r="I104" s="515"/>
      <c r="J104" s="515"/>
      <c r="K104" s="515"/>
      <c r="L104" s="515"/>
      <c r="M104" s="515"/>
      <c r="N104" s="516" t="str">
        <f>Preferences.EnergyUnits</f>
        <v>TWh</v>
      </c>
      <c r="O104" s="867"/>
    </row>
    <row r="105" spans="1:24">
      <c r="B105" s="514"/>
      <c r="C105" s="515"/>
      <c r="D105" s="515"/>
      <c r="E105" s="515"/>
      <c r="F105" s="515"/>
      <c r="G105" s="515"/>
      <c r="H105" s="515"/>
      <c r="I105" s="515"/>
      <c r="J105" s="515"/>
      <c r="K105" s="515"/>
      <c r="L105" s="515"/>
      <c r="M105" s="515"/>
      <c r="N105" s="515"/>
      <c r="O105" s="867"/>
    </row>
    <row r="106" spans="1:24" ht="15.75">
      <c r="B106" s="15"/>
      <c r="C106" s="873" t="s">
        <v>28</v>
      </c>
      <c r="D106" s="873" t="s">
        <v>29</v>
      </c>
      <c r="E106" s="873" t="s">
        <v>30</v>
      </c>
      <c r="F106" s="873" t="s">
        <v>597</v>
      </c>
      <c r="G106" s="873" t="s">
        <v>133</v>
      </c>
      <c r="H106" s="873" t="s">
        <v>134</v>
      </c>
      <c r="I106" s="873" t="s">
        <v>135</v>
      </c>
      <c r="J106" s="873" t="s">
        <v>136</v>
      </c>
      <c r="K106" s="873" t="s">
        <v>137</v>
      </c>
      <c r="L106" s="873" t="s">
        <v>138</v>
      </c>
      <c r="M106" s="873" t="s">
        <v>139</v>
      </c>
      <c r="N106" s="873" t="s">
        <v>140</v>
      </c>
      <c r="O106" s="867"/>
    </row>
    <row r="107" spans="1:24" ht="15.75">
      <c r="B107" s="15"/>
      <c r="C107" s="17" t="s">
        <v>98</v>
      </c>
      <c r="D107" s="17" t="s">
        <v>88</v>
      </c>
      <c r="E107" s="17"/>
      <c r="F107" s="2521">
        <f t="shared" ref="F107:N109" ca="1" si="8">F78</f>
        <v>0.17666666666666667</v>
      </c>
      <c r="G107" s="2521">
        <f t="shared" ca="1" si="8"/>
        <v>0.25</v>
      </c>
      <c r="H107" s="2521">
        <f t="shared" ca="1" si="8"/>
        <v>1.4</v>
      </c>
      <c r="I107" s="2521">
        <f t="shared" ca="1" si="8"/>
        <v>-15.380254786704254</v>
      </c>
      <c r="J107" s="2521">
        <f t="shared" ca="1" si="8"/>
        <v>-31.573535256502545</v>
      </c>
      <c r="K107" s="2521">
        <f t="shared" ca="1" si="8"/>
        <v>-28.014659166197479</v>
      </c>
      <c r="L107" s="2521">
        <f t="shared" ca="1" si="8"/>
        <v>-45.394088294146343</v>
      </c>
      <c r="M107" s="2521">
        <f t="shared" ca="1" si="8"/>
        <v>-61.287021708780983</v>
      </c>
      <c r="N107" s="2521">
        <f t="shared" ca="1" si="8"/>
        <v>-77.532154317257508</v>
      </c>
      <c r="O107" s="867"/>
    </row>
    <row r="108" spans="1:24" ht="15.75">
      <c r="B108" s="15"/>
      <c r="C108" s="17" t="s">
        <v>99</v>
      </c>
      <c r="D108" s="17" t="s">
        <v>89</v>
      </c>
      <c r="E108" s="17"/>
      <c r="F108" s="2521">
        <f t="shared" ca="1" si="8"/>
        <v>0.91876999999999998</v>
      </c>
      <c r="G108" s="2521">
        <f t="shared" ca="1" si="8"/>
        <v>1.0467</v>
      </c>
      <c r="H108" s="2521">
        <f t="shared" ca="1" si="8"/>
        <v>1.5119</v>
      </c>
      <c r="I108" s="2521">
        <f t="shared" ca="1" si="8"/>
        <v>2.4963333333333302</v>
      </c>
      <c r="J108" s="2521">
        <f t="shared" ca="1" si="8"/>
        <v>3.5970666666666702</v>
      </c>
      <c r="K108" s="2521">
        <f t="shared" ca="1" si="8"/>
        <v>4.6978</v>
      </c>
      <c r="L108" s="2521">
        <f t="shared" ca="1" si="8"/>
        <v>5.7985333333333298</v>
      </c>
      <c r="M108" s="2521">
        <f t="shared" ca="1" si="8"/>
        <v>6.8992666666666702</v>
      </c>
      <c r="N108" s="2521">
        <f t="shared" ca="1" si="8"/>
        <v>8</v>
      </c>
      <c r="O108" s="867"/>
    </row>
    <row r="109" spans="1:24" ht="15.75">
      <c r="B109" s="15"/>
      <c r="C109" s="17" t="s">
        <v>100</v>
      </c>
      <c r="D109" s="17" t="s">
        <v>90</v>
      </c>
      <c r="E109" s="17"/>
      <c r="F109" s="2521">
        <f t="shared" ca="1" si="8"/>
        <v>0</v>
      </c>
      <c r="G109" s="2521">
        <f t="shared" ca="1" si="8"/>
        <v>0</v>
      </c>
      <c r="H109" s="2521">
        <f t="shared" ca="1" si="8"/>
        <v>0</v>
      </c>
      <c r="I109" s="2521">
        <f t="shared" ca="1" si="8"/>
        <v>0</v>
      </c>
      <c r="J109" s="2521">
        <f t="shared" ca="1" si="8"/>
        <v>0</v>
      </c>
      <c r="K109" s="2521">
        <f t="shared" ca="1" si="8"/>
        <v>0</v>
      </c>
      <c r="L109" s="2521">
        <f t="shared" ca="1" si="8"/>
        <v>0</v>
      </c>
      <c r="M109" s="2521">
        <f t="shared" ca="1" si="8"/>
        <v>0</v>
      </c>
      <c r="N109" s="2521">
        <f t="shared" ca="1" si="8"/>
        <v>0</v>
      </c>
      <c r="O109" s="867"/>
    </row>
    <row r="110" spans="1:24" ht="15.75">
      <c r="B110" s="15"/>
      <c r="C110" s="17" t="s">
        <v>439</v>
      </c>
      <c r="D110" s="17" t="s">
        <v>390</v>
      </c>
      <c r="E110" s="17"/>
      <c r="F110" s="2521">
        <f t="shared" ref="F110:N110" ca="1" si="9">-(F78+F79+F80)</f>
        <v>-1.0954366666666666</v>
      </c>
      <c r="G110" s="2521">
        <f t="shared" ca="1" si="9"/>
        <v>-1.2967</v>
      </c>
      <c r="H110" s="2521">
        <f t="shared" ca="1" si="9"/>
        <v>-2.9119000000000002</v>
      </c>
      <c r="I110" s="2521">
        <f t="shared" ca="1" si="9"/>
        <v>12.883921453370924</v>
      </c>
      <c r="J110" s="2521">
        <f t="shared" ca="1" si="9"/>
        <v>27.976468589835875</v>
      </c>
      <c r="K110" s="2521">
        <f t="shared" ca="1" si="9"/>
        <v>23.316859166197478</v>
      </c>
      <c r="L110" s="2521">
        <f t="shared" ca="1" si="9"/>
        <v>39.595554960813011</v>
      </c>
      <c r="M110" s="2521">
        <f t="shared" ca="1" si="9"/>
        <v>54.387755042114314</v>
      </c>
      <c r="N110" s="2521">
        <f t="shared" ca="1" si="9"/>
        <v>69.532154317257508</v>
      </c>
      <c r="O110" s="867"/>
    </row>
    <row r="111" spans="1:24" ht="15.75">
      <c r="B111" s="15"/>
      <c r="C111" s="2462" t="s">
        <v>59</v>
      </c>
      <c r="D111" s="2462"/>
      <c r="E111" s="2462"/>
      <c r="F111" s="2465">
        <f ca="1">SUBTOTAL(109,[2013])</f>
        <v>0</v>
      </c>
      <c r="G111" s="2465">
        <f ca="1">SUBTOTAL(109,[2015])</f>
        <v>0</v>
      </c>
      <c r="H111" s="2465">
        <f ca="1">SUBTOTAL(109,[2020])</f>
        <v>0</v>
      </c>
      <c r="I111" s="2465">
        <f ca="1">SUBTOTAL(109,[2025])</f>
        <v>0</v>
      </c>
      <c r="J111" s="2465">
        <f ca="1">SUBTOTAL(109,[2030])</f>
        <v>0</v>
      </c>
      <c r="K111" s="2465">
        <f ca="1">SUBTOTAL(109,[2035])</f>
        <v>0</v>
      </c>
      <c r="L111" s="2465">
        <f ca="1">SUBTOTAL(109,[2040])</f>
        <v>0</v>
      </c>
      <c r="M111" s="2465">
        <f ca="1">SUBTOTAL(109,[2045])</f>
        <v>0</v>
      </c>
      <c r="N111" s="2465">
        <f ca="1">SUBTOTAL(109,[2050])</f>
        <v>0</v>
      </c>
      <c r="O111" s="867"/>
      <c r="R111" s="1077"/>
      <c r="S111" s="1077"/>
      <c r="T111" s="1077"/>
      <c r="U111" s="1077"/>
      <c r="V111" s="1077"/>
      <c r="W111" s="1077"/>
      <c r="X111" s="1077"/>
    </row>
    <row r="112" spans="1:24" ht="15.75">
      <c r="B112" s="35"/>
      <c r="C112" s="452"/>
      <c r="D112" s="452"/>
      <c r="E112" s="452"/>
      <c r="F112" s="452"/>
      <c r="G112" s="452"/>
      <c r="H112" s="452"/>
      <c r="I112" s="452"/>
      <c r="J112" s="452"/>
      <c r="K112" s="452"/>
      <c r="L112" s="452"/>
      <c r="M112" s="452"/>
      <c r="N112" s="452"/>
      <c r="O112" s="515"/>
      <c r="R112" s="1077"/>
      <c r="S112" s="1077"/>
      <c r="T112" s="1077"/>
      <c r="U112" s="1077"/>
      <c r="V112" s="1077"/>
      <c r="W112" s="1077"/>
      <c r="X112" s="1077"/>
    </row>
    <row r="113" spans="1:24" ht="15.75">
      <c r="A113" s="443"/>
      <c r="R113" s="1077"/>
      <c r="S113" s="1077"/>
      <c r="T113" s="1077"/>
      <c r="U113" s="1077"/>
      <c r="V113" s="1077"/>
      <c r="W113" s="1077"/>
      <c r="X113" s="1077"/>
    </row>
    <row r="114" spans="1:24" ht="15.75">
      <c r="A114" s="443"/>
      <c r="B114" s="1127" t="s">
        <v>303</v>
      </c>
      <c r="C114" s="1128"/>
      <c r="D114" s="1129"/>
      <c r="E114" s="1129"/>
      <c r="F114" s="1129"/>
      <c r="G114" s="1129"/>
      <c r="H114" s="1129"/>
      <c r="I114" s="1129"/>
      <c r="J114" s="1129"/>
      <c r="K114" s="1129"/>
      <c r="L114" s="1129"/>
      <c r="M114" s="1129"/>
      <c r="N114" s="1129"/>
      <c r="O114" s="1130"/>
      <c r="R114" s="1077"/>
      <c r="S114" s="1077"/>
      <c r="T114" s="1077"/>
      <c r="U114" s="1077"/>
      <c r="V114" s="1077"/>
      <c r="W114" s="1077"/>
      <c r="X114" s="1077"/>
    </row>
    <row r="115" spans="1:24" ht="15.75">
      <c r="A115" s="443"/>
      <c r="B115" s="1131"/>
      <c r="C115" s="1132"/>
      <c r="D115" s="1132"/>
      <c r="E115" s="1132"/>
      <c r="F115" s="1132"/>
      <c r="G115" s="1132"/>
      <c r="H115" s="1132"/>
      <c r="I115" s="1132"/>
      <c r="J115" s="1132"/>
      <c r="K115" s="1132"/>
      <c r="L115" s="1132"/>
      <c r="M115" s="1132"/>
      <c r="N115" s="1132"/>
      <c r="O115" s="1133"/>
      <c r="R115" s="1077"/>
      <c r="S115" s="1077"/>
      <c r="T115" s="656"/>
      <c r="U115" s="1077"/>
      <c r="V115" s="1077"/>
      <c r="W115" s="1077"/>
      <c r="X115" s="1077"/>
    </row>
    <row r="116" spans="1:24" ht="15.75">
      <c r="A116" s="443"/>
      <c r="B116" s="1134"/>
      <c r="C116" s="462" t="s">
        <v>1349</v>
      </c>
      <c r="D116" s="1135"/>
      <c r="E116" s="1136"/>
      <c r="F116" s="1135"/>
      <c r="G116" s="1135"/>
      <c r="H116" s="1135"/>
      <c r="I116" s="1135"/>
      <c r="J116" s="1135"/>
      <c r="K116" s="1135"/>
      <c r="L116" s="1135"/>
      <c r="M116" s="1135"/>
      <c r="N116" s="1136" t="s">
        <v>254</v>
      </c>
      <c r="O116" s="1138"/>
      <c r="R116" s="1077"/>
      <c r="S116" s="1077"/>
      <c r="T116" s="656"/>
      <c r="U116" s="1077"/>
      <c r="V116" s="1077"/>
      <c r="W116" s="1077"/>
      <c r="X116" s="1077"/>
    </row>
    <row r="117" spans="1:24" ht="15.75">
      <c r="A117" s="443"/>
      <c r="B117" s="1134"/>
      <c r="C117" s="1135"/>
      <c r="D117" s="1135"/>
      <c r="E117" s="1135"/>
      <c r="F117" s="1135"/>
      <c r="G117" s="1135"/>
      <c r="H117" s="1135"/>
      <c r="I117" s="1135"/>
      <c r="J117" s="1135"/>
      <c r="K117" s="1135"/>
      <c r="L117" s="1135"/>
      <c r="M117" s="1135"/>
      <c r="N117" s="1135"/>
      <c r="O117" s="1138"/>
      <c r="R117" s="1077"/>
      <c r="S117" s="1077"/>
      <c r="T117" s="656"/>
      <c r="U117" s="1077"/>
      <c r="V117" s="1077"/>
      <c r="W117" s="1077"/>
      <c r="X117" s="1077"/>
    </row>
    <row r="118" spans="1:24" ht="15.75">
      <c r="A118" s="443"/>
      <c r="B118" s="467"/>
      <c r="C118" s="1339" t="s">
        <v>305</v>
      </c>
      <c r="D118" s="1339" t="s">
        <v>306</v>
      </c>
      <c r="E118" s="1339" t="s">
        <v>30</v>
      </c>
      <c r="F118" s="1339" t="s">
        <v>597</v>
      </c>
      <c r="G118" s="1339" t="s">
        <v>133</v>
      </c>
      <c r="H118" s="1339" t="s">
        <v>134</v>
      </c>
      <c r="I118" s="1339" t="s">
        <v>135</v>
      </c>
      <c r="J118" s="1339" t="s">
        <v>136</v>
      </c>
      <c r="K118" s="1339" t="s">
        <v>137</v>
      </c>
      <c r="L118" s="1339" t="s">
        <v>138</v>
      </c>
      <c r="M118" s="1339" t="s">
        <v>139</v>
      </c>
      <c r="N118" s="1339" t="s">
        <v>140</v>
      </c>
      <c r="O118" s="1138"/>
      <c r="R118" s="1077"/>
      <c r="S118" s="1077"/>
      <c r="T118" s="656"/>
      <c r="U118" s="1077"/>
      <c r="V118" s="1077"/>
      <c r="W118" s="1077"/>
      <c r="X118" s="1077"/>
    </row>
    <row r="119" spans="1:24" ht="15.75">
      <c r="A119" s="443"/>
      <c r="B119" s="467"/>
      <c r="C119" s="1139" t="s">
        <v>253</v>
      </c>
      <c r="D119" s="2665" t="s">
        <v>458</v>
      </c>
      <c r="E119" s="1139" t="s">
        <v>413</v>
      </c>
      <c r="F119" s="3501">
        <f t="shared" ref="F119:N119" ca="1" si="10">-F87</f>
        <v>-0.30209165159999996</v>
      </c>
      <c r="G119" s="3501">
        <f t="shared" ca="1" si="10"/>
        <v>-0.36060879599999995</v>
      </c>
      <c r="H119" s="3501">
        <f t="shared" ca="1" si="10"/>
        <v>-0.87163153199999999</v>
      </c>
      <c r="I119" s="3501">
        <f t="shared" ca="1" si="10"/>
        <v>-0.65873243999999909</v>
      </c>
      <c r="J119" s="3501">
        <f t="shared" ca="1" si="10"/>
        <v>-0.94919395200000078</v>
      </c>
      <c r="K119" s="3501">
        <f t="shared" ca="1" si="10"/>
        <v>-1.2396554639999997</v>
      </c>
      <c r="L119" s="3501">
        <f t="shared" ca="1" si="10"/>
        <v>-1.5301169759999989</v>
      </c>
      <c r="M119" s="3501">
        <f t="shared" ca="1" si="10"/>
        <v>-1.8205784880000007</v>
      </c>
      <c r="N119" s="3501">
        <f t="shared" ca="1" si="10"/>
        <v>-2.1110399999999996</v>
      </c>
      <c r="O119" s="1138"/>
      <c r="R119" s="1077"/>
      <c r="S119" s="1077"/>
      <c r="T119" s="1077"/>
      <c r="U119" s="1077"/>
      <c r="V119" s="1077"/>
      <c r="W119" s="1077"/>
      <c r="X119" s="1077"/>
    </row>
    <row r="120" spans="1:24" ht="15.75">
      <c r="B120" s="467"/>
      <c r="C120" s="3505" t="s">
        <v>59</v>
      </c>
      <c r="D120" s="2682"/>
      <c r="E120" s="3505"/>
      <c r="F120" s="3506">
        <f ca="1">SUBTOTAL(109,[2013])</f>
        <v>-0.30209165159999996</v>
      </c>
      <c r="G120" s="3506">
        <f ca="1">SUBTOTAL(109,[2015])</f>
        <v>-0.36060879599999995</v>
      </c>
      <c r="H120" s="3506">
        <f ca="1">SUBTOTAL(109,[2020])</f>
        <v>-0.87163153199999999</v>
      </c>
      <c r="I120" s="3506">
        <f ca="1">SUBTOTAL(109,[2025])</f>
        <v>-0.65873243999999909</v>
      </c>
      <c r="J120" s="3506">
        <f ca="1">SUBTOTAL(109,[2030])</f>
        <v>-0.94919395200000078</v>
      </c>
      <c r="K120" s="3506">
        <f ca="1">SUBTOTAL(109,[2035])</f>
        <v>-1.2396554639999997</v>
      </c>
      <c r="L120" s="3506">
        <f ca="1">SUBTOTAL(109,[2040])</f>
        <v>-1.5301169759999989</v>
      </c>
      <c r="M120" s="3506">
        <f ca="1">SUBTOTAL(109,[2045])</f>
        <v>-1.8205784880000007</v>
      </c>
      <c r="N120" s="3506">
        <f ca="1">SUBTOTAL(109,[2050])</f>
        <v>-2.1110399999999996</v>
      </c>
      <c r="O120" s="1138"/>
      <c r="R120" s="1077"/>
      <c r="S120" s="1077"/>
      <c r="T120" s="1077"/>
      <c r="U120" s="1077"/>
      <c r="V120" s="1077"/>
      <c r="W120" s="1077"/>
      <c r="X120" s="1077"/>
    </row>
    <row r="121" spans="1:24">
      <c r="B121" s="1135"/>
      <c r="C121" s="1149"/>
      <c r="D121" s="1149"/>
      <c r="E121" s="1149"/>
      <c r="F121" s="1149"/>
      <c r="G121" s="1149"/>
      <c r="H121" s="1149"/>
      <c r="I121" s="1149"/>
      <c r="J121" s="1149"/>
      <c r="K121" s="1149"/>
      <c r="L121" s="1149"/>
      <c r="M121" s="1149"/>
      <c r="N121" s="1149"/>
      <c r="O121" s="1138"/>
      <c r="R121" s="1077"/>
      <c r="S121" s="1077"/>
      <c r="T121" s="1077"/>
      <c r="U121" s="1077"/>
      <c r="V121" s="1077"/>
      <c r="W121" s="1077"/>
      <c r="X121" s="1077"/>
    </row>
    <row r="122" spans="1:24">
      <c r="R122" s="1077"/>
      <c r="S122" s="1077"/>
      <c r="T122" s="1077"/>
      <c r="U122" s="1077"/>
      <c r="V122" s="1077"/>
      <c r="W122" s="1077"/>
      <c r="X122" s="1077"/>
    </row>
    <row r="123" spans="1:24" ht="15.75">
      <c r="B123" s="995" t="s">
        <v>313</v>
      </c>
      <c r="C123" s="996"/>
      <c r="D123" s="997"/>
      <c r="E123" s="997"/>
      <c r="F123" s="997"/>
      <c r="G123" s="997"/>
      <c r="H123" s="997"/>
      <c r="I123" s="997"/>
      <c r="J123" s="997"/>
      <c r="K123" s="997"/>
      <c r="L123" s="997"/>
      <c r="M123" s="997"/>
      <c r="N123" s="997"/>
      <c r="O123" s="998"/>
      <c r="R123" s="1077"/>
      <c r="S123" s="1077"/>
      <c r="T123" s="1077"/>
      <c r="U123" s="1077"/>
      <c r="V123" s="1077"/>
      <c r="W123" s="1077"/>
      <c r="X123" s="1077"/>
    </row>
    <row r="124" spans="1:24">
      <c r="B124" s="999"/>
      <c r="C124" s="1000"/>
      <c r="D124" s="1000"/>
      <c r="E124" s="1000"/>
      <c r="F124" s="1000"/>
      <c r="G124" s="1000"/>
      <c r="H124" s="1000"/>
      <c r="I124" s="1000"/>
      <c r="J124" s="1000"/>
      <c r="K124" s="1000"/>
      <c r="L124" s="1000"/>
      <c r="M124" s="1000"/>
      <c r="N124" s="1000"/>
      <c r="O124" s="1001"/>
      <c r="R124" s="1077"/>
      <c r="S124" s="1077"/>
      <c r="T124" s="1077"/>
      <c r="U124" s="1077"/>
      <c r="V124" s="1077"/>
      <c r="W124" s="1077"/>
      <c r="X124" s="1077"/>
    </row>
    <row r="125" spans="1:24">
      <c r="B125" s="1002"/>
      <c r="C125" s="488" t="s">
        <v>314</v>
      </c>
      <c r="D125" s="1003"/>
      <c r="E125" s="1004"/>
      <c r="F125" s="1003"/>
      <c r="G125" s="1003"/>
      <c r="H125" s="1003"/>
      <c r="I125" s="1003"/>
      <c r="J125" s="1003"/>
      <c r="K125" s="1003"/>
      <c r="L125" s="1003"/>
      <c r="M125" s="1003"/>
      <c r="N125" s="1004"/>
      <c r="O125" s="1005"/>
      <c r="R125" s="1077"/>
      <c r="S125" s="1077"/>
      <c r="T125" s="1077"/>
      <c r="U125" s="1077"/>
      <c r="V125" s="1077"/>
      <c r="W125" s="1077"/>
      <c r="X125" s="1077"/>
    </row>
    <row r="126" spans="1:24">
      <c r="B126" s="1002"/>
      <c r="C126" s="1003"/>
      <c r="D126" s="1003"/>
      <c r="E126" s="1003"/>
      <c r="F126" s="1003"/>
      <c r="G126" s="1003"/>
      <c r="H126" s="1003"/>
      <c r="I126" s="1003"/>
      <c r="J126" s="1003"/>
      <c r="K126" s="1003"/>
      <c r="L126" s="1003"/>
      <c r="M126" s="1003"/>
      <c r="N126" s="1003"/>
      <c r="O126" s="1005"/>
      <c r="R126" s="1077"/>
      <c r="S126" s="1077"/>
      <c r="T126" s="1077"/>
      <c r="U126" s="1077"/>
      <c r="V126" s="1077"/>
      <c r="W126" s="1077"/>
      <c r="X126" s="1077"/>
    </row>
    <row r="127" spans="1:24" ht="15.75">
      <c r="B127" s="492"/>
      <c r="C127" s="1006" t="s">
        <v>28</v>
      </c>
      <c r="D127" s="1006" t="s">
        <v>315</v>
      </c>
      <c r="E127" s="1006" t="s">
        <v>30</v>
      </c>
      <c r="F127" s="1006" t="s">
        <v>597</v>
      </c>
      <c r="G127" s="1006" t="s">
        <v>133</v>
      </c>
      <c r="H127" s="1006" t="s">
        <v>134</v>
      </c>
      <c r="I127" s="1006" t="s">
        <v>135</v>
      </c>
      <c r="J127" s="1006" t="s">
        <v>136</v>
      </c>
      <c r="K127" s="1006" t="s">
        <v>137</v>
      </c>
      <c r="L127" s="1006" t="s">
        <v>138</v>
      </c>
      <c r="M127" s="1006" t="s">
        <v>139</v>
      </c>
      <c r="N127" s="1006" t="s">
        <v>140</v>
      </c>
      <c r="O127" s="1005"/>
    </row>
    <row r="128" spans="1:24" ht="15.75">
      <c r="B128" s="492"/>
      <c r="C128" s="1007" t="s">
        <v>1861</v>
      </c>
      <c r="D128" s="1007" t="s">
        <v>2728</v>
      </c>
      <c r="E128" s="494" t="str">
        <f>Preferences.AreaUnits</f>
        <v>km^2</v>
      </c>
      <c r="F128" s="2438">
        <f t="shared" ref="F128:N128" ca="1" si="11">F89</f>
        <v>208.27375972824288</v>
      </c>
      <c r="G128" s="2438">
        <f t="shared" ca="1" si="11"/>
        <v>246.53966081070794</v>
      </c>
      <c r="H128" s="2438">
        <f t="shared" ca="1" si="11"/>
        <v>553.63525743402522</v>
      </c>
      <c r="I128" s="2438">
        <f t="shared" ca="1" si="11"/>
        <v>-2449.6010064208153</v>
      </c>
      <c r="J128" s="2438">
        <f t="shared" ca="1" si="11"/>
        <v>-5319.1247604068494</v>
      </c>
      <c r="K128" s="2438">
        <f t="shared" ca="1" si="11"/>
        <v>-4433.200084834868</v>
      </c>
      <c r="L128" s="2438">
        <f t="shared" ca="1" si="11"/>
        <v>-7528.2445358607119</v>
      </c>
      <c r="M128" s="2438">
        <f t="shared" ca="1" si="11"/>
        <v>-10340.663746694483</v>
      </c>
      <c r="N128" s="2438">
        <f t="shared" ca="1" si="11"/>
        <v>-13220.046071423205</v>
      </c>
      <c r="O128" s="1005"/>
    </row>
    <row r="129" spans="1:21" ht="15.75">
      <c r="B129" s="497"/>
      <c r="C129" s="1010"/>
      <c r="D129" s="1010"/>
      <c r="E129" s="1010"/>
      <c r="F129" s="1010"/>
      <c r="G129" s="1010"/>
      <c r="H129" s="1010"/>
      <c r="I129" s="1010"/>
      <c r="J129" s="1010"/>
      <c r="K129" s="1010"/>
      <c r="L129" s="1010"/>
      <c r="M129" s="1010"/>
      <c r="N129" s="1010"/>
      <c r="O129" s="1011"/>
    </row>
    <row r="131" spans="1:21" ht="15.75">
      <c r="B131" s="995" t="s">
        <v>2795</v>
      </c>
      <c r="C131" s="997"/>
      <c r="D131" s="997"/>
      <c r="E131" s="997"/>
      <c r="F131" s="997"/>
      <c r="G131" s="997"/>
      <c r="H131" s="997"/>
      <c r="I131" s="997"/>
      <c r="J131" s="997"/>
      <c r="K131" s="997"/>
      <c r="L131" s="997"/>
      <c r="M131" s="997"/>
      <c r="N131" s="997"/>
      <c r="O131" s="998"/>
    </row>
    <row r="132" spans="1:21" hidden="1">
      <c r="B132" s="1002"/>
      <c r="C132" s="1003"/>
      <c r="D132" s="1003"/>
      <c r="E132" s="1003"/>
      <c r="F132" s="1003"/>
      <c r="G132" s="1003"/>
      <c r="H132" s="1003"/>
      <c r="I132" s="1003"/>
      <c r="J132" s="1003"/>
      <c r="K132" s="1003"/>
      <c r="L132" s="1003"/>
      <c r="M132" s="1003"/>
      <c r="N132" s="1003"/>
      <c r="O132" s="1005"/>
    </row>
    <row r="133" spans="1:21" hidden="1">
      <c r="B133" s="1002"/>
      <c r="C133" s="500" t="s">
        <v>770</v>
      </c>
      <c r="D133" s="1012"/>
      <c r="E133" s="1012"/>
      <c r="F133" s="1012"/>
      <c r="G133" s="1012"/>
      <c r="H133" s="1012"/>
      <c r="I133" s="1012"/>
      <c r="J133" s="1012"/>
      <c r="K133" s="1012"/>
      <c r="L133" s="1012"/>
      <c r="M133" s="1012"/>
      <c r="N133" s="1012"/>
      <c r="O133" s="1005"/>
    </row>
    <row r="134" spans="1:21" hidden="1">
      <c r="B134" s="1002"/>
      <c r="C134" s="1003"/>
      <c r="D134" s="1003"/>
      <c r="E134" s="1003"/>
      <c r="F134" s="1003"/>
      <c r="G134" s="1003"/>
      <c r="H134" s="1003"/>
      <c r="I134" s="1003"/>
      <c r="J134" s="1003"/>
      <c r="K134" s="1003"/>
      <c r="L134" s="1003"/>
      <c r="M134" s="1003"/>
      <c r="N134" s="1003"/>
      <c r="O134" s="1005"/>
    </row>
    <row r="135" spans="1:21" ht="15.75" hidden="1">
      <c r="B135" s="492"/>
      <c r="C135" s="1006" t="s">
        <v>28</v>
      </c>
      <c r="D135" s="1006" t="s">
        <v>29</v>
      </c>
      <c r="E135" s="1006" t="s">
        <v>30</v>
      </c>
      <c r="F135" s="1006">
        <v>2013</v>
      </c>
      <c r="G135" s="1006" t="s">
        <v>133</v>
      </c>
      <c r="H135" s="1006" t="s">
        <v>134</v>
      </c>
      <c r="I135" s="1006" t="s">
        <v>135</v>
      </c>
      <c r="J135" s="1006" t="s">
        <v>136</v>
      </c>
      <c r="K135" s="1006" t="s">
        <v>137</v>
      </c>
      <c r="L135" s="1006" t="s">
        <v>138</v>
      </c>
      <c r="M135" s="1006" t="s">
        <v>139</v>
      </c>
      <c r="N135" s="1006" t="s">
        <v>140</v>
      </c>
      <c r="O135" s="1150"/>
    </row>
    <row r="136" spans="1:21" ht="15.75" hidden="1">
      <c r="B136" s="492"/>
      <c r="C136" s="1007" t="s">
        <v>771</v>
      </c>
      <c r="D136" s="3064" t="s">
        <v>772</v>
      </c>
      <c r="E136" s="2669"/>
      <c r="F136" s="3502"/>
      <c r="G136" s="3502"/>
      <c r="H136" s="3502"/>
      <c r="I136" s="3502"/>
      <c r="J136" s="3502"/>
      <c r="K136" s="3502"/>
      <c r="L136" s="3502"/>
      <c r="M136" s="3502"/>
      <c r="N136" s="3502"/>
      <c r="O136" s="1150"/>
    </row>
    <row r="137" spans="1:21" ht="15.75" hidden="1">
      <c r="B137" s="492"/>
      <c r="C137" s="1007" t="s">
        <v>773</v>
      </c>
      <c r="D137" s="3064" t="s">
        <v>774</v>
      </c>
      <c r="E137" s="2669"/>
      <c r="F137" s="3502"/>
      <c r="G137" s="3502"/>
      <c r="H137" s="3502"/>
      <c r="I137" s="3502"/>
      <c r="J137" s="3502"/>
      <c r="K137" s="3502"/>
      <c r="L137" s="3502"/>
      <c r="M137" s="3502"/>
      <c r="N137" s="3502"/>
      <c r="O137" s="1150"/>
    </row>
    <row r="138" spans="1:21" hidden="1">
      <c r="A138" s="1077"/>
      <c r="B138" s="503"/>
      <c r="C138" s="1355" t="s">
        <v>775</v>
      </c>
      <c r="D138" s="3503" t="s">
        <v>776</v>
      </c>
      <c r="E138" s="2949"/>
      <c r="F138" s="3504"/>
      <c r="G138" s="3504"/>
      <c r="H138" s="3504"/>
      <c r="I138" s="3504"/>
      <c r="J138" s="3504"/>
      <c r="K138" s="3504"/>
      <c r="L138" s="3504"/>
      <c r="M138" s="3504"/>
      <c r="N138" s="3504"/>
      <c r="O138" s="1150"/>
      <c r="Q138" s="1077"/>
      <c r="R138" s="1077"/>
      <c r="S138" s="1077"/>
      <c r="T138" s="1077"/>
      <c r="U138" s="39"/>
    </row>
    <row r="139" spans="1:21" hidden="1">
      <c r="A139" s="1077"/>
      <c r="B139" s="503"/>
      <c r="C139" s="1007"/>
      <c r="D139" s="3064"/>
      <c r="E139" s="494"/>
      <c r="F139" s="3456"/>
      <c r="G139" s="3456"/>
      <c r="H139" s="3456"/>
      <c r="I139" s="3456"/>
      <c r="J139" s="3456"/>
      <c r="K139" s="3456"/>
      <c r="L139" s="3456"/>
      <c r="M139" s="3456"/>
      <c r="N139" s="3456"/>
      <c r="O139" s="1151"/>
      <c r="Q139" s="1077"/>
      <c r="R139" s="1077"/>
      <c r="S139" s="1077"/>
      <c r="T139" s="1077"/>
      <c r="U139" s="39"/>
    </row>
    <row r="140" spans="1:21">
      <c r="A140" s="1077"/>
      <c r="B140" s="1077"/>
      <c r="C140" s="1077"/>
      <c r="D140" s="1077"/>
      <c r="E140" s="1077"/>
      <c r="F140" s="1077"/>
      <c r="G140" s="1077"/>
      <c r="H140" s="1077"/>
      <c r="I140" s="1077"/>
      <c r="J140" s="1077"/>
      <c r="K140" s="1077"/>
      <c r="L140" s="1077"/>
      <c r="M140" s="1077"/>
      <c r="N140" s="1077"/>
      <c r="O140" s="1077"/>
      <c r="Q140" s="1077"/>
      <c r="R140" s="1077"/>
      <c r="S140" s="1077"/>
      <c r="T140" s="1077"/>
      <c r="U140" s="39"/>
    </row>
    <row r="141" spans="1:21">
      <c r="A141" s="1077"/>
      <c r="B141" s="1077"/>
      <c r="C141" s="1077"/>
      <c r="D141" s="1077"/>
      <c r="E141" s="1077"/>
      <c r="F141" s="1077"/>
      <c r="G141" s="1077"/>
      <c r="H141" s="1077"/>
      <c r="I141" s="1077"/>
      <c r="J141" s="1077"/>
      <c r="K141" s="1077"/>
      <c r="L141" s="1077"/>
      <c r="M141" s="1077"/>
      <c r="N141" s="1077"/>
      <c r="O141" s="1077"/>
      <c r="Q141" s="1077"/>
      <c r="R141" s="1077"/>
      <c r="S141" s="1077"/>
      <c r="T141" s="1077"/>
      <c r="U141" s="39"/>
    </row>
    <row r="142" spans="1:21">
      <c r="A142" s="39"/>
      <c r="B142" s="39"/>
      <c r="C142" s="1077"/>
      <c r="D142" s="1077"/>
      <c r="E142" s="1077"/>
      <c r="F142" s="1077"/>
      <c r="G142" s="1077"/>
      <c r="H142" s="1077"/>
      <c r="I142" s="1077"/>
      <c r="J142" s="1077"/>
      <c r="K142" s="1077"/>
      <c r="L142" s="1077"/>
      <c r="M142" s="1077"/>
      <c r="N142" s="1077"/>
      <c r="O142" s="39"/>
      <c r="Q142" s="39"/>
      <c r="R142" s="39"/>
      <c r="S142" s="39"/>
      <c r="T142" s="39"/>
      <c r="U142" s="39"/>
    </row>
    <row r="143" spans="1:21">
      <c r="A143" s="39"/>
      <c r="B143" s="39"/>
      <c r="C143" s="1077"/>
      <c r="D143" s="1077"/>
      <c r="E143" s="1077"/>
      <c r="F143" s="1077"/>
      <c r="G143" s="1077"/>
      <c r="H143" s="1077"/>
      <c r="I143" s="1077"/>
      <c r="J143" s="1077"/>
      <c r="K143" s="1077"/>
      <c r="L143" s="1077"/>
      <c r="M143" s="1077"/>
      <c r="N143" s="1077"/>
      <c r="O143" s="39"/>
      <c r="Q143" s="39"/>
      <c r="R143" s="39"/>
      <c r="S143" s="39"/>
      <c r="T143" s="39"/>
      <c r="U143" s="39"/>
    </row>
    <row r="144" spans="1:21">
      <c r="A144" s="39"/>
      <c r="B144" s="39"/>
      <c r="C144" s="39"/>
      <c r="D144" s="39"/>
      <c r="E144" s="39"/>
      <c r="F144" s="39"/>
      <c r="G144" s="39"/>
      <c r="H144" s="39"/>
      <c r="I144" s="39"/>
      <c r="J144" s="39"/>
      <c r="K144" s="39"/>
      <c r="L144" s="39"/>
      <c r="M144" s="39"/>
      <c r="N144" s="39"/>
      <c r="O144" s="39"/>
      <c r="Q144" s="39"/>
      <c r="R144" s="39"/>
      <c r="S144" s="39"/>
      <c r="T144" s="39"/>
      <c r="U144" s="39"/>
    </row>
    <row r="145" spans="3:14">
      <c r="C145" s="39"/>
      <c r="D145" s="39"/>
      <c r="E145" s="39"/>
      <c r="F145" s="39"/>
      <c r="G145" s="39"/>
      <c r="H145" s="39"/>
      <c r="I145" s="39"/>
      <c r="J145" s="39"/>
      <c r="K145" s="39"/>
      <c r="L145" s="39"/>
      <c r="M145" s="39"/>
      <c r="N145" s="39"/>
    </row>
    <row r="146" spans="3:14">
      <c r="C146" s="39"/>
      <c r="D146" s="39"/>
      <c r="E146" s="39"/>
      <c r="F146" s="39"/>
      <c r="G146" s="39"/>
      <c r="H146" s="39"/>
      <c r="I146" s="39"/>
      <c r="J146" s="39"/>
      <c r="K146" s="39"/>
      <c r="L146" s="39"/>
      <c r="M146" s="39"/>
      <c r="N146" s="39"/>
    </row>
  </sheetData>
  <pageMargins left="0.7" right="0.7" top="0.75" bottom="0.75" header="0.3" footer="0.3"/>
  <pageSetup orientation="portrait" r:id="rId1"/>
  <tableParts count="4">
    <tablePart r:id="rId2"/>
    <tablePart r:id="rId3"/>
    <tablePart r:id="rId4"/>
    <tablePart r:id="rId5"/>
  </tableParts>
</worksheet>
</file>

<file path=xl/worksheets/sheet26.xml><?xml version="1.0" encoding="utf-8"?>
<worksheet xmlns="http://schemas.openxmlformats.org/spreadsheetml/2006/main" xmlns:r="http://schemas.openxmlformats.org/officeDocument/2006/relationships">
  <sheetPr>
    <tabColor theme="9"/>
  </sheetPr>
  <dimension ref="A1:AG600"/>
  <sheetViews>
    <sheetView showGridLines="0" zoomScale="80" zoomScaleNormal="80" workbookViewId="0"/>
  </sheetViews>
  <sheetFormatPr defaultColWidth="8.85546875" defaultRowHeight="15"/>
  <cols>
    <col min="1" max="1" width="7.7109375" style="2506" customWidth="1"/>
    <col min="2" max="2" width="5.85546875" style="2506" customWidth="1"/>
    <col min="3" max="3" width="20.42578125" style="2506" customWidth="1"/>
    <col min="4" max="4" width="51" style="2506" customWidth="1"/>
    <col min="5" max="5" width="20.7109375" style="2506" customWidth="1"/>
    <col min="6" max="15" width="17.7109375" style="2506" customWidth="1"/>
    <col min="16" max="16" width="8.42578125" style="2506" customWidth="1"/>
    <col min="17" max="17" width="10.85546875" style="2506" customWidth="1"/>
    <col min="18" max="18" width="5.5703125" style="2506" bestFit="1" customWidth="1"/>
    <col min="19" max="19" width="6.7109375" style="2506" bestFit="1" customWidth="1"/>
    <col min="20" max="26" width="5.5703125" style="2506" bestFit="1" customWidth="1"/>
    <col min="27" max="27" width="5" style="2506" bestFit="1" customWidth="1"/>
    <col min="28" max="28" width="8.7109375" style="2506" bestFit="1" customWidth="1"/>
    <col min="29" max="16384" width="8.85546875" style="2506"/>
  </cols>
  <sheetData>
    <row r="1" spans="1:32" ht="20.25">
      <c r="A1" s="1016" t="s">
        <v>512</v>
      </c>
      <c r="B1" s="1016" t="s">
        <v>513</v>
      </c>
      <c r="C1" s="1016"/>
      <c r="F1" s="39"/>
      <c r="G1" s="39"/>
      <c r="H1" s="39"/>
      <c r="I1" s="39"/>
      <c r="J1" s="39"/>
    </row>
    <row r="2" spans="1:32" s="6" customFormat="1" ht="15.75">
      <c r="A2" s="864" t="s">
        <v>510</v>
      </c>
      <c r="B2" s="864" t="s">
        <v>511</v>
      </c>
      <c r="C2" s="864"/>
      <c r="D2" s="6" t="s">
        <v>5</v>
      </c>
      <c r="E2" s="5"/>
    </row>
    <row r="4" spans="1:32" ht="23.25">
      <c r="A4" s="7"/>
      <c r="B4" s="511" t="s">
        <v>6</v>
      </c>
      <c r="C4" s="512"/>
      <c r="D4" s="512"/>
      <c r="E4" s="512"/>
      <c r="F4" s="512"/>
      <c r="G4" s="512"/>
      <c r="H4" s="512"/>
      <c r="I4" s="512"/>
      <c r="J4" s="512"/>
      <c r="K4" s="512"/>
      <c r="L4" s="512"/>
      <c r="M4" s="512"/>
      <c r="N4" s="512"/>
      <c r="O4" s="512"/>
      <c r="P4" s="866"/>
      <c r="R4" s="363"/>
    </row>
    <row r="5" spans="1:32">
      <c r="B5" s="514"/>
      <c r="C5" s="515"/>
      <c r="D5" s="515"/>
      <c r="E5" s="515"/>
      <c r="F5" s="515"/>
      <c r="G5" s="515"/>
      <c r="H5" s="515"/>
      <c r="I5" s="515"/>
      <c r="J5" s="515"/>
      <c r="K5" s="515"/>
      <c r="L5" s="515"/>
      <c r="M5" s="515"/>
      <c r="N5" s="515"/>
      <c r="O5" s="515"/>
      <c r="P5" s="867"/>
    </row>
    <row r="6" spans="1:32">
      <c r="B6" s="514"/>
      <c r="C6" s="12"/>
      <c r="D6" s="515"/>
      <c r="E6" s="516"/>
      <c r="F6" s="515"/>
      <c r="G6" s="515"/>
      <c r="H6" s="515"/>
      <c r="I6" s="515"/>
      <c r="J6" s="515"/>
      <c r="K6" s="515"/>
      <c r="L6" s="515"/>
      <c r="M6" s="515"/>
      <c r="N6" s="515"/>
      <c r="O6" s="515"/>
      <c r="P6" s="867"/>
    </row>
    <row r="7" spans="1:32" ht="15.75">
      <c r="B7" s="15"/>
      <c r="C7" s="515"/>
      <c r="D7" s="16" t="s">
        <v>7</v>
      </c>
      <c r="E7" s="16" t="s">
        <v>8</v>
      </c>
      <c r="F7" s="515"/>
      <c r="G7" s="515"/>
      <c r="H7" s="515"/>
      <c r="I7" s="515"/>
      <c r="J7" s="515"/>
      <c r="K7" s="515"/>
      <c r="L7" s="515"/>
      <c r="M7" s="515"/>
      <c r="N7" s="515"/>
      <c r="O7" s="515"/>
      <c r="P7" s="867"/>
    </row>
    <row r="8" spans="1:32" ht="15.75">
      <c r="B8" s="15"/>
      <c r="C8" s="515"/>
      <c r="D8" s="1018" t="s">
        <v>2776</v>
      </c>
      <c r="E8" s="1018">
        <f>VI.a.2.Scenario</f>
        <v>4</v>
      </c>
      <c r="F8" s="515"/>
      <c r="G8" s="515"/>
      <c r="H8" s="515"/>
      <c r="I8" s="515"/>
      <c r="J8" s="515"/>
      <c r="K8" s="515"/>
      <c r="L8" s="515"/>
      <c r="M8" s="515"/>
      <c r="N8" s="515"/>
      <c r="O8" s="515"/>
      <c r="P8" s="867"/>
    </row>
    <row r="9" spans="1:32" ht="15.75">
      <c r="B9" s="15"/>
      <c r="C9" s="515"/>
      <c r="D9" s="32" t="s">
        <v>1930</v>
      </c>
      <c r="E9" s="32">
        <f>VI.a.Scenario</f>
        <v>4</v>
      </c>
      <c r="F9" s="515"/>
      <c r="G9" s="515"/>
      <c r="H9" s="515"/>
      <c r="I9" s="515"/>
      <c r="J9" s="515"/>
      <c r="K9" s="515" t="s">
        <v>5</v>
      </c>
      <c r="L9" s="515"/>
      <c r="M9" s="515"/>
      <c r="N9" s="515"/>
      <c r="O9" s="515"/>
      <c r="P9" s="867"/>
    </row>
    <row r="10" spans="1:32" ht="15.75">
      <c r="B10" s="15"/>
      <c r="C10" s="515"/>
      <c r="D10" s="17"/>
      <c r="E10" s="17"/>
      <c r="F10" s="515"/>
      <c r="G10" s="515"/>
      <c r="H10" s="515"/>
      <c r="I10" s="515"/>
      <c r="J10" s="515"/>
      <c r="K10" s="515"/>
      <c r="L10" s="515"/>
      <c r="M10" s="515"/>
      <c r="N10" s="515"/>
      <c r="O10" s="515"/>
      <c r="P10" s="867"/>
    </row>
    <row r="11" spans="1:32" ht="15.75">
      <c r="B11" s="15"/>
      <c r="C11" s="34" t="s">
        <v>1498</v>
      </c>
      <c r="D11" s="17" t="s">
        <v>1931</v>
      </c>
      <c r="E11" s="17"/>
      <c r="F11" s="515"/>
      <c r="G11" s="515"/>
      <c r="H11" s="515"/>
      <c r="I11" s="515"/>
      <c r="J11" s="515"/>
      <c r="K11" s="515"/>
      <c r="L11" s="515"/>
      <c r="M11" s="515"/>
      <c r="N11" s="515"/>
      <c r="O11" s="515"/>
      <c r="P11" s="867"/>
    </row>
    <row r="12" spans="1:32" ht="15.75">
      <c r="B12" s="15"/>
      <c r="C12" s="34"/>
      <c r="D12" s="17" t="s">
        <v>1932</v>
      </c>
      <c r="E12" s="17"/>
      <c r="F12" s="515"/>
      <c r="G12" s="515"/>
      <c r="H12" s="515"/>
      <c r="I12" s="515"/>
      <c r="J12" s="515"/>
      <c r="K12" s="515"/>
      <c r="L12" s="515"/>
      <c r="M12" s="515"/>
      <c r="N12" s="515"/>
      <c r="O12" s="515"/>
      <c r="P12" s="867"/>
    </row>
    <row r="13" spans="1:32">
      <c r="B13" s="1252"/>
      <c r="C13" s="869"/>
      <c r="D13" s="869"/>
      <c r="E13" s="869"/>
      <c r="F13" s="869"/>
      <c r="G13" s="869"/>
      <c r="H13" s="869"/>
      <c r="I13" s="869"/>
      <c r="J13" s="869"/>
      <c r="K13" s="869"/>
      <c r="L13" s="869"/>
      <c r="M13" s="869"/>
      <c r="N13" s="869"/>
      <c r="O13" s="869"/>
      <c r="P13" s="870"/>
    </row>
    <row r="15" spans="1:32" s="6" customFormat="1" ht="23.25">
      <c r="A15" s="40"/>
      <c r="B15" s="878" t="s">
        <v>33</v>
      </c>
      <c r="C15" s="879"/>
      <c r="D15" s="879"/>
      <c r="E15" s="879"/>
      <c r="F15" s="879"/>
      <c r="G15" s="879"/>
      <c r="H15" s="879"/>
      <c r="I15" s="879"/>
      <c r="J15" s="879"/>
      <c r="K15" s="879"/>
      <c r="L15" s="879"/>
      <c r="M15" s="879"/>
      <c r="N15" s="879"/>
      <c r="O15" s="879"/>
      <c r="P15" s="936"/>
      <c r="T15" s="2506"/>
    </row>
    <row r="16" spans="1:32">
      <c r="B16" s="110"/>
      <c r="C16" s="67"/>
      <c r="D16" s="67"/>
      <c r="E16" s="67" t="s">
        <v>5</v>
      </c>
      <c r="F16" s="67"/>
      <c r="G16" s="67"/>
      <c r="H16" s="67"/>
      <c r="I16" s="67"/>
      <c r="J16" s="67"/>
      <c r="K16" s="67"/>
      <c r="L16" s="67"/>
      <c r="M16" s="67"/>
      <c r="N16" s="67"/>
      <c r="O16" s="67"/>
      <c r="P16" s="67"/>
      <c r="Q16" s="6"/>
      <c r="R16" s="6"/>
      <c r="S16" s="6"/>
      <c r="U16" s="6"/>
      <c r="V16" s="6"/>
      <c r="W16" s="6"/>
      <c r="X16" s="6"/>
      <c r="Y16" s="6"/>
      <c r="Z16" s="6"/>
      <c r="AA16" s="6"/>
      <c r="AB16" s="6"/>
      <c r="AC16" s="6"/>
      <c r="AD16" s="6"/>
      <c r="AE16" s="6"/>
      <c r="AF16" s="6"/>
    </row>
    <row r="17" spans="2:32">
      <c r="B17" s="110"/>
      <c r="C17" s="49" t="s">
        <v>1933</v>
      </c>
      <c r="D17" s="67"/>
      <c r="E17" s="50"/>
      <c r="F17" s="67"/>
      <c r="G17" s="67" t="s">
        <v>5</v>
      </c>
      <c r="H17" s="67"/>
      <c r="I17" s="67"/>
      <c r="J17" s="67"/>
      <c r="K17" s="67"/>
      <c r="L17" s="67"/>
      <c r="M17" s="67"/>
      <c r="N17" s="51" t="str">
        <f>Preferences.AreaUnits</f>
        <v>km^2</v>
      </c>
      <c r="O17" s="67"/>
      <c r="P17" s="67"/>
      <c r="Q17" s="6"/>
      <c r="R17" s="6"/>
      <c r="S17" s="6"/>
      <c r="U17" s="6"/>
      <c r="V17" s="6"/>
      <c r="W17" s="6"/>
      <c r="X17" s="6"/>
      <c r="Y17" s="6"/>
      <c r="Z17" s="6"/>
      <c r="AA17" s="6"/>
      <c r="AB17" s="6"/>
      <c r="AC17" s="6"/>
      <c r="AD17" s="6"/>
      <c r="AE17" s="6"/>
      <c r="AF17" s="6"/>
    </row>
    <row r="18" spans="2:32">
      <c r="B18" s="110"/>
      <c r="C18" s="67"/>
      <c r="D18" s="67"/>
      <c r="E18" s="67"/>
      <c r="F18" s="67" t="s">
        <v>5</v>
      </c>
      <c r="G18" s="67"/>
      <c r="H18" s="67"/>
      <c r="I18" s="67"/>
      <c r="J18" s="67"/>
      <c r="K18" s="67"/>
      <c r="L18" s="67"/>
      <c r="M18" s="67"/>
      <c r="N18" s="67"/>
      <c r="O18" s="67"/>
      <c r="P18" s="67"/>
      <c r="Q18" s="6"/>
      <c r="R18" s="6"/>
      <c r="S18" s="6"/>
      <c r="U18" s="6"/>
      <c r="V18" s="6"/>
      <c r="W18" s="6"/>
      <c r="X18" s="6"/>
      <c r="Y18" s="6"/>
      <c r="Z18" s="6"/>
      <c r="AA18" s="6"/>
      <c r="AB18" s="6"/>
      <c r="AC18" s="6"/>
      <c r="AD18" s="6"/>
      <c r="AE18" s="6"/>
      <c r="AF18" s="6"/>
    </row>
    <row r="19" spans="2:32">
      <c r="B19" s="110"/>
      <c r="C19" s="887" t="s">
        <v>8</v>
      </c>
      <c r="D19" s="887" t="s">
        <v>72</v>
      </c>
      <c r="E19" s="887" t="s">
        <v>792</v>
      </c>
      <c r="F19" s="908">
        <v>2013</v>
      </c>
      <c r="G19" s="922">
        <v>2015</v>
      </c>
      <c r="H19" s="922">
        <v>2020</v>
      </c>
      <c r="I19" s="922">
        <v>2025</v>
      </c>
      <c r="J19" s="922">
        <v>2030</v>
      </c>
      <c r="K19" s="922">
        <v>2035</v>
      </c>
      <c r="L19" s="922">
        <v>2040</v>
      </c>
      <c r="M19" s="922">
        <v>2045</v>
      </c>
      <c r="N19" s="922">
        <v>2050</v>
      </c>
      <c r="O19" s="67"/>
      <c r="P19" s="67"/>
      <c r="Q19" s="6"/>
      <c r="R19" s="6"/>
      <c r="S19" s="6"/>
      <c r="U19" s="6"/>
      <c r="V19" s="6"/>
      <c r="W19" s="6"/>
      <c r="X19" s="6"/>
      <c r="Y19" s="6"/>
      <c r="Z19" s="6"/>
      <c r="AA19" s="6"/>
      <c r="AB19" s="6"/>
      <c r="AC19" s="6"/>
      <c r="AD19" s="6"/>
      <c r="AE19" s="6"/>
      <c r="AF19" s="6"/>
    </row>
    <row r="20" spans="2:32" ht="15.75">
      <c r="B20" s="55"/>
      <c r="C20" s="1092">
        <v>1</v>
      </c>
      <c r="D20" s="890" t="s">
        <v>1934</v>
      </c>
      <c r="E20" s="1317" t="s">
        <v>1935</v>
      </c>
      <c r="F20" s="3989">
        <f t="shared" ref="F20:N20" si="0">(Unit.km2)*11554</f>
        <v>11554</v>
      </c>
      <c r="G20" s="3990">
        <f t="shared" si="0"/>
        <v>11554</v>
      </c>
      <c r="H20" s="3990">
        <f t="shared" si="0"/>
        <v>11554</v>
      </c>
      <c r="I20" s="3990">
        <f t="shared" si="0"/>
        <v>11554</v>
      </c>
      <c r="J20" s="3990">
        <f t="shared" si="0"/>
        <v>11554</v>
      </c>
      <c r="K20" s="3990">
        <f t="shared" si="0"/>
        <v>11554</v>
      </c>
      <c r="L20" s="3990">
        <f t="shared" si="0"/>
        <v>11554</v>
      </c>
      <c r="M20" s="3990">
        <f t="shared" si="0"/>
        <v>11554</v>
      </c>
      <c r="N20" s="3990">
        <f t="shared" si="0"/>
        <v>11554</v>
      </c>
      <c r="O20" s="67"/>
      <c r="P20" s="67"/>
      <c r="Q20"/>
      <c r="R20"/>
      <c r="S20"/>
      <c r="T20"/>
      <c r="U20"/>
      <c r="V20"/>
      <c r="W20"/>
      <c r="X20" s="6"/>
      <c r="Y20" s="6"/>
      <c r="Z20" s="6"/>
      <c r="AA20" s="6"/>
      <c r="AB20" s="6"/>
      <c r="AC20" s="6"/>
      <c r="AD20" s="6"/>
      <c r="AE20" s="6"/>
      <c r="AF20" s="6"/>
    </row>
    <row r="21" spans="2:32" ht="15.75">
      <c r="B21" s="55"/>
      <c r="C21" s="65">
        <v>1</v>
      </c>
      <c r="D21" s="108" t="s">
        <v>1936</v>
      </c>
      <c r="E21" s="1267" t="s">
        <v>686</v>
      </c>
      <c r="F21" s="3991">
        <f t="shared" ref="F21:N21" si="1">(Unit.km2)*123</f>
        <v>123</v>
      </c>
      <c r="G21" s="3992">
        <f t="shared" si="1"/>
        <v>123</v>
      </c>
      <c r="H21" s="3992">
        <f t="shared" si="1"/>
        <v>123</v>
      </c>
      <c r="I21" s="3992">
        <f t="shared" si="1"/>
        <v>123</v>
      </c>
      <c r="J21" s="3992">
        <f t="shared" si="1"/>
        <v>123</v>
      </c>
      <c r="K21" s="3992">
        <f t="shared" si="1"/>
        <v>123</v>
      </c>
      <c r="L21" s="3992">
        <f t="shared" si="1"/>
        <v>123</v>
      </c>
      <c r="M21" s="3992">
        <f t="shared" si="1"/>
        <v>123</v>
      </c>
      <c r="N21" s="3992">
        <f t="shared" si="1"/>
        <v>123</v>
      </c>
      <c r="O21" s="67"/>
      <c r="P21" s="67"/>
      <c r="Q21"/>
      <c r="R21"/>
      <c r="S21"/>
      <c r="T21"/>
      <c r="U21"/>
      <c r="V21"/>
      <c r="W21"/>
      <c r="X21" s="6"/>
      <c r="Y21" s="6"/>
      <c r="Z21" s="6"/>
      <c r="AA21" s="6"/>
      <c r="AB21" s="6"/>
      <c r="AC21" s="6"/>
      <c r="AD21" s="6"/>
      <c r="AE21" s="6"/>
      <c r="AF21" s="6"/>
    </row>
    <row r="22" spans="2:32" ht="15.75">
      <c r="B22" s="55"/>
      <c r="C22" s="65">
        <v>1</v>
      </c>
      <c r="D22" s="108" t="s">
        <v>1937</v>
      </c>
      <c r="E22" s="1267" t="s">
        <v>1938</v>
      </c>
      <c r="F22" s="3991">
        <f t="shared" ref="F22:N22" si="2">(Unit.km2)*33</f>
        <v>33</v>
      </c>
      <c r="G22" s="3992">
        <f t="shared" si="2"/>
        <v>33</v>
      </c>
      <c r="H22" s="3992">
        <f t="shared" si="2"/>
        <v>33</v>
      </c>
      <c r="I22" s="3992">
        <f t="shared" si="2"/>
        <v>33</v>
      </c>
      <c r="J22" s="3992">
        <f t="shared" si="2"/>
        <v>33</v>
      </c>
      <c r="K22" s="3992">
        <f t="shared" si="2"/>
        <v>33</v>
      </c>
      <c r="L22" s="3992">
        <f t="shared" si="2"/>
        <v>33</v>
      </c>
      <c r="M22" s="3992">
        <f t="shared" si="2"/>
        <v>33</v>
      </c>
      <c r="N22" s="3992">
        <f t="shared" si="2"/>
        <v>33</v>
      </c>
      <c r="O22" s="67"/>
      <c r="P22" s="67"/>
      <c r="Q22"/>
      <c r="R22"/>
      <c r="S22"/>
      <c r="T22"/>
      <c r="U22"/>
      <c r="V22"/>
      <c r="W22"/>
      <c r="X22"/>
      <c r="Y22"/>
      <c r="Z22"/>
      <c r="AA22"/>
      <c r="AB22" s="6"/>
      <c r="AC22" s="6"/>
      <c r="AD22" s="6"/>
      <c r="AE22" s="6"/>
      <c r="AF22" s="6"/>
    </row>
    <row r="23" spans="2:32" ht="15.75">
      <c r="B23" s="55"/>
      <c r="C23" s="65">
        <v>1</v>
      </c>
      <c r="D23" s="108" t="s">
        <v>1939</v>
      </c>
      <c r="E23" s="1267" t="s">
        <v>1940</v>
      </c>
      <c r="F23" s="3991">
        <v>0</v>
      </c>
      <c r="G23" s="3992">
        <v>0</v>
      </c>
      <c r="H23" s="3992">
        <v>0</v>
      </c>
      <c r="I23" s="3992">
        <v>0</v>
      </c>
      <c r="J23" s="3992">
        <v>0</v>
      </c>
      <c r="K23" s="3992">
        <v>0</v>
      </c>
      <c r="L23" s="3992">
        <v>0</v>
      </c>
      <c r="M23" s="3992">
        <v>0</v>
      </c>
      <c r="N23" s="3992">
        <v>0</v>
      </c>
      <c r="O23" s="67"/>
      <c r="P23" s="67"/>
      <c r="Q23"/>
      <c r="R23"/>
      <c r="S23"/>
      <c r="T23"/>
      <c r="U23"/>
      <c r="V23"/>
      <c r="W23"/>
      <c r="X23"/>
      <c r="Y23"/>
      <c r="Z23"/>
      <c r="AA23"/>
      <c r="AB23" s="6"/>
      <c r="AC23" s="3596"/>
      <c r="AD23" s="6"/>
      <c r="AE23" s="6"/>
      <c r="AF23" s="3596"/>
    </row>
    <row r="24" spans="2:32" ht="15.75">
      <c r="B24" s="55"/>
      <c r="C24" s="65">
        <v>1</v>
      </c>
      <c r="D24" s="108" t="s">
        <v>1941</v>
      </c>
      <c r="E24" s="1267" t="s">
        <v>239</v>
      </c>
      <c r="F24" s="3991">
        <f t="shared" ref="F24:N24" si="3">(Unit.km2)*33620</f>
        <v>33620</v>
      </c>
      <c r="G24" s="3992">
        <f t="shared" si="3"/>
        <v>33620</v>
      </c>
      <c r="H24" s="3992">
        <f t="shared" si="3"/>
        <v>33620</v>
      </c>
      <c r="I24" s="3992">
        <f t="shared" si="3"/>
        <v>33620</v>
      </c>
      <c r="J24" s="3992">
        <f t="shared" si="3"/>
        <v>33620</v>
      </c>
      <c r="K24" s="3992">
        <f t="shared" si="3"/>
        <v>33620</v>
      </c>
      <c r="L24" s="3992">
        <f t="shared" si="3"/>
        <v>33620</v>
      </c>
      <c r="M24" s="3992">
        <f t="shared" si="3"/>
        <v>33620</v>
      </c>
      <c r="N24" s="3992">
        <f t="shared" si="3"/>
        <v>33620</v>
      </c>
      <c r="O24" s="67"/>
      <c r="P24" s="67"/>
      <c r="Q24"/>
      <c r="R24"/>
      <c r="S24"/>
      <c r="T24"/>
      <c r="U24"/>
      <c r="V24"/>
      <c r="W24"/>
      <c r="X24"/>
      <c r="Y24"/>
      <c r="Z24"/>
      <c r="AA24"/>
      <c r="AB24" s="6"/>
      <c r="AC24" s="6"/>
      <c r="AD24" s="6"/>
      <c r="AE24" s="6"/>
      <c r="AF24" s="6"/>
    </row>
    <row r="25" spans="2:32" ht="15.75">
      <c r="B25" s="55"/>
      <c r="C25" s="65">
        <v>1</v>
      </c>
      <c r="D25" s="108" t="s">
        <v>1942</v>
      </c>
      <c r="E25" s="1267" t="s">
        <v>1943</v>
      </c>
      <c r="F25" s="3991">
        <f>(Unit.km2)*1746.91</f>
        <v>1746.91</v>
      </c>
      <c r="G25" s="3992">
        <f>(Unit.km2)*1773.0302955658</f>
        <v>1773.0302955658001</v>
      </c>
      <c r="H25" s="3992">
        <f>(Unit.km2)*1838.33103448029</f>
        <v>1838.3310344802901</v>
      </c>
      <c r="I25" s="3992">
        <f>(Unit.km2)*1903.63177339479</f>
        <v>1903.6317733947899</v>
      </c>
      <c r="J25" s="3992">
        <f>(Unit.km2)*1968.93251230928</f>
        <v>1968.9325123092799</v>
      </c>
      <c r="K25" s="3992">
        <f>(Unit.km2)*2034.23325122378</f>
        <v>2034.2332512237799</v>
      </c>
      <c r="L25" s="3992">
        <f>(Unit.km2)*2099.53399013827</f>
        <v>2099.5339901382699</v>
      </c>
      <c r="M25" s="3992">
        <f>(Unit.km2)*2164.83472905277</f>
        <v>2164.8347290527699</v>
      </c>
      <c r="N25" s="3992">
        <f>(Unit.km2)*2230.13546796726</f>
        <v>2230.13546796726</v>
      </c>
      <c r="O25" s="67" t="s">
        <v>5</v>
      </c>
      <c r="P25" s="67"/>
      <c r="Q25"/>
      <c r="R25"/>
      <c r="S25"/>
      <c r="T25"/>
      <c r="U25"/>
      <c r="V25"/>
      <c r="W25"/>
      <c r="X25"/>
      <c r="Y25"/>
      <c r="Z25"/>
      <c r="AA25"/>
      <c r="AB25"/>
      <c r="AC25"/>
      <c r="AD25"/>
      <c r="AE25"/>
      <c r="AF25"/>
    </row>
    <row r="26" spans="2:32" ht="15.75">
      <c r="B26" s="55"/>
      <c r="C26" s="65">
        <v>1</v>
      </c>
      <c r="D26" s="108" t="s">
        <v>1944</v>
      </c>
      <c r="E26" s="1267" t="s">
        <v>460</v>
      </c>
      <c r="F26" s="3991">
        <f>(Unit.km2)*7566</f>
        <v>7566</v>
      </c>
      <c r="G26" s="3992">
        <f>(Unit.km2)*7652.48648648649</f>
        <v>7652.4864864864903</v>
      </c>
      <c r="H26" s="3992">
        <f>(Unit.km2)*7868.7027027027</f>
        <v>7868.7027027026998</v>
      </c>
      <c r="I26" s="3992">
        <f>(Unit.km2)*8084.91891891892</f>
        <v>8084.9189189189201</v>
      </c>
      <c r="J26" s="3992">
        <f>(Unit.km2)*8301.13513513513</f>
        <v>8301.1351351351295</v>
      </c>
      <c r="K26" s="3992">
        <f>(Unit.km2)*8517.35135135135</f>
        <v>8517.3513513513499</v>
      </c>
      <c r="L26" s="3992">
        <f>(Unit.km2)*8733.56756756757</f>
        <v>8733.5675675675702</v>
      </c>
      <c r="M26" s="3992">
        <f>(Unit.km2)*8949.78378378378</f>
        <v>8949.7837837837797</v>
      </c>
      <c r="N26" s="3992">
        <f>(Unit.km2)*9166</f>
        <v>9166</v>
      </c>
      <c r="O26" s="67"/>
      <c r="P26" s="67"/>
      <c r="Q26"/>
      <c r="R26"/>
      <c r="S26"/>
      <c r="T26"/>
      <c r="U26"/>
      <c r="V26"/>
      <c r="W26"/>
      <c r="X26"/>
      <c r="Y26"/>
      <c r="Z26"/>
      <c r="AA26"/>
      <c r="AB26" s="6"/>
      <c r="AC26" s="6"/>
      <c r="AD26" s="6"/>
      <c r="AE26" s="6"/>
      <c r="AF26" s="6"/>
    </row>
    <row r="27" spans="2:32" ht="15.75">
      <c r="B27" s="55"/>
      <c r="C27" s="65">
        <v>1</v>
      </c>
      <c r="D27" s="108" t="s">
        <v>411</v>
      </c>
      <c r="E27" s="1267" t="s">
        <v>1945</v>
      </c>
      <c r="F27" s="3991">
        <f>(Unit.km2)*14247.09</f>
        <v>14247.09</v>
      </c>
      <c r="G27" s="3993">
        <f>(Unit.km2)*14134.4832179477</f>
        <v>14134.4832179477</v>
      </c>
      <c r="H27" s="3993">
        <f>(Unit.km2)*13852.966262817</f>
        <v>13852.966262817001</v>
      </c>
      <c r="I27" s="3993">
        <f>(Unit.km2)*13571.4493076863</f>
        <v>13571.4493076863</v>
      </c>
      <c r="J27" s="3993">
        <f>(Unit.km2)*13289.9323525556</f>
        <v>13289.932352555599</v>
      </c>
      <c r="K27" s="3993">
        <f>(Unit.km2)*13008.4153974249</f>
        <v>13008.4153974249</v>
      </c>
      <c r="L27" s="3993">
        <f>(Unit.km2)*12726.8984422942</f>
        <v>12726.898442294199</v>
      </c>
      <c r="M27" s="3993">
        <f>(Unit.km2)*12445.3814871635</f>
        <v>12445.3814871635</v>
      </c>
      <c r="N27" s="3993">
        <f>(Unit.km2)*12163.8645320327</f>
        <v>12163.8645320327</v>
      </c>
      <c r="O27" s="67"/>
      <c r="P27" s="67"/>
      <c r="Q27"/>
      <c r="R27"/>
      <c r="S27"/>
      <c r="T27"/>
      <c r="U27"/>
      <c r="V27"/>
      <c r="W27"/>
      <c r="X27"/>
      <c r="Y27" s="3597"/>
      <c r="Z27" s="3597"/>
      <c r="AA27" s="6"/>
      <c r="AB27" s="6"/>
      <c r="AC27" s="6"/>
      <c r="AD27" s="6"/>
      <c r="AE27" s="6"/>
      <c r="AF27" s="6"/>
    </row>
    <row r="28" spans="2:32" ht="15.75">
      <c r="B28" s="55"/>
      <c r="C28" s="1179">
        <v>2</v>
      </c>
      <c r="D28" s="1179" t="s">
        <v>1934</v>
      </c>
      <c r="E28" s="1179" t="s">
        <v>1935</v>
      </c>
      <c r="F28" s="3994">
        <f t="shared" ref="F28:N28" si="4">(Unit.km2)*11554</f>
        <v>11554</v>
      </c>
      <c r="G28" s="3990">
        <f t="shared" si="4"/>
        <v>11554</v>
      </c>
      <c r="H28" s="3990">
        <f t="shared" si="4"/>
        <v>11554</v>
      </c>
      <c r="I28" s="3990">
        <f t="shared" si="4"/>
        <v>11554</v>
      </c>
      <c r="J28" s="3990">
        <f t="shared" si="4"/>
        <v>11554</v>
      </c>
      <c r="K28" s="3990">
        <f t="shared" si="4"/>
        <v>11554</v>
      </c>
      <c r="L28" s="3990">
        <f t="shared" si="4"/>
        <v>11554</v>
      </c>
      <c r="M28" s="3990">
        <f t="shared" si="4"/>
        <v>11554</v>
      </c>
      <c r="N28" s="3990">
        <f t="shared" si="4"/>
        <v>11554</v>
      </c>
      <c r="O28" s="67"/>
      <c r="P28" s="67"/>
      <c r="Q28"/>
      <c r="R28"/>
      <c r="S28"/>
      <c r="T28"/>
      <c r="U28"/>
      <c r="V28"/>
      <c r="W28"/>
      <c r="X28"/>
      <c r="Y28" s="6"/>
      <c r="Z28" s="6"/>
      <c r="AA28" s="6"/>
      <c r="AB28" s="6"/>
      <c r="AC28" s="6"/>
      <c r="AD28" s="6"/>
      <c r="AE28" s="6"/>
      <c r="AF28" s="6"/>
    </row>
    <row r="29" spans="2:32" ht="15.75">
      <c r="B29" s="55"/>
      <c r="C29" s="65">
        <v>2</v>
      </c>
      <c r="D29" s="65" t="s">
        <v>1936</v>
      </c>
      <c r="E29" s="65" t="s">
        <v>686</v>
      </c>
      <c r="F29" s="3991">
        <f t="shared" ref="F29:N29" si="5">(Unit.km2)*123</f>
        <v>123</v>
      </c>
      <c r="G29" s="3992">
        <f t="shared" si="5"/>
        <v>123</v>
      </c>
      <c r="H29" s="3992">
        <f t="shared" si="5"/>
        <v>123</v>
      </c>
      <c r="I29" s="3992">
        <f t="shared" si="5"/>
        <v>123</v>
      </c>
      <c r="J29" s="3992">
        <f t="shared" si="5"/>
        <v>123</v>
      </c>
      <c r="K29" s="3992">
        <f t="shared" si="5"/>
        <v>123</v>
      </c>
      <c r="L29" s="3992">
        <f t="shared" si="5"/>
        <v>123</v>
      </c>
      <c r="M29" s="3992">
        <f t="shared" si="5"/>
        <v>123</v>
      </c>
      <c r="N29" s="3992">
        <f t="shared" si="5"/>
        <v>123</v>
      </c>
      <c r="O29" s="67"/>
      <c r="P29" s="67"/>
      <c r="Q29"/>
      <c r="R29"/>
      <c r="S29"/>
      <c r="T29"/>
      <c r="U29"/>
      <c r="V29"/>
      <c r="W29"/>
      <c r="X29"/>
      <c r="Y29" s="6"/>
      <c r="Z29" s="6"/>
      <c r="AA29" s="6"/>
      <c r="AB29" s="6"/>
      <c r="AC29" s="6"/>
      <c r="AD29" s="6"/>
      <c r="AE29" s="6"/>
      <c r="AF29" s="6"/>
    </row>
    <row r="30" spans="2:32" ht="15.75">
      <c r="B30" s="55"/>
      <c r="C30" s="65">
        <v>2</v>
      </c>
      <c r="D30" s="65" t="s">
        <v>1937</v>
      </c>
      <c r="E30" s="65" t="s">
        <v>1938</v>
      </c>
      <c r="F30" s="3991">
        <f t="shared" ref="F30:N30" si="6">(Unit.km2)*33</f>
        <v>33</v>
      </c>
      <c r="G30" s="3992">
        <f t="shared" si="6"/>
        <v>33</v>
      </c>
      <c r="H30" s="3992">
        <f t="shared" si="6"/>
        <v>33</v>
      </c>
      <c r="I30" s="3992">
        <f t="shared" si="6"/>
        <v>33</v>
      </c>
      <c r="J30" s="3992">
        <f t="shared" si="6"/>
        <v>33</v>
      </c>
      <c r="K30" s="3992">
        <f t="shared" si="6"/>
        <v>33</v>
      </c>
      <c r="L30" s="3992">
        <f t="shared" si="6"/>
        <v>33</v>
      </c>
      <c r="M30" s="3992">
        <f t="shared" si="6"/>
        <v>33</v>
      </c>
      <c r="N30" s="3992">
        <f t="shared" si="6"/>
        <v>33</v>
      </c>
      <c r="O30" s="67"/>
      <c r="P30" s="67"/>
      <c r="Q30"/>
      <c r="R30"/>
      <c r="S30"/>
      <c r="T30"/>
      <c r="U30"/>
      <c r="V30"/>
      <c r="W30"/>
      <c r="X30"/>
      <c r="Y30" s="6"/>
      <c r="Z30" s="6"/>
      <c r="AA30" s="6"/>
      <c r="AB30" s="6"/>
      <c r="AC30" s="6"/>
      <c r="AD30" s="6"/>
      <c r="AE30" s="6"/>
      <c r="AF30" s="6"/>
    </row>
    <row r="31" spans="2:32" ht="15.75">
      <c r="B31" s="55"/>
      <c r="C31" s="65">
        <v>2</v>
      </c>
      <c r="D31" s="65" t="s">
        <v>1939</v>
      </c>
      <c r="E31" s="65" t="s">
        <v>1940</v>
      </c>
      <c r="F31" s="3991">
        <v>0</v>
      </c>
      <c r="G31" s="3992">
        <f>(Unit.km2)*222.421433177949</f>
        <v>222.42143317794901</v>
      </c>
      <c r="H31" s="3992">
        <f>(Unit.km2)*778.47501612282</f>
        <v>778.47501612281997</v>
      </c>
      <c r="I31" s="3992">
        <f>(Unit.km2)*1334.52859906769</f>
        <v>1334.52859906769</v>
      </c>
      <c r="J31" s="3992">
        <f>(Unit.km2)*1890.58218201256</f>
        <v>1890.58218201256</v>
      </c>
      <c r="K31" s="3992">
        <f>(Unit.km2)*2446.63576495744</f>
        <v>2446.6357649574402</v>
      </c>
      <c r="L31" s="3992">
        <f>(Unit.km2)*3002.68934790231</f>
        <v>3002.6893479023101</v>
      </c>
      <c r="M31" s="3992">
        <f>(Unit.km2)*3558.74293084718</f>
        <v>3558.7429308471801</v>
      </c>
      <c r="N31" s="3963">
        <f>(Unit.km2)*4114.79651379205</f>
        <v>4114.7965137920501</v>
      </c>
      <c r="O31" s="67"/>
      <c r="P31" s="77"/>
      <c r="Q31"/>
      <c r="R31"/>
      <c r="S31"/>
      <c r="T31"/>
      <c r="U31"/>
      <c r="V31"/>
      <c r="W31"/>
      <c r="X31"/>
      <c r="Y31" s="6"/>
      <c r="Z31" s="6"/>
      <c r="AA31" s="6"/>
      <c r="AB31" s="6"/>
      <c r="AC31" s="6"/>
      <c r="AD31" s="6"/>
      <c r="AE31" s="6"/>
      <c r="AF31" s="6"/>
    </row>
    <row r="32" spans="2:32" ht="15.75">
      <c r="B32" s="55"/>
      <c r="C32" s="65">
        <v>2</v>
      </c>
      <c r="D32" s="65" t="s">
        <v>1941</v>
      </c>
      <c r="E32" s="65" t="s">
        <v>239</v>
      </c>
      <c r="F32" s="3991">
        <f>(Unit.km2)*33620</f>
        <v>33620</v>
      </c>
      <c r="G32" s="3992">
        <f>(Unit.km2)*33548.7078099966</f>
        <v>33548.707809996602</v>
      </c>
      <c r="H32" s="3992">
        <f>(Unit.km2)*33370.4773349883</f>
        <v>33370.477334988303</v>
      </c>
      <c r="I32" s="3992">
        <f>(Unit.km2)*33192.2468599799</f>
        <v>33192.246859979903</v>
      </c>
      <c r="J32" s="3992">
        <f>(Unit.km2)*33014.0163849715</f>
        <v>33014.016384971503</v>
      </c>
      <c r="K32" s="3992">
        <f>(Unit.km2)*32835.7859099631</f>
        <v>32835.785909963102</v>
      </c>
      <c r="L32" s="3992">
        <f>(Unit.km2)*32657.5554349548</f>
        <v>32657.5554349548</v>
      </c>
      <c r="M32" s="3992">
        <f>(Unit.km2)*32479.3249599464</f>
        <v>32479.3249599464</v>
      </c>
      <c r="N32" s="3963">
        <f>(Unit.km2)*32301.094484938</f>
        <v>32301.094484937999</v>
      </c>
      <c r="O32" s="67" t="s">
        <v>5</v>
      </c>
      <c r="P32" s="67"/>
      <c r="Q32"/>
      <c r="R32"/>
      <c r="S32"/>
      <c r="T32"/>
      <c r="U32"/>
      <c r="V32"/>
      <c r="W32"/>
      <c r="X32"/>
      <c r="Y32"/>
      <c r="Z32"/>
      <c r="AA32" s="6"/>
      <c r="AB32" s="6"/>
      <c r="AC32" s="6"/>
      <c r="AD32" s="6"/>
      <c r="AE32" s="6"/>
      <c r="AF32" s="6"/>
    </row>
    <row r="33" spans="2:32" ht="15.75">
      <c r="B33" s="55"/>
      <c r="C33" s="65">
        <v>2</v>
      </c>
      <c r="D33" s="65" t="s">
        <v>1942</v>
      </c>
      <c r="E33" s="65" t="s">
        <v>1943</v>
      </c>
      <c r="F33" s="3991">
        <f>(Unit.km2)*1746.91</f>
        <v>1746.91</v>
      </c>
      <c r="G33" s="3992">
        <f>(Unit.km2)*1773.0302955658</f>
        <v>1773.0302955658001</v>
      </c>
      <c r="H33" s="3992">
        <f>(Unit.km2)*1838.33103448029</f>
        <v>1838.3310344802901</v>
      </c>
      <c r="I33" s="3992">
        <f>(Unit.km2)*1903.63177339479</f>
        <v>1903.6317733947899</v>
      </c>
      <c r="J33" s="3992">
        <f>(Unit.km2)*1968.93251230928</f>
        <v>1968.9325123092799</v>
      </c>
      <c r="K33" s="3992">
        <f>(Unit.km2)*2034.23325122378</f>
        <v>2034.2332512237799</v>
      </c>
      <c r="L33" s="3992">
        <f>(Unit.km2)*2099.53399013827</f>
        <v>2099.5339901382699</v>
      </c>
      <c r="M33" s="3992">
        <f>(Unit.km2)*2164.83472905277</f>
        <v>2164.8347290527699</v>
      </c>
      <c r="N33" s="3963">
        <f>(Unit.km2)*2230.13546796726</f>
        <v>2230.13546796726</v>
      </c>
      <c r="O33" s="67"/>
      <c r="P33" s="67"/>
      <c r="Q33"/>
      <c r="R33"/>
      <c r="S33"/>
      <c r="T33"/>
      <c r="U33"/>
      <c r="V33"/>
      <c r="W33"/>
      <c r="X33"/>
      <c r="Y33"/>
      <c r="Z33"/>
      <c r="AA33" s="6"/>
      <c r="AB33" s="6"/>
      <c r="AC33" s="6"/>
      <c r="AD33" s="6"/>
      <c r="AE33" s="6"/>
      <c r="AF33" s="6"/>
    </row>
    <row r="34" spans="2:32" ht="15.75">
      <c r="B34" s="55"/>
      <c r="C34" s="65">
        <v>2</v>
      </c>
      <c r="D34" s="65" t="s">
        <v>1944</v>
      </c>
      <c r="E34" s="65" t="s">
        <v>460</v>
      </c>
      <c r="F34" s="3991">
        <f>(Unit.km2)*7566</f>
        <v>7566</v>
      </c>
      <c r="G34" s="3992">
        <f>(Unit.km2)*7697.45945945946</f>
        <v>7697.45945945946</v>
      </c>
      <c r="H34" s="3992">
        <f>(Unit.km2)*8026.10810810811</f>
        <v>8026.1081081081102</v>
      </c>
      <c r="I34" s="3992">
        <f>(Unit.km2)*8354.75675675676</f>
        <v>8354.7567567567603</v>
      </c>
      <c r="J34" s="3992">
        <f>(Unit.km2)*8683.4054054054</f>
        <v>8683.4054054053995</v>
      </c>
      <c r="K34" s="3992">
        <f>(Unit.km2)*9012.05405405405</f>
        <v>9012.0540540540496</v>
      </c>
      <c r="L34" s="3992">
        <f>(Unit.km2)*9340.7027027027</f>
        <v>9340.7027027026998</v>
      </c>
      <c r="M34" s="3992">
        <f>(Unit.km2)*9669.35135135135</f>
        <v>9669.3513513513499</v>
      </c>
      <c r="N34" s="3963">
        <f>(Unit.km2)*9998</f>
        <v>9998</v>
      </c>
      <c r="O34" s="67" t="s">
        <v>5</v>
      </c>
      <c r="P34" s="67"/>
      <c r="Q34" s="6"/>
      <c r="R34" s="6"/>
      <c r="S34"/>
      <c r="T34"/>
      <c r="U34"/>
      <c r="V34"/>
      <c r="W34"/>
      <c r="X34"/>
      <c r="Y34"/>
      <c r="Z34"/>
      <c r="AA34" s="6"/>
      <c r="AB34" s="6"/>
      <c r="AC34" s="6"/>
      <c r="AD34" s="6"/>
      <c r="AE34" s="6"/>
      <c r="AF34" s="6"/>
    </row>
    <row r="35" spans="2:32" ht="15.75">
      <c r="B35" s="55"/>
      <c r="C35" s="926">
        <v>2</v>
      </c>
      <c r="D35" s="926" t="s">
        <v>411</v>
      </c>
      <c r="E35" s="926" t="s">
        <v>1945</v>
      </c>
      <c r="F35" s="3995">
        <f>(Unit.km2)*14247.09</f>
        <v>14247.09</v>
      </c>
      <c r="G35" s="3993">
        <f>(Unit.km2)*13938.3810018001</f>
        <v>13938.3810018001</v>
      </c>
      <c r="H35" s="3993">
        <f>(Unit.km2)*13166.6085063005</f>
        <v>13166.608506300499</v>
      </c>
      <c r="I35" s="3993">
        <f>(Unit.km2)*12394.8360108009</f>
        <v>12394.8360108009</v>
      </c>
      <c r="J35" s="3993">
        <f>(Unit.km2)*11623.0635153012</f>
        <v>11623.063515301201</v>
      </c>
      <c r="K35" s="3993">
        <f>(Unit.km2)*10851.2910198016</f>
        <v>10851.2910198016</v>
      </c>
      <c r="L35" s="3993">
        <f>(Unit.km2)*10079.518524302</f>
        <v>10079.518524302001</v>
      </c>
      <c r="M35" s="3993">
        <f>(Unit.km2)*9307.74602880232</f>
        <v>9307.7460288023194</v>
      </c>
      <c r="N35" s="3993">
        <f>(Unit.km2)*8535.97353330269</f>
        <v>8535.9735333026892</v>
      </c>
      <c r="O35" s="67"/>
      <c r="P35" s="67"/>
      <c r="Q35" s="6"/>
      <c r="R35" s="6"/>
      <c r="S35"/>
      <c r="T35"/>
      <c r="U35"/>
      <c r="V35"/>
      <c r="W35"/>
      <c r="X35"/>
      <c r="Y35"/>
      <c r="Z35"/>
      <c r="AA35" s="6"/>
      <c r="AB35" s="6"/>
      <c r="AC35" s="6"/>
      <c r="AD35" s="6"/>
      <c r="AE35" s="6"/>
      <c r="AF35" s="6"/>
    </row>
    <row r="36" spans="2:32" ht="15.75">
      <c r="B36" s="55"/>
      <c r="C36" s="65">
        <v>3</v>
      </c>
      <c r="D36" s="65" t="s">
        <v>1934</v>
      </c>
      <c r="E36" s="65" t="s">
        <v>1935</v>
      </c>
      <c r="F36" s="3994">
        <f>(Unit.km2)*11554</f>
        <v>11554</v>
      </c>
      <c r="G36" s="3996">
        <f>(Unit.km2)*11544.4324324324</f>
        <v>11544.432432432401</v>
      </c>
      <c r="H36" s="3997">
        <f>(Unit.km2)*11520.5135135135</f>
        <v>11520.513513513501</v>
      </c>
      <c r="I36" s="3997">
        <f>(Unit.km2)*11496.5945945946</f>
        <v>11496.5945945946</v>
      </c>
      <c r="J36" s="3997">
        <f>(Unit.km2)*11472.6756756757</f>
        <v>11472.6756756757</v>
      </c>
      <c r="K36" s="3997">
        <f>(Unit.km2)*11448.7567567568</f>
        <v>11448.7567567568</v>
      </c>
      <c r="L36" s="3997">
        <f>(Unit.km2)*11424.8378378378</f>
        <v>11424.8378378378</v>
      </c>
      <c r="M36" s="3997">
        <f>(Unit.km2)*11400.9189189189</f>
        <v>11400.9189189189</v>
      </c>
      <c r="N36" s="3997">
        <f>(Unit.km2)*11377</f>
        <v>11377</v>
      </c>
      <c r="O36" s="67"/>
      <c r="P36" s="67"/>
      <c r="Q36" s="6"/>
      <c r="R36" s="6"/>
      <c r="S36"/>
      <c r="T36"/>
      <c r="U36"/>
      <c r="V36"/>
      <c r="W36"/>
      <c r="X36"/>
      <c r="Y36"/>
      <c r="Z36"/>
      <c r="AA36" s="6"/>
      <c r="AB36" s="6"/>
      <c r="AC36" s="6"/>
      <c r="AD36" s="6"/>
      <c r="AE36" s="6"/>
      <c r="AF36" s="6"/>
    </row>
    <row r="37" spans="2:32" ht="15.75">
      <c r="B37" s="55"/>
      <c r="C37" s="65">
        <v>3</v>
      </c>
      <c r="D37" s="65" t="s">
        <v>1936</v>
      </c>
      <c r="E37" s="65" t="s">
        <v>686</v>
      </c>
      <c r="F37" s="3991">
        <f>(Unit.km2)*123</f>
        <v>123</v>
      </c>
      <c r="G37" s="3992">
        <f>(Unit.km2)*132.567567567568</f>
        <v>132.56756756756801</v>
      </c>
      <c r="H37" s="3992">
        <f>(Unit.km2)*156.486486486486</f>
        <v>156.486486486486</v>
      </c>
      <c r="I37" s="3992">
        <f>(Unit.km2)*180.405405405405</f>
        <v>180.40540540540499</v>
      </c>
      <c r="J37" s="3992">
        <f>(Unit.km2)*204.324324324324</f>
        <v>204.32432432432401</v>
      </c>
      <c r="K37" s="3992">
        <f>(Unit.km2)*228.243243243243</f>
        <v>228.243243243243</v>
      </c>
      <c r="L37" s="3992">
        <f>(Unit.km2)*252.162162162162</f>
        <v>252.16216216216199</v>
      </c>
      <c r="M37" s="3992">
        <f>(Unit.km2)*276.081081081081</f>
        <v>276.08108108108098</v>
      </c>
      <c r="N37" s="3963">
        <f>(Unit.km2)*300</f>
        <v>300</v>
      </c>
      <c r="O37" s="67"/>
      <c r="P37" s="67"/>
      <c r="Q37" s="6"/>
      <c r="R37" s="6"/>
      <c r="S37"/>
      <c r="T37"/>
      <c r="U37"/>
      <c r="V37"/>
      <c r="W37"/>
      <c r="X37"/>
      <c r="Y37"/>
      <c r="Z37"/>
      <c r="AA37" s="6"/>
      <c r="AB37" s="6"/>
      <c r="AC37" s="6"/>
      <c r="AD37" s="6"/>
      <c r="AE37" s="6"/>
      <c r="AF37" s="6"/>
    </row>
    <row r="38" spans="2:32" ht="15.75">
      <c r="B38" s="55"/>
      <c r="C38" s="65">
        <v>3</v>
      </c>
      <c r="D38" s="65" t="s">
        <v>1937</v>
      </c>
      <c r="E38" s="65" t="s">
        <v>1938</v>
      </c>
      <c r="F38" s="3991">
        <f>(Unit.km2)*33</f>
        <v>33</v>
      </c>
      <c r="G38" s="3992">
        <f>(Unit.km2)*68.7837837837838</f>
        <v>68.783783783783804</v>
      </c>
      <c r="H38" s="3992">
        <f>(Unit.km2)*158.243243243243</f>
        <v>158.243243243243</v>
      </c>
      <c r="I38" s="3992">
        <f>(Unit.km2)*247.702702702703</f>
        <v>247.70270270270299</v>
      </c>
      <c r="J38" s="3992">
        <f>(Unit.km2)*337.162162162162</f>
        <v>337.16216216216202</v>
      </c>
      <c r="K38" s="3992">
        <f>(Unit.km2)*426.621621621622</f>
        <v>426.62162162162201</v>
      </c>
      <c r="L38" s="3992">
        <f>(Unit.km2)*516.081081081081</f>
        <v>516.08108108108104</v>
      </c>
      <c r="M38" s="3992">
        <f>(Unit.km2)*605.540540540541</f>
        <v>605.54054054054097</v>
      </c>
      <c r="N38" s="3963">
        <f>(Unit.km2)*695</f>
        <v>695</v>
      </c>
      <c r="O38" s="67"/>
      <c r="P38" s="67"/>
      <c r="Q38" s="6"/>
      <c r="R38" s="6"/>
      <c r="S38"/>
      <c r="T38"/>
      <c r="U38"/>
      <c r="V38"/>
      <c r="W38"/>
      <c r="X38"/>
      <c r="Y38"/>
      <c r="Z38"/>
      <c r="AA38" s="6"/>
      <c r="AB38" s="6"/>
      <c r="AC38" s="6"/>
      <c r="AD38" s="6"/>
      <c r="AE38" s="6"/>
      <c r="AF38" s="6"/>
    </row>
    <row r="39" spans="2:32" ht="15.75">
      <c r="B39" s="55"/>
      <c r="C39" s="65">
        <v>3</v>
      </c>
      <c r="D39" s="65" t="s">
        <v>1939</v>
      </c>
      <c r="E39" s="65" t="s">
        <v>1940</v>
      </c>
      <c r="F39" s="3991">
        <v>0</v>
      </c>
      <c r="G39" s="3992">
        <f>(Unit.km2)*321.081081081081</f>
        <v>321.08108108108098</v>
      </c>
      <c r="H39" s="3992">
        <f>(Unit.km2)*1123.78378378378</f>
        <v>1123.7837837837801</v>
      </c>
      <c r="I39" s="3992">
        <f>(Unit.km2)*1926.48648648649</f>
        <v>1926.4864864864901</v>
      </c>
      <c r="J39" s="3992">
        <f>(Unit.km2)*2729.18918918919</f>
        <v>2729.1891891891901</v>
      </c>
      <c r="K39" s="3992">
        <f>(Unit.km2)*3531.89189189189</f>
        <v>3531.8918918918898</v>
      </c>
      <c r="L39" s="3992">
        <f>(Unit.km2)*4334.5945945946</f>
        <v>4334.5945945945996</v>
      </c>
      <c r="M39" s="3992">
        <f>(Unit.km2)*5137.2972972973</f>
        <v>5137.2972972973002</v>
      </c>
      <c r="N39" s="3963">
        <f>(Unit.km2)*5940</f>
        <v>5940</v>
      </c>
      <c r="O39" s="77"/>
      <c r="P39" s="67"/>
      <c r="Q39"/>
      <c r="R39"/>
      <c r="S39"/>
      <c r="T39"/>
      <c r="U39"/>
      <c r="V39"/>
      <c r="W39"/>
      <c r="X39"/>
      <c r="Y39"/>
      <c r="Z39"/>
      <c r="AA39" s="6"/>
      <c r="AB39" s="6"/>
      <c r="AC39" s="6"/>
      <c r="AD39" s="6"/>
      <c r="AE39" s="6"/>
      <c r="AF39" s="6"/>
    </row>
    <row r="40" spans="2:32" ht="15.75">
      <c r="B40" s="55"/>
      <c r="C40" s="65">
        <v>3</v>
      </c>
      <c r="D40" s="65" t="s">
        <v>1941</v>
      </c>
      <c r="E40" s="65" t="s">
        <v>239</v>
      </c>
      <c r="F40" s="3991">
        <f>(Unit.km2)*33620</f>
        <v>33620</v>
      </c>
      <c r="G40" s="3992">
        <f>(Unit.km2)*33480.1451641069</f>
        <v>33480.1451641069</v>
      </c>
      <c r="H40" s="3992">
        <f>(Unit.km2)*33130.508074374</f>
        <v>33130.508074374004</v>
      </c>
      <c r="I40" s="3992">
        <f>(Unit.km2)*32780.8709846412</f>
        <v>32780.870984641202</v>
      </c>
      <c r="J40" s="3992">
        <f>(Unit.km2)*32431.2338949083</f>
        <v>32431.233894908299</v>
      </c>
      <c r="K40" s="3992">
        <f>(Unit.km2)*32081.5968051755</f>
        <v>32081.596805175501</v>
      </c>
      <c r="L40" s="3992">
        <f>(Unit.km2)*31731.9597154426</f>
        <v>31731.959715442601</v>
      </c>
      <c r="M40" s="3992">
        <f>(Unit.km2)*31382.3226257098</f>
        <v>31382.322625709799</v>
      </c>
      <c r="N40" s="3963">
        <f>(Unit.km2)*31032.6855359769</f>
        <v>31032.6855359769</v>
      </c>
      <c r="O40" s="67"/>
      <c r="P40" s="67"/>
      <c r="Q40"/>
      <c r="R40"/>
      <c r="S40"/>
      <c r="T40"/>
      <c r="U40"/>
      <c r="V40"/>
      <c r="W40"/>
      <c r="X40"/>
      <c r="Y40"/>
      <c r="Z40"/>
      <c r="AA40" s="6"/>
      <c r="AB40" s="6"/>
      <c r="AC40" s="6"/>
      <c r="AD40" s="6"/>
      <c r="AE40" s="6"/>
      <c r="AF40" s="6"/>
    </row>
    <row r="41" spans="2:32" ht="15.75">
      <c r="B41" s="55"/>
      <c r="C41" s="65">
        <v>3</v>
      </c>
      <c r="D41" s="65" t="s">
        <v>1942</v>
      </c>
      <c r="E41" s="65" t="s">
        <v>1943</v>
      </c>
      <c r="F41" s="3991">
        <f>(Unit.km2)*1746.91</f>
        <v>1746.91</v>
      </c>
      <c r="G41" s="3992">
        <f>(Unit.km2)*1773.0302955658</f>
        <v>1773.0302955658001</v>
      </c>
      <c r="H41" s="3992">
        <f>(Unit.km2)*1838.33103448029</f>
        <v>1838.3310344802901</v>
      </c>
      <c r="I41" s="3992">
        <f>(Unit.km2)*1903.63177339479</f>
        <v>1903.6317733947899</v>
      </c>
      <c r="J41" s="3992">
        <f>(Unit.km2)*1968.93251230928</f>
        <v>1968.9325123092799</v>
      </c>
      <c r="K41" s="3992">
        <f>(Unit.km2)*2034.23325122378</f>
        <v>2034.2332512237799</v>
      </c>
      <c r="L41" s="3992">
        <f>(Unit.km2)*2099.53399013827</f>
        <v>2099.5339901382699</v>
      </c>
      <c r="M41" s="3992">
        <f>(Unit.km2)*2164.83472905277</f>
        <v>2164.8347290527699</v>
      </c>
      <c r="N41" s="3963">
        <f>(Unit.km2)*2230.13546796726</f>
        <v>2230.13546796726</v>
      </c>
      <c r="O41" s="67"/>
      <c r="P41" s="67"/>
      <c r="Q41"/>
      <c r="R41"/>
      <c r="S41"/>
      <c r="T41"/>
      <c r="U41"/>
      <c r="V41"/>
      <c r="W41"/>
      <c r="X41"/>
      <c r="Y41"/>
      <c r="Z41"/>
      <c r="AA41" s="6"/>
      <c r="AB41" s="6"/>
      <c r="AC41" s="6"/>
      <c r="AD41" s="6"/>
      <c r="AE41" s="6"/>
      <c r="AF41" s="6"/>
    </row>
    <row r="42" spans="2:32" ht="15.75">
      <c r="B42" s="55"/>
      <c r="C42" s="65">
        <v>3</v>
      </c>
      <c r="D42" s="65" t="s">
        <v>1944</v>
      </c>
      <c r="E42" s="65" t="s">
        <v>460</v>
      </c>
      <c r="F42" s="3991">
        <f>(Unit.km2)*7566</f>
        <v>7566</v>
      </c>
      <c r="G42" s="3992">
        <f>(Unit.km2)*7697.45945945946</f>
        <v>7697.45945945946</v>
      </c>
      <c r="H42" s="3992">
        <f>(Unit.km2)*8026.10810810811</f>
        <v>8026.1081081081102</v>
      </c>
      <c r="I42" s="3992">
        <f>(Unit.km2)*8354.75675675676</f>
        <v>8354.7567567567603</v>
      </c>
      <c r="J42" s="3992">
        <f>(Unit.km2)*8683.4054054054</f>
        <v>8683.4054054053995</v>
      </c>
      <c r="K42" s="3992">
        <f>(Unit.km2)*9012.05405405405</f>
        <v>9012.0540540540496</v>
      </c>
      <c r="L42" s="3992">
        <f>(Unit.km2)*9340.7027027027</f>
        <v>9340.7027027026998</v>
      </c>
      <c r="M42" s="3992">
        <f>(Unit.km2)*9669.35135135135</f>
        <v>9669.3513513513499</v>
      </c>
      <c r="N42" s="3963">
        <f>(Unit.km2)*9998</f>
        <v>9998</v>
      </c>
      <c r="O42" s="67"/>
      <c r="P42" s="67"/>
      <c r="Q42"/>
      <c r="R42"/>
      <c r="S42"/>
      <c r="T42"/>
      <c r="U42"/>
      <c r="V42"/>
      <c r="W42"/>
      <c r="X42"/>
      <c r="Y42"/>
      <c r="Z42"/>
      <c r="AA42" s="6"/>
      <c r="AB42" s="6"/>
      <c r="AC42" s="6"/>
      <c r="AD42" s="6"/>
      <c r="AE42" s="6"/>
      <c r="AF42" s="6"/>
    </row>
    <row r="43" spans="2:32" ht="15.75">
      <c r="B43" s="55"/>
      <c r="C43" s="926">
        <v>3</v>
      </c>
      <c r="D43" s="926" t="s">
        <v>411</v>
      </c>
      <c r="E43" s="926" t="s">
        <v>1945</v>
      </c>
      <c r="F43" s="3995">
        <f>(Unit.km2)*14247.09</f>
        <v>14247.09</v>
      </c>
      <c r="G43" s="3993">
        <f>(Unit.km2)*13872.500216003</f>
        <v>13872.500216003</v>
      </c>
      <c r="H43" s="3993">
        <f>(Unit.km2)*12936.0257560106</f>
        <v>12936.0257560106</v>
      </c>
      <c r="I43" s="3993">
        <f>(Unit.km2)*11999.5512960181</f>
        <v>11999.5512960181</v>
      </c>
      <c r="J43" s="3993">
        <f>(Unit.km2)*11063.0768360257</f>
        <v>11063.076836025701</v>
      </c>
      <c r="K43" s="3993">
        <f>(Unit.km2)*10126.6023760332</f>
        <v>10126.602376033199</v>
      </c>
      <c r="L43" s="3993">
        <f>(Unit.km2)*9190.12791604074</f>
        <v>9190.1279160407394</v>
      </c>
      <c r="M43" s="3993">
        <f>(Unit.km2)*8253.65345604829</f>
        <v>8253.6534560482905</v>
      </c>
      <c r="N43" s="3993">
        <f>(Unit.km2)*7317.17899605585</f>
        <v>7317.1789960558499</v>
      </c>
      <c r="O43" s="67"/>
      <c r="P43" s="67"/>
      <c r="Q43"/>
      <c r="R43"/>
      <c r="S43"/>
      <c r="T43"/>
      <c r="U43"/>
      <c r="V43"/>
      <c r="W43"/>
      <c r="X43"/>
      <c r="Y43"/>
      <c r="Z43"/>
      <c r="AA43" s="859"/>
      <c r="AB43" s="6"/>
      <c r="AC43" s="6"/>
      <c r="AD43" s="6"/>
      <c r="AE43" s="6"/>
      <c r="AF43" s="6"/>
    </row>
    <row r="44" spans="2:32" ht="15.75">
      <c r="B44" s="55"/>
      <c r="C44" s="65">
        <v>4</v>
      </c>
      <c r="D44" s="108" t="s">
        <v>1934</v>
      </c>
      <c r="E44" s="1267" t="s">
        <v>1935</v>
      </c>
      <c r="F44" s="3991">
        <f>(Unit.km2)*11554</f>
        <v>11554</v>
      </c>
      <c r="G44" s="3998">
        <f>(Unit.km2)*11528.2162162162</f>
        <v>11528.2162162162</v>
      </c>
      <c r="H44" s="3997">
        <f>(Unit.km2)*11463.7567567568</f>
        <v>11463.7567567568</v>
      </c>
      <c r="I44" s="3997">
        <f>(Unit.km2)*11399.2972972973</f>
        <v>11399.2972972973</v>
      </c>
      <c r="J44" s="3997">
        <f>(Unit.km2)*11334.8378378378</f>
        <v>11334.8378378378</v>
      </c>
      <c r="K44" s="3997">
        <f>(Unit.km2)*11270.3783783784</f>
        <v>11270.3783783784</v>
      </c>
      <c r="L44" s="3997">
        <f>(Unit.km2)*11205.9189189189</f>
        <v>11205.9189189189</v>
      </c>
      <c r="M44" s="3997">
        <f>(Unit.km2)*11141.4594594595</f>
        <v>11141.4594594595</v>
      </c>
      <c r="N44" s="3997">
        <f>(Unit.km2)*11077</f>
        <v>11077</v>
      </c>
      <c r="O44" s="67"/>
      <c r="P44" s="67"/>
      <c r="Q44"/>
      <c r="R44"/>
      <c r="S44"/>
      <c r="T44"/>
      <c r="U44"/>
      <c r="V44"/>
      <c r="W44"/>
      <c r="X44"/>
      <c r="Y44"/>
      <c r="Z44"/>
      <c r="AA44" s="859"/>
      <c r="AB44" s="6"/>
      <c r="AC44" s="6"/>
      <c r="AD44" s="6"/>
      <c r="AE44" s="6"/>
      <c r="AF44" s="6"/>
    </row>
    <row r="45" spans="2:32" ht="15.75">
      <c r="B45" s="55"/>
      <c r="C45" s="65">
        <v>4</v>
      </c>
      <c r="D45" s="108" t="s">
        <v>1936</v>
      </c>
      <c r="E45" s="1267" t="s">
        <v>686</v>
      </c>
      <c r="F45" s="3991">
        <f>(Unit.km2)*123</f>
        <v>123</v>
      </c>
      <c r="G45" s="3992">
        <f>(Unit.km2)*148.783783783784</f>
        <v>148.783783783784</v>
      </c>
      <c r="H45" s="3992">
        <f>(Unit.km2)*213.243243243243</f>
        <v>213.243243243243</v>
      </c>
      <c r="I45" s="3992">
        <f>(Unit.km2)*277.702702702703</f>
        <v>277.70270270270299</v>
      </c>
      <c r="J45" s="3992">
        <f>(Unit.km2)*342.162162162162</f>
        <v>342.16216216216202</v>
      </c>
      <c r="K45" s="3992">
        <f>(Unit.km2)*406.621621621622</f>
        <v>406.62162162162201</v>
      </c>
      <c r="L45" s="3992">
        <f>(Unit.km2)*471.081081081081</f>
        <v>471.08108108108098</v>
      </c>
      <c r="M45" s="3992">
        <f>(Unit.km2)*535.540540540541</f>
        <v>535.54054054054097</v>
      </c>
      <c r="N45" s="3963">
        <f>(Unit.km2)*600</f>
        <v>600</v>
      </c>
      <c r="O45" s="67"/>
      <c r="P45" s="67"/>
      <c r="Q45"/>
      <c r="R45"/>
      <c r="S45"/>
      <c r="T45"/>
      <c r="U45"/>
      <c r="V45"/>
      <c r="W45"/>
      <c r="X45"/>
      <c r="Y45"/>
      <c r="Z45"/>
      <c r="AA45" s="859"/>
      <c r="AB45" s="6"/>
      <c r="AC45" s="6"/>
      <c r="AD45" s="6"/>
      <c r="AE45" s="6"/>
      <c r="AF45" s="6"/>
    </row>
    <row r="46" spans="2:32" ht="15.75">
      <c r="B46" s="55"/>
      <c r="C46" s="65">
        <v>4</v>
      </c>
      <c r="D46" s="108" t="s">
        <v>1937</v>
      </c>
      <c r="E46" s="1267" t="s">
        <v>1938</v>
      </c>
      <c r="F46" s="3991">
        <f>(Unit.km2)*33</f>
        <v>33</v>
      </c>
      <c r="G46" s="3999">
        <f>(Unit.km2)*68.7993744175503</f>
        <v>68.799374417550297</v>
      </c>
      <c r="H46" s="3992">
        <f>(Unit.km2)*158.297810461426</f>
        <v>158.297810461426</v>
      </c>
      <c r="I46" s="3992">
        <f>(Unit.km2)*247.796246505302</f>
        <v>247.79624650530201</v>
      </c>
      <c r="J46" s="3992">
        <f>(Unit.km2)*337.294682549177</f>
        <v>337.29468254917703</v>
      </c>
      <c r="K46" s="3992">
        <f>(Unit.km2)*426.793118593053</f>
        <v>426.79311859305301</v>
      </c>
      <c r="L46" s="3992">
        <f>(Unit.km2)*516.291554636929</f>
        <v>516.29155463692905</v>
      </c>
      <c r="M46" s="3992">
        <f>(Unit.km2)*605.789990680804</f>
        <v>605.78999068080395</v>
      </c>
      <c r="N46" s="3963">
        <f>(Unit.km2)*695.28842672468</f>
        <v>695.28842672467999</v>
      </c>
      <c r="O46" s="67"/>
      <c r="P46" s="67"/>
      <c r="Q46"/>
      <c r="R46"/>
      <c r="S46"/>
      <c r="T46"/>
      <c r="U46"/>
      <c r="V46"/>
      <c r="W46"/>
      <c r="X46"/>
      <c r="Y46"/>
      <c r="Z46"/>
      <c r="AA46" s="859"/>
      <c r="AB46" s="6"/>
      <c r="AC46" s="6"/>
      <c r="AD46" s="6"/>
      <c r="AE46" s="6"/>
      <c r="AF46" s="6"/>
    </row>
    <row r="47" spans="2:32" ht="15.75">
      <c r="B47" s="55"/>
      <c r="C47" s="65">
        <v>4</v>
      </c>
      <c r="D47" s="108" t="s">
        <v>1939</v>
      </c>
      <c r="E47" s="1267" t="s">
        <v>1940</v>
      </c>
      <c r="F47" s="3991">
        <v>0</v>
      </c>
      <c r="G47" s="3999">
        <f>(Unit.km2)*483.783783783784</f>
        <v>483.78378378378397</v>
      </c>
      <c r="H47" s="3992">
        <f>(Unit.km2)*1693.24324324324</f>
        <v>1693.2432432432399</v>
      </c>
      <c r="I47" s="3992">
        <f>(Unit.km2)*2902.7027027027</f>
        <v>2902.7027027027002</v>
      </c>
      <c r="J47" s="3992">
        <f>(Unit.km2)*4112.16216216216</f>
        <v>4112.1621621621598</v>
      </c>
      <c r="K47" s="3992">
        <f>(Unit.km2)*5321.62162162162</f>
        <v>5321.6216216216199</v>
      </c>
      <c r="L47" s="3992">
        <f>(Unit.km2)*6531.08108108108</f>
        <v>6531.0810810810799</v>
      </c>
      <c r="M47" s="3992">
        <f>(Unit.km2)*7740.54054054054</f>
        <v>7740.54054054054</v>
      </c>
      <c r="N47" s="3963">
        <f>(Unit.km2)*8950</f>
        <v>8950</v>
      </c>
      <c r="O47" s="67"/>
      <c r="P47" s="67"/>
      <c r="Q47"/>
      <c r="R47"/>
      <c r="S47"/>
      <c r="T47"/>
      <c r="U47"/>
      <c r="V47"/>
      <c r="W47"/>
      <c r="X47"/>
      <c r="Y47"/>
      <c r="Z47"/>
      <c r="AA47" s="859"/>
      <c r="AB47" s="6"/>
      <c r="AC47" s="6"/>
      <c r="AD47" s="6"/>
      <c r="AE47" s="6"/>
      <c r="AF47" s="6"/>
    </row>
    <row r="48" spans="2:32" ht="15.75">
      <c r="B48" s="55"/>
      <c r="C48" s="65">
        <v>4</v>
      </c>
      <c r="D48" s="108" t="s">
        <v>1941</v>
      </c>
      <c r="E48" s="1267" t="s">
        <v>239</v>
      </c>
      <c r="F48" s="3991">
        <f>(Unit.km2)*33620</f>
        <v>33620</v>
      </c>
      <c r="G48" s="3999">
        <f>(Unit.km2)*33414.2101362646</f>
        <v>33414.210136264599</v>
      </c>
      <c r="H48" s="3992">
        <f>(Unit.km2)*32899.7354769261</f>
        <v>32899.7354769261</v>
      </c>
      <c r="I48" s="3992">
        <f>(Unit.km2)*32385.2608175876</f>
        <v>32385.260817587601</v>
      </c>
      <c r="J48" s="3992">
        <f>(Unit.km2)*31870.7861582491</f>
        <v>31870.786158249099</v>
      </c>
      <c r="K48" s="3992">
        <f>(Unit.km2)*31356.3114989105</f>
        <v>31356.311498910502</v>
      </c>
      <c r="L48" s="3992">
        <f>(Unit.km2)*30841.836839572</f>
        <v>30841.836839571999</v>
      </c>
      <c r="M48" s="3992">
        <f>(Unit.km2)*30327.3621802335</f>
        <v>30327.3621802335</v>
      </c>
      <c r="N48" s="3963">
        <f>(Unit.km2)*29812.887520895</f>
        <v>29812.887520895001</v>
      </c>
      <c r="O48" s="67"/>
      <c r="P48" s="67"/>
      <c r="Q48" s="6"/>
      <c r="R48" s="6"/>
      <c r="S48"/>
      <c r="T48"/>
      <c r="U48"/>
      <c r="V48"/>
      <c r="W48"/>
      <c r="X48"/>
      <c r="Y48"/>
      <c r="Z48"/>
      <c r="AA48" s="859"/>
      <c r="AB48" s="6"/>
      <c r="AC48" s="6"/>
      <c r="AD48" s="6"/>
      <c r="AE48" s="6"/>
      <c r="AF48" s="6"/>
    </row>
    <row r="49" spans="2:32" ht="15.75">
      <c r="B49" s="55"/>
      <c r="C49" s="65">
        <v>4</v>
      </c>
      <c r="D49" s="108" t="s">
        <v>1942</v>
      </c>
      <c r="E49" s="1267" t="s">
        <v>1943</v>
      </c>
      <c r="F49" s="3991">
        <f>(Unit.km2)*1746.91</f>
        <v>1746.91</v>
      </c>
      <c r="G49" s="3999">
        <f>(Unit.km2)*1773.0302955658</f>
        <v>1773.0302955658001</v>
      </c>
      <c r="H49" s="3992">
        <f>(Unit.km2)*1838.33103448029</f>
        <v>1838.3310344802901</v>
      </c>
      <c r="I49" s="3992">
        <f>(Unit.km2)*1903.63177339479</f>
        <v>1903.6317733947899</v>
      </c>
      <c r="J49" s="3992">
        <f>(Unit.km2)*1968.93251230928</f>
        <v>1968.9325123092799</v>
      </c>
      <c r="K49" s="3992">
        <f>(Unit.km2)*2034.23325122378</f>
        <v>2034.2332512237799</v>
      </c>
      <c r="L49" s="3992">
        <f>(Unit.km2)*2099.53399013827</f>
        <v>2099.5339901382699</v>
      </c>
      <c r="M49" s="3992">
        <f>(Unit.km2)*2164.83472905277</f>
        <v>2164.8347290527699</v>
      </c>
      <c r="N49" s="3963">
        <f>(Unit.km2)*2230.13546796726</f>
        <v>2230.13546796726</v>
      </c>
      <c r="O49" s="67"/>
      <c r="P49" s="67"/>
      <c r="Q49" s="6"/>
      <c r="R49" s="6"/>
      <c r="S49"/>
      <c r="T49"/>
      <c r="U49"/>
      <c r="V49"/>
      <c r="W49"/>
      <c r="X49"/>
      <c r="Y49"/>
      <c r="Z49"/>
      <c r="AA49" s="859"/>
      <c r="AB49" s="6"/>
      <c r="AC49" s="6"/>
      <c r="AD49" s="6"/>
      <c r="AE49" s="6"/>
      <c r="AF49" s="6"/>
    </row>
    <row r="50" spans="2:32" ht="15.75">
      <c r="B50" s="55"/>
      <c r="C50" s="65">
        <v>4</v>
      </c>
      <c r="D50" s="108" t="s">
        <v>1944</v>
      </c>
      <c r="E50" s="1267" t="s">
        <v>460</v>
      </c>
      <c r="F50" s="3991">
        <f>(Unit.km2)*7566</f>
        <v>7566</v>
      </c>
      <c r="G50" s="3999">
        <f>(Unit.km2)*7712.1161544525</f>
        <v>7712.1161544525003</v>
      </c>
      <c r="H50" s="3992">
        <f>(Unit.km2)*8077.40654058376</f>
        <v>8077.40654058376</v>
      </c>
      <c r="I50" s="3992">
        <f>(Unit.km2)*8442.69692671502</f>
        <v>8442.6969267150198</v>
      </c>
      <c r="J50" s="3992">
        <f>(Unit.km2)*8807.98731284627</f>
        <v>8807.9873128462696</v>
      </c>
      <c r="K50" s="3992">
        <f>(Unit.km2)*9173.27769897753</f>
        <v>9173.2776989775302</v>
      </c>
      <c r="L50" s="3992">
        <f>(Unit.km2)*9538.56808510879</f>
        <v>9538.5680851087891</v>
      </c>
      <c r="M50" s="3992">
        <f>(Unit.km2)*9903.85847124004</f>
        <v>9903.8584712400407</v>
      </c>
      <c r="N50" s="3963">
        <f>(Unit.km2)*10269.1488573713</f>
        <v>10269.1488573713</v>
      </c>
      <c r="O50" s="67"/>
      <c r="P50" s="67"/>
      <c r="Q50" s="6"/>
      <c r="R50" s="6"/>
      <c r="S50"/>
      <c r="T50"/>
      <c r="U50"/>
      <c r="V50"/>
      <c r="W50"/>
      <c r="X50"/>
      <c r="Y50"/>
      <c r="Z50"/>
      <c r="AA50" s="859"/>
      <c r="AB50" s="6"/>
      <c r="AC50" s="6"/>
      <c r="AD50" s="6"/>
      <c r="AE50" s="6"/>
      <c r="AF50" s="6"/>
    </row>
    <row r="51" spans="2:32" ht="15.75">
      <c r="B51" s="55"/>
      <c r="C51" s="926">
        <v>4</v>
      </c>
      <c r="D51" s="199" t="s">
        <v>411</v>
      </c>
      <c r="E51" s="1322" t="s">
        <v>1945</v>
      </c>
      <c r="F51" s="3995">
        <f>(Unit.km2)*14247.09</f>
        <v>14247.09</v>
      </c>
      <c r="G51" s="3993">
        <f>(Unit.km2)*13761.0602555158</f>
        <v>13761.0602555158</v>
      </c>
      <c r="H51" s="3993">
        <f>(Unit.km2)*12545.9858943052</f>
        <v>12545.9858943052</v>
      </c>
      <c r="I51" s="3993">
        <f>(Unit.km2)*11330.9115330946</f>
        <v>11330.911533094601</v>
      </c>
      <c r="J51" s="3993">
        <f>(Unit.km2)*10115.837171884</f>
        <v>10115.837171884001</v>
      </c>
      <c r="K51" s="3993">
        <f>(Unit.km2)*8900.76281067348</f>
        <v>8900.7628106734792</v>
      </c>
      <c r="L51" s="3993">
        <f>(Unit.km2)*7685.6884494629</f>
        <v>7685.6884494629003</v>
      </c>
      <c r="M51" s="3993">
        <f>(Unit.km2)*6470.61408825233</f>
        <v>6470.6140882523296</v>
      </c>
      <c r="N51" s="3993">
        <f>(Unit.km2)*5255.53972704176</f>
        <v>5255.5397270417598</v>
      </c>
      <c r="O51" s="67"/>
      <c r="P51" s="67"/>
      <c r="Q51" s="6"/>
      <c r="R51" s="6"/>
      <c r="S51"/>
      <c r="T51"/>
      <c r="U51"/>
      <c r="V51"/>
      <c r="W51"/>
      <c r="X51"/>
      <c r="Y51"/>
      <c r="Z51"/>
      <c r="AA51" s="859"/>
      <c r="AB51" s="6"/>
      <c r="AC51" s="6"/>
      <c r="AD51" s="6"/>
      <c r="AE51" s="6"/>
      <c r="AF51" s="6"/>
    </row>
    <row r="52" spans="2:32" ht="15.75">
      <c r="B52" s="55"/>
      <c r="C52" s="3872" t="s">
        <v>2779</v>
      </c>
      <c r="D52" s="108"/>
      <c r="E52" s="108"/>
      <c r="F52" s="59"/>
      <c r="G52" s="1226"/>
      <c r="H52" s="1226"/>
      <c r="I52" s="1226"/>
      <c r="J52" s="1226"/>
      <c r="K52" s="1226"/>
      <c r="L52" s="1226"/>
      <c r="M52" s="1226"/>
      <c r="N52" s="1226"/>
      <c r="O52" s="67"/>
      <c r="P52" s="67"/>
      <c r="Q52" s="6"/>
      <c r="R52" s="6"/>
      <c r="S52"/>
      <c r="T52"/>
      <c r="U52"/>
      <c r="V52"/>
      <c r="W52"/>
      <c r="X52"/>
      <c r="Y52"/>
      <c r="Z52"/>
      <c r="AA52" s="859"/>
      <c r="AB52" s="6"/>
      <c r="AC52" s="6"/>
      <c r="AD52" s="6"/>
      <c r="AE52" s="6"/>
      <c r="AF52" s="6"/>
    </row>
    <row r="53" spans="2:32" ht="15.75">
      <c r="B53" s="55"/>
      <c r="C53" s="49" t="s">
        <v>3284</v>
      </c>
      <c r="D53" s="67"/>
      <c r="E53" s="50"/>
      <c r="F53" s="67"/>
      <c r="G53" s="49" t="s">
        <v>8</v>
      </c>
      <c r="H53" s="67"/>
      <c r="I53" s="67"/>
      <c r="J53" s="51" t="s">
        <v>1035</v>
      </c>
      <c r="K53" s="67"/>
      <c r="L53" s="67"/>
      <c r="M53" s="67"/>
      <c r="N53" s="67"/>
      <c r="O53" s="51"/>
      <c r="P53" s="885"/>
      <c r="Q53" s="6"/>
      <c r="R53" s="6"/>
      <c r="S53" s="6"/>
      <c r="U53" s="6"/>
      <c r="V53" s="6"/>
      <c r="W53" s="6"/>
      <c r="X53" s="1632"/>
      <c r="Y53" s="1632"/>
      <c r="Z53" s="859"/>
      <c r="AA53" s="859"/>
      <c r="AB53" s="6"/>
      <c r="AC53" s="6"/>
      <c r="AD53" s="6"/>
      <c r="AE53" s="6"/>
      <c r="AF53" s="6"/>
    </row>
    <row r="54" spans="2:32" ht="15.75">
      <c r="B54" s="55"/>
      <c r="C54" s="67"/>
      <c r="D54" s="67"/>
      <c r="E54" s="67"/>
      <c r="F54" s="67"/>
      <c r="G54" s="67"/>
      <c r="H54" s="67"/>
      <c r="I54" s="67"/>
      <c r="J54" s="67"/>
      <c r="K54" s="67"/>
      <c r="L54" s="67"/>
      <c r="M54" s="67"/>
      <c r="N54" s="67"/>
      <c r="O54" s="67"/>
      <c r="P54" s="885"/>
      <c r="Q54" s="6"/>
      <c r="R54" s="6"/>
      <c r="S54" s="6"/>
      <c r="U54" s="6"/>
      <c r="V54" s="6"/>
      <c r="W54" s="6"/>
      <c r="X54" s="1632"/>
      <c r="Y54" s="1632"/>
      <c r="Z54" s="859"/>
      <c r="AA54" s="859"/>
      <c r="AB54" s="6"/>
      <c r="AC54" s="6"/>
      <c r="AD54" s="6"/>
      <c r="AE54" s="6"/>
      <c r="AF54" s="6"/>
    </row>
    <row r="55" spans="2:32" ht="15.75">
      <c r="B55" s="55"/>
      <c r="C55" s="887" t="s">
        <v>792</v>
      </c>
      <c r="D55" s="887" t="s">
        <v>72</v>
      </c>
      <c r="E55" s="887"/>
      <c r="F55" s="908"/>
      <c r="G55" s="1276">
        <v>1</v>
      </c>
      <c r="H55" s="92">
        <v>2</v>
      </c>
      <c r="I55" s="92">
        <v>3</v>
      </c>
      <c r="J55" s="92">
        <v>4</v>
      </c>
      <c r="K55" s="920"/>
      <c r="L55" s="920"/>
      <c r="M55" s="920"/>
      <c r="N55" s="920"/>
      <c r="O55" s="920"/>
      <c r="P55" s="885"/>
      <c r="Q55"/>
      <c r="R55"/>
      <c r="S55"/>
      <c r="T55"/>
      <c r="U55"/>
      <c r="V55"/>
      <c r="W55"/>
      <c r="X55"/>
      <c r="Y55" s="859"/>
      <c r="Z55" s="859"/>
      <c r="AA55" s="859"/>
      <c r="AB55" s="6"/>
      <c r="AC55" s="6"/>
      <c r="AD55" s="6"/>
      <c r="AE55" s="6"/>
      <c r="AF55" s="6"/>
    </row>
    <row r="56" spans="2:32" ht="15.75">
      <c r="B56" s="55"/>
      <c r="C56" s="65">
        <v>1</v>
      </c>
      <c r="D56" s="108" t="s">
        <v>1946</v>
      </c>
      <c r="E56" s="1267"/>
      <c r="F56" s="59"/>
      <c r="G56" s="2679">
        <v>7.1999999999999998E-3</v>
      </c>
      <c r="H56" s="2679">
        <v>0</v>
      </c>
      <c r="I56" s="2679">
        <v>-2.7000000000000001E-3</v>
      </c>
      <c r="J56" s="2679">
        <v>-6.0000000000000001E-3</v>
      </c>
      <c r="K56" s="59"/>
      <c r="L56" s="59"/>
      <c r="M56" s="59"/>
      <c r="N56" s="59"/>
      <c r="O56" s="59"/>
      <c r="P56" s="885"/>
      <c r="Q56"/>
      <c r="R56"/>
      <c r="S56"/>
      <c r="T56"/>
      <c r="U56"/>
      <c r="V56"/>
      <c r="W56"/>
      <c r="X56"/>
      <c r="Y56" s="859"/>
      <c r="Z56" s="859"/>
      <c r="AA56" s="859"/>
      <c r="AB56" s="6"/>
      <c r="AC56" s="6"/>
      <c r="AD56" s="6"/>
      <c r="AE56" s="6"/>
      <c r="AF56" s="6"/>
    </row>
    <row r="57" spans="2:32" ht="15.75">
      <c r="B57" s="55"/>
      <c r="C57" s="65">
        <v>2</v>
      </c>
      <c r="D57" s="108" t="s">
        <v>1947</v>
      </c>
      <c r="E57" s="108"/>
      <c r="F57" s="59"/>
      <c r="G57" s="301">
        <v>0</v>
      </c>
      <c r="H57" s="301">
        <v>0</v>
      </c>
      <c r="I57" s="301">
        <v>0</v>
      </c>
      <c r="J57" s="915">
        <v>0</v>
      </c>
      <c r="K57" s="60"/>
      <c r="L57" s="60" t="s">
        <v>5</v>
      </c>
      <c r="M57" s="60"/>
      <c r="N57" s="60"/>
      <c r="O57" s="60"/>
      <c r="P57" s="885"/>
      <c r="Q57"/>
      <c r="R57"/>
      <c r="S57"/>
      <c r="T57"/>
      <c r="U57"/>
      <c r="V57"/>
      <c r="W57"/>
      <c r="X57"/>
      <c r="Y57" s="859"/>
      <c r="Z57" s="859"/>
      <c r="AA57" s="859"/>
      <c r="AB57" s="6"/>
      <c r="AC57" s="6"/>
      <c r="AD57" s="6"/>
      <c r="AE57" s="6"/>
      <c r="AF57" s="6"/>
    </row>
    <row r="58" spans="2:32" ht="15.75">
      <c r="B58" s="55"/>
      <c r="C58" s="896">
        <v>3</v>
      </c>
      <c r="D58" s="897" t="s">
        <v>1948</v>
      </c>
      <c r="E58" s="897"/>
      <c r="F58" s="1187"/>
      <c r="G58" s="1160">
        <v>7.1999999999999998E-3</v>
      </c>
      <c r="H58" s="1160">
        <v>0</v>
      </c>
      <c r="I58" s="1160">
        <v>-2.7000000000000001E-3</v>
      </c>
      <c r="J58" s="1410">
        <v>-6.0000000000000001E-3</v>
      </c>
      <c r="K58" s="60"/>
      <c r="L58" s="60"/>
      <c r="M58" s="60"/>
      <c r="N58" s="60"/>
      <c r="O58" s="60"/>
      <c r="P58" s="885"/>
      <c r="Q58"/>
      <c r="R58"/>
      <c r="S58"/>
      <c r="T58"/>
      <c r="U58"/>
      <c r="V58"/>
      <c r="W58"/>
      <c r="X58"/>
      <c r="Y58" s="656"/>
      <c r="Z58" s="859"/>
      <c r="AA58" s="859"/>
      <c r="AB58" s="6"/>
      <c r="AC58" s="6"/>
      <c r="AD58" s="6"/>
      <c r="AE58" s="6"/>
      <c r="AF58" s="6"/>
    </row>
    <row r="59" spans="2:32" ht="15.75">
      <c r="B59" s="55"/>
      <c r="C59" s="65"/>
      <c r="D59" s="108"/>
      <c r="E59" s="108"/>
      <c r="F59" s="59"/>
      <c r="G59" s="1226"/>
      <c r="H59" s="1226"/>
      <c r="I59" s="1226"/>
      <c r="J59" s="1226"/>
      <c r="K59" s="1226"/>
      <c r="L59" s="1226"/>
      <c r="M59" s="1226"/>
      <c r="N59" s="1226"/>
      <c r="O59" s="1226"/>
      <c r="P59" s="885"/>
      <c r="Q59"/>
      <c r="R59"/>
      <c r="S59"/>
      <c r="T59"/>
      <c r="U59"/>
      <c r="V59"/>
      <c r="W59"/>
      <c r="X59"/>
      <c r="Y59" s="656"/>
      <c r="Z59" s="859"/>
      <c r="AA59" s="859"/>
      <c r="AB59" s="6"/>
      <c r="AC59" s="6"/>
      <c r="AD59" s="6"/>
      <c r="AE59" s="6"/>
      <c r="AF59" s="6"/>
    </row>
    <row r="60" spans="2:32" ht="15.75">
      <c r="B60" s="55"/>
      <c r="C60" s="49" t="s">
        <v>1949</v>
      </c>
      <c r="D60" s="67"/>
      <c r="E60" s="50"/>
      <c r="F60" s="67"/>
      <c r="G60" s="49" t="s">
        <v>8</v>
      </c>
      <c r="H60" s="67"/>
      <c r="I60" s="67"/>
      <c r="J60" s="1226" t="s">
        <v>1035</v>
      </c>
      <c r="K60" s="67"/>
      <c r="L60" s="67"/>
      <c r="M60" s="67"/>
      <c r="N60" s="67"/>
      <c r="O60" s="51"/>
      <c r="P60" s="885"/>
      <c r="Q60"/>
      <c r="R60"/>
      <c r="S60"/>
      <c r="T60"/>
      <c r="U60"/>
      <c r="V60"/>
      <c r="W60"/>
      <c r="X60"/>
      <c r="Y60" s="656"/>
      <c r="Z60" s="859"/>
      <c r="AA60" s="859"/>
      <c r="AB60" s="6"/>
      <c r="AC60" s="6"/>
      <c r="AD60" s="6"/>
      <c r="AE60" s="6"/>
      <c r="AF60" s="6"/>
    </row>
    <row r="61" spans="2:32" ht="15.75">
      <c r="B61" s="55"/>
      <c r="C61" s="67"/>
      <c r="D61" s="67"/>
      <c r="E61" s="67"/>
      <c r="F61" s="67"/>
      <c r="G61" s="67"/>
      <c r="H61" s="67"/>
      <c r="I61" s="67"/>
      <c r="J61" s="67"/>
      <c r="K61" s="67"/>
      <c r="L61" s="67"/>
      <c r="M61" s="67"/>
      <c r="N61" s="67"/>
      <c r="O61" s="67"/>
      <c r="P61" s="885"/>
      <c r="Q61"/>
      <c r="R61"/>
      <c r="S61"/>
      <c r="T61"/>
      <c r="U61"/>
      <c r="V61"/>
      <c r="W61"/>
      <c r="X61"/>
      <c r="Y61" s="656"/>
      <c r="Z61" s="859"/>
      <c r="AA61" s="859"/>
      <c r="AB61" s="6"/>
      <c r="AC61" s="6"/>
      <c r="AD61" s="6"/>
      <c r="AE61" s="6"/>
      <c r="AF61" s="6"/>
    </row>
    <row r="62" spans="2:32" ht="15.75">
      <c r="B62" s="55"/>
      <c r="C62" s="887" t="s">
        <v>792</v>
      </c>
      <c r="D62" s="887" t="s">
        <v>72</v>
      </c>
      <c r="E62" s="887"/>
      <c r="F62" s="908"/>
      <c r="G62" s="1276">
        <v>1</v>
      </c>
      <c r="H62" s="92">
        <v>2</v>
      </c>
      <c r="I62" s="92">
        <v>3</v>
      </c>
      <c r="J62" s="92">
        <v>4</v>
      </c>
      <c r="K62" s="920"/>
      <c r="L62" s="920"/>
      <c r="M62" s="920"/>
      <c r="N62" s="920"/>
      <c r="O62" s="920"/>
      <c r="P62" s="885"/>
      <c r="Q62"/>
      <c r="R62"/>
      <c r="S62"/>
      <c r="T62"/>
      <c r="U62"/>
      <c r="V62"/>
      <c r="W62"/>
      <c r="X62"/>
      <c r="Y62" s="656"/>
      <c r="Z62" s="859"/>
      <c r="AA62" s="859"/>
      <c r="AB62" s="6"/>
      <c r="AC62" s="6"/>
      <c r="AD62" s="6"/>
      <c r="AE62" s="6"/>
      <c r="AF62" s="6"/>
    </row>
    <row r="63" spans="2:32" ht="15.75">
      <c r="B63" s="55"/>
      <c r="C63" s="65" t="s">
        <v>1950</v>
      </c>
      <c r="D63" s="108" t="s">
        <v>1797</v>
      </c>
      <c r="E63" s="1267"/>
      <c r="F63" s="905"/>
      <c r="G63" s="2575">
        <v>1.475507415268118E-2</v>
      </c>
      <c r="H63" s="301">
        <v>8.8859995024890281E-3</v>
      </c>
      <c r="I63" s="301">
        <v>1.125341116489631E-2</v>
      </c>
      <c r="J63" s="301">
        <v>1.125341116489631E-2</v>
      </c>
      <c r="K63" s="59"/>
      <c r="L63" s="59"/>
      <c r="M63" s="920"/>
      <c r="N63" s="59"/>
      <c r="O63" s="59"/>
      <c r="P63" s="885"/>
      <c r="Q63" s="6"/>
      <c r="R63" s="6"/>
      <c r="S63" s="6"/>
      <c r="U63" s="6"/>
      <c r="V63" s="6"/>
      <c r="W63" s="6"/>
      <c r="X63" s="859"/>
      <c r="Y63" s="859"/>
      <c r="Z63" s="859"/>
      <c r="AA63" s="859"/>
      <c r="AB63" s="6"/>
      <c r="AC63" s="6"/>
      <c r="AD63" s="6"/>
      <c r="AE63" s="6"/>
      <c r="AF63" s="6"/>
    </row>
    <row r="64" spans="2:32" ht="15.75">
      <c r="B64" s="55"/>
      <c r="C64" s="65" t="s">
        <v>1950</v>
      </c>
      <c r="D64" s="108" t="s">
        <v>1951</v>
      </c>
      <c r="E64" s="1267"/>
      <c r="F64" s="905"/>
      <c r="G64" s="2575">
        <v>1.475507415268118E-2</v>
      </c>
      <c r="H64" s="301">
        <v>8.8859995024890281E-3</v>
      </c>
      <c r="I64" s="301">
        <v>1.125341116489631E-2</v>
      </c>
      <c r="J64" s="301">
        <v>1.125341116489631E-2</v>
      </c>
      <c r="K64" s="59"/>
      <c r="L64" s="59"/>
      <c r="M64" s="920"/>
      <c r="N64" s="59"/>
      <c r="O64" s="59"/>
      <c r="P64" s="885"/>
      <c r="Q64" s="6"/>
      <c r="R64" s="6"/>
      <c r="S64" s="6"/>
      <c r="U64" s="6"/>
      <c r="V64" s="6"/>
      <c r="W64" s="6"/>
      <c r="X64" s="6"/>
      <c r="Y64" s="6"/>
      <c r="Z64" s="6"/>
      <c r="AA64" s="6"/>
      <c r="AB64" s="6"/>
      <c r="AC64" s="6"/>
      <c r="AD64" s="6"/>
      <c r="AE64" s="6"/>
      <c r="AF64" s="6"/>
    </row>
    <row r="65" spans="2:32" ht="15.75">
      <c r="B65" s="55"/>
      <c r="C65" s="65" t="s">
        <v>1950</v>
      </c>
      <c r="D65" s="108" t="s">
        <v>1952</v>
      </c>
      <c r="E65" s="108"/>
      <c r="F65" s="905"/>
      <c r="G65" s="2575">
        <v>2.5000000000000001E-3</v>
      </c>
      <c r="H65" s="301">
        <v>2.5000000000000001E-3</v>
      </c>
      <c r="I65" s="915">
        <v>0.01</v>
      </c>
      <c r="J65" s="915">
        <v>1.4999999999999999E-2</v>
      </c>
      <c r="K65" s="60"/>
      <c r="L65" s="60"/>
      <c r="M65" s="920"/>
      <c r="N65" s="60"/>
      <c r="O65" s="60"/>
      <c r="P65" s="885"/>
      <c r="Q65" s="6"/>
      <c r="R65" s="6"/>
      <c r="S65" s="6"/>
      <c r="U65" s="6"/>
      <c r="V65" s="6"/>
      <c r="W65" s="6"/>
      <c r="X65" s="6"/>
      <c r="Y65" s="6"/>
      <c r="Z65" s="6"/>
      <c r="AA65" s="6"/>
      <c r="AB65" s="6"/>
      <c r="AC65" s="6"/>
      <c r="AD65" s="6"/>
      <c r="AE65" s="6"/>
      <c r="AF65" s="6"/>
    </row>
    <row r="66" spans="2:32" ht="15.75">
      <c r="B66" s="55"/>
      <c r="C66" s="67" t="s">
        <v>402</v>
      </c>
      <c r="D66" s="67" t="s">
        <v>1953</v>
      </c>
      <c r="E66" s="108"/>
      <c r="F66" s="905"/>
      <c r="G66" s="2575">
        <v>0</v>
      </c>
      <c r="H66" s="301">
        <v>0</v>
      </c>
      <c r="I66" s="96">
        <v>0</v>
      </c>
      <c r="J66" s="96">
        <v>0</v>
      </c>
      <c r="K66" s="60"/>
      <c r="L66" s="60"/>
      <c r="M66" s="920"/>
      <c r="N66" s="60"/>
      <c r="O66" s="60"/>
      <c r="P66" s="885"/>
      <c r="Q66" s="6"/>
      <c r="R66" s="6"/>
      <c r="S66" s="6"/>
      <c r="U66" s="6"/>
      <c r="V66" s="6"/>
      <c r="W66" s="6"/>
      <c r="X66" s="6"/>
      <c r="Y66" s="6"/>
      <c r="Z66" s="6"/>
      <c r="AA66" s="6"/>
      <c r="AB66" s="6"/>
      <c r="AC66" s="6"/>
      <c r="AD66" s="6"/>
      <c r="AE66" s="6"/>
      <c r="AF66" s="6"/>
    </row>
    <row r="67" spans="2:32" ht="15.75">
      <c r="B67" s="55"/>
      <c r="C67" s="67" t="s">
        <v>402</v>
      </c>
      <c r="D67" s="67" t="s">
        <v>1954</v>
      </c>
      <c r="E67" s="108"/>
      <c r="F67" s="905"/>
      <c r="G67" s="2575">
        <v>0</v>
      </c>
      <c r="H67" s="301">
        <v>0</v>
      </c>
      <c r="I67" s="915">
        <v>0</v>
      </c>
      <c r="J67" s="915">
        <v>0</v>
      </c>
      <c r="K67" s="60"/>
      <c r="L67" s="60"/>
      <c r="M67" s="920"/>
      <c r="N67" s="60"/>
      <c r="O67" s="60"/>
      <c r="P67" s="885"/>
      <c r="Q67" s="6"/>
      <c r="R67" s="6"/>
      <c r="S67" s="6"/>
      <c r="U67" s="6"/>
      <c r="V67" s="6"/>
      <c r="W67" s="6"/>
      <c r="X67" s="6"/>
      <c r="Y67" s="6"/>
      <c r="Z67" s="6"/>
      <c r="AA67" s="6"/>
      <c r="AB67" s="6"/>
      <c r="AC67" s="6"/>
      <c r="AD67" s="6"/>
      <c r="AE67" s="6"/>
      <c r="AF67" s="6"/>
    </row>
    <row r="68" spans="2:32" ht="15.75">
      <c r="B68" s="55"/>
      <c r="C68" s="67" t="s">
        <v>402</v>
      </c>
      <c r="D68" s="67" t="s">
        <v>1955</v>
      </c>
      <c r="E68" s="108" t="s">
        <v>5</v>
      </c>
      <c r="F68" s="905"/>
      <c r="G68" s="2575">
        <v>5.0000000000000001E-3</v>
      </c>
      <c r="H68" s="301">
        <v>2E-3</v>
      </c>
      <c r="I68" s="915">
        <v>2E-3</v>
      </c>
      <c r="J68" s="915">
        <v>2E-3</v>
      </c>
      <c r="K68" s="1226"/>
      <c r="L68" s="1226"/>
      <c r="M68" s="920"/>
      <c r="N68" s="1226"/>
      <c r="O68" s="1226"/>
      <c r="P68" s="885"/>
      <c r="Q68" s="6"/>
      <c r="R68" s="6"/>
      <c r="S68" s="6"/>
      <c r="U68" s="6"/>
      <c r="V68" s="6"/>
      <c r="W68" s="6"/>
      <c r="X68" s="6"/>
      <c r="Y68" s="6"/>
      <c r="Z68" s="6"/>
      <c r="AA68" s="6"/>
      <c r="AB68" s="6"/>
      <c r="AC68" s="6"/>
      <c r="AD68" s="6"/>
      <c r="AE68" s="6"/>
      <c r="AF68" s="6"/>
    </row>
    <row r="69" spans="2:32" ht="15.75">
      <c r="B69" s="55"/>
      <c r="C69" s="67" t="s">
        <v>1956</v>
      </c>
      <c r="D69" s="67" t="s">
        <v>1957</v>
      </c>
      <c r="E69" s="943"/>
      <c r="F69" s="2576"/>
      <c r="G69" s="2575">
        <v>2E-3</v>
      </c>
      <c r="H69" s="301">
        <v>2E-3</v>
      </c>
      <c r="I69" s="1360">
        <v>0</v>
      </c>
      <c r="J69" s="1360">
        <v>2E-3</v>
      </c>
      <c r="K69" s="67"/>
      <c r="L69" s="67"/>
      <c r="M69" s="920"/>
      <c r="N69" s="67"/>
      <c r="O69" s="51"/>
      <c r="P69" s="885"/>
      <c r="Q69" s="6"/>
      <c r="R69" s="6"/>
      <c r="S69" s="6"/>
      <c r="U69" s="6"/>
      <c r="V69" s="6"/>
      <c r="W69" s="6"/>
      <c r="X69" s="6"/>
      <c r="Y69" s="6"/>
      <c r="Z69" s="6"/>
      <c r="AA69" s="6"/>
      <c r="AB69" s="6"/>
      <c r="AC69" s="6"/>
      <c r="AD69" s="6"/>
      <c r="AE69" s="6"/>
      <c r="AF69" s="6"/>
    </row>
    <row r="70" spans="2:32" ht="15.75">
      <c r="B70" s="55"/>
      <c r="C70" s="67" t="s">
        <v>1956</v>
      </c>
      <c r="D70" s="67" t="s">
        <v>1958</v>
      </c>
      <c r="E70" s="943"/>
      <c r="F70" s="2576"/>
      <c r="G70" s="2575">
        <v>1E-3</v>
      </c>
      <c r="H70" s="301">
        <v>1E-3</v>
      </c>
      <c r="I70" s="1360">
        <v>1E-3</v>
      </c>
      <c r="J70" s="1360">
        <v>1E-3</v>
      </c>
      <c r="K70" s="67"/>
      <c r="L70" s="67"/>
      <c r="M70" s="920"/>
      <c r="N70" s="67"/>
      <c r="O70" s="67"/>
      <c r="P70" s="885"/>
      <c r="Q70" s="6"/>
      <c r="R70" s="6"/>
      <c r="S70" s="6"/>
      <c r="U70" s="6"/>
      <c r="V70" s="6"/>
      <c r="W70" s="6"/>
      <c r="X70" s="6"/>
      <c r="Y70" s="6"/>
      <c r="Z70" s="6"/>
      <c r="AA70" s="6"/>
      <c r="AB70" s="6"/>
      <c r="AC70" s="6"/>
      <c r="AD70" s="6"/>
      <c r="AE70" s="6"/>
      <c r="AF70" s="6"/>
    </row>
    <row r="71" spans="2:32" ht="15.75">
      <c r="B71" s="55"/>
      <c r="C71" s="67" t="s">
        <v>1956</v>
      </c>
      <c r="D71" s="67" t="s">
        <v>1959</v>
      </c>
      <c r="E71" s="943"/>
      <c r="F71" s="2577"/>
      <c r="G71" s="2575">
        <v>3.0000000000000001E-3</v>
      </c>
      <c r="H71" s="301">
        <v>2E-3</v>
      </c>
      <c r="I71" s="2578">
        <v>0</v>
      </c>
      <c r="J71" s="2578">
        <v>2E-3</v>
      </c>
      <c r="K71" s="920"/>
      <c r="L71" s="920"/>
      <c r="M71" s="920"/>
      <c r="N71" s="920"/>
      <c r="O71" s="920"/>
      <c r="P71" s="885"/>
      <c r="Q71" s="6"/>
      <c r="R71" s="6"/>
      <c r="S71" s="6"/>
      <c r="U71" s="6"/>
      <c r="V71" s="6"/>
      <c r="W71" s="6"/>
      <c r="X71" s="6"/>
      <c r="Y71" s="6"/>
      <c r="Z71" s="6"/>
      <c r="AA71" s="6"/>
      <c r="AB71" s="6"/>
      <c r="AC71" s="6"/>
      <c r="AD71" s="6"/>
      <c r="AE71" s="6"/>
      <c r="AF71" s="6"/>
    </row>
    <row r="72" spans="2:32" ht="15.75">
      <c r="B72" s="55"/>
      <c r="C72" s="978" t="s">
        <v>1956</v>
      </c>
      <c r="D72" s="2579" t="s">
        <v>1960</v>
      </c>
      <c r="E72" s="2580"/>
      <c r="F72" s="2581"/>
      <c r="G72" s="2582">
        <v>0</v>
      </c>
      <c r="H72" s="1160">
        <v>0</v>
      </c>
      <c r="I72" s="99">
        <v>0</v>
      </c>
      <c r="J72" s="99">
        <v>0</v>
      </c>
      <c r="K72" s="59"/>
      <c r="L72" s="59"/>
      <c r="M72" s="920"/>
      <c r="N72" s="59"/>
      <c r="O72" s="59"/>
      <c r="P72" s="885"/>
      <c r="Q72" s="6"/>
      <c r="R72" s="6"/>
      <c r="S72" s="6"/>
      <c r="U72" s="6"/>
      <c r="V72" s="6"/>
      <c r="W72" s="6"/>
      <c r="X72" s="6"/>
      <c r="Y72" s="6"/>
      <c r="Z72" s="6"/>
      <c r="AA72" s="6"/>
      <c r="AB72" s="6"/>
      <c r="AC72" s="6"/>
      <c r="AD72" s="6"/>
      <c r="AE72" s="6"/>
      <c r="AF72" s="6"/>
    </row>
    <row r="73" spans="2:32" ht="15.75">
      <c r="B73" s="55"/>
      <c r="C73" s="3600"/>
      <c r="D73" s="3601"/>
      <c r="E73" s="3601"/>
      <c r="F73" s="3602"/>
      <c r="G73" s="3603"/>
      <c r="H73" s="60"/>
      <c r="I73" s="60"/>
      <c r="J73" s="60"/>
      <c r="K73" s="60"/>
      <c r="L73" s="60"/>
      <c r="M73" s="60"/>
      <c r="N73" s="60"/>
      <c r="O73" s="60"/>
      <c r="P73" s="885"/>
      <c r="Q73" s="6"/>
      <c r="R73" s="6"/>
      <c r="S73" s="6"/>
      <c r="U73" s="6"/>
      <c r="V73" s="6"/>
      <c r="W73" s="6"/>
      <c r="X73" s="6"/>
      <c r="Y73" s="6"/>
      <c r="Z73" s="6"/>
      <c r="AA73" s="6"/>
      <c r="AB73" s="6"/>
      <c r="AC73" s="6"/>
      <c r="AD73" s="6"/>
      <c r="AE73" s="6"/>
      <c r="AF73" s="6"/>
    </row>
    <row r="74" spans="2:32" s="6" customFormat="1" ht="15.75">
      <c r="B74" s="975"/>
      <c r="C74" s="89" t="s">
        <v>1961</v>
      </c>
      <c r="D74" s="108"/>
      <c r="E74" s="90"/>
      <c r="F74" s="108"/>
      <c r="G74" s="122" t="s">
        <v>8</v>
      </c>
      <c r="H74" s="108"/>
      <c r="I74" s="108"/>
      <c r="J74" s="66" t="s">
        <v>1962</v>
      </c>
      <c r="K74" s="122" t="s">
        <v>8</v>
      </c>
      <c r="L74" s="108"/>
      <c r="M74" s="108"/>
      <c r="N74" s="1226" t="s">
        <v>1963</v>
      </c>
      <c r="O74" s="90"/>
      <c r="P74" s="893"/>
      <c r="T74" s="2506"/>
    </row>
    <row r="75" spans="2:32" s="6" customFormat="1" ht="15.75">
      <c r="B75" s="975"/>
      <c r="C75" s="108"/>
      <c r="D75" s="108"/>
      <c r="E75" s="108" t="s">
        <v>5</v>
      </c>
      <c r="F75" s="108"/>
      <c r="G75" s="108"/>
      <c r="H75" s="108"/>
      <c r="I75" s="108"/>
      <c r="J75" s="108"/>
      <c r="K75" s="108"/>
      <c r="L75" s="108"/>
      <c r="M75" s="108"/>
      <c r="N75" s="108"/>
      <c r="O75" s="108"/>
      <c r="P75" s="893"/>
      <c r="T75" s="2506"/>
    </row>
    <row r="76" spans="2:32" s="6" customFormat="1" ht="15.75">
      <c r="B76" s="975"/>
      <c r="C76" s="887" t="s">
        <v>792</v>
      </c>
      <c r="D76" s="887" t="s">
        <v>72</v>
      </c>
      <c r="E76" s="887"/>
      <c r="F76" s="909"/>
      <c r="G76" s="1276">
        <v>1</v>
      </c>
      <c r="H76" s="92">
        <v>2</v>
      </c>
      <c r="I76" s="92">
        <v>3</v>
      </c>
      <c r="J76" s="92">
        <v>4</v>
      </c>
      <c r="K76" s="1276">
        <v>1</v>
      </c>
      <c r="L76" s="92">
        <v>2</v>
      </c>
      <c r="M76" s="92">
        <v>3</v>
      </c>
      <c r="N76" s="92">
        <v>4</v>
      </c>
      <c r="O76" s="920"/>
      <c r="P76" s="893"/>
      <c r="T76" s="2506"/>
    </row>
    <row r="77" spans="2:32" s="6" customFormat="1" ht="15.75">
      <c r="B77" s="975"/>
      <c r="C77" s="65" t="s">
        <v>1964</v>
      </c>
      <c r="D77" s="108" t="s">
        <v>1965</v>
      </c>
      <c r="E77" s="1267"/>
      <c r="F77" s="172"/>
      <c r="G77" s="2583">
        <v>-2.4472451512579374E-3</v>
      </c>
      <c r="H77" s="2584">
        <v>-2.4472451512579374E-3</v>
      </c>
      <c r="I77" s="2585">
        <v>-3.772376630140406E-3</v>
      </c>
      <c r="J77" s="2585">
        <v>-1.1921561279377713E-3</v>
      </c>
      <c r="K77" s="2586">
        <v>-7.4310483882145117E-4</v>
      </c>
      <c r="L77" s="2585">
        <v>-7.4310483882145117E-4</v>
      </c>
      <c r="M77" s="2585">
        <v>-3.772376630140406E-3</v>
      </c>
      <c r="N77" s="2585">
        <v>-1.1921561279377713E-3</v>
      </c>
      <c r="O77" s="76"/>
      <c r="P77" s="893"/>
      <c r="T77" s="2506"/>
    </row>
    <row r="78" spans="2:32" s="6" customFormat="1" ht="15.75">
      <c r="B78" s="975"/>
      <c r="C78" s="926" t="s">
        <v>1966</v>
      </c>
      <c r="D78" s="199" t="s">
        <v>1967</v>
      </c>
      <c r="E78" s="199"/>
      <c r="F78" s="352"/>
      <c r="G78" s="2587">
        <v>-2.4472451512579374E-3</v>
      </c>
      <c r="H78" s="1410">
        <v>-2.4472451512579374E-3</v>
      </c>
      <c r="I78" s="1160">
        <v>-3.772376630140406E-3</v>
      </c>
      <c r="J78" s="1410">
        <v>-2.4472451512579374E-3</v>
      </c>
      <c r="K78" s="2582">
        <v>-7.4310483882134015E-4</v>
      </c>
      <c r="L78" s="1160">
        <v>-2.4472451512579374E-3</v>
      </c>
      <c r="M78" s="1410">
        <v>-3.772376630140406E-3</v>
      </c>
      <c r="N78" s="1410">
        <v>-2.4472451512579374E-3</v>
      </c>
      <c r="O78" s="80"/>
      <c r="P78" s="893"/>
      <c r="T78" s="2506"/>
    </row>
    <row r="79" spans="2:32" ht="15.75">
      <c r="B79" s="55"/>
      <c r="C79" s="65"/>
      <c r="D79" s="108"/>
      <c r="E79" s="108"/>
      <c r="F79" s="76"/>
      <c r="G79" s="80"/>
      <c r="H79" s="80"/>
      <c r="I79" s="80"/>
      <c r="J79" s="80"/>
      <c r="K79" s="80"/>
      <c r="L79" s="80"/>
      <c r="M79" s="80"/>
      <c r="N79" s="80"/>
      <c r="O79" s="80"/>
      <c r="P79" s="885"/>
      <c r="Q79" s="6"/>
      <c r="R79" s="6"/>
      <c r="S79" s="6"/>
      <c r="U79" s="6"/>
      <c r="V79" s="6"/>
      <c r="W79" s="6"/>
      <c r="X79" s="6"/>
      <c r="Y79" s="6"/>
      <c r="Z79" s="6"/>
      <c r="AA79" s="6"/>
      <c r="AB79" s="6"/>
      <c r="AC79" s="6"/>
      <c r="AD79" s="6"/>
      <c r="AE79" s="6"/>
      <c r="AF79" s="6"/>
    </row>
    <row r="80" spans="2:32" ht="15.75">
      <c r="B80" s="55"/>
      <c r="C80" s="89" t="s">
        <v>1968</v>
      </c>
      <c r="D80" s="108"/>
      <c r="E80" s="1226" t="s">
        <v>5</v>
      </c>
      <c r="F80" s="108"/>
      <c r="G80" s="122" t="s">
        <v>8</v>
      </c>
      <c r="H80" s="108"/>
      <c r="I80" s="108"/>
      <c r="J80" s="66" t="s">
        <v>1962</v>
      </c>
      <c r="K80" s="122" t="s">
        <v>8</v>
      </c>
      <c r="L80" s="108"/>
      <c r="M80" s="108"/>
      <c r="N80" s="1226" t="s">
        <v>1963</v>
      </c>
      <c r="O80" s="80"/>
      <c r="P80" s="885"/>
      <c r="Q80" s="6"/>
      <c r="R80" s="6"/>
      <c r="S80" s="6"/>
      <c r="U80" s="6"/>
      <c r="V80" s="6"/>
      <c r="W80" s="6"/>
      <c r="X80" s="6"/>
      <c r="Y80" s="6"/>
      <c r="Z80" s="6"/>
      <c r="AA80" s="6"/>
      <c r="AB80" s="6"/>
      <c r="AC80" s="6"/>
      <c r="AD80" s="6"/>
      <c r="AE80" s="6"/>
      <c r="AF80" s="6"/>
    </row>
    <row r="81" spans="2:32" ht="15.75">
      <c r="B81" s="55"/>
      <c r="C81" s="108"/>
      <c r="D81" s="108"/>
      <c r="E81" s="108"/>
      <c r="F81" s="108"/>
      <c r="G81" s="108"/>
      <c r="H81" s="108"/>
      <c r="I81" s="108"/>
      <c r="J81" s="108"/>
      <c r="K81" s="108"/>
      <c r="L81" s="108"/>
      <c r="M81" s="108"/>
      <c r="N81" s="108"/>
      <c r="O81" s="80"/>
      <c r="P81" s="885"/>
      <c r="Q81" s="6"/>
      <c r="R81" s="6"/>
      <c r="S81" s="6"/>
      <c r="U81" s="6"/>
      <c r="V81" s="6"/>
      <c r="W81" s="6"/>
      <c r="X81" s="6"/>
      <c r="Y81" s="6"/>
      <c r="Z81" s="6"/>
      <c r="AA81" s="6"/>
      <c r="AB81" s="6"/>
      <c r="AC81" s="6"/>
      <c r="AD81" s="6"/>
      <c r="AE81" s="6"/>
      <c r="AF81" s="6"/>
    </row>
    <row r="82" spans="2:32" ht="15.75">
      <c r="B82" s="55"/>
      <c r="C82" s="887" t="s">
        <v>792</v>
      </c>
      <c r="D82" s="887" t="s">
        <v>72</v>
      </c>
      <c r="E82" s="887"/>
      <c r="F82" s="909"/>
      <c r="G82" s="1276">
        <v>1</v>
      </c>
      <c r="H82" s="92">
        <v>2</v>
      </c>
      <c r="I82" s="92">
        <v>3</v>
      </c>
      <c r="J82" s="92">
        <v>4</v>
      </c>
      <c r="K82" s="1276">
        <v>1</v>
      </c>
      <c r="L82" s="92">
        <v>2</v>
      </c>
      <c r="M82" s="92">
        <v>3</v>
      </c>
      <c r="N82" s="92">
        <v>4</v>
      </c>
      <c r="O82" s="80"/>
      <c r="P82" s="885"/>
      <c r="Q82" s="6"/>
      <c r="R82" s="6"/>
      <c r="S82" s="6"/>
      <c r="U82" s="6"/>
      <c r="V82" s="6"/>
      <c r="W82" s="6"/>
      <c r="X82" s="6"/>
      <c r="Y82" s="6"/>
      <c r="Z82" s="6"/>
      <c r="AA82" s="6"/>
      <c r="AB82" s="6"/>
      <c r="AC82" s="6"/>
      <c r="AD82" s="6"/>
      <c r="AE82" s="6"/>
      <c r="AF82" s="6"/>
    </row>
    <row r="83" spans="2:32" ht="15.75">
      <c r="B83" s="55"/>
      <c r="C83" s="916" t="s">
        <v>1969</v>
      </c>
      <c r="D83" s="917" t="s">
        <v>1970</v>
      </c>
      <c r="E83" s="1518"/>
      <c r="F83" s="2588"/>
      <c r="G83" s="2589">
        <v>-6.3934443203000901E-3</v>
      </c>
      <c r="H83" s="2590">
        <v>-6.3934443203000901E-3</v>
      </c>
      <c r="I83" s="2590">
        <v>-6.3934443203000901E-3</v>
      </c>
      <c r="J83" s="2590">
        <v>-6.3934443203000901E-3</v>
      </c>
      <c r="K83" s="2589">
        <v>0</v>
      </c>
      <c r="L83" s="2590">
        <v>-6.7319687848443888E-4</v>
      </c>
      <c r="M83" s="2590">
        <v>-2.416099615924483E-3</v>
      </c>
      <c r="N83" s="2590">
        <v>-6.7319687848443888E-4</v>
      </c>
      <c r="O83" s="80"/>
      <c r="P83" s="885"/>
      <c r="Q83" s="6"/>
      <c r="R83" s="6"/>
      <c r="S83" s="6"/>
      <c r="U83" s="6"/>
      <c r="V83" s="6"/>
      <c r="W83" s="6"/>
      <c r="X83" s="6"/>
      <c r="Y83" s="6"/>
      <c r="Z83" s="6"/>
      <c r="AA83" s="6"/>
      <c r="AB83" s="6"/>
      <c r="AC83" s="6"/>
      <c r="AD83" s="6"/>
      <c r="AE83" s="6"/>
      <c r="AF83" s="6"/>
    </row>
    <row r="84" spans="2:32" ht="15.75">
      <c r="B84" s="55"/>
      <c r="C84" s="65"/>
      <c r="D84" s="108"/>
      <c r="E84" s="108"/>
      <c r="F84" s="76"/>
      <c r="G84" s="80"/>
      <c r="H84" s="80"/>
      <c r="I84" s="80"/>
      <c r="J84" s="80"/>
      <c r="K84" s="80"/>
      <c r="L84" s="80"/>
      <c r="M84" s="80"/>
      <c r="N84" s="80"/>
      <c r="O84" s="80"/>
      <c r="P84" s="67"/>
      <c r="Q84" s="6"/>
      <c r="R84" s="6"/>
      <c r="S84" s="6"/>
      <c r="U84" s="6"/>
      <c r="V84" s="6"/>
      <c r="W84" s="6"/>
      <c r="X84" s="6"/>
      <c r="Y84" s="6"/>
      <c r="Z84" s="6"/>
      <c r="AA84" s="6"/>
      <c r="AB84" s="6"/>
      <c r="AC84" s="6"/>
      <c r="AD84" s="6"/>
      <c r="AE84" s="6"/>
      <c r="AF84" s="6"/>
    </row>
    <row r="85" spans="2:32" ht="15.75">
      <c r="B85" s="55"/>
      <c r="C85" s="49" t="s">
        <v>1971</v>
      </c>
      <c r="D85" s="67"/>
      <c r="E85" s="50"/>
      <c r="F85" s="67"/>
      <c r="G85" s="67"/>
      <c r="H85" s="67"/>
      <c r="I85" s="67"/>
      <c r="J85" s="67"/>
      <c r="K85" s="67"/>
      <c r="L85" s="67"/>
      <c r="M85" s="67"/>
      <c r="N85" s="51" t="s">
        <v>254</v>
      </c>
      <c r="O85" s="67"/>
      <c r="P85" s="67"/>
      <c r="Q85" s="6"/>
      <c r="R85" s="6"/>
      <c r="S85" s="6"/>
      <c r="U85" s="6"/>
      <c r="V85" s="6"/>
      <c r="W85" s="6"/>
      <c r="X85" s="6"/>
      <c r="Y85" s="6"/>
      <c r="Z85" s="6"/>
      <c r="AA85" s="6"/>
      <c r="AB85" s="6"/>
      <c r="AC85" s="6"/>
      <c r="AD85" s="6"/>
      <c r="AE85" s="6"/>
      <c r="AF85" s="6"/>
    </row>
    <row r="86" spans="2:32" ht="15.75">
      <c r="B86" s="55"/>
      <c r="C86" s="67"/>
      <c r="D86" s="67"/>
      <c r="E86" s="67"/>
      <c r="F86" s="67"/>
      <c r="G86" s="67"/>
      <c r="H86" s="67"/>
      <c r="I86" s="67"/>
      <c r="J86" s="67"/>
      <c r="K86" s="67"/>
      <c r="L86" s="67"/>
      <c r="M86" s="67"/>
      <c r="N86" s="67"/>
      <c r="O86" s="67"/>
      <c r="P86" s="67"/>
      <c r="Q86" s="6"/>
      <c r="R86" s="6"/>
      <c r="S86" s="6"/>
      <c r="U86" s="6"/>
      <c r="V86" s="6"/>
      <c r="W86" s="6"/>
      <c r="X86" s="6"/>
      <c r="Y86" s="6"/>
      <c r="Z86" s="6"/>
      <c r="AA86" s="6"/>
      <c r="AB86" s="6"/>
      <c r="AC86" s="6"/>
      <c r="AD86" s="6"/>
      <c r="AE86" s="6"/>
      <c r="AF86" s="6"/>
    </row>
    <row r="87" spans="2:32" ht="15.75">
      <c r="B87" s="55"/>
      <c r="C87" s="887" t="s">
        <v>8</v>
      </c>
      <c r="D87" s="887" t="s">
        <v>72</v>
      </c>
      <c r="E87" s="887" t="s">
        <v>30</v>
      </c>
      <c r="F87" s="908">
        <v>2013</v>
      </c>
      <c r="G87" s="92">
        <v>2015</v>
      </c>
      <c r="H87" s="92">
        <v>2020</v>
      </c>
      <c r="I87" s="92">
        <v>2025</v>
      </c>
      <c r="J87" s="92">
        <v>2030</v>
      </c>
      <c r="K87" s="92">
        <v>2035</v>
      </c>
      <c r="L87" s="92">
        <v>2040</v>
      </c>
      <c r="M87" s="92">
        <v>2045</v>
      </c>
      <c r="N87" s="92">
        <v>2050</v>
      </c>
      <c r="O87" s="67"/>
      <c r="P87" s="67"/>
      <c r="Q87" s="6"/>
      <c r="R87" s="6"/>
      <c r="S87" s="6"/>
      <c r="U87" s="6"/>
      <c r="V87" s="6"/>
      <c r="W87" s="6"/>
      <c r="X87" s="6"/>
      <c r="Y87" s="6"/>
      <c r="Z87" s="6"/>
      <c r="AA87" s="6"/>
      <c r="AB87" s="6"/>
      <c r="AC87" s="6"/>
      <c r="AD87" s="6"/>
      <c r="AE87" s="6"/>
      <c r="AF87" s="6"/>
    </row>
    <row r="88" spans="2:32" ht="15.75">
      <c r="B88" s="55"/>
      <c r="C88" s="65">
        <v>1</v>
      </c>
      <c r="D88" s="108" t="s">
        <v>1972</v>
      </c>
      <c r="E88" s="2591"/>
      <c r="F88" s="1035">
        <v>-3.8559999999999999</v>
      </c>
      <c r="G88" s="3599">
        <v>-2.6433609049484303</v>
      </c>
      <c r="H88" s="3599">
        <v>-1.4672740853582431</v>
      </c>
      <c r="I88" s="3599">
        <v>-0.38127837865565373</v>
      </c>
      <c r="J88" s="3599">
        <v>0.2234236235830685</v>
      </c>
      <c r="K88" s="3599">
        <v>0.31932762274632087</v>
      </c>
      <c r="L88" s="3599">
        <v>-5.2030291460402625E-2</v>
      </c>
      <c r="M88" s="3599">
        <v>-0.51651954297941283</v>
      </c>
      <c r="N88" s="59">
        <v>-0.70189533065325327</v>
      </c>
      <c r="O88" s="67"/>
      <c r="P88" s="67"/>
      <c r="Q88" s="6"/>
      <c r="R88" s="6"/>
      <c r="S88" s="6"/>
      <c r="U88" s="6"/>
      <c r="V88" s="6"/>
      <c r="W88" s="6"/>
      <c r="X88" s="6"/>
      <c r="Y88" s="6"/>
      <c r="Z88" s="6"/>
      <c r="AA88" s="6"/>
      <c r="AB88" s="6"/>
      <c r="AC88" s="6"/>
      <c r="AD88" s="6"/>
      <c r="AE88" s="6"/>
      <c r="AF88" s="6"/>
    </row>
    <row r="89" spans="2:32" ht="15.75">
      <c r="B89" s="55"/>
      <c r="C89" s="65">
        <v>2</v>
      </c>
      <c r="D89" s="108" t="s">
        <v>1973</v>
      </c>
      <c r="E89" s="108"/>
      <c r="F89" s="905">
        <v>-3.8559999999999999</v>
      </c>
      <c r="G89" s="59">
        <v>-2.6486394208489972</v>
      </c>
      <c r="H89" s="59">
        <v>-1.540698230303408</v>
      </c>
      <c r="I89" s="59">
        <v>-0.58310962471296623</v>
      </c>
      <c r="J89" s="59">
        <v>-0.22494867051024806</v>
      </c>
      <c r="K89" s="59">
        <v>-0.33859332640867223</v>
      </c>
      <c r="L89" s="59">
        <v>-0.91296087839860884</v>
      </c>
      <c r="M89" s="59">
        <v>-1.5743760406165805</v>
      </c>
      <c r="N89" s="59">
        <v>-1.9599080023554245</v>
      </c>
      <c r="O89" s="67"/>
      <c r="P89" s="67"/>
      <c r="Q89" s="6"/>
      <c r="R89" s="6"/>
      <c r="S89" s="6"/>
      <c r="U89" s="6"/>
      <c r="V89" s="6"/>
      <c r="W89" s="6"/>
      <c r="X89" s="6"/>
      <c r="Y89" s="6"/>
      <c r="Z89" s="6"/>
      <c r="AA89" s="6"/>
      <c r="AB89" s="6"/>
      <c r="AC89" s="6"/>
      <c r="AD89" s="6"/>
      <c r="AE89" s="6"/>
      <c r="AF89" s="6"/>
    </row>
    <row r="90" spans="2:32" ht="15.75">
      <c r="B90" s="55"/>
      <c r="C90" s="65">
        <v>3</v>
      </c>
      <c r="D90" s="108" t="s">
        <v>1974</v>
      </c>
      <c r="E90" s="108"/>
      <c r="F90" s="905">
        <v>-3.8559999999999999</v>
      </c>
      <c r="G90" s="59">
        <v>-2.7790761513364783</v>
      </c>
      <c r="H90" s="59">
        <v>-1.7560962793401589</v>
      </c>
      <c r="I90" s="59">
        <v>-0.98697723951016003</v>
      </c>
      <c r="J90" s="59">
        <v>-0.92821684090923873</v>
      </c>
      <c r="K90" s="59">
        <v>-1.12777730291805</v>
      </c>
      <c r="L90" s="59">
        <v>-1.9342566807015027</v>
      </c>
      <c r="M90" s="59">
        <v>-2.7245052499062252</v>
      </c>
      <c r="N90" s="59">
        <v>-3.2563457795507045</v>
      </c>
      <c r="O90" s="67"/>
      <c r="P90" s="67"/>
      <c r="Q90" s="6"/>
      <c r="R90" s="6"/>
      <c r="S90" s="6"/>
      <c r="U90" s="6"/>
      <c r="V90" s="6"/>
      <c r="W90" s="6"/>
      <c r="X90" s="6"/>
      <c r="Y90" s="6"/>
      <c r="Z90" s="6"/>
      <c r="AA90" s="6"/>
      <c r="AB90" s="6"/>
      <c r="AC90" s="6"/>
      <c r="AD90" s="6"/>
      <c r="AE90" s="6"/>
      <c r="AF90" s="6"/>
    </row>
    <row r="91" spans="2:32" ht="15.75">
      <c r="B91" s="55"/>
      <c r="C91" s="896">
        <v>4</v>
      </c>
      <c r="D91" s="897" t="s">
        <v>1975</v>
      </c>
      <c r="E91" s="897"/>
      <c r="F91" s="2581">
        <v>-3.8559999999999999</v>
      </c>
      <c r="G91" s="907">
        <v>-2.7147828412573949</v>
      </c>
      <c r="H91" s="907">
        <v>-1.861669911328435</v>
      </c>
      <c r="I91" s="907">
        <v>-1.3421019617380268</v>
      </c>
      <c r="J91" s="907">
        <v>-1.6323726893899235</v>
      </c>
      <c r="K91" s="907">
        <v>-2.166489490908726</v>
      </c>
      <c r="L91" s="907">
        <v>-3.1932476056130397</v>
      </c>
      <c r="M91" s="907">
        <v>-4.3265076610567572</v>
      </c>
      <c r="N91" s="907">
        <v>-5.2036622251277231</v>
      </c>
      <c r="O91" s="67"/>
      <c r="P91" s="67"/>
      <c r="Q91" s="6"/>
      <c r="R91" s="6"/>
      <c r="S91" s="6"/>
      <c r="U91" s="6"/>
      <c r="V91" s="6"/>
      <c r="W91" s="6"/>
      <c r="X91" s="6"/>
      <c r="Y91" s="6"/>
      <c r="Z91" s="6"/>
      <c r="AA91" s="6"/>
      <c r="AB91" s="6"/>
      <c r="AC91" s="6"/>
      <c r="AD91" s="6"/>
      <c r="AE91" s="6"/>
      <c r="AF91" s="6"/>
    </row>
    <row r="92" spans="2:32" ht="15.75">
      <c r="B92" s="55"/>
      <c r="C92" s="3872" t="s">
        <v>2782</v>
      </c>
      <c r="D92" s="108"/>
      <c r="E92" s="108"/>
      <c r="F92" s="76"/>
      <c r="G92" s="80"/>
      <c r="H92" s="80"/>
      <c r="I92" s="80"/>
      <c r="J92" s="80"/>
      <c r="K92" s="80"/>
      <c r="L92" s="80"/>
      <c r="M92" s="80"/>
      <c r="N92" s="80"/>
      <c r="O92" s="67"/>
      <c r="P92" s="67"/>
      <c r="Q92" s="6"/>
      <c r="R92" s="6"/>
      <c r="S92" s="6"/>
      <c r="U92" s="6"/>
      <c r="V92" s="6"/>
      <c r="W92" s="6"/>
      <c r="X92" s="6"/>
      <c r="Y92" s="6"/>
      <c r="Z92" s="6"/>
      <c r="AA92" s="6"/>
      <c r="AB92" s="6"/>
      <c r="AC92" s="6"/>
      <c r="AD92" s="6"/>
      <c r="AE92" s="6"/>
      <c r="AF92" s="6"/>
    </row>
    <row r="93" spans="2:32" ht="15.75">
      <c r="B93" s="55"/>
      <c r="C93" s="49" t="s">
        <v>1976</v>
      </c>
      <c r="D93" s="67"/>
      <c r="E93" s="50"/>
      <c r="F93" s="67"/>
      <c r="G93" s="67"/>
      <c r="H93" s="67"/>
      <c r="I93" s="67"/>
      <c r="J93" s="67"/>
      <c r="K93" s="67"/>
      <c r="L93" s="67"/>
      <c r="M93" s="67"/>
      <c r="N93" s="51" t="s">
        <v>1977</v>
      </c>
      <c r="O93" s="67"/>
      <c r="P93" s="67"/>
      <c r="Q93" s="6"/>
      <c r="R93" s="6"/>
      <c r="S93" s="6"/>
      <c r="U93" s="6"/>
      <c r="V93" s="6"/>
      <c r="W93" s="6"/>
      <c r="X93" s="6"/>
      <c r="Y93" s="6"/>
      <c r="Z93" s="6"/>
      <c r="AA93" s="6"/>
      <c r="AB93" s="6"/>
      <c r="AC93" s="6"/>
      <c r="AD93" s="6"/>
      <c r="AE93" s="6"/>
      <c r="AF93" s="6"/>
    </row>
    <row r="94" spans="2:32" ht="15.75">
      <c r="B94" s="55"/>
      <c r="C94" s="67"/>
      <c r="D94" s="67"/>
      <c r="E94" s="67"/>
      <c r="F94" s="67"/>
      <c r="G94" s="67"/>
      <c r="H94" s="67"/>
      <c r="I94" s="67"/>
      <c r="J94" s="67"/>
      <c r="K94" s="67"/>
      <c r="L94" s="67"/>
      <c r="M94" s="67"/>
      <c r="N94" s="67"/>
      <c r="O94" s="67"/>
      <c r="P94" s="67"/>
      <c r="Q94" s="6"/>
      <c r="R94" s="6"/>
      <c r="S94" s="6"/>
      <c r="U94" s="6"/>
      <c r="V94" s="6"/>
      <c r="W94" s="6"/>
      <c r="X94" s="6"/>
      <c r="Y94" s="6"/>
      <c r="Z94" s="6"/>
      <c r="AA94" s="6"/>
      <c r="AB94" s="6"/>
      <c r="AC94" s="6"/>
      <c r="AD94" s="6"/>
      <c r="AE94" s="6"/>
      <c r="AF94" s="6"/>
    </row>
    <row r="95" spans="2:32" ht="15.75">
      <c r="B95" s="55"/>
      <c r="C95" s="887" t="s">
        <v>8</v>
      </c>
      <c r="D95" s="887" t="s">
        <v>72</v>
      </c>
      <c r="E95" s="887" t="s">
        <v>30</v>
      </c>
      <c r="F95" s="908">
        <v>2013</v>
      </c>
      <c r="G95" s="92">
        <v>2015</v>
      </c>
      <c r="H95" s="92">
        <v>2020</v>
      </c>
      <c r="I95" s="92">
        <v>2025</v>
      </c>
      <c r="J95" s="92">
        <v>2030</v>
      </c>
      <c r="K95" s="92">
        <v>2035</v>
      </c>
      <c r="L95" s="92">
        <v>2040</v>
      </c>
      <c r="M95" s="92">
        <v>2045</v>
      </c>
      <c r="N95" s="92">
        <v>2050</v>
      </c>
      <c r="O95" s="67"/>
      <c r="P95" s="67"/>
      <c r="Q95" s="6"/>
      <c r="R95" s="6"/>
      <c r="S95" s="6"/>
      <c r="U95" s="6"/>
      <c r="V95" s="6"/>
      <c r="W95" s="6"/>
      <c r="X95" s="6"/>
      <c r="Y95" s="6"/>
      <c r="Z95" s="6"/>
      <c r="AA95" s="6"/>
      <c r="AB95" s="6"/>
      <c r="AC95" s="6"/>
      <c r="AD95" s="6"/>
      <c r="AE95" s="6"/>
      <c r="AF95" s="6"/>
    </row>
    <row r="96" spans="2:32" ht="15.75">
      <c r="B96" s="55"/>
      <c r="C96" s="65">
        <v>1</v>
      </c>
      <c r="D96" s="108" t="s">
        <v>1972</v>
      </c>
      <c r="E96" s="2591"/>
      <c r="F96" s="1213">
        <v>0</v>
      </c>
      <c r="G96" s="94">
        <v>0.03</v>
      </c>
      <c r="H96" s="94">
        <v>0.05</v>
      </c>
      <c r="I96" s="94">
        <v>0.05</v>
      </c>
      <c r="J96" s="94">
        <v>0.05</v>
      </c>
      <c r="K96" s="94">
        <v>0.05</v>
      </c>
      <c r="L96" s="94">
        <v>0.05</v>
      </c>
      <c r="M96" s="94">
        <v>0.05</v>
      </c>
      <c r="N96" s="94">
        <v>0.05</v>
      </c>
      <c r="O96" s="67"/>
      <c r="P96" s="67"/>
      <c r="Q96" s="6"/>
      <c r="R96" s="6"/>
      <c r="S96" s="6"/>
      <c r="U96" s="6"/>
      <c r="V96" s="6"/>
      <c r="W96" s="6"/>
      <c r="X96" s="6"/>
      <c r="Y96" s="6"/>
      <c r="Z96" s="6"/>
      <c r="AA96" s="6"/>
      <c r="AB96" s="6"/>
      <c r="AC96" s="6"/>
      <c r="AD96" s="6"/>
      <c r="AE96" s="6"/>
      <c r="AF96" s="6"/>
    </row>
    <row r="97" spans="1:32" ht="15.75">
      <c r="B97" s="55"/>
      <c r="C97" s="65">
        <v>2</v>
      </c>
      <c r="D97" s="108" t="s">
        <v>1973</v>
      </c>
      <c r="E97" s="108"/>
      <c r="F97" s="1214">
        <v>0</v>
      </c>
      <c r="G97" s="94">
        <v>0.03</v>
      </c>
      <c r="H97" s="94">
        <v>5.6569474269697086E-2</v>
      </c>
      <c r="I97" s="94">
        <v>7.2198577010732554E-2</v>
      </c>
      <c r="J97" s="94">
        <v>9.2145712677534339E-2</v>
      </c>
      <c r="K97" s="94">
        <v>0.1176038741537596</v>
      </c>
      <c r="L97" s="94">
        <v>0.15009565626101368</v>
      </c>
      <c r="M97" s="94">
        <v>0.19156431869726948</v>
      </c>
      <c r="N97" s="94">
        <v>0.24449000798619908</v>
      </c>
      <c r="O97" s="67"/>
      <c r="P97" s="67"/>
      <c r="Q97" s="6"/>
      <c r="R97" s="6"/>
      <c r="S97" s="6"/>
      <c r="U97" s="6"/>
      <c r="V97" s="6"/>
      <c r="W97" s="6"/>
      <c r="X97" s="6"/>
      <c r="Y97" s="6"/>
      <c r="Z97" s="6"/>
      <c r="AA97" s="6"/>
      <c r="AB97" s="6"/>
      <c r="AC97" s="6"/>
      <c r="AD97" s="6"/>
      <c r="AE97" s="6"/>
      <c r="AF97" s="6"/>
    </row>
    <row r="98" spans="1:32" ht="15.75">
      <c r="B98" s="55"/>
      <c r="C98" s="65">
        <v>3</v>
      </c>
      <c r="D98" s="108" t="s">
        <v>1974</v>
      </c>
      <c r="E98" s="108"/>
      <c r="F98" s="1214">
        <v>0</v>
      </c>
      <c r="G98" s="94">
        <v>0.03</v>
      </c>
      <c r="H98" s="94">
        <v>0.1</v>
      </c>
      <c r="I98" s="94">
        <v>0.4</v>
      </c>
      <c r="J98" s="94">
        <v>0.5</v>
      </c>
      <c r="K98" s="94">
        <v>0.7</v>
      </c>
      <c r="L98" s="94">
        <v>0.9</v>
      </c>
      <c r="M98" s="94">
        <v>1</v>
      </c>
      <c r="N98" s="94">
        <v>1</v>
      </c>
      <c r="O98" s="67"/>
      <c r="P98" s="67"/>
      <c r="Q98" s="6"/>
      <c r="R98" s="6"/>
      <c r="S98" s="6"/>
      <c r="U98" s="6"/>
      <c r="V98" s="6"/>
      <c r="W98" s="6"/>
      <c r="X98" s="6"/>
      <c r="Y98" s="6"/>
      <c r="Z98" s="6"/>
      <c r="AA98" s="6"/>
      <c r="AB98" s="6"/>
      <c r="AC98" s="6"/>
      <c r="AD98" s="6"/>
      <c r="AE98" s="6"/>
      <c r="AF98" s="6"/>
    </row>
    <row r="99" spans="1:32" ht="15.75">
      <c r="B99" s="55"/>
      <c r="C99" s="896">
        <v>4</v>
      </c>
      <c r="D99" s="897" t="s">
        <v>1975</v>
      </c>
      <c r="E99" s="897"/>
      <c r="F99" s="2592">
        <v>0</v>
      </c>
      <c r="G99" s="100">
        <v>0.03</v>
      </c>
      <c r="H99" s="100">
        <v>0.1</v>
      </c>
      <c r="I99" s="100">
        <v>0.4</v>
      </c>
      <c r="J99" s="100">
        <v>0.5</v>
      </c>
      <c r="K99" s="100">
        <v>0.7</v>
      </c>
      <c r="L99" s="100">
        <v>0.9</v>
      </c>
      <c r="M99" s="100">
        <v>1</v>
      </c>
      <c r="N99" s="100">
        <v>1</v>
      </c>
      <c r="O99" s="67"/>
      <c r="P99" s="67"/>
      <c r="Q99" s="6"/>
      <c r="R99" s="6"/>
      <c r="S99" s="6"/>
      <c r="U99" s="6"/>
      <c r="V99" s="6"/>
      <c r="W99" s="6"/>
      <c r="X99" s="6"/>
      <c r="Y99" s="6"/>
      <c r="Z99" s="6"/>
      <c r="AA99" s="6"/>
      <c r="AB99" s="6"/>
      <c r="AC99" s="6"/>
      <c r="AD99" s="6"/>
      <c r="AE99" s="6"/>
      <c r="AF99" s="6"/>
    </row>
    <row r="100" spans="1:32">
      <c r="B100" s="45"/>
      <c r="C100" s="67"/>
      <c r="D100" s="87"/>
      <c r="E100" s="67"/>
      <c r="F100" s="67"/>
      <c r="G100" s="67"/>
      <c r="H100" s="67"/>
      <c r="I100" s="67"/>
      <c r="J100" s="67"/>
      <c r="K100" s="67"/>
      <c r="L100" s="67"/>
      <c r="M100" s="67"/>
      <c r="N100" s="67"/>
      <c r="O100" s="67"/>
      <c r="P100" s="67"/>
      <c r="Q100" s="6"/>
      <c r="R100" s="6"/>
      <c r="S100" s="6"/>
      <c r="U100" s="6"/>
      <c r="V100" s="6"/>
      <c r="W100" s="6"/>
      <c r="X100" s="6"/>
      <c r="Y100" s="6"/>
      <c r="Z100" s="6"/>
      <c r="AA100" s="6"/>
      <c r="AB100" s="6"/>
      <c r="AC100" s="6"/>
      <c r="AD100" s="6"/>
      <c r="AE100" s="6"/>
      <c r="AF100" s="6"/>
    </row>
    <row r="101" spans="1:32">
      <c r="B101" s="45"/>
      <c r="C101" s="49" t="s">
        <v>1978</v>
      </c>
      <c r="D101" s="67"/>
      <c r="E101" s="51"/>
      <c r="F101" s="67"/>
      <c r="G101" s="67"/>
      <c r="H101" s="67"/>
      <c r="I101" s="67"/>
      <c r="J101" s="67"/>
      <c r="K101" s="67"/>
      <c r="L101" s="67"/>
      <c r="M101" s="67"/>
      <c r="N101" s="51" t="s">
        <v>1979</v>
      </c>
      <c r="O101" s="67"/>
      <c r="P101" s="67"/>
      <c r="Q101" s="6"/>
      <c r="R101" s="6"/>
      <c r="S101" s="6"/>
      <c r="U101" s="6"/>
      <c r="V101" s="6"/>
      <c r="W101" s="6"/>
      <c r="X101" s="6"/>
      <c r="Y101" s="6"/>
      <c r="Z101" s="6"/>
      <c r="AA101" s="6"/>
      <c r="AB101" s="6"/>
      <c r="AC101" s="6"/>
      <c r="AD101" s="6"/>
      <c r="AE101" s="6"/>
      <c r="AF101" s="6"/>
    </row>
    <row r="102" spans="1:32">
      <c r="B102" s="45"/>
      <c r="C102" s="67"/>
      <c r="D102" s="67"/>
      <c r="E102" s="67"/>
      <c r="F102" s="67"/>
      <c r="G102" s="67"/>
      <c r="H102" s="67"/>
      <c r="I102" s="67"/>
      <c r="J102" s="67"/>
      <c r="K102" s="67"/>
      <c r="L102" s="67"/>
      <c r="M102" s="67"/>
      <c r="N102" s="67"/>
      <c r="O102" s="67"/>
      <c r="P102" s="67"/>
      <c r="Q102" s="6"/>
      <c r="R102" s="6"/>
      <c r="S102" s="6"/>
      <c r="U102" s="6"/>
      <c r="V102" s="6"/>
      <c r="W102" s="6"/>
      <c r="X102" s="6"/>
      <c r="Y102" s="6"/>
      <c r="Z102" s="6"/>
      <c r="AA102" s="6"/>
      <c r="AB102" s="6"/>
      <c r="AC102" s="6"/>
      <c r="AD102" s="6"/>
      <c r="AE102" s="6"/>
      <c r="AF102" s="6"/>
    </row>
    <row r="103" spans="1:32" ht="15.75">
      <c r="B103" s="55"/>
      <c r="C103" s="887" t="s">
        <v>8</v>
      </c>
      <c r="D103" s="887" t="s">
        <v>72</v>
      </c>
      <c r="E103" s="887" t="s">
        <v>30</v>
      </c>
      <c r="F103" s="908">
        <v>2013</v>
      </c>
      <c r="G103" s="92">
        <v>2015</v>
      </c>
      <c r="H103" s="92">
        <v>2020</v>
      </c>
      <c r="I103" s="92">
        <v>2025</v>
      </c>
      <c r="J103" s="92">
        <v>2030</v>
      </c>
      <c r="K103" s="92">
        <v>2035</v>
      </c>
      <c r="L103" s="92">
        <v>2040</v>
      </c>
      <c r="M103" s="92">
        <v>2045</v>
      </c>
      <c r="N103" s="92">
        <v>2050</v>
      </c>
      <c r="O103" s="67"/>
      <c r="P103" s="67"/>
      <c r="Q103" s="6"/>
      <c r="R103" s="6"/>
      <c r="S103" s="6"/>
      <c r="U103" s="6"/>
      <c r="V103" s="6"/>
      <c r="W103" s="6"/>
      <c r="X103" s="6"/>
      <c r="Y103" s="6"/>
      <c r="Z103" s="6"/>
      <c r="AA103" s="6"/>
      <c r="AB103" s="6"/>
      <c r="AC103" s="6"/>
      <c r="AD103" s="6"/>
      <c r="AE103" s="6"/>
      <c r="AF103" s="6"/>
    </row>
    <row r="104" spans="1:32" ht="15.75">
      <c r="A104" s="39"/>
      <c r="B104" s="55"/>
      <c r="C104" s="65">
        <v>1</v>
      </c>
      <c r="D104" s="108" t="s">
        <v>1972</v>
      </c>
      <c r="E104" s="2591"/>
      <c r="F104" s="1213">
        <v>0.01</v>
      </c>
      <c r="G104" s="94">
        <v>0.02</v>
      </c>
      <c r="H104" s="94">
        <v>0.05</v>
      </c>
      <c r="I104" s="94">
        <v>0.1</v>
      </c>
      <c r="J104" s="94">
        <v>0.1</v>
      </c>
      <c r="K104" s="94">
        <v>0.2</v>
      </c>
      <c r="L104" s="94">
        <v>0.3</v>
      </c>
      <c r="M104" s="94">
        <v>0.4</v>
      </c>
      <c r="N104" s="94">
        <v>0.4</v>
      </c>
      <c r="O104" s="67"/>
      <c r="P104" s="67"/>
      <c r="Q104" s="6"/>
      <c r="R104" s="6"/>
      <c r="S104" s="6"/>
      <c r="U104" s="6"/>
      <c r="V104" s="6"/>
      <c r="W104" s="6"/>
      <c r="X104" s="6"/>
      <c r="Y104" s="6"/>
      <c r="Z104" s="6"/>
      <c r="AA104" s="6"/>
      <c r="AB104" s="6"/>
      <c r="AC104" s="6"/>
      <c r="AD104" s="6"/>
      <c r="AE104" s="6"/>
      <c r="AF104" s="6"/>
    </row>
    <row r="105" spans="1:32" ht="15.75">
      <c r="A105" s="39"/>
      <c r="B105" s="55"/>
      <c r="C105" s="65">
        <v>2</v>
      </c>
      <c r="D105" s="108" t="s">
        <v>1973</v>
      </c>
      <c r="E105" s="108"/>
      <c r="F105" s="1214">
        <v>0.01</v>
      </c>
      <c r="G105" s="94">
        <v>0.02</v>
      </c>
      <c r="H105" s="94">
        <v>0.05</v>
      </c>
      <c r="I105" s="94">
        <v>0.1</v>
      </c>
      <c r="J105" s="94">
        <v>0.2</v>
      </c>
      <c r="K105" s="94">
        <v>0.3</v>
      </c>
      <c r="L105" s="94">
        <v>0.4</v>
      </c>
      <c r="M105" s="94">
        <v>0.5</v>
      </c>
      <c r="N105" s="94">
        <v>0.5</v>
      </c>
      <c r="O105" s="67"/>
      <c r="P105" s="67"/>
      <c r="Q105" s="6"/>
      <c r="R105" s="6"/>
      <c r="S105" s="6"/>
      <c r="U105" s="6"/>
      <c r="V105" s="6"/>
      <c r="W105" s="6"/>
      <c r="X105" s="6"/>
      <c r="Y105" s="6"/>
      <c r="Z105" s="6"/>
      <c r="AA105" s="6"/>
      <c r="AB105" s="6"/>
      <c r="AC105" s="6"/>
      <c r="AD105" s="6"/>
      <c r="AE105" s="6"/>
      <c r="AF105" s="6"/>
    </row>
    <row r="106" spans="1:32" ht="15.75">
      <c r="A106" s="39"/>
      <c r="B106" s="55"/>
      <c r="C106" s="65">
        <v>3</v>
      </c>
      <c r="D106" s="108" t="s">
        <v>1974</v>
      </c>
      <c r="E106" s="108"/>
      <c r="F106" s="1214">
        <v>0.01</v>
      </c>
      <c r="G106" s="94">
        <v>0.02</v>
      </c>
      <c r="H106" s="94">
        <v>7.0000000000000007E-2</v>
      </c>
      <c r="I106" s="94">
        <v>0.15</v>
      </c>
      <c r="J106" s="94">
        <v>0.3</v>
      </c>
      <c r="K106" s="94">
        <v>0.3</v>
      </c>
      <c r="L106" s="94">
        <v>0.5</v>
      </c>
      <c r="M106" s="94">
        <v>0.5</v>
      </c>
      <c r="N106" s="94">
        <v>0.5</v>
      </c>
      <c r="O106" s="67"/>
      <c r="P106" s="67"/>
      <c r="Q106" s="6"/>
      <c r="R106" s="6"/>
      <c r="S106" s="6"/>
      <c r="U106" s="6"/>
      <c r="V106" s="6"/>
      <c r="W106" s="6"/>
      <c r="X106" s="6"/>
      <c r="Y106" s="6"/>
      <c r="Z106" s="6"/>
      <c r="AA106" s="6"/>
      <c r="AB106" s="6"/>
      <c r="AC106" s="6"/>
      <c r="AD106" s="6"/>
      <c r="AE106" s="6"/>
      <c r="AF106" s="6"/>
    </row>
    <row r="107" spans="1:32" ht="15.75">
      <c r="A107" s="39"/>
      <c r="B107" s="55"/>
      <c r="C107" s="896">
        <v>4</v>
      </c>
      <c r="D107" s="897" t="s">
        <v>1975</v>
      </c>
      <c r="E107" s="897"/>
      <c r="F107" s="2592">
        <v>0.01</v>
      </c>
      <c r="G107" s="100">
        <v>0.02</v>
      </c>
      <c r="H107" s="100">
        <v>0.1</v>
      </c>
      <c r="I107" s="100">
        <v>0.2</v>
      </c>
      <c r="J107" s="100">
        <v>0.5</v>
      </c>
      <c r="K107" s="100">
        <v>0.6</v>
      </c>
      <c r="L107" s="100">
        <v>0.7</v>
      </c>
      <c r="M107" s="100">
        <v>0.8</v>
      </c>
      <c r="N107" s="100">
        <v>0.8</v>
      </c>
      <c r="O107" s="67"/>
      <c r="P107" s="67"/>
      <c r="Q107" s="6"/>
      <c r="R107" s="6"/>
      <c r="S107" s="6"/>
      <c r="U107" s="6"/>
      <c r="V107" s="6"/>
      <c r="W107" s="6"/>
      <c r="X107" s="6"/>
      <c r="Y107" s="6"/>
      <c r="Z107" s="6"/>
      <c r="AA107" s="6"/>
      <c r="AB107" s="6"/>
      <c r="AC107" s="6"/>
      <c r="AD107" s="6"/>
      <c r="AE107" s="6"/>
      <c r="AF107" s="6"/>
    </row>
    <row r="108" spans="1:32" ht="15.75">
      <c r="B108" s="55"/>
      <c r="C108" s="65"/>
      <c r="D108" s="108"/>
      <c r="E108" s="108"/>
      <c r="F108" s="76"/>
      <c r="G108" s="80"/>
      <c r="H108" s="80"/>
      <c r="I108" s="80"/>
      <c r="J108" s="80"/>
      <c r="K108" s="80"/>
      <c r="L108" s="80"/>
      <c r="M108" s="80"/>
      <c r="N108" s="80"/>
      <c r="O108" s="67"/>
      <c r="P108" s="67"/>
      <c r="Q108" s="6"/>
      <c r="R108" s="6"/>
      <c r="S108" s="6"/>
      <c r="U108" s="6"/>
      <c r="V108" s="6"/>
      <c r="W108" s="6"/>
      <c r="X108" s="6"/>
      <c r="Y108" s="6"/>
      <c r="Z108" s="6"/>
      <c r="AA108" s="6"/>
      <c r="AB108" s="6"/>
      <c r="AC108" s="6"/>
      <c r="AD108" s="6"/>
      <c r="AE108" s="6"/>
      <c r="AF108" s="6"/>
    </row>
    <row r="109" spans="1:32">
      <c r="B109" s="45"/>
      <c r="C109" s="49" t="s">
        <v>1980</v>
      </c>
      <c r="D109" s="87"/>
      <c r="E109" s="67"/>
      <c r="F109" s="67"/>
      <c r="G109" s="67"/>
      <c r="H109" s="67"/>
      <c r="I109" s="67"/>
      <c r="J109" s="67"/>
      <c r="K109" s="67"/>
      <c r="L109" s="67"/>
      <c r="M109" s="67"/>
      <c r="N109" s="51" t="s">
        <v>1977</v>
      </c>
      <c r="O109" s="67"/>
      <c r="P109" s="67"/>
      <c r="Q109" s="6"/>
      <c r="R109" s="6"/>
      <c r="S109" s="6"/>
      <c r="U109" s="6"/>
      <c r="V109" s="6"/>
      <c r="W109" s="6"/>
      <c r="X109" s="6"/>
      <c r="Y109" s="6"/>
      <c r="Z109" s="6"/>
      <c r="AA109" s="6"/>
      <c r="AB109" s="6"/>
      <c r="AC109" s="6"/>
      <c r="AD109" s="6"/>
      <c r="AE109" s="6"/>
      <c r="AF109" s="6"/>
    </row>
    <row r="110" spans="1:32">
      <c r="B110" s="45"/>
      <c r="C110" s="67"/>
      <c r="D110" s="87"/>
      <c r="E110" s="67"/>
      <c r="F110" s="67"/>
      <c r="G110" s="67"/>
      <c r="H110" s="67"/>
      <c r="I110" s="67"/>
      <c r="J110" s="67"/>
      <c r="K110" s="67"/>
      <c r="L110" s="67"/>
      <c r="M110" s="67"/>
      <c r="N110" s="67"/>
      <c r="O110" s="67"/>
      <c r="P110" s="67"/>
      <c r="Q110" s="6"/>
      <c r="R110" s="6"/>
      <c r="S110" s="6"/>
      <c r="U110" s="6"/>
      <c r="V110" s="6"/>
      <c r="W110" s="6"/>
      <c r="X110" s="6"/>
      <c r="Y110" s="6"/>
      <c r="Z110" s="6"/>
      <c r="AA110" s="6"/>
      <c r="AB110" s="6"/>
      <c r="AC110" s="6"/>
      <c r="AD110" s="6"/>
      <c r="AE110" s="6"/>
      <c r="AF110" s="6"/>
    </row>
    <row r="111" spans="1:32" ht="15.75">
      <c r="B111" s="55"/>
      <c r="C111" s="887" t="s">
        <v>8</v>
      </c>
      <c r="D111" s="887" t="s">
        <v>72</v>
      </c>
      <c r="E111" s="887" t="s">
        <v>30</v>
      </c>
      <c r="F111" s="908">
        <v>2013</v>
      </c>
      <c r="G111" s="92">
        <v>2015</v>
      </c>
      <c r="H111" s="92">
        <v>2020</v>
      </c>
      <c r="I111" s="92">
        <v>2025</v>
      </c>
      <c r="J111" s="92">
        <v>2030</v>
      </c>
      <c r="K111" s="92">
        <v>2035</v>
      </c>
      <c r="L111" s="92">
        <v>2040</v>
      </c>
      <c r="M111" s="92">
        <v>2045</v>
      </c>
      <c r="N111" s="92">
        <v>2050</v>
      </c>
      <c r="O111" s="67"/>
      <c r="P111" s="67"/>
      <c r="Q111" s="6"/>
      <c r="R111" s="6"/>
      <c r="S111" s="6"/>
      <c r="U111" s="6"/>
      <c r="V111" s="6"/>
      <c r="W111" s="6"/>
      <c r="X111" s="6"/>
      <c r="Y111" s="6"/>
      <c r="Z111" s="6"/>
      <c r="AA111" s="6"/>
      <c r="AB111" s="6"/>
      <c r="AC111" s="6"/>
      <c r="AD111" s="6"/>
      <c r="AE111" s="6"/>
      <c r="AF111" s="6"/>
    </row>
    <row r="112" spans="1:32" ht="15.75">
      <c r="B112" s="55"/>
      <c r="C112" s="65">
        <v>1</v>
      </c>
      <c r="D112" s="108" t="s">
        <v>1972</v>
      </c>
      <c r="E112" s="2591"/>
      <c r="F112" s="1213">
        <v>0.05</v>
      </c>
      <c r="G112" s="94">
        <v>7.0000000000000007E-2</v>
      </c>
      <c r="H112" s="94">
        <v>0.2</v>
      </c>
      <c r="I112" s="94">
        <v>0.25</v>
      </c>
      <c r="J112" s="94">
        <v>0.25</v>
      </c>
      <c r="K112" s="94">
        <v>0.25</v>
      </c>
      <c r="L112" s="94">
        <v>0.25</v>
      </c>
      <c r="M112" s="94">
        <v>0.25</v>
      </c>
      <c r="N112" s="94">
        <v>0.25</v>
      </c>
      <c r="O112" s="67"/>
      <c r="P112" s="67"/>
      <c r="Q112" s="6"/>
      <c r="R112" s="6"/>
      <c r="S112" s="6"/>
      <c r="U112" s="6"/>
      <c r="V112" s="6"/>
      <c r="W112" s="6"/>
      <c r="X112" s="6"/>
      <c r="Y112" s="6"/>
      <c r="Z112" s="6"/>
      <c r="AA112" s="6"/>
      <c r="AB112" s="6"/>
      <c r="AC112" s="6"/>
      <c r="AD112" s="6"/>
      <c r="AE112" s="6"/>
      <c r="AF112" s="6"/>
    </row>
    <row r="113" spans="1:32" ht="15.75">
      <c r="B113" s="55"/>
      <c r="C113" s="65">
        <v>2</v>
      </c>
      <c r="D113" s="108" t="s">
        <v>1973</v>
      </c>
      <c r="E113" s="108"/>
      <c r="F113" s="1214">
        <v>0.05</v>
      </c>
      <c r="G113" s="94">
        <v>7.0000000000000007E-2</v>
      </c>
      <c r="H113" s="94">
        <v>0.2</v>
      </c>
      <c r="I113" s="94">
        <v>0.25</v>
      </c>
      <c r="J113" s="94">
        <v>0.3</v>
      </c>
      <c r="K113" s="94">
        <v>0.35</v>
      </c>
      <c r="L113" s="94">
        <v>0.35</v>
      </c>
      <c r="M113" s="94">
        <v>0.35</v>
      </c>
      <c r="N113" s="94">
        <v>0.35</v>
      </c>
      <c r="O113" s="67"/>
      <c r="P113" s="67"/>
      <c r="Q113" s="6"/>
      <c r="R113" s="6"/>
      <c r="S113" s="6"/>
      <c r="U113" s="6"/>
      <c r="V113" s="6"/>
      <c r="W113" s="6"/>
      <c r="X113" s="6"/>
      <c r="Y113" s="6"/>
      <c r="Z113" s="6"/>
      <c r="AA113" s="6"/>
      <c r="AB113" s="6"/>
      <c r="AC113" s="6"/>
      <c r="AD113" s="6"/>
      <c r="AE113" s="6"/>
      <c r="AF113" s="6"/>
    </row>
    <row r="114" spans="1:32" ht="15.75">
      <c r="B114" s="55"/>
      <c r="C114" s="65">
        <v>3</v>
      </c>
      <c r="D114" s="108" t="s">
        <v>1974</v>
      </c>
      <c r="E114" s="108"/>
      <c r="F114" s="1214">
        <v>0.05</v>
      </c>
      <c r="G114" s="94">
        <v>7.0000000000000007E-2</v>
      </c>
      <c r="H114" s="94">
        <v>0.2</v>
      </c>
      <c r="I114" s="94">
        <v>0.2</v>
      </c>
      <c r="J114" s="94">
        <v>0.4</v>
      </c>
      <c r="K114" s="94">
        <v>0.4</v>
      </c>
      <c r="L114" s="94">
        <v>0.8</v>
      </c>
      <c r="M114" s="94">
        <v>0.8</v>
      </c>
      <c r="N114" s="94">
        <v>0.8</v>
      </c>
      <c r="O114" s="67"/>
      <c r="P114" s="67"/>
      <c r="Q114" s="6"/>
      <c r="R114" s="6"/>
      <c r="S114" s="6"/>
      <c r="U114" s="6"/>
      <c r="V114" s="6"/>
      <c r="W114" s="6"/>
      <c r="X114" s="6"/>
      <c r="Y114" s="6"/>
      <c r="Z114" s="6"/>
      <c r="AA114" s="6"/>
      <c r="AB114" s="6"/>
      <c r="AC114" s="6"/>
      <c r="AD114" s="6"/>
      <c r="AE114" s="6"/>
      <c r="AF114" s="6"/>
    </row>
    <row r="115" spans="1:32" ht="15.75">
      <c r="B115" s="55"/>
      <c r="C115" s="896">
        <v>4</v>
      </c>
      <c r="D115" s="897" t="s">
        <v>1975</v>
      </c>
      <c r="E115" s="897"/>
      <c r="F115" s="2592">
        <v>0.05</v>
      </c>
      <c r="G115" s="100">
        <v>7.0000000000000007E-2</v>
      </c>
      <c r="H115" s="100">
        <v>0.2</v>
      </c>
      <c r="I115" s="100">
        <v>0.2</v>
      </c>
      <c r="J115" s="100">
        <v>0.4</v>
      </c>
      <c r="K115" s="100">
        <v>0.4</v>
      </c>
      <c r="L115" s="100">
        <v>0.8</v>
      </c>
      <c r="M115" s="100">
        <v>0.8</v>
      </c>
      <c r="N115" s="100">
        <v>0.8</v>
      </c>
      <c r="O115" s="67"/>
      <c r="P115" s="67"/>
      <c r="Q115" s="6"/>
      <c r="R115" s="6"/>
      <c r="S115" s="6"/>
      <c r="U115" s="6"/>
      <c r="V115" s="6"/>
      <c r="W115" s="6"/>
      <c r="X115" s="6"/>
      <c r="Y115" s="6"/>
      <c r="Z115" s="6"/>
      <c r="AA115" s="6"/>
      <c r="AB115" s="6"/>
      <c r="AC115" s="6"/>
      <c r="AD115" s="6"/>
      <c r="AE115" s="6"/>
      <c r="AF115" s="6"/>
    </row>
    <row r="116" spans="1:32">
      <c r="B116" s="45"/>
      <c r="C116" s="3864" t="s">
        <v>3100</v>
      </c>
      <c r="D116" s="87"/>
      <c r="E116" s="67"/>
      <c r="F116" s="67"/>
      <c r="G116" s="67"/>
      <c r="H116" s="67"/>
      <c r="I116" s="67"/>
      <c r="J116" s="67"/>
      <c r="K116" s="67"/>
      <c r="L116" s="67"/>
      <c r="M116" s="67"/>
      <c r="N116" s="67"/>
      <c r="O116" s="67"/>
      <c r="P116" s="67"/>
      <c r="Q116" s="6"/>
      <c r="R116" s="6"/>
      <c r="S116" s="6"/>
      <c r="U116" s="6"/>
      <c r="V116" s="6"/>
      <c r="W116" s="6"/>
      <c r="X116" s="6"/>
      <c r="Y116" s="6"/>
      <c r="Z116" s="6"/>
      <c r="AA116" s="6"/>
      <c r="AB116" s="6"/>
      <c r="AC116" s="6"/>
      <c r="AD116" s="6"/>
      <c r="AE116" s="6"/>
      <c r="AF116" s="6"/>
    </row>
    <row r="117" spans="1:32" hidden="1">
      <c r="B117" s="45"/>
      <c r="C117" s="49" t="s">
        <v>2781</v>
      </c>
      <c r="D117" s="87"/>
      <c r="E117" s="67"/>
      <c r="F117" s="67"/>
      <c r="G117" s="67"/>
      <c r="H117" s="67"/>
      <c r="I117" s="67"/>
      <c r="J117" s="67"/>
      <c r="K117" s="67"/>
      <c r="L117" s="67"/>
      <c r="M117" s="67"/>
      <c r="N117" s="51" t="s">
        <v>1981</v>
      </c>
      <c r="O117" s="67"/>
      <c r="P117" s="67"/>
      <c r="Q117" s="6"/>
      <c r="R117" s="6"/>
      <c r="S117" s="6"/>
      <c r="U117" s="6"/>
      <c r="V117" s="6"/>
      <c r="W117" s="6"/>
      <c r="X117" s="6"/>
      <c r="Y117" s="6"/>
      <c r="Z117" s="6"/>
      <c r="AA117" s="6"/>
      <c r="AB117" s="6"/>
      <c r="AC117" s="6"/>
      <c r="AD117" s="6"/>
      <c r="AE117" s="6"/>
      <c r="AF117" s="6"/>
    </row>
    <row r="118" spans="1:32" hidden="1">
      <c r="B118" s="45"/>
      <c r="C118" s="67"/>
      <c r="D118" s="87"/>
      <c r="E118" s="67"/>
      <c r="F118" s="67"/>
      <c r="G118" s="67"/>
      <c r="H118" s="67"/>
      <c r="I118" s="67"/>
      <c r="J118" s="67"/>
      <c r="K118" s="67"/>
      <c r="L118" s="67"/>
      <c r="M118" s="67"/>
      <c r="N118" s="67"/>
      <c r="O118" s="67"/>
      <c r="P118" s="67"/>
      <c r="Q118" s="6"/>
      <c r="R118" s="6"/>
      <c r="S118" s="6"/>
      <c r="U118" s="6"/>
      <c r="V118" s="6"/>
      <c r="W118" s="6"/>
      <c r="X118" s="6"/>
      <c r="Y118" s="6"/>
      <c r="Z118" s="6"/>
      <c r="AA118" s="6"/>
      <c r="AB118" s="6"/>
      <c r="AC118" s="6"/>
      <c r="AD118" s="6"/>
      <c r="AE118" s="6"/>
      <c r="AF118" s="6"/>
    </row>
    <row r="119" spans="1:32" ht="15.75" hidden="1">
      <c r="B119" s="55"/>
      <c r="C119" s="887" t="s">
        <v>8</v>
      </c>
      <c r="D119" s="887" t="s">
        <v>72</v>
      </c>
      <c r="E119" s="887" t="s">
        <v>30</v>
      </c>
      <c r="F119" s="908">
        <v>2013</v>
      </c>
      <c r="G119" s="92">
        <v>2015</v>
      </c>
      <c r="H119" s="92">
        <v>2020</v>
      </c>
      <c r="I119" s="92">
        <v>2025</v>
      </c>
      <c r="J119" s="92">
        <v>2030</v>
      </c>
      <c r="K119" s="92">
        <v>2035</v>
      </c>
      <c r="L119" s="92">
        <v>2040</v>
      </c>
      <c r="M119" s="92">
        <v>2045</v>
      </c>
      <c r="N119" s="92">
        <v>2050</v>
      </c>
      <c r="O119" s="67"/>
      <c r="P119" s="67"/>
      <c r="Q119" s="6"/>
      <c r="R119" s="6"/>
      <c r="S119" s="6"/>
      <c r="U119" s="6"/>
      <c r="V119" s="6"/>
      <c r="W119" s="6"/>
      <c r="X119" s="6"/>
      <c r="Y119" s="6"/>
      <c r="Z119" s="6"/>
      <c r="AA119" s="6"/>
      <c r="AB119" s="6"/>
      <c r="AC119" s="6"/>
      <c r="AD119" s="6"/>
      <c r="AE119" s="6"/>
      <c r="AF119" s="6"/>
    </row>
    <row r="120" spans="1:32" ht="15.75" hidden="1">
      <c r="B120" s="55"/>
      <c r="C120" s="65">
        <v>1</v>
      </c>
      <c r="D120" s="108" t="s">
        <v>1972</v>
      </c>
      <c r="E120" s="2591"/>
      <c r="F120" s="2593"/>
      <c r="G120" s="892"/>
      <c r="H120" s="892"/>
      <c r="I120" s="892"/>
      <c r="J120" s="892"/>
      <c r="K120" s="892"/>
      <c r="L120" s="892"/>
      <c r="M120" s="892"/>
      <c r="N120" s="892"/>
      <c r="O120" s="67"/>
      <c r="P120" s="67"/>
      <c r="Q120" s="6"/>
      <c r="R120"/>
      <c r="S120"/>
      <c r="T120"/>
      <c r="U120"/>
      <c r="V120"/>
      <c r="W120"/>
      <c r="X120"/>
      <c r="Y120"/>
      <c r="Z120"/>
      <c r="AA120" s="6"/>
      <c r="AB120" s="6"/>
      <c r="AC120" s="6"/>
      <c r="AD120" s="6"/>
      <c r="AE120" s="6"/>
      <c r="AF120" s="6"/>
    </row>
    <row r="121" spans="1:32" ht="15.75" hidden="1">
      <c r="B121" s="55"/>
      <c r="C121" s="65">
        <v>2</v>
      </c>
      <c r="D121" s="108" t="s">
        <v>1973</v>
      </c>
      <c r="E121" s="108"/>
      <c r="F121" s="891"/>
      <c r="G121" s="892"/>
      <c r="H121" s="892"/>
      <c r="I121" s="892"/>
      <c r="J121" s="892"/>
      <c r="K121" s="892"/>
      <c r="L121" s="892"/>
      <c r="M121" s="892"/>
      <c r="N121" s="892"/>
      <c r="O121" s="67"/>
      <c r="P121" s="67"/>
      <c r="Q121" s="6"/>
      <c r="R121"/>
      <c r="S121"/>
      <c r="T121"/>
      <c r="U121"/>
      <c r="V121"/>
      <c r="W121"/>
      <c r="X121"/>
      <c r="Y121"/>
      <c r="Z121"/>
      <c r="AA121" s="6"/>
      <c r="AB121" s="6"/>
      <c r="AC121" s="6"/>
      <c r="AD121" s="6"/>
      <c r="AE121" s="6"/>
      <c r="AF121" s="6"/>
    </row>
    <row r="122" spans="1:32" ht="15.75" hidden="1">
      <c r="B122" s="55"/>
      <c r="C122" s="65">
        <v>3</v>
      </c>
      <c r="D122" s="108" t="s">
        <v>1974</v>
      </c>
      <c r="E122" s="108"/>
      <c r="F122" s="891"/>
      <c r="G122" s="892"/>
      <c r="H122" s="892"/>
      <c r="I122" s="892"/>
      <c r="J122" s="892"/>
      <c r="K122" s="892"/>
      <c r="L122" s="892"/>
      <c r="M122" s="892"/>
      <c r="N122" s="892"/>
      <c r="O122" s="67"/>
      <c r="P122" s="67"/>
      <c r="Q122" s="6"/>
      <c r="R122"/>
      <c r="S122"/>
      <c r="T122"/>
      <c r="U122"/>
      <c r="V122"/>
      <c r="W122"/>
      <c r="X122"/>
      <c r="Y122"/>
      <c r="Z122"/>
      <c r="AA122" s="6"/>
      <c r="AB122" s="6"/>
      <c r="AC122" s="6"/>
      <c r="AD122" s="6"/>
      <c r="AE122" s="6"/>
      <c r="AF122" s="6"/>
    </row>
    <row r="123" spans="1:32" ht="15.75" hidden="1">
      <c r="B123" s="55"/>
      <c r="C123" s="896">
        <v>4</v>
      </c>
      <c r="D123" s="897" t="s">
        <v>1975</v>
      </c>
      <c r="E123" s="897"/>
      <c r="F123" s="2594"/>
      <c r="G123" s="899"/>
      <c r="H123" s="899"/>
      <c r="I123" s="899"/>
      <c r="J123" s="899"/>
      <c r="K123" s="899"/>
      <c r="L123" s="899"/>
      <c r="M123" s="899"/>
      <c r="N123" s="899"/>
      <c r="O123" s="67"/>
      <c r="P123" s="67"/>
      <c r="Q123" s="6"/>
      <c r="R123"/>
      <c r="S123"/>
      <c r="T123"/>
      <c r="U123"/>
      <c r="V123"/>
      <c r="W123"/>
      <c r="X123"/>
      <c r="Y123"/>
      <c r="Z123"/>
      <c r="AA123" s="6"/>
      <c r="AB123" s="6"/>
      <c r="AC123" s="6"/>
      <c r="AD123" s="6"/>
      <c r="AE123" s="6"/>
      <c r="AF123" s="6"/>
    </row>
    <row r="124" spans="1:32" hidden="1">
      <c r="B124" s="45"/>
      <c r="C124" s="67"/>
      <c r="D124" s="87"/>
      <c r="E124" s="67"/>
      <c r="F124" s="67"/>
      <c r="G124" s="67"/>
      <c r="H124" s="67"/>
      <c r="I124" s="67"/>
      <c r="J124" s="67"/>
      <c r="K124" s="67"/>
      <c r="L124" s="67"/>
      <c r="M124" s="67"/>
      <c r="N124" s="67"/>
      <c r="O124" s="67"/>
      <c r="P124" s="67"/>
      <c r="Q124" s="6"/>
      <c r="R124" s="6"/>
      <c r="S124" s="6"/>
      <c r="U124" s="6"/>
      <c r="V124" s="6"/>
      <c r="W124" s="6"/>
      <c r="X124" s="6"/>
      <c r="Y124" s="6"/>
      <c r="Z124" s="6"/>
      <c r="AA124" s="6"/>
      <c r="AB124" s="6"/>
      <c r="AC124" s="6"/>
      <c r="AD124" s="6"/>
      <c r="AE124" s="6"/>
      <c r="AF124" s="6"/>
    </row>
    <row r="125" spans="1:32">
      <c r="Q125" s="6"/>
      <c r="R125" s="6"/>
      <c r="S125" s="6"/>
      <c r="U125" s="6"/>
      <c r="V125" s="6"/>
      <c r="W125" s="6"/>
      <c r="X125" s="6"/>
      <c r="Y125" s="6"/>
      <c r="Z125" s="6"/>
      <c r="AA125" s="6"/>
      <c r="AB125" s="6"/>
      <c r="AC125" s="6"/>
      <c r="AD125" s="6"/>
      <c r="AE125" s="6"/>
      <c r="AF125" s="6"/>
    </row>
    <row r="126" spans="1:32" s="6" customFormat="1" ht="23.25">
      <c r="A126" s="40"/>
      <c r="B126" s="878" t="s">
        <v>70</v>
      </c>
      <c r="C126" s="879"/>
      <c r="D126" s="879"/>
      <c r="E126" s="879"/>
      <c r="F126" s="879"/>
      <c r="G126" s="879"/>
      <c r="H126" s="879"/>
      <c r="I126" s="879"/>
      <c r="J126" s="879"/>
      <c r="K126" s="879"/>
      <c r="L126" s="879"/>
      <c r="M126" s="879"/>
      <c r="N126" s="879"/>
      <c r="O126" s="936"/>
      <c r="P126" s="936"/>
      <c r="R126" s="6" t="s">
        <v>5</v>
      </c>
      <c r="T126" s="2506"/>
      <c r="W126" s="6" t="s">
        <v>5</v>
      </c>
    </row>
    <row r="127" spans="1:32">
      <c r="B127" s="110"/>
      <c r="C127" s="67"/>
      <c r="D127" s="67"/>
      <c r="E127" s="67"/>
      <c r="F127" s="67"/>
      <c r="G127" s="67"/>
      <c r="H127" s="67"/>
      <c r="I127" s="67"/>
      <c r="J127" s="67"/>
      <c r="K127" s="67"/>
      <c r="L127" s="67"/>
      <c r="M127" s="67"/>
      <c r="N127" s="67"/>
      <c r="O127" s="67"/>
      <c r="P127" s="67"/>
      <c r="S127" s="3598" t="s">
        <v>5</v>
      </c>
    </row>
    <row r="128" spans="1:32">
      <c r="B128" s="110"/>
      <c r="C128" s="49" t="s">
        <v>1982</v>
      </c>
      <c r="D128" s="67"/>
      <c r="E128" s="50"/>
      <c r="F128" s="51" t="s">
        <v>1983</v>
      </c>
      <c r="G128" s="67"/>
      <c r="H128" s="3862" t="s">
        <v>64</v>
      </c>
      <c r="I128" s="67"/>
      <c r="J128" s="67"/>
      <c r="K128" s="67"/>
      <c r="L128" s="67"/>
      <c r="M128" s="67"/>
      <c r="N128" s="67"/>
      <c r="O128" s="67"/>
      <c r="P128" s="67"/>
    </row>
    <row r="129" spans="2:16">
      <c r="B129" s="110"/>
      <c r="C129" s="67"/>
      <c r="D129" s="67"/>
      <c r="E129" s="67"/>
      <c r="F129" s="67"/>
      <c r="G129" s="67"/>
      <c r="H129" s="67"/>
      <c r="I129" s="67"/>
      <c r="J129" s="67"/>
      <c r="K129" s="67"/>
      <c r="L129" s="67"/>
      <c r="M129" s="67"/>
      <c r="N129" s="67"/>
      <c r="O129" s="67"/>
      <c r="P129" s="67"/>
    </row>
    <row r="130" spans="2:16" ht="15.75">
      <c r="B130" s="55"/>
      <c r="C130" s="887" t="s">
        <v>792</v>
      </c>
      <c r="D130" s="887" t="s">
        <v>72</v>
      </c>
      <c r="E130" s="887"/>
      <c r="F130" s="909">
        <v>2013</v>
      </c>
      <c r="G130" s="67"/>
      <c r="H130" s="67"/>
      <c r="I130" s="67"/>
      <c r="J130" s="67"/>
      <c r="K130" s="67"/>
      <c r="L130" s="67"/>
      <c r="M130" s="67"/>
      <c r="N130" s="67"/>
      <c r="O130" s="67"/>
      <c r="P130" s="67"/>
    </row>
    <row r="131" spans="2:16" ht="15.75">
      <c r="B131" s="55"/>
      <c r="C131" s="65">
        <v>1</v>
      </c>
      <c r="D131" s="108" t="s">
        <v>1946</v>
      </c>
      <c r="E131" s="1267"/>
      <c r="F131" s="172">
        <v>1082</v>
      </c>
      <c r="G131" s="67"/>
      <c r="H131" s="3864" t="s">
        <v>2103</v>
      </c>
      <c r="I131" s="67"/>
      <c r="J131" s="67"/>
      <c r="K131" s="67"/>
      <c r="L131" s="67"/>
      <c r="M131" s="67"/>
      <c r="N131" s="67"/>
      <c r="O131" s="67"/>
      <c r="P131" s="67"/>
    </row>
    <row r="132" spans="2:16" ht="15.75">
      <c r="B132" s="55"/>
      <c r="C132" s="65">
        <v>2</v>
      </c>
      <c r="D132" s="108" t="s">
        <v>1947</v>
      </c>
      <c r="E132" s="108"/>
      <c r="F132" s="172">
        <v>15177</v>
      </c>
      <c r="G132" s="67" t="s">
        <v>5</v>
      </c>
      <c r="H132" s="3864" t="s">
        <v>2991</v>
      </c>
      <c r="I132" s="67"/>
      <c r="J132" s="67"/>
      <c r="K132" s="67"/>
      <c r="L132" s="67"/>
      <c r="M132" s="67"/>
      <c r="N132" s="67"/>
      <c r="O132" s="67"/>
      <c r="P132" s="67"/>
    </row>
    <row r="133" spans="2:16" ht="15.75">
      <c r="B133" s="55"/>
      <c r="C133" s="896">
        <v>3</v>
      </c>
      <c r="D133" s="897" t="s">
        <v>1948</v>
      </c>
      <c r="E133" s="897"/>
      <c r="F133" s="2595">
        <v>10019</v>
      </c>
      <c r="G133" s="67"/>
      <c r="H133" s="67"/>
      <c r="I133" s="67"/>
      <c r="J133" s="67"/>
      <c r="K133" s="67"/>
      <c r="L133" s="67"/>
      <c r="M133" s="67"/>
      <c r="N133" s="67"/>
      <c r="O133" s="67"/>
      <c r="P133" s="67"/>
    </row>
    <row r="134" spans="2:16">
      <c r="B134" s="110"/>
      <c r="C134" s="67"/>
      <c r="D134" s="67"/>
      <c r="E134" s="67"/>
      <c r="F134" s="67"/>
      <c r="G134" s="67"/>
      <c r="H134" s="67"/>
      <c r="I134" s="67"/>
      <c r="J134" s="67"/>
      <c r="K134" s="67"/>
      <c r="L134" s="67"/>
      <c r="M134" s="67"/>
      <c r="N134" s="67"/>
      <c r="O134" s="67"/>
      <c r="P134" s="67"/>
    </row>
    <row r="135" spans="2:16">
      <c r="B135" s="110"/>
      <c r="C135" s="49" t="s">
        <v>1984</v>
      </c>
      <c r="D135" s="67"/>
      <c r="E135" s="67"/>
      <c r="F135" s="67"/>
      <c r="G135" s="67"/>
      <c r="H135" s="67"/>
      <c r="I135" s="67"/>
      <c r="J135" s="67"/>
      <c r="K135" s="67"/>
      <c r="L135" s="67"/>
      <c r="M135" s="67"/>
      <c r="N135" s="67"/>
      <c r="O135" s="67"/>
      <c r="P135" s="67"/>
    </row>
    <row r="136" spans="2:16">
      <c r="B136" s="110"/>
      <c r="C136" s="67"/>
      <c r="D136" s="67"/>
      <c r="E136" s="67"/>
      <c r="F136" s="67"/>
      <c r="G136" s="67"/>
      <c r="H136" s="67"/>
      <c r="I136" s="67"/>
      <c r="J136" s="67"/>
      <c r="K136" s="67"/>
      <c r="L136" s="67"/>
      <c r="M136" s="67"/>
      <c r="N136" s="67"/>
      <c r="O136" s="67"/>
      <c r="P136" s="67"/>
    </row>
    <row r="137" spans="2:16" ht="15.75">
      <c r="B137" s="55"/>
      <c r="C137" s="887" t="s">
        <v>792</v>
      </c>
      <c r="D137" s="887" t="s">
        <v>72</v>
      </c>
      <c r="E137" s="887" t="s">
        <v>1491</v>
      </c>
      <c r="F137" s="909">
        <v>2013</v>
      </c>
      <c r="G137" s="67"/>
      <c r="H137" s="67"/>
      <c r="I137" s="67"/>
      <c r="J137" s="67"/>
      <c r="K137" s="67"/>
      <c r="L137" s="67"/>
      <c r="M137" s="67"/>
      <c r="N137" s="67"/>
      <c r="O137" s="67"/>
      <c r="P137" s="67"/>
    </row>
    <row r="138" spans="2:16" ht="15.75">
      <c r="B138" s="55"/>
      <c r="C138" s="65" t="s">
        <v>1950</v>
      </c>
      <c r="D138" s="108" t="s">
        <v>1797</v>
      </c>
      <c r="E138" s="1267" t="s">
        <v>1985</v>
      </c>
      <c r="F138" s="59">
        <v>9.6999999999999993</v>
      </c>
      <c r="G138" s="67"/>
      <c r="H138" s="67"/>
      <c r="I138" s="67"/>
      <c r="J138" s="67"/>
      <c r="K138" s="67"/>
      <c r="L138" s="67"/>
      <c r="M138" s="67"/>
      <c r="N138" s="67"/>
      <c r="O138" s="67"/>
      <c r="P138" s="67"/>
    </row>
    <row r="139" spans="2:16" ht="15.75">
      <c r="B139" s="55"/>
      <c r="C139" s="65" t="s">
        <v>1950</v>
      </c>
      <c r="D139" s="108" t="s">
        <v>1951</v>
      </c>
      <c r="E139" s="1267" t="s">
        <v>1985</v>
      </c>
      <c r="F139" s="59">
        <v>3</v>
      </c>
      <c r="G139" s="67"/>
      <c r="H139" s="67"/>
      <c r="I139" s="67"/>
      <c r="J139" s="67"/>
      <c r="K139" s="67"/>
      <c r="L139" s="67"/>
      <c r="M139" s="67"/>
      <c r="N139" s="67"/>
      <c r="O139" s="67"/>
      <c r="P139" s="67"/>
    </row>
    <row r="140" spans="2:16" ht="15.75">
      <c r="B140" s="55"/>
      <c r="C140" s="65" t="s">
        <v>1950</v>
      </c>
      <c r="D140" s="108" t="s">
        <v>1952</v>
      </c>
      <c r="E140" s="108" t="s">
        <v>1985</v>
      </c>
      <c r="F140" s="172">
        <v>10</v>
      </c>
      <c r="G140" s="67"/>
      <c r="H140" s="67"/>
      <c r="I140" s="67"/>
      <c r="J140" s="67"/>
      <c r="K140" s="67"/>
      <c r="L140" s="67"/>
      <c r="M140" s="67"/>
      <c r="N140" s="67"/>
      <c r="O140" s="67"/>
      <c r="P140" s="67"/>
    </row>
    <row r="141" spans="2:16" ht="15.75">
      <c r="B141" s="55"/>
      <c r="C141" s="67" t="s">
        <v>402</v>
      </c>
      <c r="D141" s="67" t="s">
        <v>1953</v>
      </c>
      <c r="E141" s="108" t="s">
        <v>1985</v>
      </c>
      <c r="F141" s="2596">
        <v>3.28</v>
      </c>
      <c r="G141" s="67"/>
      <c r="H141" s="67"/>
      <c r="I141" s="67"/>
      <c r="J141" s="67"/>
      <c r="K141" s="67"/>
      <c r="L141" s="67"/>
      <c r="M141" s="67"/>
      <c r="N141" s="67"/>
      <c r="O141" s="67"/>
      <c r="P141" s="67"/>
    </row>
    <row r="142" spans="2:16" ht="15.75">
      <c r="B142" s="55"/>
      <c r="C142" s="67" t="s">
        <v>402</v>
      </c>
      <c r="D142" s="67" t="s">
        <v>1954</v>
      </c>
      <c r="E142" s="108" t="s">
        <v>1985</v>
      </c>
      <c r="F142" s="2596">
        <v>1.72</v>
      </c>
      <c r="G142" s="67"/>
      <c r="H142" s="67"/>
      <c r="I142" s="67"/>
      <c r="J142" s="67"/>
      <c r="K142" s="67"/>
      <c r="L142" s="67"/>
      <c r="M142" s="67"/>
      <c r="N142" s="67"/>
      <c r="O142" s="67"/>
      <c r="P142" s="67"/>
    </row>
    <row r="143" spans="2:16" ht="15.75">
      <c r="B143" s="55"/>
      <c r="C143" s="67" t="s">
        <v>402</v>
      </c>
      <c r="D143" s="67" t="s">
        <v>1986</v>
      </c>
      <c r="E143" s="67" t="s">
        <v>1987</v>
      </c>
      <c r="F143" s="2596">
        <v>0.36499999999999999</v>
      </c>
      <c r="G143" s="67"/>
      <c r="H143" s="67"/>
      <c r="I143" s="67"/>
      <c r="J143" s="67"/>
      <c r="K143" s="67"/>
      <c r="L143" s="67"/>
      <c r="M143" s="67"/>
      <c r="N143" s="67"/>
      <c r="O143" s="67"/>
      <c r="P143" s="67"/>
    </row>
    <row r="144" spans="2:16" ht="15.75">
      <c r="B144" s="55"/>
      <c r="C144" s="67" t="s">
        <v>1956</v>
      </c>
      <c r="D144" s="67" t="s">
        <v>1957</v>
      </c>
      <c r="E144" s="67" t="s">
        <v>1988</v>
      </c>
      <c r="F144" s="359">
        <v>70</v>
      </c>
      <c r="G144" s="67"/>
      <c r="H144" s="67"/>
      <c r="I144" s="67"/>
      <c r="J144" s="67"/>
      <c r="K144" s="67"/>
      <c r="L144" s="67"/>
      <c r="M144" s="67"/>
      <c r="N144" s="67"/>
      <c r="O144" s="67"/>
      <c r="P144" s="67"/>
    </row>
    <row r="145" spans="2:16" ht="15.75">
      <c r="B145" s="55"/>
      <c r="C145" s="67" t="s">
        <v>1956</v>
      </c>
      <c r="D145" s="67" t="s">
        <v>1958</v>
      </c>
      <c r="E145" s="67" t="s">
        <v>1989</v>
      </c>
      <c r="F145" s="2596">
        <v>1.7</v>
      </c>
      <c r="G145" s="67"/>
      <c r="H145" s="67"/>
      <c r="I145" s="67"/>
      <c r="J145" s="67"/>
      <c r="K145" s="67"/>
      <c r="L145" s="67"/>
      <c r="M145" s="67"/>
      <c r="N145" s="67"/>
      <c r="O145" s="67"/>
      <c r="P145" s="67"/>
    </row>
    <row r="146" spans="2:16" ht="15.75">
      <c r="B146" s="55"/>
      <c r="C146" s="67" t="s">
        <v>1956</v>
      </c>
      <c r="D146" s="67" t="s">
        <v>1959</v>
      </c>
      <c r="E146" s="67" t="s">
        <v>1990</v>
      </c>
      <c r="F146" s="359">
        <v>5000</v>
      </c>
      <c r="G146" s="67"/>
      <c r="H146" s="67"/>
      <c r="I146" s="67"/>
      <c r="J146" s="67"/>
      <c r="K146" s="67"/>
      <c r="L146" s="67"/>
      <c r="M146" s="67"/>
      <c r="N146" s="67"/>
      <c r="O146" s="67"/>
      <c r="P146" s="67"/>
    </row>
    <row r="147" spans="2:16" ht="15.75">
      <c r="B147" s="55"/>
      <c r="C147" s="978" t="s">
        <v>1956</v>
      </c>
      <c r="D147" s="978" t="s">
        <v>1960</v>
      </c>
      <c r="E147" s="978" t="s">
        <v>1991</v>
      </c>
      <c r="F147" s="361">
        <v>298</v>
      </c>
      <c r="G147" s="67"/>
      <c r="H147" s="67"/>
      <c r="I147" s="67"/>
      <c r="J147" s="67"/>
      <c r="K147" s="67"/>
      <c r="L147" s="67"/>
      <c r="M147" s="67"/>
      <c r="N147" s="67"/>
      <c r="O147" s="67"/>
      <c r="P147" s="67"/>
    </row>
    <row r="148" spans="2:16">
      <c r="B148" s="110"/>
      <c r="C148" s="67"/>
      <c r="D148" s="67"/>
      <c r="E148" s="67"/>
      <c r="F148" s="67"/>
      <c r="G148" s="67"/>
      <c r="H148" s="67"/>
      <c r="I148" s="67"/>
      <c r="J148" s="67"/>
      <c r="K148" s="67"/>
      <c r="L148" s="67"/>
      <c r="M148" s="67"/>
      <c r="N148" s="67"/>
      <c r="O148" s="67"/>
      <c r="P148" s="67"/>
    </row>
    <row r="149" spans="2:16">
      <c r="B149" s="110"/>
      <c r="C149" s="49" t="s">
        <v>1992</v>
      </c>
      <c r="D149" s="67"/>
      <c r="E149" s="50"/>
      <c r="F149" s="51"/>
      <c r="G149" s="67"/>
      <c r="H149" s="67"/>
      <c r="I149" s="67"/>
      <c r="J149" s="67"/>
      <c r="K149" s="67"/>
      <c r="L149" s="67"/>
      <c r="M149" s="67"/>
      <c r="N149" s="67"/>
      <c r="O149" s="67"/>
      <c r="P149" s="67"/>
    </row>
    <row r="150" spans="2:16">
      <c r="B150" s="110"/>
      <c r="C150" s="67"/>
      <c r="D150" s="67"/>
      <c r="E150" s="67"/>
      <c r="F150" s="67"/>
      <c r="G150" s="67"/>
      <c r="H150" s="67"/>
      <c r="I150" s="67"/>
      <c r="J150" s="67"/>
      <c r="K150" s="67"/>
      <c r="L150" s="67"/>
      <c r="M150" s="67"/>
      <c r="N150" s="67"/>
      <c r="O150" s="67"/>
      <c r="P150" s="67"/>
    </row>
    <row r="151" spans="2:16" ht="15.75">
      <c r="B151" s="55"/>
      <c r="C151" s="887" t="s">
        <v>792</v>
      </c>
      <c r="D151" s="887" t="s">
        <v>72</v>
      </c>
      <c r="E151" s="887" t="s">
        <v>1491</v>
      </c>
      <c r="F151" s="909">
        <v>2013</v>
      </c>
      <c r="G151" s="67"/>
      <c r="H151" s="67"/>
      <c r="I151" s="67"/>
      <c r="J151" s="67"/>
      <c r="K151" s="67"/>
      <c r="L151" s="67"/>
      <c r="M151" s="67"/>
      <c r="N151" s="67"/>
      <c r="O151" s="67"/>
      <c r="P151" s="67"/>
    </row>
    <row r="152" spans="2:16" ht="15.75">
      <c r="B152" s="55"/>
      <c r="C152" s="65" t="s">
        <v>255</v>
      </c>
      <c r="D152" s="108" t="s">
        <v>1965</v>
      </c>
      <c r="E152" s="1267" t="s">
        <v>1993</v>
      </c>
      <c r="F152" s="59">
        <f>8811.21/(F$131+F$133)*1000</f>
        <v>793.73119538780281</v>
      </c>
      <c r="G152" s="67"/>
      <c r="H152" s="3864" t="s">
        <v>2102</v>
      </c>
      <c r="I152" s="67"/>
      <c r="J152" s="67"/>
      <c r="K152" s="67"/>
      <c r="L152" s="67"/>
      <c r="M152" s="67"/>
      <c r="N152" s="67"/>
      <c r="O152" s="67"/>
      <c r="P152" s="67"/>
    </row>
    <row r="153" spans="2:16" ht="15.75">
      <c r="B153" s="55"/>
      <c r="C153" s="926" t="s">
        <v>255</v>
      </c>
      <c r="D153" s="199" t="s">
        <v>1967</v>
      </c>
      <c r="E153" s="199" t="s">
        <v>1994</v>
      </c>
      <c r="F153" s="1023">
        <f>1000*(2238.46)/((F$131+F$133)*F$143*F$185)</f>
        <v>789.21681744085765</v>
      </c>
      <c r="G153" s="67"/>
      <c r="H153" s="3864" t="s">
        <v>2102</v>
      </c>
      <c r="I153" s="67"/>
      <c r="J153" s="67"/>
      <c r="K153" s="67"/>
      <c r="L153" s="67"/>
      <c r="M153" s="67"/>
      <c r="N153" s="67"/>
      <c r="O153" s="67"/>
      <c r="P153" s="67"/>
    </row>
    <row r="154" spans="2:16">
      <c r="B154" s="110"/>
      <c r="C154" s="67"/>
      <c r="D154" s="67"/>
      <c r="E154" s="67"/>
      <c r="F154" s="67"/>
      <c r="G154" s="67"/>
      <c r="H154" s="3864"/>
      <c r="I154" s="67"/>
      <c r="J154" s="67"/>
      <c r="K154" s="67"/>
      <c r="L154" s="67"/>
      <c r="M154" s="67"/>
      <c r="N154" s="67"/>
      <c r="O154" s="67"/>
      <c r="P154" s="67"/>
    </row>
    <row r="155" spans="2:16">
      <c r="B155" s="110"/>
      <c r="C155" s="49" t="s">
        <v>1995</v>
      </c>
      <c r="D155" s="67"/>
      <c r="E155" s="50"/>
      <c r="F155" s="51"/>
      <c r="G155" s="67"/>
      <c r="H155" s="3864" t="s">
        <v>5</v>
      </c>
      <c r="I155" s="67"/>
      <c r="J155" s="67"/>
      <c r="K155" s="67"/>
      <c r="L155" s="67"/>
      <c r="M155" s="67"/>
      <c r="N155" s="67"/>
      <c r="O155" s="67"/>
      <c r="P155" s="67"/>
    </row>
    <row r="156" spans="2:16">
      <c r="B156" s="110"/>
      <c r="C156" s="67"/>
      <c r="D156" s="67"/>
      <c r="E156" s="67"/>
      <c r="F156" s="67"/>
      <c r="G156" s="67"/>
      <c r="H156" s="3864"/>
      <c r="I156" s="67"/>
      <c r="J156" s="67"/>
      <c r="K156" s="67"/>
      <c r="L156" s="67"/>
      <c r="M156" s="67"/>
      <c r="N156" s="67"/>
      <c r="O156" s="67"/>
      <c r="P156" s="67"/>
    </row>
    <row r="157" spans="2:16" ht="15.75">
      <c r="B157" s="55"/>
      <c r="C157" s="887" t="s">
        <v>792</v>
      </c>
      <c r="D157" s="887" t="s">
        <v>72</v>
      </c>
      <c r="E157" s="887" t="s">
        <v>1491</v>
      </c>
      <c r="F157" s="909">
        <v>2013</v>
      </c>
      <c r="G157" s="67"/>
      <c r="H157" s="3864"/>
      <c r="I157" s="67"/>
      <c r="J157" s="67"/>
      <c r="K157" s="67"/>
      <c r="L157" s="67"/>
      <c r="M157" s="67"/>
      <c r="N157" s="67"/>
      <c r="O157" s="67"/>
      <c r="P157" s="67"/>
    </row>
    <row r="158" spans="2:16" ht="15.75">
      <c r="B158" s="55"/>
      <c r="C158" s="916" t="s">
        <v>256</v>
      </c>
      <c r="D158" s="917" t="s">
        <v>1996</v>
      </c>
      <c r="E158" s="1518" t="s">
        <v>254</v>
      </c>
      <c r="F158" s="2588">
        <v>6.45</v>
      </c>
      <c r="G158" s="67"/>
      <c r="H158" s="3864" t="s">
        <v>2101</v>
      </c>
      <c r="I158" s="67"/>
      <c r="J158" s="67"/>
      <c r="K158" s="67"/>
      <c r="L158" s="67"/>
      <c r="M158" s="67"/>
      <c r="N158" s="67"/>
      <c r="O158" s="67"/>
      <c r="P158" s="67"/>
    </row>
    <row r="159" spans="2:16">
      <c r="B159" s="110"/>
      <c r="C159" s="67"/>
      <c r="D159" s="67"/>
      <c r="E159" s="67"/>
      <c r="F159" s="67"/>
      <c r="G159" s="67"/>
      <c r="H159" s="3864"/>
      <c r="I159" s="67"/>
      <c r="J159" s="67"/>
      <c r="K159" s="67"/>
      <c r="L159" s="67"/>
      <c r="M159" s="67"/>
      <c r="N159" s="67"/>
      <c r="O159" s="67"/>
      <c r="P159" s="67"/>
    </row>
    <row r="160" spans="2:16">
      <c r="B160" s="110"/>
      <c r="C160" s="49" t="s">
        <v>1997</v>
      </c>
      <c r="D160" s="67"/>
      <c r="E160" s="67"/>
      <c r="F160" s="51" t="str">
        <f>"Mt CO2e / " &amp; Preferences.AreaUnits</f>
        <v>Mt CO2e / km^2</v>
      </c>
      <c r="G160" s="67"/>
      <c r="H160" s="3864"/>
      <c r="I160" s="67"/>
      <c r="J160" s="67"/>
      <c r="K160" s="67"/>
      <c r="L160" s="67"/>
      <c r="M160" s="67"/>
      <c r="N160" s="67"/>
      <c r="O160" s="67"/>
      <c r="P160" s="67"/>
    </row>
    <row r="161" spans="2:16">
      <c r="B161" s="110"/>
      <c r="C161" s="67"/>
      <c r="D161" s="67"/>
      <c r="E161" s="67"/>
      <c r="F161" s="67"/>
      <c r="G161" s="67"/>
      <c r="H161" s="3864"/>
      <c r="I161" s="67"/>
      <c r="J161" s="67"/>
      <c r="K161" s="67"/>
      <c r="L161" s="67"/>
      <c r="M161" s="67"/>
      <c r="N161" s="67"/>
      <c r="O161" s="67"/>
      <c r="P161" s="67"/>
    </row>
    <row r="162" spans="2:16" ht="15.75">
      <c r="B162" s="55"/>
      <c r="C162" s="887" t="s">
        <v>305</v>
      </c>
      <c r="D162" s="887" t="s">
        <v>72</v>
      </c>
      <c r="E162" s="887" t="s">
        <v>30</v>
      </c>
      <c r="F162" s="909">
        <v>2013</v>
      </c>
      <c r="G162" s="67"/>
      <c r="H162" s="3864"/>
      <c r="I162" s="67"/>
      <c r="J162" s="67"/>
      <c r="K162" s="67"/>
      <c r="L162" s="67"/>
      <c r="M162" s="67"/>
      <c r="N162" s="67"/>
      <c r="O162" s="67"/>
      <c r="P162" s="67"/>
    </row>
    <row r="163" spans="2:16" ht="15.75">
      <c r="B163" s="55"/>
      <c r="C163" s="65" t="s">
        <v>1998</v>
      </c>
      <c r="D163" s="108" t="s">
        <v>1999</v>
      </c>
      <c r="E163" s="1267"/>
      <c r="F163" s="892">
        <f>0.42/(F$20+F$21)</f>
        <v>3.5968142502355055E-5</v>
      </c>
      <c r="G163" s="67"/>
      <c r="H163" s="3864" t="s">
        <v>2101</v>
      </c>
      <c r="I163" s="67"/>
      <c r="J163" s="67"/>
      <c r="K163" s="67"/>
      <c r="L163" s="67"/>
      <c r="M163" s="67"/>
      <c r="N163" s="67"/>
      <c r="O163" s="67"/>
      <c r="P163" s="67"/>
    </row>
    <row r="164" spans="2:16" ht="15.75">
      <c r="B164" s="55"/>
      <c r="C164" s="926" t="s">
        <v>2000</v>
      </c>
      <c r="D164" s="199" t="s">
        <v>2001</v>
      </c>
      <c r="E164" s="1322"/>
      <c r="F164" s="1157">
        <f>-0.05/F$24</f>
        <v>-1.4872099940511601E-6</v>
      </c>
      <c r="G164" s="67"/>
      <c r="H164" s="3864" t="s">
        <v>2101</v>
      </c>
      <c r="I164" s="67"/>
      <c r="J164" s="67"/>
      <c r="K164" s="67"/>
      <c r="L164" s="67"/>
      <c r="M164" s="67"/>
      <c r="N164" s="67"/>
      <c r="O164" s="67"/>
      <c r="P164" s="67"/>
    </row>
    <row r="165" spans="2:16" ht="15.75">
      <c r="B165" s="55"/>
      <c r="C165" s="65"/>
      <c r="D165" s="108"/>
      <c r="E165" s="1267"/>
      <c r="F165" s="59"/>
      <c r="G165" s="67"/>
      <c r="H165" s="3864" t="s">
        <v>5</v>
      </c>
      <c r="I165" s="67"/>
      <c r="J165" s="67"/>
      <c r="K165" s="67"/>
      <c r="L165" s="67"/>
      <c r="M165" s="67"/>
      <c r="N165" s="67"/>
      <c r="O165" s="67"/>
      <c r="P165" s="67"/>
    </row>
    <row r="166" spans="2:16" ht="15.75">
      <c r="B166" s="55"/>
      <c r="C166" s="49" t="s">
        <v>2002</v>
      </c>
      <c r="D166" s="67"/>
      <c r="E166" s="67"/>
      <c r="F166" s="51" t="str">
        <f>"Mt CO2e / " &amp; Preferences.AreaUnits</f>
        <v>Mt CO2e / km^2</v>
      </c>
      <c r="G166" s="67"/>
      <c r="H166" s="3864" t="s">
        <v>5</v>
      </c>
      <c r="I166" s="67"/>
      <c r="J166" s="67"/>
      <c r="K166" s="67"/>
      <c r="L166" s="67"/>
      <c r="M166" s="67"/>
      <c r="N166" s="67"/>
      <c r="O166" s="67"/>
      <c r="P166" s="67"/>
    </row>
    <row r="167" spans="2:16" ht="15.75">
      <c r="B167" s="55"/>
      <c r="C167" s="67"/>
      <c r="D167" s="67"/>
      <c r="E167" s="67"/>
      <c r="F167" s="67"/>
      <c r="G167" s="67"/>
      <c r="H167" s="3864"/>
      <c r="I167" s="67"/>
      <c r="J167" s="67"/>
      <c r="K167" s="67"/>
      <c r="L167" s="67"/>
      <c r="M167" s="67"/>
      <c r="N167" s="67"/>
      <c r="O167" s="67"/>
      <c r="P167" s="67"/>
    </row>
    <row r="168" spans="2:16" ht="15.75">
      <c r="B168" s="55"/>
      <c r="C168" s="887" t="s">
        <v>305</v>
      </c>
      <c r="D168" s="887" t="s">
        <v>72</v>
      </c>
      <c r="E168" s="887" t="s">
        <v>30</v>
      </c>
      <c r="F168" s="909">
        <v>2013</v>
      </c>
      <c r="G168" s="67"/>
      <c r="H168" s="3864"/>
      <c r="I168" s="67"/>
      <c r="J168" s="67"/>
      <c r="K168" s="67"/>
      <c r="L168" s="67"/>
      <c r="M168" s="67"/>
      <c r="N168" s="67"/>
      <c r="O168" s="67"/>
      <c r="P168" s="67"/>
    </row>
    <row r="169" spans="2:16" ht="15.75">
      <c r="B169" s="55"/>
      <c r="C169" s="925" t="s">
        <v>2003</v>
      </c>
      <c r="D169" s="925" t="s">
        <v>1942</v>
      </c>
      <c r="E169" s="925"/>
      <c r="F169" s="2597">
        <f>0.26/F25</f>
        <v>1.4883422729276266E-4</v>
      </c>
      <c r="G169" s="67"/>
      <c r="H169" s="3864" t="s">
        <v>2100</v>
      </c>
      <c r="I169" s="67"/>
      <c r="J169" s="67"/>
      <c r="K169" s="67"/>
      <c r="L169" s="67"/>
      <c r="M169" s="67"/>
      <c r="N169" s="67"/>
      <c r="O169" s="67"/>
      <c r="P169" s="67"/>
    </row>
    <row r="170" spans="2:16" ht="15.75">
      <c r="B170" s="55"/>
      <c r="C170" s="978" t="s">
        <v>2004</v>
      </c>
      <c r="D170" s="978" t="s">
        <v>411</v>
      </c>
      <c r="E170" s="978" t="s">
        <v>2780</v>
      </c>
      <c r="F170" s="2598">
        <f>0.04/F27</f>
        <v>2.8075908834716424E-6</v>
      </c>
      <c r="G170" s="67"/>
      <c r="H170" s="3864" t="s">
        <v>2100</v>
      </c>
      <c r="I170" s="67"/>
      <c r="J170" s="67"/>
      <c r="K170" s="67"/>
      <c r="L170" s="67"/>
      <c r="M170" s="67"/>
      <c r="N170" s="67"/>
      <c r="O170" s="67"/>
      <c r="P170" s="67"/>
    </row>
    <row r="171" spans="2:16">
      <c r="B171" s="110"/>
      <c r="C171" s="67"/>
      <c r="D171" s="67"/>
      <c r="E171" s="67"/>
      <c r="F171" s="67"/>
      <c r="G171" s="67"/>
      <c r="H171" s="67"/>
      <c r="I171" s="67"/>
      <c r="J171" s="67"/>
      <c r="K171" s="67"/>
      <c r="L171" s="67"/>
      <c r="M171" s="67"/>
      <c r="N171" s="67"/>
      <c r="O171" s="67"/>
      <c r="P171" s="67"/>
    </row>
    <row r="172" spans="2:16">
      <c r="B172" s="110"/>
      <c r="C172" s="49" t="s">
        <v>2005</v>
      </c>
      <c r="D172" s="67"/>
      <c r="E172" s="67"/>
      <c r="F172" s="51" t="str">
        <f>Preferences.EnergyUnits &amp; " / million odt"</f>
        <v>TWh / million odt</v>
      </c>
      <c r="G172" s="67"/>
      <c r="H172" s="67"/>
      <c r="I172" s="67"/>
      <c r="J172" s="67"/>
      <c r="K172" s="67"/>
      <c r="L172" s="67"/>
      <c r="M172" s="67"/>
      <c r="N172" s="67"/>
      <c r="O172" s="67"/>
      <c r="P172" s="885"/>
    </row>
    <row r="173" spans="2:16">
      <c r="B173" s="110"/>
      <c r="C173" s="67"/>
      <c r="D173" s="67"/>
      <c r="E173" s="67"/>
      <c r="F173" s="67"/>
      <c r="G173" s="67"/>
      <c r="H173" s="67"/>
      <c r="I173" s="67"/>
      <c r="J173" s="67"/>
      <c r="K173" s="67"/>
      <c r="L173" s="67"/>
      <c r="M173" s="67"/>
      <c r="N173" s="67"/>
      <c r="O173" s="67"/>
      <c r="P173" s="885"/>
    </row>
    <row r="174" spans="2:16" ht="15.75">
      <c r="B174" s="55"/>
      <c r="C174" s="887" t="s">
        <v>792</v>
      </c>
      <c r="D174" s="887" t="s">
        <v>72</v>
      </c>
      <c r="E174" s="887" t="s">
        <v>30</v>
      </c>
      <c r="F174" s="909">
        <v>2013</v>
      </c>
      <c r="G174" s="67"/>
      <c r="H174" s="67"/>
      <c r="I174" s="67"/>
      <c r="J174" s="67"/>
      <c r="K174" s="67"/>
      <c r="L174" s="67"/>
      <c r="M174" s="67"/>
      <c r="N174" s="67"/>
      <c r="O174" s="67"/>
      <c r="P174" s="885"/>
    </row>
    <row r="175" spans="2:16" ht="15.75">
      <c r="B175" s="55"/>
      <c r="C175" s="65">
        <v>1</v>
      </c>
      <c r="D175" s="108" t="s">
        <v>2006</v>
      </c>
      <c r="E175" s="1267"/>
      <c r="F175" s="2670">
        <f>5.3*Unit.GJ * 1000000</f>
        <v>1.4722222222222221</v>
      </c>
      <c r="G175" s="67"/>
      <c r="H175" s="67"/>
      <c r="I175" s="67"/>
      <c r="J175" s="67"/>
      <c r="K175" s="67"/>
      <c r="L175" s="67"/>
      <c r="M175" s="67"/>
      <c r="N175" s="67"/>
      <c r="O175" s="67"/>
      <c r="P175" s="885"/>
    </row>
    <row r="176" spans="2:16" ht="15.75">
      <c r="B176" s="55"/>
      <c r="C176" s="65">
        <v>2</v>
      </c>
      <c r="D176" s="108" t="s">
        <v>1951</v>
      </c>
      <c r="E176" s="1267"/>
      <c r="F176" s="2670">
        <f>14*Unit.GJ *1000000</f>
        <v>3.8888888888888888</v>
      </c>
      <c r="G176" s="67"/>
      <c r="H176" s="67"/>
      <c r="I176" s="67"/>
      <c r="J176" s="67"/>
      <c r="K176" s="67"/>
      <c r="L176" s="67"/>
      <c r="M176" s="67"/>
      <c r="N176" s="67"/>
      <c r="O176" s="67"/>
      <c r="P176" s="885"/>
    </row>
    <row r="177" spans="2:16" ht="15.75">
      <c r="B177" s="55"/>
      <c r="C177" s="65">
        <v>3</v>
      </c>
      <c r="D177" s="108" t="s">
        <v>1952</v>
      </c>
      <c r="E177" s="108"/>
      <c r="F177" s="2670">
        <f>18.5*Unit.GJ *1000000</f>
        <v>5.1388888888888884</v>
      </c>
      <c r="G177" s="67"/>
      <c r="H177" s="67"/>
      <c r="I177" s="67"/>
      <c r="J177" s="67"/>
      <c r="K177" s="67"/>
      <c r="L177" s="67"/>
      <c r="M177" s="67"/>
      <c r="N177" s="67"/>
      <c r="O177" s="67"/>
      <c r="P177" s="885"/>
    </row>
    <row r="178" spans="2:16" ht="15.75">
      <c r="B178" s="55"/>
      <c r="C178" s="65">
        <v>4</v>
      </c>
      <c r="D178" s="108" t="s">
        <v>2007</v>
      </c>
      <c r="E178" s="108"/>
      <c r="F178" s="2670">
        <f>15*Unit.GJ *1000000</f>
        <v>4.1666666666666661</v>
      </c>
      <c r="G178" s="67"/>
      <c r="H178" s="67"/>
      <c r="I178" s="67"/>
      <c r="J178" s="67"/>
      <c r="K178" s="67"/>
      <c r="L178" s="67"/>
      <c r="M178" s="67"/>
      <c r="N178" s="67"/>
      <c r="O178" s="67"/>
      <c r="P178" s="885"/>
    </row>
    <row r="179" spans="2:16" ht="15.75">
      <c r="B179" s="55"/>
      <c r="C179" s="65">
        <v>5</v>
      </c>
      <c r="D179" s="108" t="s">
        <v>2008</v>
      </c>
      <c r="E179" s="108"/>
      <c r="F179" s="2670">
        <f>18.6*Unit.GJ *1000000</f>
        <v>5.166666666666667</v>
      </c>
      <c r="G179" s="67"/>
      <c r="H179" s="67"/>
      <c r="I179" s="67"/>
      <c r="J179" s="67"/>
      <c r="K179" s="67"/>
      <c r="L179" s="67"/>
      <c r="M179" s="67"/>
      <c r="N179" s="67"/>
      <c r="O179" s="67"/>
      <c r="P179" s="885"/>
    </row>
    <row r="180" spans="2:16" ht="15.75">
      <c r="B180" s="55"/>
      <c r="C180" s="896">
        <v>6</v>
      </c>
      <c r="D180" s="897" t="s">
        <v>2009</v>
      </c>
      <c r="E180" s="897"/>
      <c r="F180" s="2671">
        <f>18.6*Unit.GJ *1000000</f>
        <v>5.166666666666667</v>
      </c>
      <c r="G180" s="67"/>
      <c r="H180" s="67"/>
      <c r="I180" s="67"/>
      <c r="J180" s="67"/>
      <c r="K180" s="67"/>
      <c r="L180" s="67"/>
      <c r="M180" s="67"/>
      <c r="N180" s="67"/>
      <c r="O180" s="67"/>
      <c r="P180" s="885"/>
    </row>
    <row r="181" spans="2:16">
      <c r="B181" s="110"/>
      <c r="C181" s="67"/>
      <c r="D181" s="67"/>
      <c r="E181" s="67"/>
      <c r="F181" s="67"/>
      <c r="G181" s="67"/>
      <c r="H181" s="67"/>
      <c r="I181" s="67"/>
      <c r="J181" s="67"/>
      <c r="K181" s="67"/>
      <c r="L181" s="67"/>
      <c r="M181" s="67"/>
      <c r="N181" s="67"/>
      <c r="O181" s="67"/>
      <c r="P181" s="885"/>
    </row>
    <row r="182" spans="2:16">
      <c r="B182" s="110"/>
      <c r="C182" s="49" t="s">
        <v>2010</v>
      </c>
      <c r="D182" s="67"/>
      <c r="E182" s="67"/>
      <c r="F182" s="67"/>
      <c r="G182" s="67"/>
      <c r="H182" s="67"/>
      <c r="I182" s="67"/>
      <c r="J182" s="67"/>
      <c r="K182" s="67"/>
      <c r="L182" s="67"/>
      <c r="M182" s="67"/>
      <c r="N182" s="67"/>
      <c r="O182" s="67"/>
      <c r="P182" s="885"/>
    </row>
    <row r="183" spans="2:16">
      <c r="B183" s="110"/>
      <c r="C183" s="49"/>
      <c r="D183" s="67"/>
      <c r="E183" s="67"/>
      <c r="F183" s="67"/>
      <c r="G183" s="67"/>
      <c r="H183" s="67"/>
      <c r="I183" s="67"/>
      <c r="J183" s="67"/>
      <c r="K183" s="67"/>
      <c r="L183" s="67"/>
      <c r="M183" s="67"/>
      <c r="N183" s="67"/>
      <c r="O183" s="67"/>
      <c r="P183" s="885"/>
    </row>
    <row r="184" spans="2:16" ht="15.75">
      <c r="B184" s="55"/>
      <c r="C184" s="887" t="s">
        <v>792</v>
      </c>
      <c r="D184" s="887" t="s">
        <v>72</v>
      </c>
      <c r="E184" s="887" t="s">
        <v>30</v>
      </c>
      <c r="F184" s="909">
        <v>2013</v>
      </c>
      <c r="G184" s="67"/>
      <c r="H184" s="67"/>
      <c r="I184" s="67"/>
      <c r="J184" s="67"/>
      <c r="K184" s="67"/>
      <c r="L184" s="67"/>
      <c r="M184" s="67"/>
      <c r="N184" s="67"/>
      <c r="O184" s="67"/>
      <c r="P184" s="885"/>
    </row>
    <row r="185" spans="2:16" ht="15.75">
      <c r="B185" s="55"/>
      <c r="C185" s="916" t="s">
        <v>2009</v>
      </c>
      <c r="D185" s="917" t="s">
        <v>2011</v>
      </c>
      <c r="E185" s="1518"/>
      <c r="F185" s="919">
        <v>0.7</v>
      </c>
      <c r="G185" s="67"/>
      <c r="H185" s="67"/>
      <c r="I185" s="67"/>
      <c r="J185" s="67"/>
      <c r="K185" s="67"/>
      <c r="L185" s="67"/>
      <c r="M185" s="67"/>
      <c r="N185" s="67"/>
      <c r="O185" s="67"/>
      <c r="P185" s="885"/>
    </row>
    <row r="186" spans="2:16">
      <c r="B186" s="110"/>
      <c r="C186" s="49"/>
      <c r="D186" s="67"/>
      <c r="E186" s="67"/>
      <c r="F186" s="67"/>
      <c r="G186" s="67"/>
      <c r="H186" s="67"/>
      <c r="I186" s="67"/>
      <c r="J186" s="67"/>
      <c r="K186" s="67"/>
      <c r="L186" s="67"/>
      <c r="M186" s="67"/>
      <c r="N186" s="67"/>
      <c r="O186" s="67"/>
      <c r="P186" s="885"/>
    </row>
    <row r="187" spans="2:16">
      <c r="B187" s="110"/>
      <c r="C187" s="49" t="s">
        <v>2012</v>
      </c>
      <c r="D187" s="67"/>
      <c r="E187" s="67"/>
      <c r="F187" s="51" t="str">
        <f>Preferences.AreaUnits</f>
        <v>km^2</v>
      </c>
      <c r="G187" s="67"/>
      <c r="H187" s="67"/>
      <c r="I187" s="67"/>
      <c r="J187" s="67"/>
      <c r="K187" s="67"/>
      <c r="L187" s="67"/>
      <c r="M187" s="67"/>
      <c r="N187" s="67"/>
      <c r="O187" s="67"/>
      <c r="P187" s="885"/>
    </row>
    <row r="188" spans="2:16">
      <c r="B188" s="110"/>
      <c r="C188" s="49"/>
      <c r="D188" s="67"/>
      <c r="E188" s="67"/>
      <c r="F188" s="67"/>
      <c r="G188" s="67"/>
      <c r="H188" s="67"/>
      <c r="I188" s="67"/>
      <c r="J188" s="67"/>
      <c r="K188" s="67"/>
      <c r="L188" s="67"/>
      <c r="M188" s="67"/>
      <c r="N188" s="67"/>
      <c r="O188" s="67"/>
      <c r="P188" s="885"/>
    </row>
    <row r="189" spans="2:16" ht="15.75">
      <c r="B189" s="55"/>
      <c r="C189" s="887" t="s">
        <v>792</v>
      </c>
      <c r="D189" s="887" t="s">
        <v>72</v>
      </c>
      <c r="E189" s="887" t="s">
        <v>30</v>
      </c>
      <c r="F189" s="909">
        <v>2013</v>
      </c>
      <c r="G189" s="67"/>
      <c r="H189" s="67"/>
      <c r="I189" s="67"/>
      <c r="J189" s="67"/>
      <c r="K189" s="67"/>
      <c r="L189" s="67"/>
      <c r="M189" s="67"/>
      <c r="N189" s="67"/>
      <c r="O189" s="67"/>
      <c r="P189" s="885"/>
    </row>
    <row r="190" spans="2:16" ht="15.75">
      <c r="B190" s="55"/>
      <c r="C190" s="916" t="s">
        <v>1944</v>
      </c>
      <c r="D190" s="917" t="s">
        <v>2013</v>
      </c>
      <c r="E190" s="1518"/>
      <c r="F190" s="2599">
        <v>0</v>
      </c>
      <c r="G190" s="67"/>
      <c r="H190" s="67"/>
      <c r="I190" s="67"/>
      <c r="J190" s="67"/>
      <c r="K190" s="67"/>
      <c r="L190" s="67"/>
      <c r="M190" s="67"/>
      <c r="N190" s="67"/>
      <c r="O190" s="67"/>
      <c r="P190" s="885"/>
    </row>
    <row r="191" spans="2:16">
      <c r="B191" s="110"/>
      <c r="C191" s="49"/>
      <c r="D191" s="67"/>
      <c r="E191" s="67"/>
      <c r="F191" s="67"/>
      <c r="G191" s="67"/>
      <c r="H191" s="67"/>
      <c r="I191" s="67"/>
      <c r="J191" s="67"/>
      <c r="K191" s="67"/>
      <c r="L191" s="67"/>
      <c r="M191" s="67"/>
      <c r="N191" s="67"/>
      <c r="O191" s="67"/>
      <c r="P191" s="885"/>
    </row>
    <row r="192" spans="2:16">
      <c r="B192" s="110"/>
      <c r="C192" s="49" t="s">
        <v>2014</v>
      </c>
      <c r="D192" s="67"/>
      <c r="E192" s="50"/>
      <c r="F192" s="51" t="s">
        <v>43</v>
      </c>
      <c r="G192" s="67"/>
      <c r="H192" s="67"/>
      <c r="I192" s="67"/>
      <c r="J192" s="67"/>
      <c r="K192" s="67"/>
      <c r="L192" s="67"/>
      <c r="M192" s="67"/>
      <c r="N192" s="67"/>
      <c r="O192" s="67"/>
      <c r="P192" s="885"/>
    </row>
    <row r="193" spans="2:16">
      <c r="B193" s="110"/>
      <c r="C193" s="67"/>
      <c r="D193" s="67"/>
      <c r="E193" s="67"/>
      <c r="F193" s="67"/>
      <c r="G193" s="67"/>
      <c r="H193" s="67"/>
      <c r="I193" s="67"/>
      <c r="J193" s="67"/>
      <c r="K193" s="67"/>
      <c r="L193" s="67"/>
      <c r="M193" s="67"/>
      <c r="N193" s="67"/>
      <c r="O193" s="67"/>
      <c r="P193" s="885"/>
    </row>
    <row r="194" spans="2:16" ht="15.75">
      <c r="B194" s="55"/>
      <c r="C194" s="887" t="s">
        <v>132</v>
      </c>
      <c r="D194" s="887" t="s">
        <v>72</v>
      </c>
      <c r="E194" s="887" t="s">
        <v>30</v>
      </c>
      <c r="F194" s="909">
        <v>2013</v>
      </c>
      <c r="G194" s="67"/>
      <c r="H194" s="67"/>
      <c r="I194" s="67"/>
      <c r="J194" s="67"/>
      <c r="K194" s="67"/>
      <c r="L194" s="67"/>
      <c r="M194" s="67"/>
      <c r="N194" s="67"/>
      <c r="O194" s="67"/>
      <c r="P194" s="885"/>
    </row>
    <row r="195" spans="2:16" ht="15.75">
      <c r="B195" s="55"/>
      <c r="C195" s="916" t="s">
        <v>99</v>
      </c>
      <c r="D195" s="917" t="s">
        <v>89</v>
      </c>
      <c r="E195" s="1518"/>
      <c r="F195" s="919">
        <v>0.31</v>
      </c>
      <c r="G195" s="67"/>
      <c r="H195" s="67"/>
      <c r="I195" s="67"/>
      <c r="J195" s="67"/>
      <c r="K195" s="67"/>
      <c r="L195" s="67"/>
      <c r="M195" s="67"/>
      <c r="N195" s="67"/>
      <c r="O195" s="67"/>
      <c r="P195" s="885"/>
    </row>
    <row r="196" spans="2:16">
      <c r="B196" s="110"/>
      <c r="C196" s="49"/>
      <c r="D196" s="67"/>
      <c r="E196" s="67"/>
      <c r="F196" s="67"/>
      <c r="G196" s="67"/>
      <c r="H196" s="67"/>
      <c r="I196" s="67"/>
      <c r="J196" s="67"/>
      <c r="K196" s="67"/>
      <c r="L196" s="67"/>
      <c r="M196" s="67"/>
      <c r="N196" s="67"/>
      <c r="O196" s="67"/>
      <c r="P196" s="885"/>
    </row>
    <row r="197" spans="2:16">
      <c r="B197" s="110"/>
      <c r="C197" s="49" t="s">
        <v>2015</v>
      </c>
      <c r="D197" s="67"/>
      <c r="E197" s="50"/>
      <c r="F197" s="51" t="str">
        <f>Preferences.EnergyUnits</f>
        <v>TWh</v>
      </c>
      <c r="G197" s="67"/>
      <c r="H197" s="67"/>
      <c r="I197" s="67"/>
      <c r="J197" s="67"/>
      <c r="K197" s="67"/>
      <c r="L197" s="67"/>
      <c r="M197" s="67"/>
      <c r="N197" s="67"/>
      <c r="O197" s="67"/>
      <c r="P197" s="885"/>
    </row>
    <row r="198" spans="2:16">
      <c r="B198" s="110"/>
      <c r="C198" s="67"/>
      <c r="D198" s="67"/>
      <c r="E198" s="67"/>
      <c r="F198" s="67"/>
      <c r="G198" s="67"/>
      <c r="H198" s="67"/>
      <c r="I198" s="67"/>
      <c r="J198" s="67"/>
      <c r="K198" s="67"/>
      <c r="L198" s="67"/>
      <c r="M198" s="67"/>
      <c r="N198" s="67"/>
      <c r="O198" s="67"/>
      <c r="P198" s="885"/>
    </row>
    <row r="199" spans="2:16" ht="15.75">
      <c r="B199" s="55"/>
      <c r="C199" s="887" t="s">
        <v>132</v>
      </c>
      <c r="D199" s="887" t="s">
        <v>72</v>
      </c>
      <c r="E199" s="887" t="s">
        <v>30</v>
      </c>
      <c r="F199" s="909">
        <v>2013</v>
      </c>
      <c r="G199" s="67"/>
      <c r="H199" s="67"/>
      <c r="I199" s="67"/>
      <c r="J199" s="67"/>
      <c r="K199" s="67"/>
      <c r="L199" s="67"/>
      <c r="M199" s="67"/>
      <c r="N199" s="67"/>
      <c r="O199" s="67"/>
      <c r="P199" s="885"/>
    </row>
    <row r="200" spans="2:16" ht="15.75">
      <c r="B200" s="55"/>
      <c r="C200" s="1092" t="s">
        <v>2016</v>
      </c>
      <c r="D200" s="1092" t="s">
        <v>2016</v>
      </c>
      <c r="E200" s="1317"/>
      <c r="F200" s="1685">
        <f>(Unit.TWh)*1.61</f>
        <v>1.61</v>
      </c>
      <c r="G200" s="67"/>
      <c r="H200" s="3878" t="s">
        <v>3101</v>
      </c>
      <c r="I200" s="67"/>
      <c r="J200" s="67"/>
      <c r="K200" s="67"/>
      <c r="L200" s="67"/>
      <c r="M200" s="67"/>
      <c r="N200" s="67"/>
      <c r="O200" s="67"/>
      <c r="P200" s="885"/>
    </row>
    <row r="201" spans="2:16" ht="15.75">
      <c r="B201" s="55"/>
      <c r="C201" s="65" t="s">
        <v>2017</v>
      </c>
      <c r="D201" s="65" t="s">
        <v>2017</v>
      </c>
      <c r="E201" s="1267"/>
      <c r="F201" s="892">
        <f>(Unit.TWh)*0.3</f>
        <v>0.3</v>
      </c>
      <c r="G201" s="67"/>
      <c r="H201" s="3864"/>
      <c r="I201" s="67"/>
      <c r="J201" s="67"/>
      <c r="K201" s="67"/>
      <c r="L201" s="67"/>
      <c r="M201" s="67"/>
      <c r="N201" s="67"/>
      <c r="O201" s="67"/>
      <c r="P201" s="885"/>
    </row>
    <row r="202" spans="2:16" ht="15.75">
      <c r="B202" s="55"/>
      <c r="C202" s="926" t="s">
        <v>2018</v>
      </c>
      <c r="D202" s="926" t="s">
        <v>2018</v>
      </c>
      <c r="E202" s="1322"/>
      <c r="F202" s="1157">
        <f>(Unit.TWh)*0.7</f>
        <v>0.7</v>
      </c>
      <c r="G202" s="67"/>
      <c r="H202" s="3864"/>
      <c r="I202" s="67"/>
      <c r="J202" s="67"/>
      <c r="K202" s="67"/>
      <c r="L202" s="67"/>
      <c r="M202" s="67"/>
      <c r="N202" s="67"/>
      <c r="O202" s="67"/>
      <c r="P202" s="885"/>
    </row>
    <row r="203" spans="2:16">
      <c r="B203" s="110"/>
      <c r="C203" s="49"/>
      <c r="D203" s="67"/>
      <c r="E203" s="67"/>
      <c r="F203" s="2596"/>
      <c r="G203" s="67"/>
      <c r="H203" s="3864"/>
      <c r="I203" s="67"/>
      <c r="J203" s="67"/>
      <c r="K203" s="67"/>
      <c r="L203" s="67"/>
      <c r="M203" s="67"/>
      <c r="N203" s="67"/>
      <c r="O203" s="67"/>
      <c r="P203" s="885"/>
    </row>
    <row r="204" spans="2:16">
      <c r="B204" s="110"/>
      <c r="C204" s="49" t="s">
        <v>2019</v>
      </c>
      <c r="D204" s="67"/>
      <c r="E204" s="50"/>
      <c r="F204" s="51" t="s">
        <v>43</v>
      </c>
      <c r="G204" s="67"/>
      <c r="H204" s="3864"/>
      <c r="I204" s="67"/>
      <c r="J204" s="67"/>
      <c r="K204" s="67"/>
      <c r="L204" s="67"/>
      <c r="M204" s="67"/>
      <c r="N204" s="67"/>
      <c r="O204" s="67"/>
      <c r="P204" s="885"/>
    </row>
    <row r="205" spans="2:16">
      <c r="B205" s="110"/>
      <c r="C205" s="67"/>
      <c r="D205" s="67"/>
      <c r="E205" s="67"/>
      <c r="F205" s="67"/>
      <c r="G205" s="67"/>
      <c r="H205" s="3864"/>
      <c r="I205" s="67"/>
      <c r="J205" s="67"/>
      <c r="K205" s="67"/>
      <c r="L205" s="67"/>
      <c r="M205" s="67"/>
      <c r="N205" s="67"/>
      <c r="O205" s="67"/>
      <c r="P205" s="885"/>
    </row>
    <row r="206" spans="2:16" ht="15.75">
      <c r="B206" s="55"/>
      <c r="C206" s="887" t="s">
        <v>132</v>
      </c>
      <c r="D206" s="887" t="s">
        <v>72</v>
      </c>
      <c r="E206" s="887" t="s">
        <v>30</v>
      </c>
      <c r="F206" s="909">
        <v>2013</v>
      </c>
      <c r="G206" s="67"/>
      <c r="H206" s="3864"/>
      <c r="I206" s="67"/>
      <c r="J206" s="67"/>
      <c r="K206" s="67"/>
      <c r="L206" s="67"/>
      <c r="M206" s="67"/>
      <c r="N206" s="67"/>
      <c r="O206" s="67"/>
      <c r="P206" s="885"/>
    </row>
    <row r="207" spans="2:16" ht="15.75">
      <c r="B207" s="55"/>
      <c r="C207" s="1092" t="s">
        <v>96</v>
      </c>
      <c r="D207" s="1092" t="s">
        <v>86</v>
      </c>
      <c r="E207" s="1317"/>
      <c r="F207" s="1210">
        <v>0.21</v>
      </c>
      <c r="G207" s="67"/>
      <c r="H207" s="3864" t="s">
        <v>1055</v>
      </c>
      <c r="I207" s="67"/>
      <c r="J207" s="67"/>
      <c r="K207" s="67"/>
      <c r="L207" s="67"/>
      <c r="M207" s="67"/>
      <c r="N207" s="67"/>
      <c r="O207" s="67"/>
      <c r="P207" s="885"/>
    </row>
    <row r="208" spans="2:16" ht="15.75">
      <c r="B208" s="55"/>
      <c r="C208" s="65" t="s">
        <v>98</v>
      </c>
      <c r="D208" s="65" t="s">
        <v>88</v>
      </c>
      <c r="E208" s="1267"/>
      <c r="F208" s="93">
        <v>0</v>
      </c>
      <c r="G208" s="67"/>
      <c r="H208" s="67"/>
      <c r="I208" s="67"/>
      <c r="J208" s="67"/>
      <c r="K208" s="67"/>
      <c r="L208" s="67"/>
      <c r="M208" s="67"/>
      <c r="N208" s="67"/>
      <c r="O208" s="67"/>
      <c r="P208" s="885"/>
    </row>
    <row r="209" spans="2:16" ht="15.75">
      <c r="B209" s="55"/>
      <c r="C209" s="65" t="s">
        <v>99</v>
      </c>
      <c r="D209" s="65" t="s">
        <v>89</v>
      </c>
      <c r="E209" s="1267"/>
      <c r="F209" s="93">
        <v>0.79</v>
      </c>
      <c r="G209" s="67"/>
      <c r="H209" s="67"/>
      <c r="I209" s="67"/>
      <c r="J209" s="67"/>
      <c r="K209" s="67"/>
      <c r="L209" s="67"/>
      <c r="M209" s="67"/>
      <c r="N209" s="67"/>
      <c r="O209" s="67"/>
      <c r="P209" s="885"/>
    </row>
    <row r="210" spans="2:16" ht="15.75">
      <c r="B210" s="55"/>
      <c r="C210" s="926" t="s">
        <v>100</v>
      </c>
      <c r="D210" s="926" t="s">
        <v>90</v>
      </c>
      <c r="E210" s="1322"/>
      <c r="F210" s="147">
        <v>0</v>
      </c>
      <c r="G210" s="67"/>
      <c r="H210" s="67"/>
      <c r="I210" s="67"/>
      <c r="J210" s="67"/>
      <c r="K210" s="67"/>
      <c r="L210" s="67"/>
      <c r="M210" s="67"/>
      <c r="N210" s="67"/>
      <c r="O210" s="67"/>
      <c r="P210" s="67"/>
    </row>
    <row r="211" spans="2:16">
      <c r="B211" s="110"/>
      <c r="C211" s="65"/>
      <c r="D211" s="65"/>
      <c r="E211" s="1267"/>
      <c r="F211" s="2600">
        <f>SUM(F$207:F$210)</f>
        <v>1</v>
      </c>
      <c r="G211" s="67"/>
      <c r="H211" s="67"/>
      <c r="I211" s="67"/>
      <c r="J211" s="67"/>
      <c r="K211" s="67"/>
      <c r="L211" s="67"/>
      <c r="M211" s="67"/>
      <c r="N211" s="67"/>
      <c r="O211" s="67"/>
      <c r="P211" s="67"/>
    </row>
    <row r="212" spans="2:16" ht="15.75">
      <c r="B212" s="55"/>
      <c r="C212" s="89" t="s">
        <v>798</v>
      </c>
      <c r="D212" s="108"/>
      <c r="E212" s="108"/>
      <c r="F212" s="172"/>
      <c r="G212" s="943"/>
      <c r="H212" s="67"/>
      <c r="I212" s="59"/>
      <c r="J212" s="59"/>
      <c r="K212" s="59"/>
      <c r="L212" s="59"/>
      <c r="M212" s="59"/>
      <c r="N212" s="2479" t="str">
        <f>"Kte/"&amp;Preferences.EnergyUnits</f>
        <v>Kte/TWh</v>
      </c>
      <c r="O212" s="67"/>
      <c r="P212" s="67"/>
    </row>
    <row r="213" spans="2:16" ht="15.75">
      <c r="B213" s="55"/>
      <c r="C213" s="89"/>
      <c r="D213" s="108"/>
      <c r="E213" s="108"/>
      <c r="F213" s="172"/>
      <c r="G213" s="943"/>
      <c r="H213" s="67"/>
      <c r="I213" s="59"/>
      <c r="J213" s="59"/>
      <c r="K213" s="59"/>
      <c r="L213" s="59"/>
      <c r="M213" s="59"/>
      <c r="N213" s="59"/>
      <c r="O213" s="67"/>
      <c r="P213" s="67"/>
    </row>
    <row r="214" spans="2:16" ht="15.75">
      <c r="B214" s="55"/>
      <c r="C214" s="887" t="s">
        <v>44</v>
      </c>
      <c r="D214" s="887" t="s">
        <v>131</v>
      </c>
      <c r="E214" s="887" t="s">
        <v>28</v>
      </c>
      <c r="F214" s="908">
        <v>2013</v>
      </c>
      <c r="G214" s="92" t="s">
        <v>133</v>
      </c>
      <c r="H214" s="92" t="s">
        <v>134</v>
      </c>
      <c r="I214" s="92" t="s">
        <v>135</v>
      </c>
      <c r="J214" s="92" t="s">
        <v>136</v>
      </c>
      <c r="K214" s="92" t="s">
        <v>137</v>
      </c>
      <c r="L214" s="92" t="s">
        <v>138</v>
      </c>
      <c r="M214" s="92" t="s">
        <v>139</v>
      </c>
      <c r="N214" s="92" t="s">
        <v>140</v>
      </c>
      <c r="O214" s="59"/>
      <c r="P214" s="67"/>
    </row>
    <row r="215" spans="2:16" ht="15.75">
      <c r="B215" s="55"/>
      <c r="C215" s="65" t="s">
        <v>510</v>
      </c>
      <c r="D215" s="108" t="s">
        <v>511</v>
      </c>
      <c r="E215" s="301" t="s">
        <v>88</v>
      </c>
      <c r="F215" s="2672">
        <f>G215</f>
        <v>0.39857142857142902</v>
      </c>
      <c r="G215" s="2673">
        <f t="shared" ref="G215:N215" si="7">0.398571428571429*(1/Unit.TWh)</f>
        <v>0.39857142857142902</v>
      </c>
      <c r="H215" s="2674">
        <f t="shared" si="7"/>
        <v>0.39857142857142902</v>
      </c>
      <c r="I215" s="2674">
        <f t="shared" si="7"/>
        <v>0.39857142857142902</v>
      </c>
      <c r="J215" s="2674">
        <f t="shared" si="7"/>
        <v>0.39857142857142902</v>
      </c>
      <c r="K215" s="2674">
        <f t="shared" si="7"/>
        <v>0.39857142857142902</v>
      </c>
      <c r="L215" s="2674">
        <f t="shared" si="7"/>
        <v>0.39857142857142902</v>
      </c>
      <c r="M215" s="2674">
        <f t="shared" si="7"/>
        <v>0.39857142857142902</v>
      </c>
      <c r="N215" s="2674">
        <f t="shared" si="7"/>
        <v>0.39857142857142902</v>
      </c>
      <c r="O215" s="59"/>
      <c r="P215" s="67"/>
    </row>
    <row r="216" spans="2:16" ht="15.75">
      <c r="B216" s="55"/>
      <c r="C216" s="65" t="s">
        <v>510</v>
      </c>
      <c r="D216" s="108" t="s">
        <v>511</v>
      </c>
      <c r="E216" s="301" t="s">
        <v>89</v>
      </c>
      <c r="F216" s="2670">
        <f>G216</f>
        <v>8.5491904985246503E-2</v>
      </c>
      <c r="G216" s="2675">
        <f>0.0854919049852465*(1/Unit.TWh)</f>
        <v>8.5491904985246503E-2</v>
      </c>
      <c r="H216" s="2674">
        <f t="shared" ref="H216:N216" si="8">0.0854919049852467*(1/Unit.TWh)</f>
        <v>8.5491904985246697E-2</v>
      </c>
      <c r="I216" s="2674">
        <f t="shared" si="8"/>
        <v>8.5491904985246697E-2</v>
      </c>
      <c r="J216" s="2674">
        <f t="shared" si="8"/>
        <v>8.5491904985246697E-2</v>
      </c>
      <c r="K216" s="2674">
        <f t="shared" si="8"/>
        <v>8.5491904985246697E-2</v>
      </c>
      <c r="L216" s="2674">
        <f t="shared" si="8"/>
        <v>8.5491904985246697E-2</v>
      </c>
      <c r="M216" s="2674">
        <f t="shared" si="8"/>
        <v>8.5491904985246697E-2</v>
      </c>
      <c r="N216" s="2674">
        <f t="shared" si="8"/>
        <v>8.5491904985246697E-2</v>
      </c>
      <c r="O216" s="59"/>
      <c r="P216" s="67"/>
    </row>
    <row r="217" spans="2:16" ht="15.75">
      <c r="B217" s="55"/>
      <c r="C217" s="896" t="s">
        <v>510</v>
      </c>
      <c r="D217" s="897" t="s">
        <v>511</v>
      </c>
      <c r="E217" s="1037" t="s">
        <v>90</v>
      </c>
      <c r="F217" s="2676">
        <f>G217</f>
        <v>2.74990867559079E-3</v>
      </c>
      <c r="G217" s="2677">
        <f t="shared" ref="G217:N217" si="9">0.00274990867559079*(1/Unit.TWh)</f>
        <v>2.74990867559079E-3</v>
      </c>
      <c r="H217" s="2678">
        <f t="shared" si="9"/>
        <v>2.74990867559079E-3</v>
      </c>
      <c r="I217" s="2678">
        <f t="shared" si="9"/>
        <v>2.74990867559079E-3</v>
      </c>
      <c r="J217" s="2678">
        <f t="shared" si="9"/>
        <v>2.74990867559079E-3</v>
      </c>
      <c r="K217" s="2678">
        <f t="shared" si="9"/>
        <v>2.74990867559079E-3</v>
      </c>
      <c r="L217" s="2678">
        <f t="shared" si="9"/>
        <v>2.74990867559079E-3</v>
      </c>
      <c r="M217" s="2678">
        <f t="shared" si="9"/>
        <v>2.74990867559079E-3</v>
      </c>
      <c r="N217" s="2678">
        <f t="shared" si="9"/>
        <v>2.74990867559079E-3</v>
      </c>
      <c r="O217" s="59"/>
      <c r="P217" s="67"/>
    </row>
    <row r="218" spans="2:16" ht="15.75">
      <c r="B218" s="55"/>
      <c r="C218" s="65"/>
      <c r="D218" s="108"/>
      <c r="E218" s="108"/>
      <c r="F218" s="165"/>
      <c r="G218" s="51"/>
      <c r="H218" s="51"/>
      <c r="I218" s="60"/>
      <c r="J218" s="60"/>
      <c r="K218" s="60"/>
      <c r="L218" s="60"/>
      <c r="M218" s="60"/>
      <c r="N218" s="60"/>
      <c r="O218" s="59"/>
      <c r="P218" s="67"/>
    </row>
    <row r="219" spans="2:16" ht="15.75">
      <c r="B219" s="55"/>
      <c r="C219" s="89" t="s">
        <v>800</v>
      </c>
      <c r="D219" s="108"/>
      <c r="E219" s="108"/>
      <c r="F219" s="172"/>
      <c r="G219" s="943"/>
      <c r="H219" s="67"/>
      <c r="I219" s="59"/>
      <c r="J219" s="59"/>
      <c r="K219" s="59"/>
      <c r="L219" s="59"/>
      <c r="M219" s="59"/>
      <c r="N219" s="2479" t="str">
        <f>"Kte/"&amp;Preferences.EnergyUnits</f>
        <v>Kte/TWh</v>
      </c>
      <c r="O219" s="67"/>
      <c r="P219" s="67"/>
    </row>
    <row r="220" spans="2:16" ht="15.75">
      <c r="B220" s="55"/>
      <c r="C220" s="89"/>
      <c r="D220" s="108"/>
      <c r="E220" s="108"/>
      <c r="F220" s="172"/>
      <c r="G220" s="943"/>
      <c r="H220" s="67"/>
      <c r="I220" s="59"/>
      <c r="J220" s="59"/>
      <c r="K220" s="59"/>
      <c r="L220" s="59"/>
      <c r="M220" s="59"/>
      <c r="N220" s="59"/>
      <c r="O220" s="67"/>
      <c r="P220" s="67"/>
    </row>
    <row r="221" spans="2:16" ht="15.75">
      <c r="B221" s="55"/>
      <c r="C221" s="887" t="s">
        <v>44</v>
      </c>
      <c r="D221" s="887" t="s">
        <v>131</v>
      </c>
      <c r="E221" s="887" t="s">
        <v>28</v>
      </c>
      <c r="F221" s="908">
        <v>2013</v>
      </c>
      <c r="G221" s="92" t="s">
        <v>133</v>
      </c>
      <c r="H221" s="92" t="s">
        <v>134</v>
      </c>
      <c r="I221" s="92" t="s">
        <v>135</v>
      </c>
      <c r="J221" s="92" t="s">
        <v>136</v>
      </c>
      <c r="K221" s="92" t="s">
        <v>137</v>
      </c>
      <c r="L221" s="92" t="s">
        <v>138</v>
      </c>
      <c r="M221" s="92" t="s">
        <v>139</v>
      </c>
      <c r="N221" s="92" t="s">
        <v>140</v>
      </c>
      <c r="O221" s="67"/>
      <c r="P221" s="67"/>
    </row>
    <row r="222" spans="2:16" ht="15.75">
      <c r="B222" s="55"/>
      <c r="C222" s="65" t="s">
        <v>510</v>
      </c>
      <c r="D222" s="108" t="s">
        <v>511</v>
      </c>
      <c r="E222" s="301" t="s">
        <v>88</v>
      </c>
      <c r="F222" s="2672">
        <f>G222</f>
        <v>0.61071428571428599</v>
      </c>
      <c r="G222" s="2673">
        <f t="shared" ref="G222:N222" si="10">0.610714285714286*(1/Unit.TWh)</f>
        <v>0.61071428571428599</v>
      </c>
      <c r="H222" s="2674">
        <f t="shared" si="10"/>
        <v>0.61071428571428599</v>
      </c>
      <c r="I222" s="2674">
        <f t="shared" si="10"/>
        <v>0.61071428571428599</v>
      </c>
      <c r="J222" s="2674">
        <f t="shared" si="10"/>
        <v>0.61071428571428599</v>
      </c>
      <c r="K222" s="2674">
        <f t="shared" si="10"/>
        <v>0.61071428571428599</v>
      </c>
      <c r="L222" s="2674">
        <f t="shared" si="10"/>
        <v>0.61071428571428599</v>
      </c>
      <c r="M222" s="2674">
        <f t="shared" si="10"/>
        <v>0.61071428571428599</v>
      </c>
      <c r="N222" s="2674">
        <f t="shared" si="10"/>
        <v>0.61071428571428599</v>
      </c>
      <c r="O222" s="67"/>
      <c r="P222" s="67"/>
    </row>
    <row r="223" spans="2:16" ht="15.75">
      <c r="B223" s="55"/>
      <c r="C223" s="65" t="s">
        <v>510</v>
      </c>
      <c r="D223" s="108" t="s">
        <v>511</v>
      </c>
      <c r="E223" s="301" t="s">
        <v>89</v>
      </c>
      <c r="F223" s="2670">
        <f>G223</f>
        <v>0.63897774511862204</v>
      </c>
      <c r="G223" s="2675">
        <f>0.638977745118622*(1/Unit.TWh)</f>
        <v>0.63897774511862204</v>
      </c>
      <c r="H223" s="2674">
        <f t="shared" ref="H223:N223" si="11">0.638977745118623*(1/Unit.TWh)</f>
        <v>0.63897774511862304</v>
      </c>
      <c r="I223" s="2674">
        <f t="shared" si="11"/>
        <v>0.63897774511862304</v>
      </c>
      <c r="J223" s="2674">
        <f t="shared" si="11"/>
        <v>0.63897774511862304</v>
      </c>
      <c r="K223" s="2674">
        <f t="shared" si="11"/>
        <v>0.63897774511862304</v>
      </c>
      <c r="L223" s="2674">
        <f t="shared" si="11"/>
        <v>0.63897774511862304</v>
      </c>
      <c r="M223" s="2674">
        <f t="shared" si="11"/>
        <v>0.63897774511862304</v>
      </c>
      <c r="N223" s="2674">
        <f t="shared" si="11"/>
        <v>0.63897774511862304</v>
      </c>
      <c r="O223" s="67"/>
      <c r="P223" s="67"/>
    </row>
    <row r="224" spans="2:16" ht="15.75">
      <c r="B224" s="55"/>
      <c r="C224" s="896" t="s">
        <v>510</v>
      </c>
      <c r="D224" s="897" t="s">
        <v>511</v>
      </c>
      <c r="E224" s="1037" t="s">
        <v>90</v>
      </c>
      <c r="F224" s="2676">
        <f>G224</f>
        <v>0.14123937011600701</v>
      </c>
      <c r="G224" s="2677">
        <f t="shared" ref="G224:N224" si="12">0.141239370116007*(1/Unit.TWh)</f>
        <v>0.14123937011600701</v>
      </c>
      <c r="H224" s="2678">
        <f t="shared" si="12"/>
        <v>0.14123937011600701</v>
      </c>
      <c r="I224" s="2678">
        <f t="shared" si="12"/>
        <v>0.14123937011600701</v>
      </c>
      <c r="J224" s="2678">
        <f t="shared" si="12"/>
        <v>0.14123937011600701</v>
      </c>
      <c r="K224" s="2678">
        <f t="shared" si="12"/>
        <v>0.14123937011600701</v>
      </c>
      <c r="L224" s="2678">
        <f t="shared" si="12"/>
        <v>0.14123937011600701</v>
      </c>
      <c r="M224" s="2678">
        <f t="shared" si="12"/>
        <v>0.14123937011600701</v>
      </c>
      <c r="N224" s="2678">
        <f t="shared" si="12"/>
        <v>0.14123937011600701</v>
      </c>
      <c r="O224" s="59"/>
      <c r="P224" s="67"/>
    </row>
    <row r="225" spans="2:33" ht="15.75">
      <c r="B225" s="55"/>
      <c r="C225" s="65"/>
      <c r="D225" s="108"/>
      <c r="E225" s="108"/>
      <c r="F225" s="165"/>
      <c r="G225" s="51"/>
      <c r="H225" s="51"/>
      <c r="I225" s="60"/>
      <c r="J225" s="60"/>
      <c r="K225" s="60"/>
      <c r="L225" s="60"/>
      <c r="M225" s="60"/>
      <c r="N225" s="60"/>
      <c r="O225" s="59"/>
      <c r="P225" s="67"/>
    </row>
    <row r="226" spans="2:33" ht="15.75">
      <c r="B226" s="55"/>
      <c r="C226" s="89" t="s">
        <v>801</v>
      </c>
      <c r="D226" s="108"/>
      <c r="E226" s="108"/>
      <c r="F226" s="172"/>
      <c r="G226" s="943"/>
      <c r="H226" s="67"/>
      <c r="I226" s="59"/>
      <c r="J226" s="59"/>
      <c r="K226" s="59"/>
      <c r="L226" s="59"/>
      <c r="M226" s="59"/>
      <c r="N226" s="2479" t="str">
        <f>"Kte/"&amp;Preferences.EnergyUnits</f>
        <v>Kte/TWh</v>
      </c>
      <c r="O226" s="59"/>
      <c r="P226" s="67"/>
    </row>
    <row r="227" spans="2:33" ht="3.75" customHeight="1">
      <c r="B227" s="55"/>
      <c r="C227" s="89"/>
      <c r="D227" s="108"/>
      <c r="E227" s="108"/>
      <c r="F227" s="172"/>
      <c r="G227" s="943"/>
      <c r="H227" s="67"/>
      <c r="I227" s="59"/>
      <c r="J227" s="59"/>
      <c r="K227" s="59"/>
      <c r="L227" s="59"/>
      <c r="M227" s="59"/>
      <c r="N227" s="59"/>
      <c r="O227" s="59"/>
      <c r="P227" s="67"/>
    </row>
    <row r="228" spans="2:33" ht="15.75">
      <c r="B228" s="55"/>
      <c r="C228" s="887" t="s">
        <v>44</v>
      </c>
      <c r="D228" s="887" t="s">
        <v>131</v>
      </c>
      <c r="E228" s="887" t="s">
        <v>28</v>
      </c>
      <c r="F228" s="908">
        <v>2013</v>
      </c>
      <c r="G228" s="92" t="s">
        <v>133</v>
      </c>
      <c r="H228" s="92" t="s">
        <v>134</v>
      </c>
      <c r="I228" s="92" t="s">
        <v>135</v>
      </c>
      <c r="J228" s="92" t="s">
        <v>136</v>
      </c>
      <c r="K228" s="92" t="s">
        <v>137</v>
      </c>
      <c r="L228" s="92" t="s">
        <v>138</v>
      </c>
      <c r="M228" s="92" t="s">
        <v>139</v>
      </c>
      <c r="N228" s="92" t="s">
        <v>140</v>
      </c>
      <c r="O228" s="59"/>
      <c r="P228" s="67"/>
    </row>
    <row r="229" spans="2:33" ht="15.75">
      <c r="B229" s="55"/>
      <c r="C229" s="65" t="s">
        <v>510</v>
      </c>
      <c r="D229" s="108" t="s">
        <v>511</v>
      </c>
      <c r="E229" s="301" t="s">
        <v>88</v>
      </c>
      <c r="F229" s="2672">
        <f>G229</f>
        <v>2.1859257888483699</v>
      </c>
      <c r="G229" s="2673">
        <f t="shared" ref="G229:N229" si="13">2.18592578884837*(1/Unit.TWh)</f>
        <v>2.1859257888483699</v>
      </c>
      <c r="H229" s="2674">
        <f t="shared" si="13"/>
        <v>2.1859257888483699</v>
      </c>
      <c r="I229" s="2674">
        <f t="shared" si="13"/>
        <v>2.1859257888483699</v>
      </c>
      <c r="J229" s="2674">
        <f t="shared" si="13"/>
        <v>2.1859257888483699</v>
      </c>
      <c r="K229" s="2674">
        <f t="shared" si="13"/>
        <v>2.1859257888483699</v>
      </c>
      <c r="L229" s="2674">
        <f t="shared" si="13"/>
        <v>2.1859257888483699</v>
      </c>
      <c r="M229" s="2674">
        <f t="shared" si="13"/>
        <v>2.1859257888483699</v>
      </c>
      <c r="N229" s="2674">
        <f t="shared" si="13"/>
        <v>2.1859257888483699</v>
      </c>
      <c r="O229" s="67"/>
      <c r="P229" s="67"/>
    </row>
    <row r="230" spans="2:33" ht="15.75">
      <c r="B230" s="55"/>
      <c r="C230" s="65" t="s">
        <v>510</v>
      </c>
      <c r="D230" s="108" t="s">
        <v>511</v>
      </c>
      <c r="E230" s="301" t="s">
        <v>89</v>
      </c>
      <c r="F230" s="2670">
        <f>G230</f>
        <v>1.23374964461587</v>
      </c>
      <c r="G230" s="2675">
        <f>1.23374964461587*(1/Unit.TWh)</f>
        <v>1.23374964461587</v>
      </c>
      <c r="H230" s="2674">
        <f t="shared" ref="H230:N230" si="14">1.41390376930762*(1/Unit.TWh)</f>
        <v>1.41390376930762</v>
      </c>
      <c r="I230" s="2674">
        <f t="shared" si="14"/>
        <v>1.41390376930762</v>
      </c>
      <c r="J230" s="2674">
        <f t="shared" si="14"/>
        <v>1.41390376930762</v>
      </c>
      <c r="K230" s="2674">
        <f t="shared" si="14"/>
        <v>1.41390376930762</v>
      </c>
      <c r="L230" s="2674">
        <f t="shared" si="14"/>
        <v>1.41390376930762</v>
      </c>
      <c r="M230" s="2674">
        <f t="shared" si="14"/>
        <v>1.41390376930762</v>
      </c>
      <c r="N230" s="2674">
        <f t="shared" si="14"/>
        <v>1.41390376930762</v>
      </c>
      <c r="O230" s="67"/>
      <c r="P230" s="67"/>
    </row>
    <row r="231" spans="2:33" ht="15.75">
      <c r="B231" s="55"/>
      <c r="C231" s="896" t="s">
        <v>510</v>
      </c>
      <c r="D231" s="897" t="s">
        <v>511</v>
      </c>
      <c r="E231" s="1037" t="s">
        <v>90</v>
      </c>
      <c r="F231" s="2676">
        <f>G231</f>
        <v>0</v>
      </c>
      <c r="G231" s="2677">
        <f t="shared" ref="G231:N231" si="15">0*(1/Unit.TWh)</f>
        <v>0</v>
      </c>
      <c r="H231" s="2678">
        <f t="shared" si="15"/>
        <v>0</v>
      </c>
      <c r="I231" s="2678">
        <f t="shared" si="15"/>
        <v>0</v>
      </c>
      <c r="J231" s="2678">
        <f t="shared" si="15"/>
        <v>0</v>
      </c>
      <c r="K231" s="2678">
        <f t="shared" si="15"/>
        <v>0</v>
      </c>
      <c r="L231" s="2678">
        <f t="shared" si="15"/>
        <v>0</v>
      </c>
      <c r="M231" s="2678">
        <f t="shared" si="15"/>
        <v>0</v>
      </c>
      <c r="N231" s="2678">
        <f t="shared" si="15"/>
        <v>0</v>
      </c>
      <c r="O231" s="67"/>
      <c r="P231" s="67"/>
    </row>
    <row r="232" spans="2:33" ht="15.75">
      <c r="B232" s="55"/>
      <c r="C232" s="65"/>
      <c r="D232" s="108"/>
      <c r="E232" s="108"/>
      <c r="F232" s="165"/>
      <c r="G232" s="51"/>
      <c r="H232" s="51"/>
      <c r="I232" s="60"/>
      <c r="J232" s="60"/>
      <c r="K232" s="60"/>
      <c r="L232" s="60"/>
      <c r="M232" s="60"/>
      <c r="N232" s="60"/>
      <c r="O232" s="67"/>
      <c r="P232" s="67"/>
    </row>
    <row r="233" spans="2:33" ht="15.75">
      <c r="B233" s="55"/>
      <c r="C233" s="89" t="s">
        <v>802</v>
      </c>
      <c r="D233" s="108"/>
      <c r="E233" s="108"/>
      <c r="F233" s="172"/>
      <c r="G233" s="943"/>
      <c r="H233" s="67"/>
      <c r="I233" s="59"/>
      <c r="J233" s="59"/>
      <c r="K233" s="59"/>
      <c r="L233" s="59"/>
      <c r="M233" s="59"/>
      <c r="N233" s="2479" t="str">
        <f>"Kte/"&amp;Preferences.EnergyUnits</f>
        <v>Kte/TWh</v>
      </c>
      <c r="O233" s="59"/>
      <c r="P233" s="67"/>
    </row>
    <row r="234" spans="2:33" ht="3.75" customHeight="1">
      <c r="B234" s="55"/>
      <c r="C234" s="89"/>
      <c r="D234" s="108"/>
      <c r="E234" s="108"/>
      <c r="F234" s="172"/>
      <c r="G234" s="943"/>
      <c r="H234" s="67"/>
      <c r="I234" s="59"/>
      <c r="J234" s="59"/>
      <c r="K234" s="59"/>
      <c r="L234" s="59"/>
      <c r="M234" s="59"/>
      <c r="N234" s="59"/>
      <c r="O234" s="59"/>
      <c r="P234" s="67"/>
    </row>
    <row r="235" spans="2:33" ht="15.75">
      <c r="B235" s="55"/>
      <c r="C235" s="887" t="s">
        <v>44</v>
      </c>
      <c r="D235" s="887" t="s">
        <v>131</v>
      </c>
      <c r="E235" s="887" t="s">
        <v>28</v>
      </c>
      <c r="F235" s="908">
        <v>2013</v>
      </c>
      <c r="G235" s="92" t="s">
        <v>133</v>
      </c>
      <c r="H235" s="92" t="s">
        <v>134</v>
      </c>
      <c r="I235" s="92" t="s">
        <v>135</v>
      </c>
      <c r="J235" s="92" t="s">
        <v>136</v>
      </c>
      <c r="K235" s="92" t="s">
        <v>137</v>
      </c>
      <c r="L235" s="92" t="s">
        <v>138</v>
      </c>
      <c r="M235" s="92" t="s">
        <v>139</v>
      </c>
      <c r="N235" s="92" t="s">
        <v>140</v>
      </c>
      <c r="O235" s="59"/>
      <c r="P235" s="67"/>
    </row>
    <row r="236" spans="2:33" ht="15.75">
      <c r="B236" s="55"/>
      <c r="C236" s="65" t="s">
        <v>510</v>
      </c>
      <c r="D236" s="108" t="s">
        <v>511</v>
      </c>
      <c r="E236" s="301" t="s">
        <v>88</v>
      </c>
      <c r="F236" s="2672">
        <f>G236</f>
        <v>6.4285714285714302E-3</v>
      </c>
      <c r="G236" s="2673">
        <f t="shared" ref="G236:N236" si="16">0.00642857142857143*(1/Unit.TWh)</f>
        <v>6.4285714285714302E-3</v>
      </c>
      <c r="H236" s="2674">
        <f t="shared" si="16"/>
        <v>6.4285714285714302E-3</v>
      </c>
      <c r="I236" s="2674">
        <f t="shared" si="16"/>
        <v>6.4285714285714302E-3</v>
      </c>
      <c r="J236" s="2674">
        <f t="shared" si="16"/>
        <v>6.4285714285714302E-3</v>
      </c>
      <c r="K236" s="2674">
        <f t="shared" si="16"/>
        <v>6.4285714285714302E-3</v>
      </c>
      <c r="L236" s="2674">
        <f t="shared" si="16"/>
        <v>6.4285714285714302E-3</v>
      </c>
      <c r="M236" s="2674">
        <f t="shared" si="16"/>
        <v>6.4285714285714302E-3</v>
      </c>
      <c r="N236" s="2674">
        <f t="shared" si="16"/>
        <v>6.4285714285714302E-3</v>
      </c>
      <c r="O236" s="59"/>
      <c r="P236" s="67"/>
    </row>
    <row r="237" spans="2:33" ht="15.75">
      <c r="B237" s="55"/>
      <c r="C237" s="65" t="s">
        <v>510</v>
      </c>
      <c r="D237" s="108" t="s">
        <v>511</v>
      </c>
      <c r="E237" s="301" t="s">
        <v>89</v>
      </c>
      <c r="F237" s="2670">
        <f>G237</f>
        <v>1.14430115473441E-2</v>
      </c>
      <c r="G237" s="2675">
        <f t="shared" ref="G237:N237" si="17">0.0114430115473441*(1/Unit.TWh)</f>
        <v>1.14430115473441E-2</v>
      </c>
      <c r="H237" s="2674">
        <f t="shared" si="17"/>
        <v>1.14430115473441E-2</v>
      </c>
      <c r="I237" s="2674">
        <f t="shared" si="17"/>
        <v>1.14430115473441E-2</v>
      </c>
      <c r="J237" s="2674">
        <f t="shared" si="17"/>
        <v>1.14430115473441E-2</v>
      </c>
      <c r="K237" s="2674">
        <f t="shared" si="17"/>
        <v>1.14430115473441E-2</v>
      </c>
      <c r="L237" s="2674">
        <f t="shared" si="17"/>
        <v>1.14430115473441E-2</v>
      </c>
      <c r="M237" s="2674">
        <f t="shared" si="17"/>
        <v>1.14430115473441E-2</v>
      </c>
      <c r="N237" s="2674">
        <f t="shared" si="17"/>
        <v>1.14430115473441E-2</v>
      </c>
      <c r="O237" s="59"/>
      <c r="P237" s="67"/>
      <c r="V237" s="1077"/>
      <c r="W237" s="1077"/>
      <c r="X237" s="1077"/>
      <c r="Y237" s="1077"/>
      <c r="Z237" s="1077"/>
      <c r="AA237" s="1077"/>
      <c r="AB237" s="1077"/>
      <c r="AC237" s="1077"/>
      <c r="AD237" s="1077"/>
      <c r="AE237" s="1077"/>
      <c r="AF237" s="1077"/>
      <c r="AG237" s="1077"/>
    </row>
    <row r="238" spans="2:33" ht="15.75">
      <c r="B238" s="55"/>
      <c r="C238" s="896" t="s">
        <v>510</v>
      </c>
      <c r="D238" s="897" t="s">
        <v>511</v>
      </c>
      <c r="E238" s="1037" t="s">
        <v>90</v>
      </c>
      <c r="F238" s="2676">
        <f>G238</f>
        <v>8.0207196413967109E-3</v>
      </c>
      <c r="G238" s="2677">
        <f>0.00802071964139671*(1/Unit.TWh)</f>
        <v>8.0207196413967109E-3</v>
      </c>
      <c r="H238" s="2678">
        <f t="shared" ref="H238:N238" si="18">0.00802071964139672*(1/Unit.TWh)</f>
        <v>8.0207196413967195E-3</v>
      </c>
      <c r="I238" s="2678">
        <f t="shared" si="18"/>
        <v>8.0207196413967195E-3</v>
      </c>
      <c r="J238" s="2678">
        <f t="shared" si="18"/>
        <v>8.0207196413967195E-3</v>
      </c>
      <c r="K238" s="2678">
        <f t="shared" si="18"/>
        <v>8.0207196413967195E-3</v>
      </c>
      <c r="L238" s="2678">
        <f t="shared" si="18"/>
        <v>8.0207196413967195E-3</v>
      </c>
      <c r="M238" s="2678">
        <f t="shared" si="18"/>
        <v>8.0207196413967195E-3</v>
      </c>
      <c r="N238" s="2678">
        <f t="shared" si="18"/>
        <v>8.0207196413967195E-3</v>
      </c>
      <c r="O238" s="59"/>
      <c r="P238" s="67"/>
      <c r="V238" s="2530"/>
      <c r="W238" s="656"/>
      <c r="X238" s="656"/>
      <c r="Y238" s="656"/>
      <c r="Z238" s="656"/>
      <c r="AA238" s="656"/>
      <c r="AB238" s="656"/>
      <c r="AC238" s="656"/>
      <c r="AD238" s="656"/>
      <c r="AE238" s="656"/>
      <c r="AF238" s="656"/>
      <c r="AG238" s="1077"/>
    </row>
    <row r="239" spans="2:33" s="927" customFormat="1">
      <c r="B239" s="1279"/>
      <c r="C239" s="49"/>
      <c r="D239" s="67"/>
      <c r="E239" s="67"/>
      <c r="F239" s="1098"/>
      <c r="G239" s="1281"/>
      <c r="H239" s="1281"/>
      <c r="I239" s="1281"/>
      <c r="J239" s="1281"/>
      <c r="K239" s="1281"/>
      <c r="L239" s="1281"/>
      <c r="M239" s="1281"/>
      <c r="N239" s="1281"/>
      <c r="O239" s="1281"/>
      <c r="P239" s="67"/>
      <c r="V239" s="1077"/>
      <c r="W239" s="1077"/>
      <c r="X239" s="1077"/>
      <c r="Y239" s="1077"/>
      <c r="Z239" s="1077"/>
      <c r="AA239" s="1077"/>
      <c r="AB239" s="1077"/>
      <c r="AC239" s="1077"/>
      <c r="AD239" s="1077"/>
      <c r="AE239" s="1077"/>
      <c r="AF239" s="1077"/>
      <c r="AG239" s="1171"/>
    </row>
    <row r="240" spans="2:33">
      <c r="B240" s="86"/>
      <c r="C240" s="1077"/>
      <c r="D240" s="1432"/>
      <c r="E240" s="1077"/>
      <c r="F240" s="1077"/>
      <c r="G240" s="1077"/>
      <c r="H240" s="1077"/>
      <c r="I240" s="1077"/>
      <c r="J240" s="1077"/>
      <c r="K240" s="1077"/>
      <c r="L240" s="1077"/>
      <c r="M240" s="1077"/>
      <c r="N240" s="1077"/>
      <c r="O240" s="1077"/>
      <c r="P240" s="1077"/>
      <c r="Q240" s="398"/>
      <c r="R240" s="1673"/>
      <c r="V240" s="2601"/>
      <c r="W240" s="207"/>
      <c r="X240" s="1432"/>
      <c r="Y240" s="1077"/>
      <c r="Z240" s="1077"/>
      <c r="AA240" s="2602"/>
      <c r="AB240" s="2496"/>
      <c r="AC240" s="2602"/>
      <c r="AD240" s="2602"/>
      <c r="AE240" s="207"/>
      <c r="AF240" s="1077"/>
      <c r="AG240" s="1077"/>
    </row>
    <row r="241" spans="2:33" ht="15.75">
      <c r="B241" s="878" t="s">
        <v>2794</v>
      </c>
      <c r="C241" s="879"/>
      <c r="D241" s="879"/>
      <c r="E241" s="879"/>
      <c r="F241" s="879"/>
      <c r="G241" s="879"/>
      <c r="H241" s="879"/>
      <c r="I241" s="879"/>
      <c r="J241" s="879"/>
      <c r="K241" s="879"/>
      <c r="L241" s="879"/>
      <c r="M241" s="879"/>
      <c r="N241" s="879"/>
      <c r="O241" s="879"/>
      <c r="P241" s="879"/>
      <c r="R241" s="398"/>
      <c r="V241" s="2601"/>
      <c r="W241" s="207"/>
      <c r="X241" s="1432"/>
      <c r="Y241" s="1077"/>
      <c r="Z241" s="2602"/>
      <c r="AA241" s="2602"/>
      <c r="AB241" s="2602"/>
      <c r="AC241" s="2602"/>
      <c r="AD241" s="2602"/>
      <c r="AE241" s="207"/>
      <c r="AF241" s="1077"/>
      <c r="AG241" s="1077"/>
    </row>
    <row r="242" spans="2:33" ht="4.5" customHeight="1">
      <c r="B242" s="931"/>
      <c r="C242" s="931"/>
      <c r="D242" s="931"/>
      <c r="E242" s="931"/>
      <c r="F242" s="931"/>
      <c r="G242" s="931"/>
      <c r="H242" s="931"/>
      <c r="I242" s="931"/>
      <c r="J242" s="931"/>
      <c r="K242" s="931"/>
      <c r="L242" s="67"/>
      <c r="M242" s="67"/>
      <c r="N242" s="67"/>
      <c r="O242" s="67"/>
      <c r="P242" s="67"/>
      <c r="R242" s="398"/>
      <c r="V242" s="2603"/>
      <c r="W242" s="2572"/>
      <c r="X242" s="2572"/>
      <c r="Y242" s="2572"/>
      <c r="Z242" s="2604"/>
      <c r="AA242" s="2604"/>
      <c r="AB242" s="2496"/>
      <c r="AC242" s="2602"/>
      <c r="AD242" s="2602"/>
      <c r="AE242" s="207"/>
      <c r="AF242" s="1077"/>
      <c r="AG242" s="1077"/>
    </row>
    <row r="243" spans="2:33" ht="15.75" hidden="1" customHeight="1">
      <c r="B243" s="2605"/>
      <c r="C243" s="49" t="s">
        <v>2020</v>
      </c>
      <c r="D243" s="200"/>
      <c r="E243" s="67"/>
      <c r="F243" s="2507"/>
      <c r="G243" s="2507"/>
      <c r="H243" s="2606"/>
      <c r="I243" s="2606"/>
      <c r="J243" s="49"/>
      <c r="K243" s="67"/>
      <c r="L243" s="67"/>
      <c r="M243" s="67"/>
      <c r="N243" s="47"/>
      <c r="O243" s="3612" t="s">
        <v>2818</v>
      </c>
      <c r="P243" s="2507"/>
      <c r="R243" s="398"/>
      <c r="V243" s="2603"/>
      <c r="W243" s="2555"/>
      <c r="X243" s="2555"/>
      <c r="Y243" s="2607"/>
      <c r="Z243" s="2608"/>
      <c r="AA243" s="2608"/>
      <c r="AB243" s="2496"/>
      <c r="AC243" s="2602"/>
      <c r="AD243" s="2602"/>
      <c r="AE243" s="207"/>
      <c r="AF243" s="1077"/>
      <c r="AG243" s="1077"/>
    </row>
    <row r="244" spans="2:33" ht="15.75" hidden="1" customHeight="1">
      <c r="B244" s="67"/>
      <c r="C244" s="1271" t="s">
        <v>132</v>
      </c>
      <c r="D244" s="2609" t="s">
        <v>72</v>
      </c>
      <c r="E244" s="1103"/>
      <c r="F244" s="963" t="s">
        <v>160</v>
      </c>
      <c r="G244" s="964">
        <v>2013</v>
      </c>
      <c r="H244" s="974">
        <v>2015</v>
      </c>
      <c r="I244" s="974">
        <v>2020</v>
      </c>
      <c r="J244" s="974">
        <v>2025</v>
      </c>
      <c r="K244" s="974">
        <v>2030</v>
      </c>
      <c r="L244" s="974">
        <v>2035</v>
      </c>
      <c r="M244" s="974">
        <v>2040</v>
      </c>
      <c r="N244" s="974">
        <v>2045</v>
      </c>
      <c r="O244" s="974">
        <v>2050</v>
      </c>
      <c r="P244" s="2610"/>
      <c r="V244" s="2603"/>
      <c r="W244" s="2555"/>
      <c r="X244" s="2555"/>
      <c r="Y244" s="2607"/>
      <c r="Z244" s="2608"/>
      <c r="AA244" s="2608"/>
      <c r="AB244" s="2496"/>
      <c r="AC244" s="2602"/>
      <c r="AD244" s="2602"/>
      <c r="AE244" s="207"/>
      <c r="AF244" s="1077"/>
      <c r="AG244" s="1077"/>
    </row>
    <row r="245" spans="2:33" ht="15.75" hidden="1">
      <c r="B245" s="904"/>
      <c r="C245" s="2611"/>
      <c r="D245" s="1179" t="s">
        <v>381</v>
      </c>
      <c r="E245" s="973"/>
      <c r="F245" s="966"/>
      <c r="G245" s="1552"/>
      <c r="H245" s="1080"/>
      <c r="I245" s="1080"/>
      <c r="J245" s="1080"/>
      <c r="K245" s="1080"/>
      <c r="L245" s="1080"/>
      <c r="M245" s="1080"/>
      <c r="N245" s="1080"/>
      <c r="O245" s="1552"/>
      <c r="P245" s="172"/>
      <c r="U245" s="2612"/>
      <c r="V245" s="2603"/>
      <c r="W245" s="2555"/>
      <c r="X245" s="2555"/>
      <c r="Y245" s="2607"/>
      <c r="Z245" s="2608"/>
      <c r="AA245" s="2608"/>
      <c r="AB245" s="2496"/>
      <c r="AC245" s="2602"/>
      <c r="AD245" s="2602"/>
      <c r="AE245" s="207"/>
      <c r="AF245" s="1077"/>
      <c r="AG245" s="1077"/>
    </row>
    <row r="246" spans="2:33" ht="15.75" hidden="1">
      <c r="B246" s="904"/>
      <c r="C246" s="109"/>
      <c r="D246" s="65" t="s">
        <v>380</v>
      </c>
      <c r="E246" s="67"/>
      <c r="F246" s="953"/>
      <c r="G246" s="172"/>
      <c r="H246" s="954"/>
      <c r="I246" s="954"/>
      <c r="J246" s="954"/>
      <c r="K246" s="954"/>
      <c r="L246" s="954"/>
      <c r="M246" s="954"/>
      <c r="N246" s="954"/>
      <c r="O246" s="172"/>
      <c r="P246" s="172"/>
      <c r="V246" s="2603"/>
      <c r="W246" s="2555"/>
      <c r="X246" s="2555"/>
      <c r="Y246" s="2607"/>
      <c r="Z246" s="2608"/>
      <c r="AA246" s="2608"/>
      <c r="AB246" s="2602"/>
      <c r="AC246" s="2602"/>
      <c r="AD246" s="2602"/>
      <c r="AE246" s="207"/>
      <c r="AF246" s="1077"/>
      <c r="AG246" s="1077"/>
    </row>
    <row r="247" spans="2:33" ht="15.75" hidden="1">
      <c r="B247" s="886"/>
      <c r="C247" s="109"/>
      <c r="D247" s="65" t="s">
        <v>2021</v>
      </c>
      <c r="E247" s="67"/>
      <c r="F247" s="953"/>
      <c r="G247" s="172"/>
      <c r="H247" s="954"/>
      <c r="I247" s="954"/>
      <c r="J247" s="954"/>
      <c r="K247" s="954"/>
      <c r="L247" s="954"/>
      <c r="M247" s="954"/>
      <c r="N247" s="954"/>
      <c r="O247" s="172"/>
      <c r="P247" s="172"/>
      <c r="V247" s="2603"/>
      <c r="W247" s="2555"/>
      <c r="X247" s="2555"/>
      <c r="Y247" s="2607"/>
      <c r="Z247" s="2608"/>
      <c r="AA247" s="2608"/>
      <c r="AB247" s="2602"/>
      <c r="AC247" s="2602"/>
      <c r="AD247" s="2602"/>
      <c r="AE247" s="207"/>
      <c r="AF247" s="1077"/>
      <c r="AG247" s="1077"/>
    </row>
    <row r="248" spans="2:33" ht="15.75" hidden="1">
      <c r="B248" s="886"/>
      <c r="C248" s="109"/>
      <c r="D248" s="65" t="s">
        <v>2022</v>
      </c>
      <c r="E248" s="67"/>
      <c r="F248" s="953"/>
      <c r="G248" s="172"/>
      <c r="H248" s="954"/>
      <c r="I248" s="954"/>
      <c r="J248" s="954"/>
      <c r="K248" s="954"/>
      <c r="L248" s="954"/>
      <c r="M248" s="954"/>
      <c r="N248" s="954"/>
      <c r="O248" s="172"/>
      <c r="P248" s="172"/>
      <c r="V248" s="2603"/>
      <c r="W248" s="207"/>
      <c r="X248" s="1432"/>
      <c r="Y248" s="1077"/>
      <c r="Z248" s="2602"/>
      <c r="AA248" s="2602"/>
      <c r="AB248" s="2602"/>
      <c r="AC248" s="2602"/>
      <c r="AD248" s="2602"/>
      <c r="AE248" s="207"/>
      <c r="AF248" s="1077"/>
      <c r="AG248" s="1077"/>
    </row>
    <row r="249" spans="2:33" ht="15.75" hidden="1">
      <c r="B249" s="886"/>
      <c r="C249" s="2613"/>
      <c r="D249" s="926" t="s">
        <v>2023</v>
      </c>
      <c r="E249" s="978"/>
      <c r="F249" s="958"/>
      <c r="G249" s="352"/>
      <c r="H249" s="959"/>
      <c r="I249" s="959"/>
      <c r="J249" s="959"/>
      <c r="K249" s="959"/>
      <c r="L249" s="959"/>
      <c r="M249" s="959"/>
      <c r="N249" s="959"/>
      <c r="O249" s="352"/>
      <c r="P249" s="172"/>
      <c r="V249" s="2603"/>
      <c r="W249" s="207"/>
      <c r="X249" s="1432"/>
      <c r="Y249" s="1077"/>
      <c r="Z249" s="1077"/>
      <c r="AA249" s="2602"/>
      <c r="AB249" s="2496"/>
      <c r="AC249" s="2602"/>
      <c r="AD249" s="2602"/>
      <c r="AE249" s="207"/>
      <c r="AF249" s="1077"/>
      <c r="AG249" s="1077"/>
    </row>
    <row r="250" spans="2:33" ht="15.75" hidden="1">
      <c r="B250" s="886"/>
      <c r="C250" s="109"/>
      <c r="D250" s="108"/>
      <c r="E250" s="108"/>
      <c r="F250" s="953"/>
      <c r="G250" s="2596"/>
      <c r="H250" s="954"/>
      <c r="I250" s="954"/>
      <c r="J250" s="954"/>
      <c r="K250" s="954"/>
      <c r="L250" s="954"/>
      <c r="M250" s="954"/>
      <c r="N250" s="954"/>
      <c r="O250" s="2596"/>
      <c r="P250" s="2596"/>
      <c r="V250" s="2603"/>
      <c r="W250" s="207"/>
      <c r="X250" s="1432"/>
      <c r="Y250" s="1077"/>
      <c r="Z250" s="2602"/>
      <c r="AA250" s="2602"/>
      <c r="AB250" s="2602"/>
      <c r="AC250" s="2602"/>
      <c r="AD250" s="2602"/>
      <c r="AE250" s="207"/>
      <c r="AF250" s="1077"/>
      <c r="AG250" s="1077"/>
    </row>
    <row r="251" spans="2:33" ht="15.75" hidden="1">
      <c r="B251" s="886"/>
      <c r="C251" s="49" t="s">
        <v>2024</v>
      </c>
      <c r="D251" s="108"/>
      <c r="E251" s="108"/>
      <c r="F251" s="47"/>
      <c r="G251" s="47"/>
      <c r="H251" s="47"/>
      <c r="I251" s="47"/>
      <c r="J251" s="47"/>
      <c r="K251" s="47"/>
      <c r="L251" s="47"/>
      <c r="M251" s="47"/>
      <c r="N251" s="47"/>
      <c r="O251" s="3612" t="s">
        <v>2823</v>
      </c>
      <c r="P251" s="2507"/>
      <c r="V251" s="2603"/>
      <c r="W251" s="2572"/>
      <c r="X251" s="2572"/>
      <c r="Y251" s="2572"/>
      <c r="Z251" s="2604"/>
      <c r="AA251" s="2604"/>
      <c r="AB251" s="2496"/>
      <c r="AC251" s="2602"/>
      <c r="AD251" s="2602"/>
      <c r="AE251" s="207"/>
      <c r="AF251" s="1077"/>
      <c r="AG251" s="1077"/>
    </row>
    <row r="252" spans="2:33" ht="15.75" hidden="1">
      <c r="B252" s="886"/>
      <c r="C252" s="1548" t="s">
        <v>132</v>
      </c>
      <c r="D252" s="1548" t="s">
        <v>72</v>
      </c>
      <c r="E252" s="1548" t="s">
        <v>2025</v>
      </c>
      <c r="F252" s="980" t="s">
        <v>160</v>
      </c>
      <c r="G252" s="981">
        <v>2013</v>
      </c>
      <c r="H252" s="974">
        <v>2015</v>
      </c>
      <c r="I252" s="974">
        <v>2020</v>
      </c>
      <c r="J252" s="974">
        <v>2025</v>
      </c>
      <c r="K252" s="974">
        <v>2030</v>
      </c>
      <c r="L252" s="974">
        <v>2035</v>
      </c>
      <c r="M252" s="974">
        <v>2040</v>
      </c>
      <c r="N252" s="974">
        <v>2045</v>
      </c>
      <c r="O252" s="974">
        <v>2050</v>
      </c>
      <c r="P252" s="2610"/>
      <c r="V252" s="2603"/>
      <c r="W252" s="2555"/>
      <c r="X252" s="2555"/>
      <c r="Y252" s="2573"/>
      <c r="Z252" s="2608"/>
      <c r="AA252" s="2608"/>
      <c r="AB252" s="2496"/>
      <c r="AC252" s="2602"/>
      <c r="AD252" s="2602"/>
      <c r="AE252" s="207"/>
      <c r="AF252" s="1077"/>
      <c r="AG252" s="1077"/>
    </row>
    <row r="253" spans="2:33" ht="15.75" hidden="1" customHeight="1">
      <c r="B253" s="886"/>
      <c r="C253" s="2611"/>
      <c r="D253" s="1179" t="s">
        <v>2026</v>
      </c>
      <c r="E253" s="2614">
        <v>1.9</v>
      </c>
      <c r="F253" s="966"/>
      <c r="G253" s="1552"/>
      <c r="H253" s="1080"/>
      <c r="I253" s="1080"/>
      <c r="J253" s="1080"/>
      <c r="K253" s="1080"/>
      <c r="L253" s="1080"/>
      <c r="M253" s="1080"/>
      <c r="N253" s="1080"/>
      <c r="O253" s="1552"/>
      <c r="P253" s="172"/>
      <c r="V253" s="2603"/>
      <c r="W253" s="207"/>
      <c r="X253" s="1432"/>
      <c r="Y253" s="2615"/>
      <c r="Z253" s="2608"/>
      <c r="AA253" s="1181"/>
      <c r="AB253" s="2496"/>
      <c r="AC253" s="2602"/>
      <c r="AD253" s="2602"/>
      <c r="AE253" s="207"/>
      <c r="AF253" s="1077"/>
      <c r="AG253" s="1077"/>
    </row>
    <row r="254" spans="2:33" ht="15.75" hidden="1">
      <c r="B254" s="886"/>
      <c r="C254" s="109"/>
      <c r="D254" s="200" t="s">
        <v>2027</v>
      </c>
      <c r="E254" s="2596">
        <v>1.5</v>
      </c>
      <c r="F254" s="953"/>
      <c r="G254" s="172"/>
      <c r="H254" s="954"/>
      <c r="I254" s="954"/>
      <c r="J254" s="954"/>
      <c r="K254" s="954"/>
      <c r="L254" s="954"/>
      <c r="M254" s="954"/>
      <c r="N254" s="954"/>
      <c r="O254" s="172"/>
      <c r="P254" s="172"/>
      <c r="V254" s="2603"/>
      <c r="W254" s="207"/>
      <c r="X254" s="1432"/>
      <c r="Y254" s="1077"/>
      <c r="Z254" s="2602"/>
      <c r="AA254" s="2496"/>
      <c r="AB254" s="2496"/>
      <c r="AC254" s="2602"/>
      <c r="AD254" s="2602"/>
      <c r="AE254" s="207"/>
      <c r="AF254" s="1077"/>
      <c r="AG254" s="1077"/>
    </row>
    <row r="255" spans="2:33" ht="15.75" hidden="1">
      <c r="B255" s="886"/>
      <c r="C255" s="109"/>
      <c r="D255" s="65" t="s">
        <v>2028</v>
      </c>
      <c r="E255" s="108"/>
      <c r="F255" s="953"/>
      <c r="G255" s="172"/>
      <c r="H255" s="954"/>
      <c r="I255" s="954"/>
      <c r="J255" s="954"/>
      <c r="K255" s="954"/>
      <c r="L255" s="954"/>
      <c r="M255" s="954"/>
      <c r="N255" s="954"/>
      <c r="O255" s="172"/>
      <c r="P255" s="172"/>
      <c r="V255" s="2603"/>
      <c r="W255" s="207"/>
      <c r="X255" s="1432"/>
      <c r="Y255" s="1077"/>
      <c r="Z255" s="1077"/>
      <c r="AA255" s="2602"/>
      <c r="AB255" s="2496"/>
      <c r="AC255" s="2602"/>
      <c r="AD255" s="2602"/>
      <c r="AE255" s="207"/>
      <c r="AF255" s="1077"/>
      <c r="AG255" s="1077"/>
    </row>
    <row r="256" spans="2:33" ht="15.75" hidden="1">
      <c r="B256" s="886"/>
      <c r="C256" s="2613"/>
      <c r="D256" s="926" t="s">
        <v>2029</v>
      </c>
      <c r="E256" s="199"/>
      <c r="F256" s="958"/>
      <c r="G256" s="352"/>
      <c r="H256" s="959"/>
      <c r="I256" s="959"/>
      <c r="J256" s="959"/>
      <c r="K256" s="959"/>
      <c r="L256" s="959"/>
      <c r="M256" s="959"/>
      <c r="N256" s="959"/>
      <c r="O256" s="352"/>
      <c r="P256" s="172"/>
      <c r="V256" s="2603"/>
      <c r="W256" s="207"/>
      <c r="X256" s="1432"/>
      <c r="Y256" s="1077"/>
      <c r="Z256" s="2602"/>
      <c r="AA256" s="2602"/>
      <c r="AB256" s="2602"/>
      <c r="AC256" s="2602"/>
      <c r="AD256" s="2602"/>
      <c r="AE256" s="207"/>
      <c r="AF256" s="1077"/>
      <c r="AG256" s="1077"/>
    </row>
    <row r="257" spans="2:33" ht="15.75" hidden="1">
      <c r="B257" s="886"/>
      <c r="C257" s="109"/>
      <c r="D257" s="108"/>
      <c r="E257" s="108"/>
      <c r="F257" s="953"/>
      <c r="G257" s="2596"/>
      <c r="H257" s="954"/>
      <c r="I257" s="954"/>
      <c r="J257" s="954"/>
      <c r="K257" s="954"/>
      <c r="L257" s="954"/>
      <c r="M257" s="954"/>
      <c r="N257" s="954"/>
      <c r="O257" s="2596"/>
      <c r="P257" s="2596"/>
      <c r="V257" s="2603"/>
      <c r="W257" s="2572"/>
      <c r="X257" s="2572"/>
      <c r="Y257" s="2572"/>
      <c r="Z257" s="2604"/>
      <c r="AA257" s="2604"/>
      <c r="AB257" s="2496"/>
      <c r="AC257" s="2602"/>
      <c r="AD257" s="2602"/>
      <c r="AE257" s="207"/>
      <c r="AF257" s="1077"/>
      <c r="AG257" s="1077"/>
    </row>
    <row r="258" spans="2:33" ht="15.75" hidden="1">
      <c r="B258" s="886"/>
      <c r="C258" s="49" t="s">
        <v>2030</v>
      </c>
      <c r="D258" s="200"/>
      <c r="E258" s="67"/>
      <c r="F258" s="2507"/>
      <c r="G258" s="2507"/>
      <c r="H258" s="2507"/>
      <c r="I258" s="2507"/>
      <c r="J258" s="49"/>
      <c r="K258" s="67"/>
      <c r="L258" s="67"/>
      <c r="M258" s="67"/>
      <c r="N258" s="47"/>
      <c r="O258" s="3612" t="s">
        <v>2818</v>
      </c>
      <c r="P258" s="2507"/>
      <c r="V258" s="2603"/>
      <c r="W258" s="2555"/>
      <c r="X258" s="2555"/>
      <c r="Y258" s="2573"/>
      <c r="Z258" s="2608"/>
      <c r="AA258" s="2608"/>
      <c r="AB258" s="2496"/>
      <c r="AC258" s="2602"/>
      <c r="AD258" s="2602"/>
      <c r="AE258" s="207"/>
      <c r="AF258" s="1077"/>
      <c r="AG258" s="1077"/>
    </row>
    <row r="259" spans="2:33" ht="15.75" hidden="1" customHeight="1">
      <c r="B259" s="886"/>
      <c r="C259" s="1271" t="s">
        <v>132</v>
      </c>
      <c r="D259" s="2609" t="s">
        <v>72</v>
      </c>
      <c r="E259" s="1103"/>
      <c r="F259" s="980" t="s">
        <v>160</v>
      </c>
      <c r="G259" s="981">
        <v>2013</v>
      </c>
      <c r="H259" s="974">
        <v>2015</v>
      </c>
      <c r="I259" s="974">
        <v>2020</v>
      </c>
      <c r="J259" s="974">
        <v>2025</v>
      </c>
      <c r="K259" s="974">
        <v>2030</v>
      </c>
      <c r="L259" s="974">
        <v>2035</v>
      </c>
      <c r="M259" s="974">
        <v>2040</v>
      </c>
      <c r="N259" s="974">
        <v>2045</v>
      </c>
      <c r="O259" s="974">
        <v>2050</v>
      </c>
      <c r="P259" s="2610"/>
      <c r="R259" s="1077"/>
      <c r="S259" s="1077"/>
      <c r="T259" s="1077"/>
      <c r="V259" s="2603"/>
      <c r="W259" s="207"/>
      <c r="X259" s="1432"/>
      <c r="Y259" s="1077"/>
      <c r="Z259" s="2602"/>
      <c r="AA259" s="2496"/>
      <c r="AB259" s="2496"/>
      <c r="AC259" s="2602"/>
      <c r="AD259" s="2602"/>
      <c r="AE259" s="207"/>
      <c r="AF259" s="1077"/>
      <c r="AG259" s="1077"/>
    </row>
    <row r="260" spans="2:33" ht="15.75" hidden="1">
      <c r="B260" s="886"/>
      <c r="C260" s="2611"/>
      <c r="D260" s="1179" t="s">
        <v>381</v>
      </c>
      <c r="E260" s="973"/>
      <c r="F260" s="966"/>
      <c r="G260" s="1552"/>
      <c r="H260" s="1080"/>
      <c r="I260" s="1080"/>
      <c r="J260" s="1080"/>
      <c r="K260" s="1080"/>
      <c r="L260" s="1080"/>
      <c r="M260" s="1080"/>
      <c r="N260" s="1080"/>
      <c r="O260" s="1552"/>
      <c r="P260" s="172"/>
      <c r="R260" s="1173"/>
      <c r="S260" s="1173"/>
      <c r="T260" s="1077"/>
      <c r="V260" s="2603"/>
      <c r="W260" s="207"/>
      <c r="X260" s="1432"/>
      <c r="Y260" s="1077"/>
      <c r="Z260" s="1077"/>
      <c r="AA260" s="2602"/>
      <c r="AB260" s="2496"/>
      <c r="AC260" s="2602"/>
      <c r="AD260" s="2602"/>
      <c r="AE260" s="207"/>
      <c r="AF260" s="1077"/>
      <c r="AG260" s="1077"/>
    </row>
    <row r="261" spans="2:33" ht="15.75" hidden="1">
      <c r="B261" s="886"/>
      <c r="C261" s="109"/>
      <c r="D261" s="65" t="s">
        <v>380</v>
      </c>
      <c r="E261" s="67"/>
      <c r="F261" s="953"/>
      <c r="G261" s="172"/>
      <c r="H261" s="954"/>
      <c r="I261" s="954"/>
      <c r="J261" s="954"/>
      <c r="K261" s="954"/>
      <c r="L261" s="954"/>
      <c r="M261" s="954"/>
      <c r="N261" s="954"/>
      <c r="O261" s="172"/>
      <c r="P261" s="172"/>
      <c r="R261" s="1173"/>
      <c r="S261" s="1173"/>
      <c r="T261" s="1077"/>
      <c r="V261" s="2603"/>
      <c r="W261" s="207"/>
      <c r="X261" s="1432"/>
      <c r="Y261" s="1077"/>
      <c r="Z261" s="2602"/>
      <c r="AA261" s="2602"/>
      <c r="AB261" s="2602"/>
      <c r="AC261" s="2602"/>
      <c r="AD261" s="2602"/>
      <c r="AE261" s="207"/>
      <c r="AF261" s="1077"/>
      <c r="AG261" s="1077"/>
    </row>
    <row r="262" spans="2:33" ht="15.75" hidden="1">
      <c r="B262" s="886"/>
      <c r="C262" s="109"/>
      <c r="D262" s="65" t="s">
        <v>2021</v>
      </c>
      <c r="E262" s="67"/>
      <c r="F262" s="953"/>
      <c r="G262" s="172"/>
      <c r="H262" s="942"/>
      <c r="I262" s="942"/>
      <c r="J262" s="942"/>
      <c r="K262" s="942"/>
      <c r="L262" s="942"/>
      <c r="M262" s="942"/>
      <c r="N262" s="942"/>
      <c r="O262" s="172"/>
      <c r="P262" s="172"/>
      <c r="R262" s="1173"/>
      <c r="S262" s="1173"/>
      <c r="T262" s="1077"/>
      <c r="V262" s="2603"/>
      <c r="W262" s="2572"/>
      <c r="X262" s="2572"/>
      <c r="Y262" s="2572"/>
      <c r="Z262" s="2604"/>
      <c r="AA262" s="2604"/>
      <c r="AB262" s="2496"/>
      <c r="AC262" s="4157"/>
      <c r="AD262" s="4157"/>
      <c r="AE262" s="207"/>
      <c r="AF262" s="1077"/>
      <c r="AG262" s="1077"/>
    </row>
    <row r="263" spans="2:33" ht="15.75" hidden="1">
      <c r="B263" s="886"/>
      <c r="C263" s="109"/>
      <c r="D263" s="65" t="s">
        <v>2022</v>
      </c>
      <c r="E263" s="67"/>
      <c r="F263" s="953"/>
      <c r="G263" s="172"/>
      <c r="H263" s="954"/>
      <c r="I263" s="954"/>
      <c r="J263" s="954"/>
      <c r="K263" s="954"/>
      <c r="L263" s="954"/>
      <c r="M263" s="954"/>
      <c r="N263" s="954"/>
      <c r="O263" s="172"/>
      <c r="P263" s="172"/>
      <c r="R263" s="2189"/>
      <c r="S263" s="2189"/>
      <c r="T263" s="1077"/>
      <c r="V263" s="2603"/>
      <c r="W263" s="2555"/>
      <c r="X263" s="2555"/>
      <c r="Y263" s="2573"/>
      <c r="Z263" s="2608"/>
      <c r="AA263" s="2608"/>
      <c r="AB263" s="2496"/>
      <c r="AC263" s="4157"/>
      <c r="AD263" s="4157"/>
      <c r="AE263" s="207"/>
      <c r="AF263" s="1077"/>
      <c r="AG263" s="1077"/>
    </row>
    <row r="264" spans="2:33" ht="15.75" hidden="1" customHeight="1">
      <c r="B264" s="110"/>
      <c r="C264" s="2613"/>
      <c r="D264" s="926" t="s">
        <v>2023</v>
      </c>
      <c r="E264" s="978"/>
      <c r="F264" s="958"/>
      <c r="G264" s="352"/>
      <c r="H264" s="959"/>
      <c r="I264" s="959"/>
      <c r="J264" s="959"/>
      <c r="K264" s="959"/>
      <c r="L264" s="959"/>
      <c r="M264" s="959"/>
      <c r="N264" s="959"/>
      <c r="O264" s="352"/>
      <c r="P264" s="172"/>
      <c r="R264" s="1173"/>
      <c r="S264" s="1173"/>
      <c r="T264" s="1077"/>
      <c r="V264" s="2603"/>
      <c r="W264" s="207"/>
      <c r="X264" s="1432"/>
      <c r="Y264" s="1077"/>
      <c r="Z264" s="2602"/>
      <c r="AA264" s="2496"/>
      <c r="AB264" s="2496"/>
      <c r="AC264" s="4157"/>
      <c r="AD264" s="4157"/>
      <c r="AE264" s="207"/>
      <c r="AF264" s="1077"/>
      <c r="AG264" s="1077"/>
    </row>
    <row r="265" spans="2:33" hidden="1">
      <c r="B265" s="110"/>
      <c r="C265" s="109"/>
      <c r="D265" s="108"/>
      <c r="E265" s="108"/>
      <c r="F265" s="953"/>
      <c r="G265" s="2596"/>
      <c r="H265" s="954"/>
      <c r="I265" s="954"/>
      <c r="J265" s="954"/>
      <c r="K265" s="954"/>
      <c r="L265" s="954"/>
      <c r="M265" s="954"/>
      <c r="N265" s="954"/>
      <c r="O265" s="2596"/>
      <c r="P265" s="2596"/>
      <c r="R265" s="1077"/>
      <c r="S265" s="1077"/>
      <c r="T265" s="1077"/>
      <c r="V265" s="1077"/>
      <c r="W265" s="1077"/>
      <c r="X265" s="1077"/>
      <c r="Y265" s="1077"/>
      <c r="Z265" s="1077"/>
      <c r="AA265" s="1077"/>
      <c r="AB265" s="2616"/>
      <c r="AC265" s="2616"/>
      <c r="AD265" s="2617"/>
      <c r="AE265" s="2618"/>
      <c r="AF265" s="2618"/>
      <c r="AG265" s="1077"/>
    </row>
    <row r="266" spans="2:33" hidden="1">
      <c r="B266" s="110"/>
      <c r="C266" s="49" t="s">
        <v>2031</v>
      </c>
      <c r="D266" s="108"/>
      <c r="E266" s="108"/>
      <c r="F266" s="47"/>
      <c r="G266" s="47"/>
      <c r="H266" s="47"/>
      <c r="I266" s="47"/>
      <c r="J266" s="47"/>
      <c r="K266" s="47"/>
      <c r="L266" s="47"/>
      <c r="M266" s="47"/>
      <c r="N266" s="47"/>
      <c r="O266" s="3612" t="s">
        <v>2823</v>
      </c>
      <c r="P266" s="2507"/>
      <c r="R266" s="1077"/>
      <c r="S266" s="1077"/>
      <c r="T266" s="1077"/>
      <c r="V266" s="1077"/>
      <c r="W266" s="207"/>
      <c r="X266" s="2619"/>
      <c r="Y266" s="1431"/>
      <c r="Z266" s="2619"/>
      <c r="AA266" s="2619"/>
      <c r="AB266" s="2619"/>
      <c r="AC266" s="2619"/>
      <c r="AD266" s="2619"/>
      <c r="AE266" s="2619"/>
      <c r="AF266" s="2619"/>
      <c r="AG266" s="1077"/>
    </row>
    <row r="267" spans="2:33" hidden="1">
      <c r="B267" s="110"/>
      <c r="C267" s="1548" t="s">
        <v>132</v>
      </c>
      <c r="D267" s="1548" t="s">
        <v>72</v>
      </c>
      <c r="E267" s="1548" t="s">
        <v>2025</v>
      </c>
      <c r="F267" s="980" t="s">
        <v>160</v>
      </c>
      <c r="G267" s="981">
        <v>2013</v>
      </c>
      <c r="H267" s="974">
        <v>2015</v>
      </c>
      <c r="I267" s="974">
        <v>2020</v>
      </c>
      <c r="J267" s="974">
        <v>2025</v>
      </c>
      <c r="K267" s="974">
        <v>2030</v>
      </c>
      <c r="L267" s="974">
        <v>2035</v>
      </c>
      <c r="M267" s="974">
        <v>2040</v>
      </c>
      <c r="N267" s="974">
        <v>2045</v>
      </c>
      <c r="O267" s="974">
        <v>2050</v>
      </c>
      <c r="P267" s="2610"/>
      <c r="R267" s="1077"/>
      <c r="S267" s="1077"/>
      <c r="T267" s="1077"/>
      <c r="V267" s="1077"/>
      <c r="W267" s="1077"/>
      <c r="X267" s="1077"/>
      <c r="Y267" s="1077"/>
      <c r="Z267" s="1077"/>
      <c r="AA267" s="1077"/>
      <c r="AB267" s="1077"/>
      <c r="AC267" s="1077"/>
      <c r="AD267" s="1077"/>
      <c r="AE267" s="1077"/>
      <c r="AF267" s="1077"/>
      <c r="AG267" s="1077"/>
    </row>
    <row r="268" spans="2:33" hidden="1">
      <c r="B268" s="110"/>
      <c r="C268" s="2611"/>
      <c r="D268" s="1179" t="s">
        <v>2026</v>
      </c>
      <c r="E268" s="2614">
        <v>1.9</v>
      </c>
      <c r="F268" s="966"/>
      <c r="G268" s="2620"/>
      <c r="H268" s="1080"/>
      <c r="I268" s="1080"/>
      <c r="J268" s="1080"/>
      <c r="K268" s="1080"/>
      <c r="L268" s="1080"/>
      <c r="M268" s="1080"/>
      <c r="N268" s="1080"/>
      <c r="O268" s="2620"/>
      <c r="P268" s="2621"/>
      <c r="R268" s="1077"/>
      <c r="S268" s="1077"/>
      <c r="T268" s="1077"/>
    </row>
    <row r="269" spans="2:33" hidden="1">
      <c r="B269" s="110"/>
      <c r="C269" s="109"/>
      <c r="D269" s="200" t="s">
        <v>2027</v>
      </c>
      <c r="E269" s="2596">
        <v>1.5</v>
      </c>
      <c r="F269" s="953"/>
      <c r="G269" s="2621"/>
      <c r="H269" s="954"/>
      <c r="I269" s="954"/>
      <c r="J269" s="954"/>
      <c r="K269" s="954"/>
      <c r="L269" s="954"/>
      <c r="M269" s="954"/>
      <c r="N269" s="954"/>
      <c r="O269" s="2621"/>
      <c r="P269" s="2621"/>
      <c r="R269" s="1077"/>
      <c r="S269" s="1077"/>
      <c r="T269" s="1077"/>
    </row>
    <row r="270" spans="2:33" hidden="1">
      <c r="B270" s="904"/>
      <c r="C270" s="109"/>
      <c r="D270" s="65" t="s">
        <v>2028</v>
      </c>
      <c r="E270" s="108"/>
      <c r="F270" s="953"/>
      <c r="G270" s="2621"/>
      <c r="H270" s="954"/>
      <c r="I270" s="954"/>
      <c r="J270" s="954"/>
      <c r="K270" s="954"/>
      <c r="L270" s="954"/>
      <c r="M270" s="954"/>
      <c r="N270" s="954"/>
      <c r="O270" s="2621"/>
      <c r="P270" s="2621"/>
      <c r="R270" s="1077"/>
      <c r="S270" s="1077"/>
      <c r="T270" s="1077"/>
    </row>
    <row r="271" spans="2:33" hidden="1">
      <c r="B271" s="904"/>
      <c r="C271" s="2613"/>
      <c r="D271" s="926" t="s">
        <v>2029</v>
      </c>
      <c r="E271" s="199"/>
      <c r="F271" s="958"/>
      <c r="G271" s="2622"/>
      <c r="H271" s="959"/>
      <c r="I271" s="959"/>
      <c r="J271" s="959"/>
      <c r="K271" s="959"/>
      <c r="L271" s="959"/>
      <c r="M271" s="959"/>
      <c r="N271" s="959"/>
      <c r="O271" s="2622"/>
      <c r="P271" s="2621"/>
      <c r="R271" s="1077"/>
      <c r="S271" s="1077"/>
      <c r="T271" s="1077"/>
    </row>
    <row r="272" spans="2:33" ht="15.75" hidden="1" collapsed="1">
      <c r="B272" s="886"/>
      <c r="C272" s="109"/>
      <c r="D272" s="108"/>
      <c r="E272" s="108"/>
      <c r="F272" s="953"/>
      <c r="G272" s="2596"/>
      <c r="H272" s="954"/>
      <c r="I272" s="954"/>
      <c r="J272" s="954"/>
      <c r="K272" s="954"/>
      <c r="L272" s="954"/>
      <c r="M272" s="954"/>
      <c r="N272" s="954"/>
      <c r="O272" s="2596"/>
      <c r="P272" s="2596"/>
    </row>
    <row r="273" spans="2:28" ht="15.75" hidden="1">
      <c r="B273" s="886"/>
      <c r="C273" s="49" t="s">
        <v>2032</v>
      </c>
      <c r="D273" s="200"/>
      <c r="E273" s="67"/>
      <c r="F273" s="2507"/>
      <c r="G273" s="2507"/>
      <c r="H273" s="2507"/>
      <c r="I273" s="2507"/>
      <c r="J273" s="49"/>
      <c r="K273" s="67"/>
      <c r="L273" s="67"/>
      <c r="M273" s="67"/>
      <c r="N273" s="47"/>
      <c r="O273" s="3612" t="s">
        <v>2818</v>
      </c>
      <c r="P273" s="2507"/>
    </row>
    <row r="274" spans="2:28" ht="15.75" hidden="1">
      <c r="B274" s="886"/>
      <c r="C274" s="1271" t="s">
        <v>132</v>
      </c>
      <c r="D274" s="2609" t="s">
        <v>72</v>
      </c>
      <c r="E274" s="1103"/>
      <c r="F274" s="963" t="s">
        <v>160</v>
      </c>
      <c r="G274" s="964">
        <v>2013</v>
      </c>
      <c r="H274" s="974">
        <v>2015</v>
      </c>
      <c r="I274" s="974">
        <v>2020</v>
      </c>
      <c r="J274" s="974">
        <v>2025</v>
      </c>
      <c r="K274" s="974">
        <v>2030</v>
      </c>
      <c r="L274" s="974">
        <v>2035</v>
      </c>
      <c r="M274" s="974">
        <v>2040</v>
      </c>
      <c r="N274" s="974">
        <v>2045</v>
      </c>
      <c r="O274" s="974">
        <v>2050</v>
      </c>
      <c r="P274" s="2610"/>
    </row>
    <row r="275" spans="2:28" ht="15.75" hidden="1">
      <c r="B275" s="886"/>
      <c r="C275" s="2611"/>
      <c r="D275" s="1179" t="s">
        <v>381</v>
      </c>
      <c r="E275" s="973"/>
      <c r="F275" s="966"/>
      <c r="G275" s="1552"/>
      <c r="H275" s="1080"/>
      <c r="I275" s="1080"/>
      <c r="J275" s="1080"/>
      <c r="K275" s="1080"/>
      <c r="L275" s="1080"/>
      <c r="M275" s="1080"/>
      <c r="N275" s="1080"/>
      <c r="O275" s="1552"/>
      <c r="P275" s="172"/>
      <c r="R275" s="2602"/>
      <c r="S275" s="2602"/>
      <c r="T275" s="2602"/>
      <c r="U275" s="2602"/>
      <c r="V275" s="2602"/>
      <c r="W275" s="207"/>
      <c r="X275" s="1077"/>
      <c r="Y275" s="1077"/>
      <c r="Z275" s="1077"/>
      <c r="AA275" s="1077"/>
      <c r="AB275" s="2602"/>
    </row>
    <row r="276" spans="2:28" ht="15.75" hidden="1">
      <c r="B276" s="886"/>
      <c r="C276" s="109"/>
      <c r="D276" s="65" t="s">
        <v>380</v>
      </c>
      <c r="E276" s="67"/>
      <c r="F276" s="953"/>
      <c r="G276" s="172"/>
      <c r="H276" s="954"/>
      <c r="I276" s="954"/>
      <c r="J276" s="954"/>
      <c r="K276" s="954"/>
      <c r="L276" s="954"/>
      <c r="M276" s="954"/>
      <c r="N276" s="954"/>
      <c r="O276" s="172"/>
      <c r="P276" s="172"/>
      <c r="R276" s="2552"/>
      <c r="S276" s="2623"/>
      <c r="T276" s="2624"/>
      <c r="U276" s="2624"/>
      <c r="V276" s="2624"/>
      <c r="W276" s="2624"/>
      <c r="X276" s="2624"/>
      <c r="Y276" s="2624"/>
      <c r="Z276" s="2624"/>
      <c r="AA276" s="2624"/>
      <c r="AB276" s="2624"/>
    </row>
    <row r="277" spans="2:28" ht="15.75" hidden="1">
      <c r="B277" s="886"/>
      <c r="C277" s="109"/>
      <c r="D277" s="65" t="s">
        <v>2021</v>
      </c>
      <c r="E277" s="67"/>
      <c r="F277" s="953"/>
      <c r="G277" s="172"/>
      <c r="H277" s="954"/>
      <c r="I277" s="954"/>
      <c r="J277" s="954"/>
      <c r="K277" s="954"/>
      <c r="L277" s="954"/>
      <c r="M277" s="954"/>
      <c r="N277" s="954"/>
      <c r="O277" s="172"/>
      <c r="P277" s="172"/>
      <c r="R277" s="1181"/>
      <c r="S277" s="2625"/>
      <c r="T277" s="2625"/>
      <c r="U277" s="2559"/>
      <c r="V277" s="2559"/>
      <c r="W277" s="2559"/>
      <c r="X277" s="2559"/>
      <c r="Y277" s="2559"/>
      <c r="Z277" s="2559"/>
      <c r="AA277" s="2559"/>
      <c r="AB277" s="2625"/>
    </row>
    <row r="278" spans="2:28" ht="15.75" hidden="1">
      <c r="B278" s="886"/>
      <c r="C278" s="109"/>
      <c r="D278" s="65" t="s">
        <v>2022</v>
      </c>
      <c r="E278" s="67"/>
      <c r="F278" s="953"/>
      <c r="G278" s="172"/>
      <c r="H278" s="954"/>
      <c r="I278" s="954"/>
      <c r="J278" s="954"/>
      <c r="K278" s="954"/>
      <c r="L278" s="954"/>
      <c r="M278" s="954"/>
      <c r="N278" s="954"/>
      <c r="O278" s="172"/>
      <c r="P278" s="172"/>
      <c r="R278" s="1181"/>
      <c r="S278" s="2625"/>
      <c r="T278" s="2625"/>
      <c r="U278" s="2559"/>
      <c r="V278" s="2559"/>
      <c r="W278" s="2559"/>
      <c r="X278" s="2559"/>
      <c r="Y278" s="2559"/>
      <c r="Z278" s="2559"/>
      <c r="AA278" s="2559"/>
      <c r="AB278" s="2625"/>
    </row>
    <row r="279" spans="2:28" ht="15.75" hidden="1">
      <c r="B279" s="886"/>
      <c r="C279" s="2613"/>
      <c r="D279" s="926" t="s">
        <v>2023</v>
      </c>
      <c r="E279" s="978"/>
      <c r="F279" s="958"/>
      <c r="G279" s="352"/>
      <c r="H279" s="959"/>
      <c r="I279" s="959"/>
      <c r="J279" s="959"/>
      <c r="K279" s="959"/>
      <c r="L279" s="959"/>
      <c r="M279" s="959"/>
      <c r="N279" s="959"/>
      <c r="O279" s="352"/>
      <c r="P279" s="172"/>
      <c r="R279" s="521"/>
      <c r="S279" s="2625"/>
      <c r="T279" s="2625"/>
      <c r="U279" s="2559"/>
      <c r="V279" s="2559"/>
      <c r="W279" s="2559"/>
      <c r="X279" s="2559"/>
      <c r="Y279" s="2559"/>
      <c r="Z279" s="2559"/>
      <c r="AA279" s="2559"/>
      <c r="AB279" s="2625"/>
    </row>
    <row r="280" spans="2:28" hidden="1">
      <c r="B280" s="47"/>
      <c r="C280" s="47"/>
      <c r="D280" s="47"/>
      <c r="E280" s="47"/>
      <c r="F280" s="47"/>
      <c r="G280" s="47"/>
      <c r="H280" s="47"/>
      <c r="I280" s="47"/>
      <c r="J280" s="47"/>
      <c r="K280" s="47"/>
      <c r="L280" s="47"/>
      <c r="M280" s="47"/>
      <c r="N280" s="47"/>
      <c r="O280" s="47"/>
      <c r="P280" s="67"/>
    </row>
    <row r="281" spans="2:28" hidden="1">
      <c r="B281" s="110"/>
      <c r="C281" s="49" t="s">
        <v>2033</v>
      </c>
      <c r="D281" s="108"/>
      <c r="E281" s="108"/>
      <c r="F281" s="47"/>
      <c r="G281" s="47"/>
      <c r="H281" s="47"/>
      <c r="I281" s="47"/>
      <c r="J281" s="47"/>
      <c r="K281" s="47"/>
      <c r="L281" s="47"/>
      <c r="M281" s="47"/>
      <c r="N281" s="47"/>
      <c r="O281" s="3612" t="s">
        <v>2823</v>
      </c>
      <c r="P281" s="2507"/>
    </row>
    <row r="282" spans="2:28" hidden="1">
      <c r="B282" s="110"/>
      <c r="C282" s="1548" t="s">
        <v>132</v>
      </c>
      <c r="D282" s="1548" t="s">
        <v>72</v>
      </c>
      <c r="E282" s="1548" t="s">
        <v>2025</v>
      </c>
      <c r="F282" s="980" t="s">
        <v>160</v>
      </c>
      <c r="G282" s="981">
        <v>2013</v>
      </c>
      <c r="H282" s="974">
        <v>2015</v>
      </c>
      <c r="I282" s="974">
        <v>2020</v>
      </c>
      <c r="J282" s="974">
        <v>2025</v>
      </c>
      <c r="K282" s="974">
        <v>2030</v>
      </c>
      <c r="L282" s="974">
        <v>2035</v>
      </c>
      <c r="M282" s="974">
        <v>2040</v>
      </c>
      <c r="N282" s="974">
        <v>2045</v>
      </c>
      <c r="O282" s="974">
        <v>2050</v>
      </c>
      <c r="P282" s="2610"/>
    </row>
    <row r="283" spans="2:28" hidden="1">
      <c r="B283" s="110"/>
      <c r="C283" s="2611"/>
      <c r="D283" s="1179" t="s">
        <v>2026</v>
      </c>
      <c r="E283" s="2614">
        <v>1.9</v>
      </c>
      <c r="F283" s="966"/>
      <c r="G283" s="1552"/>
      <c r="H283" s="1080"/>
      <c r="I283" s="1080"/>
      <c r="J283" s="1080"/>
      <c r="K283" s="1080"/>
      <c r="L283" s="1080"/>
      <c r="M283" s="1080"/>
      <c r="N283" s="1080"/>
      <c r="O283" s="1552"/>
      <c r="P283" s="172"/>
    </row>
    <row r="284" spans="2:28" hidden="1">
      <c r="B284" s="110"/>
      <c r="C284" s="109"/>
      <c r="D284" s="200" t="s">
        <v>2027</v>
      </c>
      <c r="E284" s="2596">
        <v>1.5</v>
      </c>
      <c r="F284" s="953"/>
      <c r="G284" s="172"/>
      <c r="H284" s="954"/>
      <c r="I284" s="954"/>
      <c r="J284" s="954"/>
      <c r="K284" s="954"/>
      <c r="L284" s="954"/>
      <c r="M284" s="954"/>
      <c r="N284" s="954"/>
      <c r="O284" s="172"/>
      <c r="P284" s="172"/>
    </row>
    <row r="285" spans="2:28" hidden="1">
      <c r="B285" s="904"/>
      <c r="C285" s="109"/>
      <c r="D285" s="65" t="s">
        <v>2028</v>
      </c>
      <c r="E285" s="108"/>
      <c r="F285" s="953"/>
      <c r="G285" s="172"/>
      <c r="H285" s="954"/>
      <c r="I285" s="954"/>
      <c r="J285" s="954"/>
      <c r="K285" s="954"/>
      <c r="L285" s="954"/>
      <c r="M285" s="954"/>
      <c r="N285" s="954"/>
      <c r="O285" s="172"/>
      <c r="P285" s="172"/>
    </row>
    <row r="286" spans="2:28" hidden="1">
      <c r="B286" s="904"/>
      <c r="C286" s="2613"/>
      <c r="D286" s="926" t="s">
        <v>2029</v>
      </c>
      <c r="E286" s="199"/>
      <c r="F286" s="958"/>
      <c r="G286" s="352"/>
      <c r="H286" s="959"/>
      <c r="I286" s="959"/>
      <c r="J286" s="959"/>
      <c r="K286" s="959"/>
      <c r="L286" s="959"/>
      <c r="M286" s="959"/>
      <c r="N286" s="959"/>
      <c r="O286" s="352"/>
      <c r="P286" s="172"/>
    </row>
    <row r="287" spans="2:28" ht="15.75" hidden="1">
      <c r="B287" s="886"/>
      <c r="C287" s="109"/>
      <c r="D287" s="108"/>
      <c r="E287" s="108"/>
      <c r="F287" s="953"/>
      <c r="G287" s="2596"/>
      <c r="H287" s="954"/>
      <c r="I287" s="954"/>
      <c r="J287" s="954"/>
      <c r="K287" s="954"/>
      <c r="L287" s="954"/>
      <c r="M287" s="954"/>
      <c r="N287" s="954"/>
      <c r="O287" s="2596"/>
      <c r="P287" s="2596"/>
    </row>
    <row r="288" spans="2:28" hidden="1">
      <c r="B288" s="47"/>
      <c r="C288" s="2626" t="s">
        <v>64</v>
      </c>
      <c r="D288" s="2627" t="s">
        <v>2034</v>
      </c>
      <c r="E288" s="2628"/>
      <c r="F288" s="2629"/>
      <c r="G288" s="47"/>
      <c r="H288" s="47"/>
      <c r="I288" s="47"/>
      <c r="J288" s="47"/>
      <c r="K288" s="47"/>
      <c r="L288" s="47"/>
      <c r="M288" s="47"/>
      <c r="N288" s="47"/>
      <c r="O288" s="47"/>
      <c r="P288" s="67"/>
    </row>
    <row r="289" spans="2:25" hidden="1">
      <c r="B289" s="47"/>
      <c r="C289" s="47"/>
      <c r="D289" s="47"/>
      <c r="E289" s="47"/>
      <c r="F289" s="47"/>
      <c r="G289" s="47"/>
      <c r="H289" s="47"/>
      <c r="I289" s="47"/>
      <c r="J289" s="47"/>
      <c r="K289" s="47"/>
      <c r="L289" s="47"/>
      <c r="M289" s="47"/>
      <c r="N289" s="47"/>
      <c r="O289" s="47"/>
      <c r="P289" s="67"/>
    </row>
    <row r="290" spans="2:25">
      <c r="Q290" s="1077"/>
    </row>
    <row r="291" spans="2:25" ht="15.75">
      <c r="B291" s="878" t="s">
        <v>178</v>
      </c>
      <c r="C291" s="1283"/>
      <c r="D291" s="1283"/>
      <c r="E291" s="1283"/>
      <c r="F291" s="1283"/>
      <c r="G291" s="1283"/>
      <c r="H291" s="1283"/>
      <c r="I291" s="1283"/>
      <c r="J291" s="1283"/>
      <c r="K291" s="1283"/>
      <c r="L291" s="1283"/>
      <c r="M291" s="1283"/>
      <c r="N291" s="1283"/>
      <c r="O291" s="1283"/>
      <c r="P291" s="1283"/>
      <c r="Q291" s="1077"/>
      <c r="U291" s="6"/>
      <c r="V291" s="6"/>
      <c r="W291" s="6"/>
      <c r="X291" s="6"/>
      <c r="Y291" s="6"/>
    </row>
    <row r="292" spans="2:25">
      <c r="B292" s="110"/>
      <c r="C292" s="67"/>
      <c r="D292" s="67"/>
      <c r="E292" s="67"/>
      <c r="F292" s="67"/>
      <c r="G292" s="67"/>
      <c r="H292" s="67"/>
      <c r="I292" s="67"/>
      <c r="J292" s="67"/>
      <c r="K292" s="67"/>
      <c r="L292" s="67"/>
      <c r="M292" s="67"/>
      <c r="N292" s="67"/>
      <c r="O292" s="67"/>
      <c r="P292" s="67"/>
      <c r="Q292" s="1077"/>
      <c r="U292" s="6"/>
      <c r="V292" s="6"/>
      <c r="W292" s="6"/>
      <c r="X292" s="6"/>
      <c r="Y292" s="6"/>
    </row>
    <row r="293" spans="2:25">
      <c r="B293" s="110"/>
      <c r="C293" s="67" t="s">
        <v>2035</v>
      </c>
      <c r="D293" s="67"/>
      <c r="E293" s="67"/>
      <c r="F293" s="67"/>
      <c r="G293" s="67"/>
      <c r="H293" s="67"/>
      <c r="I293" s="67"/>
      <c r="J293" s="67"/>
      <c r="K293" s="67"/>
      <c r="L293" s="67"/>
      <c r="M293" s="67"/>
      <c r="N293" s="67"/>
      <c r="O293" s="67"/>
      <c r="P293" s="67"/>
      <c r="Q293" s="1077"/>
      <c r="U293" s="6"/>
      <c r="V293" s="6"/>
      <c r="W293" s="6"/>
      <c r="X293" s="6"/>
      <c r="Y293" s="6"/>
    </row>
    <row r="294" spans="2:25">
      <c r="B294" s="110"/>
      <c r="C294" s="67"/>
      <c r="D294" s="67"/>
      <c r="E294" s="67"/>
      <c r="F294" s="67"/>
      <c r="G294" s="67"/>
      <c r="H294" s="67"/>
      <c r="I294" s="67"/>
      <c r="J294" s="67"/>
      <c r="K294" s="67"/>
      <c r="L294" s="67"/>
      <c r="M294" s="67"/>
      <c r="N294" s="67"/>
      <c r="O294" s="67"/>
      <c r="P294" s="67"/>
      <c r="Q294" s="1077"/>
      <c r="U294" s="6"/>
      <c r="V294" s="6"/>
      <c r="W294" s="6"/>
      <c r="X294" s="6"/>
      <c r="Y294" s="6"/>
    </row>
    <row r="295" spans="2:25">
      <c r="B295" s="110"/>
      <c r="C295" s="49" t="s">
        <v>1933</v>
      </c>
      <c r="D295" s="67"/>
      <c r="E295" s="50"/>
      <c r="F295" s="67"/>
      <c r="G295" s="67"/>
      <c r="H295" s="67"/>
      <c r="I295" s="67"/>
      <c r="J295" s="67"/>
      <c r="K295" s="67"/>
      <c r="L295" s="67"/>
      <c r="M295" s="67"/>
      <c r="N295" s="51" t="str">
        <f>Preferences.AreaUnits</f>
        <v>km^2</v>
      </c>
      <c r="O295" s="67"/>
      <c r="P295" s="67"/>
      <c r="Q295" s="1077"/>
      <c r="U295" s="6"/>
      <c r="V295" s="6"/>
      <c r="W295" s="6"/>
      <c r="X295" s="6"/>
      <c r="Y295" s="6"/>
    </row>
    <row r="296" spans="2:25">
      <c r="B296" s="110"/>
      <c r="C296" s="67"/>
      <c r="D296" s="67"/>
      <c r="E296" s="67"/>
      <c r="F296" s="67"/>
      <c r="G296" s="67"/>
      <c r="H296" s="67"/>
      <c r="I296" s="67"/>
      <c r="J296" s="67"/>
      <c r="K296" s="67"/>
      <c r="L296" s="67"/>
      <c r="M296" s="67"/>
      <c r="N296" s="67"/>
      <c r="O296" s="67"/>
      <c r="P296" s="67"/>
      <c r="Q296" s="1077"/>
      <c r="U296" s="6"/>
      <c r="V296" s="6"/>
      <c r="W296" s="6"/>
      <c r="X296" s="6"/>
      <c r="Y296" s="6"/>
    </row>
    <row r="297" spans="2:25" ht="15.75">
      <c r="B297" s="55"/>
      <c r="C297" s="887" t="s">
        <v>792</v>
      </c>
      <c r="D297" s="887" t="s">
        <v>72</v>
      </c>
      <c r="E297" s="887" t="s">
        <v>30</v>
      </c>
      <c r="F297" s="908">
        <v>2013</v>
      </c>
      <c r="G297" s="92">
        <v>2015</v>
      </c>
      <c r="H297" s="92">
        <v>2020</v>
      </c>
      <c r="I297" s="92">
        <v>2025</v>
      </c>
      <c r="J297" s="92">
        <v>2030</v>
      </c>
      <c r="K297" s="92">
        <v>2035</v>
      </c>
      <c r="L297" s="92">
        <v>2040</v>
      </c>
      <c r="M297" s="92">
        <v>2045</v>
      </c>
      <c r="N297" s="92">
        <v>2050</v>
      </c>
      <c r="O297" s="67"/>
      <c r="P297" s="67"/>
      <c r="Q297" s="1077"/>
      <c r="U297" s="6"/>
      <c r="V297" s="6"/>
      <c r="W297" s="6"/>
      <c r="X297" s="6"/>
      <c r="Y297" s="6"/>
    </row>
    <row r="298" spans="2:25" ht="15.75">
      <c r="B298" s="55"/>
      <c r="C298" s="1092" t="s">
        <v>1935</v>
      </c>
      <c r="D298" s="890" t="s">
        <v>1934</v>
      </c>
      <c r="E298" s="1317"/>
      <c r="F298" s="351">
        <f t="shared" ref="F298:N305" si="19">SUMIFS(F$20:F$51, $C$20:$C$51, $E$9, $E$20:$E$51, $C298)</f>
        <v>11554</v>
      </c>
      <c r="G298" s="1441">
        <f t="shared" si="19"/>
        <v>11528.2162162162</v>
      </c>
      <c r="H298" s="351">
        <f t="shared" si="19"/>
        <v>11463.7567567568</v>
      </c>
      <c r="I298" s="351">
        <f t="shared" si="19"/>
        <v>11399.2972972973</v>
      </c>
      <c r="J298" s="351">
        <f t="shared" si="19"/>
        <v>11334.8378378378</v>
      </c>
      <c r="K298" s="351">
        <f t="shared" si="19"/>
        <v>11270.3783783784</v>
      </c>
      <c r="L298" s="351">
        <f t="shared" si="19"/>
        <v>11205.9189189189</v>
      </c>
      <c r="M298" s="351">
        <f t="shared" si="19"/>
        <v>11141.4594594595</v>
      </c>
      <c r="N298" s="351">
        <f t="shared" si="19"/>
        <v>11077</v>
      </c>
      <c r="O298" s="67"/>
      <c r="P298" s="67"/>
      <c r="Q298" s="1077"/>
      <c r="U298" s="6"/>
      <c r="V298" s="6"/>
      <c r="W298" s="6"/>
      <c r="X298" s="6"/>
      <c r="Y298" s="6"/>
    </row>
    <row r="299" spans="2:25" ht="15.75">
      <c r="B299" s="55"/>
      <c r="C299" s="65" t="s">
        <v>686</v>
      </c>
      <c r="D299" s="108" t="s">
        <v>1936</v>
      </c>
      <c r="E299" s="1267"/>
      <c r="F299" s="172">
        <f t="shared" si="19"/>
        <v>123</v>
      </c>
      <c r="G299" s="1442">
        <f t="shared" si="19"/>
        <v>148.783783783784</v>
      </c>
      <c r="H299" s="172">
        <f t="shared" si="19"/>
        <v>213.243243243243</v>
      </c>
      <c r="I299" s="172">
        <f t="shared" si="19"/>
        <v>277.70270270270299</v>
      </c>
      <c r="J299" s="172">
        <f t="shared" si="19"/>
        <v>342.16216216216202</v>
      </c>
      <c r="K299" s="172">
        <f t="shared" si="19"/>
        <v>406.62162162162201</v>
      </c>
      <c r="L299" s="172">
        <f t="shared" si="19"/>
        <v>471.08108108108098</v>
      </c>
      <c r="M299" s="172">
        <f t="shared" si="19"/>
        <v>535.54054054054097</v>
      </c>
      <c r="N299" s="172">
        <f t="shared" si="19"/>
        <v>600</v>
      </c>
      <c r="O299" s="67"/>
      <c r="P299" s="67"/>
      <c r="Q299" s="1077"/>
      <c r="U299" s="6"/>
      <c r="V299" s="6"/>
      <c r="W299" s="6"/>
      <c r="X299" s="6"/>
      <c r="Y299" s="6"/>
    </row>
    <row r="300" spans="2:25" ht="15.75">
      <c r="B300" s="55"/>
      <c r="C300" s="65" t="s">
        <v>1938</v>
      </c>
      <c r="D300" s="108" t="s">
        <v>1937</v>
      </c>
      <c r="E300" s="1267"/>
      <c r="F300" s="172">
        <f t="shared" si="19"/>
        <v>33</v>
      </c>
      <c r="G300" s="1442">
        <f t="shared" si="19"/>
        <v>68.799374417550297</v>
      </c>
      <c r="H300" s="172">
        <f t="shared" si="19"/>
        <v>158.297810461426</v>
      </c>
      <c r="I300" s="172">
        <f t="shared" si="19"/>
        <v>247.79624650530201</v>
      </c>
      <c r="J300" s="172">
        <f t="shared" si="19"/>
        <v>337.29468254917703</v>
      </c>
      <c r="K300" s="172">
        <f t="shared" si="19"/>
        <v>426.79311859305301</v>
      </c>
      <c r="L300" s="172">
        <f t="shared" si="19"/>
        <v>516.29155463692905</v>
      </c>
      <c r="M300" s="172">
        <f t="shared" si="19"/>
        <v>605.78999068080395</v>
      </c>
      <c r="N300" s="172">
        <f t="shared" si="19"/>
        <v>695.28842672467999</v>
      </c>
      <c r="O300" s="67"/>
      <c r="P300" s="67"/>
      <c r="Q300" s="1077"/>
      <c r="U300" s="6"/>
      <c r="V300" s="6"/>
      <c r="W300" s="6"/>
      <c r="X300" s="6"/>
      <c r="Y300" s="6"/>
    </row>
    <row r="301" spans="2:25" ht="15.75">
      <c r="B301" s="55"/>
      <c r="C301" s="65" t="s">
        <v>1940</v>
      </c>
      <c r="D301" s="108" t="s">
        <v>1939</v>
      </c>
      <c r="E301" s="1267"/>
      <c r="F301" s="172">
        <f t="shared" si="19"/>
        <v>0</v>
      </c>
      <c r="G301" s="1442">
        <f t="shared" si="19"/>
        <v>483.78378378378397</v>
      </c>
      <c r="H301" s="172">
        <f t="shared" si="19"/>
        <v>1693.2432432432399</v>
      </c>
      <c r="I301" s="172">
        <f t="shared" si="19"/>
        <v>2902.7027027027002</v>
      </c>
      <c r="J301" s="172">
        <f t="shared" si="19"/>
        <v>4112.1621621621598</v>
      </c>
      <c r="K301" s="172">
        <f t="shared" si="19"/>
        <v>5321.6216216216199</v>
      </c>
      <c r="L301" s="172">
        <f t="shared" si="19"/>
        <v>6531.0810810810799</v>
      </c>
      <c r="M301" s="172">
        <f t="shared" si="19"/>
        <v>7740.54054054054</v>
      </c>
      <c r="N301" s="172">
        <f t="shared" si="19"/>
        <v>8950</v>
      </c>
      <c r="O301" s="67"/>
      <c r="P301" s="67"/>
      <c r="Q301" s="1077"/>
      <c r="U301" s="6"/>
      <c r="V301" s="6"/>
      <c r="W301" s="6"/>
      <c r="X301" s="6"/>
      <c r="Y301" s="6"/>
    </row>
    <row r="302" spans="2:25" ht="15.75">
      <c r="B302" s="55"/>
      <c r="C302" s="65" t="s">
        <v>239</v>
      </c>
      <c r="D302" s="108" t="s">
        <v>1941</v>
      </c>
      <c r="E302" s="1267"/>
      <c r="F302" s="172">
        <f t="shared" si="19"/>
        <v>33620</v>
      </c>
      <c r="G302" s="1442">
        <f t="shared" si="19"/>
        <v>33414.210136264599</v>
      </c>
      <c r="H302" s="172">
        <f t="shared" si="19"/>
        <v>32899.7354769261</v>
      </c>
      <c r="I302" s="172">
        <f t="shared" si="19"/>
        <v>32385.260817587601</v>
      </c>
      <c r="J302" s="172">
        <f t="shared" si="19"/>
        <v>31870.786158249099</v>
      </c>
      <c r="K302" s="172">
        <f t="shared" si="19"/>
        <v>31356.311498910502</v>
      </c>
      <c r="L302" s="172">
        <f t="shared" si="19"/>
        <v>30841.836839571999</v>
      </c>
      <c r="M302" s="172">
        <f t="shared" si="19"/>
        <v>30327.3621802335</v>
      </c>
      <c r="N302" s="172">
        <f t="shared" si="19"/>
        <v>29812.887520895001</v>
      </c>
      <c r="O302" s="67"/>
      <c r="P302" s="67"/>
      <c r="Q302" s="1077"/>
    </row>
    <row r="303" spans="2:25" ht="15.75">
      <c r="B303" s="55"/>
      <c r="C303" s="65" t="s">
        <v>1943</v>
      </c>
      <c r="D303" s="108" t="s">
        <v>1942</v>
      </c>
      <c r="E303" s="1267"/>
      <c r="F303" s="172">
        <f t="shared" si="19"/>
        <v>1746.91</v>
      </c>
      <c r="G303" s="1442">
        <f t="shared" si="19"/>
        <v>1773.0302955658001</v>
      </c>
      <c r="H303" s="172">
        <f t="shared" si="19"/>
        <v>1838.3310344802901</v>
      </c>
      <c r="I303" s="172">
        <f t="shared" si="19"/>
        <v>1903.6317733947899</v>
      </c>
      <c r="J303" s="172">
        <f t="shared" si="19"/>
        <v>1968.9325123092799</v>
      </c>
      <c r="K303" s="172">
        <f t="shared" si="19"/>
        <v>2034.2332512237799</v>
      </c>
      <c r="L303" s="172">
        <f t="shared" si="19"/>
        <v>2099.5339901382699</v>
      </c>
      <c r="M303" s="172">
        <f t="shared" si="19"/>
        <v>2164.8347290527699</v>
      </c>
      <c r="N303" s="172">
        <f t="shared" si="19"/>
        <v>2230.13546796726</v>
      </c>
      <c r="O303" s="67"/>
      <c r="P303" s="67"/>
      <c r="Q303" s="1077"/>
    </row>
    <row r="304" spans="2:25" ht="15.75">
      <c r="B304" s="55"/>
      <c r="C304" s="65" t="s">
        <v>460</v>
      </c>
      <c r="D304" s="108" t="s">
        <v>1944</v>
      </c>
      <c r="E304" s="1267"/>
      <c r="F304" s="172">
        <f t="shared" si="19"/>
        <v>7566</v>
      </c>
      <c r="G304" s="1442">
        <f t="shared" si="19"/>
        <v>7712.1161544525003</v>
      </c>
      <c r="H304" s="172">
        <f t="shared" si="19"/>
        <v>8077.40654058376</v>
      </c>
      <c r="I304" s="172">
        <f t="shared" si="19"/>
        <v>8442.6969267150198</v>
      </c>
      <c r="J304" s="172">
        <f t="shared" si="19"/>
        <v>8807.9873128462696</v>
      </c>
      <c r="K304" s="172">
        <f t="shared" si="19"/>
        <v>9173.2776989775302</v>
      </c>
      <c r="L304" s="172">
        <f t="shared" si="19"/>
        <v>9538.5680851087891</v>
      </c>
      <c r="M304" s="172">
        <f t="shared" si="19"/>
        <v>9903.8584712400407</v>
      </c>
      <c r="N304" s="172">
        <f t="shared" si="19"/>
        <v>10269.1488573713</v>
      </c>
      <c r="O304" s="67"/>
      <c r="P304" s="67"/>
      <c r="Q304" s="1077"/>
    </row>
    <row r="305" spans="1:25" ht="15.75">
      <c r="B305" s="55"/>
      <c r="C305" s="926" t="s">
        <v>1945</v>
      </c>
      <c r="D305" s="199" t="s">
        <v>411</v>
      </c>
      <c r="E305" s="1322"/>
      <c r="F305" s="352">
        <f t="shared" si="19"/>
        <v>14247.09</v>
      </c>
      <c r="G305" s="1445">
        <f t="shared" si="19"/>
        <v>13761.0602555158</v>
      </c>
      <c r="H305" s="352">
        <f t="shared" si="19"/>
        <v>12545.9858943052</v>
      </c>
      <c r="I305" s="352">
        <f t="shared" si="19"/>
        <v>11330.911533094601</v>
      </c>
      <c r="J305" s="352">
        <f t="shared" si="19"/>
        <v>10115.837171884001</v>
      </c>
      <c r="K305" s="352">
        <f t="shared" si="19"/>
        <v>8900.7628106734792</v>
      </c>
      <c r="L305" s="352">
        <f t="shared" si="19"/>
        <v>7685.6884494629003</v>
      </c>
      <c r="M305" s="352">
        <f t="shared" si="19"/>
        <v>6470.6140882523296</v>
      </c>
      <c r="N305" s="352">
        <f t="shared" si="19"/>
        <v>5255.5397270417598</v>
      </c>
      <c r="O305" s="67"/>
      <c r="P305" s="67"/>
      <c r="Q305" s="1077"/>
    </row>
    <row r="306" spans="1:25" ht="15.75">
      <c r="B306" s="55"/>
      <c r="C306" s="65"/>
      <c r="D306" s="108"/>
      <c r="E306" s="1267"/>
      <c r="F306" s="172">
        <f>SUM(F298:F305)</f>
        <v>68890</v>
      </c>
      <c r="G306" s="172">
        <f t="shared" ref="G306:N306" si="20">SUM(G298:G305)</f>
        <v>68890.000000000015</v>
      </c>
      <c r="H306" s="172">
        <f t="shared" si="20"/>
        <v>68890.000000000058</v>
      </c>
      <c r="I306" s="172">
        <f t="shared" si="20"/>
        <v>68890.000000000015</v>
      </c>
      <c r="J306" s="172">
        <f t="shared" si="20"/>
        <v>68889.999999999956</v>
      </c>
      <c r="K306" s="172">
        <f t="shared" si="20"/>
        <v>68889.999999999985</v>
      </c>
      <c r="L306" s="172">
        <f t="shared" si="20"/>
        <v>68889.999999999942</v>
      </c>
      <c r="M306" s="172">
        <f t="shared" si="20"/>
        <v>68890.000000000029</v>
      </c>
      <c r="N306" s="172">
        <f t="shared" si="20"/>
        <v>68890</v>
      </c>
      <c r="O306" s="67"/>
      <c r="P306" s="67"/>
      <c r="Q306" s="1077"/>
    </row>
    <row r="307" spans="1:25">
      <c r="B307" s="110"/>
      <c r="C307" s="67"/>
      <c r="D307" s="67"/>
      <c r="E307" s="67"/>
      <c r="F307" s="67"/>
      <c r="G307" s="67"/>
      <c r="H307" s="67"/>
      <c r="I307" s="67"/>
      <c r="J307" s="67"/>
      <c r="K307" s="67"/>
      <c r="L307" s="67"/>
      <c r="M307" s="67"/>
      <c r="N307" s="67"/>
      <c r="O307" s="67"/>
      <c r="P307" s="67"/>
      <c r="Q307" s="1077"/>
    </row>
    <row r="308" spans="1:25">
      <c r="B308" s="110"/>
      <c r="C308" s="49" t="s">
        <v>3283</v>
      </c>
      <c r="D308" s="67"/>
      <c r="E308" s="50"/>
      <c r="F308" s="51"/>
      <c r="G308" s="67"/>
      <c r="H308" s="67"/>
      <c r="I308" s="67"/>
      <c r="J308" s="67"/>
      <c r="K308" s="67"/>
      <c r="L308" s="67"/>
      <c r="M308" s="67"/>
      <c r="N308" s="51" t="s">
        <v>1983</v>
      </c>
      <c r="O308" s="67"/>
      <c r="P308" s="67"/>
      <c r="Q308" s="1077"/>
    </row>
    <row r="309" spans="1:25">
      <c r="B309" s="110"/>
      <c r="C309" s="67"/>
      <c r="D309" s="67"/>
      <c r="E309" s="67"/>
      <c r="F309" s="67"/>
      <c r="G309" s="67"/>
      <c r="H309" s="67"/>
      <c r="I309" s="67"/>
      <c r="J309" s="67"/>
      <c r="K309" s="67"/>
      <c r="L309" s="67"/>
      <c r="M309" s="67"/>
      <c r="N309" s="67"/>
      <c r="O309" s="67"/>
      <c r="P309" s="67"/>
      <c r="Q309" s="1077"/>
    </row>
    <row r="310" spans="1:25" s="6" customFormat="1" ht="23.25">
      <c r="A310" s="7"/>
      <c r="B310" s="55"/>
      <c r="C310" s="887" t="s">
        <v>792</v>
      </c>
      <c r="D310" s="887" t="s">
        <v>72</v>
      </c>
      <c r="E310" s="887" t="s">
        <v>2036</v>
      </c>
      <c r="F310" s="908">
        <v>2013</v>
      </c>
      <c r="G310" s="92">
        <v>2015</v>
      </c>
      <c r="H310" s="92">
        <v>2020</v>
      </c>
      <c r="I310" s="92">
        <v>2025</v>
      </c>
      <c r="J310" s="92">
        <v>2030</v>
      </c>
      <c r="K310" s="92">
        <v>2035</v>
      </c>
      <c r="L310" s="92">
        <v>2040</v>
      </c>
      <c r="M310" s="92">
        <v>2045</v>
      </c>
      <c r="N310" s="92">
        <v>2050</v>
      </c>
      <c r="O310" s="67"/>
      <c r="P310" s="67"/>
      <c r="Q310" s="1077"/>
      <c r="R310" s="2506"/>
      <c r="S310" s="2506"/>
      <c r="T310" s="2506"/>
      <c r="U310" s="2506"/>
      <c r="V310" s="2506"/>
      <c r="W310" s="2506"/>
      <c r="X310" s="2506"/>
      <c r="Y310" s="2506"/>
    </row>
    <row r="311" spans="1:25" s="6" customFormat="1" ht="15.75">
      <c r="A311" s="2506"/>
      <c r="B311" s="55"/>
      <c r="C311" s="65">
        <v>1</v>
      </c>
      <c r="D311" s="108" t="s">
        <v>3282</v>
      </c>
      <c r="E311" s="2679">
        <f>INDEX($G56:$J56, MATCH($E$8, $G$55:$J$55, 0))</f>
        <v>-6.0000000000000001E-3</v>
      </c>
      <c r="F311" s="351">
        <f t="array" ref="F311:F313">F$131:F$133</f>
        <v>1082</v>
      </c>
      <c r="G311" s="3962">
        <f t="shared" ref="G311:N311" si="21">$F311*(1+$E311)^(G$310-$F$310)</f>
        <v>1069.054952</v>
      </c>
      <c r="H311" s="2630">
        <f t="shared" si="21"/>
        <v>1037.3658609831868</v>
      </c>
      <c r="I311" s="2630">
        <f t="shared" si="21"/>
        <v>1006.6161028674499</v>
      </c>
      <c r="J311" s="2630">
        <f t="shared" si="21"/>
        <v>976.77783380272137</v>
      </c>
      <c r="K311" s="2630">
        <f t="shared" si="21"/>
        <v>947.82403529061276</v>
      </c>
      <c r="L311" s="2630">
        <f t="shared" si="21"/>
        <v>919.72848971921223</v>
      </c>
      <c r="M311" s="2630">
        <f t="shared" si="21"/>
        <v>892.46575662308589</v>
      </c>
      <c r="N311" s="2630">
        <f t="shared" si="21"/>
        <v>866.01114964698172</v>
      </c>
      <c r="O311" s="3979"/>
      <c r="P311" s="67"/>
      <c r="Q311" s="1077"/>
      <c r="R311" s="2506"/>
      <c r="S311" s="2506"/>
      <c r="T311" s="2506"/>
      <c r="U311" s="2506"/>
      <c r="V311" s="2506"/>
      <c r="W311" s="2506"/>
      <c r="X311" s="2506"/>
      <c r="Y311" s="2506"/>
    </row>
    <row r="312" spans="1:25" s="6" customFormat="1" ht="15.75">
      <c r="A312" s="2506"/>
      <c r="B312" s="55"/>
      <c r="C312" s="65">
        <v>2</v>
      </c>
      <c r="D312" s="108" t="s">
        <v>1947</v>
      </c>
      <c r="E312" s="2679">
        <f>INDEX($G57:$J57, MATCH($E$8, $G$55:$J$55, 0))</f>
        <v>0</v>
      </c>
      <c r="F312" s="172">
        <v>15177</v>
      </c>
      <c r="G312" s="1442">
        <f t="shared" ref="G312:N313" si="22">$F312*(1+$E312)^(G$310-$F$310)</f>
        <v>15177</v>
      </c>
      <c r="H312" s="2630">
        <f t="shared" si="22"/>
        <v>15177</v>
      </c>
      <c r="I312" s="2630">
        <f t="shared" si="22"/>
        <v>15177</v>
      </c>
      <c r="J312" s="2630">
        <f t="shared" si="22"/>
        <v>15177</v>
      </c>
      <c r="K312" s="2630">
        <f t="shared" si="22"/>
        <v>15177</v>
      </c>
      <c r="L312" s="2630">
        <f t="shared" si="22"/>
        <v>15177</v>
      </c>
      <c r="M312" s="2630">
        <f t="shared" si="22"/>
        <v>15177</v>
      </c>
      <c r="N312" s="2630">
        <f t="shared" si="22"/>
        <v>15177</v>
      </c>
      <c r="O312" s="3979"/>
      <c r="P312" s="67"/>
      <c r="Q312" s="1077"/>
      <c r="R312" s="2506"/>
      <c r="S312" s="2506"/>
      <c r="T312" s="2506"/>
      <c r="U312" s="2506"/>
      <c r="V312" s="2506"/>
      <c r="W312" s="2506"/>
      <c r="X312" s="2506"/>
      <c r="Y312" s="2506"/>
    </row>
    <row r="313" spans="1:25" s="6" customFormat="1" ht="15.75">
      <c r="A313" s="2506"/>
      <c r="B313" s="55"/>
      <c r="C313" s="896">
        <v>3</v>
      </c>
      <c r="D313" s="897" t="s">
        <v>1948</v>
      </c>
      <c r="E313" s="2680">
        <f>INDEX($G58:$J58, MATCH($E$8, $G$55:$J$55, 0))</f>
        <v>-6.0000000000000001E-3</v>
      </c>
      <c r="F313" s="352">
        <v>10019</v>
      </c>
      <c r="G313" s="1445">
        <f t="shared" si="22"/>
        <v>9899.1326840000002</v>
      </c>
      <c r="H313" s="2631">
        <f t="shared" si="22"/>
        <v>9605.7010731890477</v>
      </c>
      <c r="I313" s="2631">
        <f t="shared" si="22"/>
        <v>9320.9674072356556</v>
      </c>
      <c r="J313" s="2631">
        <f t="shared" si="22"/>
        <v>9044.6738603229805</v>
      </c>
      <c r="K313" s="2631">
        <f t="shared" si="22"/>
        <v>8776.5702491466254</v>
      </c>
      <c r="L313" s="2631">
        <f t="shared" si="22"/>
        <v>8516.4138063741102</v>
      </c>
      <c r="M313" s="2631">
        <f t="shared" si="22"/>
        <v>8263.9689608194985</v>
      </c>
      <c r="N313" s="2631">
        <f t="shared" si="22"/>
        <v>8019.0071241341129</v>
      </c>
      <c r="O313" s="3979"/>
      <c r="P313" s="67"/>
      <c r="Q313" s="1077"/>
      <c r="R313" s="2506"/>
      <c r="S313" s="2506"/>
      <c r="T313" s="2506"/>
      <c r="U313" s="2506"/>
      <c r="V313" s="2506"/>
      <c r="W313" s="2506"/>
      <c r="X313" s="2506"/>
      <c r="Y313" s="2506"/>
    </row>
    <row r="314" spans="1:25" s="6" customFormat="1">
      <c r="A314" s="2506"/>
      <c r="B314" s="110"/>
      <c r="C314" s="3879" t="s">
        <v>3299</v>
      </c>
      <c r="D314" s="67"/>
      <c r="E314" s="67"/>
      <c r="F314" s="3963">
        <f t="array" ref="F314">F$131:F$133</f>
        <v>1082</v>
      </c>
      <c r="G314" s="3963">
        <v>1125</v>
      </c>
      <c r="H314" s="3964">
        <v>1250</v>
      </c>
      <c r="I314" s="3964">
        <v>1420</v>
      </c>
      <c r="J314" s="3964">
        <v>1450</v>
      </c>
      <c r="K314" s="3964">
        <v>1450</v>
      </c>
      <c r="L314" s="3964">
        <v>1420</v>
      </c>
      <c r="M314" s="3964">
        <v>1420</v>
      </c>
      <c r="N314" s="3964">
        <v>1420</v>
      </c>
      <c r="O314" s="77"/>
      <c r="P314" s="67"/>
      <c r="Q314" s="1077"/>
      <c r="R314" s="2506"/>
      <c r="S314" s="2506"/>
      <c r="T314" s="2506"/>
      <c r="U314" s="2506"/>
      <c r="V314" s="2506"/>
      <c r="W314" s="2506"/>
      <c r="X314" s="2506"/>
      <c r="Y314" s="2506"/>
    </row>
    <row r="315" spans="1:25" s="6" customFormat="1">
      <c r="A315" s="2506"/>
      <c r="B315" s="110"/>
      <c r="C315" s="3864" t="s">
        <v>3298</v>
      </c>
      <c r="D315" s="67"/>
      <c r="E315" s="67"/>
      <c r="F315" s="3963"/>
      <c r="G315" s="3963"/>
      <c r="H315" s="3964"/>
      <c r="I315" s="3964"/>
      <c r="J315" s="3964"/>
      <c r="K315" s="3964"/>
      <c r="L315" s="3964"/>
      <c r="M315" s="3964"/>
      <c r="N315" s="3964"/>
      <c r="O315" s="67"/>
      <c r="P315" s="67"/>
      <c r="Q315" s="1077"/>
      <c r="R315" s="2506"/>
      <c r="S315" s="2506"/>
      <c r="T315" s="2506"/>
      <c r="U315" s="2506"/>
      <c r="V315" s="2506"/>
      <c r="W315" s="2506"/>
      <c r="X315" s="2506"/>
      <c r="Y315" s="2506"/>
    </row>
    <row r="316" spans="1:25" s="6" customFormat="1">
      <c r="A316" s="2506"/>
      <c r="B316" s="110"/>
      <c r="C316" s="67" t="s">
        <v>2037</v>
      </c>
      <c r="D316" s="67"/>
      <c r="E316" s="67" t="s">
        <v>5</v>
      </c>
      <c r="F316" s="67" t="s">
        <v>5</v>
      </c>
      <c r="G316" s="1607"/>
      <c r="H316" s="1607"/>
      <c r="I316" s="67"/>
      <c r="J316" s="67"/>
      <c r="K316" s="67"/>
      <c r="L316" s="67"/>
      <c r="M316" s="67"/>
      <c r="N316" s="67"/>
      <c r="O316" s="67"/>
      <c r="P316" s="67"/>
      <c r="Q316" s="1077"/>
      <c r="R316" s="2506"/>
      <c r="S316" s="2506"/>
      <c r="T316" s="2506"/>
      <c r="U316" s="2506"/>
      <c r="V316" s="2506"/>
      <c r="W316" s="2506"/>
      <c r="X316" s="2506"/>
      <c r="Y316" s="2506"/>
    </row>
    <row r="317" spans="1:25" s="6" customFormat="1">
      <c r="A317" s="2506"/>
      <c r="B317" s="110"/>
      <c r="C317" s="67"/>
      <c r="D317" s="67"/>
      <c r="E317" s="67" t="s">
        <v>5</v>
      </c>
      <c r="F317" s="67" t="s">
        <v>5</v>
      </c>
      <c r="G317" s="67"/>
      <c r="H317" s="67"/>
      <c r="I317" s="67"/>
      <c r="J317" s="67"/>
      <c r="K317" s="67"/>
      <c r="L317" s="67"/>
      <c r="M317" s="67"/>
      <c r="N317" s="67"/>
      <c r="O317" s="67"/>
      <c r="P317" s="67"/>
      <c r="Q317" s="1077"/>
      <c r="R317" s="2506"/>
      <c r="S317" s="2506"/>
      <c r="T317" s="2506"/>
      <c r="U317" s="2506"/>
      <c r="V317" s="2506"/>
      <c r="W317" s="2506"/>
      <c r="X317" s="2506"/>
      <c r="Y317" s="2506"/>
    </row>
    <row r="318" spans="1:25" s="6" customFormat="1">
      <c r="A318" s="2506"/>
      <c r="B318" s="110"/>
      <c r="C318" s="49" t="s">
        <v>2038</v>
      </c>
      <c r="D318" s="67"/>
      <c r="E318" s="67"/>
      <c r="F318" s="67"/>
      <c r="G318" s="67"/>
      <c r="H318" s="67"/>
      <c r="I318" s="67"/>
      <c r="J318" s="67"/>
      <c r="K318" s="67"/>
      <c r="L318" s="67"/>
      <c r="M318" s="67"/>
      <c r="N318" s="51" t="s">
        <v>2039</v>
      </c>
      <c r="O318" s="67"/>
      <c r="P318" s="67"/>
      <c r="Q318" s="1077"/>
      <c r="R318" s="2506"/>
      <c r="S318" s="2506"/>
      <c r="T318" s="2506"/>
      <c r="U318" s="2506"/>
      <c r="V318" s="2506"/>
      <c r="W318" s="2506"/>
      <c r="X318" s="2506"/>
      <c r="Y318" s="2506"/>
    </row>
    <row r="319" spans="1:25" s="6" customFormat="1">
      <c r="A319" s="2506"/>
      <c r="B319" s="110"/>
      <c r="C319" s="67"/>
      <c r="D319" s="67"/>
      <c r="E319" s="67"/>
      <c r="F319" s="67"/>
      <c r="G319" s="67"/>
      <c r="H319" s="67"/>
      <c r="I319" s="67"/>
      <c r="J319" s="67"/>
      <c r="K319" s="67"/>
      <c r="L319" s="67"/>
      <c r="M319" s="67"/>
      <c r="N319" s="67"/>
      <c r="O319" s="67"/>
      <c r="P319" s="67"/>
      <c r="Q319" s="1077"/>
      <c r="R319" s="2506"/>
      <c r="S319" s="2506"/>
      <c r="T319" s="2506"/>
      <c r="U319" s="2506"/>
      <c r="V319" s="2506"/>
      <c r="W319" s="2506"/>
      <c r="X319" s="2506"/>
      <c r="Y319" s="2506"/>
    </row>
    <row r="320" spans="1:25" s="6" customFormat="1" ht="15.75">
      <c r="A320" s="2506"/>
      <c r="B320" s="975"/>
      <c r="C320" s="887" t="s">
        <v>792</v>
      </c>
      <c r="D320" s="887" t="s">
        <v>72</v>
      </c>
      <c r="E320" s="887" t="s">
        <v>2036</v>
      </c>
      <c r="F320" s="909">
        <v>2013</v>
      </c>
      <c r="G320" s="92">
        <v>2015</v>
      </c>
      <c r="H320" s="92">
        <v>2020</v>
      </c>
      <c r="I320" s="92">
        <v>2025</v>
      </c>
      <c r="J320" s="92">
        <v>2030</v>
      </c>
      <c r="K320" s="92">
        <v>2035</v>
      </c>
      <c r="L320" s="92">
        <v>2040</v>
      </c>
      <c r="M320" s="92">
        <v>2045</v>
      </c>
      <c r="N320" s="92">
        <v>2050</v>
      </c>
      <c r="O320" s="108"/>
      <c r="P320" s="108"/>
      <c r="Q320" s="656"/>
      <c r="U320" s="2506"/>
      <c r="V320" s="2506"/>
      <c r="W320" s="2506"/>
      <c r="X320" s="2506"/>
      <c r="Y320" s="2506"/>
    </row>
    <row r="321" spans="2:20" ht="15.75">
      <c r="B321" s="975"/>
      <c r="C321" s="65" t="s">
        <v>1950</v>
      </c>
      <c r="D321" s="108" t="s">
        <v>1797</v>
      </c>
      <c r="E321" s="2679">
        <f>INDEX($G63:$J63, MATCH($E$9, $G$62:$J$62, 0))</f>
        <v>1.125341116489631E-2</v>
      </c>
      <c r="F321" s="59">
        <f t="array" ref="F321:F330">F138:F147</f>
        <v>9.6999999999999993</v>
      </c>
      <c r="G321" s="2632">
        <f t="shared" ref="G321:N330" si="23">$F321*(1+$E321)^(G$320-$F$320)</f>
        <v>9.9195445774485975</v>
      </c>
      <c r="H321" s="1034">
        <f t="shared" si="23"/>
        <v>10.490392347065939</v>
      </c>
      <c r="I321" s="1034">
        <f t="shared" si="23"/>
        <v>11.094091138575751</v>
      </c>
      <c r="J321" s="1034">
        <f t="shared" si="23"/>
        <v>11.732531455360572</v>
      </c>
      <c r="K321" s="1034">
        <f t="shared" si="23"/>
        <v>12.407712595075813</v>
      </c>
      <c r="L321" s="1034">
        <f t="shared" si="23"/>
        <v>13.121748910518617</v>
      </c>
      <c r="M321" s="1034">
        <f t="shared" si="23"/>
        <v>13.876876430795859</v>
      </c>
      <c r="N321" s="1034">
        <f t="shared" si="23"/>
        <v>14.675459863525667</v>
      </c>
      <c r="O321" s="108"/>
      <c r="P321" s="108"/>
      <c r="Q321" s="656"/>
      <c r="S321" s="6"/>
      <c r="T321" s="6"/>
    </row>
    <row r="322" spans="2:20" ht="15.75">
      <c r="B322" s="975"/>
      <c r="C322" s="65" t="s">
        <v>1950</v>
      </c>
      <c r="D322" s="108" t="s">
        <v>1951</v>
      </c>
      <c r="E322" s="2679">
        <f>INDEX($G64:$J64, MATCH($E$9, $G$62:$J$62, 0))</f>
        <v>1.125341116489631E-2</v>
      </c>
      <c r="F322" s="59">
        <v>3</v>
      </c>
      <c r="G322" s="143">
        <f t="shared" si="23"/>
        <v>3.0679003847779169</v>
      </c>
      <c r="H322" s="59">
        <f t="shared" si="23"/>
        <v>3.2444512413605997</v>
      </c>
      <c r="I322" s="59">
        <f t="shared" si="23"/>
        <v>3.4311622078069335</v>
      </c>
      <c r="J322" s="59">
        <f t="shared" si="23"/>
        <v>3.6286179758847137</v>
      </c>
      <c r="K322" s="59">
        <f t="shared" si="23"/>
        <v>3.837436885074994</v>
      </c>
      <c r="L322" s="59">
        <f t="shared" si="23"/>
        <v>4.0582728589232842</v>
      </c>
      <c r="M322" s="59">
        <f t="shared" si="23"/>
        <v>4.2918174528234623</v>
      </c>
      <c r="N322" s="59">
        <f t="shared" si="23"/>
        <v>4.5388020196471137</v>
      </c>
      <c r="O322" s="108"/>
      <c r="P322" s="108"/>
      <c r="Q322" s="656"/>
      <c r="S322" s="6"/>
      <c r="T322" s="6"/>
    </row>
    <row r="323" spans="2:20" ht="15.75">
      <c r="B323" s="975"/>
      <c r="C323" s="65" t="s">
        <v>1950</v>
      </c>
      <c r="D323" s="108" t="s">
        <v>1952</v>
      </c>
      <c r="E323" s="2679">
        <f>INDEX($G65:$J65, MATCH($E$9, $G$62:$J$62, 0))</f>
        <v>1.4999999999999999E-2</v>
      </c>
      <c r="F323" s="172">
        <v>10</v>
      </c>
      <c r="G323" s="1442">
        <f t="shared" si="23"/>
        <v>10.302249999999997</v>
      </c>
      <c r="H323" s="172">
        <f t="shared" si="23"/>
        <v>11.098449129017791</v>
      </c>
      <c r="I323" s="172">
        <f t="shared" si="23"/>
        <v>11.956181714615333</v>
      </c>
      <c r="J323" s="172">
        <f t="shared" si="23"/>
        <v>12.880203308689948</v>
      </c>
      <c r="K323" s="172">
        <f t="shared" si="23"/>
        <v>13.875636991230271</v>
      </c>
      <c r="L323" s="172">
        <f t="shared" si="23"/>
        <v>14.948001774358682</v>
      </c>
      <c r="M323" s="172">
        <f t="shared" si="23"/>
        <v>16.103243201551848</v>
      </c>
      <c r="N323" s="172">
        <f t="shared" si="23"/>
        <v>17.347766311691608</v>
      </c>
      <c r="O323" s="108"/>
      <c r="P323" s="108"/>
      <c r="Q323" s="656"/>
      <c r="R323" s="6"/>
      <c r="S323" s="6"/>
      <c r="T323" s="6"/>
    </row>
    <row r="324" spans="2:20" ht="15.75">
      <c r="B324" s="975"/>
      <c r="C324" s="108" t="s">
        <v>402</v>
      </c>
      <c r="D324" s="108" t="s">
        <v>1953</v>
      </c>
      <c r="E324" s="2679">
        <f>INDEX($G66:$J66, MATCH($E$9, $G$62:$J$62, 0))</f>
        <v>0</v>
      </c>
      <c r="F324" s="59">
        <v>3.28</v>
      </c>
      <c r="G324" s="143">
        <f t="shared" si="23"/>
        <v>3.28</v>
      </c>
      <c r="H324" s="59">
        <f t="shared" si="23"/>
        <v>3.28</v>
      </c>
      <c r="I324" s="59">
        <f t="shared" si="23"/>
        <v>3.28</v>
      </c>
      <c r="J324" s="59">
        <f t="shared" si="23"/>
        <v>3.28</v>
      </c>
      <c r="K324" s="59">
        <f t="shared" si="23"/>
        <v>3.28</v>
      </c>
      <c r="L324" s="59">
        <f t="shared" si="23"/>
        <v>3.28</v>
      </c>
      <c r="M324" s="59">
        <f t="shared" si="23"/>
        <v>3.28</v>
      </c>
      <c r="N324" s="59">
        <f t="shared" si="23"/>
        <v>3.28</v>
      </c>
      <c r="O324" s="108"/>
      <c r="P324" s="108"/>
      <c r="Q324" s="656"/>
      <c r="R324" s="6"/>
      <c r="S324" s="6"/>
      <c r="T324" s="6"/>
    </row>
    <row r="325" spans="2:20" ht="15.75">
      <c r="B325" s="975"/>
      <c r="C325" s="108" t="s">
        <v>402</v>
      </c>
      <c r="D325" s="108" t="s">
        <v>1954</v>
      </c>
      <c r="E325" s="2679">
        <f>INDEX($G67:$J67, MATCH($E$9, $G$62:$J$62, 0))</f>
        <v>0</v>
      </c>
      <c r="F325" s="59">
        <v>1.72</v>
      </c>
      <c r="G325" s="143">
        <f t="shared" si="23"/>
        <v>1.72</v>
      </c>
      <c r="H325" s="59">
        <f t="shared" si="23"/>
        <v>1.72</v>
      </c>
      <c r="I325" s="59">
        <f t="shared" si="23"/>
        <v>1.72</v>
      </c>
      <c r="J325" s="59">
        <f t="shared" si="23"/>
        <v>1.72</v>
      </c>
      <c r="K325" s="59">
        <f t="shared" si="23"/>
        <v>1.72</v>
      </c>
      <c r="L325" s="59">
        <f t="shared" si="23"/>
        <v>1.72</v>
      </c>
      <c r="M325" s="59">
        <f t="shared" si="23"/>
        <v>1.72</v>
      </c>
      <c r="N325" s="59">
        <f t="shared" si="23"/>
        <v>1.72</v>
      </c>
      <c r="O325" s="108"/>
      <c r="P325" s="108"/>
      <c r="Q325" s="656"/>
      <c r="R325" s="6"/>
      <c r="S325" s="6"/>
      <c r="T325" s="6"/>
    </row>
    <row r="326" spans="2:20" ht="15.75">
      <c r="B326" s="975"/>
      <c r="C326" s="108" t="s">
        <v>2311</v>
      </c>
      <c r="D326" s="108" t="s">
        <v>1986</v>
      </c>
      <c r="E326" s="2679">
        <v>5.0000000000000001E-3</v>
      </c>
      <c r="F326" s="59">
        <v>0.36499999999999999</v>
      </c>
      <c r="G326" s="143">
        <f t="shared" si="23"/>
        <v>0.36865912499999987</v>
      </c>
      <c r="H326" s="59">
        <f t="shared" si="23"/>
        <v>0.37796822988336765</v>
      </c>
      <c r="I326" s="59">
        <f t="shared" si="23"/>
        <v>0.3875124013305416</v>
      </c>
      <c r="J326" s="59">
        <f t="shared" si="23"/>
        <v>0.39729757506682645</v>
      </c>
      <c r="K326" s="59">
        <f t="shared" si="23"/>
        <v>0.40732983670202871</v>
      </c>
      <c r="L326" s="59">
        <f t="shared" si="23"/>
        <v>0.41761542551522923</v>
      </c>
      <c r="M326" s="59">
        <f t="shared" si="23"/>
        <v>0.42816073833512353</v>
      </c>
      <c r="N326" s="59">
        <f t="shared" si="23"/>
        <v>0.43897233351834825</v>
      </c>
      <c r="O326" s="108"/>
      <c r="P326" s="108"/>
      <c r="Q326" s="656"/>
      <c r="R326" s="6"/>
      <c r="S326" s="6"/>
      <c r="T326" s="6"/>
    </row>
    <row r="327" spans="2:20" ht="15.75">
      <c r="B327" s="975"/>
      <c r="C327" s="108" t="s">
        <v>2312</v>
      </c>
      <c r="D327" s="108" t="s">
        <v>1957</v>
      </c>
      <c r="E327" s="2679">
        <v>2E-3</v>
      </c>
      <c r="F327" s="172">
        <v>70</v>
      </c>
      <c r="G327" s="1442">
        <f t="shared" si="23"/>
        <v>70.280279999999991</v>
      </c>
      <c r="H327" s="172">
        <f t="shared" si="23"/>
        <v>70.985899639247052</v>
      </c>
      <c r="I327" s="172">
        <f t="shared" si="23"/>
        <v>71.698603756178215</v>
      </c>
      <c r="J327" s="172">
        <f t="shared" si="23"/>
        <v>72.418463479516717</v>
      </c>
      <c r="K327" s="172">
        <f t="shared" si="23"/>
        <v>73.145550652123916</v>
      </c>
      <c r="L327" s="172">
        <f t="shared" si="23"/>
        <v>73.879937838169283</v>
      </c>
      <c r="M327" s="172">
        <f t="shared" si="23"/>
        <v>74.621698330372283</v>
      </c>
      <c r="N327" s="172">
        <f t="shared" si="23"/>
        <v>75.370906157317208</v>
      </c>
      <c r="O327" s="108"/>
      <c r="P327" s="108"/>
      <c r="Q327" s="656"/>
      <c r="R327" s="6"/>
      <c r="S327" s="6"/>
      <c r="T327" s="6"/>
    </row>
    <row r="328" spans="2:20" ht="15.75">
      <c r="B328" s="975"/>
      <c r="C328" s="108" t="s">
        <v>2312</v>
      </c>
      <c r="D328" s="108" t="s">
        <v>1958</v>
      </c>
      <c r="E328" s="2679">
        <v>1E-3</v>
      </c>
      <c r="F328" s="59">
        <v>1.7</v>
      </c>
      <c r="G328" s="143">
        <f t="shared" si="23"/>
        <v>1.7034016999999995</v>
      </c>
      <c r="H328" s="59">
        <f t="shared" si="23"/>
        <v>1.7119357595595339</v>
      </c>
      <c r="I328" s="59">
        <f t="shared" si="23"/>
        <v>1.7205125748428451</v>
      </c>
      <c r="J328" s="59">
        <f t="shared" si="23"/>
        <v>1.7291323600565367</v>
      </c>
      <c r="K328" s="59">
        <f t="shared" si="23"/>
        <v>1.7377953304803895</v>
      </c>
      <c r="L328" s="59">
        <f t="shared" si="23"/>
        <v>1.7465017024727394</v>
      </c>
      <c r="M328" s="59">
        <f t="shared" si="23"/>
        <v>1.7552516934758777</v>
      </c>
      <c r="N328" s="59">
        <f t="shared" si="23"/>
        <v>1.7640455220214859</v>
      </c>
      <c r="O328" s="108"/>
      <c r="P328" s="108"/>
      <c r="Q328" s="656"/>
      <c r="R328" s="6"/>
      <c r="S328" s="6"/>
      <c r="T328" s="6"/>
    </row>
    <row r="329" spans="2:20" ht="15.75">
      <c r="B329" s="975"/>
      <c r="C329" s="108" t="s">
        <v>2312</v>
      </c>
      <c r="D329" s="108" t="s">
        <v>2310</v>
      </c>
      <c r="E329" s="2679"/>
      <c r="F329" s="172">
        <v>5000</v>
      </c>
      <c r="G329" s="1442">
        <v>5100</v>
      </c>
      <c r="H329" s="172">
        <v>5285</v>
      </c>
      <c r="I329" s="172">
        <v>5285</v>
      </c>
      <c r="J329" s="172">
        <v>5285</v>
      </c>
      <c r="K329" s="172">
        <v>5285</v>
      </c>
      <c r="L329" s="172">
        <v>5285</v>
      </c>
      <c r="M329" s="172">
        <v>5285</v>
      </c>
      <c r="N329" s="172">
        <v>5285</v>
      </c>
      <c r="O329" s="108"/>
      <c r="P329" s="108"/>
      <c r="Q329" s="656"/>
      <c r="R329" s="6"/>
      <c r="S329" s="6"/>
      <c r="T329" s="6"/>
    </row>
    <row r="330" spans="2:20" ht="15.75">
      <c r="B330" s="975"/>
      <c r="C330" s="199" t="s">
        <v>2312</v>
      </c>
      <c r="D330" s="199" t="s">
        <v>1960</v>
      </c>
      <c r="E330" s="2681">
        <v>0</v>
      </c>
      <c r="F330" s="352">
        <v>298</v>
      </c>
      <c r="G330" s="1445">
        <f t="shared" si="23"/>
        <v>298</v>
      </c>
      <c r="H330" s="352">
        <f t="shared" si="23"/>
        <v>298</v>
      </c>
      <c r="I330" s="352">
        <f t="shared" si="23"/>
        <v>298</v>
      </c>
      <c r="J330" s="352">
        <f t="shared" si="23"/>
        <v>298</v>
      </c>
      <c r="K330" s="352">
        <f t="shared" si="23"/>
        <v>298</v>
      </c>
      <c r="L330" s="352">
        <f t="shared" si="23"/>
        <v>298</v>
      </c>
      <c r="M330" s="352">
        <f t="shared" si="23"/>
        <v>298</v>
      </c>
      <c r="N330" s="352">
        <f t="shared" si="23"/>
        <v>298</v>
      </c>
      <c r="O330" s="108"/>
      <c r="P330" s="108"/>
      <c r="Q330" s="656"/>
      <c r="R330" s="6"/>
      <c r="S330" s="6"/>
      <c r="T330" s="6"/>
    </row>
    <row r="331" spans="2:20">
      <c r="B331" s="110"/>
      <c r="C331" s="67"/>
      <c r="D331" s="67"/>
      <c r="E331" s="67"/>
      <c r="F331" s="67"/>
      <c r="G331" s="67"/>
      <c r="H331" s="67"/>
      <c r="I331" s="67"/>
      <c r="J331" s="67"/>
      <c r="K331" s="67"/>
      <c r="L331" s="67"/>
      <c r="M331" s="67"/>
      <c r="N331" s="67"/>
      <c r="O331" s="67"/>
      <c r="P331" s="67"/>
      <c r="Q331" s="1077"/>
    </row>
    <row r="332" spans="2:20">
      <c r="B332" s="110"/>
      <c r="C332" s="67"/>
      <c r="D332" s="67"/>
      <c r="E332" s="67"/>
      <c r="F332" s="67"/>
      <c r="G332" s="67"/>
      <c r="H332" s="67"/>
      <c r="I332" s="67"/>
      <c r="J332" s="67"/>
      <c r="K332" s="67"/>
      <c r="L332" s="67"/>
      <c r="M332" s="67"/>
      <c r="N332" s="67"/>
      <c r="O332" s="67"/>
      <c r="P332" s="67"/>
      <c r="Q332" s="1077"/>
    </row>
    <row r="333" spans="2:20">
      <c r="B333" s="110"/>
      <c r="C333" s="67" t="s">
        <v>252</v>
      </c>
      <c r="D333" s="67"/>
      <c r="E333" s="67"/>
      <c r="F333" s="67"/>
      <c r="G333" s="67"/>
      <c r="H333" s="67"/>
      <c r="I333" s="67"/>
      <c r="J333" s="67"/>
      <c r="K333" s="67"/>
      <c r="L333" s="67"/>
      <c r="M333" s="67"/>
      <c r="N333" s="67"/>
      <c r="O333" s="67"/>
      <c r="P333" s="67"/>
      <c r="Q333" s="1077"/>
    </row>
    <row r="334" spans="2:20">
      <c r="B334" s="110"/>
      <c r="C334" s="67"/>
      <c r="D334" s="67"/>
      <c r="E334" s="67"/>
      <c r="F334" s="67"/>
      <c r="G334" s="67"/>
      <c r="H334" s="67"/>
      <c r="I334" s="67"/>
      <c r="J334" s="67"/>
      <c r="K334" s="67"/>
      <c r="L334" s="67"/>
      <c r="M334" s="67"/>
      <c r="N334" s="67"/>
      <c r="O334" s="67"/>
      <c r="P334" s="67"/>
      <c r="Q334" s="1077"/>
    </row>
    <row r="335" spans="2:20">
      <c r="B335" s="110"/>
      <c r="C335" s="49" t="s">
        <v>2040</v>
      </c>
      <c r="D335" s="67"/>
      <c r="E335" s="67"/>
      <c r="F335" s="67"/>
      <c r="G335" s="67"/>
      <c r="H335" s="67"/>
      <c r="I335" s="67"/>
      <c r="J335" s="67"/>
      <c r="K335" s="67"/>
      <c r="L335" s="67"/>
      <c r="M335" s="67"/>
      <c r="N335" s="51" t="s">
        <v>2041</v>
      </c>
      <c r="O335" s="67"/>
      <c r="P335" s="67"/>
      <c r="Q335" s="1077"/>
    </row>
    <row r="336" spans="2:20">
      <c r="B336" s="110"/>
      <c r="C336" s="67"/>
      <c r="D336" s="67"/>
      <c r="E336" s="67"/>
      <c r="F336" s="67"/>
      <c r="G336" s="67"/>
      <c r="H336" s="67"/>
      <c r="I336" s="67"/>
      <c r="J336" s="67"/>
      <c r="K336" s="67"/>
      <c r="L336" s="67"/>
      <c r="M336" s="67"/>
      <c r="N336" s="67"/>
      <c r="O336" s="67"/>
      <c r="P336" s="67"/>
      <c r="Q336" s="1077"/>
    </row>
    <row r="337" spans="1:25" ht="15.75">
      <c r="B337" s="55"/>
      <c r="C337" s="887" t="s">
        <v>792</v>
      </c>
      <c r="D337" s="887" t="s">
        <v>72</v>
      </c>
      <c r="E337" s="887"/>
      <c r="F337" s="908">
        <v>2013</v>
      </c>
      <c r="G337" s="888">
        <v>2015</v>
      </c>
      <c r="H337" s="92">
        <v>2020</v>
      </c>
      <c r="I337" s="92">
        <v>2025</v>
      </c>
      <c r="J337" s="92">
        <v>2030</v>
      </c>
      <c r="K337" s="92">
        <v>2035</v>
      </c>
      <c r="L337" s="92">
        <v>2040</v>
      </c>
      <c r="M337" s="92">
        <v>2045</v>
      </c>
      <c r="N337" s="92">
        <v>2050</v>
      </c>
      <c r="O337" s="67"/>
      <c r="P337" s="67"/>
      <c r="Q337" s="1077"/>
    </row>
    <row r="338" spans="1:25" ht="15.75">
      <c r="B338" s="55"/>
      <c r="C338" s="65" t="s">
        <v>255</v>
      </c>
      <c r="D338" s="108" t="s">
        <v>1965</v>
      </c>
      <c r="E338" s="301"/>
      <c r="F338" s="2633">
        <f t="shared" ref="F338:H339" si="24">INDEX($G77:$J77, MATCH($E$9, $G$76:$J$76, 0))</f>
        <v>-1.1921561279377713E-3</v>
      </c>
      <c r="G338" s="2634">
        <f t="shared" si="24"/>
        <v>-1.1921561279377713E-3</v>
      </c>
      <c r="H338" s="2635">
        <f t="shared" si="24"/>
        <v>-1.1921561279377713E-3</v>
      </c>
      <c r="I338" s="2636">
        <f t="shared" ref="I338:N339" si="25">INDEX($K77:$N77, MATCH($E$9, $K$76:$N$76, 0))</f>
        <v>-1.1921561279377713E-3</v>
      </c>
      <c r="J338" s="2636">
        <f t="shared" si="25"/>
        <v>-1.1921561279377713E-3</v>
      </c>
      <c r="K338" s="2636">
        <f t="shared" si="25"/>
        <v>-1.1921561279377713E-3</v>
      </c>
      <c r="L338" s="2636">
        <f t="shared" si="25"/>
        <v>-1.1921561279377713E-3</v>
      </c>
      <c r="M338" s="2636">
        <f t="shared" si="25"/>
        <v>-1.1921561279377713E-3</v>
      </c>
      <c r="N338" s="2636">
        <f t="shared" si="25"/>
        <v>-1.1921561279377713E-3</v>
      </c>
      <c r="O338" s="67"/>
      <c r="P338" s="67"/>
      <c r="Q338" s="1077"/>
    </row>
    <row r="339" spans="1:25" ht="15.75">
      <c r="A339" s="6"/>
      <c r="B339" s="55"/>
      <c r="C339" s="926" t="s">
        <v>255</v>
      </c>
      <c r="D339" s="199" t="s">
        <v>1967</v>
      </c>
      <c r="E339" s="1160"/>
      <c r="F339" s="2637">
        <f t="shared" si="24"/>
        <v>-2.4472451512579374E-3</v>
      </c>
      <c r="G339" s="2638">
        <f t="shared" si="24"/>
        <v>-2.4472451512579374E-3</v>
      </c>
      <c r="H339" s="2639">
        <f t="shared" si="24"/>
        <v>-2.4472451512579374E-3</v>
      </c>
      <c r="I339" s="2640">
        <f t="shared" si="25"/>
        <v>-2.4472451512579374E-3</v>
      </c>
      <c r="J339" s="2640">
        <f t="shared" si="25"/>
        <v>-2.4472451512579374E-3</v>
      </c>
      <c r="K339" s="2640">
        <f t="shared" si="25"/>
        <v>-2.4472451512579374E-3</v>
      </c>
      <c r="L339" s="2640">
        <f t="shared" si="25"/>
        <v>-2.4472451512579374E-3</v>
      </c>
      <c r="M339" s="2640">
        <f t="shared" si="25"/>
        <v>-2.4472451512579374E-3</v>
      </c>
      <c r="N339" s="2640">
        <f t="shared" si="25"/>
        <v>-2.4472451512579374E-3</v>
      </c>
      <c r="O339" s="67"/>
      <c r="P339" s="67"/>
      <c r="Q339" s="1077"/>
    </row>
    <row r="340" spans="1:25">
      <c r="A340" s="6"/>
      <c r="B340" s="110"/>
      <c r="C340" s="67"/>
      <c r="D340" s="67"/>
      <c r="E340" s="67"/>
      <c r="F340" s="67"/>
      <c r="G340" s="67"/>
      <c r="H340" s="67"/>
      <c r="I340" s="67"/>
      <c r="J340" s="67"/>
      <c r="K340" s="67"/>
      <c r="L340" s="67"/>
      <c r="M340" s="67"/>
      <c r="N340" s="67"/>
      <c r="O340" s="67"/>
      <c r="P340" s="67"/>
      <c r="Q340" s="1077"/>
      <c r="U340" s="2"/>
      <c r="V340" s="2"/>
      <c r="W340" s="2"/>
      <c r="X340" s="2"/>
      <c r="Y340" s="2"/>
    </row>
    <row r="341" spans="1:25">
      <c r="A341" s="6"/>
      <c r="B341" s="110"/>
      <c r="C341" s="49" t="s">
        <v>2042</v>
      </c>
      <c r="D341" s="67"/>
      <c r="E341" s="67"/>
      <c r="F341" s="67"/>
      <c r="G341" s="67"/>
      <c r="H341" s="67"/>
      <c r="I341" s="67"/>
      <c r="J341" s="67"/>
      <c r="K341" s="67"/>
      <c r="L341" s="67"/>
      <c r="M341" s="67"/>
      <c r="N341" s="51" t="s">
        <v>2041</v>
      </c>
      <c r="O341" s="67"/>
      <c r="P341" s="67"/>
      <c r="Q341" s="1077"/>
      <c r="U341" s="2"/>
      <c r="V341" s="2"/>
      <c r="W341" s="2"/>
      <c r="X341" s="2"/>
      <c r="Y341" s="2"/>
    </row>
    <row r="342" spans="1:25">
      <c r="A342" s="6"/>
      <c r="B342" s="110"/>
      <c r="C342" s="67"/>
      <c r="D342" s="67"/>
      <c r="E342" s="67"/>
      <c r="F342" s="67"/>
      <c r="G342" s="67"/>
      <c r="H342" s="67"/>
      <c r="I342" s="67"/>
      <c r="J342" s="67"/>
      <c r="K342" s="67"/>
      <c r="L342" s="67"/>
      <c r="M342" s="67"/>
      <c r="N342" s="67"/>
      <c r="O342" s="67"/>
      <c r="P342" s="67"/>
      <c r="Q342" s="1077"/>
      <c r="U342" s="2"/>
      <c r="V342" s="2"/>
      <c r="W342" s="2"/>
      <c r="X342" s="2"/>
      <c r="Y342" s="2"/>
    </row>
    <row r="343" spans="1:25" ht="15.75">
      <c r="A343" s="6"/>
      <c r="B343" s="55"/>
      <c r="C343" s="887" t="s">
        <v>792</v>
      </c>
      <c r="D343" s="887" t="s">
        <v>72</v>
      </c>
      <c r="E343" s="887"/>
      <c r="F343" s="908">
        <v>2013</v>
      </c>
      <c r="G343" s="92">
        <v>2015</v>
      </c>
      <c r="H343" s="92">
        <v>2020</v>
      </c>
      <c r="I343" s="92">
        <v>2025</v>
      </c>
      <c r="J343" s="92">
        <v>2030</v>
      </c>
      <c r="K343" s="92">
        <v>2035</v>
      </c>
      <c r="L343" s="92">
        <v>2040</v>
      </c>
      <c r="M343" s="92">
        <v>2045</v>
      </c>
      <c r="N343" s="92">
        <v>2050</v>
      </c>
      <c r="O343" s="67"/>
      <c r="P343" s="67"/>
      <c r="Q343" s="1077"/>
      <c r="U343" s="2"/>
      <c r="V343" s="2"/>
      <c r="W343" s="2"/>
      <c r="X343" s="2"/>
      <c r="Y343" s="2"/>
    </row>
    <row r="344" spans="1:25" ht="15.75">
      <c r="A344" s="6"/>
      <c r="B344" s="55"/>
      <c r="C344" s="65" t="s">
        <v>255</v>
      </c>
      <c r="D344" s="108" t="s">
        <v>1965</v>
      </c>
      <c r="E344" s="301"/>
      <c r="F344" s="351">
        <f t="array" ref="F344:F345">F152:F153</f>
        <v>793.73119538780281</v>
      </c>
      <c r="G344" s="1441">
        <f t="shared" ref="G344:N345" si="26">F344*(1+F338)^(G$343-F$343)</f>
        <v>791.83982045030336</v>
      </c>
      <c r="H344" s="2630">
        <f t="shared" si="26"/>
        <v>787.13107748483935</v>
      </c>
      <c r="I344" s="2630">
        <f t="shared" si="26"/>
        <v>782.45033546065429</v>
      </c>
      <c r="J344" s="2630">
        <f t="shared" si="26"/>
        <v>777.79742786776501</v>
      </c>
      <c r="K344" s="2630">
        <f t="shared" si="26"/>
        <v>773.17218918635388</v>
      </c>
      <c r="L344" s="2630">
        <f t="shared" si="26"/>
        <v>768.57445488088126</v>
      </c>
      <c r="M344" s="2630">
        <f t="shared" si="26"/>
        <v>764.00406139423183</v>
      </c>
      <c r="N344" s="2630">
        <f t="shared" si="26"/>
        <v>759.46084614189681</v>
      </c>
      <c r="O344" s="67"/>
      <c r="P344" s="67"/>
      <c r="Q344" s="1077"/>
      <c r="U344" s="2"/>
      <c r="V344" s="2"/>
      <c r="W344" s="2"/>
      <c r="X344" s="2"/>
      <c r="Y344" s="2"/>
    </row>
    <row r="345" spans="1:25" ht="15.75">
      <c r="A345" s="6"/>
      <c r="B345" s="55"/>
      <c r="C345" s="926" t="s">
        <v>255</v>
      </c>
      <c r="D345" s="199" t="s">
        <v>1967</v>
      </c>
      <c r="E345" s="1160"/>
      <c r="F345" s="352">
        <v>789.21681744085765</v>
      </c>
      <c r="G345" s="1445">
        <f t="shared" si="26"/>
        <v>785.35873000779964</v>
      </c>
      <c r="H345" s="2631">
        <f t="shared" si="26"/>
        <v>775.7958235255453</v>
      </c>
      <c r="I345" s="2631">
        <f t="shared" si="26"/>
        <v>766.34935960246059</v>
      </c>
      <c r="J345" s="2631">
        <f t="shared" si="26"/>
        <v>757.01792037781354</v>
      </c>
      <c r="K345" s="2631">
        <f t="shared" si="26"/>
        <v>747.80010525542764</v>
      </c>
      <c r="L345" s="2631">
        <f t="shared" si="26"/>
        <v>738.69453069346082</v>
      </c>
      <c r="M345" s="2631">
        <f t="shared" si="26"/>
        <v>729.69982999674335</v>
      </c>
      <c r="N345" s="2631">
        <f t="shared" si="26"/>
        <v>720.8146531116447</v>
      </c>
      <c r="O345" s="67"/>
      <c r="P345" s="67"/>
      <c r="Q345" s="1077"/>
      <c r="U345" s="2"/>
      <c r="V345" s="2"/>
      <c r="W345" s="2"/>
      <c r="X345" s="2"/>
      <c r="Y345" s="2"/>
    </row>
    <row r="346" spans="1:25">
      <c r="A346" s="6"/>
      <c r="B346" s="110"/>
      <c r="C346" s="67"/>
      <c r="D346" s="67"/>
      <c r="E346" s="67"/>
      <c r="F346" s="67"/>
      <c r="G346" s="67"/>
      <c r="H346" s="67"/>
      <c r="I346" s="67"/>
      <c r="J346" s="67"/>
      <c r="K346" s="67"/>
      <c r="L346" s="67"/>
      <c r="M346" s="67"/>
      <c r="N346" s="67"/>
      <c r="O346" s="67"/>
      <c r="P346" s="67"/>
      <c r="Q346" s="1077"/>
    </row>
    <row r="347" spans="1:25">
      <c r="A347" s="6"/>
      <c r="B347" s="110"/>
      <c r="C347" s="49" t="s">
        <v>1968</v>
      </c>
      <c r="D347" s="67"/>
      <c r="E347" s="67"/>
      <c r="F347" s="67"/>
      <c r="G347" s="67"/>
      <c r="H347" s="67"/>
      <c r="I347" s="67"/>
      <c r="J347" s="67"/>
      <c r="K347" s="67"/>
      <c r="L347" s="67"/>
      <c r="M347" s="67"/>
      <c r="N347" s="51" t="s">
        <v>254</v>
      </c>
      <c r="O347" s="67"/>
      <c r="P347" s="67"/>
      <c r="Q347" s="1077"/>
    </row>
    <row r="348" spans="1:25">
      <c r="A348" s="6"/>
      <c r="B348" s="110"/>
      <c r="C348" s="67"/>
      <c r="D348" s="67"/>
      <c r="E348" s="67"/>
      <c r="F348" s="67"/>
      <c r="G348" s="67"/>
      <c r="H348" s="67"/>
      <c r="I348" s="67"/>
      <c r="J348" s="67"/>
      <c r="K348" s="67"/>
      <c r="L348" s="67"/>
      <c r="M348" s="67"/>
      <c r="N348" s="67"/>
      <c r="O348" s="67"/>
      <c r="P348" s="67"/>
      <c r="Q348" s="1077"/>
    </row>
    <row r="349" spans="1:25" ht="15.75">
      <c r="A349" s="6"/>
      <c r="B349" s="55"/>
      <c r="C349" s="887" t="s">
        <v>792</v>
      </c>
      <c r="D349" s="887" t="s">
        <v>72</v>
      </c>
      <c r="E349" s="887"/>
      <c r="F349" s="908">
        <v>2013</v>
      </c>
      <c r="G349" s="888">
        <v>2015</v>
      </c>
      <c r="H349" s="92">
        <v>2020</v>
      </c>
      <c r="I349" s="92">
        <v>2025</v>
      </c>
      <c r="J349" s="92">
        <v>2030</v>
      </c>
      <c r="K349" s="92">
        <v>2035</v>
      </c>
      <c r="L349" s="92">
        <v>2040</v>
      </c>
      <c r="M349" s="92">
        <v>2045</v>
      </c>
      <c r="N349" s="92">
        <v>2050</v>
      </c>
      <c r="O349" s="67"/>
      <c r="P349" s="67"/>
      <c r="Q349" s="1077"/>
    </row>
    <row r="350" spans="1:25" ht="15.75">
      <c r="B350" s="55"/>
      <c r="C350" s="916" t="s">
        <v>256</v>
      </c>
      <c r="D350" s="917" t="s">
        <v>1970</v>
      </c>
      <c r="E350" s="2590"/>
      <c r="F350" s="2641">
        <f>INDEX($G83:$J83, MATCH($E$9, $G$82:$J$82, 0))</f>
        <v>-6.3934443203000901E-3</v>
      </c>
      <c r="G350" s="2642">
        <f>INDEX($G83:$J83, MATCH($E$9, $G$82:$J$82, 0))</f>
        <v>-6.3934443203000901E-3</v>
      </c>
      <c r="H350" s="2643">
        <f>INDEX($G83:$J83, MATCH($E$9, $G$82:$J$82, 0))</f>
        <v>-6.3934443203000901E-3</v>
      </c>
      <c r="I350" s="2641">
        <f t="shared" ref="I350:N350" si="27">INDEX($K83:$N83, MATCH($E$9, $K$82:$N$82, 0))</f>
        <v>-6.7319687848443888E-4</v>
      </c>
      <c r="J350" s="2641">
        <f t="shared" si="27"/>
        <v>-6.7319687848443888E-4</v>
      </c>
      <c r="K350" s="2641">
        <f t="shared" si="27"/>
        <v>-6.7319687848443888E-4</v>
      </c>
      <c r="L350" s="2641">
        <f t="shared" si="27"/>
        <v>-6.7319687848443888E-4</v>
      </c>
      <c r="M350" s="2641">
        <f t="shared" si="27"/>
        <v>-6.7319687848443888E-4</v>
      </c>
      <c r="N350" s="2641">
        <f t="shared" si="27"/>
        <v>-6.7319687848443888E-4</v>
      </c>
      <c r="O350" s="67"/>
      <c r="P350" s="67"/>
      <c r="Q350" s="1077"/>
      <c r="U350" s="414"/>
      <c r="V350" s="414"/>
      <c r="W350" s="414"/>
      <c r="X350" s="414"/>
      <c r="Y350" s="414"/>
    </row>
    <row r="351" spans="1:25">
      <c r="B351" s="110"/>
      <c r="C351" s="67"/>
      <c r="D351" s="67"/>
      <c r="E351" s="67"/>
      <c r="F351" s="67"/>
      <c r="G351" s="67"/>
      <c r="H351" s="67"/>
      <c r="I351" s="67"/>
      <c r="J351" s="67"/>
      <c r="K351" s="67"/>
      <c r="L351" s="67"/>
      <c r="M351" s="67"/>
      <c r="N351" s="67"/>
      <c r="O351" s="67"/>
      <c r="P351" s="67"/>
      <c r="Q351" s="1077"/>
    </row>
    <row r="352" spans="1:25">
      <c r="B352" s="110"/>
      <c r="C352" s="49" t="s">
        <v>2043</v>
      </c>
      <c r="D352" s="67"/>
      <c r="E352" s="67"/>
      <c r="F352" s="67"/>
      <c r="G352" s="67"/>
      <c r="H352" s="67"/>
      <c r="I352" s="67"/>
      <c r="J352" s="67"/>
      <c r="K352" s="67"/>
      <c r="L352" s="67"/>
      <c r="M352" s="67"/>
      <c r="N352" s="51" t="s">
        <v>254</v>
      </c>
      <c r="O352" s="67"/>
      <c r="P352" s="67"/>
      <c r="Q352" s="1077"/>
    </row>
    <row r="353" spans="1:25">
      <c r="B353" s="110"/>
      <c r="C353" s="67"/>
      <c r="D353" s="67"/>
      <c r="E353" s="67"/>
      <c r="F353" s="67"/>
      <c r="G353" s="67"/>
      <c r="H353" s="67"/>
      <c r="I353" s="67"/>
      <c r="J353" s="67"/>
      <c r="K353" s="67"/>
      <c r="L353" s="67"/>
      <c r="M353" s="67"/>
      <c r="N353" s="67"/>
      <c r="O353" s="67"/>
      <c r="P353" s="67"/>
      <c r="Q353" s="1077"/>
    </row>
    <row r="354" spans="1:25" ht="15.75">
      <c r="B354" s="55"/>
      <c r="C354" s="887" t="s">
        <v>792</v>
      </c>
      <c r="D354" s="887" t="s">
        <v>72</v>
      </c>
      <c r="E354" s="887"/>
      <c r="F354" s="908">
        <v>2013</v>
      </c>
      <c r="G354" s="92">
        <v>2015</v>
      </c>
      <c r="H354" s="92">
        <v>2020</v>
      </c>
      <c r="I354" s="92">
        <v>2025</v>
      </c>
      <c r="J354" s="92">
        <v>2030</v>
      </c>
      <c r="K354" s="92">
        <v>2035</v>
      </c>
      <c r="L354" s="92">
        <v>2040</v>
      </c>
      <c r="M354" s="92">
        <v>2045</v>
      </c>
      <c r="N354" s="92">
        <v>2050</v>
      </c>
      <c r="O354" s="67"/>
      <c r="P354" s="67"/>
      <c r="Q354" s="1077"/>
    </row>
    <row r="355" spans="1:25" ht="15.75">
      <c r="B355" s="55"/>
      <c r="C355" s="916" t="s">
        <v>256</v>
      </c>
      <c r="D355" s="917" t="s">
        <v>1970</v>
      </c>
      <c r="E355" s="2590"/>
      <c r="F355" s="921">
        <f>F$158</f>
        <v>6.45</v>
      </c>
      <c r="G355" s="2540">
        <f t="shared" ref="G355:N355" si="28">F355*(1+F350)^(G$354-F$354)</f>
        <v>6.3677882193084141</v>
      </c>
      <c r="H355" s="2644">
        <f t="shared" si="28"/>
        <v>6.1668140391981598</v>
      </c>
      <c r="I355" s="2644">
        <f t="shared" si="28"/>
        <v>5.9721828183195766</v>
      </c>
      <c r="J355" s="2644">
        <f t="shared" si="28"/>
        <v>5.9521075915265156</v>
      </c>
      <c r="K355" s="2644">
        <f t="shared" si="28"/>
        <v>5.9320998467150101</v>
      </c>
      <c r="L355" s="2644">
        <f t="shared" si="28"/>
        <v>5.9121593570473818</v>
      </c>
      <c r="M355" s="2644">
        <f t="shared" si="28"/>
        <v>5.8922858964484579</v>
      </c>
      <c r="N355" s="2644">
        <f t="shared" si="28"/>
        <v>5.8724792396030061</v>
      </c>
      <c r="O355" s="67"/>
      <c r="P355" s="67"/>
      <c r="Q355" s="1077"/>
    </row>
    <row r="356" spans="1:25">
      <c r="B356" s="110"/>
      <c r="C356" s="67"/>
      <c r="D356" s="67"/>
      <c r="E356" s="67"/>
      <c r="F356" s="67"/>
      <c r="G356" s="67"/>
      <c r="H356" s="67"/>
      <c r="I356" s="67"/>
      <c r="J356" s="67"/>
      <c r="K356" s="67"/>
      <c r="L356" s="67"/>
      <c r="M356" s="67"/>
      <c r="N356" s="67"/>
      <c r="O356" s="67"/>
      <c r="P356" s="67"/>
      <c r="Q356" s="1077"/>
    </row>
    <row r="357" spans="1:25">
      <c r="B357" s="110"/>
      <c r="C357" s="67"/>
      <c r="D357" s="67"/>
      <c r="E357" s="67"/>
      <c r="F357" s="2596"/>
      <c r="G357" s="2596"/>
      <c r="H357" s="2596"/>
      <c r="I357" s="2596"/>
      <c r="J357" s="2596"/>
      <c r="K357" s="2596"/>
      <c r="L357" s="2596"/>
      <c r="M357" s="2596"/>
      <c r="N357" s="2596"/>
      <c r="O357" s="67"/>
      <c r="P357" s="67"/>
      <c r="Q357" s="1077"/>
    </row>
    <row r="358" spans="1:25">
      <c r="B358" s="110"/>
      <c r="C358" s="67" t="s">
        <v>2044</v>
      </c>
      <c r="D358" s="67"/>
      <c r="E358" s="67"/>
      <c r="F358" s="2596"/>
      <c r="G358" s="67"/>
      <c r="H358" s="67"/>
      <c r="I358" s="67"/>
      <c r="J358" s="67"/>
      <c r="K358" s="67"/>
      <c r="L358" s="67"/>
      <c r="M358" s="67"/>
      <c r="N358" s="67"/>
      <c r="O358" s="67"/>
      <c r="P358" s="67"/>
      <c r="Q358" s="1077"/>
    </row>
    <row r="359" spans="1:25" s="2" customFormat="1">
      <c r="A359" s="2506"/>
      <c r="B359" s="110"/>
      <c r="C359" s="67"/>
      <c r="D359" s="67"/>
      <c r="E359" s="67"/>
      <c r="F359" s="67"/>
      <c r="G359" s="67"/>
      <c r="H359" s="67"/>
      <c r="I359" s="67"/>
      <c r="J359" s="67"/>
      <c r="K359" s="67"/>
      <c r="L359" s="67"/>
      <c r="M359" s="67"/>
      <c r="N359" s="67"/>
      <c r="O359" s="67"/>
      <c r="P359" s="67"/>
      <c r="Q359" s="1077"/>
      <c r="R359" s="2506"/>
      <c r="S359" s="2506"/>
      <c r="T359" s="2506"/>
      <c r="U359" s="2506"/>
      <c r="V359" s="2506"/>
      <c r="W359" s="2506"/>
      <c r="X359" s="2506"/>
      <c r="Y359" s="2506"/>
    </row>
    <row r="360" spans="1:25" s="2" customFormat="1">
      <c r="A360" s="2506"/>
      <c r="B360" s="110"/>
      <c r="C360" s="49" t="s">
        <v>2045</v>
      </c>
      <c r="D360" s="67"/>
      <c r="E360" s="67"/>
      <c r="F360" s="67"/>
      <c r="G360" s="67"/>
      <c r="H360" s="67"/>
      <c r="I360" s="67"/>
      <c r="J360" s="67"/>
      <c r="K360" s="67"/>
      <c r="L360" s="67"/>
      <c r="M360" s="67"/>
      <c r="N360" s="51" t="str">
        <f>Preferences.AreaUnits</f>
        <v>km^2</v>
      </c>
      <c r="O360" s="67"/>
      <c r="P360" s="67"/>
      <c r="Q360" s="1077"/>
      <c r="R360" s="2506"/>
      <c r="S360" s="2506"/>
      <c r="T360" s="2506"/>
      <c r="U360" s="414"/>
      <c r="V360" s="414"/>
      <c r="W360" s="414"/>
      <c r="X360" s="414"/>
      <c r="Y360" s="414"/>
    </row>
    <row r="361" spans="1:25" s="2" customFormat="1">
      <c r="A361" s="2506"/>
      <c r="B361" s="110"/>
      <c r="C361" s="67"/>
      <c r="D361" s="67"/>
      <c r="E361" s="67"/>
      <c r="F361" s="67"/>
      <c r="G361" s="67"/>
      <c r="H361" s="67"/>
      <c r="I361" s="67"/>
      <c r="J361" s="67"/>
      <c r="K361" s="67"/>
      <c r="L361" s="67"/>
      <c r="M361" s="67"/>
      <c r="N361" s="67"/>
      <c r="O361" s="67"/>
      <c r="P361" s="67"/>
      <c r="Q361" s="1077"/>
      <c r="R361" s="2506"/>
      <c r="S361" s="2506"/>
      <c r="T361" s="2506"/>
      <c r="U361" s="2506"/>
      <c r="V361" s="2506"/>
      <c r="W361" s="2506"/>
      <c r="X361" s="2506"/>
      <c r="Y361" s="2506"/>
    </row>
    <row r="362" spans="1:25" s="2" customFormat="1" ht="15.75">
      <c r="A362" s="2506"/>
      <c r="B362" s="55"/>
      <c r="C362" s="887" t="s">
        <v>792</v>
      </c>
      <c r="D362" s="887" t="s">
        <v>72</v>
      </c>
      <c r="E362" s="887"/>
      <c r="F362" s="908">
        <v>2013</v>
      </c>
      <c r="G362" s="92">
        <v>2015</v>
      </c>
      <c r="H362" s="92">
        <v>2020</v>
      </c>
      <c r="I362" s="92">
        <v>2025</v>
      </c>
      <c r="J362" s="92">
        <v>2030</v>
      </c>
      <c r="K362" s="92">
        <v>2035</v>
      </c>
      <c r="L362" s="92">
        <v>2040</v>
      </c>
      <c r="M362" s="92">
        <v>2045</v>
      </c>
      <c r="N362" s="92">
        <v>2050</v>
      </c>
      <c r="O362" s="67"/>
      <c r="P362" s="67"/>
      <c r="Q362" s="1077"/>
      <c r="R362" s="2506"/>
      <c r="S362" s="2506"/>
      <c r="T362" s="2506"/>
      <c r="U362" s="2506"/>
      <c r="V362" s="2506"/>
      <c r="W362" s="2506"/>
      <c r="X362" s="2506"/>
      <c r="Y362" s="2506"/>
    </row>
    <row r="363" spans="1:25" s="2" customFormat="1" ht="15.75">
      <c r="A363" s="2506"/>
      <c r="B363" s="55"/>
      <c r="C363" s="65" t="s">
        <v>2046</v>
      </c>
      <c r="D363" s="108" t="s">
        <v>2047</v>
      </c>
      <c r="E363" s="301"/>
      <c r="F363" s="1034">
        <f>F$304</f>
        <v>7566</v>
      </c>
      <c r="G363" s="2632">
        <f t="shared" ref="G363:N363" si="29">F363-$F$190*(G$362-F$362)</f>
        <v>7566</v>
      </c>
      <c r="H363" s="2596">
        <f t="shared" si="29"/>
        <v>7566</v>
      </c>
      <c r="I363" s="2596">
        <f t="shared" si="29"/>
        <v>7566</v>
      </c>
      <c r="J363" s="2596">
        <f t="shared" si="29"/>
        <v>7566</v>
      </c>
      <c r="K363" s="2596">
        <f t="shared" si="29"/>
        <v>7566</v>
      </c>
      <c r="L363" s="2596">
        <f t="shared" si="29"/>
        <v>7566</v>
      </c>
      <c r="M363" s="2596">
        <f t="shared" si="29"/>
        <v>7566</v>
      </c>
      <c r="N363" s="2596">
        <f t="shared" si="29"/>
        <v>7566</v>
      </c>
      <c r="O363" s="67"/>
      <c r="P363" s="67"/>
      <c r="Q363" s="1077"/>
      <c r="R363" s="2506"/>
      <c r="S363" s="2506"/>
      <c r="T363" s="2506"/>
      <c r="U363" s="414"/>
      <c r="V363" s="414"/>
      <c r="W363" s="414"/>
      <c r="X363" s="414"/>
      <c r="Y363" s="414"/>
    </row>
    <row r="364" spans="1:25" s="2" customFormat="1" ht="15.75">
      <c r="A364" s="2506"/>
      <c r="B364" s="55"/>
      <c r="C364" s="926" t="s">
        <v>2048</v>
      </c>
      <c r="D364" s="199" t="s">
        <v>2049</v>
      </c>
      <c r="E364" s="1160"/>
      <c r="F364" s="1023">
        <v>0</v>
      </c>
      <c r="G364" s="148">
        <f t="shared" ref="G364:N364" si="30">G$304-G363</f>
        <v>146.11615445250027</v>
      </c>
      <c r="H364" s="2598">
        <f t="shared" si="30"/>
        <v>511.40654058376003</v>
      </c>
      <c r="I364" s="2598">
        <f t="shared" si="30"/>
        <v>876.6969267150198</v>
      </c>
      <c r="J364" s="2598">
        <f t="shared" si="30"/>
        <v>1241.9873128462696</v>
      </c>
      <c r="K364" s="2598">
        <f t="shared" si="30"/>
        <v>1607.2776989775302</v>
      </c>
      <c r="L364" s="2598">
        <f t="shared" si="30"/>
        <v>1972.5680851087891</v>
      </c>
      <c r="M364" s="2598">
        <f t="shared" si="30"/>
        <v>2337.8584712400407</v>
      </c>
      <c r="N364" s="2598">
        <f t="shared" si="30"/>
        <v>2703.1488573712995</v>
      </c>
      <c r="O364" s="67"/>
      <c r="P364" s="67"/>
      <c r="Q364" s="1077"/>
      <c r="R364" s="2506"/>
      <c r="S364" s="2506"/>
      <c r="T364" s="2506"/>
      <c r="U364" s="414"/>
      <c r="V364" s="414"/>
      <c r="W364" s="414"/>
      <c r="X364" s="414"/>
      <c r="Y364" s="414"/>
    </row>
    <row r="365" spans="1:25">
      <c r="B365" s="110"/>
      <c r="C365" s="67"/>
      <c r="D365" s="67"/>
      <c r="E365" s="67"/>
      <c r="F365" s="67"/>
      <c r="G365" s="67"/>
      <c r="H365" s="67"/>
      <c r="I365" s="67"/>
      <c r="J365" s="67"/>
      <c r="K365" s="67"/>
      <c r="L365" s="67"/>
      <c r="M365" s="67"/>
      <c r="N365" s="67"/>
      <c r="O365" s="67"/>
      <c r="P365" s="67"/>
      <c r="Q365" s="1077"/>
    </row>
    <row r="367" spans="1:25" ht="15.75">
      <c r="B367" s="1110" t="s">
        <v>207</v>
      </c>
    </row>
    <row r="368" spans="1:25" s="414" customFormat="1">
      <c r="A368" s="2506"/>
      <c r="B368" s="363">
        <v>1</v>
      </c>
      <c r="C368" s="2506" t="s">
        <v>2050</v>
      </c>
      <c r="D368" s="2"/>
      <c r="E368" s="2"/>
      <c r="F368" s="2"/>
      <c r="G368" s="2"/>
      <c r="H368" s="2"/>
      <c r="I368" s="2"/>
      <c r="J368" s="2"/>
      <c r="K368" s="2"/>
      <c r="L368" s="2"/>
      <c r="M368" s="2"/>
      <c r="N368" s="2"/>
      <c r="O368" s="2"/>
      <c r="Q368" s="2"/>
      <c r="R368" s="2"/>
      <c r="S368" s="2"/>
      <c r="T368" s="2"/>
      <c r="U368" s="2506"/>
      <c r="V368" s="2506"/>
      <c r="W368" s="2506"/>
      <c r="X368" s="2506"/>
      <c r="Y368" s="2506"/>
    </row>
    <row r="369" spans="1:25">
      <c r="B369" s="363">
        <v>2</v>
      </c>
      <c r="C369" s="2506" t="s">
        <v>2051</v>
      </c>
      <c r="D369" s="2"/>
      <c r="E369" s="2"/>
      <c r="F369" s="2"/>
      <c r="G369" s="2"/>
      <c r="H369" s="2"/>
      <c r="I369" s="2"/>
      <c r="J369" s="2"/>
      <c r="K369" s="2"/>
      <c r="L369" s="2"/>
      <c r="M369" s="2"/>
      <c r="N369" s="2"/>
      <c r="O369" s="2"/>
      <c r="Q369" s="2"/>
      <c r="R369" s="2"/>
      <c r="S369" s="2"/>
      <c r="T369" s="2"/>
    </row>
    <row r="370" spans="1:25">
      <c r="B370" s="363">
        <v>3</v>
      </c>
      <c r="C370" s="2506" t="s">
        <v>2052</v>
      </c>
      <c r="D370" s="2"/>
      <c r="E370" s="2"/>
      <c r="F370" s="2"/>
      <c r="G370" s="2"/>
      <c r="H370" s="2"/>
      <c r="I370" s="2"/>
      <c r="J370" s="2"/>
      <c r="K370" s="2"/>
      <c r="L370" s="2"/>
      <c r="M370" s="2"/>
      <c r="N370" s="2"/>
      <c r="O370" s="2"/>
      <c r="Q370" s="2"/>
      <c r="R370" s="2"/>
      <c r="S370" s="2"/>
      <c r="T370" s="2"/>
    </row>
    <row r="371" spans="1:25">
      <c r="B371" s="363">
        <v>4</v>
      </c>
      <c r="C371" s="2506" t="s">
        <v>2053</v>
      </c>
      <c r="D371" s="2"/>
      <c r="E371" s="2"/>
      <c r="F371" s="2"/>
      <c r="G371" s="2"/>
      <c r="H371" s="2"/>
      <c r="I371" s="2"/>
      <c r="J371" s="2"/>
      <c r="K371" s="2"/>
      <c r="L371" s="2"/>
      <c r="M371" s="2"/>
      <c r="N371" s="2"/>
      <c r="O371" s="2"/>
      <c r="Q371" s="2"/>
      <c r="R371" s="2"/>
      <c r="S371" s="2"/>
      <c r="T371" s="2"/>
    </row>
    <row r="372" spans="1:25">
      <c r="B372" s="363">
        <v>5</v>
      </c>
      <c r="C372" s="2506" t="s">
        <v>214</v>
      </c>
      <c r="D372" s="2"/>
      <c r="E372" s="2"/>
      <c r="F372" s="2"/>
      <c r="G372" s="2"/>
      <c r="H372" s="2"/>
      <c r="I372" s="2"/>
      <c r="J372" s="2"/>
      <c r="K372" s="2"/>
      <c r="L372" s="2"/>
      <c r="M372" s="2"/>
      <c r="N372" s="2"/>
      <c r="O372" s="2"/>
      <c r="Q372" s="2"/>
      <c r="R372" s="2"/>
      <c r="S372" s="2"/>
      <c r="T372" s="2"/>
      <c r="U372" s="414"/>
      <c r="V372" s="414"/>
      <c r="W372" s="414"/>
      <c r="X372" s="414"/>
      <c r="Y372" s="414"/>
    </row>
    <row r="373" spans="1:25">
      <c r="B373" s="363">
        <v>6</v>
      </c>
      <c r="C373" s="2506" t="s">
        <v>2054</v>
      </c>
      <c r="D373" s="2"/>
      <c r="E373" s="2"/>
      <c r="F373" s="2"/>
      <c r="G373" s="2"/>
      <c r="H373" s="2"/>
      <c r="I373" s="2"/>
      <c r="J373" s="2"/>
      <c r="K373" s="2"/>
      <c r="L373" s="2"/>
      <c r="M373" s="2"/>
      <c r="N373" s="2"/>
      <c r="O373" s="2"/>
      <c r="Q373" s="2"/>
      <c r="R373" s="2"/>
      <c r="S373" s="2"/>
      <c r="T373" s="2"/>
    </row>
    <row r="376" spans="1:25">
      <c r="B376" s="363">
        <v>1</v>
      </c>
      <c r="C376" s="363" t="s">
        <v>2055</v>
      </c>
      <c r="F376" s="1325">
        <v>2013</v>
      </c>
      <c r="G376" s="1325">
        <v>2015</v>
      </c>
      <c r="H376" s="1325">
        <v>2020</v>
      </c>
      <c r="I376" s="1325">
        <v>2025</v>
      </c>
      <c r="J376" s="1325">
        <v>2030</v>
      </c>
      <c r="K376" s="1325">
        <v>2035</v>
      </c>
      <c r="L376" s="1325">
        <v>2040</v>
      </c>
      <c r="M376" s="1325">
        <v>2045</v>
      </c>
      <c r="N376" s="1325">
        <v>2050</v>
      </c>
    </row>
    <row r="377" spans="1:25">
      <c r="U377" s="414"/>
      <c r="V377" s="414"/>
      <c r="W377" s="414"/>
      <c r="X377" s="414"/>
      <c r="Y377" s="414"/>
    </row>
    <row r="378" spans="1:25" s="414" customFormat="1">
      <c r="A378" s="2506"/>
      <c r="B378" s="2506"/>
      <c r="C378" s="2506" t="s">
        <v>1951</v>
      </c>
      <c r="D378" s="2506"/>
      <c r="E378" s="2506" t="s">
        <v>2056</v>
      </c>
      <c r="F378" s="1326">
        <f t="shared" ref="F378:N378" si="31">F$322*F$299/Unit.Mha</f>
        <v>3.6900000000000002E-2</v>
      </c>
      <c r="G378" s="1326">
        <f t="shared" si="31"/>
        <v>4.5645382751898535E-2</v>
      </c>
      <c r="H378" s="1326">
        <f t="shared" si="31"/>
        <v>6.9185730525230013E-2</v>
      </c>
      <c r="I378" s="1326">
        <f t="shared" si="31"/>
        <v>9.5284301851935885E-2</v>
      </c>
      <c r="J378" s="1326">
        <f t="shared" si="31"/>
        <v>0.12415757722892015</v>
      </c>
      <c r="K378" s="1326">
        <f t="shared" si="31"/>
        <v>0.156038480907982</v>
      </c>
      <c r="L378" s="1326">
        <f t="shared" si="31"/>
        <v>0.19117755657035901</v>
      </c>
      <c r="M378" s="1326">
        <f t="shared" si="31"/>
        <v>0.22984422385864045</v>
      </c>
      <c r="N378" s="1326">
        <f t="shared" si="31"/>
        <v>0.27232812117882682</v>
      </c>
      <c r="O378" s="2506"/>
      <c r="Q378" s="2506"/>
      <c r="R378" s="2506"/>
      <c r="U378" s="2506"/>
      <c r="V378" s="2506"/>
      <c r="W378" s="2506"/>
      <c r="X378" s="2506"/>
      <c r="Y378" s="2506"/>
    </row>
    <row r="379" spans="1:25">
      <c r="B379" s="1381" t="s">
        <v>219</v>
      </c>
      <c r="C379" s="414" t="s">
        <v>1304</v>
      </c>
      <c r="D379" s="414"/>
      <c r="E379" s="414" t="str">
        <f>Preferences.EnergyUnits &amp; " / M odt"</f>
        <v>TWh / M odt</v>
      </c>
      <c r="F379" s="1705">
        <f>$F$176</f>
        <v>3.8888888888888888</v>
      </c>
      <c r="G379" s="1705"/>
      <c r="H379" s="1705"/>
      <c r="I379" s="1705"/>
      <c r="J379" s="1705"/>
      <c r="K379" s="1705"/>
      <c r="L379" s="1705"/>
      <c r="M379" s="1705"/>
      <c r="N379" s="1705"/>
      <c r="O379" s="414"/>
      <c r="Q379" s="414"/>
      <c r="R379" s="414"/>
    </row>
    <row r="380" spans="1:25">
      <c r="B380" s="2645" t="s">
        <v>221</v>
      </c>
      <c r="C380" s="363" t="s">
        <v>2057</v>
      </c>
      <c r="E380" s="363" t="str">
        <f>Preferences.EnergyUnits</f>
        <v>TWh</v>
      </c>
      <c r="F380" s="1327">
        <f t="shared" ref="F380:N380" si="32">F378*$F379</f>
        <v>0.14350000000000002</v>
      </c>
      <c r="G380" s="1327">
        <f t="shared" si="32"/>
        <v>0.17750982181293876</v>
      </c>
      <c r="H380" s="1327">
        <f t="shared" si="32"/>
        <v>0.26905561870922784</v>
      </c>
      <c r="I380" s="1327">
        <f t="shared" si="32"/>
        <v>0.37055006275752844</v>
      </c>
      <c r="J380" s="1327">
        <f t="shared" si="32"/>
        <v>0.48283502255691169</v>
      </c>
      <c r="K380" s="1327">
        <f t="shared" si="32"/>
        <v>0.60681631464215224</v>
      </c>
      <c r="L380" s="1327">
        <f t="shared" si="32"/>
        <v>0.74346827555139616</v>
      </c>
      <c r="M380" s="1327">
        <f t="shared" si="32"/>
        <v>0.89383864833915727</v>
      </c>
      <c r="N380" s="1327">
        <f t="shared" si="32"/>
        <v>1.0590538045843265</v>
      </c>
    </row>
    <row r="381" spans="1:25" s="414" customFormat="1">
      <c r="A381" s="2506"/>
      <c r="B381" s="2506"/>
      <c r="C381" s="2506"/>
      <c r="D381" s="2506"/>
      <c r="E381" s="2506"/>
      <c r="F381" s="1326"/>
      <c r="G381" s="1326"/>
      <c r="H381" s="1326"/>
      <c r="I381" s="1326"/>
      <c r="J381" s="1326"/>
      <c r="K381" s="1326"/>
      <c r="L381" s="1326"/>
      <c r="M381" s="1326"/>
      <c r="N381" s="1326"/>
      <c r="O381" s="2506"/>
      <c r="Q381" s="2506"/>
      <c r="R381" s="2506"/>
      <c r="S381" s="2506"/>
      <c r="T381" s="2506"/>
      <c r="U381" s="2506"/>
      <c r="V381" s="2506"/>
      <c r="W381" s="2506"/>
      <c r="X381" s="2506"/>
      <c r="Y381" s="2506"/>
    </row>
    <row r="382" spans="1:25" s="414" customFormat="1">
      <c r="A382" s="2506"/>
      <c r="B382" s="2506"/>
      <c r="C382" s="2646" t="s">
        <v>2058</v>
      </c>
      <c r="D382" s="2050"/>
      <c r="E382" s="2050"/>
      <c r="F382" s="2050"/>
      <c r="G382" s="2050"/>
      <c r="H382" s="2050"/>
      <c r="I382" s="2050"/>
      <c r="J382" s="2050"/>
      <c r="K382" s="2050"/>
      <c r="L382" s="2050"/>
      <c r="M382" s="2050"/>
      <c r="N382" s="2050"/>
      <c r="O382" s="2506"/>
      <c r="Q382" s="2506"/>
      <c r="R382" s="2506"/>
      <c r="S382" s="2506"/>
      <c r="T382" s="2506"/>
      <c r="U382" s="2506"/>
      <c r="V382" s="2506"/>
      <c r="W382" s="2506"/>
      <c r="X382" s="2506"/>
      <c r="Y382" s="2506"/>
    </row>
    <row r="383" spans="1:25">
      <c r="C383" s="2647" t="s">
        <v>431</v>
      </c>
      <c r="D383" s="435" t="str">
        <f>INDEX(Vectors[Description], MATCH(C383, Vectors[Code], 0))</f>
        <v>Energy crops (first generation)</v>
      </c>
      <c r="E383" s="1239" t="str">
        <f>Preferences.EnergyUnits</f>
        <v>TWh</v>
      </c>
      <c r="F383" s="2648">
        <f>F380</f>
        <v>0.14350000000000002</v>
      </c>
      <c r="G383" s="2648">
        <f t="shared" ref="G383:N383" si="33">G380</f>
        <v>0.17750982181293876</v>
      </c>
      <c r="H383" s="2648">
        <f t="shared" si="33"/>
        <v>0.26905561870922784</v>
      </c>
      <c r="I383" s="2648">
        <f t="shared" si="33"/>
        <v>0.37055006275752844</v>
      </c>
      <c r="J383" s="2648">
        <f t="shared" si="33"/>
        <v>0.48283502255691169</v>
      </c>
      <c r="K383" s="2648">
        <f t="shared" si="33"/>
        <v>0.60681631464215224</v>
      </c>
      <c r="L383" s="2648">
        <f t="shared" si="33"/>
        <v>0.74346827555139616</v>
      </c>
      <c r="M383" s="2648">
        <f t="shared" si="33"/>
        <v>0.89383864833915727</v>
      </c>
      <c r="N383" s="2648">
        <f t="shared" si="33"/>
        <v>1.0590538045843265</v>
      </c>
    </row>
    <row r="384" spans="1:25">
      <c r="F384" s="1326"/>
      <c r="G384" s="1326"/>
      <c r="H384" s="1326"/>
      <c r="I384" s="1326"/>
      <c r="J384" s="1326"/>
      <c r="K384" s="1326"/>
      <c r="L384" s="1326"/>
      <c r="M384" s="1326"/>
      <c r="N384" s="1326"/>
    </row>
    <row r="385" spans="1:25">
      <c r="F385" s="1326"/>
      <c r="G385" s="1326"/>
      <c r="H385" s="1326"/>
      <c r="I385" s="1326"/>
      <c r="J385" s="1326"/>
      <c r="K385" s="1326"/>
      <c r="L385" s="1326"/>
      <c r="M385" s="1326"/>
      <c r="N385" s="1326"/>
    </row>
    <row r="386" spans="1:25" ht="18.75">
      <c r="A386" s="355"/>
      <c r="B386" s="363">
        <v>2</v>
      </c>
      <c r="C386" s="363" t="s">
        <v>2059</v>
      </c>
      <c r="F386" s="1325">
        <v>2013</v>
      </c>
      <c r="G386" s="1325">
        <v>2015</v>
      </c>
      <c r="H386" s="1325">
        <v>2020</v>
      </c>
      <c r="I386" s="1325">
        <v>2025</v>
      </c>
      <c r="J386" s="1325">
        <v>2030</v>
      </c>
      <c r="K386" s="1325">
        <v>2035</v>
      </c>
      <c r="L386" s="1325">
        <v>2040</v>
      </c>
      <c r="M386" s="1325">
        <v>2045</v>
      </c>
      <c r="N386" s="1325">
        <v>2050</v>
      </c>
      <c r="U386" s="414"/>
      <c r="V386" s="414"/>
      <c r="W386" s="414"/>
      <c r="X386" s="414"/>
      <c r="Y386" s="414"/>
    </row>
    <row r="387" spans="1:25">
      <c r="A387" s="2"/>
      <c r="F387" s="1326"/>
      <c r="G387" s="1326"/>
      <c r="H387" s="1326"/>
      <c r="I387" s="1326"/>
      <c r="J387" s="1326"/>
      <c r="K387" s="1326"/>
      <c r="L387" s="1326"/>
      <c r="M387" s="1326"/>
      <c r="N387" s="1326"/>
      <c r="U387" s="414"/>
      <c r="V387" s="414"/>
      <c r="W387" s="414"/>
      <c r="X387" s="414"/>
      <c r="Y387" s="414"/>
    </row>
    <row r="388" spans="1:25">
      <c r="A388" s="2"/>
      <c r="C388" s="2506" t="s">
        <v>1952</v>
      </c>
      <c r="E388" s="2506" t="s">
        <v>2060</v>
      </c>
      <c r="F388" s="2687">
        <f t="shared" ref="F388:M388" si="34">F$323*(F$300+F$301)/Unit.Mha</f>
        <v>3.3000000000000002E-2</v>
      </c>
      <c r="G388" s="1326">
        <f t="shared" si="34"/>
        <v>0.56928498415796946</v>
      </c>
      <c r="H388" s="1326">
        <f t="shared" si="34"/>
        <v>2.0549234194829231</v>
      </c>
      <c r="I388" s="1326">
        <f t="shared" si="34"/>
        <v>3.7667937928435538</v>
      </c>
      <c r="J388" s="1326">
        <f t="shared" si="34"/>
        <v>5.7309908773124105</v>
      </c>
      <c r="K388" s="1326">
        <f t="shared" si="34"/>
        <v>7.9762916210256067</v>
      </c>
      <c r="L388" s="1326">
        <f t="shared" si="34"/>
        <v>10.534413866327961</v>
      </c>
      <c r="M388" s="1326">
        <f t="shared" si="34"/>
        <v>13.440299038479472</v>
      </c>
      <c r="N388" s="1326">
        <f>N$323*(N$300+N$301)/Unit.Mha</f>
        <v>16.732420963568337</v>
      </c>
      <c r="S388" s="414"/>
      <c r="T388" s="414"/>
    </row>
    <row r="389" spans="1:25">
      <c r="A389" s="2"/>
      <c r="B389" s="1381" t="s">
        <v>219</v>
      </c>
      <c r="C389" s="414" t="s">
        <v>1304</v>
      </c>
      <c r="D389" s="414"/>
      <c r="E389" s="414" t="str">
        <f>Preferences.EnergyUnits &amp; " / M odt"</f>
        <v>TWh / M odt</v>
      </c>
      <c r="F389" s="1705">
        <f>$F$177</f>
        <v>5.1388888888888884</v>
      </c>
      <c r="G389" s="1705"/>
      <c r="H389" s="1705"/>
      <c r="I389" s="1705"/>
      <c r="J389" s="1705"/>
      <c r="K389" s="1705"/>
      <c r="L389" s="1705"/>
      <c r="M389" s="1705"/>
      <c r="N389" s="1705"/>
      <c r="O389" s="414"/>
      <c r="Q389" s="414"/>
      <c r="R389" s="414"/>
    </row>
    <row r="390" spans="1:25">
      <c r="A390" s="2"/>
      <c r="B390" s="2645" t="s">
        <v>221</v>
      </c>
      <c r="C390" s="363" t="s">
        <v>2061</v>
      </c>
      <c r="E390" s="363" t="str">
        <f>Preferences.EnergyUnits</f>
        <v>TWh</v>
      </c>
      <c r="F390" s="1327">
        <f t="shared" ref="F390:M390" si="35">F388*$F389</f>
        <v>0.16958333333333334</v>
      </c>
      <c r="G390" s="1327">
        <f t="shared" si="35"/>
        <v>2.9254922797006762</v>
      </c>
      <c r="H390" s="1327">
        <f t="shared" si="35"/>
        <v>10.560023127898354</v>
      </c>
      <c r="I390" s="1327">
        <f t="shared" si="35"/>
        <v>19.357134768779371</v>
      </c>
      <c r="J390" s="1327">
        <f t="shared" si="35"/>
        <v>29.45092534174433</v>
      </c>
      <c r="K390" s="1327">
        <f t="shared" si="35"/>
        <v>40.989276385826031</v>
      </c>
      <c r="L390" s="1327">
        <f t="shared" si="35"/>
        <v>54.135182368629792</v>
      </c>
      <c r="M390" s="1327">
        <f t="shared" si="35"/>
        <v>69.068203392186163</v>
      </c>
      <c r="N390" s="1327">
        <f>N388*$F389</f>
        <v>85.98605217389283</v>
      </c>
    </row>
    <row r="391" spans="1:25" s="414" customFormat="1">
      <c r="A391" s="2"/>
      <c r="B391" s="382"/>
      <c r="C391" s="2506"/>
      <c r="D391" s="2506"/>
      <c r="E391" s="2506"/>
      <c r="F391" s="1326"/>
      <c r="G391" s="1326"/>
      <c r="H391" s="1326"/>
      <c r="I391" s="1326"/>
      <c r="J391" s="1326"/>
      <c r="K391" s="1326"/>
      <c r="L391" s="1326"/>
      <c r="M391" s="1326"/>
      <c r="N391" s="1326"/>
      <c r="O391" s="2506"/>
      <c r="Q391" s="2506"/>
      <c r="R391" s="2506"/>
      <c r="U391" s="2506"/>
      <c r="V391" s="2506"/>
      <c r="W391" s="2506"/>
      <c r="X391" s="2506"/>
      <c r="Y391" s="2506"/>
    </row>
    <row r="392" spans="1:25">
      <c r="A392" s="2"/>
      <c r="B392" s="1381"/>
      <c r="C392" s="414" t="s">
        <v>2062</v>
      </c>
      <c r="D392" s="414"/>
      <c r="E392" s="414" t="str">
        <f>Preferences.EnergyUnits</f>
        <v>TWh</v>
      </c>
      <c r="F392" s="1705">
        <f t="shared" ref="F392:N392" si="36">F380+F390</f>
        <v>0.31308333333333338</v>
      </c>
      <c r="G392" s="1705">
        <f t="shared" si="36"/>
        <v>3.1030021015136149</v>
      </c>
      <c r="H392" s="1705">
        <f t="shared" si="36"/>
        <v>10.829078746607582</v>
      </c>
      <c r="I392" s="1705">
        <f t="shared" si="36"/>
        <v>19.727684831536898</v>
      </c>
      <c r="J392" s="1705">
        <f t="shared" si="36"/>
        <v>29.933760364301243</v>
      </c>
      <c r="K392" s="1705">
        <f t="shared" si="36"/>
        <v>41.596092700468184</v>
      </c>
      <c r="L392" s="1705">
        <f t="shared" si="36"/>
        <v>54.878650644181185</v>
      </c>
      <c r="M392" s="1705">
        <f t="shared" si="36"/>
        <v>69.962042040525318</v>
      </c>
      <c r="N392" s="1705">
        <f t="shared" si="36"/>
        <v>87.045105978477153</v>
      </c>
      <c r="O392" s="414"/>
      <c r="Q392" s="414"/>
      <c r="R392" s="414"/>
      <c r="S392" s="414"/>
      <c r="T392" s="414"/>
    </row>
    <row r="393" spans="1:25">
      <c r="B393" s="1381"/>
      <c r="C393" s="414" t="s">
        <v>2063</v>
      </c>
      <c r="D393" s="414"/>
      <c r="E393" s="1381" t="s">
        <v>43</v>
      </c>
      <c r="F393" s="2649">
        <f t="shared" ref="F393:N393" si="37">F392/(F299+F300+F301)/Unit.GWyear*1000000000/10000000000/Global.IrelandIncidentSolarEnergy</f>
        <v>2.289516580853368E-7</v>
      </c>
      <c r="G393" s="2649">
        <f t="shared" si="37"/>
        <v>5.047138470888914E-7</v>
      </c>
      <c r="H393" s="2649">
        <f t="shared" si="37"/>
        <v>5.9830862781504794E-7</v>
      </c>
      <c r="I393" s="2649">
        <f t="shared" si="37"/>
        <v>6.5647501774715706E-7</v>
      </c>
      <c r="J393" s="2649">
        <f t="shared" si="37"/>
        <v>7.1266829923405846E-7</v>
      </c>
      <c r="K393" s="2649">
        <f t="shared" si="37"/>
        <v>7.7095735653900159E-7</v>
      </c>
      <c r="L393" s="2649">
        <f t="shared" si="37"/>
        <v>8.3268997527066434E-7</v>
      </c>
      <c r="M393" s="2649">
        <f t="shared" si="37"/>
        <v>8.9860008388972007E-7</v>
      </c>
      <c r="N393" s="2649">
        <f t="shared" si="37"/>
        <v>9.6923393551342832E-7</v>
      </c>
      <c r="O393" s="414"/>
      <c r="Q393" s="414"/>
      <c r="R393" s="414"/>
    </row>
    <row r="394" spans="1:25">
      <c r="B394" s="382"/>
      <c r="E394" s="382"/>
      <c r="F394" s="1326"/>
      <c r="G394" s="1326"/>
      <c r="H394" s="1326"/>
      <c r="I394" s="1326"/>
      <c r="J394" s="1326"/>
      <c r="K394" s="1326"/>
      <c r="L394" s="1326"/>
      <c r="M394" s="1326"/>
      <c r="N394" s="1326"/>
    </row>
    <row r="395" spans="1:25">
      <c r="B395" s="382"/>
      <c r="C395" s="2646" t="s">
        <v>2058</v>
      </c>
      <c r="D395" s="2050"/>
      <c r="E395" s="2050"/>
      <c r="F395" s="2050"/>
      <c r="G395" s="2050"/>
      <c r="H395" s="2050"/>
      <c r="I395" s="2050"/>
      <c r="J395" s="2050"/>
      <c r="K395" s="2050"/>
      <c r="L395" s="2050"/>
      <c r="M395" s="2050"/>
      <c r="N395" s="2050"/>
    </row>
    <row r="396" spans="1:25" s="414" customFormat="1">
      <c r="A396" s="2506"/>
      <c r="B396" s="382"/>
      <c r="C396" s="2647" t="s">
        <v>430</v>
      </c>
      <c r="D396" s="435" t="str">
        <f>INDEX(Vectors[Description], MATCH(C396, Vectors[Code], 0))</f>
        <v>Energy crops (second generation)</v>
      </c>
      <c r="E396" s="1239" t="str">
        <f>Preferences.EnergyUnits</f>
        <v>TWh</v>
      </c>
      <c r="F396" s="2648">
        <f>F390</f>
        <v>0.16958333333333334</v>
      </c>
      <c r="G396" s="2648">
        <f t="shared" ref="G396:M396" si="38">G390</f>
        <v>2.9254922797006762</v>
      </c>
      <c r="H396" s="2648">
        <f t="shared" si="38"/>
        <v>10.560023127898354</v>
      </c>
      <c r="I396" s="2648">
        <f t="shared" si="38"/>
        <v>19.357134768779371</v>
      </c>
      <c r="J396" s="2648">
        <f t="shared" si="38"/>
        <v>29.45092534174433</v>
      </c>
      <c r="K396" s="2648">
        <f t="shared" si="38"/>
        <v>40.989276385826031</v>
      </c>
      <c r="L396" s="2648">
        <f t="shared" si="38"/>
        <v>54.135182368629792</v>
      </c>
      <c r="M396" s="2648">
        <f t="shared" si="38"/>
        <v>69.068203392186163</v>
      </c>
      <c r="N396" s="2648">
        <f>N390</f>
        <v>85.98605217389283</v>
      </c>
      <c r="O396" s="2506"/>
      <c r="Q396" s="2506"/>
      <c r="R396" s="2506"/>
      <c r="S396" s="2506"/>
      <c r="T396" s="2506"/>
      <c r="U396" s="2506"/>
      <c r="V396" s="2506"/>
      <c r="W396" s="2506"/>
      <c r="X396" s="2506"/>
      <c r="Y396" s="2506"/>
    </row>
    <row r="397" spans="1:25">
      <c r="B397" s="382"/>
      <c r="E397" s="382"/>
      <c r="F397" s="1326"/>
      <c r="G397" s="1326"/>
      <c r="H397" s="1326"/>
      <c r="I397" s="1326"/>
      <c r="J397" s="1326"/>
      <c r="K397" s="1326"/>
      <c r="L397" s="1326"/>
      <c r="M397" s="1326"/>
      <c r="N397" s="1326"/>
    </row>
    <row r="398" spans="1:25">
      <c r="A398" s="414"/>
      <c r="B398" s="382"/>
      <c r="E398" s="382"/>
      <c r="F398" s="1326"/>
      <c r="G398" s="1326"/>
      <c r="H398" s="1326"/>
      <c r="I398" s="1326"/>
      <c r="J398" s="1326"/>
      <c r="K398" s="1326"/>
      <c r="L398" s="1326"/>
      <c r="M398" s="1326"/>
      <c r="N398" s="1326"/>
    </row>
    <row r="399" spans="1:25">
      <c r="B399" s="364">
        <v>3</v>
      </c>
      <c r="C399" s="363" t="s">
        <v>2064</v>
      </c>
      <c r="E399" s="382"/>
      <c r="F399" s="1325">
        <v>2013</v>
      </c>
      <c r="G399" s="1325">
        <v>2015</v>
      </c>
      <c r="H399" s="1325">
        <v>2020</v>
      </c>
      <c r="I399" s="1325">
        <v>2025</v>
      </c>
      <c r="J399" s="1325">
        <v>2030</v>
      </c>
      <c r="K399" s="1325">
        <v>2035</v>
      </c>
      <c r="L399" s="1325">
        <v>2040</v>
      </c>
      <c r="M399" s="1325">
        <v>2045</v>
      </c>
      <c r="N399" s="1325">
        <v>2050</v>
      </c>
    </row>
    <row r="400" spans="1:25">
      <c r="B400" s="382"/>
      <c r="E400" s="382"/>
      <c r="F400" s="1326"/>
      <c r="G400" s="1326"/>
      <c r="H400" s="1326"/>
      <c r="I400" s="1326"/>
      <c r="J400" s="1326"/>
      <c r="K400" s="1326"/>
      <c r="L400" s="1326"/>
      <c r="M400" s="1326"/>
      <c r="N400" s="1326"/>
    </row>
    <row r="401" spans="1:25">
      <c r="B401" s="382"/>
      <c r="C401" s="2" t="s">
        <v>2065</v>
      </c>
      <c r="D401" s="2"/>
      <c r="E401" s="2" t="s">
        <v>2056</v>
      </c>
      <c r="F401" s="1326">
        <f>(F$298+F$299+$F300)*F$324/Unit.Mha</f>
        <v>3.8408799999999994</v>
      </c>
      <c r="G401" s="1326">
        <f t="shared" ref="G401:N401" si="39">(G$298+G$299+$F300)*G$324/Unit.Mha</f>
        <v>3.8408799999999945</v>
      </c>
      <c r="H401" s="1326">
        <f t="shared" si="39"/>
        <v>3.8408800000000141</v>
      </c>
      <c r="I401" s="1326">
        <f t="shared" si="39"/>
        <v>3.8408800000000012</v>
      </c>
      <c r="J401" s="1326">
        <f t="shared" si="39"/>
        <v>3.8408799999999874</v>
      </c>
      <c r="K401" s="1326">
        <f t="shared" si="39"/>
        <v>3.840880000000007</v>
      </c>
      <c r="L401" s="1326">
        <f t="shared" si="39"/>
        <v>3.8408799999999936</v>
      </c>
      <c r="M401" s="1326">
        <f t="shared" si="39"/>
        <v>3.8408800000000132</v>
      </c>
      <c r="N401" s="1326">
        <f t="shared" si="39"/>
        <v>3.8408799999999994</v>
      </c>
      <c r="S401" s="414"/>
      <c r="T401" s="414"/>
    </row>
    <row r="402" spans="1:25">
      <c r="B402" s="1381" t="s">
        <v>219</v>
      </c>
      <c r="C402" s="414" t="s">
        <v>2066</v>
      </c>
      <c r="D402" s="414"/>
      <c r="E402" s="414"/>
      <c r="F402" s="2650">
        <f>INDEX(F$96:F$99, MATCH($E$9, $C$96:$C$99, 0))</f>
        <v>0</v>
      </c>
      <c r="G402" s="2650">
        <f t="shared" ref="G402:N402" si="40">INDEX(G$96:G$99, MATCH($E$9, $C$96:$C$99, 0))</f>
        <v>0.03</v>
      </c>
      <c r="H402" s="2650">
        <f t="shared" si="40"/>
        <v>0.1</v>
      </c>
      <c r="I402" s="2650">
        <f t="shared" si="40"/>
        <v>0.4</v>
      </c>
      <c r="J402" s="2650">
        <f t="shared" si="40"/>
        <v>0.5</v>
      </c>
      <c r="K402" s="2650">
        <f t="shared" si="40"/>
        <v>0.7</v>
      </c>
      <c r="L402" s="2650">
        <f t="shared" si="40"/>
        <v>0.9</v>
      </c>
      <c r="M402" s="2650">
        <f t="shared" si="40"/>
        <v>1</v>
      </c>
      <c r="N402" s="2650">
        <f t="shared" si="40"/>
        <v>1</v>
      </c>
      <c r="O402" s="414"/>
      <c r="Q402" s="414"/>
      <c r="R402" s="414"/>
    </row>
    <row r="403" spans="1:25">
      <c r="B403" s="1381" t="s">
        <v>219</v>
      </c>
      <c r="C403" s="414" t="s">
        <v>1304</v>
      </c>
      <c r="D403" s="414"/>
      <c r="E403" s="414" t="str">
        <f>Preferences.EnergyUnits &amp; " / M odt"</f>
        <v>TWh / M odt</v>
      </c>
      <c r="F403" s="1705">
        <f>$F$178</f>
        <v>4.1666666666666661</v>
      </c>
      <c r="G403" s="1326"/>
      <c r="H403" s="1326"/>
      <c r="I403" s="1326"/>
      <c r="J403" s="1326"/>
      <c r="K403" s="1326"/>
      <c r="L403" s="1326"/>
      <c r="M403" s="1326"/>
      <c r="N403" s="1326"/>
    </row>
    <row r="404" spans="1:25">
      <c r="B404" s="2645" t="s">
        <v>221</v>
      </c>
      <c r="C404" s="363" t="s">
        <v>2021</v>
      </c>
      <c r="E404" s="363" t="str">
        <f>Preferences.EnergyUnits</f>
        <v>TWh</v>
      </c>
      <c r="F404" s="1327">
        <f t="shared" ref="F404:N404" si="41">F401*F402*$F403</f>
        <v>0</v>
      </c>
      <c r="G404" s="1327">
        <f t="shared" si="41"/>
        <v>0.4801099999999992</v>
      </c>
      <c r="H404" s="1327">
        <f t="shared" si="41"/>
        <v>1.6003666666666725</v>
      </c>
      <c r="I404" s="1327">
        <f t="shared" si="41"/>
        <v>6.4014666666666686</v>
      </c>
      <c r="J404" s="1327">
        <f t="shared" si="41"/>
        <v>8.0018333333333054</v>
      </c>
      <c r="K404" s="1327">
        <f t="shared" si="41"/>
        <v>11.202566666666684</v>
      </c>
      <c r="L404" s="1327">
        <f t="shared" si="41"/>
        <v>14.403299999999975</v>
      </c>
      <c r="M404" s="1327">
        <f t="shared" si="41"/>
        <v>16.003666666666721</v>
      </c>
      <c r="N404" s="1327">
        <f t="shared" si="41"/>
        <v>16.00366666666666</v>
      </c>
    </row>
    <row r="405" spans="1:25" s="414" customFormat="1">
      <c r="A405" s="2506"/>
      <c r="B405" s="382"/>
      <c r="C405" s="2506"/>
      <c r="D405" s="2506"/>
      <c r="E405" s="382"/>
      <c r="F405" s="1326"/>
      <c r="G405" s="1326"/>
      <c r="H405" s="1326"/>
      <c r="I405" s="1326"/>
      <c r="J405" s="1326"/>
      <c r="K405" s="1326"/>
      <c r="L405" s="1326"/>
      <c r="M405" s="1326"/>
      <c r="N405" s="1326"/>
      <c r="O405" s="2506"/>
      <c r="Q405" s="2506"/>
      <c r="R405" s="2506"/>
      <c r="S405" s="2506"/>
      <c r="T405" s="2506"/>
      <c r="U405" s="2506"/>
      <c r="V405" s="2506"/>
      <c r="W405" s="2506"/>
      <c r="X405" s="2506"/>
      <c r="Y405" s="2506"/>
    </row>
    <row r="406" spans="1:25" s="414" customFormat="1">
      <c r="A406" s="2506"/>
      <c r="B406" s="382"/>
      <c r="C406" s="2" t="s">
        <v>2067</v>
      </c>
      <c r="D406" s="2"/>
      <c r="E406" s="2" t="s">
        <v>2056</v>
      </c>
      <c r="F406" s="1326">
        <f>F$363*F$325/Unit.Mha</f>
        <v>1.3013520000000001</v>
      </c>
      <c r="G406" s="1326">
        <f t="shared" ref="G406:N406" si="42">G$363*G$325/Unit.Mha</f>
        <v>1.3013520000000001</v>
      </c>
      <c r="H406" s="1326">
        <f t="shared" si="42"/>
        <v>1.3013520000000001</v>
      </c>
      <c r="I406" s="1326">
        <f t="shared" si="42"/>
        <v>1.3013520000000001</v>
      </c>
      <c r="J406" s="1326">
        <f t="shared" si="42"/>
        <v>1.3013520000000001</v>
      </c>
      <c r="K406" s="1326">
        <f t="shared" si="42"/>
        <v>1.3013520000000001</v>
      </c>
      <c r="L406" s="1326">
        <f t="shared" si="42"/>
        <v>1.3013520000000001</v>
      </c>
      <c r="M406" s="1326">
        <f t="shared" si="42"/>
        <v>1.3013520000000001</v>
      </c>
      <c r="N406" s="1326">
        <f t="shared" si="42"/>
        <v>1.3013520000000001</v>
      </c>
      <c r="O406" s="2506"/>
      <c r="Q406" s="2506"/>
      <c r="R406" s="2506"/>
      <c r="U406" s="2506"/>
      <c r="V406" s="2506"/>
      <c r="W406" s="2506"/>
      <c r="X406" s="2506"/>
      <c r="Y406" s="2506"/>
    </row>
    <row r="407" spans="1:25">
      <c r="B407" s="1381" t="s">
        <v>219</v>
      </c>
      <c r="C407" s="414" t="s">
        <v>2066</v>
      </c>
      <c r="D407" s="414"/>
      <c r="E407" s="414"/>
      <c r="F407" s="2650">
        <f>INDEX(F$112:F$115, MATCH($E$9, $C$112:$C$115, 0))</f>
        <v>0.05</v>
      </c>
      <c r="G407" s="2650">
        <f t="shared" ref="G407:N407" si="43">INDEX(G$112:G$115, MATCH($E$9, $C$112:$C$115, 0))</f>
        <v>7.0000000000000007E-2</v>
      </c>
      <c r="H407" s="2650">
        <f t="shared" si="43"/>
        <v>0.2</v>
      </c>
      <c r="I407" s="2650">
        <f t="shared" si="43"/>
        <v>0.2</v>
      </c>
      <c r="J407" s="2650">
        <f t="shared" si="43"/>
        <v>0.4</v>
      </c>
      <c r="K407" s="2650">
        <f t="shared" si="43"/>
        <v>0.4</v>
      </c>
      <c r="L407" s="2650">
        <f t="shared" si="43"/>
        <v>0.8</v>
      </c>
      <c r="M407" s="2650">
        <f t="shared" si="43"/>
        <v>0.8</v>
      </c>
      <c r="N407" s="2650">
        <f t="shared" si="43"/>
        <v>0.8</v>
      </c>
      <c r="O407" s="414"/>
      <c r="Q407" s="414"/>
      <c r="R407" s="414"/>
    </row>
    <row r="408" spans="1:25">
      <c r="A408" s="414"/>
      <c r="B408" s="1381" t="s">
        <v>219</v>
      </c>
      <c r="C408" s="414" t="s">
        <v>1304</v>
      </c>
      <c r="D408" s="414"/>
      <c r="E408" s="414" t="str">
        <f>Preferences.EnergyUnits &amp; " / M odt"</f>
        <v>TWh / M odt</v>
      </c>
      <c r="F408" s="1705">
        <f>$F$179</f>
        <v>5.166666666666667</v>
      </c>
      <c r="G408" s="1326"/>
      <c r="H408" s="1326"/>
      <c r="I408" s="1326"/>
      <c r="J408" s="1326"/>
      <c r="K408" s="1326"/>
      <c r="L408" s="1326"/>
      <c r="M408" s="1326"/>
      <c r="N408" s="1326"/>
    </row>
    <row r="409" spans="1:25">
      <c r="B409" s="2645" t="s">
        <v>221</v>
      </c>
      <c r="C409" s="363" t="s">
        <v>2022</v>
      </c>
      <c r="E409" s="363" t="str">
        <f>Preferences.EnergyUnits</f>
        <v>TWh</v>
      </c>
      <c r="F409" s="1327">
        <f t="shared" ref="F409:N409" si="44">F406*F407*$F408</f>
        <v>0.33618260000000005</v>
      </c>
      <c r="G409" s="1327">
        <f t="shared" si="44"/>
        <v>0.4706556400000001</v>
      </c>
      <c r="H409" s="1327">
        <f t="shared" si="44"/>
        <v>1.3447304000000002</v>
      </c>
      <c r="I409" s="1327">
        <f t="shared" si="44"/>
        <v>1.3447304000000002</v>
      </c>
      <c r="J409" s="1327">
        <f t="shared" si="44"/>
        <v>2.6894608000000004</v>
      </c>
      <c r="K409" s="1327">
        <f t="shared" si="44"/>
        <v>2.6894608000000004</v>
      </c>
      <c r="L409" s="1327">
        <f t="shared" si="44"/>
        <v>5.3789216000000009</v>
      </c>
      <c r="M409" s="1327">
        <f t="shared" si="44"/>
        <v>5.3789216000000009</v>
      </c>
      <c r="N409" s="1327">
        <f t="shared" si="44"/>
        <v>5.3789216000000009</v>
      </c>
    </row>
    <row r="410" spans="1:25">
      <c r="B410" s="382"/>
      <c r="E410"/>
      <c r="F410"/>
      <c r="G410"/>
      <c r="H410"/>
      <c r="I410"/>
      <c r="J410"/>
      <c r="K410" s="1326"/>
      <c r="L410" s="1326"/>
      <c r="M410" s="1326"/>
      <c r="N410" s="1326"/>
    </row>
    <row r="411" spans="1:25">
      <c r="A411" s="414"/>
      <c r="B411" s="382"/>
      <c r="C411" s="2506" t="s">
        <v>2068</v>
      </c>
      <c r="D411" s="2"/>
      <c r="E411" s="2" t="s">
        <v>2056</v>
      </c>
      <c r="F411" s="1714">
        <f t="shared" ref="F411:N411" si="45">(F$364*F$325/Unit.Mha)*F407</f>
        <v>0</v>
      </c>
      <c r="G411" s="1714">
        <f t="shared" si="45"/>
        <v>1.7592384996081034E-3</v>
      </c>
      <c r="H411" s="1714">
        <f t="shared" si="45"/>
        <v>1.7592384996081345E-2</v>
      </c>
      <c r="I411" s="1714">
        <f t="shared" si="45"/>
        <v>3.0158374278996682E-2</v>
      </c>
      <c r="J411" s="1714">
        <f t="shared" si="45"/>
        <v>8.5448727123823343E-2</v>
      </c>
      <c r="K411" s="1714">
        <f t="shared" si="45"/>
        <v>0.11058070568965409</v>
      </c>
      <c r="L411" s="1714">
        <f t="shared" si="45"/>
        <v>0.27142536851096938</v>
      </c>
      <c r="M411" s="1714">
        <f t="shared" si="45"/>
        <v>0.32168932564262964</v>
      </c>
      <c r="N411" s="1714">
        <f t="shared" si="45"/>
        <v>0.37195328277429079</v>
      </c>
    </row>
    <row r="412" spans="1:25">
      <c r="A412" s="414"/>
      <c r="B412" s="1381" t="s">
        <v>219</v>
      </c>
      <c r="C412" s="414" t="s">
        <v>1304</v>
      </c>
      <c r="D412" s="414"/>
      <c r="E412" s="414" t="str">
        <f>Preferences.EnergyUnits &amp; " / M odt"</f>
        <v>TWh / M odt</v>
      </c>
      <c r="F412" s="1705">
        <f>$F$179</f>
        <v>5.166666666666667</v>
      </c>
      <c r="G412" s="1326"/>
      <c r="H412" s="1326"/>
      <c r="I412" s="1326"/>
      <c r="J412" s="1326"/>
      <c r="K412" s="1326"/>
      <c r="L412" s="1326"/>
      <c r="M412" s="1326"/>
      <c r="N412" s="1326"/>
    </row>
    <row r="413" spans="1:25">
      <c r="B413" s="2645" t="s">
        <v>221</v>
      </c>
      <c r="C413" s="363" t="s">
        <v>2022</v>
      </c>
      <c r="E413" s="363" t="str">
        <f>Preferences.EnergyUnits</f>
        <v>TWh</v>
      </c>
      <c r="F413" s="1327">
        <f t="shared" ref="F413:N413" si="46">F411*$F412</f>
        <v>0</v>
      </c>
      <c r="G413" s="1327">
        <f t="shared" si="46"/>
        <v>9.0893989146418677E-3</v>
      </c>
      <c r="H413" s="1327">
        <f t="shared" si="46"/>
        <v>9.0893989146420287E-2</v>
      </c>
      <c r="I413" s="1327">
        <f t="shared" si="46"/>
        <v>0.15581826710814953</v>
      </c>
      <c r="J413" s="1327">
        <f t="shared" si="46"/>
        <v>0.44148509013975396</v>
      </c>
      <c r="K413" s="1327">
        <f t="shared" si="46"/>
        <v>0.5713336460632128</v>
      </c>
      <c r="L413" s="1327">
        <f t="shared" si="46"/>
        <v>1.4023644039733418</v>
      </c>
      <c r="M413" s="1327">
        <f t="shared" si="46"/>
        <v>1.6620615158202532</v>
      </c>
      <c r="N413" s="1327">
        <f t="shared" si="46"/>
        <v>1.9217586276671692</v>
      </c>
    </row>
    <row r="414" spans="1:25">
      <c r="B414" s="2645"/>
      <c r="C414" s="363"/>
      <c r="E414" s="363"/>
      <c r="F414" s="1327"/>
      <c r="G414" s="1327"/>
      <c r="H414" s="1327"/>
      <c r="I414" s="1327"/>
      <c r="J414" s="1327"/>
      <c r="K414" s="1327"/>
      <c r="L414" s="1327"/>
      <c r="M414" s="1327"/>
      <c r="N414" s="1327"/>
    </row>
    <row r="415" spans="1:25">
      <c r="B415" s="382"/>
      <c r="C415" s="2506" t="s">
        <v>2069</v>
      </c>
      <c r="E415" s="2506" t="s">
        <v>2056</v>
      </c>
      <c r="F415" s="1326">
        <f>(F$311+F$313)*F$326/1000</f>
        <v>4.0518649999999994</v>
      </c>
      <c r="G415" s="1326">
        <f t="shared" ref="G415:N415" si="47">(G$311+G$313)*G$326*1000/1000000</f>
        <v>4.0435224567235775</v>
      </c>
      <c r="H415" s="1326">
        <f t="shared" si="47"/>
        <v>4.0227411696392803</v>
      </c>
      <c r="I415" s="1326">
        <f t="shared" si="47"/>
        <v>4.0020666859417586</v>
      </c>
      <c r="J415" s="1326">
        <f t="shared" si="47"/>
        <v>3.9814984567254816</v>
      </c>
      <c r="K415" s="1326">
        <f t="shared" si="47"/>
        <v>3.9610359359059615</v>
      </c>
      <c r="L415" s="1326">
        <f t="shared" si="47"/>
        <v>3.9406785802052653</v>
      </c>
      <c r="M415" s="1326">
        <f t="shared" si="47"/>
        <v>3.9204258491375747</v>
      </c>
      <c r="N415" s="1326">
        <f t="shared" si="47"/>
        <v>3.9002772049948531</v>
      </c>
      <c r="S415" s="414"/>
      <c r="T415" s="414"/>
    </row>
    <row r="416" spans="1:25">
      <c r="B416" s="1381" t="s">
        <v>219</v>
      </c>
      <c r="C416" s="414" t="s">
        <v>2011</v>
      </c>
      <c r="D416" s="414"/>
      <c r="E416" s="414"/>
      <c r="F416" s="2650">
        <f>$F$185</f>
        <v>0.7</v>
      </c>
      <c r="G416" s="1705"/>
      <c r="H416" s="1705"/>
      <c r="I416" s="1705"/>
      <c r="J416" s="1705"/>
      <c r="K416" s="1705"/>
      <c r="L416" s="1705"/>
      <c r="M416" s="1705"/>
      <c r="N416" s="1705"/>
      <c r="O416" s="414"/>
      <c r="Q416" s="414"/>
      <c r="R416" s="414"/>
      <c r="S416" s="414"/>
      <c r="T416" s="414"/>
    </row>
    <row r="417" spans="1:25">
      <c r="B417" s="1381" t="s">
        <v>219</v>
      </c>
      <c r="C417" s="414" t="s">
        <v>2066</v>
      </c>
      <c r="D417" s="414"/>
      <c r="E417" s="414"/>
      <c r="F417" s="2650">
        <f t="shared" ref="F417:N417" si="48">INDEX(F$104:F$107, MATCH($E$9, $C$104:$C$107, 0))</f>
        <v>0.01</v>
      </c>
      <c r="G417" s="2650">
        <f t="shared" si="48"/>
        <v>0.02</v>
      </c>
      <c r="H417" s="2650">
        <f t="shared" si="48"/>
        <v>0.1</v>
      </c>
      <c r="I417" s="2650">
        <f t="shared" si="48"/>
        <v>0.2</v>
      </c>
      <c r="J417" s="2650">
        <f t="shared" si="48"/>
        <v>0.5</v>
      </c>
      <c r="K417" s="2650">
        <f t="shared" si="48"/>
        <v>0.6</v>
      </c>
      <c r="L417" s="2650">
        <f t="shared" si="48"/>
        <v>0.7</v>
      </c>
      <c r="M417" s="2650">
        <f t="shared" si="48"/>
        <v>0.8</v>
      </c>
      <c r="N417" s="2650">
        <f t="shared" si="48"/>
        <v>0.8</v>
      </c>
      <c r="O417" s="414"/>
      <c r="Q417" s="414"/>
      <c r="R417" s="414"/>
    </row>
    <row r="418" spans="1:25">
      <c r="B418" s="1381" t="s">
        <v>219</v>
      </c>
      <c r="C418" s="414" t="s">
        <v>1304</v>
      </c>
      <c r="D418" s="414"/>
      <c r="E418" s="414" t="str">
        <f>Preferences.EnergyUnits &amp; " / M odt"</f>
        <v>TWh / M odt</v>
      </c>
      <c r="F418" s="1705">
        <f>$F$180</f>
        <v>5.166666666666667</v>
      </c>
      <c r="G418" s="1326"/>
      <c r="H418" s="1326"/>
      <c r="I418" s="1326"/>
      <c r="J418" s="1326"/>
      <c r="K418" s="1326"/>
      <c r="L418" s="1326"/>
      <c r="M418" s="1326"/>
      <c r="N418" s="1326"/>
    </row>
    <row r="419" spans="1:25">
      <c r="B419" s="2645" t="s">
        <v>221</v>
      </c>
      <c r="C419" s="363" t="s">
        <v>2023</v>
      </c>
      <c r="E419" s="363" t="str">
        <f>Preferences.EnergyUnits</f>
        <v>TWh</v>
      </c>
      <c r="F419" s="1633">
        <f t="shared" ref="F419:N419" si="49">F415*$F416*F417*$F418</f>
        <v>0.14654245083333331</v>
      </c>
      <c r="G419" s="1327">
        <f t="shared" si="49"/>
        <v>0.29248145770300543</v>
      </c>
      <c r="H419" s="1327">
        <f t="shared" si="49"/>
        <v>1.4548913896862063</v>
      </c>
      <c r="I419" s="1327">
        <f t="shared" si="49"/>
        <v>2.8948282361645394</v>
      </c>
      <c r="J419" s="1327">
        <f t="shared" si="49"/>
        <v>7.1998763759119129</v>
      </c>
      <c r="K419" s="1327">
        <f t="shared" si="49"/>
        <v>8.595447980915937</v>
      </c>
      <c r="L419" s="1327">
        <f t="shared" si="49"/>
        <v>9.9764846055529954</v>
      </c>
      <c r="M419" s="1327">
        <f t="shared" si="49"/>
        <v>11.343098790171382</v>
      </c>
      <c r="N419" s="1327">
        <f t="shared" si="49"/>
        <v>11.284802046451777</v>
      </c>
    </row>
    <row r="420" spans="1:25">
      <c r="E420" s="382"/>
      <c r="F420" s="1326"/>
      <c r="G420" s="1326"/>
      <c r="H420" s="1326"/>
      <c r="I420" s="1326"/>
      <c r="J420" s="1326"/>
      <c r="K420" s="1326"/>
      <c r="L420" s="1326"/>
      <c r="M420" s="1326"/>
      <c r="N420" s="1326"/>
    </row>
    <row r="421" spans="1:25">
      <c r="A421" s="414"/>
      <c r="C421" s="2646" t="s">
        <v>2058</v>
      </c>
      <c r="D421" s="2050"/>
      <c r="E421" s="2050"/>
      <c r="F421" s="2050"/>
      <c r="G421" s="2050"/>
      <c r="H421" s="2050"/>
      <c r="I421" s="2050"/>
      <c r="J421" s="2050"/>
      <c r="K421" s="2050"/>
      <c r="L421" s="2050"/>
      <c r="M421" s="2050"/>
      <c r="N421" s="2050"/>
    </row>
    <row r="422" spans="1:25">
      <c r="C422" s="1720" t="s">
        <v>432</v>
      </c>
      <c r="D422" s="302" t="str">
        <f>INDEX(Vectors[Description], MATCH(C422, Vectors[Code], 0))</f>
        <v>Dry biomass and waste</v>
      </c>
      <c r="E422" s="398"/>
      <c r="F422" s="1455">
        <f>F$404+F$409+F$413</f>
        <v>0.33618260000000005</v>
      </c>
      <c r="G422" s="1455">
        <f t="shared" ref="G422:N422" si="50">G$404+G$409+G$413</f>
        <v>0.95985503891464119</v>
      </c>
      <c r="H422" s="1455">
        <f t="shared" si="50"/>
        <v>3.0359910558130929</v>
      </c>
      <c r="I422" s="1455">
        <f t="shared" si="50"/>
        <v>7.9020153337748189</v>
      </c>
      <c r="J422" s="1455">
        <f t="shared" si="50"/>
        <v>11.13277922347306</v>
      </c>
      <c r="K422" s="1455">
        <f t="shared" si="50"/>
        <v>14.463361112729897</v>
      </c>
      <c r="L422" s="1455">
        <f t="shared" si="50"/>
        <v>21.184586003973315</v>
      </c>
      <c r="M422" s="1455">
        <f t="shared" si="50"/>
        <v>23.044649782486974</v>
      </c>
      <c r="N422" s="1455">
        <f t="shared" si="50"/>
        <v>23.304346894333833</v>
      </c>
    </row>
    <row r="423" spans="1:25">
      <c r="C423" s="2647" t="s">
        <v>433</v>
      </c>
      <c r="D423" s="435" t="str">
        <f>INDEX(Vectors[Description], MATCH(C423, Vectors[Code], 0))</f>
        <v>Wet biomass and waste</v>
      </c>
      <c r="E423" s="1239" t="str">
        <f>Preferences.EnergyUnits</f>
        <v>TWh</v>
      </c>
      <c r="F423" s="2648">
        <f t="shared" ref="F423:N423" si="51">F$419</f>
        <v>0.14654245083333331</v>
      </c>
      <c r="G423" s="2648">
        <f t="shared" si="51"/>
        <v>0.29248145770300543</v>
      </c>
      <c r="H423" s="2648">
        <f t="shared" si="51"/>
        <v>1.4548913896862063</v>
      </c>
      <c r="I423" s="2648">
        <f t="shared" si="51"/>
        <v>2.8948282361645394</v>
      </c>
      <c r="J423" s="2648">
        <f t="shared" si="51"/>
        <v>7.1998763759119129</v>
      </c>
      <c r="K423" s="2648">
        <f t="shared" si="51"/>
        <v>8.595447980915937</v>
      </c>
      <c r="L423" s="2648">
        <f t="shared" si="51"/>
        <v>9.9764846055529954</v>
      </c>
      <c r="M423" s="2648">
        <f t="shared" si="51"/>
        <v>11.343098790171382</v>
      </c>
      <c r="N423" s="2648">
        <f t="shared" si="51"/>
        <v>11.284802046451777</v>
      </c>
    </row>
    <row r="424" spans="1:25">
      <c r="E424" s="382"/>
      <c r="F424" s="1326"/>
      <c r="G424" s="1326"/>
      <c r="H424" s="1326"/>
      <c r="I424" s="1326"/>
      <c r="J424" s="1326"/>
      <c r="K424" s="1326"/>
      <c r="L424" s="1326"/>
      <c r="M424" s="1326"/>
      <c r="N424" s="1326"/>
    </row>
    <row r="425" spans="1:25">
      <c r="E425" s="382"/>
      <c r="F425" s="1326"/>
      <c r="G425" s="1326"/>
      <c r="H425" s="1326"/>
      <c r="I425" s="1326"/>
      <c r="J425" s="1326"/>
      <c r="K425" s="1326"/>
      <c r="L425" s="1326"/>
      <c r="M425" s="1326"/>
      <c r="N425" s="1326"/>
    </row>
    <row r="426" spans="1:25">
      <c r="A426" s="414"/>
      <c r="B426" s="363">
        <v>4</v>
      </c>
      <c r="C426" s="363" t="s">
        <v>2070</v>
      </c>
      <c r="E426" s="382"/>
      <c r="F426" s="1325">
        <v>2013</v>
      </c>
      <c r="G426" s="1325">
        <v>2015</v>
      </c>
      <c r="H426" s="1325">
        <v>2020</v>
      </c>
      <c r="I426" s="1325">
        <v>2025</v>
      </c>
      <c r="J426" s="1325">
        <v>2030</v>
      </c>
      <c r="K426" s="1325">
        <v>2035</v>
      </c>
      <c r="L426" s="1325">
        <v>2040</v>
      </c>
      <c r="M426" s="1325">
        <v>2045</v>
      </c>
      <c r="N426" s="1325">
        <v>2050</v>
      </c>
    </row>
    <row r="427" spans="1:25">
      <c r="E427" s="382"/>
      <c r="F427" s="1326"/>
      <c r="G427" s="1326"/>
      <c r="H427" s="1326"/>
      <c r="I427" s="1326"/>
      <c r="J427" s="1326"/>
      <c r="K427" s="1326"/>
      <c r="L427" s="1326"/>
      <c r="M427" s="1326"/>
      <c r="N427" s="1326"/>
    </row>
    <row r="428" spans="1:25">
      <c r="C428" s="2506" t="s">
        <v>2071</v>
      </c>
      <c r="E428" s="2" t="str">
        <f>Preferences.EnergyUnits</f>
        <v>TWh</v>
      </c>
      <c r="F428" s="1326">
        <f t="array" ref="F428:F430">F200:F202</f>
        <v>1.61</v>
      </c>
      <c r="G428" s="1326">
        <f t="shared" ref="G428:N428" si="52">$F428*(G$311/$F$311)</f>
        <v>1.59073796</v>
      </c>
      <c r="H428" s="1326">
        <f t="shared" si="52"/>
        <v>1.5435850611672191</v>
      </c>
      <c r="I428" s="1326">
        <f t="shared" si="52"/>
        <v>1.497829875800919</v>
      </c>
      <c r="J428" s="1326">
        <f t="shared" si="52"/>
        <v>1.4534309726639385</v>
      </c>
      <c r="K428" s="1326">
        <f t="shared" si="52"/>
        <v>1.4103481486302094</v>
      </c>
      <c r="L428" s="1326">
        <f t="shared" si="52"/>
        <v>1.3685423922808981</v>
      </c>
      <c r="M428" s="1326">
        <f t="shared" si="52"/>
        <v>1.327975848579638</v>
      </c>
      <c r="N428" s="1326">
        <f t="shared" si="52"/>
        <v>1.2886117845948619</v>
      </c>
    </row>
    <row r="429" spans="1:25">
      <c r="C429" s="2506" t="s">
        <v>2072</v>
      </c>
      <c r="E429" s="2" t="str">
        <f>Preferences.EnergyUnits</f>
        <v>TWh</v>
      </c>
      <c r="F429" s="1326">
        <v>0.3</v>
      </c>
      <c r="G429" s="1326">
        <f t="shared" ref="G429:N429" si="53">$F429</f>
        <v>0.3</v>
      </c>
      <c r="H429" s="1326">
        <f t="shared" si="53"/>
        <v>0.3</v>
      </c>
      <c r="I429" s="1326">
        <f t="shared" si="53"/>
        <v>0.3</v>
      </c>
      <c r="J429" s="1326">
        <f t="shared" si="53"/>
        <v>0.3</v>
      </c>
      <c r="K429" s="1326">
        <f t="shared" si="53"/>
        <v>0.3</v>
      </c>
      <c r="L429" s="1326">
        <f t="shared" si="53"/>
        <v>0.3</v>
      </c>
      <c r="M429" s="1326">
        <f t="shared" si="53"/>
        <v>0.3</v>
      </c>
      <c r="N429" s="1326">
        <f t="shared" si="53"/>
        <v>0.3</v>
      </c>
      <c r="U429" s="6"/>
      <c r="V429" s="6"/>
      <c r="W429" s="6"/>
      <c r="X429" s="6"/>
      <c r="Y429" s="6"/>
    </row>
    <row r="430" spans="1:25">
      <c r="C430" s="2506" t="s">
        <v>2073</v>
      </c>
      <c r="E430" s="2" t="str">
        <f>Preferences.EnergyUnits</f>
        <v>TWh</v>
      </c>
      <c r="F430" s="1326">
        <v>0.7</v>
      </c>
      <c r="G430" s="1326">
        <f t="shared" ref="G430:N430" si="54">$F430*(SUM(G$298:G$301)/SUM($F$298:$F$301))</f>
        <v>0.73105962517001888</v>
      </c>
      <c r="H430" s="1326">
        <f t="shared" si="54"/>
        <v>0.80870868809507235</v>
      </c>
      <c r="I430" s="1326">
        <f t="shared" si="54"/>
        <v>0.88635775102011982</v>
      </c>
      <c r="J430" s="1326">
        <f t="shared" si="54"/>
        <v>0.96400681394516718</v>
      </c>
      <c r="K430" s="1326">
        <f t="shared" si="54"/>
        <v>1.0416558768702209</v>
      </c>
      <c r="L430" s="1326">
        <f t="shared" si="54"/>
        <v>1.1193049397952683</v>
      </c>
      <c r="M430" s="1326">
        <f t="shared" si="54"/>
        <v>1.1969540027203218</v>
      </c>
      <c r="N430" s="1326">
        <f t="shared" si="54"/>
        <v>1.2746030656453693</v>
      </c>
      <c r="U430" s="6"/>
      <c r="V430" s="6"/>
      <c r="W430" s="6"/>
      <c r="X430" s="6"/>
      <c r="Y430" s="6"/>
    </row>
    <row r="431" spans="1:25">
      <c r="C431" s="363"/>
      <c r="E431" s="382"/>
      <c r="F431" s="1326"/>
      <c r="G431" s="1326"/>
      <c r="H431" s="1326"/>
      <c r="I431" s="1326"/>
      <c r="J431" s="1326"/>
      <c r="K431" s="1326"/>
      <c r="L431" s="1326"/>
      <c r="M431" s="1326"/>
      <c r="N431" s="1326"/>
      <c r="U431" s="6"/>
      <c r="V431" s="6"/>
      <c r="W431" s="6"/>
      <c r="X431" s="6"/>
      <c r="Y431" s="6"/>
    </row>
    <row r="432" spans="1:25">
      <c r="C432" s="363" t="s">
        <v>2074</v>
      </c>
      <c r="E432" s="382"/>
      <c r="F432" s="1327">
        <f t="shared" ref="F432:N432" si="55">SUM(F$428:F$430)</f>
        <v>2.6100000000000003</v>
      </c>
      <c r="G432" s="1327">
        <f t="shared" si="55"/>
        <v>2.621797585170019</v>
      </c>
      <c r="H432" s="1327">
        <f t="shared" si="55"/>
        <v>2.6522937492622916</v>
      </c>
      <c r="I432" s="1327">
        <f t="shared" si="55"/>
        <v>2.6841876268210387</v>
      </c>
      <c r="J432" s="1327">
        <f t="shared" si="55"/>
        <v>2.7174377866091057</v>
      </c>
      <c r="K432" s="1327">
        <f t="shared" si="55"/>
        <v>2.7520040255004306</v>
      </c>
      <c r="L432" s="1327">
        <f t="shared" si="55"/>
        <v>2.7878473320761668</v>
      </c>
      <c r="M432" s="1327">
        <f t="shared" si="55"/>
        <v>2.8249298512999599</v>
      </c>
      <c r="N432" s="1327">
        <f t="shared" si="55"/>
        <v>2.8632148502402313</v>
      </c>
      <c r="U432" s="6"/>
      <c r="V432" s="6"/>
      <c r="W432" s="6"/>
      <c r="X432" s="6"/>
      <c r="Y432" s="6"/>
    </row>
    <row r="433" spans="1:33">
      <c r="B433" s="2506" t="s">
        <v>96</v>
      </c>
      <c r="C433" s="2506" t="s">
        <v>86</v>
      </c>
      <c r="E433" s="382"/>
      <c r="F433" s="1326">
        <f t="array" ref="F433:F436">F$432*$F$207:$F$210</f>
        <v>0.54810000000000003</v>
      </c>
      <c r="G433" s="1326">
        <f t="array" ref="G433:G436">G$432*$F$207:$F$210</f>
        <v>0.55057749288570401</v>
      </c>
      <c r="H433" s="1326">
        <f t="array" ref="H433:H436">H$432*$F$207:$F$210</f>
        <v>0.55698168734508124</v>
      </c>
      <c r="I433" s="1326">
        <f t="array" ref="I433:I436">I$432*$F$207:$F$210</f>
        <v>0.56367940163241814</v>
      </c>
      <c r="J433" s="1326">
        <f t="array" ref="J433:J436">J$432*$F$207:$F$210</f>
        <v>0.57066193518791219</v>
      </c>
      <c r="K433" s="1326">
        <f t="array" ref="K433:K436">K$432*$F$207:$F$210</f>
        <v>0.57792084535509036</v>
      </c>
      <c r="L433" s="1326">
        <f t="array" ref="L433:L436">L$432*$F$207:$F$210</f>
        <v>0.58544793973599496</v>
      </c>
      <c r="M433" s="1326">
        <f t="array" ref="M433:M436">M$432*$F$207:$F$210</f>
        <v>0.5932352687729916</v>
      </c>
      <c r="N433" s="1326">
        <f t="array" ref="N433:N436">N$432*$F$207:$F$210</f>
        <v>0.60127511855044857</v>
      </c>
      <c r="U433" s="6"/>
      <c r="V433" s="6"/>
      <c r="W433" s="6"/>
      <c r="X433" s="6"/>
      <c r="Y433" s="6"/>
    </row>
    <row r="434" spans="1:33">
      <c r="B434" s="2506" t="s">
        <v>98</v>
      </c>
      <c r="C434" s="2506" t="s">
        <v>88</v>
      </c>
      <c r="E434" s="382"/>
      <c r="F434" s="1326">
        <v>0</v>
      </c>
      <c r="G434" s="1326">
        <v>0</v>
      </c>
      <c r="H434" s="1326">
        <v>0</v>
      </c>
      <c r="I434" s="1326">
        <v>0</v>
      </c>
      <c r="J434" s="1326">
        <v>0</v>
      </c>
      <c r="K434" s="1326">
        <v>0</v>
      </c>
      <c r="L434" s="1326">
        <v>0</v>
      </c>
      <c r="M434" s="1326">
        <v>0</v>
      </c>
      <c r="N434" s="1326">
        <v>0</v>
      </c>
      <c r="U434" s="6"/>
      <c r="V434" s="6"/>
      <c r="W434" s="6"/>
      <c r="X434" s="6"/>
      <c r="Y434" s="6"/>
    </row>
    <row r="435" spans="1:33">
      <c r="A435" s="414"/>
      <c r="B435" s="2506" t="s">
        <v>99</v>
      </c>
      <c r="C435" s="2506" t="s">
        <v>89</v>
      </c>
      <c r="E435" s="382"/>
      <c r="F435" s="1326">
        <v>2.0619000000000005</v>
      </c>
      <c r="G435" s="1326">
        <v>2.0712200922843151</v>
      </c>
      <c r="H435" s="1326">
        <v>2.0953120619172103</v>
      </c>
      <c r="I435" s="1326">
        <v>2.1205082251886207</v>
      </c>
      <c r="J435" s="1326">
        <v>2.1467758514211934</v>
      </c>
      <c r="K435" s="1326">
        <v>2.1740831801453404</v>
      </c>
      <c r="L435" s="1326">
        <v>2.2023993923401717</v>
      </c>
      <c r="M435" s="1326">
        <v>2.2316945825269685</v>
      </c>
      <c r="N435" s="1326">
        <v>2.2619397316897829</v>
      </c>
    </row>
    <row r="436" spans="1:33">
      <c r="A436" s="414"/>
      <c r="B436" s="2506" t="s">
        <v>100</v>
      </c>
      <c r="C436" s="2506" t="s">
        <v>90</v>
      </c>
      <c r="E436" s="382"/>
      <c r="F436" s="1326">
        <v>0</v>
      </c>
      <c r="G436" s="1326">
        <v>0</v>
      </c>
      <c r="H436" s="1326">
        <v>0</v>
      </c>
      <c r="I436" s="1326">
        <v>0</v>
      </c>
      <c r="J436" s="1326">
        <v>0</v>
      </c>
      <c r="K436" s="1326">
        <v>0</v>
      </c>
      <c r="L436" s="1326">
        <v>0</v>
      </c>
      <c r="M436" s="1326">
        <v>0</v>
      </c>
      <c r="N436" s="1326">
        <v>0</v>
      </c>
    </row>
    <row r="437" spans="1:33">
      <c r="E437" s="382"/>
      <c r="F437" s="1326"/>
      <c r="G437" s="1326"/>
      <c r="H437" s="1326"/>
      <c r="I437" s="1326"/>
      <c r="J437" s="1326"/>
      <c r="K437" s="1326"/>
      <c r="L437" s="1326"/>
      <c r="M437" s="1326"/>
      <c r="N437" s="1326"/>
    </row>
    <row r="438" spans="1:33">
      <c r="B438" s="363">
        <v>5</v>
      </c>
      <c r="C438" s="363" t="s">
        <v>252</v>
      </c>
      <c r="E438" s="382"/>
      <c r="F438" s="1325">
        <v>2013</v>
      </c>
      <c r="G438" s="1325">
        <v>2015</v>
      </c>
      <c r="H438" s="1325">
        <v>2020</v>
      </c>
      <c r="I438" s="1325">
        <v>2025</v>
      </c>
      <c r="J438" s="1325">
        <v>2030</v>
      </c>
      <c r="K438" s="1325">
        <v>2035</v>
      </c>
      <c r="L438" s="1325">
        <v>2040</v>
      </c>
      <c r="M438" s="1325">
        <v>2045</v>
      </c>
      <c r="N438" s="1325">
        <v>2050</v>
      </c>
    </row>
    <row r="439" spans="1:33">
      <c r="B439" s="363"/>
      <c r="C439" s="363"/>
      <c r="E439" s="382"/>
      <c r="F439" s="1325"/>
      <c r="G439" s="1325"/>
      <c r="H439" s="1325"/>
      <c r="I439" s="1325"/>
      <c r="J439" s="1325"/>
      <c r="K439" s="1325"/>
      <c r="L439" s="1325"/>
      <c r="M439" s="1325"/>
      <c r="N439" s="1325"/>
    </row>
    <row r="440" spans="1:33">
      <c r="C440" s="363" t="s">
        <v>1248</v>
      </c>
      <c r="E440" s="382"/>
      <c r="F440" s="1326"/>
      <c r="G440" s="1326"/>
      <c r="H440" s="1326"/>
      <c r="I440" s="1326"/>
      <c r="J440" s="1326"/>
      <c r="K440" s="1326"/>
      <c r="L440" s="1326"/>
      <c r="M440" s="1326"/>
      <c r="N440" s="1326"/>
    </row>
    <row r="441" spans="1:33">
      <c r="B441" s="2506" t="s">
        <v>253</v>
      </c>
      <c r="C441" s="2506" t="s">
        <v>1248</v>
      </c>
      <c r="E441" s="382" t="s">
        <v>254</v>
      </c>
      <c r="F441" s="2167">
        <f t="array" ref="F441">SUM(F$433:F$436*SUMIFS(EF[CO2],EF[Vector], $B$433:$B$436))</f>
        <v>0.54409417199999999</v>
      </c>
      <c r="G441" s="2167">
        <f t="array" ref="G441">SUM(G$433:G$436*SUMIFS(EF[CO2],EF[Vector], $B$433:$B$436))</f>
        <v>0.54655355795198501</v>
      </c>
      <c r="H441" s="2167">
        <f t="array" ref="H441">SUM(H$433:H$436*SUMIFS(EF[CO2],EF[Vector], $B$433:$B$436))</f>
        <v>0.55291094689871334</v>
      </c>
      <c r="I441" s="2167">
        <f t="array" ref="I441">SUM(I$433:I$436*SUMIFS(EF[CO2],EF[Vector], $B$433:$B$436))</f>
        <v>0.55955971046277309</v>
      </c>
      <c r="J441" s="2167">
        <f t="array" ref="J441">SUM(J$433:J$436*SUMIFS(EF[CO2],EF[Vector], $B$433:$B$436))</f>
        <v>0.56649121167302441</v>
      </c>
      <c r="K441" s="2167">
        <f t="array" ref="K441">SUM(K$433:K$436*SUMIFS(EF[CO2],EF[Vector], $B$433:$B$436))</f>
        <v>0.57369706957675226</v>
      </c>
      <c r="L441" s="2167">
        <f t="array" ref="L441">SUM(L$433:L$436*SUMIFS(EF[CO2],EF[Vector], $B$433:$B$436))</f>
        <v>0.58116915165072436</v>
      </c>
      <c r="M441" s="2167">
        <f t="array" ref="M441">SUM(M$433:M$436*SUMIFS(EF[CO2],EF[Vector], $B$433:$B$436))</f>
        <v>0.5888995664372163</v>
      </c>
      <c r="N441" s="2167">
        <f t="array" ref="N441">SUM(N$433:N$436*SUMIFS(EF[CO2],EF[Vector], $B$433:$B$436))</f>
        <v>0.59688065639829979</v>
      </c>
    </row>
    <row r="442" spans="1:33">
      <c r="B442" s="2506" t="s">
        <v>255</v>
      </c>
      <c r="C442" s="2506" t="s">
        <v>1248</v>
      </c>
      <c r="F442" s="2167">
        <f t="array" ref="F442">SUM(F$433:F$436*SUMIFS(EF[CH4],EF[Vector], $B$433:$B$436))</f>
        <v>4.6763892000000016E-4</v>
      </c>
      <c r="G442" s="2167">
        <f t="array" ref="G442">SUM(G$433:G$436*SUMIFS(EF[CH4],EF[Vector], $B$433:$B$436))</f>
        <v>4.6975271693008272E-4</v>
      </c>
      <c r="H442" s="2167">
        <f t="array" ref="H442">SUM(H$433:H$436*SUMIFS(EF[CH4],EF[Vector], $B$433:$B$436))</f>
        <v>4.7521677564282334E-4</v>
      </c>
      <c r="I442" s="2167">
        <f t="array" ref="I442">SUM(I$433:I$436*SUMIFS(EF[CH4],EF[Vector], $B$433:$B$436))</f>
        <v>4.8093126547277921E-4</v>
      </c>
      <c r="J442" s="2167">
        <f t="array" ref="J442">SUM(J$433:J$436*SUMIFS(EF[CH4],EF[Vector], $B$433:$B$436))</f>
        <v>4.8688876310232671E-4</v>
      </c>
      <c r="K442" s="2167">
        <f t="array" ref="K442">SUM(K$433:K$436*SUMIFS(EF[CH4],EF[Vector], $B$433:$B$436))</f>
        <v>4.9308206525696318E-4</v>
      </c>
      <c r="L442" s="2167">
        <f t="array" ref="L442">SUM(L$433:L$436*SUMIFS(EF[CH4],EF[Vector], $B$433:$B$436))</f>
        <v>4.9950418218275099E-4</v>
      </c>
      <c r="M442" s="2167">
        <f t="array" ref="M442">SUM(M$433:M$436*SUMIFS(EF[CH4],EF[Vector], $B$433:$B$436))</f>
        <v>5.0614833131711653E-4</v>
      </c>
      <c r="N442" s="2167">
        <f t="array" ref="N442">SUM(N$433:N$436*SUMIFS(EF[CH4],EF[Vector], $B$433:$B$436))</f>
        <v>5.1300793114724276E-4</v>
      </c>
    </row>
    <row r="443" spans="1:33">
      <c r="B443" s="2506" t="s">
        <v>256</v>
      </c>
      <c r="C443" s="2506" t="s">
        <v>1248</v>
      </c>
      <c r="F443" s="2167">
        <f t="array" ref="F443">SUM(F$433:F$436*SUMIFS(EF[N2O],EF[Vector], $B$433:$B$436))</f>
        <v>1.3806482400000003E-3</v>
      </c>
      <c r="G443" s="2167">
        <f t="array" ref="G443">SUM(G$433:G$436*SUMIFS(EF[N2O],EF[Vector], $B$433:$B$436))</f>
        <v>1.3868889737935774E-3</v>
      </c>
      <c r="H443" s="2167">
        <f t="array" ref="H443">SUM(H$433:H$436*SUMIFS(EF[N2O],EF[Vector], $B$433:$B$436))</f>
        <v>1.403020956659764E-3</v>
      </c>
      <c r="I443" s="2167">
        <f t="array" ref="I443">SUM(I$433:I$436*SUMIFS(EF[N2O],EF[Vector], $B$433:$B$436))</f>
        <v>1.4198923075863005E-3</v>
      </c>
      <c r="J443" s="2167">
        <f t="array" ref="J443">SUM(J$433:J$436*SUMIFS(EF[N2O],EF[Vector], $B$433:$B$436))</f>
        <v>1.4374811101116312E-3</v>
      </c>
      <c r="K443" s="2167">
        <f t="array" ref="K443">SUM(K$433:K$436*SUMIFS(EF[N2O],EF[Vector], $B$433:$B$436))</f>
        <v>1.45576609742532E-3</v>
      </c>
      <c r="L443" s="2167">
        <f t="array" ref="L443">SUM(L$433:L$436*SUMIFS(EF[N2O],EF[Vector], $B$433:$B$436))</f>
        <v>1.474726633110979E-3</v>
      </c>
      <c r="M443" s="2167">
        <f t="array" ref="M443">SUM(M$433:M$436*SUMIFS(EF[N2O],EF[Vector], $B$433:$B$436))</f>
        <v>1.4943426924600581E-3</v>
      </c>
      <c r="N443" s="2167">
        <f t="array" ref="N443">SUM(N$433:N$436*SUMIFS(EF[N2O],EF[Vector], $B$433:$B$436))</f>
        <v>1.5145948443394787E-3</v>
      </c>
    </row>
    <row r="444" spans="1:33">
      <c r="E444" s="382"/>
      <c r="F444" s="1326"/>
      <c r="G444" s="1326"/>
      <c r="H444" s="1326"/>
      <c r="I444" s="1326"/>
      <c r="J444" s="1326"/>
      <c r="K444" s="1326"/>
      <c r="L444" s="1326"/>
      <c r="M444" s="1326"/>
      <c r="N444" s="1326"/>
    </row>
    <row r="445" spans="1:33">
      <c r="C445" s="363" t="s">
        <v>2075</v>
      </c>
      <c r="E445" s="382"/>
      <c r="F445" s="1714"/>
      <c r="G445" s="1326"/>
      <c r="H445" s="1326"/>
      <c r="I445" s="1326"/>
      <c r="J445" s="1326"/>
      <c r="K445" s="1326"/>
      <c r="L445" s="1326"/>
      <c r="M445" s="1326"/>
      <c r="N445" s="1326"/>
    </row>
    <row r="446" spans="1:33">
      <c r="B446" s="2506" t="s">
        <v>255</v>
      </c>
      <c r="C446" s="2" t="s">
        <v>1965</v>
      </c>
      <c r="D446" s="2506" t="s">
        <v>5</v>
      </c>
      <c r="E446" s="382" t="s">
        <v>2099</v>
      </c>
      <c r="F446" s="3604">
        <f>(F$311+F$313)*F$344/1000000</f>
        <v>8.8112099999999973</v>
      </c>
      <c r="G446" s="1326">
        <f t="shared" ref="G446:N446" si="56">(G$311+G$313)*G$344/1000000</f>
        <v>8.6850477283554781</v>
      </c>
      <c r="H446" s="1326">
        <f t="shared" si="56"/>
        <v>8.3774887436382581</v>
      </c>
      <c r="I446" s="1326">
        <f t="shared" si="56"/>
        <v>8.0808211819780968</v>
      </c>
      <c r="J446" s="1326">
        <f t="shared" si="56"/>
        <v>7.7946593511920277</v>
      </c>
      <c r="K446" s="1326">
        <f t="shared" si="56"/>
        <v>7.5186312174096059</v>
      </c>
      <c r="L446" s="1326">
        <f t="shared" si="56"/>
        <v>7.2523779213983532</v>
      </c>
      <c r="M446" s="1326">
        <f t="shared" si="56"/>
        <v>6.9955533120172797</v>
      </c>
      <c r="N446" s="1326">
        <f t="shared" si="56"/>
        <v>6.7478234961920043</v>
      </c>
      <c r="Q446" s="1326"/>
    </row>
    <row r="447" spans="1:33">
      <c r="B447" s="2506" t="s">
        <v>255</v>
      </c>
      <c r="C447" s="2506" t="s">
        <v>1967</v>
      </c>
      <c r="E447" s="382"/>
      <c r="F447" s="3604">
        <f t="shared" ref="F447:N447" si="57">F$415*$F$416*(1-F$417)*F$345/1000</f>
        <v>2.2160754000000003</v>
      </c>
      <c r="G447" s="1326">
        <f t="shared" si="57"/>
        <v>2.1784723437001263</v>
      </c>
      <c r="H447" s="1326">
        <f t="shared" si="57"/>
        <v>1.966120253074165</v>
      </c>
      <c r="I447" s="1326">
        <f t="shared" si="57"/>
        <v>1.7175094954403731</v>
      </c>
      <c r="J447" s="1326">
        <f t="shared" si="57"/>
        <v>1.0549229885942293</v>
      </c>
      <c r="K447" s="1326">
        <f t="shared" si="57"/>
        <v>0.82937766514148259</v>
      </c>
      <c r="L447" s="1326">
        <f t="shared" si="57"/>
        <v>0.61130112002788539</v>
      </c>
      <c r="M447" s="1326">
        <f t="shared" si="57"/>
        <v>0.40050277058827355</v>
      </c>
      <c r="N447" s="1326">
        <f t="shared" si="57"/>
        <v>0.39359277447806673</v>
      </c>
      <c r="Q447" s="1326"/>
    </row>
    <row r="448" spans="1:33">
      <c r="B448" s="2506" t="s">
        <v>256</v>
      </c>
      <c r="C448" s="2" t="s">
        <v>2076</v>
      </c>
      <c r="E448" s="382"/>
      <c r="F448" s="3604">
        <f>F$355</f>
        <v>6.45</v>
      </c>
      <c r="G448" s="1326">
        <f t="shared" ref="G448:N448" si="58">G$355</f>
        <v>6.3677882193084141</v>
      </c>
      <c r="H448" s="1326">
        <f t="shared" si="58"/>
        <v>6.1668140391981598</v>
      </c>
      <c r="I448" s="1326">
        <f t="shared" si="58"/>
        <v>5.9721828183195766</v>
      </c>
      <c r="J448" s="1326">
        <f t="shared" si="58"/>
        <v>5.9521075915265156</v>
      </c>
      <c r="K448" s="1326">
        <f t="shared" si="58"/>
        <v>5.9320998467150101</v>
      </c>
      <c r="L448" s="1326">
        <f t="shared" si="58"/>
        <v>5.9121593570473818</v>
      </c>
      <c r="M448" s="1326">
        <f t="shared" si="58"/>
        <v>5.8922858964484579</v>
      </c>
      <c r="N448" s="1326">
        <f t="shared" si="58"/>
        <v>5.8724792396030061</v>
      </c>
      <c r="Q448" s="1326"/>
      <c r="Z448" s="6"/>
      <c r="AA448" s="6"/>
      <c r="AB448" s="6"/>
      <c r="AC448" s="6"/>
      <c r="AD448" s="6"/>
      <c r="AE448" s="6"/>
      <c r="AF448" s="6"/>
      <c r="AG448" s="6"/>
    </row>
    <row r="449" spans="2:33">
      <c r="C449" s="363" t="s">
        <v>2077</v>
      </c>
      <c r="E449" s="382"/>
      <c r="F449" s="1633">
        <f>F446+F447+F448</f>
        <v>17.477285399999996</v>
      </c>
      <c r="G449" s="1327">
        <f t="shared" ref="G449:N449" si="59">G446+G447+G448</f>
        <v>17.231308291364016</v>
      </c>
      <c r="H449" s="1327">
        <f t="shared" si="59"/>
        <v>16.510423035910584</v>
      </c>
      <c r="I449" s="1327">
        <f>I446+I447+I448</f>
        <v>15.770513495738047</v>
      </c>
      <c r="J449" s="1327">
        <f t="shared" si="59"/>
        <v>14.801689931312772</v>
      </c>
      <c r="K449" s="1327">
        <f t="shared" si="59"/>
        <v>14.280108729266098</v>
      </c>
      <c r="L449" s="1327">
        <f t="shared" si="59"/>
        <v>13.775838398473621</v>
      </c>
      <c r="M449" s="1327">
        <f t="shared" si="59"/>
        <v>13.28834197905401</v>
      </c>
      <c r="N449" s="1327">
        <f t="shared" si="59"/>
        <v>13.013895510273077</v>
      </c>
      <c r="Z449" s="6"/>
      <c r="AA449" s="6"/>
      <c r="AB449" s="6"/>
      <c r="AC449" s="6"/>
      <c r="AD449" s="6"/>
      <c r="AE449" s="6"/>
      <c r="AF449" s="6"/>
      <c r="AG449" s="6"/>
    </row>
    <row r="450" spans="2:33">
      <c r="C450" s="363"/>
      <c r="E450" s="382"/>
      <c r="F450" s="1327"/>
      <c r="G450" s="1327"/>
      <c r="H450" s="1327"/>
      <c r="I450" s="1327"/>
      <c r="J450" s="1327"/>
      <c r="K450" s="1327"/>
      <c r="L450" s="1327"/>
      <c r="M450" s="1327"/>
      <c r="N450" s="1327"/>
      <c r="Z450" s="6"/>
      <c r="AA450" s="6"/>
      <c r="AB450" s="6"/>
      <c r="AC450" s="6"/>
      <c r="AD450" s="6"/>
      <c r="AE450" s="6"/>
      <c r="AF450" s="6"/>
      <c r="AG450" s="6"/>
    </row>
    <row r="451" spans="2:33">
      <c r="C451" s="363" t="s">
        <v>2078</v>
      </c>
      <c r="E451" s="382"/>
      <c r="F451" s="1327"/>
      <c r="G451" s="1327"/>
      <c r="H451" s="1327"/>
      <c r="I451" s="1327"/>
      <c r="J451" s="1327"/>
      <c r="K451" s="1327"/>
      <c r="L451" s="1327"/>
      <c r="M451" s="1327"/>
      <c r="N451" s="1327"/>
      <c r="Z451" s="6"/>
      <c r="AA451" s="6"/>
      <c r="AB451" s="6"/>
      <c r="AC451" s="6"/>
      <c r="AD451" s="6"/>
      <c r="AE451" s="6"/>
      <c r="AF451" s="6"/>
      <c r="AG451" s="6"/>
    </row>
    <row r="452" spans="2:33">
      <c r="B452" s="2506" t="s">
        <v>2079</v>
      </c>
      <c r="C452" s="2" t="s">
        <v>2080</v>
      </c>
      <c r="E452" s="382" t="s">
        <v>2099</v>
      </c>
      <c r="F452" s="1714">
        <f>INDEX(F$88:F$91, MATCH($E$9, $C$88:$C$91, 0))</f>
        <v>-3.8559999999999999</v>
      </c>
      <c r="G452" s="1326">
        <f t="shared" ref="G452:N452" si="60">INDEX(G$88:G$91, MATCH($E$9, $C$88:$C$91, 0))</f>
        <v>-2.7147828412573949</v>
      </c>
      <c r="H452" s="1326">
        <f t="shared" si="60"/>
        <v>-1.861669911328435</v>
      </c>
      <c r="I452" s="1326">
        <f t="shared" si="60"/>
        <v>-1.3421019617380268</v>
      </c>
      <c r="J452" s="1326">
        <f t="shared" si="60"/>
        <v>-1.6323726893899235</v>
      </c>
      <c r="K452" s="1326">
        <f t="shared" si="60"/>
        <v>-2.166489490908726</v>
      </c>
      <c r="L452" s="1326">
        <f t="shared" si="60"/>
        <v>-3.1932476056130397</v>
      </c>
      <c r="M452" s="1326">
        <f t="shared" si="60"/>
        <v>-4.3265076610567572</v>
      </c>
      <c r="N452" s="1326">
        <f t="shared" si="60"/>
        <v>-5.2036622251277231</v>
      </c>
      <c r="Z452" s="6"/>
      <c r="AA452" s="6"/>
      <c r="AB452" s="6"/>
      <c r="AC452" s="6"/>
      <c r="AD452" s="6"/>
      <c r="AE452" s="6"/>
      <c r="AF452" s="6"/>
      <c r="AG452" s="6"/>
    </row>
    <row r="453" spans="2:33">
      <c r="B453" s="2506" t="s">
        <v>1998</v>
      </c>
      <c r="C453" s="2" t="s">
        <v>1999</v>
      </c>
      <c r="E453" s="382"/>
      <c r="F453" s="1714">
        <f t="shared" ref="F453:N453" si="61">(F$298+F$299)*$F$163</f>
        <v>0.42</v>
      </c>
      <c r="G453" s="1326">
        <f t="shared" si="61"/>
        <v>0.41999999999999937</v>
      </c>
      <c r="H453" s="1326">
        <f t="shared" si="61"/>
        <v>0.42000000000000154</v>
      </c>
      <c r="I453" s="1326">
        <f t="shared" si="61"/>
        <v>0.4200000000000001</v>
      </c>
      <c r="J453" s="1326">
        <f t="shared" si="61"/>
        <v>0.4199999999999986</v>
      </c>
      <c r="K453" s="1326">
        <f t="shared" si="61"/>
        <v>0.42000000000000076</v>
      </c>
      <c r="L453" s="1326">
        <f t="shared" si="61"/>
        <v>0.41999999999999932</v>
      </c>
      <c r="M453" s="1326">
        <f t="shared" si="61"/>
        <v>0.42000000000000148</v>
      </c>
      <c r="N453" s="1326">
        <f t="shared" si="61"/>
        <v>0.42</v>
      </c>
      <c r="Z453" s="6"/>
      <c r="AA453" s="6"/>
      <c r="AB453" s="6"/>
      <c r="AC453" s="6"/>
      <c r="AD453" s="6"/>
      <c r="AE453" s="6"/>
      <c r="AF453" s="6"/>
      <c r="AG453" s="6"/>
    </row>
    <row r="454" spans="2:33">
      <c r="B454" s="2506" t="s">
        <v>2000</v>
      </c>
      <c r="C454" s="2" t="s">
        <v>2001</v>
      </c>
      <c r="E454" s="382"/>
      <c r="F454" s="1714">
        <f>F$302*$F$164</f>
        <v>-0.05</v>
      </c>
      <c r="G454" s="1326">
        <f t="shared" ref="G454:N454" si="62">G$302*$F$164</f>
        <v>-4.9693947257978287E-2</v>
      </c>
      <c r="H454" s="1326">
        <f t="shared" si="62"/>
        <v>-4.8928815402924007E-2</v>
      </c>
      <c r="I454" s="1326">
        <f t="shared" si="62"/>
        <v>-4.8163683547869728E-2</v>
      </c>
      <c r="J454" s="1326">
        <f t="shared" si="62"/>
        <v>-4.7398551692815441E-2</v>
      </c>
      <c r="K454" s="1326">
        <f t="shared" si="62"/>
        <v>-4.6633419837761009E-2</v>
      </c>
      <c r="L454" s="1326">
        <f t="shared" si="62"/>
        <v>-4.5868287982706722E-2</v>
      </c>
      <c r="M454" s="1326">
        <f t="shared" si="62"/>
        <v>-4.5103156127652443E-2</v>
      </c>
      <c r="N454" s="1326">
        <f t="shared" si="62"/>
        <v>-4.4338024272598163E-2</v>
      </c>
    </row>
    <row r="455" spans="2:33">
      <c r="B455" s="2506" t="s">
        <v>2003</v>
      </c>
      <c r="C455" s="2" t="s">
        <v>1942</v>
      </c>
      <c r="E455" s="382"/>
      <c r="F455" s="1637">
        <f>$F$169*F303</f>
        <v>0.26</v>
      </c>
      <c r="G455" s="1637">
        <f t="shared" ref="G455:N455" si="63">$F$169*G303</f>
        <v>0.26388759400719447</v>
      </c>
      <c r="H455" s="1637">
        <f t="shared" si="63"/>
        <v>0.27360657902517899</v>
      </c>
      <c r="I455" s="1637">
        <f t="shared" si="63"/>
        <v>0.283325564043165</v>
      </c>
      <c r="J455" s="1637">
        <f t="shared" si="63"/>
        <v>0.29304454906114957</v>
      </c>
      <c r="K455" s="1637">
        <f t="shared" si="63"/>
        <v>0.30276353407913564</v>
      </c>
      <c r="L455" s="1637">
        <f t="shared" si="63"/>
        <v>0.31248251909712016</v>
      </c>
      <c r="M455" s="1637">
        <f t="shared" si="63"/>
        <v>0.32220150411510623</v>
      </c>
      <c r="N455" s="1637">
        <f t="shared" si="63"/>
        <v>0.3319204891330908</v>
      </c>
    </row>
    <row r="456" spans="2:33">
      <c r="B456" s="2506" t="s">
        <v>2004</v>
      </c>
      <c r="C456" s="2" t="s">
        <v>411</v>
      </c>
      <c r="E456" s="382"/>
      <c r="F456" s="1637">
        <f>$F$170*F305</f>
        <v>0.04</v>
      </c>
      <c r="G456" s="1637">
        <f t="shared" ref="G456:N456" si="64">$F$170*G305</f>
        <v>3.8635427320290114E-2</v>
      </c>
      <c r="H456" s="1637">
        <f t="shared" si="64"/>
        <v>3.5223995621015101E-2</v>
      </c>
      <c r="I456" s="1637">
        <f t="shared" si="64"/>
        <v>3.1812563921740089E-2</v>
      </c>
      <c r="J456" s="1637">
        <f t="shared" si="64"/>
        <v>2.8401132222465084E-2</v>
      </c>
      <c r="K456" s="1637">
        <f t="shared" si="64"/>
        <v>2.4989700523190293E-2</v>
      </c>
      <c r="L456" s="1637">
        <f t="shared" si="64"/>
        <v>2.1578268823915343E-2</v>
      </c>
      <c r="M456" s="1637">
        <f t="shared" si="64"/>
        <v>1.8166837124640414E-2</v>
      </c>
      <c r="N456" s="1637">
        <f t="shared" si="64"/>
        <v>1.4755405425365489E-2</v>
      </c>
    </row>
    <row r="457" spans="2:33">
      <c r="C457" s="363" t="s">
        <v>2081</v>
      </c>
      <c r="E457" s="382"/>
      <c r="F457" s="1633">
        <f t="shared" ref="F457:N457" si="65">SUM(F$452:F$456)</f>
        <v>-3.1859999999999999</v>
      </c>
      <c r="G457" s="1327">
        <f t="shared" si="65"/>
        <v>-2.0419537671878891</v>
      </c>
      <c r="H457" s="1327">
        <f t="shared" si="65"/>
        <v>-1.1817681520851633</v>
      </c>
      <c r="I457" s="1327">
        <f t="shared" si="65"/>
        <v>-0.65512751732099117</v>
      </c>
      <c r="J457" s="1327">
        <f t="shared" si="65"/>
        <v>-0.9383255597991258</v>
      </c>
      <c r="K457" s="1327">
        <f t="shared" si="65"/>
        <v>-1.4653696761441601</v>
      </c>
      <c r="L457" s="1327">
        <f t="shared" si="65"/>
        <v>-2.4850551056747112</v>
      </c>
      <c r="M457" s="1327">
        <f t="shared" si="65"/>
        <v>-3.6112424759446609</v>
      </c>
      <c r="N457" s="1327">
        <f t="shared" si="65"/>
        <v>-4.4813243548418651</v>
      </c>
    </row>
    <row r="458" spans="2:33">
      <c r="C458" s="363"/>
      <c r="E458" s="382"/>
      <c r="F458" s="1633"/>
      <c r="G458" s="1327"/>
      <c r="H458" s="1327"/>
      <c r="I458" s="1327"/>
      <c r="J458" s="1327"/>
      <c r="K458" s="1327"/>
      <c r="L458" s="1327"/>
      <c r="M458" s="1327"/>
      <c r="N458" s="1327"/>
      <c r="S458" s="374"/>
      <c r="T458" s="6"/>
    </row>
    <row r="459" spans="2:33" ht="15.75">
      <c r="B459" s="2571"/>
      <c r="C459" s="1459" t="s">
        <v>2082</v>
      </c>
      <c r="D459" s="1459"/>
      <c r="E459" s="1459"/>
      <c r="F459" s="2651">
        <v>2013</v>
      </c>
      <c r="G459" s="2651" t="s">
        <v>133</v>
      </c>
      <c r="H459" s="2651" t="s">
        <v>134</v>
      </c>
      <c r="I459" s="2651" t="s">
        <v>135</v>
      </c>
      <c r="J459" s="2651" t="s">
        <v>136</v>
      </c>
      <c r="K459" s="2651" t="s">
        <v>137</v>
      </c>
      <c r="L459" s="2651" t="s">
        <v>138</v>
      </c>
      <c r="M459" s="2651" t="s">
        <v>139</v>
      </c>
      <c r="N459" s="2651" t="s">
        <v>140</v>
      </c>
      <c r="O459" s="1077"/>
      <c r="R459" s="6"/>
      <c r="S459" s="374"/>
      <c r="T459" s="6"/>
    </row>
    <row r="460" spans="2:33" ht="15.75">
      <c r="B460" s="2571"/>
      <c r="C460" s="1459"/>
      <c r="D460" s="1459"/>
      <c r="E460" s="1459"/>
      <c r="F460" s="2651"/>
      <c r="G460" s="2651"/>
      <c r="H460" s="2651"/>
      <c r="I460" s="2651"/>
      <c r="J460" s="2651"/>
      <c r="K460" s="2651"/>
      <c r="L460" s="2651"/>
      <c r="M460" s="2651"/>
      <c r="N460" s="2651"/>
      <c r="O460" s="1077"/>
      <c r="R460" s="6"/>
      <c r="S460" s="374"/>
      <c r="T460" s="6"/>
    </row>
    <row r="461" spans="2:33" ht="15.75">
      <c r="B461" s="2571"/>
      <c r="C461" s="1726" t="s">
        <v>845</v>
      </c>
      <c r="D461" s="1459"/>
      <c r="E461" s="1459"/>
      <c r="F461" s="2651"/>
      <c r="G461" s="2651"/>
      <c r="H461" s="2651"/>
      <c r="I461" s="2651"/>
      <c r="J461" s="2651"/>
      <c r="K461" s="2651"/>
      <c r="L461" s="2651"/>
      <c r="M461" s="2651"/>
      <c r="N461" s="2651"/>
      <c r="O461" s="1077"/>
      <c r="R461" s="6"/>
      <c r="S461" s="374"/>
      <c r="T461" s="6"/>
    </row>
    <row r="462" spans="2:33">
      <c r="B462" s="2506" t="s">
        <v>98</v>
      </c>
      <c r="C462" s="2506" t="s">
        <v>88</v>
      </c>
      <c r="D462" s="1459"/>
      <c r="E462" s="1459"/>
      <c r="F462" s="2652">
        <f>F434</f>
        <v>0</v>
      </c>
      <c r="G462" s="2652">
        <f t="shared" ref="G462:N462" si="66">G434</f>
        <v>0</v>
      </c>
      <c r="H462" s="2652">
        <f t="shared" si="66"/>
        <v>0</v>
      </c>
      <c r="I462" s="2652">
        <f t="shared" si="66"/>
        <v>0</v>
      </c>
      <c r="J462" s="2652">
        <f t="shared" si="66"/>
        <v>0</v>
      </c>
      <c r="K462" s="2652">
        <f t="shared" si="66"/>
        <v>0</v>
      </c>
      <c r="L462" s="2652">
        <f t="shared" si="66"/>
        <v>0</v>
      </c>
      <c r="M462" s="2652">
        <f t="shared" si="66"/>
        <v>0</v>
      </c>
      <c r="N462" s="2652">
        <f t="shared" si="66"/>
        <v>0</v>
      </c>
      <c r="O462" s="1077"/>
      <c r="R462" s="6"/>
      <c r="S462" s="374"/>
      <c r="T462" s="6"/>
    </row>
    <row r="463" spans="2:33">
      <c r="B463" s="2506" t="s">
        <v>99</v>
      </c>
      <c r="C463" s="2506" t="s">
        <v>89</v>
      </c>
      <c r="D463" s="1459"/>
      <c r="E463" s="1459"/>
      <c r="F463" s="2652">
        <f t="shared" ref="F463:N464" si="67">F435</f>
        <v>2.0619000000000005</v>
      </c>
      <c r="G463" s="2652">
        <f t="shared" si="67"/>
        <v>2.0712200922843151</v>
      </c>
      <c r="H463" s="2652">
        <f t="shared" si="67"/>
        <v>2.0953120619172103</v>
      </c>
      <c r="I463" s="2652">
        <f t="shared" si="67"/>
        <v>2.1205082251886207</v>
      </c>
      <c r="J463" s="2652">
        <f t="shared" si="67"/>
        <v>2.1467758514211934</v>
      </c>
      <c r="K463" s="2652">
        <f t="shared" si="67"/>
        <v>2.1740831801453404</v>
      </c>
      <c r="L463" s="2652">
        <f t="shared" si="67"/>
        <v>2.2023993923401717</v>
      </c>
      <c r="M463" s="2652">
        <f t="shared" si="67"/>
        <v>2.2316945825269685</v>
      </c>
      <c r="N463" s="2652">
        <f t="shared" si="67"/>
        <v>2.2619397316897829</v>
      </c>
      <c r="O463" s="1077"/>
      <c r="R463" s="6"/>
      <c r="S463" s="374"/>
      <c r="T463" s="6"/>
    </row>
    <row r="464" spans="2:33">
      <c r="B464" s="2506" t="s">
        <v>100</v>
      </c>
      <c r="C464" s="2506" t="s">
        <v>90</v>
      </c>
      <c r="D464" s="1459"/>
      <c r="E464" s="1459"/>
      <c r="F464" s="2652">
        <f t="shared" si="67"/>
        <v>0</v>
      </c>
      <c r="G464" s="2652">
        <f t="shared" si="67"/>
        <v>0</v>
      </c>
      <c r="H464" s="2652">
        <f t="shared" si="67"/>
        <v>0</v>
      </c>
      <c r="I464" s="2652">
        <f t="shared" si="67"/>
        <v>0</v>
      </c>
      <c r="J464" s="2652">
        <f t="shared" si="67"/>
        <v>0</v>
      </c>
      <c r="K464" s="2652">
        <f t="shared" si="67"/>
        <v>0</v>
      </c>
      <c r="L464" s="2652">
        <f t="shared" si="67"/>
        <v>0</v>
      </c>
      <c r="M464" s="2652">
        <f t="shared" si="67"/>
        <v>0</v>
      </c>
      <c r="N464" s="2652">
        <f t="shared" si="67"/>
        <v>0</v>
      </c>
      <c r="O464" s="1077"/>
      <c r="R464" s="6"/>
      <c r="S464" s="374"/>
      <c r="T464" s="6"/>
    </row>
    <row r="465" spans="2:20">
      <c r="D465" s="1459"/>
      <c r="E465" s="1459"/>
      <c r="F465" s="2651"/>
      <c r="G465" s="2651"/>
      <c r="H465" s="2651"/>
      <c r="I465" s="2651"/>
      <c r="J465" s="2651"/>
      <c r="K465" s="2651"/>
      <c r="L465" s="2651"/>
      <c r="M465" s="2651"/>
      <c r="N465" s="2651"/>
      <c r="O465" s="1077"/>
      <c r="R465" s="6"/>
      <c r="S465" s="374"/>
      <c r="T465" s="6"/>
    </row>
    <row r="466" spans="2:20">
      <c r="C466" s="414" t="s">
        <v>846</v>
      </c>
      <c r="D466" s="1459"/>
      <c r="E466" s="1459"/>
      <c r="F466" s="2651"/>
      <c r="G466" s="2651"/>
      <c r="H466" s="2651"/>
      <c r="I466" s="2651"/>
      <c r="J466" s="2651"/>
      <c r="K466" s="2651"/>
      <c r="L466" s="2651"/>
      <c r="M466" s="2651"/>
      <c r="N466" s="2651"/>
      <c r="O466" s="1077"/>
      <c r="R466" s="6"/>
      <c r="S466" s="374"/>
      <c r="T466" s="6"/>
    </row>
    <row r="467" spans="2:20">
      <c r="C467" s="2506" t="s">
        <v>147</v>
      </c>
      <c r="D467" s="1459"/>
      <c r="E467" s="1459"/>
      <c r="F467" s="1460">
        <f ca="1">F462*(1-'Intermediate output'!AY$253)</f>
        <v>0</v>
      </c>
      <c r="G467" s="1460">
        <f ca="1">G462*(1-'Intermediate output'!AZ$253)</f>
        <v>0</v>
      </c>
      <c r="H467" s="1460">
        <f ca="1">H462*(1-'Intermediate output'!BA$253)</f>
        <v>0</v>
      </c>
      <c r="I467" s="1460">
        <f ca="1">I462*(1-'Intermediate output'!BB$253)</f>
        <v>0</v>
      </c>
      <c r="J467" s="1460">
        <f ca="1">J462*(1-'Intermediate output'!BC$253)</f>
        <v>0</v>
      </c>
      <c r="K467" s="1460">
        <f ca="1">K462*(1-'Intermediate output'!BD$253)</f>
        <v>0</v>
      </c>
      <c r="L467" s="1460">
        <f ca="1">L462*(1-'Intermediate output'!BE$253)</f>
        <v>0</v>
      </c>
      <c r="M467" s="1460">
        <f ca="1">M462*(1-'Intermediate output'!BF$253)</f>
        <v>0</v>
      </c>
      <c r="N467" s="1460">
        <f ca="1">N462*(1-'Intermediate output'!BG$253)</f>
        <v>0</v>
      </c>
      <c r="O467" s="1077"/>
      <c r="R467" s="6"/>
      <c r="S467" s="374"/>
      <c r="T467" s="6"/>
    </row>
    <row r="468" spans="2:20">
      <c r="C468" s="2506" t="s">
        <v>145</v>
      </c>
      <c r="D468" s="1459"/>
      <c r="E468" s="1459"/>
      <c r="F468" s="1460">
        <f ca="1">F463*(1-'Intermediate output'!AY254)</f>
        <v>2.036207588690456</v>
      </c>
      <c r="G468" s="1460">
        <f ca="1">G463*(1-'Intermediate output'!AZ254)</f>
        <v>2.0393188039986136</v>
      </c>
      <c r="H468" s="1460">
        <f ca="1">H463*(1-'Intermediate output'!BA254)</f>
        <v>2.0459577174943475</v>
      </c>
      <c r="I468" s="1460">
        <f ca="1">I463*(1-'Intermediate output'!BB254)</f>
        <v>2.0343488219103567</v>
      </c>
      <c r="J468" s="1460">
        <f ca="1">J463*(1-'Intermediate output'!BC254)</f>
        <v>2.0181942570588016</v>
      </c>
      <c r="K468" s="1460">
        <f ca="1">K463*(1-'Intermediate output'!BD254)</f>
        <v>1.9996590476412892</v>
      </c>
      <c r="L468" s="1460">
        <f ca="1">L463*(1-'Intermediate output'!BE254)</f>
        <v>1.9790687454856146</v>
      </c>
      <c r="M468" s="1460">
        <f ca="1">M463*(1-'Intermediate output'!BF254)</f>
        <v>1.9559504194487645</v>
      </c>
      <c r="N468" s="1460">
        <f ca="1">N463*(1-'Intermediate output'!BG254)</f>
        <v>1.9309574194627914</v>
      </c>
      <c r="O468" s="1077"/>
      <c r="R468" s="6"/>
      <c r="S468" s="374"/>
      <c r="T468" s="6"/>
    </row>
    <row r="469" spans="2:20">
      <c r="C469" s="2506" t="s">
        <v>142</v>
      </c>
      <c r="D469" s="1459"/>
      <c r="E469" s="1459"/>
      <c r="F469" s="1460">
        <f ca="1">F464*(1-'Intermediate output'!AY255)</f>
        <v>0</v>
      </c>
      <c r="G469" s="1460">
        <f ca="1">G464*(1-'Intermediate output'!AZ255)</f>
        <v>0</v>
      </c>
      <c r="H469" s="1460">
        <f ca="1">H464*(1-'Intermediate output'!BA255)</f>
        <v>0</v>
      </c>
      <c r="I469" s="1460">
        <f ca="1">I464*(1-'Intermediate output'!BB255)</f>
        <v>0</v>
      </c>
      <c r="J469" s="1460">
        <f ca="1">J464*(1-'Intermediate output'!BC255)</f>
        <v>0</v>
      </c>
      <c r="K469" s="1460">
        <f ca="1">K464*(1-'Intermediate output'!BD255)</f>
        <v>0</v>
      </c>
      <c r="L469" s="1460">
        <f ca="1">L464*(1-'Intermediate output'!BE255)</f>
        <v>0</v>
      </c>
      <c r="M469" s="1460">
        <f ca="1">M464*(1-'Intermediate output'!BF255)</f>
        <v>0</v>
      </c>
      <c r="N469" s="1460">
        <f ca="1">N464*(1-'Intermediate output'!BG255)</f>
        <v>0</v>
      </c>
      <c r="O469" s="1077"/>
      <c r="R469" s="6"/>
      <c r="S469" s="374"/>
      <c r="T469" s="6"/>
    </row>
    <row r="470" spans="2:20">
      <c r="C470" s="2506" t="s">
        <v>148</v>
      </c>
      <c r="D470" s="1459"/>
      <c r="E470" s="1459"/>
      <c r="F470" s="1460">
        <f ca="1">F462*('Intermediate output'!AY$253)</f>
        <v>0</v>
      </c>
      <c r="G470" s="1460">
        <f ca="1">G462*('Intermediate output'!AZ$253)</f>
        <v>0</v>
      </c>
      <c r="H470" s="1460">
        <f ca="1">H462*('Intermediate output'!BA$253)</f>
        <v>0</v>
      </c>
      <c r="I470" s="1460">
        <f ca="1">I462*('Intermediate output'!BB$253)</f>
        <v>0</v>
      </c>
      <c r="J470" s="1460">
        <f ca="1">J462*('Intermediate output'!BC$253)</f>
        <v>0</v>
      </c>
      <c r="K470" s="1460">
        <f ca="1">K462*('Intermediate output'!BD$253)</f>
        <v>0</v>
      </c>
      <c r="L470" s="1460">
        <f ca="1">L462*('Intermediate output'!BE$253)</f>
        <v>0</v>
      </c>
      <c r="M470" s="1460">
        <f ca="1">M462*('Intermediate output'!BF$253)</f>
        <v>0</v>
      </c>
      <c r="N470" s="1460">
        <f ca="1">N462*('Intermediate output'!BG$253)</f>
        <v>0</v>
      </c>
      <c r="O470" s="1077"/>
      <c r="R470" s="6"/>
      <c r="S470" s="374"/>
      <c r="T470" s="6"/>
    </row>
    <row r="471" spans="2:20">
      <c r="C471" s="2506" t="s">
        <v>146</v>
      </c>
      <c r="D471" s="1459"/>
      <c r="E471" s="1459"/>
      <c r="F471" s="1460">
        <f ca="1">F463*'Intermediate output'!AY254</f>
        <v>2.5692411309544368E-2</v>
      </c>
      <c r="G471" s="1460">
        <f ca="1">G463*'Intermediate output'!AZ254</f>
        <v>3.1901288285701497E-2</v>
      </c>
      <c r="H471" s="1460">
        <f ca="1">H463*'Intermediate output'!BA254</f>
        <v>4.9354344422862816E-2</v>
      </c>
      <c r="I471" s="1460">
        <f ca="1">I463*'Intermediate output'!BB254</f>
        <v>8.6159403278264102E-2</v>
      </c>
      <c r="J471" s="1460">
        <f ca="1">J463*'Intermediate output'!BC254</f>
        <v>0.12858159436239203</v>
      </c>
      <c r="K471" s="1460">
        <f ca="1">K463*'Intermediate output'!BD254</f>
        <v>0.17442413250405131</v>
      </c>
      <c r="L471" s="1460">
        <f ca="1">L463*'Intermediate output'!BE254</f>
        <v>0.22333064685455697</v>
      </c>
      <c r="M471" s="1460">
        <f ca="1">M463*'Intermediate output'!BF254</f>
        <v>0.27574416307820404</v>
      </c>
      <c r="N471" s="1460">
        <f ca="1">N463*'Intermediate output'!BG254</f>
        <v>0.33098231222699143</v>
      </c>
      <c r="O471" s="1077"/>
      <c r="R471" s="6"/>
      <c r="S471" s="374"/>
      <c r="T471" s="6"/>
    </row>
    <row r="472" spans="2:20">
      <c r="C472" s="2506" t="s">
        <v>848</v>
      </c>
      <c r="D472" s="1459"/>
      <c r="E472" s="1459"/>
      <c r="F472" s="1460">
        <f ca="1">F464*'Intermediate output'!AY255</f>
        <v>0</v>
      </c>
      <c r="G472" s="1460">
        <f ca="1">G464*'Intermediate output'!AZ255</f>
        <v>0</v>
      </c>
      <c r="H472" s="1460">
        <f ca="1">H464*'Intermediate output'!BA255</f>
        <v>0</v>
      </c>
      <c r="I472" s="1460">
        <f ca="1">I464*'Intermediate output'!BB255</f>
        <v>0</v>
      </c>
      <c r="J472" s="1460">
        <f ca="1">J464*'Intermediate output'!BC255</f>
        <v>0</v>
      </c>
      <c r="K472" s="1460">
        <f ca="1">K464*'Intermediate output'!BD255</f>
        <v>0</v>
      </c>
      <c r="L472" s="1460">
        <f ca="1">L464*'Intermediate output'!BE255</f>
        <v>0</v>
      </c>
      <c r="M472" s="1460">
        <f ca="1">M464*'Intermediate output'!BF255</f>
        <v>0</v>
      </c>
      <c r="N472" s="1460">
        <f ca="1">N464*'Intermediate output'!BG255</f>
        <v>0</v>
      </c>
      <c r="O472" s="1077"/>
      <c r="R472" s="6"/>
      <c r="S472" s="374"/>
      <c r="T472" s="6"/>
    </row>
    <row r="473" spans="2:20" ht="15.75">
      <c r="B473" s="2571"/>
      <c r="C473" s="1459"/>
      <c r="D473" s="1459"/>
      <c r="E473" s="1459"/>
      <c r="F473" s="2651"/>
      <c r="G473" s="2651"/>
      <c r="H473" s="2651"/>
      <c r="I473" s="2651"/>
      <c r="J473" s="2651"/>
      <c r="K473" s="2651"/>
      <c r="L473" s="2651"/>
      <c r="M473" s="2651"/>
      <c r="N473" s="2651"/>
      <c r="O473" s="1077"/>
      <c r="R473" s="6"/>
      <c r="S473" s="374"/>
      <c r="T473" s="6"/>
    </row>
    <row r="474" spans="2:20">
      <c r="B474" s="86" t="s">
        <v>260</v>
      </c>
      <c r="C474" s="2653" t="s">
        <v>261</v>
      </c>
      <c r="E474" s="1431" t="s">
        <v>850</v>
      </c>
      <c r="F474" s="2654">
        <f ca="1">SUMPRODUCT(F467:F469,F215:F217)+SUMPRODUCT(F470:F472,F215:F217,Constants!$F$35:$F$37)</f>
        <v>0.18436870021034732</v>
      </c>
      <c r="G474" s="2654">
        <f ca="1">SUMPRODUCT(G467:G469,G215:G217)+SUMPRODUCT(G470:G472,G215:G217,Constants!$F$35:$F$37)</f>
        <v>0.18712124824436344</v>
      </c>
      <c r="H474" s="2654">
        <f ca="1">SUMPRODUCT(H467:H469,H215:H217)+SUMPRODUCT(H470:H472,H215:H217,Constants!$F$35:$F$37)</f>
        <v>0.19467851501874192</v>
      </c>
      <c r="I474" s="2654">
        <f ca="1">SUMPRODUCT(I467:I469,I215:I217)+SUMPRODUCT(I470:I472,I215:I217,Constants!$F$35:$F$37)</f>
        <v>0.20842593554456015</v>
      </c>
      <c r="J474" s="2654">
        <f ca="1">SUMPRODUCT(J467:J469,J215:J217)+SUMPRODUCT(J470:J472,J215:J217,Constants!$F$35:$F$37)</f>
        <v>0.22403431734951387</v>
      </c>
      <c r="K474" s="2654">
        <f ca="1">SUMPRODUCT(K467:K469,K215:K217)+SUMPRODUCT(K470:K472,K215:K217,Constants!$F$35:$F$37)</f>
        <v>0.24080897222680425</v>
      </c>
      <c r="L474" s="2654">
        <f ca="1">SUMPRODUCT(L467:L469,L215:L217)+SUMPRODUCT(L470:L472,L215:L217,Constants!$F$35:$F$37)</f>
        <v>0.25863501091590779</v>
      </c>
      <c r="M474" s="2654">
        <f ca="1">SUMPRODUCT(M467:M469,M215:M217)+SUMPRODUCT(M470:M472,M215:M217,Constants!$F$35:$F$37)</f>
        <v>0.27764942692367395</v>
      </c>
      <c r="N474" s="2654">
        <f ca="1">SUMPRODUCT(N467:N469,N215:N217)+SUMPRODUCT(N470:N472,N215:N217,Constants!$F$35:$F$37)</f>
        <v>0.29763479760887462</v>
      </c>
      <c r="O474" s="1077"/>
      <c r="R474" s="6"/>
      <c r="S474" s="374"/>
      <c r="T474" s="6"/>
    </row>
    <row r="475" spans="2:20">
      <c r="B475" s="86" t="s">
        <v>260</v>
      </c>
      <c r="C475" s="2653" t="s">
        <v>261</v>
      </c>
      <c r="D475" s="2506" t="s">
        <v>2083</v>
      </c>
      <c r="E475" s="1431"/>
      <c r="F475" s="2654">
        <v>10.757999999999999</v>
      </c>
      <c r="G475" s="2654">
        <f>$F475*SUM(G$311:G$313)/SUM($F$311:$F$313)</f>
        <v>10.703627695718396</v>
      </c>
      <c r="H475" s="2654">
        <f>$F475*SUM(H$311:H$313)/SUM($F$311:$F$313)</f>
        <v>10.570525918175846</v>
      </c>
      <c r="I475" s="2654">
        <f t="shared" ref="I475:N475" si="68">$F475*SUM(I$311:I$313)/SUM($F$311:$F$313)</f>
        <v>10.441369563958032</v>
      </c>
      <c r="J475" s="2654">
        <f t="shared" si="68"/>
        <v>10.316041682221034</v>
      </c>
      <c r="K475" s="2654">
        <f t="shared" si="68"/>
        <v>10.19442878879579</v>
      </c>
      <c r="L475" s="2654">
        <f t="shared" si="68"/>
        <v>10.076420763428418</v>
      </c>
      <c r="M475" s="2654">
        <f t="shared" si="68"/>
        <v>9.9619107500664938</v>
      </c>
      <c r="N475" s="2654">
        <f t="shared" si="68"/>
        <v>9.8507950601011096</v>
      </c>
      <c r="O475" s="1077"/>
      <c r="R475" s="6"/>
      <c r="S475" s="374"/>
      <c r="T475" s="6"/>
    </row>
    <row r="476" spans="2:20">
      <c r="B476" s="86" t="s">
        <v>262</v>
      </c>
      <c r="C476" s="2653" t="s">
        <v>263</v>
      </c>
      <c r="E476" s="86"/>
      <c r="F476" s="2654">
        <f ca="1">SUMPRODUCT(F467:F469,F222:F224)+SUMPRODUCT(F470:F472,F222:F224,Constants!$G$35:$G$37)</f>
        <v>1.3048750480818154</v>
      </c>
      <c r="G476" s="2654">
        <f ca="1">SUMPRODUCT(G467:G469,G222:G224)+SUMPRODUCT(G470:G472,G222:G224,Constants!$G$35:$G$37)</f>
        <v>1.3077774250575518</v>
      </c>
      <c r="H476" s="2654">
        <f ca="1">SUMPRODUCT(H467:H469,H222:H224)+SUMPRODUCT(H470:H472,H222:H224,Constants!$G$35:$G$37)</f>
        <v>1.3145898498915387</v>
      </c>
      <c r="I476" s="2654">
        <f ca="1">SUMPRODUCT(I467:I469,I222:I224)+SUMPRODUCT(I470:I472,I222:I224,Constants!$G$35:$G$37)</f>
        <v>1.312592295034416</v>
      </c>
      <c r="J476" s="2654">
        <f ca="1">SUMPRODUCT(J467:J469,J222:J224)+SUMPRODUCT(J470:J472,J222:J224,Constants!$G$35:$G$37)</f>
        <v>1.3085173922232407</v>
      </c>
      <c r="K476" s="2654">
        <f ca="1">SUMPRODUCT(K467:K469,K222:K224)+SUMPRODUCT(K470:K472,K222:K224,Constants!$G$35:$G$37)</f>
        <v>1.3034250241017658</v>
      </c>
      <c r="L476" s="2654">
        <f ca="1">SUMPRODUCT(L467:L469,L222:L224)+SUMPRODUCT(L470:L472,L222:L224,Constants!$G$35:$G$37)</f>
        <v>1.2974707284043034</v>
      </c>
      <c r="M476" s="2654">
        <f ca="1">SUMPRODUCT(M467:M469,M222:M224)+SUMPRODUCT(M470:M472,M222:M224,Constants!$G$35:$G$37)</f>
        <v>1.2904175569252925</v>
      </c>
      <c r="N476" s="2654">
        <f ca="1">SUMPRODUCT(N467:N469,N222:N224)+SUMPRODUCT(N470:N472,N222:N224,Constants!$G$35:$G$37)</f>
        <v>1.2825824934406123</v>
      </c>
      <c r="O476" s="1077"/>
      <c r="R476" s="6"/>
      <c r="S476" s="374"/>
      <c r="T476" s="6"/>
    </row>
    <row r="477" spans="2:20">
      <c r="B477" s="86" t="s">
        <v>264</v>
      </c>
      <c r="C477" s="2653" t="s">
        <v>265</v>
      </c>
      <c r="E477" s="86"/>
      <c r="F477" s="2654">
        <f ca="1">SUMPRODUCT(F467:F469,F229:F231)+SUMPRODUCT(F470:F472,F229:F231,Constants!$H$35:$H$37)</f>
        <v>2.5125845280421322</v>
      </c>
      <c r="G477" s="2654">
        <f ca="1">SUMPRODUCT(G467:G469,G229:G231)+SUMPRODUCT(G470:G472,G229:G231,Constants!$H$35:$H$37)</f>
        <v>2.5165230704728936</v>
      </c>
      <c r="H477" s="2654">
        <f ca="1">SUMPRODUCT(H467:H469,H229:H231)+SUMPRODUCT(H470:H472,H229:H231,Constants!$H$35:$H$37)</f>
        <v>2.8936990446612718</v>
      </c>
      <c r="I477" s="2654">
        <f ca="1">SUMPRODUCT(I467:I469,I229:I231)+SUMPRODUCT(I470:I472,I229:I231,Constants!$H$35:$H$37)</f>
        <v>2.8779650782542383</v>
      </c>
      <c r="J477" s="2654">
        <f ca="1">SUMPRODUCT(J467:J469,J229:J231)+SUMPRODUCT(J470:J472,J229:J231,Constants!$H$35:$H$37)</f>
        <v>2.8559077374509108</v>
      </c>
      <c r="K477" s="2654">
        <f ca="1">SUMPRODUCT(K467:K469,K229:K231)+SUMPRODUCT(K470:K472,K229:K231,Constants!$H$35:$H$37)</f>
        <v>2.8305475779256262</v>
      </c>
      <c r="L477" s="2654">
        <f ca="1">SUMPRODUCT(L467:L469,L229:L231)+SUMPRODUCT(L470:L472,L229:L231,Constants!$H$35:$H$37)</f>
        <v>2.8023383154448784</v>
      </c>
      <c r="M477" s="2654">
        <f ca="1">SUMPRODUCT(M467:M469,M229:M231)+SUMPRODUCT(M470:M472,M229:M231,Constants!$H$35:$H$37)</f>
        <v>2.7706194548354213</v>
      </c>
      <c r="N477" s="2654">
        <f ca="1">SUMPRODUCT(N467:N469,N229:N231)+SUMPRODUCT(N470:N472,N229:N231,Constants!$H$35:$H$37)</f>
        <v>2.736302164720644</v>
      </c>
      <c r="O477" s="1077"/>
      <c r="R477" s="6"/>
      <c r="S477" s="374"/>
      <c r="T477" s="6"/>
    </row>
    <row r="478" spans="2:20">
      <c r="B478" s="86" t="s">
        <v>266</v>
      </c>
      <c r="C478" s="2653" t="s">
        <v>267</v>
      </c>
      <c r="E478" s="86"/>
      <c r="F478" s="2654">
        <f ca="1">SUMPRODUCT(F467:F469,F236:F238)+SUMPRODUCT(F470:F472,F236:F238,Constants!$I$35:$I$37)</f>
        <v>2.5825987206012018E-2</v>
      </c>
      <c r="G478" s="2654">
        <f ca="1">SUMPRODUCT(G467:G469,G236:G238)+SUMPRODUCT(G470:G472,G236:G238,Constants!$I$35:$I$37)</f>
        <v>2.6471939905928978E-2</v>
      </c>
      <c r="H478" s="2654">
        <f ca="1">SUMPRODUCT(H467:H469,H236:H238)+SUMPRODUCT(H470:H472,H236:H238,Constants!$I$35:$I$37)</f>
        <v>2.8263596267639565E-2</v>
      </c>
      <c r="I478" s="2654">
        <f ca="1">SUMPRODUCT(I467:I469,I236:I238)+SUMPRODUCT(I470:I472,I236:I238,Constants!$I$35:$I$37)</f>
        <v>3.1748802019958861E-2</v>
      </c>
      <c r="J478" s="2654">
        <f ca="1">SUMPRODUCT(J467:J469,J236:J238)+SUMPRODUCT(J470:J472,J236:J238,Constants!$I$35:$I$37)</f>
        <v>3.5734172389320869E-2</v>
      </c>
      <c r="K478" s="2654">
        <f ca="1">SUMPRODUCT(K467:K469,K236:K238)+SUMPRODUCT(K470:K472,K236:K238,Constants!$I$35:$I$37)</f>
        <v>4.0028531278647292E-2</v>
      </c>
      <c r="L478" s="2654">
        <f ca="1">SUMPRODUCT(L467:L469,L236:L238)+SUMPRODUCT(L470:L472,L236:L238,Constants!$I$35:$I$37)</f>
        <v>4.4600571669557984E-2</v>
      </c>
      <c r="M478" s="2654">
        <f ca="1">SUMPRODUCT(M467:M469,M236:M238)+SUMPRODUCT(M470:M472,M236:M238,Constants!$I$35:$I$37)</f>
        <v>4.9488432542688726E-2</v>
      </c>
      <c r="N478" s="2654">
        <f ca="1">SUMPRODUCT(N467:N469,N236:N238)+SUMPRODUCT(N470:N472,N236:N238,Constants!$I$35:$I$37)</f>
        <v>5.4632511296819383E-2</v>
      </c>
      <c r="O478" s="1077"/>
      <c r="R478" s="6"/>
      <c r="S478" s="374"/>
      <c r="T478" s="6"/>
    </row>
    <row r="479" spans="2:20" ht="15.75">
      <c r="B479" s="2571"/>
      <c r="C479" s="1077"/>
      <c r="D479" s="1432"/>
      <c r="E479" s="1077"/>
      <c r="F479" s="2655"/>
      <c r="G479" s="2655"/>
      <c r="H479" s="2655"/>
      <c r="I479" s="2655"/>
      <c r="J479" s="2655"/>
      <c r="K479" s="2655"/>
      <c r="L479" s="2655"/>
      <c r="M479" s="2655"/>
      <c r="N479" s="2655"/>
      <c r="O479" s="1077"/>
      <c r="R479" s="6"/>
    </row>
    <row r="480" spans="2:20">
      <c r="B480" s="363">
        <v>4</v>
      </c>
      <c r="C480" s="363" t="s">
        <v>2791</v>
      </c>
      <c r="E480" s="382"/>
      <c r="F480" s="1327"/>
      <c r="G480" s="1327"/>
      <c r="H480" s="1327"/>
      <c r="I480" s="1327"/>
      <c r="J480" s="1327"/>
      <c r="K480" s="1327"/>
      <c r="L480" s="1327"/>
      <c r="M480" s="1327"/>
      <c r="N480" s="1327"/>
    </row>
    <row r="481" spans="1:25" s="398" customFormat="1" hidden="1">
      <c r="C481" s="432"/>
      <c r="E481" s="1720"/>
      <c r="F481" s="1641"/>
      <c r="G481" s="1641"/>
      <c r="H481" s="1641"/>
      <c r="I481" s="1641"/>
      <c r="J481" s="1641"/>
      <c r="K481" s="1641"/>
      <c r="L481" s="1641"/>
      <c r="M481" s="1641"/>
      <c r="N481" s="1641"/>
    </row>
    <row r="482" spans="1:25" hidden="1">
      <c r="A482" s="398"/>
      <c r="B482" s="398"/>
      <c r="C482" s="432" t="s">
        <v>581</v>
      </c>
      <c r="D482" s="398"/>
      <c r="E482" s="1720"/>
      <c r="F482" s="1641"/>
      <c r="G482" s="1641"/>
      <c r="H482" s="1641"/>
      <c r="I482" s="1641"/>
      <c r="J482" s="1641"/>
      <c r="K482" s="1641"/>
      <c r="L482" s="1641"/>
      <c r="M482" s="1641"/>
      <c r="N482" s="1641"/>
      <c r="O482" s="398"/>
      <c r="Q482" s="398"/>
      <c r="R482" s="398"/>
      <c r="S482" s="398"/>
      <c r="T482" s="398"/>
    </row>
    <row r="483" spans="1:25" hidden="1">
      <c r="A483" s="398"/>
      <c r="B483" s="398"/>
      <c r="C483" s="432" t="s">
        <v>740</v>
      </c>
      <c r="D483" s="398"/>
      <c r="E483" s="1720"/>
      <c r="F483" s="2656">
        <v>2013</v>
      </c>
      <c r="G483" s="2656">
        <v>2015</v>
      </c>
      <c r="H483" s="2656">
        <v>2020</v>
      </c>
      <c r="I483" s="2656">
        <v>2025</v>
      </c>
      <c r="J483" s="2656">
        <v>2030</v>
      </c>
      <c r="K483" s="2656">
        <v>2035</v>
      </c>
      <c r="L483" s="2656">
        <v>2040</v>
      </c>
      <c r="M483" s="2656">
        <v>2045</v>
      </c>
      <c r="N483" s="2656">
        <v>2050</v>
      </c>
      <c r="O483" s="398"/>
      <c r="Q483" s="398"/>
      <c r="R483" s="398"/>
      <c r="S483" s="398"/>
      <c r="T483" s="398"/>
    </row>
    <row r="484" spans="1:25" hidden="1">
      <c r="A484" s="398"/>
      <c r="B484" s="398"/>
      <c r="C484" s="302" t="s">
        <v>381</v>
      </c>
      <c r="D484" s="398"/>
      <c r="E484" s="1720" t="s">
        <v>2824</v>
      </c>
      <c r="F484" s="2657"/>
      <c r="G484" s="2657"/>
      <c r="H484" s="2657"/>
      <c r="I484" s="2657"/>
      <c r="J484" s="2657"/>
      <c r="K484" s="2657"/>
      <c r="L484" s="2657"/>
      <c r="M484" s="2657"/>
      <c r="N484" s="2657"/>
      <c r="O484" s="398"/>
      <c r="Q484" s="398"/>
      <c r="R484" s="398"/>
      <c r="S484" s="398"/>
      <c r="T484" s="398"/>
      <c r="U484" s="6"/>
      <c r="V484" s="6"/>
      <c r="W484" s="6"/>
      <c r="X484" s="6"/>
      <c r="Y484" s="6"/>
    </row>
    <row r="485" spans="1:25" hidden="1">
      <c r="A485" s="398"/>
      <c r="B485" s="398"/>
      <c r="C485" s="302" t="s">
        <v>380</v>
      </c>
      <c r="D485" s="398"/>
      <c r="E485" s="1720"/>
      <c r="F485" s="2657"/>
      <c r="G485" s="2657"/>
      <c r="H485" s="2657"/>
      <c r="I485" s="2657"/>
      <c r="J485" s="2657"/>
      <c r="K485" s="2657"/>
      <c r="L485" s="2657"/>
      <c r="M485" s="2657"/>
      <c r="N485" s="2657"/>
      <c r="O485" s="398"/>
      <c r="Q485" s="398"/>
      <c r="R485" s="398"/>
      <c r="S485" s="398"/>
      <c r="T485" s="398"/>
      <c r="U485" s="6"/>
      <c r="V485" s="6"/>
      <c r="W485" s="6"/>
      <c r="X485" s="6"/>
      <c r="Y485" s="6"/>
    </row>
    <row r="486" spans="1:25" hidden="1">
      <c r="A486" s="398"/>
      <c r="B486" s="398"/>
      <c r="C486" s="302" t="s">
        <v>2021</v>
      </c>
      <c r="D486" s="398"/>
      <c r="E486" s="1720"/>
      <c r="F486" s="2657"/>
      <c r="G486" s="2657"/>
      <c r="H486" s="2657"/>
      <c r="I486" s="2657"/>
      <c r="J486" s="2657"/>
      <c r="K486" s="2657"/>
      <c r="L486" s="2657"/>
      <c r="M486" s="2657"/>
      <c r="N486" s="2657"/>
      <c r="O486" s="398"/>
      <c r="Q486" s="398"/>
      <c r="R486" s="398"/>
      <c r="S486" s="398"/>
      <c r="T486" s="398"/>
      <c r="U486" s="6"/>
      <c r="V486" s="6"/>
      <c r="W486" s="6"/>
      <c r="X486" s="6"/>
      <c r="Y486" s="6"/>
    </row>
    <row r="487" spans="1:25" hidden="1">
      <c r="A487" s="398"/>
      <c r="B487" s="398"/>
      <c r="C487" s="302" t="s">
        <v>2022</v>
      </c>
      <c r="D487" s="398"/>
      <c r="E487" s="1720"/>
      <c r="F487" s="2657"/>
      <c r="G487" s="2657"/>
      <c r="H487" s="2657"/>
      <c r="I487" s="2657"/>
      <c r="J487" s="2657"/>
      <c r="K487" s="2657"/>
      <c r="L487" s="2657"/>
      <c r="M487" s="2657"/>
      <c r="N487" s="2657"/>
      <c r="O487" s="398"/>
      <c r="Q487" s="398"/>
      <c r="R487" s="398"/>
      <c r="S487" s="398"/>
      <c r="T487" s="398"/>
      <c r="U487" s="6"/>
      <c r="V487" s="6"/>
      <c r="W487" s="6"/>
      <c r="X487" s="6"/>
      <c r="Y487" s="6"/>
    </row>
    <row r="488" spans="1:25" hidden="1">
      <c r="A488" s="398"/>
      <c r="B488" s="398"/>
      <c r="C488" s="302" t="s">
        <v>2023</v>
      </c>
      <c r="D488" s="398"/>
      <c r="E488" s="1720"/>
      <c r="F488" s="2657"/>
      <c r="G488" s="2657"/>
      <c r="H488" s="2657"/>
      <c r="I488" s="2657"/>
      <c r="J488" s="2657"/>
      <c r="K488" s="2657"/>
      <c r="L488" s="2657"/>
      <c r="M488" s="2657"/>
      <c r="N488" s="2657"/>
      <c r="O488" s="398"/>
      <c r="Q488" s="398"/>
      <c r="R488" s="398"/>
      <c r="S488" s="398"/>
      <c r="T488" s="398"/>
      <c r="U488" s="6"/>
      <c r="V488" s="6"/>
      <c r="W488" s="6"/>
      <c r="X488" s="6"/>
      <c r="Y488" s="6"/>
    </row>
    <row r="489" spans="1:25" hidden="1">
      <c r="A489" s="398"/>
      <c r="B489" s="398"/>
      <c r="C489" s="302" t="s">
        <v>2084</v>
      </c>
      <c r="D489" s="398"/>
      <c r="E489" s="1720"/>
      <c r="F489" s="2657"/>
      <c r="G489" s="2657"/>
      <c r="H489" s="2657"/>
      <c r="I489" s="2657"/>
      <c r="J489" s="2657"/>
      <c r="K489" s="2657"/>
      <c r="L489" s="2657"/>
      <c r="M489" s="2657"/>
      <c r="N489" s="2657"/>
      <c r="O489" s="398"/>
      <c r="Q489" s="398"/>
      <c r="R489" s="398"/>
      <c r="S489" s="398"/>
      <c r="T489" s="398"/>
      <c r="U489" s="6"/>
      <c r="V489" s="6"/>
      <c r="W489" s="6"/>
      <c r="X489" s="6"/>
      <c r="Y489" s="6"/>
    </row>
    <row r="490" spans="1:25" hidden="1">
      <c r="A490" s="398"/>
      <c r="B490" s="398"/>
      <c r="C490" s="398"/>
      <c r="D490" s="398"/>
      <c r="E490" s="398"/>
      <c r="F490" s="398"/>
      <c r="G490" s="398"/>
      <c r="H490" s="398"/>
      <c r="I490" s="398"/>
      <c r="J490" s="398"/>
      <c r="K490" s="398"/>
      <c r="L490" s="398"/>
      <c r="M490" s="398"/>
      <c r="N490" s="398"/>
      <c r="O490" s="398"/>
      <c r="Q490" s="398"/>
      <c r="R490" s="398"/>
      <c r="S490" s="398"/>
      <c r="T490" s="398"/>
      <c r="U490" s="6"/>
      <c r="V490" s="6"/>
      <c r="W490" s="6"/>
      <c r="X490" s="6"/>
      <c r="Y490" s="6"/>
    </row>
    <row r="491" spans="1:25" hidden="1">
      <c r="A491" s="398"/>
      <c r="B491" s="398"/>
      <c r="C491" s="398" t="s">
        <v>2085</v>
      </c>
      <c r="D491" s="398"/>
      <c r="E491" s="1720"/>
      <c r="F491" s="2656"/>
      <c r="G491" s="2656"/>
      <c r="H491" s="2656"/>
      <c r="I491" s="2656"/>
      <c r="J491" s="2656"/>
      <c r="K491" s="2656"/>
      <c r="L491" s="2656"/>
      <c r="M491" s="2656"/>
      <c r="N491" s="2656"/>
      <c r="O491" s="398"/>
      <c r="Q491" s="398"/>
      <c r="R491" s="398"/>
      <c r="S491" s="398"/>
      <c r="T491" s="398"/>
    </row>
    <row r="492" spans="1:25" hidden="1">
      <c r="A492" s="398"/>
      <c r="B492" s="398"/>
      <c r="C492" s="302" t="s">
        <v>2076</v>
      </c>
      <c r="D492" s="398"/>
      <c r="E492" s="1720" t="s">
        <v>2086</v>
      </c>
      <c r="F492" s="2658"/>
      <c r="G492" s="2658"/>
      <c r="H492" s="2658"/>
      <c r="I492" s="2658"/>
      <c r="J492" s="2658"/>
      <c r="K492" s="2658"/>
      <c r="L492" s="2658"/>
      <c r="M492" s="2658"/>
      <c r="N492" s="2658"/>
      <c r="O492" s="398"/>
      <c r="Q492" s="398"/>
      <c r="R492" s="398"/>
      <c r="S492" s="398"/>
      <c r="T492" s="398"/>
    </row>
    <row r="493" spans="1:25" hidden="1">
      <c r="A493" s="398"/>
      <c r="B493" s="398"/>
      <c r="C493" s="302"/>
      <c r="D493" s="302"/>
      <c r="E493" s="1720" t="s">
        <v>2824</v>
      </c>
      <c r="F493" s="2657"/>
      <c r="G493" s="2657"/>
      <c r="H493" s="2657"/>
      <c r="I493" s="2657"/>
      <c r="J493" s="2657"/>
      <c r="K493" s="2657"/>
      <c r="L493" s="2657"/>
      <c r="M493" s="2657"/>
      <c r="N493" s="2657"/>
      <c r="O493" s="398"/>
      <c r="Q493" s="398"/>
      <c r="R493" s="398"/>
      <c r="S493" s="398"/>
      <c r="T493" s="398"/>
    </row>
    <row r="494" spans="1:25" hidden="1">
      <c r="A494" s="398"/>
      <c r="B494" s="398"/>
      <c r="C494" s="398" t="s">
        <v>2087</v>
      </c>
      <c r="D494" s="398"/>
      <c r="E494" s="1720" t="s">
        <v>2088</v>
      </c>
      <c r="F494" s="2659"/>
      <c r="G494" s="2659"/>
      <c r="H494" s="2659"/>
      <c r="I494" s="2659"/>
      <c r="J494" s="2659"/>
      <c r="K494" s="2659"/>
      <c r="L494" s="2659"/>
      <c r="M494" s="2659"/>
      <c r="N494" s="2659"/>
      <c r="O494" s="398"/>
      <c r="Q494" s="398"/>
      <c r="R494" s="398"/>
      <c r="S494" s="398"/>
      <c r="T494" s="398"/>
    </row>
    <row r="495" spans="1:25" hidden="1">
      <c r="A495" s="398"/>
      <c r="B495" s="398"/>
      <c r="C495" s="302"/>
      <c r="D495" s="302"/>
      <c r="E495" s="1720" t="s">
        <v>2824</v>
      </c>
      <c r="F495" s="2657"/>
      <c r="G495" s="2657"/>
      <c r="H495" s="2657"/>
      <c r="I495" s="2657"/>
      <c r="J495" s="2657"/>
      <c r="K495" s="2657"/>
      <c r="L495" s="2657"/>
      <c r="M495" s="2657"/>
      <c r="N495" s="2657"/>
      <c r="O495" s="398"/>
      <c r="Q495" s="398"/>
      <c r="R495" s="398"/>
      <c r="S495" s="398"/>
      <c r="T495" s="398"/>
    </row>
    <row r="496" spans="1:25" hidden="1">
      <c r="A496" s="398"/>
      <c r="B496" s="398"/>
      <c r="C496" s="398" t="s">
        <v>2089</v>
      </c>
      <c r="D496" s="398"/>
      <c r="E496" s="1720" t="s">
        <v>2090</v>
      </c>
      <c r="F496" s="2659"/>
      <c r="G496" s="2659"/>
      <c r="H496" s="2659"/>
      <c r="I496" s="2659"/>
      <c r="J496" s="2659"/>
      <c r="K496" s="2659"/>
      <c r="L496" s="2659"/>
      <c r="M496" s="2659"/>
      <c r="N496" s="2659"/>
      <c r="O496" s="398"/>
      <c r="Q496" s="398" t="s">
        <v>2091</v>
      </c>
      <c r="R496" s="398"/>
      <c r="S496" s="398"/>
      <c r="T496" s="398"/>
    </row>
    <row r="497" spans="1:25" hidden="1">
      <c r="A497" s="398"/>
      <c r="B497" s="398"/>
      <c r="C497" s="302"/>
      <c r="D497" s="302"/>
      <c r="E497" s="1720" t="s">
        <v>2824</v>
      </c>
      <c r="F497" s="2657"/>
      <c r="G497" s="2657"/>
      <c r="H497" s="2657"/>
      <c r="I497" s="2657"/>
      <c r="J497" s="2657"/>
      <c r="K497" s="2657"/>
      <c r="L497" s="2657"/>
      <c r="M497" s="2657"/>
      <c r="N497" s="2657"/>
      <c r="O497" s="398"/>
      <c r="Q497" s="398"/>
      <c r="R497" s="398"/>
      <c r="S497" s="398"/>
      <c r="T497" s="398"/>
    </row>
    <row r="498" spans="1:25" s="398" customFormat="1" hidden="1">
      <c r="C498" s="302"/>
      <c r="D498" s="302"/>
      <c r="E498" s="1720"/>
      <c r="F498" s="2657"/>
      <c r="G498" s="2657"/>
      <c r="H498" s="2657"/>
      <c r="I498" s="2657"/>
      <c r="J498" s="2657"/>
      <c r="K498" s="2657"/>
      <c r="L498" s="2657"/>
      <c r="M498" s="2657"/>
      <c r="N498" s="2657"/>
    </row>
    <row r="499" spans="1:25" hidden="1">
      <c r="A499" s="398"/>
      <c r="B499" s="398"/>
      <c r="C499" s="432" t="s">
        <v>739</v>
      </c>
      <c r="D499" s="398"/>
      <c r="E499" s="398"/>
      <c r="F499" s="2656">
        <v>2013</v>
      </c>
      <c r="G499" s="2656">
        <v>2015</v>
      </c>
      <c r="H499" s="2656">
        <v>2020</v>
      </c>
      <c r="I499" s="2656">
        <v>2025</v>
      </c>
      <c r="J499" s="2656">
        <v>2030</v>
      </c>
      <c r="K499" s="2656">
        <v>2035</v>
      </c>
      <c r="L499" s="2656">
        <v>2040</v>
      </c>
      <c r="M499" s="2656">
        <v>2045</v>
      </c>
      <c r="N499" s="2656">
        <v>2050</v>
      </c>
      <c r="O499" s="398"/>
      <c r="Q499" s="398"/>
      <c r="R499" s="398"/>
      <c r="S499" s="398"/>
      <c r="T499" s="398"/>
    </row>
    <row r="500" spans="1:25" hidden="1">
      <c r="A500" s="398"/>
      <c r="B500" s="398"/>
      <c r="C500" s="302" t="s">
        <v>381</v>
      </c>
      <c r="D500" s="398"/>
      <c r="E500" s="1720" t="s">
        <v>2824</v>
      </c>
      <c r="F500" s="2657"/>
      <c r="G500" s="2657"/>
      <c r="H500" s="2657"/>
      <c r="I500" s="2657"/>
      <c r="J500" s="2657"/>
      <c r="K500" s="2657"/>
      <c r="L500" s="2657"/>
      <c r="M500" s="2657"/>
      <c r="N500" s="2657"/>
      <c r="O500" s="398"/>
      <c r="Q500" s="398"/>
      <c r="R500" s="398"/>
      <c r="S500" s="398"/>
      <c r="T500" s="398"/>
    </row>
    <row r="501" spans="1:25" hidden="1">
      <c r="A501" s="398"/>
      <c r="B501" s="398"/>
      <c r="C501" s="302" t="s">
        <v>380</v>
      </c>
      <c r="D501" s="398"/>
      <c r="E501" s="1720"/>
      <c r="F501" s="2657"/>
      <c r="G501" s="2657"/>
      <c r="H501" s="2657"/>
      <c r="I501" s="2657"/>
      <c r="J501" s="2657"/>
      <c r="K501" s="2657"/>
      <c r="L501" s="2657"/>
      <c r="M501" s="2657"/>
      <c r="N501" s="2657"/>
      <c r="O501" s="398"/>
      <c r="Q501" s="398"/>
      <c r="R501" s="398"/>
      <c r="S501" s="398"/>
      <c r="T501" s="398"/>
    </row>
    <row r="502" spans="1:25" hidden="1">
      <c r="A502" s="398"/>
      <c r="B502" s="398"/>
      <c r="C502" s="302" t="s">
        <v>2021</v>
      </c>
      <c r="D502" s="398"/>
      <c r="E502" s="1720"/>
      <c r="F502" s="2657"/>
      <c r="G502" s="2657"/>
      <c r="H502" s="2657"/>
      <c r="I502" s="2657"/>
      <c r="J502" s="2657"/>
      <c r="K502" s="2657"/>
      <c r="L502" s="2657"/>
      <c r="M502" s="2657"/>
      <c r="N502" s="2657"/>
      <c r="O502" s="398"/>
      <c r="Q502" s="398"/>
      <c r="R502" s="398"/>
      <c r="S502" s="398"/>
      <c r="T502" s="398"/>
    </row>
    <row r="503" spans="1:25" hidden="1">
      <c r="A503" s="398"/>
      <c r="B503" s="398"/>
      <c r="C503" s="302" t="s">
        <v>2022</v>
      </c>
      <c r="D503" s="398"/>
      <c r="E503" s="1720"/>
      <c r="F503" s="2657"/>
      <c r="G503" s="2657"/>
      <c r="H503" s="2657"/>
      <c r="I503" s="2657"/>
      <c r="J503" s="2657"/>
      <c r="K503" s="2657"/>
      <c r="L503" s="2657"/>
      <c r="M503" s="2657"/>
      <c r="N503" s="2657"/>
      <c r="O503" s="398"/>
      <c r="Q503" s="398"/>
      <c r="R503" s="398"/>
      <c r="S503" s="398"/>
      <c r="T503" s="398"/>
    </row>
    <row r="504" spans="1:25" hidden="1">
      <c r="A504" s="398"/>
      <c r="B504" s="398"/>
      <c r="C504" s="302" t="s">
        <v>2023</v>
      </c>
      <c r="D504" s="398"/>
      <c r="E504" s="1720"/>
      <c r="F504" s="2657"/>
      <c r="G504" s="2657"/>
      <c r="H504" s="2657"/>
      <c r="I504" s="2657"/>
      <c r="J504" s="2657"/>
      <c r="K504" s="2657"/>
      <c r="L504" s="2657"/>
      <c r="M504" s="2657"/>
      <c r="N504" s="2657"/>
      <c r="O504" s="398"/>
      <c r="Q504" s="398"/>
      <c r="R504" s="398"/>
      <c r="S504" s="398"/>
      <c r="T504" s="398"/>
    </row>
    <row r="505" spans="1:25" hidden="1">
      <c r="A505" s="398"/>
      <c r="B505" s="398"/>
      <c r="C505" s="302" t="s">
        <v>2084</v>
      </c>
      <c r="D505" s="398"/>
      <c r="E505" s="1720"/>
      <c r="F505" s="2657"/>
      <c r="G505" s="2657"/>
      <c r="H505" s="2657"/>
      <c r="I505" s="2657"/>
      <c r="J505" s="2657"/>
      <c r="K505" s="2657"/>
      <c r="L505" s="2657"/>
      <c r="M505" s="2657"/>
      <c r="N505" s="2657"/>
      <c r="O505" s="398"/>
      <c r="Q505" s="398"/>
      <c r="R505" s="398"/>
      <c r="S505" s="398"/>
      <c r="T505" s="398"/>
    </row>
    <row r="506" spans="1:25" hidden="1">
      <c r="A506" s="398"/>
      <c r="B506" s="398"/>
      <c r="C506" s="432"/>
      <c r="D506" s="398"/>
      <c r="E506" s="1720"/>
      <c r="F506" s="1641"/>
      <c r="G506" s="1641"/>
      <c r="H506" s="1641"/>
      <c r="I506" s="1641"/>
      <c r="J506" s="1641"/>
      <c r="K506" s="1641"/>
      <c r="L506" s="1641"/>
      <c r="M506" s="1641"/>
      <c r="N506" s="1641"/>
      <c r="O506" s="398"/>
      <c r="Q506" s="398"/>
      <c r="R506" s="398"/>
      <c r="S506" s="398"/>
      <c r="T506" s="398"/>
    </row>
    <row r="507" spans="1:25" hidden="1">
      <c r="A507" s="398"/>
      <c r="B507" s="398"/>
      <c r="C507" s="398" t="s">
        <v>2085</v>
      </c>
      <c r="D507" s="398"/>
      <c r="E507" s="1720"/>
      <c r="F507" s="398"/>
      <c r="G507" s="398"/>
      <c r="H507" s="398"/>
      <c r="I507" s="398"/>
      <c r="J507" s="398"/>
      <c r="K507" s="398"/>
      <c r="L507" s="398"/>
      <c r="M507" s="398"/>
      <c r="N507" s="398"/>
      <c r="O507" s="398"/>
      <c r="Q507" s="398"/>
      <c r="R507" s="398"/>
      <c r="S507" s="398"/>
      <c r="T507" s="398"/>
      <c r="X507" s="6"/>
      <c r="Y507" s="6"/>
    </row>
    <row r="508" spans="1:25" hidden="1">
      <c r="A508" s="398"/>
      <c r="B508" s="398"/>
      <c r="C508" s="302" t="s">
        <v>2076</v>
      </c>
      <c r="D508" s="398"/>
      <c r="E508" s="1720" t="s">
        <v>2086</v>
      </c>
      <c r="F508" s="2658"/>
      <c r="G508" s="2658"/>
      <c r="H508" s="2658"/>
      <c r="I508" s="2658"/>
      <c r="J508" s="2658"/>
      <c r="K508" s="2658"/>
      <c r="L508" s="2658"/>
      <c r="M508" s="2658"/>
      <c r="N508" s="2658"/>
      <c r="O508" s="398"/>
      <c r="Q508" s="398"/>
      <c r="R508" s="398"/>
      <c r="S508" s="398"/>
      <c r="T508" s="398"/>
      <c r="X508" s="6"/>
      <c r="Y508" s="6"/>
    </row>
    <row r="509" spans="1:25" hidden="1">
      <c r="A509" s="398"/>
      <c r="B509" s="398"/>
      <c r="C509" s="302"/>
      <c r="D509" s="302"/>
      <c r="E509" s="1720" t="s">
        <v>2824</v>
      </c>
      <c r="F509" s="2657"/>
      <c r="G509" s="2657"/>
      <c r="H509" s="2657"/>
      <c r="I509" s="2657"/>
      <c r="J509" s="2657"/>
      <c r="K509" s="2657"/>
      <c r="L509" s="2657"/>
      <c r="M509" s="2657"/>
      <c r="N509" s="2657"/>
      <c r="O509" s="398"/>
      <c r="Q509" s="398"/>
      <c r="R509" s="398"/>
      <c r="S509" s="398"/>
      <c r="T509" s="398"/>
      <c r="X509" s="6"/>
      <c r="Y509" s="6"/>
    </row>
    <row r="510" spans="1:25" hidden="1">
      <c r="A510" s="398"/>
      <c r="B510" s="398"/>
      <c r="C510" s="398" t="s">
        <v>2087</v>
      </c>
      <c r="D510" s="398"/>
      <c r="E510" s="1720" t="s">
        <v>2088</v>
      </c>
      <c r="F510" s="2659"/>
      <c r="G510" s="2659"/>
      <c r="H510" s="2659"/>
      <c r="I510" s="2659"/>
      <c r="J510" s="2659"/>
      <c r="K510" s="2659"/>
      <c r="L510" s="2659"/>
      <c r="M510" s="2659"/>
      <c r="N510" s="2659"/>
      <c r="O510" s="398"/>
      <c r="Q510" s="398"/>
      <c r="R510" s="398"/>
      <c r="S510" s="398"/>
      <c r="T510" s="398"/>
      <c r="X510" s="6"/>
      <c r="Y510" s="6"/>
    </row>
    <row r="511" spans="1:25" hidden="1">
      <c r="A511" s="398"/>
      <c r="B511" s="398"/>
      <c r="C511" s="302"/>
      <c r="D511" s="302"/>
      <c r="E511" s="1720" t="s">
        <v>2824</v>
      </c>
      <c r="F511" s="2657"/>
      <c r="G511" s="2657"/>
      <c r="H511" s="2657"/>
      <c r="I511" s="2657"/>
      <c r="J511" s="2657"/>
      <c r="K511" s="2657"/>
      <c r="L511" s="2657"/>
      <c r="M511" s="2657"/>
      <c r="N511" s="2657"/>
      <c r="O511" s="398"/>
      <c r="Q511" s="398"/>
      <c r="R511" s="398"/>
      <c r="S511" s="398"/>
      <c r="T511" s="398"/>
      <c r="X511" s="6"/>
      <c r="Y511" s="6"/>
    </row>
    <row r="512" spans="1:25" hidden="1">
      <c r="A512" s="398"/>
      <c r="B512" s="398"/>
      <c r="C512" s="398" t="s">
        <v>2089</v>
      </c>
      <c r="D512" s="398"/>
      <c r="E512" s="1720" t="s">
        <v>2090</v>
      </c>
      <c r="F512" s="2659"/>
      <c r="G512" s="2659"/>
      <c r="H512" s="2659"/>
      <c r="I512" s="2659"/>
      <c r="J512" s="2659"/>
      <c r="K512" s="2659"/>
      <c r="L512" s="2659"/>
      <c r="M512" s="2659"/>
      <c r="N512" s="2659"/>
      <c r="O512" s="398"/>
      <c r="Q512" s="398" t="s">
        <v>2091</v>
      </c>
      <c r="R512" s="398"/>
      <c r="S512" s="398"/>
      <c r="T512" s="398"/>
      <c r="X512" s="6"/>
      <c r="Y512" s="6"/>
    </row>
    <row r="513" spans="1:33" hidden="1">
      <c r="A513" s="398"/>
      <c r="B513" s="398"/>
      <c r="C513" s="302"/>
      <c r="D513" s="302"/>
      <c r="E513" s="1720" t="s">
        <v>2824</v>
      </c>
      <c r="F513" s="2657"/>
      <c r="G513" s="2657"/>
      <c r="H513" s="2657"/>
      <c r="I513" s="2657"/>
      <c r="J513" s="2657"/>
      <c r="K513" s="2657"/>
      <c r="L513" s="2657"/>
      <c r="M513" s="2657"/>
      <c r="N513" s="2657"/>
      <c r="O513" s="398"/>
      <c r="Q513" s="398"/>
      <c r="R513" s="398"/>
      <c r="S513" s="398"/>
      <c r="T513" s="398"/>
      <c r="X513" s="6"/>
      <c r="Y513" s="6"/>
    </row>
    <row r="514" spans="1:33" s="398" customFormat="1" hidden="1">
      <c r="X514" s="1036"/>
      <c r="Y514" s="1036"/>
    </row>
    <row r="515" spans="1:33" hidden="1">
      <c r="A515" s="398"/>
      <c r="B515" s="398"/>
      <c r="C515" s="432" t="s">
        <v>738</v>
      </c>
      <c r="D515" s="398"/>
      <c r="E515" s="1720"/>
      <c r="F515" s="2656">
        <v>2013</v>
      </c>
      <c r="G515" s="2656">
        <v>2015</v>
      </c>
      <c r="H515" s="2656">
        <v>2020</v>
      </c>
      <c r="I515" s="2656">
        <v>2025</v>
      </c>
      <c r="J515" s="2656">
        <v>2030</v>
      </c>
      <c r="K515" s="2656">
        <v>2035</v>
      </c>
      <c r="L515" s="2656">
        <v>2040</v>
      </c>
      <c r="M515" s="2656">
        <v>2045</v>
      </c>
      <c r="N515" s="2656">
        <v>2050</v>
      </c>
      <c r="O515" s="398"/>
      <c r="Q515" s="398"/>
      <c r="R515" s="398"/>
      <c r="S515" s="398"/>
      <c r="T515" s="398"/>
      <c r="U515" s="6"/>
      <c r="V515" s="6"/>
      <c r="X515" s="6"/>
      <c r="Y515" s="6"/>
    </row>
    <row r="516" spans="1:33" hidden="1">
      <c r="A516" s="398"/>
      <c r="B516" s="398"/>
      <c r="C516" s="302" t="s">
        <v>381</v>
      </c>
      <c r="D516" s="398"/>
      <c r="E516" s="1720" t="s">
        <v>2824</v>
      </c>
      <c r="F516" s="2657"/>
      <c r="G516" s="2657"/>
      <c r="H516" s="2657"/>
      <c r="I516" s="2657"/>
      <c r="J516" s="2657"/>
      <c r="K516" s="2657"/>
      <c r="L516" s="2657"/>
      <c r="M516" s="2657"/>
      <c r="N516" s="2657"/>
      <c r="O516" s="398"/>
      <c r="Q516" s="398"/>
      <c r="R516" s="398"/>
      <c r="S516" s="398"/>
      <c r="T516" s="398"/>
      <c r="U516" s="6"/>
      <c r="V516" s="6"/>
      <c r="W516" s="6"/>
      <c r="X516" s="6"/>
      <c r="Y516" s="6"/>
    </row>
    <row r="517" spans="1:33" hidden="1">
      <c r="A517" s="398"/>
      <c r="B517" s="398"/>
      <c r="C517" s="302" t="s">
        <v>380</v>
      </c>
      <c r="D517" s="398"/>
      <c r="E517" s="1720"/>
      <c r="F517" s="2657"/>
      <c r="G517" s="2657"/>
      <c r="H517" s="2657"/>
      <c r="I517" s="2657"/>
      <c r="J517" s="2657"/>
      <c r="K517" s="2657"/>
      <c r="L517" s="2657"/>
      <c r="M517" s="2657"/>
      <c r="N517" s="2657"/>
      <c r="O517" s="398"/>
      <c r="Q517" s="398"/>
      <c r="R517" s="398"/>
      <c r="S517" s="398"/>
      <c r="T517" s="398"/>
      <c r="U517" s="6"/>
      <c r="V517" s="6"/>
      <c r="W517" s="6"/>
      <c r="X517" s="6"/>
      <c r="Y517" s="6"/>
    </row>
    <row r="518" spans="1:33" hidden="1">
      <c r="A518" s="1077"/>
      <c r="B518" s="398"/>
      <c r="C518" s="302" t="s">
        <v>2021</v>
      </c>
      <c r="D518" s="398"/>
      <c r="E518" s="1720"/>
      <c r="F518" s="2657"/>
      <c r="G518" s="2657"/>
      <c r="H518" s="2657"/>
      <c r="I518" s="2657"/>
      <c r="J518" s="2657"/>
      <c r="K518" s="2657"/>
      <c r="L518" s="2657"/>
      <c r="M518" s="2657"/>
      <c r="N518" s="2657"/>
      <c r="O518" s="398"/>
      <c r="Q518" s="398"/>
      <c r="R518" s="398"/>
      <c r="S518" s="398"/>
      <c r="T518" s="398"/>
      <c r="U518" s="6"/>
      <c r="V518" s="6"/>
      <c r="W518" s="6"/>
      <c r="X518" s="6"/>
      <c r="Y518" s="6"/>
    </row>
    <row r="519" spans="1:33" hidden="1">
      <c r="A519" s="1077"/>
      <c r="B519" s="398"/>
      <c r="C519" s="302" t="s">
        <v>2022</v>
      </c>
      <c r="D519" s="398"/>
      <c r="E519" s="1720"/>
      <c r="F519" s="2657"/>
      <c r="G519" s="2657"/>
      <c r="H519" s="2657"/>
      <c r="I519" s="2657"/>
      <c r="J519" s="2657"/>
      <c r="K519" s="2657"/>
      <c r="L519" s="2657"/>
      <c r="M519" s="2657"/>
      <c r="N519" s="2657"/>
      <c r="O519" s="398"/>
      <c r="Q519" s="398"/>
      <c r="R519" s="398"/>
      <c r="S519" s="398"/>
      <c r="T519" s="398"/>
      <c r="U519" s="6"/>
      <c r="V519" s="6"/>
      <c r="W519" s="6"/>
      <c r="X519" s="6"/>
      <c r="Y519" s="6"/>
    </row>
    <row r="520" spans="1:33" hidden="1">
      <c r="A520" s="1077"/>
      <c r="B520" s="398"/>
      <c r="C520" s="302" t="s">
        <v>2023</v>
      </c>
      <c r="D520" s="398"/>
      <c r="E520" s="1720"/>
      <c r="F520" s="2657"/>
      <c r="G520" s="2657"/>
      <c r="H520" s="2657"/>
      <c r="I520" s="2657"/>
      <c r="J520" s="2657"/>
      <c r="K520" s="2657"/>
      <c r="L520" s="2657"/>
      <c r="M520" s="2657"/>
      <c r="N520" s="2657"/>
      <c r="O520" s="398"/>
      <c r="Q520" s="398"/>
      <c r="R520" s="398"/>
      <c r="S520" s="398"/>
      <c r="T520" s="398"/>
      <c r="U520" s="6"/>
      <c r="V520" s="6"/>
      <c r="W520" s="6"/>
      <c r="X520" s="6"/>
      <c r="Y520" s="6"/>
    </row>
    <row r="521" spans="1:33" hidden="1">
      <c r="A521" s="1077"/>
      <c r="B521" s="398"/>
      <c r="C521" s="302" t="s">
        <v>2084</v>
      </c>
      <c r="D521" s="398"/>
      <c r="E521" s="1720"/>
      <c r="F521" s="2657"/>
      <c r="G521" s="2657"/>
      <c r="H521" s="2657"/>
      <c r="I521" s="2657"/>
      <c r="J521" s="2657"/>
      <c r="K521" s="2657"/>
      <c r="L521" s="2657"/>
      <c r="M521" s="2657"/>
      <c r="N521" s="2657"/>
      <c r="O521" s="398"/>
      <c r="Q521" s="398"/>
      <c r="R521" s="398"/>
      <c r="S521" s="398"/>
      <c r="T521" s="398"/>
      <c r="U521" s="6"/>
      <c r="V521" s="6"/>
      <c r="W521" s="6"/>
      <c r="X521" s="6"/>
      <c r="Y521" s="6"/>
    </row>
    <row r="522" spans="1:33" hidden="1">
      <c r="A522" s="1077"/>
      <c r="B522" s="398"/>
      <c r="C522" s="432"/>
      <c r="D522" s="398"/>
      <c r="E522" s="1720"/>
      <c r="F522" s="1641"/>
      <c r="G522" s="1641"/>
      <c r="H522" s="1641"/>
      <c r="I522" s="1641"/>
      <c r="J522" s="1641"/>
      <c r="K522" s="1641"/>
      <c r="L522" s="1641"/>
      <c r="M522" s="1641"/>
      <c r="N522" s="1641"/>
      <c r="O522" s="398"/>
      <c r="Q522" s="398"/>
      <c r="R522" s="398"/>
      <c r="S522" s="398"/>
      <c r="T522" s="398"/>
      <c r="U522" s="6"/>
      <c r="V522" s="6"/>
      <c r="W522" s="6"/>
      <c r="X522" s="6"/>
      <c r="Y522" s="6"/>
    </row>
    <row r="523" spans="1:33" hidden="1">
      <c r="A523" s="1077"/>
      <c r="B523" s="398"/>
      <c r="C523" s="398" t="s">
        <v>2085</v>
      </c>
      <c r="D523" s="398"/>
      <c r="E523" s="1720"/>
      <c r="F523" s="2656"/>
      <c r="G523" s="2656"/>
      <c r="H523" s="2656"/>
      <c r="I523" s="2656"/>
      <c r="J523" s="2656"/>
      <c r="K523" s="2656"/>
      <c r="L523" s="2656"/>
      <c r="M523" s="2656"/>
      <c r="N523" s="2656"/>
      <c r="O523" s="398"/>
      <c r="Q523" s="398"/>
      <c r="R523" s="398"/>
      <c r="S523" s="398"/>
      <c r="T523" s="398"/>
      <c r="U523" s="6"/>
      <c r="V523" s="6"/>
      <c r="W523" s="6"/>
      <c r="X523" s="6"/>
      <c r="Y523" s="6"/>
    </row>
    <row r="524" spans="1:33" hidden="1">
      <c r="A524" s="398"/>
      <c r="B524" s="398"/>
      <c r="C524" s="1077" t="s">
        <v>2076</v>
      </c>
      <c r="D524" s="398"/>
      <c r="E524" s="1720" t="s">
        <v>2086</v>
      </c>
      <c r="F524" s="2658"/>
      <c r="G524" s="2658"/>
      <c r="H524" s="2658"/>
      <c r="I524" s="2658"/>
      <c r="J524" s="2658"/>
      <c r="K524" s="2658"/>
      <c r="L524" s="2658"/>
      <c r="M524" s="2658"/>
      <c r="N524" s="2658"/>
      <c r="O524" s="398"/>
      <c r="Q524" s="398"/>
      <c r="R524" s="398"/>
      <c r="S524" s="398"/>
      <c r="T524" s="398"/>
      <c r="U524" s="6"/>
      <c r="V524" s="6"/>
      <c r="W524" s="6"/>
      <c r="X524" s="6"/>
      <c r="Y524" s="6"/>
    </row>
    <row r="525" spans="1:33" s="6" customFormat="1" hidden="1">
      <c r="A525" s="398"/>
      <c r="B525" s="398"/>
      <c r="C525" s="302"/>
      <c r="D525" s="302"/>
      <c r="E525" s="1720" t="s">
        <v>2824</v>
      </c>
      <c r="F525" s="2657"/>
      <c r="G525" s="2657"/>
      <c r="H525" s="2657"/>
      <c r="I525" s="2657"/>
      <c r="J525" s="2657"/>
      <c r="K525" s="2657"/>
      <c r="L525" s="2657"/>
      <c r="M525" s="2657"/>
      <c r="N525" s="2657"/>
      <c r="O525" s="398"/>
    </row>
    <row r="526" spans="1:33" hidden="1" collapsed="1">
      <c r="A526" s="398"/>
      <c r="B526" s="398"/>
      <c r="C526" s="398" t="s">
        <v>2087</v>
      </c>
      <c r="D526" s="398"/>
      <c r="E526" s="1720" t="s">
        <v>2088</v>
      </c>
      <c r="F526" s="2659"/>
      <c r="G526" s="2659"/>
      <c r="H526" s="2659"/>
      <c r="I526" s="2659"/>
      <c r="J526" s="2659"/>
      <c r="K526" s="2659"/>
      <c r="L526" s="2659"/>
      <c r="M526" s="2659"/>
      <c r="N526" s="2659"/>
      <c r="O526" s="398"/>
      <c r="Q526" s="398" t="s">
        <v>2092</v>
      </c>
      <c r="R526" s="398"/>
      <c r="S526" s="398"/>
      <c r="T526" s="398"/>
      <c r="U526" s="6"/>
      <c r="V526" s="6"/>
      <c r="W526" s="6"/>
      <c r="X526" s="6"/>
      <c r="Y526" s="6"/>
      <c r="Z526" s="6"/>
      <c r="AA526" s="6"/>
      <c r="AB526" s="6"/>
      <c r="AC526" s="6"/>
      <c r="AD526" s="6"/>
      <c r="AE526" s="6"/>
      <c r="AF526" s="6"/>
      <c r="AG526" s="6"/>
    </row>
    <row r="527" spans="1:33" hidden="1">
      <c r="A527" s="398"/>
      <c r="B527" s="398"/>
      <c r="C527" s="302"/>
      <c r="D527" s="302"/>
      <c r="E527" s="1720" t="s">
        <v>2824</v>
      </c>
      <c r="F527" s="2657"/>
      <c r="G527" s="2657"/>
      <c r="H527" s="2657"/>
      <c r="I527" s="2657"/>
      <c r="J527" s="2657"/>
      <c r="K527" s="2657"/>
      <c r="L527" s="2657"/>
      <c r="M527" s="2657"/>
      <c r="N527" s="2657"/>
      <c r="O527" s="398"/>
      <c r="Q527" s="398"/>
      <c r="R527" s="398"/>
      <c r="S527" s="398"/>
      <c r="T527" s="398"/>
      <c r="U527" s="6"/>
      <c r="V527" s="6"/>
      <c r="W527" s="6"/>
      <c r="X527" s="6"/>
      <c r="Y527" s="6"/>
      <c r="Z527" s="6"/>
      <c r="AA527" s="6"/>
      <c r="AB527" s="6"/>
      <c r="AC527" s="6"/>
      <c r="AD527" s="6"/>
      <c r="AE527" s="6"/>
      <c r="AF527" s="6"/>
      <c r="AG527" s="6"/>
    </row>
    <row r="528" spans="1:33" hidden="1">
      <c r="A528" s="398"/>
      <c r="B528" s="398"/>
      <c r="C528" s="398" t="s">
        <v>2089</v>
      </c>
      <c r="D528" s="398"/>
      <c r="E528" s="1720" t="s">
        <v>2090</v>
      </c>
      <c r="F528" s="2659"/>
      <c r="G528" s="2659"/>
      <c r="H528" s="2659"/>
      <c r="I528" s="2659"/>
      <c r="J528" s="2659"/>
      <c r="K528" s="2659"/>
      <c r="L528" s="2659"/>
      <c r="M528" s="2659"/>
      <c r="N528" s="2659"/>
      <c r="O528" s="398"/>
      <c r="Q528" s="398" t="s">
        <v>2091</v>
      </c>
      <c r="R528" s="398"/>
      <c r="S528" s="398"/>
      <c r="T528" s="398"/>
      <c r="U528" s="6"/>
      <c r="V528" s="6"/>
      <c r="W528" s="6"/>
      <c r="X528" s="6"/>
      <c r="Y528" s="6"/>
      <c r="Z528" s="6"/>
      <c r="AA528" s="6"/>
      <c r="AB528" s="6"/>
      <c r="AC528" s="6"/>
      <c r="AD528" s="6"/>
      <c r="AE528" s="6"/>
      <c r="AF528" s="6"/>
      <c r="AG528" s="6"/>
    </row>
    <row r="529" spans="1:33" ht="13.5" hidden="1" customHeight="1">
      <c r="A529" s="398"/>
      <c r="B529" s="398"/>
      <c r="C529" s="302"/>
      <c r="D529" s="302"/>
      <c r="E529" s="1720" t="s">
        <v>2824</v>
      </c>
      <c r="F529" s="2657"/>
      <c r="G529" s="2657"/>
      <c r="H529" s="2657"/>
      <c r="I529" s="2657"/>
      <c r="J529" s="2657"/>
      <c r="K529" s="2657"/>
      <c r="L529" s="2657"/>
      <c r="M529" s="2657"/>
      <c r="N529" s="2657"/>
      <c r="O529" s="398"/>
      <c r="Q529" s="398"/>
      <c r="R529" s="398"/>
      <c r="S529" s="398"/>
      <c r="T529" s="398"/>
      <c r="U529" s="6"/>
      <c r="V529" s="6"/>
      <c r="W529" s="6"/>
      <c r="X529" s="6"/>
      <c r="Y529" s="6"/>
      <c r="Z529" s="6"/>
      <c r="AA529" s="6"/>
      <c r="AB529" s="6"/>
      <c r="AC529" s="6"/>
      <c r="AD529" s="6"/>
      <c r="AE529" s="6"/>
      <c r="AF529" s="6"/>
      <c r="AG529" s="6"/>
    </row>
    <row r="530" spans="1:33" s="398" customFormat="1">
      <c r="C530" s="432"/>
      <c r="E530" s="1720"/>
      <c r="F530" s="1641"/>
      <c r="G530" s="1641"/>
      <c r="H530" s="1641"/>
      <c r="I530" s="1641"/>
      <c r="J530" s="1641"/>
      <c r="K530" s="1641"/>
      <c r="L530" s="1641"/>
      <c r="M530" s="1641"/>
      <c r="N530" s="2660"/>
      <c r="U530" s="1036"/>
      <c r="V530" s="1036"/>
      <c r="W530" s="1036"/>
      <c r="X530" s="1036"/>
      <c r="Y530" s="1036"/>
      <c r="Z530" s="1036"/>
      <c r="AA530" s="1036"/>
      <c r="AB530" s="1036"/>
      <c r="AC530" s="1036"/>
      <c r="AD530" s="1036"/>
      <c r="AE530" s="1036"/>
      <c r="AF530" s="1036"/>
      <c r="AG530" s="1036"/>
    </row>
    <row r="531" spans="1:33" ht="15.75">
      <c r="B531" s="2661" t="s">
        <v>299</v>
      </c>
      <c r="C531" s="2662"/>
      <c r="D531" s="2662"/>
      <c r="E531" s="2662"/>
      <c r="F531" s="2662"/>
      <c r="G531" s="2662"/>
      <c r="H531" s="2662"/>
      <c r="I531" s="2662"/>
      <c r="J531" s="2662"/>
      <c r="K531" s="2662"/>
      <c r="L531" s="2662"/>
      <c r="M531" s="2662"/>
      <c r="N531" s="2662"/>
      <c r="O531" s="2663"/>
      <c r="T531" s="6"/>
      <c r="U531" s="6"/>
      <c r="V531" s="6"/>
      <c r="W531" s="6"/>
      <c r="X531" s="6"/>
      <c r="Y531" s="6"/>
      <c r="Z531" s="6"/>
      <c r="AA531" s="6"/>
      <c r="AB531" s="6"/>
      <c r="AC531" s="6"/>
      <c r="AD531" s="6"/>
      <c r="AE531" s="6"/>
      <c r="AF531" s="6"/>
      <c r="AG531" s="6"/>
    </row>
    <row r="532" spans="1:33">
      <c r="B532" s="514"/>
      <c r="C532" s="515"/>
      <c r="D532" s="515"/>
      <c r="E532" s="515"/>
      <c r="F532" s="515"/>
      <c r="G532" s="515"/>
      <c r="H532" s="515"/>
      <c r="I532" s="515"/>
      <c r="J532" s="515"/>
      <c r="K532" s="515"/>
      <c r="L532" s="515"/>
      <c r="M532" s="515"/>
      <c r="N532" s="515"/>
      <c r="O532" s="867"/>
      <c r="T532" s="6"/>
      <c r="U532" s="6"/>
      <c r="V532" s="6"/>
      <c r="W532" s="6"/>
      <c r="X532" s="6"/>
      <c r="Y532" s="6"/>
      <c r="Z532" s="6"/>
      <c r="AA532" s="6"/>
      <c r="AB532" s="6"/>
      <c r="AC532" s="6"/>
      <c r="AD532" s="6"/>
      <c r="AE532" s="6"/>
      <c r="AF532" s="6"/>
      <c r="AG532" s="6"/>
    </row>
    <row r="533" spans="1:33">
      <c r="B533" s="514"/>
      <c r="C533" s="34" t="s">
        <v>765</v>
      </c>
      <c r="D533" s="515"/>
      <c r="E533" s="516"/>
      <c r="F533" s="515"/>
      <c r="G533" s="515"/>
      <c r="H533" s="515"/>
      <c r="I533" s="515"/>
      <c r="J533" s="515"/>
      <c r="K533" s="515"/>
      <c r="L533" s="515"/>
      <c r="M533" s="515"/>
      <c r="N533" s="516" t="str">
        <f>Preferences.EnergyUnits</f>
        <v>TWh</v>
      </c>
      <c r="O533" s="867"/>
      <c r="U533" s="6"/>
      <c r="V533" s="6"/>
      <c r="W533" s="6"/>
      <c r="X533" s="6"/>
      <c r="Y533" s="6"/>
      <c r="Z533" s="6"/>
      <c r="AA533" s="6"/>
      <c r="AB533" s="6"/>
      <c r="AC533" s="6"/>
      <c r="AD533" s="6"/>
      <c r="AE533" s="6"/>
      <c r="AF533" s="6"/>
      <c r="AG533" s="6"/>
    </row>
    <row r="534" spans="1:33" ht="4.5" customHeight="1">
      <c r="B534" s="514"/>
      <c r="C534" s="515"/>
      <c r="D534" s="515"/>
      <c r="E534" s="515"/>
      <c r="F534" s="515"/>
      <c r="G534" s="515"/>
      <c r="H534" s="515"/>
      <c r="I534" s="515"/>
      <c r="J534" s="515"/>
      <c r="K534" s="515"/>
      <c r="L534" s="515"/>
      <c r="M534" s="515"/>
      <c r="N534" s="515"/>
      <c r="O534" s="867"/>
      <c r="S534" s="374"/>
      <c r="T534" s="6"/>
      <c r="U534" s="6"/>
      <c r="V534" s="6"/>
      <c r="W534" s="6"/>
      <c r="X534" s="6"/>
      <c r="Y534" s="6"/>
      <c r="Z534" s="6"/>
      <c r="AA534" s="6"/>
      <c r="AB534" s="6"/>
      <c r="AC534" s="6"/>
      <c r="AD534" s="6"/>
      <c r="AE534" s="6"/>
      <c r="AF534" s="6"/>
      <c r="AG534" s="6"/>
    </row>
    <row r="535" spans="1:33" ht="15.75">
      <c r="B535" s="15"/>
      <c r="C535" s="873" t="s">
        <v>28</v>
      </c>
      <c r="D535" s="873" t="s">
        <v>29</v>
      </c>
      <c r="E535" s="873" t="s">
        <v>30</v>
      </c>
      <c r="F535" s="873" t="s">
        <v>597</v>
      </c>
      <c r="G535" s="873" t="s">
        <v>133</v>
      </c>
      <c r="H535" s="873" t="s">
        <v>134</v>
      </c>
      <c r="I535" s="873" t="s">
        <v>135</v>
      </c>
      <c r="J535" s="873" t="s">
        <v>136</v>
      </c>
      <c r="K535" s="873" t="s">
        <v>137</v>
      </c>
      <c r="L535" s="873" t="s">
        <v>138</v>
      </c>
      <c r="M535" s="873" t="s">
        <v>139</v>
      </c>
      <c r="N535" s="873" t="s">
        <v>140</v>
      </c>
      <c r="O535" s="867"/>
      <c r="V535" s="6"/>
      <c r="W535" s="6"/>
      <c r="X535" s="6"/>
      <c r="Y535" s="6"/>
      <c r="Z535" s="6"/>
      <c r="AA535" s="6"/>
      <c r="AB535" s="6"/>
      <c r="AC535" s="6"/>
      <c r="AD535" s="6"/>
      <c r="AE535" s="6"/>
      <c r="AF535" s="6"/>
      <c r="AG535" s="6"/>
    </row>
    <row r="536" spans="1:33" ht="15.75">
      <c r="B536" s="15"/>
      <c r="C536" s="873" t="s">
        <v>96</v>
      </c>
      <c r="D536" s="2953" t="str">
        <f>INDEX(Vectors[Description], MATCH([Vector], Vectors[Code], 0))</f>
        <v>Electricity (delivered to end user)</v>
      </c>
      <c r="E536" s="873"/>
      <c r="F536" s="2664">
        <f t="shared" ref="F536:N536" si="69">-F$433</f>
        <v>-0.54810000000000003</v>
      </c>
      <c r="G536" s="2664">
        <f t="shared" si="69"/>
        <v>-0.55057749288570401</v>
      </c>
      <c r="H536" s="2664">
        <f t="shared" si="69"/>
        <v>-0.55698168734508124</v>
      </c>
      <c r="I536" s="2664">
        <f t="shared" si="69"/>
        <v>-0.56367940163241814</v>
      </c>
      <c r="J536" s="2664">
        <f t="shared" si="69"/>
        <v>-0.57066193518791219</v>
      </c>
      <c r="K536" s="2664">
        <f t="shared" si="69"/>
        <v>-0.57792084535509036</v>
      </c>
      <c r="L536" s="2664">
        <f t="shared" si="69"/>
        <v>-0.58544793973599496</v>
      </c>
      <c r="M536" s="2664">
        <f t="shared" si="69"/>
        <v>-0.5932352687729916</v>
      </c>
      <c r="N536" s="2664">
        <f t="shared" si="69"/>
        <v>-0.60127511855044857</v>
      </c>
      <c r="O536" s="867"/>
      <c r="U536" s="6"/>
      <c r="V536" s="6"/>
      <c r="W536" s="6"/>
      <c r="X536" s="6"/>
      <c r="Y536" s="6"/>
      <c r="Z536" s="6"/>
      <c r="AA536" s="6"/>
      <c r="AB536" s="6"/>
      <c r="AC536" s="6"/>
      <c r="AD536" s="6"/>
      <c r="AE536" s="6"/>
      <c r="AF536" s="6"/>
      <c r="AG536" s="6"/>
    </row>
    <row r="537" spans="1:33" ht="15.75">
      <c r="B537" s="15"/>
      <c r="C537" s="873" t="s">
        <v>98</v>
      </c>
      <c r="D537" s="2953" t="str">
        <f>INDEX(Vectors[Description], MATCH([Vector], Vectors[Code], 0))</f>
        <v>Solid hydrocarbons</v>
      </c>
      <c r="E537" s="873"/>
      <c r="F537" s="2664">
        <f t="shared" ref="F537:N537" si="70">-F$434</f>
        <v>0</v>
      </c>
      <c r="G537" s="2664">
        <f t="shared" si="70"/>
        <v>0</v>
      </c>
      <c r="H537" s="2664">
        <f t="shared" si="70"/>
        <v>0</v>
      </c>
      <c r="I537" s="2664">
        <f t="shared" si="70"/>
        <v>0</v>
      </c>
      <c r="J537" s="2664">
        <f t="shared" si="70"/>
        <v>0</v>
      </c>
      <c r="K537" s="2664">
        <f t="shared" si="70"/>
        <v>0</v>
      </c>
      <c r="L537" s="2664">
        <f t="shared" si="70"/>
        <v>0</v>
      </c>
      <c r="M537" s="2664">
        <f t="shared" si="70"/>
        <v>0</v>
      </c>
      <c r="N537" s="2664">
        <f t="shared" si="70"/>
        <v>0</v>
      </c>
      <c r="O537" s="867"/>
      <c r="W537" s="6"/>
      <c r="X537" s="6"/>
      <c r="Y537" s="6"/>
      <c r="Z537" s="6"/>
      <c r="AA537" s="6"/>
      <c r="AB537" s="6"/>
      <c r="AC537" s="6"/>
      <c r="AD537" s="6"/>
      <c r="AE537" s="6"/>
      <c r="AF537" s="6"/>
      <c r="AG537" s="6"/>
    </row>
    <row r="538" spans="1:33" ht="15.75">
      <c r="B538" s="15"/>
      <c r="C538" s="873" t="s">
        <v>99</v>
      </c>
      <c r="D538" s="2953" t="str">
        <f>INDEX(Vectors[Description], MATCH([Vector], Vectors[Code], 0))</f>
        <v>Liquid hydrocarbons</v>
      </c>
      <c r="E538" s="873"/>
      <c r="F538" s="2664">
        <f t="shared" ref="F538:N538" si="71">-F$435</f>
        <v>-2.0619000000000005</v>
      </c>
      <c r="G538" s="2664">
        <f t="shared" si="71"/>
        <v>-2.0712200922843151</v>
      </c>
      <c r="H538" s="2664">
        <f t="shared" si="71"/>
        <v>-2.0953120619172103</v>
      </c>
      <c r="I538" s="2664">
        <f t="shared" si="71"/>
        <v>-2.1205082251886207</v>
      </c>
      <c r="J538" s="2664">
        <f t="shared" si="71"/>
        <v>-2.1467758514211934</v>
      </c>
      <c r="K538" s="2664">
        <f t="shared" si="71"/>
        <v>-2.1740831801453404</v>
      </c>
      <c r="L538" s="2664">
        <f t="shared" si="71"/>
        <v>-2.2023993923401717</v>
      </c>
      <c r="M538" s="2664">
        <f t="shared" si="71"/>
        <v>-2.2316945825269685</v>
      </c>
      <c r="N538" s="2664">
        <f t="shared" si="71"/>
        <v>-2.2619397316897829</v>
      </c>
      <c r="O538" s="867"/>
      <c r="R538" s="6"/>
      <c r="S538" s="374"/>
      <c r="T538" s="6"/>
      <c r="U538" s="6"/>
      <c r="V538" s="6"/>
      <c r="W538" s="6"/>
      <c r="X538" s="6"/>
      <c r="Y538" s="6"/>
      <c r="Z538" s="6"/>
      <c r="AA538" s="6"/>
      <c r="AB538" s="6"/>
      <c r="AC538" s="6"/>
      <c r="AD538" s="6"/>
      <c r="AE538" s="6"/>
      <c r="AF538" s="6"/>
      <c r="AG538" s="6"/>
    </row>
    <row r="539" spans="1:33" ht="15.75">
      <c r="B539" s="15"/>
      <c r="C539" s="873" t="s">
        <v>100</v>
      </c>
      <c r="D539" s="2953" t="str">
        <f>INDEX(Vectors[Description], MATCH([Vector], Vectors[Code], 0))</f>
        <v>Gaseous hydrocarbons</v>
      </c>
      <c r="E539" s="873"/>
      <c r="F539" s="2664">
        <f t="shared" ref="F539:N539" si="72">-F$436</f>
        <v>0</v>
      </c>
      <c r="G539" s="2664">
        <f t="shared" si="72"/>
        <v>0</v>
      </c>
      <c r="H539" s="2664">
        <f t="shared" si="72"/>
        <v>0</v>
      </c>
      <c r="I539" s="2664">
        <f t="shared" si="72"/>
        <v>0</v>
      </c>
      <c r="J539" s="2664">
        <f t="shared" si="72"/>
        <v>0</v>
      </c>
      <c r="K539" s="2664">
        <f t="shared" si="72"/>
        <v>0</v>
      </c>
      <c r="L539" s="2664">
        <f t="shared" si="72"/>
        <v>0</v>
      </c>
      <c r="M539" s="2664">
        <f t="shared" si="72"/>
        <v>0</v>
      </c>
      <c r="N539" s="2664">
        <f t="shared" si="72"/>
        <v>0</v>
      </c>
      <c r="O539" s="867"/>
      <c r="R539" s="6"/>
      <c r="S539" s="374"/>
      <c r="T539" s="6"/>
      <c r="U539" s="6"/>
      <c r="V539" s="6"/>
      <c r="W539" s="6"/>
      <c r="X539" s="6"/>
      <c r="Y539" s="6"/>
      <c r="Z539" s="6"/>
      <c r="AA539" s="6"/>
      <c r="AB539" s="6"/>
      <c r="AC539" s="6"/>
      <c r="AD539" s="6"/>
      <c r="AE539" s="6"/>
      <c r="AF539" s="6"/>
      <c r="AG539" s="6"/>
    </row>
    <row r="540" spans="1:33" ht="15.75">
      <c r="B540" s="15"/>
      <c r="C540" s="873" t="s">
        <v>417</v>
      </c>
      <c r="D540" s="2953" t="str">
        <f>INDEX(Vectors[Description], MATCH([Vector], Vectors[Code], 0))</f>
        <v>Industry</v>
      </c>
      <c r="E540" s="873"/>
      <c r="F540" s="2664">
        <f t="shared" ref="F540:N540" si="73">F$432</f>
        <v>2.6100000000000003</v>
      </c>
      <c r="G540" s="2664">
        <f t="shared" si="73"/>
        <v>2.621797585170019</v>
      </c>
      <c r="H540" s="2664">
        <f t="shared" si="73"/>
        <v>2.6522937492622916</v>
      </c>
      <c r="I540" s="2664">
        <f t="shared" si="73"/>
        <v>2.6841876268210387</v>
      </c>
      <c r="J540" s="2664">
        <f t="shared" si="73"/>
        <v>2.7174377866091057</v>
      </c>
      <c r="K540" s="2664">
        <f t="shared" si="73"/>
        <v>2.7520040255004306</v>
      </c>
      <c r="L540" s="2664">
        <f t="shared" si="73"/>
        <v>2.7878473320761668</v>
      </c>
      <c r="M540" s="2664">
        <f t="shared" si="73"/>
        <v>2.8249298512999599</v>
      </c>
      <c r="N540" s="2664">
        <f t="shared" si="73"/>
        <v>2.8632148502402313</v>
      </c>
      <c r="O540" s="867"/>
      <c r="R540" s="6"/>
      <c r="S540" s="374"/>
      <c r="T540" s="6"/>
      <c r="U540" s="6"/>
      <c r="V540" s="6"/>
      <c r="W540" s="6"/>
      <c r="X540" s="6"/>
      <c r="Y540" s="6"/>
      <c r="Z540" s="6"/>
      <c r="AA540" s="6"/>
      <c r="AB540" s="6"/>
      <c r="AC540" s="6"/>
      <c r="AD540" s="6"/>
      <c r="AE540" s="6"/>
      <c r="AF540" s="6"/>
      <c r="AG540" s="6"/>
    </row>
    <row r="541" spans="1:33" ht="15.75">
      <c r="B541" s="15"/>
      <c r="C541" s="873" t="s">
        <v>431</v>
      </c>
      <c r="D541" s="2953" t="str">
        <f>INDEX(Vectors[Description], MATCH([Vector], Vectors[Code], 0))</f>
        <v>Energy crops (first generation)</v>
      </c>
      <c r="E541" s="873"/>
      <c r="F541" s="2664">
        <f t="shared" ref="F541:N541" si="74">F$383</f>
        <v>0.14350000000000002</v>
      </c>
      <c r="G541" s="2664">
        <f t="shared" si="74"/>
        <v>0.17750982181293876</v>
      </c>
      <c r="H541" s="2664">
        <f t="shared" si="74"/>
        <v>0.26905561870922784</v>
      </c>
      <c r="I541" s="2664">
        <f t="shared" si="74"/>
        <v>0.37055006275752844</v>
      </c>
      <c r="J541" s="2664">
        <f t="shared" si="74"/>
        <v>0.48283502255691169</v>
      </c>
      <c r="K541" s="2664">
        <f t="shared" si="74"/>
        <v>0.60681631464215224</v>
      </c>
      <c r="L541" s="2664">
        <f t="shared" si="74"/>
        <v>0.74346827555139616</v>
      </c>
      <c r="M541" s="2664">
        <f t="shared" si="74"/>
        <v>0.89383864833915727</v>
      </c>
      <c r="N541" s="2664">
        <f t="shared" si="74"/>
        <v>1.0590538045843265</v>
      </c>
      <c r="O541" s="867"/>
      <c r="R541" s="6"/>
      <c r="S541" s="374"/>
      <c r="T541" s="6"/>
      <c r="U541" s="6"/>
      <c r="V541" s="6"/>
      <c r="W541" s="6"/>
      <c r="X541" s="6"/>
      <c r="Y541" s="6"/>
      <c r="Z541" s="6"/>
      <c r="AA541" s="6"/>
      <c r="AB541" s="6"/>
      <c r="AC541" s="6"/>
      <c r="AD541" s="6"/>
      <c r="AE541" s="6"/>
      <c r="AF541" s="6"/>
      <c r="AG541" s="6"/>
    </row>
    <row r="542" spans="1:33" ht="15.75">
      <c r="B542" s="15"/>
      <c r="C542" s="873" t="s">
        <v>430</v>
      </c>
      <c r="D542" s="2953" t="str">
        <f>INDEX(Vectors[Description], MATCH([Vector], Vectors[Code], 0))</f>
        <v>Energy crops (second generation)</v>
      </c>
      <c r="E542" s="873"/>
      <c r="F542" s="2664">
        <f t="shared" ref="F542:N542" si="75">F$396</f>
        <v>0.16958333333333334</v>
      </c>
      <c r="G542" s="2664">
        <f t="shared" si="75"/>
        <v>2.9254922797006762</v>
      </c>
      <c r="H542" s="2664">
        <f t="shared" si="75"/>
        <v>10.560023127898354</v>
      </c>
      <c r="I542" s="2664">
        <f t="shared" si="75"/>
        <v>19.357134768779371</v>
      </c>
      <c r="J542" s="2664">
        <f t="shared" si="75"/>
        <v>29.45092534174433</v>
      </c>
      <c r="K542" s="2664">
        <f t="shared" si="75"/>
        <v>40.989276385826031</v>
      </c>
      <c r="L542" s="2664">
        <f t="shared" si="75"/>
        <v>54.135182368629792</v>
      </c>
      <c r="M542" s="2664">
        <f t="shared" si="75"/>
        <v>69.068203392186163</v>
      </c>
      <c r="N542" s="2664">
        <f t="shared" si="75"/>
        <v>85.98605217389283</v>
      </c>
      <c r="O542" s="867"/>
      <c r="R542" s="6"/>
      <c r="S542" s="374"/>
      <c r="T542" s="6"/>
      <c r="U542" s="6"/>
      <c r="V542" s="6"/>
      <c r="W542" s="6"/>
      <c r="X542" s="6"/>
      <c r="Y542" s="6"/>
      <c r="Z542" s="6"/>
      <c r="AA542" s="6"/>
      <c r="AB542" s="6"/>
      <c r="AC542" s="6"/>
      <c r="AD542" s="6"/>
      <c r="AE542" s="6"/>
      <c r="AF542" s="6"/>
      <c r="AG542" s="6"/>
    </row>
    <row r="543" spans="1:33" ht="15.75">
      <c r="B543" s="15"/>
      <c r="C543" s="17" t="s">
        <v>432</v>
      </c>
      <c r="D543" s="2487" t="str">
        <f>INDEX(Vectors[Description], MATCH([Vector], Vectors[Code], 0))</f>
        <v>Dry biomass and waste</v>
      </c>
      <c r="E543" s="17"/>
      <c r="F543" s="22">
        <f t="shared" ref="F543:N543" si="76">F$422</f>
        <v>0.33618260000000005</v>
      </c>
      <c r="G543" s="22">
        <f t="shared" si="76"/>
        <v>0.95985503891464119</v>
      </c>
      <c r="H543" s="22">
        <f t="shared" si="76"/>
        <v>3.0359910558130929</v>
      </c>
      <c r="I543" s="22">
        <f t="shared" si="76"/>
        <v>7.9020153337748189</v>
      </c>
      <c r="J543" s="22">
        <f t="shared" si="76"/>
        <v>11.13277922347306</v>
      </c>
      <c r="K543" s="22">
        <f t="shared" si="76"/>
        <v>14.463361112729897</v>
      </c>
      <c r="L543" s="22">
        <f t="shared" si="76"/>
        <v>21.184586003973315</v>
      </c>
      <c r="M543" s="22">
        <f t="shared" si="76"/>
        <v>23.044649782486974</v>
      </c>
      <c r="N543" s="22">
        <f t="shared" si="76"/>
        <v>23.304346894333833</v>
      </c>
      <c r="O543" s="867"/>
      <c r="R543" s="6"/>
      <c r="S543" s="374"/>
      <c r="T543" s="6"/>
      <c r="U543" s="6"/>
      <c r="V543" s="6"/>
      <c r="W543" s="6"/>
      <c r="X543" s="6"/>
      <c r="Y543" s="6"/>
      <c r="Z543" s="6"/>
      <c r="AA543" s="6"/>
      <c r="AB543" s="6"/>
      <c r="AC543" s="6"/>
      <c r="AD543" s="6"/>
      <c r="AE543" s="6"/>
      <c r="AF543" s="6"/>
      <c r="AG543" s="6"/>
    </row>
    <row r="544" spans="1:33" ht="15.75">
      <c r="B544" s="15"/>
      <c r="C544" s="17" t="s">
        <v>433</v>
      </c>
      <c r="D544" s="2487" t="str">
        <f>INDEX(Vectors[Description], MATCH([Vector], Vectors[Code], 0))</f>
        <v>Wet biomass and waste</v>
      </c>
      <c r="E544" s="17"/>
      <c r="F544" s="22">
        <f t="shared" ref="F544:N544" si="77">F$423</f>
        <v>0.14654245083333331</v>
      </c>
      <c r="G544" s="22">
        <f t="shared" si="77"/>
        <v>0.29248145770300543</v>
      </c>
      <c r="H544" s="22">
        <f t="shared" si="77"/>
        <v>1.4548913896862063</v>
      </c>
      <c r="I544" s="22">
        <f t="shared" si="77"/>
        <v>2.8948282361645394</v>
      </c>
      <c r="J544" s="22">
        <f t="shared" si="77"/>
        <v>7.1998763759119129</v>
      </c>
      <c r="K544" s="22">
        <f t="shared" si="77"/>
        <v>8.595447980915937</v>
      </c>
      <c r="L544" s="22">
        <f t="shared" si="77"/>
        <v>9.9764846055529954</v>
      </c>
      <c r="M544" s="22">
        <f t="shared" si="77"/>
        <v>11.343098790171382</v>
      </c>
      <c r="N544" s="22">
        <f t="shared" si="77"/>
        <v>11.284802046451777</v>
      </c>
      <c r="O544" s="867"/>
      <c r="R544" s="6"/>
      <c r="S544" s="374"/>
      <c r="T544" s="6"/>
      <c r="U544" s="6"/>
      <c r="V544" s="6"/>
      <c r="W544" s="6"/>
      <c r="X544" s="6"/>
      <c r="Y544" s="6"/>
      <c r="Z544" s="6"/>
      <c r="AA544" s="6"/>
      <c r="AB544" s="6"/>
      <c r="AC544" s="6"/>
      <c r="AD544" s="6"/>
      <c r="AE544" s="6"/>
      <c r="AF544" s="6"/>
      <c r="AG544" s="6"/>
    </row>
    <row r="545" spans="1:33" ht="15.75">
      <c r="B545" s="15"/>
      <c r="C545" s="17" t="s">
        <v>452</v>
      </c>
      <c r="D545" s="2487" t="str">
        <f>INDEX(Vectors[Description], MATCH([Vector], Vectors[Code], 0))</f>
        <v>Agriculture</v>
      </c>
      <c r="E545" s="17"/>
      <c r="F545" s="22">
        <f t="shared" ref="F545:N545" si="78">-(F$396+F$383)</f>
        <v>-0.31308333333333338</v>
      </c>
      <c r="G545" s="22">
        <f t="shared" si="78"/>
        <v>-3.1030021015136149</v>
      </c>
      <c r="H545" s="22">
        <f t="shared" si="78"/>
        <v>-10.829078746607582</v>
      </c>
      <c r="I545" s="22">
        <f t="shared" si="78"/>
        <v>-19.727684831536898</v>
      </c>
      <c r="J545" s="22">
        <f t="shared" si="78"/>
        <v>-29.933760364301243</v>
      </c>
      <c r="K545" s="22">
        <f t="shared" si="78"/>
        <v>-41.596092700468184</v>
      </c>
      <c r="L545" s="22">
        <f t="shared" si="78"/>
        <v>-54.878650644181185</v>
      </c>
      <c r="M545" s="22">
        <f t="shared" si="78"/>
        <v>-69.962042040525318</v>
      </c>
      <c r="N545" s="22">
        <f t="shared" si="78"/>
        <v>-87.045105978477153</v>
      </c>
      <c r="O545" s="867"/>
      <c r="R545" s="6"/>
      <c r="S545" s="374"/>
      <c r="T545" s="6"/>
      <c r="U545" s="6"/>
      <c r="V545" s="6"/>
      <c r="W545" s="6"/>
      <c r="X545" s="6"/>
      <c r="Y545" s="6"/>
      <c r="Z545" s="6"/>
      <c r="AA545" s="6"/>
      <c r="AB545" s="6"/>
      <c r="AC545" s="6"/>
      <c r="AD545" s="6"/>
      <c r="AE545" s="6"/>
      <c r="AF545" s="6"/>
      <c r="AG545" s="6"/>
    </row>
    <row r="546" spans="1:33" ht="15.75">
      <c r="B546" s="15"/>
      <c r="C546" s="17" t="s">
        <v>453</v>
      </c>
      <c r="D546" s="2487" t="str">
        <f>INDEX(Vectors[Description], MATCH([Vector], Vectors[Code], 0))</f>
        <v>Waste (all forms of biomass)</v>
      </c>
      <c r="E546" s="17"/>
      <c r="F546" s="22">
        <f t="shared" ref="F546:N546" si="79">-(F$422+F$423)</f>
        <v>-0.48272505083333339</v>
      </c>
      <c r="G546" s="22">
        <f t="shared" si="79"/>
        <v>-1.2523364966176467</v>
      </c>
      <c r="H546" s="22">
        <f t="shared" si="79"/>
        <v>-4.4908824454992988</v>
      </c>
      <c r="I546" s="22">
        <f t="shared" si="79"/>
        <v>-10.796843569939359</v>
      </c>
      <c r="J546" s="22">
        <f t="shared" si="79"/>
        <v>-18.332655599384971</v>
      </c>
      <c r="K546" s="22">
        <f t="shared" si="79"/>
        <v>-23.058809093645834</v>
      </c>
      <c r="L546" s="22">
        <f t="shared" si="79"/>
        <v>-31.161070609526313</v>
      </c>
      <c r="M546" s="22">
        <f t="shared" si="79"/>
        <v>-34.387748572658353</v>
      </c>
      <c r="N546" s="22">
        <f t="shared" si="79"/>
        <v>-34.589148940785606</v>
      </c>
      <c r="O546" s="867"/>
      <c r="R546" s="6"/>
      <c r="S546" s="374"/>
      <c r="T546" s="6"/>
      <c r="U546" s="6"/>
      <c r="V546" s="6"/>
      <c r="W546" s="6"/>
      <c r="X546" s="6"/>
      <c r="Y546" s="6"/>
      <c r="Z546" s="6"/>
      <c r="AA546" s="6"/>
      <c r="AB546" s="6"/>
      <c r="AC546" s="6"/>
      <c r="AD546" s="6"/>
      <c r="AE546" s="6"/>
      <c r="AF546" s="6"/>
      <c r="AG546" s="6"/>
    </row>
    <row r="547" spans="1:33" ht="15.75">
      <c r="B547" s="15"/>
      <c r="C547" s="2462" t="s">
        <v>59</v>
      </c>
      <c r="D547" s="2462"/>
      <c r="E547" s="2462"/>
      <c r="F547" s="3950">
        <f>SUBTOTAL(109,[2013])</f>
        <v>0</v>
      </c>
      <c r="G547" s="3950">
        <f>SUBTOTAL(109,[2015])</f>
        <v>0</v>
      </c>
      <c r="H547" s="3950">
        <f>SUBTOTAL(109,[2020])</f>
        <v>0</v>
      </c>
      <c r="I547" s="3950">
        <f>SUBTOTAL(109,[2025])</f>
        <v>0</v>
      </c>
      <c r="J547" s="3950">
        <f>SUBTOTAL(109,[2030])</f>
        <v>0</v>
      </c>
      <c r="K547" s="3950">
        <f>SUBTOTAL(109,[2035])</f>
        <v>0</v>
      </c>
      <c r="L547" s="3950">
        <f>SUBTOTAL(109,[2040])</f>
        <v>0</v>
      </c>
      <c r="M547" s="3950">
        <f>SUBTOTAL(109,[2045])</f>
        <v>0</v>
      </c>
      <c r="N547" s="3950">
        <f>SUBTOTAL(109,[2050])</f>
        <v>0</v>
      </c>
      <c r="O547" s="867"/>
      <c r="R547" s="6"/>
      <c r="S547" s="374"/>
      <c r="T547" s="6"/>
      <c r="U547" s="6"/>
      <c r="V547" s="6"/>
      <c r="W547" s="6"/>
      <c r="X547" s="6"/>
      <c r="Y547" s="6"/>
      <c r="Z547" s="6"/>
      <c r="AA547" s="6"/>
      <c r="AB547" s="6"/>
      <c r="AC547" s="6"/>
      <c r="AD547" s="6"/>
      <c r="AE547" s="6"/>
      <c r="AF547" s="6"/>
      <c r="AG547" s="6"/>
    </row>
    <row r="548" spans="1:33" ht="15.75">
      <c r="A548" s="2506" t="s">
        <v>5</v>
      </c>
      <c r="B548" s="15"/>
      <c r="C548" s="452"/>
      <c r="D548" s="452"/>
      <c r="E548" s="452"/>
      <c r="F548" s="452"/>
      <c r="G548" s="452"/>
      <c r="H548" s="452"/>
      <c r="I548" s="452"/>
      <c r="J548" s="452"/>
      <c r="K548" s="452"/>
      <c r="L548" s="452"/>
      <c r="M548" s="452"/>
      <c r="N548" s="452"/>
      <c r="O548" s="867"/>
      <c r="R548" s="6"/>
      <c r="S548" s="374"/>
      <c r="T548" s="6"/>
      <c r="W548" s="6"/>
      <c r="Z548" s="6"/>
      <c r="AA548" s="6"/>
      <c r="AB548" s="6"/>
      <c r="AC548" s="6"/>
      <c r="AD548" s="6"/>
      <c r="AE548" s="6"/>
      <c r="AF548" s="6"/>
      <c r="AG548" s="6"/>
    </row>
    <row r="549" spans="1:33" ht="14.25" customHeight="1">
      <c r="R549" s="6"/>
      <c r="S549" s="374"/>
      <c r="T549" s="6"/>
      <c r="W549" s="6"/>
      <c r="Z549" s="6"/>
      <c r="AA549" s="6"/>
      <c r="AB549" s="6"/>
      <c r="AC549" s="6"/>
      <c r="AD549" s="6"/>
      <c r="AE549" s="6"/>
      <c r="AF549" s="6"/>
      <c r="AG549" s="6"/>
    </row>
    <row r="550" spans="1:33" ht="20.25" customHeight="1">
      <c r="B550" s="1127" t="s">
        <v>303</v>
      </c>
      <c r="C550" s="1128"/>
      <c r="D550" s="1129"/>
      <c r="E550" s="1129"/>
      <c r="F550" s="1129"/>
      <c r="G550" s="1129"/>
      <c r="H550" s="1129"/>
      <c r="I550" s="1129"/>
      <c r="J550" s="1129"/>
      <c r="K550" s="1129"/>
      <c r="L550" s="1129"/>
      <c r="M550" s="1129"/>
      <c r="N550" s="1129"/>
      <c r="O550" s="1130"/>
      <c r="R550" s="6"/>
      <c r="S550" s="374"/>
      <c r="T550" s="6"/>
      <c r="W550" s="6"/>
      <c r="Z550" s="6"/>
      <c r="AA550" s="6"/>
      <c r="AB550" s="6"/>
      <c r="AC550" s="6"/>
      <c r="AD550" s="6"/>
      <c r="AE550" s="6"/>
      <c r="AF550" s="6"/>
      <c r="AG550" s="6"/>
    </row>
    <row r="551" spans="1:33">
      <c r="B551" s="1131"/>
      <c r="C551" s="1132"/>
      <c r="D551" s="1132"/>
      <c r="E551" s="1132"/>
      <c r="F551" s="1132"/>
      <c r="G551" s="1132"/>
      <c r="H551" s="1132"/>
      <c r="I551" s="1132"/>
      <c r="J551" s="1132"/>
      <c r="K551" s="1132"/>
      <c r="L551" s="1132"/>
      <c r="M551" s="1132"/>
      <c r="N551" s="1132"/>
      <c r="O551" s="1133"/>
      <c r="R551" s="6"/>
      <c r="S551" s="374"/>
      <c r="T551" s="6"/>
      <c r="Z551" s="6"/>
      <c r="AA551" s="6"/>
      <c r="AB551" s="6"/>
      <c r="AC551" s="6"/>
      <c r="AD551" s="6"/>
      <c r="AE551" s="6"/>
      <c r="AF551" s="6"/>
      <c r="AG551" s="6"/>
    </row>
    <row r="552" spans="1:33" ht="15.75" customHeight="1">
      <c r="B552" s="1134"/>
      <c r="C552" s="462" t="s">
        <v>1028</v>
      </c>
      <c r="D552" s="1135"/>
      <c r="E552" s="1136"/>
      <c r="F552" s="1135"/>
      <c r="G552" s="1135"/>
      <c r="H552" s="1135"/>
      <c r="I552" s="1135"/>
      <c r="J552" s="1135"/>
      <c r="K552" s="1135"/>
      <c r="L552" s="1135"/>
      <c r="M552" s="1135"/>
      <c r="N552" s="1137" t="s">
        <v>254</v>
      </c>
      <c r="O552" s="1138"/>
      <c r="R552" s="6"/>
      <c r="S552" s="374"/>
      <c r="T552" s="6"/>
      <c r="Z552" s="6"/>
      <c r="AA552" s="6"/>
      <c r="AB552" s="6"/>
      <c r="AC552" s="6"/>
      <c r="AD552" s="6"/>
      <c r="AE552" s="6"/>
      <c r="AF552" s="6"/>
      <c r="AG552" s="6"/>
    </row>
    <row r="553" spans="1:33">
      <c r="B553" s="1134"/>
      <c r="C553" s="1135"/>
      <c r="D553" s="1135"/>
      <c r="E553" s="1135"/>
      <c r="F553" s="1135"/>
      <c r="G553" s="1135"/>
      <c r="H553" s="1135"/>
      <c r="I553" s="1135"/>
      <c r="J553" s="1135"/>
      <c r="K553" s="1135"/>
      <c r="L553" s="1135"/>
      <c r="M553" s="1135"/>
      <c r="N553" s="1135"/>
      <c r="O553" s="1138"/>
      <c r="R553" s="6"/>
      <c r="S553" s="374"/>
      <c r="T553" s="6"/>
      <c r="Z553" s="6"/>
      <c r="AA553" s="6"/>
      <c r="AB553" s="6"/>
      <c r="AC553" s="6"/>
      <c r="AD553" s="6"/>
      <c r="AE553" s="6"/>
      <c r="AF553" s="6"/>
      <c r="AG553" s="6"/>
    </row>
    <row r="554" spans="1:33" ht="15.75">
      <c r="B554" s="467"/>
      <c r="C554" s="1339" t="s">
        <v>305</v>
      </c>
      <c r="D554" s="1339" t="s">
        <v>306</v>
      </c>
      <c r="E554" s="1339" t="s">
        <v>30</v>
      </c>
      <c r="F554" s="1339" t="s">
        <v>597</v>
      </c>
      <c r="G554" s="1339" t="s">
        <v>133</v>
      </c>
      <c r="H554" s="1339" t="s">
        <v>134</v>
      </c>
      <c r="I554" s="1339" t="s">
        <v>135</v>
      </c>
      <c r="J554" s="1339" t="s">
        <v>136</v>
      </c>
      <c r="K554" s="1339" t="s">
        <v>137</v>
      </c>
      <c r="L554" s="1339" t="s">
        <v>138</v>
      </c>
      <c r="M554" s="1339" t="s">
        <v>139</v>
      </c>
      <c r="N554" s="1339" t="s">
        <v>140</v>
      </c>
      <c r="O554" s="1138"/>
      <c r="R554" s="6"/>
      <c r="S554" s="374"/>
      <c r="T554" s="6"/>
      <c r="Z554" s="6"/>
      <c r="AA554" s="6"/>
      <c r="AB554" s="6"/>
      <c r="AC554" s="6"/>
      <c r="AD554" s="6"/>
      <c r="AE554" s="6"/>
      <c r="AF554" s="6"/>
      <c r="AG554" s="6"/>
    </row>
    <row r="555" spans="1:33" ht="15.75">
      <c r="B555" s="467"/>
      <c r="C555" s="1139" t="s">
        <v>253</v>
      </c>
      <c r="D555" s="1463" t="s">
        <v>307</v>
      </c>
      <c r="E555" s="1140" t="s">
        <v>308</v>
      </c>
      <c r="F555" s="1464">
        <f t="shared" ref="F555:N555" si="80">F$441</f>
        <v>0.54409417199999999</v>
      </c>
      <c r="G555" s="1464">
        <f t="shared" si="80"/>
        <v>0.54655355795198501</v>
      </c>
      <c r="H555" s="1464">
        <f t="shared" si="80"/>
        <v>0.55291094689871334</v>
      </c>
      <c r="I555" s="1464">
        <f t="shared" si="80"/>
        <v>0.55955971046277309</v>
      </c>
      <c r="J555" s="1464">
        <f t="shared" si="80"/>
        <v>0.56649121167302441</v>
      </c>
      <c r="K555" s="1464">
        <f t="shared" si="80"/>
        <v>0.57369706957675226</v>
      </c>
      <c r="L555" s="1464">
        <f t="shared" si="80"/>
        <v>0.58116915165072436</v>
      </c>
      <c r="M555" s="1464">
        <f t="shared" si="80"/>
        <v>0.5888995664372163</v>
      </c>
      <c r="N555" s="1464">
        <f t="shared" si="80"/>
        <v>0.59688065639829979</v>
      </c>
      <c r="O555" s="1138"/>
      <c r="R555" s="6"/>
      <c r="S555" s="374"/>
      <c r="T555" s="6"/>
      <c r="Z555" s="6"/>
      <c r="AA555" s="6"/>
      <c r="AB555" s="6"/>
      <c r="AC555" s="6"/>
      <c r="AD555" s="6"/>
      <c r="AE555" s="6"/>
      <c r="AF555" s="6"/>
      <c r="AG555" s="6"/>
    </row>
    <row r="556" spans="1:33" ht="15.75">
      <c r="B556" s="467"/>
      <c r="C556" s="1139" t="s">
        <v>255</v>
      </c>
      <c r="D556" s="1463" t="s">
        <v>307</v>
      </c>
      <c r="E556" s="1140" t="s">
        <v>308</v>
      </c>
      <c r="F556" s="1464">
        <f t="shared" ref="F556:N556" si="81">F$442</f>
        <v>4.6763892000000016E-4</v>
      </c>
      <c r="G556" s="1464">
        <f t="shared" si="81"/>
        <v>4.6975271693008272E-4</v>
      </c>
      <c r="H556" s="1464">
        <f t="shared" si="81"/>
        <v>4.7521677564282334E-4</v>
      </c>
      <c r="I556" s="1464">
        <f t="shared" si="81"/>
        <v>4.8093126547277921E-4</v>
      </c>
      <c r="J556" s="1464">
        <f t="shared" si="81"/>
        <v>4.8688876310232671E-4</v>
      </c>
      <c r="K556" s="1464">
        <f t="shared" si="81"/>
        <v>4.9308206525696318E-4</v>
      </c>
      <c r="L556" s="1464">
        <f t="shared" si="81"/>
        <v>4.9950418218275099E-4</v>
      </c>
      <c r="M556" s="1464">
        <f t="shared" si="81"/>
        <v>5.0614833131711653E-4</v>
      </c>
      <c r="N556" s="1464">
        <f t="shared" si="81"/>
        <v>5.1300793114724276E-4</v>
      </c>
      <c r="O556" s="1138"/>
      <c r="R556" s="6"/>
      <c r="S556" s="374"/>
      <c r="T556" s="6"/>
      <c r="Z556" s="6"/>
      <c r="AA556" s="6"/>
      <c r="AB556" s="6"/>
      <c r="AC556" s="6"/>
      <c r="AD556" s="6"/>
      <c r="AE556" s="6"/>
      <c r="AF556" s="6"/>
      <c r="AG556" s="6"/>
    </row>
    <row r="557" spans="1:33" ht="15.75">
      <c r="A557" s="6"/>
      <c r="B557" s="467"/>
      <c r="C557" s="1139" t="s">
        <v>256</v>
      </c>
      <c r="D557" s="1463" t="s">
        <v>307</v>
      </c>
      <c r="E557" s="1140" t="s">
        <v>308</v>
      </c>
      <c r="F557" s="1464">
        <f t="shared" ref="F557:N557" si="82">F$443</f>
        <v>1.3806482400000003E-3</v>
      </c>
      <c r="G557" s="1464">
        <f t="shared" si="82"/>
        <v>1.3868889737935774E-3</v>
      </c>
      <c r="H557" s="1464">
        <f t="shared" si="82"/>
        <v>1.403020956659764E-3</v>
      </c>
      <c r="I557" s="1464">
        <f t="shared" si="82"/>
        <v>1.4198923075863005E-3</v>
      </c>
      <c r="J557" s="1464">
        <f t="shared" si="82"/>
        <v>1.4374811101116312E-3</v>
      </c>
      <c r="K557" s="1464">
        <f t="shared" si="82"/>
        <v>1.45576609742532E-3</v>
      </c>
      <c r="L557" s="1464">
        <f t="shared" si="82"/>
        <v>1.474726633110979E-3</v>
      </c>
      <c r="M557" s="1464">
        <f t="shared" si="82"/>
        <v>1.4943426924600581E-3</v>
      </c>
      <c r="N557" s="1464">
        <f t="shared" si="82"/>
        <v>1.5145948443394787E-3</v>
      </c>
      <c r="O557" s="1138"/>
      <c r="R557" s="6"/>
      <c r="S557" s="374"/>
      <c r="T557" s="6"/>
      <c r="Z557" s="6"/>
      <c r="AA557" s="6"/>
      <c r="AB557" s="6"/>
      <c r="AC557" s="6"/>
      <c r="AD557" s="6"/>
      <c r="AE557" s="6"/>
      <c r="AF557" s="6"/>
      <c r="AG557" s="6"/>
    </row>
    <row r="558" spans="1:33" ht="12" customHeight="1">
      <c r="A558" s="7"/>
      <c r="B558" s="467"/>
      <c r="C558" s="1140" t="s">
        <v>255</v>
      </c>
      <c r="D558" s="2665">
        <v>4</v>
      </c>
      <c r="E558" s="1140" t="s">
        <v>401</v>
      </c>
      <c r="F558" s="470">
        <f>F$446+F$447</f>
        <v>11.027285399999997</v>
      </c>
      <c r="G558" s="470">
        <f t="shared" ref="G558:N558" si="83">G$446+G$447</f>
        <v>10.863520072055604</v>
      </c>
      <c r="H558" s="470">
        <f t="shared" si="83"/>
        <v>10.343608996712423</v>
      </c>
      <c r="I558" s="470">
        <f t="shared" si="83"/>
        <v>9.7983306774184697</v>
      </c>
      <c r="J558" s="470">
        <f t="shared" si="83"/>
        <v>8.8495823397862576</v>
      </c>
      <c r="K558" s="470">
        <f t="shared" si="83"/>
        <v>8.3480088825510883</v>
      </c>
      <c r="L558" s="470">
        <f t="shared" si="83"/>
        <v>7.8636790414262387</v>
      </c>
      <c r="M558" s="470">
        <f t="shared" si="83"/>
        <v>7.3960560826055533</v>
      </c>
      <c r="N558" s="470">
        <f t="shared" si="83"/>
        <v>7.1414162706700708</v>
      </c>
      <c r="O558" s="1138"/>
      <c r="R558" s="6"/>
      <c r="S558" s="374"/>
      <c r="T558" s="6"/>
      <c r="Z558" s="6"/>
      <c r="AA558" s="6"/>
      <c r="AB558" s="6"/>
      <c r="AC558" s="6"/>
      <c r="AD558" s="6"/>
      <c r="AE558" s="6"/>
      <c r="AF558" s="6"/>
      <c r="AG558" s="6"/>
    </row>
    <row r="559" spans="1:33" ht="15.75">
      <c r="B559" s="467"/>
      <c r="C559" s="1140" t="s">
        <v>256</v>
      </c>
      <c r="D559" s="2665">
        <v>4</v>
      </c>
      <c r="E559" s="1140" t="s">
        <v>401</v>
      </c>
      <c r="F559" s="470">
        <f>F$448</f>
        <v>6.45</v>
      </c>
      <c r="G559" s="470">
        <f t="shared" ref="G559:N559" si="84">G$448</f>
        <v>6.3677882193084141</v>
      </c>
      <c r="H559" s="470">
        <f t="shared" si="84"/>
        <v>6.1668140391981598</v>
      </c>
      <c r="I559" s="470">
        <f t="shared" si="84"/>
        <v>5.9721828183195766</v>
      </c>
      <c r="J559" s="470">
        <f t="shared" si="84"/>
        <v>5.9521075915265156</v>
      </c>
      <c r="K559" s="470">
        <f t="shared" si="84"/>
        <v>5.9320998467150101</v>
      </c>
      <c r="L559" s="470">
        <f t="shared" si="84"/>
        <v>5.9121593570473818</v>
      </c>
      <c r="M559" s="470">
        <f t="shared" si="84"/>
        <v>5.8922858964484579</v>
      </c>
      <c r="N559" s="470">
        <f t="shared" si="84"/>
        <v>5.8724792396030061</v>
      </c>
      <c r="O559" s="1138"/>
      <c r="R559" s="6"/>
      <c r="S559" s="374"/>
      <c r="T559" s="6"/>
      <c r="Z559" s="6"/>
      <c r="AA559" s="6"/>
      <c r="AB559" s="6"/>
      <c r="AC559" s="6"/>
      <c r="AD559" s="6"/>
      <c r="AE559" s="6"/>
      <c r="AF559" s="6"/>
      <c r="AG559" s="6"/>
    </row>
    <row r="560" spans="1:33" ht="15.75">
      <c r="B560" s="467"/>
      <c r="C560" s="1140" t="s">
        <v>253</v>
      </c>
      <c r="D560" s="2665">
        <v>5</v>
      </c>
      <c r="E560" s="1140" t="s">
        <v>410</v>
      </c>
      <c r="F560" s="470">
        <f t="shared" ref="F560:N560" si="85">F457</f>
        <v>-3.1859999999999999</v>
      </c>
      <c r="G560" s="470">
        <f t="shared" si="85"/>
        <v>-2.0419537671878891</v>
      </c>
      <c r="H560" s="470">
        <f t="shared" si="85"/>
        <v>-1.1817681520851633</v>
      </c>
      <c r="I560" s="470">
        <f t="shared" si="85"/>
        <v>-0.65512751732099117</v>
      </c>
      <c r="J560" s="470">
        <f t="shared" si="85"/>
        <v>-0.9383255597991258</v>
      </c>
      <c r="K560" s="470">
        <f t="shared" si="85"/>
        <v>-1.4653696761441601</v>
      </c>
      <c r="L560" s="470">
        <f t="shared" si="85"/>
        <v>-2.4850551056747112</v>
      </c>
      <c r="M560" s="470">
        <f t="shared" si="85"/>
        <v>-3.6112424759446609</v>
      </c>
      <c r="N560" s="470">
        <f t="shared" si="85"/>
        <v>-4.4813243548418651</v>
      </c>
      <c r="O560" s="1138"/>
      <c r="R560" s="6"/>
      <c r="S560" s="374"/>
      <c r="T560" s="6"/>
      <c r="Z560" s="6"/>
      <c r="AA560" s="6"/>
      <c r="AB560" s="6"/>
      <c r="AC560" s="6"/>
      <c r="AD560" s="6"/>
      <c r="AE560" s="6"/>
      <c r="AF560" s="6"/>
      <c r="AG560" s="6"/>
    </row>
    <row r="561" spans="1:33" ht="15.75">
      <c r="A561" s="443"/>
      <c r="B561" s="467"/>
      <c r="C561" s="2466" t="s">
        <v>59</v>
      </c>
      <c r="D561" s="2682"/>
      <c r="E561" s="2466"/>
      <c r="F561" s="2467">
        <f>SUBTOTAL(109,[2013])</f>
        <v>14.837227859159995</v>
      </c>
      <c r="G561" s="2467">
        <f>SUBTOTAL(109,[2015])</f>
        <v>15.737764723818836</v>
      </c>
      <c r="H561" s="2467">
        <f>SUBTOTAL(109,[2020])</f>
        <v>15.883444068456432</v>
      </c>
      <c r="I561" s="2467">
        <f>SUBTOTAL(109,[2025])</f>
        <v>15.676846512452887</v>
      </c>
      <c r="J561" s="2467">
        <f>SUBTOTAL(109,[2030])</f>
        <v>14.431779953059888</v>
      </c>
      <c r="K561" s="2467">
        <f>SUBTOTAL(109,[2035])</f>
        <v>13.390384970861373</v>
      </c>
      <c r="L561" s="2467">
        <f>SUBTOTAL(109,[2040])</f>
        <v>11.873926675264929</v>
      </c>
      <c r="M561" s="2467">
        <f>SUBTOTAL(109,[2045])</f>
        <v>10.267999560570345</v>
      </c>
      <c r="N561" s="2467">
        <f>SUBTOTAL(109,[2050])</f>
        <v>9.131479414604998</v>
      </c>
      <c r="O561" s="1138"/>
      <c r="R561" s="6"/>
      <c r="S561" s="374"/>
      <c r="T561" s="6"/>
      <c r="Z561" s="6"/>
      <c r="AA561" s="6"/>
      <c r="AB561" s="6"/>
      <c r="AC561" s="6"/>
      <c r="AD561" s="6"/>
      <c r="AE561" s="6"/>
      <c r="AF561" s="6"/>
      <c r="AG561" s="6"/>
    </row>
    <row r="562" spans="1:33" ht="15.75">
      <c r="A562" s="443"/>
      <c r="B562" s="467"/>
      <c r="C562" s="1140"/>
      <c r="D562" s="1384"/>
      <c r="E562" s="1140"/>
      <c r="F562" s="471"/>
      <c r="G562" s="471"/>
      <c r="H562" s="471"/>
      <c r="I562" s="471"/>
      <c r="J562" s="471"/>
      <c r="K562" s="471"/>
      <c r="L562" s="471"/>
      <c r="M562" s="471"/>
      <c r="N562" s="471"/>
      <c r="O562" s="1138"/>
      <c r="R562" s="6"/>
      <c r="S562" s="374"/>
      <c r="T562" s="6"/>
      <c r="Z562" s="6"/>
      <c r="AA562" s="6"/>
      <c r="AB562" s="6"/>
      <c r="AC562" s="6"/>
      <c r="AD562" s="6"/>
      <c r="AE562" s="6"/>
      <c r="AF562" s="6"/>
      <c r="AG562" s="6"/>
    </row>
    <row r="563" spans="1:33" ht="15.75">
      <c r="A563" s="443"/>
      <c r="B563" s="467"/>
      <c r="C563" s="475" t="s">
        <v>849</v>
      </c>
      <c r="D563" s="1384"/>
      <c r="E563" s="1140"/>
      <c r="F563" s="471"/>
      <c r="G563" s="471"/>
      <c r="H563" s="471"/>
      <c r="I563" s="471"/>
      <c r="J563" s="471"/>
      <c r="K563" s="471"/>
      <c r="L563" s="471"/>
      <c r="M563" s="471"/>
      <c r="N563" s="1143" t="s">
        <v>850</v>
      </c>
      <c r="O563" s="1138"/>
      <c r="R563" s="6"/>
      <c r="S563" s="374"/>
      <c r="T563" s="6"/>
      <c r="Z563" s="6"/>
      <c r="AA563" s="6"/>
      <c r="AB563" s="6"/>
      <c r="AC563" s="6"/>
      <c r="AD563" s="6"/>
      <c r="AE563" s="6"/>
      <c r="AF563" s="6"/>
      <c r="AG563" s="6"/>
    </row>
    <row r="564" spans="1:33" ht="15.75">
      <c r="A564" s="443"/>
      <c r="B564" s="467"/>
      <c r="C564" s="1140"/>
      <c r="D564" s="1384"/>
      <c r="E564" s="1140"/>
      <c r="F564" s="471"/>
      <c r="G564" s="471"/>
      <c r="H564" s="471"/>
      <c r="I564" s="471"/>
      <c r="J564" s="471"/>
      <c r="K564" s="471"/>
      <c r="L564" s="471"/>
      <c r="M564" s="471"/>
      <c r="N564" s="471"/>
      <c r="O564" s="1138"/>
      <c r="R564" s="6"/>
      <c r="S564" s="374"/>
      <c r="T564" s="6"/>
      <c r="Z564" s="6"/>
      <c r="AA564" s="6"/>
      <c r="AB564" s="6"/>
      <c r="AC564" s="6"/>
      <c r="AD564" s="6"/>
      <c r="AE564" s="6"/>
      <c r="AF564" s="6"/>
      <c r="AG564" s="6"/>
    </row>
    <row r="565" spans="1:33" ht="21.75" customHeight="1" collapsed="1">
      <c r="A565" s="443"/>
      <c r="B565" s="467"/>
      <c r="C565" s="2666" t="s">
        <v>28</v>
      </c>
      <c r="D565" s="2666" t="s">
        <v>29</v>
      </c>
      <c r="E565" s="2666" t="s">
        <v>30</v>
      </c>
      <c r="F565" s="2666" t="s">
        <v>597</v>
      </c>
      <c r="G565" s="2666" t="s">
        <v>133</v>
      </c>
      <c r="H565" s="2666" t="s">
        <v>134</v>
      </c>
      <c r="I565" s="2666" t="s">
        <v>135</v>
      </c>
      <c r="J565" s="2666" t="s">
        <v>136</v>
      </c>
      <c r="K565" s="2666" t="s">
        <v>137</v>
      </c>
      <c r="L565" s="2666" t="s">
        <v>138</v>
      </c>
      <c r="M565" s="2666" t="s">
        <v>139</v>
      </c>
      <c r="N565" s="2666" t="s">
        <v>140</v>
      </c>
      <c r="O565" s="1138"/>
      <c r="R565" s="6"/>
      <c r="S565" s="374"/>
      <c r="T565" s="6"/>
      <c r="Z565" s="6"/>
      <c r="AA565" s="6"/>
      <c r="AB565" s="6"/>
      <c r="AC565" s="6"/>
      <c r="AD565" s="6"/>
      <c r="AE565" s="6"/>
      <c r="AF565" s="6"/>
      <c r="AG565" s="6"/>
    </row>
    <row r="566" spans="1:33" ht="15.75">
      <c r="A566" s="443"/>
      <c r="B566" s="467"/>
      <c r="C566" s="1343" t="str">
        <f>INDEX(AirQualityVectors[Code],MATCH(D566,AirQualityVectors[Description],0))</f>
        <v>AQ.01</v>
      </c>
      <c r="D566" s="1343" t="s">
        <v>261</v>
      </c>
      <c r="E566" s="1344"/>
      <c r="F566" s="2667">
        <f ca="1">F474+F475</f>
        <v>10.942368700210347</v>
      </c>
      <c r="G566" s="2667">
        <f t="shared" ref="G566:N566" ca="1" si="86">G474+G475</f>
        <v>10.890748943962759</v>
      </c>
      <c r="H566" s="2667">
        <f t="shared" ca="1" si="86"/>
        <v>10.765204433194588</v>
      </c>
      <c r="I566" s="2667">
        <f t="shared" ca="1" si="86"/>
        <v>10.649795499502593</v>
      </c>
      <c r="J566" s="2667">
        <f t="shared" ca="1" si="86"/>
        <v>10.540075999570547</v>
      </c>
      <c r="K566" s="2667">
        <f t="shared" ca="1" si="86"/>
        <v>10.435237761022593</v>
      </c>
      <c r="L566" s="2667">
        <f t="shared" ca="1" si="86"/>
        <v>10.335055774344326</v>
      </c>
      <c r="M566" s="2667">
        <f t="shared" ca="1" si="86"/>
        <v>10.239560176990167</v>
      </c>
      <c r="N566" s="2667">
        <f t="shared" ca="1" si="86"/>
        <v>10.148429857709985</v>
      </c>
      <c r="O566" s="1138"/>
      <c r="R566" s="6"/>
      <c r="S566" s="374"/>
      <c r="T566" s="6"/>
    </row>
    <row r="567" spans="1:33" ht="15.75">
      <c r="A567" s="443"/>
      <c r="B567" s="467"/>
      <c r="C567" s="1144" t="str">
        <f>INDEX(AirQualityVectors[Code],MATCH(D567,AirQualityVectors[Description],0))</f>
        <v>AQ.02</v>
      </c>
      <c r="D567" s="1144" t="s">
        <v>263</v>
      </c>
      <c r="E567" s="1148"/>
      <c r="F567" s="2668">
        <f t="shared" ref="F567:N569" ca="1" si="87">F476</f>
        <v>1.3048750480818154</v>
      </c>
      <c r="G567" s="2668">
        <f t="shared" ca="1" si="87"/>
        <v>1.3077774250575518</v>
      </c>
      <c r="H567" s="2668">
        <f t="shared" ca="1" si="87"/>
        <v>1.3145898498915387</v>
      </c>
      <c r="I567" s="2668">
        <f t="shared" ca="1" si="87"/>
        <v>1.312592295034416</v>
      </c>
      <c r="J567" s="2668">
        <f t="shared" ca="1" si="87"/>
        <v>1.3085173922232407</v>
      </c>
      <c r="K567" s="2668">
        <f t="shared" ca="1" si="87"/>
        <v>1.3034250241017658</v>
      </c>
      <c r="L567" s="2668">
        <f t="shared" ca="1" si="87"/>
        <v>1.2974707284043034</v>
      </c>
      <c r="M567" s="2668">
        <f t="shared" ca="1" si="87"/>
        <v>1.2904175569252925</v>
      </c>
      <c r="N567" s="2668">
        <f t="shared" ca="1" si="87"/>
        <v>1.2825824934406123</v>
      </c>
      <c r="O567" s="1138"/>
      <c r="R567" s="6"/>
      <c r="S567" s="374"/>
      <c r="T567" s="6"/>
    </row>
    <row r="568" spans="1:33" ht="16.5" customHeight="1">
      <c r="A568" s="443"/>
      <c r="B568" s="467"/>
      <c r="C568" s="1144" t="str">
        <f>INDEX(AirQualityVectors[Code],MATCH(D568,AirQualityVectors[Description],0))</f>
        <v>AQ.03</v>
      </c>
      <c r="D568" s="1144" t="s">
        <v>265</v>
      </c>
      <c r="E568" s="1148"/>
      <c r="F568" s="2668">
        <f t="shared" ca="1" si="87"/>
        <v>2.5125845280421322</v>
      </c>
      <c r="G568" s="2668">
        <f t="shared" ca="1" si="87"/>
        <v>2.5165230704728936</v>
      </c>
      <c r="H568" s="2668">
        <f t="shared" ca="1" si="87"/>
        <v>2.8936990446612718</v>
      </c>
      <c r="I568" s="2668">
        <f t="shared" ca="1" si="87"/>
        <v>2.8779650782542383</v>
      </c>
      <c r="J568" s="2668">
        <f t="shared" ca="1" si="87"/>
        <v>2.8559077374509108</v>
      </c>
      <c r="K568" s="2668">
        <f t="shared" ca="1" si="87"/>
        <v>2.8305475779256262</v>
      </c>
      <c r="L568" s="2668">
        <f t="shared" ca="1" si="87"/>
        <v>2.8023383154448784</v>
      </c>
      <c r="M568" s="2668">
        <f t="shared" ca="1" si="87"/>
        <v>2.7706194548354213</v>
      </c>
      <c r="N568" s="2668">
        <f t="shared" ca="1" si="87"/>
        <v>2.736302164720644</v>
      </c>
      <c r="O568" s="1138"/>
      <c r="R568" s="6"/>
      <c r="S568" s="374"/>
      <c r="T568" s="6"/>
    </row>
    <row r="569" spans="1:33" ht="15.75">
      <c r="A569" s="443"/>
      <c r="B569" s="467"/>
      <c r="C569" s="1347" t="str">
        <f>INDEX(AirQualityVectors[Code],MATCH(D569,AirQualityVectors[Description],0))</f>
        <v>AQ.04</v>
      </c>
      <c r="D569" s="1347" t="s">
        <v>267</v>
      </c>
      <c r="E569" s="1348"/>
      <c r="F569" s="2683">
        <f t="shared" ca="1" si="87"/>
        <v>2.5825987206012018E-2</v>
      </c>
      <c r="G569" s="2683">
        <f t="shared" ca="1" si="87"/>
        <v>2.6471939905928978E-2</v>
      </c>
      <c r="H569" s="2683">
        <f t="shared" ca="1" si="87"/>
        <v>2.8263596267639565E-2</v>
      </c>
      <c r="I569" s="2683">
        <f t="shared" ca="1" si="87"/>
        <v>3.1748802019958861E-2</v>
      </c>
      <c r="J569" s="2683">
        <f t="shared" ca="1" si="87"/>
        <v>3.5734172389320869E-2</v>
      </c>
      <c r="K569" s="2683">
        <f t="shared" ca="1" si="87"/>
        <v>4.0028531278647292E-2</v>
      </c>
      <c r="L569" s="2683">
        <f t="shared" ca="1" si="87"/>
        <v>4.4600571669557984E-2</v>
      </c>
      <c r="M569" s="2683">
        <f t="shared" ca="1" si="87"/>
        <v>4.9488432542688726E-2</v>
      </c>
      <c r="N569" s="2683">
        <f t="shared" ca="1" si="87"/>
        <v>5.4632511296819383E-2</v>
      </c>
      <c r="O569" s="1138"/>
      <c r="R569" s="6"/>
      <c r="S569" s="374"/>
      <c r="T569" s="6"/>
    </row>
    <row r="570" spans="1:33" ht="15.75">
      <c r="A570" s="443" t="s">
        <v>5</v>
      </c>
      <c r="B570" s="467"/>
      <c r="C570" s="1140"/>
      <c r="D570" s="1384"/>
      <c r="E570" s="1140"/>
      <c r="F570" s="471"/>
      <c r="G570" s="471"/>
      <c r="H570" s="471"/>
      <c r="I570" s="471"/>
      <c r="J570" s="471"/>
      <c r="K570" s="471"/>
      <c r="L570" s="471"/>
      <c r="M570" s="471"/>
      <c r="N570" s="471"/>
      <c r="O570" s="1138"/>
      <c r="R570" s="6"/>
      <c r="S570" s="374"/>
      <c r="T570" s="6"/>
    </row>
    <row r="571" spans="1:33" ht="5.25" customHeight="1">
      <c r="A571" s="443"/>
      <c r="R571" s="6"/>
      <c r="S571" s="374"/>
      <c r="T571" s="6"/>
    </row>
    <row r="572" spans="1:33" ht="15.75">
      <c r="A572" s="443"/>
      <c r="B572" s="995" t="s">
        <v>313</v>
      </c>
      <c r="C572" s="996"/>
      <c r="D572" s="997"/>
      <c r="E572" s="997"/>
      <c r="F572" s="997"/>
      <c r="G572" s="997"/>
      <c r="H572" s="997"/>
      <c r="I572" s="997"/>
      <c r="J572" s="997"/>
      <c r="K572" s="997"/>
      <c r="L572" s="997"/>
      <c r="M572" s="997"/>
      <c r="N572" s="997"/>
      <c r="O572" s="998"/>
      <c r="R572" s="6"/>
      <c r="S572" s="374"/>
      <c r="T572" s="6"/>
    </row>
    <row r="573" spans="1:33" ht="6" customHeight="1">
      <c r="A573" s="443"/>
      <c r="B573" s="999"/>
      <c r="C573" s="1000"/>
      <c r="D573" s="1000"/>
      <c r="E573" s="1000"/>
      <c r="F573" s="1000"/>
      <c r="G573" s="1000"/>
      <c r="H573" s="1000"/>
      <c r="I573" s="1000"/>
      <c r="J573" s="1000"/>
      <c r="K573" s="1000"/>
      <c r="L573" s="1000"/>
      <c r="M573" s="1000"/>
      <c r="N573" s="1000"/>
      <c r="O573" s="1001"/>
      <c r="R573" s="6"/>
      <c r="S573" s="374"/>
      <c r="T573" s="6"/>
    </row>
    <row r="574" spans="1:33" ht="15.75">
      <c r="A574" s="443"/>
      <c r="B574" s="1002"/>
      <c r="C574" s="488" t="s">
        <v>2093</v>
      </c>
      <c r="D574" s="1003"/>
      <c r="E574" s="1004"/>
      <c r="F574" s="1003"/>
      <c r="G574" s="1003"/>
      <c r="H574" s="1003"/>
      <c r="I574" s="1003"/>
      <c r="J574" s="1003"/>
      <c r="K574" s="1003"/>
      <c r="L574" s="1003"/>
      <c r="M574" s="1003"/>
      <c r="N574" s="1004"/>
      <c r="O574" s="1005"/>
      <c r="R574" s="6"/>
      <c r="S574" s="374"/>
      <c r="T574" s="6"/>
    </row>
    <row r="575" spans="1:33">
      <c r="B575" s="1002"/>
      <c r="C575" s="1003"/>
      <c r="D575" s="1003"/>
      <c r="E575" s="1003"/>
      <c r="F575" s="1003"/>
      <c r="G575" s="1003"/>
      <c r="H575" s="1003"/>
      <c r="I575" s="1003"/>
      <c r="J575" s="1003"/>
      <c r="K575" s="1003"/>
      <c r="L575" s="1003"/>
      <c r="M575" s="1003"/>
      <c r="N575" s="1003"/>
      <c r="O575" s="1005"/>
      <c r="R575" s="6"/>
      <c r="S575" s="374"/>
      <c r="T575" s="6"/>
    </row>
    <row r="576" spans="1:33" ht="23.25">
      <c r="A576" s="7"/>
      <c r="B576" s="492"/>
      <c r="C576" s="1006" t="s">
        <v>28</v>
      </c>
      <c r="D576" s="1006" t="s">
        <v>315</v>
      </c>
      <c r="E576" s="1006" t="s">
        <v>30</v>
      </c>
      <c r="F576" s="1006" t="s">
        <v>597</v>
      </c>
      <c r="G576" s="1006" t="s">
        <v>133</v>
      </c>
      <c r="H576" s="1006" t="s">
        <v>134</v>
      </c>
      <c r="I576" s="1006" t="s">
        <v>135</v>
      </c>
      <c r="J576" s="1006" t="s">
        <v>136</v>
      </c>
      <c r="K576" s="1006" t="s">
        <v>137</v>
      </c>
      <c r="L576" s="1006" t="s">
        <v>138</v>
      </c>
      <c r="M576" s="1006" t="s">
        <v>139</v>
      </c>
      <c r="N576" s="1006" t="s">
        <v>140</v>
      </c>
      <c r="O576" s="1005"/>
      <c r="R576" s="6"/>
      <c r="S576" s="374"/>
      <c r="T576" s="6"/>
    </row>
    <row r="577" spans="2:20" ht="15.75">
      <c r="B577" s="492"/>
      <c r="C577" s="1007" t="s">
        <v>887</v>
      </c>
      <c r="D577" s="1007" t="s">
        <v>2094</v>
      </c>
      <c r="E577" s="494" t="str">
        <f>Preferences.AreaUnits</f>
        <v>km^2</v>
      </c>
      <c r="F577" s="1193">
        <f t="shared" ref="F577:N577" si="88">F299+F300+F301</f>
        <v>156</v>
      </c>
      <c r="G577" s="1193">
        <f t="shared" si="88"/>
        <v>701.36694198511827</v>
      </c>
      <c r="H577" s="1193">
        <f t="shared" si="88"/>
        <v>2064.7842969479088</v>
      </c>
      <c r="I577" s="1193">
        <f t="shared" si="88"/>
        <v>3428.2016519107051</v>
      </c>
      <c r="J577" s="1193">
        <f t="shared" si="88"/>
        <v>4791.6190068734986</v>
      </c>
      <c r="K577" s="1193">
        <f t="shared" si="88"/>
        <v>6155.0363618362953</v>
      </c>
      <c r="L577" s="1193">
        <f t="shared" si="88"/>
        <v>7518.4537167990902</v>
      </c>
      <c r="M577" s="1193">
        <f t="shared" si="88"/>
        <v>8881.8710717618851</v>
      </c>
      <c r="N577" s="1193">
        <f t="shared" si="88"/>
        <v>10245.288426724681</v>
      </c>
      <c r="O577" s="1005"/>
      <c r="R577" s="6"/>
      <c r="S577" s="374"/>
      <c r="T577" s="6"/>
    </row>
    <row r="578" spans="2:20" ht="15.75">
      <c r="B578" s="492"/>
      <c r="C578" s="1003"/>
      <c r="D578" s="1003"/>
      <c r="E578" s="1003"/>
      <c r="F578" s="1003"/>
      <c r="G578" s="1003"/>
      <c r="H578" s="1003"/>
      <c r="I578" s="1003"/>
      <c r="J578" s="1003"/>
      <c r="K578" s="1003"/>
      <c r="L578" s="1003"/>
      <c r="M578" s="1003"/>
      <c r="N578" s="1003"/>
      <c r="O578" s="1005"/>
      <c r="R578" s="6"/>
      <c r="T578" s="6"/>
    </row>
    <row r="579" spans="2:20">
      <c r="B579" s="1002"/>
      <c r="C579" s="488" t="s">
        <v>2095</v>
      </c>
      <c r="D579" s="1003"/>
      <c r="E579" s="1004"/>
      <c r="F579" s="1003"/>
      <c r="G579" s="1003"/>
      <c r="H579" s="1003"/>
      <c r="I579" s="1003"/>
      <c r="J579" s="1003"/>
      <c r="K579" s="1003"/>
      <c r="L579" s="1003"/>
      <c r="M579" s="1003"/>
      <c r="N579" s="1004"/>
      <c r="O579" s="1005"/>
    </row>
    <row r="580" spans="2:20">
      <c r="B580" s="1002"/>
      <c r="C580" s="1003"/>
      <c r="D580" s="1003"/>
      <c r="E580" s="1003"/>
      <c r="F580" s="1003"/>
      <c r="G580" s="1003"/>
      <c r="H580" s="1003"/>
      <c r="I580" s="1003"/>
      <c r="J580" s="1003"/>
      <c r="K580" s="1003"/>
      <c r="L580" s="1003"/>
      <c r="M580" s="1003"/>
      <c r="N580" s="1003"/>
      <c r="O580" s="1005"/>
    </row>
    <row r="581" spans="2:20" ht="15.75">
      <c r="B581" s="492"/>
      <c r="C581" s="1006" t="s">
        <v>28</v>
      </c>
      <c r="D581" s="1006" t="s">
        <v>315</v>
      </c>
      <c r="E581" s="1006" t="s">
        <v>30</v>
      </c>
      <c r="F581" s="1006" t="s">
        <v>597</v>
      </c>
      <c r="G581" s="1006" t="s">
        <v>133</v>
      </c>
      <c r="H581" s="1006" t="s">
        <v>134</v>
      </c>
      <c r="I581" s="1006" t="s">
        <v>135</v>
      </c>
      <c r="J581" s="1006" t="s">
        <v>136</v>
      </c>
      <c r="K581" s="1006" t="s">
        <v>137</v>
      </c>
      <c r="L581" s="1006" t="s">
        <v>138</v>
      </c>
      <c r="M581" s="1006" t="s">
        <v>139</v>
      </c>
      <c r="N581" s="1006" t="s">
        <v>140</v>
      </c>
      <c r="O581" s="1005"/>
    </row>
    <row r="582" spans="2:20" ht="15.75">
      <c r="B582" s="492"/>
      <c r="C582" s="1007" t="s">
        <v>887</v>
      </c>
      <c r="D582" s="1007" t="s">
        <v>2096</v>
      </c>
      <c r="E582" s="494" t="str">
        <f>Preferences.AreaUnits</f>
        <v>km^2</v>
      </c>
      <c r="F582" s="1193">
        <f t="shared" ref="F582:N582" si="89">F304</f>
        <v>7566</v>
      </c>
      <c r="G582" s="1193">
        <f t="shared" si="89"/>
        <v>7712.1161544525003</v>
      </c>
      <c r="H582" s="1193">
        <f t="shared" si="89"/>
        <v>8077.40654058376</v>
      </c>
      <c r="I582" s="1193">
        <f t="shared" si="89"/>
        <v>8442.6969267150198</v>
      </c>
      <c r="J582" s="1193">
        <f t="shared" si="89"/>
        <v>8807.9873128462696</v>
      </c>
      <c r="K582" s="1193">
        <f t="shared" si="89"/>
        <v>9173.2776989775302</v>
      </c>
      <c r="L582" s="1193">
        <f t="shared" si="89"/>
        <v>9538.5680851087891</v>
      </c>
      <c r="M582" s="1193">
        <f t="shared" si="89"/>
        <v>9903.8584712400407</v>
      </c>
      <c r="N582" s="1193">
        <f t="shared" si="89"/>
        <v>10269.1488573713</v>
      </c>
      <c r="O582" s="1005"/>
      <c r="T582" s="6"/>
    </row>
    <row r="583" spans="2:20" ht="15.75">
      <c r="B583" s="497"/>
      <c r="C583" s="1010"/>
      <c r="D583" s="1010"/>
      <c r="E583" s="1010"/>
      <c r="F583" s="1010"/>
      <c r="G583" s="1010"/>
      <c r="H583" s="1010"/>
      <c r="I583" s="1010"/>
      <c r="J583" s="1010"/>
      <c r="K583" s="1010"/>
      <c r="L583" s="1010"/>
      <c r="M583" s="1010"/>
      <c r="N583" s="1010"/>
      <c r="O583" s="1011"/>
      <c r="T583" s="6"/>
    </row>
    <row r="585" spans="2:20" ht="15.75">
      <c r="B585" s="995" t="s">
        <v>2795</v>
      </c>
      <c r="C585" s="997"/>
      <c r="D585" s="997"/>
      <c r="E585" s="997"/>
      <c r="F585" s="997"/>
      <c r="G585" s="997"/>
      <c r="H585" s="997"/>
      <c r="I585" s="997"/>
      <c r="J585" s="997"/>
      <c r="K585" s="997"/>
      <c r="L585" s="997"/>
      <c r="M585" s="997"/>
      <c r="N585" s="997"/>
      <c r="O585" s="998"/>
    </row>
    <row r="586" spans="2:20" hidden="1">
      <c r="B586" s="1002"/>
      <c r="C586" s="1003"/>
      <c r="D586" s="1003"/>
      <c r="E586" s="1003"/>
      <c r="F586" s="1003"/>
      <c r="G586" s="1003"/>
      <c r="H586" s="1003"/>
      <c r="I586" s="1003"/>
      <c r="J586" s="1003"/>
      <c r="K586" s="1003"/>
      <c r="L586" s="1003"/>
      <c r="M586" s="1003"/>
      <c r="N586" s="1003"/>
      <c r="O586" s="1005"/>
    </row>
    <row r="587" spans="2:20" hidden="1">
      <c r="B587" s="1002"/>
      <c r="C587" s="500" t="s">
        <v>2097</v>
      </c>
      <c r="D587" s="1012"/>
      <c r="E587" s="1012"/>
      <c r="F587" s="1012"/>
      <c r="G587" s="1012"/>
      <c r="H587" s="1012"/>
      <c r="I587" s="1012"/>
      <c r="J587" s="1012"/>
      <c r="K587" s="1012"/>
      <c r="L587" s="1012"/>
      <c r="M587" s="1012"/>
      <c r="N587" s="1013" t="s">
        <v>2812</v>
      </c>
      <c r="O587" s="1005"/>
    </row>
    <row r="588" spans="2:20" hidden="1">
      <c r="B588" s="1002"/>
      <c r="C588" s="1003"/>
      <c r="D588" s="1003"/>
      <c r="E588" s="1003"/>
      <c r="F588" s="1003"/>
      <c r="G588" s="1003"/>
      <c r="H588" s="1003"/>
      <c r="I588" s="1003"/>
      <c r="J588" s="1003"/>
      <c r="K588" s="1003"/>
      <c r="L588" s="1003"/>
      <c r="M588" s="1003"/>
      <c r="N588" s="1003"/>
      <c r="O588" s="1005"/>
    </row>
    <row r="589" spans="2:20" ht="15.75" hidden="1">
      <c r="B589" s="492"/>
      <c r="C589" s="1006" t="s">
        <v>28</v>
      </c>
      <c r="D589" s="1006" t="s">
        <v>29</v>
      </c>
      <c r="E589" s="1006" t="s">
        <v>30</v>
      </c>
      <c r="F589" s="1006">
        <v>2013</v>
      </c>
      <c r="G589" s="1006" t="s">
        <v>133</v>
      </c>
      <c r="H589" s="1006" t="s">
        <v>134</v>
      </c>
      <c r="I589" s="1006" t="s">
        <v>135</v>
      </c>
      <c r="J589" s="1006" t="s">
        <v>136</v>
      </c>
      <c r="K589" s="1006" t="s">
        <v>137</v>
      </c>
      <c r="L589" s="1006" t="s">
        <v>138</v>
      </c>
      <c r="M589" s="1006" t="s">
        <v>139</v>
      </c>
      <c r="N589" s="1006" t="s">
        <v>140</v>
      </c>
      <c r="O589" s="1150"/>
    </row>
    <row r="590" spans="2:20" ht="15.75" hidden="1">
      <c r="B590" s="492"/>
      <c r="C590" s="1240" t="s">
        <v>335</v>
      </c>
      <c r="D590" s="494" t="s">
        <v>336</v>
      </c>
      <c r="E590" s="494"/>
      <c r="F590" s="506"/>
      <c r="G590" s="506"/>
      <c r="H590" s="506"/>
      <c r="I590" s="506"/>
      <c r="J590" s="506"/>
      <c r="K590" s="506"/>
      <c r="L590" s="506"/>
      <c r="M590" s="506"/>
      <c r="N590" s="506"/>
      <c r="O590" s="1150"/>
    </row>
    <row r="591" spans="2:20" ht="15.75" hidden="1">
      <c r="B591" s="492"/>
      <c r="C591" s="1240" t="s">
        <v>333</v>
      </c>
      <c r="D591" s="494" t="s">
        <v>334</v>
      </c>
      <c r="E591" s="504"/>
      <c r="F591" s="506"/>
      <c r="G591" s="506"/>
      <c r="H591" s="506"/>
      <c r="I591" s="506"/>
      <c r="J591" s="506"/>
      <c r="K591" s="506"/>
      <c r="L591" s="506"/>
      <c r="M591" s="506"/>
      <c r="N591" s="506"/>
      <c r="O591" s="1150"/>
    </row>
    <row r="592" spans="2:20" ht="15.75" hidden="1">
      <c r="B592" s="492"/>
      <c r="C592" s="1007" t="s">
        <v>331</v>
      </c>
      <c r="D592" s="504" t="s">
        <v>332</v>
      </c>
      <c r="E592" s="2669"/>
      <c r="F592" s="506"/>
      <c r="G592" s="506"/>
      <c r="H592" s="506"/>
      <c r="I592" s="506"/>
      <c r="J592" s="506"/>
      <c r="K592" s="506"/>
      <c r="L592" s="506"/>
      <c r="M592" s="506"/>
      <c r="N592" s="506"/>
      <c r="O592" s="1150"/>
    </row>
    <row r="593" spans="2:15" ht="15.75" hidden="1">
      <c r="B593" s="492"/>
      <c r="C593" s="1003"/>
      <c r="D593" s="1003"/>
      <c r="E593" s="1003"/>
      <c r="F593" s="1003"/>
      <c r="G593" s="1003"/>
      <c r="H593" s="1003"/>
      <c r="I593" s="1003"/>
      <c r="J593" s="1003"/>
      <c r="K593" s="1003"/>
      <c r="L593" s="1003"/>
      <c r="M593" s="1003"/>
      <c r="N593" s="1003"/>
      <c r="O593" s="1150"/>
    </row>
    <row r="594" spans="2:15" ht="15.75" hidden="1">
      <c r="B594" s="492"/>
      <c r="C594" s="488" t="s">
        <v>2098</v>
      </c>
      <c r="D594" s="1003"/>
      <c r="E594" s="1003"/>
      <c r="F594" s="1003"/>
      <c r="G594" s="1003"/>
      <c r="H594" s="1003"/>
      <c r="I594" s="1003"/>
      <c r="J594" s="1003"/>
      <c r="K594" s="1003"/>
      <c r="L594" s="1003"/>
      <c r="M594" s="1003"/>
      <c r="N594" s="1013" t="s">
        <v>2812</v>
      </c>
      <c r="O594" s="1150"/>
    </row>
    <row r="595" spans="2:15" ht="15.75" hidden="1">
      <c r="B595" s="492"/>
      <c r="C595" s="1003"/>
      <c r="D595" s="1003"/>
      <c r="E595" s="1003"/>
      <c r="F595" s="1003"/>
      <c r="G595" s="1003"/>
      <c r="H595" s="1003"/>
      <c r="I595" s="1003"/>
      <c r="J595" s="1003"/>
      <c r="K595" s="1003"/>
      <c r="L595" s="1003"/>
      <c r="M595" s="1003"/>
      <c r="N595" s="1003"/>
      <c r="O595" s="1150"/>
    </row>
    <row r="596" spans="2:15" ht="15.75" hidden="1">
      <c r="B596" s="492"/>
      <c r="C596" s="1006" t="s">
        <v>28</v>
      </c>
      <c r="D596" s="1006" t="s">
        <v>29</v>
      </c>
      <c r="E596" s="1006" t="s">
        <v>30</v>
      </c>
      <c r="F596" s="1006">
        <v>2013</v>
      </c>
      <c r="G596" s="1006" t="s">
        <v>133</v>
      </c>
      <c r="H596" s="1006" t="s">
        <v>134</v>
      </c>
      <c r="I596" s="1006" t="s">
        <v>135</v>
      </c>
      <c r="J596" s="1006" t="s">
        <v>136</v>
      </c>
      <c r="K596" s="1006" t="s">
        <v>137</v>
      </c>
      <c r="L596" s="1006" t="s">
        <v>138</v>
      </c>
      <c r="M596" s="1006" t="s">
        <v>139</v>
      </c>
      <c r="N596" s="1006" t="s">
        <v>140</v>
      </c>
      <c r="O596" s="1150"/>
    </row>
    <row r="597" spans="2:15" ht="15.75" hidden="1">
      <c r="B597" s="492"/>
      <c r="C597" s="1007" t="s">
        <v>775</v>
      </c>
      <c r="D597" s="494" t="s">
        <v>776</v>
      </c>
      <c r="E597" s="2669"/>
      <c r="F597" s="506"/>
      <c r="G597" s="506"/>
      <c r="H597" s="506"/>
      <c r="I597" s="506"/>
      <c r="J597" s="506"/>
      <c r="K597" s="506"/>
      <c r="L597" s="506"/>
      <c r="M597" s="506"/>
      <c r="N597" s="506"/>
      <c r="O597" s="1150"/>
    </row>
    <row r="598" spans="2:15" ht="15.75" hidden="1">
      <c r="B598" s="492"/>
      <c r="C598" s="1007" t="s">
        <v>773</v>
      </c>
      <c r="D598" s="504" t="s">
        <v>774</v>
      </c>
      <c r="E598" s="2669"/>
      <c r="F598" s="506"/>
      <c r="G598" s="506"/>
      <c r="H598" s="506"/>
      <c r="I598" s="506"/>
      <c r="J598" s="506"/>
      <c r="K598" s="506"/>
      <c r="L598" s="506"/>
      <c r="M598" s="506"/>
      <c r="N598" s="506"/>
      <c r="O598" s="1150"/>
    </row>
    <row r="599" spans="2:15" hidden="1">
      <c r="B599" s="503"/>
      <c r="C599" s="1007" t="s">
        <v>771</v>
      </c>
      <c r="D599" s="494" t="s">
        <v>772</v>
      </c>
      <c r="E599" s="2669"/>
      <c r="F599" s="506"/>
      <c r="G599" s="506"/>
      <c r="H599" s="506"/>
      <c r="I599" s="506"/>
      <c r="J599" s="506"/>
      <c r="K599" s="506"/>
      <c r="L599" s="506"/>
      <c r="M599" s="506"/>
      <c r="N599" s="506"/>
      <c r="O599" s="1151"/>
    </row>
    <row r="600" spans="2:15" hidden="1">
      <c r="B600" s="503"/>
      <c r="C600" s="2529"/>
      <c r="D600" s="2529"/>
      <c r="E600" s="2529"/>
      <c r="F600" s="2529"/>
      <c r="G600" s="2529"/>
      <c r="H600" s="2529"/>
      <c r="I600" s="2529"/>
      <c r="J600" s="2529"/>
      <c r="K600" s="2529"/>
      <c r="L600" s="2529"/>
      <c r="M600" s="2529"/>
      <c r="N600" s="2529"/>
      <c r="O600" s="2529"/>
    </row>
  </sheetData>
  <mergeCells count="3">
    <mergeCell ref="AC262:AD262"/>
    <mergeCell ref="AC263:AD263"/>
    <mergeCell ref="AC264:AD264"/>
  </mergeCells>
  <hyperlinks>
    <hyperlink ref="D288" r:id="rId1"/>
  </hyperlinks>
  <pageMargins left="0.7" right="0.7" top="0.75" bottom="0.75" header="0.3" footer="0.3"/>
  <pageSetup orientation="portrait" r:id="rId2"/>
  <tableParts count="5">
    <tablePart r:id="rId3"/>
    <tablePart r:id="rId4"/>
    <tablePart r:id="rId5"/>
    <tablePart r:id="rId6"/>
    <tablePart r:id="rId7"/>
  </tableParts>
</worksheet>
</file>

<file path=xl/worksheets/sheet27.xml><?xml version="1.0" encoding="utf-8"?>
<worksheet xmlns="http://schemas.openxmlformats.org/spreadsheetml/2006/main" xmlns:r="http://schemas.openxmlformats.org/officeDocument/2006/relationships">
  <sheetPr>
    <tabColor theme="9"/>
  </sheetPr>
  <dimension ref="A1:AJ600"/>
  <sheetViews>
    <sheetView showGridLines="0" zoomScale="80" zoomScaleNormal="80" workbookViewId="0">
      <selection activeCell="A16" sqref="A16"/>
    </sheetView>
  </sheetViews>
  <sheetFormatPr defaultColWidth="8.85546875" defaultRowHeight="15"/>
  <cols>
    <col min="1" max="1" width="7.7109375" style="2807" customWidth="1"/>
    <col min="2" max="2" width="5.85546875" style="2807" customWidth="1"/>
    <col min="3" max="3" width="20.42578125" style="2807" customWidth="1"/>
    <col min="4" max="4" width="30.7109375" style="2807" customWidth="1"/>
    <col min="5" max="5" width="24" style="2807" customWidth="1"/>
    <col min="6" max="15" width="17.7109375" style="2807" customWidth="1"/>
    <col min="16" max="16" width="9.7109375" style="2807" customWidth="1"/>
    <col min="17" max="17" width="10.85546875" style="2807" customWidth="1"/>
    <col min="18" max="18" width="8.85546875" style="2807"/>
    <col min="19" max="19" width="44.7109375" style="2807" customWidth="1"/>
    <col min="20" max="20" width="24.42578125" style="2807" customWidth="1"/>
    <col min="21" max="16384" width="8.85546875" style="2807"/>
  </cols>
  <sheetData>
    <row r="1" spans="1:19" ht="20.25">
      <c r="A1" s="863" t="s">
        <v>512</v>
      </c>
      <c r="B1" s="863" t="s">
        <v>513</v>
      </c>
      <c r="C1" s="863"/>
      <c r="F1"/>
      <c r="G1"/>
      <c r="H1"/>
    </row>
    <row r="2" spans="1:19" s="6" customFormat="1" ht="15.75">
      <c r="A2" s="864" t="s">
        <v>508</v>
      </c>
      <c r="B2" s="864" t="s">
        <v>509</v>
      </c>
      <c r="C2" s="864"/>
      <c r="E2" s="5" t="s">
        <v>5</v>
      </c>
    </row>
    <row r="4" spans="1:19" ht="23.25">
      <c r="A4" s="7"/>
      <c r="B4" s="511" t="s">
        <v>361</v>
      </c>
      <c r="C4" s="865"/>
      <c r="D4" s="512"/>
      <c r="E4" s="513"/>
      <c r="F4" s="512"/>
      <c r="G4" s="512"/>
      <c r="H4" s="512"/>
      <c r="I4" s="512"/>
      <c r="J4" s="512"/>
      <c r="K4" s="512"/>
      <c r="L4" s="512"/>
      <c r="M4" s="512"/>
      <c r="N4" s="512"/>
      <c r="O4" s="866"/>
    </row>
    <row r="5" spans="1:19">
      <c r="B5" s="514"/>
      <c r="C5" s="12"/>
      <c r="D5" s="515"/>
      <c r="E5" s="516"/>
      <c r="F5" s="515"/>
      <c r="G5" s="515"/>
      <c r="H5" s="515"/>
      <c r="I5" s="515"/>
      <c r="J5" s="515"/>
      <c r="K5" s="515"/>
      <c r="L5" s="515"/>
      <c r="M5" s="515"/>
      <c r="N5" s="515"/>
      <c r="O5" s="867"/>
    </row>
    <row r="6" spans="1:19" ht="15.75">
      <c r="B6" s="15"/>
      <c r="C6" s="515"/>
      <c r="D6" s="16" t="s">
        <v>7</v>
      </c>
      <c r="E6" s="2811" t="s">
        <v>8</v>
      </c>
      <c r="F6" s="515"/>
      <c r="G6" s="515"/>
      <c r="H6" s="515"/>
      <c r="I6" s="515"/>
      <c r="J6" s="515"/>
      <c r="K6" s="515"/>
      <c r="L6" s="515"/>
      <c r="M6" s="515"/>
      <c r="N6" s="515"/>
      <c r="O6" s="867"/>
    </row>
    <row r="7" spans="1:19" ht="15.75">
      <c r="B7" s="15"/>
      <c r="C7" s="515"/>
      <c r="D7" s="868" t="s">
        <v>2104</v>
      </c>
      <c r="E7" s="868">
        <f>VI.b.Scenario</f>
        <v>3</v>
      </c>
      <c r="F7" s="515"/>
      <c r="G7" s="515"/>
      <c r="H7" s="515"/>
      <c r="I7" s="515"/>
      <c r="J7" s="515"/>
      <c r="K7" s="515"/>
      <c r="L7" s="515"/>
      <c r="M7" s="515"/>
      <c r="N7" s="515"/>
      <c r="O7" s="867"/>
    </row>
    <row r="8" spans="1:19" ht="15.75">
      <c r="B8" s="450"/>
      <c r="C8" s="452"/>
      <c r="D8" s="452"/>
      <c r="E8" s="452"/>
      <c r="F8" s="869"/>
      <c r="G8" s="869"/>
      <c r="H8" s="869"/>
      <c r="I8" s="869"/>
      <c r="J8" s="869"/>
      <c r="K8" s="869"/>
      <c r="L8" s="869"/>
      <c r="M8" s="869"/>
      <c r="N8" s="869"/>
      <c r="O8" s="870"/>
    </row>
    <row r="10" spans="1:19" ht="23.25">
      <c r="A10" s="7"/>
      <c r="B10" s="878" t="s">
        <v>33</v>
      </c>
      <c r="C10" s="879"/>
      <c r="D10" s="879"/>
      <c r="E10" s="879"/>
      <c r="F10" s="879"/>
      <c r="G10" s="879"/>
      <c r="H10" s="879"/>
      <c r="I10" s="879"/>
      <c r="J10" s="879"/>
      <c r="K10" s="879"/>
      <c r="L10" s="879"/>
      <c r="M10" s="879"/>
      <c r="N10" s="879"/>
      <c r="O10" s="880"/>
    </row>
    <row r="11" spans="1:19">
      <c r="B11" s="881"/>
      <c r="C11" s="882"/>
      <c r="D11" s="882"/>
      <c r="E11" s="882"/>
      <c r="F11" s="882"/>
      <c r="G11" s="882"/>
      <c r="H11" s="882"/>
      <c r="I11" s="882"/>
      <c r="J11" s="882"/>
      <c r="K11" s="882"/>
      <c r="L11" s="882"/>
      <c r="M11" s="882"/>
      <c r="N11" s="882"/>
      <c r="O11" s="883"/>
    </row>
    <row r="12" spans="1:19">
      <c r="B12" s="884"/>
      <c r="C12" s="49" t="s">
        <v>2983</v>
      </c>
      <c r="D12" s="67"/>
      <c r="E12" s="51"/>
      <c r="F12" s="51"/>
      <c r="G12" s="67"/>
      <c r="H12" s="67"/>
      <c r="I12" s="67"/>
      <c r="J12" s="67"/>
      <c r="K12" s="67"/>
      <c r="L12" s="67"/>
      <c r="M12" s="67"/>
      <c r="N12" s="51" t="s">
        <v>2161</v>
      </c>
      <c r="O12" s="885"/>
    </row>
    <row r="13" spans="1:19">
      <c r="B13" s="884"/>
      <c r="C13" s="67"/>
      <c r="D13" s="67"/>
      <c r="E13" s="67"/>
      <c r="F13" s="67"/>
      <c r="G13" s="67"/>
      <c r="H13" s="67"/>
      <c r="I13" s="67"/>
      <c r="J13" s="67"/>
      <c r="K13" s="67"/>
      <c r="L13" s="67"/>
      <c r="M13" s="67"/>
      <c r="N13" s="67"/>
      <c r="O13" s="885"/>
      <c r="R13" s="2807" t="s">
        <v>2162</v>
      </c>
    </row>
    <row r="14" spans="1:19" ht="15.75">
      <c r="B14" s="886"/>
      <c r="C14" s="887" t="s">
        <v>8</v>
      </c>
      <c r="D14" s="887" t="s">
        <v>72</v>
      </c>
      <c r="E14" s="887"/>
      <c r="F14" s="908">
        <v>2013</v>
      </c>
      <c r="G14" s="92">
        <v>2015</v>
      </c>
      <c r="H14" s="92">
        <v>2020</v>
      </c>
      <c r="I14" s="92">
        <v>2025</v>
      </c>
      <c r="J14" s="92">
        <v>2030</v>
      </c>
      <c r="K14" s="92">
        <v>2035</v>
      </c>
      <c r="L14" s="92">
        <v>2040</v>
      </c>
      <c r="M14" s="92">
        <v>2045</v>
      </c>
      <c r="N14" s="92">
        <v>2050</v>
      </c>
      <c r="O14" s="885"/>
      <c r="P14" s="2807" t="s">
        <v>1003</v>
      </c>
      <c r="R14" s="2807" t="s">
        <v>2163</v>
      </c>
    </row>
    <row r="15" spans="1:19" ht="15.75">
      <c r="B15" s="889"/>
      <c r="C15" s="65">
        <v>1</v>
      </c>
      <c r="D15" s="108" t="s">
        <v>2164</v>
      </c>
      <c r="E15" s="108"/>
      <c r="F15" s="2812">
        <v>1.3629</v>
      </c>
      <c r="G15" s="2813">
        <v>1.4</v>
      </c>
      <c r="H15" s="2813">
        <v>1.5</v>
      </c>
      <c r="I15" s="2813">
        <v>1.59</v>
      </c>
      <c r="J15" s="2813">
        <v>1.69</v>
      </c>
      <c r="K15" s="2813">
        <v>1.77</v>
      </c>
      <c r="L15" s="2813">
        <v>1.85</v>
      </c>
      <c r="M15" s="2813">
        <v>1.93</v>
      </c>
      <c r="N15" s="2813">
        <v>2.02</v>
      </c>
      <c r="O15" s="893"/>
      <c r="P15" s="400">
        <f>(N15-F15)/F15</f>
        <v>0.48213368552351604</v>
      </c>
      <c r="R15" s="400">
        <v>0.28956737699508495</v>
      </c>
      <c r="S15" s="2810" t="s">
        <v>2309</v>
      </c>
    </row>
    <row r="16" spans="1:19" ht="15.75">
      <c r="B16" s="889"/>
      <c r="C16" s="65">
        <v>2</v>
      </c>
      <c r="D16" s="108" t="s">
        <v>2164</v>
      </c>
      <c r="E16" s="108"/>
      <c r="F16" s="2814">
        <v>1.3629</v>
      </c>
      <c r="G16" s="2813">
        <v>1.4</v>
      </c>
      <c r="H16" s="2813">
        <v>1.5</v>
      </c>
      <c r="I16" s="2813">
        <v>1.5149999999999999</v>
      </c>
      <c r="J16" s="2813">
        <v>1.5299999999999998</v>
      </c>
      <c r="K16" s="2813">
        <v>1.5449999999999999</v>
      </c>
      <c r="L16" s="2813">
        <v>1.56</v>
      </c>
      <c r="M16" s="2813">
        <v>1.575</v>
      </c>
      <c r="N16" s="2813">
        <v>1.5899999999999999</v>
      </c>
      <c r="O16" s="893"/>
      <c r="P16" s="400">
        <f>(N16-F16)/F16</f>
        <v>0.16662998018930211</v>
      </c>
      <c r="R16" s="400">
        <v>5.5820142877153707E-2</v>
      </c>
      <c r="S16" s="2807" t="s">
        <v>2165</v>
      </c>
    </row>
    <row r="17" spans="2:19" ht="15.75">
      <c r="B17" s="889"/>
      <c r="C17" s="65">
        <v>3</v>
      </c>
      <c r="D17" s="108" t="s">
        <v>2164</v>
      </c>
      <c r="E17" s="108"/>
      <c r="F17" s="2814">
        <v>1.3629</v>
      </c>
      <c r="G17" s="2813">
        <v>1.4</v>
      </c>
      <c r="H17" s="2813">
        <v>1.5</v>
      </c>
      <c r="I17" s="2813">
        <v>1.5445828187182655</v>
      </c>
      <c r="J17" s="2813">
        <v>1.5891656374365308</v>
      </c>
      <c r="K17" s="2813">
        <v>1.6337484561547961</v>
      </c>
      <c r="L17" s="2813">
        <v>1.6783312748730617</v>
      </c>
      <c r="M17" s="2813">
        <v>1.722914093591327</v>
      </c>
      <c r="N17" s="2813">
        <v>1.7674969123095923</v>
      </c>
      <c r="O17" s="893"/>
      <c r="P17" s="400">
        <f>(N17-F17)/F17</f>
        <v>0.29686470930339148</v>
      </c>
      <c r="R17" s="400">
        <v>0.17833127487306152</v>
      </c>
      <c r="S17" s="2807" t="s">
        <v>2165</v>
      </c>
    </row>
    <row r="18" spans="2:19" ht="15.75">
      <c r="B18" s="886"/>
      <c r="C18" s="896">
        <v>4</v>
      </c>
      <c r="D18" s="897" t="s">
        <v>2164</v>
      </c>
      <c r="E18" s="897"/>
      <c r="F18" s="2815">
        <v>1.3629</v>
      </c>
      <c r="G18" s="2816">
        <v>1.4</v>
      </c>
      <c r="H18" s="2813">
        <v>1.5</v>
      </c>
      <c r="I18" s="2813">
        <v>1.4209586484066972</v>
      </c>
      <c r="J18" s="2813">
        <v>1.3419172968133941</v>
      </c>
      <c r="K18" s="2813">
        <v>1.2628759452200911</v>
      </c>
      <c r="L18" s="2813">
        <v>1.1838345936267882</v>
      </c>
      <c r="M18" s="2813">
        <v>1.1047932420334852</v>
      </c>
      <c r="N18" s="2813">
        <v>1.0257518904401821</v>
      </c>
      <c r="O18" s="885"/>
      <c r="P18" s="400">
        <f>(N18-F18)/F18</f>
        <v>-0.24737552979662331</v>
      </c>
      <c r="R18" s="400">
        <v>-0.31616540637321189</v>
      </c>
      <c r="S18" s="2807" t="s">
        <v>2165</v>
      </c>
    </row>
    <row r="19" spans="2:19" ht="15.75">
      <c r="B19" s="55"/>
      <c r="C19" s="1024" t="s">
        <v>37</v>
      </c>
      <c r="D19" s="901"/>
      <c r="E19" s="901"/>
      <c r="F19" s="1721">
        <f>(INDEX(F$15:F$18,ROUNDDOWN($E$7,0))*(1-MOD($E$7,1)))+(INDEX(F$15:F$18,ROUNDUP($E$7,0))*MOD($E$7,1))</f>
        <v>1.3629</v>
      </c>
      <c r="G19" s="2817">
        <f t="shared" ref="G19:N19" si="0">(INDEX(G$15:G$18,ROUNDDOWN($E$7,0))*(1-MOD($E$7,1)))+(INDEX(G$15:G$18,ROUNDUP($E$7,0))*MOD($E$7,1))</f>
        <v>1.4</v>
      </c>
      <c r="H19" s="1721">
        <f t="shared" si="0"/>
        <v>1.5</v>
      </c>
      <c r="I19" s="1721">
        <f t="shared" si="0"/>
        <v>1.5445828187182655</v>
      </c>
      <c r="J19" s="1721">
        <f t="shared" si="0"/>
        <v>1.5891656374365308</v>
      </c>
      <c r="K19" s="1721">
        <f t="shared" si="0"/>
        <v>1.6337484561547961</v>
      </c>
      <c r="L19" s="1721">
        <f t="shared" si="0"/>
        <v>1.6783312748730617</v>
      </c>
      <c r="M19" s="1721">
        <f t="shared" si="0"/>
        <v>1.722914093591327</v>
      </c>
      <c r="N19" s="1721">
        <f t="shared" si="0"/>
        <v>1.7674969123095923</v>
      </c>
      <c r="O19" s="885"/>
      <c r="R19" s="400"/>
      <c r="S19" s="2807" t="s">
        <v>5</v>
      </c>
    </row>
    <row r="20" spans="2:19">
      <c r="B20" s="904"/>
      <c r="C20" s="67"/>
      <c r="D20" s="200"/>
      <c r="E20" s="67"/>
      <c r="F20" s="67"/>
      <c r="G20" s="67"/>
      <c r="H20" s="67"/>
      <c r="I20" s="67"/>
      <c r="J20" s="67"/>
      <c r="K20" s="67"/>
      <c r="L20" s="67"/>
      <c r="M20" s="67"/>
      <c r="N20" s="67"/>
      <c r="O20" s="885"/>
      <c r="R20" s="400"/>
    </row>
    <row r="21" spans="2:19">
      <c r="B21" s="904"/>
      <c r="C21" s="49" t="s">
        <v>2984</v>
      </c>
      <c r="D21" s="67"/>
      <c r="E21" s="51"/>
      <c r="F21" s="51"/>
      <c r="G21" s="67"/>
      <c r="H21" s="67"/>
      <c r="I21" s="67"/>
      <c r="J21" s="67"/>
      <c r="K21" s="67"/>
      <c r="L21" s="67"/>
      <c r="M21" s="67"/>
      <c r="N21" s="51" t="s">
        <v>2161</v>
      </c>
      <c r="O21" s="885"/>
      <c r="R21" s="400"/>
    </row>
    <row r="22" spans="2:19">
      <c r="B22" s="904"/>
      <c r="C22" s="67"/>
      <c r="D22" s="67"/>
      <c r="E22" s="67"/>
      <c r="F22" s="67"/>
      <c r="G22" s="67"/>
      <c r="H22" s="67"/>
      <c r="I22" s="67"/>
      <c r="J22" s="67"/>
      <c r="K22" s="67"/>
      <c r="L22" s="67"/>
      <c r="M22" s="67"/>
      <c r="N22" s="67"/>
      <c r="O22" s="885"/>
      <c r="R22" s="400"/>
    </row>
    <row r="23" spans="2:19" ht="15.75">
      <c r="B23" s="886"/>
      <c r="C23" s="887" t="s">
        <v>8</v>
      </c>
      <c r="D23" s="887" t="s">
        <v>72</v>
      </c>
      <c r="E23" s="887"/>
      <c r="F23" s="908">
        <v>2013</v>
      </c>
      <c r="G23" s="92">
        <v>2015</v>
      </c>
      <c r="H23" s="92">
        <v>2020</v>
      </c>
      <c r="I23" s="92">
        <v>2025</v>
      </c>
      <c r="J23" s="92">
        <v>2030</v>
      </c>
      <c r="K23" s="92">
        <v>2035</v>
      </c>
      <c r="L23" s="92">
        <v>2040</v>
      </c>
      <c r="M23" s="92">
        <v>2045</v>
      </c>
      <c r="N23" s="92">
        <v>2050</v>
      </c>
      <c r="O23" s="885"/>
      <c r="R23" s="400"/>
    </row>
    <row r="24" spans="2:19" ht="15.75">
      <c r="B24" s="886"/>
      <c r="C24" s="65">
        <v>1</v>
      </c>
      <c r="D24" s="108" t="s">
        <v>2166</v>
      </c>
      <c r="E24" s="108"/>
      <c r="F24" s="2812">
        <v>1.115437</v>
      </c>
      <c r="G24" s="2813">
        <v>1.17</v>
      </c>
      <c r="H24" s="2818">
        <v>1.3175126747058823</v>
      </c>
      <c r="I24" s="2813">
        <v>1.46</v>
      </c>
      <c r="J24" s="2813">
        <v>1.61</v>
      </c>
      <c r="K24" s="2813">
        <v>1.69</v>
      </c>
      <c r="L24" s="2813">
        <v>1.77</v>
      </c>
      <c r="M24" s="2813">
        <v>1.86</v>
      </c>
      <c r="N24" s="2813">
        <v>1.96</v>
      </c>
      <c r="O24" s="885"/>
      <c r="P24" s="400">
        <f>(N24-F24)/F24</f>
        <v>0.75715885343591793</v>
      </c>
      <c r="R24" s="400">
        <v>0.50584328501181408</v>
      </c>
      <c r="S24" s="2810" t="s">
        <v>2309</v>
      </c>
    </row>
    <row r="25" spans="2:19" ht="15.75">
      <c r="B25" s="886"/>
      <c r="C25" s="65">
        <v>2</v>
      </c>
      <c r="D25" s="108" t="s">
        <v>2166</v>
      </c>
      <c r="E25" s="108"/>
      <c r="F25" s="2814">
        <v>1.115437</v>
      </c>
      <c r="G25" s="2813">
        <v>1.17</v>
      </c>
      <c r="H25" s="2818">
        <v>1.3175126747058823</v>
      </c>
      <c r="I25" s="2818">
        <v>1.3572521111466009</v>
      </c>
      <c r="J25" s="2818">
        <v>1.3969915475873198</v>
      </c>
      <c r="K25" s="2818">
        <v>1.4367309840280387</v>
      </c>
      <c r="L25" s="2818">
        <v>1.4764704204687575</v>
      </c>
      <c r="M25" s="2818">
        <v>1.5162098569094762</v>
      </c>
      <c r="N25" s="2818">
        <v>1.5559492933501951</v>
      </c>
      <c r="O25" s="885"/>
      <c r="P25" s="400">
        <f>(N25-F25)/F25</f>
        <v>0.39492350832023237</v>
      </c>
      <c r="R25" s="400">
        <v>0.18097481961419526</v>
      </c>
      <c r="S25" s="2807" t="s">
        <v>2165</v>
      </c>
    </row>
    <row r="26" spans="2:19" ht="15.75">
      <c r="B26" s="886"/>
      <c r="C26" s="65">
        <v>3</v>
      </c>
      <c r="D26" s="108" t="s">
        <v>2166</v>
      </c>
      <c r="E26" s="108"/>
      <c r="F26" s="2814">
        <v>1.115437</v>
      </c>
      <c r="G26" s="2813">
        <v>1.17</v>
      </c>
      <c r="H26" s="2818">
        <v>1.3175126747058823</v>
      </c>
      <c r="I26" s="2818">
        <v>1.3854570871191467</v>
      </c>
      <c r="J26" s="2818">
        <v>1.4534014995324114</v>
      </c>
      <c r="K26" s="2818">
        <v>1.521345911945676</v>
      </c>
      <c r="L26" s="2818">
        <v>1.5892903243589407</v>
      </c>
      <c r="M26" s="2818">
        <v>1.6572347367722051</v>
      </c>
      <c r="N26" s="2818">
        <v>1.7251791491854698</v>
      </c>
      <c r="O26" s="885"/>
      <c r="P26" s="400">
        <f>(N26-F26)/F26</f>
        <v>0.5466397019154553</v>
      </c>
      <c r="R26" s="400">
        <v>0.30942129233830235</v>
      </c>
      <c r="S26" s="2807" t="s">
        <v>2165</v>
      </c>
    </row>
    <row r="27" spans="2:19" ht="15.75">
      <c r="B27" s="886"/>
      <c r="C27" s="896">
        <v>4</v>
      </c>
      <c r="D27" s="897" t="s">
        <v>2166</v>
      </c>
      <c r="E27" s="897"/>
      <c r="F27" s="2815">
        <v>1.115437</v>
      </c>
      <c r="G27" s="2816">
        <v>1.17</v>
      </c>
      <c r="H27" s="2819">
        <v>1.3175126747058823</v>
      </c>
      <c r="I27" s="2819">
        <v>1.2853976237715437</v>
      </c>
      <c r="J27" s="2819">
        <v>1.2532825728372048</v>
      </c>
      <c r="K27" s="2819">
        <v>1.2211675219028659</v>
      </c>
      <c r="L27" s="2819">
        <v>1.1890524709685271</v>
      </c>
      <c r="M27" s="2819">
        <v>1.1569374200341884</v>
      </c>
      <c r="N27" s="2819">
        <v>1.1248223690998496</v>
      </c>
      <c r="O27" s="885"/>
      <c r="P27" s="400">
        <f>(N27-F27)/F27</f>
        <v>8.4140736768186369E-3</v>
      </c>
      <c r="R27" s="400">
        <v>-0.1462530944144794</v>
      </c>
      <c r="S27" s="2807" t="s">
        <v>2165</v>
      </c>
    </row>
    <row r="28" spans="2:19" ht="15.75">
      <c r="B28" s="55"/>
      <c r="C28" s="1024" t="s">
        <v>37</v>
      </c>
      <c r="D28" s="901"/>
      <c r="E28" s="901"/>
      <c r="F28" s="1721">
        <f>(INDEX(F$24:F$27,ROUNDDOWN($E$7,0))*(1-MOD($E$7,1)))+(INDEX(F$24:F$27,ROUNDUP($E$7,0))*MOD($E$7,1))</f>
        <v>1.115437</v>
      </c>
      <c r="G28" s="2817">
        <f t="shared" ref="G28:N28" si="1">(INDEX(G$24:G$27,ROUNDDOWN($E$7,0))*(1-MOD($E$7,1)))+(INDEX(G$24:G$27,ROUNDUP($E$7,0))*MOD($E$7,1))</f>
        <v>1.17</v>
      </c>
      <c r="H28" s="1721">
        <f t="shared" si="1"/>
        <v>1.3175126747058823</v>
      </c>
      <c r="I28" s="1721">
        <f t="shared" si="1"/>
        <v>1.3854570871191467</v>
      </c>
      <c r="J28" s="1721">
        <f t="shared" si="1"/>
        <v>1.4534014995324114</v>
      </c>
      <c r="K28" s="1721">
        <f t="shared" si="1"/>
        <v>1.521345911945676</v>
      </c>
      <c r="L28" s="1721">
        <f t="shared" si="1"/>
        <v>1.5892903243589407</v>
      </c>
      <c r="M28" s="1721">
        <f t="shared" si="1"/>
        <v>1.6572347367722051</v>
      </c>
      <c r="N28" s="1721">
        <f t="shared" si="1"/>
        <v>1.7251791491854698</v>
      </c>
      <c r="O28" s="885"/>
      <c r="R28" s="400"/>
    </row>
    <row r="29" spans="2:19">
      <c r="B29" s="904"/>
      <c r="C29" s="67"/>
      <c r="D29" s="200"/>
      <c r="E29" s="67"/>
      <c r="F29" s="67"/>
      <c r="G29" s="67"/>
      <c r="H29" s="67"/>
      <c r="I29" s="67"/>
      <c r="J29" s="67"/>
      <c r="K29" s="67"/>
      <c r="L29" s="67"/>
      <c r="M29" s="67"/>
      <c r="N29" s="67"/>
      <c r="O29" s="885"/>
      <c r="R29" s="400"/>
      <c r="S29" s="2807" t="s">
        <v>5</v>
      </c>
    </row>
    <row r="30" spans="2:19">
      <c r="B30" s="904"/>
      <c r="C30" s="49" t="s">
        <v>2985</v>
      </c>
      <c r="D30" s="67"/>
      <c r="E30" s="51" t="s">
        <v>5</v>
      </c>
      <c r="F30" s="51"/>
      <c r="G30" s="67"/>
      <c r="H30" s="67"/>
      <c r="I30" s="67"/>
      <c r="J30" s="67"/>
      <c r="K30" s="67"/>
      <c r="L30" s="67"/>
      <c r="M30" s="67"/>
      <c r="N30" s="51" t="s">
        <v>2161</v>
      </c>
      <c r="O30" s="885"/>
      <c r="R30" s="400"/>
    </row>
    <row r="31" spans="2:19">
      <c r="B31" s="904"/>
      <c r="C31" s="67"/>
      <c r="D31" s="67"/>
      <c r="E31" s="67"/>
      <c r="F31" s="67"/>
      <c r="G31" s="67"/>
      <c r="H31" s="67"/>
      <c r="I31" s="67"/>
      <c r="J31" s="67"/>
      <c r="K31" s="67"/>
      <c r="L31" s="67"/>
      <c r="M31" s="67"/>
      <c r="N31" s="67"/>
      <c r="O31" s="885"/>
      <c r="R31" s="400"/>
    </row>
    <row r="32" spans="2:19" ht="15.75">
      <c r="B32" s="886"/>
      <c r="C32" s="887" t="s">
        <v>8</v>
      </c>
      <c r="D32" s="887" t="s">
        <v>72</v>
      </c>
      <c r="E32" s="887"/>
      <c r="F32" s="908">
        <v>2013</v>
      </c>
      <c r="G32" s="92">
        <v>2015</v>
      </c>
      <c r="H32" s="92">
        <v>2020</v>
      </c>
      <c r="I32" s="92">
        <v>2025</v>
      </c>
      <c r="J32" s="92">
        <v>2030</v>
      </c>
      <c r="K32" s="92">
        <v>2035</v>
      </c>
      <c r="L32" s="92">
        <v>2040</v>
      </c>
      <c r="M32" s="92">
        <v>2045</v>
      </c>
      <c r="N32" s="92">
        <v>2050</v>
      </c>
      <c r="O32" s="885"/>
      <c r="R32" s="400"/>
    </row>
    <row r="33" spans="2:27" ht="15.75">
      <c r="B33" s="886"/>
      <c r="C33" s="65">
        <v>1</v>
      </c>
      <c r="D33" s="108" t="s">
        <v>2167</v>
      </c>
      <c r="E33" s="890"/>
      <c r="F33" s="2812">
        <v>0.2</v>
      </c>
      <c r="G33" s="2813">
        <v>0.21715280000000006</v>
      </c>
      <c r="H33" s="2813">
        <v>0.2286324783870175</v>
      </c>
      <c r="I33" s="2813">
        <v>0.24011215677403497</v>
      </c>
      <c r="J33" s="2813">
        <v>0.25159183516105244</v>
      </c>
      <c r="K33" s="2813">
        <v>0.2630715135480699</v>
      </c>
      <c r="L33" s="2813">
        <v>0.27455119193508737</v>
      </c>
      <c r="M33" s="2813">
        <v>0.28603087032210484</v>
      </c>
      <c r="N33" s="2813">
        <v>0.2975105487091223</v>
      </c>
      <c r="O33" s="885"/>
      <c r="P33" s="400">
        <f>(N33-F33)/F33</f>
        <v>0.48755274354561146</v>
      </c>
      <c r="R33" s="400">
        <v>0.37005163511187622</v>
      </c>
      <c r="S33" s="400" t="s">
        <v>2165</v>
      </c>
    </row>
    <row r="34" spans="2:27" ht="15.75">
      <c r="B34" s="886"/>
      <c r="C34" s="65">
        <v>2</v>
      </c>
      <c r="D34" s="108" t="s">
        <v>2167</v>
      </c>
      <c r="E34" s="108"/>
      <c r="F34" s="2814">
        <v>0.2</v>
      </c>
      <c r="G34" s="2813">
        <v>0.21715280000000003</v>
      </c>
      <c r="H34" s="2813">
        <v>0.22206965845004673</v>
      </c>
      <c r="I34" s="2813">
        <v>0.22698651690009339</v>
      </c>
      <c r="J34" s="2813">
        <v>0.23190337535014008</v>
      </c>
      <c r="K34" s="2813">
        <v>0.23682023380018677</v>
      </c>
      <c r="L34" s="2813">
        <v>0.24173709225023346</v>
      </c>
      <c r="M34" s="2813">
        <v>0.24665395070028012</v>
      </c>
      <c r="N34" s="2813">
        <v>0.25157080915032681</v>
      </c>
      <c r="O34" s="885"/>
      <c r="P34" s="400">
        <f>(N34-F34)/F34</f>
        <v>0.25785404575163401</v>
      </c>
      <c r="R34" s="400">
        <v>0.15849673202614376</v>
      </c>
      <c r="S34" s="400" t="s">
        <v>2165</v>
      </c>
    </row>
    <row r="35" spans="2:27" ht="15.75">
      <c r="B35" s="886"/>
      <c r="C35" s="65">
        <v>3</v>
      </c>
      <c r="D35" s="108" t="s">
        <v>2167</v>
      </c>
      <c r="E35" s="108"/>
      <c r="F35" s="2814">
        <v>0.2</v>
      </c>
      <c r="G35" s="2813">
        <v>0.21715280000000003</v>
      </c>
      <c r="H35" s="2813">
        <v>0.21963762029019704</v>
      </c>
      <c r="I35" s="2813">
        <v>0.22212244058039404</v>
      </c>
      <c r="J35" s="2813">
        <v>0.22460726087059107</v>
      </c>
      <c r="K35" s="2813">
        <v>0.22709208116078808</v>
      </c>
      <c r="L35" s="2813">
        <v>0.22957690145098508</v>
      </c>
      <c r="M35" s="2813">
        <v>0.23206172174118209</v>
      </c>
      <c r="N35" s="2813">
        <v>0.23454654203137909</v>
      </c>
      <c r="O35" s="885"/>
      <c r="P35" s="400">
        <f>(N35-F35)/F35</f>
        <v>0.1727327101568954</v>
      </c>
      <c r="R35" s="400">
        <v>8.0099091659785474E-2</v>
      </c>
      <c r="S35" s="400" t="s">
        <v>2165</v>
      </c>
    </row>
    <row r="36" spans="2:27" ht="15.75">
      <c r="B36" s="886"/>
      <c r="C36" s="896">
        <v>4</v>
      </c>
      <c r="D36" s="897" t="s">
        <v>2167</v>
      </c>
      <c r="E36" s="897"/>
      <c r="F36" s="2815">
        <v>0.2</v>
      </c>
      <c r="G36" s="2816">
        <v>0.21715280000000001</v>
      </c>
      <c r="H36" s="2816">
        <v>0.22136935922330098</v>
      </c>
      <c r="I36" s="2816">
        <v>0.22558591844660195</v>
      </c>
      <c r="J36" s="2816">
        <v>0.22980247766990292</v>
      </c>
      <c r="K36" s="2816">
        <v>0.23401903689320389</v>
      </c>
      <c r="L36" s="2816">
        <v>0.23823559611650486</v>
      </c>
      <c r="M36" s="2816">
        <v>0.24245215533980582</v>
      </c>
      <c r="N36" s="2816">
        <v>0.24666871456310679</v>
      </c>
      <c r="O36" s="885"/>
      <c r="P36" s="400">
        <f>(N36-F36)/F36</f>
        <v>0.23334357281553392</v>
      </c>
      <c r="R36" s="400">
        <v>0.13592233009708732</v>
      </c>
      <c r="S36" s="400" t="s">
        <v>2165</v>
      </c>
    </row>
    <row r="37" spans="2:27" ht="15.75">
      <c r="B37" s="55"/>
      <c r="C37" s="1024" t="s">
        <v>37</v>
      </c>
      <c r="D37" s="901"/>
      <c r="E37" s="901"/>
      <c r="F37" s="84">
        <f>(INDEX(F$33:F$36,ROUNDDOWN($E$7,0))*(1-MOD($E$7,1)))+(INDEX(F$33:F$36,ROUNDUP($E$7,0))*MOD($E$7,1))</f>
        <v>0.2</v>
      </c>
      <c r="G37" s="2820">
        <f t="shared" ref="G37:N37" si="2">(INDEX(G$33:G$36,ROUNDDOWN($E$7,0))*(1-MOD($E$7,1)))+(INDEX(G$33:G$36,ROUNDUP($E$7,0))*MOD($E$7,1))</f>
        <v>0.21715280000000003</v>
      </c>
      <c r="H37" s="84">
        <f t="shared" si="2"/>
        <v>0.21963762029019704</v>
      </c>
      <c r="I37" s="84">
        <f t="shared" si="2"/>
        <v>0.22212244058039404</v>
      </c>
      <c r="J37" s="84">
        <f t="shared" si="2"/>
        <v>0.22460726087059107</v>
      </c>
      <c r="K37" s="84">
        <f t="shared" si="2"/>
        <v>0.22709208116078808</v>
      </c>
      <c r="L37" s="84">
        <f t="shared" si="2"/>
        <v>0.22957690145098508</v>
      </c>
      <c r="M37" s="84">
        <f t="shared" si="2"/>
        <v>0.23206172174118209</v>
      </c>
      <c r="N37" s="84">
        <f t="shared" si="2"/>
        <v>0.23454654203137909</v>
      </c>
      <c r="O37" s="885"/>
    </row>
    <row r="38" spans="2:27">
      <c r="B38" s="904"/>
      <c r="C38" s="67"/>
      <c r="D38" s="200"/>
      <c r="E38" s="67"/>
      <c r="F38" s="67"/>
      <c r="G38" s="67"/>
      <c r="H38" s="67"/>
      <c r="I38" s="67"/>
      <c r="J38" s="67"/>
      <c r="K38" s="67"/>
      <c r="L38" s="67"/>
      <c r="M38" s="67"/>
      <c r="N38" s="67"/>
      <c r="O38" s="885"/>
    </row>
    <row r="39" spans="2:27">
      <c r="B39" s="904"/>
      <c r="C39" s="49" t="s">
        <v>2986</v>
      </c>
      <c r="D39" s="67"/>
      <c r="E39" s="51"/>
      <c r="F39" s="51"/>
      <c r="G39" s="67"/>
      <c r="H39" s="67"/>
      <c r="I39" s="67"/>
      <c r="J39" s="67"/>
      <c r="K39" s="67"/>
      <c r="L39" s="67"/>
      <c r="M39" s="67"/>
      <c r="N39" s="51" t="s">
        <v>2161</v>
      </c>
      <c r="O39" s="885"/>
    </row>
    <row r="40" spans="2:27">
      <c r="B40" s="904"/>
      <c r="C40" s="67"/>
      <c r="D40" s="67"/>
      <c r="E40" s="67"/>
      <c r="F40" s="67"/>
      <c r="G40" s="67"/>
      <c r="H40" s="67"/>
      <c r="I40" s="67"/>
      <c r="J40" s="67"/>
      <c r="K40" s="67"/>
      <c r="L40" s="67"/>
      <c r="M40" s="67"/>
      <c r="N40" s="67"/>
      <c r="O40" s="885"/>
      <c r="S40" s="2889" t="s">
        <v>5</v>
      </c>
    </row>
    <row r="41" spans="2:27" ht="18.75">
      <c r="B41" s="2821"/>
      <c r="C41" s="887" t="s">
        <v>8</v>
      </c>
      <c r="D41" s="887" t="s">
        <v>72</v>
      </c>
      <c r="E41" s="887"/>
      <c r="F41" s="908">
        <v>2013</v>
      </c>
      <c r="G41" s="92">
        <v>2015</v>
      </c>
      <c r="H41" s="92">
        <v>2020</v>
      </c>
      <c r="I41" s="92">
        <v>2025</v>
      </c>
      <c r="J41" s="92">
        <v>2030</v>
      </c>
      <c r="K41" s="92">
        <v>2035</v>
      </c>
      <c r="L41" s="92">
        <v>2040</v>
      </c>
      <c r="M41" s="92">
        <v>2045</v>
      </c>
      <c r="N41" s="92">
        <v>2050</v>
      </c>
      <c r="O41" s="885"/>
    </row>
    <row r="42" spans="2:27" ht="18.75">
      <c r="B42" s="2821"/>
      <c r="C42" s="65">
        <v>1</v>
      </c>
      <c r="D42" s="108" t="s">
        <v>2168</v>
      </c>
      <c r="E42" s="890"/>
      <c r="F42" s="2812">
        <v>6.4500000000000002E-2</v>
      </c>
      <c r="G42" s="2813">
        <v>6.1425E-2</v>
      </c>
      <c r="H42" s="2813">
        <v>6.2850000000000003E-2</v>
      </c>
      <c r="I42" s="2813">
        <v>6.4274999999999999E-2</v>
      </c>
      <c r="J42" s="2813">
        <v>6.5699999999999995E-2</v>
      </c>
      <c r="K42" s="2813">
        <v>6.712499999999999E-2</v>
      </c>
      <c r="L42" s="2813">
        <v>6.855E-2</v>
      </c>
      <c r="M42" s="2813">
        <v>6.9974999999999996E-2</v>
      </c>
      <c r="N42" s="2813">
        <v>7.1399999999999991E-2</v>
      </c>
      <c r="O42" s="885"/>
      <c r="R42" s="400">
        <v>0.19341814041355984</v>
      </c>
      <c r="S42" s="400" t="s">
        <v>2165</v>
      </c>
    </row>
    <row r="43" spans="2:27" ht="18.75">
      <c r="B43" s="2821"/>
      <c r="C43" s="65">
        <v>2</v>
      </c>
      <c r="D43" s="108" t="s">
        <v>2168</v>
      </c>
      <c r="E43" s="108"/>
      <c r="F43" s="2814">
        <v>6.4500000000000002E-2</v>
      </c>
      <c r="G43" s="2813">
        <v>6.1425E-2</v>
      </c>
      <c r="H43" s="2813">
        <v>6.2850000000000003E-2</v>
      </c>
      <c r="I43" s="2813">
        <v>6.4274999999999999E-2</v>
      </c>
      <c r="J43" s="2813">
        <v>6.5699999999999995E-2</v>
      </c>
      <c r="K43" s="2813">
        <v>6.712499999999999E-2</v>
      </c>
      <c r="L43" s="2813">
        <v>6.855E-2</v>
      </c>
      <c r="M43" s="2813">
        <v>6.9974999999999996E-2</v>
      </c>
      <c r="N43" s="2813">
        <v>7.1399999999999991E-2</v>
      </c>
      <c r="O43" s="885"/>
      <c r="R43" s="400">
        <v>0.19341814041355984</v>
      </c>
      <c r="S43" s="400" t="s">
        <v>2165</v>
      </c>
      <c r="X43" s="39"/>
      <c r="Y43" s="39"/>
      <c r="Z43" s="39"/>
      <c r="AA43" s="39"/>
    </row>
    <row r="44" spans="2:27" ht="18.75">
      <c r="B44" s="2821"/>
      <c r="C44" s="65">
        <v>3</v>
      </c>
      <c r="D44" s="108" t="s">
        <v>2168</v>
      </c>
      <c r="E44" s="108"/>
      <c r="F44" s="2814">
        <v>6.4500000000000002E-2</v>
      </c>
      <c r="G44" s="2813">
        <v>6.1425E-2</v>
      </c>
      <c r="H44" s="2813">
        <v>6.2850000000000003E-2</v>
      </c>
      <c r="I44" s="2813">
        <v>6.4274999999999999E-2</v>
      </c>
      <c r="J44" s="2813">
        <v>6.5699999999999995E-2</v>
      </c>
      <c r="K44" s="2813">
        <v>6.712499999999999E-2</v>
      </c>
      <c r="L44" s="2813">
        <v>6.855E-2</v>
      </c>
      <c r="M44" s="2813">
        <v>6.9974999999999996E-2</v>
      </c>
      <c r="N44" s="2813">
        <v>7.1399999999999991E-2</v>
      </c>
      <c r="O44" s="885"/>
      <c r="R44" s="400">
        <v>0.19341814041355984</v>
      </c>
      <c r="S44" s="400" t="s">
        <v>2165</v>
      </c>
      <c r="X44" s="39"/>
      <c r="Y44" s="39"/>
      <c r="Z44" s="39"/>
      <c r="AA44" s="39"/>
    </row>
    <row r="45" spans="2:27" ht="18.75">
      <c r="B45" s="2821"/>
      <c r="C45" s="896">
        <v>4</v>
      </c>
      <c r="D45" s="897" t="s">
        <v>2168</v>
      </c>
      <c r="E45" s="897"/>
      <c r="F45" s="2815">
        <v>6.4500000000000002E-2</v>
      </c>
      <c r="G45" s="2816">
        <v>6.1425E-2</v>
      </c>
      <c r="H45" s="2816">
        <v>6.2850000000000003E-2</v>
      </c>
      <c r="I45" s="2816">
        <v>6.4274999999999999E-2</v>
      </c>
      <c r="J45" s="2816">
        <v>6.5699999999999995E-2</v>
      </c>
      <c r="K45" s="2816">
        <v>6.712499999999999E-2</v>
      </c>
      <c r="L45" s="2816">
        <v>6.855E-2</v>
      </c>
      <c r="M45" s="2816">
        <v>6.9974999999999996E-2</v>
      </c>
      <c r="N45" s="2816">
        <v>7.1399999999999991E-2</v>
      </c>
      <c r="O45" s="885"/>
      <c r="R45" s="400">
        <v>0.19341814041355984</v>
      </c>
      <c r="S45" s="400" t="s">
        <v>2165</v>
      </c>
      <c r="X45" s="39"/>
      <c r="Y45" s="39"/>
      <c r="Z45" s="39"/>
      <c r="AA45" s="39"/>
    </row>
    <row r="46" spans="2:27" ht="15.75">
      <c r="B46" s="55"/>
      <c r="C46" s="1024" t="s">
        <v>37</v>
      </c>
      <c r="D46" s="901"/>
      <c r="E46" s="901"/>
      <c r="F46" s="84">
        <f>(INDEX(F$42:F$45,ROUNDDOWN($E$7,0))*(1-MOD($E$7,1)))+(INDEX(F$42:F$45,ROUNDUP($E$7,0))*MOD($E$7,1))</f>
        <v>6.4500000000000002E-2</v>
      </c>
      <c r="G46" s="84">
        <f t="shared" ref="G46:N46" si="3">(INDEX(G$42:G$45,ROUNDDOWN($E$7,0))*(1-MOD($E$7,1)))+(INDEX(G$42:G$45,ROUNDUP($E$7,0))*MOD($E$7,1))</f>
        <v>6.1425E-2</v>
      </c>
      <c r="H46" s="84">
        <f t="shared" si="3"/>
        <v>6.2850000000000003E-2</v>
      </c>
      <c r="I46" s="84">
        <f t="shared" si="3"/>
        <v>6.4274999999999999E-2</v>
      </c>
      <c r="J46" s="84">
        <f t="shared" si="3"/>
        <v>6.5699999999999995E-2</v>
      </c>
      <c r="K46" s="84">
        <f t="shared" si="3"/>
        <v>6.712499999999999E-2</v>
      </c>
      <c r="L46" s="84">
        <f t="shared" si="3"/>
        <v>6.855E-2</v>
      </c>
      <c r="M46" s="84">
        <f t="shared" si="3"/>
        <v>6.9974999999999996E-2</v>
      </c>
      <c r="N46" s="84">
        <f t="shared" si="3"/>
        <v>7.1399999999999991E-2</v>
      </c>
      <c r="O46" s="885"/>
      <c r="X46" s="39"/>
      <c r="Y46" s="39"/>
      <c r="Z46" s="39"/>
      <c r="AA46" s="39"/>
    </row>
    <row r="47" spans="2:27">
      <c r="B47" s="904"/>
      <c r="C47" s="67"/>
      <c r="D47" s="200"/>
      <c r="E47" s="67"/>
      <c r="F47" s="67"/>
      <c r="G47" s="67"/>
      <c r="H47" s="67"/>
      <c r="I47" s="67"/>
      <c r="J47" s="67"/>
      <c r="K47" s="67"/>
      <c r="L47" s="67"/>
      <c r="M47" s="67"/>
      <c r="N47" s="67"/>
      <c r="O47" s="885"/>
      <c r="X47" s="39"/>
      <c r="Y47" s="39"/>
      <c r="Z47" s="39"/>
      <c r="AA47" s="39"/>
    </row>
    <row r="48" spans="2:27">
      <c r="B48" s="904"/>
      <c r="C48" s="49" t="s">
        <v>2987</v>
      </c>
      <c r="D48" s="67"/>
      <c r="E48" s="51"/>
      <c r="F48" s="51"/>
      <c r="G48" s="67"/>
      <c r="H48" s="67"/>
      <c r="I48" s="67"/>
      <c r="J48" s="67"/>
      <c r="K48" s="67"/>
      <c r="L48" s="67"/>
      <c r="M48" s="67"/>
      <c r="N48" s="51" t="s">
        <v>2169</v>
      </c>
      <c r="O48" s="885"/>
      <c r="X48" s="39"/>
      <c r="Y48" s="39"/>
      <c r="Z48" s="39"/>
      <c r="AA48" s="39"/>
    </row>
    <row r="49" spans="2:27">
      <c r="B49" s="904"/>
      <c r="C49" s="67"/>
      <c r="D49" s="67"/>
      <c r="E49" s="67"/>
      <c r="F49" s="67"/>
      <c r="G49" s="67"/>
      <c r="H49" s="67"/>
      <c r="I49" s="67"/>
      <c r="J49" s="67"/>
      <c r="K49" s="67"/>
      <c r="L49" s="67"/>
      <c r="M49" s="67"/>
      <c r="N49" s="67"/>
      <c r="O49" s="885"/>
      <c r="X49" s="39"/>
      <c r="Y49" s="39"/>
      <c r="Z49" s="39"/>
      <c r="AA49" s="39"/>
    </row>
    <row r="50" spans="2:27" ht="15.75">
      <c r="B50" s="886"/>
      <c r="C50" s="887" t="s">
        <v>8</v>
      </c>
      <c r="D50" s="887" t="s">
        <v>72</v>
      </c>
      <c r="E50" s="887"/>
      <c r="F50" s="908">
        <v>2013</v>
      </c>
      <c r="G50" s="92">
        <v>2015</v>
      </c>
      <c r="H50" s="92">
        <v>2020</v>
      </c>
      <c r="I50" s="92">
        <v>2025</v>
      </c>
      <c r="J50" s="92">
        <v>2030</v>
      </c>
      <c r="K50" s="92">
        <v>2035</v>
      </c>
      <c r="L50" s="92">
        <v>2040</v>
      </c>
      <c r="M50" s="92">
        <v>2045</v>
      </c>
      <c r="N50" s="92">
        <v>2050</v>
      </c>
      <c r="O50" s="885"/>
      <c r="X50" s="39"/>
      <c r="Y50" s="39"/>
      <c r="Z50" s="39"/>
      <c r="AA50" s="39"/>
    </row>
    <row r="51" spans="2:27" ht="15.75">
      <c r="B51" s="886"/>
      <c r="C51" s="65">
        <v>1</v>
      </c>
      <c r="D51" s="108" t="s">
        <v>1705</v>
      </c>
      <c r="E51" s="890"/>
      <c r="F51" s="2812">
        <v>0.11999999999999997</v>
      </c>
      <c r="G51" s="2813">
        <v>0.11288288377961082</v>
      </c>
      <c r="H51" s="2813">
        <v>0.10576576755922167</v>
      </c>
      <c r="I51" s="2813">
        <v>9.8648651338832521E-2</v>
      </c>
      <c r="J51" s="2813">
        <v>9.1531535118443363E-2</v>
      </c>
      <c r="K51" s="2813">
        <v>8.4414418898054205E-2</v>
      </c>
      <c r="L51" s="2813">
        <v>7.7297302677665047E-2</v>
      </c>
      <c r="M51" s="2813">
        <v>7.0180186457275903E-2</v>
      </c>
      <c r="N51" s="2813">
        <v>6.3063070236886745E-2</v>
      </c>
      <c r="O51" s="885"/>
      <c r="R51" s="400">
        <v>-0.47447441469261037</v>
      </c>
      <c r="S51" s="400" t="s">
        <v>2165</v>
      </c>
      <c r="X51" s="39"/>
      <c r="Y51" s="39"/>
      <c r="Z51" s="39"/>
      <c r="AA51" s="39"/>
    </row>
    <row r="52" spans="2:27" ht="15.75">
      <c r="B52" s="886"/>
      <c r="C52" s="65">
        <v>2</v>
      </c>
      <c r="D52" s="108" t="s">
        <v>1705</v>
      </c>
      <c r="E52" s="108"/>
      <c r="F52" s="2814">
        <v>0.11999999999999997</v>
      </c>
      <c r="G52" s="2813">
        <v>0.11288288377961082</v>
      </c>
      <c r="H52" s="2813">
        <v>0.10576576755922167</v>
      </c>
      <c r="I52" s="2813">
        <v>9.8648651338832521E-2</v>
      </c>
      <c r="J52" s="2813">
        <v>9.1531535118443363E-2</v>
      </c>
      <c r="K52" s="2813">
        <v>8.4414418898054205E-2</v>
      </c>
      <c r="L52" s="2813">
        <v>7.7297302677665047E-2</v>
      </c>
      <c r="M52" s="2813">
        <v>7.0180186457275903E-2</v>
      </c>
      <c r="N52" s="2813">
        <v>6.3063070236886745E-2</v>
      </c>
      <c r="O52" s="885"/>
      <c r="R52" s="400">
        <v>-0.69025661811681704</v>
      </c>
      <c r="S52" s="400" t="s">
        <v>2165</v>
      </c>
      <c r="X52" s="39"/>
      <c r="Y52" s="39"/>
      <c r="Z52" s="39"/>
      <c r="AA52" s="39"/>
    </row>
    <row r="53" spans="2:27" ht="15.75">
      <c r="B53" s="886"/>
      <c r="C53" s="65">
        <v>3</v>
      </c>
      <c r="D53" s="108" t="s">
        <v>1705</v>
      </c>
      <c r="E53" s="108"/>
      <c r="F53" s="2814">
        <v>0.11999999999999997</v>
      </c>
      <c r="G53" s="2813">
        <v>0.11288288377961082</v>
      </c>
      <c r="H53" s="2813">
        <v>0.10576576755922167</v>
      </c>
      <c r="I53" s="2813">
        <v>9.8648651338832521E-2</v>
      </c>
      <c r="J53" s="2813">
        <v>9.1531535118443363E-2</v>
      </c>
      <c r="K53" s="2813">
        <v>8.4414418898054205E-2</v>
      </c>
      <c r="L53" s="2813">
        <v>7.7297302677665047E-2</v>
      </c>
      <c r="M53" s="2813">
        <v>7.0180186457275903E-2</v>
      </c>
      <c r="N53" s="2813">
        <v>6.3063070236886745E-2</v>
      </c>
      <c r="O53" s="885"/>
      <c r="R53" s="400">
        <v>-0.81199742060068658</v>
      </c>
      <c r="S53" s="400" t="s">
        <v>2165</v>
      </c>
      <c r="X53" s="39"/>
      <c r="Y53" s="39"/>
      <c r="Z53" s="39"/>
      <c r="AA53" s="39"/>
    </row>
    <row r="54" spans="2:27" ht="15.75">
      <c r="B54" s="886"/>
      <c r="C54" s="896">
        <v>4</v>
      </c>
      <c r="D54" s="897" t="s">
        <v>1705</v>
      </c>
      <c r="E54" s="897"/>
      <c r="F54" s="2815">
        <v>0.11999999999999997</v>
      </c>
      <c r="G54" s="2816">
        <v>0.11288288377961082</v>
      </c>
      <c r="H54" s="2816">
        <v>0.10576576755922167</v>
      </c>
      <c r="I54" s="2816">
        <v>9.8648651338832521E-2</v>
      </c>
      <c r="J54" s="2816">
        <v>9.1531535118443363E-2</v>
      </c>
      <c r="K54" s="2816">
        <v>8.4414418898054205E-2</v>
      </c>
      <c r="L54" s="2816">
        <v>7.7297302677665047E-2</v>
      </c>
      <c r="M54" s="2816">
        <v>7.0180186457275903E-2</v>
      </c>
      <c r="N54" s="2816">
        <v>6.3063070236886745E-2</v>
      </c>
      <c r="O54" s="885"/>
      <c r="R54" s="400">
        <v>-0.82812227610588307</v>
      </c>
      <c r="S54" s="400" t="s">
        <v>2165</v>
      </c>
      <c r="X54" s="39"/>
      <c r="Y54" s="39"/>
      <c r="Z54" s="39"/>
      <c r="AA54" s="39"/>
    </row>
    <row r="55" spans="2:27" ht="15.75">
      <c r="B55" s="55"/>
      <c r="C55" s="1024" t="s">
        <v>37</v>
      </c>
      <c r="D55" s="901"/>
      <c r="E55" s="901"/>
      <c r="F55" s="84">
        <f>(INDEX(F$51:F$54,ROUNDDOWN($E$7,0))*(1-MOD($E$7,1)))+(INDEX(F$51:F$54,ROUNDUP($E$7,0))*MOD($E$7,1))</f>
        <v>0.11999999999999997</v>
      </c>
      <c r="G55" s="2820">
        <f t="shared" ref="G55:N55" si="4">(INDEX(G$51:G$54,ROUNDDOWN($E$7,0))*(1-MOD($E$7,1)))+(INDEX(G$51:G$54,ROUNDUP($E$7,0))*MOD($E$7,1))</f>
        <v>0.11288288377961082</v>
      </c>
      <c r="H55" s="84">
        <f t="shared" si="4"/>
        <v>0.10576576755922167</v>
      </c>
      <c r="I55" s="84">
        <f t="shared" si="4"/>
        <v>9.8648651338832521E-2</v>
      </c>
      <c r="J55" s="84">
        <f t="shared" si="4"/>
        <v>9.1531535118443363E-2</v>
      </c>
      <c r="K55" s="84">
        <f t="shared" si="4"/>
        <v>8.4414418898054205E-2</v>
      </c>
      <c r="L55" s="84">
        <f t="shared" si="4"/>
        <v>7.7297302677665047E-2</v>
      </c>
      <c r="M55" s="84">
        <f t="shared" si="4"/>
        <v>7.0180186457275903E-2</v>
      </c>
      <c r="N55" s="84">
        <f t="shared" si="4"/>
        <v>6.3063070236886745E-2</v>
      </c>
      <c r="O55" s="885"/>
      <c r="X55" s="39"/>
      <c r="Y55" s="39"/>
      <c r="Z55" s="39"/>
      <c r="AA55" s="39"/>
    </row>
    <row r="56" spans="2:27">
      <c r="B56" s="904"/>
      <c r="C56" s="67"/>
      <c r="D56" s="200"/>
      <c r="E56" s="67"/>
      <c r="F56" s="67" t="s">
        <v>5</v>
      </c>
      <c r="G56" s="67"/>
      <c r="H56" s="67"/>
      <c r="I56" s="67"/>
      <c r="J56" s="67"/>
      <c r="K56" s="67"/>
      <c r="L56" s="67"/>
      <c r="M56" s="67"/>
      <c r="N56" s="67"/>
      <c r="O56" s="885"/>
      <c r="Q56" s="2807" t="s">
        <v>5</v>
      </c>
      <c r="S56" s="2889" t="s">
        <v>5</v>
      </c>
      <c r="X56" s="39"/>
      <c r="Y56" s="39"/>
      <c r="Z56" s="39"/>
      <c r="AA56" s="39"/>
    </row>
    <row r="57" spans="2:27">
      <c r="B57" s="904"/>
      <c r="C57" s="67" t="s">
        <v>5</v>
      </c>
      <c r="D57" s="200"/>
      <c r="E57" s="67"/>
      <c r="F57" s="67"/>
      <c r="G57" s="67"/>
      <c r="H57" s="67"/>
      <c r="I57" s="67"/>
      <c r="J57" s="67"/>
      <c r="K57" s="67"/>
      <c r="L57" s="67"/>
      <c r="M57" s="67"/>
      <c r="N57" s="67"/>
      <c r="O57" s="885"/>
      <c r="X57" s="39"/>
      <c r="Y57" s="39"/>
      <c r="Z57" s="39"/>
      <c r="AA57" s="39"/>
    </row>
    <row r="58" spans="2:27">
      <c r="B58" s="2273"/>
      <c r="C58" s="882"/>
      <c r="D58" s="2825"/>
      <c r="E58" s="882"/>
      <c r="F58" s="882"/>
      <c r="G58" s="882"/>
      <c r="H58" s="882"/>
      <c r="I58" s="882"/>
      <c r="J58" s="882"/>
      <c r="K58" s="882"/>
      <c r="L58" s="882"/>
      <c r="M58" s="882"/>
      <c r="N58" s="882"/>
      <c r="O58" s="883"/>
      <c r="X58" s="1077"/>
      <c r="Y58" s="1077"/>
      <c r="Z58" s="39"/>
      <c r="AA58" s="39"/>
    </row>
    <row r="59" spans="2:27">
      <c r="B59" s="904"/>
      <c r="C59" s="49" t="s">
        <v>2170</v>
      </c>
      <c r="D59" s="200"/>
      <c r="E59" s="67"/>
      <c r="F59" s="67" t="s">
        <v>5</v>
      </c>
      <c r="G59" s="67"/>
      <c r="H59" s="67"/>
      <c r="I59" s="67"/>
      <c r="J59" s="67"/>
      <c r="K59" s="67"/>
      <c r="L59" s="67"/>
      <c r="M59" s="67"/>
      <c r="N59" s="67"/>
      <c r="O59" s="885"/>
      <c r="X59" s="1077"/>
      <c r="Y59" s="1077"/>
      <c r="Z59" s="39"/>
      <c r="AA59" s="39"/>
    </row>
    <row r="60" spans="2:27">
      <c r="B60" s="904"/>
      <c r="C60" s="67"/>
      <c r="D60" s="200"/>
      <c r="E60" s="67"/>
      <c r="F60" s="67"/>
      <c r="G60" s="67"/>
      <c r="H60" s="67"/>
      <c r="I60" s="67"/>
      <c r="J60" s="67"/>
      <c r="K60" s="67"/>
      <c r="L60" s="67"/>
      <c r="M60" s="67"/>
      <c r="N60" s="67"/>
      <c r="O60" s="885"/>
      <c r="X60" s="1077"/>
      <c r="Y60" s="1077"/>
      <c r="Z60" s="39"/>
      <c r="AA60" s="39"/>
    </row>
    <row r="61" spans="2:27">
      <c r="B61" s="904"/>
      <c r="C61" s="49" t="s">
        <v>1146</v>
      </c>
      <c r="D61" s="200" t="s">
        <v>5</v>
      </c>
      <c r="E61" s="67"/>
      <c r="F61" s="67"/>
      <c r="G61" s="67"/>
      <c r="H61" s="67"/>
      <c r="I61" s="67"/>
      <c r="J61" s="67"/>
      <c r="K61" s="67"/>
      <c r="L61" s="67"/>
      <c r="M61" s="67"/>
      <c r="N61" s="51" t="s">
        <v>2171</v>
      </c>
      <c r="O61" s="885"/>
      <c r="X61" s="1077"/>
      <c r="Y61" s="1077"/>
      <c r="Z61" s="39"/>
      <c r="AA61" s="39"/>
    </row>
    <row r="62" spans="2:27">
      <c r="B62" s="904"/>
      <c r="C62" s="67"/>
      <c r="D62" s="67"/>
      <c r="E62" s="67"/>
      <c r="F62" s="67"/>
      <c r="G62" s="67"/>
      <c r="H62" s="67"/>
      <c r="I62" s="67"/>
      <c r="J62" s="67"/>
      <c r="K62" s="67"/>
      <c r="L62" s="67"/>
      <c r="M62" s="67"/>
      <c r="N62" s="67"/>
      <c r="O62" s="885"/>
      <c r="X62" s="1077"/>
      <c r="Y62" s="1077"/>
      <c r="Z62" s="39"/>
      <c r="AA62" s="39"/>
    </row>
    <row r="63" spans="2:27" ht="15.75">
      <c r="B63" s="886"/>
      <c r="C63" s="887" t="s">
        <v>2172</v>
      </c>
      <c r="D63" s="887" t="s">
        <v>72</v>
      </c>
      <c r="E63" s="887"/>
      <c r="F63" s="908">
        <v>2013</v>
      </c>
      <c r="G63" s="92">
        <v>2015</v>
      </c>
      <c r="H63" s="92">
        <v>2020</v>
      </c>
      <c r="I63" s="92">
        <v>2025</v>
      </c>
      <c r="J63" s="92">
        <v>2030</v>
      </c>
      <c r="K63" s="92">
        <v>2035</v>
      </c>
      <c r="L63" s="92">
        <v>2040</v>
      </c>
      <c r="M63" s="92">
        <v>2045</v>
      </c>
      <c r="N63" s="92">
        <v>2050</v>
      </c>
      <c r="O63" s="885"/>
      <c r="X63" s="39"/>
      <c r="Y63" s="39"/>
      <c r="Z63" s="39"/>
      <c r="AA63" s="39"/>
    </row>
    <row r="64" spans="2:27" ht="15.75">
      <c r="B64" s="886"/>
      <c r="C64" s="65" t="s">
        <v>1935</v>
      </c>
      <c r="D64" s="108" t="s">
        <v>2936</v>
      </c>
      <c r="E64" s="890"/>
      <c r="F64" s="2826">
        <f>0.4/SUM(F15+F24)</f>
        <v>0.16139855072171383</v>
      </c>
      <c r="G64" s="2827">
        <f>0.4/SUM(G15+G24)</f>
        <v>0.15564202334630353</v>
      </c>
      <c r="H64" s="2827">
        <f t="shared" ref="H64:N64" si="5">0.4/SUM(H15+H24)</f>
        <v>0.14196919275323427</v>
      </c>
      <c r="I64" s="2827">
        <f t="shared" si="5"/>
        <v>0.13114754098360656</v>
      </c>
      <c r="J64" s="2827">
        <f t="shared" si="5"/>
        <v>0.12121212121212123</v>
      </c>
      <c r="K64" s="2827">
        <f t="shared" si="5"/>
        <v>0.11560693641618498</v>
      </c>
      <c r="L64" s="2827">
        <f t="shared" si="5"/>
        <v>0.11049723756906078</v>
      </c>
      <c r="M64" s="2827">
        <f t="shared" si="5"/>
        <v>0.10554089709762533</v>
      </c>
      <c r="N64" s="2827">
        <f t="shared" si="5"/>
        <v>0.10050251256281408</v>
      </c>
      <c r="O64" s="885"/>
    </row>
    <row r="65" spans="2:15" s="3641" customFormat="1" ht="15.75">
      <c r="B65" s="886"/>
      <c r="C65" s="65" t="s">
        <v>686</v>
      </c>
      <c r="D65" s="108" t="s">
        <v>2937</v>
      </c>
      <c r="E65" s="108"/>
      <c r="F65" s="2828">
        <f>0.5/SUM(F15+F24)</f>
        <v>0.20174818840214226</v>
      </c>
      <c r="G65" s="2827">
        <v>0.22</v>
      </c>
      <c r="H65" s="2827">
        <v>0.21</v>
      </c>
      <c r="I65" s="2827">
        <v>0.21</v>
      </c>
      <c r="J65" s="2827">
        <v>0.21</v>
      </c>
      <c r="K65" s="2827">
        <v>0.21</v>
      </c>
      <c r="L65" s="2827">
        <v>0.21</v>
      </c>
      <c r="M65" s="2827">
        <v>0.24</v>
      </c>
      <c r="N65" s="2827">
        <v>0.24</v>
      </c>
      <c r="O65" s="885"/>
    </row>
    <row r="66" spans="2:15" ht="15.75">
      <c r="B66" s="886"/>
      <c r="C66" s="65" t="s">
        <v>693</v>
      </c>
      <c r="D66" s="108" t="s">
        <v>2173</v>
      </c>
      <c r="E66" s="108"/>
      <c r="F66" s="2828">
        <v>0.41</v>
      </c>
      <c r="G66" s="2827">
        <v>0.38151999999999997</v>
      </c>
      <c r="H66" s="2827">
        <v>0.37434000000000001</v>
      </c>
      <c r="I66" s="2827">
        <v>0.35421999999999998</v>
      </c>
      <c r="J66" s="2827">
        <v>0.33410000000000001</v>
      </c>
      <c r="K66" s="2827">
        <v>0.30979250000000003</v>
      </c>
      <c r="L66" s="2827">
        <v>0.28548499999999999</v>
      </c>
      <c r="M66" s="2827">
        <v>0.26117750000000001</v>
      </c>
      <c r="N66" s="2827">
        <v>0.23687</v>
      </c>
      <c r="O66" s="885"/>
    </row>
    <row r="67" spans="2:15" s="3641" customFormat="1" ht="15.75">
      <c r="B67" s="886"/>
      <c r="C67" s="65" t="s">
        <v>239</v>
      </c>
      <c r="D67" s="108" t="s">
        <v>2934</v>
      </c>
      <c r="E67" s="108"/>
      <c r="F67" s="2828">
        <v>7.0000000000000007E-2</v>
      </c>
      <c r="G67" s="2827">
        <v>7.0000000000000007E-2</v>
      </c>
      <c r="H67" s="2827">
        <f>0.7/SUM(H15+H24)</f>
        <v>0.24844608731815995</v>
      </c>
      <c r="I67" s="2827">
        <f t="shared" ref="I67:N67" si="6">0.7/SUM(I15+I24)</f>
        <v>0.22950819672131148</v>
      </c>
      <c r="J67" s="2827">
        <f t="shared" si="6"/>
        <v>0.21212121212121213</v>
      </c>
      <c r="K67" s="2827">
        <f t="shared" si="6"/>
        <v>0.20231213872832368</v>
      </c>
      <c r="L67" s="2827">
        <f t="shared" si="6"/>
        <v>0.19337016574585633</v>
      </c>
      <c r="M67" s="2827">
        <f t="shared" si="6"/>
        <v>0.18469656992084432</v>
      </c>
      <c r="N67" s="2827">
        <f t="shared" si="6"/>
        <v>0.17587939698492461</v>
      </c>
      <c r="O67" s="885"/>
    </row>
    <row r="68" spans="2:15" ht="15.75">
      <c r="B68" s="886"/>
      <c r="C68" s="896" t="s">
        <v>1943</v>
      </c>
      <c r="D68" s="897" t="s">
        <v>2935</v>
      </c>
      <c r="E68" s="897"/>
      <c r="F68" s="2829">
        <v>0.16</v>
      </c>
      <c r="G68" s="2830">
        <v>0.18</v>
      </c>
      <c r="H68" s="2830">
        <v>0.03</v>
      </c>
      <c r="I68" s="2830">
        <v>0.08</v>
      </c>
      <c r="J68" s="2830">
        <v>0.12</v>
      </c>
      <c r="K68" s="2830">
        <v>0.16</v>
      </c>
      <c r="L68" s="2830">
        <v>0.2</v>
      </c>
      <c r="M68" s="2830">
        <v>0.21</v>
      </c>
      <c r="N68" s="2830">
        <v>0.25</v>
      </c>
      <c r="O68" s="885"/>
    </row>
    <row r="69" spans="2:15">
      <c r="B69" s="904"/>
      <c r="C69" s="67"/>
      <c r="D69" s="200" t="s">
        <v>59</v>
      </c>
      <c r="E69" s="67"/>
      <c r="F69" s="1095">
        <f t="shared" ref="F69:N69" si="7">SUM(F64:F68)</f>
        <v>1.003146739123856</v>
      </c>
      <c r="G69" s="1095">
        <f t="shared" si="7"/>
        <v>1.0071620233463034</v>
      </c>
      <c r="H69" s="1095">
        <f t="shared" si="7"/>
        <v>1.0047552800713941</v>
      </c>
      <c r="I69" s="1095">
        <f t="shared" si="7"/>
        <v>1.004875737704918</v>
      </c>
      <c r="J69" s="1095">
        <f t="shared" si="7"/>
        <v>0.99743333333333339</v>
      </c>
      <c r="K69" s="1095">
        <f t="shared" si="7"/>
        <v>0.9977115751445087</v>
      </c>
      <c r="L69" s="1095">
        <f t="shared" si="7"/>
        <v>0.99935240331491704</v>
      </c>
      <c r="M69" s="1095">
        <f t="shared" si="7"/>
        <v>1.0014149670184695</v>
      </c>
      <c r="N69" s="1095">
        <f t="shared" si="7"/>
        <v>1.0032519095477386</v>
      </c>
      <c r="O69" s="885"/>
    </row>
    <row r="70" spans="2:15">
      <c r="B70" s="904"/>
      <c r="C70" s="978"/>
      <c r="D70" s="3030" t="s">
        <v>464</v>
      </c>
      <c r="E70" s="978"/>
      <c r="F70" s="3728">
        <f>F64+F66+F67</f>
        <v>0.64139855072171392</v>
      </c>
      <c r="G70" s="3728">
        <f t="shared" ref="G70:N70" si="8">G64+G66+G67</f>
        <v>0.60716202334630354</v>
      </c>
      <c r="H70" s="3728">
        <f t="shared" si="8"/>
        <v>0.76475528007139426</v>
      </c>
      <c r="I70" s="3728">
        <f t="shared" si="8"/>
        <v>0.71487573770491808</v>
      </c>
      <c r="J70" s="3728">
        <f t="shared" si="8"/>
        <v>0.66743333333333332</v>
      </c>
      <c r="K70" s="3728">
        <f t="shared" si="8"/>
        <v>0.6277115751445087</v>
      </c>
      <c r="L70" s="3728">
        <f t="shared" si="8"/>
        <v>0.58935240331491712</v>
      </c>
      <c r="M70" s="3728">
        <f t="shared" si="8"/>
        <v>0.55141496701846959</v>
      </c>
      <c r="N70" s="3728">
        <f t="shared" si="8"/>
        <v>0.51325190954773869</v>
      </c>
      <c r="O70" s="885"/>
    </row>
    <row r="71" spans="2:15">
      <c r="B71" s="904"/>
      <c r="C71" s="49" t="s">
        <v>1155</v>
      </c>
      <c r="D71" s="200"/>
      <c r="E71" s="67"/>
      <c r="F71" s="67"/>
      <c r="G71" s="67"/>
      <c r="H71" s="67"/>
      <c r="I71" s="67"/>
      <c r="J71" s="67"/>
      <c r="K71" s="67"/>
      <c r="L71" s="67"/>
      <c r="M71" s="67"/>
      <c r="N71" s="51" t="s">
        <v>2171</v>
      </c>
      <c r="O71" s="885"/>
    </row>
    <row r="72" spans="2:15">
      <c r="B72" s="904"/>
      <c r="C72" s="67"/>
      <c r="D72" s="67"/>
      <c r="E72" s="67"/>
      <c r="F72" s="67"/>
      <c r="G72" s="67"/>
      <c r="H72" s="67"/>
      <c r="I72" s="67"/>
      <c r="J72" s="67"/>
      <c r="K72" s="67"/>
      <c r="L72" s="67"/>
      <c r="M72" s="67"/>
      <c r="N72" s="67"/>
      <c r="O72" s="885"/>
    </row>
    <row r="73" spans="2:15" ht="15.75">
      <c r="B73" s="886"/>
      <c r="C73" s="887" t="s">
        <v>2172</v>
      </c>
      <c r="D73" s="887" t="s">
        <v>72</v>
      </c>
      <c r="E73" s="887"/>
      <c r="F73" s="908">
        <v>2013</v>
      </c>
      <c r="G73" s="92">
        <v>2015</v>
      </c>
      <c r="H73" s="92">
        <v>2020</v>
      </c>
      <c r="I73" s="92">
        <v>2025</v>
      </c>
      <c r="J73" s="92">
        <v>2030</v>
      </c>
      <c r="K73" s="92">
        <v>2035</v>
      </c>
      <c r="L73" s="92">
        <v>2040</v>
      </c>
      <c r="M73" s="92">
        <v>2045</v>
      </c>
      <c r="N73" s="92">
        <v>2050</v>
      </c>
      <c r="O73" s="885"/>
    </row>
    <row r="74" spans="2:15" ht="15.75">
      <c r="B74" s="886"/>
      <c r="C74" s="65" t="s">
        <v>1935</v>
      </c>
      <c r="D74" s="108" t="s">
        <v>2936</v>
      </c>
      <c r="E74" s="890"/>
      <c r="F74" s="2826">
        <v>0.16</v>
      </c>
      <c r="G74" s="2827">
        <v>0.15999999999999998</v>
      </c>
      <c r="H74" s="2827">
        <v>0.18</v>
      </c>
      <c r="I74" s="2827">
        <v>0.19999999999999998</v>
      </c>
      <c r="J74" s="2827">
        <v>0.21999999999999997</v>
      </c>
      <c r="K74" s="2827">
        <v>0.24</v>
      </c>
      <c r="L74" s="2827">
        <v>0.26</v>
      </c>
      <c r="M74" s="2827">
        <v>0.28000000000000003</v>
      </c>
      <c r="N74" s="2827">
        <v>0.3</v>
      </c>
      <c r="O74" s="885"/>
    </row>
    <row r="75" spans="2:15" s="3641" customFormat="1" ht="15.75">
      <c r="B75" s="886"/>
      <c r="C75" s="65" t="s">
        <v>686</v>
      </c>
      <c r="D75" s="108" t="s">
        <v>2937</v>
      </c>
      <c r="E75" s="108"/>
      <c r="F75" s="2828">
        <v>0.2</v>
      </c>
      <c r="G75" s="2827">
        <v>0.21999999999999997</v>
      </c>
      <c r="H75" s="2827">
        <v>0.24285714285714283</v>
      </c>
      <c r="I75" s="2827">
        <v>0.26571428571428568</v>
      </c>
      <c r="J75" s="2827">
        <v>0.28857142857142859</v>
      </c>
      <c r="K75" s="2827">
        <v>0.31142857142857139</v>
      </c>
      <c r="L75" s="2827">
        <v>0.3342857142857143</v>
      </c>
      <c r="M75" s="2827">
        <v>0.35714285714285715</v>
      </c>
      <c r="N75" s="2827">
        <v>0.38</v>
      </c>
      <c r="O75" s="885"/>
    </row>
    <row r="76" spans="2:15" ht="15.75">
      <c r="B76" s="886"/>
      <c r="C76" s="65" t="s">
        <v>693</v>
      </c>
      <c r="D76" s="108" t="s">
        <v>2173</v>
      </c>
      <c r="E76" s="108"/>
      <c r="F76" s="2828">
        <v>0.41</v>
      </c>
      <c r="G76" s="2827">
        <v>0.35</v>
      </c>
      <c r="H76" s="2827">
        <v>0.28149999999999997</v>
      </c>
      <c r="I76" s="2827">
        <v>0.24540000000000001</v>
      </c>
      <c r="J76" s="2827">
        <v>0.20930000000000001</v>
      </c>
      <c r="K76" s="2827">
        <v>0.18485000000000001</v>
      </c>
      <c r="L76" s="2827">
        <v>0.16040000000000001</v>
      </c>
      <c r="M76" s="2827">
        <v>0.13595000000000002</v>
      </c>
      <c r="N76" s="2827">
        <v>0.1115</v>
      </c>
      <c r="O76" s="885"/>
    </row>
    <row r="77" spans="2:15" s="3641" customFormat="1" ht="15.75">
      <c r="B77" s="886"/>
      <c r="C77" s="65" t="s">
        <v>239</v>
      </c>
      <c r="D77" s="108" t="s">
        <v>2934</v>
      </c>
      <c r="E77" s="108"/>
      <c r="F77" s="2828">
        <v>7.0000000000000007E-2</v>
      </c>
      <c r="G77" s="2827">
        <v>7.0000000000000007E-2</v>
      </c>
      <c r="H77" s="2827">
        <v>0.24844608731815995</v>
      </c>
      <c r="I77" s="2827">
        <v>0.22950819672131148</v>
      </c>
      <c r="J77" s="2827">
        <v>0.21212121212121213</v>
      </c>
      <c r="K77" s="2827">
        <v>0.20231213872832368</v>
      </c>
      <c r="L77" s="2827">
        <v>0.19337016574585633</v>
      </c>
      <c r="M77" s="2827">
        <v>0.18469656992084432</v>
      </c>
      <c r="N77" s="2827">
        <v>0.17587939698492461</v>
      </c>
      <c r="O77" s="885"/>
    </row>
    <row r="78" spans="2:15" ht="15.75">
      <c r="B78" s="886"/>
      <c r="C78" s="896" t="s">
        <v>1943</v>
      </c>
      <c r="D78" s="897" t="s">
        <v>2935</v>
      </c>
      <c r="E78" s="897"/>
      <c r="F78" s="2829">
        <v>0.16</v>
      </c>
      <c r="G78" s="2830">
        <v>0.2</v>
      </c>
      <c r="H78" s="2830">
        <v>0.05</v>
      </c>
      <c r="I78" s="2830">
        <v>0.06</v>
      </c>
      <c r="J78" s="2830">
        <v>7.0000000000000007E-2</v>
      </c>
      <c r="K78" s="2830">
        <v>0.06</v>
      </c>
      <c r="L78" s="2830">
        <v>0.05</v>
      </c>
      <c r="M78" s="2830">
        <v>0.04</v>
      </c>
      <c r="N78" s="2830">
        <v>0.03</v>
      </c>
      <c r="O78" s="885"/>
    </row>
    <row r="79" spans="2:15">
      <c r="B79" s="904"/>
      <c r="C79" s="67"/>
      <c r="D79" s="200" t="s">
        <v>59</v>
      </c>
      <c r="E79" s="67"/>
      <c r="F79" s="1095">
        <f>SUM(F74:F78)</f>
        <v>1</v>
      </c>
      <c r="G79" s="1095">
        <f t="shared" ref="G79:N79" si="9">SUM(G74:G78)</f>
        <v>1</v>
      </c>
      <c r="H79" s="1095">
        <f t="shared" si="9"/>
        <v>1.0028032301753027</v>
      </c>
      <c r="I79" s="1095">
        <f t="shared" si="9"/>
        <v>1.0006224824355971</v>
      </c>
      <c r="J79" s="1095">
        <f t="shared" si="9"/>
        <v>0.99999264069264071</v>
      </c>
      <c r="K79" s="1095">
        <f t="shared" si="9"/>
        <v>0.99859071015689493</v>
      </c>
      <c r="L79" s="1095">
        <f t="shared" si="9"/>
        <v>0.99805588003157064</v>
      </c>
      <c r="M79" s="1095">
        <f t="shared" si="9"/>
        <v>0.99778942706370155</v>
      </c>
      <c r="N79" s="1095">
        <f t="shared" si="9"/>
        <v>0.99737939698492462</v>
      </c>
      <c r="O79" s="885"/>
    </row>
    <row r="80" spans="2:15">
      <c r="B80" s="904"/>
      <c r="C80" s="978"/>
      <c r="D80" s="3030" t="s">
        <v>464</v>
      </c>
      <c r="E80" s="978"/>
      <c r="F80" s="3728">
        <f>F74+F76+F77</f>
        <v>0.6399999999999999</v>
      </c>
      <c r="G80" s="3728">
        <f t="shared" ref="G80:N80" si="10">G74+G76+G77</f>
        <v>0.58000000000000007</v>
      </c>
      <c r="H80" s="3728">
        <f t="shared" si="10"/>
        <v>0.70994608731815989</v>
      </c>
      <c r="I80" s="3728">
        <f t="shared" si="10"/>
        <v>0.67490819672131153</v>
      </c>
      <c r="J80" s="3728">
        <f t="shared" si="10"/>
        <v>0.64142121212121217</v>
      </c>
      <c r="K80" s="3728">
        <f t="shared" si="10"/>
        <v>0.62716213872832371</v>
      </c>
      <c r="L80" s="3728">
        <f t="shared" si="10"/>
        <v>0.6137701657458563</v>
      </c>
      <c r="M80" s="3728">
        <f t="shared" si="10"/>
        <v>0.60064656992084431</v>
      </c>
      <c r="N80" s="3728">
        <f t="shared" si="10"/>
        <v>0.58737939698492458</v>
      </c>
      <c r="O80" s="885"/>
    </row>
    <row r="81" spans="2:15">
      <c r="B81" s="904"/>
      <c r="C81" s="49" t="s">
        <v>1156</v>
      </c>
      <c r="D81" s="200" t="s">
        <v>5</v>
      </c>
      <c r="E81" s="67"/>
      <c r="F81" s="67"/>
      <c r="G81" s="67"/>
      <c r="H81" s="67"/>
      <c r="I81" s="67"/>
      <c r="J81" s="67"/>
      <c r="K81" s="67"/>
      <c r="L81" s="67"/>
      <c r="M81" s="67"/>
      <c r="N81" s="51" t="s">
        <v>2171</v>
      </c>
      <c r="O81" s="885"/>
    </row>
    <row r="82" spans="2:15">
      <c r="B82" s="904"/>
      <c r="C82" s="67"/>
      <c r="D82" s="67"/>
      <c r="E82" s="67"/>
      <c r="F82" s="67"/>
      <c r="G82" s="67" t="s">
        <v>5</v>
      </c>
      <c r="H82" s="67"/>
      <c r="I82" s="67"/>
      <c r="J82" s="67"/>
      <c r="K82" s="67"/>
      <c r="L82" s="67"/>
      <c r="M82" s="67"/>
      <c r="N82" s="67"/>
      <c r="O82" s="885"/>
    </row>
    <row r="83" spans="2:15" ht="15.75">
      <c r="B83" s="886"/>
      <c r="C83" s="887" t="s">
        <v>2172</v>
      </c>
      <c r="D83" s="887" t="s">
        <v>72</v>
      </c>
      <c r="E83" s="887"/>
      <c r="F83" s="908">
        <v>2013</v>
      </c>
      <c r="G83" s="92">
        <v>2015</v>
      </c>
      <c r="H83" s="92">
        <v>2020</v>
      </c>
      <c r="I83" s="92">
        <v>2025</v>
      </c>
      <c r="J83" s="92">
        <v>2030</v>
      </c>
      <c r="K83" s="92">
        <v>2035</v>
      </c>
      <c r="L83" s="92">
        <v>2040</v>
      </c>
      <c r="M83" s="92">
        <v>2045</v>
      </c>
      <c r="N83" s="92">
        <v>2050</v>
      </c>
      <c r="O83" s="885"/>
    </row>
    <row r="84" spans="2:15" ht="15.75">
      <c r="B84" s="886"/>
      <c r="C84" s="65" t="s">
        <v>1935</v>
      </c>
      <c r="D84" s="108" t="s">
        <v>2936</v>
      </c>
      <c r="E84" s="890"/>
      <c r="F84" s="2826">
        <v>0.16</v>
      </c>
      <c r="G84" s="2827">
        <v>0.17</v>
      </c>
      <c r="H84" s="2827">
        <v>0.20428571428571429</v>
      </c>
      <c r="I84" s="2827">
        <v>0.23857142857142857</v>
      </c>
      <c r="J84" s="2827">
        <v>0.27285714285714285</v>
      </c>
      <c r="K84" s="2827">
        <v>0.30714285714285716</v>
      </c>
      <c r="L84" s="2827">
        <v>0.34142857142857141</v>
      </c>
      <c r="M84" s="2827">
        <v>0.37571428571428567</v>
      </c>
      <c r="N84" s="2827">
        <v>0.41</v>
      </c>
      <c r="O84" s="885"/>
    </row>
    <row r="85" spans="2:15" s="3641" customFormat="1" ht="15.75">
      <c r="B85" s="886"/>
      <c r="C85" s="65" t="s">
        <v>686</v>
      </c>
      <c r="D85" s="108" t="s">
        <v>2937</v>
      </c>
      <c r="E85" s="108"/>
      <c r="F85" s="2828">
        <v>0.2</v>
      </c>
      <c r="G85" s="2827">
        <v>0.22</v>
      </c>
      <c r="H85" s="2827">
        <v>0.24571428571428572</v>
      </c>
      <c r="I85" s="2827">
        <v>0.27142857142857146</v>
      </c>
      <c r="J85" s="2827">
        <v>0.29714285714285715</v>
      </c>
      <c r="K85" s="2827">
        <v>0.32285714285714284</v>
      </c>
      <c r="L85" s="2827">
        <v>0.34857142857142859</v>
      </c>
      <c r="M85" s="2827">
        <v>0.37428571428571433</v>
      </c>
      <c r="N85" s="2827">
        <v>0.4</v>
      </c>
      <c r="O85" s="885"/>
    </row>
    <row r="86" spans="2:15" ht="15.75">
      <c r="B86" s="886"/>
      <c r="C86" s="65" t="s">
        <v>693</v>
      </c>
      <c r="D86" s="108" t="s">
        <v>2173</v>
      </c>
      <c r="E86" s="108"/>
      <c r="F86" s="2828">
        <v>0.41</v>
      </c>
      <c r="G86" s="2827">
        <v>0.35</v>
      </c>
      <c r="H86" s="2827">
        <v>0.19650000000000001</v>
      </c>
      <c r="I86" s="2827">
        <v>0.13184999999999999</v>
      </c>
      <c r="J86" s="2827">
        <v>6.7199999999999996E-2</v>
      </c>
      <c r="K86" s="2827">
        <v>5.5149999999999998E-2</v>
      </c>
      <c r="L86" s="2827">
        <v>4.3099999999999999E-2</v>
      </c>
      <c r="M86" s="2827">
        <v>3.1050000000000001E-2</v>
      </c>
      <c r="N86" s="2827">
        <v>1.9E-2</v>
      </c>
      <c r="O86" s="885"/>
    </row>
    <row r="87" spans="2:15" s="3641" customFormat="1" ht="15.75">
      <c r="B87" s="886"/>
      <c r="C87" s="65" t="s">
        <v>239</v>
      </c>
      <c r="D87" s="108" t="s">
        <v>2934</v>
      </c>
      <c r="E87" s="108"/>
      <c r="F87" s="2828">
        <v>7.0000000000000007E-2</v>
      </c>
      <c r="G87" s="2827">
        <v>7.0000000000000007E-2</v>
      </c>
      <c r="H87" s="2827">
        <v>0.24844608731815995</v>
      </c>
      <c r="I87" s="2827">
        <v>0.22950819672131148</v>
      </c>
      <c r="J87" s="2827">
        <v>0.21212121212121213</v>
      </c>
      <c r="K87" s="2827">
        <v>0.20231213872832368</v>
      </c>
      <c r="L87" s="2827">
        <v>0.19337016574585633</v>
      </c>
      <c r="M87" s="2827">
        <v>0.18469656992084432</v>
      </c>
      <c r="N87" s="2827">
        <v>0.17587939698492461</v>
      </c>
      <c r="O87" s="885"/>
    </row>
    <row r="88" spans="2:15" ht="15.75">
      <c r="B88" s="886"/>
      <c r="C88" s="896" t="s">
        <v>1943</v>
      </c>
      <c r="D88" s="897" t="s">
        <v>2935</v>
      </c>
      <c r="E88" s="897"/>
      <c r="F88" s="2829">
        <v>0.16</v>
      </c>
      <c r="G88" s="2830">
        <v>0.19</v>
      </c>
      <c r="H88" s="2830">
        <v>0.11</v>
      </c>
      <c r="I88" s="2830">
        <v>0.13</v>
      </c>
      <c r="J88" s="2830">
        <v>0.15</v>
      </c>
      <c r="K88" s="2830">
        <v>0.11</v>
      </c>
      <c r="L88" s="2830">
        <v>7.0000000000000007E-2</v>
      </c>
      <c r="M88" s="2830">
        <v>0.03</v>
      </c>
      <c r="N88" s="2830">
        <v>0</v>
      </c>
      <c r="O88" s="885"/>
    </row>
    <row r="89" spans="2:15">
      <c r="B89" s="904"/>
      <c r="C89" s="67"/>
      <c r="D89" s="200" t="s">
        <v>59</v>
      </c>
      <c r="E89" s="67"/>
      <c r="F89" s="1095">
        <f t="shared" ref="F89:N89" si="11">SUM(F84:F88)</f>
        <v>1</v>
      </c>
      <c r="G89" s="1095">
        <f t="shared" si="11"/>
        <v>1</v>
      </c>
      <c r="H89" s="1095">
        <f t="shared" si="11"/>
        <v>1.0049460873181602</v>
      </c>
      <c r="I89" s="1095">
        <f t="shared" si="11"/>
        <v>1.0013581967213114</v>
      </c>
      <c r="J89" s="1095">
        <f t="shared" si="11"/>
        <v>0.99932121212121228</v>
      </c>
      <c r="K89" s="1095">
        <f t="shared" si="11"/>
        <v>0.99746213872832368</v>
      </c>
      <c r="L89" s="1095">
        <f t="shared" si="11"/>
        <v>0.99647016574585634</v>
      </c>
      <c r="M89" s="1095">
        <f t="shared" si="11"/>
        <v>0.99574656992084432</v>
      </c>
      <c r="N89" s="1095">
        <f t="shared" si="11"/>
        <v>1.0048793969849248</v>
      </c>
      <c r="O89" s="885"/>
    </row>
    <row r="90" spans="2:15">
      <c r="B90" s="904"/>
      <c r="C90" s="978"/>
      <c r="D90" s="3030" t="s">
        <v>464</v>
      </c>
      <c r="E90" s="978"/>
      <c r="F90" s="3728">
        <f>F84+F86+F87</f>
        <v>0.6399999999999999</v>
      </c>
      <c r="G90" s="3728">
        <f t="shared" ref="G90:N90" si="12">G84+G86+G87</f>
        <v>0.59000000000000008</v>
      </c>
      <c r="H90" s="3728">
        <f t="shared" si="12"/>
        <v>0.64923180160387428</v>
      </c>
      <c r="I90" s="3728">
        <f t="shared" si="12"/>
        <v>0.59992962529274008</v>
      </c>
      <c r="J90" s="3728">
        <f t="shared" si="12"/>
        <v>0.55217835497835499</v>
      </c>
      <c r="K90" s="3728">
        <f t="shared" si="12"/>
        <v>0.56460499587118085</v>
      </c>
      <c r="L90" s="3728">
        <f t="shared" si="12"/>
        <v>0.57789873717442775</v>
      </c>
      <c r="M90" s="3728">
        <f t="shared" si="12"/>
        <v>0.59146085563512996</v>
      </c>
      <c r="N90" s="3728">
        <f t="shared" si="12"/>
        <v>0.60487939698492466</v>
      </c>
      <c r="O90" s="885"/>
    </row>
    <row r="91" spans="2:15">
      <c r="B91" s="904"/>
      <c r="C91" s="49" t="s">
        <v>1157</v>
      </c>
      <c r="D91" s="200"/>
      <c r="E91" s="67"/>
      <c r="F91" s="67" t="s">
        <v>5</v>
      </c>
      <c r="G91" s="67" t="s">
        <v>5</v>
      </c>
      <c r="H91" s="67"/>
      <c r="I91" s="67"/>
      <c r="J91" s="67"/>
      <c r="K91" s="67"/>
      <c r="L91" s="67"/>
      <c r="M91" s="67"/>
      <c r="N91" s="51" t="s">
        <v>2171</v>
      </c>
      <c r="O91" s="885"/>
    </row>
    <row r="92" spans="2:15">
      <c r="B92" s="904"/>
      <c r="C92" s="67"/>
      <c r="D92" s="67"/>
      <c r="E92" s="67"/>
      <c r="F92" s="67"/>
      <c r="G92" s="67"/>
      <c r="H92" s="67"/>
      <c r="I92" s="67"/>
      <c r="J92" s="67"/>
      <c r="K92" s="67"/>
      <c r="L92" s="67"/>
      <c r="M92" s="67"/>
      <c r="N92" s="67"/>
      <c r="O92" s="885"/>
    </row>
    <row r="93" spans="2:15" ht="15.75">
      <c r="B93" s="886"/>
      <c r="C93" s="887" t="s">
        <v>2172</v>
      </c>
      <c r="D93" s="887" t="s">
        <v>72</v>
      </c>
      <c r="E93" s="887"/>
      <c r="F93" s="908">
        <v>2013</v>
      </c>
      <c r="G93" s="92">
        <v>2015</v>
      </c>
      <c r="H93" s="92">
        <v>2020</v>
      </c>
      <c r="I93" s="92">
        <v>2025</v>
      </c>
      <c r="J93" s="92">
        <v>2030</v>
      </c>
      <c r="K93" s="92">
        <v>2035</v>
      </c>
      <c r="L93" s="92">
        <v>2040</v>
      </c>
      <c r="M93" s="92">
        <v>2045</v>
      </c>
      <c r="N93" s="92">
        <v>2050</v>
      </c>
      <c r="O93" s="885"/>
    </row>
    <row r="94" spans="2:15" ht="15.75">
      <c r="B94" s="886"/>
      <c r="C94" s="65" t="s">
        <v>1935</v>
      </c>
      <c r="D94" s="108" t="s">
        <v>2936</v>
      </c>
      <c r="E94" s="890"/>
      <c r="F94" s="2826">
        <v>0.16</v>
      </c>
      <c r="G94" s="2827">
        <v>0.17</v>
      </c>
      <c r="H94" s="2827">
        <v>0.22428571428571431</v>
      </c>
      <c r="I94" s="2827">
        <v>0.27857142857142858</v>
      </c>
      <c r="J94" s="2827">
        <v>0.33285714285714291</v>
      </c>
      <c r="K94" s="2827">
        <v>0.38714285714285718</v>
      </c>
      <c r="L94" s="2827">
        <v>0.4414285714285715</v>
      </c>
      <c r="M94" s="2827">
        <v>0.49571428571428583</v>
      </c>
      <c r="N94" s="2827">
        <v>0.55000000000000004</v>
      </c>
      <c r="O94" s="885"/>
    </row>
    <row r="95" spans="2:15" s="3641" customFormat="1" ht="15.75">
      <c r="B95" s="886"/>
      <c r="C95" s="65" t="s">
        <v>686</v>
      </c>
      <c r="D95" s="108" t="s">
        <v>2937</v>
      </c>
      <c r="E95" s="108"/>
      <c r="F95" s="2828">
        <v>0.2</v>
      </c>
      <c r="G95" s="2827">
        <v>0.22</v>
      </c>
      <c r="H95" s="2827">
        <v>0.22285714285714284</v>
      </c>
      <c r="I95" s="2827">
        <v>0.2257142857142857</v>
      </c>
      <c r="J95" s="2827">
        <v>0.22857142857142856</v>
      </c>
      <c r="K95" s="2827">
        <v>0.23142857142857143</v>
      </c>
      <c r="L95" s="2827">
        <v>0.23428571428571426</v>
      </c>
      <c r="M95" s="2827">
        <v>0.23714285714285713</v>
      </c>
      <c r="N95" s="2827">
        <v>0.24</v>
      </c>
      <c r="O95" s="885"/>
    </row>
    <row r="96" spans="2:15" ht="15.75">
      <c r="B96" s="886"/>
      <c r="C96" s="65" t="s">
        <v>693</v>
      </c>
      <c r="D96" s="108" t="s">
        <v>2173</v>
      </c>
      <c r="E96" s="108"/>
      <c r="F96" s="2828">
        <v>0.41</v>
      </c>
      <c r="G96" s="2827">
        <v>0.35</v>
      </c>
      <c r="H96" s="2827">
        <v>0.19969999999999999</v>
      </c>
      <c r="I96" s="2827">
        <v>0.14939999999999998</v>
      </c>
      <c r="J96" s="2827">
        <v>9.9099999999999994E-2</v>
      </c>
      <c r="K96" s="2827">
        <v>8.1674999999999998E-2</v>
      </c>
      <c r="L96" s="2827">
        <v>6.4250000000000002E-2</v>
      </c>
      <c r="M96" s="2827">
        <v>4.6824999999999999E-2</v>
      </c>
      <c r="N96" s="2827">
        <v>2.9399999999999999E-2</v>
      </c>
      <c r="O96" s="885"/>
    </row>
    <row r="97" spans="2:15" s="3641" customFormat="1" ht="15.75">
      <c r="B97" s="886"/>
      <c r="C97" s="65" t="s">
        <v>239</v>
      </c>
      <c r="D97" s="108" t="s">
        <v>2934</v>
      </c>
      <c r="E97" s="108"/>
      <c r="F97" s="2828">
        <v>7.0000000000000007E-2</v>
      </c>
      <c r="G97" s="2827">
        <v>7.0000000000000007E-2</v>
      </c>
      <c r="H97" s="2827">
        <v>0.24844608731815995</v>
      </c>
      <c r="I97" s="2827">
        <v>0.22950819672131148</v>
      </c>
      <c r="J97" s="2827">
        <v>0.21212121212121213</v>
      </c>
      <c r="K97" s="2827">
        <v>0.20231213872832368</v>
      </c>
      <c r="L97" s="2827">
        <v>0.19337016574585633</v>
      </c>
      <c r="M97" s="2827">
        <v>0.18469656992084432</v>
      </c>
      <c r="N97" s="2827">
        <v>0.18</v>
      </c>
      <c r="O97" s="885"/>
    </row>
    <row r="98" spans="2:15" ht="15.75">
      <c r="B98" s="886"/>
      <c r="C98" s="896" t="s">
        <v>1943</v>
      </c>
      <c r="D98" s="897" t="s">
        <v>2935</v>
      </c>
      <c r="E98" s="897"/>
      <c r="F98" s="2829">
        <v>0.16</v>
      </c>
      <c r="G98" s="2830">
        <v>0.19</v>
      </c>
      <c r="H98" s="2830">
        <v>0.1</v>
      </c>
      <c r="I98" s="2830">
        <v>0.12</v>
      </c>
      <c r="J98" s="2830">
        <v>0.13</v>
      </c>
      <c r="K98" s="2830">
        <v>0.1</v>
      </c>
      <c r="L98" s="2830">
        <v>7.0000000000000007E-2</v>
      </c>
      <c r="M98" s="2830">
        <v>0.04</v>
      </c>
      <c r="N98" s="2830">
        <v>0</v>
      </c>
      <c r="O98" s="885"/>
    </row>
    <row r="99" spans="2:15">
      <c r="B99" s="904"/>
      <c r="C99" s="67"/>
      <c r="D99" s="200" t="s">
        <v>59</v>
      </c>
      <c r="E99" s="67"/>
      <c r="F99" s="1095">
        <f t="shared" ref="F99:N99" si="13">SUM(F94:F98)</f>
        <v>1</v>
      </c>
      <c r="G99" s="1095">
        <f t="shared" si="13"/>
        <v>1</v>
      </c>
      <c r="H99" s="1095">
        <f t="shared" si="13"/>
        <v>0.99528894446101712</v>
      </c>
      <c r="I99" s="1095">
        <f t="shared" si="13"/>
        <v>1.0031939110070258</v>
      </c>
      <c r="J99" s="1095">
        <f t="shared" si="13"/>
        <v>1.0026497835497836</v>
      </c>
      <c r="K99" s="1095">
        <f t="shared" si="13"/>
        <v>1.0025585672997521</v>
      </c>
      <c r="L99" s="1095">
        <f t="shared" si="13"/>
        <v>1.0033344514601421</v>
      </c>
      <c r="M99" s="1095">
        <f t="shared" si="13"/>
        <v>1.0043787127779873</v>
      </c>
      <c r="N99" s="1095">
        <f t="shared" si="13"/>
        <v>0.99940000000000007</v>
      </c>
      <c r="O99" s="885"/>
    </row>
    <row r="100" spans="2:15">
      <c r="B100" s="904"/>
      <c r="C100" s="978"/>
      <c r="D100" s="3030" t="s">
        <v>464</v>
      </c>
      <c r="E100" s="978"/>
      <c r="F100" s="3728">
        <f>F94+F96+F97</f>
        <v>0.6399999999999999</v>
      </c>
      <c r="G100" s="3728">
        <f t="shared" ref="G100:N100" si="14">G94+G96+G97</f>
        <v>0.59000000000000008</v>
      </c>
      <c r="H100" s="3728">
        <f t="shared" si="14"/>
        <v>0.67243180160387428</v>
      </c>
      <c r="I100" s="3728">
        <f t="shared" si="14"/>
        <v>0.65747962529274007</v>
      </c>
      <c r="J100" s="3728">
        <f t="shared" si="14"/>
        <v>0.64407835497835508</v>
      </c>
      <c r="K100" s="3728">
        <f t="shared" si="14"/>
        <v>0.67112999587118083</v>
      </c>
      <c r="L100" s="3728">
        <f t="shared" si="14"/>
        <v>0.69904873717442784</v>
      </c>
      <c r="M100" s="3728">
        <f t="shared" si="14"/>
        <v>0.72723585563513016</v>
      </c>
      <c r="N100" s="3728">
        <f t="shared" si="14"/>
        <v>0.75940000000000007</v>
      </c>
      <c r="O100" s="885"/>
    </row>
    <row r="101" spans="2:15">
      <c r="B101" s="2273"/>
      <c r="C101" s="882"/>
      <c r="D101" s="2825"/>
      <c r="E101" s="882"/>
      <c r="F101" s="882"/>
      <c r="G101" s="882" t="s">
        <v>5</v>
      </c>
      <c r="H101" s="882"/>
      <c r="I101" s="882"/>
      <c r="J101" s="882"/>
      <c r="K101" s="882"/>
      <c r="L101" s="882"/>
      <c r="M101" s="882"/>
      <c r="N101" s="882"/>
      <c r="O101" s="883"/>
    </row>
    <row r="102" spans="2:15">
      <c r="B102" s="904"/>
      <c r="C102" s="49" t="s">
        <v>2174</v>
      </c>
      <c r="D102" s="200"/>
      <c r="E102" s="67"/>
      <c r="F102" s="67"/>
      <c r="G102" s="67"/>
      <c r="H102" s="67"/>
      <c r="I102" s="67"/>
      <c r="J102" s="67"/>
      <c r="K102" s="67"/>
      <c r="L102" s="67"/>
      <c r="M102" s="67"/>
      <c r="N102" s="51" t="s">
        <v>2175</v>
      </c>
      <c r="O102" s="885"/>
    </row>
    <row r="103" spans="2:15">
      <c r="B103" s="904"/>
      <c r="C103" s="67"/>
      <c r="D103" s="67"/>
      <c r="E103" s="67"/>
      <c r="F103" s="67"/>
      <c r="G103" s="67"/>
      <c r="H103" s="67"/>
      <c r="I103" s="67"/>
      <c r="J103" s="67"/>
      <c r="K103" s="67"/>
      <c r="L103" s="67"/>
      <c r="M103" s="67"/>
      <c r="N103" s="67"/>
      <c r="O103" s="885"/>
    </row>
    <row r="104" spans="2:15" ht="15.75">
      <c r="B104" s="886"/>
      <c r="C104" s="887" t="s">
        <v>8</v>
      </c>
      <c r="D104" s="887" t="s">
        <v>72</v>
      </c>
      <c r="E104" s="887"/>
      <c r="F104" s="908">
        <v>2013</v>
      </c>
      <c r="G104" s="92">
        <v>2015</v>
      </c>
      <c r="H104" s="92">
        <v>2020</v>
      </c>
      <c r="I104" s="92">
        <v>2025</v>
      </c>
      <c r="J104" s="92">
        <v>2030</v>
      </c>
      <c r="K104" s="92">
        <v>2035</v>
      </c>
      <c r="L104" s="92">
        <v>2040</v>
      </c>
      <c r="M104" s="92">
        <v>2045</v>
      </c>
      <c r="N104" s="92">
        <v>2050</v>
      </c>
      <c r="O104" s="885"/>
    </row>
    <row r="105" spans="2:15" ht="15.75">
      <c r="B105" s="886"/>
      <c r="C105" s="65">
        <v>1</v>
      </c>
      <c r="D105" s="108" t="s">
        <v>2176</v>
      </c>
      <c r="E105" s="890"/>
      <c r="F105" s="2826"/>
      <c r="G105" s="2827">
        <v>0</v>
      </c>
      <c r="H105" s="2827">
        <v>0</v>
      </c>
      <c r="I105" s="2827">
        <v>5.3011799999999998E-2</v>
      </c>
      <c r="J105" s="2827">
        <v>0.1060236</v>
      </c>
      <c r="K105" s="2827">
        <v>0.13534570000000001</v>
      </c>
      <c r="L105" s="2827">
        <v>0.1646678</v>
      </c>
      <c r="M105" s="2827">
        <v>0.19398989999999999</v>
      </c>
      <c r="N105" s="2827">
        <v>0.22331200000000001</v>
      </c>
      <c r="O105" s="885"/>
    </row>
    <row r="106" spans="2:15" ht="15.75">
      <c r="B106" s="886"/>
      <c r="C106" s="65">
        <v>2</v>
      </c>
      <c r="D106" s="108" t="s">
        <v>2176</v>
      </c>
      <c r="E106" s="108"/>
      <c r="F106" s="2828">
        <v>0</v>
      </c>
      <c r="G106" s="2827">
        <v>0.03</v>
      </c>
      <c r="H106" s="2827">
        <v>0.1168</v>
      </c>
      <c r="I106" s="2827">
        <v>0.16950000000000001</v>
      </c>
      <c r="J106" s="2827">
        <v>0.22220000000000001</v>
      </c>
      <c r="K106" s="2827">
        <v>0.25334999999999996</v>
      </c>
      <c r="L106" s="2827">
        <v>0.28449999999999998</v>
      </c>
      <c r="M106" s="2827">
        <v>0.31564999999999999</v>
      </c>
      <c r="N106" s="2827">
        <v>0.3468</v>
      </c>
      <c r="O106" s="885"/>
    </row>
    <row r="107" spans="2:15" ht="15.75">
      <c r="B107" s="886"/>
      <c r="C107" s="65">
        <v>3</v>
      </c>
      <c r="D107" s="108" t="s">
        <v>2176</v>
      </c>
      <c r="E107" s="108"/>
      <c r="F107" s="2828">
        <v>0</v>
      </c>
      <c r="G107" s="2827">
        <v>0.05</v>
      </c>
      <c r="H107" s="2827">
        <v>0.22670000000000001</v>
      </c>
      <c r="I107" s="2827">
        <v>0.29810000000000003</v>
      </c>
      <c r="J107" s="2827">
        <v>0.3695</v>
      </c>
      <c r="K107" s="2827">
        <v>0.377475</v>
      </c>
      <c r="L107" s="2827">
        <v>0.38544999999999996</v>
      </c>
      <c r="M107" s="2827">
        <v>0.39342499999999997</v>
      </c>
      <c r="N107" s="2827">
        <v>0.40139999999999998</v>
      </c>
      <c r="O107" s="885"/>
    </row>
    <row r="108" spans="2:15" ht="15.75">
      <c r="B108" s="886"/>
      <c r="C108" s="896">
        <v>4</v>
      </c>
      <c r="D108" s="897" t="s">
        <v>2176</v>
      </c>
      <c r="E108" s="897"/>
      <c r="F108" s="2829">
        <v>0</v>
      </c>
      <c r="G108" s="2830">
        <v>7.0000000000000007E-2</v>
      </c>
      <c r="H108" s="2830">
        <v>0.18690000000000001</v>
      </c>
      <c r="I108" s="2830">
        <v>0.23594999999999999</v>
      </c>
      <c r="J108" s="2830">
        <v>0.28499999999999998</v>
      </c>
      <c r="K108" s="2830">
        <v>0.29115000000000002</v>
      </c>
      <c r="L108" s="2830">
        <v>0.29730000000000001</v>
      </c>
      <c r="M108" s="2830">
        <v>0.30345</v>
      </c>
      <c r="N108" s="2830">
        <v>0.30959999999999999</v>
      </c>
      <c r="O108" s="885"/>
    </row>
    <row r="109" spans="2:15" ht="15.75">
      <c r="B109" s="55"/>
      <c r="C109" s="1024" t="s">
        <v>37</v>
      </c>
      <c r="D109" s="901"/>
      <c r="E109" s="901"/>
      <c r="F109" s="102">
        <f t="shared" ref="F109:N109" si="15">(INDEX(F$105:F$108,ROUNDDOWN($E$7,0))*(1-MOD($E$7,1)))+(INDEX(F$105:F$108,ROUNDUP($E$7,0))*MOD($E$7,1))</f>
        <v>0</v>
      </c>
      <c r="G109" s="1033">
        <f t="shared" si="15"/>
        <v>0.05</v>
      </c>
      <c r="H109" s="102">
        <f t="shared" si="15"/>
        <v>0.22670000000000001</v>
      </c>
      <c r="I109" s="102">
        <f t="shared" si="15"/>
        <v>0.29810000000000003</v>
      </c>
      <c r="J109" s="102">
        <f t="shared" si="15"/>
        <v>0.3695</v>
      </c>
      <c r="K109" s="102">
        <f t="shared" si="15"/>
        <v>0.377475</v>
      </c>
      <c r="L109" s="102">
        <f t="shared" si="15"/>
        <v>0.38544999999999996</v>
      </c>
      <c r="M109" s="102">
        <f t="shared" si="15"/>
        <v>0.39342499999999997</v>
      </c>
      <c r="N109" s="102">
        <f t="shared" si="15"/>
        <v>0.40139999999999998</v>
      </c>
      <c r="O109" s="885"/>
    </row>
    <row r="110" spans="2:15">
      <c r="B110" s="904"/>
      <c r="C110" s="65"/>
      <c r="D110" s="108"/>
      <c r="E110" s="108"/>
      <c r="F110" s="2827"/>
      <c r="G110" s="2827"/>
      <c r="H110" s="2827"/>
      <c r="I110" s="2827"/>
      <c r="J110" s="2827"/>
      <c r="K110" s="2827"/>
      <c r="L110" s="2827"/>
      <c r="M110" s="2827"/>
      <c r="N110" s="2827"/>
      <c r="O110" s="885"/>
    </row>
    <row r="111" spans="2:15">
      <c r="B111" s="904"/>
      <c r="C111" s="49" t="s">
        <v>2177</v>
      </c>
      <c r="D111" s="200"/>
      <c r="E111" s="67"/>
      <c r="F111" s="67" t="s">
        <v>5</v>
      </c>
      <c r="G111" s="67"/>
      <c r="H111" s="67"/>
      <c r="I111" s="67"/>
      <c r="J111" s="67"/>
      <c r="K111" s="67"/>
      <c r="L111" s="67"/>
      <c r="M111" s="67"/>
      <c r="N111" s="51" t="s">
        <v>2178</v>
      </c>
      <c r="O111" s="885"/>
    </row>
    <row r="112" spans="2:15">
      <c r="B112" s="904"/>
      <c r="C112" s="67"/>
      <c r="D112" s="67"/>
      <c r="E112" s="67"/>
      <c r="F112" s="67"/>
      <c r="G112" s="67"/>
      <c r="H112" s="67"/>
      <c r="I112" s="67"/>
      <c r="J112" s="67"/>
      <c r="K112" s="67"/>
      <c r="L112" s="67"/>
      <c r="M112" s="67"/>
      <c r="N112" s="67"/>
      <c r="O112" s="885"/>
    </row>
    <row r="113" spans="2:15" ht="15.75">
      <c r="B113" s="886"/>
      <c r="C113" s="887" t="s">
        <v>8</v>
      </c>
      <c r="D113" s="887" t="s">
        <v>72</v>
      </c>
      <c r="E113" s="887"/>
      <c r="F113" s="908">
        <v>2013</v>
      </c>
      <c r="G113" s="92">
        <v>2015</v>
      </c>
      <c r="H113" s="92">
        <v>2020</v>
      </c>
      <c r="I113" s="92">
        <v>2025</v>
      </c>
      <c r="J113" s="92">
        <v>2030</v>
      </c>
      <c r="K113" s="92">
        <v>2035</v>
      </c>
      <c r="L113" s="92">
        <v>2040</v>
      </c>
      <c r="M113" s="92">
        <v>2045</v>
      </c>
      <c r="N113" s="92">
        <v>2050</v>
      </c>
      <c r="O113" s="885"/>
    </row>
    <row r="114" spans="2:15" ht="15.75">
      <c r="B114" s="886"/>
      <c r="C114" s="65">
        <v>1</v>
      </c>
      <c r="D114" s="108" t="s">
        <v>2179</v>
      </c>
      <c r="E114" s="890"/>
      <c r="F114" s="2826"/>
      <c r="G114" s="2827">
        <v>0.03</v>
      </c>
      <c r="H114" s="2827">
        <v>0.08</v>
      </c>
      <c r="I114" s="2827">
        <v>8.4999999999999992E-2</v>
      </c>
      <c r="J114" s="2827">
        <v>0.09</v>
      </c>
      <c r="K114" s="2827">
        <v>0.11750000000000001</v>
      </c>
      <c r="L114" s="2827">
        <v>0.14500000000000002</v>
      </c>
      <c r="M114" s="2827">
        <v>0.17250000000000001</v>
      </c>
      <c r="N114" s="2827">
        <v>0.2</v>
      </c>
      <c r="O114" s="885"/>
    </row>
    <row r="115" spans="2:15" ht="15.75">
      <c r="B115" s="886"/>
      <c r="C115" s="65">
        <v>2</v>
      </c>
      <c r="D115" s="108" t="s">
        <v>2179</v>
      </c>
      <c r="E115" s="108"/>
      <c r="F115" s="2828">
        <v>0</v>
      </c>
      <c r="G115" s="2827">
        <v>0.03</v>
      </c>
      <c r="H115" s="2827">
        <v>0.1</v>
      </c>
      <c r="I115" s="2827">
        <v>0.16500000000000001</v>
      </c>
      <c r="J115" s="2827">
        <v>0.23</v>
      </c>
      <c r="K115" s="2827">
        <v>0.23749999999999999</v>
      </c>
      <c r="L115" s="2827">
        <v>0.245</v>
      </c>
      <c r="M115" s="2827">
        <v>0.2525</v>
      </c>
      <c r="N115" s="2827">
        <v>0.26</v>
      </c>
      <c r="O115" s="885"/>
    </row>
    <row r="116" spans="2:15" ht="15.75">
      <c r="B116" s="886"/>
      <c r="C116" s="65">
        <v>3</v>
      </c>
      <c r="D116" s="108" t="s">
        <v>2179</v>
      </c>
      <c r="E116" s="108"/>
      <c r="F116" s="2828">
        <v>0</v>
      </c>
      <c r="G116" s="2827">
        <v>0.04</v>
      </c>
      <c r="H116" s="2827">
        <v>0.14000000000000001</v>
      </c>
      <c r="I116" s="2827">
        <v>0.16500000000000001</v>
      </c>
      <c r="J116" s="2827">
        <v>0.19</v>
      </c>
      <c r="K116" s="2827">
        <v>0.1875</v>
      </c>
      <c r="L116" s="2827">
        <v>0.185</v>
      </c>
      <c r="M116" s="2827">
        <v>0.1825</v>
      </c>
      <c r="N116" s="2827">
        <v>0.18</v>
      </c>
      <c r="O116" s="885"/>
    </row>
    <row r="117" spans="2:15" ht="15.75">
      <c r="B117" s="886"/>
      <c r="C117" s="896">
        <v>4</v>
      </c>
      <c r="D117" s="897" t="s">
        <v>2179</v>
      </c>
      <c r="E117" s="897"/>
      <c r="F117" s="2829">
        <v>0</v>
      </c>
      <c r="G117" s="2830">
        <v>0.05</v>
      </c>
      <c r="H117" s="2830">
        <v>0.11</v>
      </c>
      <c r="I117" s="2830">
        <v>0.11499999999999999</v>
      </c>
      <c r="J117" s="2830">
        <v>0.12</v>
      </c>
      <c r="K117" s="2830">
        <v>0.12</v>
      </c>
      <c r="L117" s="2830">
        <v>0.12</v>
      </c>
      <c r="M117" s="2830">
        <v>0.12</v>
      </c>
      <c r="N117" s="2830">
        <v>0.12</v>
      </c>
      <c r="O117" s="885"/>
    </row>
    <row r="118" spans="2:15" ht="15.75">
      <c r="B118" s="55"/>
      <c r="C118" s="1024" t="s">
        <v>37</v>
      </c>
      <c r="D118" s="901"/>
      <c r="E118" s="901"/>
      <c r="F118" s="102">
        <f t="shared" ref="F118:N118" si="16">(INDEX(F$114:F$117,ROUNDDOWN($E$7,0))*(1-MOD($E$7,1)))+(INDEX(F$114:F$117,ROUNDUP($E$7,0))*MOD($E$7,1))</f>
        <v>0</v>
      </c>
      <c r="G118" s="1033">
        <f t="shared" si="16"/>
        <v>0.04</v>
      </c>
      <c r="H118" s="102">
        <f t="shared" si="16"/>
        <v>0.14000000000000001</v>
      </c>
      <c r="I118" s="102">
        <f t="shared" si="16"/>
        <v>0.16500000000000001</v>
      </c>
      <c r="J118" s="102">
        <f t="shared" si="16"/>
        <v>0.19</v>
      </c>
      <c r="K118" s="102">
        <f t="shared" si="16"/>
        <v>0.1875</v>
      </c>
      <c r="L118" s="102">
        <f t="shared" si="16"/>
        <v>0.185</v>
      </c>
      <c r="M118" s="102">
        <f t="shared" si="16"/>
        <v>0.1825</v>
      </c>
      <c r="N118" s="102">
        <f t="shared" si="16"/>
        <v>0.18</v>
      </c>
      <c r="O118" s="885"/>
    </row>
    <row r="119" spans="2:15" ht="15.75">
      <c r="B119" s="886"/>
      <c r="C119" s="67"/>
      <c r="D119" s="200"/>
      <c r="E119" s="67"/>
      <c r="F119" s="1095"/>
      <c r="G119" s="1095"/>
      <c r="H119" s="1095"/>
      <c r="I119" s="1095"/>
      <c r="J119" s="1095"/>
      <c r="K119" s="1095"/>
      <c r="L119" s="1095"/>
      <c r="M119" s="1095"/>
      <c r="N119" s="1095"/>
      <c r="O119" s="885"/>
    </row>
    <row r="120" spans="2:15" ht="15.75">
      <c r="B120" s="886"/>
      <c r="C120" s="49" t="s">
        <v>2988</v>
      </c>
      <c r="D120" s="200"/>
      <c r="E120" s="67"/>
      <c r="F120" s="67"/>
      <c r="G120" s="67"/>
      <c r="H120" s="67"/>
      <c r="I120" s="67"/>
      <c r="J120" s="67"/>
      <c r="K120" s="67"/>
      <c r="L120" s="67"/>
      <c r="M120" s="67"/>
      <c r="N120" s="51" t="s">
        <v>2180</v>
      </c>
      <c r="O120" s="885"/>
    </row>
    <row r="121" spans="2:15" ht="15.75">
      <c r="B121" s="886"/>
      <c r="C121" s="67"/>
      <c r="D121" s="67"/>
      <c r="E121" s="67"/>
      <c r="F121" s="67"/>
      <c r="G121" s="67"/>
      <c r="H121" s="67"/>
      <c r="I121" s="67"/>
      <c r="J121" s="67"/>
      <c r="K121" s="67"/>
      <c r="L121" s="67"/>
      <c r="M121" s="67"/>
      <c r="N121" s="67"/>
      <c r="O121" s="885"/>
    </row>
    <row r="122" spans="2:15" ht="15.75">
      <c r="B122" s="886"/>
      <c r="C122" s="887" t="s">
        <v>8</v>
      </c>
      <c r="D122" s="887" t="s">
        <v>72</v>
      </c>
      <c r="E122" s="887"/>
      <c r="F122" s="908">
        <v>2013</v>
      </c>
      <c r="G122" s="92">
        <v>2015</v>
      </c>
      <c r="H122" s="92">
        <v>2020</v>
      </c>
      <c r="I122" s="92">
        <v>2025</v>
      </c>
      <c r="J122" s="92">
        <v>2030</v>
      </c>
      <c r="K122" s="92">
        <v>2035</v>
      </c>
      <c r="L122" s="92">
        <v>2040</v>
      </c>
      <c r="M122" s="92">
        <v>2045</v>
      </c>
      <c r="N122" s="92">
        <v>2050</v>
      </c>
      <c r="O122" s="885"/>
    </row>
    <row r="123" spans="2:15" ht="15.75">
      <c r="B123" s="886"/>
      <c r="C123" s="65">
        <v>1</v>
      </c>
      <c r="D123" s="108" t="s">
        <v>2181</v>
      </c>
      <c r="E123" s="890"/>
      <c r="F123" s="2826">
        <v>5.0000000000000001E-3</v>
      </c>
      <c r="G123" s="2827">
        <v>0.05</v>
      </c>
      <c r="H123" s="2827">
        <v>0.19124999999999998</v>
      </c>
      <c r="I123" s="2827">
        <v>0.28437499999999999</v>
      </c>
      <c r="J123" s="2827">
        <v>0.3775</v>
      </c>
      <c r="K123" s="2827">
        <v>0.47062500000000007</v>
      </c>
      <c r="L123" s="2827">
        <v>0.56375000000000008</v>
      </c>
      <c r="M123" s="2827">
        <v>0.6568750000000001</v>
      </c>
      <c r="N123" s="2827">
        <v>0.75000000000000011</v>
      </c>
      <c r="O123" s="885"/>
    </row>
    <row r="124" spans="2:15" ht="15.75">
      <c r="B124" s="886"/>
      <c r="C124" s="65">
        <v>2</v>
      </c>
      <c r="D124" s="108" t="s">
        <v>2181</v>
      </c>
      <c r="E124" s="108"/>
      <c r="F124" s="2828">
        <v>5.0000000000000001E-3</v>
      </c>
      <c r="G124" s="2827">
        <v>0.05</v>
      </c>
      <c r="H124" s="2827">
        <v>0.19124999999999998</v>
      </c>
      <c r="I124" s="2827">
        <v>0.28437499999999999</v>
      </c>
      <c r="J124" s="2827">
        <v>0.3775</v>
      </c>
      <c r="K124" s="2827">
        <v>0.47062500000000007</v>
      </c>
      <c r="L124" s="2827">
        <v>0.56375000000000008</v>
      </c>
      <c r="M124" s="2827">
        <v>0.6568750000000001</v>
      </c>
      <c r="N124" s="2827">
        <v>0.75000000000000011</v>
      </c>
      <c r="O124" s="885"/>
    </row>
    <row r="125" spans="2:15" ht="15.75">
      <c r="B125" s="886"/>
      <c r="C125" s="65">
        <v>3</v>
      </c>
      <c r="D125" s="108" t="s">
        <v>2181</v>
      </c>
      <c r="E125" s="108"/>
      <c r="F125" s="2828">
        <v>5.0000000000000001E-3</v>
      </c>
      <c r="G125" s="2827">
        <v>0.05</v>
      </c>
      <c r="H125" s="2827">
        <v>0.20375000000000004</v>
      </c>
      <c r="I125" s="2827">
        <v>0.30312500000000003</v>
      </c>
      <c r="J125" s="2827">
        <v>0.40250000000000002</v>
      </c>
      <c r="K125" s="2827">
        <v>0.50187499999999985</v>
      </c>
      <c r="L125" s="2827">
        <v>0.60124999999999984</v>
      </c>
      <c r="M125" s="2827">
        <v>0.70062499999999983</v>
      </c>
      <c r="N125" s="2827">
        <v>0.79999999999999982</v>
      </c>
      <c r="O125" s="885"/>
    </row>
    <row r="126" spans="2:15" ht="15.75">
      <c r="B126" s="886"/>
      <c r="C126" s="896">
        <v>4</v>
      </c>
      <c r="D126" s="897" t="s">
        <v>2181</v>
      </c>
      <c r="E126" s="897"/>
      <c r="F126" s="2829">
        <v>5.0000000000000001E-3</v>
      </c>
      <c r="G126" s="2830">
        <v>0.05</v>
      </c>
      <c r="H126" s="2830">
        <v>0.21625</v>
      </c>
      <c r="I126" s="2830">
        <v>0.32187499999999997</v>
      </c>
      <c r="J126" s="2830">
        <v>0.42749999999999999</v>
      </c>
      <c r="K126" s="2830">
        <v>0.53312499999999996</v>
      </c>
      <c r="L126" s="2830">
        <v>0.63874999999999993</v>
      </c>
      <c r="M126" s="2830">
        <v>0.7443749999999999</v>
      </c>
      <c r="N126" s="2830">
        <v>0.84999999999999987</v>
      </c>
      <c r="O126" s="885"/>
    </row>
    <row r="127" spans="2:15" ht="15.75">
      <c r="B127" s="55"/>
      <c r="C127" s="1024" t="s">
        <v>37</v>
      </c>
      <c r="D127" s="901"/>
      <c r="E127" s="901"/>
      <c r="F127" s="102">
        <f t="shared" ref="F127:N127" si="17">(INDEX(F$123:F$126,ROUNDDOWN($E$7,0))*(1-MOD($E$7,1)))+(INDEX(F$123:F$126,ROUNDUP($E$7,0))*MOD($E$7,1))</f>
        <v>5.0000000000000001E-3</v>
      </c>
      <c r="G127" s="1033">
        <f t="shared" si="17"/>
        <v>0.05</v>
      </c>
      <c r="H127" s="102">
        <f t="shared" si="17"/>
        <v>0.20375000000000004</v>
      </c>
      <c r="I127" s="102">
        <f t="shared" si="17"/>
        <v>0.30312500000000003</v>
      </c>
      <c r="J127" s="102">
        <f t="shared" si="17"/>
        <v>0.40250000000000002</v>
      </c>
      <c r="K127" s="102">
        <f t="shared" si="17"/>
        <v>0.50187499999999985</v>
      </c>
      <c r="L127" s="102">
        <f t="shared" si="17"/>
        <v>0.60124999999999984</v>
      </c>
      <c r="M127" s="102">
        <f t="shared" si="17"/>
        <v>0.70062499999999983</v>
      </c>
      <c r="N127" s="102">
        <f t="shared" si="17"/>
        <v>0.79999999999999982</v>
      </c>
      <c r="O127" s="885"/>
    </row>
    <row r="128" spans="2:15" ht="15.75">
      <c r="B128" s="886"/>
      <c r="C128" s="67"/>
      <c r="D128" s="200"/>
      <c r="E128" s="67"/>
      <c r="F128" s="1095"/>
      <c r="G128" s="1095"/>
      <c r="H128" s="1095"/>
      <c r="I128" s="1095"/>
      <c r="J128" s="1095"/>
      <c r="K128" s="1095"/>
      <c r="L128" s="1095"/>
      <c r="M128" s="1095"/>
      <c r="N128" s="1095"/>
      <c r="O128" s="885"/>
    </row>
    <row r="129" spans="2:15">
      <c r="B129" s="904"/>
      <c r="C129" s="49" t="s">
        <v>2989</v>
      </c>
      <c r="D129" s="200"/>
      <c r="E129" s="67"/>
      <c r="F129" s="67"/>
      <c r="G129" s="67"/>
      <c r="H129" s="67"/>
      <c r="I129" s="67"/>
      <c r="J129" s="67"/>
      <c r="K129" s="67"/>
      <c r="L129" s="67"/>
      <c r="M129" s="67"/>
      <c r="N129" s="51" t="s">
        <v>2182</v>
      </c>
      <c r="O129" s="885"/>
    </row>
    <row r="130" spans="2:15">
      <c r="B130" s="904"/>
      <c r="C130" s="67"/>
      <c r="D130" s="67"/>
      <c r="E130" s="67"/>
      <c r="F130" s="67"/>
      <c r="G130" s="67"/>
      <c r="H130" s="67"/>
      <c r="I130" s="67"/>
      <c r="J130" s="67"/>
      <c r="K130" s="67"/>
      <c r="L130" s="67"/>
      <c r="M130" s="67"/>
      <c r="N130" s="67"/>
      <c r="O130" s="885"/>
    </row>
    <row r="131" spans="2:15" ht="15.75">
      <c r="B131" s="886"/>
      <c r="C131" s="887" t="s">
        <v>8</v>
      </c>
      <c r="D131" s="887" t="s">
        <v>72</v>
      </c>
      <c r="E131" s="887"/>
      <c r="F131" s="908">
        <v>2013</v>
      </c>
      <c r="G131" s="92">
        <v>2015</v>
      </c>
      <c r="H131" s="92">
        <v>2020</v>
      </c>
      <c r="I131" s="92">
        <v>2025</v>
      </c>
      <c r="J131" s="92">
        <v>2030</v>
      </c>
      <c r="K131" s="92">
        <v>2035</v>
      </c>
      <c r="L131" s="92">
        <v>2040</v>
      </c>
      <c r="M131" s="92">
        <v>2045</v>
      </c>
      <c r="N131" s="92">
        <v>2050</v>
      </c>
      <c r="O131" s="885"/>
    </row>
    <row r="132" spans="2:15" ht="15.75">
      <c r="B132" s="886"/>
      <c r="C132" s="65">
        <v>1</v>
      </c>
      <c r="D132" s="108" t="s">
        <v>2183</v>
      </c>
      <c r="E132" s="890"/>
      <c r="F132" s="2826">
        <v>0.7</v>
      </c>
      <c r="G132" s="2827">
        <v>0.73</v>
      </c>
      <c r="H132" s="2827">
        <v>0.73</v>
      </c>
      <c r="I132" s="2827">
        <v>0.73333333333333339</v>
      </c>
      <c r="J132" s="2827">
        <v>0.71666666666666679</v>
      </c>
      <c r="K132" s="2827">
        <v>0.70000000000000018</v>
      </c>
      <c r="L132" s="2827">
        <v>0.68333333333333357</v>
      </c>
      <c r="M132" s="2827">
        <v>0.66666666666666696</v>
      </c>
      <c r="N132" s="2827">
        <v>0.65</v>
      </c>
      <c r="O132" s="885"/>
    </row>
    <row r="133" spans="2:15" ht="15.75">
      <c r="B133" s="886"/>
      <c r="C133" s="65">
        <v>2</v>
      </c>
      <c r="D133" s="108" t="s">
        <v>2183</v>
      </c>
      <c r="E133" s="108"/>
      <c r="F133" s="2828">
        <v>0.7</v>
      </c>
      <c r="G133" s="2827">
        <v>0.73</v>
      </c>
      <c r="H133" s="2827">
        <v>0.75</v>
      </c>
      <c r="I133" s="2827">
        <v>0.75</v>
      </c>
      <c r="J133" s="2827">
        <v>0.75</v>
      </c>
      <c r="K133" s="2827">
        <v>0.75</v>
      </c>
      <c r="L133" s="2827">
        <v>0.75</v>
      </c>
      <c r="M133" s="2827">
        <v>0.75</v>
      </c>
      <c r="N133" s="2827">
        <v>0.75</v>
      </c>
      <c r="O133" s="885"/>
    </row>
    <row r="134" spans="2:15" ht="15.75">
      <c r="B134" s="886"/>
      <c r="C134" s="65">
        <v>3</v>
      </c>
      <c r="D134" s="108" t="s">
        <v>2183</v>
      </c>
      <c r="E134" s="108"/>
      <c r="F134" s="2828">
        <v>0.7</v>
      </c>
      <c r="G134" s="2827">
        <v>0.73</v>
      </c>
      <c r="H134" s="2827">
        <v>0.75</v>
      </c>
      <c r="I134" s="2827">
        <v>0.7583333333333333</v>
      </c>
      <c r="J134" s="2827">
        <v>0.76666666666666672</v>
      </c>
      <c r="K134" s="2827">
        <v>0.77500000000000002</v>
      </c>
      <c r="L134" s="2827">
        <v>0.78333333333333333</v>
      </c>
      <c r="M134" s="2827">
        <v>0.79166666666666674</v>
      </c>
      <c r="N134" s="2827">
        <v>0.8</v>
      </c>
      <c r="O134" s="885"/>
    </row>
    <row r="135" spans="2:15" ht="15.75">
      <c r="B135" s="886"/>
      <c r="C135" s="896">
        <v>4</v>
      </c>
      <c r="D135" s="897" t="s">
        <v>2183</v>
      </c>
      <c r="E135" s="897"/>
      <c r="F135" s="2829">
        <v>0.7</v>
      </c>
      <c r="G135" s="2830">
        <v>0.73</v>
      </c>
      <c r="H135" s="2830">
        <v>0.75</v>
      </c>
      <c r="I135" s="2830">
        <v>0.76666666666666661</v>
      </c>
      <c r="J135" s="2830">
        <v>0.78333333333333333</v>
      </c>
      <c r="K135" s="2830">
        <v>0.8</v>
      </c>
      <c r="L135" s="2830">
        <v>0.81666666666666665</v>
      </c>
      <c r="M135" s="2830">
        <v>0.83333333333333326</v>
      </c>
      <c r="N135" s="2830">
        <v>0.85</v>
      </c>
      <c r="O135" s="885"/>
    </row>
    <row r="136" spans="2:15" ht="15.75">
      <c r="B136" s="55"/>
      <c r="C136" s="1024" t="s">
        <v>37</v>
      </c>
      <c r="D136" s="901"/>
      <c r="E136" s="901"/>
      <c r="F136" s="102">
        <f t="shared" ref="F136:N136" si="18">(INDEX(F$132:F$135,ROUNDDOWN($E$7,0))*(1-MOD($E$7,1)))+(INDEX(F$132:F$135,ROUNDUP($E$7,0))*MOD($E$7,1))</f>
        <v>0.7</v>
      </c>
      <c r="G136" s="1033">
        <f t="shared" si="18"/>
        <v>0.73</v>
      </c>
      <c r="H136" s="102">
        <f t="shared" si="18"/>
        <v>0.75</v>
      </c>
      <c r="I136" s="102">
        <f t="shared" si="18"/>
        <v>0.7583333333333333</v>
      </c>
      <c r="J136" s="102">
        <f t="shared" si="18"/>
        <v>0.76666666666666672</v>
      </c>
      <c r="K136" s="102">
        <f t="shared" si="18"/>
        <v>0.77500000000000002</v>
      </c>
      <c r="L136" s="102">
        <f t="shared" si="18"/>
        <v>0.78333333333333333</v>
      </c>
      <c r="M136" s="102">
        <f t="shared" si="18"/>
        <v>0.79166666666666674</v>
      </c>
      <c r="N136" s="102">
        <f t="shared" si="18"/>
        <v>0.8</v>
      </c>
      <c r="O136" s="885"/>
    </row>
    <row r="137" spans="2:15">
      <c r="B137" s="904"/>
      <c r="C137" s="65"/>
      <c r="D137" s="108"/>
      <c r="E137" s="108"/>
      <c r="F137" s="59"/>
      <c r="G137" s="60"/>
      <c r="H137" s="60"/>
      <c r="I137" s="60"/>
      <c r="J137" s="60"/>
      <c r="K137" s="60"/>
      <c r="L137" s="60"/>
      <c r="M137" s="60"/>
      <c r="N137" s="60"/>
      <c r="O137" s="885"/>
    </row>
    <row r="138" spans="2:15">
      <c r="B138" s="904"/>
      <c r="C138" s="49" t="s">
        <v>2990</v>
      </c>
      <c r="D138" s="200"/>
      <c r="E138" s="67"/>
      <c r="F138" s="67"/>
      <c r="G138" s="67"/>
      <c r="H138" s="67"/>
      <c r="I138" s="67"/>
      <c r="J138" s="67"/>
      <c r="K138" s="67"/>
      <c r="L138" s="67"/>
      <c r="M138" s="67"/>
      <c r="N138" s="51" t="s">
        <v>2182</v>
      </c>
      <c r="O138" s="885"/>
    </row>
    <row r="139" spans="2:15">
      <c r="B139" s="904"/>
      <c r="C139" s="67"/>
      <c r="D139" s="67"/>
      <c r="E139" s="67"/>
      <c r="F139" s="67"/>
      <c r="G139" s="67"/>
      <c r="H139" s="67"/>
      <c r="I139" s="67"/>
      <c r="J139" s="67"/>
      <c r="K139" s="67"/>
      <c r="L139" s="67"/>
      <c r="M139" s="67"/>
      <c r="N139" s="67"/>
      <c r="O139" s="885"/>
    </row>
    <row r="140" spans="2:15" ht="15.75">
      <c r="B140" s="886"/>
      <c r="C140" s="887" t="s">
        <v>8</v>
      </c>
      <c r="D140" s="887" t="s">
        <v>72</v>
      </c>
      <c r="E140" s="887"/>
      <c r="F140" s="908">
        <v>2013</v>
      </c>
      <c r="G140" s="92">
        <v>2015</v>
      </c>
      <c r="H140" s="92">
        <v>2020</v>
      </c>
      <c r="I140" s="92">
        <v>2025</v>
      </c>
      <c r="J140" s="92">
        <v>2030</v>
      </c>
      <c r="K140" s="92">
        <v>2035</v>
      </c>
      <c r="L140" s="92">
        <v>2040</v>
      </c>
      <c r="M140" s="92">
        <v>2045</v>
      </c>
      <c r="N140" s="92">
        <v>2050</v>
      </c>
      <c r="O140" s="885"/>
    </row>
    <row r="141" spans="2:15" ht="15.75">
      <c r="B141" s="886"/>
      <c r="C141" s="65">
        <v>1</v>
      </c>
      <c r="D141" s="108" t="s">
        <v>2184</v>
      </c>
      <c r="E141" s="890"/>
      <c r="F141" s="2826">
        <v>0.3</v>
      </c>
      <c r="G141" s="2827">
        <v>0.35</v>
      </c>
      <c r="H141" s="2827">
        <v>0.37142857142857144</v>
      </c>
      <c r="I141" s="2827">
        <v>0.37142857142857144</v>
      </c>
      <c r="J141" s="2827">
        <v>0.37142857142857144</v>
      </c>
      <c r="K141" s="2827">
        <v>0.37142857142857144</v>
      </c>
      <c r="L141" s="2827">
        <v>0.37142857142857144</v>
      </c>
      <c r="M141" s="2827">
        <v>0.37142857142857144</v>
      </c>
      <c r="N141" s="2827">
        <v>0.37142857142857144</v>
      </c>
      <c r="O141" s="885"/>
    </row>
    <row r="142" spans="2:15" ht="15.75">
      <c r="B142" s="886"/>
      <c r="C142" s="65">
        <v>2</v>
      </c>
      <c r="D142" s="108" t="s">
        <v>2184</v>
      </c>
      <c r="E142" s="108"/>
      <c r="F142" s="2828">
        <v>0.3</v>
      </c>
      <c r="G142" s="2827">
        <v>0.35</v>
      </c>
      <c r="H142" s="2827">
        <v>0.4</v>
      </c>
      <c r="I142" s="2827">
        <v>0.4</v>
      </c>
      <c r="J142" s="2827">
        <v>0.4</v>
      </c>
      <c r="K142" s="2827">
        <v>0.4</v>
      </c>
      <c r="L142" s="2827">
        <v>0.4</v>
      </c>
      <c r="M142" s="2827">
        <v>0.4</v>
      </c>
      <c r="N142" s="2827">
        <v>0.4</v>
      </c>
      <c r="O142" s="885"/>
    </row>
    <row r="143" spans="2:15" ht="15.75">
      <c r="B143" s="886"/>
      <c r="C143" s="65">
        <v>3</v>
      </c>
      <c r="D143" s="108" t="s">
        <v>2184</v>
      </c>
      <c r="E143" s="108"/>
      <c r="F143" s="2828">
        <v>0.3</v>
      </c>
      <c r="G143" s="2827">
        <v>0.35</v>
      </c>
      <c r="H143" s="2827">
        <v>0.4</v>
      </c>
      <c r="I143" s="2827">
        <v>0.48372093023255813</v>
      </c>
      <c r="J143" s="2827">
        <v>0.50697674418604655</v>
      </c>
      <c r="K143" s="2827">
        <v>0.53023255813953485</v>
      </c>
      <c r="L143" s="2827">
        <v>0.55348837209302326</v>
      </c>
      <c r="M143" s="2827">
        <v>0.57674418604651168</v>
      </c>
      <c r="N143" s="2827">
        <v>0.6</v>
      </c>
      <c r="O143" s="885"/>
    </row>
    <row r="144" spans="2:15" ht="15.75">
      <c r="B144" s="886"/>
      <c r="C144" s="896">
        <v>4</v>
      </c>
      <c r="D144" s="897" t="s">
        <v>2184</v>
      </c>
      <c r="E144" s="897"/>
      <c r="F144" s="2829">
        <v>0.3</v>
      </c>
      <c r="G144" s="2830">
        <v>0.35</v>
      </c>
      <c r="H144" s="2830">
        <v>0.4</v>
      </c>
      <c r="I144" s="2830">
        <v>0.56744186046511635</v>
      </c>
      <c r="J144" s="2830">
        <v>0.61395348837209307</v>
      </c>
      <c r="K144" s="2830">
        <v>0.66046511627906979</v>
      </c>
      <c r="L144" s="2830">
        <v>0.7069767441860465</v>
      </c>
      <c r="M144" s="2830">
        <v>0.75348837209302322</v>
      </c>
      <c r="N144" s="2830">
        <v>0.8</v>
      </c>
      <c r="O144" s="885"/>
    </row>
    <row r="145" spans="1:16" ht="15.75">
      <c r="B145" s="55"/>
      <c r="C145" s="1024" t="s">
        <v>37</v>
      </c>
      <c r="D145" s="901"/>
      <c r="E145" s="901"/>
      <c r="F145" s="102">
        <f t="shared" ref="F145:N145" si="19">(INDEX(F$141:F$144,ROUNDDOWN($E$7,0))*(1-MOD($E$7,1)))+(INDEX(F$141:F$144,ROUNDUP($E$7,0))*MOD($E$7,1))</f>
        <v>0.3</v>
      </c>
      <c r="G145" s="1033">
        <f t="shared" si="19"/>
        <v>0.35</v>
      </c>
      <c r="H145" s="102">
        <f t="shared" si="19"/>
        <v>0.4</v>
      </c>
      <c r="I145" s="102">
        <f t="shared" si="19"/>
        <v>0.48372093023255813</v>
      </c>
      <c r="J145" s="102">
        <f t="shared" si="19"/>
        <v>0.50697674418604655</v>
      </c>
      <c r="K145" s="102">
        <f t="shared" si="19"/>
        <v>0.53023255813953485</v>
      </c>
      <c r="L145" s="102">
        <f t="shared" si="19"/>
        <v>0.55348837209302326</v>
      </c>
      <c r="M145" s="102">
        <f t="shared" si="19"/>
        <v>0.57674418604651168</v>
      </c>
      <c r="N145" s="102">
        <f t="shared" si="19"/>
        <v>0.6</v>
      </c>
      <c r="O145" s="885"/>
    </row>
    <row r="146" spans="1:16" ht="15.75">
      <c r="B146" s="886"/>
      <c r="C146" s="65"/>
      <c r="D146" s="108"/>
      <c r="E146" s="108"/>
      <c r="F146" s="2827"/>
      <c r="G146" s="2827"/>
      <c r="H146" s="2827"/>
      <c r="I146" s="2827"/>
      <c r="J146" s="2827"/>
      <c r="K146" s="2827"/>
      <c r="L146" s="2827"/>
      <c r="M146" s="2827"/>
      <c r="N146" s="2827"/>
      <c r="O146" s="885"/>
    </row>
    <row r="147" spans="1:16" ht="15.75">
      <c r="B147" s="886"/>
      <c r="C147" s="3880" t="s">
        <v>64</v>
      </c>
      <c r="D147" s="2279" t="s">
        <v>65</v>
      </c>
      <c r="E147" s="2278" t="s">
        <v>3102</v>
      </c>
      <c r="F147" s="2827"/>
      <c r="G147" s="2827"/>
      <c r="H147" s="2827"/>
      <c r="I147" s="2827"/>
      <c r="J147" s="2827"/>
      <c r="K147" s="2827"/>
      <c r="L147" s="2827"/>
      <c r="M147" s="2827"/>
      <c r="N147" s="2827"/>
      <c r="O147" s="885"/>
    </row>
    <row r="148" spans="1:16" ht="15.75">
      <c r="B148" s="886"/>
      <c r="C148" s="109"/>
      <c r="D148" s="2279" t="s">
        <v>67</v>
      </c>
      <c r="E148" s="2278" t="s">
        <v>3103</v>
      </c>
      <c r="F148" s="2827"/>
      <c r="G148" s="2827"/>
      <c r="H148" s="2827"/>
      <c r="I148" s="2827"/>
      <c r="J148" s="2827"/>
      <c r="K148" s="2827"/>
      <c r="L148" s="2827"/>
      <c r="M148" s="2827"/>
      <c r="N148" s="2827"/>
      <c r="O148" s="885"/>
    </row>
    <row r="149" spans="1:16">
      <c r="B149" s="2831"/>
      <c r="C149" s="1074"/>
      <c r="D149" s="3881" t="s">
        <v>106</v>
      </c>
      <c r="E149" s="3876" t="s">
        <v>3104</v>
      </c>
      <c r="F149" s="1074"/>
      <c r="G149" s="1074"/>
      <c r="H149" s="1074"/>
      <c r="I149" s="1074"/>
      <c r="J149" s="1074"/>
      <c r="K149" s="1074"/>
      <c r="L149" s="1074"/>
      <c r="M149" s="1074"/>
      <c r="N149" s="1074"/>
      <c r="O149" s="1109"/>
    </row>
    <row r="150" spans="1:16">
      <c r="B150" s="877"/>
    </row>
    <row r="151" spans="1:16" s="6" customFormat="1" ht="23.25">
      <c r="A151" s="40"/>
      <c r="B151" s="878" t="s">
        <v>70</v>
      </c>
      <c r="C151" s="879"/>
      <c r="D151" s="879"/>
      <c r="E151" s="879"/>
      <c r="F151" s="879"/>
      <c r="G151" s="879"/>
      <c r="H151" s="879"/>
      <c r="I151" s="879"/>
      <c r="J151" s="879"/>
      <c r="K151" s="879"/>
      <c r="L151" s="879"/>
      <c r="M151" s="879"/>
      <c r="N151" s="879"/>
      <c r="O151" s="879"/>
      <c r="P151" s="2807"/>
    </row>
    <row r="152" spans="1:16">
      <c r="B152" s="884"/>
      <c r="C152" s="67"/>
      <c r="D152" s="67"/>
      <c r="E152" s="67"/>
      <c r="F152" s="67"/>
      <c r="G152" s="67"/>
      <c r="H152" s="67"/>
      <c r="I152" s="67"/>
      <c r="J152" s="67"/>
      <c r="K152" s="67"/>
      <c r="L152" s="67"/>
      <c r="M152" s="67"/>
      <c r="N152" s="67"/>
      <c r="O152" s="67"/>
    </row>
    <row r="153" spans="1:16">
      <c r="B153" s="914"/>
      <c r="C153" s="49" t="s">
        <v>2185</v>
      </c>
      <c r="D153" s="67"/>
      <c r="E153" s="67"/>
      <c r="F153" s="1226"/>
      <c r="G153" s="51"/>
      <c r="H153" s="1226"/>
      <c r="I153" s="1226" t="s">
        <v>2186</v>
      </c>
      <c r="J153" s="67"/>
      <c r="K153" s="67"/>
      <c r="L153" s="1226"/>
      <c r="M153" s="67"/>
      <c r="N153" s="67"/>
      <c r="O153" s="67"/>
    </row>
    <row r="154" spans="1:16">
      <c r="B154" s="884"/>
      <c r="C154" s="67"/>
      <c r="D154" s="67"/>
      <c r="E154" s="67"/>
      <c r="F154" s="67"/>
      <c r="G154" s="67"/>
      <c r="H154" s="67"/>
      <c r="I154" s="67"/>
      <c r="J154" s="67"/>
      <c r="K154" s="67"/>
      <c r="L154" s="67"/>
      <c r="M154" s="67"/>
      <c r="N154" s="67"/>
      <c r="O154" s="67"/>
    </row>
    <row r="155" spans="1:16" ht="15.75">
      <c r="B155" s="886"/>
      <c r="C155" s="887" t="s">
        <v>792</v>
      </c>
      <c r="D155" s="887" t="s">
        <v>72</v>
      </c>
      <c r="E155" s="887" t="s">
        <v>30</v>
      </c>
      <c r="F155" s="908" t="s">
        <v>1703</v>
      </c>
      <c r="G155" s="2832" t="s">
        <v>2187</v>
      </c>
      <c r="H155" s="2690" t="s">
        <v>2166</v>
      </c>
      <c r="I155" s="2690" t="s">
        <v>2167</v>
      </c>
      <c r="J155" s="1197"/>
      <c r="K155" s="1197"/>
      <c r="L155" s="1197"/>
      <c r="M155" s="1197"/>
      <c r="N155" s="1197"/>
      <c r="O155" s="1197"/>
    </row>
    <row r="156" spans="1:16" s="6" customFormat="1" ht="15.75">
      <c r="B156" s="2833"/>
      <c r="C156" s="2702" t="s">
        <v>2188</v>
      </c>
      <c r="D156" s="2702" t="s">
        <v>2189</v>
      </c>
      <c r="E156" s="2702"/>
      <c r="F156" s="2822"/>
      <c r="G156" s="2834">
        <v>0.37</v>
      </c>
      <c r="H156" s="2834">
        <v>0.18</v>
      </c>
      <c r="I156" s="2827">
        <v>1</v>
      </c>
      <c r="J156" s="2578"/>
      <c r="K156" s="2578"/>
      <c r="L156" s="2578"/>
      <c r="M156" s="2578"/>
      <c r="N156" s="2578"/>
      <c r="O156" s="2578"/>
      <c r="P156" s="2807"/>
    </row>
    <row r="157" spans="1:16" s="6" customFormat="1" ht="15.75">
      <c r="B157" s="2833"/>
      <c r="C157" s="924" t="s">
        <v>2190</v>
      </c>
      <c r="D157" s="924" t="s">
        <v>2191</v>
      </c>
      <c r="E157" s="924"/>
      <c r="F157" s="2823"/>
      <c r="G157" s="2827">
        <v>0.26</v>
      </c>
      <c r="H157" s="2827">
        <v>0.15</v>
      </c>
      <c r="I157" s="2827">
        <v>0</v>
      </c>
      <c r="J157" s="2578"/>
      <c r="K157" s="2578"/>
      <c r="L157" s="2578"/>
      <c r="M157" s="2578"/>
      <c r="N157" s="2578"/>
      <c r="O157" s="2578"/>
      <c r="P157" s="2807"/>
    </row>
    <row r="158" spans="1:16" s="6" customFormat="1" ht="15.75">
      <c r="B158" s="2833"/>
      <c r="C158" s="108" t="s">
        <v>2192</v>
      </c>
      <c r="D158" s="108" t="s">
        <v>2193</v>
      </c>
      <c r="E158" s="108"/>
      <c r="F158" s="2835"/>
      <c r="G158" s="93">
        <v>0.19</v>
      </c>
      <c r="H158" s="93">
        <v>0.04</v>
      </c>
      <c r="I158" s="93">
        <v>0</v>
      </c>
      <c r="J158" s="108"/>
      <c r="K158" s="108"/>
      <c r="L158" s="108"/>
      <c r="M158" s="108"/>
      <c r="N158" s="108"/>
      <c r="O158" s="108"/>
      <c r="P158" s="2807"/>
    </row>
    <row r="159" spans="1:16" s="6" customFormat="1" ht="15.75">
      <c r="B159" s="2833"/>
      <c r="C159" s="199" t="s">
        <v>2194</v>
      </c>
      <c r="D159" s="199" t="s">
        <v>2195</v>
      </c>
      <c r="E159" s="199"/>
      <c r="F159" s="2836"/>
      <c r="G159" s="147">
        <v>0.18</v>
      </c>
      <c r="H159" s="147">
        <v>0.63</v>
      </c>
      <c r="I159" s="147">
        <v>0</v>
      </c>
      <c r="J159" s="108"/>
      <c r="K159" s="108"/>
      <c r="L159" s="108"/>
      <c r="M159" s="108"/>
      <c r="N159" s="108"/>
      <c r="O159" s="108"/>
      <c r="P159" s="2807"/>
    </row>
    <row r="160" spans="1:16" s="6" customFormat="1">
      <c r="B160" s="2837"/>
      <c r="C160" s="108"/>
      <c r="D160" s="108"/>
      <c r="E160" s="108"/>
      <c r="F160" s="108"/>
      <c r="G160" s="1267">
        <v>1</v>
      </c>
      <c r="H160" s="93">
        <v>1</v>
      </c>
      <c r="I160" s="93">
        <v>1</v>
      </c>
      <c r="J160" s="108"/>
      <c r="K160" s="108"/>
      <c r="L160" s="108"/>
      <c r="M160" s="108"/>
      <c r="N160" s="108"/>
      <c r="O160" s="108"/>
      <c r="P160" s="2807"/>
    </row>
    <row r="161" spans="2:20">
      <c r="B161" s="884"/>
      <c r="C161" s="49" t="s">
        <v>2196</v>
      </c>
      <c r="D161" s="67"/>
      <c r="E161" s="67"/>
      <c r="F161" s="51" t="str">
        <f>Preferences.EnergyUnits &amp; " / M odt"</f>
        <v>TWh / M odt</v>
      </c>
      <c r="G161" s="51"/>
      <c r="H161" s="67"/>
      <c r="I161" s="67"/>
      <c r="J161" s="47"/>
      <c r="K161" s="47"/>
      <c r="L161" s="47"/>
      <c r="M161" s="47"/>
      <c r="N161" s="47"/>
      <c r="O161" s="67"/>
    </row>
    <row r="162" spans="2:20">
      <c r="B162" s="884"/>
      <c r="C162" s="67"/>
      <c r="D162" s="67"/>
      <c r="E162" s="67"/>
      <c r="F162" s="67"/>
      <c r="G162" s="67"/>
      <c r="H162" s="67"/>
      <c r="I162" s="67"/>
      <c r="J162" s="47"/>
      <c r="K162" s="47"/>
      <c r="L162" s="47"/>
      <c r="M162" s="47"/>
      <c r="N162" s="47"/>
      <c r="O162" s="67"/>
    </row>
    <row r="163" spans="2:20" ht="15.75">
      <c r="B163" s="886"/>
      <c r="C163" s="887" t="s">
        <v>792</v>
      </c>
      <c r="D163" s="887" t="s">
        <v>72</v>
      </c>
      <c r="E163" s="887" t="s">
        <v>30</v>
      </c>
      <c r="F163" s="909" t="s">
        <v>2197</v>
      </c>
      <c r="G163" s="2694"/>
      <c r="H163" s="2694"/>
      <c r="I163" s="1197"/>
      <c r="J163" s="47"/>
      <c r="K163" s="47"/>
      <c r="L163" s="47"/>
      <c r="M163" s="47"/>
      <c r="N163" s="47"/>
      <c r="O163" s="1197"/>
    </row>
    <row r="164" spans="2:20" ht="15.75">
      <c r="B164" s="886"/>
      <c r="C164" s="2702" t="s">
        <v>2188</v>
      </c>
      <c r="D164" s="2702" t="s">
        <v>2189</v>
      </c>
      <c r="E164" s="2702"/>
      <c r="F164" s="2892">
        <f>16*Unit.PJ</f>
        <v>4.4444444444444446</v>
      </c>
      <c r="G164" s="2827"/>
      <c r="H164" s="2827"/>
      <c r="I164" s="2827"/>
      <c r="J164" s="47"/>
      <c r="K164" s="47"/>
      <c r="L164" s="47"/>
      <c r="M164" s="47"/>
      <c r="N164" s="47"/>
      <c r="O164" s="2578"/>
    </row>
    <row r="165" spans="2:20" ht="15.75">
      <c r="B165" s="886"/>
      <c r="C165" s="924" t="s">
        <v>2190</v>
      </c>
      <c r="D165" s="924" t="s">
        <v>2191</v>
      </c>
      <c r="E165" s="924"/>
      <c r="F165" s="2425">
        <f>5*Unit.PJ</f>
        <v>1.3888888888888888</v>
      </c>
      <c r="G165" s="2827"/>
      <c r="H165" s="2827"/>
      <c r="I165" s="2827"/>
      <c r="J165" s="47"/>
      <c r="K165" s="47"/>
      <c r="L165" s="47"/>
      <c r="M165" s="47"/>
      <c r="N165" s="47"/>
      <c r="O165" s="2578"/>
    </row>
    <row r="166" spans="2:20" ht="15.75">
      <c r="B166" s="886"/>
      <c r="C166" s="108" t="s">
        <v>2192</v>
      </c>
      <c r="D166" s="108" t="s">
        <v>2193</v>
      </c>
      <c r="E166" s="108"/>
      <c r="F166" s="2670">
        <f>30*Unit.PJ</f>
        <v>8.3333333333333339</v>
      </c>
      <c r="G166" s="93"/>
      <c r="H166" s="93"/>
      <c r="I166" s="93"/>
      <c r="J166" s="47"/>
      <c r="K166" s="47"/>
      <c r="L166" s="47"/>
      <c r="M166" s="47"/>
      <c r="N166" s="47"/>
      <c r="O166" s="108"/>
    </row>
    <row r="167" spans="2:20" ht="15.75">
      <c r="B167" s="886"/>
      <c r="C167" s="108" t="s">
        <v>2194</v>
      </c>
      <c r="D167" s="108" t="s">
        <v>2195</v>
      </c>
      <c r="E167" s="108"/>
      <c r="F167" s="2670">
        <v>0</v>
      </c>
      <c r="G167" s="93"/>
      <c r="H167" s="93"/>
      <c r="I167" s="93"/>
      <c r="J167" s="47"/>
      <c r="K167" s="47"/>
      <c r="L167" s="47"/>
      <c r="M167" s="47"/>
      <c r="N167" s="47"/>
      <c r="O167" s="108"/>
    </row>
    <row r="168" spans="2:20" ht="16.5" thickBot="1">
      <c r="B168" s="886"/>
      <c r="C168" s="108" t="s">
        <v>2198</v>
      </c>
      <c r="D168" s="108" t="s">
        <v>2199</v>
      </c>
      <c r="E168" s="108"/>
      <c r="F168" s="2670">
        <f>14*Unit.PJ</f>
        <v>3.8888888888888893</v>
      </c>
      <c r="G168" s="93"/>
      <c r="H168" s="93"/>
      <c r="I168" s="93"/>
      <c r="J168" s="47"/>
      <c r="K168" s="47"/>
      <c r="L168" s="47"/>
      <c r="M168" s="47"/>
      <c r="N168" s="47"/>
      <c r="O168" s="108"/>
    </row>
    <row r="169" spans="2:20" ht="15.75">
      <c r="B169" s="886"/>
      <c r="C169" s="199" t="s">
        <v>2200</v>
      </c>
      <c r="D169" s="199" t="s">
        <v>411</v>
      </c>
      <c r="E169" s="199"/>
      <c r="F169" s="2676">
        <v>0</v>
      </c>
      <c r="G169" s="93"/>
      <c r="H169" s="93"/>
      <c r="I169" s="93"/>
      <c r="J169" s="47"/>
      <c r="K169" s="47"/>
      <c r="L169" s="47"/>
      <c r="M169" s="47"/>
      <c r="N169" s="47"/>
      <c r="O169" s="108"/>
      <c r="Q169" s="2838" t="s">
        <v>2201</v>
      </c>
      <c r="R169" s="2839"/>
      <c r="S169" s="2839"/>
      <c r="T169" s="2840"/>
    </row>
    <row r="170" spans="2:20" ht="15.75" thickBot="1">
      <c r="B170" s="884"/>
      <c r="C170" s="67"/>
      <c r="D170" s="67"/>
      <c r="E170" s="67"/>
      <c r="F170" s="67"/>
      <c r="G170" s="67"/>
      <c r="H170" s="67"/>
      <c r="I170" s="3727"/>
      <c r="J170" s="47"/>
      <c r="K170" s="47"/>
      <c r="L170" s="47"/>
      <c r="M170" s="47"/>
      <c r="N170" s="47"/>
      <c r="O170" s="67"/>
      <c r="Q170" s="2841"/>
      <c r="R170" s="2842"/>
      <c r="S170" s="2842"/>
      <c r="T170" s="2843"/>
    </row>
    <row r="171" spans="2:20">
      <c r="B171" s="884"/>
      <c r="C171" s="49" t="s">
        <v>2202</v>
      </c>
      <c r="D171" s="67"/>
      <c r="E171" s="51"/>
      <c r="F171" s="51" t="s">
        <v>2203</v>
      </c>
      <c r="G171" s="67"/>
      <c r="H171" s="67"/>
      <c r="I171" s="67"/>
      <c r="J171" s="47"/>
      <c r="K171" s="47"/>
      <c r="L171" s="47"/>
      <c r="M171" s="47"/>
      <c r="N171" s="47"/>
      <c r="O171" s="67"/>
    </row>
    <row r="172" spans="2:20">
      <c r="B172" s="884"/>
      <c r="C172" s="67"/>
      <c r="D172" s="67"/>
      <c r="E172" s="67"/>
      <c r="F172" s="67"/>
      <c r="G172" s="67"/>
      <c r="H172" s="67"/>
      <c r="I172" s="67"/>
      <c r="J172" s="47"/>
      <c r="K172" s="47"/>
      <c r="L172" s="47"/>
      <c r="M172" s="47"/>
      <c r="N172" s="47"/>
      <c r="O172" s="67"/>
    </row>
    <row r="173" spans="2:20" ht="15.75">
      <c r="B173" s="886"/>
      <c r="C173" s="887" t="s">
        <v>15</v>
      </c>
      <c r="D173" s="887" t="s">
        <v>72</v>
      </c>
      <c r="E173" s="887" t="s">
        <v>30</v>
      </c>
      <c r="F173" s="909" t="s">
        <v>2204</v>
      </c>
      <c r="G173" s="67"/>
      <c r="H173" s="67"/>
      <c r="I173" s="67"/>
      <c r="J173" s="47"/>
      <c r="K173" s="47"/>
      <c r="L173" s="47"/>
      <c r="M173" s="47"/>
      <c r="N173" s="47"/>
      <c r="O173" s="67"/>
    </row>
    <row r="174" spans="2:20" ht="15.75">
      <c r="B174" s="886"/>
      <c r="C174" s="65" t="s">
        <v>255</v>
      </c>
      <c r="D174" s="108" t="s">
        <v>2205</v>
      </c>
      <c r="E174" s="108"/>
      <c r="F174" s="3605">
        <v>2.42475</v>
      </c>
      <c r="G174" s="67"/>
      <c r="H174" s="67"/>
      <c r="I174" s="67"/>
      <c r="J174" s="47"/>
      <c r="K174" s="47"/>
      <c r="L174" s="47"/>
      <c r="M174" s="47"/>
      <c r="N174" s="47"/>
      <c r="O174" s="67"/>
    </row>
    <row r="175" spans="2:20" ht="15.75">
      <c r="B175" s="886"/>
      <c r="C175" s="926" t="s">
        <v>256</v>
      </c>
      <c r="D175" s="199" t="s">
        <v>2206</v>
      </c>
      <c r="E175" s="199"/>
      <c r="F175" s="3606">
        <v>0.89235714285714285</v>
      </c>
      <c r="G175" s="67"/>
      <c r="H175" s="67"/>
      <c r="I175" s="67"/>
      <c r="J175" s="47"/>
      <c r="K175" s="47"/>
      <c r="L175" s="47"/>
      <c r="M175" s="47"/>
      <c r="N175" s="47"/>
      <c r="O175" s="67"/>
    </row>
    <row r="176" spans="2:20">
      <c r="B176" s="884"/>
      <c r="C176" s="67"/>
      <c r="D176" s="67"/>
      <c r="E176" s="67"/>
      <c r="F176" s="67"/>
      <c r="G176" s="67"/>
      <c r="H176" s="67"/>
      <c r="I176" s="67"/>
      <c r="J176" s="47"/>
      <c r="K176" s="47"/>
      <c r="L176" s="47"/>
      <c r="M176" s="47"/>
      <c r="N176" s="67"/>
      <c r="O176" s="67"/>
    </row>
    <row r="177" spans="2:15">
      <c r="B177" s="884"/>
      <c r="C177" s="49" t="s">
        <v>2207</v>
      </c>
      <c r="D177" s="67"/>
      <c r="E177" s="51"/>
      <c r="F177" s="51" t="str">
        <f>Preferences.EnergyUnits &amp; " / M tonnes"</f>
        <v>TWh / M tonnes</v>
      </c>
      <c r="G177" s="67"/>
      <c r="H177" s="67"/>
      <c r="I177" s="67"/>
      <c r="J177" s="47"/>
      <c r="K177" s="47"/>
      <c r="L177" s="47"/>
      <c r="M177" s="47"/>
      <c r="N177" s="67"/>
      <c r="O177" s="67"/>
    </row>
    <row r="178" spans="2:15">
      <c r="B178" s="884"/>
      <c r="C178" s="67"/>
      <c r="D178" s="67"/>
      <c r="E178" s="67"/>
      <c r="F178" s="67"/>
      <c r="G178" s="67"/>
      <c r="H178" s="67"/>
      <c r="I178" s="67"/>
      <c r="J178" s="67"/>
      <c r="K178" s="67"/>
      <c r="L178" s="67"/>
      <c r="M178" s="67"/>
      <c r="N178" s="67"/>
      <c r="O178" s="67"/>
    </row>
    <row r="179" spans="2:15" ht="15.75">
      <c r="B179" s="886"/>
      <c r="C179" s="887" t="s">
        <v>15</v>
      </c>
      <c r="D179" s="887" t="s">
        <v>72</v>
      </c>
      <c r="E179" s="887" t="s">
        <v>30</v>
      </c>
      <c r="F179" s="909" t="s">
        <v>2208</v>
      </c>
      <c r="G179" s="67"/>
      <c r="H179" s="67"/>
      <c r="I179" s="67"/>
      <c r="J179" s="67"/>
      <c r="K179" s="67"/>
      <c r="L179" s="67"/>
      <c r="M179" s="67"/>
      <c r="N179" s="67"/>
      <c r="O179" s="67"/>
    </row>
    <row r="180" spans="2:15" ht="15.75">
      <c r="B180" s="886"/>
      <c r="C180" s="916" t="s">
        <v>255</v>
      </c>
      <c r="D180" s="917" t="s">
        <v>2209</v>
      </c>
      <c r="E180" s="917"/>
      <c r="F180" s="2893">
        <f>(Constants.GCV.NaturalGasProduced/0.717)*1000000000</f>
        <v>13.4759026809236</v>
      </c>
      <c r="G180" s="67"/>
      <c r="H180" s="67"/>
      <c r="I180" s="67"/>
      <c r="J180" s="67"/>
      <c r="K180" s="67"/>
      <c r="L180" s="67"/>
      <c r="M180" s="67"/>
      <c r="N180" s="67"/>
      <c r="O180" s="67"/>
    </row>
    <row r="181" spans="2:15" ht="15.75">
      <c r="B181" s="886"/>
      <c r="C181" s="65"/>
      <c r="D181" s="108"/>
      <c r="E181" s="108"/>
      <c r="F181" s="953"/>
      <c r="G181" s="67"/>
      <c r="H181" s="67"/>
      <c r="I181" s="67"/>
      <c r="J181" s="67"/>
      <c r="K181" s="67"/>
      <c r="L181" s="67"/>
      <c r="M181" s="67"/>
      <c r="N181" s="67"/>
      <c r="O181" s="67"/>
    </row>
    <row r="182" spans="2:15" ht="15.75">
      <c r="B182" s="55"/>
      <c r="C182" s="49" t="s">
        <v>2932</v>
      </c>
      <c r="D182" s="67"/>
      <c r="E182" s="67"/>
      <c r="F182" s="67"/>
      <c r="G182" s="51"/>
      <c r="H182" s="67"/>
      <c r="I182" s="67"/>
      <c r="J182" s="67"/>
      <c r="K182" s="67"/>
      <c r="L182" s="67"/>
      <c r="M182" s="67"/>
      <c r="N182" s="67"/>
      <c r="O182" s="67"/>
    </row>
    <row r="183" spans="2:15" ht="15.75">
      <c r="B183" s="55"/>
      <c r="C183" s="67"/>
      <c r="D183" s="67"/>
      <c r="E183" s="67"/>
      <c r="F183" s="67"/>
      <c r="G183" s="67"/>
      <c r="H183" s="67"/>
      <c r="I183" s="67"/>
      <c r="J183" s="67"/>
      <c r="K183" s="67"/>
      <c r="L183" s="67"/>
      <c r="M183" s="67"/>
      <c r="N183" s="67"/>
      <c r="O183" s="67"/>
    </row>
    <row r="184" spans="2:15" ht="15.75">
      <c r="B184" s="55"/>
      <c r="C184" s="887"/>
      <c r="D184" s="887"/>
      <c r="E184" s="887"/>
      <c r="F184" s="92"/>
      <c r="G184" s="1161" t="s">
        <v>895</v>
      </c>
      <c r="H184" s="1161"/>
      <c r="I184" s="67"/>
      <c r="J184" s="920"/>
      <c r="K184" s="920"/>
      <c r="L184" s="920"/>
      <c r="M184" s="920"/>
      <c r="N184" s="920"/>
      <c r="O184" s="920"/>
    </row>
    <row r="185" spans="2:15" ht="15.75">
      <c r="B185" s="55"/>
      <c r="C185" s="911"/>
      <c r="D185" s="910" t="s">
        <v>2210</v>
      </c>
      <c r="E185" s="911"/>
      <c r="F185" s="2844">
        <v>0.25</v>
      </c>
      <c r="G185" s="2845" t="s">
        <v>2211</v>
      </c>
      <c r="H185" s="2846"/>
      <c r="I185" s="67"/>
      <c r="J185" s="920"/>
      <c r="K185" s="920"/>
      <c r="L185" s="920"/>
      <c r="M185" s="920"/>
      <c r="N185" s="920"/>
      <c r="O185" s="920"/>
    </row>
    <row r="186" spans="2:15">
      <c r="B186" s="884"/>
      <c r="C186" s="67"/>
      <c r="D186" s="67"/>
      <c r="E186" s="67"/>
      <c r="F186" s="67"/>
      <c r="G186" s="67"/>
      <c r="H186" s="67"/>
      <c r="I186" s="67"/>
      <c r="J186" s="67"/>
      <c r="K186" s="67"/>
      <c r="L186" s="67"/>
      <c r="M186" s="67"/>
      <c r="N186" s="67"/>
      <c r="O186" s="67"/>
    </row>
    <row r="187" spans="2:15">
      <c r="B187" s="904"/>
      <c r="C187" s="3862" t="s">
        <v>64</v>
      </c>
      <c r="D187" s="200"/>
      <c r="E187" s="67"/>
      <c r="F187" s="67"/>
      <c r="G187" s="67"/>
      <c r="H187" s="67"/>
      <c r="I187" s="67"/>
      <c r="J187" s="67"/>
      <c r="K187" s="67"/>
      <c r="L187" s="67"/>
      <c r="M187" s="67"/>
      <c r="N187" s="67"/>
      <c r="O187" s="67"/>
    </row>
    <row r="188" spans="2:15">
      <c r="B188" s="904"/>
      <c r="C188" s="3863" t="s">
        <v>2939</v>
      </c>
      <c r="D188" s="3866" t="s">
        <v>3105</v>
      </c>
      <c r="E188" s="67"/>
      <c r="F188" s="67"/>
      <c r="G188" s="67"/>
      <c r="H188" s="67"/>
      <c r="I188" s="67"/>
      <c r="J188" s="67"/>
      <c r="K188" s="67"/>
      <c r="L188" s="67"/>
      <c r="M188" s="67"/>
      <c r="N188" s="67"/>
      <c r="O188" s="67"/>
    </row>
    <row r="189" spans="2:15">
      <c r="B189" s="904"/>
      <c r="C189" s="3863" t="s">
        <v>106</v>
      </c>
      <c r="D189" s="3866" t="s">
        <v>2933</v>
      </c>
      <c r="E189" s="67"/>
      <c r="F189" s="67"/>
      <c r="G189" s="67"/>
      <c r="H189" s="67"/>
      <c r="I189" s="67"/>
      <c r="J189" s="67"/>
      <c r="K189" s="67"/>
      <c r="L189" s="67"/>
      <c r="M189" s="67"/>
      <c r="N189" s="67"/>
      <c r="O189" s="67"/>
    </row>
    <row r="190" spans="2:15">
      <c r="B190" s="904"/>
      <c r="C190" s="51"/>
      <c r="D190" s="200"/>
      <c r="E190" s="67"/>
      <c r="F190" s="67"/>
      <c r="G190" s="67"/>
      <c r="H190" s="67"/>
      <c r="I190" s="67"/>
      <c r="J190" s="67"/>
      <c r="K190" s="67"/>
      <c r="L190" s="67"/>
      <c r="M190" s="67"/>
      <c r="N190" s="67"/>
      <c r="O190" s="67"/>
    </row>
    <row r="191" spans="2:15">
      <c r="B191" s="928"/>
      <c r="C191" s="109"/>
      <c r="D191" s="200"/>
      <c r="E191" s="931"/>
      <c r="F191" s="931"/>
      <c r="G191" s="931"/>
      <c r="H191" s="931"/>
      <c r="I191" s="931"/>
      <c r="J191" s="931"/>
      <c r="K191" s="931"/>
      <c r="L191" s="931"/>
      <c r="M191" s="931"/>
      <c r="N191" s="931"/>
      <c r="O191" s="931"/>
    </row>
    <row r="192" spans="2:15">
      <c r="B192" s="2847"/>
      <c r="C192" s="51"/>
      <c r="D192" s="200"/>
      <c r="E192" s="67"/>
      <c r="F192" s="67"/>
      <c r="G192" s="67"/>
      <c r="H192" s="67"/>
      <c r="I192" s="67"/>
      <c r="J192" s="67"/>
      <c r="K192" s="67"/>
      <c r="L192" s="67"/>
      <c r="M192" s="67"/>
      <c r="N192" s="67"/>
      <c r="O192" s="67"/>
    </row>
    <row r="193" spans="2:16">
      <c r="B193" s="2848"/>
      <c r="C193" s="1476" t="s">
        <v>2212</v>
      </c>
      <c r="D193" s="67"/>
      <c r="E193" s="67"/>
      <c r="F193" s="67"/>
      <c r="G193" s="67"/>
      <c r="H193" s="67"/>
      <c r="I193" s="67"/>
      <c r="J193" s="67"/>
      <c r="K193" s="67"/>
      <c r="L193" s="67"/>
      <c r="M193" s="67"/>
      <c r="N193" s="67"/>
      <c r="O193" s="67"/>
    </row>
    <row r="194" spans="2:16">
      <c r="B194" s="2847"/>
      <c r="C194" s="49"/>
      <c r="D194" s="200"/>
      <c r="E194" s="67"/>
      <c r="F194" s="67"/>
      <c r="G194" s="67"/>
      <c r="H194" s="67"/>
      <c r="I194" s="67"/>
      <c r="J194" s="67"/>
      <c r="K194" s="67"/>
      <c r="L194" s="67"/>
      <c r="M194" s="67"/>
      <c r="N194" s="67"/>
      <c r="O194" s="67"/>
    </row>
    <row r="195" spans="2:16">
      <c r="B195" s="904"/>
      <c r="C195" s="2609" t="s">
        <v>72</v>
      </c>
      <c r="D195" s="2609"/>
      <c r="E195" s="2849" t="s">
        <v>2213</v>
      </c>
      <c r="F195" s="2850" t="s">
        <v>2214</v>
      </c>
      <c r="G195" s="67"/>
      <c r="H195" s="67"/>
      <c r="I195" s="67"/>
      <c r="J195" s="67"/>
      <c r="K195" s="67"/>
      <c r="L195" s="67"/>
      <c r="M195" s="67"/>
      <c r="N195" s="67"/>
      <c r="O195" s="67"/>
    </row>
    <row r="196" spans="2:16">
      <c r="B196" s="904"/>
      <c r="C196" s="957" t="s">
        <v>2215</v>
      </c>
      <c r="D196" s="957"/>
      <c r="E196" s="3607">
        <v>0.06</v>
      </c>
      <c r="F196" s="352">
        <v>15</v>
      </c>
      <c r="G196" s="67"/>
      <c r="H196" s="67"/>
      <c r="I196" s="67"/>
      <c r="J196" s="67"/>
      <c r="K196" s="67"/>
      <c r="L196" s="67"/>
      <c r="M196" s="67"/>
      <c r="N196" s="67"/>
      <c r="O196" s="67"/>
    </row>
    <row r="197" spans="2:16">
      <c r="B197" s="904"/>
      <c r="C197" s="67"/>
      <c r="D197" s="67"/>
      <c r="E197" s="67"/>
      <c r="F197" s="67"/>
      <c r="G197" s="67"/>
      <c r="H197" s="67"/>
      <c r="I197" s="67"/>
      <c r="J197" s="67"/>
      <c r="K197" s="67"/>
      <c r="L197" s="67"/>
      <c r="M197" s="67"/>
      <c r="N197" s="67"/>
      <c r="O197" s="67"/>
    </row>
    <row r="198" spans="2:16">
      <c r="B198" s="904"/>
      <c r="C198" s="49" t="s">
        <v>2216</v>
      </c>
      <c r="D198" s="200"/>
      <c r="E198" s="2808" t="s">
        <v>2217</v>
      </c>
      <c r="F198" s="2808"/>
      <c r="G198" s="67"/>
      <c r="H198" s="67"/>
      <c r="I198" s="67"/>
      <c r="J198" s="67"/>
      <c r="K198" s="67"/>
      <c r="L198" s="67"/>
      <c r="M198" s="67"/>
      <c r="N198" s="67"/>
      <c r="O198" s="67"/>
    </row>
    <row r="199" spans="2:16">
      <c r="B199" s="904"/>
      <c r="C199" s="49"/>
      <c r="D199" s="200"/>
      <c r="E199" s="67"/>
      <c r="F199" s="67"/>
      <c r="G199" s="67"/>
      <c r="H199" s="67"/>
      <c r="I199" s="67"/>
      <c r="J199" s="67"/>
      <c r="K199" s="67"/>
      <c r="L199" s="67"/>
      <c r="M199" s="67"/>
      <c r="N199" s="67"/>
      <c r="O199" s="67"/>
    </row>
    <row r="200" spans="2:16">
      <c r="B200" s="904"/>
      <c r="C200" s="1548" t="s">
        <v>72</v>
      </c>
      <c r="D200" s="1548"/>
      <c r="E200" s="2851" t="s">
        <v>2218</v>
      </c>
      <c r="F200" s="2852" t="s">
        <v>2214</v>
      </c>
      <c r="G200" s="67"/>
      <c r="H200" s="67"/>
      <c r="I200" s="67"/>
      <c r="J200" s="67"/>
      <c r="K200" s="67"/>
      <c r="L200" s="67"/>
      <c r="M200" s="67"/>
      <c r="N200" s="67"/>
      <c r="O200" s="67"/>
    </row>
    <row r="201" spans="2:16">
      <c r="B201" s="904"/>
      <c r="C201" s="1079" t="s">
        <v>2219</v>
      </c>
      <c r="D201" s="1548"/>
      <c r="E201" s="2894">
        <f>F399/(F440*F400)</f>
        <v>9.5238095238095212E-3</v>
      </c>
      <c r="F201" s="2853">
        <v>15</v>
      </c>
      <c r="G201" s="67"/>
      <c r="H201" s="67"/>
      <c r="I201" s="67"/>
      <c r="J201" s="67"/>
      <c r="K201" s="67"/>
      <c r="L201" s="67"/>
      <c r="M201" s="67"/>
      <c r="N201" s="67"/>
      <c r="O201" s="67"/>
    </row>
    <row r="202" spans="2:16">
      <c r="B202" s="904"/>
      <c r="C202" s="957" t="s">
        <v>2220</v>
      </c>
      <c r="D202" s="957"/>
      <c r="E202" s="2443">
        <f>F402/(F440*F401)</f>
        <v>4.6666666666666662E-3</v>
      </c>
      <c r="F202" s="1758">
        <v>15</v>
      </c>
      <c r="G202" s="67"/>
      <c r="H202" s="67"/>
      <c r="I202" s="67"/>
      <c r="J202" s="67"/>
      <c r="K202" s="67"/>
      <c r="L202" s="67"/>
      <c r="M202" s="67"/>
      <c r="N202" s="67"/>
      <c r="O202" s="67"/>
    </row>
    <row r="203" spans="2:16">
      <c r="B203" s="904"/>
      <c r="C203" s="67"/>
      <c r="D203" s="67"/>
      <c r="E203" s="67"/>
      <c r="F203" s="67"/>
      <c r="G203" s="67"/>
      <c r="H203" s="67"/>
      <c r="I203" s="67"/>
      <c r="J203" s="67"/>
      <c r="K203" s="67"/>
      <c r="L203" s="67"/>
      <c r="M203" s="67"/>
      <c r="N203" s="67"/>
      <c r="O203" s="67"/>
    </row>
    <row r="204" spans="2:16">
      <c r="B204" s="47"/>
      <c r="C204" s="49" t="s">
        <v>2221</v>
      </c>
      <c r="D204" s="200"/>
      <c r="E204" s="2808" t="s">
        <v>2217</v>
      </c>
      <c r="F204" s="2808"/>
      <c r="G204" s="67"/>
      <c r="H204" s="67"/>
      <c r="I204" s="67"/>
      <c r="J204" s="67"/>
      <c r="K204" s="67"/>
      <c r="L204" s="67"/>
      <c r="M204" s="67"/>
      <c r="N204" s="67"/>
      <c r="O204" s="67"/>
    </row>
    <row r="205" spans="2:16">
      <c r="B205" s="47"/>
      <c r="C205" s="49"/>
      <c r="D205" s="200"/>
      <c r="E205" s="67"/>
      <c r="F205" s="67"/>
      <c r="G205" s="47"/>
      <c r="H205" s="47"/>
      <c r="I205" s="47"/>
      <c r="J205" s="47"/>
      <c r="K205" s="47"/>
      <c r="L205" s="47"/>
      <c r="M205" s="47"/>
      <c r="N205" s="47"/>
      <c r="O205" s="47"/>
    </row>
    <row r="206" spans="2:16">
      <c r="B206" s="1547"/>
      <c r="C206" s="887" t="s">
        <v>72</v>
      </c>
      <c r="D206" s="887"/>
      <c r="E206" s="2832" t="s">
        <v>2213</v>
      </c>
      <c r="F206" s="2690" t="s">
        <v>2214</v>
      </c>
      <c r="G206" s="47"/>
      <c r="H206" s="47"/>
      <c r="I206" s="47"/>
      <c r="J206" s="47"/>
      <c r="K206" s="47"/>
      <c r="L206" s="47"/>
      <c r="M206" s="47"/>
      <c r="N206" s="47"/>
      <c r="O206" s="47"/>
    </row>
    <row r="207" spans="2:16" s="927" customFormat="1">
      <c r="B207" s="47"/>
      <c r="C207" s="957" t="s">
        <v>2222</v>
      </c>
      <c r="D207" s="957"/>
      <c r="E207" s="2895">
        <f>1000/1000000</f>
        <v>1E-3</v>
      </c>
      <c r="F207" s="352">
        <v>15</v>
      </c>
      <c r="G207" s="1547"/>
      <c r="H207" s="1547"/>
      <c r="I207" s="1547"/>
      <c r="J207" s="1547"/>
      <c r="K207" s="1547"/>
      <c r="L207" s="1547"/>
      <c r="M207" s="1547"/>
      <c r="N207" s="1547"/>
      <c r="O207" s="1547"/>
      <c r="P207" s="2807"/>
    </row>
    <row r="208" spans="2:16">
      <c r="B208" s="47"/>
      <c r="C208" s="47"/>
      <c r="D208" s="47"/>
      <c r="E208" s="47"/>
      <c r="F208" s="47"/>
      <c r="G208" s="47"/>
      <c r="H208" s="47"/>
      <c r="I208" s="47"/>
      <c r="J208" s="47"/>
      <c r="K208" s="47"/>
      <c r="L208" s="47"/>
      <c r="M208" s="47"/>
      <c r="N208" s="47"/>
      <c r="O208" s="47"/>
    </row>
    <row r="209" spans="2:15" ht="15.75">
      <c r="B209" s="55"/>
      <c r="C209" s="89" t="s">
        <v>798</v>
      </c>
      <c r="D209" s="108"/>
      <c r="E209" s="108"/>
      <c r="F209" s="172"/>
      <c r="G209" s="943"/>
      <c r="H209" s="67"/>
      <c r="I209" s="59"/>
      <c r="J209" s="59"/>
      <c r="K209" s="59"/>
      <c r="L209" s="59"/>
      <c r="M209" s="59"/>
      <c r="N209" s="1070" t="s">
        <v>850</v>
      </c>
      <c r="O209" s="885"/>
    </row>
    <row r="210" spans="2:15" ht="15.75">
      <c r="B210" s="55"/>
      <c r="C210" s="89"/>
      <c r="D210" s="108"/>
      <c r="E210" s="108"/>
      <c r="F210" s="172"/>
      <c r="G210" s="943"/>
      <c r="H210" s="67"/>
      <c r="I210" s="59"/>
      <c r="J210" s="59"/>
      <c r="K210" s="59"/>
      <c r="L210" s="59"/>
      <c r="M210" s="59"/>
      <c r="N210" s="59"/>
      <c r="O210" s="67"/>
    </row>
    <row r="211" spans="2:15" ht="15.75">
      <c r="B211" s="55"/>
      <c r="C211" s="887" t="s">
        <v>44</v>
      </c>
      <c r="D211" s="887" t="s">
        <v>131</v>
      </c>
      <c r="E211" s="887" t="s">
        <v>28</v>
      </c>
      <c r="F211" s="908">
        <v>2013</v>
      </c>
      <c r="G211" s="92" t="s">
        <v>133</v>
      </c>
      <c r="H211" s="92" t="s">
        <v>134</v>
      </c>
      <c r="I211" s="92" t="s">
        <v>135</v>
      </c>
      <c r="J211" s="92" t="s">
        <v>136</v>
      </c>
      <c r="K211" s="92" t="s">
        <v>137</v>
      </c>
      <c r="L211" s="92" t="s">
        <v>138</v>
      </c>
      <c r="M211" s="92" t="s">
        <v>139</v>
      </c>
      <c r="N211" s="92" t="s">
        <v>140</v>
      </c>
      <c r="O211" s="59"/>
    </row>
    <row r="212" spans="2:15" ht="15.75">
      <c r="B212" s="55"/>
      <c r="C212" s="926" t="s">
        <v>508</v>
      </c>
      <c r="D212" s="199" t="s">
        <v>2223</v>
      </c>
      <c r="E212" s="1160" t="s">
        <v>384</v>
      </c>
      <c r="F212" s="2491">
        <f>G212</f>
        <v>3.5598005365434199E-2</v>
      </c>
      <c r="G212" s="2895">
        <f t="shared" ref="G212:N212" si="20">0.0355980053654342*(1/Unit.TWh)</f>
        <v>3.5598005365434199E-2</v>
      </c>
      <c r="H212" s="2896">
        <f t="shared" si="20"/>
        <v>3.5598005365434199E-2</v>
      </c>
      <c r="I212" s="2896">
        <f t="shared" si="20"/>
        <v>3.5598005365434199E-2</v>
      </c>
      <c r="J212" s="2896">
        <f t="shared" si="20"/>
        <v>3.5598005365434199E-2</v>
      </c>
      <c r="K212" s="2896">
        <f t="shared" si="20"/>
        <v>3.5598005365434199E-2</v>
      </c>
      <c r="L212" s="2896">
        <f t="shared" si="20"/>
        <v>3.5598005365434199E-2</v>
      </c>
      <c r="M212" s="2896">
        <f t="shared" si="20"/>
        <v>3.5598005365434199E-2</v>
      </c>
      <c r="N212" s="2896">
        <f t="shared" si="20"/>
        <v>3.5598005365434199E-2</v>
      </c>
      <c r="O212" s="59"/>
    </row>
    <row r="213" spans="2:15" ht="15.75">
      <c r="B213" s="55"/>
      <c r="C213" s="65"/>
      <c r="D213" s="108"/>
      <c r="E213" s="108"/>
      <c r="F213" s="165"/>
      <c r="G213" s="51"/>
      <c r="H213" s="51"/>
      <c r="I213" s="60"/>
      <c r="J213" s="60"/>
      <c r="K213" s="60"/>
      <c r="L213" s="60"/>
      <c r="M213" s="60"/>
      <c r="N213" s="60"/>
      <c r="O213" s="885"/>
    </row>
    <row r="214" spans="2:15" ht="15.75">
      <c r="B214" s="55"/>
      <c r="C214" s="89" t="s">
        <v>800</v>
      </c>
      <c r="D214" s="108"/>
      <c r="E214" s="108"/>
      <c r="F214" s="165"/>
      <c r="G214" s="51"/>
      <c r="H214" s="51"/>
      <c r="I214" s="60"/>
      <c r="J214" s="60"/>
      <c r="K214" s="60"/>
      <c r="L214" s="60"/>
      <c r="M214" s="60"/>
      <c r="N214" s="1070" t="s">
        <v>850</v>
      </c>
      <c r="O214" s="885"/>
    </row>
    <row r="215" spans="2:15" ht="15.75">
      <c r="B215" s="55"/>
      <c r="C215" s="89"/>
      <c r="D215" s="108"/>
      <c r="E215" s="108"/>
      <c r="F215" s="165"/>
      <c r="G215" s="51"/>
      <c r="H215" s="51"/>
      <c r="I215" s="60"/>
      <c r="J215" s="60"/>
      <c r="K215" s="60"/>
      <c r="L215" s="60"/>
      <c r="M215" s="60"/>
      <c r="N215" s="60"/>
      <c r="O215" s="67"/>
    </row>
    <row r="216" spans="2:15" ht="15.75">
      <c r="B216" s="55"/>
      <c r="C216" s="887" t="s">
        <v>44</v>
      </c>
      <c r="D216" s="887" t="s">
        <v>131</v>
      </c>
      <c r="E216" s="887" t="s">
        <v>28</v>
      </c>
      <c r="F216" s="908">
        <v>2013</v>
      </c>
      <c r="G216" s="92" t="s">
        <v>133</v>
      </c>
      <c r="H216" s="92" t="s">
        <v>134</v>
      </c>
      <c r="I216" s="92" t="s">
        <v>135</v>
      </c>
      <c r="J216" s="92" t="s">
        <v>136</v>
      </c>
      <c r="K216" s="92" t="s">
        <v>137</v>
      </c>
      <c r="L216" s="92" t="s">
        <v>138</v>
      </c>
      <c r="M216" s="92" t="s">
        <v>139</v>
      </c>
      <c r="N216" s="92" t="s">
        <v>140</v>
      </c>
      <c r="O216" s="59"/>
    </row>
    <row r="217" spans="2:15" ht="15.75">
      <c r="B217" s="55"/>
      <c r="C217" s="926" t="s">
        <v>508</v>
      </c>
      <c r="D217" s="199" t="s">
        <v>2223</v>
      </c>
      <c r="E217" s="1160" t="s">
        <v>384</v>
      </c>
      <c r="F217" s="2491">
        <f>G217</f>
        <v>0.86326732588134103</v>
      </c>
      <c r="G217" s="2895">
        <f t="shared" ref="G217:N217" si="21">0.863267325881341*(1/Unit.TWh)</f>
        <v>0.86326732588134103</v>
      </c>
      <c r="H217" s="2896">
        <f t="shared" si="21"/>
        <v>0.86326732588134103</v>
      </c>
      <c r="I217" s="2896">
        <f t="shared" si="21"/>
        <v>0.86326732588134103</v>
      </c>
      <c r="J217" s="2896">
        <f t="shared" si="21"/>
        <v>0.86326732588134103</v>
      </c>
      <c r="K217" s="2896">
        <f t="shared" si="21"/>
        <v>0.86326732588134103</v>
      </c>
      <c r="L217" s="2896">
        <f t="shared" si="21"/>
        <v>0.86326732588134103</v>
      </c>
      <c r="M217" s="2896">
        <f t="shared" si="21"/>
        <v>0.86326732588134103</v>
      </c>
      <c r="N217" s="2896">
        <f t="shared" si="21"/>
        <v>0.86326732588134103</v>
      </c>
      <c r="O217" s="59"/>
    </row>
    <row r="218" spans="2:15" ht="15.75">
      <c r="B218" s="55"/>
      <c r="C218" s="65"/>
      <c r="D218" s="108"/>
      <c r="E218" s="108"/>
      <c r="F218" s="165"/>
      <c r="G218" s="51"/>
      <c r="H218" s="51"/>
      <c r="I218" s="60"/>
      <c r="J218" s="60"/>
      <c r="K218" s="60"/>
      <c r="L218" s="60"/>
      <c r="M218" s="60"/>
      <c r="N218" s="60"/>
      <c r="O218" s="885"/>
    </row>
    <row r="219" spans="2:15" ht="15.75">
      <c r="B219" s="55"/>
      <c r="C219" s="89" t="s">
        <v>801</v>
      </c>
      <c r="D219" s="108"/>
      <c r="E219" s="108"/>
      <c r="F219" s="165"/>
      <c r="G219" s="51"/>
      <c r="H219" s="51"/>
      <c r="I219" s="60"/>
      <c r="J219" s="60"/>
      <c r="K219" s="60"/>
      <c r="L219" s="60"/>
      <c r="M219" s="60"/>
      <c r="N219" s="1070" t="s">
        <v>850</v>
      </c>
      <c r="O219" s="885"/>
    </row>
    <row r="220" spans="2:15" ht="15.75">
      <c r="B220" s="55"/>
      <c r="C220" s="89"/>
      <c r="D220" s="108"/>
      <c r="E220" s="108"/>
      <c r="F220" s="165"/>
      <c r="G220" s="51"/>
      <c r="H220" s="51"/>
      <c r="I220" s="60"/>
      <c r="J220" s="60"/>
      <c r="K220" s="60"/>
      <c r="L220" s="60"/>
      <c r="M220" s="60"/>
      <c r="N220" s="60"/>
      <c r="O220" s="67"/>
    </row>
    <row r="221" spans="2:15" ht="15.75">
      <c r="B221" s="55"/>
      <c r="C221" s="887" t="s">
        <v>44</v>
      </c>
      <c r="D221" s="887" t="s">
        <v>131</v>
      </c>
      <c r="E221" s="887" t="s">
        <v>28</v>
      </c>
      <c r="F221" s="908">
        <v>2013</v>
      </c>
      <c r="G221" s="92" t="s">
        <v>133</v>
      </c>
      <c r="H221" s="92" t="s">
        <v>134</v>
      </c>
      <c r="I221" s="92" t="s">
        <v>135</v>
      </c>
      <c r="J221" s="92" t="s">
        <v>136</v>
      </c>
      <c r="K221" s="92" t="s">
        <v>137</v>
      </c>
      <c r="L221" s="92" t="s">
        <v>138</v>
      </c>
      <c r="M221" s="92" t="s">
        <v>139</v>
      </c>
      <c r="N221" s="92" t="s">
        <v>140</v>
      </c>
      <c r="O221" s="59"/>
    </row>
    <row r="222" spans="2:15" ht="15.75">
      <c r="B222" s="55"/>
      <c r="C222" s="926" t="s">
        <v>508</v>
      </c>
      <c r="D222" s="199" t="s">
        <v>2223</v>
      </c>
      <c r="E222" s="1160" t="s">
        <v>384</v>
      </c>
      <c r="F222" s="2491">
        <f>G222</f>
        <v>0</v>
      </c>
      <c r="G222" s="2895">
        <f t="shared" ref="G222:N222" si="22">(0*(1/Unit.GWh))*(1/Unit.TWh)</f>
        <v>0</v>
      </c>
      <c r="H222" s="2896">
        <f t="shared" si="22"/>
        <v>0</v>
      </c>
      <c r="I222" s="2896">
        <f t="shared" si="22"/>
        <v>0</v>
      </c>
      <c r="J222" s="2896">
        <f t="shared" si="22"/>
        <v>0</v>
      </c>
      <c r="K222" s="2896">
        <f t="shared" si="22"/>
        <v>0</v>
      </c>
      <c r="L222" s="2896">
        <f t="shared" si="22"/>
        <v>0</v>
      </c>
      <c r="M222" s="2896">
        <f t="shared" si="22"/>
        <v>0</v>
      </c>
      <c r="N222" s="2896">
        <f t="shared" si="22"/>
        <v>0</v>
      </c>
      <c r="O222" s="59"/>
    </row>
    <row r="223" spans="2:15" ht="15.75">
      <c r="B223" s="55"/>
      <c r="C223" s="2182"/>
      <c r="D223" s="2183"/>
      <c r="E223" s="2183"/>
      <c r="F223" s="2185"/>
      <c r="G223" s="2185"/>
      <c r="H223" s="2185"/>
      <c r="I223" s="2185"/>
      <c r="J223" s="2185"/>
      <c r="K223" s="2185"/>
      <c r="L223" s="2185"/>
      <c r="M223" s="2185"/>
      <c r="N223" s="2185"/>
      <c r="O223" s="885"/>
    </row>
    <row r="224" spans="2:15" ht="15.75">
      <c r="B224" s="55"/>
      <c r="C224" s="89" t="s">
        <v>802</v>
      </c>
      <c r="D224" s="108"/>
      <c r="E224" s="108"/>
      <c r="F224" s="165"/>
      <c r="G224" s="51"/>
      <c r="H224" s="51"/>
      <c r="I224" s="60"/>
      <c r="J224" s="60"/>
      <c r="K224" s="60"/>
      <c r="L224" s="60"/>
      <c r="M224" s="60"/>
      <c r="N224" s="1070" t="s">
        <v>850</v>
      </c>
      <c r="O224" s="885"/>
    </row>
    <row r="225" spans="2:36" ht="15.75">
      <c r="B225" s="55"/>
      <c r="C225" s="89"/>
      <c r="D225" s="108"/>
      <c r="E225" s="108"/>
      <c r="F225" s="165"/>
      <c r="G225" s="51"/>
      <c r="H225" s="51"/>
      <c r="I225" s="60"/>
      <c r="J225" s="60"/>
      <c r="K225" s="60"/>
      <c r="L225" s="60"/>
      <c r="M225" s="60"/>
      <c r="N225" s="60"/>
      <c r="O225" s="67"/>
    </row>
    <row r="226" spans="2:36" ht="15.75">
      <c r="B226" s="55"/>
      <c r="C226" s="887" t="s">
        <v>44</v>
      </c>
      <c r="D226" s="887" t="s">
        <v>131</v>
      </c>
      <c r="E226" s="887" t="s">
        <v>28</v>
      </c>
      <c r="F226" s="908">
        <v>2013</v>
      </c>
      <c r="G226" s="92" t="s">
        <v>133</v>
      </c>
      <c r="H226" s="92" t="s">
        <v>134</v>
      </c>
      <c r="I226" s="92" t="s">
        <v>135</v>
      </c>
      <c r="J226" s="92" t="s">
        <v>136</v>
      </c>
      <c r="K226" s="92" t="s">
        <v>137</v>
      </c>
      <c r="L226" s="92" t="s">
        <v>138</v>
      </c>
      <c r="M226" s="92" t="s">
        <v>139</v>
      </c>
      <c r="N226" s="92" t="s">
        <v>140</v>
      </c>
      <c r="O226" s="59"/>
    </row>
    <row r="227" spans="2:36" ht="15.75">
      <c r="B227" s="55"/>
      <c r="C227" s="926" t="s">
        <v>508</v>
      </c>
      <c r="D227" s="199" t="s">
        <v>2223</v>
      </c>
      <c r="E227" s="1160" t="s">
        <v>384</v>
      </c>
      <c r="F227" s="2491">
        <f>G227</f>
        <v>1.3022608695652201E-2</v>
      </c>
      <c r="G227" s="2895">
        <f t="shared" ref="G227:N227" si="23">0.0130226086956522*(1/Unit.TWh)</f>
        <v>1.3022608695652201E-2</v>
      </c>
      <c r="H227" s="2896">
        <f t="shared" si="23"/>
        <v>1.3022608695652201E-2</v>
      </c>
      <c r="I227" s="2896">
        <f t="shared" si="23"/>
        <v>1.3022608695652201E-2</v>
      </c>
      <c r="J227" s="2896">
        <f t="shared" si="23"/>
        <v>1.3022608695652201E-2</v>
      </c>
      <c r="K227" s="2896">
        <f t="shared" si="23"/>
        <v>1.3022608695652201E-2</v>
      </c>
      <c r="L227" s="2896">
        <f t="shared" si="23"/>
        <v>1.3022608695652201E-2</v>
      </c>
      <c r="M227" s="2896">
        <f t="shared" si="23"/>
        <v>1.3022608695652201E-2</v>
      </c>
      <c r="N227" s="2896">
        <f t="shared" si="23"/>
        <v>1.3022608695652201E-2</v>
      </c>
      <c r="O227" s="59"/>
    </row>
    <row r="228" spans="2:36" ht="15.75">
      <c r="B228" s="55"/>
      <c r="C228" s="65"/>
      <c r="D228" s="108"/>
      <c r="E228" s="301"/>
      <c r="F228" s="1071"/>
      <c r="G228" s="2855"/>
      <c r="H228" s="2855"/>
      <c r="I228" s="2855"/>
      <c r="J228" s="2855"/>
      <c r="K228" s="2855"/>
      <c r="L228" s="2855"/>
      <c r="M228" s="2855"/>
      <c r="N228" s="2855"/>
      <c r="O228" s="59"/>
    </row>
    <row r="229" spans="2:36" ht="15.75">
      <c r="B229" s="55"/>
      <c r="C229" s="89" t="s">
        <v>2224</v>
      </c>
      <c r="D229" s="108"/>
      <c r="E229" s="108"/>
      <c r="F229" s="165"/>
      <c r="G229" s="51"/>
      <c r="H229" s="51"/>
      <c r="I229" s="60"/>
      <c r="J229" s="60"/>
      <c r="K229" s="60"/>
      <c r="L229" s="60"/>
      <c r="M229" s="60"/>
      <c r="N229" s="1070" t="s">
        <v>850</v>
      </c>
      <c r="O229" s="59"/>
    </row>
    <row r="230" spans="2:36" ht="15.75">
      <c r="B230" s="55"/>
      <c r="C230" s="89"/>
      <c r="D230" s="108"/>
      <c r="E230" s="108"/>
      <c r="F230" s="165"/>
      <c r="G230" s="51"/>
      <c r="H230" s="51"/>
      <c r="I230" s="60"/>
      <c r="J230" s="60"/>
      <c r="K230" s="60"/>
      <c r="L230" s="60"/>
      <c r="M230" s="60"/>
      <c r="N230" s="60"/>
      <c r="O230" s="59"/>
    </row>
    <row r="231" spans="2:36" ht="15.75">
      <c r="B231" s="55"/>
      <c r="C231" s="887" t="s">
        <v>44</v>
      </c>
      <c r="D231" s="887" t="s">
        <v>131</v>
      </c>
      <c r="E231" s="887" t="s">
        <v>28</v>
      </c>
      <c r="F231" s="908">
        <v>2013</v>
      </c>
      <c r="G231" s="92" t="s">
        <v>133</v>
      </c>
      <c r="H231" s="92" t="s">
        <v>134</v>
      </c>
      <c r="I231" s="92"/>
      <c r="J231" s="92"/>
      <c r="K231" s="92"/>
      <c r="L231" s="92"/>
      <c r="M231" s="92"/>
      <c r="N231" s="92"/>
      <c r="O231" s="59"/>
    </row>
    <row r="232" spans="2:36" ht="15.75">
      <c r="B232" s="55"/>
      <c r="C232" s="926" t="s">
        <v>508</v>
      </c>
      <c r="D232" s="199" t="s">
        <v>2223</v>
      </c>
      <c r="E232" s="1160" t="s">
        <v>384</v>
      </c>
      <c r="F232" s="1164">
        <v>9.6300000000000008</v>
      </c>
      <c r="G232" s="2854">
        <v>9.0773043359999992</v>
      </c>
      <c r="H232" s="2854">
        <v>8.7208291459999998</v>
      </c>
      <c r="I232" s="2854"/>
      <c r="J232" s="2854"/>
      <c r="K232" s="2854"/>
      <c r="L232" s="2854"/>
      <c r="M232" s="2854"/>
      <c r="N232" s="2854"/>
      <c r="O232" s="59"/>
    </row>
    <row r="233" spans="2:36" ht="15.75">
      <c r="B233" s="55"/>
      <c r="C233" s="65"/>
      <c r="D233" s="108"/>
      <c r="E233" s="301"/>
      <c r="F233" s="1071"/>
      <c r="G233" s="2855"/>
      <c r="H233" s="2855"/>
      <c r="I233" s="2855"/>
      <c r="J233" s="2855"/>
      <c r="K233" s="2855"/>
      <c r="L233" s="2855"/>
      <c r="M233" s="2855"/>
      <c r="N233" s="2855"/>
      <c r="O233" s="59"/>
      <c r="R233" s="1077"/>
      <c r="S233" s="1077"/>
      <c r="T233" s="1077"/>
      <c r="U233" s="1077"/>
      <c r="V233" s="1077"/>
      <c r="W233" s="1077"/>
      <c r="X233" s="1077"/>
      <c r="Y233" s="1077"/>
      <c r="Z233" s="1077"/>
      <c r="AA233" s="1077"/>
      <c r="AB233" s="1077"/>
      <c r="AC233" s="1077"/>
      <c r="AD233" s="1077"/>
      <c r="AE233" s="1077"/>
      <c r="AF233" s="1077"/>
      <c r="AG233" s="1077"/>
      <c r="AH233" s="1077"/>
      <c r="AI233" s="1077"/>
      <c r="AJ233" s="1077"/>
    </row>
    <row r="234" spans="2:36">
      <c r="B234" s="86"/>
      <c r="C234" s="1077"/>
      <c r="D234" s="1432" t="s">
        <v>5</v>
      </c>
      <c r="E234" s="1077"/>
      <c r="F234" s="1077"/>
      <c r="G234" s="1077"/>
      <c r="H234" s="1077"/>
      <c r="I234" s="1077"/>
      <c r="J234" s="1077"/>
      <c r="K234" s="1077"/>
      <c r="L234" s="1077"/>
      <c r="M234" s="1077"/>
      <c r="N234" s="1077"/>
      <c r="O234" s="1077"/>
      <c r="P234" s="1077"/>
      <c r="R234" s="1077"/>
      <c r="S234" s="1077"/>
      <c r="T234" s="1077"/>
      <c r="U234" s="1077"/>
      <c r="V234" s="1077"/>
      <c r="W234" s="1077"/>
      <c r="X234" s="1077"/>
      <c r="Y234" s="1077"/>
      <c r="Z234" s="1077"/>
      <c r="AA234" s="1077"/>
      <c r="AB234" s="1077"/>
      <c r="AC234" s="1077"/>
      <c r="AD234" s="1077"/>
      <c r="AE234" s="1077"/>
      <c r="AF234" s="1077"/>
      <c r="AG234" s="1077"/>
      <c r="AH234" s="1077"/>
      <c r="AI234" s="1077"/>
      <c r="AJ234" s="1077"/>
    </row>
    <row r="235" spans="2:36" ht="15.75">
      <c r="B235" s="2186" t="s">
        <v>2794</v>
      </c>
      <c r="C235" s="2187"/>
      <c r="D235" s="2187"/>
      <c r="E235" s="2187"/>
      <c r="F235" s="2187"/>
      <c r="G235" s="2187"/>
      <c r="H235" s="2187"/>
      <c r="I235" s="2187"/>
      <c r="J235" s="2187"/>
      <c r="K235" s="2187"/>
      <c r="L235" s="2187"/>
      <c r="M235" s="2187"/>
      <c r="N235" s="2187"/>
      <c r="O235" s="2187"/>
      <c r="P235" s="2766"/>
      <c r="R235" s="1077"/>
      <c r="S235" s="1077"/>
      <c r="T235" s="1077"/>
      <c r="U235" s="1077"/>
      <c r="V235" s="1077"/>
      <c r="W235" s="1077"/>
      <c r="X235" s="1077"/>
      <c r="Y235" s="1077"/>
      <c r="Z235" s="1077"/>
      <c r="AA235" s="1077"/>
      <c r="AB235" s="1077"/>
      <c r="AC235" s="1077"/>
      <c r="AD235" s="1077"/>
      <c r="AE235" s="1077"/>
      <c r="AF235" s="1077"/>
      <c r="AG235" s="1077"/>
      <c r="AH235" s="1077"/>
      <c r="AI235" s="1077"/>
      <c r="AJ235" s="1077"/>
    </row>
    <row r="236" spans="2:36" ht="6.75" customHeight="1">
      <c r="B236" s="931"/>
      <c r="C236" s="931"/>
      <c r="D236" s="931"/>
      <c r="E236" s="931"/>
      <c r="F236" s="931"/>
      <c r="G236" s="931"/>
      <c r="H236" s="931"/>
      <c r="I236" s="931"/>
      <c r="J236" s="931"/>
      <c r="K236" s="931"/>
      <c r="L236" s="67"/>
      <c r="M236" s="67"/>
      <c r="N236" s="67"/>
      <c r="O236" s="67"/>
      <c r="P236" s="47"/>
      <c r="R236" s="1077"/>
      <c r="S236" s="1077"/>
      <c r="T236" s="1077"/>
      <c r="U236" s="1077"/>
      <c r="V236" s="1077"/>
      <c r="W236" s="1077"/>
      <c r="X236" s="1077"/>
      <c r="Y236" s="1077"/>
      <c r="Z236" s="1077"/>
      <c r="AA236" s="1077"/>
      <c r="AB236" s="1077"/>
      <c r="AC236" s="1077"/>
      <c r="AD236" s="1077"/>
      <c r="AE236" s="1077"/>
      <c r="AF236" s="1077"/>
      <c r="AG236" s="1077"/>
      <c r="AH236" s="1077"/>
      <c r="AI236" s="1077"/>
      <c r="AJ236" s="1077"/>
    </row>
    <row r="237" spans="2:36" hidden="1">
      <c r="B237" s="2605"/>
      <c r="C237" s="49" t="s">
        <v>2225</v>
      </c>
      <c r="D237" s="200"/>
      <c r="E237" s="67"/>
      <c r="F237" s="2808"/>
      <c r="G237" s="2808"/>
      <c r="H237" s="2808"/>
      <c r="I237" s="2808"/>
      <c r="J237" s="49"/>
      <c r="K237" s="67"/>
      <c r="L237" s="67"/>
      <c r="M237" s="67"/>
      <c r="N237" s="67"/>
      <c r="O237" s="67"/>
      <c r="P237" s="47"/>
      <c r="R237" s="1077"/>
      <c r="S237" s="1077"/>
      <c r="T237" s="1077"/>
      <c r="U237" s="1077"/>
      <c r="V237" s="1077"/>
      <c r="W237" s="1077"/>
      <c r="X237" s="1077"/>
      <c r="Y237" s="1077"/>
      <c r="Z237" s="1077"/>
      <c r="AA237" s="1077"/>
      <c r="AB237" s="1077"/>
      <c r="AC237" s="1077"/>
      <c r="AD237" s="1077"/>
      <c r="AE237" s="1077"/>
      <c r="AF237" s="1077"/>
      <c r="AG237" s="1077"/>
      <c r="AH237" s="1077"/>
      <c r="AI237" s="1077"/>
      <c r="AJ237" s="1077"/>
    </row>
    <row r="238" spans="2:36" ht="6.75" hidden="1" customHeight="1">
      <c r="B238" s="67"/>
      <c r="C238" s="67"/>
      <c r="D238" s="200"/>
      <c r="E238" s="67"/>
      <c r="F238" s="67"/>
      <c r="G238" s="67"/>
      <c r="H238" s="67"/>
      <c r="I238" s="67"/>
      <c r="J238" s="67"/>
      <c r="K238" s="67"/>
      <c r="L238" s="67"/>
      <c r="M238" s="67"/>
      <c r="N238" s="67"/>
      <c r="O238" s="67"/>
      <c r="P238" s="47"/>
      <c r="R238" s="1077"/>
      <c r="S238" s="1077"/>
      <c r="T238" s="1077"/>
      <c r="U238" s="1077"/>
      <c r="V238" s="1077"/>
      <c r="W238" s="1077"/>
      <c r="X238" s="1077"/>
      <c r="Y238" s="1077"/>
      <c r="Z238" s="1077"/>
      <c r="AA238" s="1077"/>
      <c r="AB238" s="1077"/>
      <c r="AC238" s="1077"/>
      <c r="AD238" s="1077"/>
      <c r="AE238" s="1077"/>
      <c r="AF238" s="1077"/>
      <c r="AG238" s="1077"/>
      <c r="AH238" s="1077"/>
      <c r="AI238" s="1077"/>
      <c r="AJ238" s="1077"/>
    </row>
    <row r="239" spans="2:36" hidden="1">
      <c r="B239" s="904"/>
      <c r="C239" s="1548" t="s">
        <v>72</v>
      </c>
      <c r="D239" s="1548"/>
      <c r="E239" s="973" t="s">
        <v>1491</v>
      </c>
      <c r="F239" s="980" t="s">
        <v>160</v>
      </c>
      <c r="G239" s="974">
        <v>2013</v>
      </c>
      <c r="H239" s="974">
        <v>2015</v>
      </c>
      <c r="I239" s="974">
        <v>2020</v>
      </c>
      <c r="J239" s="974">
        <v>2025</v>
      </c>
      <c r="K239" s="974">
        <v>2030</v>
      </c>
      <c r="L239" s="974">
        <v>2035</v>
      </c>
      <c r="M239" s="974">
        <v>2040</v>
      </c>
      <c r="N239" s="974">
        <v>2045</v>
      </c>
      <c r="O239" s="974">
        <v>2050</v>
      </c>
      <c r="P239" s="47"/>
      <c r="R239" s="1077"/>
      <c r="S239" s="1077"/>
      <c r="T239" s="1077"/>
      <c r="U239" s="207"/>
      <c r="V239" s="1432"/>
      <c r="W239" s="2809"/>
      <c r="X239" s="2809"/>
      <c r="Y239" s="2809"/>
      <c r="Z239" s="2809"/>
      <c r="AA239" s="1077"/>
      <c r="AB239" s="207"/>
      <c r="AC239" s="1077"/>
      <c r="AD239" s="1077"/>
      <c r="AE239" s="1077"/>
      <c r="AF239" s="1077"/>
      <c r="AG239" s="1077"/>
      <c r="AH239" s="1077"/>
      <c r="AI239" s="1077"/>
      <c r="AJ239" s="1077"/>
    </row>
    <row r="240" spans="2:36" hidden="1">
      <c r="B240" s="904"/>
      <c r="C240" s="1079" t="s">
        <v>2226</v>
      </c>
      <c r="D240" s="1079"/>
      <c r="E240" s="265" t="s">
        <v>2825</v>
      </c>
      <c r="F240" s="2769"/>
      <c r="G240" s="2768"/>
      <c r="H240" s="1080"/>
      <c r="I240" s="1080"/>
      <c r="J240" s="1080"/>
      <c r="K240" s="1080"/>
      <c r="L240" s="1080"/>
      <c r="M240" s="1080"/>
      <c r="N240" s="1080"/>
      <c r="O240" s="2768"/>
      <c r="P240" s="47"/>
      <c r="R240" s="1077"/>
      <c r="S240" s="1077"/>
      <c r="T240" s="1077"/>
      <c r="U240" s="207"/>
      <c r="V240" s="1432"/>
      <c r="W240" s="1077"/>
      <c r="X240" s="1077"/>
      <c r="Y240" s="207"/>
      <c r="Z240" s="207"/>
      <c r="AA240" s="1077"/>
      <c r="AB240" s="1077"/>
      <c r="AC240" s="1077"/>
      <c r="AD240" s="1077"/>
      <c r="AE240" s="1077"/>
      <c r="AF240" s="1077"/>
      <c r="AG240" s="1077"/>
      <c r="AH240" s="1077"/>
      <c r="AI240" s="1077"/>
      <c r="AJ240" s="1077"/>
    </row>
    <row r="241" spans="2:36" ht="15.75" hidden="1">
      <c r="B241" s="886"/>
      <c r="C241" s="924" t="s">
        <v>2227</v>
      </c>
      <c r="D241" s="924"/>
      <c r="E241" s="46" t="s">
        <v>2825</v>
      </c>
      <c r="F241" s="2771"/>
      <c r="G241" s="2770"/>
      <c r="H241" s="954"/>
      <c r="I241" s="954"/>
      <c r="J241" s="954"/>
      <c r="K241" s="954"/>
      <c r="L241" s="954"/>
      <c r="M241" s="954"/>
      <c r="N241" s="954"/>
      <c r="O241" s="2770"/>
      <c r="P241" s="47"/>
      <c r="R241" s="1077"/>
      <c r="S241" s="1077"/>
      <c r="T241" s="1077"/>
      <c r="U241" s="2572"/>
      <c r="V241" s="2572"/>
      <c r="W241" s="2856"/>
      <c r="X241" s="2856"/>
      <c r="Y241" s="2856"/>
      <c r="Z241" s="2856"/>
      <c r="AA241" s="1077"/>
      <c r="AB241" s="1077"/>
      <c r="AC241" s="1077"/>
      <c r="AD241" s="1077"/>
      <c r="AE241" s="1077"/>
      <c r="AF241" s="1077"/>
      <c r="AG241" s="1077"/>
      <c r="AH241" s="1077"/>
      <c r="AI241" s="1077"/>
      <c r="AJ241" s="1077"/>
    </row>
    <row r="242" spans="2:36" ht="15.75" hidden="1">
      <c r="B242" s="886"/>
      <c r="C242" s="924" t="s">
        <v>2228</v>
      </c>
      <c r="D242" s="924"/>
      <c r="E242" s="46" t="s">
        <v>2825</v>
      </c>
      <c r="F242" s="2771"/>
      <c r="G242" s="2770"/>
      <c r="H242" s="954"/>
      <c r="I242" s="954"/>
      <c r="J242" s="954"/>
      <c r="K242" s="954"/>
      <c r="L242" s="954"/>
      <c r="M242" s="954"/>
      <c r="N242" s="954"/>
      <c r="O242" s="2770"/>
      <c r="P242" s="47"/>
      <c r="R242" s="1077"/>
      <c r="S242" s="1077"/>
      <c r="T242" s="1077"/>
      <c r="U242" s="521"/>
      <c r="V242" s="521"/>
      <c r="W242" s="2608"/>
      <c r="X242" s="2608"/>
      <c r="Y242" s="2608"/>
      <c r="Z242" s="2608"/>
      <c r="AA242" s="207"/>
      <c r="AB242" s="207"/>
      <c r="AC242" s="207"/>
      <c r="AD242" s="1077"/>
      <c r="AE242" s="1077"/>
      <c r="AF242" s="1077"/>
      <c r="AG242" s="1077"/>
      <c r="AH242" s="1077"/>
      <c r="AI242" s="1077"/>
      <c r="AJ242" s="1077"/>
    </row>
    <row r="243" spans="2:36" ht="15.75" hidden="1">
      <c r="B243" s="886"/>
      <c r="C243" s="957" t="s">
        <v>2229</v>
      </c>
      <c r="D243" s="957"/>
      <c r="E243" s="181" t="s">
        <v>2825</v>
      </c>
      <c r="F243" s="2773"/>
      <c r="G243" s="2772"/>
      <c r="H243" s="959"/>
      <c r="I243" s="959"/>
      <c r="J243" s="959"/>
      <c r="K243" s="959"/>
      <c r="L243" s="959"/>
      <c r="M243" s="959"/>
      <c r="N243" s="959"/>
      <c r="O243" s="2772"/>
      <c r="P243" s="47"/>
      <c r="R243" s="1077"/>
      <c r="S243" s="1077"/>
      <c r="T243" s="1077"/>
      <c r="U243" s="521"/>
      <c r="V243" s="521"/>
      <c r="W243" s="2608"/>
      <c r="X243" s="2608"/>
      <c r="Y243" s="2608"/>
      <c r="Z243" s="2608"/>
      <c r="AA243" s="207"/>
      <c r="AB243" s="207"/>
      <c r="AC243" s="207"/>
      <c r="AD243" s="1077"/>
      <c r="AE243" s="1077"/>
      <c r="AF243" s="1077"/>
      <c r="AG243" s="1077"/>
      <c r="AH243" s="1077"/>
      <c r="AI243" s="1077"/>
      <c r="AJ243" s="1077"/>
    </row>
    <row r="244" spans="2:36" ht="15.75" hidden="1">
      <c r="B244" s="886"/>
      <c r="C244" s="1079" t="s">
        <v>2215</v>
      </c>
      <c r="D244" s="1079"/>
      <c r="E244" s="265" t="s">
        <v>2826</v>
      </c>
      <c r="F244" s="2771"/>
      <c r="G244" s="953"/>
      <c r="H244" s="954"/>
      <c r="I244" s="954"/>
      <c r="J244" s="954"/>
      <c r="K244" s="954"/>
      <c r="L244" s="954"/>
      <c r="M244" s="954"/>
      <c r="N244" s="954"/>
      <c r="O244" s="953"/>
      <c r="P244" s="47"/>
      <c r="R244" s="1077"/>
      <c r="S244" s="1077"/>
      <c r="T244" s="1077"/>
      <c r="U244" s="521"/>
      <c r="V244" s="521"/>
      <c r="W244" s="2608"/>
      <c r="X244" s="2608"/>
      <c r="Y244" s="2608"/>
      <c r="Z244" s="2608"/>
      <c r="AA244" s="207"/>
      <c r="AB244" s="207"/>
      <c r="AC244" s="207"/>
      <c r="AD244" s="1077"/>
      <c r="AE244" s="1077"/>
      <c r="AF244" s="1077"/>
      <c r="AG244" s="1077"/>
      <c r="AH244" s="1077"/>
      <c r="AI244" s="1077"/>
      <c r="AJ244" s="1077"/>
    </row>
    <row r="245" spans="2:36" ht="16.5" hidden="1" customHeight="1">
      <c r="B245" s="886"/>
      <c r="C245" s="924" t="s">
        <v>2219</v>
      </c>
      <c r="D245" s="108"/>
      <c r="E245" s="46" t="s">
        <v>2826</v>
      </c>
      <c r="F245" s="2771"/>
      <c r="G245" s="953"/>
      <c r="H245" s="954"/>
      <c r="I245" s="954"/>
      <c r="J245" s="954"/>
      <c r="K245" s="954"/>
      <c r="L245" s="954"/>
      <c r="M245" s="954"/>
      <c r="N245" s="954"/>
      <c r="O245" s="953"/>
      <c r="P245" s="47"/>
      <c r="R245" s="1077"/>
      <c r="S245" s="1077"/>
      <c r="T245" s="1077"/>
      <c r="U245" s="521"/>
      <c r="V245" s="521"/>
      <c r="W245" s="2608"/>
      <c r="X245" s="2608"/>
      <c r="Y245" s="2608"/>
      <c r="Z245" s="2608"/>
      <c r="AA245" s="207"/>
      <c r="AB245" s="207"/>
      <c r="AC245" s="207"/>
      <c r="AD245" s="1077"/>
      <c r="AE245" s="1077"/>
      <c r="AF245" s="1077"/>
      <c r="AG245" s="1077"/>
      <c r="AH245" s="1077"/>
      <c r="AI245" s="1077"/>
      <c r="AJ245" s="1077"/>
    </row>
    <row r="246" spans="2:36" ht="15.75" hidden="1" customHeight="1">
      <c r="B246" s="886"/>
      <c r="C246" s="957" t="s">
        <v>2220</v>
      </c>
      <c r="D246" s="199"/>
      <c r="E246" s="181" t="s">
        <v>2826</v>
      </c>
      <c r="F246" s="2771"/>
      <c r="G246" s="953"/>
      <c r="H246" s="959"/>
      <c r="I246" s="959"/>
      <c r="J246" s="959"/>
      <c r="K246" s="959"/>
      <c r="L246" s="959"/>
      <c r="M246" s="959"/>
      <c r="N246" s="959"/>
      <c r="O246" s="958"/>
      <c r="P246" s="47"/>
      <c r="R246" s="1077"/>
      <c r="S246" s="1077"/>
      <c r="T246" s="1077"/>
      <c r="U246" s="207"/>
      <c r="V246" s="1432"/>
      <c r="W246" s="1077"/>
      <c r="X246" s="2809"/>
      <c r="Y246" s="2809"/>
      <c r="Z246" s="2809"/>
      <c r="AA246" s="2809"/>
      <c r="AB246" s="2809"/>
      <c r="AC246" s="207"/>
      <c r="AD246" s="1077"/>
      <c r="AE246" s="1077"/>
      <c r="AF246" s="1077"/>
      <c r="AG246" s="1077"/>
      <c r="AH246" s="1077"/>
      <c r="AI246" s="1077"/>
      <c r="AJ246" s="1077"/>
    </row>
    <row r="247" spans="2:36" ht="15.75" hidden="1">
      <c r="B247" s="886"/>
      <c r="C247" s="962" t="s">
        <v>2222</v>
      </c>
      <c r="D247" s="1200"/>
      <c r="E247" s="250" t="s">
        <v>2827</v>
      </c>
      <c r="F247" s="2857"/>
      <c r="G247" s="2858"/>
      <c r="H247" s="2859"/>
      <c r="I247" s="2859"/>
      <c r="J247" s="2859"/>
      <c r="K247" s="2859"/>
      <c r="L247" s="2859"/>
      <c r="M247" s="2859"/>
      <c r="N247" s="2859"/>
      <c r="O247" s="2858"/>
      <c r="P247" s="47"/>
      <c r="R247" s="1077"/>
      <c r="S247" s="1077"/>
      <c r="T247" s="1077"/>
      <c r="U247" s="207"/>
      <c r="V247" s="1432"/>
      <c r="W247" s="2809"/>
      <c r="X247" s="2809"/>
      <c r="Y247" s="2809"/>
      <c r="Z247" s="2809"/>
      <c r="AA247" s="2809"/>
      <c r="AB247" s="2809"/>
      <c r="AC247" s="207"/>
      <c r="AD247" s="1077"/>
      <c r="AE247" s="1077"/>
      <c r="AF247" s="1077"/>
      <c r="AG247" s="1077"/>
      <c r="AH247" s="1077"/>
      <c r="AI247" s="1077"/>
      <c r="AJ247" s="1077"/>
    </row>
    <row r="248" spans="2:36" ht="15.75" hidden="1">
      <c r="B248" s="2860"/>
      <c r="C248" s="109"/>
      <c r="D248" s="108"/>
      <c r="E248" s="47"/>
      <c r="F248" s="108"/>
      <c r="G248" s="953"/>
      <c r="H248" s="2596"/>
      <c r="I248" s="954"/>
      <c r="J248" s="954"/>
      <c r="K248" s="954"/>
      <c r="L248" s="954"/>
      <c r="M248" s="954"/>
      <c r="N248" s="954"/>
      <c r="O248" s="954"/>
      <c r="P248" s="47"/>
      <c r="R248" s="1077"/>
      <c r="S248" s="1077"/>
      <c r="T248" s="1077"/>
      <c r="U248" s="207"/>
      <c r="V248" s="1432"/>
      <c r="W248" s="1077"/>
      <c r="X248" s="1077"/>
      <c r="Y248" s="1077"/>
      <c r="Z248" s="1077"/>
      <c r="AA248" s="1077"/>
      <c r="AB248" s="1077"/>
      <c r="AC248" s="1077"/>
      <c r="AD248" s="1077"/>
      <c r="AE248" s="1077"/>
      <c r="AF248" s="1077"/>
      <c r="AG248" s="1077"/>
      <c r="AH248" s="1077"/>
      <c r="AI248" s="1077"/>
      <c r="AJ248" s="1077"/>
    </row>
    <row r="249" spans="2:36" ht="15.75" hidden="1">
      <c r="B249" s="2860"/>
      <c r="C249" s="49" t="s">
        <v>2230</v>
      </c>
      <c r="D249" s="200"/>
      <c r="E249" s="47"/>
      <c r="F249" s="67"/>
      <c r="G249" s="2808"/>
      <c r="H249" s="2808"/>
      <c r="I249" s="2808"/>
      <c r="J249" s="2808"/>
      <c r="K249" s="49"/>
      <c r="L249" s="67"/>
      <c r="M249" s="67"/>
      <c r="N249" s="67"/>
      <c r="O249" s="67"/>
      <c r="P249" s="47"/>
      <c r="R249" s="1077"/>
      <c r="S249" s="1077"/>
      <c r="T249" s="1077"/>
      <c r="U249" s="2572"/>
      <c r="V249" s="2572"/>
      <c r="W249" s="2856"/>
      <c r="X249" s="2856"/>
      <c r="Y249" s="2856"/>
      <c r="Z249" s="2856"/>
      <c r="AA249" s="2856"/>
      <c r="AB249" s="2856"/>
      <c r="AC249" s="2856"/>
      <c r="AD249" s="2856"/>
      <c r="AE249" s="1077"/>
      <c r="AF249" s="1077"/>
      <c r="AG249" s="1077"/>
      <c r="AH249" s="1077"/>
      <c r="AI249" s="1077"/>
      <c r="AJ249" s="1077"/>
    </row>
    <row r="250" spans="2:36" ht="6" hidden="1" customHeight="1">
      <c r="B250" s="2860"/>
      <c r="C250" s="67"/>
      <c r="D250" s="200"/>
      <c r="E250" s="47"/>
      <c r="F250" s="67"/>
      <c r="G250" s="67"/>
      <c r="H250" s="67"/>
      <c r="I250" s="67"/>
      <c r="J250" s="67"/>
      <c r="K250" s="67"/>
      <c r="L250" s="67"/>
      <c r="M250" s="67"/>
      <c r="N250" s="67"/>
      <c r="O250" s="67"/>
      <c r="P250" s="47"/>
      <c r="R250" s="1077"/>
      <c r="S250" s="1077"/>
      <c r="T250" s="1077"/>
      <c r="U250" s="521"/>
      <c r="V250" s="521"/>
      <c r="W250" s="2861"/>
      <c r="X250" s="2608"/>
      <c r="Y250" s="2608"/>
      <c r="Z250" s="2608"/>
      <c r="AA250" s="2608"/>
      <c r="AB250" s="2608"/>
      <c r="AC250" s="2809"/>
      <c r="AD250" s="2809"/>
      <c r="AE250" s="1077"/>
      <c r="AF250" s="1077"/>
      <c r="AG250" s="1077"/>
      <c r="AH250" s="1077"/>
      <c r="AI250" s="1077"/>
      <c r="AJ250" s="1077"/>
    </row>
    <row r="251" spans="2:36" ht="12" hidden="1" customHeight="1">
      <c r="B251" s="2860"/>
      <c r="C251" s="1548" t="s">
        <v>72</v>
      </c>
      <c r="D251" s="1548"/>
      <c r="E251" s="973" t="s">
        <v>1491</v>
      </c>
      <c r="F251" s="980" t="s">
        <v>160</v>
      </c>
      <c r="G251" s="974">
        <v>2013</v>
      </c>
      <c r="H251" s="974">
        <v>2015</v>
      </c>
      <c r="I251" s="974">
        <v>2020</v>
      </c>
      <c r="J251" s="974">
        <v>2025</v>
      </c>
      <c r="K251" s="974">
        <v>2030</v>
      </c>
      <c r="L251" s="974">
        <v>2035</v>
      </c>
      <c r="M251" s="974">
        <v>2040</v>
      </c>
      <c r="N251" s="974">
        <v>2045</v>
      </c>
      <c r="O251" s="974">
        <v>2050</v>
      </c>
      <c r="P251" s="47"/>
      <c r="R251" s="1077"/>
      <c r="S251" s="1077"/>
      <c r="T251" s="1077"/>
      <c r="U251" s="1077"/>
      <c r="V251" s="1077"/>
      <c r="W251" s="1077"/>
      <c r="X251" s="1077"/>
      <c r="Y251" s="1077"/>
      <c r="Z251" s="1077"/>
      <c r="AA251" s="1077"/>
      <c r="AB251" s="1077"/>
      <c r="AC251" s="1077"/>
      <c r="AD251" s="1077"/>
      <c r="AE251" s="1077"/>
      <c r="AF251" s="1077"/>
      <c r="AG251" s="1077"/>
      <c r="AH251" s="1077"/>
      <c r="AI251" s="1077"/>
      <c r="AJ251" s="1077"/>
    </row>
    <row r="252" spans="2:36" ht="15.75" hidden="1">
      <c r="B252" s="886"/>
      <c r="C252" s="1079" t="s">
        <v>2226</v>
      </c>
      <c r="D252" s="1079"/>
      <c r="E252" s="265" t="s">
        <v>2825</v>
      </c>
      <c r="F252" s="2769"/>
      <c r="G252" s="2768"/>
      <c r="H252" s="1080"/>
      <c r="I252" s="1080"/>
      <c r="J252" s="1080"/>
      <c r="K252" s="1080"/>
      <c r="L252" s="1080"/>
      <c r="M252" s="1080"/>
      <c r="N252" s="1080"/>
      <c r="O252" s="2768"/>
      <c r="P252" s="47" t="s">
        <v>5</v>
      </c>
      <c r="R252" s="2862"/>
      <c r="S252" s="2863"/>
      <c r="T252" s="1077"/>
      <c r="U252" s="207"/>
      <c r="V252" s="1432"/>
      <c r="W252" s="2809"/>
      <c r="X252" s="2809"/>
      <c r="Y252" s="2809"/>
      <c r="Z252" s="2809"/>
      <c r="AA252" s="2809"/>
      <c r="AB252" s="2809"/>
      <c r="AC252" s="207"/>
      <c r="AD252" s="1077"/>
      <c r="AE252" s="1077"/>
      <c r="AF252" s="1077"/>
      <c r="AG252" s="1077"/>
      <c r="AH252" s="1077"/>
      <c r="AI252" s="1077"/>
      <c r="AJ252" s="1077"/>
    </row>
    <row r="253" spans="2:36" ht="15.75" hidden="1">
      <c r="B253" s="886"/>
      <c r="C253" s="924" t="s">
        <v>2227</v>
      </c>
      <c r="D253" s="924"/>
      <c r="E253" s="46" t="s">
        <v>2825</v>
      </c>
      <c r="F253" s="2771"/>
      <c r="G253" s="2770"/>
      <c r="H253" s="954"/>
      <c r="I253" s="954"/>
      <c r="J253" s="954"/>
      <c r="K253" s="954"/>
      <c r="L253" s="954"/>
      <c r="M253" s="954"/>
      <c r="N253" s="954"/>
      <c r="O253" s="2770"/>
      <c r="P253" s="47"/>
      <c r="R253" s="2862"/>
      <c r="S253" s="2863"/>
      <c r="T253" s="1077"/>
      <c r="U253" s="207"/>
      <c r="V253" s="1432"/>
      <c r="W253" s="1077"/>
      <c r="X253" s="1077"/>
      <c r="Y253" s="1077"/>
      <c r="Z253" s="1077"/>
      <c r="AA253" s="1077"/>
      <c r="AB253" s="1077"/>
      <c r="AC253" s="1077"/>
      <c r="AD253" s="1077"/>
      <c r="AE253" s="1077"/>
      <c r="AF253" s="1077"/>
      <c r="AG253" s="1077"/>
      <c r="AH253" s="1077"/>
      <c r="AI253" s="1077"/>
      <c r="AJ253" s="1077"/>
    </row>
    <row r="254" spans="2:36" ht="15.75" hidden="1">
      <c r="B254" s="886"/>
      <c r="C254" s="924" t="s">
        <v>2228</v>
      </c>
      <c r="D254" s="924"/>
      <c r="E254" s="46" t="s">
        <v>2825</v>
      </c>
      <c r="F254" s="2771"/>
      <c r="G254" s="2770"/>
      <c r="H254" s="954"/>
      <c r="I254" s="954"/>
      <c r="J254" s="954"/>
      <c r="K254" s="954"/>
      <c r="L254" s="954"/>
      <c r="M254" s="954"/>
      <c r="N254" s="954"/>
      <c r="O254" s="2770"/>
      <c r="P254" s="47"/>
      <c r="R254" s="2862"/>
      <c r="S254" s="2863"/>
      <c r="T254" s="1077"/>
      <c r="U254" s="2572"/>
      <c r="V254" s="2572"/>
      <c r="W254" s="2856"/>
      <c r="X254" s="2856"/>
      <c r="Y254" s="2856"/>
      <c r="Z254" s="2856"/>
      <c r="AA254" s="2856"/>
      <c r="AB254" s="2856"/>
      <c r="AC254" s="2856"/>
      <c r="AD254" s="2856"/>
      <c r="AE254" s="1077"/>
      <c r="AF254" s="1077"/>
      <c r="AG254" s="1077"/>
      <c r="AH254" s="1077"/>
      <c r="AI254" s="1077"/>
      <c r="AJ254" s="1077"/>
    </row>
    <row r="255" spans="2:36" ht="15.75" hidden="1">
      <c r="B255" s="886"/>
      <c r="C255" s="957" t="s">
        <v>2229</v>
      </c>
      <c r="D255" s="957"/>
      <c r="E255" s="181" t="s">
        <v>2825</v>
      </c>
      <c r="F255" s="2773"/>
      <c r="G255" s="2772"/>
      <c r="H255" s="959"/>
      <c r="I255" s="959"/>
      <c r="J255" s="959"/>
      <c r="K255" s="959"/>
      <c r="L255" s="959"/>
      <c r="M255" s="959"/>
      <c r="N255" s="959"/>
      <c r="O255" s="2772"/>
      <c r="P255" s="47"/>
      <c r="R255" s="2862"/>
      <c r="S255" s="2863"/>
      <c r="T255" s="1077"/>
      <c r="U255" s="521"/>
      <c r="V255" s="2572"/>
      <c r="W255" s="1077"/>
      <c r="X255" s="2864"/>
      <c r="Y255" s="2558"/>
      <c r="Z255" s="2558"/>
      <c r="AA255" s="2856"/>
      <c r="AB255" s="2856"/>
      <c r="AC255" s="2856"/>
      <c r="AD255" s="2856"/>
      <c r="AE255" s="1077"/>
      <c r="AF255" s="1077"/>
      <c r="AG255" s="1077"/>
      <c r="AH255" s="1077"/>
      <c r="AI255" s="1077"/>
      <c r="AJ255" s="1077"/>
    </row>
    <row r="256" spans="2:36" ht="15.75" hidden="1">
      <c r="B256" s="886"/>
      <c r="C256" s="924" t="s">
        <v>2215</v>
      </c>
      <c r="D256" s="924"/>
      <c r="E256" s="46" t="s">
        <v>2826</v>
      </c>
      <c r="F256" s="2771"/>
      <c r="G256" s="953"/>
      <c r="H256" s="954"/>
      <c r="I256" s="954"/>
      <c r="J256" s="954"/>
      <c r="K256" s="954"/>
      <c r="L256" s="954"/>
      <c r="M256" s="954"/>
      <c r="N256" s="954"/>
      <c r="O256" s="953"/>
      <c r="P256" s="47"/>
      <c r="R256" s="2862"/>
      <c r="S256" s="2863"/>
      <c r="T256" s="1077"/>
      <c r="U256" s="521"/>
      <c r="V256" s="521"/>
      <c r="W256" s="1077"/>
      <c r="X256" s="2865"/>
      <c r="Y256" s="2573"/>
      <c r="Z256" s="2573"/>
      <c r="AA256" s="2809"/>
      <c r="AB256" s="2809"/>
      <c r="AC256" s="2809"/>
      <c r="AD256" s="2809"/>
      <c r="AE256" s="1077"/>
      <c r="AF256" s="1077"/>
      <c r="AG256" s="1077"/>
      <c r="AH256" s="1077"/>
      <c r="AI256" s="1077"/>
      <c r="AJ256" s="1077"/>
    </row>
    <row r="257" spans="2:36" ht="16.5" hidden="1" customHeight="1">
      <c r="B257" s="110"/>
      <c r="C257" s="924" t="s">
        <v>2219</v>
      </c>
      <c r="D257" s="108"/>
      <c r="E257" s="46" t="s">
        <v>2826</v>
      </c>
      <c r="F257" s="2771"/>
      <c r="G257" s="953"/>
      <c r="H257" s="954"/>
      <c r="I257" s="954"/>
      <c r="J257" s="954"/>
      <c r="K257" s="954"/>
      <c r="L257" s="954"/>
      <c r="M257" s="954"/>
      <c r="N257" s="954"/>
      <c r="O257" s="953"/>
      <c r="P257" s="47"/>
      <c r="R257" s="2862"/>
      <c r="S257" s="2863"/>
      <c r="T257" s="1077"/>
      <c r="U257" s="1077"/>
      <c r="V257" s="1077"/>
      <c r="W257" s="1077"/>
      <c r="X257" s="1077"/>
      <c r="Y257" s="1077"/>
      <c r="Z257" s="1077"/>
      <c r="AA257" s="1077"/>
      <c r="AB257" s="1077"/>
      <c r="AC257" s="1077"/>
      <c r="AD257" s="1077"/>
      <c r="AE257" s="1077"/>
      <c r="AF257" s="1077"/>
      <c r="AG257" s="1077"/>
      <c r="AH257" s="1077"/>
      <c r="AI257" s="1077"/>
      <c r="AJ257" s="1077"/>
    </row>
    <row r="258" spans="2:36" ht="15.75" hidden="1" customHeight="1">
      <c r="B258" s="110"/>
      <c r="C258" s="924" t="s">
        <v>2220</v>
      </c>
      <c r="D258" s="108"/>
      <c r="E258" s="46" t="s">
        <v>2826</v>
      </c>
      <c r="F258" s="2771"/>
      <c r="G258" s="953"/>
      <c r="H258" s="959"/>
      <c r="I258" s="959"/>
      <c r="J258" s="959"/>
      <c r="K258" s="959"/>
      <c r="L258" s="959"/>
      <c r="M258" s="959"/>
      <c r="N258" s="959"/>
      <c r="O258" s="958"/>
      <c r="P258" s="47"/>
      <c r="R258" s="2862"/>
      <c r="S258" s="2863"/>
      <c r="T258" s="1077"/>
      <c r="U258" s="207"/>
      <c r="V258" s="1432"/>
      <c r="W258" s="2809"/>
      <c r="X258" s="2809"/>
      <c r="Y258" s="2809"/>
      <c r="Z258" s="2809"/>
      <c r="AA258" s="2809"/>
      <c r="AB258" s="2809"/>
      <c r="AC258" s="207"/>
      <c r="AD258" s="1077"/>
      <c r="AE258" s="1077"/>
      <c r="AF258" s="1077"/>
      <c r="AG258" s="1077"/>
      <c r="AH258" s="1077"/>
      <c r="AI258" s="1077"/>
      <c r="AJ258" s="1077"/>
    </row>
    <row r="259" spans="2:36" ht="15.75" hidden="1" customHeight="1">
      <c r="B259" s="110"/>
      <c r="C259" s="962" t="s">
        <v>2222</v>
      </c>
      <c r="D259" s="1200"/>
      <c r="E259" s="250" t="s">
        <v>2827</v>
      </c>
      <c r="F259" s="2857"/>
      <c r="G259" s="2858"/>
      <c r="H259" s="2859"/>
      <c r="I259" s="2859"/>
      <c r="J259" s="2859"/>
      <c r="K259" s="2859"/>
      <c r="L259" s="2859"/>
      <c r="M259" s="2859"/>
      <c r="N259" s="2859"/>
      <c r="O259" s="2858"/>
      <c r="P259" s="47"/>
      <c r="R259" s="1077"/>
      <c r="S259" s="2863"/>
      <c r="T259" s="1077"/>
      <c r="U259" s="207"/>
      <c r="V259" s="1432"/>
      <c r="W259" s="1077"/>
      <c r="X259" s="1077"/>
      <c r="Y259" s="1077"/>
      <c r="Z259" s="1077"/>
      <c r="AA259" s="1077"/>
      <c r="AB259" s="1077"/>
      <c r="AC259" s="1077"/>
      <c r="AD259" s="1077"/>
      <c r="AE259" s="1077"/>
      <c r="AF259" s="1077"/>
      <c r="AG259" s="1077"/>
      <c r="AH259" s="1077"/>
      <c r="AI259" s="1077"/>
      <c r="AJ259" s="1077"/>
    </row>
    <row r="260" spans="2:36" hidden="1">
      <c r="B260" s="110"/>
      <c r="C260" s="67"/>
      <c r="D260" s="200"/>
      <c r="E260" s="47"/>
      <c r="F260" s="67"/>
      <c r="G260" s="67"/>
      <c r="H260" s="67"/>
      <c r="I260" s="67"/>
      <c r="J260" s="67"/>
      <c r="K260" s="67"/>
      <c r="L260" s="67"/>
      <c r="M260" s="67"/>
      <c r="N260" s="67"/>
      <c r="O260" s="67"/>
      <c r="P260" s="47"/>
      <c r="R260" s="1077"/>
      <c r="S260" s="1077"/>
      <c r="T260" s="1077"/>
      <c r="U260" s="2572"/>
      <c r="V260" s="2572"/>
      <c r="W260" s="2856"/>
      <c r="X260" s="2856"/>
      <c r="Y260" s="2856"/>
      <c r="Z260" s="2856"/>
      <c r="AA260" s="2856"/>
      <c r="AB260" s="2856"/>
      <c r="AC260" s="2856"/>
      <c r="AD260" s="2856"/>
      <c r="AE260" s="1077"/>
      <c r="AF260" s="1077"/>
      <c r="AG260" s="1077"/>
      <c r="AH260" s="1077"/>
      <c r="AI260" s="1077"/>
      <c r="AJ260" s="1077"/>
    </row>
    <row r="261" spans="2:36" hidden="1">
      <c r="B261" s="110"/>
      <c r="C261" s="49" t="s">
        <v>2231</v>
      </c>
      <c r="D261" s="200"/>
      <c r="E261" s="47"/>
      <c r="F261" s="67"/>
      <c r="G261" s="2808"/>
      <c r="H261" s="2808"/>
      <c r="I261" s="2808"/>
      <c r="J261" s="2808"/>
      <c r="K261" s="49"/>
      <c r="L261" s="67"/>
      <c r="M261" s="67"/>
      <c r="N261" s="67"/>
      <c r="O261" s="67"/>
      <c r="P261" s="67"/>
      <c r="R261" s="1077"/>
      <c r="S261" s="1077"/>
      <c r="T261" s="1077"/>
      <c r="U261" s="521"/>
      <c r="V261" s="521"/>
      <c r="W261" s="2866"/>
      <c r="X261" s="2608"/>
      <c r="Y261" s="2608"/>
      <c r="Z261" s="2608"/>
      <c r="AA261" s="2809"/>
      <c r="AB261" s="2809"/>
      <c r="AC261" s="2809"/>
      <c r="AD261" s="2809"/>
      <c r="AE261" s="1077"/>
      <c r="AF261" s="1077"/>
      <c r="AG261" s="1077"/>
      <c r="AH261" s="1077"/>
      <c r="AI261" s="1077"/>
      <c r="AJ261" s="1077"/>
    </row>
    <row r="262" spans="2:36" ht="6" hidden="1" customHeight="1">
      <c r="B262" s="110"/>
      <c r="C262" s="67"/>
      <c r="D262" s="200"/>
      <c r="E262" s="47"/>
      <c r="F262" s="67"/>
      <c r="G262" s="67"/>
      <c r="H262" s="67"/>
      <c r="I262" s="67"/>
      <c r="J262" s="67"/>
      <c r="K262" s="67"/>
      <c r="L262" s="67"/>
      <c r="M262" s="67"/>
      <c r="N262" s="67"/>
      <c r="O262" s="67"/>
      <c r="P262" s="67"/>
      <c r="R262" s="1077"/>
      <c r="S262" s="1077"/>
      <c r="T262" s="1077"/>
      <c r="U262" s="1077"/>
      <c r="V262" s="1077"/>
      <c r="W262" s="1077"/>
      <c r="X262" s="1077"/>
      <c r="Y262" s="1077"/>
      <c r="Z262" s="1077"/>
      <c r="AA262" s="1077"/>
      <c r="AB262" s="1077"/>
      <c r="AC262" s="1077"/>
      <c r="AD262" s="1077"/>
      <c r="AE262" s="1077"/>
      <c r="AF262" s="1077"/>
      <c r="AG262" s="1077"/>
      <c r="AH262" s="1077"/>
      <c r="AI262" s="1077"/>
      <c r="AJ262" s="1077"/>
    </row>
    <row r="263" spans="2:36" hidden="1">
      <c r="B263" s="904"/>
      <c r="C263" s="1548" t="s">
        <v>72</v>
      </c>
      <c r="D263" s="1548"/>
      <c r="E263" s="973" t="s">
        <v>1491</v>
      </c>
      <c r="F263" s="980" t="s">
        <v>160</v>
      </c>
      <c r="G263" s="974">
        <v>2013</v>
      </c>
      <c r="H263" s="974">
        <v>2015</v>
      </c>
      <c r="I263" s="974">
        <v>2020</v>
      </c>
      <c r="J263" s="974">
        <v>2025</v>
      </c>
      <c r="K263" s="974">
        <v>2030</v>
      </c>
      <c r="L263" s="974">
        <v>2035</v>
      </c>
      <c r="M263" s="974">
        <v>2040</v>
      </c>
      <c r="N263" s="974">
        <v>2045</v>
      </c>
      <c r="O263" s="974">
        <v>2050</v>
      </c>
      <c r="P263" s="67"/>
      <c r="R263" s="1077"/>
      <c r="S263" s="1077"/>
      <c r="T263" s="1077"/>
      <c r="U263" s="1077"/>
      <c r="V263" s="1077"/>
      <c r="W263" s="1077"/>
      <c r="X263" s="1077"/>
      <c r="Y263" s="1077"/>
      <c r="Z263" s="1077"/>
      <c r="AA263" s="1077"/>
      <c r="AB263" s="1077"/>
      <c r="AC263" s="1077"/>
      <c r="AD263" s="1077"/>
      <c r="AE263" s="1077"/>
      <c r="AF263" s="1077"/>
      <c r="AG263" s="1077"/>
      <c r="AH263" s="1077"/>
      <c r="AI263" s="1077"/>
      <c r="AJ263" s="1077"/>
    </row>
    <row r="264" spans="2:36" hidden="1">
      <c r="B264" s="904"/>
      <c r="C264" s="1079" t="s">
        <v>2226</v>
      </c>
      <c r="D264" s="1079"/>
      <c r="E264" s="265" t="s">
        <v>2825</v>
      </c>
      <c r="F264" s="2769"/>
      <c r="G264" s="2768"/>
      <c r="H264" s="1080"/>
      <c r="I264" s="1080"/>
      <c r="J264" s="1080"/>
      <c r="K264" s="1080"/>
      <c r="L264" s="1080"/>
      <c r="M264" s="1080"/>
      <c r="N264" s="1080"/>
      <c r="O264" s="2768"/>
      <c r="P264" s="67"/>
      <c r="R264" s="1077"/>
      <c r="S264" s="1077"/>
      <c r="T264" s="1077"/>
      <c r="U264" s="1077"/>
      <c r="V264" s="1077"/>
      <c r="W264" s="1077"/>
      <c r="X264" s="1077"/>
      <c r="Y264" s="1077"/>
      <c r="Z264" s="1077"/>
      <c r="AA264" s="1077"/>
      <c r="AB264" s="1077"/>
      <c r="AC264" s="1077"/>
      <c r="AD264" s="1077"/>
      <c r="AE264" s="1077"/>
      <c r="AF264" s="1077"/>
      <c r="AG264" s="1077"/>
      <c r="AH264" s="1077"/>
      <c r="AI264" s="1077"/>
      <c r="AJ264" s="1077"/>
    </row>
    <row r="265" spans="2:36" ht="15.75" hidden="1">
      <c r="B265" s="886"/>
      <c r="C265" s="924" t="s">
        <v>2227</v>
      </c>
      <c r="D265" s="924"/>
      <c r="E265" s="46" t="s">
        <v>2825</v>
      </c>
      <c r="F265" s="2771"/>
      <c r="G265" s="2770"/>
      <c r="H265" s="954"/>
      <c r="I265" s="954"/>
      <c r="J265" s="954"/>
      <c r="K265" s="954"/>
      <c r="L265" s="954"/>
      <c r="M265" s="954"/>
      <c r="N265" s="954"/>
      <c r="O265" s="2770"/>
      <c r="P265" s="67"/>
      <c r="R265" s="1077"/>
      <c r="S265" s="1173"/>
      <c r="T265" s="1173"/>
      <c r="U265" s="1077"/>
      <c r="V265" s="1077"/>
      <c r="W265" s="1077"/>
      <c r="X265" s="1077"/>
      <c r="Y265" s="1077"/>
      <c r="Z265" s="1077"/>
      <c r="AA265" s="1077"/>
      <c r="AB265" s="1077"/>
      <c r="AC265" s="1077"/>
      <c r="AD265" s="1077"/>
      <c r="AE265" s="1077"/>
      <c r="AF265" s="1077"/>
      <c r="AG265" s="1077"/>
      <c r="AH265" s="1077"/>
      <c r="AI265" s="1077"/>
      <c r="AJ265" s="1077"/>
    </row>
    <row r="266" spans="2:36" ht="15.75" hidden="1">
      <c r="B266" s="886"/>
      <c r="C266" s="924" t="s">
        <v>2228</v>
      </c>
      <c r="D266" s="924"/>
      <c r="E266" s="46" t="s">
        <v>2825</v>
      </c>
      <c r="F266" s="2771"/>
      <c r="G266" s="2770"/>
      <c r="H266" s="954"/>
      <c r="I266" s="954"/>
      <c r="J266" s="954"/>
      <c r="K266" s="954"/>
      <c r="L266" s="954"/>
      <c r="M266" s="954"/>
      <c r="N266" s="954"/>
      <c r="O266" s="2770"/>
      <c r="P266" s="67"/>
      <c r="R266" s="1077"/>
      <c r="S266" s="1173"/>
      <c r="T266" s="1173"/>
      <c r="U266" s="1077"/>
      <c r="V266" s="1077"/>
      <c r="W266" s="1077"/>
      <c r="X266" s="1077"/>
      <c r="Y266" s="1077"/>
      <c r="Z266" s="1077"/>
      <c r="AA266" s="1077"/>
      <c r="AB266" s="1077"/>
      <c r="AC266" s="1077"/>
      <c r="AD266" s="1077"/>
      <c r="AE266" s="1077"/>
      <c r="AF266" s="1077"/>
      <c r="AG266" s="1077"/>
      <c r="AH266" s="1077"/>
      <c r="AI266" s="1077"/>
      <c r="AJ266" s="1077"/>
    </row>
    <row r="267" spans="2:36" ht="15.75" hidden="1">
      <c r="B267" s="886"/>
      <c r="C267" s="957" t="s">
        <v>2229</v>
      </c>
      <c r="D267" s="957"/>
      <c r="E267" s="181" t="s">
        <v>2825</v>
      </c>
      <c r="F267" s="2773"/>
      <c r="G267" s="2772"/>
      <c r="H267" s="959"/>
      <c r="I267" s="959"/>
      <c r="J267" s="959"/>
      <c r="K267" s="959"/>
      <c r="L267" s="959"/>
      <c r="M267" s="959"/>
      <c r="N267" s="959"/>
      <c r="O267" s="2772"/>
      <c r="P267" s="67"/>
      <c r="R267" s="1077"/>
      <c r="S267" s="1173"/>
      <c r="T267" s="1173"/>
      <c r="U267" s="1077"/>
      <c r="V267" s="1077"/>
      <c r="W267" s="1077"/>
      <c r="X267" s="1077"/>
      <c r="Y267" s="1077"/>
      <c r="Z267" s="1077"/>
      <c r="AA267" s="1077"/>
      <c r="AB267" s="1077"/>
      <c r="AC267" s="1077"/>
      <c r="AD267" s="1077"/>
      <c r="AE267" s="1077"/>
      <c r="AF267" s="1077"/>
      <c r="AG267" s="1077"/>
      <c r="AH267" s="1077"/>
      <c r="AI267" s="1077"/>
      <c r="AJ267" s="1077"/>
    </row>
    <row r="268" spans="2:36" ht="15.75" hidden="1">
      <c r="B268" s="886"/>
      <c r="C268" s="1079" t="s">
        <v>2215</v>
      </c>
      <c r="D268" s="1079"/>
      <c r="E268" s="265" t="s">
        <v>2826</v>
      </c>
      <c r="F268" s="2771"/>
      <c r="G268" s="953"/>
      <c r="H268" s="954"/>
      <c r="I268" s="954"/>
      <c r="J268" s="954"/>
      <c r="K268" s="954"/>
      <c r="L268" s="954"/>
      <c r="M268" s="954"/>
      <c r="N268" s="954"/>
      <c r="O268" s="953"/>
      <c r="P268" s="67"/>
      <c r="R268" s="1077"/>
      <c r="S268" s="1077"/>
      <c r="T268" s="1077"/>
      <c r="U268" s="1077"/>
      <c r="V268" s="1077"/>
      <c r="W268" s="1077"/>
      <c r="X268" s="1077"/>
      <c r="Y268" s="1077"/>
      <c r="Z268" s="1077"/>
      <c r="AA268" s="1077"/>
      <c r="AB268" s="1077"/>
      <c r="AC268" s="1077"/>
      <c r="AD268" s="1077"/>
      <c r="AE268" s="1077"/>
      <c r="AF268" s="1077"/>
      <c r="AG268" s="1077"/>
      <c r="AH268" s="1077"/>
      <c r="AI268" s="1077"/>
      <c r="AJ268" s="1077"/>
    </row>
    <row r="269" spans="2:36" ht="15.75" hidden="1">
      <c r="B269" s="886"/>
      <c r="C269" s="924" t="s">
        <v>2219</v>
      </c>
      <c r="D269" s="108"/>
      <c r="E269" s="46" t="s">
        <v>2826</v>
      </c>
      <c r="F269" s="2771"/>
      <c r="G269" s="953"/>
      <c r="H269" s="954"/>
      <c r="I269" s="954"/>
      <c r="J269" s="954"/>
      <c r="K269" s="954"/>
      <c r="L269" s="954"/>
      <c r="M269" s="954"/>
      <c r="N269" s="954"/>
      <c r="O269" s="953"/>
      <c r="P269" s="67"/>
      <c r="R269" s="1077"/>
      <c r="S269" s="1077"/>
      <c r="T269" s="1077"/>
      <c r="U269" s="1077"/>
      <c r="V269" s="1077"/>
      <c r="W269" s="1077"/>
      <c r="X269" s="1077"/>
      <c r="Y269" s="1077"/>
      <c r="Z269" s="1077"/>
      <c r="AA269" s="1077"/>
      <c r="AB269" s="1077"/>
      <c r="AC269" s="1077"/>
      <c r="AD269" s="1077"/>
      <c r="AE269" s="1077"/>
      <c r="AF269" s="1077"/>
      <c r="AG269" s="1077"/>
      <c r="AH269" s="1077"/>
      <c r="AI269" s="1077"/>
      <c r="AJ269" s="1077"/>
    </row>
    <row r="270" spans="2:36" ht="15.75" hidden="1" customHeight="1">
      <c r="B270" s="886"/>
      <c r="C270" s="957" t="s">
        <v>2220</v>
      </c>
      <c r="D270" s="199"/>
      <c r="E270" s="181" t="s">
        <v>2826</v>
      </c>
      <c r="F270" s="2771"/>
      <c r="G270" s="953"/>
      <c r="H270" s="959"/>
      <c r="I270" s="959"/>
      <c r="J270" s="959"/>
      <c r="K270" s="959"/>
      <c r="L270" s="959"/>
      <c r="M270" s="959"/>
      <c r="N270" s="959"/>
      <c r="O270" s="958"/>
      <c r="P270" s="67"/>
      <c r="R270" s="1077"/>
      <c r="S270" s="1077"/>
      <c r="T270" s="1077"/>
      <c r="U270" s="1077"/>
      <c r="V270" s="1077"/>
      <c r="W270" s="1077"/>
      <c r="X270" s="1077"/>
      <c r="Y270" s="1077"/>
      <c r="Z270" s="1077"/>
      <c r="AA270" s="1077"/>
      <c r="AB270" s="1077"/>
      <c r="AC270" s="1077"/>
      <c r="AD270" s="1077"/>
      <c r="AE270" s="1077"/>
      <c r="AF270" s="1077"/>
      <c r="AG270" s="1077"/>
      <c r="AH270" s="1077"/>
      <c r="AI270" s="1077"/>
      <c r="AJ270" s="1077"/>
    </row>
    <row r="271" spans="2:36" ht="15.75" hidden="1">
      <c r="B271" s="886"/>
      <c r="C271" s="962" t="s">
        <v>2222</v>
      </c>
      <c r="D271" s="1200"/>
      <c r="E271" s="250" t="s">
        <v>2827</v>
      </c>
      <c r="F271" s="2857"/>
      <c r="G271" s="2858"/>
      <c r="H271" s="2859"/>
      <c r="I271" s="2859"/>
      <c r="J271" s="2859"/>
      <c r="K271" s="2859"/>
      <c r="L271" s="2859"/>
      <c r="M271" s="2859"/>
      <c r="N271" s="2859"/>
      <c r="O271" s="2858"/>
      <c r="P271" s="67"/>
      <c r="R271" s="1077"/>
      <c r="S271" s="1077"/>
      <c r="T271" s="1077"/>
      <c r="U271" s="1077"/>
      <c r="V271" s="1077"/>
      <c r="W271" s="1077"/>
      <c r="X271" s="1077"/>
      <c r="Y271" s="1077"/>
      <c r="Z271" s="1077"/>
      <c r="AA271" s="1077"/>
      <c r="AB271" s="1077"/>
      <c r="AC271" s="1077"/>
      <c r="AD271" s="1077"/>
      <c r="AE271" s="1077"/>
      <c r="AF271" s="1077"/>
      <c r="AG271" s="1077"/>
      <c r="AH271" s="1077"/>
      <c r="AI271" s="1077"/>
      <c r="AJ271" s="1077"/>
    </row>
    <row r="272" spans="2:36" ht="15.75" hidden="1">
      <c r="B272" s="886"/>
      <c r="C272" s="109"/>
      <c r="D272" s="108"/>
      <c r="E272" s="67"/>
      <c r="F272" s="108"/>
      <c r="G272" s="953"/>
      <c r="H272" s="2596"/>
      <c r="I272" s="954"/>
      <c r="J272" s="954"/>
      <c r="K272" s="954"/>
      <c r="L272" s="954"/>
      <c r="M272" s="954"/>
      <c r="N272" s="954"/>
      <c r="O272" s="954"/>
      <c r="P272" s="67"/>
      <c r="R272" s="1077"/>
      <c r="S272" s="1077"/>
      <c r="T272" s="1077"/>
      <c r="U272" s="1077"/>
      <c r="V272" s="1077"/>
      <c r="W272" s="1077"/>
      <c r="X272" s="1077"/>
      <c r="Y272" s="1077"/>
      <c r="Z272" s="1077"/>
      <c r="AA272" s="1077"/>
      <c r="AB272" s="1077"/>
      <c r="AC272" s="1077"/>
      <c r="AD272" s="1077"/>
      <c r="AE272" s="1077"/>
      <c r="AF272" s="1077"/>
      <c r="AG272" s="1077"/>
      <c r="AH272" s="1077"/>
      <c r="AI272" s="1077"/>
      <c r="AJ272" s="1077"/>
    </row>
    <row r="273" spans="2:36" ht="15.75" hidden="1">
      <c r="B273" s="886"/>
      <c r="C273" s="49" t="s">
        <v>2232</v>
      </c>
      <c r="D273" s="200"/>
      <c r="E273" s="67"/>
      <c r="F273" s="67"/>
      <c r="G273" s="2808"/>
      <c r="H273" s="2808"/>
      <c r="I273" s="2808"/>
      <c r="J273" s="2808"/>
      <c r="K273" s="49"/>
      <c r="L273" s="67"/>
      <c r="M273" s="67"/>
      <c r="N273" s="67"/>
      <c r="O273" s="67"/>
      <c r="P273" s="67"/>
      <c r="R273" s="1706"/>
      <c r="S273" s="1077"/>
      <c r="T273" s="1077"/>
      <c r="U273" s="1077"/>
      <c r="V273" s="1077"/>
      <c r="W273" s="1077"/>
      <c r="X273" s="1077"/>
      <c r="Y273" s="1077"/>
      <c r="Z273" s="1077"/>
      <c r="AA273" s="1077"/>
      <c r="AB273" s="1077"/>
      <c r="AC273" s="1077"/>
      <c r="AD273" s="1077"/>
      <c r="AE273" s="1077"/>
      <c r="AF273" s="1077"/>
      <c r="AG273" s="1077"/>
      <c r="AH273" s="1077"/>
      <c r="AI273" s="1077"/>
      <c r="AJ273" s="1077"/>
    </row>
    <row r="274" spans="2:36" ht="3.75" hidden="1" customHeight="1">
      <c r="B274" s="886"/>
      <c r="C274" s="67"/>
      <c r="D274" s="200"/>
      <c r="E274" s="47"/>
      <c r="F274" s="67"/>
      <c r="G274" s="67"/>
      <c r="H274" s="67"/>
      <c r="I274" s="67"/>
      <c r="J274" s="67"/>
      <c r="K274" s="67"/>
      <c r="L274" s="67"/>
      <c r="M274" s="67"/>
      <c r="N274" s="67"/>
      <c r="O274" s="67"/>
      <c r="P274" s="67"/>
      <c r="R274" s="1706"/>
      <c r="S274" s="1077"/>
      <c r="T274" s="1077"/>
      <c r="U274" s="1077"/>
      <c r="V274" s="1077"/>
      <c r="W274" s="1077"/>
      <c r="X274" s="1077"/>
      <c r="Y274" s="1077"/>
      <c r="Z274" s="1077"/>
      <c r="AA274" s="1077"/>
      <c r="AB274" s="1077"/>
      <c r="AC274" s="1077"/>
      <c r="AD274" s="1077"/>
      <c r="AE274" s="1077"/>
      <c r="AF274" s="1077"/>
      <c r="AG274" s="1077"/>
      <c r="AH274" s="1077"/>
      <c r="AI274" s="1077"/>
      <c r="AJ274" s="1077"/>
    </row>
    <row r="275" spans="2:36" ht="15.75" hidden="1">
      <c r="B275" s="886"/>
      <c r="C275" s="1548" t="s">
        <v>72</v>
      </c>
      <c r="D275" s="1548"/>
      <c r="E275" s="973" t="s">
        <v>1491</v>
      </c>
      <c r="F275" s="980" t="s">
        <v>160</v>
      </c>
      <c r="G275" s="974">
        <v>2013</v>
      </c>
      <c r="H275" s="974">
        <v>2015</v>
      </c>
      <c r="I275" s="974">
        <v>2020</v>
      </c>
      <c r="J275" s="974">
        <v>2025</v>
      </c>
      <c r="K275" s="974">
        <v>2030</v>
      </c>
      <c r="L275" s="974">
        <v>2035</v>
      </c>
      <c r="M275" s="974">
        <v>2040</v>
      </c>
      <c r="N275" s="974">
        <v>2045</v>
      </c>
      <c r="O275" s="974">
        <v>2050</v>
      </c>
      <c r="P275" s="67"/>
      <c r="R275" s="1077"/>
      <c r="S275" s="1077"/>
      <c r="T275" s="1077"/>
      <c r="U275" s="1077"/>
      <c r="V275" s="1077"/>
      <c r="W275" s="1077"/>
      <c r="X275" s="1077"/>
      <c r="Y275" s="1077"/>
      <c r="Z275" s="1077"/>
      <c r="AA275" s="1077"/>
      <c r="AB275" s="1077"/>
      <c r="AC275" s="1077"/>
      <c r="AD275" s="1077"/>
      <c r="AE275" s="1077"/>
      <c r="AF275" s="1077"/>
      <c r="AG275" s="1077"/>
      <c r="AH275" s="1077"/>
      <c r="AI275" s="1077"/>
      <c r="AJ275" s="1077"/>
    </row>
    <row r="276" spans="2:36" ht="15.75" hidden="1">
      <c r="B276" s="886"/>
      <c r="C276" s="1079" t="s">
        <v>2226</v>
      </c>
      <c r="D276" s="1079"/>
      <c r="E276" s="265" t="s">
        <v>2825</v>
      </c>
      <c r="F276" s="2769"/>
      <c r="G276" s="2768"/>
      <c r="H276" s="1080"/>
      <c r="I276" s="1080"/>
      <c r="J276" s="1080"/>
      <c r="K276" s="1080"/>
      <c r="L276" s="1080"/>
      <c r="M276" s="1080"/>
      <c r="N276" s="1080"/>
      <c r="O276" s="2768"/>
      <c r="P276" s="67"/>
      <c r="R276" s="1077"/>
      <c r="S276" s="1077"/>
      <c r="T276" s="1077"/>
      <c r="U276" s="1077"/>
      <c r="V276" s="1077"/>
      <c r="W276" s="1077"/>
      <c r="X276" s="1077"/>
      <c r="Y276" s="1077"/>
      <c r="Z276" s="1077"/>
      <c r="AA276" s="1077"/>
      <c r="AB276" s="1077"/>
      <c r="AC276" s="1077"/>
      <c r="AD276" s="1077"/>
      <c r="AE276" s="1077"/>
      <c r="AF276" s="1077"/>
      <c r="AG276" s="1077"/>
      <c r="AH276" s="1077"/>
      <c r="AI276" s="1077"/>
      <c r="AJ276" s="1077"/>
    </row>
    <row r="277" spans="2:36" ht="15.75" hidden="1" customHeight="1">
      <c r="B277" s="886"/>
      <c r="C277" s="924" t="s">
        <v>2227</v>
      </c>
      <c r="D277" s="924"/>
      <c r="E277" s="46" t="s">
        <v>2825</v>
      </c>
      <c r="F277" s="2771"/>
      <c r="G277" s="2770"/>
      <c r="H277" s="954"/>
      <c r="I277" s="954"/>
      <c r="J277" s="954"/>
      <c r="K277" s="954"/>
      <c r="L277" s="954"/>
      <c r="M277" s="954"/>
      <c r="N277" s="954"/>
      <c r="O277" s="2770"/>
      <c r="P277" s="67"/>
      <c r="R277" s="1706"/>
      <c r="S277" s="1077"/>
      <c r="T277" s="1077"/>
      <c r="U277" s="1077"/>
      <c r="V277" s="1077"/>
      <c r="W277" s="1077"/>
      <c r="X277" s="1077"/>
      <c r="Y277" s="1077"/>
      <c r="Z277" s="1077"/>
      <c r="AA277" s="1077"/>
      <c r="AB277" s="1077"/>
      <c r="AC277" s="1077"/>
      <c r="AD277" s="1077"/>
      <c r="AE277" s="1077"/>
      <c r="AF277" s="1077"/>
      <c r="AG277" s="1077"/>
      <c r="AH277" s="1077"/>
      <c r="AI277" s="1077"/>
      <c r="AJ277" s="1077"/>
    </row>
    <row r="278" spans="2:36" ht="16.5" hidden="1" customHeight="1">
      <c r="B278" s="886"/>
      <c r="C278" s="924" t="s">
        <v>2228</v>
      </c>
      <c r="D278" s="924"/>
      <c r="E278" s="46" t="s">
        <v>2825</v>
      </c>
      <c r="F278" s="2771"/>
      <c r="G278" s="2770"/>
      <c r="H278" s="954"/>
      <c r="I278" s="954"/>
      <c r="J278" s="954"/>
      <c r="K278" s="954"/>
      <c r="L278" s="954"/>
      <c r="M278" s="954"/>
      <c r="N278" s="954"/>
      <c r="O278" s="2770"/>
      <c r="P278" s="47"/>
      <c r="R278" s="1706"/>
      <c r="S278" s="1077"/>
      <c r="T278" s="1077"/>
      <c r="U278" s="1077"/>
      <c r="V278" s="1077"/>
      <c r="W278" s="1077"/>
      <c r="X278" s="1077"/>
      <c r="Y278" s="1077"/>
      <c r="Z278" s="1077"/>
      <c r="AA278" s="1077"/>
      <c r="AB278" s="1077"/>
      <c r="AC278" s="1077"/>
      <c r="AD278" s="1077"/>
      <c r="AE278" s="1077"/>
      <c r="AF278" s="1077"/>
      <c r="AG278" s="1077"/>
      <c r="AH278" s="1077"/>
      <c r="AI278" s="1077"/>
      <c r="AJ278" s="1077"/>
    </row>
    <row r="279" spans="2:36" ht="15.75" hidden="1" customHeight="1">
      <c r="B279" s="886"/>
      <c r="C279" s="957" t="s">
        <v>2229</v>
      </c>
      <c r="D279" s="957"/>
      <c r="E279" s="181" t="s">
        <v>2825</v>
      </c>
      <c r="F279" s="2773"/>
      <c r="G279" s="2772"/>
      <c r="H279" s="959"/>
      <c r="I279" s="959"/>
      <c r="J279" s="959"/>
      <c r="K279" s="959"/>
      <c r="L279" s="959"/>
      <c r="M279" s="959"/>
      <c r="N279" s="959"/>
      <c r="O279" s="2772"/>
      <c r="P279" s="47"/>
      <c r="R279" s="1077"/>
      <c r="S279" s="1077"/>
      <c r="T279" s="1077"/>
      <c r="U279" s="1077"/>
      <c r="V279" s="1077"/>
      <c r="W279" s="1077"/>
      <c r="X279" s="1077"/>
      <c r="Y279" s="1077"/>
      <c r="Z279" s="1077"/>
      <c r="AA279" s="1077"/>
      <c r="AB279" s="1077"/>
      <c r="AC279" s="1077"/>
      <c r="AD279" s="1077"/>
      <c r="AE279" s="1077"/>
    </row>
    <row r="280" spans="2:36" ht="15.75" hidden="1" customHeight="1">
      <c r="B280" s="886"/>
      <c r="C280" s="924" t="s">
        <v>2215</v>
      </c>
      <c r="D280" s="924"/>
      <c r="E280" s="46" t="s">
        <v>2826</v>
      </c>
      <c r="F280" s="2771"/>
      <c r="G280" s="953"/>
      <c r="H280" s="954"/>
      <c r="I280" s="954"/>
      <c r="J280" s="954"/>
      <c r="K280" s="954"/>
      <c r="L280" s="954"/>
      <c r="M280" s="954"/>
      <c r="N280" s="954"/>
      <c r="O280" s="953"/>
      <c r="P280" s="47"/>
      <c r="R280" s="1077"/>
      <c r="S280" s="1077"/>
      <c r="T280" s="1077"/>
      <c r="U280" s="1077"/>
      <c r="V280" s="1077"/>
      <c r="W280" s="1077"/>
      <c r="X280" s="1077"/>
      <c r="Y280" s="1077"/>
      <c r="Z280" s="1077"/>
      <c r="AA280" s="1077"/>
      <c r="AB280" s="1077"/>
      <c r="AC280" s="1077"/>
      <c r="AD280" s="1077"/>
      <c r="AE280" s="1077"/>
    </row>
    <row r="281" spans="2:36" hidden="1">
      <c r="B281" s="110"/>
      <c r="C281" s="924" t="s">
        <v>2219</v>
      </c>
      <c r="D281" s="108"/>
      <c r="E281" s="46" t="s">
        <v>2826</v>
      </c>
      <c r="F281" s="2771"/>
      <c r="G281" s="953"/>
      <c r="H281" s="954"/>
      <c r="I281" s="954"/>
      <c r="J281" s="954"/>
      <c r="K281" s="954"/>
      <c r="L281" s="954"/>
      <c r="M281" s="954"/>
      <c r="N281" s="954"/>
      <c r="O281" s="953"/>
      <c r="P281" s="47"/>
      <c r="R281" s="1706"/>
      <c r="S281" s="1077"/>
      <c r="T281" s="1077"/>
      <c r="U281" s="1077"/>
      <c r="V281" s="1077"/>
      <c r="W281" s="1077"/>
      <c r="X281" s="1077"/>
      <c r="Y281" s="1077"/>
      <c r="Z281" s="1077"/>
      <c r="AA281" s="1077"/>
      <c r="AB281" s="1077"/>
      <c r="AC281" s="1077"/>
      <c r="AD281" s="1077"/>
      <c r="AE281" s="1077"/>
    </row>
    <row r="282" spans="2:36" hidden="1">
      <c r="B282" s="110"/>
      <c r="C282" s="924" t="s">
        <v>2220</v>
      </c>
      <c r="D282" s="108"/>
      <c r="E282" s="46" t="s">
        <v>2826</v>
      </c>
      <c r="F282" s="2771"/>
      <c r="G282" s="953"/>
      <c r="H282" s="959"/>
      <c r="I282" s="959"/>
      <c r="J282" s="959"/>
      <c r="K282" s="959"/>
      <c r="L282" s="959"/>
      <c r="M282" s="959"/>
      <c r="N282" s="959"/>
      <c r="O282" s="958"/>
      <c r="P282" s="47"/>
      <c r="R282" s="1706"/>
      <c r="S282" s="1077"/>
      <c r="T282" s="1077"/>
      <c r="U282" s="1077"/>
      <c r="V282" s="1077"/>
      <c r="W282" s="1077"/>
      <c r="X282" s="1077"/>
      <c r="Y282" s="1077"/>
      <c r="Z282" s="1077"/>
      <c r="AA282" s="1077"/>
      <c r="AB282" s="1077"/>
      <c r="AC282" s="1077"/>
      <c r="AD282" s="1077"/>
      <c r="AE282" s="1077"/>
    </row>
    <row r="283" spans="2:36" hidden="1">
      <c r="B283" s="110"/>
      <c r="C283" s="962" t="s">
        <v>2222</v>
      </c>
      <c r="D283" s="1200"/>
      <c r="E283" s="250" t="s">
        <v>2827</v>
      </c>
      <c r="F283" s="2857"/>
      <c r="G283" s="2858"/>
      <c r="H283" s="2859"/>
      <c r="I283" s="2859"/>
      <c r="J283" s="2859"/>
      <c r="K283" s="2859"/>
      <c r="L283" s="2859"/>
      <c r="M283" s="2859"/>
      <c r="N283" s="2859"/>
      <c r="O283" s="2858"/>
      <c r="P283" s="47"/>
      <c r="R283" s="1077"/>
      <c r="S283" s="1077"/>
      <c r="T283" s="1077"/>
      <c r="U283" s="1077"/>
      <c r="V283" s="1077"/>
      <c r="W283" s="1077"/>
      <c r="X283" s="1077"/>
      <c r="Y283" s="1077"/>
      <c r="Z283" s="1077"/>
      <c r="AA283" s="1077"/>
      <c r="AB283" s="1077"/>
      <c r="AC283" s="1077"/>
      <c r="AD283" s="1077"/>
      <c r="AE283" s="1077"/>
    </row>
    <row r="284" spans="2:36" hidden="1">
      <c r="B284" s="110"/>
      <c r="C284" s="109"/>
      <c r="D284" s="108"/>
      <c r="E284" s="47"/>
      <c r="F284" s="108"/>
      <c r="G284" s="953"/>
      <c r="H284" s="2709"/>
      <c r="I284" s="954"/>
      <c r="J284" s="954"/>
      <c r="K284" s="954"/>
      <c r="L284" s="954"/>
      <c r="M284" s="954"/>
      <c r="N284" s="954"/>
      <c r="O284" s="954"/>
      <c r="P284" s="47"/>
      <c r="R284" s="1077"/>
      <c r="S284" s="207"/>
      <c r="T284" s="1432"/>
      <c r="U284" s="4157"/>
      <c r="V284" s="4157"/>
      <c r="W284" s="4157"/>
      <c r="X284" s="4157"/>
      <c r="Y284" s="1077"/>
      <c r="Z284" s="207"/>
      <c r="AA284" s="1077"/>
      <c r="AB284" s="1077"/>
      <c r="AC284" s="1077"/>
      <c r="AD284" s="1077"/>
      <c r="AE284" s="1077"/>
    </row>
    <row r="285" spans="2:36" hidden="1">
      <c r="B285" s="110"/>
      <c r="C285" s="49" t="s">
        <v>2233</v>
      </c>
      <c r="D285" s="200"/>
      <c r="E285" s="47"/>
      <c r="F285" s="67"/>
      <c r="G285" s="2808"/>
      <c r="H285" s="2808"/>
      <c r="I285" s="2808"/>
      <c r="J285" s="2808"/>
      <c r="K285" s="49"/>
      <c r="L285" s="67"/>
      <c r="M285" s="67"/>
      <c r="N285" s="67"/>
      <c r="O285" s="67"/>
      <c r="P285" s="47"/>
      <c r="R285" s="1077"/>
      <c r="S285" s="207"/>
      <c r="T285" s="1432"/>
      <c r="U285" s="1077"/>
      <c r="V285" s="1077"/>
      <c r="W285" s="207"/>
      <c r="X285" s="207"/>
      <c r="Y285" s="1077"/>
      <c r="Z285" s="1077"/>
      <c r="AA285" s="1077"/>
      <c r="AB285" s="1077"/>
      <c r="AC285" s="1077"/>
      <c r="AD285" s="1077"/>
      <c r="AE285" s="1077"/>
    </row>
    <row r="286" spans="2:36" hidden="1">
      <c r="B286" s="110"/>
      <c r="C286" s="67"/>
      <c r="D286" s="200"/>
      <c r="E286" s="47"/>
      <c r="F286" s="67"/>
      <c r="G286" s="67"/>
      <c r="H286" s="67"/>
      <c r="I286" s="67"/>
      <c r="J286" s="67"/>
      <c r="K286" s="67"/>
      <c r="L286" s="67"/>
      <c r="M286" s="67"/>
      <c r="N286" s="67"/>
      <c r="O286" s="67"/>
      <c r="P286" s="47"/>
      <c r="R286" s="1077"/>
      <c r="S286" s="2572"/>
      <c r="T286" s="2572"/>
      <c r="U286" s="2856"/>
      <c r="V286" s="2856"/>
      <c r="W286" s="2856"/>
      <c r="X286" s="2856"/>
      <c r="Y286" s="1077"/>
      <c r="Z286" s="1077"/>
      <c r="AA286" s="1077"/>
      <c r="AB286" s="1077"/>
      <c r="AC286" s="1077"/>
      <c r="AD286" s="1077"/>
      <c r="AE286" s="1077"/>
    </row>
    <row r="287" spans="2:36" hidden="1">
      <c r="B287" s="904"/>
      <c r="C287" s="1548" t="s">
        <v>72</v>
      </c>
      <c r="D287" s="1548"/>
      <c r="E287" s="973" t="s">
        <v>1491</v>
      </c>
      <c r="F287" s="980" t="s">
        <v>160</v>
      </c>
      <c r="G287" s="974">
        <v>2013</v>
      </c>
      <c r="H287" s="974">
        <v>2015</v>
      </c>
      <c r="I287" s="974">
        <v>2020</v>
      </c>
      <c r="J287" s="974">
        <v>2025</v>
      </c>
      <c r="K287" s="974">
        <v>2030</v>
      </c>
      <c r="L287" s="974">
        <v>2035</v>
      </c>
      <c r="M287" s="974">
        <v>2040</v>
      </c>
      <c r="N287" s="974">
        <v>2045</v>
      </c>
      <c r="O287" s="974">
        <v>2050</v>
      </c>
      <c r="P287" s="47"/>
      <c r="R287" s="1077"/>
      <c r="S287" s="521"/>
      <c r="T287" s="521"/>
      <c r="U287" s="2608"/>
      <c r="V287" s="2608"/>
      <c r="W287" s="2608"/>
      <c r="X287" s="2608"/>
      <c r="Y287" s="207"/>
      <c r="Z287" s="207"/>
      <c r="AA287" s="207"/>
      <c r="AB287" s="1077"/>
      <c r="AC287" s="1077"/>
      <c r="AD287" s="1077"/>
      <c r="AE287" s="1077"/>
    </row>
    <row r="288" spans="2:36" hidden="1">
      <c r="B288" s="904"/>
      <c r="C288" s="1079" t="s">
        <v>2226</v>
      </c>
      <c r="D288" s="1079"/>
      <c r="E288" s="265" t="s">
        <v>2825</v>
      </c>
      <c r="F288" s="2769"/>
      <c r="G288" s="2768"/>
      <c r="H288" s="1080"/>
      <c r="I288" s="1080"/>
      <c r="J288" s="1080"/>
      <c r="K288" s="1080"/>
      <c r="L288" s="1080"/>
      <c r="M288" s="1080"/>
      <c r="N288" s="1080"/>
      <c r="O288" s="2768"/>
      <c r="P288" s="47"/>
      <c r="R288" s="4158"/>
      <c r="S288" s="2867"/>
      <c r="T288" s="521"/>
      <c r="U288" s="2608"/>
      <c r="V288" s="2608"/>
      <c r="W288" s="2608"/>
      <c r="X288" s="2608"/>
      <c r="Y288" s="207"/>
      <c r="Z288" s="207"/>
      <c r="AA288" s="207"/>
      <c r="AB288" s="1077"/>
      <c r="AC288" s="1077"/>
      <c r="AD288" s="1077"/>
      <c r="AE288" s="1077"/>
    </row>
    <row r="289" spans="2:31" ht="15.75" hidden="1">
      <c r="B289" s="886"/>
      <c r="C289" s="924" t="s">
        <v>2227</v>
      </c>
      <c r="D289" s="924"/>
      <c r="E289" s="46" t="s">
        <v>2825</v>
      </c>
      <c r="F289" s="2771"/>
      <c r="G289" s="2770"/>
      <c r="H289" s="954"/>
      <c r="I289" s="954"/>
      <c r="J289" s="954"/>
      <c r="K289" s="954"/>
      <c r="L289" s="954"/>
      <c r="M289" s="954"/>
      <c r="N289" s="954"/>
      <c r="O289" s="2770"/>
      <c r="P289" s="47"/>
      <c r="R289" s="4158"/>
      <c r="S289" s="2867"/>
      <c r="T289" s="521"/>
      <c r="U289" s="2608"/>
      <c r="V289" s="2608"/>
      <c r="W289" s="2608"/>
      <c r="X289" s="2608"/>
      <c r="Y289" s="207"/>
      <c r="Z289" s="207"/>
      <c r="AA289" s="207"/>
      <c r="AB289" s="1077"/>
      <c r="AC289" s="1077"/>
      <c r="AD289" s="1077"/>
      <c r="AE289" s="1077"/>
    </row>
    <row r="290" spans="2:31" ht="15.75" hidden="1">
      <c r="B290" s="886"/>
      <c r="C290" s="924" t="s">
        <v>2228</v>
      </c>
      <c r="D290" s="924"/>
      <c r="E290" s="46" t="s">
        <v>2825</v>
      </c>
      <c r="F290" s="2771"/>
      <c r="G290" s="2770"/>
      <c r="H290" s="954"/>
      <c r="I290" s="954"/>
      <c r="J290" s="954"/>
      <c r="K290" s="954"/>
      <c r="L290" s="954"/>
      <c r="M290" s="954"/>
      <c r="N290" s="954"/>
      <c r="O290" s="2770"/>
      <c r="P290" s="47"/>
      <c r="R290" s="4158"/>
      <c r="S290" s="2867"/>
      <c r="T290" s="521"/>
      <c r="U290" s="2608"/>
      <c r="V290" s="2608"/>
      <c r="W290" s="2608"/>
      <c r="X290" s="2608"/>
      <c r="Y290" s="207"/>
      <c r="Z290" s="207"/>
      <c r="AA290" s="207"/>
      <c r="AB290" s="1077"/>
      <c r="AC290" s="1077"/>
      <c r="AD290" s="1077"/>
      <c r="AE290" s="1077"/>
    </row>
    <row r="291" spans="2:31" ht="15.75" hidden="1">
      <c r="B291" s="886"/>
      <c r="C291" s="957" t="s">
        <v>2229</v>
      </c>
      <c r="D291" s="957"/>
      <c r="E291" s="181" t="s">
        <v>2825</v>
      </c>
      <c r="F291" s="2773"/>
      <c r="G291" s="2772"/>
      <c r="H291" s="959"/>
      <c r="I291" s="959"/>
      <c r="J291" s="959"/>
      <c r="K291" s="959"/>
      <c r="L291" s="959"/>
      <c r="M291" s="959"/>
      <c r="N291" s="959"/>
      <c r="O291" s="2772"/>
      <c r="P291" s="47"/>
      <c r="R291" s="4158"/>
      <c r="S291" s="2867"/>
      <c r="T291" s="1432"/>
      <c r="U291" s="1077"/>
      <c r="V291" s="2809"/>
      <c r="W291" s="2809"/>
      <c r="X291" s="2809"/>
      <c r="Y291" s="2809"/>
      <c r="Z291" s="2809"/>
      <c r="AA291" s="207"/>
      <c r="AB291" s="1077"/>
      <c r="AC291" s="1077"/>
      <c r="AD291" s="1077"/>
      <c r="AE291" s="1077"/>
    </row>
    <row r="292" spans="2:31" ht="15.75" hidden="1">
      <c r="B292" s="886"/>
      <c r="C292" s="924" t="s">
        <v>2215</v>
      </c>
      <c r="D292" s="924"/>
      <c r="E292" s="46" t="s">
        <v>2826</v>
      </c>
      <c r="F292" s="2771"/>
      <c r="G292" s="953"/>
      <c r="H292" s="954"/>
      <c r="I292" s="954"/>
      <c r="J292" s="954"/>
      <c r="K292" s="954"/>
      <c r="L292" s="954"/>
      <c r="M292" s="954"/>
      <c r="N292" s="954"/>
      <c r="O292" s="953"/>
      <c r="P292" s="47"/>
      <c r="R292" s="4158"/>
      <c r="S292" s="2867"/>
      <c r="T292" s="1432"/>
      <c r="U292" s="2809"/>
      <c r="V292" s="2809"/>
      <c r="W292" s="2809"/>
      <c r="X292" s="2809"/>
      <c r="Y292" s="2809"/>
      <c r="Z292" s="2809"/>
      <c r="AA292" s="207"/>
      <c r="AB292" s="1077"/>
      <c r="AC292" s="1077"/>
      <c r="AD292" s="1077"/>
      <c r="AE292" s="1077"/>
    </row>
    <row r="293" spans="2:31" ht="15.75" hidden="1">
      <c r="B293" s="886"/>
      <c r="C293" s="924" t="s">
        <v>2219</v>
      </c>
      <c r="D293" s="108"/>
      <c r="E293" s="46" t="s">
        <v>2826</v>
      </c>
      <c r="F293" s="2771"/>
      <c r="G293" s="953"/>
      <c r="H293" s="954"/>
      <c r="I293" s="954"/>
      <c r="J293" s="954"/>
      <c r="K293" s="954"/>
      <c r="L293" s="954"/>
      <c r="M293" s="954"/>
      <c r="N293" s="954"/>
      <c r="O293" s="953"/>
      <c r="P293" s="47"/>
      <c r="R293" s="4158"/>
      <c r="S293" s="2867"/>
      <c r="T293" s="1432"/>
      <c r="U293" s="1077"/>
      <c r="V293" s="1077"/>
      <c r="W293" s="1077"/>
      <c r="X293" s="1077"/>
      <c r="Y293" s="1077"/>
      <c r="Z293" s="1077"/>
      <c r="AA293" s="1077"/>
      <c r="AB293" s="1077"/>
      <c r="AC293" s="1077"/>
      <c r="AD293" s="1077"/>
      <c r="AE293" s="1077"/>
    </row>
    <row r="294" spans="2:31" ht="15.75" hidden="1">
      <c r="B294" s="886"/>
      <c r="C294" s="924" t="s">
        <v>2220</v>
      </c>
      <c r="D294" s="108"/>
      <c r="E294" s="46" t="s">
        <v>2826</v>
      </c>
      <c r="F294" s="2771"/>
      <c r="G294" s="953"/>
      <c r="H294" s="959"/>
      <c r="I294" s="959"/>
      <c r="J294" s="959"/>
      <c r="K294" s="959"/>
      <c r="L294" s="959"/>
      <c r="M294" s="959"/>
      <c r="N294" s="959"/>
      <c r="O294" s="958"/>
      <c r="P294" s="47"/>
      <c r="R294" s="4158"/>
      <c r="S294" s="2867"/>
      <c r="T294" s="2572"/>
      <c r="U294" s="2856"/>
      <c r="V294" s="2856"/>
      <c r="W294" s="2856"/>
      <c r="X294" s="2856"/>
      <c r="Y294" s="2856"/>
      <c r="Z294" s="2856"/>
      <c r="AA294" s="2856"/>
      <c r="AB294" s="2856"/>
      <c r="AC294" s="1077"/>
      <c r="AD294" s="1077"/>
      <c r="AE294" s="1077"/>
    </row>
    <row r="295" spans="2:31" ht="15.75" hidden="1">
      <c r="B295" s="886"/>
      <c r="C295" s="962" t="s">
        <v>2222</v>
      </c>
      <c r="D295" s="1200"/>
      <c r="E295" s="250" t="s">
        <v>2827</v>
      </c>
      <c r="F295" s="2857"/>
      <c r="G295" s="2858"/>
      <c r="H295" s="2859"/>
      <c r="I295" s="2859"/>
      <c r="J295" s="2859"/>
      <c r="K295" s="2859"/>
      <c r="L295" s="2859"/>
      <c r="M295" s="2859"/>
      <c r="N295" s="2859"/>
      <c r="O295" s="2858"/>
      <c r="P295" s="47"/>
      <c r="R295" s="4158"/>
      <c r="S295" s="2867"/>
      <c r="T295" s="521"/>
      <c r="U295" s="2861"/>
      <c r="V295" s="2608"/>
      <c r="W295" s="2608"/>
      <c r="X295" s="2608"/>
      <c r="Y295" s="2608"/>
      <c r="Z295" s="2608"/>
      <c r="AA295" s="2809"/>
      <c r="AB295" s="2809"/>
      <c r="AC295" s="1077"/>
      <c r="AD295" s="1077"/>
      <c r="AE295" s="1077"/>
    </row>
    <row r="296" spans="2:31" ht="15.75" hidden="1">
      <c r="B296" s="886"/>
      <c r="C296" s="67"/>
      <c r="D296" s="67"/>
      <c r="E296" s="47"/>
      <c r="F296" s="67"/>
      <c r="G296" s="67"/>
      <c r="H296" s="67"/>
      <c r="I296" s="67"/>
      <c r="J296" s="67"/>
      <c r="K296" s="67"/>
      <c r="L296" s="67"/>
      <c r="M296" s="67"/>
      <c r="N296" s="67"/>
      <c r="O296" s="67"/>
      <c r="P296" s="47"/>
      <c r="R296" s="1077"/>
      <c r="S296" s="1077"/>
      <c r="T296" s="1077"/>
      <c r="U296" s="1077"/>
      <c r="V296" s="1077"/>
      <c r="W296" s="1077"/>
      <c r="X296" s="1077"/>
      <c r="Y296" s="1077"/>
      <c r="Z296" s="1077"/>
      <c r="AA296" s="1077"/>
      <c r="AB296" s="1077"/>
      <c r="AC296" s="1077"/>
      <c r="AD296" s="1077"/>
      <c r="AE296" s="1077"/>
    </row>
    <row r="297" spans="2:31" ht="15.75" hidden="1">
      <c r="B297" s="886"/>
      <c r="C297" s="49" t="s">
        <v>2234</v>
      </c>
      <c r="D297" s="200"/>
      <c r="E297" s="47"/>
      <c r="F297" s="67"/>
      <c r="G297" s="2808"/>
      <c r="H297" s="2808"/>
      <c r="I297" s="2808"/>
      <c r="J297" s="2808"/>
      <c r="K297" s="49"/>
      <c r="L297" s="67"/>
      <c r="M297" s="67"/>
      <c r="N297" s="67"/>
      <c r="O297" s="67"/>
      <c r="P297" s="47"/>
      <c r="R297" s="1077"/>
      <c r="S297" s="207"/>
      <c r="T297" s="1432"/>
      <c r="U297" s="2809"/>
      <c r="V297" s="2809"/>
      <c r="W297" s="2809"/>
      <c r="X297" s="2809"/>
      <c r="Y297" s="2809"/>
      <c r="Z297" s="2809"/>
      <c r="AA297" s="207"/>
      <c r="AB297" s="1077"/>
      <c r="AC297" s="1077"/>
      <c r="AD297" s="1077"/>
      <c r="AE297" s="1077"/>
    </row>
    <row r="298" spans="2:31" ht="15.75" hidden="1">
      <c r="B298" s="886"/>
      <c r="C298" s="67"/>
      <c r="D298" s="200"/>
      <c r="E298" s="47"/>
      <c r="F298" s="67"/>
      <c r="G298" s="67"/>
      <c r="H298" s="67"/>
      <c r="I298" s="67"/>
      <c r="J298" s="67"/>
      <c r="K298" s="67"/>
      <c r="L298" s="67"/>
      <c r="M298" s="67"/>
      <c r="N298" s="67"/>
      <c r="O298" s="67"/>
      <c r="P298" s="47"/>
      <c r="R298" s="1077"/>
      <c r="S298" s="207"/>
      <c r="T298" s="1432"/>
      <c r="U298" s="1077"/>
      <c r="V298" s="1077"/>
      <c r="W298" s="1077"/>
      <c r="X298" s="1077"/>
      <c r="Y298" s="1077"/>
      <c r="Z298" s="1077"/>
      <c r="AA298" s="1077"/>
      <c r="AB298" s="1077"/>
      <c r="AC298" s="1077"/>
      <c r="AD298" s="1077"/>
      <c r="AE298" s="1077"/>
    </row>
    <row r="299" spans="2:31" ht="15.75" hidden="1">
      <c r="B299" s="886"/>
      <c r="C299" s="1548" t="s">
        <v>72</v>
      </c>
      <c r="D299" s="1548"/>
      <c r="E299" s="973" t="s">
        <v>1491</v>
      </c>
      <c r="F299" s="980" t="s">
        <v>160</v>
      </c>
      <c r="G299" s="974">
        <v>2013</v>
      </c>
      <c r="H299" s="974">
        <v>2015</v>
      </c>
      <c r="I299" s="974">
        <v>2020</v>
      </c>
      <c r="J299" s="974">
        <v>2025</v>
      </c>
      <c r="K299" s="974">
        <v>2030</v>
      </c>
      <c r="L299" s="974">
        <v>2035</v>
      </c>
      <c r="M299" s="974">
        <v>2040</v>
      </c>
      <c r="N299" s="974">
        <v>2045</v>
      </c>
      <c r="O299" s="974">
        <v>2050</v>
      </c>
      <c r="P299" s="47"/>
      <c r="R299" s="1077"/>
      <c r="S299" s="2572"/>
      <c r="T299" s="2572"/>
      <c r="U299" s="2856"/>
      <c r="V299" s="2856"/>
      <c r="W299" s="2856"/>
      <c r="X299" s="2856"/>
      <c r="Y299" s="2856"/>
      <c r="Z299" s="2856"/>
      <c r="AA299" s="2856"/>
      <c r="AB299" s="2856"/>
      <c r="AC299" s="1077"/>
      <c r="AD299" s="1077"/>
      <c r="AE299" s="1077"/>
    </row>
    <row r="300" spans="2:31" ht="15.75" hidden="1">
      <c r="B300" s="886"/>
      <c r="C300" s="1079" t="s">
        <v>2226</v>
      </c>
      <c r="D300" s="1079"/>
      <c r="E300" s="265" t="s">
        <v>2825</v>
      </c>
      <c r="F300" s="2769"/>
      <c r="G300" s="2768"/>
      <c r="H300" s="1080"/>
      <c r="I300" s="1080"/>
      <c r="J300" s="1080"/>
      <c r="K300" s="1080"/>
      <c r="L300" s="1080"/>
      <c r="M300" s="1080"/>
      <c r="N300" s="1080"/>
      <c r="O300" s="2768"/>
      <c r="P300" s="47"/>
      <c r="R300" s="1077"/>
      <c r="S300" s="521"/>
      <c r="T300" s="2572"/>
      <c r="U300" s="1077"/>
      <c r="V300" s="2864"/>
      <c r="W300" s="2558"/>
      <c r="X300" s="2558"/>
      <c r="Y300" s="2856"/>
      <c r="Z300" s="2856"/>
      <c r="AA300" s="2856"/>
      <c r="AB300" s="2856"/>
      <c r="AC300" s="1077"/>
      <c r="AD300" s="1077"/>
      <c r="AE300" s="1077"/>
    </row>
    <row r="301" spans="2:31" ht="15.75" hidden="1">
      <c r="B301" s="886"/>
      <c r="C301" s="924" t="s">
        <v>2227</v>
      </c>
      <c r="D301" s="924"/>
      <c r="E301" s="46" t="s">
        <v>2825</v>
      </c>
      <c r="F301" s="2771"/>
      <c r="G301" s="2770"/>
      <c r="H301" s="954"/>
      <c r="I301" s="954"/>
      <c r="J301" s="954"/>
      <c r="K301" s="954"/>
      <c r="L301" s="954"/>
      <c r="M301" s="954"/>
      <c r="N301" s="954"/>
      <c r="O301" s="2770"/>
      <c r="P301" s="47"/>
      <c r="R301" s="1077"/>
      <c r="S301" s="521"/>
      <c r="T301" s="521"/>
      <c r="U301" s="1077"/>
      <c r="V301" s="2865"/>
      <c r="W301" s="2573"/>
      <c r="X301" s="2573"/>
      <c r="Y301" s="2809"/>
      <c r="Z301" s="2809"/>
      <c r="AA301" s="2809"/>
      <c r="AB301" s="2809"/>
      <c r="AC301" s="1077"/>
      <c r="AD301" s="1077"/>
      <c r="AE301" s="1077"/>
    </row>
    <row r="302" spans="2:31" ht="15.75" hidden="1">
      <c r="B302" s="886"/>
      <c r="C302" s="924" t="s">
        <v>2228</v>
      </c>
      <c r="D302" s="924"/>
      <c r="E302" s="46" t="s">
        <v>2825</v>
      </c>
      <c r="F302" s="2771"/>
      <c r="G302" s="2770"/>
      <c r="H302" s="954"/>
      <c r="I302" s="954"/>
      <c r="J302" s="954"/>
      <c r="K302" s="954"/>
      <c r="L302" s="954"/>
      <c r="M302" s="954"/>
      <c r="N302" s="954"/>
      <c r="O302" s="2770"/>
      <c r="P302" s="47"/>
      <c r="R302" s="1077"/>
      <c r="S302" s="1077"/>
      <c r="T302" s="1077"/>
      <c r="U302" s="1077"/>
      <c r="V302" s="1077"/>
      <c r="W302" s="1077"/>
      <c r="X302" s="1077"/>
      <c r="Y302" s="1077"/>
      <c r="Z302" s="1077"/>
      <c r="AA302" s="1077"/>
      <c r="AB302" s="1077"/>
      <c r="AC302" s="1077"/>
      <c r="AD302" s="1077"/>
      <c r="AE302" s="1077"/>
    </row>
    <row r="303" spans="2:31" ht="15.75" hidden="1">
      <c r="B303" s="886"/>
      <c r="C303" s="957" t="s">
        <v>2229</v>
      </c>
      <c r="D303" s="957"/>
      <c r="E303" s="181" t="s">
        <v>2825</v>
      </c>
      <c r="F303" s="2773"/>
      <c r="G303" s="2772"/>
      <c r="H303" s="959"/>
      <c r="I303" s="959"/>
      <c r="J303" s="959"/>
      <c r="K303" s="959"/>
      <c r="L303" s="959"/>
      <c r="M303" s="959"/>
      <c r="N303" s="959"/>
      <c r="O303" s="2772"/>
      <c r="P303" s="47"/>
      <c r="R303" s="1077"/>
      <c r="S303" s="207"/>
      <c r="T303" s="1432"/>
      <c r="U303" s="2809"/>
      <c r="V303" s="2809"/>
      <c r="W303" s="2809"/>
      <c r="X303" s="2809"/>
      <c r="Y303" s="2809"/>
      <c r="Z303" s="2809"/>
      <c r="AA303" s="207"/>
      <c r="AB303" s="1077"/>
      <c r="AC303" s="1077"/>
      <c r="AD303" s="1077"/>
      <c r="AE303" s="1077"/>
    </row>
    <row r="304" spans="2:31" ht="15.75" hidden="1">
      <c r="B304" s="886"/>
      <c r="C304" s="924" t="s">
        <v>2215</v>
      </c>
      <c r="D304" s="924"/>
      <c r="E304" s="46" t="s">
        <v>2826</v>
      </c>
      <c r="F304" s="2771"/>
      <c r="G304" s="953"/>
      <c r="H304" s="954"/>
      <c r="I304" s="954"/>
      <c r="J304" s="954"/>
      <c r="K304" s="954"/>
      <c r="L304" s="954"/>
      <c r="M304" s="954"/>
      <c r="N304" s="954"/>
      <c r="O304" s="953"/>
      <c r="P304" s="47"/>
      <c r="R304" s="1077"/>
      <c r="S304" s="207"/>
      <c r="T304" s="1432"/>
      <c r="U304" s="1077"/>
      <c r="V304" s="1077"/>
      <c r="W304" s="1077"/>
      <c r="X304" s="1077"/>
      <c r="Y304" s="1077"/>
      <c r="Z304" s="1077"/>
      <c r="AA304" s="1077"/>
      <c r="AB304" s="1077"/>
      <c r="AC304" s="1077"/>
      <c r="AD304" s="1077"/>
      <c r="AE304" s="1077"/>
    </row>
    <row r="305" spans="2:31" hidden="1">
      <c r="B305" s="110"/>
      <c r="C305" s="924" t="s">
        <v>2219</v>
      </c>
      <c r="D305" s="108"/>
      <c r="E305" s="46" t="s">
        <v>2826</v>
      </c>
      <c r="F305" s="2771"/>
      <c r="G305" s="953"/>
      <c r="H305" s="954"/>
      <c r="I305" s="954"/>
      <c r="J305" s="954"/>
      <c r="K305" s="954"/>
      <c r="L305" s="954"/>
      <c r="M305" s="954"/>
      <c r="N305" s="954"/>
      <c r="O305" s="953"/>
      <c r="P305" s="47"/>
      <c r="R305" s="1077"/>
      <c r="S305" s="2572"/>
      <c r="T305" s="2572"/>
      <c r="U305" s="2856"/>
      <c r="V305" s="2856"/>
      <c r="W305" s="2856"/>
      <c r="X305" s="2856"/>
      <c r="Y305" s="2856"/>
      <c r="Z305" s="2856"/>
      <c r="AA305" s="2856"/>
      <c r="AB305" s="2856"/>
      <c r="AC305" s="1077"/>
      <c r="AD305" s="1077"/>
      <c r="AE305" s="1077"/>
    </row>
    <row r="306" spans="2:31" hidden="1">
      <c r="B306" s="110"/>
      <c r="C306" s="924" t="s">
        <v>2220</v>
      </c>
      <c r="D306" s="108"/>
      <c r="E306" s="46" t="s">
        <v>2826</v>
      </c>
      <c r="F306" s="2771"/>
      <c r="G306" s="953"/>
      <c r="H306" s="959"/>
      <c r="I306" s="959"/>
      <c r="J306" s="959"/>
      <c r="K306" s="959"/>
      <c r="L306" s="959"/>
      <c r="M306" s="959"/>
      <c r="N306" s="959"/>
      <c r="O306" s="958"/>
      <c r="P306" s="47"/>
      <c r="R306" s="1077"/>
      <c r="S306" s="521"/>
      <c r="T306" s="521"/>
      <c r="U306" s="2866"/>
      <c r="V306" s="2608"/>
      <c r="W306" s="2608"/>
      <c r="X306" s="2608"/>
      <c r="Y306" s="2809"/>
      <c r="Z306" s="2809"/>
      <c r="AA306" s="2809"/>
      <c r="AB306" s="2809"/>
      <c r="AC306" s="1077"/>
      <c r="AD306" s="1077"/>
      <c r="AE306" s="1077"/>
    </row>
    <row r="307" spans="2:31" hidden="1">
      <c r="B307" s="110"/>
      <c r="C307" s="962" t="s">
        <v>2222</v>
      </c>
      <c r="D307" s="1200"/>
      <c r="E307" s="250" t="s">
        <v>2827</v>
      </c>
      <c r="F307" s="2857"/>
      <c r="G307" s="2858"/>
      <c r="H307" s="2859"/>
      <c r="I307" s="2859"/>
      <c r="J307" s="2859"/>
      <c r="K307" s="2859"/>
      <c r="L307" s="2859"/>
      <c r="M307" s="2859"/>
      <c r="N307" s="2859"/>
      <c r="O307" s="2858"/>
      <c r="P307" s="47"/>
      <c r="R307" s="1077"/>
      <c r="S307" s="1077"/>
      <c r="T307" s="1077"/>
      <c r="U307" s="1077"/>
      <c r="V307" s="1077"/>
      <c r="W307" s="1077"/>
      <c r="X307" s="1077"/>
      <c r="Y307" s="1077"/>
      <c r="Z307" s="1077"/>
      <c r="AA307" s="1077"/>
      <c r="AB307" s="1077"/>
      <c r="AC307" s="1077"/>
      <c r="AD307" s="1077"/>
      <c r="AE307" s="1077"/>
    </row>
    <row r="308" spans="2:31" hidden="1">
      <c r="B308" s="67"/>
      <c r="C308" s="109"/>
      <c r="D308" s="108"/>
      <c r="E308" s="108"/>
      <c r="F308" s="953"/>
      <c r="G308" s="2596"/>
      <c r="H308" s="954"/>
      <c r="I308" s="954"/>
      <c r="J308" s="954"/>
      <c r="K308" s="954"/>
      <c r="L308" s="954"/>
      <c r="M308" s="954"/>
      <c r="N308" s="954"/>
      <c r="O308" s="2596"/>
      <c r="P308" s="47"/>
      <c r="R308" s="1077"/>
      <c r="S308" s="1077"/>
      <c r="T308" s="1077"/>
      <c r="U308" s="1077"/>
      <c r="V308" s="1077"/>
      <c r="W308" s="1077"/>
      <c r="X308" s="1077"/>
      <c r="Y308" s="1077"/>
      <c r="Z308" s="1077"/>
      <c r="AA308" s="1077"/>
      <c r="AB308" s="1077"/>
      <c r="AC308" s="1077"/>
      <c r="AD308" s="1077"/>
      <c r="AE308" s="1077"/>
    </row>
    <row r="309" spans="2:31">
      <c r="B309" s="1077"/>
      <c r="C309" s="2775"/>
      <c r="D309" s="656"/>
      <c r="E309" s="656"/>
      <c r="F309" s="2558"/>
      <c r="G309" s="2615"/>
      <c r="H309" s="2615"/>
      <c r="I309" s="2559"/>
      <c r="J309" s="2559"/>
      <c r="K309" s="2559"/>
      <c r="L309" s="2559"/>
      <c r="M309" s="2559"/>
      <c r="N309" s="2559"/>
      <c r="O309" s="2559"/>
      <c r="P309" s="2615"/>
      <c r="R309" s="1077"/>
      <c r="S309" s="1077"/>
      <c r="T309" s="1077"/>
      <c r="U309" s="1077"/>
      <c r="V309" s="1077"/>
      <c r="W309" s="1077"/>
      <c r="X309" s="1077"/>
      <c r="Y309" s="1077"/>
      <c r="Z309" s="1077"/>
      <c r="AA309" s="1077"/>
      <c r="AB309" s="1077"/>
      <c r="AC309" s="1077"/>
      <c r="AD309" s="1077"/>
      <c r="AE309" s="1077"/>
    </row>
    <row r="310" spans="2:31" ht="15.75">
      <c r="B310" s="878" t="s">
        <v>178</v>
      </c>
      <c r="C310" s="879"/>
      <c r="D310" s="879"/>
      <c r="E310" s="879"/>
      <c r="F310" s="879"/>
      <c r="G310" s="879"/>
      <c r="H310" s="879"/>
      <c r="I310" s="879"/>
      <c r="J310" s="879"/>
      <c r="K310" s="879"/>
      <c r="L310" s="879"/>
      <c r="M310" s="879"/>
      <c r="N310" s="879"/>
      <c r="O310" s="880"/>
      <c r="R310" s="1077"/>
      <c r="S310" s="1077"/>
      <c r="T310" s="1077"/>
      <c r="U310" s="2615"/>
      <c r="V310" s="2615"/>
      <c r="W310" s="1077"/>
      <c r="X310" s="1077"/>
      <c r="Y310" s="1077"/>
      <c r="Z310" s="1077"/>
      <c r="AA310" s="1077"/>
      <c r="AB310" s="1077"/>
      <c r="AC310" s="1077"/>
      <c r="AD310" s="1077"/>
      <c r="AE310" s="1077"/>
    </row>
    <row r="311" spans="2:31">
      <c r="B311" s="881"/>
      <c r="C311" s="882"/>
      <c r="D311" s="882"/>
      <c r="E311" s="882"/>
      <c r="F311" s="882"/>
      <c r="G311" s="882"/>
      <c r="H311" s="882"/>
      <c r="I311" s="882"/>
      <c r="J311" s="882"/>
      <c r="K311" s="882"/>
      <c r="L311" s="882"/>
      <c r="M311" s="882"/>
      <c r="N311" s="882"/>
      <c r="O311" s="883"/>
      <c r="R311" s="1077"/>
      <c r="S311" s="1077"/>
      <c r="T311" s="1077"/>
      <c r="U311" s="2615"/>
      <c r="V311" s="2615"/>
      <c r="W311" s="1077"/>
      <c r="X311" s="1077"/>
      <c r="Y311" s="1077"/>
      <c r="Z311" s="1077"/>
      <c r="AA311" s="1077"/>
      <c r="AB311" s="1077"/>
      <c r="AC311" s="1077"/>
      <c r="AD311" s="1077"/>
      <c r="AE311" s="1077"/>
    </row>
    <row r="312" spans="2:31">
      <c r="B312" s="884"/>
      <c r="C312" s="49" t="s">
        <v>2235</v>
      </c>
      <c r="D312" s="67"/>
      <c r="E312" s="51"/>
      <c r="F312" s="67"/>
      <c r="G312" s="67"/>
      <c r="H312" s="67"/>
      <c r="I312" s="67"/>
      <c r="J312" s="67"/>
      <c r="K312" s="67"/>
      <c r="L312" s="67"/>
      <c r="M312" s="67"/>
      <c r="N312" s="51" t="s">
        <v>2236</v>
      </c>
      <c r="O312" s="885"/>
      <c r="R312" s="1077"/>
      <c r="S312" s="1077"/>
      <c r="T312" s="1077"/>
      <c r="U312" s="2615"/>
      <c r="V312" s="2615"/>
      <c r="W312" s="1077"/>
      <c r="X312" s="1077"/>
      <c r="Y312" s="1077"/>
      <c r="Z312" s="1077"/>
      <c r="AA312" s="1077"/>
      <c r="AB312" s="1077"/>
      <c r="AC312" s="1077"/>
      <c r="AD312" s="1077"/>
      <c r="AE312" s="1077"/>
    </row>
    <row r="313" spans="2:31">
      <c r="B313" s="884"/>
      <c r="C313" s="67"/>
      <c r="D313" s="67"/>
      <c r="E313" s="67"/>
      <c r="F313" s="67"/>
      <c r="G313" s="67"/>
      <c r="H313" s="67"/>
      <c r="I313" s="67"/>
      <c r="J313" s="67"/>
      <c r="K313" s="67"/>
      <c r="L313" s="67"/>
      <c r="M313" s="67"/>
      <c r="N313" s="67"/>
      <c r="O313" s="885"/>
      <c r="R313" s="1077"/>
      <c r="S313" s="1077"/>
      <c r="T313" s="1077"/>
      <c r="U313" s="2615"/>
      <c r="V313" s="2615"/>
      <c r="W313" s="1077"/>
      <c r="X313" s="1077"/>
      <c r="Y313" s="1077"/>
      <c r="Z313" s="1077"/>
      <c r="AA313" s="1077"/>
      <c r="AB313" s="1077"/>
      <c r="AC313" s="1077"/>
      <c r="AD313" s="1077"/>
      <c r="AE313" s="1077"/>
    </row>
    <row r="314" spans="2:31" ht="15.75">
      <c r="B314" s="886"/>
      <c r="C314" s="887" t="s">
        <v>2108</v>
      </c>
      <c r="D314" s="887" t="s">
        <v>72</v>
      </c>
      <c r="E314" s="887" t="s">
        <v>30</v>
      </c>
      <c r="F314" s="908">
        <v>2013</v>
      </c>
      <c r="G314" s="92">
        <v>2015</v>
      </c>
      <c r="H314" s="92">
        <v>2020</v>
      </c>
      <c r="I314" s="92">
        <v>2025</v>
      </c>
      <c r="J314" s="92">
        <v>2030</v>
      </c>
      <c r="K314" s="92">
        <v>2035</v>
      </c>
      <c r="L314" s="92">
        <v>2040</v>
      </c>
      <c r="M314" s="92">
        <v>2045</v>
      </c>
      <c r="N314" s="92">
        <v>2050</v>
      </c>
      <c r="O314" s="885"/>
    </row>
    <row r="315" spans="2:31" ht="15.75">
      <c r="B315" s="889"/>
      <c r="C315" s="2702" t="s">
        <v>2187</v>
      </c>
      <c r="D315" s="2702" t="s">
        <v>2237</v>
      </c>
      <c r="E315" s="2702"/>
      <c r="F315" s="2822">
        <f t="shared" ref="F315:N315" si="24">F19</f>
        <v>1.3629</v>
      </c>
      <c r="G315" s="2488">
        <f t="shared" si="24"/>
        <v>1.4</v>
      </c>
      <c r="H315" s="2488">
        <f t="shared" si="24"/>
        <v>1.5</v>
      </c>
      <c r="I315" s="2488">
        <f t="shared" si="24"/>
        <v>1.5445828187182655</v>
      </c>
      <c r="J315" s="2488">
        <f t="shared" si="24"/>
        <v>1.5891656374365308</v>
      </c>
      <c r="K315" s="2488">
        <f t="shared" si="24"/>
        <v>1.6337484561547961</v>
      </c>
      <c r="L315" s="2488">
        <f t="shared" si="24"/>
        <v>1.6783312748730617</v>
      </c>
      <c r="M315" s="2488">
        <f t="shared" si="24"/>
        <v>1.722914093591327</v>
      </c>
      <c r="N315" s="2488">
        <f t="shared" si="24"/>
        <v>1.7674969123095923</v>
      </c>
      <c r="O315" s="893"/>
    </row>
    <row r="316" spans="2:31" ht="15.75">
      <c r="B316" s="889"/>
      <c r="C316" s="924" t="s">
        <v>2166</v>
      </c>
      <c r="D316" s="924" t="s">
        <v>2238</v>
      </c>
      <c r="E316" s="924"/>
      <c r="F316" s="2823">
        <f t="shared" ref="F316:N316" si="25">F28</f>
        <v>1.115437</v>
      </c>
      <c r="G316" s="953">
        <f t="shared" si="25"/>
        <v>1.17</v>
      </c>
      <c r="H316" s="953">
        <f t="shared" si="25"/>
        <v>1.3175126747058823</v>
      </c>
      <c r="I316" s="953">
        <f t="shared" si="25"/>
        <v>1.3854570871191467</v>
      </c>
      <c r="J316" s="953">
        <f t="shared" si="25"/>
        <v>1.4534014995324114</v>
      </c>
      <c r="K316" s="953">
        <f t="shared" si="25"/>
        <v>1.521345911945676</v>
      </c>
      <c r="L316" s="953">
        <f t="shared" si="25"/>
        <v>1.5892903243589407</v>
      </c>
      <c r="M316" s="953">
        <f t="shared" si="25"/>
        <v>1.6572347367722051</v>
      </c>
      <c r="N316" s="953">
        <f t="shared" si="25"/>
        <v>1.7251791491854698</v>
      </c>
      <c r="O316" s="893"/>
      <c r="U316" s="374"/>
      <c r="V316" s="374"/>
    </row>
    <row r="317" spans="2:31" ht="15.75">
      <c r="B317" s="889"/>
      <c r="C317" s="924" t="s">
        <v>2167</v>
      </c>
      <c r="D317" s="924" t="s">
        <v>2239</v>
      </c>
      <c r="E317" s="924" t="s">
        <v>2240</v>
      </c>
      <c r="F317" s="2823">
        <f t="shared" ref="F317:N317" si="26">F37</f>
        <v>0.2</v>
      </c>
      <c r="G317" s="953">
        <f t="shared" si="26"/>
        <v>0.21715280000000003</v>
      </c>
      <c r="H317" s="953">
        <f t="shared" si="26"/>
        <v>0.21963762029019704</v>
      </c>
      <c r="I317" s="953">
        <f t="shared" si="26"/>
        <v>0.22212244058039404</v>
      </c>
      <c r="J317" s="953">
        <f t="shared" si="26"/>
        <v>0.22460726087059107</v>
      </c>
      <c r="K317" s="953">
        <f t="shared" si="26"/>
        <v>0.22709208116078808</v>
      </c>
      <c r="L317" s="953">
        <f t="shared" si="26"/>
        <v>0.22957690145098508</v>
      </c>
      <c r="M317" s="953">
        <f t="shared" si="26"/>
        <v>0.23206172174118209</v>
      </c>
      <c r="N317" s="953">
        <f t="shared" si="26"/>
        <v>0.23454654203137909</v>
      </c>
      <c r="O317" s="893"/>
      <c r="U317" s="374"/>
      <c r="V317" s="374"/>
    </row>
    <row r="318" spans="2:31" ht="15.75">
      <c r="B318" s="889"/>
      <c r="C318" s="924" t="s">
        <v>2241</v>
      </c>
      <c r="D318" s="924" t="s">
        <v>2168</v>
      </c>
      <c r="E318" s="924"/>
      <c r="F318" s="2814">
        <f t="shared" ref="F318:N318" si="27">F46</f>
        <v>6.4500000000000002E-2</v>
      </c>
      <c r="G318" s="953">
        <f t="shared" si="27"/>
        <v>6.1425E-2</v>
      </c>
      <c r="H318" s="953">
        <f t="shared" si="27"/>
        <v>6.2850000000000003E-2</v>
      </c>
      <c r="I318" s="953">
        <f t="shared" si="27"/>
        <v>6.4274999999999999E-2</v>
      </c>
      <c r="J318" s="953">
        <f t="shared" si="27"/>
        <v>6.5699999999999995E-2</v>
      </c>
      <c r="K318" s="953">
        <f t="shared" si="27"/>
        <v>6.712499999999999E-2</v>
      </c>
      <c r="L318" s="953">
        <f t="shared" si="27"/>
        <v>6.855E-2</v>
      </c>
      <c r="M318" s="953">
        <f t="shared" si="27"/>
        <v>6.9974999999999996E-2</v>
      </c>
      <c r="N318" s="953">
        <f t="shared" si="27"/>
        <v>7.1399999999999991E-2</v>
      </c>
      <c r="O318" s="893"/>
      <c r="U318" s="374"/>
      <c r="V318" s="374"/>
    </row>
    <row r="319" spans="2:31" ht="15.75">
      <c r="B319" s="889"/>
      <c r="C319" s="957" t="s">
        <v>15</v>
      </c>
      <c r="D319" s="957" t="s">
        <v>1705</v>
      </c>
      <c r="E319" s="957" t="s">
        <v>2218</v>
      </c>
      <c r="F319" s="2824">
        <f t="shared" ref="F319:N319" si="28">F55</f>
        <v>0.11999999999999997</v>
      </c>
      <c r="G319" s="958">
        <f t="shared" si="28"/>
        <v>0.11288288377961082</v>
      </c>
      <c r="H319" s="958">
        <f t="shared" si="28"/>
        <v>0.10576576755922167</v>
      </c>
      <c r="I319" s="958">
        <f t="shared" si="28"/>
        <v>9.8648651338832521E-2</v>
      </c>
      <c r="J319" s="958">
        <f t="shared" si="28"/>
        <v>9.1531535118443363E-2</v>
      </c>
      <c r="K319" s="958">
        <f t="shared" si="28"/>
        <v>8.4414418898054205E-2</v>
      </c>
      <c r="L319" s="958">
        <f t="shared" si="28"/>
        <v>7.7297302677665047E-2</v>
      </c>
      <c r="M319" s="958">
        <f t="shared" si="28"/>
        <v>7.0180186457275903E-2</v>
      </c>
      <c r="N319" s="958">
        <f t="shared" si="28"/>
        <v>6.3063070236886745E-2</v>
      </c>
      <c r="O319" s="893"/>
      <c r="U319" s="374"/>
      <c r="V319" s="374"/>
    </row>
    <row r="320" spans="2:31" ht="15.75">
      <c r="B320" s="889"/>
      <c r="C320" s="65"/>
      <c r="D320" s="108"/>
      <c r="E320" s="108"/>
      <c r="F320" s="59"/>
      <c r="G320" s="59"/>
      <c r="H320" s="59"/>
      <c r="I320" s="59"/>
      <c r="J320" s="59"/>
      <c r="K320" s="59"/>
      <c r="L320" s="59"/>
      <c r="M320" s="59"/>
      <c r="N320" s="59"/>
      <c r="O320" s="893"/>
    </row>
    <row r="321" spans="2:15" ht="15.75">
      <c r="B321" s="889"/>
      <c r="C321" s="49" t="s">
        <v>2242</v>
      </c>
      <c r="D321" s="67"/>
      <c r="E321" s="51"/>
      <c r="F321" s="67"/>
      <c r="G321" s="67"/>
      <c r="H321" s="67"/>
      <c r="I321" s="67"/>
      <c r="J321" s="67"/>
      <c r="K321" s="67"/>
      <c r="L321" s="67"/>
      <c r="M321" s="67"/>
      <c r="N321" s="51" t="s">
        <v>2243</v>
      </c>
      <c r="O321" s="893"/>
    </row>
    <row r="322" spans="2:15" ht="15.75">
      <c r="B322" s="889"/>
      <c r="C322" s="67"/>
      <c r="D322" s="67"/>
      <c r="E322" s="67"/>
      <c r="F322" s="67"/>
      <c r="G322" s="67"/>
      <c r="H322" s="67"/>
      <c r="I322" s="67"/>
      <c r="J322" s="67"/>
      <c r="K322" s="67"/>
      <c r="L322" s="67"/>
      <c r="M322" s="67"/>
      <c r="N322" s="67"/>
      <c r="O322" s="893"/>
    </row>
    <row r="323" spans="2:15" ht="15.75">
      <c r="B323" s="889"/>
      <c r="C323" s="887" t="s">
        <v>2108</v>
      </c>
      <c r="D323" s="887" t="s">
        <v>72</v>
      </c>
      <c r="E323" s="887" t="s">
        <v>30</v>
      </c>
      <c r="F323" s="908">
        <v>2013</v>
      </c>
      <c r="G323" s="92">
        <v>2015</v>
      </c>
      <c r="H323" s="92">
        <v>2020</v>
      </c>
      <c r="I323" s="92">
        <v>2025</v>
      </c>
      <c r="J323" s="92">
        <v>2030</v>
      </c>
      <c r="K323" s="92">
        <v>2035</v>
      </c>
      <c r="L323" s="92">
        <v>2040</v>
      </c>
      <c r="M323" s="92">
        <v>2045</v>
      </c>
      <c r="N323" s="92">
        <v>2050</v>
      </c>
      <c r="O323" s="893"/>
    </row>
    <row r="324" spans="2:15" ht="15.75">
      <c r="B324" s="889"/>
      <c r="C324" s="2702" t="s">
        <v>2187</v>
      </c>
      <c r="D324" s="2702" t="s">
        <v>2237</v>
      </c>
      <c r="E324" s="2702"/>
      <c r="F324" s="2826">
        <f t="array" ref="F324:N324">CHOOSE($E$7, $F$67:$O$67, $F$77:$O$77, $F$87:$O$87,F98:O98)</f>
        <v>7.0000000000000007E-2</v>
      </c>
      <c r="G324" s="2834">
        <v>7.0000000000000007E-2</v>
      </c>
      <c r="H324" s="2834">
        <v>0.24844608731815995</v>
      </c>
      <c r="I324" s="2834">
        <v>0.22950819672131148</v>
      </c>
      <c r="J324" s="2834">
        <v>0.21212121212121213</v>
      </c>
      <c r="K324" s="2834">
        <v>0.20231213872832368</v>
      </c>
      <c r="L324" s="2834">
        <v>0.19337016574585633</v>
      </c>
      <c r="M324" s="2834">
        <v>0.18469656992084432</v>
      </c>
      <c r="N324" s="2834">
        <v>0.17587939698492461</v>
      </c>
      <c r="O324" s="893"/>
    </row>
    <row r="325" spans="2:15" ht="15.75">
      <c r="B325" s="889"/>
      <c r="C325" s="924" t="s">
        <v>2166</v>
      </c>
      <c r="D325" s="924" t="s">
        <v>2238</v>
      </c>
      <c r="E325" s="924"/>
      <c r="F325" s="2828">
        <f t="array" ref="F325:N325">CHOOSE($E$7, $F$67:$O$67, $F$77:$O$77, $F$87:$O$87,$F$97:$O$97)</f>
        <v>7.0000000000000007E-2</v>
      </c>
      <c r="G325" s="2827">
        <v>7.0000000000000007E-2</v>
      </c>
      <c r="H325" s="2827">
        <v>0.24844608731815995</v>
      </c>
      <c r="I325" s="2827">
        <v>0.22950819672131148</v>
      </c>
      <c r="J325" s="2827">
        <v>0.21212121212121213</v>
      </c>
      <c r="K325" s="2827">
        <v>0.20231213872832368</v>
      </c>
      <c r="L325" s="2827">
        <v>0.19337016574585633</v>
      </c>
      <c r="M325" s="2827">
        <v>0.18469656992084432</v>
      </c>
      <c r="N325" s="2827">
        <v>0.17587939698492461</v>
      </c>
      <c r="O325" s="893"/>
    </row>
    <row r="326" spans="2:15" ht="15.75">
      <c r="B326" s="889"/>
      <c r="C326" s="924" t="s">
        <v>2167</v>
      </c>
      <c r="D326" s="924" t="s">
        <v>2244</v>
      </c>
      <c r="E326" s="924"/>
      <c r="F326" s="2828">
        <f t="shared" ref="F326:N326" si="29">F118</f>
        <v>0</v>
      </c>
      <c r="G326" s="2827">
        <f t="shared" si="29"/>
        <v>0.04</v>
      </c>
      <c r="H326" s="2827">
        <f t="shared" si="29"/>
        <v>0.14000000000000001</v>
      </c>
      <c r="I326" s="2827">
        <f t="shared" si="29"/>
        <v>0.16500000000000001</v>
      </c>
      <c r="J326" s="2827">
        <f t="shared" si="29"/>
        <v>0.19</v>
      </c>
      <c r="K326" s="2827">
        <f t="shared" si="29"/>
        <v>0.1875</v>
      </c>
      <c r="L326" s="2827">
        <f t="shared" si="29"/>
        <v>0.185</v>
      </c>
      <c r="M326" s="2827">
        <f t="shared" si="29"/>
        <v>0.1825</v>
      </c>
      <c r="N326" s="2827">
        <f t="shared" si="29"/>
        <v>0.18</v>
      </c>
      <c r="O326" s="893"/>
    </row>
    <row r="327" spans="2:15" ht="15.75">
      <c r="B327" s="889"/>
      <c r="C327" s="957" t="s">
        <v>2241</v>
      </c>
      <c r="D327" s="957" t="s">
        <v>2168</v>
      </c>
      <c r="E327" s="957"/>
      <c r="F327" s="2829">
        <f t="shared" ref="F327:N327" si="30">F127</f>
        <v>5.0000000000000001E-3</v>
      </c>
      <c r="G327" s="2830">
        <f t="shared" si="30"/>
        <v>0.05</v>
      </c>
      <c r="H327" s="2830">
        <f t="shared" si="30"/>
        <v>0.20375000000000004</v>
      </c>
      <c r="I327" s="2830">
        <f t="shared" si="30"/>
        <v>0.30312500000000003</v>
      </c>
      <c r="J327" s="2830">
        <f t="shared" si="30"/>
        <v>0.40250000000000002</v>
      </c>
      <c r="K327" s="2830">
        <f t="shared" si="30"/>
        <v>0.50187499999999985</v>
      </c>
      <c r="L327" s="2830">
        <f t="shared" si="30"/>
        <v>0.60124999999999984</v>
      </c>
      <c r="M327" s="2830">
        <f t="shared" si="30"/>
        <v>0.70062499999999983</v>
      </c>
      <c r="N327" s="2830">
        <f t="shared" si="30"/>
        <v>0.79999999999999982</v>
      </c>
      <c r="O327" s="893"/>
    </row>
    <row r="328" spans="2:15" ht="15.75">
      <c r="B328" s="889"/>
      <c r="C328" s="65"/>
      <c r="D328" s="108"/>
      <c r="E328" s="108"/>
      <c r="F328" s="59"/>
      <c r="G328" s="59"/>
      <c r="H328" s="59"/>
      <c r="I328" s="59"/>
      <c r="J328" s="59"/>
      <c r="K328" s="59"/>
      <c r="L328" s="59"/>
      <c r="M328" s="59"/>
      <c r="N328" s="59"/>
      <c r="O328" s="893"/>
    </row>
    <row r="329" spans="2:15" ht="15.75">
      <c r="B329" s="889"/>
      <c r="C329" s="49" t="s">
        <v>2245</v>
      </c>
      <c r="D329" s="67"/>
      <c r="E329" s="51"/>
      <c r="F329" s="67"/>
      <c r="G329" s="67"/>
      <c r="H329" s="67"/>
      <c r="I329" s="67"/>
      <c r="J329" s="67"/>
      <c r="K329" s="67"/>
      <c r="L329" s="67"/>
      <c r="M329" s="67"/>
      <c r="N329" s="51" t="s">
        <v>2243</v>
      </c>
      <c r="O329" s="893"/>
    </row>
    <row r="330" spans="2:15" ht="15.75">
      <c r="B330" s="889"/>
      <c r="C330" s="67"/>
      <c r="D330" s="67"/>
      <c r="E330" s="67"/>
      <c r="F330" s="67"/>
      <c r="G330" s="67"/>
      <c r="H330" s="67"/>
      <c r="I330" s="67"/>
      <c r="J330" s="67"/>
      <c r="K330" s="67"/>
      <c r="L330" s="67"/>
      <c r="M330" s="67"/>
      <c r="N330" s="67"/>
      <c r="O330" s="893"/>
    </row>
    <row r="331" spans="2:15" ht="15.75">
      <c r="B331" s="889"/>
      <c r="C331" s="887" t="s">
        <v>2108</v>
      </c>
      <c r="D331" s="887" t="s">
        <v>72</v>
      </c>
      <c r="E331" s="887" t="s">
        <v>30</v>
      </c>
      <c r="F331" s="908">
        <v>2013</v>
      </c>
      <c r="G331" s="92">
        <v>2015</v>
      </c>
      <c r="H331" s="92">
        <v>2020</v>
      </c>
      <c r="I331" s="92">
        <v>2025</v>
      </c>
      <c r="J331" s="92">
        <v>2030</v>
      </c>
      <c r="K331" s="92">
        <v>2035</v>
      </c>
      <c r="L331" s="92">
        <v>2040</v>
      </c>
      <c r="M331" s="92">
        <v>2045</v>
      </c>
      <c r="N331" s="92">
        <v>2050</v>
      </c>
      <c r="O331" s="893"/>
    </row>
    <row r="332" spans="2:15" ht="15.75">
      <c r="B332" s="889"/>
      <c r="C332" s="2702" t="s">
        <v>2187</v>
      </c>
      <c r="D332" s="2702" t="s">
        <v>2237</v>
      </c>
      <c r="E332" s="2702"/>
      <c r="F332" s="2826">
        <f t="array" ref="F332:N332">CHOOSE($E$7, $F$66:$O$66, $F$76:$O$76, $F$86:$O$86,$F$96:$O$96)</f>
        <v>0.41</v>
      </c>
      <c r="G332" s="2834">
        <v>0.35</v>
      </c>
      <c r="H332" s="2834">
        <v>0.19650000000000001</v>
      </c>
      <c r="I332" s="2834">
        <v>0.13184999999999999</v>
      </c>
      <c r="J332" s="2834">
        <v>6.7199999999999996E-2</v>
      </c>
      <c r="K332" s="2834">
        <v>5.5149999999999998E-2</v>
      </c>
      <c r="L332" s="2834">
        <v>4.3099999999999999E-2</v>
      </c>
      <c r="M332" s="2834">
        <v>3.1050000000000001E-2</v>
      </c>
      <c r="N332" s="2834">
        <v>1.9E-2</v>
      </c>
      <c r="O332" s="893"/>
    </row>
    <row r="333" spans="2:15" ht="15.75">
      <c r="B333" s="889"/>
      <c r="C333" s="924" t="s">
        <v>2166</v>
      </c>
      <c r="D333" s="924" t="s">
        <v>2238</v>
      </c>
      <c r="E333" s="924"/>
      <c r="F333" s="2828">
        <f t="array" ref="F333:N333">CHOOSE($E$7, $F$66:$O$66, $F$76:$O$76, $F$86:$O$86,F96:O96)</f>
        <v>0.41</v>
      </c>
      <c r="G333" s="2827">
        <v>0.35</v>
      </c>
      <c r="H333" s="2827">
        <v>0.19650000000000001</v>
      </c>
      <c r="I333" s="2827">
        <v>0.13184999999999999</v>
      </c>
      <c r="J333" s="2827">
        <v>6.7199999999999996E-2</v>
      </c>
      <c r="K333" s="2827">
        <v>5.5149999999999998E-2</v>
      </c>
      <c r="L333" s="2827">
        <v>4.3099999999999999E-2</v>
      </c>
      <c r="M333" s="2827">
        <v>3.1050000000000001E-2</v>
      </c>
      <c r="N333" s="2827">
        <v>1.9E-2</v>
      </c>
      <c r="O333" s="893"/>
    </row>
    <row r="334" spans="2:15" ht="15.75">
      <c r="B334" s="889"/>
      <c r="C334" s="957" t="s">
        <v>2167</v>
      </c>
      <c r="D334" s="957" t="s">
        <v>2244</v>
      </c>
      <c r="E334" s="957"/>
      <c r="F334" s="2868"/>
      <c r="G334" s="2869"/>
      <c r="H334" s="2869"/>
      <c r="I334" s="2869"/>
      <c r="J334" s="2869"/>
      <c r="K334" s="2869"/>
      <c r="L334" s="2869"/>
      <c r="M334" s="2869"/>
      <c r="N334" s="2869"/>
      <c r="O334" s="2870"/>
    </row>
    <row r="335" spans="2:15" ht="15.75">
      <c r="B335" s="889"/>
      <c r="C335" s="65"/>
      <c r="D335" s="108"/>
      <c r="E335" s="108"/>
      <c r="F335" s="59"/>
      <c r="G335" s="59"/>
      <c r="H335" s="59"/>
      <c r="I335" s="59"/>
      <c r="J335" s="59"/>
      <c r="K335" s="59"/>
      <c r="L335" s="59"/>
      <c r="M335" s="59"/>
      <c r="N335" s="59"/>
      <c r="O335" s="893"/>
    </row>
    <row r="336" spans="2:15" ht="15.75">
      <c r="B336" s="889"/>
      <c r="C336" s="49" t="s">
        <v>2246</v>
      </c>
      <c r="D336" s="67"/>
      <c r="E336" s="51"/>
      <c r="F336" s="67"/>
      <c r="G336" s="67"/>
      <c r="H336" s="67"/>
      <c r="I336" s="67"/>
      <c r="J336" s="67"/>
      <c r="K336" s="67"/>
      <c r="L336" s="67"/>
      <c r="M336" s="67"/>
      <c r="N336" s="51" t="s">
        <v>2243</v>
      </c>
      <c r="O336" s="893"/>
    </row>
    <row r="337" spans="2:27" ht="15.75">
      <c r="B337" s="889"/>
      <c r="C337" s="67"/>
      <c r="D337" s="67"/>
      <c r="E337" s="67"/>
      <c r="F337" s="67"/>
      <c r="G337" s="67"/>
      <c r="H337" s="67"/>
      <c r="I337" s="67"/>
      <c r="J337" s="67"/>
      <c r="K337" s="67"/>
      <c r="L337" s="67"/>
      <c r="M337" s="67"/>
      <c r="N337" s="67"/>
      <c r="O337" s="893"/>
    </row>
    <row r="338" spans="2:27" ht="15.75">
      <c r="B338" s="889"/>
      <c r="C338" s="887" t="s">
        <v>2108</v>
      </c>
      <c r="D338" s="887" t="s">
        <v>72</v>
      </c>
      <c r="E338" s="887" t="s">
        <v>30</v>
      </c>
      <c r="F338" s="908">
        <v>2013</v>
      </c>
      <c r="G338" s="92">
        <v>2015</v>
      </c>
      <c r="H338" s="92">
        <v>2020</v>
      </c>
      <c r="I338" s="92">
        <v>2025</v>
      </c>
      <c r="J338" s="92">
        <v>2030</v>
      </c>
      <c r="K338" s="92">
        <v>2035</v>
      </c>
      <c r="L338" s="92">
        <v>2040</v>
      </c>
      <c r="M338" s="92">
        <v>2045</v>
      </c>
      <c r="N338" s="92">
        <v>2050</v>
      </c>
      <c r="O338" s="893"/>
    </row>
    <row r="339" spans="2:27" ht="15.75">
      <c r="B339" s="889"/>
      <c r="C339" s="2702" t="s">
        <v>2187</v>
      </c>
      <c r="D339" s="2702" t="s">
        <v>2237</v>
      </c>
      <c r="E339" s="2702"/>
      <c r="F339" s="2826">
        <f t="array" ref="F339:N339">CHOOSE($E$7, $F$64:$O$64, $F$74:$O$74, $F$84:$O$84,$F$94:$O$94)</f>
        <v>0.16</v>
      </c>
      <c r="G339" s="2834">
        <v>0.17</v>
      </c>
      <c r="H339" s="2834">
        <v>0.20428571428571429</v>
      </c>
      <c r="I339" s="2834">
        <v>0.23857142857142857</v>
      </c>
      <c r="J339" s="2834">
        <v>0.27285714285714285</v>
      </c>
      <c r="K339" s="2834">
        <v>0.30714285714285716</v>
      </c>
      <c r="L339" s="2834">
        <v>0.34142857142857141</v>
      </c>
      <c r="M339" s="2834">
        <v>0.37571428571428567</v>
      </c>
      <c r="N339" s="2834">
        <v>0.41</v>
      </c>
      <c r="O339" s="893"/>
    </row>
    <row r="340" spans="2:27" ht="15.75">
      <c r="B340" s="889"/>
      <c r="C340" s="957" t="s">
        <v>2166</v>
      </c>
      <c r="D340" s="957" t="s">
        <v>2238</v>
      </c>
      <c r="E340" s="957"/>
      <c r="F340" s="2829">
        <f t="array" ref="F340:N340">CHOOSE($E$7, $F$64:$O$64, $F$74:$O$74, $F$84:$O$84,$F$94:$O$94)</f>
        <v>0.16</v>
      </c>
      <c r="G340" s="2830">
        <v>0.17</v>
      </c>
      <c r="H340" s="2830">
        <v>0.20428571428571429</v>
      </c>
      <c r="I340" s="2830">
        <v>0.23857142857142857</v>
      </c>
      <c r="J340" s="2830">
        <v>0.27285714285714285</v>
      </c>
      <c r="K340" s="2830">
        <v>0.30714285714285716</v>
      </c>
      <c r="L340" s="2830">
        <v>0.34142857142857141</v>
      </c>
      <c r="M340" s="2830">
        <v>0.37571428571428567</v>
      </c>
      <c r="N340" s="2830">
        <v>0.41</v>
      </c>
      <c r="O340" s="893"/>
    </row>
    <row r="341" spans="2:27" ht="15.75">
      <c r="B341" s="889"/>
      <c r="C341" s="924"/>
      <c r="D341" s="924"/>
      <c r="E341" s="924"/>
      <c r="F341" s="953"/>
      <c r="G341" s="953"/>
      <c r="H341" s="953"/>
      <c r="I341" s="953"/>
      <c r="J341" s="953"/>
      <c r="K341" s="953"/>
      <c r="L341" s="953"/>
      <c r="M341" s="953"/>
      <c r="N341" s="953"/>
      <c r="O341" s="893"/>
    </row>
    <row r="342" spans="2:27">
      <c r="B342" s="904"/>
      <c r="C342" s="67"/>
      <c r="D342" s="200"/>
      <c r="E342" s="67"/>
      <c r="F342" s="67"/>
      <c r="G342" s="67"/>
      <c r="H342" s="67"/>
      <c r="I342" s="67"/>
      <c r="J342" s="67"/>
      <c r="K342" s="67"/>
      <c r="L342" s="67"/>
      <c r="M342" s="67"/>
      <c r="N342" s="67"/>
      <c r="O342" s="885"/>
    </row>
    <row r="343" spans="2:27">
      <c r="B343" s="877"/>
      <c r="W343" s="374"/>
      <c r="X343" s="374"/>
      <c r="Y343" s="374"/>
      <c r="Z343" s="374"/>
      <c r="AA343" s="374"/>
    </row>
    <row r="344" spans="2:27" ht="15.75">
      <c r="B344" s="2783" t="s">
        <v>207</v>
      </c>
      <c r="W344" s="374"/>
      <c r="X344" s="374"/>
      <c r="Y344" s="374"/>
      <c r="Z344" s="374"/>
      <c r="AA344" s="374"/>
    </row>
    <row r="345" spans="2:27">
      <c r="B345" s="363">
        <v>1</v>
      </c>
      <c r="C345" s="2807" t="s">
        <v>2247</v>
      </c>
      <c r="W345" s="374"/>
      <c r="X345" s="374"/>
      <c r="Y345" s="374"/>
      <c r="Z345" s="374"/>
      <c r="AA345" s="374"/>
    </row>
    <row r="346" spans="2:27">
      <c r="B346" s="363">
        <v>2</v>
      </c>
      <c r="C346" s="2807" t="s">
        <v>2248</v>
      </c>
      <c r="W346" s="374"/>
      <c r="X346" s="374"/>
      <c r="Y346" s="374"/>
      <c r="Z346" s="374"/>
      <c r="AA346" s="374"/>
    </row>
    <row r="347" spans="2:27">
      <c r="B347" s="363">
        <v>3</v>
      </c>
      <c r="C347" s="2807" t="s">
        <v>2249</v>
      </c>
      <c r="U347" s="414"/>
      <c r="V347" s="414"/>
    </row>
    <row r="348" spans="2:27">
      <c r="B348" s="363">
        <v>4</v>
      </c>
      <c r="C348" s="2807" t="s">
        <v>2250</v>
      </c>
      <c r="U348" s="414"/>
      <c r="V348" s="414"/>
    </row>
    <row r="349" spans="2:27">
      <c r="B349" s="363">
        <v>5</v>
      </c>
      <c r="C349" s="2807" t="s">
        <v>2251</v>
      </c>
    </row>
    <row r="350" spans="2:27" ht="15.75">
      <c r="B350" s="2783"/>
    </row>
    <row r="351" spans="2:27">
      <c r="B351" s="363">
        <v>1</v>
      </c>
      <c r="C351" s="363" t="s">
        <v>2252</v>
      </c>
      <c r="F351" s="363">
        <v>2013</v>
      </c>
      <c r="G351" s="363">
        <v>2015</v>
      </c>
      <c r="H351" s="363">
        <v>2020</v>
      </c>
      <c r="I351" s="363">
        <v>2025</v>
      </c>
      <c r="J351" s="363">
        <v>2030</v>
      </c>
      <c r="K351" s="363">
        <v>2035</v>
      </c>
      <c r="L351" s="363">
        <v>2040</v>
      </c>
      <c r="M351" s="363">
        <v>2045</v>
      </c>
      <c r="N351" s="363">
        <v>2050</v>
      </c>
      <c r="U351" s="414"/>
      <c r="V351" s="414"/>
    </row>
    <row r="352" spans="2:27">
      <c r="B352" s="2871"/>
    </row>
    <row r="353" spans="2:22">
      <c r="B353" s="2871"/>
      <c r="C353" s="363" t="s">
        <v>2253</v>
      </c>
      <c r="E353" s="382" t="s">
        <v>1981</v>
      </c>
      <c r="F353" s="2872">
        <f>F$315*F$324</f>
        <v>9.5403000000000016E-2</v>
      </c>
      <c r="G353" s="2872">
        <f t="shared" ref="G353:N353" si="31">G$315*G$324</f>
        <v>9.8000000000000004E-2</v>
      </c>
      <c r="H353" s="2872">
        <f t="shared" si="31"/>
        <v>0.37266913097723992</v>
      </c>
      <c r="I353" s="2872">
        <f t="shared" si="31"/>
        <v>0.3544944174107495</v>
      </c>
      <c r="J353" s="2872">
        <f t="shared" si="31"/>
        <v>0.33709574127441566</v>
      </c>
      <c r="K353" s="2872">
        <f t="shared" si="31"/>
        <v>0.33052714430877378</v>
      </c>
      <c r="L353" s="2872">
        <f t="shared" si="31"/>
        <v>0.32453919679865828</v>
      </c>
      <c r="M353" s="2872">
        <f t="shared" si="31"/>
        <v>0.31821632335459865</v>
      </c>
      <c r="N353" s="2872">
        <f t="shared" si="31"/>
        <v>0.31086629110972724</v>
      </c>
    </row>
    <row r="354" spans="2:22">
      <c r="B354" s="2871"/>
      <c r="C354" s="414" t="s">
        <v>2254</v>
      </c>
      <c r="D354" s="2807" t="s">
        <v>2188</v>
      </c>
      <c r="F354" s="1188">
        <f t="array" ref="F354:F357">F353*$G$156:$G$159</f>
        <v>3.5299110000000009E-2</v>
      </c>
      <c r="G354" s="1188">
        <f t="array" ref="G354:G357">G353*$G$156:$G$159</f>
        <v>3.6260000000000001E-2</v>
      </c>
      <c r="H354" s="1188">
        <f t="array" ref="H354:H357">H353*$G$156:$G$159</f>
        <v>0.13788757846157876</v>
      </c>
      <c r="I354" s="1188">
        <f t="array" ref="I354:I357">I353*$G$156:$G$159</f>
        <v>0.13116293444197732</v>
      </c>
      <c r="J354" s="1188">
        <f t="array" ref="J354:J357">J353*$G$156:$G$159</f>
        <v>0.1247254242715338</v>
      </c>
      <c r="K354" s="1188">
        <f t="array" ref="K354:K357">K353*$G$156:$G$159</f>
        <v>0.12229504339424629</v>
      </c>
      <c r="L354" s="1188">
        <f t="array" ref="L354:L357">L353*$G$156:$G$159</f>
        <v>0.12007950281550356</v>
      </c>
      <c r="M354" s="1188">
        <f t="array" ref="M354:M357">M353*$G$156:$G$159</f>
        <v>0.1177400396412015</v>
      </c>
      <c r="N354" s="374">
        <f t="array" ref="N354:N357">N353*$G$156:$G$159</f>
        <v>0.11502052771059908</v>
      </c>
      <c r="R354" s="374"/>
      <c r="S354" s="374"/>
      <c r="T354" s="374"/>
    </row>
    <row r="355" spans="2:22">
      <c r="B355" s="2871"/>
      <c r="D355" s="2807" t="s">
        <v>2190</v>
      </c>
      <c r="F355" s="1188">
        <v>2.4804780000000005E-2</v>
      </c>
      <c r="G355" s="1188">
        <v>2.5480000000000003E-2</v>
      </c>
      <c r="H355" s="1188">
        <v>9.6893974054082385E-2</v>
      </c>
      <c r="I355" s="1188">
        <v>9.2168548526794875E-2</v>
      </c>
      <c r="J355" s="1188">
        <v>8.7644892731348081E-2</v>
      </c>
      <c r="K355" s="1188">
        <v>8.593705752028119E-2</v>
      </c>
      <c r="L355" s="1188">
        <v>8.438019116765115E-2</v>
      </c>
      <c r="M355" s="1188">
        <v>8.2736244072195653E-2</v>
      </c>
      <c r="N355" s="374">
        <v>8.082523568852909E-2</v>
      </c>
      <c r="R355" s="374"/>
      <c r="S355" s="374"/>
      <c r="T355" s="374"/>
    </row>
    <row r="356" spans="2:22">
      <c r="B356" s="2871"/>
      <c r="D356" s="2807" t="s">
        <v>2192</v>
      </c>
      <c r="F356" s="1188">
        <v>1.8126570000000002E-2</v>
      </c>
      <c r="G356" s="1188">
        <v>1.8620000000000001E-2</v>
      </c>
      <c r="H356" s="1188">
        <v>7.0807134885675582E-2</v>
      </c>
      <c r="I356" s="1188">
        <v>6.7353939308042399E-2</v>
      </c>
      <c r="J356" s="1188">
        <v>6.4048190842138975E-2</v>
      </c>
      <c r="K356" s="1188">
        <v>6.2800157418667013E-2</v>
      </c>
      <c r="L356" s="1188">
        <v>6.1662447391745076E-2</v>
      </c>
      <c r="M356" s="1188">
        <v>6.0461101437373745E-2</v>
      </c>
      <c r="N356" s="374">
        <v>5.9064595310848178E-2</v>
      </c>
      <c r="R356" s="374"/>
      <c r="S356" s="374"/>
      <c r="T356" s="374"/>
    </row>
    <row r="357" spans="2:22">
      <c r="B357" s="2871"/>
      <c r="D357" s="2807" t="s">
        <v>2194</v>
      </c>
      <c r="F357" s="1188">
        <v>1.7172540000000003E-2</v>
      </c>
      <c r="G357" s="1188">
        <v>1.7639999999999999E-2</v>
      </c>
      <c r="H357" s="1188">
        <v>6.7080443575903176E-2</v>
      </c>
      <c r="I357" s="1188">
        <v>6.3808995133934912E-2</v>
      </c>
      <c r="J357" s="1188">
        <v>6.0677233429394815E-2</v>
      </c>
      <c r="K357" s="1188">
        <v>5.9494885975579281E-2</v>
      </c>
      <c r="L357" s="1188">
        <v>5.8417055423758489E-2</v>
      </c>
      <c r="M357" s="1188">
        <v>5.7278938203827755E-2</v>
      </c>
      <c r="N357" s="374">
        <v>5.5955932399750899E-2</v>
      </c>
      <c r="R357" s="374"/>
      <c r="S357" s="374"/>
      <c r="T357" s="374"/>
      <c r="U357" s="414"/>
      <c r="V357" s="414"/>
    </row>
    <row r="358" spans="2:22">
      <c r="B358" s="2871"/>
      <c r="F358" s="374"/>
      <c r="G358" s="374"/>
      <c r="H358" s="374"/>
      <c r="I358" s="374"/>
      <c r="J358" s="374"/>
      <c r="K358" s="374"/>
      <c r="L358" s="374"/>
      <c r="M358" s="374"/>
      <c r="N358" s="374"/>
    </row>
    <row r="359" spans="2:22">
      <c r="B359" s="2871"/>
      <c r="C359" s="363" t="s">
        <v>2255</v>
      </c>
      <c r="E359" s="382" t="s">
        <v>1981</v>
      </c>
      <c r="F359" s="2872">
        <f t="shared" ref="F359:N359" si="32">F$316*F$325</f>
        <v>7.8080590000000005E-2</v>
      </c>
      <c r="G359" s="2872">
        <f t="shared" si="32"/>
        <v>8.1900000000000001E-2</v>
      </c>
      <c r="H359" s="2872">
        <f t="shared" si="32"/>
        <v>0.3273308690227601</v>
      </c>
      <c r="I359" s="2872">
        <f t="shared" si="32"/>
        <v>0.31797375769947628</v>
      </c>
      <c r="J359" s="2872">
        <f t="shared" si="32"/>
        <v>0.30829728777960241</v>
      </c>
      <c r="K359" s="2872">
        <f t="shared" si="32"/>
        <v>0.30778674519132171</v>
      </c>
      <c r="L359" s="2872">
        <f t="shared" si="32"/>
        <v>0.30732133343957413</v>
      </c>
      <c r="M359" s="2872">
        <f t="shared" si="32"/>
        <v>0.30608557143549964</v>
      </c>
      <c r="N359" s="2872">
        <f t="shared" si="32"/>
        <v>0.30342346844970569</v>
      </c>
    </row>
    <row r="360" spans="2:22">
      <c r="B360" s="2871"/>
      <c r="C360" s="414" t="s">
        <v>2254</v>
      </c>
      <c r="D360" s="2807" t="s">
        <v>2188</v>
      </c>
      <c r="F360" s="1188">
        <f t="array" ref="F360:F363">F359*$H$156:$H$159</f>
        <v>1.4054506200000001E-2</v>
      </c>
      <c r="G360" s="1188">
        <f t="array" ref="G360:G363">G359*$H$156:$H$159</f>
        <v>1.4742E-2</v>
      </c>
      <c r="H360" s="1188">
        <f t="array" ref="H360:H363">H359*$H$156:$H$159</f>
        <v>5.8919556424096818E-2</v>
      </c>
      <c r="I360" s="1188">
        <f t="array" ref="I360:I363">I359*$H$156:$H$159</f>
        <v>5.7235276385905726E-2</v>
      </c>
      <c r="J360" s="1188">
        <f t="array" ref="J360:J363">J359*$H$156:$H$159</f>
        <v>5.5493511800328431E-2</v>
      </c>
      <c r="K360" s="1188">
        <f t="array" ref="K360:K363">K359*$H$156:$H$159</f>
        <v>5.5401614134437907E-2</v>
      </c>
      <c r="L360" s="1188">
        <f t="array" ref="L360:L363">L359*$H$156:$H$159</f>
        <v>5.5317840019123342E-2</v>
      </c>
      <c r="M360" s="1188">
        <f t="array" ref="M360:M363">M359*$H$156:$H$159</f>
        <v>5.509540285838993E-2</v>
      </c>
      <c r="N360" s="374">
        <f t="array" ref="N360:N363">N359*$H$156:$H$159</f>
        <v>5.4616224320947024E-2</v>
      </c>
      <c r="R360" s="374"/>
      <c r="S360" s="374"/>
      <c r="T360" s="374"/>
    </row>
    <row r="361" spans="2:22">
      <c r="B361" s="2871"/>
      <c r="D361" s="2807" t="s">
        <v>2190</v>
      </c>
      <c r="F361" s="1188">
        <v>1.17120885E-2</v>
      </c>
      <c r="G361" s="1188">
        <v>1.2284999999999999E-2</v>
      </c>
      <c r="H361" s="1188">
        <v>4.9099630353414012E-2</v>
      </c>
      <c r="I361" s="1188">
        <v>4.769606365492144E-2</v>
      </c>
      <c r="J361" s="1188">
        <v>4.6244593166940358E-2</v>
      </c>
      <c r="K361" s="1188">
        <v>4.6168011778698254E-2</v>
      </c>
      <c r="L361" s="1188">
        <v>4.6098200015936119E-2</v>
      </c>
      <c r="M361" s="1188">
        <v>4.5912835715324944E-2</v>
      </c>
      <c r="N361" s="374">
        <v>4.5513520267455851E-2</v>
      </c>
      <c r="R361" s="374"/>
      <c r="S361" s="374"/>
      <c r="T361" s="374"/>
    </row>
    <row r="362" spans="2:22">
      <c r="B362" s="2871"/>
      <c r="D362" s="2807" t="s">
        <v>2192</v>
      </c>
      <c r="F362" s="1188">
        <v>3.1232236000000003E-3</v>
      </c>
      <c r="G362" s="1188">
        <v>3.2760000000000003E-3</v>
      </c>
      <c r="H362" s="1188">
        <v>1.3093234760910405E-2</v>
      </c>
      <c r="I362" s="1188">
        <v>1.2718950307979052E-2</v>
      </c>
      <c r="J362" s="1188">
        <v>1.2331891511184096E-2</v>
      </c>
      <c r="K362" s="1188">
        <v>1.2311469807652868E-2</v>
      </c>
      <c r="L362" s="1188">
        <v>1.2292853337582966E-2</v>
      </c>
      <c r="M362" s="1188">
        <v>1.2243422857419986E-2</v>
      </c>
      <c r="N362" s="374">
        <v>1.2136938737988228E-2</v>
      </c>
      <c r="R362" s="374"/>
      <c r="S362" s="374"/>
      <c r="T362" s="374"/>
      <c r="U362" s="414"/>
      <c r="V362" s="414"/>
    </row>
    <row r="363" spans="2:22">
      <c r="B363" s="2871"/>
      <c r="D363" s="2807" t="s">
        <v>2194</v>
      </c>
      <c r="F363" s="1188">
        <v>4.9190771700000004E-2</v>
      </c>
      <c r="G363" s="1188">
        <v>5.1597000000000004E-2</v>
      </c>
      <c r="H363" s="1188">
        <v>0.20621844748433887</v>
      </c>
      <c r="I363" s="1188">
        <v>0.20032346735067005</v>
      </c>
      <c r="J363" s="1188">
        <v>0.19422729130114952</v>
      </c>
      <c r="K363" s="1188">
        <v>0.19390564947053268</v>
      </c>
      <c r="L363" s="1188">
        <v>0.19361244006693171</v>
      </c>
      <c r="M363" s="1188">
        <v>0.19283391000436478</v>
      </c>
      <c r="N363" s="374">
        <v>0.19115678512331458</v>
      </c>
      <c r="R363" s="374"/>
      <c r="S363" s="374"/>
      <c r="T363" s="374"/>
    </row>
    <row r="364" spans="2:22">
      <c r="B364" s="2871"/>
      <c r="F364" s="374"/>
      <c r="G364" s="374"/>
      <c r="H364" s="374"/>
      <c r="I364" s="374"/>
      <c r="J364" s="374"/>
      <c r="K364" s="374"/>
      <c r="L364" s="374"/>
      <c r="M364" s="374"/>
      <c r="N364" s="374"/>
    </row>
    <row r="365" spans="2:22">
      <c r="B365" s="2871"/>
      <c r="C365" s="363" t="s">
        <v>2179</v>
      </c>
      <c r="E365" s="382" t="s">
        <v>1981</v>
      </c>
      <c r="F365" s="2872">
        <f t="shared" ref="F365:N365" si="33">F$317*F$326</f>
        <v>0</v>
      </c>
      <c r="G365" s="2872">
        <f t="shared" si="33"/>
        <v>8.686112000000001E-3</v>
      </c>
      <c r="H365" s="2872">
        <f t="shared" si="33"/>
        <v>3.0749266840627589E-2</v>
      </c>
      <c r="I365" s="2872">
        <f t="shared" si="33"/>
        <v>3.6650202695765022E-2</v>
      </c>
      <c r="J365" s="2872">
        <f t="shared" si="33"/>
        <v>4.2675379565412307E-2</v>
      </c>
      <c r="K365" s="2872">
        <f t="shared" si="33"/>
        <v>4.2579765217647766E-2</v>
      </c>
      <c r="L365" s="2872">
        <f t="shared" si="33"/>
        <v>4.2471726768432243E-2</v>
      </c>
      <c r="M365" s="2872">
        <f t="shared" si="33"/>
        <v>4.2351264217765729E-2</v>
      </c>
      <c r="N365" s="2872">
        <f t="shared" si="33"/>
        <v>4.2218377565648238E-2</v>
      </c>
      <c r="U365" s="414"/>
      <c r="V365" s="414"/>
    </row>
    <row r="366" spans="2:22">
      <c r="B366" s="2871"/>
      <c r="C366" s="414" t="s">
        <v>2254</v>
      </c>
      <c r="D366" s="2807" t="s">
        <v>2188</v>
      </c>
      <c r="F366" s="374">
        <f t="array" ref="F366:F369">F365*$I$156:$I$159</f>
        <v>0</v>
      </c>
      <c r="G366" s="374">
        <f t="array" ref="G366:G369">G365*$I$156:$I$159</f>
        <v>8.686112000000001E-3</v>
      </c>
      <c r="H366" s="374">
        <f t="array" ref="H366:H369">H365*$I$156:$I$159</f>
        <v>3.0749266840627589E-2</v>
      </c>
      <c r="I366" s="374">
        <f t="array" ref="I366:I369">I365*$I$156:$I$159</f>
        <v>3.6650202695765022E-2</v>
      </c>
      <c r="J366" s="374">
        <f t="array" ref="J366:J369">J365*$I$156:$I$159</f>
        <v>4.2675379565412307E-2</v>
      </c>
      <c r="K366" s="374">
        <f t="array" ref="K366:K369">K365*$I$156:$I$159</f>
        <v>4.2579765217647766E-2</v>
      </c>
      <c r="L366" s="374">
        <f t="array" ref="L366:L369">L365*$I$156:$I$159</f>
        <v>4.2471726768432243E-2</v>
      </c>
      <c r="M366" s="374">
        <f t="array" ref="M366:M369">M365*$I$156:$I$159</f>
        <v>4.2351264217765729E-2</v>
      </c>
      <c r="N366" s="374">
        <f t="array" ref="N366:N369">N365*$I$156:$I$159</f>
        <v>4.2218377565648238E-2</v>
      </c>
      <c r="R366" s="374"/>
      <c r="S366" s="374"/>
      <c r="T366" s="374"/>
    </row>
    <row r="367" spans="2:22">
      <c r="B367" s="2871"/>
      <c r="D367" s="2807" t="s">
        <v>2190</v>
      </c>
      <c r="F367" s="374">
        <v>0</v>
      </c>
      <c r="G367" s="374">
        <v>0</v>
      </c>
      <c r="H367" s="374">
        <v>0</v>
      </c>
      <c r="I367" s="374">
        <v>0</v>
      </c>
      <c r="J367" s="374">
        <v>0</v>
      </c>
      <c r="K367" s="374">
        <v>0</v>
      </c>
      <c r="L367" s="374">
        <v>0</v>
      </c>
      <c r="M367" s="374">
        <v>0</v>
      </c>
      <c r="N367" s="374">
        <v>0</v>
      </c>
      <c r="R367" s="374"/>
      <c r="S367" s="374"/>
      <c r="T367" s="374"/>
    </row>
    <row r="368" spans="2:22">
      <c r="B368" s="2871"/>
      <c r="D368" s="2807" t="s">
        <v>2192</v>
      </c>
      <c r="F368" s="374">
        <v>0</v>
      </c>
      <c r="G368" s="374">
        <v>0</v>
      </c>
      <c r="H368" s="374">
        <v>0</v>
      </c>
      <c r="I368" s="374">
        <v>0</v>
      </c>
      <c r="J368" s="374">
        <v>0</v>
      </c>
      <c r="K368" s="374">
        <v>0</v>
      </c>
      <c r="L368" s="374">
        <v>0</v>
      </c>
      <c r="M368" s="374">
        <v>0</v>
      </c>
      <c r="N368" s="374">
        <v>0</v>
      </c>
      <c r="R368" s="374"/>
      <c r="S368" s="374"/>
      <c r="T368" s="374"/>
    </row>
    <row r="369" spans="1:27">
      <c r="B369" s="2871"/>
      <c r="D369" s="2807" t="s">
        <v>2194</v>
      </c>
      <c r="F369" s="374">
        <v>0</v>
      </c>
      <c r="G369" s="374">
        <v>0</v>
      </c>
      <c r="H369" s="374">
        <v>0</v>
      </c>
      <c r="I369" s="374">
        <v>0</v>
      </c>
      <c r="J369" s="374">
        <v>0</v>
      </c>
      <c r="K369" s="374">
        <v>0</v>
      </c>
      <c r="L369" s="374">
        <v>0</v>
      </c>
      <c r="M369" s="374">
        <v>0</v>
      </c>
      <c r="N369" s="374">
        <v>0</v>
      </c>
      <c r="R369" s="374"/>
      <c r="S369" s="374"/>
      <c r="T369" s="374"/>
    </row>
    <row r="370" spans="1:27" s="3725" customFormat="1">
      <c r="B370" s="2871"/>
      <c r="F370" s="374"/>
      <c r="G370" s="374"/>
      <c r="H370" s="374"/>
      <c r="I370" s="374"/>
      <c r="J370" s="374"/>
      <c r="K370" s="374"/>
      <c r="L370" s="374"/>
      <c r="M370" s="374"/>
      <c r="N370" s="374"/>
      <c r="R370" s="374"/>
      <c r="S370" s="374"/>
      <c r="T370" s="374"/>
    </row>
    <row r="371" spans="1:27" s="3725" customFormat="1">
      <c r="B371" s="2871"/>
      <c r="C371" s="3737" t="s">
        <v>2940</v>
      </c>
      <c r="F371" s="3739">
        <v>0.36</v>
      </c>
      <c r="G371" s="3739">
        <v>0.36</v>
      </c>
      <c r="H371" s="3739">
        <v>0.36</v>
      </c>
      <c r="I371" s="3739">
        <v>0.36</v>
      </c>
      <c r="J371" s="3739">
        <v>0.36</v>
      </c>
      <c r="K371" s="3739">
        <v>0.36</v>
      </c>
      <c r="L371" s="3739">
        <v>0.36</v>
      </c>
      <c r="M371" s="3739">
        <v>0.36</v>
      </c>
      <c r="N371" s="3739">
        <v>0.36</v>
      </c>
      <c r="R371" s="374"/>
      <c r="S371" s="374"/>
      <c r="T371" s="374"/>
    </row>
    <row r="372" spans="1:27">
      <c r="B372" s="2871"/>
    </row>
    <row r="373" spans="1:27" ht="23.25">
      <c r="A373" s="7"/>
      <c r="B373" s="2871"/>
      <c r="C373" s="363" t="s">
        <v>2256</v>
      </c>
      <c r="E373" s="363"/>
      <c r="F373" s="3725" t="s">
        <v>5</v>
      </c>
      <c r="W373" s="374"/>
      <c r="X373" s="374"/>
      <c r="Y373" s="374"/>
      <c r="Z373" s="374"/>
      <c r="AA373" s="374"/>
    </row>
    <row r="374" spans="1:27">
      <c r="B374" s="2871"/>
      <c r="C374" s="414" t="s">
        <v>2254</v>
      </c>
      <c r="D374" s="2" t="s">
        <v>2188</v>
      </c>
      <c r="E374" s="2" t="str">
        <f>Preferences.EnergyUnits</f>
        <v>TWh</v>
      </c>
      <c r="F374" s="992">
        <f>(F354+F360+F366)*INDEX($F$164:$F$169, MATCH($D374, $C$164:$C$169, 0))*F371</f>
        <v>7.8965785920000003E-2</v>
      </c>
      <c r="G374" s="992">
        <f t="shared" ref="G374:N374" si="34">(G354+G360+G366)*INDEX($F$164:$F$169, MATCH($D374, $C$164:$C$169, 0))*G371</f>
        <v>9.5500979200000002E-2</v>
      </c>
      <c r="H374" s="992">
        <f t="shared" si="34"/>
        <v>0.36409024276208507</v>
      </c>
      <c r="I374" s="992">
        <f t="shared" si="34"/>
        <v>0.36007746163783694</v>
      </c>
      <c r="J374" s="992">
        <f t="shared" si="34"/>
        <v>0.35663090501963929</v>
      </c>
      <c r="K374" s="992">
        <f t="shared" si="34"/>
        <v>0.35244227639413112</v>
      </c>
      <c r="L374" s="992">
        <f t="shared" si="34"/>
        <v>0.34859051136489466</v>
      </c>
      <c r="M374" s="992">
        <f t="shared" si="34"/>
        <v>0.34429873074777145</v>
      </c>
      <c r="N374" s="992">
        <f t="shared" si="34"/>
        <v>0.33896820735551092</v>
      </c>
      <c r="W374" s="374"/>
      <c r="X374" s="374"/>
      <c r="Y374" s="374"/>
      <c r="Z374" s="374"/>
      <c r="AA374" s="374"/>
    </row>
    <row r="375" spans="1:27">
      <c r="B375" s="2871"/>
      <c r="D375" s="2" t="s">
        <v>2190</v>
      </c>
      <c r="E375" s="2" t="str">
        <f>Preferences.EnergyUnits</f>
        <v>TWh</v>
      </c>
      <c r="F375" s="992">
        <f>(F355+F361+F367)*INDEX($F$164:$F$169, MATCH($D375, $C$164:$C$169, 0))*F371</f>
        <v>1.8258434250000004E-2</v>
      </c>
      <c r="G375" s="992">
        <f t="shared" ref="G375:N375" si="35">(G355+G361+G367)*INDEX($F$164:$F$169, MATCH($D375, $C$164:$C$169, 0))*G371</f>
        <v>1.88825E-2</v>
      </c>
      <c r="H375" s="992">
        <f t="shared" si="35"/>
        <v>7.2996802203748185E-2</v>
      </c>
      <c r="I375" s="992">
        <f t="shared" si="35"/>
        <v>6.9932306090858154E-2</v>
      </c>
      <c r="J375" s="992">
        <f t="shared" si="35"/>
        <v>6.6944742949144223E-2</v>
      </c>
      <c r="K375" s="992">
        <f t="shared" si="35"/>
        <v>6.6052534649489708E-2</v>
      </c>
      <c r="L375" s="992">
        <f t="shared" si="35"/>
        <v>6.5239195591793642E-2</v>
      </c>
      <c r="M375" s="992">
        <f t="shared" si="35"/>
        <v>6.4324539893760288E-2</v>
      </c>
      <c r="N375" s="992">
        <f t="shared" si="35"/>
        <v>6.3169377977992464E-2</v>
      </c>
      <c r="W375" s="374"/>
      <c r="X375" s="374"/>
      <c r="Y375" s="374"/>
      <c r="Z375" s="374"/>
      <c r="AA375" s="374"/>
    </row>
    <row r="376" spans="1:27">
      <c r="B376" s="2871"/>
      <c r="D376" s="2" t="s">
        <v>2192</v>
      </c>
      <c r="E376" s="2" t="str">
        <f>Preferences.EnergyUnits</f>
        <v>TWh</v>
      </c>
      <c r="F376" s="3738">
        <f t="shared" ref="F376:N376" si="36">(F356+F362+F368)*INDEX($F$164:$F$169, MATCH($D376, $C$164:$C$169, 0))*F371</f>
        <v>6.3749380800000005E-2</v>
      </c>
      <c r="G376" s="3738">
        <f t="shared" si="36"/>
        <v>6.568800000000001E-2</v>
      </c>
      <c r="H376" s="3738">
        <f t="shared" si="36"/>
        <v>0.25170110893975794</v>
      </c>
      <c r="I376" s="3738">
        <f t="shared" si="36"/>
        <v>0.24021866884806434</v>
      </c>
      <c r="J376" s="3738">
        <f t="shared" si="36"/>
        <v>0.22914024705996922</v>
      </c>
      <c r="K376" s="3738">
        <f t="shared" si="36"/>
        <v>0.22533488167895965</v>
      </c>
      <c r="L376" s="3738">
        <f t="shared" si="36"/>
        <v>0.22186590218798416</v>
      </c>
      <c r="M376" s="3738">
        <f t="shared" si="36"/>
        <v>0.21811357288438121</v>
      </c>
      <c r="N376" s="3738">
        <f t="shared" si="36"/>
        <v>0.2136046021465092</v>
      </c>
      <c r="W376" s="374"/>
      <c r="X376" s="374"/>
      <c r="Y376" s="374"/>
      <c r="Z376" s="374"/>
      <c r="AA376" s="374"/>
    </row>
    <row r="377" spans="1:27">
      <c r="B377" s="2871"/>
      <c r="D377" s="384"/>
      <c r="E377" s="2889"/>
    </row>
    <row r="378" spans="1:27">
      <c r="B378" s="2871"/>
      <c r="C378" s="2646" t="s">
        <v>2257</v>
      </c>
      <c r="D378" s="2050"/>
      <c r="E378" s="2050"/>
      <c r="F378" s="2050"/>
      <c r="G378" s="2050"/>
      <c r="H378" s="2050"/>
      <c r="I378" s="2050"/>
      <c r="J378" s="2050"/>
      <c r="K378" s="2050"/>
      <c r="L378" s="2050"/>
      <c r="M378" s="2050"/>
      <c r="N378" s="2050"/>
      <c r="U378" s="363"/>
      <c r="V378" s="363"/>
    </row>
    <row r="379" spans="1:27">
      <c r="B379" s="2871"/>
      <c r="C379" s="2873" t="s">
        <v>432</v>
      </c>
      <c r="D379" s="302" t="s">
        <v>382</v>
      </c>
      <c r="E379" s="302" t="str">
        <f>Preferences.EnergyUnits</f>
        <v>TWh</v>
      </c>
      <c r="F379" s="2874">
        <f t="shared" ref="F379:N379" si="37">F374+F375</f>
        <v>9.7224220170000014E-2</v>
      </c>
      <c r="G379" s="2874">
        <f t="shared" si="37"/>
        <v>0.1143834792</v>
      </c>
      <c r="H379" s="2874">
        <f t="shared" si="37"/>
        <v>0.43708704496583328</v>
      </c>
      <c r="I379" s="2874">
        <f t="shared" si="37"/>
        <v>0.43000976772869509</v>
      </c>
      <c r="J379" s="2874">
        <f t="shared" si="37"/>
        <v>0.4235756479687835</v>
      </c>
      <c r="K379" s="2874">
        <f t="shared" si="37"/>
        <v>0.41849481104362085</v>
      </c>
      <c r="L379" s="2874">
        <f t="shared" si="37"/>
        <v>0.4138297069566883</v>
      </c>
      <c r="M379" s="2874">
        <f t="shared" si="37"/>
        <v>0.40862327064153176</v>
      </c>
      <c r="N379" s="2874">
        <f t="shared" si="37"/>
        <v>0.40213758533350341</v>
      </c>
      <c r="U379" s="363"/>
      <c r="V379" s="363"/>
      <c r="W379" s="374"/>
      <c r="X379" s="374"/>
      <c r="Y379" s="374"/>
      <c r="Z379" s="374"/>
      <c r="AA379" s="374"/>
    </row>
    <row r="380" spans="1:27">
      <c r="B380" s="2871"/>
      <c r="C380" s="2875" t="s">
        <v>98</v>
      </c>
      <c r="D380" s="435" t="s">
        <v>88</v>
      </c>
      <c r="E380" s="435" t="str">
        <f>Preferences.EnergyUnits</f>
        <v>TWh</v>
      </c>
      <c r="F380" s="3729">
        <f t="shared" ref="F380:N380" si="38">F376</f>
        <v>6.3749380800000005E-2</v>
      </c>
      <c r="G380" s="2876">
        <f t="shared" si="38"/>
        <v>6.568800000000001E-2</v>
      </c>
      <c r="H380" s="2876">
        <f t="shared" si="38"/>
        <v>0.25170110893975794</v>
      </c>
      <c r="I380" s="2876">
        <f t="shared" si="38"/>
        <v>0.24021866884806434</v>
      </c>
      <c r="J380" s="2876">
        <f t="shared" si="38"/>
        <v>0.22914024705996922</v>
      </c>
      <c r="K380" s="2876">
        <f t="shared" si="38"/>
        <v>0.22533488167895965</v>
      </c>
      <c r="L380" s="2876">
        <f t="shared" si="38"/>
        <v>0.22186590218798416</v>
      </c>
      <c r="M380" s="2876">
        <f t="shared" si="38"/>
        <v>0.21811357288438121</v>
      </c>
      <c r="N380" s="2876">
        <f t="shared" si="38"/>
        <v>0.2136046021465092</v>
      </c>
      <c r="U380" s="363"/>
      <c r="V380" s="363"/>
      <c r="W380" s="374"/>
      <c r="X380" s="374"/>
      <c r="Y380" s="374"/>
      <c r="Z380" s="374"/>
      <c r="AA380" s="374"/>
    </row>
    <row r="381" spans="1:27">
      <c r="B381" s="2871"/>
      <c r="C381" s="363"/>
      <c r="D381" s="363"/>
      <c r="E381" s="363"/>
      <c r="F381" s="2872"/>
      <c r="G381" s="2872"/>
      <c r="H381" s="2872"/>
      <c r="I381" s="2872"/>
      <c r="J381" s="2872"/>
      <c r="K381" s="2872"/>
      <c r="L381" s="2872"/>
      <c r="M381" s="2872"/>
      <c r="N381" s="2872"/>
      <c r="U381" s="363"/>
      <c r="V381" s="363"/>
      <c r="W381" s="374"/>
      <c r="X381" s="374"/>
      <c r="Y381" s="374"/>
      <c r="Z381" s="374"/>
      <c r="AA381" s="374"/>
    </row>
    <row r="382" spans="1:27" s="3725" customFormat="1">
      <c r="B382" s="2871"/>
      <c r="C382" s="363"/>
      <c r="D382" s="363"/>
      <c r="E382" s="363"/>
      <c r="F382" s="2872"/>
      <c r="G382" s="2872"/>
      <c r="H382" s="2872"/>
      <c r="I382" s="2872"/>
      <c r="J382" s="2872"/>
      <c r="K382" s="2872"/>
      <c r="L382" s="2872"/>
      <c r="M382" s="2872"/>
      <c r="N382" s="2872"/>
      <c r="U382" s="363"/>
      <c r="V382" s="363"/>
      <c r="W382" s="374"/>
      <c r="X382" s="374"/>
      <c r="Y382" s="374"/>
      <c r="Z382" s="374"/>
      <c r="AA382" s="374"/>
    </row>
    <row r="383" spans="1:27">
      <c r="B383" s="2871"/>
      <c r="E383" s="2889"/>
      <c r="U383" s="363"/>
      <c r="V383" s="363"/>
      <c r="W383" s="374"/>
      <c r="X383" s="374"/>
      <c r="Y383" s="374"/>
      <c r="Z383" s="374"/>
      <c r="AA383" s="374"/>
    </row>
    <row r="384" spans="1:27">
      <c r="B384" s="363">
        <v>2</v>
      </c>
      <c r="C384" s="363" t="s">
        <v>2258</v>
      </c>
      <c r="E384" s="2889"/>
      <c r="F384" s="363">
        <v>2013</v>
      </c>
      <c r="G384" s="363">
        <v>2015</v>
      </c>
      <c r="H384" s="363">
        <v>2020</v>
      </c>
      <c r="I384" s="363">
        <v>2025</v>
      </c>
      <c r="J384" s="363">
        <v>2030</v>
      </c>
      <c r="K384" s="363">
        <v>2035</v>
      </c>
      <c r="L384" s="363">
        <v>2040</v>
      </c>
      <c r="M384" s="363">
        <v>2045</v>
      </c>
      <c r="N384" s="363">
        <v>2050</v>
      </c>
      <c r="U384" s="363"/>
      <c r="V384" s="363"/>
    </row>
    <row r="385" spans="2:22">
      <c r="B385" s="2871"/>
      <c r="E385" s="2889"/>
      <c r="U385" s="363"/>
      <c r="V385" s="363"/>
    </row>
    <row r="386" spans="2:22">
      <c r="B386" s="2871"/>
      <c r="C386" s="2807" t="s">
        <v>2259</v>
      </c>
      <c r="E386" s="2889" t="s">
        <v>1981</v>
      </c>
      <c r="F386" s="2872">
        <f t="shared" ref="F386:N386" si="39">F$315*F$339</f>
        <v>0.21806400000000001</v>
      </c>
      <c r="G386" s="2872">
        <f t="shared" si="39"/>
        <v>0.23799999999999999</v>
      </c>
      <c r="H386" s="2872">
        <f t="shared" si="39"/>
        <v>0.30642857142857144</v>
      </c>
      <c r="I386" s="2872">
        <f t="shared" si="39"/>
        <v>0.36849332960850051</v>
      </c>
      <c r="J386" s="2872">
        <f t="shared" si="39"/>
        <v>0.433615195357682</v>
      </c>
      <c r="K386" s="2872">
        <f t="shared" si="39"/>
        <v>0.50179416867611604</v>
      </c>
      <c r="L386" s="2872">
        <f t="shared" si="39"/>
        <v>0.57303024956380244</v>
      </c>
      <c r="M386" s="2872">
        <f t="shared" si="39"/>
        <v>0.64732343802074133</v>
      </c>
      <c r="N386" s="2872">
        <f t="shared" si="39"/>
        <v>0.7246737340469328</v>
      </c>
      <c r="U386" s="363"/>
      <c r="V386" s="363"/>
    </row>
    <row r="387" spans="2:22">
      <c r="B387" s="2871"/>
      <c r="C387" s="414" t="s">
        <v>2254</v>
      </c>
      <c r="D387" s="2807" t="s">
        <v>2260</v>
      </c>
      <c r="E387" s="2889"/>
      <c r="F387" s="374">
        <f t="shared" ref="F387:N387" si="40">F386*$G$157*F109</f>
        <v>0</v>
      </c>
      <c r="G387" s="374">
        <f t="shared" si="40"/>
        <v>3.094E-3</v>
      </c>
      <c r="H387" s="374">
        <f t="shared" si="40"/>
        <v>1.8061512857142858E-2</v>
      </c>
      <c r="I387" s="374">
        <f t="shared" si="40"/>
        <v>2.8560444004636445E-2</v>
      </c>
      <c r="J387" s="374">
        <f t="shared" si="40"/>
        <v>4.165741181801251E-2</v>
      </c>
      <c r="K387" s="374">
        <f t="shared" si="40"/>
        <v>4.9247835993464398E-2</v>
      </c>
      <c r="L387" s="374">
        <f t="shared" si="40"/>
        <v>5.7427372520535584E-2</v>
      </c>
      <c r="M387" s="374">
        <f t="shared" si="40"/>
        <v>6.6215038136860638E-2</v>
      </c>
      <c r="N387" s="374">
        <f t="shared" si="40"/>
        <v>7.5629849580074085E-2</v>
      </c>
      <c r="U387" s="363"/>
      <c r="V387" s="363"/>
    </row>
    <row r="388" spans="2:22">
      <c r="B388" s="1333"/>
      <c r="E388" s="2889"/>
      <c r="U388" s="363"/>
      <c r="V388" s="363"/>
    </row>
    <row r="389" spans="2:22">
      <c r="B389" s="2877"/>
      <c r="C389" s="2807" t="s">
        <v>2261</v>
      </c>
      <c r="E389" s="2889" t="s">
        <v>1981</v>
      </c>
      <c r="F389" s="2872">
        <f t="shared" ref="F389:N389" si="41">F$316*F$340</f>
        <v>0.17846992</v>
      </c>
      <c r="G389" s="2872">
        <f t="shared" si="41"/>
        <v>0.19889999999999999</v>
      </c>
      <c r="H389" s="2872">
        <f t="shared" si="41"/>
        <v>0.26914901783277312</v>
      </c>
      <c r="I389" s="2872">
        <f t="shared" si="41"/>
        <v>0.33053047649842499</v>
      </c>
      <c r="J389" s="2872">
        <f t="shared" si="41"/>
        <v>0.39657098058670082</v>
      </c>
      <c r="K389" s="2872">
        <f t="shared" si="41"/>
        <v>0.4672705300976005</v>
      </c>
      <c r="L389" s="2872">
        <f t="shared" si="41"/>
        <v>0.54262912503112404</v>
      </c>
      <c r="M389" s="2872">
        <f t="shared" si="41"/>
        <v>0.62264676538727126</v>
      </c>
      <c r="N389" s="2872">
        <f t="shared" si="41"/>
        <v>0.70732345116604256</v>
      </c>
      <c r="U389" s="363"/>
      <c r="V389" s="363"/>
    </row>
    <row r="390" spans="2:22">
      <c r="B390" s="2871"/>
      <c r="C390" s="414" t="s">
        <v>2254</v>
      </c>
      <c r="D390" s="2807" t="s">
        <v>2260</v>
      </c>
      <c r="E390" s="2889"/>
      <c r="F390" s="374">
        <f t="shared" ref="F390:N390" si="42">F389*$H$157*F109</f>
        <v>0</v>
      </c>
      <c r="G390" s="374">
        <f t="shared" si="42"/>
        <v>1.49175E-3</v>
      </c>
      <c r="H390" s="374">
        <f t="shared" si="42"/>
        <v>9.1524123514034501E-3</v>
      </c>
      <c r="I390" s="374">
        <f t="shared" si="42"/>
        <v>1.4779670256627074E-2</v>
      </c>
      <c r="J390" s="374">
        <f t="shared" si="42"/>
        <v>2.1979946599017891E-2</v>
      </c>
      <c r="K390" s="374">
        <f t="shared" si="42"/>
        <v>2.6457441502288761E-2</v>
      </c>
      <c r="L390" s="374">
        <f t="shared" si="42"/>
        <v>3.1373459436487006E-2</v>
      </c>
      <c r="M390" s="374">
        <f t="shared" si="42"/>
        <v>3.6744720550873078E-2</v>
      </c>
      <c r="N390" s="374">
        <f t="shared" si="42"/>
        <v>4.2587944994707423E-2</v>
      </c>
      <c r="U390" s="363"/>
      <c r="V390" s="363"/>
    </row>
    <row r="391" spans="2:22">
      <c r="B391" s="2871"/>
      <c r="E391" s="2889"/>
      <c r="U391" s="363"/>
      <c r="V391" s="363"/>
    </row>
    <row r="392" spans="2:22">
      <c r="B392" s="2871"/>
      <c r="C392" s="2646" t="s">
        <v>2058</v>
      </c>
      <c r="D392" s="2050"/>
      <c r="E392" s="2050"/>
      <c r="F392" s="2050"/>
      <c r="G392" s="2050"/>
      <c r="H392" s="2050"/>
      <c r="I392" s="2050"/>
      <c r="J392" s="2050"/>
      <c r="K392" s="2050"/>
      <c r="L392" s="2050"/>
      <c r="M392" s="2050"/>
      <c r="N392" s="2050"/>
      <c r="U392" s="363"/>
      <c r="V392" s="363"/>
    </row>
    <row r="393" spans="2:22">
      <c r="B393" s="2871"/>
      <c r="C393" s="2647" t="s">
        <v>433</v>
      </c>
      <c r="D393" s="435" t="s">
        <v>383</v>
      </c>
      <c r="E393" s="1239" t="str">
        <f>Preferences.EnergyUnits</f>
        <v>TWh</v>
      </c>
      <c r="F393" s="2648">
        <f t="shared" ref="F393:N393" si="43">(F$387+F$390)*$F$165</f>
        <v>0</v>
      </c>
      <c r="G393" s="2648">
        <f t="shared" si="43"/>
        <v>6.3690972222222213E-3</v>
      </c>
      <c r="H393" s="2648">
        <f t="shared" si="43"/>
        <v>3.7797118345203204E-2</v>
      </c>
      <c r="I393" s="2648">
        <f t="shared" si="43"/>
        <v>6.0194603140643774E-2</v>
      </c>
      <c r="J393" s="2648">
        <f t="shared" si="43"/>
        <v>8.838522002365333E-2</v>
      </c>
      <c r="K393" s="2648">
        <f t="shared" si="43"/>
        <v>0.10514621874410161</v>
      </c>
      <c r="L393" s="2648">
        <f t="shared" si="43"/>
        <v>0.12333448882919805</v>
      </c>
      <c r="M393" s="2648">
        <f t="shared" si="43"/>
        <v>0.14299966484407459</v>
      </c>
      <c r="N393" s="2648">
        <f t="shared" si="43"/>
        <v>0.16419138135386321</v>
      </c>
      <c r="U393" s="363"/>
      <c r="V393" s="363"/>
    </row>
    <row r="394" spans="2:22">
      <c r="B394" s="2871"/>
      <c r="U394" s="363"/>
      <c r="V394" s="363"/>
    </row>
    <row r="395" spans="2:22">
      <c r="B395" s="2871"/>
      <c r="U395" s="363"/>
      <c r="V395" s="363"/>
    </row>
    <row r="396" spans="2:22">
      <c r="B396" s="2871"/>
      <c r="U396" s="363"/>
      <c r="V396" s="363"/>
    </row>
    <row r="397" spans="2:22">
      <c r="B397" s="363">
        <v>3</v>
      </c>
      <c r="C397" s="363" t="s">
        <v>2262</v>
      </c>
      <c r="U397" s="363"/>
      <c r="V397" s="363"/>
    </row>
    <row r="398" spans="2:22">
      <c r="U398" s="363"/>
      <c r="V398" s="363"/>
    </row>
    <row r="399" spans="2:22">
      <c r="C399" s="363" t="s">
        <v>2263</v>
      </c>
      <c r="E399" s="363" t="s">
        <v>2218</v>
      </c>
      <c r="F399" s="1190">
        <f t="shared" ref="F399:N399" si="44">F$319</f>
        <v>0.11999999999999997</v>
      </c>
      <c r="G399" s="366">
        <f t="shared" si="44"/>
        <v>0.11288288377961082</v>
      </c>
      <c r="H399" s="366">
        <f t="shared" si="44"/>
        <v>0.10576576755922167</v>
      </c>
      <c r="I399" s="366">
        <f t="shared" si="44"/>
        <v>9.8648651338832521E-2</v>
      </c>
      <c r="J399" s="366">
        <f t="shared" si="44"/>
        <v>9.1531535118443363E-2</v>
      </c>
      <c r="K399" s="366">
        <f t="shared" si="44"/>
        <v>8.4414418898054205E-2</v>
      </c>
      <c r="L399" s="366">
        <f t="shared" si="44"/>
        <v>7.7297302677665047E-2</v>
      </c>
      <c r="M399" s="366">
        <f t="shared" si="44"/>
        <v>7.0180186457275903E-2</v>
      </c>
      <c r="N399" s="366">
        <f t="shared" si="44"/>
        <v>6.3063070236886745E-2</v>
      </c>
      <c r="U399" s="363"/>
      <c r="V399" s="363"/>
    </row>
    <row r="400" spans="2:22">
      <c r="B400" s="2878" t="s">
        <v>219</v>
      </c>
      <c r="C400" s="414" t="s">
        <v>2264</v>
      </c>
      <c r="D400" s="414"/>
      <c r="E400" s="414"/>
      <c r="F400" s="1237">
        <f t="shared" ref="F400:N400" si="45">F136</f>
        <v>0.7</v>
      </c>
      <c r="G400" s="1237">
        <f t="shared" si="45"/>
        <v>0.73</v>
      </c>
      <c r="H400" s="1237">
        <f t="shared" si="45"/>
        <v>0.75</v>
      </c>
      <c r="I400" s="1237">
        <f t="shared" si="45"/>
        <v>0.7583333333333333</v>
      </c>
      <c r="J400" s="1237">
        <f t="shared" si="45"/>
        <v>0.76666666666666672</v>
      </c>
      <c r="K400" s="1237">
        <f t="shared" si="45"/>
        <v>0.77500000000000002</v>
      </c>
      <c r="L400" s="1237">
        <f t="shared" si="45"/>
        <v>0.78333333333333333</v>
      </c>
      <c r="M400" s="1237">
        <f t="shared" si="45"/>
        <v>0.79166666666666674</v>
      </c>
      <c r="N400" s="1237">
        <f t="shared" si="45"/>
        <v>0.8</v>
      </c>
      <c r="O400" s="414"/>
      <c r="Q400" s="414"/>
      <c r="R400" s="414"/>
      <c r="S400" s="414"/>
      <c r="T400" s="414"/>
      <c r="U400" s="363"/>
      <c r="V400" s="363"/>
    </row>
    <row r="401" spans="1:22">
      <c r="B401" s="2878" t="s">
        <v>219</v>
      </c>
      <c r="C401" s="414" t="s">
        <v>2265</v>
      </c>
      <c r="D401" s="414"/>
      <c r="E401" s="414"/>
      <c r="F401" s="1237">
        <f t="shared" ref="F401:N401" si="46">F145</f>
        <v>0.3</v>
      </c>
      <c r="G401" s="1237">
        <f t="shared" si="46"/>
        <v>0.35</v>
      </c>
      <c r="H401" s="1237">
        <f t="shared" si="46"/>
        <v>0.4</v>
      </c>
      <c r="I401" s="1237">
        <f t="shared" si="46"/>
        <v>0.48372093023255813</v>
      </c>
      <c r="J401" s="1237">
        <f t="shared" si="46"/>
        <v>0.50697674418604655</v>
      </c>
      <c r="K401" s="1237">
        <f t="shared" si="46"/>
        <v>0.53023255813953485</v>
      </c>
      <c r="L401" s="1237">
        <f t="shared" si="46"/>
        <v>0.55348837209302326</v>
      </c>
      <c r="M401" s="1237">
        <f t="shared" si="46"/>
        <v>0.57674418604651168</v>
      </c>
      <c r="N401" s="1237">
        <f t="shared" si="46"/>
        <v>0.6</v>
      </c>
      <c r="O401" s="414"/>
      <c r="Q401" s="414"/>
      <c r="R401" s="414"/>
      <c r="S401" s="414"/>
      <c r="T401" s="414"/>
      <c r="U401" s="363"/>
      <c r="V401" s="363"/>
    </row>
    <row r="402" spans="1:22">
      <c r="B402" s="370" t="s">
        <v>221</v>
      </c>
      <c r="C402" s="363" t="s">
        <v>2266</v>
      </c>
      <c r="D402" s="363"/>
      <c r="E402" s="363" t="s">
        <v>2218</v>
      </c>
      <c r="F402" s="1190">
        <f>F399*F400*F401</f>
        <v>2.5199999999999993E-2</v>
      </c>
      <c r="G402" s="366">
        <f t="shared" ref="G402:N402" si="47">G399*G400*G401</f>
        <v>2.8841576805690564E-2</v>
      </c>
      <c r="H402" s="366">
        <f t="shared" si="47"/>
        <v>3.1729730267766501E-2</v>
      </c>
      <c r="I402" s="366">
        <f t="shared" si="47"/>
        <v>3.6186466522120576E-2</v>
      </c>
      <c r="J402" s="366">
        <f t="shared" si="47"/>
        <v>3.5576675742936055E-2</v>
      </c>
      <c r="K402" s="366">
        <f t="shared" si="47"/>
        <v>3.4688436789037623E-2</v>
      </c>
      <c r="L402" s="366">
        <f t="shared" si="47"/>
        <v>3.3513473943889968E-2</v>
      </c>
      <c r="M402" s="366">
        <f t="shared" si="47"/>
        <v>3.2043511490957764E-2</v>
      </c>
      <c r="N402" s="366">
        <f t="shared" si="47"/>
        <v>3.0270273713705637E-2</v>
      </c>
      <c r="U402" s="363"/>
      <c r="V402" s="363"/>
    </row>
    <row r="403" spans="1:22">
      <c r="B403" s="370"/>
      <c r="C403" s="363"/>
      <c r="D403" s="363"/>
      <c r="E403" s="363"/>
      <c r="F403" s="366" t="s">
        <v>5</v>
      </c>
      <c r="G403" s="366"/>
      <c r="H403" s="366"/>
      <c r="I403" s="366"/>
      <c r="J403" s="366"/>
      <c r="K403" s="366"/>
      <c r="L403" s="366"/>
      <c r="M403" s="366"/>
      <c r="N403" s="366"/>
    </row>
    <row r="404" spans="1:22">
      <c r="B404" s="2878" t="s">
        <v>219</v>
      </c>
      <c r="C404" s="414" t="s">
        <v>2267</v>
      </c>
      <c r="D404" s="414"/>
      <c r="E404" s="2879"/>
      <c r="F404" s="1237">
        <f t="shared" ref="F404:N404" si="48">(1-F400)</f>
        <v>0.30000000000000004</v>
      </c>
      <c r="G404" s="1237">
        <f t="shared" si="48"/>
        <v>0.27</v>
      </c>
      <c r="H404" s="1237">
        <f t="shared" si="48"/>
        <v>0.25</v>
      </c>
      <c r="I404" s="1237">
        <f t="shared" si="48"/>
        <v>0.2416666666666667</v>
      </c>
      <c r="J404" s="1237">
        <f t="shared" si="48"/>
        <v>0.23333333333333328</v>
      </c>
      <c r="K404" s="1237">
        <f t="shared" si="48"/>
        <v>0.22499999999999998</v>
      </c>
      <c r="L404" s="1237">
        <f t="shared" si="48"/>
        <v>0.21666666666666667</v>
      </c>
      <c r="M404" s="1237">
        <f t="shared" si="48"/>
        <v>0.20833333333333326</v>
      </c>
      <c r="N404" s="1237">
        <f t="shared" si="48"/>
        <v>0.19999999999999996</v>
      </c>
      <c r="O404" s="414"/>
      <c r="Q404" s="414"/>
      <c r="R404" s="414"/>
      <c r="S404" s="414"/>
      <c r="T404" s="414"/>
    </row>
    <row r="405" spans="1:22">
      <c r="B405" s="370" t="s">
        <v>221</v>
      </c>
      <c r="C405" s="363" t="s">
        <v>2268</v>
      </c>
      <c r="E405" s="363" t="s">
        <v>254</v>
      </c>
      <c r="F405" s="3578">
        <f t="shared" ref="F405:N405" si="49">F399*F404*GWP.CH4</f>
        <v>0.75599999999999989</v>
      </c>
      <c r="G405" s="3578">
        <f t="shared" si="49"/>
        <v>0.64004595103039341</v>
      </c>
      <c r="H405" s="3578">
        <f t="shared" si="49"/>
        <v>0.55527027968591369</v>
      </c>
      <c r="I405" s="3578">
        <f t="shared" si="49"/>
        <v>0.50064190554457511</v>
      </c>
      <c r="J405" s="3578">
        <f t="shared" si="49"/>
        <v>0.44850452208037239</v>
      </c>
      <c r="K405" s="3578">
        <f t="shared" si="49"/>
        <v>0.39885812929330605</v>
      </c>
      <c r="L405" s="3578">
        <f t="shared" si="49"/>
        <v>0.35170272718337592</v>
      </c>
      <c r="M405" s="3578">
        <f t="shared" si="49"/>
        <v>0.30703831575058194</v>
      </c>
      <c r="N405" s="3578">
        <f t="shared" si="49"/>
        <v>0.26486489499492427</v>
      </c>
    </row>
    <row r="406" spans="1:22">
      <c r="B406" s="370"/>
      <c r="C406" s="363"/>
      <c r="E406" s="384"/>
      <c r="F406" s="992"/>
      <c r="G406" s="992"/>
      <c r="H406" s="992"/>
      <c r="I406" s="992"/>
      <c r="J406" s="992"/>
      <c r="K406" s="992"/>
      <c r="L406" s="992"/>
      <c r="M406" s="992"/>
      <c r="N406" s="992"/>
    </row>
    <row r="407" spans="1:22">
      <c r="B407" s="370"/>
      <c r="C407" s="2646" t="s">
        <v>2058</v>
      </c>
      <c r="D407" s="2050"/>
      <c r="E407" s="3730"/>
      <c r="F407" s="3730"/>
      <c r="G407" s="2050"/>
      <c r="H407" s="2050"/>
      <c r="I407" s="2050"/>
      <c r="J407" s="2050"/>
      <c r="K407" s="2050"/>
      <c r="L407" s="2050"/>
      <c r="M407" s="2050"/>
      <c r="N407" s="2050"/>
    </row>
    <row r="408" spans="1:22" s="3725" customFormat="1">
      <c r="B408" s="370"/>
      <c r="C408" s="432"/>
      <c r="D408" s="3735" t="s">
        <v>1307</v>
      </c>
      <c r="E408" s="3734"/>
      <c r="F408" s="3736">
        <v>0.34599999999999997</v>
      </c>
      <c r="G408" s="3736">
        <v>0.34599999999999997</v>
      </c>
      <c r="H408" s="3736">
        <v>0.34599999999999997</v>
      </c>
      <c r="I408" s="3736">
        <v>0.34599999999999997</v>
      </c>
      <c r="J408" s="3736">
        <v>0.34599999999999997</v>
      </c>
      <c r="K408" s="3736">
        <v>0.34599999999999997</v>
      </c>
      <c r="L408" s="3736">
        <v>0.34599999999999997</v>
      </c>
      <c r="M408" s="3736">
        <v>0.34599999999999997</v>
      </c>
      <c r="N408" s="3736">
        <v>0.34599999999999997</v>
      </c>
    </row>
    <row r="409" spans="1:22" ht="23.25">
      <c r="A409" s="7"/>
      <c r="B409" s="370"/>
      <c r="C409" s="2647" t="s">
        <v>434</v>
      </c>
      <c r="D409" s="435" t="s">
        <v>384</v>
      </c>
      <c r="E409" s="1239" t="str">
        <f>Preferences.EnergyUnits</f>
        <v>TWh</v>
      </c>
      <c r="F409" s="2056">
        <f>F402*$F$180*F408</f>
        <v>0.11749909065550901</v>
      </c>
      <c r="G409" s="2056">
        <f t="shared" ref="G409:N409" si="50">G402*$F$180*G408</f>
        <v>0.13447853364046278</v>
      </c>
      <c r="H409" s="2056">
        <f t="shared" si="50"/>
        <v>0.14794501798441054</v>
      </c>
      <c r="I409" s="2056">
        <f t="shared" si="50"/>
        <v>0.16872527422163447</v>
      </c>
      <c r="J409" s="2056">
        <f t="shared" si="50"/>
        <v>0.16588202572781321</v>
      </c>
      <c r="K409" s="2056">
        <f t="shared" si="50"/>
        <v>0.16174046741956455</v>
      </c>
      <c r="L409" s="2056">
        <f t="shared" si="50"/>
        <v>0.15626201242516538</v>
      </c>
      <c r="M409" s="2056">
        <f t="shared" si="50"/>
        <v>0.14940807387289254</v>
      </c>
      <c r="N409" s="2056">
        <f t="shared" si="50"/>
        <v>0.14114006489102265</v>
      </c>
    </row>
    <row r="410" spans="1:22">
      <c r="A410" s="2"/>
      <c r="B410" s="370"/>
      <c r="C410" s="363"/>
      <c r="F410" s="992"/>
      <c r="G410" s="992"/>
      <c r="H410" s="992"/>
      <c r="I410" s="992"/>
      <c r="J410" s="992"/>
      <c r="K410" s="992"/>
      <c r="L410" s="992"/>
      <c r="M410" s="992"/>
      <c r="N410" s="992"/>
    </row>
    <row r="411" spans="1:22">
      <c r="A411" s="2"/>
      <c r="B411" s="414"/>
      <c r="C411" s="414"/>
      <c r="D411" s="414"/>
      <c r="E411" s="414"/>
      <c r="F411" s="2880"/>
      <c r="G411" s="990"/>
      <c r="H411" s="990"/>
      <c r="I411" s="990"/>
      <c r="J411" s="990"/>
      <c r="K411" s="990"/>
      <c r="L411" s="990"/>
      <c r="M411" s="990"/>
      <c r="N411" s="990"/>
      <c r="O411" s="414"/>
      <c r="Q411" s="414"/>
      <c r="R411" s="414"/>
      <c r="S411" s="414"/>
      <c r="T411" s="414"/>
    </row>
    <row r="412" spans="1:22" s="414" customFormat="1">
      <c r="A412" s="2"/>
      <c r="B412" s="363">
        <v>4</v>
      </c>
      <c r="C412" s="363" t="s">
        <v>2269</v>
      </c>
      <c r="D412" s="2807"/>
      <c r="E412" s="2807"/>
      <c r="F412" s="374"/>
      <c r="G412" s="2807"/>
      <c r="H412" s="2807"/>
      <c r="I412" s="2807"/>
      <c r="J412" s="2807"/>
      <c r="K412" s="2807"/>
      <c r="L412" s="2807"/>
      <c r="M412" s="2807"/>
      <c r="N412" s="2807"/>
      <c r="O412" s="2807"/>
      <c r="Q412" s="2807"/>
      <c r="R412" s="2807"/>
      <c r="S412" s="2807"/>
      <c r="T412" s="2807"/>
      <c r="U412" s="2807"/>
      <c r="V412" s="2807"/>
    </row>
    <row r="413" spans="1:22" s="414" customFormat="1">
      <c r="A413" s="2"/>
      <c r="B413" s="2807"/>
      <c r="C413" s="363"/>
      <c r="D413" s="2807"/>
      <c r="E413" s="2807"/>
      <c r="F413" s="366"/>
      <c r="G413" s="366"/>
      <c r="H413" s="366"/>
      <c r="I413" s="366"/>
      <c r="J413" s="366"/>
      <c r="K413" s="366"/>
      <c r="L413" s="366"/>
      <c r="M413" s="366"/>
      <c r="N413" s="366"/>
      <c r="O413" s="2807"/>
      <c r="Q413" s="2807"/>
      <c r="R413" s="2807"/>
      <c r="S413" s="2807"/>
      <c r="T413" s="2807"/>
      <c r="U413" s="2807"/>
      <c r="V413" s="2807"/>
    </row>
    <row r="414" spans="1:22">
      <c r="A414" s="2"/>
      <c r="C414" s="363" t="s">
        <v>2270</v>
      </c>
      <c r="E414" s="363" t="s">
        <v>1981</v>
      </c>
      <c r="F414" s="1190">
        <f t="shared" ref="F414:N414" si="51">F$318</f>
        <v>6.4500000000000002E-2</v>
      </c>
      <c r="G414" s="366">
        <f t="shared" si="51"/>
        <v>6.1425E-2</v>
      </c>
      <c r="H414" s="366">
        <f t="shared" si="51"/>
        <v>6.2850000000000003E-2</v>
      </c>
      <c r="I414" s="366">
        <f t="shared" si="51"/>
        <v>6.4274999999999999E-2</v>
      </c>
      <c r="J414" s="366">
        <f t="shared" si="51"/>
        <v>6.5699999999999995E-2</v>
      </c>
      <c r="K414" s="366">
        <f t="shared" si="51"/>
        <v>6.712499999999999E-2</v>
      </c>
      <c r="L414" s="366">
        <f t="shared" si="51"/>
        <v>6.855E-2</v>
      </c>
      <c r="M414" s="366">
        <f t="shared" si="51"/>
        <v>6.9974999999999996E-2</v>
      </c>
      <c r="N414" s="366">
        <f t="shared" si="51"/>
        <v>7.1399999999999991E-2</v>
      </c>
    </row>
    <row r="415" spans="1:22">
      <c r="A415" s="2"/>
      <c r="C415" s="363"/>
      <c r="F415" s="374"/>
      <c r="G415" s="374"/>
      <c r="H415" s="374"/>
      <c r="I415" s="374"/>
      <c r="J415" s="374"/>
      <c r="K415" s="374"/>
      <c r="L415" s="374"/>
      <c r="M415" s="374"/>
      <c r="N415" s="374"/>
    </row>
    <row r="416" spans="1:22" s="414" customFormat="1">
      <c r="A416" s="2"/>
      <c r="B416" s="414" t="s">
        <v>219</v>
      </c>
      <c r="C416" s="414" t="s">
        <v>2271</v>
      </c>
      <c r="E416" s="1381" t="s">
        <v>2272</v>
      </c>
      <c r="F416" s="2881">
        <f>$F$175</f>
        <v>0.89235714285714285</v>
      </c>
      <c r="G416" s="2881"/>
      <c r="H416" s="2881"/>
      <c r="I416" s="2881"/>
      <c r="J416" s="2881"/>
      <c r="K416" s="2881"/>
      <c r="L416" s="2881"/>
      <c r="M416" s="2881"/>
      <c r="N416" s="2881"/>
      <c r="U416" s="2807"/>
      <c r="V416" s="2807"/>
    </row>
    <row r="417" spans="1:22">
      <c r="A417" s="2"/>
      <c r="B417" s="1624" t="s">
        <v>221</v>
      </c>
      <c r="C417" s="2" t="s">
        <v>2273</v>
      </c>
      <c r="D417" s="2"/>
      <c r="E417" s="2" t="s">
        <v>254</v>
      </c>
      <c r="F417" s="992">
        <f t="shared" ref="F417:N417" si="52">F414*$F416</f>
        <v>5.7557035714285713E-2</v>
      </c>
      <c r="G417" s="992">
        <f t="shared" si="52"/>
        <v>5.4813037500000002E-2</v>
      </c>
      <c r="H417" s="992">
        <f t="shared" si="52"/>
        <v>5.608464642857143E-2</v>
      </c>
      <c r="I417" s="992">
        <f t="shared" si="52"/>
        <v>5.7356255357142859E-2</v>
      </c>
      <c r="J417" s="992">
        <f t="shared" si="52"/>
        <v>5.862786428571428E-2</v>
      </c>
      <c r="K417" s="992">
        <f t="shared" si="52"/>
        <v>5.9899473214285702E-2</v>
      </c>
      <c r="L417" s="992">
        <f t="shared" si="52"/>
        <v>6.1171082142857144E-2</v>
      </c>
      <c r="M417" s="992">
        <f t="shared" si="52"/>
        <v>6.2442691071428566E-2</v>
      </c>
      <c r="N417" s="992">
        <f t="shared" si="52"/>
        <v>6.3714299999999988E-2</v>
      </c>
    </row>
    <row r="418" spans="1:22">
      <c r="A418" s="2"/>
      <c r="B418" s="988"/>
      <c r="C418" s="363"/>
      <c r="E418" s="363"/>
      <c r="F418" s="1190"/>
      <c r="G418" s="1190"/>
      <c r="H418" s="1190"/>
      <c r="I418" s="1190"/>
      <c r="J418" s="1190"/>
      <c r="K418" s="1190"/>
      <c r="L418" s="1190"/>
      <c r="M418" s="1190"/>
      <c r="N418" s="1190"/>
    </row>
    <row r="419" spans="1:22">
      <c r="A419" s="2"/>
      <c r="B419" s="414" t="s">
        <v>219</v>
      </c>
      <c r="C419" s="414" t="s">
        <v>2274</v>
      </c>
      <c r="D419" s="414"/>
      <c r="E419" s="2879"/>
      <c r="F419" s="1237">
        <f>F$327</f>
        <v>5.0000000000000001E-3</v>
      </c>
      <c r="G419" s="1237">
        <f t="shared" ref="G419:N419" si="53">G$327</f>
        <v>0.05</v>
      </c>
      <c r="H419" s="1237">
        <f t="shared" si="53"/>
        <v>0.20375000000000004</v>
      </c>
      <c r="I419" s="1237">
        <f t="shared" si="53"/>
        <v>0.30312500000000003</v>
      </c>
      <c r="J419" s="1237">
        <f t="shared" si="53"/>
        <v>0.40250000000000002</v>
      </c>
      <c r="K419" s="1237">
        <f t="shared" si="53"/>
        <v>0.50187499999999985</v>
      </c>
      <c r="L419" s="1237">
        <f t="shared" si="53"/>
        <v>0.60124999999999984</v>
      </c>
      <c r="M419" s="1237">
        <f t="shared" si="53"/>
        <v>0.70062499999999983</v>
      </c>
      <c r="N419" s="1237">
        <f t="shared" si="53"/>
        <v>0.79999999999999982</v>
      </c>
      <c r="O419" s="414"/>
      <c r="Q419" s="414"/>
      <c r="R419" s="414"/>
      <c r="S419" s="414"/>
      <c r="T419" s="414"/>
    </row>
    <row r="420" spans="1:22">
      <c r="A420" s="2"/>
      <c r="B420" s="988" t="s">
        <v>221</v>
      </c>
      <c r="C420" s="363" t="s">
        <v>2275</v>
      </c>
      <c r="E420" s="363" t="s">
        <v>1981</v>
      </c>
      <c r="F420" s="366">
        <f>F419*F$414</f>
        <v>3.2250000000000003E-4</v>
      </c>
      <c r="G420" s="366">
        <f t="shared" ref="G420:N420" si="54">G419*G$414</f>
        <v>3.0712500000000002E-3</v>
      </c>
      <c r="H420" s="366">
        <f t="shared" si="54"/>
        <v>1.2805687500000003E-2</v>
      </c>
      <c r="I420" s="366">
        <f t="shared" si="54"/>
        <v>1.9483359375000002E-2</v>
      </c>
      <c r="J420" s="366">
        <f t="shared" si="54"/>
        <v>2.6444249999999999E-2</v>
      </c>
      <c r="K420" s="366">
        <f t="shared" si="54"/>
        <v>3.3688359374999984E-2</v>
      </c>
      <c r="L420" s="366">
        <f t="shared" si="54"/>
        <v>4.1215687499999987E-2</v>
      </c>
      <c r="M420" s="366">
        <f t="shared" si="54"/>
        <v>4.9026234374999984E-2</v>
      </c>
      <c r="N420" s="366">
        <f t="shared" si="54"/>
        <v>5.7119999999999983E-2</v>
      </c>
    </row>
    <row r="421" spans="1:22">
      <c r="A421" s="2"/>
      <c r="B421" s="988"/>
      <c r="C421" s="363"/>
      <c r="F421" s="992"/>
      <c r="G421" s="992"/>
      <c r="H421" s="992"/>
      <c r="I421" s="992"/>
      <c r="J421" s="992"/>
      <c r="K421" s="992"/>
      <c r="L421" s="992"/>
      <c r="M421" s="992"/>
      <c r="N421" s="992"/>
    </row>
    <row r="422" spans="1:22" s="414" customFormat="1">
      <c r="A422" s="2"/>
      <c r="B422" s="988"/>
      <c r="C422" s="363" t="s">
        <v>2276</v>
      </c>
      <c r="D422" s="2807"/>
      <c r="E422" s="363" t="s">
        <v>1981</v>
      </c>
      <c r="F422" s="366">
        <f>F414-F420</f>
        <v>6.4177499999999998E-2</v>
      </c>
      <c r="G422" s="366">
        <f>G414-G420</f>
        <v>5.8353750000000003E-2</v>
      </c>
      <c r="H422" s="366">
        <f t="shared" ref="H422:N422" si="55">H414-H420</f>
        <v>5.00443125E-2</v>
      </c>
      <c r="I422" s="366">
        <f t="shared" si="55"/>
        <v>4.4791640624999997E-2</v>
      </c>
      <c r="J422" s="366">
        <f t="shared" si="55"/>
        <v>3.9255749999999992E-2</v>
      </c>
      <c r="K422" s="366">
        <f t="shared" si="55"/>
        <v>3.3436640625000007E-2</v>
      </c>
      <c r="L422" s="366">
        <f t="shared" si="55"/>
        <v>2.7334312500000013E-2</v>
      </c>
      <c r="M422" s="366">
        <f t="shared" si="55"/>
        <v>2.0948765625000011E-2</v>
      </c>
      <c r="N422" s="366">
        <f t="shared" si="55"/>
        <v>1.4280000000000008E-2</v>
      </c>
      <c r="O422" s="2807"/>
      <c r="Q422" s="2807"/>
      <c r="R422" s="2807"/>
      <c r="S422" s="2807"/>
      <c r="T422" s="2807"/>
      <c r="U422" s="2807"/>
      <c r="V422" s="2807"/>
    </row>
    <row r="423" spans="1:22">
      <c r="A423" s="2"/>
      <c r="B423" s="414" t="s">
        <v>219</v>
      </c>
      <c r="C423" s="414" t="s">
        <v>2277</v>
      </c>
      <c r="F423" s="2881">
        <f>$F$174</f>
        <v>2.42475</v>
      </c>
      <c r="G423" s="992"/>
      <c r="H423" s="992"/>
      <c r="I423" s="992"/>
      <c r="J423" s="992"/>
      <c r="K423" s="992"/>
      <c r="L423" s="992"/>
      <c r="M423" s="992"/>
      <c r="N423" s="992"/>
    </row>
    <row r="424" spans="1:22">
      <c r="A424" s="2"/>
      <c r="B424" s="1624" t="s">
        <v>221</v>
      </c>
      <c r="C424" s="2807" t="s">
        <v>2278</v>
      </c>
      <c r="E424" s="2" t="s">
        <v>254</v>
      </c>
      <c r="F424" s="3608">
        <f t="shared" ref="F424:N424" si="56">F422*$F423</f>
        <v>0.155614393125</v>
      </c>
      <c r="G424" s="3608">
        <f t="shared" si="56"/>
        <v>0.14149325531250001</v>
      </c>
      <c r="H424" s="3608">
        <f t="shared" si="56"/>
        <v>0.121344946734375</v>
      </c>
      <c r="I424" s="3608">
        <f t="shared" si="56"/>
        <v>0.10860853060546874</v>
      </c>
      <c r="J424" s="3608">
        <f t="shared" si="56"/>
        <v>9.5185379812499984E-2</v>
      </c>
      <c r="K424" s="3608">
        <f t="shared" si="56"/>
        <v>8.1075494355468763E-2</v>
      </c>
      <c r="L424" s="3608">
        <f t="shared" si="56"/>
        <v>6.6278874234375035E-2</v>
      </c>
      <c r="M424" s="3608">
        <f t="shared" si="56"/>
        <v>5.0795519449218778E-2</v>
      </c>
      <c r="N424" s="3608">
        <f t="shared" si="56"/>
        <v>3.462543000000002E-2</v>
      </c>
    </row>
    <row r="425" spans="1:22">
      <c r="A425" s="2"/>
      <c r="B425" s="988"/>
      <c r="C425" s="363"/>
      <c r="F425" s="992"/>
      <c r="G425" s="992"/>
      <c r="H425" s="992"/>
      <c r="I425" s="992"/>
      <c r="J425" s="992"/>
      <c r="K425" s="992"/>
      <c r="L425" s="992"/>
      <c r="M425" s="992"/>
      <c r="N425" s="992"/>
    </row>
    <row r="426" spans="1:22">
      <c r="A426" s="2"/>
      <c r="C426" s="2646" t="s">
        <v>2058</v>
      </c>
      <c r="D426" s="2050"/>
      <c r="E426" s="2050"/>
      <c r="F426" s="2050"/>
      <c r="G426" s="2050"/>
      <c r="H426" s="2050"/>
      <c r="I426" s="2050"/>
      <c r="J426" s="2050"/>
      <c r="K426" s="2050"/>
      <c r="L426" s="2050"/>
      <c r="M426" s="2050"/>
      <c r="N426" s="2050"/>
    </row>
    <row r="427" spans="1:22" s="3725" customFormat="1">
      <c r="A427" s="2"/>
      <c r="C427" s="432"/>
      <c r="D427" s="3735" t="s">
        <v>1307</v>
      </c>
      <c r="E427" s="398"/>
      <c r="F427" s="3740">
        <v>0.36</v>
      </c>
      <c r="G427" s="3740">
        <v>0.36</v>
      </c>
      <c r="H427" s="3740">
        <v>0.36</v>
      </c>
      <c r="I427" s="3740">
        <v>0.36</v>
      </c>
      <c r="J427" s="3740">
        <v>0.36</v>
      </c>
      <c r="K427" s="3740">
        <v>0.36</v>
      </c>
      <c r="L427" s="3740">
        <v>0.36</v>
      </c>
      <c r="M427" s="3740">
        <v>0.36</v>
      </c>
      <c r="N427" s="3740">
        <v>0.36</v>
      </c>
    </row>
    <row r="428" spans="1:22" s="414" customFormat="1">
      <c r="A428" s="2"/>
      <c r="B428" s="988"/>
      <c r="C428" s="2647" t="s">
        <v>433</v>
      </c>
      <c r="D428" s="435" t="s">
        <v>383</v>
      </c>
      <c r="E428" s="1239" t="str">
        <f>Preferences.EnergyUnits</f>
        <v>TWh</v>
      </c>
      <c r="F428" s="2648">
        <f t="shared" ref="F428:N428" si="57">F$420*$F$168*F427</f>
        <v>4.5150000000000008E-4</v>
      </c>
      <c r="G428" s="2648">
        <f t="shared" si="57"/>
        <v>4.2997500000000006E-3</v>
      </c>
      <c r="H428" s="2648">
        <f t="shared" si="57"/>
        <v>1.7927962500000005E-2</v>
      </c>
      <c r="I428" s="2648">
        <f t="shared" si="57"/>
        <v>2.7276703125000006E-2</v>
      </c>
      <c r="J428" s="2648">
        <f t="shared" si="57"/>
        <v>3.7021949999999998E-2</v>
      </c>
      <c r="K428" s="2648">
        <f t="shared" si="57"/>
        <v>4.7163703124999984E-2</v>
      </c>
      <c r="L428" s="2648">
        <f t="shared" si="57"/>
        <v>5.7701962499999981E-2</v>
      </c>
      <c r="M428" s="2648">
        <f t="shared" si="57"/>
        <v>6.8636728124999977E-2</v>
      </c>
      <c r="N428" s="2648">
        <f t="shared" si="57"/>
        <v>7.9967999999999984E-2</v>
      </c>
      <c r="O428" s="2807"/>
      <c r="Q428" s="2807"/>
      <c r="R428" s="2807"/>
      <c r="S428" s="2807"/>
      <c r="T428" s="2807"/>
      <c r="U428" s="2807"/>
      <c r="V428" s="2807"/>
    </row>
    <row r="429" spans="1:22" s="414" customFormat="1">
      <c r="A429" s="2"/>
      <c r="B429" s="988"/>
      <c r="C429" s="1720"/>
      <c r="D429" s="302"/>
      <c r="E429" s="398"/>
      <c r="F429" s="1455"/>
      <c r="G429" s="1455"/>
      <c r="H429" s="1455"/>
      <c r="I429" s="1455"/>
      <c r="J429" s="1455"/>
      <c r="K429" s="1455"/>
      <c r="L429" s="1455"/>
      <c r="M429" s="1455"/>
      <c r="N429" s="1455"/>
      <c r="O429" s="3641"/>
      <c r="Q429" s="3641"/>
      <c r="R429" s="3641"/>
      <c r="S429" s="3641"/>
      <c r="T429" s="3641"/>
      <c r="U429" s="3641"/>
      <c r="V429" s="3641"/>
    </row>
    <row r="430" spans="1:22" s="414" customFormat="1">
      <c r="A430" s="2"/>
      <c r="B430" s="988"/>
      <c r="C430" s="1720"/>
      <c r="D430" s="302"/>
      <c r="E430" s="398"/>
      <c r="F430" s="1455"/>
      <c r="G430" s="1455"/>
      <c r="H430" s="1455"/>
      <c r="I430" s="1455"/>
      <c r="J430" s="1455"/>
      <c r="K430" s="1455"/>
      <c r="L430" s="1455"/>
      <c r="M430" s="1455"/>
      <c r="N430" s="1455"/>
      <c r="O430" s="3641"/>
      <c r="Q430" s="3641"/>
      <c r="R430" s="3641"/>
      <c r="S430" s="3641"/>
      <c r="T430" s="3641"/>
      <c r="U430" s="3641"/>
      <c r="V430" s="3641"/>
    </row>
    <row r="431" spans="1:22">
      <c r="A431" s="2"/>
      <c r="B431" s="988"/>
      <c r="C431" s="1720"/>
      <c r="D431" s="302"/>
      <c r="E431" s="398"/>
      <c r="F431" s="1455"/>
      <c r="G431" s="1455"/>
      <c r="H431" s="1455"/>
      <c r="I431" s="1455"/>
      <c r="J431" s="1455"/>
      <c r="K431" s="1455"/>
      <c r="L431" s="1455"/>
      <c r="M431" s="1455"/>
      <c r="N431" s="1455"/>
    </row>
    <row r="432" spans="1:22">
      <c r="A432" s="2"/>
      <c r="B432" s="363">
        <v>5</v>
      </c>
      <c r="C432" s="363" t="s">
        <v>2279</v>
      </c>
      <c r="D432" s="302"/>
      <c r="E432" s="398"/>
      <c r="F432" s="1455"/>
      <c r="G432" s="1455"/>
      <c r="H432" s="1455"/>
      <c r="I432" s="1455"/>
      <c r="J432" s="1455"/>
      <c r="K432" s="1455"/>
      <c r="L432" s="1455"/>
      <c r="M432" s="1455"/>
      <c r="N432" s="1455"/>
    </row>
    <row r="433" spans="1:22" s="414" customFormat="1">
      <c r="A433" s="2"/>
      <c r="B433" s="363"/>
      <c r="C433" s="2" t="s">
        <v>2280</v>
      </c>
      <c r="D433" s="432"/>
      <c r="E433" s="302" t="s">
        <v>1981</v>
      </c>
      <c r="F433" s="2882">
        <f>SUM(F315:F316)</f>
        <v>2.4783369999999998</v>
      </c>
      <c r="G433" s="2882">
        <f t="shared" ref="G433:N433" si="58">SUM(G315:G316)</f>
        <v>2.57</v>
      </c>
      <c r="H433" s="2882">
        <f t="shared" si="58"/>
        <v>2.8175126747058821</v>
      </c>
      <c r="I433" s="2882">
        <f t="shared" si="58"/>
        <v>2.930039905837412</v>
      </c>
      <c r="J433" s="2882">
        <f t="shared" si="58"/>
        <v>3.042567136968942</v>
      </c>
      <c r="K433" s="2882">
        <f t="shared" si="58"/>
        <v>3.1550943681004719</v>
      </c>
      <c r="L433" s="2882">
        <f t="shared" si="58"/>
        <v>3.2676215992320023</v>
      </c>
      <c r="M433" s="2882">
        <f t="shared" si="58"/>
        <v>3.3801488303635319</v>
      </c>
      <c r="N433" s="2882">
        <f t="shared" si="58"/>
        <v>3.4926760614950618</v>
      </c>
      <c r="O433" s="363"/>
      <c r="Q433" s="363"/>
      <c r="R433" s="363"/>
      <c r="S433" s="363"/>
      <c r="T433" s="363"/>
      <c r="U433" s="2807"/>
      <c r="V433" s="2807"/>
    </row>
    <row r="434" spans="1:22">
      <c r="A434" s="2"/>
      <c r="B434" s="363"/>
      <c r="C434" s="2807" t="s">
        <v>2281</v>
      </c>
      <c r="D434" s="432"/>
      <c r="E434" s="302" t="s">
        <v>1981</v>
      </c>
      <c r="F434" s="2785">
        <f>SUMPRODUCT(F$315:F$316,F$324:F$325)</f>
        <v>0.17348359000000002</v>
      </c>
      <c r="G434" s="2882">
        <f t="shared" ref="G434:N434" si="59">SUMPRODUCT(G$315:G$316,G$324:G$325)</f>
        <v>0.1799</v>
      </c>
      <c r="H434" s="2882">
        <f t="shared" si="59"/>
        <v>0.7</v>
      </c>
      <c r="I434" s="2882">
        <f t="shared" si="59"/>
        <v>0.67246817511022572</v>
      </c>
      <c r="J434" s="2882">
        <f t="shared" si="59"/>
        <v>0.64539302905401807</v>
      </c>
      <c r="K434" s="2882">
        <f t="shared" si="59"/>
        <v>0.63831388950009549</v>
      </c>
      <c r="L434" s="2882">
        <f t="shared" si="59"/>
        <v>0.63186053023823241</v>
      </c>
      <c r="M434" s="2882">
        <f t="shared" si="59"/>
        <v>0.62430189479009823</v>
      </c>
      <c r="N434" s="2882">
        <f t="shared" si="59"/>
        <v>0.61428975955943299</v>
      </c>
      <c r="O434" s="363"/>
      <c r="Q434" s="363"/>
      <c r="R434" s="363"/>
      <c r="S434" s="363"/>
      <c r="T434" s="363"/>
    </row>
    <row r="435" spans="1:22">
      <c r="A435" s="2"/>
      <c r="B435" s="363"/>
      <c r="C435" s="2807" t="s">
        <v>2282</v>
      </c>
      <c r="D435" s="432"/>
      <c r="E435" s="302" t="s">
        <v>1981</v>
      </c>
      <c r="F435" s="2882">
        <f t="shared" ref="F435:N435" si="60">SUMPRODUCT(F$315:F$316,F$332:F$333)</f>
        <v>1.0161181699999999</v>
      </c>
      <c r="G435" s="2882">
        <f t="shared" si="60"/>
        <v>0.89949999999999997</v>
      </c>
      <c r="H435" s="2882">
        <f t="shared" si="60"/>
        <v>0.55364124057970587</v>
      </c>
      <c r="I435" s="2882">
        <f t="shared" si="60"/>
        <v>0.38632576158466281</v>
      </c>
      <c r="J435" s="2882">
        <f t="shared" si="60"/>
        <v>0.20446051160431289</v>
      </c>
      <c r="K435" s="2882">
        <f t="shared" si="60"/>
        <v>0.17400345440074103</v>
      </c>
      <c r="L435" s="2882">
        <f t="shared" si="60"/>
        <v>0.14083449092689931</v>
      </c>
      <c r="M435" s="2882">
        <f t="shared" si="60"/>
        <v>0.10495362118278767</v>
      </c>
      <c r="N435" s="2882">
        <f t="shared" si="60"/>
        <v>6.636084516840618E-2</v>
      </c>
      <c r="O435" s="363"/>
      <c r="Q435" s="363"/>
      <c r="R435" s="363"/>
      <c r="S435" s="363"/>
      <c r="T435" s="363"/>
    </row>
    <row r="436" spans="1:22">
      <c r="A436" s="2"/>
      <c r="B436" s="363"/>
      <c r="C436" s="2" t="s">
        <v>2283</v>
      </c>
      <c r="D436" s="432"/>
      <c r="E436" s="302" t="s">
        <v>1981</v>
      </c>
      <c r="F436" s="2882">
        <f t="shared" ref="F436:N436" si="61">SUMPRODUCT(F315:F316,F339:F340)</f>
        <v>0.39653391999999998</v>
      </c>
      <c r="G436" s="2882">
        <f t="shared" si="61"/>
        <v>0.43689999999999996</v>
      </c>
      <c r="H436" s="2882">
        <f t="shared" si="61"/>
        <v>0.57557758926134461</v>
      </c>
      <c r="I436" s="2882">
        <f t="shared" si="61"/>
        <v>0.69902380610692549</v>
      </c>
      <c r="J436" s="2882">
        <f t="shared" si="61"/>
        <v>0.83018617594438282</v>
      </c>
      <c r="K436" s="2882">
        <f t="shared" si="61"/>
        <v>0.96906469877371659</v>
      </c>
      <c r="L436" s="2882">
        <f t="shared" si="61"/>
        <v>1.1156593745949266</v>
      </c>
      <c r="M436" s="2882">
        <f t="shared" si="61"/>
        <v>1.2699702034080125</v>
      </c>
      <c r="N436" s="2882">
        <f t="shared" si="61"/>
        <v>1.4319971852129754</v>
      </c>
      <c r="O436" s="363"/>
      <c r="Q436" s="363"/>
      <c r="R436" s="363"/>
      <c r="S436" s="363"/>
      <c r="T436" s="363"/>
    </row>
    <row r="437" spans="1:22">
      <c r="A437" s="2"/>
      <c r="B437" s="363"/>
      <c r="C437" s="2"/>
      <c r="D437" s="432"/>
      <c r="E437" s="302"/>
      <c r="F437" s="2882"/>
      <c r="G437" s="2882"/>
      <c r="H437" s="2882"/>
      <c r="I437" s="2882"/>
      <c r="J437" s="2882"/>
      <c r="K437" s="2882"/>
      <c r="L437" s="2882"/>
      <c r="M437" s="2882"/>
      <c r="N437" s="2882"/>
      <c r="O437" s="363"/>
      <c r="Q437" s="363"/>
      <c r="R437" s="363"/>
      <c r="S437" s="363"/>
      <c r="T437" s="363"/>
    </row>
    <row r="438" spans="1:22">
      <c r="A438" s="2"/>
      <c r="B438" s="363"/>
      <c r="C438" s="2807" t="s">
        <v>2284</v>
      </c>
      <c r="D438" s="432"/>
      <c r="E438" s="302" t="s">
        <v>1981</v>
      </c>
      <c r="F438" s="2785">
        <f>SUM(F387,F390)</f>
        <v>0</v>
      </c>
      <c r="G438" s="2785">
        <f t="shared" ref="G438:N438" si="62">SUM(G387,G390)</f>
        <v>4.5857499999999995E-3</v>
      </c>
      <c r="H438" s="2785">
        <f t="shared" si="62"/>
        <v>2.7213925208546309E-2</v>
      </c>
      <c r="I438" s="2785">
        <f t="shared" si="62"/>
        <v>4.3340114261263517E-2</v>
      </c>
      <c r="J438" s="2785">
        <f t="shared" si="62"/>
        <v>6.3637358417030401E-2</v>
      </c>
      <c r="K438" s="2785">
        <f t="shared" si="62"/>
        <v>7.5705277495753162E-2</v>
      </c>
      <c r="L438" s="2785">
        <f t="shared" si="62"/>
        <v>8.8800831957022597E-2</v>
      </c>
      <c r="M438" s="2785">
        <f t="shared" si="62"/>
        <v>0.10295975868773372</v>
      </c>
      <c r="N438" s="2785">
        <f t="shared" si="62"/>
        <v>0.11821779457478152</v>
      </c>
      <c r="O438" s="363"/>
      <c r="Q438" s="363"/>
      <c r="R438" s="363"/>
      <c r="S438" s="363"/>
      <c r="T438" s="363"/>
    </row>
    <row r="439" spans="1:22">
      <c r="A439" s="2"/>
      <c r="B439" s="363"/>
      <c r="D439" s="432"/>
      <c r="E439" s="302"/>
      <c r="F439" s="406"/>
      <c r="G439" s="406"/>
      <c r="H439" s="406"/>
      <c r="I439" s="406"/>
      <c r="J439" s="406"/>
      <c r="K439" s="406"/>
      <c r="L439" s="406"/>
      <c r="M439" s="406"/>
      <c r="N439" s="406"/>
      <c r="O439" s="363"/>
      <c r="Q439" s="363"/>
      <c r="R439" s="363"/>
      <c r="S439" s="363"/>
      <c r="T439" s="363"/>
    </row>
    <row r="440" spans="1:22">
      <c r="A440" s="2"/>
      <c r="B440" s="363"/>
      <c r="C440" s="2807" t="s">
        <v>2285</v>
      </c>
      <c r="D440" s="432"/>
      <c r="E440" s="86" t="s">
        <v>760</v>
      </c>
      <c r="F440" s="2882">
        <v>18</v>
      </c>
      <c r="G440" s="2882">
        <f>G435/$E$196</f>
        <v>14.991666666666667</v>
      </c>
      <c r="H440" s="2882">
        <f t="shared" ref="H440:N440" si="63">H435/$E$196</f>
        <v>9.2273540096617648</v>
      </c>
      <c r="I440" s="2882">
        <f t="shared" si="63"/>
        <v>6.438762693077714</v>
      </c>
      <c r="J440" s="2882">
        <f t="shared" si="63"/>
        <v>3.4076751934052147</v>
      </c>
      <c r="K440" s="2882">
        <f t="shared" si="63"/>
        <v>2.9000575733456837</v>
      </c>
      <c r="L440" s="2882">
        <f t="shared" si="63"/>
        <v>2.3472415154483222</v>
      </c>
      <c r="M440" s="2882">
        <f t="shared" si="63"/>
        <v>1.7492270197131279</v>
      </c>
      <c r="N440" s="2882">
        <f t="shared" si="63"/>
        <v>1.1060140861401031</v>
      </c>
      <c r="O440" s="363"/>
      <c r="Q440" s="363"/>
      <c r="R440" s="363"/>
      <c r="S440" s="363"/>
      <c r="T440" s="363"/>
    </row>
    <row r="441" spans="1:22">
      <c r="A441" s="2"/>
      <c r="B441" s="363"/>
      <c r="C441" s="2807" t="s">
        <v>2286</v>
      </c>
      <c r="D441" s="432"/>
      <c r="E441" s="86" t="s">
        <v>760</v>
      </c>
      <c r="F441" s="2882">
        <f>F$440/3</f>
        <v>6</v>
      </c>
      <c r="G441" s="2882">
        <f>MAX(G440-SUM(G442:G443),0)</f>
        <v>2.9916666666666671</v>
      </c>
      <c r="H441" s="2882">
        <f t="shared" ref="H441:N441" si="64">MAX(H440-SUM(H442:H443),0)</f>
        <v>0.23568734299509764</v>
      </c>
      <c r="I441" s="2882">
        <f t="shared" si="64"/>
        <v>3.2114086834159492</v>
      </c>
      <c r="J441" s="2882">
        <f t="shared" si="64"/>
        <v>0</v>
      </c>
      <c r="K441" s="2882">
        <f t="shared" si="64"/>
        <v>0</v>
      </c>
      <c r="L441" s="2882">
        <f t="shared" si="64"/>
        <v>2.3472415154483222</v>
      </c>
      <c r="M441" s="2882">
        <f t="shared" si="64"/>
        <v>0</v>
      </c>
      <c r="N441" s="2882">
        <f t="shared" si="64"/>
        <v>0</v>
      </c>
      <c r="O441" s="363"/>
      <c r="Q441" s="363"/>
      <c r="R441" s="363"/>
      <c r="S441" s="363"/>
      <c r="T441" s="363"/>
    </row>
    <row r="442" spans="1:22">
      <c r="A442" s="2"/>
      <c r="B442" s="363"/>
      <c r="C442" s="2807" t="s">
        <v>2287</v>
      </c>
      <c r="D442" s="432"/>
      <c r="E442" s="86" t="s">
        <v>760</v>
      </c>
      <c r="F442" s="2882">
        <f>F$440/3</f>
        <v>6</v>
      </c>
      <c r="G442" s="2882">
        <f>F441</f>
        <v>6</v>
      </c>
      <c r="H442" s="2882">
        <f>G441</f>
        <v>2.9916666666666671</v>
      </c>
      <c r="I442" s="2882">
        <f t="shared" ref="I442:N443" si="65">H441</f>
        <v>0.23568734299509764</v>
      </c>
      <c r="J442" s="2882">
        <f t="shared" si="65"/>
        <v>3.2114086834159492</v>
      </c>
      <c r="K442" s="2882">
        <f t="shared" si="65"/>
        <v>0</v>
      </c>
      <c r="L442" s="2882">
        <f t="shared" si="65"/>
        <v>0</v>
      </c>
      <c r="M442" s="2882">
        <f t="shared" si="65"/>
        <v>2.3472415154483222</v>
      </c>
      <c r="N442" s="2882">
        <f t="shared" si="65"/>
        <v>0</v>
      </c>
      <c r="O442" s="363"/>
      <c r="Q442" s="363"/>
      <c r="R442" s="363"/>
      <c r="S442" s="363"/>
      <c r="T442" s="363"/>
    </row>
    <row r="443" spans="1:22">
      <c r="A443" s="2"/>
      <c r="B443" s="363"/>
      <c r="C443" s="2807" t="s">
        <v>2288</v>
      </c>
      <c r="D443" s="432"/>
      <c r="E443" s="86" t="s">
        <v>760</v>
      </c>
      <c r="F443" s="2882">
        <f>F$440/3</f>
        <v>6</v>
      </c>
      <c r="G443" s="2882">
        <f>F442</f>
        <v>6</v>
      </c>
      <c r="H443" s="2882">
        <f>G442</f>
        <v>6</v>
      </c>
      <c r="I443" s="2882">
        <f t="shared" si="65"/>
        <v>2.9916666666666671</v>
      </c>
      <c r="J443" s="2882">
        <f t="shared" si="65"/>
        <v>0.23568734299509764</v>
      </c>
      <c r="K443" s="2882">
        <f t="shared" si="65"/>
        <v>3.2114086834159492</v>
      </c>
      <c r="L443" s="2882">
        <f t="shared" si="65"/>
        <v>0</v>
      </c>
      <c r="M443" s="2882">
        <f t="shared" si="65"/>
        <v>0</v>
      </c>
      <c r="N443" s="2882">
        <f t="shared" si="65"/>
        <v>2.3472415154483222</v>
      </c>
      <c r="O443" s="363"/>
      <c r="Q443" s="363"/>
      <c r="R443" s="363"/>
      <c r="S443" s="363"/>
      <c r="T443" s="363"/>
    </row>
    <row r="444" spans="1:22" s="363" customFormat="1">
      <c r="A444" s="2"/>
      <c r="C444" s="2807"/>
      <c r="D444" s="432"/>
      <c r="E444" s="86"/>
      <c r="F444" s="2882"/>
      <c r="G444" s="2882"/>
      <c r="H444" s="2882"/>
      <c r="I444" s="2882"/>
      <c r="J444" s="2882"/>
      <c r="K444" s="2882"/>
      <c r="L444" s="2882"/>
      <c r="M444" s="2882"/>
      <c r="N444" s="2882"/>
      <c r="U444" s="2807"/>
      <c r="V444" s="2807"/>
    </row>
    <row r="445" spans="1:22" s="363" customFormat="1">
      <c r="A445" s="2"/>
      <c r="C445" s="2807" t="s">
        <v>2289</v>
      </c>
      <c r="D445" s="432"/>
      <c r="E445" s="86" t="s">
        <v>760</v>
      </c>
      <c r="F445" s="2882">
        <f t="shared" ref="F445:N445" si="66">F399/$E$201</f>
        <v>12.6</v>
      </c>
      <c r="G445" s="2882">
        <f t="shared" si="66"/>
        <v>11.852702796859139</v>
      </c>
      <c r="H445" s="2882">
        <f t="shared" si="66"/>
        <v>11.105405593718277</v>
      </c>
      <c r="I445" s="2882">
        <f t="shared" si="66"/>
        <v>10.358108390577417</v>
      </c>
      <c r="J445" s="2882">
        <f t="shared" si="66"/>
        <v>9.6108111874365552</v>
      </c>
      <c r="K445" s="2882">
        <f t="shared" si="66"/>
        <v>8.8635139842956931</v>
      </c>
      <c r="L445" s="2882">
        <f t="shared" si="66"/>
        <v>8.1162167811548329</v>
      </c>
      <c r="M445" s="2882">
        <f t="shared" si="66"/>
        <v>7.3689195780139718</v>
      </c>
      <c r="N445" s="2882">
        <f t="shared" si="66"/>
        <v>6.6216223748731098</v>
      </c>
      <c r="U445" s="2807"/>
      <c r="V445" s="2807"/>
    </row>
    <row r="446" spans="1:22" s="363" customFormat="1">
      <c r="A446" s="2"/>
      <c r="C446" s="2807" t="s">
        <v>2286</v>
      </c>
      <c r="D446" s="432"/>
      <c r="E446" s="86" t="s">
        <v>760</v>
      </c>
      <c r="F446" s="2882">
        <f>F$445/3</f>
        <v>4.2</v>
      </c>
      <c r="G446" s="2882">
        <f>MAX(G445-SUM(G447:G448),0)</f>
        <v>3.4527027968591391</v>
      </c>
      <c r="H446" s="2882">
        <f t="shared" ref="H446:N446" si="67">MAX(H445-SUM(H447:H448),0)</f>
        <v>3.4527027968591382</v>
      </c>
      <c r="I446" s="2882">
        <f t="shared" si="67"/>
        <v>3.4527027968591399</v>
      </c>
      <c r="J446" s="2882">
        <f t="shared" si="67"/>
        <v>2.705405593718277</v>
      </c>
      <c r="K446" s="2882">
        <f t="shared" si="67"/>
        <v>2.7054055937182762</v>
      </c>
      <c r="L446" s="2882">
        <f t="shared" si="67"/>
        <v>2.7054055937182797</v>
      </c>
      <c r="M446" s="2882">
        <f t="shared" si="67"/>
        <v>1.9581083905774159</v>
      </c>
      <c r="N446" s="2882">
        <f t="shared" si="67"/>
        <v>1.9581083905774141</v>
      </c>
      <c r="U446" s="2807"/>
      <c r="V446" s="2807"/>
    </row>
    <row r="447" spans="1:22" s="363" customFormat="1">
      <c r="A447" s="2"/>
      <c r="C447" s="2807" t="s">
        <v>2287</v>
      </c>
      <c r="D447" s="432"/>
      <c r="E447" s="86" t="s">
        <v>760</v>
      </c>
      <c r="F447" s="2882">
        <f>F$445/3</f>
        <v>4.2</v>
      </c>
      <c r="G447" s="2882">
        <f>F446</f>
        <v>4.2</v>
      </c>
      <c r="H447" s="2882">
        <f>G446</f>
        <v>3.4527027968591391</v>
      </c>
      <c r="I447" s="2882">
        <f t="shared" ref="I447:N448" si="68">H446</f>
        <v>3.4527027968591382</v>
      </c>
      <c r="J447" s="2882">
        <f t="shared" si="68"/>
        <v>3.4527027968591399</v>
      </c>
      <c r="K447" s="2882">
        <f t="shared" si="68"/>
        <v>2.705405593718277</v>
      </c>
      <c r="L447" s="2882">
        <f t="shared" si="68"/>
        <v>2.7054055937182762</v>
      </c>
      <c r="M447" s="2882">
        <f t="shared" si="68"/>
        <v>2.7054055937182797</v>
      </c>
      <c r="N447" s="2882">
        <f t="shared" si="68"/>
        <v>1.9581083905774159</v>
      </c>
      <c r="U447" s="2807"/>
      <c r="V447" s="2807"/>
    </row>
    <row r="448" spans="1:22" s="363" customFormat="1">
      <c r="A448" s="2"/>
      <c r="C448" s="2807" t="s">
        <v>2288</v>
      </c>
      <c r="D448" s="432"/>
      <c r="E448" s="86" t="s">
        <v>760</v>
      </c>
      <c r="F448" s="2882">
        <f>F$445/3</f>
        <v>4.2</v>
      </c>
      <c r="G448" s="2882">
        <f>F447</f>
        <v>4.2</v>
      </c>
      <c r="H448" s="2882">
        <f>G447</f>
        <v>4.2</v>
      </c>
      <c r="I448" s="2882">
        <f t="shared" si="68"/>
        <v>3.4527027968591391</v>
      </c>
      <c r="J448" s="2882">
        <f t="shared" si="68"/>
        <v>3.4527027968591382</v>
      </c>
      <c r="K448" s="2882">
        <f t="shared" si="68"/>
        <v>3.4527027968591399</v>
      </c>
      <c r="L448" s="2882">
        <f t="shared" si="68"/>
        <v>2.705405593718277</v>
      </c>
      <c r="M448" s="2882">
        <f t="shared" si="68"/>
        <v>2.7054055937182762</v>
      </c>
      <c r="N448" s="2882">
        <f t="shared" si="68"/>
        <v>2.7054055937182797</v>
      </c>
      <c r="U448" s="2807"/>
      <c r="V448" s="2807"/>
    </row>
    <row r="449" spans="1:22" s="363" customFormat="1">
      <c r="A449" s="2"/>
      <c r="C449" s="2807"/>
      <c r="D449" s="432"/>
      <c r="E449" s="86"/>
      <c r="F449" s="2882"/>
      <c r="G449" s="2882"/>
      <c r="H449" s="2882"/>
      <c r="I449" s="2882"/>
      <c r="J449" s="2882"/>
      <c r="K449" s="2882"/>
      <c r="L449" s="2882"/>
      <c r="M449" s="2882"/>
      <c r="N449" s="2882"/>
      <c r="U449" s="2807"/>
      <c r="V449" s="2807"/>
    </row>
    <row r="450" spans="1:22" s="363" customFormat="1">
      <c r="A450" s="2"/>
      <c r="C450" s="2807" t="s">
        <v>2290</v>
      </c>
      <c r="D450" s="432"/>
      <c r="E450" s="86" t="s">
        <v>760</v>
      </c>
      <c r="F450" s="2882">
        <f t="shared" ref="F450:N450" si="69">F402/$E$202</f>
        <v>5.3999999999999995</v>
      </c>
      <c r="G450" s="2882">
        <f t="shared" si="69"/>
        <v>6.1803378869336925</v>
      </c>
      <c r="H450" s="2882">
        <f t="shared" si="69"/>
        <v>6.7992279145213939</v>
      </c>
      <c r="I450" s="2882">
        <f t="shared" si="69"/>
        <v>7.7542428261686958</v>
      </c>
      <c r="J450" s="2882">
        <f t="shared" si="69"/>
        <v>7.6235733734862983</v>
      </c>
      <c r="K450" s="2882">
        <f t="shared" si="69"/>
        <v>7.4332364547937768</v>
      </c>
      <c r="L450" s="2882">
        <f t="shared" si="69"/>
        <v>7.1814587022621366</v>
      </c>
      <c r="M450" s="2882">
        <f t="shared" si="69"/>
        <v>6.8664667480623791</v>
      </c>
      <c r="N450" s="2882">
        <f t="shared" si="69"/>
        <v>6.4864872243654945</v>
      </c>
      <c r="U450" s="2807"/>
      <c r="V450" s="2807"/>
    </row>
    <row r="451" spans="1:22" s="363" customFormat="1">
      <c r="A451" s="2"/>
      <c r="C451" s="2807" t="s">
        <v>2286</v>
      </c>
      <c r="D451" s="432"/>
      <c r="E451" s="86" t="s">
        <v>760</v>
      </c>
      <c r="F451" s="2882">
        <f>F$450/3</f>
        <v>1.7999999999999998</v>
      </c>
      <c r="G451" s="2882">
        <f>MAX(G450-SUM(G452:G453),0)</f>
        <v>2.5803378869336928</v>
      </c>
      <c r="H451" s="2882">
        <f t="shared" ref="H451:N451" si="70">MAX(H450-SUM(H452:H453),0)</f>
        <v>2.4188900275877012</v>
      </c>
      <c r="I451" s="2882">
        <f t="shared" si="70"/>
        <v>2.7550149116473017</v>
      </c>
      <c r="J451" s="2882">
        <f t="shared" si="70"/>
        <v>2.4496684342512953</v>
      </c>
      <c r="K451" s="2882">
        <f t="shared" si="70"/>
        <v>2.2285531088951798</v>
      </c>
      <c r="L451" s="2882">
        <f t="shared" si="70"/>
        <v>2.5032371591156615</v>
      </c>
      <c r="M451" s="2882">
        <f t="shared" si="70"/>
        <v>2.1346764800515379</v>
      </c>
      <c r="N451" s="2882">
        <f t="shared" si="70"/>
        <v>1.8485735851982952</v>
      </c>
      <c r="U451" s="2807"/>
      <c r="V451" s="2807"/>
    </row>
    <row r="452" spans="1:22" s="363" customFormat="1">
      <c r="A452" s="2"/>
      <c r="C452" s="2807" t="s">
        <v>2287</v>
      </c>
      <c r="D452" s="432"/>
      <c r="E452" s="86" t="s">
        <v>760</v>
      </c>
      <c r="F452" s="2882">
        <f>F$450/3</f>
        <v>1.7999999999999998</v>
      </c>
      <c r="G452" s="2882">
        <f>F451</f>
        <v>1.7999999999999998</v>
      </c>
      <c r="H452" s="2882">
        <f>G451</f>
        <v>2.5803378869336928</v>
      </c>
      <c r="I452" s="2882">
        <f t="shared" ref="I452:N453" si="71">H451</f>
        <v>2.4188900275877012</v>
      </c>
      <c r="J452" s="2882">
        <f t="shared" si="71"/>
        <v>2.7550149116473017</v>
      </c>
      <c r="K452" s="2882">
        <f t="shared" si="71"/>
        <v>2.4496684342512953</v>
      </c>
      <c r="L452" s="2882">
        <f t="shared" si="71"/>
        <v>2.2285531088951798</v>
      </c>
      <c r="M452" s="2882">
        <f t="shared" si="71"/>
        <v>2.5032371591156615</v>
      </c>
      <c r="N452" s="2882">
        <f t="shared" si="71"/>
        <v>2.1346764800515379</v>
      </c>
      <c r="U452" s="2807"/>
      <c r="V452" s="2807"/>
    </row>
    <row r="453" spans="1:22" s="363" customFormat="1">
      <c r="A453" s="2"/>
      <c r="C453" s="2807" t="s">
        <v>2288</v>
      </c>
      <c r="D453" s="432"/>
      <c r="E453" s="86" t="s">
        <v>760</v>
      </c>
      <c r="F453" s="2882">
        <f>F$450/3</f>
        <v>1.7999999999999998</v>
      </c>
      <c r="G453" s="2882">
        <f>F452</f>
        <v>1.7999999999999998</v>
      </c>
      <c r="H453" s="2882">
        <f>G452</f>
        <v>1.7999999999999998</v>
      </c>
      <c r="I453" s="2882">
        <f>H452</f>
        <v>2.5803378869336928</v>
      </c>
      <c r="J453" s="2882">
        <f t="shared" si="71"/>
        <v>2.4188900275877012</v>
      </c>
      <c r="K453" s="2882">
        <f t="shared" si="71"/>
        <v>2.7550149116473017</v>
      </c>
      <c r="L453" s="2882">
        <f t="shared" si="71"/>
        <v>2.4496684342512953</v>
      </c>
      <c r="M453" s="2882">
        <f t="shared" si="71"/>
        <v>2.2285531088951798</v>
      </c>
      <c r="N453" s="2882">
        <f t="shared" si="71"/>
        <v>2.5032371591156615</v>
      </c>
      <c r="U453" s="2807"/>
      <c r="V453" s="2807"/>
    </row>
    <row r="454" spans="1:22" s="363" customFormat="1">
      <c r="A454" s="2"/>
      <c r="C454" s="2807"/>
      <c r="D454" s="432"/>
      <c r="E454" s="86"/>
      <c r="F454" s="2882"/>
      <c r="G454" s="2882"/>
      <c r="H454" s="2882"/>
      <c r="I454" s="2882"/>
      <c r="J454" s="2882"/>
      <c r="K454" s="2882"/>
      <c r="L454" s="2882"/>
      <c r="M454" s="2882"/>
      <c r="N454" s="2882"/>
      <c r="U454" s="2807"/>
      <c r="V454" s="2807"/>
    </row>
    <row r="455" spans="1:22" s="363" customFormat="1">
      <c r="A455" s="2"/>
      <c r="C455" s="2807" t="s">
        <v>2291</v>
      </c>
      <c r="D455" s="432"/>
      <c r="E455" s="86" t="s">
        <v>760</v>
      </c>
      <c r="F455" s="2882">
        <f>F420/$E$207</f>
        <v>0.32250000000000001</v>
      </c>
      <c r="G455" s="2882">
        <f t="shared" ref="G455:N455" si="72">G420/$E$207</f>
        <v>3.07125</v>
      </c>
      <c r="H455" s="2882">
        <f t="shared" si="72"/>
        <v>12.805687500000003</v>
      </c>
      <c r="I455" s="2882">
        <f t="shared" si="72"/>
        <v>19.483359375000003</v>
      </c>
      <c r="J455" s="2882">
        <f t="shared" si="72"/>
        <v>26.444249999999997</v>
      </c>
      <c r="K455" s="2882">
        <f t="shared" si="72"/>
        <v>33.688359374999983</v>
      </c>
      <c r="L455" s="2882">
        <f t="shared" si="72"/>
        <v>41.215687499999987</v>
      </c>
      <c r="M455" s="2882">
        <f t="shared" si="72"/>
        <v>49.02623437499998</v>
      </c>
      <c r="N455" s="2882">
        <f t="shared" si="72"/>
        <v>57.119999999999983</v>
      </c>
      <c r="U455" s="2807"/>
      <c r="V455" s="2807"/>
    </row>
    <row r="456" spans="1:22" s="363" customFormat="1">
      <c r="A456" s="2"/>
      <c r="C456" s="2807"/>
      <c r="D456" s="432"/>
      <c r="E456" s="86"/>
      <c r="F456" s="2882"/>
      <c r="G456" s="2882"/>
      <c r="H456" s="2882"/>
      <c r="I456" s="2882"/>
      <c r="J456" s="2882"/>
      <c r="K456" s="2882"/>
      <c r="L456" s="2882"/>
      <c r="M456" s="2882"/>
      <c r="N456" s="2882"/>
      <c r="U456" s="2807"/>
      <c r="V456" s="2807"/>
    </row>
    <row r="457" spans="1:22" s="363" customFormat="1">
      <c r="A457" s="2"/>
      <c r="B457" s="988"/>
      <c r="C457" s="2883" t="s">
        <v>2292</v>
      </c>
      <c r="D457" s="302"/>
      <c r="E457" s="86" t="s">
        <v>760</v>
      </c>
      <c r="F457" s="1455">
        <f>SUM(F353,F359,F365)/$F$185</f>
        <v>0.69393436000000008</v>
      </c>
      <c r="G457" s="1455">
        <f t="shared" ref="G457:N457" si="73">SUM(G353,G359,G365)/$F$185</f>
        <v>0.754344448</v>
      </c>
      <c r="H457" s="1455">
        <f t="shared" si="73"/>
        <v>2.9229970673625103</v>
      </c>
      <c r="I457" s="1455">
        <f t="shared" si="73"/>
        <v>2.836473511223963</v>
      </c>
      <c r="J457" s="1455">
        <f t="shared" si="73"/>
        <v>2.7522736344777217</v>
      </c>
      <c r="K457" s="1455">
        <f t="shared" si="73"/>
        <v>2.7235746188709729</v>
      </c>
      <c r="L457" s="1455">
        <f t="shared" si="73"/>
        <v>2.6973290280266586</v>
      </c>
      <c r="M457" s="1455">
        <f t="shared" si="73"/>
        <v>2.6666126360314557</v>
      </c>
      <c r="N457" s="1455">
        <f t="shared" si="73"/>
        <v>2.6260325485003251</v>
      </c>
      <c r="O457" s="2807"/>
      <c r="Q457" s="2807"/>
      <c r="R457" s="2807"/>
      <c r="S457" s="2807"/>
      <c r="T457" s="2807"/>
      <c r="U457" s="2807"/>
      <c r="V457" s="2807"/>
    </row>
    <row r="458" spans="1:22" s="363" customFormat="1">
      <c r="A458" s="2"/>
      <c r="B458" s="988"/>
      <c r="C458" s="1720"/>
      <c r="D458" s="302"/>
      <c r="E458" s="398"/>
      <c r="F458" s="1455"/>
      <c r="G458" s="1455"/>
      <c r="H458" s="1455"/>
      <c r="I458" s="1455"/>
      <c r="J458" s="1455"/>
      <c r="K458" s="1455"/>
      <c r="L458" s="1455"/>
      <c r="M458" s="1455"/>
      <c r="N458" s="1455"/>
      <c r="O458" s="2807"/>
      <c r="Q458" s="2807"/>
      <c r="R458" s="2807"/>
      <c r="S458" s="2807"/>
      <c r="T458" s="2807"/>
      <c r="U458" s="2807"/>
      <c r="V458" s="2807"/>
    </row>
    <row r="459" spans="1:22" s="363" customFormat="1">
      <c r="A459" s="2"/>
      <c r="B459" s="363">
        <v>6</v>
      </c>
      <c r="C459" s="363" t="s">
        <v>2791</v>
      </c>
      <c r="D459" s="302"/>
      <c r="E459" s="398"/>
      <c r="F459" s="1455"/>
      <c r="G459" s="1455"/>
      <c r="H459" s="1455"/>
      <c r="I459" s="1455"/>
      <c r="J459" s="1455"/>
      <c r="K459" s="1455"/>
      <c r="L459" s="1455"/>
      <c r="M459" s="1455"/>
      <c r="N459" s="1455"/>
      <c r="O459" s="2807"/>
      <c r="Q459" s="2807"/>
      <c r="R459" s="2807"/>
      <c r="S459" s="2807"/>
      <c r="T459" s="2807"/>
      <c r="U459" s="2807"/>
      <c r="V459" s="2807"/>
    </row>
    <row r="460" spans="1:22" s="363" customFormat="1" hidden="1">
      <c r="A460" s="2807" t="s">
        <v>5</v>
      </c>
      <c r="C460" s="363" t="s">
        <v>2293</v>
      </c>
      <c r="D460" s="302"/>
      <c r="E460" s="432" t="s">
        <v>2812</v>
      </c>
      <c r="F460" s="363">
        <v>2013</v>
      </c>
      <c r="G460" s="363">
        <v>2015</v>
      </c>
      <c r="H460" s="363">
        <v>2020</v>
      </c>
      <c r="I460" s="363">
        <v>2025</v>
      </c>
      <c r="J460" s="363">
        <v>2030</v>
      </c>
      <c r="K460" s="363">
        <v>2035</v>
      </c>
      <c r="L460" s="363">
        <v>2040</v>
      </c>
      <c r="M460" s="363">
        <v>2045</v>
      </c>
      <c r="N460" s="363">
        <v>2050</v>
      </c>
    </row>
    <row r="461" spans="1:22" s="363" customFormat="1" hidden="1">
      <c r="A461" s="2"/>
      <c r="C461" s="2807" t="s">
        <v>2294</v>
      </c>
      <c r="D461" s="302"/>
      <c r="E461" s="398"/>
      <c r="F461" s="1455"/>
      <c r="G461" s="1455"/>
      <c r="H461" s="1455"/>
      <c r="I461" s="1455"/>
      <c r="J461" s="1455"/>
      <c r="K461" s="1455"/>
      <c r="L461" s="1455"/>
      <c r="M461" s="1455"/>
      <c r="N461" s="1455"/>
    </row>
    <row r="462" spans="1:22" s="363" customFormat="1" hidden="1">
      <c r="A462" s="2807"/>
      <c r="C462" s="2807" t="s">
        <v>2197</v>
      </c>
      <c r="D462" s="302"/>
      <c r="E462" s="398"/>
      <c r="F462" s="1455"/>
      <c r="G462" s="1455"/>
      <c r="H462" s="1455"/>
      <c r="I462" s="1455"/>
      <c r="J462" s="1455"/>
      <c r="K462" s="1455"/>
      <c r="L462" s="1455"/>
      <c r="M462" s="1455"/>
      <c r="N462" s="1455"/>
    </row>
    <row r="463" spans="1:22" s="363" customFormat="1" hidden="1">
      <c r="A463" s="2807"/>
      <c r="C463" s="2807" t="s">
        <v>2215</v>
      </c>
      <c r="D463" s="302"/>
      <c r="E463" s="398"/>
      <c r="F463" s="1455"/>
      <c r="G463" s="2884"/>
      <c r="H463" s="2884"/>
      <c r="I463" s="2884"/>
      <c r="J463" s="2884"/>
      <c r="K463" s="2884"/>
      <c r="L463" s="2884"/>
      <c r="M463" s="2884"/>
      <c r="N463" s="2884"/>
    </row>
    <row r="464" spans="1:22" s="363" customFormat="1" hidden="1">
      <c r="A464" s="2807"/>
      <c r="C464" s="2807" t="s">
        <v>2295</v>
      </c>
      <c r="D464" s="302"/>
      <c r="E464" s="398"/>
      <c r="F464" s="1455"/>
      <c r="G464" s="2884"/>
      <c r="H464" s="2884"/>
      <c r="I464" s="2884"/>
      <c r="J464" s="2884"/>
      <c r="K464" s="2884"/>
      <c r="L464" s="2884"/>
      <c r="M464" s="2884"/>
      <c r="N464" s="2884"/>
    </row>
    <row r="465" spans="1:14" s="363" customFormat="1" hidden="1">
      <c r="A465" s="414"/>
      <c r="C465" s="2807" t="s">
        <v>2296</v>
      </c>
      <c r="D465" s="302"/>
      <c r="E465" s="398"/>
      <c r="F465" s="1455"/>
      <c r="G465" s="2884"/>
      <c r="H465" s="2884"/>
      <c r="I465" s="2884"/>
      <c r="J465" s="2884"/>
      <c r="K465" s="2884"/>
      <c r="L465" s="2884"/>
      <c r="M465" s="2884"/>
      <c r="N465" s="2884"/>
    </row>
    <row r="466" spans="1:14" s="363" customFormat="1" hidden="1">
      <c r="A466" s="414"/>
      <c r="C466" s="2807" t="s">
        <v>2291</v>
      </c>
      <c r="D466" s="302"/>
      <c r="E466" s="398"/>
      <c r="F466" s="1455"/>
      <c r="G466" s="2884"/>
      <c r="H466" s="2884"/>
      <c r="I466" s="2884"/>
      <c r="J466" s="2884"/>
      <c r="K466" s="2884"/>
      <c r="L466" s="2884"/>
      <c r="M466" s="2884"/>
      <c r="N466" s="2884"/>
    </row>
    <row r="467" spans="1:14" s="363" customFormat="1" hidden="1">
      <c r="A467" s="2807"/>
      <c r="C467" s="2807" t="s">
        <v>2297</v>
      </c>
      <c r="D467" s="302"/>
      <c r="E467" s="398"/>
      <c r="F467" s="1455"/>
      <c r="G467" s="1455"/>
      <c r="H467" s="1455"/>
      <c r="I467" s="1455"/>
      <c r="J467" s="1455"/>
      <c r="K467" s="1455"/>
      <c r="L467" s="1455"/>
      <c r="M467" s="1455"/>
      <c r="N467" s="1455"/>
    </row>
    <row r="468" spans="1:14" hidden="1">
      <c r="B468" s="363"/>
      <c r="C468" s="2807" t="s">
        <v>2298</v>
      </c>
      <c r="D468" s="302"/>
      <c r="E468" s="398"/>
      <c r="F468" s="1455"/>
      <c r="G468" s="1455"/>
      <c r="H468" s="1455"/>
      <c r="I468" s="1455"/>
      <c r="J468" s="1455"/>
      <c r="K468" s="1455"/>
      <c r="L468" s="1455"/>
      <c r="M468" s="1455"/>
      <c r="N468" s="1455"/>
    </row>
    <row r="469" spans="1:14" hidden="1">
      <c r="A469" s="414"/>
      <c r="B469" s="363"/>
      <c r="C469" s="2807" t="s">
        <v>59</v>
      </c>
      <c r="D469" s="302"/>
      <c r="E469" s="398"/>
      <c r="F469" s="1455"/>
      <c r="G469" s="1455"/>
      <c r="H469" s="1455"/>
      <c r="I469" s="1455"/>
      <c r="J469" s="1455"/>
      <c r="K469" s="1455"/>
      <c r="L469" s="1455"/>
      <c r="M469" s="1455"/>
      <c r="N469" s="1455"/>
    </row>
    <row r="470" spans="1:14" hidden="1">
      <c r="B470" s="363"/>
      <c r="C470" s="2807" t="s">
        <v>2299</v>
      </c>
      <c r="D470" s="302"/>
      <c r="E470" s="398"/>
      <c r="F470" s="1455"/>
      <c r="G470" s="2884"/>
      <c r="H470" s="2884"/>
      <c r="I470" s="2884"/>
      <c r="J470" s="2884"/>
      <c r="K470" s="2884"/>
      <c r="L470" s="2884"/>
      <c r="M470" s="2884"/>
      <c r="N470" s="2884"/>
    </row>
    <row r="471" spans="1:14" hidden="1">
      <c r="B471" s="363"/>
      <c r="C471" s="2807" t="s">
        <v>2300</v>
      </c>
      <c r="D471" s="302"/>
      <c r="E471" s="398"/>
      <c r="F471" s="1455"/>
      <c r="G471" s="2884"/>
      <c r="H471" s="2884"/>
      <c r="I471" s="2884"/>
      <c r="J471" s="2884"/>
      <c r="K471" s="2884"/>
      <c r="L471" s="2884"/>
      <c r="M471" s="2884"/>
      <c r="N471" s="2884"/>
    </row>
    <row r="472" spans="1:14" hidden="1">
      <c r="B472" s="363"/>
      <c r="D472" s="302"/>
      <c r="E472" s="398"/>
      <c r="F472" s="1455"/>
      <c r="G472" s="2884"/>
      <c r="H472" s="2884"/>
      <c r="I472" s="2884"/>
      <c r="J472" s="2884"/>
      <c r="K472" s="2884"/>
      <c r="L472" s="2884"/>
      <c r="M472" s="2884"/>
      <c r="N472" s="2884"/>
    </row>
    <row r="473" spans="1:14" hidden="1">
      <c r="B473" s="363"/>
      <c r="C473" s="363" t="s">
        <v>2301</v>
      </c>
      <c r="D473" s="302"/>
      <c r="E473" s="432" t="s">
        <v>2812</v>
      </c>
      <c r="F473" s="363">
        <v>2013</v>
      </c>
      <c r="G473" s="363">
        <v>2015</v>
      </c>
      <c r="H473" s="363">
        <v>2020</v>
      </c>
      <c r="I473" s="363">
        <v>2025</v>
      </c>
      <c r="J473" s="363">
        <v>2030</v>
      </c>
      <c r="K473" s="363">
        <v>2035</v>
      </c>
      <c r="L473" s="363">
        <v>2040</v>
      </c>
      <c r="M473" s="363">
        <v>2045</v>
      </c>
      <c r="N473" s="363">
        <v>2050</v>
      </c>
    </row>
    <row r="474" spans="1:14" hidden="1">
      <c r="B474" s="363"/>
      <c r="C474" s="2807" t="s">
        <v>2294</v>
      </c>
      <c r="D474" s="302"/>
      <c r="E474" s="398"/>
      <c r="F474" s="1455"/>
      <c r="G474" s="1455"/>
      <c r="H474" s="1455"/>
      <c r="I474" s="1455"/>
      <c r="J474" s="1455"/>
      <c r="K474" s="1455"/>
      <c r="L474" s="1455"/>
      <c r="M474" s="1455"/>
      <c r="N474" s="1455"/>
    </row>
    <row r="475" spans="1:14" hidden="1">
      <c r="B475" s="363"/>
      <c r="C475" s="2807" t="s">
        <v>2197</v>
      </c>
      <c r="D475" s="302"/>
      <c r="E475" s="398"/>
      <c r="F475" s="1455"/>
      <c r="G475" s="1455"/>
      <c r="H475" s="1455"/>
      <c r="I475" s="1455"/>
      <c r="J475" s="1455"/>
      <c r="K475" s="1455"/>
      <c r="L475" s="1455"/>
      <c r="M475" s="1455"/>
      <c r="N475" s="1455"/>
    </row>
    <row r="476" spans="1:14" hidden="1">
      <c r="B476" s="363"/>
      <c r="C476" s="2807" t="s">
        <v>2215</v>
      </c>
      <c r="D476" s="302"/>
      <c r="E476" s="398"/>
      <c r="F476" s="1455"/>
      <c r="G476" s="2884"/>
      <c r="H476" s="2884"/>
      <c r="I476" s="2884"/>
      <c r="J476" s="2884"/>
      <c r="K476" s="2884"/>
      <c r="L476" s="2884"/>
      <c r="M476" s="2884"/>
      <c r="N476" s="2884"/>
    </row>
    <row r="477" spans="1:14" hidden="1">
      <c r="B477" s="363"/>
      <c r="C477" s="2807" t="s">
        <v>2295</v>
      </c>
      <c r="D477" s="302"/>
      <c r="E477" s="398"/>
      <c r="F477" s="1455"/>
      <c r="G477" s="2884"/>
      <c r="H477" s="2884"/>
      <c r="I477" s="2884"/>
      <c r="J477" s="2884"/>
      <c r="K477" s="2884"/>
      <c r="L477" s="2884"/>
      <c r="M477" s="2884"/>
      <c r="N477" s="2884"/>
    </row>
    <row r="478" spans="1:14" hidden="1">
      <c r="B478" s="363"/>
      <c r="C478" s="2807" t="s">
        <v>2296</v>
      </c>
      <c r="D478" s="302"/>
      <c r="E478" s="398"/>
      <c r="F478" s="1455"/>
      <c r="G478" s="2884"/>
      <c r="H478" s="2884"/>
      <c r="I478" s="2884"/>
      <c r="J478" s="2884"/>
      <c r="K478" s="2884"/>
      <c r="L478" s="2884"/>
      <c r="M478" s="2884"/>
      <c r="N478" s="2884"/>
    </row>
    <row r="479" spans="1:14" hidden="1">
      <c r="B479" s="363"/>
      <c r="C479" s="2807" t="s">
        <v>2291</v>
      </c>
      <c r="D479" s="302"/>
      <c r="E479" s="398"/>
      <c r="F479" s="1455"/>
      <c r="G479" s="2884"/>
      <c r="H479" s="2884"/>
      <c r="I479" s="2884"/>
      <c r="J479" s="2884"/>
      <c r="K479" s="2884"/>
      <c r="L479" s="2884"/>
      <c r="M479" s="2884"/>
      <c r="N479" s="2884"/>
    </row>
    <row r="480" spans="1:14" hidden="1">
      <c r="B480" s="363"/>
      <c r="C480" s="2807" t="s">
        <v>2297</v>
      </c>
      <c r="D480" s="302"/>
      <c r="E480" s="398"/>
      <c r="F480" s="1455"/>
      <c r="G480" s="1455"/>
      <c r="H480" s="1455"/>
      <c r="I480" s="1455"/>
      <c r="J480" s="1455"/>
      <c r="K480" s="1455"/>
      <c r="L480" s="1455"/>
      <c r="M480" s="1455"/>
      <c r="N480" s="1455"/>
    </row>
    <row r="481" spans="1:14" hidden="1">
      <c r="B481" s="363"/>
      <c r="C481" s="2807" t="s">
        <v>2298</v>
      </c>
      <c r="D481" s="302"/>
      <c r="E481" s="398"/>
      <c r="F481" s="1455"/>
      <c r="G481" s="1455"/>
      <c r="H481" s="1455"/>
      <c r="I481" s="1455"/>
      <c r="J481" s="1455"/>
      <c r="K481" s="1455"/>
      <c r="L481" s="1455"/>
      <c r="M481" s="1455"/>
      <c r="N481" s="1455"/>
    </row>
    <row r="482" spans="1:14" hidden="1">
      <c r="B482" s="363"/>
      <c r="C482" s="2807" t="s">
        <v>59</v>
      </c>
      <c r="D482" s="302"/>
      <c r="E482" s="398"/>
      <c r="F482" s="1455"/>
      <c r="G482" s="1455"/>
      <c r="H482" s="1455"/>
      <c r="I482" s="1455"/>
      <c r="J482" s="1455"/>
      <c r="K482" s="1455"/>
      <c r="L482" s="1455"/>
      <c r="M482" s="1455"/>
      <c r="N482" s="1455"/>
    </row>
    <row r="483" spans="1:14" hidden="1">
      <c r="B483" s="363"/>
      <c r="C483" s="2807" t="s">
        <v>2299</v>
      </c>
      <c r="D483" s="302"/>
      <c r="E483" s="398"/>
      <c r="F483" s="1455"/>
      <c r="G483" s="2884"/>
      <c r="H483" s="2884"/>
      <c r="I483" s="2884"/>
      <c r="J483" s="2884"/>
      <c r="K483" s="2884"/>
      <c r="L483" s="2884"/>
      <c r="M483" s="2884"/>
      <c r="N483" s="2884"/>
    </row>
    <row r="484" spans="1:14" hidden="1">
      <c r="B484" s="363"/>
      <c r="C484" s="2807" t="s">
        <v>2300</v>
      </c>
      <c r="D484" s="302"/>
      <c r="E484" s="398"/>
      <c r="F484" s="1455"/>
      <c r="G484" s="2884"/>
      <c r="H484" s="2884"/>
      <c r="I484" s="2884"/>
      <c r="J484" s="2884"/>
      <c r="K484" s="2884"/>
      <c r="L484" s="2884"/>
      <c r="M484" s="2884"/>
      <c r="N484" s="2884"/>
    </row>
    <row r="485" spans="1:14" hidden="1">
      <c r="B485" s="363"/>
      <c r="D485" s="302"/>
      <c r="E485" s="398"/>
      <c r="F485" s="1455"/>
      <c r="G485" s="2884"/>
      <c r="H485" s="2884"/>
      <c r="I485" s="2884"/>
      <c r="J485" s="2884"/>
      <c r="K485" s="2884"/>
      <c r="L485" s="2884"/>
      <c r="M485" s="2884"/>
      <c r="N485" s="2884"/>
    </row>
    <row r="486" spans="1:14" hidden="1">
      <c r="B486" s="363"/>
      <c r="C486" s="363" t="s">
        <v>2302</v>
      </c>
      <c r="D486" s="302"/>
      <c r="E486" s="432" t="s">
        <v>2812</v>
      </c>
      <c r="F486" s="363">
        <v>2013</v>
      </c>
      <c r="G486" s="363">
        <v>2015</v>
      </c>
      <c r="H486" s="363">
        <v>2020</v>
      </c>
      <c r="I486" s="363">
        <v>2025</v>
      </c>
      <c r="J486" s="363">
        <v>2030</v>
      </c>
      <c r="K486" s="363">
        <v>2035</v>
      </c>
      <c r="L486" s="363">
        <v>2040</v>
      </c>
      <c r="M486" s="363">
        <v>2045</v>
      </c>
      <c r="N486" s="363">
        <v>2050</v>
      </c>
    </row>
    <row r="487" spans="1:14" hidden="1">
      <c r="B487" s="363"/>
      <c r="C487" s="2807" t="s">
        <v>2294</v>
      </c>
      <c r="D487" s="302"/>
      <c r="E487" s="398"/>
      <c r="F487" s="1455"/>
      <c r="G487" s="1455"/>
      <c r="H487" s="1455"/>
      <c r="I487" s="1455"/>
      <c r="J487" s="1455"/>
      <c r="K487" s="1455"/>
      <c r="L487" s="1455"/>
      <c r="M487" s="1455"/>
      <c r="N487" s="1455"/>
    </row>
    <row r="488" spans="1:14" hidden="1">
      <c r="A488" s="414"/>
      <c r="B488" s="363"/>
      <c r="C488" s="2807" t="s">
        <v>2197</v>
      </c>
      <c r="D488" s="302"/>
      <c r="E488" s="398"/>
      <c r="F488" s="1455"/>
      <c r="G488" s="1455"/>
      <c r="H488" s="1455"/>
      <c r="I488" s="1455"/>
      <c r="J488" s="1455"/>
      <c r="K488" s="1455"/>
      <c r="L488" s="1455"/>
      <c r="M488" s="1455"/>
      <c r="N488" s="1455"/>
    </row>
    <row r="489" spans="1:14" hidden="1">
      <c r="B489" s="363"/>
      <c r="C489" s="2807" t="s">
        <v>2215</v>
      </c>
      <c r="D489" s="302"/>
      <c r="E489" s="398"/>
      <c r="F489" s="1455"/>
      <c r="G489" s="2884"/>
      <c r="H489" s="2884"/>
      <c r="I489" s="2884"/>
      <c r="J489" s="2884"/>
      <c r="K489" s="2884"/>
      <c r="L489" s="2884"/>
      <c r="M489" s="2884"/>
      <c r="N489" s="2884"/>
    </row>
    <row r="490" spans="1:14" hidden="1">
      <c r="B490" s="363"/>
      <c r="C490" s="2807" t="s">
        <v>2295</v>
      </c>
      <c r="D490" s="302"/>
      <c r="E490" s="398"/>
      <c r="F490" s="1455"/>
      <c r="G490" s="2884"/>
      <c r="H490" s="2884"/>
      <c r="I490" s="2884"/>
      <c r="J490" s="2884"/>
      <c r="K490" s="2884"/>
      <c r="L490" s="2884"/>
      <c r="M490" s="2884"/>
      <c r="N490" s="2884"/>
    </row>
    <row r="491" spans="1:14" hidden="1">
      <c r="B491" s="363"/>
      <c r="C491" s="2807" t="s">
        <v>2296</v>
      </c>
      <c r="D491" s="302"/>
      <c r="E491" s="398"/>
      <c r="F491" s="1455"/>
      <c r="G491" s="2884"/>
      <c r="H491" s="2884"/>
      <c r="I491" s="2884"/>
      <c r="J491" s="2884"/>
      <c r="K491" s="2884"/>
      <c r="L491" s="2884"/>
      <c r="M491" s="2884"/>
      <c r="N491" s="2884"/>
    </row>
    <row r="492" spans="1:14" hidden="1">
      <c r="B492" s="363"/>
      <c r="C492" s="2807" t="s">
        <v>2291</v>
      </c>
      <c r="D492" s="302"/>
      <c r="E492" s="398"/>
      <c r="F492" s="1455"/>
      <c r="G492" s="2884"/>
      <c r="H492" s="2884"/>
      <c r="I492" s="2884"/>
      <c r="J492" s="2884"/>
      <c r="K492" s="2884"/>
      <c r="L492" s="2884"/>
      <c r="M492" s="2884"/>
      <c r="N492" s="2884"/>
    </row>
    <row r="493" spans="1:14" hidden="1">
      <c r="A493" s="414"/>
      <c r="B493" s="363"/>
      <c r="C493" s="2807" t="s">
        <v>2297</v>
      </c>
      <c r="D493" s="302"/>
      <c r="E493" s="398"/>
      <c r="F493" s="1455"/>
      <c r="G493" s="1455"/>
      <c r="H493" s="1455"/>
      <c r="I493" s="1455"/>
      <c r="J493" s="1455"/>
      <c r="K493" s="1455"/>
      <c r="L493" s="1455"/>
      <c r="M493" s="1455"/>
      <c r="N493" s="1455"/>
    </row>
    <row r="494" spans="1:14" hidden="1">
      <c r="B494" s="363"/>
      <c r="C494" s="2807" t="s">
        <v>2298</v>
      </c>
      <c r="D494" s="302"/>
      <c r="E494" s="398"/>
      <c r="F494" s="1455"/>
      <c r="G494" s="1455"/>
      <c r="H494" s="1455"/>
      <c r="I494" s="1455"/>
      <c r="J494" s="1455"/>
      <c r="K494" s="1455"/>
      <c r="L494" s="1455"/>
      <c r="M494" s="1455"/>
      <c r="N494" s="1455"/>
    </row>
    <row r="495" spans="1:14" hidden="1">
      <c r="B495" s="363"/>
      <c r="C495" s="2807" t="s">
        <v>59</v>
      </c>
      <c r="D495" s="302"/>
      <c r="E495" s="398"/>
      <c r="F495" s="1455"/>
      <c r="G495" s="1455"/>
      <c r="H495" s="1455"/>
      <c r="I495" s="1455"/>
      <c r="J495" s="1455"/>
      <c r="K495" s="1455"/>
      <c r="L495" s="1455"/>
      <c r="M495" s="1455"/>
      <c r="N495" s="1455"/>
    </row>
    <row r="496" spans="1:14" hidden="1">
      <c r="A496" s="414"/>
      <c r="B496" s="363"/>
      <c r="C496" s="2807" t="s">
        <v>2299</v>
      </c>
      <c r="D496" s="302"/>
      <c r="E496" s="398"/>
      <c r="F496" s="1455"/>
      <c r="G496" s="2884"/>
      <c r="H496" s="2884"/>
      <c r="I496" s="2884"/>
      <c r="J496" s="2884"/>
      <c r="K496" s="2884"/>
      <c r="L496" s="2884"/>
      <c r="M496" s="2884"/>
      <c r="N496" s="2884"/>
    </row>
    <row r="497" spans="1:14" hidden="1">
      <c r="B497" s="363"/>
      <c r="C497" s="2807" t="s">
        <v>2300</v>
      </c>
      <c r="D497" s="302"/>
      <c r="E497" s="398"/>
      <c r="F497" s="1455"/>
      <c r="G497" s="2884"/>
      <c r="H497" s="2884"/>
      <c r="I497" s="2884"/>
      <c r="J497" s="2884"/>
      <c r="K497" s="2884"/>
      <c r="L497" s="2884"/>
      <c r="M497" s="2884"/>
      <c r="N497" s="2884"/>
    </row>
    <row r="498" spans="1:14" hidden="1">
      <c r="B498" s="363"/>
      <c r="D498" s="302"/>
      <c r="E498" s="398"/>
      <c r="F498" s="1455"/>
      <c r="G498" s="1455"/>
      <c r="H498" s="1455"/>
      <c r="I498" s="1455"/>
      <c r="J498" s="1455"/>
      <c r="K498" s="1455"/>
      <c r="L498" s="1455"/>
      <c r="M498" s="1455"/>
      <c r="N498" s="1455"/>
    </row>
    <row r="499" spans="1:14" hidden="1">
      <c r="B499" s="363"/>
      <c r="C499" s="363" t="s">
        <v>2303</v>
      </c>
      <c r="D499" s="302"/>
      <c r="E499" s="432" t="s">
        <v>2812</v>
      </c>
      <c r="F499" s="363">
        <v>2013</v>
      </c>
      <c r="G499" s="363">
        <v>2015</v>
      </c>
      <c r="H499" s="363">
        <v>2020</v>
      </c>
      <c r="I499" s="363">
        <v>2025</v>
      </c>
      <c r="J499" s="363">
        <v>2030</v>
      </c>
      <c r="K499" s="363">
        <v>2035</v>
      </c>
      <c r="L499" s="363">
        <v>2040</v>
      </c>
      <c r="M499" s="363">
        <v>2045</v>
      </c>
      <c r="N499" s="363">
        <v>2050</v>
      </c>
    </row>
    <row r="500" spans="1:14" hidden="1">
      <c r="B500" s="363"/>
      <c r="C500" s="2807" t="s">
        <v>2294</v>
      </c>
      <c r="D500" s="302"/>
      <c r="E500" s="398"/>
      <c r="F500" s="1455"/>
      <c r="G500" s="1455"/>
      <c r="H500" s="1455"/>
      <c r="I500" s="1455"/>
      <c r="J500" s="1455"/>
      <c r="K500" s="1455"/>
      <c r="L500" s="1455"/>
      <c r="M500" s="1455"/>
      <c r="N500" s="1455"/>
    </row>
    <row r="501" spans="1:14" hidden="1">
      <c r="B501" s="363"/>
      <c r="C501" s="2807" t="s">
        <v>2197</v>
      </c>
      <c r="D501" s="302"/>
      <c r="E501" s="398"/>
      <c r="F501" s="1455"/>
      <c r="G501" s="1455"/>
      <c r="H501" s="1455"/>
      <c r="I501" s="1455"/>
      <c r="J501" s="1455"/>
      <c r="K501" s="1455"/>
      <c r="L501" s="1455"/>
      <c r="M501" s="1455"/>
      <c r="N501" s="1455"/>
    </row>
    <row r="502" spans="1:14" hidden="1">
      <c r="B502" s="363"/>
      <c r="C502" s="2807" t="s">
        <v>2215</v>
      </c>
      <c r="D502" s="302"/>
      <c r="E502" s="398"/>
      <c r="F502" s="1455"/>
      <c r="G502" s="2884"/>
      <c r="H502" s="2884"/>
      <c r="I502" s="2884"/>
      <c r="J502" s="2884"/>
      <c r="K502" s="2884"/>
      <c r="L502" s="2884"/>
      <c r="M502" s="2884"/>
      <c r="N502" s="2884"/>
    </row>
    <row r="503" spans="1:14" hidden="1">
      <c r="B503" s="363"/>
      <c r="C503" s="2807" t="s">
        <v>2295</v>
      </c>
      <c r="D503" s="302"/>
      <c r="E503" s="398"/>
      <c r="F503" s="1455"/>
      <c r="G503" s="2884"/>
      <c r="H503" s="2884"/>
      <c r="I503" s="2884"/>
      <c r="J503" s="2884"/>
      <c r="K503" s="2884"/>
      <c r="L503" s="2884"/>
      <c r="M503" s="2884"/>
      <c r="N503" s="2884"/>
    </row>
    <row r="504" spans="1:14" hidden="1">
      <c r="B504" s="363"/>
      <c r="C504" s="2807" t="s">
        <v>2296</v>
      </c>
      <c r="D504" s="302"/>
      <c r="E504" s="398"/>
      <c r="F504" s="1455"/>
      <c r="G504" s="2884"/>
      <c r="H504" s="2884"/>
      <c r="I504" s="2884"/>
      <c r="J504" s="2884"/>
      <c r="K504" s="2884"/>
      <c r="L504" s="2884"/>
      <c r="M504" s="2884"/>
      <c r="N504" s="2884"/>
    </row>
    <row r="505" spans="1:14" hidden="1">
      <c r="B505" s="363"/>
      <c r="C505" s="2807" t="s">
        <v>2291</v>
      </c>
      <c r="D505" s="302"/>
      <c r="E505" s="398"/>
      <c r="F505" s="1455"/>
      <c r="G505" s="2884"/>
      <c r="H505" s="2884"/>
      <c r="I505" s="2884"/>
      <c r="J505" s="2884"/>
      <c r="K505" s="2884"/>
      <c r="L505" s="2884"/>
      <c r="M505" s="2884"/>
      <c r="N505" s="2884"/>
    </row>
    <row r="506" spans="1:14" hidden="1">
      <c r="B506" s="363"/>
      <c r="C506" s="2807" t="s">
        <v>2297</v>
      </c>
      <c r="D506" s="302"/>
      <c r="E506" s="398"/>
      <c r="F506" s="1455"/>
      <c r="G506" s="1455"/>
      <c r="H506" s="1455"/>
      <c r="I506" s="1455"/>
      <c r="J506" s="1455"/>
      <c r="K506" s="1455"/>
      <c r="L506" s="1455"/>
      <c r="M506" s="1455"/>
      <c r="N506" s="1455"/>
    </row>
    <row r="507" spans="1:14" hidden="1">
      <c r="A507" s="363"/>
      <c r="B507" s="363"/>
      <c r="C507" s="2807" t="s">
        <v>2298</v>
      </c>
      <c r="D507" s="302"/>
      <c r="E507" s="398"/>
      <c r="F507" s="1455"/>
      <c r="G507" s="1455"/>
      <c r="H507" s="1455"/>
      <c r="I507" s="1455"/>
      <c r="J507" s="1455"/>
      <c r="K507" s="1455"/>
      <c r="L507" s="1455"/>
      <c r="M507" s="1455"/>
      <c r="N507" s="1455"/>
    </row>
    <row r="508" spans="1:14" hidden="1">
      <c r="A508" s="363"/>
      <c r="B508" s="363"/>
      <c r="C508" s="2807" t="s">
        <v>59</v>
      </c>
      <c r="D508" s="302"/>
      <c r="E508" s="398" t="s">
        <v>2304</v>
      </c>
      <c r="F508" s="1455"/>
      <c r="G508" s="1455"/>
      <c r="H508" s="1455"/>
      <c r="I508" s="1455"/>
      <c r="J508" s="1455"/>
      <c r="K508" s="1455"/>
      <c r="L508" s="1455"/>
      <c r="M508" s="1455"/>
      <c r="N508" s="1455"/>
    </row>
    <row r="509" spans="1:14" hidden="1">
      <c r="A509" s="363"/>
      <c r="B509" s="363"/>
      <c r="C509" s="2807" t="s">
        <v>2299</v>
      </c>
      <c r="D509" s="302"/>
      <c r="E509" s="398"/>
      <c r="F509" s="1455"/>
      <c r="G509" s="2884"/>
      <c r="H509" s="2884"/>
      <c r="I509" s="2884"/>
      <c r="J509" s="2884"/>
      <c r="K509" s="2884"/>
      <c r="L509" s="2884"/>
      <c r="M509" s="2884"/>
      <c r="N509" s="2884"/>
    </row>
    <row r="510" spans="1:14" hidden="1">
      <c r="A510" s="363"/>
      <c r="B510" s="363"/>
      <c r="C510" s="2807" t="s">
        <v>2300</v>
      </c>
      <c r="D510" s="302"/>
      <c r="E510" s="398"/>
      <c r="F510" s="1455"/>
      <c r="G510" s="2884"/>
      <c r="H510" s="2884"/>
      <c r="I510" s="2884"/>
      <c r="J510" s="2884"/>
      <c r="K510" s="2884"/>
      <c r="L510" s="2884"/>
      <c r="M510" s="2884"/>
      <c r="N510" s="2884"/>
    </row>
    <row r="511" spans="1:14" hidden="1">
      <c r="A511" s="363"/>
      <c r="B511" s="363"/>
      <c r="C511" s="363"/>
      <c r="D511" s="302"/>
      <c r="E511" s="398"/>
      <c r="F511" s="1455"/>
      <c r="G511" s="1455"/>
      <c r="H511" s="1455"/>
      <c r="I511" s="1455"/>
      <c r="J511" s="1455"/>
      <c r="K511" s="1455"/>
      <c r="L511" s="1455"/>
      <c r="M511" s="1455"/>
      <c r="N511" s="1455"/>
    </row>
    <row r="512" spans="1:14" hidden="1">
      <c r="A512" s="363"/>
      <c r="B512" s="363"/>
      <c r="C512" s="363" t="s">
        <v>2305</v>
      </c>
      <c r="D512" s="302"/>
      <c r="E512" s="432" t="s">
        <v>2812</v>
      </c>
      <c r="F512" s="363">
        <v>2013</v>
      </c>
      <c r="G512" s="363">
        <v>2015</v>
      </c>
      <c r="H512" s="363">
        <v>2020</v>
      </c>
      <c r="I512" s="363">
        <v>2025</v>
      </c>
      <c r="J512" s="363">
        <v>2030</v>
      </c>
      <c r="K512" s="363">
        <v>2035</v>
      </c>
      <c r="L512" s="363">
        <v>2040</v>
      </c>
      <c r="M512" s="363">
        <v>2045</v>
      </c>
      <c r="N512" s="363">
        <v>2050</v>
      </c>
    </row>
    <row r="513" spans="1:14" hidden="1">
      <c r="A513" s="363"/>
      <c r="B513" s="363"/>
      <c r="C513" s="2807" t="s">
        <v>2294</v>
      </c>
      <c r="D513" s="302"/>
      <c r="E513" s="398"/>
      <c r="F513" s="1455"/>
      <c r="G513" s="1455"/>
      <c r="H513" s="1455"/>
      <c r="I513" s="1455"/>
      <c r="J513" s="1455"/>
      <c r="K513" s="1455"/>
      <c r="L513" s="1455"/>
      <c r="M513" s="1455"/>
      <c r="N513" s="1455"/>
    </row>
    <row r="514" spans="1:14" hidden="1">
      <c r="A514" s="363"/>
      <c r="B514" s="363"/>
      <c r="C514" s="2807" t="s">
        <v>2197</v>
      </c>
      <c r="D514" s="302"/>
      <c r="E514" s="398"/>
      <c r="F514" s="1455"/>
      <c r="G514" s="1455"/>
      <c r="H514" s="1455"/>
      <c r="I514" s="1455"/>
      <c r="J514" s="1455"/>
      <c r="K514" s="1455"/>
      <c r="L514" s="1455"/>
      <c r="M514" s="1455"/>
      <c r="N514" s="1455"/>
    </row>
    <row r="515" spans="1:14" hidden="1">
      <c r="A515" s="363"/>
      <c r="B515" s="363"/>
      <c r="C515" s="2807" t="s">
        <v>2173</v>
      </c>
      <c r="D515" s="302"/>
      <c r="E515" s="398"/>
      <c r="F515" s="1455"/>
      <c r="G515" s="2884"/>
      <c r="H515" s="2884"/>
      <c r="I515" s="2884"/>
      <c r="J515" s="2884"/>
      <c r="K515" s="2884"/>
      <c r="L515" s="2884"/>
      <c r="M515" s="2884"/>
      <c r="N515" s="2884"/>
    </row>
    <row r="516" spans="1:14" hidden="1">
      <c r="A516" s="363"/>
      <c r="B516" s="363"/>
      <c r="C516" s="2807" t="s">
        <v>2295</v>
      </c>
      <c r="D516" s="302"/>
      <c r="E516" s="398"/>
      <c r="F516" s="1455"/>
      <c r="G516" s="2884"/>
      <c r="H516" s="2884"/>
      <c r="I516" s="2884"/>
      <c r="J516" s="2884"/>
      <c r="K516" s="2884"/>
      <c r="L516" s="2884"/>
      <c r="M516" s="2884"/>
      <c r="N516" s="2884"/>
    </row>
    <row r="517" spans="1:14" hidden="1">
      <c r="A517" s="363"/>
      <c r="B517" s="363"/>
      <c r="C517" s="2807" t="s">
        <v>2296</v>
      </c>
      <c r="D517" s="302"/>
      <c r="E517" s="398"/>
      <c r="F517" s="1455"/>
      <c r="G517" s="2884"/>
      <c r="H517" s="2884"/>
      <c r="I517" s="2884"/>
      <c r="J517" s="2884"/>
      <c r="K517" s="2884"/>
      <c r="L517" s="2884"/>
      <c r="M517" s="2884"/>
      <c r="N517" s="2884"/>
    </row>
    <row r="518" spans="1:14" hidden="1">
      <c r="A518" s="363"/>
      <c r="B518" s="363"/>
      <c r="C518" s="2807" t="s">
        <v>2291</v>
      </c>
      <c r="D518" s="302"/>
      <c r="E518" s="398"/>
      <c r="F518" s="1455"/>
      <c r="G518" s="2884"/>
      <c r="H518" s="2884"/>
      <c r="I518" s="2884"/>
      <c r="J518" s="2884"/>
      <c r="K518" s="2884"/>
      <c r="L518" s="2884"/>
      <c r="M518" s="2884"/>
      <c r="N518" s="2884"/>
    </row>
    <row r="519" spans="1:14" hidden="1">
      <c r="A519" s="363"/>
      <c r="B519" s="363"/>
      <c r="C519" s="2807" t="s">
        <v>2297</v>
      </c>
      <c r="D519" s="302"/>
      <c r="E519" s="398"/>
      <c r="F519" s="1455"/>
      <c r="G519" s="1455"/>
      <c r="H519" s="1455"/>
      <c r="I519" s="1455"/>
      <c r="J519" s="1455"/>
      <c r="K519" s="1455"/>
      <c r="L519" s="1455"/>
      <c r="M519" s="1455"/>
      <c r="N519" s="1455"/>
    </row>
    <row r="520" spans="1:14" hidden="1">
      <c r="A520" s="363"/>
      <c r="B520" s="363"/>
      <c r="C520" s="2807" t="s">
        <v>2298</v>
      </c>
      <c r="D520" s="302"/>
      <c r="E520" s="398"/>
      <c r="F520" s="1455"/>
      <c r="G520" s="1455"/>
      <c r="H520" s="1455"/>
      <c r="I520" s="1455"/>
      <c r="J520" s="1455"/>
      <c r="K520" s="1455"/>
      <c r="L520" s="1455"/>
      <c r="M520" s="1455"/>
      <c r="N520" s="1455"/>
    </row>
    <row r="521" spans="1:14" hidden="1">
      <c r="A521" s="363"/>
      <c r="B521" s="363"/>
      <c r="C521" s="2807" t="s">
        <v>59</v>
      </c>
      <c r="D521" s="302"/>
      <c r="E521" s="398"/>
      <c r="F521" s="1455"/>
      <c r="G521" s="1455"/>
      <c r="H521" s="1455"/>
      <c r="I521" s="1455"/>
      <c r="J521" s="1455"/>
      <c r="K521" s="1455"/>
      <c r="L521" s="1455"/>
      <c r="M521" s="1455"/>
      <c r="N521" s="1455"/>
    </row>
    <row r="522" spans="1:14" hidden="1">
      <c r="A522" s="363"/>
      <c r="B522" s="363"/>
      <c r="C522" s="2807" t="s">
        <v>2299</v>
      </c>
      <c r="D522" s="302"/>
      <c r="E522" s="398"/>
      <c r="F522" s="1455"/>
      <c r="G522" s="2884"/>
      <c r="H522" s="2884"/>
      <c r="I522" s="2884"/>
      <c r="J522" s="2884"/>
      <c r="K522" s="2884"/>
      <c r="L522" s="2884"/>
      <c r="M522" s="2884"/>
      <c r="N522" s="2884"/>
    </row>
    <row r="523" spans="1:14" hidden="1">
      <c r="A523" s="363"/>
      <c r="B523" s="363"/>
      <c r="C523" s="2807" t="s">
        <v>2300</v>
      </c>
      <c r="D523" s="302"/>
      <c r="E523" s="398"/>
      <c r="F523" s="1455"/>
      <c r="G523" s="2884"/>
      <c r="H523" s="2884"/>
      <c r="I523" s="2884"/>
      <c r="J523" s="2884"/>
      <c r="K523" s="2884"/>
      <c r="L523" s="2884"/>
      <c r="M523" s="2884"/>
      <c r="N523" s="2884"/>
    </row>
    <row r="524" spans="1:14" hidden="1">
      <c r="A524" s="363"/>
      <c r="B524" s="363"/>
      <c r="C524" s="363"/>
      <c r="D524" s="302"/>
      <c r="E524" s="398"/>
      <c r="F524" s="1455"/>
      <c r="G524" s="1455"/>
      <c r="H524" s="1455"/>
      <c r="I524" s="1455"/>
      <c r="J524" s="1455"/>
      <c r="K524" s="1455"/>
      <c r="L524" s="1455"/>
      <c r="M524" s="1455"/>
      <c r="N524" s="1455"/>
    </row>
    <row r="525" spans="1:14" hidden="1">
      <c r="A525" s="363"/>
      <c r="C525" s="363" t="s">
        <v>2306</v>
      </c>
      <c r="D525" s="302"/>
      <c r="E525" s="432" t="s">
        <v>2812</v>
      </c>
      <c r="F525" s="363">
        <v>2013</v>
      </c>
      <c r="G525" s="363">
        <v>2015</v>
      </c>
      <c r="H525" s="363">
        <v>2020</v>
      </c>
      <c r="I525" s="363">
        <v>2025</v>
      </c>
      <c r="J525" s="363">
        <v>2030</v>
      </c>
      <c r="K525" s="363">
        <v>2035</v>
      </c>
      <c r="L525" s="363">
        <v>2040</v>
      </c>
      <c r="M525" s="363">
        <v>2045</v>
      </c>
      <c r="N525" s="363">
        <v>2050</v>
      </c>
    </row>
    <row r="526" spans="1:14" hidden="1">
      <c r="A526" s="363"/>
      <c r="C526" s="2807" t="s">
        <v>2294</v>
      </c>
      <c r="D526" s="302"/>
      <c r="E526" s="398"/>
      <c r="F526" s="1455"/>
      <c r="G526" s="1455"/>
      <c r="H526" s="1455"/>
      <c r="I526" s="1455"/>
      <c r="J526" s="1455"/>
      <c r="K526" s="1455"/>
      <c r="L526" s="1455"/>
      <c r="M526" s="1455"/>
      <c r="N526" s="1455"/>
    </row>
    <row r="527" spans="1:14" hidden="1">
      <c r="A527" s="363"/>
      <c r="C527" s="2807" t="s">
        <v>2197</v>
      </c>
      <c r="D527" s="302"/>
      <c r="E527" s="398"/>
      <c r="F527" s="1455"/>
      <c r="G527" s="1455"/>
      <c r="H527" s="1455"/>
      <c r="I527" s="1455"/>
      <c r="J527" s="1455"/>
      <c r="K527" s="1455"/>
      <c r="L527" s="1455"/>
      <c r="M527" s="1455"/>
      <c r="N527" s="1455"/>
    </row>
    <row r="528" spans="1:14" hidden="1">
      <c r="A528" s="363"/>
      <c r="C528" s="2807" t="s">
        <v>2173</v>
      </c>
      <c r="D528" s="302"/>
      <c r="E528" s="398"/>
      <c r="F528" s="1455"/>
      <c r="G528" s="2884"/>
      <c r="H528" s="2884"/>
      <c r="I528" s="2884"/>
      <c r="J528" s="2884"/>
      <c r="K528" s="2884"/>
      <c r="L528" s="2884"/>
      <c r="M528" s="2884"/>
      <c r="N528" s="2884"/>
    </row>
    <row r="529" spans="1:15" hidden="1">
      <c r="A529" s="363"/>
      <c r="C529" s="2807" t="s">
        <v>2295</v>
      </c>
      <c r="D529" s="302"/>
      <c r="E529" s="398"/>
      <c r="F529" s="1455"/>
      <c r="G529" s="2884"/>
      <c r="H529" s="2884"/>
      <c r="I529" s="2884"/>
      <c r="J529" s="2884"/>
      <c r="K529" s="2884"/>
      <c r="L529" s="2884"/>
      <c r="M529" s="2884"/>
      <c r="N529" s="2884"/>
    </row>
    <row r="530" spans="1:15" hidden="1">
      <c r="A530" s="363"/>
      <c r="C530" s="2807" t="s">
        <v>2296</v>
      </c>
      <c r="D530" s="302"/>
      <c r="E530" s="398"/>
      <c r="F530" s="1455"/>
      <c r="G530" s="2884"/>
      <c r="H530" s="2884"/>
      <c r="I530" s="2884"/>
      <c r="J530" s="2884"/>
      <c r="K530" s="2884"/>
      <c r="L530" s="2884"/>
      <c r="M530" s="2884"/>
      <c r="N530" s="2884"/>
    </row>
    <row r="531" spans="1:15" hidden="1">
      <c r="C531" s="2807" t="s">
        <v>2291</v>
      </c>
      <c r="D531" s="302"/>
      <c r="E531" s="398"/>
      <c r="F531" s="1455"/>
      <c r="G531" s="2884"/>
      <c r="H531" s="2884"/>
      <c r="I531" s="2884"/>
      <c r="J531" s="2884"/>
      <c r="K531" s="2884"/>
      <c r="L531" s="2884"/>
      <c r="M531" s="2884"/>
      <c r="N531" s="2884"/>
    </row>
    <row r="532" spans="1:15" hidden="1">
      <c r="C532" s="2807" t="s">
        <v>2297</v>
      </c>
      <c r="D532" s="302"/>
      <c r="E532" s="398"/>
      <c r="F532" s="1455"/>
      <c r="G532" s="1455"/>
      <c r="H532" s="1455"/>
      <c r="I532" s="1455"/>
      <c r="J532" s="1455"/>
      <c r="K532" s="1455"/>
      <c r="L532" s="1455"/>
      <c r="M532" s="1455"/>
      <c r="N532" s="1455"/>
    </row>
    <row r="533" spans="1:15" hidden="1">
      <c r="C533" s="2807" t="s">
        <v>2298</v>
      </c>
      <c r="D533" s="302"/>
      <c r="E533" s="398"/>
      <c r="F533" s="1455"/>
      <c r="G533" s="1455"/>
      <c r="H533" s="1455"/>
      <c r="I533" s="1455"/>
      <c r="J533" s="1455"/>
      <c r="K533" s="1455"/>
      <c r="L533" s="1455"/>
      <c r="M533" s="1455"/>
      <c r="N533" s="1455"/>
    </row>
    <row r="534" spans="1:15" hidden="1">
      <c r="C534" s="2807" t="s">
        <v>59</v>
      </c>
      <c r="D534" s="302"/>
      <c r="E534" s="398"/>
      <c r="F534" s="1455"/>
      <c r="G534" s="1455"/>
      <c r="H534" s="1455"/>
      <c r="I534" s="1455"/>
      <c r="J534" s="1455"/>
      <c r="K534" s="1455"/>
      <c r="L534" s="1455"/>
      <c r="M534" s="1455"/>
      <c r="N534" s="1455"/>
    </row>
    <row r="535" spans="1:15" hidden="1">
      <c r="C535" s="2807" t="s">
        <v>2299</v>
      </c>
      <c r="D535" s="302"/>
      <c r="E535" s="398"/>
      <c r="F535" s="1455"/>
      <c r="G535" s="2884"/>
      <c r="H535" s="2884"/>
      <c r="I535" s="2884"/>
      <c r="J535" s="2884"/>
      <c r="K535" s="2884"/>
      <c r="L535" s="2884"/>
      <c r="M535" s="2884"/>
      <c r="N535" s="2884"/>
    </row>
    <row r="536" spans="1:15" hidden="1">
      <c r="C536" s="2807" t="s">
        <v>2300</v>
      </c>
      <c r="D536" s="302"/>
      <c r="E536" s="398"/>
      <c r="F536" s="1455"/>
      <c r="G536" s="2884"/>
      <c r="H536" s="2884"/>
      <c r="I536" s="2884"/>
      <c r="J536" s="2884"/>
      <c r="K536" s="2884"/>
      <c r="L536" s="2884"/>
      <c r="M536" s="2884"/>
      <c r="N536" s="2884"/>
    </row>
    <row r="538" spans="1:15" ht="15.75">
      <c r="B538" s="511" t="s">
        <v>299</v>
      </c>
      <c r="C538" s="512"/>
      <c r="D538" s="512"/>
      <c r="E538" s="512"/>
      <c r="F538" s="512"/>
      <c r="G538" s="512"/>
      <c r="H538" s="512"/>
      <c r="I538" s="512"/>
      <c r="J538" s="512"/>
      <c r="K538" s="512"/>
      <c r="L538" s="512"/>
      <c r="M538" s="512"/>
      <c r="N538" s="512"/>
      <c r="O538" s="866"/>
    </row>
    <row r="539" spans="1:15">
      <c r="B539" s="514"/>
      <c r="C539" s="515"/>
      <c r="D539" s="515"/>
      <c r="E539" s="515"/>
      <c r="F539" s="515"/>
      <c r="G539" s="515"/>
      <c r="H539" s="515"/>
      <c r="I539" s="515"/>
      <c r="J539" s="515"/>
      <c r="K539" s="515"/>
      <c r="L539" s="515"/>
      <c r="M539" s="515"/>
      <c r="N539" s="515"/>
      <c r="O539" s="867"/>
    </row>
    <row r="540" spans="1:15">
      <c r="B540" s="514"/>
      <c r="C540" s="34" t="s">
        <v>765</v>
      </c>
      <c r="D540" s="515"/>
      <c r="E540" s="516"/>
      <c r="F540" s="515"/>
      <c r="G540" s="515"/>
      <c r="H540" s="515"/>
      <c r="I540" s="515"/>
      <c r="J540" s="515"/>
      <c r="K540" s="515"/>
      <c r="L540" s="515"/>
      <c r="M540" s="515"/>
      <c r="N540" s="1126" t="str">
        <f>Preferences.EnergyUnits</f>
        <v>TWh</v>
      </c>
      <c r="O540" s="867"/>
    </row>
    <row r="541" spans="1:15">
      <c r="B541" s="514"/>
      <c r="C541" s="515"/>
      <c r="D541" s="515"/>
      <c r="E541" s="515"/>
      <c r="F541" s="515"/>
      <c r="G541" s="515"/>
      <c r="H541" s="515"/>
      <c r="I541" s="515"/>
      <c r="J541" s="515"/>
      <c r="K541" s="515"/>
      <c r="L541" s="515"/>
      <c r="M541" s="515"/>
      <c r="N541" s="515"/>
      <c r="O541" s="867"/>
    </row>
    <row r="542" spans="1:15" ht="15.75">
      <c r="B542" s="15"/>
      <c r="C542" s="873" t="s">
        <v>28</v>
      </c>
      <c r="D542" s="873" t="s">
        <v>29</v>
      </c>
      <c r="E542" s="873" t="s">
        <v>30</v>
      </c>
      <c r="F542" s="873" t="s">
        <v>597</v>
      </c>
      <c r="G542" s="873" t="s">
        <v>133</v>
      </c>
      <c r="H542" s="873" t="s">
        <v>134</v>
      </c>
      <c r="I542" s="873" t="s">
        <v>135</v>
      </c>
      <c r="J542" s="873" t="s">
        <v>136</v>
      </c>
      <c r="K542" s="873" t="s">
        <v>137</v>
      </c>
      <c r="L542" s="873" t="s">
        <v>138</v>
      </c>
      <c r="M542" s="873" t="s">
        <v>139</v>
      </c>
      <c r="N542" s="873" t="s">
        <v>140</v>
      </c>
      <c r="O542" s="867"/>
    </row>
    <row r="543" spans="1:15" ht="15.75">
      <c r="B543" s="15"/>
      <c r="C543" s="17" t="s">
        <v>453</v>
      </c>
      <c r="D543" s="17" t="str">
        <f>INDEX(Vectors[Description], MATCH([Vector], Vectors[Code], 0))</f>
        <v>Waste (all forms of biomass)</v>
      </c>
      <c r="E543" s="17"/>
      <c r="F543" s="3980">
        <f t="shared" ref="F543:N543" si="74">-(F379+F380+F393+F409+F428)</f>
        <v>-0.27892419162550902</v>
      </c>
      <c r="G543" s="22">
        <f t="shared" si="74"/>
        <v>-0.32521886006268502</v>
      </c>
      <c r="H543" s="22">
        <f t="shared" si="74"/>
        <v>-0.89245825273520496</v>
      </c>
      <c r="I543" s="22">
        <f t="shared" si="74"/>
        <v>-0.92642501706403768</v>
      </c>
      <c r="J543" s="22">
        <f t="shared" si="74"/>
        <v>-0.94400509078021921</v>
      </c>
      <c r="K543" s="22">
        <f t="shared" si="74"/>
        <v>-0.95788008201124664</v>
      </c>
      <c r="L543" s="22">
        <f t="shared" si="74"/>
        <v>-0.97299407289903583</v>
      </c>
      <c r="M543" s="22">
        <f t="shared" si="74"/>
        <v>-0.98778131036788008</v>
      </c>
      <c r="N543" s="22">
        <f t="shared" si="74"/>
        <v>-1.0010416337248986</v>
      </c>
      <c r="O543" s="867"/>
    </row>
    <row r="544" spans="1:15" ht="15.75">
      <c r="B544" s="15"/>
      <c r="C544" s="17" t="s">
        <v>425</v>
      </c>
      <c r="D544" s="17" t="str">
        <f>INDEX(Vectors[Description], MATCH([Vector], Vectors[Code], 0))</f>
        <v>Coal, peat and solid fuels</v>
      </c>
      <c r="E544" s="17"/>
      <c r="F544" s="22">
        <f t="shared" ref="F544:N544" si="75">F$380</f>
        <v>6.3749380800000005E-2</v>
      </c>
      <c r="G544" s="22">
        <f t="shared" si="75"/>
        <v>6.568800000000001E-2</v>
      </c>
      <c r="H544" s="22">
        <f t="shared" si="75"/>
        <v>0.25170110893975794</v>
      </c>
      <c r="I544" s="22">
        <f t="shared" si="75"/>
        <v>0.24021866884806434</v>
      </c>
      <c r="J544" s="22">
        <f t="shared" si="75"/>
        <v>0.22914024705996922</v>
      </c>
      <c r="K544" s="22">
        <f t="shared" si="75"/>
        <v>0.22533488167895965</v>
      </c>
      <c r="L544" s="22">
        <f t="shared" si="75"/>
        <v>0.22186590218798416</v>
      </c>
      <c r="M544" s="22">
        <f t="shared" si="75"/>
        <v>0.21811357288438121</v>
      </c>
      <c r="N544" s="22">
        <f t="shared" si="75"/>
        <v>0.2136046021465092</v>
      </c>
      <c r="O544" s="867"/>
    </row>
    <row r="545" spans="2:15" ht="15.75">
      <c r="B545" s="15"/>
      <c r="C545" s="17" t="s">
        <v>432</v>
      </c>
      <c r="D545" s="17" t="str">
        <f>INDEX(Vectors[Description], MATCH([Vector], Vectors[Code], 0))</f>
        <v>Dry biomass and waste</v>
      </c>
      <c r="E545" s="17"/>
      <c r="F545" s="22">
        <f t="shared" ref="F545:N545" si="76">F$379</f>
        <v>9.7224220170000014E-2</v>
      </c>
      <c r="G545" s="22">
        <f t="shared" si="76"/>
        <v>0.1143834792</v>
      </c>
      <c r="H545" s="22">
        <f t="shared" si="76"/>
        <v>0.43708704496583328</v>
      </c>
      <c r="I545" s="22">
        <f t="shared" si="76"/>
        <v>0.43000976772869509</v>
      </c>
      <c r="J545" s="22">
        <f t="shared" si="76"/>
        <v>0.4235756479687835</v>
      </c>
      <c r="K545" s="22">
        <f t="shared" si="76"/>
        <v>0.41849481104362085</v>
      </c>
      <c r="L545" s="22">
        <f t="shared" si="76"/>
        <v>0.4138297069566883</v>
      </c>
      <c r="M545" s="22">
        <f t="shared" si="76"/>
        <v>0.40862327064153176</v>
      </c>
      <c r="N545" s="22">
        <f t="shared" si="76"/>
        <v>0.40213758533350341</v>
      </c>
      <c r="O545" s="867"/>
    </row>
    <row r="546" spans="2:15" ht="15.75">
      <c r="B546" s="15"/>
      <c r="C546" s="17" t="s">
        <v>433</v>
      </c>
      <c r="D546" s="17" t="str">
        <f>INDEX(Vectors[Description], MATCH([Vector], Vectors[Code], 0))</f>
        <v>Wet biomass and waste</v>
      </c>
      <c r="E546" s="17"/>
      <c r="F546" s="22">
        <f t="shared" ref="F546:N546" si="77">F$393+F$428</f>
        <v>4.5150000000000008E-4</v>
      </c>
      <c r="G546" s="22">
        <f t="shared" si="77"/>
        <v>1.0668847222222222E-2</v>
      </c>
      <c r="H546" s="22">
        <f t="shared" si="77"/>
        <v>5.5725080845203209E-2</v>
      </c>
      <c r="I546" s="22">
        <f t="shared" si="77"/>
        <v>8.7471306265643783E-2</v>
      </c>
      <c r="J546" s="22">
        <f t="shared" si="77"/>
        <v>0.12540717002365331</v>
      </c>
      <c r="K546" s="22">
        <f t="shared" si="77"/>
        <v>0.15230992186910158</v>
      </c>
      <c r="L546" s="22">
        <f t="shared" si="77"/>
        <v>0.18103645132919804</v>
      </c>
      <c r="M546" s="22">
        <f t="shared" si="77"/>
        <v>0.21163639296907455</v>
      </c>
      <c r="N546" s="22">
        <f t="shared" si="77"/>
        <v>0.2441593813538632</v>
      </c>
      <c r="O546" s="867"/>
    </row>
    <row r="547" spans="2:15" ht="15.75">
      <c r="B547" s="15"/>
      <c r="C547" s="17" t="s">
        <v>434</v>
      </c>
      <c r="D547" s="17" t="str">
        <f>INDEX(Vectors[Description], MATCH([Vector], Vectors[Code], 0))</f>
        <v>Gaseous waste</v>
      </c>
      <c r="E547" s="17"/>
      <c r="F547" s="22">
        <f t="shared" ref="F547:N547" si="78">F$409</f>
        <v>0.11749909065550901</v>
      </c>
      <c r="G547" s="22">
        <f t="shared" si="78"/>
        <v>0.13447853364046278</v>
      </c>
      <c r="H547" s="22">
        <f t="shared" si="78"/>
        <v>0.14794501798441054</v>
      </c>
      <c r="I547" s="22">
        <f t="shared" si="78"/>
        <v>0.16872527422163447</v>
      </c>
      <c r="J547" s="22">
        <f t="shared" si="78"/>
        <v>0.16588202572781321</v>
      </c>
      <c r="K547" s="22">
        <f t="shared" si="78"/>
        <v>0.16174046741956455</v>
      </c>
      <c r="L547" s="22">
        <f t="shared" si="78"/>
        <v>0.15626201242516538</v>
      </c>
      <c r="M547" s="22">
        <f t="shared" si="78"/>
        <v>0.14940807387289254</v>
      </c>
      <c r="N547" s="22">
        <f t="shared" si="78"/>
        <v>0.14114006489102265</v>
      </c>
      <c r="O547" s="867"/>
    </row>
    <row r="548" spans="2:15" ht="15.75">
      <c r="B548" s="15"/>
      <c r="C548" s="2462" t="s">
        <v>59</v>
      </c>
      <c r="D548" s="2462"/>
      <c r="E548" s="2462"/>
      <c r="F548" s="2465">
        <f>SUBTOTAL(109,[2013])</f>
        <v>0</v>
      </c>
      <c r="G548" s="2465">
        <f>SUBTOTAL(109,[2015])</f>
        <v>0</v>
      </c>
      <c r="H548" s="2465">
        <f>SUBTOTAL(109,[2020])</f>
        <v>0</v>
      </c>
      <c r="I548" s="2465">
        <f>SUBTOTAL(109,[2025])</f>
        <v>0</v>
      </c>
      <c r="J548" s="2465">
        <f>SUBTOTAL(109,[2030])</f>
        <v>0</v>
      </c>
      <c r="K548" s="2465">
        <f>SUBTOTAL(109,[2035])</f>
        <v>0</v>
      </c>
      <c r="L548" s="2465">
        <f>SUBTOTAL(109,[2040])</f>
        <v>0</v>
      </c>
      <c r="M548" s="2465">
        <f>SUBTOTAL(109,[2045])</f>
        <v>0</v>
      </c>
      <c r="N548" s="2465">
        <f>SUBTOTAL(109,[2050])</f>
        <v>0</v>
      </c>
      <c r="O548" s="867"/>
    </row>
    <row r="549" spans="2:15" ht="15.75">
      <c r="B549" s="15"/>
      <c r="C549" s="17"/>
      <c r="D549" s="17"/>
      <c r="E549" s="17"/>
      <c r="F549" s="449"/>
      <c r="G549" s="449"/>
      <c r="H549" s="449"/>
      <c r="I549" s="449"/>
      <c r="J549" s="449"/>
      <c r="K549" s="449"/>
      <c r="L549" s="449"/>
      <c r="M549" s="449"/>
      <c r="N549" s="449"/>
      <c r="O549" s="867"/>
    </row>
    <row r="551" spans="2:15" ht="15.75">
      <c r="B551" s="1127" t="s">
        <v>303</v>
      </c>
      <c r="C551" s="1128"/>
      <c r="D551" s="1129"/>
      <c r="E551" s="1129"/>
      <c r="F551" s="1129"/>
      <c r="G551" s="1129"/>
      <c r="H551" s="1129"/>
      <c r="I551" s="1129"/>
      <c r="J551" s="1129"/>
      <c r="K551" s="1129"/>
      <c r="L551" s="1129"/>
      <c r="M551" s="1129"/>
      <c r="N551" s="1129"/>
      <c r="O551" s="1130"/>
    </row>
    <row r="552" spans="2:15">
      <c r="B552" s="1131"/>
      <c r="C552" s="1132"/>
      <c r="D552" s="1132"/>
      <c r="E552" s="1132"/>
      <c r="F552" s="1132"/>
      <c r="G552" s="1132"/>
      <c r="H552" s="1132"/>
      <c r="I552" s="1132"/>
      <c r="J552" s="1132"/>
      <c r="K552" s="1132"/>
      <c r="L552" s="1132"/>
      <c r="M552" s="1132"/>
      <c r="N552" s="1132"/>
      <c r="O552" s="1133"/>
    </row>
    <row r="553" spans="2:15">
      <c r="B553" s="1134"/>
      <c r="C553" s="462" t="s">
        <v>1028</v>
      </c>
      <c r="D553" s="1135"/>
      <c r="E553" s="1136"/>
      <c r="F553" s="1135"/>
      <c r="G553" s="1135"/>
      <c r="H553" s="1135"/>
      <c r="I553" s="1135"/>
      <c r="J553" s="1135"/>
      <c r="K553" s="1135"/>
      <c r="L553" s="1135"/>
      <c r="M553" s="1135"/>
      <c r="N553" s="1137" t="s">
        <v>254</v>
      </c>
      <c r="O553" s="1138"/>
    </row>
    <row r="554" spans="2:15">
      <c r="B554" s="1134"/>
      <c r="C554" s="1135"/>
      <c r="D554" s="1135"/>
      <c r="E554" s="1135"/>
      <c r="F554" s="1135"/>
      <c r="G554" s="1135"/>
      <c r="H554" s="1135"/>
      <c r="I554" s="1135"/>
      <c r="J554" s="1135"/>
      <c r="K554" s="1135"/>
      <c r="L554" s="1135"/>
      <c r="M554" s="1135"/>
      <c r="N554" s="1135"/>
      <c r="O554" s="1138"/>
    </row>
    <row r="555" spans="2:15" ht="15.75">
      <c r="B555" s="467"/>
      <c r="C555" s="1339" t="s">
        <v>305</v>
      </c>
      <c r="D555" s="1339" t="s">
        <v>306</v>
      </c>
      <c r="E555" s="1339" t="s">
        <v>30</v>
      </c>
      <c r="F555" s="1339" t="s">
        <v>597</v>
      </c>
      <c r="G555" s="1339" t="s">
        <v>133</v>
      </c>
      <c r="H555" s="1339" t="s">
        <v>134</v>
      </c>
      <c r="I555" s="1339" t="s">
        <v>135</v>
      </c>
      <c r="J555" s="1339" t="s">
        <v>136</v>
      </c>
      <c r="K555" s="1339" t="s">
        <v>137</v>
      </c>
      <c r="L555" s="1339" t="s">
        <v>138</v>
      </c>
      <c r="M555" s="1339" t="s">
        <v>139</v>
      </c>
      <c r="N555" s="1339" t="s">
        <v>140</v>
      </c>
      <c r="O555" s="1138"/>
    </row>
    <row r="556" spans="2:15" ht="15.75">
      <c r="B556" s="467"/>
      <c r="C556" s="1140" t="s">
        <v>253</v>
      </c>
      <c r="D556" s="2665">
        <v>6</v>
      </c>
      <c r="E556" s="1141" t="str">
        <f>INDEX(IPCC[Sector_description], MATCH([IPCC Sector], IPCC[Sector_code], 0))</f>
        <v>Waste</v>
      </c>
      <c r="F556" s="470">
        <f>0</f>
        <v>0</v>
      </c>
      <c r="G556" s="470">
        <f>0</f>
        <v>0</v>
      </c>
      <c r="H556" s="470">
        <f>0</f>
        <v>0</v>
      </c>
      <c r="I556" s="470">
        <f>0</f>
        <v>0</v>
      </c>
      <c r="J556" s="470">
        <f>0</f>
        <v>0</v>
      </c>
      <c r="K556" s="470">
        <f>0</f>
        <v>0</v>
      </c>
      <c r="L556" s="470">
        <f>0</f>
        <v>0</v>
      </c>
      <c r="M556" s="470">
        <f>0</f>
        <v>0</v>
      </c>
      <c r="N556" s="470">
        <f>0</f>
        <v>0</v>
      </c>
      <c r="O556" s="1138"/>
    </row>
    <row r="557" spans="2:15" ht="15.75">
      <c r="B557" s="467"/>
      <c r="C557" s="1140" t="s">
        <v>255</v>
      </c>
      <c r="D557" s="2665">
        <v>6</v>
      </c>
      <c r="E557" s="1141" t="str">
        <f>INDEX(IPCC[Sector_description], MATCH([IPCC Sector], IPCC[Sector_code], 0))</f>
        <v>Waste</v>
      </c>
      <c r="F557" s="470">
        <f>F405+F424</f>
        <v>0.91161439312499992</v>
      </c>
      <c r="G557" s="470">
        <f t="shared" ref="G557:N557" si="79">G405+G424</f>
        <v>0.78153920634289342</v>
      </c>
      <c r="H557" s="470">
        <f t="shared" si="79"/>
        <v>0.67661522642028871</v>
      </c>
      <c r="I557" s="470">
        <f t="shared" si="79"/>
        <v>0.60925043615004382</v>
      </c>
      <c r="J557" s="470">
        <f t="shared" si="79"/>
        <v>0.54368990189287236</v>
      </c>
      <c r="K557" s="470">
        <f t="shared" si="79"/>
        <v>0.47993362364877479</v>
      </c>
      <c r="L557" s="470">
        <f t="shared" si="79"/>
        <v>0.41798160141775098</v>
      </c>
      <c r="M557" s="470">
        <f t="shared" si="79"/>
        <v>0.35783383519980072</v>
      </c>
      <c r="N557" s="470">
        <f t="shared" si="79"/>
        <v>0.29949032499492428</v>
      </c>
      <c r="O557" s="1138"/>
    </row>
    <row r="558" spans="2:15" ht="15.75">
      <c r="B558" s="467"/>
      <c r="C558" s="1140" t="s">
        <v>256</v>
      </c>
      <c r="D558" s="2665">
        <v>6</v>
      </c>
      <c r="E558" s="1141" t="str">
        <f>INDEX(IPCC[Sector_description], MATCH([IPCC Sector], IPCC[Sector_code], 0))</f>
        <v>Waste</v>
      </c>
      <c r="F558" s="470">
        <f t="shared" ref="F558:N558" si="80">F417</f>
        <v>5.7557035714285713E-2</v>
      </c>
      <c r="G558" s="470">
        <f t="shared" si="80"/>
        <v>5.4813037500000002E-2</v>
      </c>
      <c r="H558" s="470">
        <f t="shared" si="80"/>
        <v>5.608464642857143E-2</v>
      </c>
      <c r="I558" s="470">
        <f t="shared" si="80"/>
        <v>5.7356255357142859E-2</v>
      </c>
      <c r="J558" s="470">
        <f t="shared" si="80"/>
        <v>5.862786428571428E-2</v>
      </c>
      <c r="K558" s="470">
        <f t="shared" si="80"/>
        <v>5.9899473214285702E-2</v>
      </c>
      <c r="L558" s="470">
        <f t="shared" si="80"/>
        <v>6.1171082142857144E-2</v>
      </c>
      <c r="M558" s="470">
        <f t="shared" si="80"/>
        <v>6.2442691071428566E-2</v>
      </c>
      <c r="N558" s="470">
        <f t="shared" si="80"/>
        <v>6.3714299999999988E-2</v>
      </c>
      <c r="O558" s="1138"/>
    </row>
    <row r="559" spans="2:15" ht="15.75">
      <c r="B559" s="467"/>
      <c r="C559" s="2466" t="s">
        <v>59</v>
      </c>
      <c r="D559" s="2682"/>
      <c r="E559" s="2466"/>
      <c r="F559" s="2467">
        <f>SUBTOTAL(109,[2013])</f>
        <v>0.96917142883928564</v>
      </c>
      <c r="G559" s="2467">
        <f>SUBTOTAL(109,[2015])</f>
        <v>0.83635224384289342</v>
      </c>
      <c r="H559" s="2467">
        <f>SUBTOTAL(109,[2020])</f>
        <v>0.73269987284886018</v>
      </c>
      <c r="I559" s="2467">
        <f>SUBTOTAL(109,[2025])</f>
        <v>0.66660669150718665</v>
      </c>
      <c r="J559" s="2467">
        <f>SUBTOTAL(109,[2030])</f>
        <v>0.60231776617858668</v>
      </c>
      <c r="K559" s="2467">
        <f>SUBTOTAL(109,[2035])</f>
        <v>0.53983309686306047</v>
      </c>
      <c r="L559" s="2467">
        <f>SUBTOTAL(109,[2040])</f>
        <v>0.47915268356060814</v>
      </c>
      <c r="M559" s="2467">
        <f>SUBTOTAL(109,[2045])</f>
        <v>0.4202765262712293</v>
      </c>
      <c r="N559" s="2467">
        <f>SUBTOTAL(109,[2050])</f>
        <v>0.36320462499492429</v>
      </c>
      <c r="O559" s="1138"/>
    </row>
    <row r="560" spans="2:15" ht="15.75">
      <c r="B560" s="467"/>
      <c r="C560" s="1140"/>
      <c r="D560" s="1384"/>
      <c r="E560" s="1140"/>
      <c r="F560" s="471"/>
      <c r="G560" s="471"/>
      <c r="H560" s="471"/>
      <c r="I560" s="471"/>
      <c r="J560" s="471"/>
      <c r="K560" s="471"/>
      <c r="L560" s="471"/>
      <c r="M560" s="471"/>
      <c r="N560" s="471"/>
      <c r="O560" s="1138"/>
    </row>
    <row r="561" spans="2:15" ht="15.75">
      <c r="B561" s="467"/>
      <c r="C561" s="475" t="s">
        <v>849</v>
      </c>
      <c r="D561" s="1384"/>
      <c r="E561" s="1140"/>
      <c r="F561" s="471"/>
      <c r="G561" s="471"/>
      <c r="H561" s="471"/>
      <c r="I561" s="471"/>
      <c r="J561" s="471"/>
      <c r="K561" s="471"/>
      <c r="L561" s="471"/>
      <c r="M561" s="471"/>
      <c r="N561" s="1143" t="s">
        <v>850</v>
      </c>
      <c r="O561" s="1138"/>
    </row>
    <row r="562" spans="2:15" ht="15.75">
      <c r="B562" s="467"/>
      <c r="C562" s="1140"/>
      <c r="D562" s="1384" t="s">
        <v>5</v>
      </c>
      <c r="E562" s="1140"/>
      <c r="F562" s="471"/>
      <c r="G562" s="471"/>
      <c r="H562" s="471"/>
      <c r="I562" s="471"/>
      <c r="J562" s="471"/>
      <c r="K562" s="471"/>
      <c r="L562" s="471"/>
      <c r="M562" s="471"/>
      <c r="N562" s="471"/>
      <c r="O562" s="1138"/>
    </row>
    <row r="563" spans="2:15" ht="15.75">
      <c r="B563" s="467"/>
      <c r="C563" s="2666" t="s">
        <v>28</v>
      </c>
      <c r="D563" s="2666" t="s">
        <v>29</v>
      </c>
      <c r="E563" s="2666" t="s">
        <v>30</v>
      </c>
      <c r="F563" s="2666" t="s">
        <v>597</v>
      </c>
      <c r="G563" s="2666" t="s">
        <v>133</v>
      </c>
      <c r="H563" s="2666" t="s">
        <v>134</v>
      </c>
      <c r="I563" s="2666" t="s">
        <v>135</v>
      </c>
      <c r="J563" s="2666" t="s">
        <v>136</v>
      </c>
      <c r="K563" s="2666" t="s">
        <v>137</v>
      </c>
      <c r="L563" s="2666" t="s">
        <v>138</v>
      </c>
      <c r="M563" s="2666" t="s">
        <v>139</v>
      </c>
      <c r="N563" s="2666" t="s">
        <v>140</v>
      </c>
      <c r="O563" s="1138"/>
    </row>
    <row r="564" spans="2:15" ht="15.75">
      <c r="B564" s="467"/>
      <c r="C564" s="1344" t="s">
        <v>260</v>
      </c>
      <c r="D564" s="1343" t="str">
        <f>INDEX(AirQualityVectors[Description],MATCH(C564,AirQualityVectors[Code],0))</f>
        <v>PM10</v>
      </c>
      <c r="E564" s="1344"/>
      <c r="F564" s="2885">
        <f t="shared" ref="F564:N564" si="81">F212*(F$399*F$400*(1-F$401))*$F$180</f>
        <v>2.8207257049247727E-2</v>
      </c>
      <c r="G564" s="2885">
        <f t="shared" si="81"/>
        <v>2.5694953883937222E-2</v>
      </c>
      <c r="H564" s="2885">
        <f t="shared" si="81"/>
        <v>2.2831853514443515E-2</v>
      </c>
      <c r="I564" s="2885">
        <f t="shared" si="81"/>
        <v>1.8527607744828176E-2</v>
      </c>
      <c r="J564" s="2885">
        <f t="shared" si="81"/>
        <v>1.6596949134011389E-2</v>
      </c>
      <c r="K564" s="2885">
        <f t="shared" si="81"/>
        <v>1.4742963206773121E-2</v>
      </c>
      <c r="L564" s="2885">
        <f t="shared" si="81"/>
        <v>1.2969619950589206E-2</v>
      </c>
      <c r="M564" s="2885">
        <f t="shared" si="81"/>
        <v>1.1280889352935483E-2</v>
      </c>
      <c r="N564" s="2885">
        <f t="shared" si="81"/>
        <v>9.6807414012877787E-3</v>
      </c>
      <c r="O564" s="1138"/>
    </row>
    <row r="565" spans="2:15" ht="15.75">
      <c r="B565" s="467"/>
      <c r="C565" s="1148" t="s">
        <v>262</v>
      </c>
      <c r="D565" s="1144" t="str">
        <f>INDEX(AirQualityVectors[Description],MATCH(C565,AirQualityVectors[Code],0))</f>
        <v>NOX</v>
      </c>
      <c r="E565" s="1148"/>
      <c r="F565" s="2886">
        <f t="shared" ref="F565:N565" si="82">F217*(F$399*F$400*(1-F$401))*$F$180</f>
        <v>0.6840384205064487</v>
      </c>
      <c r="G565" s="2886">
        <f t="shared" si="82"/>
        <v>0.62311396103022376</v>
      </c>
      <c r="H565" s="2886">
        <f t="shared" si="82"/>
        <v>0.55368251468006779</v>
      </c>
      <c r="I565" s="2886">
        <f t="shared" si="82"/>
        <v>0.44930265695130078</v>
      </c>
      <c r="J565" s="2886">
        <f t="shared" si="82"/>
        <v>0.40248333437858325</v>
      </c>
      <c r="K565" s="2886">
        <f t="shared" si="82"/>
        <v>0.35752335818894265</v>
      </c>
      <c r="L565" s="2886">
        <f t="shared" si="82"/>
        <v>0.3145190023291034</v>
      </c>
      <c r="M565" s="2886">
        <f t="shared" si="82"/>
        <v>0.27356654074579001</v>
      </c>
      <c r="N565" s="2886">
        <f t="shared" si="82"/>
        <v>0.23476224738572662</v>
      </c>
      <c r="O565" s="1138"/>
    </row>
    <row r="566" spans="2:15" ht="15.75">
      <c r="B566" s="467"/>
      <c r="C566" s="1148" t="s">
        <v>264</v>
      </c>
      <c r="D566" s="1144" t="str">
        <f>INDEX(AirQualityVectors[Description],MATCH(C566,AirQualityVectors[Code],0))</f>
        <v>SO2</v>
      </c>
      <c r="E566" s="1148"/>
      <c r="F566" s="2886">
        <f t="shared" ref="F566:N566" si="83">F222*(F$399*F$400*(1-F$401))*$F$180</f>
        <v>0</v>
      </c>
      <c r="G566" s="2886">
        <f t="shared" si="83"/>
        <v>0</v>
      </c>
      <c r="H566" s="2886">
        <f t="shared" si="83"/>
        <v>0</v>
      </c>
      <c r="I566" s="2886">
        <f t="shared" si="83"/>
        <v>0</v>
      </c>
      <c r="J566" s="2886">
        <f t="shared" si="83"/>
        <v>0</v>
      </c>
      <c r="K566" s="2886">
        <f t="shared" si="83"/>
        <v>0</v>
      </c>
      <c r="L566" s="2886">
        <f t="shared" si="83"/>
        <v>0</v>
      </c>
      <c r="M566" s="2886">
        <f t="shared" si="83"/>
        <v>0</v>
      </c>
      <c r="N566" s="2886">
        <f t="shared" si="83"/>
        <v>0</v>
      </c>
      <c r="O566" s="1138"/>
    </row>
    <row r="567" spans="2:15" ht="15.75">
      <c r="B567" s="467"/>
      <c r="C567" s="1348" t="s">
        <v>266</v>
      </c>
      <c r="D567" s="1347" t="str">
        <f>INDEX(AirQualityVectors[Description],MATCH(C567,AirQualityVectors[Code],0))</f>
        <v>NMVOC</v>
      </c>
      <c r="E567" s="1348"/>
      <c r="F567" s="2887">
        <f t="shared" ref="F567:N567" si="84">F227*(F$399*F$400*(1-F$401))*$F$180+$F232*F557/$F557</f>
        <v>9.6403188947571401</v>
      </c>
      <c r="G567" s="2887">
        <f t="shared" si="84"/>
        <v>8.2653275744488468</v>
      </c>
      <c r="H567" s="2887">
        <f t="shared" si="84"/>
        <v>7.1558971495571857</v>
      </c>
      <c r="I567" s="2887">
        <f t="shared" si="84"/>
        <v>6.4427026669008152</v>
      </c>
      <c r="J567" s="2887">
        <f t="shared" si="84"/>
        <v>5.7494360774109756</v>
      </c>
      <c r="K567" s="2887">
        <f t="shared" si="84"/>
        <v>5.0752571143898288</v>
      </c>
      <c r="L567" s="2887">
        <f t="shared" si="84"/>
        <v>4.4201672301545161</v>
      </c>
      <c r="M567" s="2887">
        <f t="shared" si="84"/>
        <v>3.7841678770221785</v>
      </c>
      <c r="N567" s="2887">
        <f t="shared" si="84"/>
        <v>3.1672605073099596</v>
      </c>
      <c r="O567" s="1138"/>
    </row>
    <row r="568" spans="2:15" ht="15.75">
      <c r="B568" s="467"/>
      <c r="C568" s="1140"/>
      <c r="D568" s="1384"/>
      <c r="E568" s="1140"/>
      <c r="F568" s="471"/>
      <c r="G568" s="471"/>
      <c r="H568" s="471"/>
      <c r="I568" s="471"/>
      <c r="J568" s="471"/>
      <c r="K568" s="471"/>
      <c r="L568" s="471"/>
      <c r="M568" s="471"/>
      <c r="N568" s="471"/>
      <c r="O568" s="474"/>
    </row>
    <row r="570" spans="2:15" ht="15.75">
      <c r="B570" s="995" t="s">
        <v>313</v>
      </c>
      <c r="C570" s="996"/>
      <c r="D570" s="997"/>
      <c r="E570" s="997"/>
      <c r="F570" s="997"/>
      <c r="G570" s="997"/>
      <c r="H570" s="997"/>
      <c r="I570" s="997"/>
      <c r="J570" s="997"/>
      <c r="K570" s="997"/>
      <c r="L570" s="997"/>
      <c r="M570" s="997"/>
      <c r="N570" s="997"/>
      <c r="O570" s="998"/>
    </row>
    <row r="571" spans="2:15">
      <c r="B571" s="999"/>
      <c r="C571" s="1000"/>
      <c r="D571" s="1000"/>
      <c r="E571" s="1000"/>
      <c r="F571" s="1000"/>
      <c r="G571" s="1000"/>
      <c r="H571" s="1000"/>
      <c r="I571" s="1000"/>
      <c r="J571" s="1000"/>
      <c r="K571" s="1000"/>
      <c r="L571" s="1000"/>
      <c r="M571" s="1000"/>
      <c r="N571" s="1000"/>
      <c r="O571" s="1001"/>
    </row>
    <row r="572" spans="2:15">
      <c r="B572" s="1002"/>
      <c r="C572" s="488" t="s">
        <v>314</v>
      </c>
      <c r="D572" s="1003"/>
      <c r="E572" s="1004"/>
      <c r="F572" s="1003"/>
      <c r="G572" s="1003"/>
      <c r="H572" s="1003"/>
      <c r="I572" s="1003"/>
      <c r="J572" s="1003"/>
      <c r="K572" s="1003"/>
      <c r="L572" s="1003"/>
      <c r="M572" s="1003"/>
      <c r="N572" s="1004"/>
      <c r="O572" s="1005"/>
    </row>
    <row r="573" spans="2:15">
      <c r="B573" s="1002"/>
      <c r="C573" s="1003"/>
      <c r="D573" s="1003"/>
      <c r="E573" s="1003"/>
      <c r="F573" s="1003"/>
      <c r="G573" s="1003"/>
      <c r="H573" s="1003"/>
      <c r="I573" s="1003"/>
      <c r="J573" s="1003"/>
      <c r="K573" s="1003"/>
      <c r="L573" s="1003"/>
      <c r="M573" s="1003"/>
      <c r="N573" s="1003"/>
      <c r="O573" s="1005"/>
    </row>
    <row r="574" spans="2:15" ht="15.75">
      <c r="B574" s="492"/>
      <c r="C574" s="1006" t="s">
        <v>28</v>
      </c>
      <c r="D574" s="1006" t="s">
        <v>315</v>
      </c>
      <c r="E574" s="1006" t="s">
        <v>30</v>
      </c>
      <c r="F574" s="1006" t="s">
        <v>597</v>
      </c>
      <c r="G574" s="1006" t="s">
        <v>133</v>
      </c>
      <c r="H574" s="1006" t="s">
        <v>134</v>
      </c>
      <c r="I574" s="1006" t="s">
        <v>135</v>
      </c>
      <c r="J574" s="1006" t="s">
        <v>136</v>
      </c>
      <c r="K574" s="1006" t="s">
        <v>137</v>
      </c>
      <c r="L574" s="1006" t="s">
        <v>138</v>
      </c>
      <c r="M574" s="1006" t="s">
        <v>139</v>
      </c>
      <c r="N574" s="1006" t="s">
        <v>140</v>
      </c>
      <c r="O574" s="1005"/>
    </row>
    <row r="575" spans="2:15" ht="15.75">
      <c r="B575" s="492"/>
      <c r="C575" s="1007" t="s">
        <v>316</v>
      </c>
      <c r="D575" s="1007" t="s">
        <v>3182</v>
      </c>
      <c r="E575" s="494"/>
      <c r="F575" s="1193">
        <f>F457</f>
        <v>0.69393436000000008</v>
      </c>
      <c r="G575" s="1193">
        <f t="shared" ref="G575:N575" si="85">G457</f>
        <v>0.754344448</v>
      </c>
      <c r="H575" s="1193">
        <f t="shared" si="85"/>
        <v>2.9229970673625103</v>
      </c>
      <c r="I575" s="1193">
        <f t="shared" si="85"/>
        <v>2.836473511223963</v>
      </c>
      <c r="J575" s="1193">
        <f t="shared" si="85"/>
        <v>2.7522736344777217</v>
      </c>
      <c r="K575" s="1193">
        <f t="shared" si="85"/>
        <v>2.7235746188709729</v>
      </c>
      <c r="L575" s="1193">
        <f t="shared" si="85"/>
        <v>2.6973290280266586</v>
      </c>
      <c r="M575" s="1193">
        <f t="shared" si="85"/>
        <v>2.6666126360314557</v>
      </c>
      <c r="N575" s="1193">
        <f t="shared" si="85"/>
        <v>2.6260325485003251</v>
      </c>
      <c r="O575" s="1005"/>
    </row>
    <row r="576" spans="2:15" ht="15.75">
      <c r="B576" s="497"/>
      <c r="C576" s="1010"/>
      <c r="D576" s="1010"/>
      <c r="E576" s="1010"/>
      <c r="F576" s="1010"/>
      <c r="G576" s="1010"/>
      <c r="H576" s="1010"/>
      <c r="I576" s="1010"/>
      <c r="J576" s="1010"/>
      <c r="K576" s="1010"/>
      <c r="L576" s="1010"/>
      <c r="M576" s="1010"/>
      <c r="N576" s="1010"/>
      <c r="O576" s="1011"/>
    </row>
    <row r="577" spans="1:20">
      <c r="T577" s="6"/>
    </row>
    <row r="578" spans="1:20" ht="15.75">
      <c r="B578" s="995" t="s">
        <v>2795</v>
      </c>
      <c r="C578" s="997"/>
      <c r="D578" s="997"/>
      <c r="E578" s="997"/>
      <c r="F578" s="997"/>
      <c r="G578" s="997"/>
      <c r="H578" s="997"/>
      <c r="I578" s="997"/>
      <c r="J578" s="997"/>
      <c r="K578" s="997"/>
      <c r="L578" s="997"/>
      <c r="M578" s="997"/>
      <c r="N578" s="997"/>
      <c r="O578" s="998"/>
      <c r="T578" s="6"/>
    </row>
    <row r="579" spans="1:20" hidden="1">
      <c r="B579" s="1002"/>
      <c r="C579" s="1003"/>
      <c r="D579" s="1003"/>
      <c r="E579" s="1003"/>
      <c r="F579" s="1003"/>
      <c r="G579" s="1003"/>
      <c r="H579" s="1003"/>
      <c r="I579" s="1003"/>
      <c r="J579" s="1003"/>
      <c r="K579" s="1003"/>
      <c r="L579" s="1003"/>
      <c r="M579" s="1003"/>
      <c r="N579" s="1003"/>
      <c r="O579" s="1005"/>
    </row>
    <row r="580" spans="1:20" hidden="1">
      <c r="B580" s="1002"/>
      <c r="C580" s="500" t="s">
        <v>2307</v>
      </c>
      <c r="D580" s="1012"/>
      <c r="E580" s="1012"/>
      <c r="F580" s="1012"/>
      <c r="G580" s="1012"/>
      <c r="H580" s="1012"/>
      <c r="I580" s="1012"/>
      <c r="J580" s="1012"/>
      <c r="K580" s="1012"/>
      <c r="L580" s="1012"/>
      <c r="M580" s="1012"/>
      <c r="N580" s="1013" t="s">
        <v>2812</v>
      </c>
      <c r="O580" s="1005"/>
    </row>
    <row r="581" spans="1:20" hidden="1">
      <c r="B581" s="1002"/>
      <c r="C581" s="1003"/>
      <c r="D581" s="1003"/>
      <c r="E581" s="1003"/>
      <c r="F581" s="1003"/>
      <c r="G581" s="1003"/>
      <c r="H581" s="1003"/>
      <c r="I581" s="1003"/>
      <c r="J581" s="1003"/>
      <c r="K581" s="1003"/>
      <c r="L581" s="1003"/>
      <c r="M581" s="1003"/>
      <c r="N581" s="1003"/>
      <c r="O581" s="1005"/>
    </row>
    <row r="582" spans="1:20" ht="15.75" hidden="1">
      <c r="B582" s="492"/>
      <c r="C582" s="1006" t="s">
        <v>28</v>
      </c>
      <c r="D582" s="1006" t="s">
        <v>29</v>
      </c>
      <c r="E582" s="1006" t="s">
        <v>30</v>
      </c>
      <c r="F582" s="1006">
        <v>2013</v>
      </c>
      <c r="G582" s="1006" t="s">
        <v>133</v>
      </c>
      <c r="H582" s="1006" t="s">
        <v>134</v>
      </c>
      <c r="I582" s="1006" t="s">
        <v>135</v>
      </c>
      <c r="J582" s="1006" t="s">
        <v>136</v>
      </c>
      <c r="K582" s="1006" t="s">
        <v>137</v>
      </c>
      <c r="L582" s="1006" t="s">
        <v>138</v>
      </c>
      <c r="M582" s="1006" t="s">
        <v>139</v>
      </c>
      <c r="N582" s="1006" t="s">
        <v>140</v>
      </c>
      <c r="O582" s="1150"/>
    </row>
    <row r="583" spans="1:20" ht="15.75" hidden="1">
      <c r="B583" s="492"/>
      <c r="C583" s="1240" t="s">
        <v>328</v>
      </c>
      <c r="D583" s="494" t="s">
        <v>329</v>
      </c>
      <c r="E583" s="494"/>
      <c r="F583" s="495"/>
      <c r="G583" s="495"/>
      <c r="H583" s="495"/>
      <c r="I583" s="495"/>
      <c r="J583" s="495"/>
      <c r="K583" s="495"/>
      <c r="L583" s="495"/>
      <c r="M583" s="495"/>
      <c r="N583" s="495"/>
      <c r="O583" s="1150"/>
    </row>
    <row r="584" spans="1:20" ht="15.75" hidden="1">
      <c r="B584" s="492"/>
      <c r="C584" s="1007" t="s">
        <v>335</v>
      </c>
      <c r="D584" s="494" t="s">
        <v>336</v>
      </c>
      <c r="E584" s="494"/>
      <c r="F584" s="506"/>
      <c r="G584" s="506"/>
      <c r="H584" s="506"/>
      <c r="I584" s="506"/>
      <c r="J584" s="506"/>
      <c r="K584" s="506"/>
      <c r="L584" s="506"/>
      <c r="M584" s="506"/>
      <c r="N584" s="506"/>
      <c r="O584" s="1150"/>
    </row>
    <row r="585" spans="1:20" ht="15.75" hidden="1">
      <c r="B585" s="492"/>
      <c r="C585" s="1240" t="s">
        <v>326</v>
      </c>
      <c r="D585" s="494" t="s">
        <v>327</v>
      </c>
      <c r="E585" s="2669"/>
      <c r="F585" s="506"/>
      <c r="G585" s="506"/>
      <c r="H585" s="506"/>
      <c r="I585" s="506"/>
      <c r="J585" s="506"/>
      <c r="K585" s="506"/>
      <c r="L585" s="506"/>
      <c r="M585" s="506"/>
      <c r="N585" s="506"/>
      <c r="O585" s="1150"/>
    </row>
    <row r="586" spans="1:20" ht="23.25" hidden="1">
      <c r="A586" s="7"/>
      <c r="B586" s="492"/>
      <c r="C586" s="1240" t="s">
        <v>333</v>
      </c>
      <c r="D586" s="504" t="s">
        <v>334</v>
      </c>
      <c r="E586" s="2669"/>
      <c r="F586" s="506"/>
      <c r="G586" s="506"/>
      <c r="H586" s="506"/>
      <c r="I586" s="506"/>
      <c r="J586" s="506"/>
      <c r="K586" s="506"/>
      <c r="L586" s="506"/>
      <c r="M586" s="506"/>
      <c r="N586" s="506"/>
      <c r="O586" s="1150"/>
    </row>
    <row r="587" spans="1:20" ht="15.75" hidden="1">
      <c r="B587" s="492"/>
      <c r="C587" s="1007" t="s">
        <v>324</v>
      </c>
      <c r="D587" s="504" t="s">
        <v>325</v>
      </c>
      <c r="E587" s="2888"/>
      <c r="F587" s="495"/>
      <c r="G587" s="495"/>
      <c r="H587" s="495"/>
      <c r="I587" s="495"/>
      <c r="J587" s="495"/>
      <c r="K587" s="495"/>
      <c r="L587" s="495"/>
      <c r="M587" s="495"/>
      <c r="N587" s="495"/>
      <c r="O587" s="1150"/>
    </row>
    <row r="588" spans="1:20" hidden="1">
      <c r="B588" s="503"/>
      <c r="C588" s="1007" t="s">
        <v>331</v>
      </c>
      <c r="D588" s="494" t="s">
        <v>332</v>
      </c>
      <c r="E588" s="2669"/>
      <c r="F588" s="506"/>
      <c r="G588" s="506"/>
      <c r="H588" s="506"/>
      <c r="I588" s="506"/>
      <c r="J588" s="506"/>
      <c r="K588" s="506"/>
      <c r="L588" s="506"/>
      <c r="M588" s="506"/>
      <c r="N588" s="506"/>
      <c r="O588" s="1151"/>
    </row>
    <row r="589" spans="1:20" hidden="1">
      <c r="B589" s="503"/>
      <c r="C589" s="1003"/>
      <c r="D589" s="1003"/>
      <c r="E589" s="1003"/>
      <c r="F589" s="1003"/>
      <c r="G589" s="1003"/>
      <c r="H589" s="1003"/>
      <c r="I589" s="1003"/>
      <c r="J589" s="1003"/>
      <c r="K589" s="1003"/>
      <c r="L589" s="1003"/>
      <c r="M589" s="1003"/>
      <c r="N589" s="1003"/>
      <c r="O589" s="1151"/>
    </row>
    <row r="590" spans="1:20" hidden="1">
      <c r="B590" s="503"/>
      <c r="C590" s="1003"/>
      <c r="D590" s="1003"/>
      <c r="E590" s="1003"/>
      <c r="F590" s="1003"/>
      <c r="G590" s="1003"/>
      <c r="H590" s="1003"/>
      <c r="I590" s="1003"/>
      <c r="J590" s="1003"/>
      <c r="K590" s="1003"/>
      <c r="L590" s="1003"/>
      <c r="M590" s="1003"/>
      <c r="N590" s="1003"/>
      <c r="O590" s="1151"/>
    </row>
    <row r="591" spans="1:20" ht="15.75" hidden="1">
      <c r="A591" s="443"/>
      <c r="B591" s="1002"/>
      <c r="C591" s="500" t="s">
        <v>2308</v>
      </c>
      <c r="D591" s="1012"/>
      <c r="E591" s="1012"/>
      <c r="F591" s="1012"/>
      <c r="G591" s="1012"/>
      <c r="H591" s="1012"/>
      <c r="I591" s="1012"/>
      <c r="J591" s="1012"/>
      <c r="K591" s="1012"/>
      <c r="L591" s="1012"/>
      <c r="M591" s="1012"/>
      <c r="N591" s="1013" t="s">
        <v>2812</v>
      </c>
      <c r="O591" s="1005"/>
    </row>
    <row r="592" spans="1:20" ht="15.75" hidden="1">
      <c r="A592" s="443"/>
      <c r="B592" s="1002"/>
      <c r="C592" s="1003"/>
      <c r="D592" s="1003"/>
      <c r="E592" s="1003"/>
      <c r="F592" s="1003"/>
      <c r="G592" s="1003"/>
      <c r="H592" s="1003"/>
      <c r="I592" s="1003"/>
      <c r="J592" s="1003"/>
      <c r="K592" s="1003"/>
      <c r="L592" s="1003"/>
      <c r="M592" s="1003"/>
      <c r="N592" s="1003"/>
      <c r="O592" s="1005"/>
    </row>
    <row r="593" spans="1:15" ht="15.75" hidden="1">
      <c r="A593" s="443"/>
      <c r="B593" s="492"/>
      <c r="C593" s="1389" t="s">
        <v>28</v>
      </c>
      <c r="D593" s="1389" t="s">
        <v>29</v>
      </c>
      <c r="E593" s="1389" t="s">
        <v>30</v>
      </c>
      <c r="F593" s="1389">
        <v>2013</v>
      </c>
      <c r="G593" s="1389" t="s">
        <v>133</v>
      </c>
      <c r="H593" s="1389" t="s">
        <v>134</v>
      </c>
      <c r="I593" s="1389" t="s">
        <v>135</v>
      </c>
      <c r="J593" s="1389" t="s">
        <v>136</v>
      </c>
      <c r="K593" s="1389" t="s">
        <v>137</v>
      </c>
      <c r="L593" s="1389" t="s">
        <v>138</v>
      </c>
      <c r="M593" s="1389" t="s">
        <v>139</v>
      </c>
      <c r="N593" s="1389" t="s">
        <v>140</v>
      </c>
      <c r="O593" s="1150"/>
    </row>
    <row r="594" spans="1:15" ht="15.75" hidden="1">
      <c r="A594" s="443"/>
      <c r="B594" s="2469"/>
      <c r="C594" s="1240" t="s">
        <v>328</v>
      </c>
      <c r="D594" s="494" t="s">
        <v>329</v>
      </c>
      <c r="E594" s="494"/>
      <c r="F594" s="495"/>
      <c r="G594" s="495"/>
      <c r="H594" s="495"/>
      <c r="I594" s="495"/>
      <c r="J594" s="495"/>
      <c r="K594" s="495"/>
      <c r="L594" s="495"/>
      <c r="M594" s="495"/>
      <c r="N594" s="495"/>
      <c r="O594" s="1240"/>
    </row>
    <row r="595" spans="1:15" ht="15.75" hidden="1">
      <c r="A595" s="443"/>
      <c r="B595" s="2469"/>
      <c r="C595" s="1007" t="s">
        <v>335</v>
      </c>
      <c r="D595" s="494" t="s">
        <v>336</v>
      </c>
      <c r="E595" s="494"/>
      <c r="F595" s="506"/>
      <c r="G595" s="506"/>
      <c r="H595" s="506"/>
      <c r="I595" s="506"/>
      <c r="J595" s="506"/>
      <c r="K595" s="506"/>
      <c r="L595" s="506"/>
      <c r="M595" s="506"/>
      <c r="N595" s="506"/>
      <c r="O595" s="1240"/>
    </row>
    <row r="596" spans="1:15" ht="15.75" hidden="1">
      <c r="A596" s="443"/>
      <c r="B596" s="2469"/>
      <c r="C596" s="1240" t="s">
        <v>326</v>
      </c>
      <c r="D596" s="494" t="s">
        <v>327</v>
      </c>
      <c r="E596" s="504"/>
      <c r="F596" s="506"/>
      <c r="G596" s="506"/>
      <c r="H596" s="506"/>
      <c r="I596" s="506"/>
      <c r="J596" s="506"/>
      <c r="K596" s="506"/>
      <c r="L596" s="506"/>
      <c r="M596" s="506"/>
      <c r="N596" s="506"/>
      <c r="O596" s="1240"/>
    </row>
    <row r="597" spans="1:15" ht="15.75" hidden="1">
      <c r="A597" s="443"/>
      <c r="B597" s="2529"/>
      <c r="C597" s="1240" t="s">
        <v>333</v>
      </c>
      <c r="D597" s="504" t="s">
        <v>334</v>
      </c>
      <c r="E597" s="504"/>
      <c r="F597" s="506"/>
      <c r="G597" s="506"/>
      <c r="H597" s="506"/>
      <c r="I597" s="506"/>
      <c r="J597" s="506"/>
      <c r="K597" s="506"/>
      <c r="L597" s="506"/>
      <c r="M597" s="506"/>
      <c r="N597" s="506"/>
      <c r="O597" s="1241"/>
    </row>
    <row r="598" spans="1:15" ht="15.75" hidden="1">
      <c r="A598" s="443"/>
      <c r="B598" s="2529"/>
      <c r="C598" s="1007" t="s">
        <v>324</v>
      </c>
      <c r="D598" s="504" t="s">
        <v>325</v>
      </c>
      <c r="E598" s="494"/>
      <c r="F598" s="495"/>
      <c r="G598" s="495"/>
      <c r="H598" s="495"/>
      <c r="I598" s="495"/>
      <c r="J598" s="495"/>
      <c r="K598" s="495"/>
      <c r="L598" s="495"/>
      <c r="M598" s="495"/>
      <c r="N598" s="495"/>
      <c r="O598" s="1241"/>
    </row>
    <row r="599" spans="1:15" hidden="1">
      <c r="B599" s="1003"/>
      <c r="C599" s="1007" t="s">
        <v>331</v>
      </c>
      <c r="D599" s="494" t="s">
        <v>332</v>
      </c>
      <c r="E599" s="504"/>
      <c r="F599" s="506"/>
      <c r="G599" s="506"/>
      <c r="H599" s="506"/>
      <c r="I599" s="506"/>
      <c r="J599" s="506"/>
      <c r="K599" s="506"/>
      <c r="L599" s="506"/>
      <c r="M599" s="506"/>
      <c r="N599" s="506"/>
      <c r="O599" s="1003"/>
    </row>
    <row r="600" spans="1:15" ht="23.25" hidden="1">
      <c r="A600" s="7"/>
      <c r="B600" s="1012"/>
      <c r="C600" s="1012"/>
      <c r="D600" s="1012"/>
      <c r="E600" s="1012"/>
      <c r="F600" s="1012"/>
      <c r="G600" s="1012"/>
      <c r="H600" s="1012"/>
      <c r="I600" s="1012"/>
      <c r="J600" s="1012"/>
      <c r="K600" s="1012"/>
      <c r="L600" s="1012"/>
      <c r="M600" s="1012"/>
      <c r="N600" s="1012"/>
      <c r="O600" s="1012"/>
    </row>
  </sheetData>
  <mergeCells count="3">
    <mergeCell ref="U284:V284"/>
    <mergeCell ref="W284:X284"/>
    <mergeCell ref="R288:R295"/>
  </mergeCells>
  <pageMargins left="0.7" right="0.7" top="0.75" bottom="0.75" header="0.3" footer="0.3"/>
  <pageSetup orientation="portrait" r:id="rId1"/>
  <tableParts count="4">
    <tablePart r:id="rId2"/>
    <tablePart r:id="rId3"/>
    <tablePart r:id="rId4"/>
    <tablePart r:id="rId5"/>
  </tableParts>
</worksheet>
</file>

<file path=xl/worksheets/sheet28.xml><?xml version="1.0" encoding="utf-8"?>
<worksheet xmlns="http://schemas.openxmlformats.org/spreadsheetml/2006/main" xmlns:r="http://schemas.openxmlformats.org/officeDocument/2006/relationships">
  <sheetPr>
    <tabColor theme="9"/>
  </sheetPr>
  <dimension ref="A1:AF262"/>
  <sheetViews>
    <sheetView showGridLines="0" zoomScale="80" zoomScaleNormal="80" workbookViewId="0">
      <selection activeCell="E1" sqref="E1"/>
    </sheetView>
  </sheetViews>
  <sheetFormatPr defaultColWidth="8.85546875" defaultRowHeight="15"/>
  <cols>
    <col min="1" max="1" width="7.7109375" style="3725" customWidth="1"/>
    <col min="2" max="2" width="5.85546875" style="3725" customWidth="1"/>
    <col min="3" max="3" width="20.42578125" style="3725" customWidth="1"/>
    <col min="4" max="4" width="30.7109375" style="3725" customWidth="1"/>
    <col min="5" max="5" width="20.7109375" style="3725" customWidth="1"/>
    <col min="6" max="14" width="17.7109375" style="3725" customWidth="1"/>
    <col min="15" max="15" width="2" style="3725" customWidth="1"/>
    <col min="16" max="16" width="10.85546875" style="3725" customWidth="1"/>
    <col min="17" max="17" width="11.7109375" style="3725" bestFit="1" customWidth="1"/>
    <col min="18" max="18" width="10" style="3725" bestFit="1" customWidth="1"/>
    <col min="19" max="16384" width="8.85546875" style="3725"/>
  </cols>
  <sheetData>
    <row r="1" spans="1:17" ht="20.25">
      <c r="A1" s="863" t="s">
        <v>512</v>
      </c>
      <c r="B1" s="863" t="s">
        <v>513</v>
      </c>
      <c r="C1" s="863"/>
    </row>
    <row r="2" spans="1:17" s="6" customFormat="1" ht="15.75">
      <c r="A2" s="864" t="s">
        <v>506</v>
      </c>
      <c r="B2" s="864" t="s">
        <v>507</v>
      </c>
      <c r="C2" s="864"/>
      <c r="E2" s="5"/>
      <c r="L2" s="6" t="s">
        <v>5</v>
      </c>
    </row>
    <row r="4" spans="1:17" ht="23.25">
      <c r="A4" s="7"/>
      <c r="B4" s="511" t="s">
        <v>361</v>
      </c>
      <c r="C4" s="1154"/>
      <c r="D4" s="512"/>
      <c r="E4" s="513"/>
      <c r="F4" s="512"/>
      <c r="G4" s="512"/>
      <c r="H4" s="512"/>
      <c r="I4" s="512"/>
      <c r="J4" s="512"/>
      <c r="K4" s="512"/>
      <c r="L4" s="512"/>
      <c r="M4" s="512"/>
      <c r="N4" s="512"/>
      <c r="O4" s="866"/>
      <c r="Q4" s="363"/>
    </row>
    <row r="5" spans="1:17">
      <c r="B5" s="514"/>
      <c r="C5" s="12"/>
      <c r="D5" s="515"/>
      <c r="E5" s="516"/>
      <c r="F5" s="515"/>
      <c r="G5" s="515"/>
      <c r="H5" s="515"/>
      <c r="I5" s="515"/>
      <c r="J5" s="515"/>
      <c r="K5" s="515"/>
      <c r="L5" s="515"/>
      <c r="M5" s="515"/>
      <c r="N5" s="515"/>
      <c r="O5" s="867"/>
    </row>
    <row r="6" spans="1:17" ht="15.75">
      <c r="B6" s="15"/>
      <c r="C6" s="515"/>
      <c r="D6" s="16" t="s">
        <v>7</v>
      </c>
      <c r="E6" s="16" t="s">
        <v>8</v>
      </c>
      <c r="F6" s="515"/>
      <c r="G6" s="515"/>
      <c r="H6" s="515"/>
      <c r="I6" s="515"/>
      <c r="J6" s="515"/>
      <c r="K6" s="515"/>
      <c r="L6" s="515"/>
      <c r="M6" s="515"/>
      <c r="N6" s="515"/>
      <c r="O6" s="867"/>
    </row>
    <row r="7" spans="1:17" ht="15.75">
      <c r="B7" s="15"/>
      <c r="C7" s="515"/>
      <c r="D7" s="868" t="s">
        <v>8</v>
      </c>
      <c r="E7" s="868">
        <f>VI.c.Scenario</f>
        <v>4</v>
      </c>
      <c r="F7" s="515"/>
      <c r="G7" s="515"/>
      <c r="H7" s="515"/>
      <c r="I7" s="515"/>
      <c r="J7" s="515"/>
      <c r="K7" s="515"/>
      <c r="L7" s="515"/>
      <c r="M7" s="515"/>
      <c r="N7" s="515"/>
      <c r="O7" s="867"/>
    </row>
    <row r="8" spans="1:17" ht="15.75">
      <c r="B8" s="450"/>
      <c r="C8" s="452"/>
      <c r="D8" s="452"/>
      <c r="E8" s="452"/>
      <c r="F8" s="869"/>
      <c r="G8" s="869"/>
      <c r="H8" s="869"/>
      <c r="I8" s="869"/>
      <c r="J8" s="869"/>
      <c r="K8" s="869"/>
      <c r="L8" s="869"/>
      <c r="M8" s="869"/>
      <c r="N8" s="869"/>
      <c r="O8" s="870"/>
    </row>
    <row r="10" spans="1:17" ht="23.25">
      <c r="A10" s="7"/>
      <c r="B10" s="878" t="s">
        <v>33</v>
      </c>
      <c r="C10" s="879"/>
      <c r="D10" s="879"/>
      <c r="E10" s="879"/>
      <c r="F10" s="879"/>
      <c r="G10" s="879"/>
      <c r="H10" s="879"/>
      <c r="I10" s="879"/>
      <c r="J10" s="879"/>
      <c r="K10" s="879"/>
      <c r="L10" s="879"/>
      <c r="M10" s="879"/>
      <c r="N10" s="879"/>
      <c r="O10" s="880"/>
    </row>
    <row r="11" spans="1:17">
      <c r="B11" s="110"/>
      <c r="C11" s="67"/>
      <c r="D11" s="67"/>
      <c r="E11" s="67"/>
      <c r="F11" s="67"/>
      <c r="G11" s="67"/>
      <c r="H11" s="67"/>
      <c r="I11" s="67"/>
      <c r="J11" s="67"/>
      <c r="K11" s="67"/>
      <c r="L11" s="67"/>
      <c r="M11" s="67"/>
      <c r="N11" s="67"/>
      <c r="O11" s="885"/>
    </row>
    <row r="12" spans="1:17">
      <c r="B12" s="110"/>
      <c r="C12" s="49" t="s">
        <v>2956</v>
      </c>
      <c r="D12" s="67"/>
      <c r="E12" s="51"/>
      <c r="F12" s="67"/>
      <c r="G12" s="67"/>
      <c r="H12" s="67"/>
      <c r="I12" s="67"/>
      <c r="J12" s="67"/>
      <c r="K12" s="67"/>
      <c r="L12" s="67"/>
      <c r="M12" s="67"/>
      <c r="N12" s="51" t="str">
        <f>Preferences.AreaUnits</f>
        <v>km^2</v>
      </c>
      <c r="O12" s="885"/>
    </row>
    <row r="13" spans="1:17">
      <c r="B13" s="110"/>
      <c r="C13" s="67"/>
      <c r="D13" s="67"/>
      <c r="E13" s="67"/>
      <c r="F13" s="67"/>
      <c r="G13" s="67"/>
      <c r="H13" s="67"/>
      <c r="I13" s="67"/>
      <c r="J13" s="67"/>
      <c r="K13" s="67"/>
      <c r="L13" s="67"/>
      <c r="M13" s="67"/>
      <c r="N13" s="67"/>
      <c r="O13" s="885"/>
    </row>
    <row r="14" spans="1:17" ht="15.75">
      <c r="B14" s="55"/>
      <c r="C14" s="887" t="s">
        <v>8</v>
      </c>
      <c r="D14" s="887" t="s">
        <v>72</v>
      </c>
      <c r="E14" s="887" t="s">
        <v>30</v>
      </c>
      <c r="F14" s="908">
        <v>2013</v>
      </c>
      <c r="G14" s="92">
        <v>2015</v>
      </c>
      <c r="H14" s="92">
        <v>2020</v>
      </c>
      <c r="I14" s="92">
        <v>2025</v>
      </c>
      <c r="J14" s="92">
        <v>2030</v>
      </c>
      <c r="K14" s="92">
        <v>2035</v>
      </c>
      <c r="L14" s="92">
        <v>2040</v>
      </c>
      <c r="M14" s="92">
        <v>2045</v>
      </c>
      <c r="N14" s="92">
        <v>2050</v>
      </c>
      <c r="O14" s="885"/>
    </row>
    <row r="15" spans="1:17" ht="15.75">
      <c r="B15" s="975"/>
      <c r="C15" s="65">
        <v>1</v>
      </c>
      <c r="D15" s="108"/>
      <c r="E15" s="890"/>
      <c r="F15" s="2670">
        <v>0</v>
      </c>
      <c r="G15" s="2670">
        <v>0</v>
      </c>
      <c r="H15" s="2670">
        <v>0</v>
      </c>
      <c r="I15" s="2670">
        <v>0</v>
      </c>
      <c r="J15" s="2670">
        <v>0</v>
      </c>
      <c r="K15" s="2670">
        <v>0</v>
      </c>
      <c r="L15" s="2670">
        <v>0</v>
      </c>
      <c r="M15" s="2670">
        <v>0</v>
      </c>
      <c r="N15" s="2670">
        <v>0</v>
      </c>
      <c r="O15" s="893"/>
    </row>
    <row r="16" spans="1:17" ht="15.75">
      <c r="B16" s="55"/>
      <c r="C16" s="65">
        <v>2</v>
      </c>
      <c r="D16" s="108"/>
      <c r="E16" s="108"/>
      <c r="F16" s="2670">
        <v>0</v>
      </c>
      <c r="G16" s="2950">
        <v>0</v>
      </c>
      <c r="H16" s="2950">
        <v>0</v>
      </c>
      <c r="I16" s="3408">
        <f>(Unit.km2)*5</f>
        <v>5</v>
      </c>
      <c r="J16" s="3408">
        <f>(Unit.km2)*10</f>
        <v>10</v>
      </c>
      <c r="K16" s="3408">
        <f>(Unit.km2)*25</f>
        <v>25</v>
      </c>
      <c r="L16" s="3408">
        <f>(Unit.km2)*100</f>
        <v>100</v>
      </c>
      <c r="M16" s="3408">
        <f>(Unit.km2)*250</f>
        <v>250</v>
      </c>
      <c r="N16" s="3408">
        <f>(Unit.km2)*400</f>
        <v>400</v>
      </c>
      <c r="O16" s="885"/>
      <c r="Q16" s="418"/>
    </row>
    <row r="17" spans="1:20" ht="15.75">
      <c r="B17" s="55"/>
      <c r="C17" s="65">
        <v>3</v>
      </c>
      <c r="D17" s="108"/>
      <c r="E17" s="108"/>
      <c r="F17" s="2670">
        <v>0</v>
      </c>
      <c r="G17" s="2950">
        <v>0</v>
      </c>
      <c r="H17" s="2950">
        <v>0</v>
      </c>
      <c r="I17" s="3408">
        <f>(Unit.km2)*10</f>
        <v>10</v>
      </c>
      <c r="J17" s="3408">
        <f>(Unit.km2)*50</f>
        <v>50</v>
      </c>
      <c r="K17" s="3408">
        <f>(Unit.km2)*100</f>
        <v>100</v>
      </c>
      <c r="L17" s="3408">
        <f>(Unit.km2)*250</f>
        <v>250</v>
      </c>
      <c r="M17" s="3408">
        <f>(Unit.km2)*600</f>
        <v>600</v>
      </c>
      <c r="N17" s="3408">
        <f>(Unit.km2)*900</f>
        <v>900</v>
      </c>
      <c r="O17" s="885"/>
    </row>
    <row r="18" spans="1:20" ht="15.75">
      <c r="B18" s="55"/>
      <c r="C18" s="896">
        <v>4</v>
      </c>
      <c r="D18" s="897"/>
      <c r="E18" s="897"/>
      <c r="F18" s="2671">
        <v>0</v>
      </c>
      <c r="G18" s="3509">
        <v>0</v>
      </c>
      <c r="H18" s="3509">
        <v>0</v>
      </c>
      <c r="I18" s="3747">
        <f>(Unit.km2)*10</f>
        <v>10</v>
      </c>
      <c r="J18" s="3747">
        <f>(Unit.km2)*100</f>
        <v>100</v>
      </c>
      <c r="K18" s="3747">
        <f>(Unit.km2)*400</f>
        <v>400</v>
      </c>
      <c r="L18" s="3747">
        <f>(Unit.km2)*1000</f>
        <v>1000</v>
      </c>
      <c r="M18" s="3747">
        <f>(Unit.km2)*1500</f>
        <v>1500</v>
      </c>
      <c r="N18" s="3747">
        <f>(Unit.km2)*2100</f>
        <v>2100</v>
      </c>
      <c r="O18" s="885"/>
    </row>
    <row r="19" spans="1:20" ht="15.75">
      <c r="B19" s="55"/>
      <c r="C19" s="1024" t="s">
        <v>37</v>
      </c>
      <c r="D19" s="901"/>
      <c r="E19" s="901"/>
      <c r="F19" s="3350">
        <f>(INDEX(F$15:F$18,ROUNDDOWN($E$7,0))*(1-MOD($E$7,1)))+(INDEX(F$15:F$18,ROUNDUP($E$7,0))*MOD($E$7,1))</f>
        <v>0</v>
      </c>
      <c r="G19" s="3351">
        <f t="shared" ref="G19:N19" si="0">(INDEX(G$15:G$18,ROUNDDOWN($E$7,0))*(1-MOD($E$7,1)))+(INDEX(G$15:G$18,ROUNDUP($E$7,0))*MOD($E$7,1))</f>
        <v>0</v>
      </c>
      <c r="H19" s="3350">
        <f t="shared" si="0"/>
        <v>0</v>
      </c>
      <c r="I19" s="3750">
        <f t="shared" si="0"/>
        <v>10</v>
      </c>
      <c r="J19" s="3750">
        <f t="shared" si="0"/>
        <v>100</v>
      </c>
      <c r="K19" s="3750">
        <f t="shared" si="0"/>
        <v>400</v>
      </c>
      <c r="L19" s="3750">
        <f t="shared" si="0"/>
        <v>1000</v>
      </c>
      <c r="M19" s="3750">
        <f t="shared" si="0"/>
        <v>1500</v>
      </c>
      <c r="N19" s="3750">
        <f t="shared" si="0"/>
        <v>2100</v>
      </c>
      <c r="O19" s="885"/>
    </row>
    <row r="20" spans="1:20">
      <c r="B20" s="45"/>
      <c r="C20" s="67"/>
      <c r="D20" s="200"/>
      <c r="E20" s="67"/>
      <c r="F20" s="67"/>
      <c r="G20" s="67"/>
      <c r="H20" s="67"/>
      <c r="I20" s="67"/>
      <c r="J20" s="67"/>
      <c r="K20" s="67"/>
      <c r="L20" s="67"/>
      <c r="M20" s="67"/>
      <c r="N20" s="67"/>
      <c r="O20" s="885"/>
    </row>
    <row r="21" spans="1:20">
      <c r="B21" s="45"/>
      <c r="C21" s="1359" t="s">
        <v>64</v>
      </c>
      <c r="D21" s="3749"/>
      <c r="E21" s="67"/>
      <c r="F21" s="67"/>
      <c r="G21" s="67"/>
      <c r="H21" s="67"/>
      <c r="I21" s="67"/>
      <c r="J21" s="67"/>
      <c r="K21" s="67"/>
      <c r="L21" s="67"/>
      <c r="M21" s="67"/>
      <c r="N21" s="67"/>
      <c r="O21" s="885"/>
    </row>
    <row r="22" spans="1:20">
      <c r="B22" s="46"/>
      <c r="C22" s="3863" t="s">
        <v>65</v>
      </c>
      <c r="D22" s="3882" t="s">
        <v>3106</v>
      </c>
      <c r="E22" s="3749"/>
      <c r="F22" s="67"/>
      <c r="G22" s="67"/>
      <c r="H22" s="67"/>
      <c r="I22" s="67"/>
      <c r="J22" s="67"/>
      <c r="K22" s="67"/>
      <c r="L22" s="67"/>
      <c r="M22" s="67"/>
      <c r="N22" s="67"/>
      <c r="O22" s="67"/>
      <c r="T22" s="3725" t="s">
        <v>5</v>
      </c>
    </row>
    <row r="23" spans="1:20">
      <c r="B23" s="46"/>
      <c r="C23" s="3864"/>
      <c r="D23" s="3866" t="s">
        <v>3107</v>
      </c>
      <c r="E23" s="200"/>
      <c r="F23" s="67"/>
      <c r="G23" s="67"/>
      <c r="H23" s="67"/>
      <c r="I23" s="67"/>
      <c r="J23" s="67"/>
      <c r="K23" s="67"/>
      <c r="L23" s="67"/>
      <c r="M23" s="67"/>
      <c r="N23" s="67"/>
      <c r="O23" s="67"/>
    </row>
    <row r="24" spans="1:20">
      <c r="B24" s="46"/>
      <c r="C24" s="3864"/>
      <c r="D24" s="3866"/>
      <c r="E24" s="200"/>
      <c r="F24" s="67"/>
      <c r="G24" s="67"/>
      <c r="H24" s="67"/>
      <c r="I24" s="67"/>
      <c r="J24" s="67"/>
      <c r="K24" s="67"/>
      <c r="L24" s="67"/>
      <c r="M24" s="67"/>
      <c r="N24" s="67"/>
      <c r="O24" s="67"/>
    </row>
    <row r="26" spans="1:20" s="6" customFormat="1" ht="23.25">
      <c r="A26" s="40"/>
      <c r="B26" s="878" t="s">
        <v>70</v>
      </c>
      <c r="C26" s="879"/>
      <c r="D26" s="879"/>
      <c r="E26" s="879"/>
      <c r="F26" s="879"/>
      <c r="G26" s="879"/>
      <c r="H26" s="879"/>
      <c r="I26" s="879"/>
      <c r="J26" s="879"/>
      <c r="K26" s="879"/>
      <c r="L26" s="879"/>
      <c r="M26" s="879"/>
      <c r="N26" s="879"/>
      <c r="O26" s="880"/>
    </row>
    <row r="27" spans="1:20">
      <c r="B27" s="110"/>
      <c r="C27" s="67"/>
      <c r="D27" s="67"/>
      <c r="E27" s="67"/>
      <c r="F27" s="67"/>
      <c r="G27" s="67"/>
      <c r="H27" s="67"/>
      <c r="I27" s="67"/>
      <c r="J27" s="67"/>
      <c r="K27" s="67"/>
      <c r="L27" s="67"/>
      <c r="M27" s="67"/>
      <c r="N27" s="67"/>
      <c r="O27" s="885"/>
    </row>
    <row r="28" spans="1:20">
      <c r="B28" s="110"/>
      <c r="C28" s="49" t="s">
        <v>2941</v>
      </c>
      <c r="D28" s="67"/>
      <c r="E28" s="67"/>
      <c r="F28" s="67"/>
      <c r="G28" s="67"/>
      <c r="H28" s="67"/>
      <c r="I28" s="67"/>
      <c r="J28" s="67"/>
      <c r="K28" s="67"/>
      <c r="L28" s="67"/>
      <c r="M28" s="67"/>
      <c r="N28" s="51" t="s">
        <v>2942</v>
      </c>
      <c r="O28" s="885"/>
    </row>
    <row r="29" spans="1:20">
      <c r="B29" s="110"/>
      <c r="C29" s="67"/>
      <c r="D29" s="67"/>
      <c r="E29" s="67"/>
      <c r="F29" s="67"/>
      <c r="G29" s="67"/>
      <c r="H29" s="67"/>
      <c r="I29" s="67"/>
      <c r="J29" s="67"/>
      <c r="K29" s="67"/>
      <c r="L29" s="67"/>
      <c r="M29" s="67"/>
      <c r="N29" s="67"/>
      <c r="O29" s="885"/>
    </row>
    <row r="30" spans="1:20" ht="15.75">
      <c r="B30" s="55"/>
      <c r="C30" s="887" t="s">
        <v>792</v>
      </c>
      <c r="D30" s="887" t="s">
        <v>72</v>
      </c>
      <c r="E30" s="887" t="s">
        <v>30</v>
      </c>
      <c r="F30" s="908">
        <v>2013</v>
      </c>
      <c r="G30" s="92">
        <v>2015</v>
      </c>
      <c r="H30" s="92">
        <v>2020</v>
      </c>
      <c r="I30" s="92">
        <v>2025</v>
      </c>
      <c r="J30" s="92">
        <v>2030</v>
      </c>
      <c r="K30" s="92">
        <v>2035</v>
      </c>
      <c r="L30" s="92">
        <v>2040</v>
      </c>
      <c r="M30" s="92">
        <v>2045</v>
      </c>
      <c r="N30" s="92">
        <v>2050</v>
      </c>
      <c r="O30" s="885"/>
    </row>
    <row r="31" spans="1:20" ht="15.75">
      <c r="B31" s="55"/>
      <c r="C31" s="916" t="s">
        <v>2943</v>
      </c>
      <c r="D31" s="917" t="s">
        <v>2944</v>
      </c>
      <c r="E31" s="917"/>
      <c r="F31" s="3454">
        <v>0</v>
      </c>
      <c r="G31" s="3512">
        <v>0</v>
      </c>
      <c r="H31" s="3455">
        <v>0</v>
      </c>
      <c r="I31" s="3455">
        <v>10</v>
      </c>
      <c r="J31" s="3455">
        <v>15</v>
      </c>
      <c r="K31" s="3455">
        <v>20</v>
      </c>
      <c r="L31" s="3455">
        <v>20</v>
      </c>
      <c r="M31" s="3455">
        <v>20</v>
      </c>
      <c r="N31" s="3455">
        <v>20</v>
      </c>
      <c r="O31" s="885"/>
      <c r="Q31"/>
      <c r="R31"/>
    </row>
    <row r="32" spans="1:20">
      <c r="B32" s="110"/>
      <c r="C32" s="67"/>
      <c r="D32" s="67"/>
      <c r="E32" s="67"/>
      <c r="F32" s="67"/>
      <c r="G32" s="67"/>
      <c r="H32" s="67"/>
      <c r="I32" s="67"/>
      <c r="J32" s="67"/>
      <c r="K32" s="67"/>
      <c r="L32" s="67"/>
      <c r="M32" s="67"/>
      <c r="N32" s="67"/>
      <c r="O32" s="885"/>
    </row>
    <row r="33" spans="1:32">
      <c r="B33" s="110"/>
      <c r="C33" s="49" t="s">
        <v>2945</v>
      </c>
      <c r="D33" s="67"/>
      <c r="E33" s="67"/>
      <c r="F33" s="51" t="str">
        <f>Preferences.EnergyUnits &amp; " / M tonnes"</f>
        <v>TWh / M tonnes</v>
      </c>
      <c r="G33" s="67"/>
      <c r="H33" s="67"/>
      <c r="I33" s="67"/>
      <c r="J33" s="67"/>
      <c r="K33" s="67"/>
      <c r="L33" s="67"/>
      <c r="M33" s="67"/>
      <c r="N33" s="51"/>
      <c r="O33" s="885"/>
    </row>
    <row r="34" spans="1:32">
      <c r="B34" s="110"/>
      <c r="C34" s="67"/>
      <c r="D34" s="67"/>
      <c r="E34" s="67"/>
      <c r="F34" s="67"/>
      <c r="G34" s="67"/>
      <c r="H34" s="67"/>
      <c r="I34" s="67"/>
      <c r="J34" s="67"/>
      <c r="K34" s="67"/>
      <c r="L34" s="67"/>
      <c r="M34" s="67"/>
      <c r="N34" s="67"/>
      <c r="O34" s="885"/>
    </row>
    <row r="35" spans="1:32" ht="15.75">
      <c r="B35" s="55"/>
      <c r="C35" s="887" t="s">
        <v>792</v>
      </c>
      <c r="D35" s="887" t="s">
        <v>72</v>
      </c>
      <c r="E35" s="887" t="s">
        <v>30</v>
      </c>
      <c r="F35" s="909">
        <v>2013</v>
      </c>
      <c r="G35" s="920"/>
      <c r="H35" s="920"/>
      <c r="I35" s="920"/>
      <c r="J35" s="920"/>
      <c r="K35" s="920"/>
      <c r="L35" s="920"/>
      <c r="M35" s="920"/>
      <c r="N35" s="920"/>
      <c r="O35" s="885"/>
    </row>
    <row r="36" spans="1:32" ht="15.75">
      <c r="B36" s="55"/>
      <c r="C36" s="916" t="s">
        <v>2943</v>
      </c>
      <c r="D36" s="917" t="s">
        <v>2944</v>
      </c>
      <c r="E36" s="917"/>
      <c r="F36" s="3454">
        <f>14*Unit.PJ</f>
        <v>3.8888888888888893</v>
      </c>
      <c r="G36" s="2600"/>
      <c r="H36" s="2523"/>
      <c r="I36" s="2523"/>
      <c r="J36" s="2523"/>
      <c r="K36" s="2523"/>
      <c r="L36" s="2523"/>
      <c r="M36" s="2523"/>
      <c r="N36" s="2523"/>
      <c r="O36" s="885"/>
    </row>
    <row r="37" spans="1:32">
      <c r="B37" s="45"/>
      <c r="C37" s="1170"/>
      <c r="D37" s="930"/>
      <c r="E37" s="67"/>
      <c r="F37" s="67"/>
      <c r="G37" s="67"/>
      <c r="H37" s="67"/>
      <c r="I37" s="67"/>
      <c r="J37" s="67"/>
      <c r="K37" s="67"/>
      <c r="L37" s="67"/>
      <c r="M37" s="67"/>
      <c r="N37" s="67"/>
      <c r="O37" s="885"/>
    </row>
    <row r="38" spans="1:32" s="927" customFormat="1" ht="12.75">
      <c r="B38" s="1169"/>
      <c r="C38" s="929"/>
      <c r="D38" s="930"/>
      <c r="E38" s="931"/>
      <c r="F38" s="931"/>
      <c r="G38" s="931"/>
      <c r="H38" s="931"/>
      <c r="I38" s="931"/>
      <c r="J38" s="931"/>
      <c r="K38" s="931"/>
      <c r="L38" s="931"/>
      <c r="M38" s="931"/>
      <c r="N38" s="931"/>
      <c r="O38" s="932"/>
    </row>
    <row r="39" spans="1:32">
      <c r="P39" s="1422"/>
      <c r="Q39" s="1422"/>
      <c r="R39" s="1422"/>
    </row>
    <row r="40" spans="1:32" s="6" customFormat="1" ht="15.75" customHeight="1" collapsed="1">
      <c r="A40" s="40"/>
      <c r="B40" s="878" t="s">
        <v>2794</v>
      </c>
      <c r="C40" s="879"/>
      <c r="D40" s="879"/>
      <c r="E40" s="879"/>
      <c r="F40" s="879"/>
      <c r="G40" s="879"/>
      <c r="H40" s="879"/>
      <c r="I40" s="879"/>
      <c r="J40" s="879"/>
      <c r="K40" s="879"/>
      <c r="L40" s="879"/>
      <c r="M40" s="879"/>
      <c r="N40" s="879"/>
      <c r="O40" s="880"/>
      <c r="P40" s="859"/>
      <c r="Q40" s="3741"/>
      <c r="R40" s="656"/>
      <c r="S40" s="656"/>
      <c r="T40" s="656"/>
      <c r="U40" s="656"/>
      <c r="V40" s="656"/>
      <c r="W40" s="656"/>
      <c r="X40" s="656"/>
      <c r="Y40" s="656"/>
      <c r="Z40" s="656"/>
      <c r="AA40" s="656"/>
      <c r="AB40" s="656"/>
      <c r="AC40" s="656"/>
      <c r="AD40" s="656"/>
      <c r="AE40" s="656"/>
      <c r="AF40" s="656"/>
    </row>
    <row r="41" spans="1:32" ht="4.5" customHeight="1">
      <c r="B41" s="881"/>
      <c r="C41" s="882"/>
      <c r="D41" s="882"/>
      <c r="E41" s="882"/>
      <c r="F41" s="882"/>
      <c r="G41" s="882"/>
      <c r="H41" s="882"/>
      <c r="I41" s="882"/>
      <c r="J41" s="882"/>
      <c r="K41" s="882"/>
      <c r="L41" s="882"/>
      <c r="M41" s="882"/>
      <c r="N41" s="882"/>
      <c r="O41" s="883"/>
      <c r="P41" s="3726"/>
      <c r="Q41" s="1173"/>
      <c r="R41" s="1173"/>
      <c r="S41" s="1077"/>
      <c r="T41" s="1077"/>
      <c r="U41" s="1077"/>
      <c r="V41" s="1077"/>
      <c r="W41" s="1077"/>
      <c r="X41" s="1077"/>
      <c r="Y41" s="1077"/>
      <c r="Z41" s="1077"/>
      <c r="AA41" s="1077"/>
      <c r="AB41" s="1077"/>
      <c r="AC41" s="1077"/>
      <c r="AD41" s="1077"/>
      <c r="AE41" s="1077"/>
      <c r="AF41" s="1077"/>
    </row>
    <row r="42" spans="1:32" hidden="1">
      <c r="B42" s="110"/>
      <c r="C42" s="49" t="s">
        <v>2946</v>
      </c>
      <c r="D42" s="924"/>
      <c r="E42" s="941"/>
      <c r="F42" s="2519"/>
      <c r="G42" s="943"/>
      <c r="H42" s="943"/>
      <c r="I42" s="943"/>
      <c r="J42" s="943"/>
      <c r="K42" s="943"/>
      <c r="L42" s="943"/>
      <c r="M42" s="943"/>
      <c r="N42" s="944" t="s">
        <v>2954</v>
      </c>
      <c r="O42" s="885"/>
      <c r="P42" s="3726"/>
      <c r="Q42" s="1422"/>
      <c r="R42" s="2496"/>
      <c r="S42" s="207"/>
      <c r="T42" s="1431"/>
      <c r="U42" s="1431"/>
      <c r="V42" s="1431"/>
      <c r="W42" s="1077"/>
      <c r="X42" s="1077"/>
      <c r="Y42" s="1077"/>
      <c r="Z42" s="1077"/>
      <c r="AA42" s="1077"/>
      <c r="AB42" s="1077"/>
      <c r="AC42" s="1077"/>
      <c r="AD42" s="1077"/>
      <c r="AE42" s="1077"/>
      <c r="AF42" s="1077"/>
    </row>
    <row r="43" spans="1:32" ht="4.5" hidden="1" customHeight="1">
      <c r="B43" s="110"/>
      <c r="C43" s="946"/>
      <c r="D43" s="924"/>
      <c r="E43" s="941"/>
      <c r="F43" s="2519"/>
      <c r="G43" s="943"/>
      <c r="H43" s="943"/>
      <c r="I43" s="943"/>
      <c r="J43" s="943"/>
      <c r="K43" s="943"/>
      <c r="L43" s="943"/>
      <c r="M43" s="943"/>
      <c r="N43" s="67"/>
      <c r="O43" s="885"/>
      <c r="P43" s="3726"/>
      <c r="Q43" s="1422"/>
      <c r="R43" s="2496"/>
      <c r="S43" s="1077"/>
      <c r="T43" s="1077"/>
      <c r="U43" s="3742"/>
      <c r="V43" s="3742"/>
      <c r="W43" s="1077"/>
      <c r="X43" s="1077"/>
      <c r="Y43" s="1077"/>
      <c r="Z43" s="1077"/>
      <c r="AA43" s="1077"/>
      <c r="AB43" s="1077"/>
      <c r="AC43" s="1077"/>
      <c r="AD43" s="1077"/>
      <c r="AE43" s="1077"/>
      <c r="AF43" s="1077"/>
    </row>
    <row r="44" spans="1:32" hidden="1" collapsed="1">
      <c r="B44" s="110"/>
      <c r="C44" s="947"/>
      <c r="D44" s="948"/>
      <c r="E44" s="949" t="s">
        <v>160</v>
      </c>
      <c r="F44" s="950">
        <v>2013</v>
      </c>
      <c r="G44" s="951">
        <v>2015</v>
      </c>
      <c r="H44" s="951">
        <v>2020</v>
      </c>
      <c r="I44" s="951">
        <v>2025</v>
      </c>
      <c r="J44" s="951">
        <v>2030</v>
      </c>
      <c r="K44" s="951">
        <v>2035</v>
      </c>
      <c r="L44" s="951">
        <v>2040</v>
      </c>
      <c r="M44" s="951">
        <v>2045</v>
      </c>
      <c r="N44" s="951">
        <v>2050</v>
      </c>
      <c r="O44" s="885"/>
      <c r="P44" s="3726"/>
      <c r="Q44" s="1422"/>
      <c r="R44" s="1173"/>
      <c r="S44" s="1077"/>
      <c r="T44" s="1077"/>
      <c r="U44" s="1077"/>
      <c r="V44" s="1077"/>
      <c r="W44" s="1077"/>
      <c r="X44" s="1077"/>
      <c r="Y44" s="1077"/>
      <c r="Z44" s="1077"/>
      <c r="AA44" s="1077"/>
      <c r="AB44" s="1077"/>
      <c r="AC44" s="1077"/>
      <c r="AD44" s="1077"/>
      <c r="AE44" s="1077"/>
      <c r="AF44" s="1077"/>
    </row>
    <row r="45" spans="1:32" hidden="1">
      <c r="B45" s="110"/>
      <c r="C45" s="952" t="s">
        <v>738</v>
      </c>
      <c r="D45" s="924"/>
      <c r="E45" s="2425"/>
      <c r="F45" s="2428"/>
      <c r="G45" s="2428"/>
      <c r="H45" s="2428"/>
      <c r="I45" s="2428"/>
      <c r="J45" s="2428"/>
      <c r="K45" s="2428"/>
      <c r="L45" s="2428"/>
      <c r="M45" s="2428"/>
      <c r="N45" s="2428"/>
      <c r="O45" s="885"/>
      <c r="P45" s="3726"/>
      <c r="Q45" s="1422"/>
      <c r="R45" s="1173"/>
      <c r="S45" s="1077"/>
      <c r="T45" s="1077"/>
      <c r="U45" s="1077"/>
      <c r="V45" s="1077"/>
      <c r="W45" s="1077"/>
      <c r="X45" s="1077"/>
      <c r="Y45" s="1077"/>
      <c r="Z45" s="1077"/>
      <c r="AA45" s="1077"/>
      <c r="AB45" s="1077"/>
      <c r="AC45" s="1077"/>
      <c r="AD45" s="1077"/>
      <c r="AE45" s="1077"/>
      <c r="AF45" s="1077"/>
    </row>
    <row r="46" spans="1:32" hidden="1">
      <c r="B46" s="110"/>
      <c r="C46" s="952" t="s">
        <v>739</v>
      </c>
      <c r="D46" s="924"/>
      <c r="E46" s="2425"/>
      <c r="F46" s="3392"/>
      <c r="G46" s="2428"/>
      <c r="H46" s="2428"/>
      <c r="I46" s="2428"/>
      <c r="J46" s="2428"/>
      <c r="K46" s="2428"/>
      <c r="L46" s="2428"/>
      <c r="M46" s="2428"/>
      <c r="N46" s="3392"/>
      <c r="O46" s="67"/>
      <c r="P46" s="3726"/>
      <c r="Q46" s="1422"/>
      <c r="R46" s="655"/>
      <c r="S46" s="655"/>
      <c r="T46" s="1173"/>
      <c r="U46" s="1077"/>
      <c r="V46" s="1077"/>
      <c r="W46" s="1077"/>
      <c r="X46" s="1077"/>
      <c r="Y46" s="1077"/>
      <c r="Z46" s="1077"/>
      <c r="AA46" s="1077"/>
      <c r="AB46" s="1077"/>
      <c r="AC46" s="1077"/>
      <c r="AD46" s="1077"/>
      <c r="AE46" s="1077"/>
      <c r="AF46" s="1077"/>
    </row>
    <row r="47" spans="1:32" hidden="1">
      <c r="B47" s="110"/>
      <c r="C47" s="956" t="s">
        <v>740</v>
      </c>
      <c r="D47" s="957"/>
      <c r="E47" s="2426"/>
      <c r="F47" s="2429"/>
      <c r="G47" s="2429"/>
      <c r="H47" s="2429"/>
      <c r="I47" s="2429"/>
      <c r="J47" s="2429"/>
      <c r="K47" s="2429"/>
      <c r="L47" s="2429"/>
      <c r="M47" s="2429"/>
      <c r="N47" s="2429"/>
      <c r="O47" s="3743"/>
      <c r="P47" s="3726"/>
      <c r="Q47" s="1422"/>
      <c r="R47" s="655"/>
      <c r="S47" s="655"/>
      <c r="T47" s="1173"/>
      <c r="U47" s="1077"/>
      <c r="V47" s="1077"/>
      <c r="W47" s="1077"/>
      <c r="X47" s="1077"/>
      <c r="Y47" s="1077"/>
      <c r="Z47" s="1077"/>
      <c r="AA47" s="1077"/>
      <c r="AB47" s="1077"/>
      <c r="AC47" s="1077"/>
      <c r="AD47" s="1077"/>
      <c r="AE47" s="1077"/>
      <c r="AF47" s="1077"/>
    </row>
    <row r="48" spans="1:32" hidden="1">
      <c r="B48" s="47"/>
      <c r="C48" s="47" t="s">
        <v>177</v>
      </c>
      <c r="D48" s="3409"/>
      <c r="E48" s="47"/>
      <c r="F48" s="47"/>
      <c r="G48" s="47"/>
      <c r="H48" s="47"/>
      <c r="I48" s="47"/>
      <c r="J48" s="47"/>
      <c r="K48" s="47"/>
      <c r="L48" s="47"/>
      <c r="M48" s="47"/>
      <c r="N48" s="47"/>
      <c r="O48" s="47"/>
      <c r="P48" s="3726"/>
      <c r="Q48" s="1422"/>
      <c r="R48" s="655"/>
      <c r="S48" s="655"/>
      <c r="T48" s="1173"/>
      <c r="U48" s="1077"/>
      <c r="V48" s="1077"/>
      <c r="W48" s="1077"/>
      <c r="X48" s="1077"/>
      <c r="Y48" s="1077"/>
      <c r="Z48" s="1077"/>
      <c r="AA48" s="1077"/>
      <c r="AB48" s="1077"/>
      <c r="AC48" s="1077"/>
      <c r="AD48" s="1077"/>
      <c r="AE48" s="1077"/>
      <c r="AF48" s="1077"/>
    </row>
    <row r="49" spans="1:32" hidden="1">
      <c r="B49" s="47"/>
      <c r="C49" s="3409"/>
      <c r="D49" s="47"/>
      <c r="E49" s="47"/>
      <c r="F49" s="47"/>
      <c r="G49" s="47"/>
      <c r="H49" s="47"/>
      <c r="I49" s="47"/>
      <c r="J49" s="47"/>
      <c r="K49" s="47"/>
      <c r="L49" s="47"/>
      <c r="M49" s="47"/>
      <c r="N49" s="47"/>
      <c r="O49" s="47"/>
      <c r="R49" s="655"/>
      <c r="S49" s="655"/>
      <c r="T49" s="1173"/>
      <c r="U49" s="1077"/>
      <c r="V49" s="1077"/>
      <c r="W49" s="1077"/>
      <c r="X49" s="1077"/>
      <c r="Y49" s="1077"/>
      <c r="Z49" s="1077"/>
      <c r="AA49" s="1077"/>
      <c r="AB49" s="1077"/>
      <c r="AC49" s="1077"/>
      <c r="AD49" s="1077"/>
      <c r="AE49" s="1077"/>
      <c r="AF49" s="1077"/>
    </row>
    <row r="50" spans="1:32" s="39" customFormat="1">
      <c r="C50" s="3744"/>
      <c r="Q50" s="655"/>
      <c r="R50" s="655"/>
      <c r="S50" s="655"/>
      <c r="T50" s="1173"/>
      <c r="U50" s="1077"/>
      <c r="V50" s="1077"/>
      <c r="Y50" s="1077"/>
      <c r="Z50" s="1077"/>
      <c r="AA50" s="1077"/>
      <c r="AB50" s="1077"/>
      <c r="AC50" s="1077"/>
      <c r="AD50" s="1077"/>
      <c r="AE50" s="1077"/>
      <c r="AF50" s="1077"/>
    </row>
    <row r="51" spans="1:32" ht="23.25">
      <c r="A51" s="7"/>
      <c r="B51" s="878" t="s">
        <v>178</v>
      </c>
      <c r="C51" s="879"/>
      <c r="D51" s="879"/>
      <c r="E51" s="879"/>
      <c r="F51" s="879"/>
      <c r="G51" s="879"/>
      <c r="H51" s="879"/>
      <c r="I51" s="879"/>
      <c r="J51" s="879"/>
      <c r="K51" s="879"/>
      <c r="L51" s="879"/>
      <c r="M51" s="879"/>
      <c r="N51" s="879"/>
      <c r="O51" s="880"/>
      <c r="Q51" s="655"/>
      <c r="R51" s="655"/>
      <c r="S51" s="655"/>
      <c r="T51" s="1173"/>
      <c r="U51" s="1077"/>
      <c r="V51" s="1077"/>
      <c r="W51" s="39"/>
      <c r="X51" s="39"/>
      <c r="Y51" s="1077"/>
      <c r="Z51" s="1077"/>
      <c r="AA51" s="1077"/>
      <c r="AB51" s="1077"/>
      <c r="AC51" s="1077"/>
      <c r="AD51" s="1077"/>
      <c r="AE51" s="1077"/>
      <c r="AF51" s="1077"/>
    </row>
    <row r="52" spans="1:32">
      <c r="B52" s="110"/>
      <c r="C52" s="67"/>
      <c r="D52" s="67"/>
      <c r="E52" s="67"/>
      <c r="F52" s="67"/>
      <c r="G52" s="67"/>
      <c r="H52" s="67"/>
      <c r="I52" s="67"/>
      <c r="J52" s="67"/>
      <c r="K52" s="67"/>
      <c r="L52" s="67"/>
      <c r="M52" s="67"/>
      <c r="N52" s="67"/>
      <c r="O52" s="885"/>
      <c r="Q52" s="655"/>
      <c r="R52" s="655"/>
      <c r="S52" s="655"/>
      <c r="T52" s="1422"/>
      <c r="W52" s="39"/>
      <c r="X52" s="39"/>
      <c r="Y52" s="39"/>
      <c r="Z52" s="39"/>
    </row>
    <row r="53" spans="1:32">
      <c r="B53" s="45"/>
      <c r="C53" s="65"/>
      <c r="D53" s="108"/>
      <c r="E53" s="108"/>
      <c r="F53" s="2523"/>
      <c r="G53" s="3408"/>
      <c r="H53" s="3408"/>
      <c r="I53" s="3408"/>
      <c r="J53" s="3408"/>
      <c r="K53" s="3408"/>
      <c r="L53" s="3408"/>
      <c r="M53" s="3408"/>
      <c r="N53" s="3408"/>
      <c r="O53" s="885"/>
      <c r="Q53" s="655"/>
      <c r="R53" s="655"/>
      <c r="S53" s="655"/>
      <c r="T53" s="1422"/>
      <c r="W53" s="39"/>
      <c r="X53" s="39"/>
      <c r="Y53" s="39"/>
      <c r="Z53" s="39"/>
    </row>
    <row r="54" spans="1:32">
      <c r="W54" s="39"/>
      <c r="X54" s="39"/>
      <c r="Y54" s="39"/>
      <c r="Z54" s="39"/>
    </row>
    <row r="55" spans="1:32" ht="15.75">
      <c r="B55" s="1110" t="s">
        <v>207</v>
      </c>
      <c r="W55" s="39"/>
      <c r="X55" s="39"/>
      <c r="Y55" s="39"/>
      <c r="Z55" s="39"/>
    </row>
    <row r="56" spans="1:32">
      <c r="B56" s="363"/>
      <c r="C56" s="363"/>
      <c r="W56" s="39"/>
      <c r="X56" s="39"/>
      <c r="Y56" s="39"/>
      <c r="Z56" s="39"/>
    </row>
    <row r="57" spans="1:32">
      <c r="B57" s="363">
        <v>1</v>
      </c>
      <c r="C57" s="363" t="s">
        <v>2947</v>
      </c>
      <c r="W57" s="39"/>
      <c r="X57" s="39"/>
      <c r="Y57" s="39"/>
      <c r="Z57" s="39"/>
    </row>
    <row r="58" spans="1:32">
      <c r="B58" s="363"/>
      <c r="C58" s="363"/>
      <c r="W58" s="39"/>
      <c r="X58" s="39"/>
      <c r="Y58" s="39"/>
      <c r="Z58" s="39"/>
    </row>
    <row r="59" spans="1:32">
      <c r="C59" s="363" t="s">
        <v>2948</v>
      </c>
      <c r="D59" s="381"/>
      <c r="E59" s="364" t="str">
        <f>Preferences.AreaUnits</f>
        <v>km^2</v>
      </c>
      <c r="F59" s="2490">
        <f>F19</f>
        <v>0</v>
      </c>
      <c r="G59" s="2490">
        <f t="shared" ref="G59:N59" si="1">G19</f>
        <v>0</v>
      </c>
      <c r="H59" s="2490">
        <f t="shared" si="1"/>
        <v>0</v>
      </c>
      <c r="I59" s="2490">
        <f t="shared" si="1"/>
        <v>10</v>
      </c>
      <c r="J59" s="2490">
        <f t="shared" si="1"/>
        <v>100</v>
      </c>
      <c r="K59" s="2490">
        <f t="shared" si="1"/>
        <v>400</v>
      </c>
      <c r="L59" s="2490">
        <f t="shared" si="1"/>
        <v>1000</v>
      </c>
      <c r="M59" s="2490">
        <f t="shared" si="1"/>
        <v>1500</v>
      </c>
      <c r="N59" s="2490">
        <f t="shared" si="1"/>
        <v>2100</v>
      </c>
      <c r="W59" s="39"/>
      <c r="X59" s="39"/>
      <c r="Y59" s="39"/>
      <c r="Z59" s="39"/>
    </row>
    <row r="60" spans="1:32" s="414" customFormat="1">
      <c r="B60" s="1381" t="s">
        <v>219</v>
      </c>
      <c r="C60" s="414" t="s">
        <v>2944</v>
      </c>
      <c r="E60" s="1381" t="str">
        <f>"M tonnes / " &amp; Preferences.AreaUnits</f>
        <v>M tonnes / km^2</v>
      </c>
      <c r="F60" s="2561">
        <f t="shared" ref="F60:N60" si="2">F$31/(1000000*Unit.ha)</f>
        <v>0</v>
      </c>
      <c r="G60" s="2561">
        <f t="shared" si="2"/>
        <v>0</v>
      </c>
      <c r="H60" s="2561">
        <f t="shared" si="2"/>
        <v>0</v>
      </c>
      <c r="I60" s="2561">
        <f t="shared" si="2"/>
        <v>1E-3</v>
      </c>
      <c r="J60" s="2561">
        <f t="shared" si="2"/>
        <v>1.5E-3</v>
      </c>
      <c r="K60" s="2561">
        <f t="shared" si="2"/>
        <v>2E-3</v>
      </c>
      <c r="L60" s="2561">
        <f t="shared" si="2"/>
        <v>2E-3</v>
      </c>
      <c r="M60" s="2561">
        <f t="shared" si="2"/>
        <v>2E-3</v>
      </c>
      <c r="N60" s="3748">
        <f t="shared" si="2"/>
        <v>2E-3</v>
      </c>
      <c r="W60" s="39"/>
      <c r="X60" s="3562"/>
      <c r="Y60" s="3562"/>
      <c r="Z60" s="3562"/>
    </row>
    <row r="61" spans="1:32" s="414" customFormat="1">
      <c r="B61" s="1381" t="s">
        <v>219</v>
      </c>
      <c r="C61" s="414" t="s">
        <v>1304</v>
      </c>
      <c r="E61" s="1381"/>
      <c r="F61" s="2561">
        <f>F$36</f>
        <v>3.8888888888888893</v>
      </c>
      <c r="G61" s="2784"/>
      <c r="H61" s="2784"/>
      <c r="I61" s="2784"/>
      <c r="J61" s="2784"/>
      <c r="K61" s="2784"/>
      <c r="L61" s="2784"/>
      <c r="M61" s="2784"/>
      <c r="N61" s="2784"/>
      <c r="W61" s="1077"/>
      <c r="X61" s="1706"/>
      <c r="Y61" s="3562"/>
      <c r="Z61" s="3562"/>
    </row>
    <row r="62" spans="1:32" s="363" customFormat="1">
      <c r="B62" s="988" t="s">
        <v>221</v>
      </c>
      <c r="C62" s="363" t="s">
        <v>433</v>
      </c>
      <c r="D62" s="363" t="s">
        <v>383</v>
      </c>
      <c r="E62" s="364" t="str">
        <f>Preferences.EnergyUnits</f>
        <v>TWh</v>
      </c>
      <c r="F62" s="3616">
        <f>F59*F60*$F61</f>
        <v>0</v>
      </c>
      <c r="G62" s="3616">
        <f t="shared" ref="G62:N62" si="3">G59*G60*$F61</f>
        <v>0</v>
      </c>
      <c r="H62" s="3616">
        <f t="shared" si="3"/>
        <v>0</v>
      </c>
      <c r="I62" s="3616">
        <f t="shared" si="3"/>
        <v>3.8888888888888896E-2</v>
      </c>
      <c r="J62" s="3616">
        <f t="shared" si="3"/>
        <v>0.58333333333333337</v>
      </c>
      <c r="K62" s="3616">
        <f t="shared" si="3"/>
        <v>3.1111111111111116</v>
      </c>
      <c r="L62" s="3616">
        <f t="shared" si="3"/>
        <v>7.7777777777777786</v>
      </c>
      <c r="M62" s="3616">
        <f t="shared" si="3"/>
        <v>11.666666666666668</v>
      </c>
      <c r="N62" s="3616">
        <f t="shared" si="3"/>
        <v>16.333333333333336</v>
      </c>
      <c r="W62" s="1077"/>
      <c r="X62" s="207"/>
      <c r="Y62" s="408"/>
      <c r="Z62" s="408"/>
    </row>
    <row r="63" spans="1:32">
      <c r="B63" s="988"/>
      <c r="C63" s="363"/>
      <c r="F63" s="2490"/>
      <c r="G63" s="2490"/>
      <c r="H63" s="2490"/>
      <c r="I63" s="2490"/>
      <c r="J63" s="2490"/>
      <c r="K63" s="2490"/>
      <c r="L63" s="2490"/>
      <c r="M63" s="2490"/>
      <c r="N63" s="2490"/>
      <c r="W63" s="1077"/>
      <c r="X63" s="1077"/>
      <c r="Y63" s="39"/>
      <c r="Z63" s="39"/>
    </row>
    <row r="64" spans="1:32">
      <c r="C64" s="3725" t="s">
        <v>2949</v>
      </c>
      <c r="E64" s="382" t="s">
        <v>43</v>
      </c>
      <c r="F64" s="3745">
        <f t="shared" ref="F64:N64" si="4">IFERROR(F62*Conversion.to.average.power/(F59*Global.IrelandIncidentSolarEnergy*Unit.W/Unit.m2),0%)</f>
        <v>0</v>
      </c>
      <c r="G64" s="3745">
        <f t="shared" si="4"/>
        <v>0</v>
      </c>
      <c r="H64" s="3745">
        <f t="shared" si="4"/>
        <v>0</v>
      </c>
      <c r="I64" s="3745">
        <f t="shared" si="4"/>
        <v>4.4363322939640522E-3</v>
      </c>
      <c r="J64" s="3745">
        <f t="shared" si="4"/>
        <v>6.6544984409460774E-3</v>
      </c>
      <c r="K64" s="3745">
        <f t="shared" si="4"/>
        <v>8.8726645879281044E-3</v>
      </c>
      <c r="L64" s="3745">
        <f t="shared" si="4"/>
        <v>8.8726645879281044E-3</v>
      </c>
      <c r="M64" s="3745">
        <f t="shared" si="4"/>
        <v>8.8726645879281026E-3</v>
      </c>
      <c r="N64" s="3745">
        <f t="shared" si="4"/>
        <v>8.8726645879281044E-3</v>
      </c>
      <c r="W64" s="1077"/>
      <c r="X64" s="1077"/>
      <c r="Y64" s="39"/>
      <c r="Z64" s="39"/>
    </row>
    <row r="65" spans="1:26">
      <c r="E65" s="382"/>
      <c r="F65" s="3745"/>
      <c r="G65" s="3745"/>
      <c r="H65" s="3745"/>
      <c r="I65" s="3745"/>
      <c r="J65" s="3745"/>
      <c r="K65" s="3745"/>
      <c r="L65" s="3745"/>
      <c r="M65" s="3745"/>
      <c r="N65" s="3745"/>
      <c r="W65" s="1077"/>
      <c r="X65" s="1077"/>
      <c r="Y65" s="39"/>
      <c r="Z65" s="39"/>
    </row>
    <row r="66" spans="1:26">
      <c r="B66" s="363">
        <v>2</v>
      </c>
      <c r="C66" s="363" t="s">
        <v>2955</v>
      </c>
      <c r="E66" s="382"/>
      <c r="F66" s="2556">
        <v>2013</v>
      </c>
      <c r="G66" s="2556">
        <v>2015</v>
      </c>
      <c r="H66" s="2556">
        <v>2020</v>
      </c>
      <c r="I66" s="2556">
        <v>2025</v>
      </c>
      <c r="J66" s="2556">
        <v>2030</v>
      </c>
      <c r="K66" s="2556">
        <v>2035</v>
      </c>
      <c r="L66" s="2556">
        <v>2040</v>
      </c>
      <c r="M66" s="2556">
        <v>2045</v>
      </c>
      <c r="N66" s="2556">
        <v>2050</v>
      </c>
      <c r="W66" s="39"/>
      <c r="X66" s="39"/>
      <c r="Y66" s="39"/>
      <c r="Z66" s="39"/>
    </row>
    <row r="67" spans="1:26" hidden="1">
      <c r="B67" s="363"/>
      <c r="C67" s="2" t="s">
        <v>2950</v>
      </c>
      <c r="E67" s="382" t="s">
        <v>2824</v>
      </c>
      <c r="F67" s="2515"/>
      <c r="G67" s="2515"/>
      <c r="H67" s="2515"/>
      <c r="I67" s="2515"/>
      <c r="J67" s="2515"/>
      <c r="K67" s="2515"/>
      <c r="L67" s="2515"/>
      <c r="M67" s="2515"/>
      <c r="N67" s="2515"/>
    </row>
    <row r="68" spans="1:26" hidden="1">
      <c r="B68" s="363"/>
      <c r="C68" s="2" t="s">
        <v>2951</v>
      </c>
      <c r="E68" s="382" t="s">
        <v>2824</v>
      </c>
      <c r="F68" s="2515"/>
      <c r="G68" s="2515"/>
      <c r="H68" s="2515"/>
      <c r="I68" s="2515"/>
      <c r="J68" s="2515"/>
      <c r="K68" s="2515"/>
      <c r="L68" s="2515"/>
      <c r="M68" s="2515"/>
      <c r="N68" s="2515"/>
    </row>
    <row r="69" spans="1:26" hidden="1">
      <c r="B69" s="363"/>
      <c r="C69" s="2" t="s">
        <v>2952</v>
      </c>
      <c r="E69" s="382" t="s">
        <v>2824</v>
      </c>
      <c r="F69" s="2515"/>
      <c r="G69" s="2515"/>
      <c r="H69" s="2515"/>
      <c r="I69" s="2515"/>
      <c r="J69" s="2515"/>
      <c r="K69" s="2515"/>
      <c r="L69" s="2515"/>
      <c r="M69" s="2515"/>
      <c r="N69" s="2515"/>
    </row>
    <row r="71" spans="1:26" ht="23.25">
      <c r="A71" s="7"/>
      <c r="B71" s="511" t="s">
        <v>299</v>
      </c>
      <c r="C71" s="512"/>
      <c r="D71" s="512"/>
      <c r="E71" s="512"/>
      <c r="F71" s="512"/>
      <c r="G71" s="512"/>
      <c r="H71" s="512"/>
      <c r="I71" s="512"/>
      <c r="J71" s="512"/>
      <c r="K71" s="512"/>
      <c r="L71" s="512"/>
      <c r="M71" s="512"/>
      <c r="N71" s="512"/>
      <c r="O71" s="866"/>
    </row>
    <row r="72" spans="1:26">
      <c r="B72" s="514"/>
      <c r="C72" s="515"/>
      <c r="D72" s="515"/>
      <c r="E72" s="515"/>
      <c r="F72" s="515"/>
      <c r="G72" s="515"/>
      <c r="H72" s="515"/>
      <c r="I72" s="515"/>
      <c r="J72" s="515"/>
      <c r="K72" s="515"/>
      <c r="L72" s="515"/>
      <c r="M72" s="515"/>
      <c r="N72" s="515"/>
      <c r="O72" s="867"/>
    </row>
    <row r="73" spans="1:26">
      <c r="B73" s="514"/>
      <c r="C73" s="34" t="s">
        <v>765</v>
      </c>
      <c r="D73" s="515"/>
      <c r="E73" s="516"/>
      <c r="F73" s="515"/>
      <c r="G73" s="515"/>
      <c r="H73" s="515"/>
      <c r="I73" s="515"/>
      <c r="J73" s="515"/>
      <c r="K73" s="515"/>
      <c r="L73" s="515"/>
      <c r="M73" s="515"/>
      <c r="N73" s="516" t="str">
        <f>Preferences.EnergyUnits</f>
        <v>TWh</v>
      </c>
      <c r="O73" s="867"/>
    </row>
    <row r="74" spans="1:26">
      <c r="B74" s="514"/>
      <c r="C74" s="515"/>
      <c r="D74" s="515"/>
      <c r="E74" s="515"/>
      <c r="F74" s="515"/>
      <c r="G74" s="515"/>
      <c r="H74" s="515"/>
      <c r="I74" s="515"/>
      <c r="J74" s="515"/>
      <c r="K74" s="515"/>
      <c r="L74" s="515"/>
      <c r="M74" s="515"/>
      <c r="N74" s="515"/>
      <c r="O74" s="867"/>
    </row>
    <row r="75" spans="1:26" ht="15.75">
      <c r="A75" s="443"/>
      <c r="B75" s="15"/>
      <c r="C75" s="873" t="s">
        <v>28</v>
      </c>
      <c r="D75" s="873" t="s">
        <v>29</v>
      </c>
      <c r="E75" s="873" t="s">
        <v>30</v>
      </c>
      <c r="F75" s="873" t="s">
        <v>597</v>
      </c>
      <c r="G75" s="873" t="s">
        <v>133</v>
      </c>
      <c r="H75" s="873" t="s">
        <v>134</v>
      </c>
      <c r="I75" s="873" t="s">
        <v>135</v>
      </c>
      <c r="J75" s="873" t="s">
        <v>136</v>
      </c>
      <c r="K75" s="873" t="s">
        <v>137</v>
      </c>
      <c r="L75" s="873" t="s">
        <v>138</v>
      </c>
      <c r="M75" s="873" t="s">
        <v>139</v>
      </c>
      <c r="N75" s="873" t="s">
        <v>140</v>
      </c>
      <c r="O75" s="867"/>
    </row>
    <row r="76" spans="1:26" ht="15.75">
      <c r="A76" s="443"/>
      <c r="B76" s="15"/>
      <c r="C76" s="17" t="s">
        <v>433</v>
      </c>
      <c r="D76" s="2487" t="str">
        <f>INDEX(Vectors[Description], MATCH([Vector], Vectors[Code], 0))</f>
        <v>Wet biomass and waste</v>
      </c>
      <c r="E76" s="17"/>
      <c r="F76" s="2521">
        <f>F62</f>
        <v>0</v>
      </c>
      <c r="G76" s="2521">
        <f t="shared" ref="G76:N76" si="5">G62</f>
        <v>0</v>
      </c>
      <c r="H76" s="2521">
        <f t="shared" si="5"/>
        <v>0</v>
      </c>
      <c r="I76" s="2521">
        <f t="shared" si="5"/>
        <v>3.8888888888888896E-2</v>
      </c>
      <c r="J76" s="2521">
        <f t="shared" si="5"/>
        <v>0.58333333333333337</v>
      </c>
      <c r="K76" s="2521">
        <f t="shared" si="5"/>
        <v>3.1111111111111116</v>
      </c>
      <c r="L76" s="2521">
        <f t="shared" si="5"/>
        <v>7.7777777777777786</v>
      </c>
      <c r="M76" s="2521">
        <f t="shared" si="5"/>
        <v>11.666666666666668</v>
      </c>
      <c r="N76" s="2521">
        <f t="shared" si="5"/>
        <v>16.333333333333336</v>
      </c>
      <c r="O76" s="867"/>
    </row>
    <row r="77" spans="1:26" ht="15.75">
      <c r="A77" s="443"/>
      <c r="B77" s="15"/>
      <c r="C77" s="17" t="s">
        <v>452</v>
      </c>
      <c r="D77" s="2487" t="str">
        <f>INDEX(Vectors[Description], MATCH([Vector], Vectors[Code], 0))</f>
        <v>Agriculture</v>
      </c>
      <c r="E77" s="17"/>
      <c r="F77" s="2521">
        <f>-F62</f>
        <v>0</v>
      </c>
      <c r="G77" s="2521">
        <f t="shared" ref="G77:N77" si="6">-G62</f>
        <v>0</v>
      </c>
      <c r="H77" s="2521">
        <f t="shared" si="6"/>
        <v>0</v>
      </c>
      <c r="I77" s="2521">
        <f t="shared" si="6"/>
        <v>-3.8888888888888896E-2</v>
      </c>
      <c r="J77" s="2521">
        <f t="shared" si="6"/>
        <v>-0.58333333333333337</v>
      </c>
      <c r="K77" s="2521">
        <f t="shared" si="6"/>
        <v>-3.1111111111111116</v>
      </c>
      <c r="L77" s="2521">
        <f t="shared" si="6"/>
        <v>-7.7777777777777786</v>
      </c>
      <c r="M77" s="2521">
        <f t="shared" si="6"/>
        <v>-11.666666666666668</v>
      </c>
      <c r="N77" s="2521">
        <f t="shared" si="6"/>
        <v>-16.333333333333336</v>
      </c>
      <c r="O77" s="867"/>
    </row>
    <row r="78" spans="1:26" ht="15.75">
      <c r="A78" s="443"/>
      <c r="B78" s="15"/>
      <c r="C78" s="2462" t="s">
        <v>59</v>
      </c>
      <c r="D78" s="2462"/>
      <c r="E78" s="2462"/>
      <c r="F78" s="2465">
        <f>SUBTOTAL(109,[2013])</f>
        <v>0</v>
      </c>
      <c r="G78" s="2465">
        <f>SUBTOTAL(109,[2015])</f>
        <v>0</v>
      </c>
      <c r="H78" s="2465">
        <f>SUBTOTAL(109,[2020])</f>
        <v>0</v>
      </c>
      <c r="I78" s="2465">
        <f>SUBTOTAL(109,[2025])</f>
        <v>0</v>
      </c>
      <c r="J78" s="2465">
        <f>SUBTOTAL(109,[2030])</f>
        <v>0</v>
      </c>
      <c r="K78" s="2465">
        <f>SUBTOTAL(109,[2035])</f>
        <v>0</v>
      </c>
      <c r="L78" s="2465">
        <f>SUBTOTAL(109,[2040])</f>
        <v>0</v>
      </c>
      <c r="M78" s="2465">
        <f>SUBTOTAL(109,[2045])</f>
        <v>0</v>
      </c>
      <c r="N78" s="2465">
        <f>SUBTOTAL(109,[2050])</f>
        <v>0</v>
      </c>
      <c r="O78" s="867"/>
    </row>
    <row r="79" spans="1:26" ht="15.75">
      <c r="B79" s="15"/>
      <c r="C79" s="452"/>
      <c r="D79" s="452"/>
      <c r="E79" s="452"/>
      <c r="F79" s="452"/>
      <c r="G79" s="452"/>
      <c r="H79" s="452"/>
      <c r="I79" s="452"/>
      <c r="J79" s="452"/>
      <c r="K79" s="452"/>
      <c r="L79" s="452"/>
      <c r="M79" s="452"/>
      <c r="N79" s="452"/>
      <c r="O79" s="35"/>
      <c r="R79" s="1077"/>
      <c r="S79" s="1077"/>
      <c r="T79" s="1077"/>
      <c r="U79" s="1077"/>
      <c r="V79" s="1077"/>
      <c r="W79" s="1077"/>
      <c r="X79" s="1077"/>
    </row>
    <row r="80" spans="1:26">
      <c r="R80" s="1077"/>
      <c r="S80" s="656"/>
      <c r="T80" s="1077"/>
      <c r="U80" s="1077"/>
      <c r="V80" s="1077"/>
      <c r="W80" s="1077"/>
      <c r="X80" s="1077"/>
    </row>
    <row r="81" spans="2:24" ht="15.75">
      <c r="B81" s="995" t="s">
        <v>313</v>
      </c>
      <c r="C81" s="996"/>
      <c r="D81" s="997"/>
      <c r="E81" s="997"/>
      <c r="F81" s="997"/>
      <c r="G81" s="997"/>
      <c r="H81" s="997"/>
      <c r="I81" s="997"/>
      <c r="J81" s="997"/>
      <c r="K81" s="997"/>
      <c r="L81" s="997"/>
      <c r="M81" s="997"/>
      <c r="N81" s="997"/>
      <c r="O81" s="998"/>
      <c r="R81" s="1077"/>
      <c r="S81" s="656"/>
      <c r="T81" s="1077"/>
      <c r="U81" s="1077"/>
      <c r="V81" s="1077"/>
      <c r="W81" s="1077"/>
      <c r="X81" s="1077"/>
    </row>
    <row r="82" spans="2:24">
      <c r="B82" s="999"/>
      <c r="C82" s="1000"/>
      <c r="D82" s="1000"/>
      <c r="E82" s="1000"/>
      <c r="F82" s="1000"/>
      <c r="G82" s="1000"/>
      <c r="H82" s="1000"/>
      <c r="I82" s="1000"/>
      <c r="J82" s="1000"/>
      <c r="K82" s="1000"/>
      <c r="L82" s="1000"/>
      <c r="M82" s="1000"/>
      <c r="N82" s="1000"/>
      <c r="O82" s="1001"/>
      <c r="R82" s="1077"/>
      <c r="S82" s="656"/>
      <c r="T82" s="1077"/>
      <c r="U82" s="1077"/>
      <c r="V82" s="1077"/>
      <c r="W82" s="1077"/>
      <c r="X82" s="1077"/>
    </row>
    <row r="83" spans="2:24">
      <c r="B83" s="1002"/>
      <c r="C83" s="488" t="s">
        <v>314</v>
      </c>
      <c r="D83" s="1003"/>
      <c r="E83" s="1004"/>
      <c r="F83" s="1003"/>
      <c r="G83" s="1003"/>
      <c r="H83" s="1003"/>
      <c r="I83" s="1003"/>
      <c r="J83" s="1003"/>
      <c r="K83" s="1003"/>
      <c r="L83" s="1003"/>
      <c r="M83" s="1003"/>
      <c r="N83" s="1004"/>
      <c r="O83" s="1005"/>
      <c r="R83" s="1077"/>
      <c r="S83" s="656"/>
      <c r="T83" s="1077"/>
      <c r="U83" s="1077"/>
      <c r="V83" s="1077"/>
      <c r="W83" s="1077"/>
      <c r="X83" s="1077"/>
    </row>
    <row r="84" spans="2:24">
      <c r="B84" s="1002"/>
      <c r="C84" s="1003"/>
      <c r="D84" s="1003"/>
      <c r="E84" s="1003"/>
      <c r="F84" s="1003"/>
      <c r="G84" s="1003"/>
      <c r="H84" s="1003"/>
      <c r="I84" s="1003"/>
      <c r="J84" s="1003"/>
      <c r="K84" s="1003"/>
      <c r="L84" s="1003"/>
      <c r="M84" s="1003"/>
      <c r="N84" s="1003"/>
      <c r="O84" s="1005"/>
      <c r="R84" s="1077"/>
      <c r="S84" s="1077"/>
      <c r="T84" s="1077"/>
      <c r="U84" s="1077"/>
      <c r="V84" s="1077"/>
      <c r="W84" s="1077"/>
      <c r="X84" s="1077"/>
    </row>
    <row r="85" spans="2:24" ht="15.75">
      <c r="B85" s="492"/>
      <c r="C85" s="1006" t="s">
        <v>28</v>
      </c>
      <c r="D85" s="1006" t="s">
        <v>315</v>
      </c>
      <c r="E85" s="1006" t="s">
        <v>30</v>
      </c>
      <c r="F85" s="1006" t="s">
        <v>597</v>
      </c>
      <c r="G85" s="1006" t="s">
        <v>133</v>
      </c>
      <c r="H85" s="1006" t="s">
        <v>134</v>
      </c>
      <c r="I85" s="1006" t="s">
        <v>135</v>
      </c>
      <c r="J85" s="1006" t="s">
        <v>136</v>
      </c>
      <c r="K85" s="1006" t="s">
        <v>137</v>
      </c>
      <c r="L85" s="1006" t="s">
        <v>138</v>
      </c>
      <c r="M85" s="1006" t="s">
        <v>139</v>
      </c>
      <c r="N85" s="1006" t="s">
        <v>140</v>
      </c>
      <c r="O85" s="1005"/>
      <c r="R85" s="1077"/>
      <c r="S85" s="1077"/>
      <c r="T85" s="1077"/>
      <c r="U85" s="1077"/>
      <c r="V85" s="1077"/>
      <c r="W85" s="1077"/>
      <c r="X85" s="1077"/>
    </row>
    <row r="86" spans="2:24" ht="15.75">
      <c r="B86" s="492"/>
      <c r="C86" s="1007" t="s">
        <v>878</v>
      </c>
      <c r="D86" s="1007" t="s">
        <v>2953</v>
      </c>
      <c r="E86" s="494" t="str">
        <f>Preferences.AreaUnits</f>
        <v>km^2</v>
      </c>
      <c r="F86" s="2438">
        <f>F59</f>
        <v>0</v>
      </c>
      <c r="G86" s="2438">
        <f t="shared" ref="G86:N86" si="7">G59</f>
        <v>0</v>
      </c>
      <c r="H86" s="2438">
        <f t="shared" si="7"/>
        <v>0</v>
      </c>
      <c r="I86" s="2438">
        <f t="shared" si="7"/>
        <v>10</v>
      </c>
      <c r="J86" s="2438">
        <f t="shared" si="7"/>
        <v>100</v>
      </c>
      <c r="K86" s="2438">
        <f t="shared" si="7"/>
        <v>400</v>
      </c>
      <c r="L86" s="2438">
        <f t="shared" si="7"/>
        <v>1000</v>
      </c>
      <c r="M86" s="2438">
        <f t="shared" si="7"/>
        <v>1500</v>
      </c>
      <c r="N86" s="2438">
        <f t="shared" si="7"/>
        <v>2100</v>
      </c>
      <c r="O86" s="1005"/>
    </row>
    <row r="87" spans="2:24" ht="15.75">
      <c r="B87" s="497"/>
      <c r="C87" s="1010"/>
      <c r="D87" s="1010"/>
      <c r="E87" s="1010"/>
      <c r="F87" s="1010"/>
      <c r="G87" s="1010"/>
      <c r="H87" s="1010"/>
      <c r="I87" s="1010"/>
      <c r="J87" s="1010"/>
      <c r="K87" s="1010"/>
      <c r="L87" s="1010"/>
      <c r="M87" s="1010"/>
      <c r="N87" s="1010"/>
      <c r="O87" s="1011"/>
    </row>
    <row r="89" spans="2:24" ht="15.75">
      <c r="B89" s="995" t="s">
        <v>2795</v>
      </c>
      <c r="C89" s="997"/>
      <c r="D89" s="997"/>
      <c r="E89" s="997"/>
      <c r="F89" s="997"/>
      <c r="G89" s="997"/>
      <c r="H89" s="997"/>
      <c r="I89" s="997"/>
      <c r="J89" s="997"/>
      <c r="K89" s="997"/>
      <c r="L89" s="997"/>
      <c r="M89" s="997"/>
      <c r="N89" s="997"/>
      <c r="O89" s="998"/>
    </row>
    <row r="90" spans="2:24" hidden="1">
      <c r="B90" s="1002"/>
      <c r="C90" s="1003"/>
      <c r="D90" s="1003"/>
      <c r="E90" s="1003"/>
      <c r="F90" s="1003"/>
      <c r="G90" s="1003"/>
      <c r="H90" s="1003"/>
      <c r="I90" s="1003"/>
      <c r="J90" s="1003"/>
      <c r="K90" s="1003"/>
      <c r="L90" s="1003"/>
      <c r="M90" s="1003"/>
      <c r="N90" s="1003"/>
      <c r="O90" s="1005"/>
    </row>
    <row r="91" spans="2:24" hidden="1">
      <c r="B91" s="1002"/>
      <c r="C91" s="500" t="s">
        <v>770</v>
      </c>
      <c r="D91" s="1012"/>
      <c r="E91" s="1012"/>
      <c r="F91" s="1012"/>
      <c r="G91" s="1012"/>
      <c r="H91" s="1012"/>
      <c r="I91" s="1012"/>
      <c r="J91" s="1012"/>
      <c r="K91" s="1012"/>
      <c r="L91" s="1012"/>
      <c r="M91" s="1012"/>
      <c r="N91" s="1013" t="s">
        <v>2812</v>
      </c>
      <c r="O91" s="1005"/>
    </row>
    <row r="92" spans="2:24" hidden="1">
      <c r="B92" s="1002"/>
      <c r="C92" s="1003"/>
      <c r="D92" s="1003"/>
      <c r="E92" s="1003"/>
      <c r="F92" s="1003"/>
      <c r="G92" s="1003"/>
      <c r="H92" s="1003"/>
      <c r="I92" s="1003"/>
      <c r="J92" s="1003"/>
      <c r="K92" s="1003"/>
      <c r="L92" s="1003"/>
      <c r="M92" s="1003"/>
      <c r="N92" s="1003"/>
      <c r="O92" s="1005"/>
    </row>
    <row r="93" spans="2:24" ht="15.75" hidden="1">
      <c r="B93" s="492"/>
      <c r="C93" s="1006" t="s">
        <v>28</v>
      </c>
      <c r="D93" s="1006" t="s">
        <v>29</v>
      </c>
      <c r="E93" s="1006" t="s">
        <v>30</v>
      </c>
      <c r="F93" s="1006">
        <v>2013</v>
      </c>
      <c r="G93" s="1006" t="s">
        <v>133</v>
      </c>
      <c r="H93" s="1006" t="s">
        <v>134</v>
      </c>
      <c r="I93" s="1006" t="s">
        <v>135</v>
      </c>
      <c r="J93" s="1006" t="s">
        <v>136</v>
      </c>
      <c r="K93" s="1006" t="s">
        <v>137</v>
      </c>
      <c r="L93" s="1006" t="s">
        <v>138</v>
      </c>
      <c r="M93" s="1006" t="s">
        <v>139</v>
      </c>
      <c r="N93" s="1006" t="s">
        <v>140</v>
      </c>
      <c r="O93" s="1150"/>
    </row>
    <row r="94" spans="2:24" ht="15.75" hidden="1">
      <c r="B94" s="492"/>
      <c r="C94" s="1007" t="s">
        <v>775</v>
      </c>
      <c r="D94" s="494" t="s">
        <v>776</v>
      </c>
      <c r="E94" s="494"/>
      <c r="F94" s="2440"/>
      <c r="G94" s="2440"/>
      <c r="H94" s="2440"/>
      <c r="I94" s="2440"/>
      <c r="J94" s="2440"/>
      <c r="K94" s="2440"/>
      <c r="L94" s="2440"/>
      <c r="M94" s="2440"/>
      <c r="N94" s="2440"/>
      <c r="O94" s="1150"/>
    </row>
    <row r="95" spans="2:24" ht="15.75" hidden="1">
      <c r="B95" s="492"/>
      <c r="C95" s="3746" t="s">
        <v>773</v>
      </c>
      <c r="D95" s="494" t="s">
        <v>774</v>
      </c>
      <c r="E95" s="2669"/>
      <c r="F95" s="3502"/>
      <c r="G95" s="3502"/>
      <c r="H95" s="3502"/>
      <c r="I95" s="3502"/>
      <c r="J95" s="3502"/>
      <c r="K95" s="3502"/>
      <c r="L95" s="3502"/>
      <c r="M95" s="3502"/>
      <c r="N95" s="3502"/>
      <c r="O95" s="1150"/>
    </row>
    <row r="96" spans="2:24" hidden="1">
      <c r="B96" s="503"/>
      <c r="C96" s="1007" t="s">
        <v>771</v>
      </c>
      <c r="D96" s="494" t="s">
        <v>772</v>
      </c>
      <c r="E96" s="2669"/>
      <c r="F96" s="3502"/>
      <c r="G96" s="3502"/>
      <c r="H96" s="3502"/>
      <c r="I96" s="3502"/>
      <c r="J96" s="3502"/>
      <c r="K96" s="3502"/>
      <c r="L96" s="3502"/>
      <c r="M96" s="3502"/>
      <c r="N96" s="3502"/>
      <c r="O96" s="1151"/>
    </row>
    <row r="97" spans="2:15" hidden="1">
      <c r="B97" s="1014"/>
      <c r="C97" s="1010"/>
      <c r="D97" s="1010"/>
      <c r="E97" s="1010"/>
      <c r="F97" s="1010"/>
      <c r="G97" s="1010"/>
      <c r="H97" s="1010"/>
      <c r="I97" s="1010"/>
      <c r="J97" s="1010"/>
      <c r="K97" s="1010"/>
      <c r="L97" s="1010"/>
      <c r="M97" s="1010"/>
      <c r="N97" s="1010"/>
      <c r="O97" s="1015"/>
    </row>
    <row r="262" spans="18:18">
      <c r="R262" s="1334"/>
    </row>
  </sheetData>
  <pageMargins left="0.7" right="0.7" top="0.75" bottom="0.75" header="0.3" footer="0.3"/>
  <tableParts count="2">
    <tablePart r:id="rId1"/>
    <tablePart r:id="rId2"/>
  </tableParts>
</worksheet>
</file>

<file path=xl/worksheets/sheet29.xml><?xml version="1.0" encoding="utf-8"?>
<worksheet xmlns="http://schemas.openxmlformats.org/spreadsheetml/2006/main" xmlns:r="http://schemas.openxmlformats.org/officeDocument/2006/relationships">
  <sheetPr>
    <tabColor theme="9"/>
  </sheetPr>
  <dimension ref="A1:DJ259"/>
  <sheetViews>
    <sheetView showGridLines="0" topLeftCell="C56" zoomScale="80" zoomScaleNormal="80" workbookViewId="0">
      <selection activeCell="N114" sqref="N114"/>
    </sheetView>
  </sheetViews>
  <sheetFormatPr defaultColWidth="8.85546875" defaultRowHeight="15"/>
  <cols>
    <col min="1" max="1" width="7.7109375" style="3380" customWidth="1"/>
    <col min="2" max="2" width="5.85546875" style="3380" customWidth="1"/>
    <col min="3" max="3" width="20.42578125" style="3380" customWidth="1"/>
    <col min="4" max="4" width="30.7109375" style="3380" customWidth="1"/>
    <col min="5" max="5" width="20.7109375" style="3380" customWidth="1"/>
    <col min="6" max="15" width="17.7109375" style="3380" customWidth="1"/>
    <col min="16" max="16" width="2" customWidth="1"/>
    <col min="17" max="17" width="10.85546875" style="3380" customWidth="1"/>
    <col min="18" max="16384" width="8.85546875" style="3380"/>
  </cols>
  <sheetData>
    <row r="1" spans="1:20" ht="20.25">
      <c r="A1" s="863" t="s">
        <v>571</v>
      </c>
      <c r="B1" s="863" t="s">
        <v>572</v>
      </c>
      <c r="C1" s="863"/>
      <c r="G1"/>
      <c r="H1"/>
      <c r="I1"/>
      <c r="J1"/>
    </row>
    <row r="2" spans="1:20" s="6" customFormat="1" ht="15.75">
      <c r="A2" s="864" t="s">
        <v>563</v>
      </c>
      <c r="B2" s="864" t="s">
        <v>564</v>
      </c>
      <c r="C2" s="864"/>
      <c r="E2" s="5"/>
      <c r="P2"/>
    </row>
    <row r="4" spans="1:20" ht="23.25">
      <c r="A4" s="7"/>
      <c r="B4" s="511" t="s">
        <v>361</v>
      </c>
      <c r="C4" s="865"/>
      <c r="D4" s="512"/>
      <c r="E4" s="513"/>
      <c r="F4" s="512"/>
      <c r="G4" s="512"/>
      <c r="H4" s="512"/>
      <c r="I4" s="512"/>
      <c r="J4" s="512"/>
      <c r="K4" s="512"/>
      <c r="L4" s="512"/>
      <c r="M4" s="512"/>
      <c r="N4" s="512"/>
      <c r="O4" s="512"/>
    </row>
    <row r="5" spans="1:20">
      <c r="B5" s="514"/>
      <c r="C5" s="12"/>
      <c r="D5" s="515"/>
      <c r="E5" s="516"/>
      <c r="F5" s="515"/>
      <c r="G5" s="515"/>
      <c r="H5" s="515"/>
      <c r="I5" s="515"/>
      <c r="J5" s="515"/>
      <c r="K5" s="515"/>
      <c r="L5" s="515"/>
      <c r="M5" s="515"/>
      <c r="N5" s="515"/>
      <c r="O5" s="515"/>
    </row>
    <row r="6" spans="1:20" ht="15.75">
      <c r="B6" s="15"/>
      <c r="C6" s="515"/>
      <c r="D6" s="16" t="s">
        <v>7</v>
      </c>
      <c r="E6" s="16" t="s">
        <v>8</v>
      </c>
      <c r="F6" s="515"/>
      <c r="G6" s="515"/>
      <c r="H6" s="515"/>
      <c r="I6" s="515"/>
      <c r="J6" s="515"/>
      <c r="K6" s="515"/>
      <c r="L6" s="515"/>
      <c r="M6" s="515"/>
      <c r="N6" s="515"/>
      <c r="O6" s="515"/>
    </row>
    <row r="7" spans="1:20" ht="15.75">
      <c r="B7" s="15"/>
      <c r="C7" s="515"/>
      <c r="D7" s="868" t="s">
        <v>2104</v>
      </c>
      <c r="E7" s="868">
        <f>VII.a.Scenario</f>
        <v>4</v>
      </c>
      <c r="F7" s="515"/>
      <c r="G7" s="515"/>
      <c r="H7" s="515"/>
      <c r="I7" s="515"/>
      <c r="J7" s="515"/>
      <c r="K7" s="515"/>
      <c r="L7" s="515"/>
      <c r="M7" s="515"/>
      <c r="N7" s="515"/>
      <c r="O7" s="515"/>
    </row>
    <row r="8" spans="1:20" ht="15.75">
      <c r="B8" s="450"/>
      <c r="C8" s="452"/>
      <c r="D8" s="452"/>
      <c r="E8" s="452"/>
      <c r="F8" s="869"/>
      <c r="G8" s="869"/>
      <c r="H8" s="869"/>
      <c r="I8" s="869"/>
      <c r="J8" s="869"/>
      <c r="K8" s="869"/>
      <c r="L8" s="869"/>
      <c r="M8" s="869"/>
      <c r="N8" s="869"/>
      <c r="O8" s="869"/>
    </row>
    <row r="10" spans="1:20" ht="23.25">
      <c r="A10" s="7"/>
      <c r="B10" s="511" t="s">
        <v>24</v>
      </c>
      <c r="C10" s="512"/>
      <c r="D10" s="512"/>
      <c r="E10" s="512"/>
      <c r="F10" s="512"/>
      <c r="G10" s="512"/>
      <c r="H10" s="512"/>
      <c r="I10" s="512"/>
      <c r="J10" s="512"/>
      <c r="K10" s="512"/>
      <c r="L10" s="512"/>
      <c r="M10" s="512"/>
      <c r="N10" s="512"/>
      <c r="O10" s="866"/>
    </row>
    <row r="11" spans="1:20">
      <c r="B11" s="514"/>
      <c r="C11" s="515"/>
      <c r="D11" s="515"/>
      <c r="E11" s="515"/>
      <c r="F11" s="515"/>
      <c r="G11" s="515"/>
      <c r="H11" s="515"/>
      <c r="I11" s="515"/>
      <c r="J11" s="515"/>
      <c r="K11" s="515"/>
      <c r="L11" s="515"/>
      <c r="M11" s="515"/>
      <c r="N11" s="515"/>
      <c r="O11" s="867"/>
    </row>
    <row r="12" spans="1:20" ht="15.75">
      <c r="A12" s="2981"/>
      <c r="B12" s="2982"/>
      <c r="C12" s="34" t="s">
        <v>2498</v>
      </c>
      <c r="D12" s="2953"/>
      <c r="E12" s="873"/>
      <c r="F12" s="2800"/>
      <c r="G12" s="2800"/>
      <c r="H12" s="2800"/>
      <c r="I12" s="2800"/>
      <c r="J12" s="2800"/>
      <c r="K12" s="2800"/>
      <c r="L12" s="2800"/>
      <c r="M12" s="2800"/>
      <c r="N12" s="3418" t="str">
        <f>Preferences.EnergyUnits&amp;"e"</f>
        <v>TWhe</v>
      </c>
      <c r="O12" s="875"/>
    </row>
    <row r="13" spans="1:20" ht="15.75">
      <c r="A13" s="2981"/>
      <c r="B13" s="2982"/>
      <c r="C13" s="873"/>
      <c r="D13" s="2953"/>
      <c r="E13" s="873"/>
      <c r="F13" s="2800"/>
      <c r="G13" s="2800"/>
      <c r="H13" s="2800"/>
      <c r="I13" s="2800"/>
      <c r="J13" s="2800"/>
      <c r="K13" s="2800"/>
      <c r="L13" s="2800"/>
      <c r="M13" s="2800"/>
      <c r="N13" s="2800"/>
      <c r="O13" s="875"/>
    </row>
    <row r="14" spans="1:20" ht="15.75">
      <c r="A14" s="2981"/>
      <c r="B14" s="2982"/>
      <c r="C14" s="2990"/>
      <c r="D14" s="2990" t="s">
        <v>72</v>
      </c>
      <c r="E14" s="2990" t="s">
        <v>30</v>
      </c>
      <c r="F14" s="3000">
        <v>2013</v>
      </c>
      <c r="G14" s="3000">
        <v>2015</v>
      </c>
      <c r="H14" s="3000">
        <v>2020</v>
      </c>
      <c r="I14" s="3000">
        <v>2025</v>
      </c>
      <c r="J14" s="3000">
        <v>2030</v>
      </c>
      <c r="K14" s="3000">
        <v>2035</v>
      </c>
      <c r="L14" s="3000">
        <v>2040</v>
      </c>
      <c r="M14" s="3000">
        <v>2045</v>
      </c>
      <c r="N14" s="3000">
        <v>2050</v>
      </c>
      <c r="O14" s="875"/>
    </row>
    <row r="15" spans="1:20" ht="15.75">
      <c r="A15" s="2981"/>
      <c r="B15" s="2982"/>
      <c r="C15" s="3001"/>
      <c r="D15" s="868" t="s">
        <v>3300</v>
      </c>
      <c r="E15" s="868"/>
      <c r="F15" s="3822">
        <f>0.4*Unit.TWh</f>
        <v>0.4</v>
      </c>
      <c r="G15" s="3822">
        <f t="shared" ref="G15:N15" ca="1" si="0">MAX(-INDIRECT(G14&amp;"!T103"),0)</f>
        <v>0</v>
      </c>
      <c r="H15" s="3822">
        <f t="shared" ca="1" si="0"/>
        <v>0</v>
      </c>
      <c r="I15" s="3822">
        <f t="shared" ca="1" si="0"/>
        <v>0</v>
      </c>
      <c r="J15" s="3822">
        <f t="shared" ca="1" si="0"/>
        <v>14.552664429668678</v>
      </c>
      <c r="K15" s="3822">
        <f t="shared" ca="1" si="0"/>
        <v>34.69879121742882</v>
      </c>
      <c r="L15" s="3822">
        <f t="shared" ca="1" si="0"/>
        <v>51.501054695560633</v>
      </c>
      <c r="M15" s="3822">
        <f t="shared" ca="1" si="0"/>
        <v>69.816975780787857</v>
      </c>
      <c r="N15" s="3822">
        <f t="shared" ca="1" si="0"/>
        <v>87.574734038121079</v>
      </c>
      <c r="O15" s="875"/>
      <c r="Q15"/>
      <c r="R15"/>
      <c r="S15"/>
      <c r="T15"/>
    </row>
    <row r="16" spans="1:20">
      <c r="B16" s="514"/>
      <c r="C16" s="34"/>
      <c r="D16" s="515"/>
      <c r="E16" s="515"/>
      <c r="F16" s="515"/>
      <c r="G16" s="515"/>
      <c r="H16" s="515"/>
      <c r="I16" s="515"/>
      <c r="J16" s="515"/>
      <c r="K16" s="515"/>
      <c r="L16" s="515"/>
      <c r="M16" s="516"/>
      <c r="N16" s="3419"/>
      <c r="O16" s="867"/>
    </row>
    <row r="17" spans="1:15" ht="15.75">
      <c r="A17" s="2981"/>
      <c r="B17" s="2982"/>
      <c r="C17" s="2989" t="s">
        <v>1869</v>
      </c>
      <c r="D17" s="2953"/>
      <c r="E17" s="873"/>
      <c r="F17" s="2800"/>
      <c r="G17" s="2800"/>
      <c r="H17" s="2800"/>
      <c r="I17" s="2800"/>
      <c r="J17" s="2800"/>
      <c r="K17" s="2800"/>
      <c r="L17" s="2800"/>
      <c r="M17" s="3420" t="s">
        <v>1868</v>
      </c>
      <c r="N17" s="3420" t="str">
        <f>Preferences.PowerUnits&amp;"e"</f>
        <v>GWe</v>
      </c>
      <c r="O17" s="875"/>
    </row>
    <row r="18" spans="1:15" ht="15.75">
      <c r="A18" s="2981"/>
      <c r="B18" s="2982"/>
      <c r="C18" s="2989"/>
      <c r="D18" s="2953"/>
      <c r="E18" s="873"/>
      <c r="F18" s="2800"/>
      <c r="G18" s="2800"/>
      <c r="H18" s="2800"/>
      <c r="I18" s="2800"/>
      <c r="J18" s="2800"/>
      <c r="K18" s="2800"/>
      <c r="L18" s="2800"/>
      <c r="M18" s="2800"/>
      <c r="N18" s="3420"/>
      <c r="O18" s="875"/>
    </row>
    <row r="19" spans="1:15" ht="15.75">
      <c r="A19" s="2981"/>
      <c r="B19" s="2982"/>
      <c r="C19" s="2990"/>
      <c r="D19" s="2990" t="s">
        <v>72</v>
      </c>
      <c r="E19" s="2990" t="s">
        <v>30</v>
      </c>
      <c r="F19" s="3000">
        <v>2013</v>
      </c>
      <c r="G19" s="3000">
        <v>2015</v>
      </c>
      <c r="H19" s="3000">
        <v>2020</v>
      </c>
      <c r="I19" s="3000">
        <v>2025</v>
      </c>
      <c r="J19" s="3000">
        <v>2030</v>
      </c>
      <c r="K19" s="3000">
        <v>2035</v>
      </c>
      <c r="L19" s="3000">
        <v>2040</v>
      </c>
      <c r="M19" s="3000">
        <v>2045</v>
      </c>
      <c r="N19" s="3000">
        <v>2050</v>
      </c>
      <c r="O19" s="875"/>
    </row>
    <row r="20" spans="1:15" ht="15.75">
      <c r="A20" s="2981"/>
      <c r="B20" s="2982"/>
      <c r="C20" s="3001" t="s">
        <v>569</v>
      </c>
      <c r="D20" s="868" t="s">
        <v>2690</v>
      </c>
      <c r="E20" s="868"/>
      <c r="F20" s="3421">
        <f t="shared" ref="F20:N20" ca="1" si="1">IFERROR(INDEX(INDIRECT($C20&amp;".Info["&amp;F$19&amp;"]"), MATCH($M$17, INDIRECT($C20&amp;".Info[Vector]"), 0)), 0)</f>
        <v>0.75</v>
      </c>
      <c r="G20" s="3421">
        <f t="shared" ca="1" si="1"/>
        <v>0.75</v>
      </c>
      <c r="H20" s="3421">
        <f t="shared" ca="1" si="1"/>
        <v>0.75</v>
      </c>
      <c r="I20" s="3421">
        <f t="shared" ca="1" si="1"/>
        <v>1.4</v>
      </c>
      <c r="J20" s="3421">
        <f t="shared" ca="1" si="1"/>
        <v>1.4</v>
      </c>
      <c r="K20" s="3421">
        <f t="shared" ca="1" si="1"/>
        <v>1.4</v>
      </c>
      <c r="L20" s="3421">
        <f t="shared" ca="1" si="1"/>
        <v>1.4</v>
      </c>
      <c r="M20" s="3421">
        <f t="shared" ca="1" si="1"/>
        <v>1.4</v>
      </c>
      <c r="N20" s="3421">
        <f t="shared" ca="1" si="1"/>
        <v>1.4</v>
      </c>
      <c r="O20" s="875"/>
    </row>
    <row r="21" spans="1:15">
      <c r="B21" s="515"/>
      <c r="C21" s="515"/>
      <c r="D21" s="515"/>
      <c r="E21" s="515"/>
      <c r="F21" s="515"/>
      <c r="G21" s="515"/>
      <c r="H21" s="515"/>
      <c r="I21" s="515"/>
      <c r="J21" s="515"/>
      <c r="K21" s="515"/>
      <c r="L21" s="515"/>
      <c r="M21" s="516"/>
      <c r="N21" s="3419"/>
      <c r="O21" s="515"/>
    </row>
    <row r="22" spans="1:15">
      <c r="B22" s="515"/>
      <c r="C22" s="34"/>
      <c r="D22" s="515"/>
      <c r="E22" s="515"/>
      <c r="F22" s="515"/>
      <c r="G22" s="515"/>
      <c r="H22" s="515"/>
      <c r="I22" s="515"/>
      <c r="J22" s="515"/>
      <c r="K22" s="515"/>
      <c r="L22" s="515"/>
      <c r="M22" s="516"/>
      <c r="N22" s="3419"/>
      <c r="O22" s="515"/>
    </row>
    <row r="24" spans="1:15" ht="23.25">
      <c r="A24" s="7"/>
      <c r="B24" s="878" t="s">
        <v>33</v>
      </c>
      <c r="C24" s="879"/>
      <c r="D24" s="879"/>
      <c r="E24" s="879"/>
      <c r="F24" s="879"/>
      <c r="G24" s="879"/>
      <c r="H24" s="879"/>
      <c r="I24" s="879"/>
      <c r="J24" s="879"/>
      <c r="K24" s="879"/>
      <c r="L24" s="879"/>
      <c r="M24" s="879"/>
      <c r="N24" s="879"/>
      <c r="O24" s="880"/>
    </row>
    <row r="25" spans="1:15">
      <c r="B25" s="881"/>
      <c r="C25" s="882"/>
      <c r="D25" s="882"/>
      <c r="E25" s="882"/>
      <c r="F25" s="882"/>
      <c r="G25" s="882"/>
      <c r="H25" s="882"/>
      <c r="I25" s="882"/>
      <c r="J25" s="882"/>
      <c r="K25" s="882"/>
      <c r="L25" s="882"/>
      <c r="M25" s="882"/>
      <c r="N25" s="882"/>
      <c r="O25" s="883"/>
    </row>
    <row r="26" spans="1:15">
      <c r="B26" s="884"/>
      <c r="C26" s="49" t="s">
        <v>1412</v>
      </c>
      <c r="D26" s="67"/>
      <c r="E26" s="51"/>
      <c r="F26" s="51"/>
      <c r="G26" s="67"/>
      <c r="H26" s="67"/>
      <c r="I26" s="67"/>
      <c r="J26" s="67"/>
      <c r="K26" s="67"/>
      <c r="L26" s="67"/>
      <c r="M26" s="67"/>
      <c r="N26" s="944" t="str">
        <f>Preferences.EnergyUnits</f>
        <v>TWh</v>
      </c>
      <c r="O26" s="885"/>
    </row>
    <row r="27" spans="1:15">
      <c r="B27" s="884"/>
      <c r="C27" s="67"/>
      <c r="D27" s="67"/>
      <c r="E27" s="67"/>
      <c r="F27" s="67"/>
      <c r="G27" s="67"/>
      <c r="H27" s="67"/>
      <c r="I27" s="67"/>
      <c r="J27" s="67"/>
      <c r="K27" s="67"/>
      <c r="L27" s="67"/>
      <c r="M27" s="67"/>
      <c r="N27" s="67"/>
      <c r="O27" s="885"/>
    </row>
    <row r="28" spans="1:15" ht="15.75">
      <c r="B28" s="886"/>
      <c r="C28" s="887" t="s">
        <v>8</v>
      </c>
      <c r="D28" s="887" t="s">
        <v>72</v>
      </c>
      <c r="E28" s="887"/>
      <c r="F28" s="908">
        <v>2013</v>
      </c>
      <c r="G28" s="92">
        <v>2015</v>
      </c>
      <c r="H28" s="92">
        <v>2020</v>
      </c>
      <c r="I28" s="92">
        <v>2025</v>
      </c>
      <c r="J28" s="92">
        <v>2030</v>
      </c>
      <c r="K28" s="92">
        <v>2035</v>
      </c>
      <c r="L28" s="92">
        <v>2040</v>
      </c>
      <c r="M28" s="92">
        <v>2045</v>
      </c>
      <c r="N28" s="92">
        <v>2050</v>
      </c>
      <c r="O28" s="885"/>
    </row>
    <row r="29" spans="1:15" ht="15.75">
      <c r="B29" s="889"/>
      <c r="C29" s="65">
        <v>1</v>
      </c>
      <c r="D29" s="108" t="s">
        <v>3028</v>
      </c>
      <c r="E29" s="890"/>
      <c r="F29" s="3422">
        <v>0</v>
      </c>
      <c r="G29" s="2519">
        <f>2.5*Unit.TWh</f>
        <v>2.5</v>
      </c>
      <c r="H29" s="2519">
        <f>2.5*Unit.TWh</f>
        <v>2.5</v>
      </c>
      <c r="I29" s="2519">
        <f>Unit.TWh*1.5</f>
        <v>1.5</v>
      </c>
      <c r="J29" s="2519">
        <f>Unit.TWh*1</f>
        <v>1</v>
      </c>
      <c r="K29" s="2519">
        <v>0</v>
      </c>
      <c r="L29" s="2519">
        <v>0</v>
      </c>
      <c r="M29" s="2519">
        <v>0</v>
      </c>
      <c r="N29" s="2519">
        <v>0</v>
      </c>
      <c r="O29" s="893"/>
    </row>
    <row r="30" spans="1:15" ht="15.75">
      <c r="B30" s="889"/>
      <c r="C30" s="65">
        <v>2</v>
      </c>
      <c r="D30" s="108" t="s">
        <v>3028</v>
      </c>
      <c r="E30" s="108"/>
      <c r="F30" s="3423">
        <v>0</v>
      </c>
      <c r="G30" s="2519">
        <f>Unit.TWh*2.5</f>
        <v>2.5</v>
      </c>
      <c r="H30" s="2519">
        <f>Unit.TWh*2.5</f>
        <v>2.5</v>
      </c>
      <c r="I30" s="2519">
        <f>Unit.TWh*2.5</f>
        <v>2.5</v>
      </c>
      <c r="J30" s="2519">
        <f>Unit.TWh*2.5</f>
        <v>2.5</v>
      </c>
      <c r="K30" s="2519">
        <f>Unit.TWh*2.5</f>
        <v>2.5</v>
      </c>
      <c r="L30" s="2519">
        <f>Unit.TWh*3</f>
        <v>3</v>
      </c>
      <c r="M30" s="2519">
        <f>Unit.TWh*3</f>
        <v>3</v>
      </c>
      <c r="N30" s="2519">
        <f>Unit.TWh*3</f>
        <v>3</v>
      </c>
      <c r="O30" s="893"/>
    </row>
    <row r="31" spans="1:15" ht="15.75">
      <c r="B31" s="889"/>
      <c r="C31" s="65">
        <v>3</v>
      </c>
      <c r="D31" s="108" t="s">
        <v>3028</v>
      </c>
      <c r="E31" s="108"/>
      <c r="F31" s="3423">
        <v>0</v>
      </c>
      <c r="G31" s="2519">
        <f t="shared" ref="G31:I32" si="2">Unit.TWh*2.5</f>
        <v>2.5</v>
      </c>
      <c r="H31" s="2519">
        <f t="shared" si="2"/>
        <v>2.5</v>
      </c>
      <c r="I31" s="2519">
        <f t="shared" si="2"/>
        <v>2.5</v>
      </c>
      <c r="J31" s="2519">
        <f>Unit.TWh*3.2</f>
        <v>3.2</v>
      </c>
      <c r="K31" s="2519">
        <f>Unit.TWh*3.9</f>
        <v>3.9</v>
      </c>
      <c r="L31" s="2519">
        <f>Unit.TWh*4.6</f>
        <v>4.5999999999999996</v>
      </c>
      <c r="M31" s="2519">
        <f>Unit.TWh*5.3</f>
        <v>5.3</v>
      </c>
      <c r="N31" s="2519">
        <f>Unit.TWh*6</f>
        <v>6</v>
      </c>
      <c r="O31" s="893" t="s">
        <v>5</v>
      </c>
    </row>
    <row r="32" spans="1:15" ht="15.75">
      <c r="B32" s="886"/>
      <c r="C32" s="896">
        <v>4</v>
      </c>
      <c r="D32" s="108" t="s">
        <v>3028</v>
      </c>
      <c r="E32" s="897" t="s">
        <v>5</v>
      </c>
      <c r="F32" s="3424">
        <v>0</v>
      </c>
      <c r="G32" s="2519">
        <f t="shared" si="2"/>
        <v>2.5</v>
      </c>
      <c r="H32" s="2519">
        <f t="shared" si="2"/>
        <v>2.5</v>
      </c>
      <c r="I32" s="2519">
        <f t="shared" si="2"/>
        <v>2.5</v>
      </c>
      <c r="J32" s="2519">
        <f>Unit.TWh*3.9</f>
        <v>3.9</v>
      </c>
      <c r="K32" s="2519">
        <f>Unit.TWh*4.6</f>
        <v>4.5999999999999996</v>
      </c>
      <c r="L32" s="2519">
        <f>Unit.TWh*7</f>
        <v>7</v>
      </c>
      <c r="M32" s="2519">
        <f>Unit.TWh*9</f>
        <v>9</v>
      </c>
      <c r="N32" s="2519">
        <f>Unit.TWh*10</f>
        <v>10</v>
      </c>
      <c r="O32" s="885"/>
    </row>
    <row r="33" spans="1:27" ht="15.75">
      <c r="B33" s="55"/>
      <c r="C33" s="1024" t="s">
        <v>37</v>
      </c>
      <c r="D33" s="901"/>
      <c r="E33" s="901"/>
      <c r="F33" s="3350">
        <f t="shared" ref="F33:N33" si="3">(INDEX(F$29:F$32,ROUNDDOWN($E$7,0))*(1-MOD($E$7,1)))+(INDEX(F$29:F$32,ROUNDUP($E$7,0))*MOD($E$7,1))</f>
        <v>0</v>
      </c>
      <c r="G33" s="3351">
        <f t="shared" si="3"/>
        <v>2.5</v>
      </c>
      <c r="H33" s="3350">
        <f t="shared" si="3"/>
        <v>2.5</v>
      </c>
      <c r="I33" s="3350">
        <f t="shared" si="3"/>
        <v>2.5</v>
      </c>
      <c r="J33" s="3350">
        <f t="shared" si="3"/>
        <v>3.9</v>
      </c>
      <c r="K33" s="3350">
        <f t="shared" si="3"/>
        <v>4.5999999999999996</v>
      </c>
      <c r="L33" s="3350">
        <f t="shared" si="3"/>
        <v>7</v>
      </c>
      <c r="M33" s="3350">
        <f t="shared" si="3"/>
        <v>9</v>
      </c>
      <c r="N33" s="3350">
        <f t="shared" si="3"/>
        <v>10</v>
      </c>
      <c r="O33" s="885"/>
    </row>
    <row r="34" spans="1:27">
      <c r="B34" s="904"/>
      <c r="C34" s="67"/>
      <c r="D34" s="200" t="s">
        <v>5</v>
      </c>
      <c r="E34" s="67"/>
      <c r="F34" s="67"/>
      <c r="G34" s="67" t="s">
        <v>5</v>
      </c>
      <c r="H34" s="67"/>
      <c r="I34" s="67"/>
      <c r="J34" s="67"/>
      <c r="K34" s="67"/>
      <c r="L34" s="67"/>
      <c r="M34" s="67"/>
      <c r="N34" s="67"/>
      <c r="O34" s="885"/>
    </row>
    <row r="35" spans="1:27">
      <c r="B35" s="904"/>
      <c r="C35" s="67"/>
      <c r="D35" s="200" t="s">
        <v>5</v>
      </c>
      <c r="E35" s="67"/>
      <c r="F35" s="67"/>
      <c r="G35" s="67"/>
      <c r="H35" s="67"/>
      <c r="I35" s="67"/>
      <c r="J35" s="67"/>
      <c r="K35" s="67"/>
      <c r="L35" s="67"/>
      <c r="M35" s="67"/>
      <c r="N35" s="67"/>
      <c r="O35" s="885"/>
    </row>
    <row r="36" spans="1:27">
      <c r="B36" s="904"/>
      <c r="C36" s="67"/>
      <c r="D36" s="200"/>
      <c r="E36" s="67"/>
      <c r="F36" s="67"/>
      <c r="G36" s="67"/>
      <c r="H36" s="67"/>
      <c r="I36" s="67"/>
      <c r="J36" s="67"/>
      <c r="K36" s="67"/>
      <c r="L36" s="67"/>
      <c r="M36" s="67"/>
      <c r="N36" s="67"/>
      <c r="O36" s="885"/>
    </row>
    <row r="37" spans="1:27">
      <c r="B37" s="904"/>
      <c r="C37" s="67"/>
      <c r="D37" s="200"/>
      <c r="E37" s="67"/>
      <c r="F37" s="67"/>
      <c r="G37" s="67"/>
      <c r="H37" s="67" t="s">
        <v>5</v>
      </c>
      <c r="I37" s="67"/>
      <c r="J37" s="67"/>
      <c r="K37" s="67"/>
      <c r="L37" s="67"/>
      <c r="M37" s="67"/>
      <c r="N37" s="67"/>
      <c r="O37" s="885"/>
    </row>
    <row r="39" spans="1:27" s="6" customFormat="1" ht="23.25">
      <c r="A39" s="40"/>
      <c r="B39" s="878" t="s">
        <v>70</v>
      </c>
      <c r="C39" s="879"/>
      <c r="D39" s="879"/>
      <c r="E39" s="879"/>
      <c r="F39" s="879"/>
      <c r="G39" s="879"/>
      <c r="H39" s="879"/>
      <c r="I39" s="879"/>
      <c r="J39" s="879"/>
      <c r="K39" s="879"/>
      <c r="L39" s="879"/>
      <c r="M39" s="879"/>
      <c r="N39" s="879"/>
      <c r="O39" s="880"/>
      <c r="P39"/>
    </row>
    <row r="40" spans="1:27">
      <c r="B40" s="110"/>
      <c r="C40" s="67"/>
      <c r="D40" s="67"/>
      <c r="E40" s="67"/>
      <c r="F40" s="67"/>
      <c r="G40" s="67"/>
      <c r="H40" s="67"/>
      <c r="I40" s="67"/>
      <c r="J40" s="67"/>
      <c r="K40" s="67"/>
      <c r="L40" s="67"/>
      <c r="M40" s="67"/>
      <c r="N40" s="67"/>
      <c r="O40" s="885"/>
    </row>
    <row r="41" spans="1:27">
      <c r="B41" s="110"/>
      <c r="C41" s="49" t="s">
        <v>1812</v>
      </c>
      <c r="D41" s="67"/>
      <c r="E41" s="51"/>
      <c r="F41" s="67"/>
      <c r="G41" s="67"/>
      <c r="H41" s="67"/>
      <c r="I41" s="67"/>
      <c r="J41" s="67"/>
      <c r="K41" s="67"/>
      <c r="L41" s="67"/>
      <c r="M41" s="67"/>
      <c r="N41" s="944" t="str">
        <f>Preferences.EnergyUnits</f>
        <v>TWh</v>
      </c>
      <c r="O41" s="885"/>
    </row>
    <row r="42" spans="1:27">
      <c r="B42" s="110"/>
      <c r="C42" s="67"/>
      <c r="D42" s="67"/>
      <c r="E42" s="67"/>
      <c r="F42" s="67"/>
      <c r="G42" s="67"/>
      <c r="H42" s="67"/>
      <c r="I42" s="67"/>
      <c r="J42" s="67"/>
      <c r="K42" s="67"/>
      <c r="L42" s="67"/>
      <c r="M42" s="67"/>
      <c r="N42" s="67"/>
      <c r="O42" s="885"/>
    </row>
    <row r="43" spans="1:27" ht="15.75">
      <c r="B43" s="55"/>
      <c r="C43" s="887" t="s">
        <v>28</v>
      </c>
      <c r="D43" s="887" t="s">
        <v>29</v>
      </c>
      <c r="E43" s="887" t="s">
        <v>30</v>
      </c>
      <c r="F43" s="92">
        <v>2013</v>
      </c>
      <c r="G43" s="92">
        <v>2015</v>
      </c>
      <c r="H43" s="92">
        <v>2020</v>
      </c>
      <c r="I43" s="92">
        <v>2025</v>
      </c>
      <c r="J43" s="92">
        <v>2030</v>
      </c>
      <c r="K43" s="92">
        <v>2035</v>
      </c>
      <c r="L43" s="92">
        <v>2040</v>
      </c>
      <c r="M43" s="92">
        <v>2045</v>
      </c>
      <c r="N43" s="92">
        <v>2050</v>
      </c>
      <c r="O43" s="885"/>
      <c r="X43" s="39"/>
      <c r="Y43" s="39"/>
      <c r="Z43" s="39"/>
      <c r="AA43" s="39"/>
    </row>
    <row r="44" spans="1:27" s="6" customFormat="1" ht="15.75">
      <c r="B44" s="975"/>
      <c r="C44" s="910" t="s">
        <v>97</v>
      </c>
      <c r="D44" s="910" t="s">
        <v>87</v>
      </c>
      <c r="E44" s="910" t="s">
        <v>65</v>
      </c>
      <c r="F44" s="2893">
        <f>2.5*Unit.TWh</f>
        <v>2.5</v>
      </c>
      <c r="G44" s="2893">
        <v>0</v>
      </c>
      <c r="H44" s="2893">
        <v>0</v>
      </c>
      <c r="I44" s="2893">
        <v>0</v>
      </c>
      <c r="J44" s="2893">
        <v>0</v>
      </c>
      <c r="K44" s="2893">
        <v>0</v>
      </c>
      <c r="L44" s="2893">
        <v>0</v>
      </c>
      <c r="M44" s="2893">
        <v>0</v>
      </c>
      <c r="N44" s="2893">
        <v>0</v>
      </c>
      <c r="O44" s="893"/>
      <c r="P44"/>
      <c r="X44" s="859"/>
      <c r="Y44" s="859"/>
      <c r="Z44" s="859"/>
      <c r="AA44" s="859"/>
    </row>
    <row r="45" spans="1:27">
      <c r="B45" s="45"/>
      <c r="C45" s="67"/>
      <c r="D45" s="200"/>
      <c r="E45" s="67"/>
      <c r="F45" s="67"/>
      <c r="G45" s="67"/>
      <c r="H45" s="67"/>
      <c r="I45" s="67"/>
      <c r="J45" s="67"/>
      <c r="K45" s="67"/>
      <c r="L45" s="67"/>
      <c r="M45" s="67"/>
      <c r="N45" s="67"/>
      <c r="O45" s="885"/>
      <c r="X45" s="39"/>
      <c r="Y45" s="39"/>
      <c r="Z45" s="39"/>
      <c r="AA45" s="39"/>
    </row>
    <row r="46" spans="1:27" ht="15.75">
      <c r="B46" s="55"/>
      <c r="C46" s="49" t="s">
        <v>735</v>
      </c>
      <c r="D46" s="67"/>
      <c r="E46" s="67"/>
      <c r="F46" s="67"/>
      <c r="G46" s="67"/>
      <c r="H46" s="67"/>
      <c r="I46" s="67"/>
      <c r="J46" s="67"/>
      <c r="K46" s="67"/>
      <c r="L46" s="67"/>
      <c r="M46" s="67"/>
      <c r="N46" s="67"/>
      <c r="O46" s="885"/>
      <c r="X46" s="39"/>
      <c r="Y46" s="39"/>
      <c r="Z46" s="39"/>
      <c r="AA46" s="39"/>
    </row>
    <row r="47" spans="1:27" ht="15.75">
      <c r="B47" s="55"/>
      <c r="C47" s="67"/>
      <c r="D47" s="67"/>
      <c r="E47" s="67"/>
      <c r="F47" s="67"/>
      <c r="G47" s="67"/>
      <c r="H47" s="67"/>
      <c r="I47" s="67"/>
      <c r="J47" s="67"/>
      <c r="K47" s="67"/>
      <c r="L47" s="67"/>
      <c r="M47" s="67"/>
      <c r="N47" s="67"/>
      <c r="O47" s="67"/>
      <c r="X47" s="39"/>
      <c r="Y47" s="39"/>
      <c r="Z47" s="39"/>
      <c r="AA47" s="39"/>
    </row>
    <row r="48" spans="1:27" ht="15.75">
      <c r="B48" s="55"/>
      <c r="C48" s="887"/>
      <c r="D48" s="887"/>
      <c r="E48" s="887"/>
      <c r="F48" s="92"/>
      <c r="G48" s="1161" t="s">
        <v>895</v>
      </c>
      <c r="H48" s="1161"/>
      <c r="I48" s="67"/>
      <c r="J48" s="920"/>
      <c r="K48" s="920"/>
      <c r="L48" s="920"/>
      <c r="M48" s="920"/>
      <c r="N48" s="920"/>
      <c r="O48" s="920"/>
      <c r="X48" s="39"/>
      <c r="Y48" s="39"/>
      <c r="Z48" s="39"/>
      <c r="AA48" s="39"/>
    </row>
    <row r="49" spans="2:32" ht="15.75">
      <c r="B49" s="55"/>
      <c r="C49" s="923"/>
      <c r="D49" s="924" t="s">
        <v>2691</v>
      </c>
      <c r="E49" s="890" t="s">
        <v>67</v>
      </c>
      <c r="F49" s="3425">
        <v>0.95</v>
      </c>
      <c r="G49" s="1224"/>
      <c r="H49" s="1224"/>
      <c r="I49" s="67"/>
      <c r="J49" s="920"/>
      <c r="K49" s="920"/>
      <c r="L49" s="920"/>
      <c r="M49" s="920"/>
      <c r="N49" s="920"/>
      <c r="O49" s="920"/>
      <c r="X49" s="39"/>
      <c r="Y49" s="39"/>
      <c r="Z49" s="39"/>
      <c r="AA49" s="39"/>
    </row>
    <row r="50" spans="2:32" ht="15.75">
      <c r="B50" s="55"/>
      <c r="C50" s="923"/>
      <c r="D50" s="924" t="s">
        <v>2692</v>
      </c>
      <c r="E50" s="108" t="s">
        <v>106</v>
      </c>
      <c r="F50" s="3425">
        <v>0.15</v>
      </c>
      <c r="G50" s="1224"/>
      <c r="H50" s="1224"/>
      <c r="I50" s="67"/>
      <c r="J50" s="920"/>
      <c r="K50" s="920"/>
      <c r="L50" s="920"/>
      <c r="M50" s="920"/>
      <c r="N50" s="920"/>
      <c r="O50" s="920"/>
      <c r="X50" s="39"/>
      <c r="Y50" s="39"/>
      <c r="Z50" s="39"/>
      <c r="AA50" s="39"/>
    </row>
    <row r="51" spans="2:32" ht="15.75">
      <c r="B51" s="55"/>
      <c r="C51" s="926"/>
      <c r="D51" s="199"/>
      <c r="E51" s="199"/>
      <c r="F51" s="2676"/>
      <c r="G51" s="1165"/>
      <c r="H51" s="1165"/>
      <c r="I51" s="67"/>
      <c r="J51" s="2478"/>
      <c r="K51" s="2478"/>
      <c r="L51" s="2478"/>
      <c r="M51" s="2478"/>
      <c r="N51" s="2478"/>
      <c r="O51" s="2478" t="s">
        <v>5</v>
      </c>
      <c r="X51" s="39"/>
      <c r="Y51" s="39"/>
      <c r="Z51" s="39"/>
      <c r="AA51" s="39"/>
    </row>
    <row r="52" spans="2:32" ht="15.75">
      <c r="B52" s="55"/>
      <c r="C52" s="65"/>
      <c r="D52" s="108"/>
      <c r="E52" s="108"/>
      <c r="F52" s="2670"/>
      <c r="G52" s="943"/>
      <c r="H52" s="943"/>
      <c r="I52" s="67"/>
      <c r="J52" s="2478"/>
      <c r="K52" s="2478"/>
      <c r="L52" s="2478"/>
      <c r="M52" s="2478"/>
      <c r="N52" s="2478"/>
      <c r="O52" s="2478"/>
      <c r="X52" s="39"/>
      <c r="Y52" s="39"/>
      <c r="Z52" s="39"/>
      <c r="AA52" s="39"/>
    </row>
    <row r="53" spans="2:32" ht="15.75">
      <c r="B53" s="55"/>
      <c r="C53" s="2958" t="s">
        <v>2693</v>
      </c>
      <c r="D53" s="250"/>
      <c r="E53" s="3426">
        <v>30</v>
      </c>
      <c r="F53" s="250" t="s">
        <v>1891</v>
      </c>
      <c r="G53" s="2760"/>
      <c r="H53" s="2760"/>
      <c r="I53" s="67"/>
      <c r="J53" s="2478"/>
      <c r="K53" s="2478"/>
      <c r="L53" s="2478"/>
      <c r="M53" s="2478"/>
      <c r="N53" s="2478"/>
      <c r="O53" s="2478"/>
      <c r="X53" s="39"/>
      <c r="Y53" s="39"/>
      <c r="Z53" s="39"/>
      <c r="AA53" s="39"/>
    </row>
    <row r="54" spans="2:32">
      <c r="B54" s="110"/>
      <c r="C54" s="67"/>
      <c r="D54" s="67"/>
      <c r="E54" s="67"/>
      <c r="F54" s="67"/>
      <c r="G54" s="67"/>
      <c r="H54" s="67"/>
      <c r="I54" s="67"/>
      <c r="J54" s="67"/>
      <c r="K54" s="67"/>
      <c r="L54" s="67"/>
      <c r="M54" s="67"/>
      <c r="N54" s="67"/>
      <c r="O54" s="67"/>
      <c r="X54" s="39"/>
      <c r="Y54" s="39"/>
      <c r="Z54" s="39"/>
      <c r="AA54" s="39"/>
    </row>
    <row r="55" spans="2:32">
      <c r="B55" s="45"/>
      <c r="C55" s="3862" t="s">
        <v>64</v>
      </c>
      <c r="D55" s="200"/>
      <c r="E55" s="67"/>
      <c r="F55" s="67"/>
      <c r="G55" s="67"/>
      <c r="H55" s="67"/>
      <c r="I55" s="67"/>
      <c r="J55" s="67"/>
      <c r="K55" s="67"/>
      <c r="L55" s="67"/>
      <c r="M55" s="67"/>
      <c r="N55" s="67"/>
      <c r="O55" s="67"/>
      <c r="X55" s="39"/>
      <c r="Y55" s="39"/>
      <c r="Z55" s="39"/>
      <c r="AA55" s="39"/>
    </row>
    <row r="56" spans="2:32">
      <c r="B56" s="45"/>
      <c r="C56" s="3864"/>
      <c r="D56" s="3866" t="s">
        <v>3032</v>
      </c>
      <c r="E56" s="67"/>
      <c r="F56" s="67"/>
      <c r="G56" s="67"/>
      <c r="H56" s="67"/>
      <c r="I56" s="67"/>
      <c r="J56" s="67"/>
      <c r="K56" s="67"/>
      <c r="L56" s="67"/>
      <c r="M56" s="67"/>
      <c r="N56" s="67"/>
      <c r="O56" s="67"/>
      <c r="X56" s="39"/>
      <c r="Y56" s="39"/>
      <c r="Z56" s="39"/>
      <c r="AA56" s="39"/>
    </row>
    <row r="57" spans="2:32" s="927" customFormat="1">
      <c r="B57" s="1169"/>
      <c r="C57" s="3863" t="s">
        <v>65</v>
      </c>
      <c r="D57" s="3866" t="s">
        <v>3027</v>
      </c>
      <c r="E57" s="931"/>
      <c r="F57" s="931"/>
      <c r="G57" s="931"/>
      <c r="H57" s="931"/>
      <c r="I57" s="931"/>
      <c r="J57" s="931"/>
      <c r="K57" s="931"/>
      <c r="L57" s="931"/>
      <c r="M57" s="931"/>
      <c r="N57" s="931"/>
      <c r="O57" s="931"/>
      <c r="P57"/>
      <c r="X57" s="1077"/>
      <c r="Y57" s="1309"/>
      <c r="Z57" s="1309"/>
      <c r="AA57" s="1309"/>
    </row>
    <row r="58" spans="2:32" s="927" customFormat="1">
      <c r="B58" s="1169"/>
      <c r="C58" s="3863" t="s">
        <v>67</v>
      </c>
      <c r="D58" s="3866" t="s">
        <v>2165</v>
      </c>
      <c r="E58" s="931"/>
      <c r="F58" s="931"/>
      <c r="G58" s="931"/>
      <c r="H58" s="931"/>
      <c r="I58" s="931"/>
      <c r="J58" s="931"/>
      <c r="K58" s="931"/>
      <c r="L58" s="931"/>
      <c r="M58" s="931"/>
      <c r="N58" s="931"/>
      <c r="O58" s="931"/>
      <c r="P58"/>
      <c r="X58" s="1077"/>
      <c r="Y58" s="1171"/>
      <c r="Z58" s="1309"/>
      <c r="AA58" s="1309"/>
    </row>
    <row r="59" spans="2:32" s="927" customFormat="1">
      <c r="B59" s="1169"/>
      <c r="C59" s="3863" t="s">
        <v>106</v>
      </c>
      <c r="D59" s="3866" t="s">
        <v>2165</v>
      </c>
      <c r="E59" s="931"/>
      <c r="F59" s="931"/>
      <c r="G59" s="931"/>
      <c r="H59" s="931"/>
      <c r="I59" s="931"/>
      <c r="J59" s="931"/>
      <c r="K59" s="931"/>
      <c r="L59" s="931"/>
      <c r="M59" s="931"/>
      <c r="N59" s="931"/>
      <c r="O59" s="931"/>
      <c r="P59"/>
      <c r="X59" s="1077"/>
      <c r="Y59" s="1171"/>
      <c r="Z59" s="1309"/>
      <c r="AA59" s="1309"/>
    </row>
    <row r="60" spans="2:32" s="927" customFormat="1">
      <c r="B60" s="1169"/>
      <c r="C60" s="51"/>
      <c r="D60" s="200"/>
      <c r="E60" s="931"/>
      <c r="F60" s="931"/>
      <c r="G60" s="931"/>
      <c r="H60" s="931"/>
      <c r="I60" s="931"/>
      <c r="J60" s="931"/>
      <c r="K60" s="931"/>
      <c r="L60" s="931"/>
      <c r="M60" s="931"/>
      <c r="N60" s="931"/>
      <c r="O60" s="931"/>
      <c r="P60"/>
      <c r="X60" s="1171"/>
      <c r="Y60" s="1171"/>
      <c r="Z60" s="1309"/>
      <c r="AA60" s="1309"/>
    </row>
    <row r="61" spans="2:32">
      <c r="B61" s="1172"/>
      <c r="C61" s="1074"/>
      <c r="D61" s="1074"/>
      <c r="E61" s="1074"/>
      <c r="F61" s="1074"/>
      <c r="G61" s="1074"/>
      <c r="H61" s="1074"/>
      <c r="I61" s="1074"/>
      <c r="J61" s="1074"/>
      <c r="K61" s="1074"/>
      <c r="L61" s="1074"/>
      <c r="M61" s="1074"/>
      <c r="N61" s="1074"/>
      <c r="O61" s="1074"/>
      <c r="X61" s="1077"/>
      <c r="Y61" s="1077"/>
      <c r="Z61" s="39"/>
      <c r="AA61" s="39"/>
    </row>
    <row r="62" spans="2:32">
      <c r="B62" s="1077"/>
      <c r="C62" s="1077"/>
      <c r="D62" s="1077"/>
      <c r="E62" s="1077"/>
      <c r="F62" s="1077"/>
      <c r="G62" s="1077"/>
      <c r="H62" s="1077"/>
      <c r="I62" s="1077"/>
      <c r="J62" s="1077"/>
      <c r="K62" s="1077"/>
      <c r="L62" s="1077"/>
      <c r="M62" s="1077"/>
      <c r="N62" s="1077"/>
      <c r="O62" s="1077"/>
      <c r="X62" s="1077"/>
      <c r="Y62" s="1077"/>
      <c r="Z62" s="39"/>
      <c r="AA62" s="39"/>
    </row>
    <row r="63" spans="2:32" ht="15.75">
      <c r="B63" s="878" t="s">
        <v>2794</v>
      </c>
      <c r="C63" s="879"/>
      <c r="D63" s="879"/>
      <c r="E63" s="879"/>
      <c r="F63" s="879"/>
      <c r="G63" s="879"/>
      <c r="H63" s="879"/>
      <c r="I63" s="879"/>
      <c r="J63" s="879"/>
      <c r="K63" s="879"/>
      <c r="L63" s="879"/>
      <c r="M63" s="879"/>
      <c r="N63" s="879"/>
      <c r="O63" s="880"/>
      <c r="Q63" s="39"/>
      <c r="R63" s="2530"/>
      <c r="S63" s="656"/>
      <c r="T63" s="656"/>
      <c r="U63" s="656"/>
      <c r="V63" s="656"/>
      <c r="W63" s="656"/>
      <c r="X63" s="656"/>
      <c r="Y63" s="656"/>
      <c r="Z63" s="656"/>
      <c r="AA63" s="656"/>
      <c r="AB63" s="656"/>
      <c r="AC63" s="656"/>
      <c r="AD63" s="656"/>
      <c r="AE63" s="656"/>
      <c r="AF63" s="656"/>
    </row>
    <row r="64" spans="2:32" hidden="1">
      <c r="B64" s="881"/>
      <c r="C64" s="882"/>
      <c r="D64" s="882"/>
      <c r="E64" s="882"/>
      <c r="F64" s="882"/>
      <c r="G64" s="882"/>
      <c r="H64" s="882"/>
      <c r="I64" s="882"/>
      <c r="J64" s="882"/>
      <c r="K64" s="882"/>
      <c r="L64" s="882"/>
      <c r="M64" s="882"/>
      <c r="N64" s="882"/>
      <c r="O64" s="883"/>
      <c r="R64" s="2601"/>
      <c r="S64" s="86"/>
      <c r="T64" s="86"/>
      <c r="U64" s="86"/>
      <c r="V64" s="86"/>
      <c r="W64" s="86"/>
      <c r="X64" s="86"/>
      <c r="Y64" s="86"/>
      <c r="Z64" s="86"/>
      <c r="AA64" s="86"/>
      <c r="AB64" s="86"/>
      <c r="AC64" s="86"/>
      <c r="AD64" s="86"/>
      <c r="AE64" s="86"/>
      <c r="AF64" s="86"/>
    </row>
    <row r="65" spans="1:114" s="6" customFormat="1" hidden="1">
      <c r="A65" s="3380"/>
      <c r="B65" s="110"/>
      <c r="C65" s="49" t="s">
        <v>2715</v>
      </c>
      <c r="D65" s="924"/>
      <c r="E65" s="941"/>
      <c r="F65" s="2519"/>
      <c r="G65" s="943"/>
      <c r="H65" s="943"/>
      <c r="I65" s="943"/>
      <c r="J65" s="943"/>
      <c r="K65" s="943"/>
      <c r="L65" s="943"/>
      <c r="M65" s="943"/>
      <c r="N65" s="944" t="s">
        <v>2818</v>
      </c>
      <c r="O65" s="885"/>
      <c r="P65"/>
      <c r="Q65" s="3380"/>
      <c r="R65" s="3427"/>
      <c r="S65" s="3428"/>
      <c r="T65" s="3429"/>
      <c r="U65" s="3429"/>
      <c r="V65" s="3429"/>
      <c r="W65" s="3429"/>
      <c r="X65" s="3429"/>
      <c r="Y65" s="3429"/>
      <c r="Z65" s="3429"/>
      <c r="AA65" s="3429"/>
      <c r="AB65" s="3429"/>
      <c r="AC65" s="3429"/>
      <c r="AD65" s="3429"/>
      <c r="AE65" s="3429"/>
      <c r="AF65" s="3429"/>
      <c r="AG65" s="3380"/>
      <c r="AH65" s="3380"/>
      <c r="AI65" s="3380"/>
      <c r="AJ65" s="3380"/>
      <c r="AK65" s="3380"/>
      <c r="AL65" s="3380"/>
      <c r="AM65" s="3380"/>
      <c r="AN65" s="3380"/>
      <c r="AO65" s="3380"/>
      <c r="AP65" s="3380"/>
      <c r="AQ65" s="3380"/>
      <c r="AR65" s="3380"/>
      <c r="AS65" s="3380"/>
      <c r="AT65" s="3380"/>
      <c r="AU65" s="3380"/>
      <c r="AV65" s="3380"/>
      <c r="AW65" s="3380"/>
      <c r="AX65" s="3380"/>
      <c r="AY65" s="3380"/>
      <c r="AZ65" s="3380"/>
      <c r="BA65" s="3380"/>
      <c r="BB65" s="3380"/>
      <c r="BC65" s="3380"/>
      <c r="BD65" s="3380"/>
      <c r="BE65" s="3380"/>
      <c r="BF65" s="3380"/>
      <c r="BG65" s="3380"/>
      <c r="BH65" s="3380"/>
      <c r="BI65" s="3380"/>
      <c r="BJ65" s="3380"/>
      <c r="BK65" s="3380"/>
      <c r="BL65" s="3380"/>
      <c r="BM65" s="3380"/>
      <c r="BN65" s="3380"/>
      <c r="BO65" s="3380"/>
      <c r="BP65" s="3380"/>
      <c r="BQ65" s="3380"/>
      <c r="BR65" s="3380"/>
      <c r="BS65" s="3380"/>
      <c r="BT65" s="3380"/>
      <c r="BU65" s="3380"/>
      <c r="BV65" s="3380"/>
      <c r="BW65" s="3380"/>
      <c r="BX65" s="3380"/>
      <c r="BY65" s="3380"/>
      <c r="BZ65" s="3380"/>
      <c r="CA65" s="3380"/>
      <c r="CB65" s="3380"/>
      <c r="CC65" s="3380"/>
      <c r="CD65" s="3380"/>
      <c r="CE65" s="3380"/>
      <c r="CF65" s="3380"/>
      <c r="CG65" s="3380"/>
      <c r="CH65" s="3380"/>
      <c r="CI65" s="3380"/>
      <c r="CJ65" s="3380"/>
      <c r="CK65" s="3380"/>
      <c r="CL65" s="3380"/>
      <c r="CM65" s="3380"/>
      <c r="CN65" s="3380"/>
      <c r="CO65" s="3380"/>
      <c r="CP65" s="3380"/>
      <c r="CQ65" s="3380"/>
      <c r="CR65" s="3380"/>
      <c r="CS65" s="3380"/>
      <c r="CT65" s="3380"/>
      <c r="CU65" s="3380"/>
      <c r="CV65" s="3380"/>
      <c r="CW65" s="3380"/>
      <c r="CX65" s="3380"/>
      <c r="CY65" s="3380"/>
      <c r="CZ65" s="3380"/>
      <c r="DA65" s="3380"/>
      <c r="DB65" s="3380"/>
      <c r="DC65" s="3380"/>
      <c r="DD65" s="3380"/>
      <c r="DE65" s="3380"/>
      <c r="DF65" s="3380"/>
      <c r="DG65" s="3380"/>
      <c r="DH65" s="3380"/>
      <c r="DI65" s="3380"/>
      <c r="DJ65" s="3380"/>
    </row>
    <row r="66" spans="1:114" s="6" customFormat="1" ht="4.5" hidden="1" customHeight="1">
      <c r="A66" s="3380"/>
      <c r="B66" s="110"/>
      <c r="C66" s="946"/>
      <c r="D66" s="924"/>
      <c r="E66" s="941"/>
      <c r="F66" s="2519"/>
      <c r="G66" s="943"/>
      <c r="H66" s="943"/>
      <c r="I66" s="943"/>
      <c r="J66" s="943"/>
      <c r="K66" s="943"/>
      <c r="L66" s="943"/>
      <c r="M66" s="943"/>
      <c r="N66" s="67"/>
      <c r="O66" s="885"/>
      <c r="P66"/>
      <c r="Q66" s="3380"/>
      <c r="R66" s="3427"/>
      <c r="S66" s="3429"/>
      <c r="T66" s="3429"/>
      <c r="U66" s="3429"/>
      <c r="V66" s="3429"/>
      <c r="W66" s="3429"/>
      <c r="X66" s="3429"/>
      <c r="Y66" s="3429"/>
      <c r="Z66" s="3429"/>
      <c r="AA66" s="3429"/>
      <c r="AB66" s="3429"/>
      <c r="AC66" s="3429"/>
      <c r="AD66" s="3429"/>
      <c r="AE66" s="3429"/>
      <c r="AF66" s="3429"/>
      <c r="AG66" s="3380"/>
      <c r="AH66" s="3380"/>
      <c r="AI66" s="3380"/>
      <c r="AJ66" s="3380"/>
      <c r="AK66" s="3380"/>
      <c r="AL66" s="3380"/>
      <c r="AM66" s="3380"/>
      <c r="AN66" s="3380"/>
      <c r="AO66" s="3380"/>
      <c r="AP66" s="3380"/>
      <c r="AQ66" s="3380"/>
      <c r="AR66" s="3380"/>
      <c r="AS66" s="3380"/>
      <c r="AT66" s="3380"/>
      <c r="AU66" s="3380"/>
      <c r="AV66" s="3380"/>
      <c r="AW66" s="3380"/>
      <c r="AX66" s="3380"/>
      <c r="AY66" s="3380"/>
      <c r="AZ66" s="3380"/>
      <c r="BA66" s="3380"/>
      <c r="BB66" s="3380"/>
      <c r="BC66" s="3380"/>
      <c r="BD66" s="3380"/>
      <c r="BE66" s="3380"/>
      <c r="BF66" s="3380"/>
      <c r="BG66" s="3380"/>
      <c r="BH66" s="3380"/>
      <c r="BI66" s="3380"/>
      <c r="BJ66" s="3380"/>
      <c r="BK66" s="3380"/>
      <c r="BL66" s="3380"/>
      <c r="BM66" s="3380"/>
      <c r="BN66" s="3380"/>
      <c r="BO66" s="3380"/>
      <c r="BP66" s="3380"/>
      <c r="BQ66" s="3380"/>
      <c r="BR66" s="3380"/>
      <c r="BS66" s="3380"/>
      <c r="BT66" s="3380"/>
      <c r="BU66" s="3380"/>
      <c r="BV66" s="3380"/>
      <c r="BW66" s="3380"/>
      <c r="BX66" s="3380"/>
      <c r="BY66" s="3380"/>
      <c r="BZ66" s="3380"/>
      <c r="CA66" s="3380"/>
      <c r="CB66" s="3380"/>
      <c r="CC66" s="3380"/>
      <c r="CD66" s="3380"/>
      <c r="CE66" s="3380"/>
      <c r="CF66" s="3380"/>
      <c r="CG66" s="3380"/>
      <c r="CH66" s="3380"/>
      <c r="CI66" s="3380"/>
      <c r="CJ66" s="3380"/>
      <c r="CK66" s="3380"/>
      <c r="CL66" s="3380"/>
      <c r="CM66" s="3380"/>
      <c r="CN66" s="3380"/>
      <c r="CO66" s="3380"/>
      <c r="CP66" s="3380"/>
      <c r="CQ66" s="3380"/>
      <c r="CR66" s="3380"/>
      <c r="CS66" s="3380"/>
      <c r="CT66" s="3380"/>
      <c r="CU66" s="3380"/>
      <c r="CV66" s="3380"/>
      <c r="CW66" s="3380"/>
      <c r="CX66" s="3380"/>
      <c r="CY66" s="3380"/>
      <c r="CZ66" s="3380"/>
      <c r="DA66" s="3380"/>
      <c r="DB66" s="3380"/>
      <c r="DC66" s="3380"/>
      <c r="DD66" s="3380"/>
      <c r="DE66" s="3380"/>
      <c r="DF66" s="3380"/>
      <c r="DG66" s="3380"/>
      <c r="DH66" s="3380"/>
      <c r="DI66" s="3380"/>
      <c r="DJ66" s="3380"/>
    </row>
    <row r="67" spans="1:114" s="6" customFormat="1" hidden="1">
      <c r="A67" s="3380"/>
      <c r="B67" s="110"/>
      <c r="C67" s="961"/>
      <c r="D67" s="1079"/>
      <c r="E67" s="980" t="s">
        <v>160</v>
      </c>
      <c r="F67" s="3040">
        <v>2013</v>
      </c>
      <c r="G67" s="974">
        <v>2015</v>
      </c>
      <c r="H67" s="974">
        <v>2020</v>
      </c>
      <c r="I67" s="974">
        <v>2025</v>
      </c>
      <c r="J67" s="974">
        <v>2030</v>
      </c>
      <c r="K67" s="974">
        <v>2035</v>
      </c>
      <c r="L67" s="974">
        <v>2040</v>
      </c>
      <c r="M67" s="974">
        <v>2045</v>
      </c>
      <c r="N67" s="974">
        <v>2050</v>
      </c>
      <c r="O67" s="885"/>
      <c r="P67"/>
      <c r="Q67" s="3380"/>
      <c r="R67" s="3427"/>
      <c r="S67" s="3429"/>
      <c r="T67" s="3429"/>
      <c r="U67" s="3429"/>
      <c r="V67" s="3429"/>
      <c r="W67" s="3429"/>
      <c r="X67" s="3429"/>
      <c r="Y67" s="3429"/>
      <c r="Z67" s="3429"/>
      <c r="AA67" s="3429"/>
      <c r="AB67" s="3429"/>
      <c r="AC67" s="3429"/>
      <c r="AD67" s="3429"/>
      <c r="AE67" s="3429"/>
      <c r="AF67" s="3429"/>
      <c r="AG67" s="3380"/>
      <c r="AH67" s="3380"/>
      <c r="AI67" s="3380"/>
      <c r="AJ67" s="3380"/>
      <c r="AK67" s="3380"/>
      <c r="AL67" s="3380"/>
      <c r="AM67" s="3380"/>
      <c r="AN67" s="3380"/>
      <c r="AO67" s="3380"/>
      <c r="AP67" s="3380"/>
      <c r="AQ67" s="3380"/>
      <c r="AR67" s="3380"/>
      <c r="AS67" s="3380"/>
      <c r="AT67" s="3380"/>
      <c r="AU67" s="3380"/>
      <c r="AV67" s="3380"/>
      <c r="AW67" s="3380"/>
      <c r="AX67" s="3380"/>
      <c r="AY67" s="3380"/>
      <c r="AZ67" s="3380"/>
      <c r="BA67" s="3380"/>
      <c r="BB67" s="3380"/>
      <c r="BC67" s="3380"/>
      <c r="BD67" s="3380"/>
      <c r="BE67" s="3380"/>
      <c r="BF67" s="3380"/>
      <c r="BG67" s="3380"/>
      <c r="BH67" s="3380"/>
      <c r="BI67" s="3380"/>
      <c r="BJ67" s="3380"/>
      <c r="BK67" s="3380"/>
      <c r="BL67" s="3380"/>
      <c r="BM67" s="3380"/>
      <c r="BN67" s="3380"/>
      <c r="BO67" s="3380"/>
      <c r="BP67" s="3380"/>
      <c r="BQ67" s="3380"/>
      <c r="BR67" s="3380"/>
      <c r="BS67" s="3380"/>
      <c r="BT67" s="3380"/>
      <c r="BU67" s="3380"/>
      <c r="BV67" s="3380"/>
      <c r="BW67" s="3380"/>
      <c r="BX67" s="3380"/>
      <c r="BY67" s="3380"/>
      <c r="BZ67" s="3380"/>
      <c r="CA67" s="3380"/>
      <c r="CB67" s="3380"/>
      <c r="CC67" s="3380"/>
      <c r="CD67" s="3380"/>
      <c r="CE67" s="3380"/>
      <c r="CF67" s="3380"/>
      <c r="CG67" s="3380"/>
      <c r="CH67" s="3380"/>
      <c r="CI67" s="3380"/>
      <c r="CJ67" s="3380"/>
      <c r="CK67" s="3380"/>
      <c r="CL67" s="3380"/>
      <c r="CM67" s="3380"/>
      <c r="CN67" s="3380"/>
      <c r="CO67" s="3380"/>
      <c r="CP67" s="3380"/>
      <c r="CQ67" s="3380"/>
      <c r="CR67" s="3380"/>
      <c r="CS67" s="3380"/>
      <c r="CT67" s="3380"/>
      <c r="CU67" s="3380"/>
      <c r="CV67" s="3380"/>
      <c r="CW67" s="3380"/>
      <c r="CX67" s="3380"/>
      <c r="CY67" s="3380"/>
      <c r="CZ67" s="3380"/>
      <c r="DA67" s="3380"/>
      <c r="DB67" s="3380"/>
      <c r="DC67" s="3380"/>
      <c r="DD67" s="3380"/>
      <c r="DE67" s="3380"/>
      <c r="DF67" s="3380"/>
      <c r="DG67" s="3380"/>
      <c r="DH67" s="3380"/>
      <c r="DI67" s="3380"/>
      <c r="DJ67" s="3380"/>
    </row>
    <row r="68" spans="1:114" s="6" customFormat="1" ht="15.75" hidden="1" customHeight="1">
      <c r="A68" s="3380"/>
      <c r="B68" s="110"/>
      <c r="C68" s="952" t="s">
        <v>738</v>
      </c>
      <c r="D68" s="1079"/>
      <c r="E68" s="2424"/>
      <c r="F68" s="3386"/>
      <c r="G68" s="2427"/>
      <c r="H68" s="2427"/>
      <c r="I68" s="2427"/>
      <c r="J68" s="2427"/>
      <c r="K68" s="2427"/>
      <c r="L68" s="2427"/>
      <c r="M68" s="2427"/>
      <c r="N68" s="3430"/>
      <c r="O68" s="885"/>
      <c r="P68"/>
      <c r="Q68" s="39"/>
      <c r="R68" s="3427"/>
      <c r="S68" s="3429"/>
      <c r="T68" s="3429"/>
      <c r="U68" s="3429"/>
      <c r="V68" s="3429"/>
      <c r="W68" s="3429"/>
      <c r="X68" s="3429"/>
      <c r="Y68" s="3429"/>
      <c r="Z68" s="3429"/>
      <c r="AA68" s="3429"/>
      <c r="AB68" s="3429"/>
      <c r="AC68" s="3429"/>
      <c r="AD68" s="3429"/>
      <c r="AE68" s="3429"/>
      <c r="AF68" s="3429"/>
      <c r="AG68" s="3380"/>
      <c r="AH68" s="3380"/>
      <c r="AI68" s="3380"/>
      <c r="AJ68" s="3380"/>
      <c r="AK68" s="3380"/>
      <c r="AL68" s="3380"/>
      <c r="AM68" s="3380"/>
      <c r="AN68" s="3380"/>
      <c r="AO68" s="3380"/>
      <c r="AP68" s="3380"/>
      <c r="AQ68" s="3380"/>
      <c r="AR68" s="3380"/>
      <c r="AS68" s="3380"/>
      <c r="AT68" s="3380"/>
      <c r="AU68" s="3380"/>
      <c r="AV68" s="3380"/>
      <c r="AW68" s="3380"/>
      <c r="AX68" s="3380"/>
      <c r="AY68" s="3380"/>
      <c r="AZ68" s="3380"/>
      <c r="BA68" s="3380"/>
      <c r="BB68" s="3380"/>
      <c r="BC68" s="3380"/>
      <c r="BD68" s="3380"/>
      <c r="BE68" s="3380"/>
      <c r="BF68" s="3380"/>
      <c r="BG68" s="3380"/>
      <c r="BH68" s="3380"/>
      <c r="BI68" s="3380"/>
      <c r="BJ68" s="3380"/>
      <c r="BK68" s="3380"/>
      <c r="BL68" s="3380"/>
      <c r="BM68" s="3380"/>
      <c r="BN68" s="3380"/>
      <c r="BO68" s="3380"/>
      <c r="BP68" s="3380"/>
      <c r="BQ68" s="3380"/>
      <c r="BR68" s="3380"/>
      <c r="BS68" s="3380"/>
      <c r="BT68" s="3380"/>
      <c r="BU68" s="3380"/>
      <c r="BV68" s="3380"/>
      <c r="BW68" s="3380"/>
      <c r="BX68" s="3380"/>
      <c r="BY68" s="3380"/>
      <c r="BZ68" s="3380"/>
      <c r="CA68" s="3380"/>
      <c r="CB68" s="3380"/>
      <c r="CC68" s="3380"/>
      <c r="CD68" s="3380"/>
      <c r="CE68" s="3380"/>
      <c r="CF68" s="3380"/>
      <c r="CG68" s="3380"/>
      <c r="CH68" s="3380"/>
      <c r="CI68" s="3380"/>
      <c r="CJ68" s="3380"/>
      <c r="CK68" s="3380"/>
      <c r="CL68" s="3380"/>
      <c r="CM68" s="3380"/>
      <c r="CN68" s="3380"/>
      <c r="CO68" s="3380"/>
      <c r="CP68" s="3380"/>
      <c r="CQ68" s="3380"/>
      <c r="CR68" s="3380"/>
      <c r="CS68" s="3380"/>
      <c r="CT68" s="3380"/>
      <c r="CU68" s="3380"/>
      <c r="CV68" s="3380"/>
      <c r="CW68" s="3380"/>
      <c r="CX68" s="3380"/>
      <c r="CY68" s="3380"/>
      <c r="CZ68" s="3380"/>
      <c r="DA68" s="3380"/>
      <c r="DB68" s="3380"/>
      <c r="DC68" s="3380"/>
      <c r="DD68" s="3380"/>
      <c r="DE68" s="3380"/>
      <c r="DF68" s="3380"/>
      <c r="DG68" s="3380"/>
      <c r="DH68" s="3380"/>
      <c r="DI68" s="3380"/>
      <c r="DJ68" s="3380"/>
    </row>
    <row r="69" spans="1:114" s="6" customFormat="1" ht="15.75" hidden="1" customHeight="1">
      <c r="A69" s="3380"/>
      <c r="B69" s="110"/>
      <c r="C69" s="952" t="s">
        <v>739</v>
      </c>
      <c r="D69" s="924"/>
      <c r="E69" s="2425"/>
      <c r="F69" s="3392"/>
      <c r="G69" s="2428"/>
      <c r="H69" s="2428"/>
      <c r="I69" s="2428"/>
      <c r="J69" s="2428"/>
      <c r="K69" s="2428"/>
      <c r="L69" s="2428"/>
      <c r="M69" s="2428"/>
      <c r="N69" s="3392"/>
      <c r="O69" s="885"/>
      <c r="P69"/>
      <c r="Q69" s="39"/>
      <c r="R69" s="3427"/>
      <c r="S69" s="3429"/>
      <c r="T69" s="3429"/>
      <c r="U69" s="3429"/>
      <c r="V69" s="3429"/>
      <c r="W69" s="3429"/>
      <c r="X69" s="3429"/>
      <c r="Y69" s="3429"/>
      <c r="Z69" s="3429"/>
      <c r="AA69" s="3429"/>
      <c r="AB69" s="3429"/>
      <c r="AC69" s="3429"/>
      <c r="AD69" s="3429"/>
      <c r="AE69" s="3429"/>
      <c r="AF69" s="3429"/>
      <c r="AG69" s="3380"/>
      <c r="AH69" s="3380"/>
      <c r="AI69" s="3380"/>
      <c r="AJ69" s="3380"/>
      <c r="AK69" s="3380"/>
      <c r="AL69" s="3380"/>
      <c r="AM69" s="3380"/>
      <c r="AN69" s="3380"/>
      <c r="AO69" s="3380"/>
      <c r="AP69" s="3380"/>
      <c r="AQ69" s="3380"/>
      <c r="AR69" s="3380"/>
      <c r="AS69" s="3380"/>
      <c r="AT69" s="3380"/>
      <c r="AU69" s="3380"/>
      <c r="AV69" s="3380"/>
      <c r="AW69" s="3380"/>
      <c r="AX69" s="3380"/>
      <c r="AY69" s="3380"/>
      <c r="AZ69" s="3380"/>
      <c r="BA69" s="3380"/>
      <c r="BB69" s="3380"/>
      <c r="BC69" s="3380"/>
      <c r="BD69" s="3380"/>
      <c r="BE69" s="3380"/>
      <c r="BF69" s="3380"/>
      <c r="BG69" s="3380"/>
      <c r="BH69" s="3380"/>
      <c r="BI69" s="3380"/>
      <c r="BJ69" s="3380"/>
      <c r="BK69" s="3380"/>
      <c r="BL69" s="3380"/>
      <c r="BM69" s="3380"/>
      <c r="BN69" s="3380"/>
      <c r="BO69" s="3380"/>
      <c r="BP69" s="3380"/>
      <c r="BQ69" s="3380"/>
      <c r="BR69" s="3380"/>
      <c r="BS69" s="3380"/>
      <c r="BT69" s="3380"/>
      <c r="BU69" s="3380"/>
      <c r="BV69" s="3380"/>
      <c r="BW69" s="3380"/>
      <c r="BX69" s="3380"/>
      <c r="BY69" s="3380"/>
      <c r="BZ69" s="3380"/>
      <c r="CA69" s="3380"/>
      <c r="CB69" s="3380"/>
      <c r="CC69" s="3380"/>
      <c r="CD69" s="3380"/>
      <c r="CE69" s="3380"/>
      <c r="CF69" s="3380"/>
      <c r="CG69" s="3380"/>
      <c r="CH69" s="3380"/>
      <c r="CI69" s="3380"/>
      <c r="CJ69" s="3380"/>
      <c r="CK69" s="3380"/>
      <c r="CL69" s="3380"/>
      <c r="CM69" s="3380"/>
      <c r="CN69" s="3380"/>
      <c r="CO69" s="3380"/>
      <c r="CP69" s="3380"/>
      <c r="CQ69" s="3380"/>
      <c r="CR69" s="3380"/>
      <c r="CS69" s="3380"/>
      <c r="CT69" s="3380"/>
      <c r="CU69" s="3380"/>
      <c r="CV69" s="3380"/>
      <c r="CW69" s="3380"/>
      <c r="CX69" s="3380"/>
      <c r="CY69" s="3380"/>
      <c r="CZ69" s="3380"/>
      <c r="DA69" s="3380"/>
      <c r="DB69" s="3380"/>
      <c r="DC69" s="3380"/>
      <c r="DD69" s="3380"/>
      <c r="DE69" s="3380"/>
      <c r="DF69" s="3380"/>
      <c r="DG69" s="3380"/>
      <c r="DH69" s="3380"/>
      <c r="DI69" s="3380"/>
      <c r="DJ69" s="3380"/>
    </row>
    <row r="70" spans="1:114" ht="15.75" hidden="1" customHeight="1">
      <c r="B70" s="110"/>
      <c r="C70" s="956" t="s">
        <v>740</v>
      </c>
      <c r="D70" s="957"/>
      <c r="E70" s="2426"/>
      <c r="F70" s="2520"/>
      <c r="G70" s="2429"/>
      <c r="H70" s="2429"/>
      <c r="I70" s="2429"/>
      <c r="J70" s="2429"/>
      <c r="K70" s="2429"/>
      <c r="L70" s="2429"/>
      <c r="M70" s="2429"/>
      <c r="N70" s="3431"/>
      <c r="O70" s="885"/>
      <c r="Q70" s="39"/>
      <c r="R70" s="86"/>
      <c r="S70" s="86"/>
      <c r="T70" s="86"/>
      <c r="U70" s="86"/>
      <c r="V70" s="86"/>
      <c r="W70" s="86"/>
      <c r="X70" s="86"/>
      <c r="Y70" s="86"/>
      <c r="Z70" s="86"/>
      <c r="AA70" s="86"/>
      <c r="AB70" s="86"/>
      <c r="AC70" s="86"/>
      <c r="AD70" s="86"/>
      <c r="AE70" s="86"/>
      <c r="AF70" s="86"/>
    </row>
    <row r="71" spans="1:114" hidden="1">
      <c r="B71" s="110"/>
      <c r="C71" s="946"/>
      <c r="D71" s="924"/>
      <c r="E71" s="941"/>
      <c r="F71" s="3388"/>
      <c r="G71" s="943"/>
      <c r="H71" s="943"/>
      <c r="I71" s="943"/>
      <c r="J71" s="943"/>
      <c r="K71" s="943"/>
      <c r="L71" s="943"/>
      <c r="M71" s="943"/>
      <c r="N71" s="67"/>
      <c r="O71" s="885"/>
      <c r="Q71" s="39"/>
      <c r="R71" s="86"/>
      <c r="S71" s="3428"/>
      <c r="T71" s="86"/>
      <c r="U71" s="86"/>
      <c r="V71" s="86"/>
      <c r="W71" s="86"/>
      <c r="X71" s="86"/>
      <c r="Y71" s="86"/>
      <c r="Z71" s="86"/>
      <c r="AA71" s="86"/>
      <c r="AB71" s="86"/>
      <c r="AC71" s="86"/>
      <c r="AD71" s="86"/>
      <c r="AE71" s="86"/>
      <c r="AF71" s="86"/>
    </row>
    <row r="72" spans="1:114" hidden="1">
      <c r="B72" s="110"/>
      <c r="C72" s="49" t="s">
        <v>2694</v>
      </c>
      <c r="D72" s="924"/>
      <c r="E72" s="941"/>
      <c r="F72" s="3388"/>
      <c r="G72" s="943"/>
      <c r="H72" s="943"/>
      <c r="I72" s="943"/>
      <c r="J72" s="943"/>
      <c r="K72" s="943"/>
      <c r="L72" s="943"/>
      <c r="M72" s="943"/>
      <c r="N72" s="944" t="s">
        <v>2818</v>
      </c>
      <c r="O72" s="885"/>
      <c r="Q72" s="39"/>
      <c r="R72" s="86"/>
      <c r="S72" s="207"/>
      <c r="T72" s="86"/>
      <c r="U72" s="208"/>
      <c r="V72" s="86"/>
      <c r="W72" s="86"/>
      <c r="X72" s="208"/>
      <c r="Y72" s="86"/>
      <c r="Z72" s="86"/>
      <c r="AA72" s="86"/>
      <c r="AB72" s="86"/>
      <c r="AC72" s="86"/>
      <c r="AD72" s="86"/>
      <c r="AE72" s="86"/>
      <c r="AF72" s="86"/>
    </row>
    <row r="73" spans="1:114" ht="4.5" hidden="1" customHeight="1">
      <c r="B73" s="110"/>
      <c r="C73" s="946"/>
      <c r="D73" s="924"/>
      <c r="E73" s="941"/>
      <c r="F73" s="3388"/>
      <c r="G73" s="943"/>
      <c r="H73" s="943"/>
      <c r="I73" s="943"/>
      <c r="J73" s="943"/>
      <c r="K73" s="943"/>
      <c r="L73" s="943"/>
      <c r="M73" s="943"/>
      <c r="N73" s="67"/>
      <c r="O73" s="885"/>
      <c r="Q73" s="39"/>
      <c r="R73" s="86"/>
      <c r="S73" s="86"/>
      <c r="T73" s="86"/>
      <c r="U73" s="86"/>
      <c r="V73" s="86"/>
      <c r="W73" s="86"/>
      <c r="X73" s="86"/>
      <c r="Y73" s="86"/>
      <c r="Z73" s="86"/>
      <c r="AA73" s="86"/>
      <c r="AB73" s="86"/>
      <c r="AC73" s="86"/>
      <c r="AD73" s="86"/>
      <c r="AE73" s="86"/>
      <c r="AF73" s="86"/>
    </row>
    <row r="74" spans="1:114" hidden="1">
      <c r="B74" s="110"/>
      <c r="C74" s="1179"/>
      <c r="D74" s="1079"/>
      <c r="E74" s="980" t="s">
        <v>160</v>
      </c>
      <c r="F74" s="3040">
        <v>2013</v>
      </c>
      <c r="G74" s="974">
        <v>2015</v>
      </c>
      <c r="H74" s="974">
        <v>2020</v>
      </c>
      <c r="I74" s="974">
        <v>2025</v>
      </c>
      <c r="J74" s="974">
        <v>2030</v>
      </c>
      <c r="K74" s="974">
        <v>2035</v>
      </c>
      <c r="L74" s="974">
        <v>2040</v>
      </c>
      <c r="M74" s="974">
        <v>2045</v>
      </c>
      <c r="N74" s="974">
        <v>2050</v>
      </c>
      <c r="O74" s="885"/>
      <c r="Q74" s="39"/>
      <c r="R74" s="86"/>
      <c r="S74" s="617"/>
      <c r="T74" s="617"/>
      <c r="U74" s="616"/>
      <c r="V74" s="212"/>
      <c r="W74" s="212"/>
      <c r="X74" s="2539"/>
      <c r="Y74" s="3432"/>
      <c r="Z74" s="3432"/>
      <c r="AA74" s="3432"/>
      <c r="AB74" s="3432"/>
      <c r="AC74" s="3432"/>
      <c r="AD74" s="3432"/>
      <c r="AE74" s="3432"/>
      <c r="AF74" s="86"/>
    </row>
    <row r="75" spans="1:114" ht="15.75" hidden="1" customHeight="1">
      <c r="B75" s="110"/>
      <c r="C75" s="976" t="s">
        <v>738</v>
      </c>
      <c r="D75" s="1079"/>
      <c r="E75" s="2424"/>
      <c r="F75" s="3386"/>
      <c r="G75" s="3401"/>
      <c r="H75" s="3401"/>
      <c r="I75" s="3401"/>
      <c r="J75" s="3401"/>
      <c r="K75" s="3401"/>
      <c r="L75" s="3401"/>
      <c r="M75" s="3401"/>
      <c r="N75" s="3386"/>
      <c r="O75" s="885"/>
      <c r="Q75" s="39"/>
      <c r="R75" s="86"/>
      <c r="S75" s="617"/>
      <c r="T75" s="206"/>
      <c r="U75" s="622"/>
      <c r="V75" s="3433"/>
      <c r="W75" s="3433"/>
      <c r="X75" s="2539"/>
      <c r="Y75" s="3432"/>
      <c r="Z75" s="3432"/>
      <c r="AA75" s="3432"/>
      <c r="AB75" s="3432"/>
      <c r="AC75" s="3432"/>
      <c r="AD75" s="3432"/>
      <c r="AE75" s="3432"/>
      <c r="AF75" s="86"/>
    </row>
    <row r="76" spans="1:114" ht="15.75" hidden="1" customHeight="1">
      <c r="B76" s="110"/>
      <c r="C76" s="952" t="s">
        <v>739</v>
      </c>
      <c r="D76" s="924"/>
      <c r="E76" s="2425"/>
      <c r="F76" s="3392"/>
      <c r="G76" s="2519"/>
      <c r="H76" s="2519"/>
      <c r="I76" s="2519"/>
      <c r="J76" s="2519"/>
      <c r="K76" s="2519"/>
      <c r="L76" s="2519"/>
      <c r="M76" s="2519"/>
      <c r="N76" s="3392"/>
      <c r="O76" s="885"/>
      <c r="Q76" s="39"/>
      <c r="R76" s="86"/>
      <c r="S76" s="3434"/>
      <c r="T76" s="206"/>
      <c r="U76" s="622"/>
      <c r="V76" s="3433"/>
      <c r="W76" s="3433"/>
      <c r="X76" s="3435"/>
      <c r="Y76" s="3432"/>
      <c r="Z76" s="3432"/>
      <c r="AA76" s="3432"/>
      <c r="AB76" s="3432"/>
      <c r="AC76" s="3432"/>
      <c r="AD76" s="3432"/>
      <c r="AE76" s="3432"/>
      <c r="AF76" s="86"/>
    </row>
    <row r="77" spans="1:114" ht="16.5" hidden="1" customHeight="1">
      <c r="B77" s="110"/>
      <c r="C77" s="956" t="s">
        <v>740</v>
      </c>
      <c r="D77" s="957"/>
      <c r="E77" s="2426"/>
      <c r="F77" s="2520"/>
      <c r="G77" s="3403"/>
      <c r="H77" s="3403"/>
      <c r="I77" s="3403"/>
      <c r="J77" s="3403"/>
      <c r="K77" s="3403"/>
      <c r="L77" s="3403"/>
      <c r="M77" s="3403"/>
      <c r="N77" s="2520"/>
      <c r="O77" s="885"/>
      <c r="Q77" s="39"/>
      <c r="R77" s="86"/>
      <c r="S77" s="3434"/>
      <c r="T77" s="206"/>
      <c r="U77" s="622"/>
      <c r="V77" s="3433"/>
      <c r="W77" s="3433"/>
      <c r="X77" s="3435"/>
      <c r="Y77" s="3432"/>
      <c r="Z77" s="3432"/>
      <c r="AA77" s="3432"/>
      <c r="AB77" s="3432"/>
      <c r="AC77" s="3432"/>
      <c r="AD77" s="3432"/>
      <c r="AE77" s="3432"/>
      <c r="AF77" s="86"/>
    </row>
    <row r="78" spans="1:114" hidden="1">
      <c r="B78" s="67"/>
      <c r="C78" s="952"/>
      <c r="D78" s="924"/>
      <c r="E78" s="2425"/>
      <c r="F78" s="3397"/>
      <c r="G78" s="2519"/>
      <c r="H78" s="2519"/>
      <c r="I78" s="2519"/>
      <c r="J78" s="2519"/>
      <c r="K78" s="2519"/>
      <c r="L78" s="2519"/>
      <c r="M78" s="2519"/>
      <c r="N78" s="2519"/>
      <c r="O78" s="67"/>
      <c r="Q78" s="39"/>
      <c r="R78" s="86"/>
      <c r="S78" s="3434"/>
      <c r="T78" s="206"/>
      <c r="U78" s="622"/>
      <c r="V78" s="3433"/>
      <c r="W78" s="3433"/>
      <c r="X78" s="3435"/>
      <c r="Y78" s="3432"/>
      <c r="Z78" s="3432"/>
      <c r="AA78" s="3432"/>
      <c r="AB78" s="3432"/>
      <c r="AC78" s="3432"/>
      <c r="AD78" s="3432"/>
      <c r="AE78" s="3432"/>
      <c r="AF78" s="86"/>
    </row>
    <row r="79" spans="1:114" hidden="1">
      <c r="B79" s="67"/>
      <c r="C79" s="65"/>
      <c r="D79" s="67"/>
      <c r="E79" s="943"/>
      <c r="F79" s="67"/>
      <c r="G79" s="67"/>
      <c r="H79" s="67"/>
      <c r="I79" s="3436"/>
      <c r="J79" s="3436"/>
      <c r="K79" s="67"/>
      <c r="L79" s="67"/>
      <c r="M79" s="67"/>
      <c r="N79" s="67"/>
      <c r="O79" s="67"/>
      <c r="Q79" s="39"/>
      <c r="R79" s="86"/>
      <c r="S79" s="2555"/>
      <c r="T79" s="206"/>
      <c r="U79" s="622"/>
      <c r="V79" s="3433"/>
      <c r="W79" s="3433"/>
      <c r="X79" s="3435"/>
      <c r="Y79" s="3432"/>
      <c r="Z79" s="3432"/>
      <c r="AA79" s="3432"/>
      <c r="AB79" s="3432"/>
      <c r="AC79" s="3432"/>
      <c r="AD79" s="3432"/>
      <c r="AE79" s="3432"/>
      <c r="AF79" s="86"/>
    </row>
    <row r="80" spans="1:114" hidden="1">
      <c r="B80" s="2848"/>
      <c r="C80" s="67"/>
      <c r="D80" s="67"/>
      <c r="E80" s="67"/>
      <c r="F80" s="67"/>
      <c r="G80" s="67"/>
      <c r="H80" s="67"/>
      <c r="I80" s="67"/>
      <c r="J80" s="67"/>
      <c r="K80" s="67"/>
      <c r="L80" s="67"/>
      <c r="M80" s="67"/>
      <c r="N80" s="67"/>
      <c r="O80" s="67"/>
      <c r="Q80" s="39"/>
      <c r="R80" s="86"/>
      <c r="S80" s="86"/>
      <c r="T80" s="86"/>
      <c r="U80" s="208"/>
      <c r="V80" s="86"/>
      <c r="W80" s="86"/>
      <c r="X80" s="86"/>
      <c r="Y80" s="86"/>
      <c r="Z80" s="86"/>
      <c r="AA80" s="86"/>
      <c r="AB80" s="86"/>
      <c r="AC80" s="86"/>
      <c r="AD80" s="86"/>
      <c r="AE80" s="86"/>
      <c r="AF80" s="86"/>
    </row>
    <row r="81" spans="2:32" hidden="1">
      <c r="B81" s="110"/>
      <c r="C81" s="49" t="s">
        <v>2695</v>
      </c>
      <c r="D81" s="924"/>
      <c r="E81" s="941"/>
      <c r="F81" s="2519"/>
      <c r="G81" s="943"/>
      <c r="H81" s="943"/>
      <c r="I81" s="943"/>
      <c r="J81" s="943"/>
      <c r="K81" s="943"/>
      <c r="L81" s="943"/>
      <c r="M81" s="943"/>
      <c r="N81" s="944" t="s">
        <v>2828</v>
      </c>
      <c r="O81" s="885"/>
      <c r="Q81" s="39"/>
      <c r="R81" s="86"/>
      <c r="S81" s="3428"/>
      <c r="T81" s="86"/>
      <c r="U81" s="208"/>
      <c r="V81" s="86"/>
      <c r="W81" s="86"/>
      <c r="X81" s="86"/>
      <c r="Y81" s="86"/>
      <c r="Z81" s="86"/>
      <c r="AA81" s="86"/>
      <c r="AB81" s="86"/>
      <c r="AC81" s="86"/>
      <c r="AD81" s="86"/>
      <c r="AE81" s="86"/>
      <c r="AF81" s="86"/>
    </row>
    <row r="82" spans="2:32" hidden="1">
      <c r="B82" s="110"/>
      <c r="C82" s="946"/>
      <c r="D82" s="924"/>
      <c r="E82" s="941"/>
      <c r="F82" s="2519"/>
      <c r="G82" s="943"/>
      <c r="H82" s="943"/>
      <c r="I82" s="943"/>
      <c r="J82" s="943"/>
      <c r="K82" s="943"/>
      <c r="L82" s="943"/>
      <c r="M82" s="943"/>
      <c r="N82" s="67"/>
      <c r="O82" s="885"/>
      <c r="Q82" s="39"/>
      <c r="R82" s="86"/>
      <c r="S82" s="207"/>
      <c r="T82" s="86"/>
      <c r="U82" s="208"/>
      <c r="V82" s="86"/>
      <c r="W82" s="86"/>
      <c r="X82" s="86"/>
      <c r="Y82" s="86"/>
      <c r="Z82" s="86"/>
      <c r="AA82" s="86"/>
      <c r="AB82" s="86"/>
      <c r="AC82" s="86"/>
      <c r="AD82" s="86"/>
      <c r="AE82" s="86"/>
      <c r="AF82" s="86"/>
    </row>
    <row r="83" spans="2:32" hidden="1">
      <c r="B83" s="110"/>
      <c r="C83" s="961"/>
      <c r="D83" s="1079"/>
      <c r="E83" s="980" t="s">
        <v>160</v>
      </c>
      <c r="F83" s="981">
        <v>2013</v>
      </c>
      <c r="G83" s="974">
        <v>2015</v>
      </c>
      <c r="H83" s="974">
        <v>2020</v>
      </c>
      <c r="I83" s="974">
        <v>2025</v>
      </c>
      <c r="J83" s="974">
        <v>2030</v>
      </c>
      <c r="K83" s="974">
        <v>2035</v>
      </c>
      <c r="L83" s="974">
        <v>2040</v>
      </c>
      <c r="M83" s="974">
        <v>2045</v>
      </c>
      <c r="N83" s="974">
        <v>2050</v>
      </c>
      <c r="O83" s="885"/>
      <c r="Q83" s="39"/>
      <c r="R83" s="86"/>
      <c r="S83" s="207"/>
      <c r="T83" s="86"/>
      <c r="U83" s="86"/>
      <c r="V83" s="86"/>
      <c r="W83" s="86"/>
      <c r="X83" s="86"/>
      <c r="Y83" s="86"/>
      <c r="Z83" s="86"/>
      <c r="AA83" s="86"/>
      <c r="AB83" s="86"/>
      <c r="AC83" s="86"/>
      <c r="AD83" s="86"/>
      <c r="AE83" s="86"/>
      <c r="AF83" s="86"/>
    </row>
    <row r="84" spans="2:32" hidden="1">
      <c r="B84" s="110"/>
      <c r="C84" s="952" t="s">
        <v>738</v>
      </c>
      <c r="D84" s="1079"/>
      <c r="E84" s="2424"/>
      <c r="F84" s="3430"/>
      <c r="G84" s="2427"/>
      <c r="H84" s="2427"/>
      <c r="I84" s="2427"/>
      <c r="J84" s="2427"/>
      <c r="K84" s="2427"/>
      <c r="L84" s="2427"/>
      <c r="M84" s="2427"/>
      <c r="N84" s="3430"/>
      <c r="O84" s="885"/>
      <c r="Q84" s="39"/>
      <c r="R84" s="86"/>
      <c r="S84" s="86"/>
      <c r="T84" s="86"/>
      <c r="U84" s="4159"/>
      <c r="V84" s="4159"/>
      <c r="W84" s="4159"/>
      <c r="X84" s="4159"/>
      <c r="Y84" s="3437"/>
      <c r="Z84" s="86"/>
      <c r="AA84" s="86"/>
      <c r="AB84" s="86"/>
      <c r="AC84" s="86"/>
      <c r="AD84" s="86"/>
      <c r="AE84" s="86"/>
      <c r="AF84" s="86"/>
    </row>
    <row r="85" spans="2:32" hidden="1">
      <c r="B85" s="110"/>
      <c r="C85" s="952" t="s">
        <v>739</v>
      </c>
      <c r="D85" s="924"/>
      <c r="E85" s="2425"/>
      <c r="F85" s="3392"/>
      <c r="G85" s="2428"/>
      <c r="H85" s="2428"/>
      <c r="I85" s="2428"/>
      <c r="J85" s="2428"/>
      <c r="K85" s="2428"/>
      <c r="L85" s="2428"/>
      <c r="M85" s="2428"/>
      <c r="N85" s="3392"/>
      <c r="O85" s="885"/>
      <c r="Q85" s="39"/>
      <c r="R85" s="86"/>
      <c r="S85" s="86"/>
      <c r="T85" s="86"/>
      <c r="U85" s="3437"/>
      <c r="V85" s="3437"/>
      <c r="W85" s="3437"/>
      <c r="X85" s="3437"/>
      <c r="Y85" s="3437"/>
      <c r="Z85" s="86"/>
      <c r="AA85" s="86"/>
      <c r="AB85" s="86"/>
      <c r="AC85" s="86"/>
      <c r="AD85" s="86"/>
      <c r="AE85" s="86"/>
      <c r="AF85" s="86"/>
    </row>
    <row r="86" spans="2:32" hidden="1">
      <c r="B86" s="110"/>
      <c r="C86" s="956" t="s">
        <v>740</v>
      </c>
      <c r="D86" s="957"/>
      <c r="E86" s="2426"/>
      <c r="F86" s="3431"/>
      <c r="G86" s="2429"/>
      <c r="H86" s="2429"/>
      <c r="I86" s="2429"/>
      <c r="J86" s="2429"/>
      <c r="K86" s="2429"/>
      <c r="L86" s="2429"/>
      <c r="M86" s="2429"/>
      <c r="N86" s="3431"/>
      <c r="O86" s="885"/>
      <c r="Q86" s="39"/>
      <c r="R86" s="86"/>
      <c r="S86" s="86"/>
      <c r="T86" s="86"/>
      <c r="U86" s="3438"/>
      <c r="V86" s="3438"/>
      <c r="W86" s="3438"/>
      <c r="X86" s="3438"/>
      <c r="Y86" s="3437"/>
      <c r="Z86" s="86"/>
      <c r="AA86" s="86"/>
      <c r="AB86" s="86"/>
      <c r="AC86" s="86"/>
      <c r="AD86" s="86"/>
      <c r="AE86" s="86"/>
      <c r="AF86" s="86"/>
    </row>
    <row r="87" spans="2:32" hidden="1">
      <c r="B87" s="110"/>
      <c r="C87" s="946"/>
      <c r="D87" s="924"/>
      <c r="E87" s="941"/>
      <c r="F87" s="2519"/>
      <c r="G87" s="943"/>
      <c r="H87" s="943"/>
      <c r="I87" s="943"/>
      <c r="J87" s="943"/>
      <c r="K87" s="943"/>
      <c r="L87" s="943"/>
      <c r="M87" s="943"/>
      <c r="N87" s="67"/>
      <c r="O87" s="885"/>
      <c r="Q87" s="39"/>
      <c r="R87" s="86"/>
      <c r="S87" s="86"/>
      <c r="T87" s="86"/>
      <c r="U87" s="208"/>
      <c r="V87" s="86"/>
      <c r="W87" s="86"/>
      <c r="X87" s="86"/>
      <c r="Y87" s="86"/>
      <c r="Z87" s="86"/>
      <c r="AA87" s="86"/>
      <c r="AB87" s="86"/>
      <c r="AC87" s="86"/>
      <c r="AD87" s="86"/>
      <c r="AE87" s="86"/>
      <c r="AF87" s="86"/>
    </row>
    <row r="88" spans="2:32" hidden="1">
      <c r="B88" s="110"/>
      <c r="C88" s="49" t="s">
        <v>2696</v>
      </c>
      <c r="D88" s="924"/>
      <c r="E88" s="941"/>
      <c r="F88" s="2519"/>
      <c r="G88" s="943"/>
      <c r="H88" s="943"/>
      <c r="I88" s="943"/>
      <c r="J88" s="943"/>
      <c r="K88" s="943"/>
      <c r="L88" s="943"/>
      <c r="M88" s="943"/>
      <c r="N88" s="944" t="s">
        <v>2828</v>
      </c>
      <c r="O88" s="885"/>
      <c r="Q88" s="39"/>
      <c r="R88" s="86"/>
      <c r="S88" s="86"/>
      <c r="T88" s="86"/>
      <c r="U88" s="208"/>
      <c r="V88" s="86"/>
      <c r="W88" s="86"/>
      <c r="X88" s="86"/>
      <c r="Y88" s="86"/>
      <c r="Z88" s="86"/>
      <c r="AA88" s="86"/>
      <c r="AB88" s="86"/>
      <c r="AC88" s="86"/>
      <c r="AD88" s="86"/>
      <c r="AE88" s="86"/>
      <c r="AF88" s="86"/>
    </row>
    <row r="89" spans="2:32" hidden="1">
      <c r="B89" s="110"/>
      <c r="C89" s="946"/>
      <c r="D89" s="924"/>
      <c r="E89" s="941"/>
      <c r="F89" s="2519"/>
      <c r="G89" s="943"/>
      <c r="H89" s="943"/>
      <c r="I89" s="943"/>
      <c r="J89" s="943"/>
      <c r="K89" s="943"/>
      <c r="L89" s="943"/>
      <c r="M89" s="943"/>
      <c r="N89" s="67"/>
      <c r="O89" s="885"/>
      <c r="Q89" s="39"/>
      <c r="R89" s="86"/>
      <c r="S89" s="86"/>
      <c r="T89" s="86"/>
      <c r="U89" s="2569"/>
      <c r="V89" s="2569"/>
      <c r="W89" s="86"/>
      <c r="X89" s="86"/>
      <c r="Y89" s="86"/>
      <c r="Z89" s="86"/>
      <c r="AA89" s="86"/>
      <c r="AB89" s="86"/>
      <c r="AC89" s="86"/>
      <c r="AD89" s="86"/>
      <c r="AE89" s="86"/>
      <c r="AF89" s="86"/>
    </row>
    <row r="90" spans="2:32" hidden="1">
      <c r="B90" s="110"/>
      <c r="C90" s="1179"/>
      <c r="D90" s="1079"/>
      <c r="E90" s="980" t="s">
        <v>160</v>
      </c>
      <c r="F90" s="981">
        <v>2013</v>
      </c>
      <c r="G90" s="974">
        <v>2015</v>
      </c>
      <c r="H90" s="974">
        <v>2020</v>
      </c>
      <c r="I90" s="974">
        <v>2025</v>
      </c>
      <c r="J90" s="974">
        <v>2030</v>
      </c>
      <c r="K90" s="974">
        <v>2035</v>
      </c>
      <c r="L90" s="974">
        <v>2040</v>
      </c>
      <c r="M90" s="974">
        <v>2045</v>
      </c>
      <c r="N90" s="974">
        <v>2050</v>
      </c>
      <c r="O90" s="885"/>
      <c r="Q90" s="39"/>
      <c r="R90" s="86"/>
      <c r="S90" s="3428"/>
      <c r="T90" s="86"/>
      <c r="U90" s="3439"/>
      <c r="V90" s="3439"/>
      <c r="W90" s="86"/>
      <c r="X90" s="86"/>
      <c r="Y90" s="86"/>
      <c r="Z90" s="86"/>
      <c r="AA90" s="86"/>
      <c r="AB90" s="86"/>
      <c r="AC90" s="86"/>
      <c r="AD90" s="86"/>
      <c r="AE90" s="86"/>
      <c r="AF90" s="86"/>
    </row>
    <row r="91" spans="2:32" hidden="1">
      <c r="B91" s="110"/>
      <c r="C91" s="976" t="s">
        <v>738</v>
      </c>
      <c r="D91" s="1079"/>
      <c r="E91" s="2424"/>
      <c r="F91" s="3440"/>
      <c r="G91" s="3441"/>
      <c r="H91" s="3441"/>
      <c r="I91" s="3441"/>
      <c r="J91" s="3441"/>
      <c r="K91" s="3441"/>
      <c r="L91" s="3441"/>
      <c r="M91" s="3441"/>
      <c r="N91" s="3440"/>
      <c r="O91" s="885"/>
      <c r="Q91" s="39"/>
      <c r="R91" s="86"/>
      <c r="S91" s="86"/>
      <c r="T91" s="86"/>
      <c r="U91" s="208"/>
      <c r="V91" s="86"/>
      <c r="W91" s="86"/>
      <c r="X91" s="86"/>
      <c r="Y91" s="86"/>
      <c r="Z91" s="86"/>
      <c r="AA91" s="86"/>
      <c r="AB91" s="86"/>
      <c r="AC91" s="86"/>
      <c r="AD91" s="86"/>
      <c r="AE91" s="86"/>
      <c r="AF91" s="86"/>
    </row>
    <row r="92" spans="2:32" hidden="1">
      <c r="B92" s="110"/>
      <c r="C92" s="952" t="s">
        <v>739</v>
      </c>
      <c r="D92" s="924"/>
      <c r="E92" s="2425"/>
      <c r="F92" s="3442"/>
      <c r="G92" s="3443"/>
      <c r="H92" s="3443"/>
      <c r="I92" s="3443"/>
      <c r="J92" s="3443"/>
      <c r="K92" s="3443"/>
      <c r="L92" s="3443"/>
      <c r="M92" s="3443"/>
      <c r="N92" s="3442"/>
      <c r="O92" s="885"/>
      <c r="Q92" s="39"/>
      <c r="R92" s="1077"/>
      <c r="S92" s="1077"/>
      <c r="T92" s="1077"/>
      <c r="U92" s="1077"/>
      <c r="V92" s="1077"/>
      <c r="W92" s="1077"/>
      <c r="X92" s="1077"/>
      <c r="Y92" s="1077"/>
      <c r="Z92" s="1077"/>
      <c r="AA92" s="1077"/>
      <c r="AB92" s="1077"/>
      <c r="AC92" s="1077"/>
      <c r="AD92" s="1077"/>
      <c r="AE92" s="1077"/>
      <c r="AF92" s="1077"/>
    </row>
    <row r="93" spans="2:32" hidden="1">
      <c r="B93" s="110"/>
      <c r="C93" s="956" t="s">
        <v>740</v>
      </c>
      <c r="D93" s="957"/>
      <c r="E93" s="2426"/>
      <c r="F93" s="3444"/>
      <c r="G93" s="3445"/>
      <c r="H93" s="3445"/>
      <c r="I93" s="3445"/>
      <c r="J93" s="3445"/>
      <c r="K93" s="3445"/>
      <c r="L93" s="3445"/>
      <c r="M93" s="3445"/>
      <c r="N93" s="3444"/>
      <c r="O93" s="885"/>
      <c r="Q93" s="39"/>
      <c r="R93" s="39"/>
      <c r="S93" s="39"/>
    </row>
    <row r="94" spans="2:32" hidden="1">
      <c r="B94" s="67"/>
      <c r="C94" s="952"/>
      <c r="D94" s="924"/>
      <c r="E94" s="2425"/>
      <c r="F94" s="3408"/>
      <c r="G94" s="2519"/>
      <c r="H94" s="2519"/>
      <c r="I94" s="2519"/>
      <c r="J94" s="2519"/>
      <c r="K94" s="2519"/>
      <c r="L94" s="2519"/>
      <c r="M94" s="2519"/>
      <c r="N94" s="3408"/>
      <c r="O94" s="67"/>
      <c r="Q94" s="39"/>
      <c r="R94" s="39"/>
      <c r="S94" s="39"/>
    </row>
    <row r="95" spans="2:32" hidden="1">
      <c r="B95" s="67"/>
      <c r="C95" s="3446" t="s">
        <v>2697</v>
      </c>
      <c r="D95" s="924"/>
      <c r="E95" s="2425"/>
      <c r="F95" s="3408"/>
      <c r="G95" s="2519"/>
      <c r="H95" s="2519"/>
      <c r="I95" s="2519"/>
      <c r="J95" s="2519"/>
      <c r="K95" s="2519"/>
      <c r="L95" s="2519"/>
      <c r="M95" s="2519"/>
      <c r="N95" s="3447" t="s">
        <v>2829</v>
      </c>
      <c r="O95" s="67"/>
      <c r="Q95" s="39"/>
      <c r="R95" s="39"/>
      <c r="S95" s="39"/>
    </row>
    <row r="96" spans="2:32" hidden="1">
      <c r="B96" s="47"/>
      <c r="C96" s="47"/>
      <c r="D96" s="67"/>
      <c r="E96" s="943"/>
      <c r="F96" s="51"/>
      <c r="G96" s="51"/>
      <c r="H96" s="51"/>
      <c r="I96" s="3448"/>
      <c r="J96" s="3448"/>
      <c r="K96" s="3449"/>
      <c r="L96" s="3449"/>
      <c r="M96" s="3449"/>
      <c r="N96" s="3449"/>
      <c r="O96" s="47"/>
      <c r="Q96" s="39"/>
      <c r="R96" s="39"/>
      <c r="S96" s="39"/>
    </row>
    <row r="97" spans="2:19" hidden="1">
      <c r="B97" s="47"/>
      <c r="C97" s="3450" t="s">
        <v>2697</v>
      </c>
      <c r="D97" s="1079"/>
      <c r="E97" s="980" t="s">
        <v>160</v>
      </c>
      <c r="F97" s="981">
        <v>2013</v>
      </c>
      <c r="G97" s="974">
        <v>2015</v>
      </c>
      <c r="H97" s="974">
        <v>2020</v>
      </c>
      <c r="I97" s="974">
        <v>2025</v>
      </c>
      <c r="J97" s="974">
        <v>2030</v>
      </c>
      <c r="K97" s="974">
        <v>2035</v>
      </c>
      <c r="L97" s="974">
        <v>2040</v>
      </c>
      <c r="M97" s="974">
        <v>2045</v>
      </c>
      <c r="N97" s="974">
        <v>2050</v>
      </c>
      <c r="O97" s="47"/>
      <c r="Q97" s="39"/>
      <c r="R97" s="39"/>
      <c r="S97" s="39"/>
    </row>
    <row r="98" spans="2:19" hidden="1">
      <c r="B98" s="47"/>
      <c r="C98" s="976" t="s">
        <v>738</v>
      </c>
      <c r="D98" s="1079"/>
      <c r="E98" s="2424"/>
      <c r="F98" s="3386"/>
      <c r="G98" s="3451"/>
      <c r="H98" s="3451"/>
      <c r="I98" s="3451"/>
      <c r="J98" s="3451"/>
      <c r="K98" s="3451"/>
      <c r="L98" s="3451"/>
      <c r="M98" s="3451"/>
      <c r="N98" s="3386"/>
      <c r="O98" s="47"/>
      <c r="Q98" s="39"/>
      <c r="R98" s="39"/>
      <c r="S98" s="39"/>
    </row>
    <row r="99" spans="2:19" hidden="1">
      <c r="B99" s="47"/>
      <c r="C99" s="67" t="s">
        <v>739</v>
      </c>
      <c r="D99" s="924"/>
      <c r="E99" s="2425"/>
      <c r="F99" s="3392"/>
      <c r="G99" s="3392"/>
      <c r="H99" s="3392"/>
      <c r="I99" s="3392"/>
      <c r="J99" s="3392"/>
      <c r="K99" s="3392"/>
      <c r="L99" s="3392"/>
      <c r="M99" s="3392"/>
      <c r="N99" s="3392"/>
      <c r="O99" s="47"/>
      <c r="Q99" s="39"/>
      <c r="R99" s="39"/>
      <c r="S99" s="39"/>
    </row>
    <row r="100" spans="2:19" hidden="1">
      <c r="B100" s="47"/>
      <c r="C100" s="978" t="s">
        <v>740</v>
      </c>
      <c r="D100" s="957"/>
      <c r="E100" s="2426"/>
      <c r="F100" s="3452"/>
      <c r="G100" s="3453"/>
      <c r="H100" s="3453"/>
      <c r="I100" s="3453"/>
      <c r="J100" s="3453"/>
      <c r="K100" s="3453"/>
      <c r="L100" s="3453"/>
      <c r="M100" s="3453"/>
      <c r="N100" s="3452"/>
      <c r="O100" s="47"/>
      <c r="Q100" s="39"/>
      <c r="R100" s="39"/>
      <c r="S100" s="39"/>
    </row>
    <row r="101" spans="2:19" hidden="1">
      <c r="B101" s="47"/>
      <c r="C101" s="47"/>
      <c r="D101" s="67"/>
      <c r="E101" s="943"/>
      <c r="F101" s="67"/>
      <c r="G101" s="67"/>
      <c r="H101" s="67"/>
      <c r="I101" s="3436"/>
      <c r="J101" s="3436"/>
      <c r="K101" s="47"/>
      <c r="L101" s="47"/>
      <c r="M101" s="47"/>
      <c r="N101" s="47"/>
      <c r="O101" s="47"/>
      <c r="Q101" s="39"/>
      <c r="R101" s="39"/>
      <c r="S101" s="39"/>
    </row>
    <row r="102" spans="2:19">
      <c r="Q102" s="39"/>
      <c r="R102" s="39"/>
      <c r="S102" s="39"/>
    </row>
    <row r="103" spans="2:19">
      <c r="Q103" s="39"/>
    </row>
    <row r="104" spans="2:19" ht="15.75">
      <c r="B104" s="878" t="s">
        <v>178</v>
      </c>
      <c r="C104" s="879"/>
      <c r="D104" s="879"/>
      <c r="E104" s="879"/>
      <c r="F104" s="879"/>
      <c r="G104" s="879"/>
      <c r="H104" s="879"/>
      <c r="I104" s="879"/>
      <c r="J104" s="879"/>
      <c r="K104" s="879"/>
      <c r="L104" s="879"/>
      <c r="M104" s="879"/>
      <c r="N104" s="879"/>
      <c r="O104" s="880"/>
      <c r="Q104" s="39"/>
    </row>
    <row r="105" spans="2:19">
      <c r="B105" s="110"/>
      <c r="C105" s="67"/>
      <c r="D105" s="67"/>
      <c r="E105" s="67"/>
      <c r="F105" s="67"/>
      <c r="G105" s="67"/>
      <c r="H105" s="67"/>
      <c r="I105" s="67"/>
      <c r="J105" s="67"/>
      <c r="K105" s="67"/>
      <c r="L105" s="67"/>
      <c r="M105" s="67"/>
      <c r="N105" s="67"/>
      <c r="O105" s="885"/>
      <c r="Q105" s="39"/>
    </row>
    <row r="106" spans="2:19">
      <c r="B106" s="110"/>
      <c r="C106" s="49" t="s">
        <v>2716</v>
      </c>
      <c r="D106" s="67"/>
      <c r="E106" s="51"/>
      <c r="F106" s="67"/>
      <c r="G106" s="67"/>
      <c r="H106" s="67"/>
      <c r="I106" s="67"/>
      <c r="J106" s="67"/>
      <c r="K106" s="67"/>
      <c r="L106" s="67"/>
      <c r="M106" s="67"/>
      <c r="N106" s="51" t="str">
        <f>Preferences.EnergyUnits</f>
        <v>TWh</v>
      </c>
      <c r="O106" s="885"/>
      <c r="Q106" s="39"/>
    </row>
    <row r="107" spans="2:19">
      <c r="B107" s="110"/>
      <c r="C107" s="67"/>
      <c r="D107" s="67"/>
      <c r="E107" s="67"/>
      <c r="F107" s="67"/>
      <c r="G107" s="67"/>
      <c r="H107" s="67"/>
      <c r="I107" s="67"/>
      <c r="J107" s="67"/>
      <c r="K107" s="67"/>
      <c r="L107" s="67"/>
      <c r="M107" s="67"/>
      <c r="N107" s="67"/>
      <c r="O107" s="885"/>
      <c r="Q107" s="39"/>
    </row>
    <row r="108" spans="2:19" ht="15.75">
      <c r="B108" s="55"/>
      <c r="C108" s="887" t="s">
        <v>132</v>
      </c>
      <c r="D108" s="887" t="s">
        <v>72</v>
      </c>
      <c r="E108" s="887" t="s">
        <v>30</v>
      </c>
      <c r="F108" s="92">
        <v>2013</v>
      </c>
      <c r="G108" s="92">
        <v>2015</v>
      </c>
      <c r="H108" s="92">
        <v>2020</v>
      </c>
      <c r="I108" s="92">
        <v>2025</v>
      </c>
      <c r="J108" s="92">
        <v>2030</v>
      </c>
      <c r="K108" s="92">
        <v>2035</v>
      </c>
      <c r="L108" s="92">
        <v>2040</v>
      </c>
      <c r="M108" s="92">
        <v>2045</v>
      </c>
      <c r="N108" s="92">
        <v>2050</v>
      </c>
      <c r="O108" s="885"/>
      <c r="Q108" s="39"/>
    </row>
    <row r="109" spans="2:19" ht="15.75">
      <c r="B109" s="975"/>
      <c r="C109" s="916" t="s">
        <v>447</v>
      </c>
      <c r="D109" s="917" t="s">
        <v>564</v>
      </c>
      <c r="E109" s="917"/>
      <c r="F109" s="3454">
        <f>F33</f>
        <v>0</v>
      </c>
      <c r="G109" s="3454">
        <f t="shared" ref="G109:N109" si="4">G33</f>
        <v>2.5</v>
      </c>
      <c r="H109" s="3454">
        <f t="shared" si="4"/>
        <v>2.5</v>
      </c>
      <c r="I109" s="3454">
        <f t="shared" si="4"/>
        <v>2.5</v>
      </c>
      <c r="J109" s="3454">
        <f t="shared" si="4"/>
        <v>3.9</v>
      </c>
      <c r="K109" s="3454">
        <f t="shared" si="4"/>
        <v>4.5999999999999996</v>
      </c>
      <c r="L109" s="3454">
        <f t="shared" si="4"/>
        <v>7</v>
      </c>
      <c r="M109" s="3454">
        <f t="shared" si="4"/>
        <v>9</v>
      </c>
      <c r="N109" s="3454">
        <f t="shared" si="4"/>
        <v>10</v>
      </c>
      <c r="O109" s="893"/>
      <c r="Q109" s="39"/>
    </row>
    <row r="110" spans="2:19">
      <c r="B110" s="45"/>
      <c r="C110" s="65"/>
      <c r="D110" s="108"/>
      <c r="E110" s="108"/>
      <c r="F110" s="2523"/>
      <c r="G110" s="3408"/>
      <c r="H110" s="3408"/>
      <c r="I110" s="3408"/>
      <c r="J110" s="3408"/>
      <c r="K110" s="3408"/>
      <c r="L110" s="3408"/>
      <c r="M110" s="3408"/>
      <c r="N110" s="3408"/>
      <c r="O110" s="885"/>
      <c r="Q110" s="39"/>
    </row>
    <row r="111" spans="2:19">
      <c r="B111" s="45"/>
      <c r="C111" s="89" t="s">
        <v>2698</v>
      </c>
      <c r="D111" s="108"/>
      <c r="E111" s="108"/>
      <c r="F111" s="2523"/>
      <c r="G111" s="3408"/>
      <c r="H111" s="3408"/>
      <c r="I111" s="3408"/>
      <c r="J111" s="3408"/>
      <c r="K111" s="3408"/>
      <c r="L111" s="3408"/>
      <c r="M111" s="3408"/>
      <c r="N111" s="3408" t="str">
        <f>Preferences.PowerUnits&amp;"e"</f>
        <v>GWe</v>
      </c>
      <c r="O111" s="885"/>
      <c r="Q111" s="39"/>
    </row>
    <row r="112" spans="2:19">
      <c r="B112" s="110"/>
      <c r="C112" s="67"/>
      <c r="D112" s="67"/>
      <c r="E112" s="67"/>
      <c r="F112" s="67"/>
      <c r="G112" s="67"/>
      <c r="H112" s="67"/>
      <c r="I112" s="67"/>
      <c r="J112" s="67"/>
      <c r="K112" s="67"/>
      <c r="L112" s="67"/>
      <c r="M112" s="67"/>
      <c r="N112" s="67"/>
      <c r="O112" s="885"/>
      <c r="Q112" s="39"/>
    </row>
    <row r="113" spans="2:17" ht="15.75">
      <c r="B113" s="55"/>
      <c r="C113" s="887"/>
      <c r="D113" s="887" t="s">
        <v>72</v>
      </c>
      <c r="E113" s="887" t="s">
        <v>30</v>
      </c>
      <c r="F113" s="92">
        <v>2013</v>
      </c>
      <c r="G113" s="92">
        <v>2015</v>
      </c>
      <c r="H113" s="92">
        <v>2020</v>
      </c>
      <c r="I113" s="92">
        <v>2025</v>
      </c>
      <c r="J113" s="92">
        <v>2030</v>
      </c>
      <c r="K113" s="92">
        <v>2035</v>
      </c>
      <c r="L113" s="92">
        <v>2040</v>
      </c>
      <c r="M113" s="92">
        <v>2045</v>
      </c>
      <c r="N113" s="92">
        <v>2050</v>
      </c>
      <c r="O113" s="885"/>
      <c r="Q113" s="39"/>
    </row>
    <row r="114" spans="2:17" ht="15.75">
      <c r="B114" s="55"/>
      <c r="C114" s="923"/>
      <c r="D114" s="924" t="s">
        <v>2699</v>
      </c>
      <c r="E114" s="923"/>
      <c r="F114" s="1525">
        <f t="shared" ref="F114:N114" si="5">F15*Conversion.to.average.power</f>
        <v>4.5630846452201682E-2</v>
      </c>
      <c r="G114" s="1525">
        <f t="shared" ca="1" si="5"/>
        <v>0</v>
      </c>
      <c r="H114" s="1525">
        <f t="shared" ca="1" si="5"/>
        <v>0</v>
      </c>
      <c r="I114" s="1525">
        <f t="shared" ca="1" si="5"/>
        <v>0</v>
      </c>
      <c r="J114" s="1525">
        <f t="shared" ca="1" si="5"/>
        <v>1.6601259901515713</v>
      </c>
      <c r="K114" s="1525">
        <f t="shared" ca="1" si="5"/>
        <v>3.9583380352987465</v>
      </c>
      <c r="L114" s="1525">
        <f t="shared" ca="1" si="5"/>
        <v>5.8750917973489187</v>
      </c>
      <c r="M114" s="1525">
        <f t="shared" ca="1" si="5"/>
        <v>7.964519254025535</v>
      </c>
      <c r="N114" s="1525">
        <f t="shared" ca="1" si="5"/>
        <v>9.9902731049647571</v>
      </c>
      <c r="O114" s="885"/>
      <c r="Q114" s="39"/>
    </row>
    <row r="115" spans="2:17" ht="15.75">
      <c r="B115" s="55"/>
      <c r="C115" s="923"/>
      <c r="D115" s="924" t="s">
        <v>2700</v>
      </c>
      <c r="E115" s="923"/>
      <c r="F115" s="1525">
        <f t="shared" ref="F115:N115" si="6">-F109*Conversion.to.average.power</f>
        <v>0</v>
      </c>
      <c r="G115" s="1525">
        <f t="shared" si="6"/>
        <v>-0.28519279032626049</v>
      </c>
      <c r="H115" s="1525">
        <f t="shared" si="6"/>
        <v>-0.28519279032626049</v>
      </c>
      <c r="I115" s="1525">
        <f t="shared" si="6"/>
        <v>-0.28519279032626049</v>
      </c>
      <c r="J115" s="1525">
        <f t="shared" si="6"/>
        <v>-0.44490075290896636</v>
      </c>
      <c r="K115" s="1525">
        <f t="shared" si="6"/>
        <v>-0.52475473420031926</v>
      </c>
      <c r="L115" s="1525">
        <f t="shared" si="6"/>
        <v>-0.79853981291352938</v>
      </c>
      <c r="M115" s="1525">
        <f t="shared" si="6"/>
        <v>-1.0266940451745379</v>
      </c>
      <c r="N115" s="1525">
        <f t="shared" si="6"/>
        <v>-1.140771161305042</v>
      </c>
      <c r="O115" s="885"/>
      <c r="Q115" s="39"/>
    </row>
    <row r="116" spans="2:17" ht="15.75">
      <c r="B116" s="55"/>
      <c r="C116" s="923"/>
      <c r="D116" s="924" t="s">
        <v>2701</v>
      </c>
      <c r="E116" s="923"/>
      <c r="F116" s="1525">
        <f t="shared" ref="F116:N116" ca="1" si="7">-F20</f>
        <v>-0.75</v>
      </c>
      <c r="G116" s="1525">
        <f t="shared" ca="1" si="7"/>
        <v>-0.75</v>
      </c>
      <c r="H116" s="1525">
        <f t="shared" ca="1" si="7"/>
        <v>-0.75</v>
      </c>
      <c r="I116" s="1525">
        <f t="shared" ca="1" si="7"/>
        <v>-1.4</v>
      </c>
      <c r="J116" s="1525">
        <f t="shared" ca="1" si="7"/>
        <v>-1.4</v>
      </c>
      <c r="K116" s="1525">
        <f t="shared" ca="1" si="7"/>
        <v>-1.4</v>
      </c>
      <c r="L116" s="1525">
        <f t="shared" ca="1" si="7"/>
        <v>-1.4</v>
      </c>
      <c r="M116" s="1525">
        <f t="shared" ca="1" si="7"/>
        <v>-1.4</v>
      </c>
      <c r="N116" s="1525">
        <f t="shared" ca="1" si="7"/>
        <v>-1.4</v>
      </c>
      <c r="O116" s="885"/>
      <c r="Q116" s="39"/>
    </row>
    <row r="117" spans="2:17" ht="15.75">
      <c r="B117" s="975"/>
      <c r="C117" s="916"/>
      <c r="D117" s="917" t="s">
        <v>2702</v>
      </c>
      <c r="E117" s="917"/>
      <c r="F117" s="3455">
        <f ca="1">MAX(SUM(F114:F116),0)</f>
        <v>0</v>
      </c>
      <c r="G117" s="3455">
        <f t="shared" ref="G117:N117" ca="1" si="8">MAX(SUM(G114:G116),0)</f>
        <v>0</v>
      </c>
      <c r="H117" s="3455">
        <f t="shared" ca="1" si="8"/>
        <v>0</v>
      </c>
      <c r="I117" s="3455">
        <f t="shared" ca="1" si="8"/>
        <v>0</v>
      </c>
      <c r="J117" s="3455">
        <f t="shared" ca="1" si="8"/>
        <v>0</v>
      </c>
      <c r="K117" s="3455">
        <f t="shared" ca="1" si="8"/>
        <v>2.0335833010984272</v>
      </c>
      <c r="L117" s="3455">
        <f t="shared" ca="1" si="8"/>
        <v>3.6765519844353896</v>
      </c>
      <c r="M117" s="3455">
        <f t="shared" ca="1" si="8"/>
        <v>5.5378252088509967</v>
      </c>
      <c r="N117" s="3455">
        <f t="shared" ca="1" si="8"/>
        <v>7.4495019436597154</v>
      </c>
      <c r="O117" s="893"/>
      <c r="Q117" s="39"/>
    </row>
    <row r="118" spans="2:17">
      <c r="B118" s="45"/>
      <c r="C118" s="65"/>
      <c r="D118" s="108"/>
      <c r="E118" s="108"/>
      <c r="F118" s="2523"/>
      <c r="G118" s="3408"/>
      <c r="H118" s="3408"/>
      <c r="I118" s="3408"/>
      <c r="J118" s="3408"/>
      <c r="K118" s="3408"/>
      <c r="L118" s="3408"/>
      <c r="M118" s="3408"/>
      <c r="N118" s="3408"/>
      <c r="O118" s="885"/>
      <c r="Q118" s="39"/>
    </row>
    <row r="119" spans="2:17">
      <c r="Q119" s="39"/>
    </row>
    <row r="120" spans="2:17">
      <c r="B120" s="363">
        <v>1</v>
      </c>
      <c r="C120" s="363" t="s">
        <v>2703</v>
      </c>
      <c r="E120" s="3380" t="str">
        <f>Preferences.EnergyUnits</f>
        <v>TWh</v>
      </c>
      <c r="F120" s="2490">
        <f>F109+F44</f>
        <v>2.5</v>
      </c>
      <c r="G120" s="2490">
        <f t="shared" ref="G120:N120" si="9">G109+G44</f>
        <v>2.5</v>
      </c>
      <c r="H120" s="2490">
        <f t="shared" si="9"/>
        <v>2.5</v>
      </c>
      <c r="I120" s="2490">
        <f t="shared" si="9"/>
        <v>2.5</v>
      </c>
      <c r="J120" s="2490">
        <f t="shared" si="9"/>
        <v>3.9</v>
      </c>
      <c r="K120" s="2490">
        <f t="shared" si="9"/>
        <v>4.5999999999999996</v>
      </c>
      <c r="L120" s="2490">
        <f t="shared" si="9"/>
        <v>7</v>
      </c>
      <c r="M120" s="2490">
        <f t="shared" si="9"/>
        <v>9</v>
      </c>
      <c r="N120" s="2490">
        <f t="shared" si="9"/>
        <v>10</v>
      </c>
      <c r="Q120" s="39"/>
    </row>
    <row r="121" spans="2:17">
      <c r="C121" s="3380" t="s">
        <v>2717</v>
      </c>
      <c r="E121" s="3380" t="str">
        <f>Preferences.EnergyUnits</f>
        <v>TWh</v>
      </c>
      <c r="F121" s="2515"/>
      <c r="G121" s="2515">
        <f t="shared" ref="G121:N121" si="10">(G173-F173)/(G137-F137)</f>
        <v>0</v>
      </c>
      <c r="H121" s="2515">
        <f t="shared" si="10"/>
        <v>0</v>
      </c>
      <c r="I121" s="2515">
        <f t="shared" si="10"/>
        <v>0</v>
      </c>
      <c r="J121" s="2515">
        <f t="shared" si="10"/>
        <v>0.27999999999999997</v>
      </c>
      <c r="K121" s="2515">
        <f t="shared" si="10"/>
        <v>0.13999999999999996</v>
      </c>
      <c r="L121" s="2515">
        <f t="shared" si="10"/>
        <v>0.48000000000000009</v>
      </c>
      <c r="M121" s="2515">
        <f t="shared" si="10"/>
        <v>0.4</v>
      </c>
      <c r="N121" s="2515">
        <f t="shared" si="10"/>
        <v>0.2</v>
      </c>
      <c r="Q121" s="39"/>
    </row>
    <row r="122" spans="2:17">
      <c r="F122" s="2515"/>
      <c r="G122" s="2515"/>
      <c r="H122" s="2515"/>
      <c r="I122" s="2515"/>
      <c r="J122" s="2515"/>
      <c r="K122" s="2515"/>
      <c r="L122" s="2515"/>
      <c r="M122" s="2515"/>
      <c r="N122" s="2515"/>
      <c r="Q122" s="39"/>
    </row>
    <row r="123" spans="2:17">
      <c r="C123" s="363" t="s">
        <v>757</v>
      </c>
      <c r="F123" s="2490"/>
      <c r="G123" s="2490"/>
      <c r="H123" s="2490"/>
      <c r="I123" s="2490"/>
      <c r="J123" s="2490"/>
      <c r="K123" s="2490"/>
      <c r="L123" s="2490"/>
      <c r="M123" s="2490"/>
      <c r="N123" s="2490"/>
      <c r="Q123" s="39"/>
    </row>
    <row r="124" spans="2:17">
      <c r="C124" s="3380" t="s">
        <v>2704</v>
      </c>
      <c r="E124" s="3380" t="str">
        <f>Preferences.PowerUnits</f>
        <v>GW</v>
      </c>
      <c r="F124" s="2414">
        <f t="shared" ref="F124:N124" si="11">(F120*Conversion.to.average.power)/$F$49/(1-$F$50)</f>
        <v>0.3531799261006322</v>
      </c>
      <c r="G124" s="2515">
        <f t="shared" si="11"/>
        <v>0.3531799261006322</v>
      </c>
      <c r="H124" s="2515">
        <f t="shared" si="11"/>
        <v>0.3531799261006322</v>
      </c>
      <c r="I124" s="2515">
        <f t="shared" si="11"/>
        <v>0.3531799261006322</v>
      </c>
      <c r="J124" s="2515">
        <f t="shared" si="11"/>
        <v>0.55096068471698623</v>
      </c>
      <c r="K124" s="2515">
        <f t="shared" si="11"/>
        <v>0.64985106402516324</v>
      </c>
      <c r="L124" s="2515">
        <f t="shared" si="11"/>
        <v>0.98890379308177012</v>
      </c>
      <c r="M124" s="2515">
        <f t="shared" si="11"/>
        <v>1.2714477339622761</v>
      </c>
      <c r="N124" s="2516">
        <f t="shared" si="11"/>
        <v>1.4127197044025288</v>
      </c>
      <c r="Q124" s="39"/>
    </row>
    <row r="125" spans="2:17">
      <c r="F125" s="2515"/>
      <c r="G125" s="2515"/>
      <c r="H125" s="2515"/>
      <c r="I125" s="2515"/>
      <c r="J125" s="2515"/>
      <c r="K125" s="2515"/>
      <c r="L125" s="2515"/>
      <c r="M125" s="2515"/>
      <c r="N125" s="2515"/>
      <c r="Q125" s="39"/>
    </row>
    <row r="126" spans="2:17">
      <c r="F126" s="2515"/>
      <c r="G126" s="2515"/>
      <c r="H126" s="2515"/>
      <c r="I126" s="2515"/>
      <c r="J126" s="2515"/>
      <c r="K126" s="2515"/>
      <c r="L126" s="2515"/>
      <c r="M126" s="2515"/>
      <c r="N126" s="2515"/>
      <c r="Q126" s="39"/>
    </row>
    <row r="127" spans="2:17">
      <c r="C127" s="363" t="s">
        <v>2797</v>
      </c>
      <c r="E127" s="363" t="s">
        <v>2812</v>
      </c>
      <c r="F127" s="2556">
        <v>2013</v>
      </c>
      <c r="G127" s="2556">
        <v>2015</v>
      </c>
      <c r="H127" s="2556">
        <v>2020</v>
      </c>
      <c r="I127" s="2556">
        <v>2025</v>
      </c>
      <c r="J127" s="2556">
        <v>2030</v>
      </c>
      <c r="K127" s="2556">
        <v>2035</v>
      </c>
      <c r="L127" s="2556">
        <v>2040</v>
      </c>
      <c r="M127" s="2556">
        <v>2045</v>
      </c>
      <c r="N127" s="2556">
        <v>2050</v>
      </c>
      <c r="Q127" s="39"/>
    </row>
    <row r="128" spans="2:17" hidden="1">
      <c r="C128" s="3380" t="s">
        <v>169</v>
      </c>
      <c r="F128"/>
      <c r="G128"/>
      <c r="H128"/>
      <c r="I128"/>
      <c r="J128"/>
      <c r="K128"/>
      <c r="L128"/>
      <c r="M128"/>
      <c r="N128"/>
      <c r="Q128" s="39"/>
    </row>
    <row r="129" spans="2:17" hidden="1">
      <c r="C129" s="3380" t="s">
        <v>173</v>
      </c>
      <c r="F129"/>
      <c r="G129"/>
      <c r="H129"/>
      <c r="I129"/>
      <c r="J129"/>
      <c r="K129"/>
      <c r="L129"/>
      <c r="M129"/>
      <c r="N129"/>
      <c r="Q129" s="39"/>
    </row>
    <row r="130" spans="2:17" hidden="1">
      <c r="C130" s="3380" t="s">
        <v>294</v>
      </c>
      <c r="F130"/>
      <c r="G130"/>
      <c r="H130"/>
      <c r="I130"/>
      <c r="J130"/>
      <c r="K130"/>
      <c r="L130"/>
      <c r="M130"/>
      <c r="N130"/>
      <c r="Q130" s="39"/>
    </row>
    <row r="131" spans="2:17" hidden="1">
      <c r="F131" s="2515"/>
      <c r="G131" s="2515"/>
      <c r="H131" s="2515"/>
      <c r="I131" s="2515"/>
      <c r="J131" s="2515"/>
      <c r="K131" s="2515"/>
      <c r="L131" s="2515"/>
      <c r="M131" s="2515"/>
      <c r="N131" s="2515"/>
      <c r="Q131" s="39"/>
    </row>
    <row r="132" spans="2:17" hidden="1">
      <c r="C132" s="363" t="s">
        <v>295</v>
      </c>
      <c r="E132" s="363" t="s">
        <v>2812</v>
      </c>
      <c r="F132" s="2556">
        <v>2013</v>
      </c>
      <c r="G132" s="2556">
        <v>2015</v>
      </c>
      <c r="H132" s="2556">
        <v>2020</v>
      </c>
      <c r="I132" s="2556">
        <v>2025</v>
      </c>
      <c r="J132" s="2556">
        <v>2030</v>
      </c>
      <c r="K132" s="2556">
        <v>2035</v>
      </c>
      <c r="L132" s="2556">
        <v>2040</v>
      </c>
      <c r="M132" s="2556">
        <v>2045</v>
      </c>
      <c r="N132" s="2556">
        <v>2050</v>
      </c>
      <c r="Q132" s="39"/>
    </row>
    <row r="133" spans="2:17" hidden="1">
      <c r="C133" s="3380" t="s">
        <v>169</v>
      </c>
      <c r="F133"/>
      <c r="G133"/>
      <c r="H133"/>
      <c r="I133"/>
      <c r="J133"/>
      <c r="K133"/>
      <c r="L133"/>
      <c r="M133"/>
      <c r="N133"/>
      <c r="Q133" s="39"/>
    </row>
    <row r="134" spans="2:17" hidden="1">
      <c r="C134" s="3380" t="s">
        <v>173</v>
      </c>
      <c r="F134"/>
      <c r="G134"/>
      <c r="H134"/>
      <c r="I134"/>
      <c r="J134"/>
      <c r="K134"/>
      <c r="L134"/>
      <c r="M134"/>
      <c r="N134"/>
      <c r="Q134" s="39"/>
    </row>
    <row r="135" spans="2:17" hidden="1">
      <c r="C135" s="3380" t="s">
        <v>294</v>
      </c>
      <c r="F135"/>
      <c r="G135"/>
      <c r="H135"/>
      <c r="I135"/>
      <c r="J135"/>
      <c r="K135"/>
      <c r="L135"/>
      <c r="M135"/>
      <c r="N135"/>
      <c r="Q135" s="39"/>
    </row>
    <row r="136" spans="2:17" hidden="1">
      <c r="F136" s="2515"/>
      <c r="G136" s="2515"/>
      <c r="H136" s="2515"/>
      <c r="I136" s="2515"/>
      <c r="J136" s="2515"/>
      <c r="K136" s="2515"/>
      <c r="L136" s="2515"/>
      <c r="M136" s="2515"/>
      <c r="N136" s="2515"/>
      <c r="Q136" s="39"/>
    </row>
    <row r="137" spans="2:17" hidden="1">
      <c r="C137" s="363" t="s">
        <v>296</v>
      </c>
      <c r="E137" s="363" t="s">
        <v>2812</v>
      </c>
      <c r="F137" s="2556">
        <v>2013</v>
      </c>
      <c r="G137" s="2556">
        <v>2015</v>
      </c>
      <c r="H137" s="2556">
        <v>2020</v>
      </c>
      <c r="I137" s="2556">
        <v>2025</v>
      </c>
      <c r="J137" s="2556">
        <v>2030</v>
      </c>
      <c r="K137" s="2556">
        <v>2035</v>
      </c>
      <c r="L137" s="2556">
        <v>2040</v>
      </c>
      <c r="M137" s="2556">
        <v>2045</v>
      </c>
      <c r="N137" s="2556">
        <v>2050</v>
      </c>
      <c r="Q137" s="39"/>
    </row>
    <row r="138" spans="2:17" hidden="1">
      <c r="C138" s="3380" t="s">
        <v>169</v>
      </c>
      <c r="F138"/>
      <c r="G138"/>
      <c r="H138"/>
      <c r="I138"/>
      <c r="J138"/>
      <c r="K138"/>
      <c r="L138"/>
      <c r="M138"/>
      <c r="N138"/>
      <c r="Q138" s="39"/>
    </row>
    <row r="139" spans="2:17" hidden="1">
      <c r="C139" s="3380" t="s">
        <v>173</v>
      </c>
      <c r="F139"/>
      <c r="G139"/>
      <c r="H139"/>
      <c r="I139"/>
      <c r="J139"/>
      <c r="K139"/>
      <c r="L139"/>
      <c r="M139"/>
      <c r="N139"/>
      <c r="Q139" s="39"/>
    </row>
    <row r="140" spans="2:17" hidden="1">
      <c r="C140" s="3380" t="s">
        <v>294</v>
      </c>
      <c r="F140"/>
      <c r="G140"/>
      <c r="H140"/>
      <c r="I140"/>
      <c r="J140"/>
      <c r="K140"/>
      <c r="L140"/>
      <c r="M140"/>
      <c r="N140"/>
      <c r="Q140" s="39"/>
    </row>
    <row r="141" spans="2:17">
      <c r="Q141" s="39"/>
    </row>
    <row r="142" spans="2:17">
      <c r="B142" s="363">
        <v>2</v>
      </c>
      <c r="C142" s="363" t="s">
        <v>2705</v>
      </c>
      <c r="E142" s="3380" t="str">
        <f>Preferences.EnergyUnits</f>
        <v>TWh</v>
      </c>
      <c r="F142" s="2490">
        <f>F15</f>
        <v>0.4</v>
      </c>
      <c r="G142" s="2490">
        <f t="shared" ref="G142:N142" ca="1" si="12">G15</f>
        <v>0</v>
      </c>
      <c r="H142" s="2490">
        <f t="shared" ca="1" si="12"/>
        <v>0</v>
      </c>
      <c r="I142" s="2490">
        <f t="shared" ca="1" si="12"/>
        <v>0</v>
      </c>
      <c r="J142" s="2490">
        <f t="shared" ca="1" si="12"/>
        <v>14.552664429668678</v>
      </c>
      <c r="K142" s="2490">
        <f t="shared" ca="1" si="12"/>
        <v>34.69879121742882</v>
      </c>
      <c r="L142" s="2490">
        <f t="shared" ca="1" si="12"/>
        <v>51.501054695560633</v>
      </c>
      <c r="M142" s="2490">
        <f t="shared" ca="1" si="12"/>
        <v>69.816975780787857</v>
      </c>
      <c r="N142" s="2490">
        <f t="shared" ca="1" si="12"/>
        <v>87.574734038121079</v>
      </c>
      <c r="Q142" s="39"/>
    </row>
    <row r="143" spans="2:17">
      <c r="C143" s="363"/>
      <c r="F143" s="2490"/>
      <c r="G143" s="2490"/>
      <c r="H143" s="2490"/>
      <c r="I143" s="2490"/>
      <c r="J143" s="2490"/>
      <c r="K143" s="2490"/>
      <c r="L143" s="2490"/>
      <c r="M143" s="2490"/>
      <c r="N143" s="2490"/>
      <c r="Q143" s="39"/>
    </row>
    <row r="144" spans="2:17">
      <c r="C144" s="363" t="s">
        <v>757</v>
      </c>
      <c r="F144" s="2556">
        <v>2013</v>
      </c>
      <c r="G144" s="2556">
        <v>2015</v>
      </c>
      <c r="H144" s="2556">
        <v>2020</v>
      </c>
      <c r="I144" s="2556">
        <v>2025</v>
      </c>
      <c r="J144" s="2556">
        <v>2030</v>
      </c>
      <c r="K144" s="2556">
        <v>2035</v>
      </c>
      <c r="L144" s="2556">
        <v>2040</v>
      </c>
      <c r="M144" s="2556">
        <v>2045</v>
      </c>
      <c r="N144" s="2556">
        <v>2050</v>
      </c>
      <c r="Q144" s="39"/>
    </row>
    <row r="145" spans="3:17">
      <c r="C145" s="3380" t="s">
        <v>2706</v>
      </c>
      <c r="E145" s="3380" t="s">
        <v>280</v>
      </c>
      <c r="F145" s="2414">
        <f ca="1">F117</f>
        <v>0</v>
      </c>
      <c r="G145" s="2414">
        <f t="shared" ref="G145:N145" ca="1" si="13">G117</f>
        <v>0</v>
      </c>
      <c r="H145" s="2414">
        <f t="shared" ca="1" si="13"/>
        <v>0</v>
      </c>
      <c r="I145" s="2414">
        <f t="shared" ca="1" si="13"/>
        <v>0</v>
      </c>
      <c r="J145" s="2414">
        <f t="shared" ca="1" si="13"/>
        <v>0</v>
      </c>
      <c r="K145" s="2414">
        <f t="shared" ca="1" si="13"/>
        <v>2.0335833010984272</v>
      </c>
      <c r="L145" s="2414">
        <f t="shared" ca="1" si="13"/>
        <v>3.6765519844353896</v>
      </c>
      <c r="M145" s="2414">
        <f t="shared" ca="1" si="13"/>
        <v>5.5378252088509967</v>
      </c>
      <c r="N145" s="2414">
        <f t="shared" ca="1" si="13"/>
        <v>7.4495019436597154</v>
      </c>
      <c r="Q145" s="39"/>
    </row>
    <row r="146" spans="3:17">
      <c r="C146" s="2" t="s">
        <v>2707</v>
      </c>
      <c r="E146" s="2" t="s">
        <v>2708</v>
      </c>
      <c r="F146" s="2414"/>
      <c r="G146" s="2414">
        <f ca="1">F145/$E$53</f>
        <v>0</v>
      </c>
      <c r="H146" s="2414">
        <f t="shared" ref="H146:N146" ca="1" si="14">G145/$E$53</f>
        <v>0</v>
      </c>
      <c r="I146" s="2414">
        <f t="shared" ca="1" si="14"/>
        <v>0</v>
      </c>
      <c r="J146" s="2414">
        <f t="shared" ca="1" si="14"/>
        <v>0</v>
      </c>
      <c r="K146" s="2414">
        <f t="shared" ca="1" si="14"/>
        <v>0</v>
      </c>
      <c r="L146" s="2414">
        <f t="shared" ca="1" si="14"/>
        <v>6.7786110036614236E-2</v>
      </c>
      <c r="M146" s="2414">
        <f t="shared" ca="1" si="14"/>
        <v>0.12255173281451298</v>
      </c>
      <c r="N146" s="2414">
        <f t="shared" ca="1" si="14"/>
        <v>0.18459417362836655</v>
      </c>
      <c r="Q146" s="39"/>
    </row>
    <row r="147" spans="3:17">
      <c r="C147" s="3380" t="s">
        <v>2709</v>
      </c>
      <c r="E147" s="3380" t="s">
        <v>2708</v>
      </c>
      <c r="F147" s="2515"/>
      <c r="G147" s="2515">
        <f ca="1">MAX((G145-F145)/(G144-F144),0)</f>
        <v>0</v>
      </c>
      <c r="H147" s="2515">
        <f t="shared" ref="H147:N147" ca="1" si="15">MAX((H145-G145)/(H144-G144),0)</f>
        <v>0</v>
      </c>
      <c r="I147" s="2515">
        <f t="shared" ca="1" si="15"/>
        <v>0</v>
      </c>
      <c r="J147" s="2515">
        <f t="shared" ca="1" si="15"/>
        <v>0</v>
      </c>
      <c r="K147" s="2515">
        <f t="shared" ca="1" si="15"/>
        <v>0.40671666021968544</v>
      </c>
      <c r="L147" s="2515">
        <f t="shared" ca="1" si="15"/>
        <v>0.32859373666739244</v>
      </c>
      <c r="M147" s="2515">
        <f t="shared" ca="1" si="15"/>
        <v>0.37225464488312143</v>
      </c>
      <c r="N147" s="2515">
        <f t="shared" ca="1" si="15"/>
        <v>0.38233534696174376</v>
      </c>
      <c r="Q147" s="39"/>
    </row>
    <row r="148" spans="3:17">
      <c r="C148" s="3380" t="s">
        <v>2710</v>
      </c>
      <c r="E148" s="3380" t="s">
        <v>2708</v>
      </c>
      <c r="F148" s="2515"/>
      <c r="G148" s="2515">
        <f ca="1">SUM(G146:G147)</f>
        <v>0</v>
      </c>
      <c r="H148" s="2515">
        <f t="shared" ref="H148:N148" ca="1" si="16">SUM(H146:H147)</f>
        <v>0</v>
      </c>
      <c r="I148" s="2515">
        <f t="shared" ca="1" si="16"/>
        <v>0</v>
      </c>
      <c r="J148" s="2515">
        <f t="shared" ca="1" si="16"/>
        <v>0</v>
      </c>
      <c r="K148" s="2515">
        <f t="shared" ca="1" si="16"/>
        <v>0.40671666021968544</v>
      </c>
      <c r="L148" s="2515">
        <f t="shared" ca="1" si="16"/>
        <v>0.39637984670400667</v>
      </c>
      <c r="M148" s="2515">
        <f t="shared" ca="1" si="16"/>
        <v>0.49480637769763441</v>
      </c>
      <c r="N148" s="2515">
        <f t="shared" ca="1" si="16"/>
        <v>0.56692952059011037</v>
      </c>
      <c r="Q148" s="39"/>
    </row>
    <row r="149" spans="3:17">
      <c r="F149" s="2515"/>
      <c r="G149" s="2515"/>
      <c r="H149" s="2515"/>
      <c r="I149" s="2515"/>
      <c r="J149" s="2515"/>
      <c r="K149" s="2515"/>
      <c r="L149" s="2515"/>
      <c r="M149" s="2515"/>
      <c r="N149" s="2515"/>
      <c r="Q149" s="39"/>
    </row>
    <row r="150" spans="3:17">
      <c r="C150" s="363" t="s">
        <v>2797</v>
      </c>
      <c r="E150" s="363" t="s">
        <v>2812</v>
      </c>
      <c r="F150" s="2556">
        <v>2013</v>
      </c>
      <c r="G150" s="2556">
        <v>2015</v>
      </c>
      <c r="H150" s="2556">
        <v>2020</v>
      </c>
      <c r="I150" s="2556">
        <v>2025</v>
      </c>
      <c r="J150" s="2556">
        <v>2030</v>
      </c>
      <c r="K150" s="2556">
        <v>2035</v>
      </c>
      <c r="L150" s="2556">
        <v>2040</v>
      </c>
      <c r="M150" s="2556">
        <v>2045</v>
      </c>
      <c r="N150" s="2556">
        <v>2050</v>
      </c>
      <c r="Q150" s="39"/>
    </row>
    <row r="151" spans="3:17" hidden="1">
      <c r="C151" s="3380" t="s">
        <v>169</v>
      </c>
      <c r="F151"/>
      <c r="G151"/>
      <c r="H151"/>
      <c r="I151"/>
      <c r="J151"/>
      <c r="K151"/>
      <c r="L151"/>
      <c r="M151"/>
      <c r="N151"/>
      <c r="Q151" s="39"/>
    </row>
    <row r="152" spans="3:17" hidden="1">
      <c r="C152" s="3380" t="s">
        <v>173</v>
      </c>
      <c r="F152"/>
      <c r="G152"/>
      <c r="H152"/>
      <c r="I152"/>
      <c r="J152"/>
      <c r="K152"/>
      <c r="L152"/>
      <c r="M152"/>
      <c r="N152"/>
      <c r="Q152" s="39"/>
    </row>
    <row r="153" spans="3:17" hidden="1">
      <c r="C153" s="3380" t="s">
        <v>2711</v>
      </c>
      <c r="F153"/>
      <c r="G153"/>
      <c r="H153"/>
      <c r="I153"/>
      <c r="J153"/>
      <c r="K153"/>
      <c r="L153"/>
      <c r="M153"/>
      <c r="N153"/>
      <c r="Q153" s="39"/>
    </row>
    <row r="154" spans="3:17" hidden="1">
      <c r="C154" s="3380" t="s">
        <v>294</v>
      </c>
      <c r="F154"/>
      <c r="G154"/>
      <c r="H154"/>
      <c r="I154"/>
      <c r="J154"/>
      <c r="K154"/>
      <c r="L154"/>
      <c r="M154"/>
      <c r="N154"/>
      <c r="Q154" s="39"/>
    </row>
    <row r="155" spans="3:17" hidden="1">
      <c r="F155" s="2515"/>
      <c r="G155" s="2515"/>
      <c r="H155" s="2515"/>
      <c r="I155" s="2515"/>
      <c r="J155" s="2515"/>
      <c r="K155" s="2515"/>
      <c r="L155" s="2515"/>
      <c r="M155" s="2515"/>
      <c r="N155" s="2515"/>
      <c r="Q155" s="39"/>
    </row>
    <row r="156" spans="3:17" hidden="1">
      <c r="C156" s="363" t="s">
        <v>295</v>
      </c>
      <c r="E156" s="363" t="s">
        <v>2812</v>
      </c>
      <c r="F156" s="2556">
        <v>2013</v>
      </c>
      <c r="G156" s="2556">
        <v>2015</v>
      </c>
      <c r="H156" s="2556">
        <v>2020</v>
      </c>
      <c r="I156" s="2556">
        <v>2025</v>
      </c>
      <c r="J156" s="2556">
        <v>2030</v>
      </c>
      <c r="K156" s="2556">
        <v>2035</v>
      </c>
      <c r="L156" s="2556">
        <v>2040</v>
      </c>
      <c r="M156" s="2556">
        <v>2045</v>
      </c>
      <c r="N156" s="2556">
        <v>2050</v>
      </c>
      <c r="Q156" s="39"/>
    </row>
    <row r="157" spans="3:17" hidden="1">
      <c r="C157" s="3380" t="s">
        <v>169</v>
      </c>
      <c r="Q157" s="39"/>
    </row>
    <row r="158" spans="3:17" hidden="1">
      <c r="C158" s="3380" t="s">
        <v>173</v>
      </c>
      <c r="Q158" s="39"/>
    </row>
    <row r="159" spans="3:17" hidden="1">
      <c r="C159" s="3380" t="s">
        <v>2712</v>
      </c>
      <c r="Q159" s="39"/>
    </row>
    <row r="160" spans="3:17" hidden="1">
      <c r="C160" s="3380" t="s">
        <v>294</v>
      </c>
      <c r="Q160" s="39"/>
    </row>
    <row r="161" spans="1:22" hidden="1">
      <c r="F161" s="2515"/>
      <c r="G161" s="2515"/>
      <c r="H161" s="2515"/>
      <c r="I161" s="2515"/>
      <c r="J161" s="2515"/>
      <c r="K161" s="2515"/>
      <c r="L161" s="2515"/>
      <c r="M161" s="2515"/>
      <c r="N161" s="2515"/>
      <c r="Q161" s="39"/>
    </row>
    <row r="162" spans="1:22" hidden="1">
      <c r="C162" s="363" t="s">
        <v>296</v>
      </c>
      <c r="E162" s="363" t="s">
        <v>2812</v>
      </c>
      <c r="F162" s="2556">
        <v>2013</v>
      </c>
      <c r="G162" s="2556">
        <v>2015</v>
      </c>
      <c r="H162" s="2556">
        <v>2020</v>
      </c>
      <c r="I162" s="2556">
        <v>2025</v>
      </c>
      <c r="J162" s="2556">
        <v>2030</v>
      </c>
      <c r="K162" s="2556">
        <v>2035</v>
      </c>
      <c r="L162" s="2556">
        <v>2040</v>
      </c>
      <c r="M162" s="2556">
        <v>2045</v>
      </c>
      <c r="N162" s="2556">
        <v>2050</v>
      </c>
      <c r="Q162" s="39"/>
    </row>
    <row r="163" spans="1:22" hidden="1">
      <c r="C163" s="3380" t="s">
        <v>169</v>
      </c>
      <c r="Q163" s="39"/>
    </row>
    <row r="164" spans="1:22" hidden="1">
      <c r="A164" s="3380" t="s">
        <v>5</v>
      </c>
      <c r="C164" s="3380" t="s">
        <v>173</v>
      </c>
      <c r="Q164" s="39"/>
    </row>
    <row r="165" spans="1:22" hidden="1">
      <c r="C165" s="3380" t="s">
        <v>2712</v>
      </c>
      <c r="Q165" s="39"/>
    </row>
    <row r="166" spans="1:22" hidden="1">
      <c r="C166" s="3380" t="s">
        <v>294</v>
      </c>
      <c r="Q166" s="39"/>
    </row>
    <row r="167" spans="1:22">
      <c r="Q167" s="39"/>
    </row>
    <row r="168" spans="1:22" ht="23.25">
      <c r="A168" s="7"/>
      <c r="B168" s="511" t="s">
        <v>299</v>
      </c>
      <c r="C168" s="512"/>
      <c r="D168" s="512"/>
      <c r="E168" s="512"/>
      <c r="F168" s="512"/>
      <c r="G168" s="512"/>
      <c r="H168" s="512"/>
      <c r="I168" s="512"/>
      <c r="J168" s="512"/>
      <c r="K168" s="512"/>
      <c r="L168" s="512"/>
      <c r="M168" s="512"/>
      <c r="N168" s="512"/>
      <c r="O168" s="866"/>
      <c r="Q168" s="39"/>
    </row>
    <row r="169" spans="1:22">
      <c r="B169" s="514"/>
      <c r="C169" s="515"/>
      <c r="D169" s="515"/>
      <c r="E169" s="515"/>
      <c r="F169" s="515"/>
      <c r="G169" s="515"/>
      <c r="H169" s="515"/>
      <c r="I169" s="515"/>
      <c r="J169" s="515"/>
      <c r="K169" s="515"/>
      <c r="L169" s="515"/>
      <c r="M169" s="515"/>
      <c r="N169" s="515"/>
      <c r="O169" s="867"/>
      <c r="Q169" s="39"/>
    </row>
    <row r="170" spans="1:22">
      <c r="B170" s="514"/>
      <c r="C170" s="34" t="s">
        <v>765</v>
      </c>
      <c r="D170" s="515"/>
      <c r="E170" s="516"/>
      <c r="F170" s="515"/>
      <c r="G170" s="515"/>
      <c r="H170" s="515"/>
      <c r="I170" s="515"/>
      <c r="J170" s="515"/>
      <c r="K170" s="515"/>
      <c r="L170" s="515"/>
      <c r="M170" s="515"/>
      <c r="N170" s="516" t="str">
        <f>Preferences.EnergyUnits</f>
        <v>TWh</v>
      </c>
      <c r="O170" s="867"/>
      <c r="Q170" s="39"/>
    </row>
    <row r="171" spans="1:22">
      <c r="B171" s="514"/>
      <c r="C171" s="515"/>
      <c r="D171" s="515"/>
      <c r="E171" s="515"/>
      <c r="F171" s="515"/>
      <c r="G171" s="515"/>
      <c r="H171" s="515"/>
      <c r="I171" s="515"/>
      <c r="J171" s="515"/>
      <c r="K171" s="515"/>
      <c r="L171" s="515"/>
      <c r="M171" s="515"/>
      <c r="N171" s="515"/>
      <c r="O171" s="867"/>
      <c r="Q171" s="39"/>
    </row>
    <row r="172" spans="1:22" ht="15.75">
      <c r="A172" s="443"/>
      <c r="B172" s="15"/>
      <c r="C172" s="873" t="s">
        <v>28</v>
      </c>
      <c r="D172" s="873" t="s">
        <v>29</v>
      </c>
      <c r="E172" s="873" t="s">
        <v>30</v>
      </c>
      <c r="F172" s="873" t="s">
        <v>597</v>
      </c>
      <c r="G172" s="873" t="s">
        <v>133</v>
      </c>
      <c r="H172" s="873" t="s">
        <v>134</v>
      </c>
      <c r="I172" s="873" t="s">
        <v>135</v>
      </c>
      <c r="J172" s="873" t="s">
        <v>136</v>
      </c>
      <c r="K172" s="873" t="s">
        <v>137</v>
      </c>
      <c r="L172" s="873" t="s">
        <v>138</v>
      </c>
      <c r="M172" s="873" t="s">
        <v>139</v>
      </c>
      <c r="N172" s="873" t="s">
        <v>140</v>
      </c>
      <c r="O172" s="867"/>
      <c r="Q172" s="39"/>
    </row>
    <row r="173" spans="1:22" ht="15.75">
      <c r="A173" s="443"/>
      <c r="B173" s="15"/>
      <c r="C173" s="17" t="s">
        <v>97</v>
      </c>
      <c r="D173" s="2487" t="str">
        <f>INDEX(Vectors[Description], MATCH([Vector], Vectors[Code], 0))</f>
        <v>Electricity (supplied to grid)</v>
      </c>
      <c r="E173" s="17"/>
      <c r="F173" s="2521">
        <f>F$120</f>
        <v>2.5</v>
      </c>
      <c r="G173" s="2521">
        <f t="shared" ref="G173:N173" si="17">G$120</f>
        <v>2.5</v>
      </c>
      <c r="H173" s="2521">
        <f t="shared" si="17"/>
        <v>2.5</v>
      </c>
      <c r="I173" s="2521">
        <f t="shared" si="17"/>
        <v>2.5</v>
      </c>
      <c r="J173" s="2521">
        <f t="shared" si="17"/>
        <v>3.9</v>
      </c>
      <c r="K173" s="2521">
        <f t="shared" si="17"/>
        <v>4.5999999999999996</v>
      </c>
      <c r="L173" s="2521">
        <f t="shared" si="17"/>
        <v>7</v>
      </c>
      <c r="M173" s="2521">
        <f t="shared" si="17"/>
        <v>9</v>
      </c>
      <c r="N173" s="2521">
        <f t="shared" si="17"/>
        <v>10</v>
      </c>
      <c r="O173" s="867"/>
      <c r="Q173" s="39"/>
    </row>
    <row r="174" spans="1:22" ht="15.75">
      <c r="A174" s="443"/>
      <c r="B174" s="15"/>
      <c r="C174" s="17" t="s">
        <v>440</v>
      </c>
      <c r="D174" s="2487" t="str">
        <f>INDEX(Vectors[Description], MATCH([Vector], Vectors[Code], 0))</f>
        <v>Electricity imports (exports in paranthesis)</v>
      </c>
      <c r="E174" s="17"/>
      <c r="F174" s="2521">
        <f t="shared" ref="F174:N174" si="18">-F$120</f>
        <v>-2.5</v>
      </c>
      <c r="G174" s="2521">
        <f t="shared" si="18"/>
        <v>-2.5</v>
      </c>
      <c r="H174" s="2521">
        <f t="shared" si="18"/>
        <v>-2.5</v>
      </c>
      <c r="I174" s="2521">
        <f t="shared" si="18"/>
        <v>-2.5</v>
      </c>
      <c r="J174" s="2521">
        <f t="shared" si="18"/>
        <v>-3.9</v>
      </c>
      <c r="K174" s="2521">
        <f t="shared" si="18"/>
        <v>-4.5999999999999996</v>
      </c>
      <c r="L174" s="2521">
        <f t="shared" si="18"/>
        <v>-7</v>
      </c>
      <c r="M174" s="2521">
        <f t="shared" si="18"/>
        <v>-9</v>
      </c>
      <c r="N174" s="2521">
        <f t="shared" si="18"/>
        <v>-10</v>
      </c>
      <c r="O174" s="867"/>
      <c r="Q174" s="39"/>
      <c r="S174" s="1152"/>
      <c r="T174" s="1153"/>
      <c r="U174" s="1152"/>
      <c r="V174" s="1152"/>
    </row>
    <row r="175" spans="1:22" ht="15.75">
      <c r="A175" s="443"/>
      <c r="B175" s="15"/>
      <c r="C175" s="2462" t="s">
        <v>59</v>
      </c>
      <c r="D175" s="2462"/>
      <c r="E175" s="2462"/>
      <c r="F175" s="2465">
        <f>SUBTOTAL(109,[2013])</f>
        <v>0</v>
      </c>
      <c r="G175" s="2465">
        <f>SUBTOTAL(109,[2015])</f>
        <v>0</v>
      </c>
      <c r="H175" s="2465">
        <f>SUBTOTAL(109,[2020])</f>
        <v>0</v>
      </c>
      <c r="I175" s="2465">
        <f>SUBTOTAL(109,[2025])</f>
        <v>0</v>
      </c>
      <c r="J175" s="2465">
        <f>SUBTOTAL(109,[2030])</f>
        <v>0</v>
      </c>
      <c r="K175" s="2465">
        <f>SUBTOTAL(109,[2035])</f>
        <v>0</v>
      </c>
      <c r="L175" s="2465">
        <f>SUBTOTAL(109,[2040])</f>
        <v>0</v>
      </c>
      <c r="M175" s="2465">
        <f>SUBTOTAL(109,[2045])</f>
        <v>0</v>
      </c>
      <c r="N175" s="2465">
        <f>SUBTOTAL(109,[2050])</f>
        <v>0</v>
      </c>
      <c r="O175" s="867"/>
      <c r="Q175" s="39"/>
      <c r="T175" s="6"/>
    </row>
    <row r="176" spans="1:22">
      <c r="B176" s="515"/>
      <c r="C176" s="2920"/>
      <c r="D176" s="2921"/>
      <c r="E176" s="2921"/>
      <c r="F176" s="2921"/>
      <c r="G176" s="2921"/>
      <c r="H176" s="2921"/>
      <c r="I176" s="2921"/>
      <c r="J176" s="2921"/>
      <c r="K176" s="2921"/>
      <c r="L176" s="2921"/>
      <c r="M176" s="2921"/>
      <c r="N176" s="2921"/>
      <c r="O176" s="515"/>
      <c r="Q176" s="39"/>
      <c r="T176" s="6"/>
    </row>
    <row r="177" spans="2:22">
      <c r="Q177" s="39"/>
    </row>
    <row r="178" spans="2:22" ht="15.75">
      <c r="B178" s="995" t="s">
        <v>313</v>
      </c>
      <c r="C178" s="996"/>
      <c r="D178" s="997"/>
      <c r="E178" s="997"/>
      <c r="F178" s="997"/>
      <c r="G178" s="997"/>
      <c r="H178" s="997"/>
      <c r="I178" s="997"/>
      <c r="J178" s="997"/>
      <c r="K178" s="997"/>
      <c r="L178" s="997"/>
      <c r="M178" s="997"/>
      <c r="N178" s="997"/>
      <c r="O178" s="998"/>
      <c r="Q178" s="39"/>
    </row>
    <row r="179" spans="2:22">
      <c r="B179" s="999"/>
      <c r="C179" s="1000"/>
      <c r="D179" s="1000"/>
      <c r="E179" s="1000"/>
      <c r="F179" s="1000"/>
      <c r="G179" s="1000"/>
      <c r="H179" s="1000"/>
      <c r="I179" s="1000"/>
      <c r="J179" s="1000"/>
      <c r="K179" s="1000"/>
      <c r="L179" s="1000"/>
      <c r="M179" s="1000"/>
      <c r="N179" s="1000"/>
      <c r="O179" s="1001"/>
      <c r="Q179" s="39"/>
    </row>
    <row r="180" spans="2:22">
      <c r="B180" s="1002"/>
      <c r="C180" s="488" t="s">
        <v>314</v>
      </c>
      <c r="D180" s="1003"/>
      <c r="E180" s="1004"/>
      <c r="F180" s="1003"/>
      <c r="G180" s="1003"/>
      <c r="H180" s="1003"/>
      <c r="I180" s="1003"/>
      <c r="J180" s="1003"/>
      <c r="K180" s="1003"/>
      <c r="L180" s="1003"/>
      <c r="M180" s="1003"/>
      <c r="N180" s="1004"/>
      <c r="O180" s="1005"/>
      <c r="Q180" s="39"/>
    </row>
    <row r="181" spans="2:22">
      <c r="B181" s="1002"/>
      <c r="C181" s="1003"/>
      <c r="D181" s="1003"/>
      <c r="E181" s="1003"/>
      <c r="F181" s="1003"/>
      <c r="G181" s="1003"/>
      <c r="H181" s="1003"/>
      <c r="I181" s="1003"/>
      <c r="J181" s="1003"/>
      <c r="K181" s="1003"/>
      <c r="L181" s="1003"/>
      <c r="M181" s="1003"/>
      <c r="N181" s="1003"/>
      <c r="O181" s="1005"/>
      <c r="Q181" s="39"/>
    </row>
    <row r="182" spans="2:22" ht="15.75">
      <c r="B182" s="492"/>
      <c r="C182" s="1006" t="s">
        <v>28</v>
      </c>
      <c r="D182" s="1006" t="s">
        <v>315</v>
      </c>
      <c r="E182" s="1006" t="s">
        <v>30</v>
      </c>
      <c r="F182" s="1006" t="s">
        <v>597</v>
      </c>
      <c r="G182" s="1006" t="s">
        <v>133</v>
      </c>
      <c r="H182" s="1006" t="s">
        <v>134</v>
      </c>
      <c r="I182" s="1006" t="s">
        <v>135</v>
      </c>
      <c r="J182" s="1006" t="s">
        <v>136</v>
      </c>
      <c r="K182" s="1006" t="s">
        <v>137</v>
      </c>
      <c r="L182" s="1006" t="s">
        <v>138</v>
      </c>
      <c r="M182" s="1006" t="s">
        <v>139</v>
      </c>
      <c r="N182" s="1006" t="s">
        <v>140</v>
      </c>
      <c r="O182" s="1005"/>
      <c r="Q182" s="39"/>
    </row>
    <row r="183" spans="2:22" ht="15.75">
      <c r="B183" s="492"/>
      <c r="C183" s="1007"/>
      <c r="D183" s="1007"/>
      <c r="E183" s="3064" t="str">
        <f>Preferences.PowerUnits</f>
        <v>GW</v>
      </c>
      <c r="F183" s="2438"/>
      <c r="G183" s="2438"/>
      <c r="H183" s="2438"/>
      <c r="I183" s="2438">
        <f t="shared" ref="I183:N183" si="19">I125</f>
        <v>0</v>
      </c>
      <c r="J183" s="2438">
        <f t="shared" si="19"/>
        <v>0</v>
      </c>
      <c r="K183" s="2438">
        <f t="shared" si="19"/>
        <v>0</v>
      </c>
      <c r="L183" s="2438">
        <f t="shared" si="19"/>
        <v>0</v>
      </c>
      <c r="M183" s="2438">
        <f t="shared" si="19"/>
        <v>0</v>
      </c>
      <c r="N183" s="2438">
        <f t="shared" si="19"/>
        <v>0</v>
      </c>
      <c r="O183" s="1005"/>
      <c r="Q183" s="39"/>
    </row>
    <row r="184" spans="2:22" ht="15.75">
      <c r="B184" s="492"/>
      <c r="C184" s="1007" t="s">
        <v>1868</v>
      </c>
      <c r="D184" s="494" t="s">
        <v>1869</v>
      </c>
      <c r="E184" s="3064" t="str">
        <f>Preferences.PowerUnits</f>
        <v>GW</v>
      </c>
      <c r="F184" s="2438">
        <f t="shared" ref="F184:M184" ca="1" si="20">F145+F124</f>
        <v>0.3531799261006322</v>
      </c>
      <c r="G184" s="2438">
        <f t="shared" ca="1" si="20"/>
        <v>0.3531799261006322</v>
      </c>
      <c r="H184" s="2438">
        <f t="shared" ca="1" si="20"/>
        <v>0.3531799261006322</v>
      </c>
      <c r="I184" s="2438">
        <f t="shared" ca="1" si="20"/>
        <v>0.3531799261006322</v>
      </c>
      <c r="J184" s="2438">
        <f t="shared" ca="1" si="20"/>
        <v>0.55096068471698623</v>
      </c>
      <c r="K184" s="2438">
        <f t="shared" ca="1" si="20"/>
        <v>2.6834343651235906</v>
      </c>
      <c r="L184" s="2438">
        <f t="shared" ca="1" si="20"/>
        <v>4.6654557775171597</v>
      </c>
      <c r="M184" s="2438">
        <f t="shared" ca="1" si="20"/>
        <v>6.8092729428132728</v>
      </c>
      <c r="N184" s="2438">
        <f ca="1">N145+N124</f>
        <v>8.8622216480622438</v>
      </c>
      <c r="O184" s="1005"/>
      <c r="Q184" s="39"/>
    </row>
    <row r="185" spans="2:22" ht="15.75">
      <c r="B185" s="497"/>
      <c r="C185" s="1010"/>
      <c r="D185" s="1010"/>
      <c r="E185" s="1010"/>
      <c r="F185" s="1010"/>
      <c r="G185" s="1010"/>
      <c r="H185" s="1010"/>
      <c r="I185" s="1010"/>
      <c r="J185" s="1010"/>
      <c r="K185" s="1010"/>
      <c r="L185" s="1010"/>
      <c r="M185" s="1010"/>
      <c r="N185" s="1010"/>
      <c r="O185" s="1011"/>
      <c r="Q185" s="39"/>
    </row>
    <row r="186" spans="2:22">
      <c r="Q186" s="39"/>
    </row>
    <row r="187" spans="2:22" ht="15.75">
      <c r="B187" s="995" t="s">
        <v>2795</v>
      </c>
      <c r="C187" s="997"/>
      <c r="D187" s="997"/>
      <c r="E187" s="997"/>
      <c r="F187" s="997"/>
      <c r="G187" s="997"/>
      <c r="H187" s="997"/>
      <c r="I187" s="997"/>
      <c r="J187" s="997"/>
      <c r="K187" s="997"/>
      <c r="L187" s="997"/>
      <c r="M187" s="997"/>
      <c r="N187" s="997"/>
      <c r="O187" s="998"/>
      <c r="Q187" s="39"/>
    </row>
    <row r="188" spans="2:22" hidden="1">
      <c r="B188" s="1002"/>
      <c r="C188" s="1003"/>
      <c r="D188" s="1003"/>
      <c r="E188" s="1003"/>
      <c r="F188" s="1003"/>
      <c r="G188" s="1003"/>
      <c r="H188" s="1003"/>
      <c r="I188" s="1003"/>
      <c r="J188" s="1003"/>
      <c r="K188" s="1003"/>
      <c r="L188" s="1003"/>
      <c r="M188" s="1003"/>
      <c r="N188" s="1003"/>
      <c r="O188" s="1005"/>
      <c r="Q188" s="39"/>
    </row>
    <row r="189" spans="2:22" hidden="1">
      <c r="B189" s="1002"/>
      <c r="C189" s="500" t="s">
        <v>2713</v>
      </c>
      <c r="D189" s="1012"/>
      <c r="E189" s="1012"/>
      <c r="F189" s="1012"/>
      <c r="G189" s="1012"/>
      <c r="H189" s="1012"/>
      <c r="I189" s="1012"/>
      <c r="J189" s="1012"/>
      <c r="K189" s="1012"/>
      <c r="L189" s="1012"/>
      <c r="M189" s="1012"/>
      <c r="N189" s="1013" t="s">
        <v>2812</v>
      </c>
      <c r="O189" s="1005"/>
      <c r="Q189" s="39"/>
    </row>
    <row r="190" spans="2:22" hidden="1">
      <c r="B190" s="1002"/>
      <c r="C190" s="1003"/>
      <c r="D190" s="1003"/>
      <c r="E190" s="1003"/>
      <c r="F190" s="1003"/>
      <c r="G190" s="1003"/>
      <c r="H190" s="1003"/>
      <c r="I190" s="1003"/>
      <c r="J190" s="1003"/>
      <c r="K190" s="1003"/>
      <c r="L190" s="1003"/>
      <c r="M190" s="1003"/>
      <c r="N190" s="1003"/>
      <c r="O190" s="1005"/>
      <c r="Q190" s="39"/>
      <c r="R190" s="39"/>
      <c r="S190" s="39"/>
      <c r="T190" s="39"/>
      <c r="U190" s="39"/>
      <c r="V190" s="39"/>
    </row>
    <row r="191" spans="2:22" ht="15.75" hidden="1">
      <c r="B191" s="492"/>
      <c r="C191" s="1006" t="s">
        <v>28</v>
      </c>
      <c r="D191" s="1006" t="s">
        <v>29</v>
      </c>
      <c r="E191" s="1006" t="s">
        <v>30</v>
      </c>
      <c r="F191" s="1006">
        <v>2013</v>
      </c>
      <c r="G191" s="1006" t="s">
        <v>133</v>
      </c>
      <c r="H191" s="1006" t="s">
        <v>134</v>
      </c>
      <c r="I191" s="1006" t="s">
        <v>135</v>
      </c>
      <c r="J191" s="1006" t="s">
        <v>136</v>
      </c>
      <c r="K191" s="1006" t="s">
        <v>137</v>
      </c>
      <c r="L191" s="1006" t="s">
        <v>138</v>
      </c>
      <c r="M191" s="1006" t="s">
        <v>139</v>
      </c>
      <c r="N191" s="1006" t="s">
        <v>140</v>
      </c>
      <c r="O191" s="1150"/>
      <c r="Q191" s="3457"/>
      <c r="R191" s="656"/>
      <c r="S191" s="206"/>
      <c r="T191" s="206"/>
      <c r="U191" s="39"/>
      <c r="V191" s="39"/>
    </row>
    <row r="192" spans="2:22" ht="15.75" hidden="1">
      <c r="B192" s="492"/>
      <c r="C192" s="1007" t="s">
        <v>324</v>
      </c>
      <c r="D192" s="494" t="s">
        <v>325</v>
      </c>
      <c r="E192" s="494"/>
      <c r="F192" s="3456">
        <v>0</v>
      </c>
      <c r="G192" s="3456">
        <v>0</v>
      </c>
      <c r="H192" s="3456">
        <v>0</v>
      </c>
      <c r="I192" s="3456">
        <v>0</v>
      </c>
      <c r="J192" s="3456">
        <v>0</v>
      </c>
      <c r="K192" s="3456">
        <v>0</v>
      </c>
      <c r="L192" s="3456">
        <v>0</v>
      </c>
      <c r="M192" s="3456">
        <v>0</v>
      </c>
      <c r="N192" s="3456">
        <v>0</v>
      </c>
      <c r="O192" s="1150"/>
      <c r="Q192" s="3457"/>
      <c r="R192" s="656"/>
      <c r="S192" s="206"/>
      <c r="T192" s="206"/>
      <c r="U192" s="39"/>
      <c r="V192" s="39"/>
    </row>
    <row r="193" spans="2:32" ht="15.75" hidden="1">
      <c r="B193" s="492"/>
      <c r="C193" s="1007" t="s">
        <v>331</v>
      </c>
      <c r="D193" s="494" t="s">
        <v>332</v>
      </c>
      <c r="E193" s="494"/>
      <c r="F193" s="3456">
        <v>0</v>
      </c>
      <c r="G193" s="3456">
        <v>0</v>
      </c>
      <c r="H193" s="3456">
        <v>0</v>
      </c>
      <c r="I193" s="3456">
        <v>0</v>
      </c>
      <c r="J193" s="3456">
        <v>0</v>
      </c>
      <c r="K193" s="3456">
        <v>0</v>
      </c>
      <c r="L193" s="3456">
        <v>0</v>
      </c>
      <c r="M193" s="3456">
        <v>0</v>
      </c>
      <c r="N193" s="3456">
        <v>0</v>
      </c>
      <c r="O193" s="1150"/>
      <c r="Q193" s="39"/>
      <c r="R193" s="39"/>
      <c r="S193" s="39"/>
      <c r="T193" s="39"/>
      <c r="U193" s="39"/>
      <c r="V193" s="39"/>
    </row>
    <row r="194" spans="2:32" ht="15.75" hidden="1">
      <c r="B194" s="492"/>
      <c r="C194" s="1012" t="s">
        <v>326</v>
      </c>
      <c r="D194" s="494" t="s">
        <v>327</v>
      </c>
      <c r="E194" s="1012"/>
      <c r="F194" s="3458">
        <v>0</v>
      </c>
      <c r="G194" s="3458">
        <v>0</v>
      </c>
      <c r="H194" s="3458">
        <v>0</v>
      </c>
      <c r="I194" s="3458">
        <v>0</v>
      </c>
      <c r="J194" s="3458">
        <v>0</v>
      </c>
      <c r="K194" s="3458">
        <v>0</v>
      </c>
      <c r="L194" s="3458">
        <v>0</v>
      </c>
      <c r="M194" s="3458">
        <v>0</v>
      </c>
      <c r="N194" s="3458">
        <v>0</v>
      </c>
      <c r="O194" s="1150"/>
      <c r="Q194" s="39"/>
      <c r="R194" s="39"/>
      <c r="S194" s="39"/>
      <c r="T194" s="39"/>
      <c r="U194" s="39"/>
      <c r="V194" s="39"/>
    </row>
    <row r="195" spans="2:32" hidden="1">
      <c r="B195" s="1012"/>
      <c r="C195" s="1012" t="s">
        <v>333</v>
      </c>
      <c r="D195" s="494" t="s">
        <v>334</v>
      </c>
      <c r="E195" s="1012"/>
      <c r="F195" s="3458">
        <v>0</v>
      </c>
      <c r="G195" s="3458">
        <v>0</v>
      </c>
      <c r="H195" s="3458">
        <v>0</v>
      </c>
      <c r="I195" s="3458">
        <v>0</v>
      </c>
      <c r="J195" s="3458">
        <v>0</v>
      </c>
      <c r="K195" s="3458">
        <v>0</v>
      </c>
      <c r="L195" s="3458">
        <v>0</v>
      </c>
      <c r="M195" s="3458">
        <v>0</v>
      </c>
      <c r="N195" s="3458">
        <v>0</v>
      </c>
      <c r="O195" s="1151"/>
      <c r="Q195" s="39"/>
    </row>
    <row r="196" spans="2:32" hidden="1">
      <c r="B196" s="1012"/>
      <c r="C196" s="1007" t="s">
        <v>328</v>
      </c>
      <c r="D196" s="494" t="s">
        <v>329</v>
      </c>
      <c r="E196" s="494"/>
      <c r="F196" s="3456">
        <v>0</v>
      </c>
      <c r="G196" s="3456">
        <v>0</v>
      </c>
      <c r="H196" s="3456">
        <v>0</v>
      </c>
      <c r="I196" s="3456">
        <v>0</v>
      </c>
      <c r="J196" s="3456">
        <v>0</v>
      </c>
      <c r="K196" s="3456">
        <v>0</v>
      </c>
      <c r="L196" s="3456">
        <v>0</v>
      </c>
      <c r="M196" s="3456">
        <v>0</v>
      </c>
      <c r="N196" s="3456">
        <v>0</v>
      </c>
      <c r="O196" s="1151"/>
      <c r="Q196" s="39"/>
    </row>
    <row r="197" spans="2:32" hidden="1">
      <c r="B197" s="1012"/>
      <c r="C197" s="1007" t="s">
        <v>335</v>
      </c>
      <c r="D197" s="494" t="s">
        <v>336</v>
      </c>
      <c r="E197" s="494"/>
      <c r="F197" s="3456">
        <v>0</v>
      </c>
      <c r="G197" s="3456">
        <v>0</v>
      </c>
      <c r="H197" s="3456">
        <v>0</v>
      </c>
      <c r="I197" s="3456">
        <v>0</v>
      </c>
      <c r="J197" s="3456">
        <v>0</v>
      </c>
      <c r="K197" s="3456">
        <v>0</v>
      </c>
      <c r="L197" s="3456">
        <v>0</v>
      </c>
      <c r="M197" s="3456">
        <v>0</v>
      </c>
      <c r="N197" s="3456">
        <v>0</v>
      </c>
      <c r="O197" s="1151"/>
      <c r="Q197" s="39"/>
    </row>
    <row r="198" spans="2:32" hidden="1">
      <c r="B198" s="503"/>
      <c r="C198" s="1007"/>
      <c r="D198" s="494"/>
      <c r="E198" s="494"/>
      <c r="F198" s="3456"/>
      <c r="G198" s="3456"/>
      <c r="H198" s="3456"/>
      <c r="I198" s="3456"/>
      <c r="J198" s="3456"/>
      <c r="K198" s="3456"/>
      <c r="L198" s="3456"/>
      <c r="M198" s="3456"/>
      <c r="N198" s="3456"/>
      <c r="O198" s="1151"/>
      <c r="Q198" s="39"/>
    </row>
    <row r="199" spans="2:32" hidden="1">
      <c r="B199" s="1002"/>
      <c r="C199" s="500" t="s">
        <v>2714</v>
      </c>
      <c r="D199" s="1012"/>
      <c r="E199" s="1012"/>
      <c r="F199" s="1012"/>
      <c r="G199" s="1012"/>
      <c r="H199" s="1012"/>
      <c r="I199" s="1012"/>
      <c r="J199" s="1012"/>
      <c r="K199" s="1012"/>
      <c r="L199" s="1012"/>
      <c r="M199" s="1012"/>
      <c r="N199" s="1013" t="s">
        <v>2812</v>
      </c>
      <c r="O199" s="1005"/>
      <c r="Q199" s="39"/>
    </row>
    <row r="200" spans="2:32" hidden="1">
      <c r="B200" s="1002"/>
      <c r="C200" s="1003"/>
      <c r="D200" s="1003"/>
      <c r="E200" s="1003"/>
      <c r="F200" s="1003"/>
      <c r="G200" s="1003"/>
      <c r="H200" s="1003"/>
      <c r="I200" s="1003"/>
      <c r="J200" s="1003"/>
      <c r="K200" s="1003"/>
      <c r="L200" s="1003"/>
      <c r="M200" s="1003"/>
      <c r="N200" s="1003"/>
      <c r="O200" s="1005"/>
      <c r="Q200" s="39"/>
    </row>
    <row r="201" spans="2:32" ht="15.75" hidden="1">
      <c r="B201" s="492"/>
      <c r="C201" s="1006" t="s">
        <v>28</v>
      </c>
      <c r="D201" s="1006" t="s">
        <v>29</v>
      </c>
      <c r="E201" s="1006" t="s">
        <v>30</v>
      </c>
      <c r="F201" s="1006">
        <v>2013</v>
      </c>
      <c r="G201" s="1006" t="s">
        <v>133</v>
      </c>
      <c r="H201" s="1006" t="s">
        <v>134</v>
      </c>
      <c r="I201" s="1006" t="s">
        <v>135</v>
      </c>
      <c r="J201" s="1006" t="s">
        <v>136</v>
      </c>
      <c r="K201" s="1006" t="s">
        <v>137</v>
      </c>
      <c r="L201" s="1006" t="s">
        <v>138</v>
      </c>
      <c r="M201" s="1006" t="s">
        <v>139</v>
      </c>
      <c r="N201" s="1006" t="s">
        <v>140</v>
      </c>
      <c r="O201" s="1150"/>
      <c r="Q201" s="39"/>
    </row>
    <row r="202" spans="2:32" ht="15.75" hidden="1">
      <c r="B202" s="492"/>
      <c r="C202" s="1007" t="s">
        <v>324</v>
      </c>
      <c r="D202" s="494" t="s">
        <v>325</v>
      </c>
      <c r="E202" s="494"/>
      <c r="F202" s="3456">
        <v>0</v>
      </c>
      <c r="G202" s="3456">
        <v>0</v>
      </c>
      <c r="H202" s="3456">
        <v>0</v>
      </c>
      <c r="I202" s="3456">
        <v>0</v>
      </c>
      <c r="J202" s="3456">
        <v>0</v>
      </c>
      <c r="K202" s="3456">
        <v>0</v>
      </c>
      <c r="L202" s="3456">
        <v>0</v>
      </c>
      <c r="M202" s="3456">
        <v>0</v>
      </c>
      <c r="N202" s="3456">
        <v>0</v>
      </c>
      <c r="O202" s="1150"/>
      <c r="Q202" s="39"/>
      <c r="R202" s="39"/>
      <c r="S202" s="39"/>
      <c r="T202" s="39"/>
      <c r="U202" s="39"/>
      <c r="V202" s="39"/>
      <c r="W202" s="39"/>
      <c r="X202" s="39"/>
      <c r="Y202" s="39"/>
      <c r="Z202" s="39"/>
      <c r="AA202" s="39"/>
      <c r="AB202" s="39"/>
      <c r="AC202" s="39"/>
      <c r="AD202" s="39"/>
      <c r="AE202" s="39"/>
      <c r="AF202" s="39"/>
    </row>
    <row r="203" spans="2:32" ht="15.75" hidden="1">
      <c r="B203" s="492"/>
      <c r="C203" s="1007" t="s">
        <v>331</v>
      </c>
      <c r="D203" s="494" t="s">
        <v>332</v>
      </c>
      <c r="E203" s="494"/>
      <c r="F203" s="3456">
        <v>0</v>
      </c>
      <c r="G203" s="3456">
        <v>0</v>
      </c>
      <c r="H203" s="3456">
        <v>0</v>
      </c>
      <c r="I203" s="3456">
        <v>0</v>
      </c>
      <c r="J203" s="3456">
        <v>0</v>
      </c>
      <c r="K203" s="3456">
        <v>0</v>
      </c>
      <c r="L203" s="3456">
        <v>0</v>
      </c>
      <c r="M203" s="3456">
        <v>0</v>
      </c>
      <c r="N203" s="3456">
        <v>0</v>
      </c>
      <c r="O203" s="1150"/>
      <c r="Q203" s="39"/>
      <c r="R203" s="656"/>
      <c r="S203" s="206"/>
      <c r="T203" s="206"/>
      <c r="U203" s="3360"/>
      <c r="V203" s="3360"/>
      <c r="W203" s="3360"/>
      <c r="X203" s="3360"/>
      <c r="Y203" s="3360"/>
      <c r="Z203" s="3360"/>
      <c r="AA203" s="3360"/>
      <c r="AB203" s="3360"/>
      <c r="AC203" s="3360"/>
      <c r="AD203" s="3360"/>
      <c r="AE203" s="39"/>
      <c r="AF203" s="39"/>
    </row>
    <row r="204" spans="2:32" ht="15.75" hidden="1">
      <c r="B204" s="492"/>
      <c r="C204" s="1007" t="s">
        <v>771</v>
      </c>
      <c r="D204" s="494" t="s">
        <v>772</v>
      </c>
      <c r="E204" s="494"/>
      <c r="F204" s="3456">
        <v>0</v>
      </c>
      <c r="G204" s="3456">
        <v>0</v>
      </c>
      <c r="H204" s="3456">
        <v>0</v>
      </c>
      <c r="I204" s="3456">
        <v>0</v>
      </c>
      <c r="J204" s="3456">
        <v>0</v>
      </c>
      <c r="K204" s="3456">
        <v>0</v>
      </c>
      <c r="L204" s="3456">
        <v>0</v>
      </c>
      <c r="M204" s="3456">
        <v>0</v>
      </c>
      <c r="N204" s="3456">
        <v>0</v>
      </c>
      <c r="O204" s="1150"/>
      <c r="Q204" s="39"/>
      <c r="R204" s="656"/>
      <c r="S204" s="206"/>
      <c r="T204" s="206"/>
      <c r="U204" s="3360"/>
      <c r="V204" s="3360"/>
      <c r="W204" s="3360"/>
      <c r="X204" s="3360"/>
      <c r="Y204" s="3360"/>
      <c r="Z204" s="3360"/>
      <c r="AA204" s="3360"/>
      <c r="AB204" s="3360"/>
      <c r="AC204" s="3360"/>
      <c r="AD204" s="3360"/>
      <c r="AE204" s="39"/>
      <c r="AF204" s="39"/>
    </row>
    <row r="205" spans="2:32" ht="15.75" hidden="1">
      <c r="B205" s="492"/>
      <c r="C205" s="1007" t="s">
        <v>326</v>
      </c>
      <c r="D205" s="494" t="s">
        <v>327</v>
      </c>
      <c r="E205" s="494"/>
      <c r="F205" s="3456">
        <v>0</v>
      </c>
      <c r="G205" s="3456">
        <v>0</v>
      </c>
      <c r="H205" s="3456">
        <v>0</v>
      </c>
      <c r="I205" s="3456">
        <v>0</v>
      </c>
      <c r="J205" s="3456">
        <v>0</v>
      </c>
      <c r="K205" s="3456">
        <v>0</v>
      </c>
      <c r="L205" s="3456">
        <v>0</v>
      </c>
      <c r="M205" s="3456">
        <v>0</v>
      </c>
      <c r="N205" s="3456">
        <v>0</v>
      </c>
      <c r="O205" s="1150"/>
      <c r="Q205" s="39"/>
      <c r="R205" s="656"/>
      <c r="S205" s="206"/>
      <c r="T205" s="206"/>
      <c r="U205" s="3360"/>
      <c r="V205" s="3360"/>
      <c r="W205" s="3360"/>
      <c r="X205" s="3360"/>
      <c r="Y205" s="3360"/>
      <c r="Z205" s="3360"/>
      <c r="AA205" s="3360"/>
      <c r="AB205" s="3360"/>
      <c r="AC205" s="3360"/>
      <c r="AD205" s="3360"/>
      <c r="AE205" s="39"/>
      <c r="AF205" s="39"/>
    </row>
    <row r="206" spans="2:32" ht="15.75" hidden="1">
      <c r="B206" s="492"/>
      <c r="C206" s="1007" t="s">
        <v>333</v>
      </c>
      <c r="D206" s="494" t="s">
        <v>334</v>
      </c>
      <c r="E206" s="494"/>
      <c r="F206" s="3456">
        <v>0</v>
      </c>
      <c r="G206" s="3456">
        <v>0</v>
      </c>
      <c r="H206" s="3456">
        <v>0</v>
      </c>
      <c r="I206" s="3456">
        <v>0</v>
      </c>
      <c r="J206" s="3456">
        <v>0</v>
      </c>
      <c r="K206" s="3456">
        <v>0</v>
      </c>
      <c r="L206" s="3456">
        <v>0</v>
      </c>
      <c r="M206" s="3456">
        <v>0</v>
      </c>
      <c r="N206" s="3456">
        <v>0</v>
      </c>
      <c r="O206" s="1150"/>
      <c r="Q206" s="39"/>
      <c r="R206" s="39"/>
      <c r="S206" s="39"/>
      <c r="T206" s="39"/>
      <c r="U206" s="39"/>
      <c r="V206" s="39"/>
      <c r="W206" s="39"/>
      <c r="X206" s="39"/>
      <c r="Y206" s="39"/>
      <c r="Z206" s="39"/>
      <c r="AA206" s="39"/>
      <c r="AB206" s="39"/>
      <c r="AC206" s="39"/>
      <c r="AD206" s="39"/>
      <c r="AE206" s="39"/>
      <c r="AF206" s="39"/>
    </row>
    <row r="207" spans="2:32" ht="15.75" hidden="1">
      <c r="B207" s="492"/>
      <c r="C207" s="1007" t="s">
        <v>773</v>
      </c>
      <c r="D207" s="494" t="s">
        <v>774</v>
      </c>
      <c r="E207" s="494"/>
      <c r="F207" s="3456">
        <v>0</v>
      </c>
      <c r="G207" s="3456">
        <v>0</v>
      </c>
      <c r="H207" s="3456">
        <v>0</v>
      </c>
      <c r="I207" s="3456">
        <v>0</v>
      </c>
      <c r="J207" s="3456">
        <v>0</v>
      </c>
      <c r="K207" s="3456">
        <v>0</v>
      </c>
      <c r="L207" s="3456">
        <v>0</v>
      </c>
      <c r="M207" s="3456">
        <v>0</v>
      </c>
      <c r="N207" s="3456">
        <v>0</v>
      </c>
      <c r="O207" s="1150"/>
      <c r="Q207" s="39"/>
      <c r="R207" s="39"/>
      <c r="S207" s="39"/>
      <c r="T207" s="39"/>
      <c r="U207" s="39"/>
      <c r="V207" s="39"/>
      <c r="W207" s="39"/>
      <c r="X207" s="39"/>
      <c r="Y207" s="39"/>
      <c r="Z207" s="39"/>
      <c r="AA207" s="39"/>
      <c r="AB207" s="39"/>
      <c r="AC207" s="39"/>
      <c r="AD207" s="39"/>
      <c r="AE207" s="39"/>
      <c r="AF207" s="39"/>
    </row>
    <row r="208" spans="2:32" hidden="1">
      <c r="B208" s="503"/>
      <c r="C208" s="1007" t="s">
        <v>328</v>
      </c>
      <c r="D208" s="494" t="s">
        <v>329</v>
      </c>
      <c r="E208" s="494"/>
      <c r="F208" s="2438">
        <v>0</v>
      </c>
      <c r="G208" s="2438">
        <v>0</v>
      </c>
      <c r="H208" s="2438">
        <v>0</v>
      </c>
      <c r="I208" s="2438">
        <v>0</v>
      </c>
      <c r="J208" s="2438">
        <v>0</v>
      </c>
      <c r="K208" s="2438">
        <v>0</v>
      </c>
      <c r="L208" s="2438">
        <v>0</v>
      </c>
      <c r="M208" s="2438">
        <v>0</v>
      </c>
      <c r="N208" s="2438">
        <v>0</v>
      </c>
      <c r="O208" s="1151"/>
      <c r="Q208" s="39"/>
      <c r="R208" s="39"/>
      <c r="S208" s="39"/>
      <c r="T208" s="39"/>
      <c r="U208" s="39"/>
      <c r="V208" s="39"/>
      <c r="W208" s="39"/>
      <c r="X208" s="39"/>
      <c r="Y208" s="39"/>
      <c r="Z208" s="39"/>
      <c r="AA208" s="39"/>
      <c r="AB208" s="39"/>
      <c r="AC208" s="39"/>
      <c r="AD208" s="39"/>
      <c r="AE208" s="39"/>
      <c r="AF208" s="39"/>
    </row>
    <row r="209" spans="2:15" hidden="1">
      <c r="B209" s="503"/>
      <c r="C209" s="1007" t="s">
        <v>335</v>
      </c>
      <c r="D209" s="494" t="s">
        <v>336</v>
      </c>
      <c r="E209" s="494"/>
      <c r="F209" s="2438">
        <v>0</v>
      </c>
      <c r="G209" s="2438">
        <v>0</v>
      </c>
      <c r="H209" s="2438">
        <v>0</v>
      </c>
      <c r="I209" s="2438">
        <v>0</v>
      </c>
      <c r="J209" s="2438">
        <v>0</v>
      </c>
      <c r="K209" s="2438">
        <v>0</v>
      </c>
      <c r="L209" s="2438">
        <v>0</v>
      </c>
      <c r="M209" s="2438">
        <v>0</v>
      </c>
      <c r="N209" s="2438">
        <v>0</v>
      </c>
      <c r="O209" s="1151"/>
    </row>
    <row r="210" spans="2:15" hidden="1">
      <c r="B210" s="503"/>
      <c r="C210" s="1007" t="s">
        <v>775</v>
      </c>
      <c r="D210" s="494" t="s">
        <v>776</v>
      </c>
      <c r="E210" s="494"/>
      <c r="F210" s="3456">
        <v>0</v>
      </c>
      <c r="G210" s="3456">
        <v>0</v>
      </c>
      <c r="H210" s="3456">
        <v>0</v>
      </c>
      <c r="I210" s="3456">
        <v>0</v>
      </c>
      <c r="J210" s="3456">
        <v>0</v>
      </c>
      <c r="K210" s="3456">
        <v>0</v>
      </c>
      <c r="L210" s="3456">
        <v>0</v>
      </c>
      <c r="M210" s="3456">
        <v>0</v>
      </c>
      <c r="N210" s="3456">
        <v>0</v>
      </c>
      <c r="O210" s="1151"/>
    </row>
    <row r="211" spans="2:15" hidden="1">
      <c r="B211" s="503"/>
      <c r="C211" s="1007"/>
      <c r="D211" s="494"/>
      <c r="E211" s="494"/>
      <c r="F211" s="3456"/>
      <c r="G211" s="3456"/>
      <c r="H211" s="3456"/>
      <c r="I211" s="3456"/>
      <c r="J211" s="3456"/>
      <c r="K211" s="3456"/>
      <c r="L211" s="3456"/>
      <c r="M211" s="3456"/>
      <c r="N211" s="3456"/>
      <c r="O211" s="1151"/>
    </row>
    <row r="259" spans="19:20">
      <c r="S259" s="1077"/>
      <c r="T259" s="1077"/>
    </row>
  </sheetData>
  <mergeCells count="2">
    <mergeCell ref="U84:V84"/>
    <mergeCell ref="W84:X84"/>
  </mergeCells>
  <pageMargins left="0.7" right="0.7" top="0.75" bottom="0.75" header="0.3" footer="0.3"/>
  <tableParts count="2">
    <tablePart r:id="rId1"/>
    <tablePart r:id="rId2"/>
  </tableParts>
</worksheet>
</file>

<file path=xl/worksheets/sheet30.xml><?xml version="1.0" encoding="utf-8"?>
<worksheet xmlns="http://schemas.openxmlformats.org/spreadsheetml/2006/main" xmlns:r="http://schemas.openxmlformats.org/officeDocument/2006/relationships">
  <sheetPr>
    <tabColor theme="9"/>
  </sheetPr>
  <dimension ref="A1:AF259"/>
  <sheetViews>
    <sheetView showGridLines="0" zoomScale="80" zoomScaleNormal="80" workbookViewId="0">
      <selection activeCell="F23" sqref="F23"/>
    </sheetView>
  </sheetViews>
  <sheetFormatPr defaultColWidth="8.85546875" defaultRowHeight="15"/>
  <cols>
    <col min="1" max="1" width="7.7109375" style="3335" customWidth="1"/>
    <col min="2" max="2" width="5.85546875" style="3335" customWidth="1"/>
    <col min="3" max="3" width="20.42578125" style="3335" customWidth="1"/>
    <col min="4" max="4" width="30.7109375" style="3335" customWidth="1"/>
    <col min="5" max="5" width="20.7109375" style="3335" customWidth="1"/>
    <col min="6" max="14" width="17.7109375" style="3335" customWidth="1"/>
    <col min="15" max="15" width="2" style="3335" customWidth="1"/>
    <col min="16" max="16" width="10.85546875" style="3335" customWidth="1"/>
    <col min="17" max="17" width="8.85546875" style="3335"/>
    <col min="18" max="26" width="5" style="3335" bestFit="1" customWidth="1"/>
    <col min="27" max="27" width="7.5703125" style="3335" bestFit="1" customWidth="1"/>
    <col min="28" max="16384" width="8.85546875" style="3335"/>
  </cols>
  <sheetData>
    <row r="1" spans="1:15" ht="20.25">
      <c r="A1" s="863" t="s">
        <v>571</v>
      </c>
      <c r="B1" s="863" t="s">
        <v>572</v>
      </c>
      <c r="C1" s="863"/>
      <c r="G1"/>
      <c r="H1"/>
    </row>
    <row r="2" spans="1:15" s="6" customFormat="1" ht="15.75">
      <c r="A2" s="864" t="s">
        <v>567</v>
      </c>
      <c r="B2" s="864" t="s">
        <v>568</v>
      </c>
      <c r="C2" s="864"/>
      <c r="E2" s="5"/>
      <c r="G2"/>
      <c r="H2"/>
    </row>
    <row r="4" spans="1:15" ht="23.25">
      <c r="A4" s="7"/>
      <c r="B4" s="511" t="s">
        <v>24</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34" t="s">
        <v>2674</v>
      </c>
      <c r="D6" s="515"/>
      <c r="E6" s="516"/>
      <c r="F6" s="515"/>
      <c r="G6" s="515"/>
      <c r="H6" s="515"/>
      <c r="I6" s="515"/>
      <c r="J6" s="515"/>
      <c r="K6" s="515"/>
      <c r="L6" s="515"/>
      <c r="M6" s="515"/>
      <c r="N6" s="516" t="s">
        <v>27</v>
      </c>
      <c r="O6" s="867"/>
    </row>
    <row r="7" spans="1:15">
      <c r="B7" s="514"/>
      <c r="C7" s="12"/>
      <c r="D7" s="515"/>
      <c r="E7" s="516"/>
      <c r="F7" s="515"/>
      <c r="G7" s="515"/>
      <c r="H7" s="515"/>
      <c r="I7" s="515"/>
      <c r="J7" s="515"/>
      <c r="K7" s="515"/>
      <c r="L7" s="515"/>
      <c r="M7" s="515"/>
      <c r="N7" s="515"/>
      <c r="O7" s="867"/>
    </row>
    <row r="8" spans="1:15" s="6" customFormat="1" ht="15.75">
      <c r="A8" s="3"/>
      <c r="B8" s="19"/>
      <c r="C8" s="873" t="s">
        <v>28</v>
      </c>
      <c r="D8" s="873" t="s">
        <v>29</v>
      </c>
      <c r="E8" s="873" t="s">
        <v>30</v>
      </c>
      <c r="F8" s="873" t="s">
        <v>597</v>
      </c>
      <c r="G8" s="873" t="s">
        <v>133</v>
      </c>
      <c r="H8" s="873" t="s">
        <v>134</v>
      </c>
      <c r="I8" s="873" t="s">
        <v>135</v>
      </c>
      <c r="J8" s="873" t="s">
        <v>136</v>
      </c>
      <c r="K8" s="873" t="s">
        <v>137</v>
      </c>
      <c r="L8" s="873" t="s">
        <v>138</v>
      </c>
      <c r="M8" s="873" t="s">
        <v>139</v>
      </c>
      <c r="N8" s="873" t="s">
        <v>140</v>
      </c>
      <c r="O8" s="874"/>
    </row>
    <row r="9" spans="1:15" s="6" customFormat="1" ht="15.75">
      <c r="A9" s="3"/>
      <c r="B9" s="19"/>
      <c r="C9" s="17" t="s">
        <v>96</v>
      </c>
      <c r="D9" s="17" t="str">
        <f>INDEX(Vectors[Description], MATCH($C9, Vectors[Code], 0))</f>
        <v>Electricity (delivered to end user)</v>
      </c>
      <c r="E9" s="17"/>
      <c r="F9" s="2800">
        <f ca="1">INDEX(INDIRECT("'"&amp;VII.b.Inputs[#Headers]&amp;"'!Year.Matrix"), MATCH("Subtotal."&amp;$A$2, INDIRECT("'"&amp;VII.b.Inputs[#Headers]&amp;"'!Year.Modules"), 0), MATCH([Vector], INDIRECT("'"&amp;VII.b.Inputs[#Headers]&amp;"'!Year.Vectors"), 0))</f>
        <v>-23.469919126722662</v>
      </c>
      <c r="G9" s="2800">
        <f ca="1">INDEX(INDIRECT("'"&amp;VII.b.Inputs[#Headers]&amp;"'!Year.Matrix"), MATCH("Subtotal."&amp;$A$2, INDIRECT("'"&amp;VII.b.Inputs[#Headers]&amp;"'!Year.Modules"), 0), MATCH([Vector], INDIRECT("'"&amp;VII.b.Inputs[#Headers]&amp;"'!Year.Vectors"), 0))</f>
        <v>-24.337959285086423</v>
      </c>
      <c r="H9" s="2800">
        <f ca="1">INDEX(INDIRECT("'"&amp;VII.b.Inputs[#Headers]&amp;"'!Year.Matrix"), MATCH("Subtotal."&amp;$A$2, INDIRECT("'"&amp;VII.b.Inputs[#Headers]&amp;"'!Year.Modules"), 0), MATCH([Vector], INDIRECT("'"&amp;VII.b.Inputs[#Headers]&amp;"'!Year.Vectors"), 0))</f>
        <v>-24.833505229005151</v>
      </c>
      <c r="I9" s="2800">
        <f ca="1">INDEX(INDIRECT("'"&amp;VII.b.Inputs[#Headers]&amp;"'!Year.Matrix"), MATCH("Subtotal."&amp;$A$2, INDIRECT("'"&amp;VII.b.Inputs[#Headers]&amp;"'!Year.Modules"), 0), MATCH([Vector], INDIRECT("'"&amp;VII.b.Inputs[#Headers]&amp;"'!Year.Vectors"), 0))</f>
        <v>-25.342378547849545</v>
      </c>
      <c r="J9" s="2800">
        <f ca="1">INDEX(INDIRECT("'"&amp;VII.b.Inputs[#Headers]&amp;"'!Year.Matrix"), MATCH("Subtotal."&amp;$A$2, INDIRECT("'"&amp;VII.b.Inputs[#Headers]&amp;"'!Year.Modules"), 0), MATCH([Vector], INDIRECT("'"&amp;VII.b.Inputs[#Headers]&amp;"'!Year.Vectors"), 0))</f>
        <v>-25.94711529734543</v>
      </c>
      <c r="K9" s="2800">
        <f ca="1">INDEX(INDIRECT("'"&amp;VII.b.Inputs[#Headers]&amp;"'!Year.Matrix"), MATCH("Subtotal."&amp;$A$2, INDIRECT("'"&amp;VII.b.Inputs[#Headers]&amp;"'!Year.Modules"), 0), MATCH([Vector], INDIRECT("'"&amp;VII.b.Inputs[#Headers]&amp;"'!Year.Vectors"), 0))</f>
        <v>-26.58076499948222</v>
      </c>
      <c r="L9" s="2800">
        <f ca="1">INDEX(INDIRECT("'"&amp;VII.b.Inputs[#Headers]&amp;"'!Year.Matrix"), MATCH("Subtotal."&amp;$A$2, INDIRECT("'"&amp;VII.b.Inputs[#Headers]&amp;"'!Year.Modules"), 0), MATCH([Vector], INDIRECT("'"&amp;VII.b.Inputs[#Headers]&amp;"'!Year.Vectors"), 0))</f>
        <v>-27.213028415591449</v>
      </c>
      <c r="M9" s="2800">
        <f ca="1">INDEX(INDIRECT("'"&amp;VII.b.Inputs[#Headers]&amp;"'!Year.Matrix"), MATCH("Subtotal."&amp;$A$2, INDIRECT("'"&amp;VII.b.Inputs[#Headers]&amp;"'!Year.Modules"), 0), MATCH([Vector], INDIRECT("'"&amp;VII.b.Inputs[#Headers]&amp;"'!Year.Vectors"), 0))</f>
        <v>-27.782319170545687</v>
      </c>
      <c r="N9" s="2800">
        <f ca="1">INDEX(INDIRECT("'"&amp;VII.b.Inputs[#Headers]&amp;"'!Year.Matrix"), MATCH("Subtotal."&amp;$A$2, INDIRECT("'"&amp;VII.b.Inputs[#Headers]&amp;"'!Year.Modules"), 0), MATCH([Vector], INDIRECT("'"&amp;VII.b.Inputs[#Headers]&amp;"'!Year.Vectors"), 0))</f>
        <v>-28.235062849890589</v>
      </c>
      <c r="O9" s="875"/>
    </row>
    <row r="10" spans="1:15" s="6" customFormat="1" ht="15.75">
      <c r="A10" s="3"/>
      <c r="B10" s="19"/>
      <c r="C10" s="517"/>
      <c r="D10" s="517" t="s">
        <v>2675</v>
      </c>
      <c r="E10" s="517" t="str">
        <f>Preferences.PowerUnits</f>
        <v>GW</v>
      </c>
      <c r="F10" s="3382">
        <f t="array" ref="F10:N10" ca="1">Peak_Electricity_Generation_Capacity</f>
        <v>8.3913799779226679</v>
      </c>
      <c r="G10" s="3382">
        <f ca="1"/>
        <v>9.0405346774319195</v>
      </c>
      <c r="H10" s="3382">
        <f ca="1"/>
        <v>9.1168593503091682</v>
      </c>
      <c r="I10" s="3382">
        <f ca="1"/>
        <v>9.4010402363380212</v>
      </c>
      <c r="J10" s="3382">
        <f ca="1"/>
        <v>13.557</v>
      </c>
      <c r="K10" s="3382">
        <f ca="1"/>
        <v>17.902999999999999</v>
      </c>
      <c r="L10" s="3382">
        <f ca="1"/>
        <v>21.402999999999999</v>
      </c>
      <c r="M10" s="3382">
        <f ca="1"/>
        <v>24.952999999999999</v>
      </c>
      <c r="N10" s="3382">
        <f ca="1"/>
        <v>28.602999999999998</v>
      </c>
      <c r="O10" s="875"/>
    </row>
    <row r="11" spans="1:15">
      <c r="B11" s="1252"/>
      <c r="C11" s="869"/>
      <c r="D11" s="869"/>
      <c r="E11" s="869"/>
      <c r="F11" s="869"/>
      <c r="G11" s="869"/>
      <c r="H11" s="869"/>
      <c r="I11" s="869"/>
      <c r="J11" s="869"/>
      <c r="K11" s="869"/>
      <c r="L11" s="869"/>
      <c r="M11" s="869"/>
      <c r="N11" s="869"/>
      <c r="O11" s="870"/>
    </row>
    <row r="12" spans="1:15">
      <c r="E12" s="3835" t="s">
        <v>5</v>
      </c>
    </row>
    <row r="13" spans="1:15" s="6" customFormat="1" ht="23.25">
      <c r="A13" s="40"/>
      <c r="B13" s="878" t="s">
        <v>70</v>
      </c>
      <c r="C13" s="879"/>
      <c r="D13" s="879"/>
      <c r="E13" s="879"/>
      <c r="F13" s="879"/>
      <c r="G13" s="879"/>
      <c r="H13" s="879"/>
      <c r="I13" s="879"/>
      <c r="J13" s="879"/>
      <c r="K13" s="879"/>
      <c r="L13" s="879"/>
      <c r="M13" s="879"/>
      <c r="N13" s="879"/>
      <c r="O13" s="880"/>
    </row>
    <row r="14" spans="1:15">
      <c r="B14" s="110"/>
      <c r="C14" s="67"/>
      <c r="D14" s="67"/>
      <c r="E14" s="67"/>
      <c r="F14" s="67"/>
      <c r="G14" s="67"/>
      <c r="H14" s="67"/>
      <c r="I14" s="67"/>
      <c r="J14" s="67"/>
      <c r="K14" s="67"/>
      <c r="L14" s="67"/>
      <c r="M14" s="67"/>
      <c r="N14" s="67"/>
      <c r="O14" s="885"/>
    </row>
    <row r="15" spans="1:15">
      <c r="B15" s="110"/>
      <c r="C15" s="49" t="s">
        <v>2676</v>
      </c>
      <c r="D15" s="67"/>
      <c r="E15" s="51"/>
      <c r="F15" s="67"/>
      <c r="G15" s="67"/>
      <c r="H15" s="67"/>
      <c r="I15" s="67"/>
      <c r="J15" s="67"/>
      <c r="K15" s="67"/>
      <c r="L15" s="67"/>
      <c r="M15" s="67"/>
      <c r="N15" s="67"/>
      <c r="O15" s="885"/>
    </row>
    <row r="16" spans="1:15">
      <c r="B16" s="110"/>
      <c r="C16" s="67"/>
      <c r="D16" s="67"/>
      <c r="E16" s="67"/>
      <c r="F16" s="67"/>
      <c r="G16" s="67"/>
      <c r="H16" s="67"/>
      <c r="I16" s="67"/>
      <c r="J16" s="67"/>
      <c r="K16" s="67"/>
      <c r="L16" s="67"/>
      <c r="M16" s="67"/>
      <c r="N16" s="67"/>
      <c r="O16" s="885"/>
    </row>
    <row r="17" spans="1:32" ht="15.75">
      <c r="B17" s="55"/>
      <c r="C17" s="887" t="s">
        <v>28</v>
      </c>
      <c r="D17" s="887" t="s">
        <v>29</v>
      </c>
      <c r="E17" s="887" t="s">
        <v>30</v>
      </c>
      <c r="F17" s="92">
        <v>2013</v>
      </c>
      <c r="G17" s="92">
        <v>2015</v>
      </c>
      <c r="H17" s="92">
        <v>2020</v>
      </c>
      <c r="I17" s="92">
        <v>2025</v>
      </c>
      <c r="J17" s="92">
        <v>2030</v>
      </c>
      <c r="K17" s="92">
        <v>2035</v>
      </c>
      <c r="L17" s="92">
        <v>2040</v>
      </c>
      <c r="M17" s="92">
        <v>2045</v>
      </c>
      <c r="N17" s="92">
        <v>2050</v>
      </c>
      <c r="O17" s="885"/>
    </row>
    <row r="18" spans="1:32" s="6" customFormat="1" ht="15.75">
      <c r="B18" s="975"/>
      <c r="C18" s="916" t="s">
        <v>454</v>
      </c>
      <c r="D18" s="917" t="str">
        <f>INDEX(Vectors[Description], MATCH($C18, Vectors[Code], 0))</f>
        <v>Distribution losses and own use</v>
      </c>
      <c r="E18" s="917" t="s">
        <v>65</v>
      </c>
      <c r="F18" s="3836">
        <f>'Irl. Energy Balance 2013 (TWh)'!AK26/'Irl. Energy Balance 2013 (TWh)'!AK27</f>
        <v>0.12499271613778319</v>
      </c>
      <c r="G18" s="3836">
        <f>$F18</f>
        <v>0.12499271613778319</v>
      </c>
      <c r="H18" s="3836">
        <f t="shared" ref="H18:N18" si="0">$F18</f>
        <v>0.12499271613778319</v>
      </c>
      <c r="I18" s="3836">
        <f t="shared" si="0"/>
        <v>0.12499271613778319</v>
      </c>
      <c r="J18" s="3836">
        <f t="shared" si="0"/>
        <v>0.12499271613778319</v>
      </c>
      <c r="K18" s="3836">
        <f t="shared" si="0"/>
        <v>0.12499271613778319</v>
      </c>
      <c r="L18" s="3836">
        <f t="shared" si="0"/>
        <v>0.12499271613778319</v>
      </c>
      <c r="M18" s="3836">
        <f t="shared" si="0"/>
        <v>0.12499271613778319</v>
      </c>
      <c r="N18" s="3836">
        <f t="shared" si="0"/>
        <v>0.12499271613778319</v>
      </c>
      <c r="O18" s="893"/>
    </row>
    <row r="19" spans="1:32">
      <c r="B19" s="45"/>
      <c r="C19" s="67"/>
      <c r="D19" s="200"/>
      <c r="E19" s="67"/>
      <c r="F19" s="67"/>
      <c r="G19" s="67"/>
      <c r="H19" s="67"/>
      <c r="I19" s="67"/>
      <c r="J19" s="67"/>
      <c r="K19" s="67"/>
      <c r="L19" s="67"/>
      <c r="M19" s="67"/>
      <c r="N19" s="67"/>
      <c r="O19" s="885"/>
    </row>
    <row r="20" spans="1:32">
      <c r="B20" s="46"/>
      <c r="C20" s="49" t="s">
        <v>1172</v>
      </c>
      <c r="D20" s="1664" t="s">
        <v>1891</v>
      </c>
      <c r="E20" s="67"/>
      <c r="F20" s="67"/>
      <c r="G20" s="67"/>
      <c r="H20" s="67"/>
      <c r="I20" s="67"/>
      <c r="J20" s="67"/>
      <c r="K20" s="67"/>
      <c r="L20" s="67"/>
      <c r="M20" s="67"/>
      <c r="N20" s="67"/>
      <c r="O20" s="67"/>
    </row>
    <row r="21" spans="1:32">
      <c r="B21" s="46"/>
      <c r="C21" s="49"/>
      <c r="D21" s="200"/>
      <c r="E21" s="67"/>
      <c r="F21" s="67"/>
      <c r="G21" s="67"/>
      <c r="H21" s="67"/>
      <c r="I21" s="67"/>
      <c r="J21" s="67"/>
      <c r="K21" s="67"/>
      <c r="L21" s="67"/>
      <c r="M21" s="67"/>
      <c r="N21" s="67"/>
      <c r="O21" s="67"/>
    </row>
    <row r="22" spans="1:32">
      <c r="B22" s="46"/>
      <c r="C22" s="2899" t="s">
        <v>2677</v>
      </c>
      <c r="D22" s="3383">
        <v>20</v>
      </c>
      <c r="E22" s="67"/>
      <c r="F22" s="67"/>
      <c r="G22" s="67"/>
      <c r="H22" s="67"/>
      <c r="I22" s="67"/>
      <c r="J22" s="67"/>
      <c r="K22" s="67"/>
      <c r="L22" s="67"/>
      <c r="M22" s="67"/>
      <c r="N22" s="67"/>
      <c r="O22" s="67"/>
    </row>
    <row r="23" spans="1:32">
      <c r="B23" s="46"/>
      <c r="C23" s="1165" t="s">
        <v>2678</v>
      </c>
      <c r="D23" s="3384">
        <v>20</v>
      </c>
      <c r="E23" s="67"/>
      <c r="F23" s="67"/>
      <c r="G23" s="67"/>
      <c r="H23" s="67"/>
      <c r="I23" s="67"/>
      <c r="J23" s="67"/>
      <c r="K23" s="67"/>
      <c r="L23" s="67"/>
      <c r="M23" s="67"/>
      <c r="N23" s="67"/>
      <c r="O23" s="67"/>
    </row>
    <row r="24" spans="1:32" s="927" customFormat="1" ht="11.25">
      <c r="B24" s="1547"/>
      <c r="C24" s="1547"/>
      <c r="D24" s="1547"/>
      <c r="E24" s="1547"/>
      <c r="F24" s="1547"/>
      <c r="G24" s="1547"/>
      <c r="H24" s="1547"/>
      <c r="I24" s="1547"/>
      <c r="J24" s="1547"/>
      <c r="K24" s="1547"/>
      <c r="L24" s="1547"/>
      <c r="M24" s="1547"/>
      <c r="N24" s="1547"/>
      <c r="O24" s="1547"/>
    </row>
    <row r="25" spans="1:32">
      <c r="B25" s="1169"/>
      <c r="C25" s="929" t="s">
        <v>65</v>
      </c>
      <c r="D25" s="930" t="s">
        <v>3042</v>
      </c>
      <c r="E25" s="931"/>
      <c r="F25" s="931"/>
      <c r="G25" s="931"/>
      <c r="H25" s="931"/>
      <c r="I25" s="931"/>
      <c r="J25" s="931"/>
      <c r="K25" s="931"/>
      <c r="L25" s="931"/>
      <c r="M25" s="931"/>
      <c r="N25" s="931"/>
      <c r="O25" s="932"/>
    </row>
    <row r="26" spans="1:32" s="39" customFormat="1">
      <c r="B26" s="1172"/>
      <c r="C26" s="1074"/>
      <c r="D26" s="1074"/>
      <c r="E26" s="1074"/>
      <c r="F26" s="1074"/>
      <c r="G26" s="1074"/>
      <c r="H26" s="1074"/>
      <c r="I26" s="1074"/>
      <c r="J26" s="1074"/>
      <c r="K26" s="1074"/>
      <c r="L26" s="1074"/>
      <c r="M26" s="1074"/>
      <c r="N26" s="1074"/>
      <c r="O26" s="1109"/>
    </row>
    <row r="27" spans="1:32" s="6" customFormat="1" ht="23.25">
      <c r="A27" s="40"/>
      <c r="Q27" s="2530"/>
      <c r="R27" s="656"/>
      <c r="S27" s="656"/>
      <c r="T27" s="656"/>
      <c r="U27" s="656"/>
      <c r="V27" s="656"/>
      <c r="W27" s="656"/>
      <c r="X27" s="656"/>
      <c r="Y27" s="656"/>
      <c r="Z27" s="656"/>
      <c r="AA27" s="656"/>
      <c r="AB27" s="656"/>
      <c r="AC27" s="656"/>
      <c r="AD27" s="656"/>
      <c r="AE27" s="656"/>
      <c r="AF27" s="656"/>
    </row>
    <row r="28" spans="1:32" ht="15.75">
      <c r="B28" s="878" t="s">
        <v>2794</v>
      </c>
      <c r="C28" s="879"/>
      <c r="D28" s="879"/>
      <c r="E28" s="879"/>
      <c r="F28" s="879"/>
      <c r="G28" s="879"/>
      <c r="H28" s="879"/>
      <c r="I28" s="879"/>
      <c r="J28" s="879"/>
      <c r="K28" s="879"/>
      <c r="L28" s="879"/>
      <c r="M28" s="879"/>
      <c r="N28" s="879"/>
      <c r="O28" s="43"/>
      <c r="Q28" s="1077"/>
      <c r="R28" s="1077"/>
      <c r="S28" s="1077"/>
      <c r="T28" s="1077"/>
      <c r="U28" s="1077"/>
      <c r="V28" s="1077"/>
      <c r="W28" s="1077"/>
      <c r="X28" s="1077"/>
      <c r="Y28" s="1077"/>
      <c r="Z28" s="1077"/>
      <c r="AA28" s="1077"/>
      <c r="AB28" s="1077"/>
      <c r="AC28" s="1077"/>
      <c r="AD28" s="1077"/>
      <c r="AE28" s="1077"/>
      <c r="AF28" s="1077"/>
    </row>
    <row r="29" spans="1:32" hidden="1">
      <c r="B29" s="881"/>
      <c r="C29" s="882"/>
      <c r="D29" s="882"/>
      <c r="E29" s="882"/>
      <c r="F29" s="882"/>
      <c r="G29" s="882"/>
      <c r="H29" s="882"/>
      <c r="I29" s="882"/>
      <c r="J29" s="882"/>
      <c r="K29" s="882"/>
      <c r="L29" s="882"/>
      <c r="M29" s="882"/>
      <c r="N29" s="882"/>
      <c r="O29" s="47"/>
      <c r="Q29" s="1077"/>
      <c r="R29" s="207"/>
      <c r="S29" s="207"/>
      <c r="T29" s="1077"/>
      <c r="U29" s="1431"/>
      <c r="V29" s="1431"/>
      <c r="W29" s="1077"/>
      <c r="X29" s="1077"/>
      <c r="Y29" s="1077"/>
      <c r="Z29" s="1077"/>
      <c r="AA29" s="1077"/>
      <c r="AB29" s="1077"/>
      <c r="AC29" s="1077"/>
      <c r="AD29" s="1077"/>
      <c r="AE29" s="1077"/>
      <c r="AF29" s="1077"/>
    </row>
    <row r="30" spans="1:32" hidden="1">
      <c r="B30" s="110"/>
      <c r="C30" s="49" t="s">
        <v>2679</v>
      </c>
      <c r="D30" s="924"/>
      <c r="E30" s="941"/>
      <c r="F30" s="2519"/>
      <c r="G30" s="943"/>
      <c r="H30" s="943"/>
      <c r="I30" s="943"/>
      <c r="J30" s="943"/>
      <c r="K30" s="943"/>
      <c r="L30" s="943"/>
      <c r="M30" s="943"/>
      <c r="N30" s="944" t="s">
        <v>2830</v>
      </c>
      <c r="O30" s="47"/>
      <c r="P30" s="1077"/>
      <c r="Q30" s="1077"/>
      <c r="R30" s="207"/>
      <c r="S30" s="1077"/>
      <c r="T30" s="1077"/>
      <c r="U30" s="3385"/>
      <c r="V30" s="3385"/>
      <c r="W30" s="1077"/>
      <c r="X30" s="1077"/>
      <c r="Y30" s="1077"/>
      <c r="Z30" s="1077"/>
      <c r="AA30" s="1077"/>
      <c r="AB30" s="1077"/>
      <c r="AC30" s="1077"/>
      <c r="AD30" s="1077"/>
      <c r="AE30" s="1077"/>
      <c r="AF30" s="1077"/>
    </row>
    <row r="31" spans="1:32" hidden="1">
      <c r="B31" s="110"/>
      <c r="C31" s="946"/>
      <c r="D31" s="924"/>
      <c r="E31" s="941"/>
      <c r="F31" s="2519"/>
      <c r="G31" s="943"/>
      <c r="H31" s="943"/>
      <c r="I31" s="943"/>
      <c r="J31" s="943"/>
      <c r="K31" s="943"/>
      <c r="L31" s="943"/>
      <c r="M31" s="943"/>
      <c r="N31" s="67"/>
      <c r="O31" s="47"/>
      <c r="P31" s="1077"/>
      <c r="Q31" s="1077"/>
      <c r="R31" s="207"/>
      <c r="S31" s="1077"/>
      <c r="T31" s="1077"/>
      <c r="U31" s="3385"/>
      <c r="V31" s="3385"/>
      <c r="W31" s="1077"/>
      <c r="X31" s="1077"/>
      <c r="Y31" s="1077"/>
      <c r="Z31" s="1077"/>
      <c r="AA31" s="1077"/>
      <c r="AB31" s="1077"/>
      <c r="AC31" s="1077"/>
      <c r="AD31" s="1077"/>
      <c r="AE31" s="1077"/>
      <c r="AF31" s="1077"/>
    </row>
    <row r="32" spans="1:32" hidden="1">
      <c r="B32" s="110"/>
      <c r="C32" s="1179"/>
      <c r="D32" s="1079"/>
      <c r="E32" s="980" t="s">
        <v>160</v>
      </c>
      <c r="F32" s="3040">
        <v>2013</v>
      </c>
      <c r="G32" s="974">
        <v>2015</v>
      </c>
      <c r="H32" s="974">
        <v>2020</v>
      </c>
      <c r="I32" s="974">
        <v>2025</v>
      </c>
      <c r="J32" s="974">
        <v>2030</v>
      </c>
      <c r="K32" s="974">
        <v>2035</v>
      </c>
      <c r="L32" s="974">
        <v>2040</v>
      </c>
      <c r="M32" s="974">
        <v>2045</v>
      </c>
      <c r="N32" s="974">
        <v>2050</v>
      </c>
      <c r="O32" s="47"/>
      <c r="P32" s="1077"/>
      <c r="Q32" s="1077"/>
      <c r="R32" s="1077"/>
      <c r="S32" s="1077"/>
    </row>
    <row r="33" spans="2:32" hidden="1">
      <c r="B33" s="110"/>
      <c r="C33" s="976" t="s">
        <v>738</v>
      </c>
      <c r="D33" s="1079"/>
      <c r="E33" s="2424"/>
      <c r="F33" s="3386"/>
      <c r="G33" s="2427"/>
      <c r="H33" s="2427"/>
      <c r="I33" s="2427"/>
      <c r="J33" s="2427"/>
      <c r="K33" s="2427"/>
      <c r="L33" s="2427"/>
      <c r="M33" s="2427"/>
      <c r="N33" s="3386"/>
      <c r="O33" s="47"/>
      <c r="P33" s="1077"/>
      <c r="Q33" s="1077"/>
      <c r="R33" s="1077"/>
      <c r="S33" s="1077"/>
    </row>
    <row r="34" spans="2:32" hidden="1">
      <c r="B34" s="110"/>
      <c r="C34" s="952" t="s">
        <v>739</v>
      </c>
      <c r="D34" s="924"/>
      <c r="E34" s="2425"/>
      <c r="F34" s="2523"/>
      <c r="G34" s="2428"/>
      <c r="H34" s="2428"/>
      <c r="I34" s="2428"/>
      <c r="J34" s="2428"/>
      <c r="K34" s="2428"/>
      <c r="L34" s="2428"/>
      <c r="M34" s="2428"/>
      <c r="N34" s="2523"/>
      <c r="O34" s="47"/>
      <c r="P34" s="1077"/>
      <c r="Q34" s="1077"/>
      <c r="R34" s="1077"/>
      <c r="S34" s="1077"/>
    </row>
    <row r="35" spans="2:32" hidden="1">
      <c r="B35" s="110"/>
      <c r="C35" s="956" t="s">
        <v>740</v>
      </c>
      <c r="D35" s="957"/>
      <c r="E35" s="2426"/>
      <c r="F35" s="3387"/>
      <c r="G35" s="2429"/>
      <c r="H35" s="2429"/>
      <c r="I35" s="2429"/>
      <c r="J35" s="2429"/>
      <c r="K35" s="2429"/>
      <c r="L35" s="2429"/>
      <c r="M35" s="2429"/>
      <c r="N35" s="3387"/>
      <c r="O35" s="47"/>
      <c r="P35" s="1077"/>
      <c r="Q35" s="1077"/>
      <c r="R35" s="1077"/>
      <c r="S35" s="1077"/>
    </row>
    <row r="36" spans="2:32" hidden="1">
      <c r="B36" s="110"/>
      <c r="C36" s="946"/>
      <c r="D36" s="924"/>
      <c r="E36" s="941"/>
      <c r="F36" s="3388"/>
      <c r="G36" s="943"/>
      <c r="H36" s="943"/>
      <c r="I36" s="943"/>
      <c r="J36" s="943"/>
      <c r="K36" s="943"/>
      <c r="L36" s="943"/>
      <c r="M36" s="943"/>
      <c r="N36" s="67"/>
      <c r="O36" s="47"/>
      <c r="P36" s="1077"/>
      <c r="Q36" s="1077"/>
      <c r="R36" s="1077"/>
      <c r="S36" s="1077"/>
      <c r="T36" s="1077"/>
      <c r="U36" s="3385"/>
      <c r="V36" s="3385"/>
      <c r="W36" s="1077"/>
      <c r="X36" s="1077"/>
      <c r="Y36" s="1077"/>
      <c r="Z36" s="1077"/>
      <c r="AA36" s="1077"/>
      <c r="AB36" s="1077"/>
      <c r="AC36" s="1077"/>
      <c r="AD36" s="1077"/>
      <c r="AE36" s="1077"/>
      <c r="AF36" s="1077"/>
    </row>
    <row r="37" spans="2:32" hidden="1">
      <c r="B37" s="110"/>
      <c r="C37" s="49" t="s">
        <v>2680</v>
      </c>
      <c r="D37" s="924"/>
      <c r="E37" s="941"/>
      <c r="F37" s="3388"/>
      <c r="G37" s="943"/>
      <c r="H37" s="943"/>
      <c r="I37" s="943"/>
      <c r="J37" s="943"/>
      <c r="K37" s="943"/>
      <c r="L37" s="943"/>
      <c r="M37" s="943"/>
      <c r="N37" s="944" t="s">
        <v>2830</v>
      </c>
      <c r="O37" s="47"/>
      <c r="P37" s="1077"/>
      <c r="Q37" s="1077"/>
      <c r="R37" s="1077"/>
      <c r="S37" s="1077"/>
      <c r="T37" s="1077"/>
      <c r="U37" s="1077"/>
      <c r="V37" s="1077"/>
      <c r="W37" s="1077"/>
      <c r="X37" s="1077"/>
      <c r="Y37" s="1077"/>
      <c r="Z37" s="1077"/>
      <c r="AA37" s="1077"/>
      <c r="AB37" s="1077"/>
      <c r="AC37" s="1077"/>
      <c r="AD37" s="1077"/>
      <c r="AE37" s="1077"/>
      <c r="AF37" s="1077"/>
    </row>
    <row r="38" spans="2:32" ht="6" hidden="1" customHeight="1">
      <c r="B38" s="110"/>
      <c r="C38" s="946"/>
      <c r="D38" s="924"/>
      <c r="E38" s="941"/>
      <c r="F38" s="3388"/>
      <c r="G38" s="943"/>
      <c r="H38" s="943"/>
      <c r="I38" s="943"/>
      <c r="J38" s="943"/>
      <c r="K38" s="943"/>
      <c r="L38" s="943"/>
      <c r="M38" s="943"/>
      <c r="N38" s="67"/>
      <c r="O38" s="47"/>
      <c r="P38" s="1077"/>
      <c r="Q38" s="1077"/>
      <c r="R38" s="1077"/>
      <c r="S38" s="1077"/>
      <c r="T38" s="1077"/>
      <c r="U38" s="1077"/>
      <c r="V38" s="1077"/>
      <c r="W38" s="1077"/>
      <c r="X38" s="1077"/>
      <c r="Y38" s="1077"/>
      <c r="Z38" s="1077"/>
      <c r="AA38" s="1077"/>
      <c r="AB38" s="1077"/>
      <c r="AC38" s="1077"/>
      <c r="AD38" s="1077"/>
      <c r="AE38" s="1077"/>
      <c r="AF38" s="1077"/>
    </row>
    <row r="39" spans="2:32" hidden="1">
      <c r="B39" s="110"/>
      <c r="C39" s="1179"/>
      <c r="D39" s="1079"/>
      <c r="E39" s="980" t="s">
        <v>160</v>
      </c>
      <c r="F39" s="3040">
        <v>2013</v>
      </c>
      <c r="G39" s="974">
        <v>2015</v>
      </c>
      <c r="H39" s="974">
        <v>2020</v>
      </c>
      <c r="I39" s="974">
        <v>2025</v>
      </c>
      <c r="J39" s="974">
        <v>2030</v>
      </c>
      <c r="K39" s="974">
        <v>2035</v>
      </c>
      <c r="L39" s="974">
        <v>2040</v>
      </c>
      <c r="M39" s="974">
        <v>2045</v>
      </c>
      <c r="N39" s="974">
        <v>2050</v>
      </c>
      <c r="O39" s="47"/>
      <c r="P39" s="1077"/>
      <c r="Q39" s="1077"/>
      <c r="R39" s="1077"/>
      <c r="S39" s="1077"/>
      <c r="T39" s="1077"/>
      <c r="U39" s="1077"/>
      <c r="V39" s="1077"/>
      <c r="W39" s="1077"/>
      <c r="X39" s="1077"/>
      <c r="Y39" s="1077"/>
      <c r="Z39" s="1077"/>
      <c r="AA39" s="1077"/>
      <c r="AB39" s="1077"/>
      <c r="AC39" s="1077"/>
      <c r="AD39" s="1077"/>
      <c r="AE39" s="1077"/>
      <c r="AF39" s="1077"/>
    </row>
    <row r="40" spans="2:32" hidden="1">
      <c r="B40" s="110"/>
      <c r="C40" s="976" t="s">
        <v>738</v>
      </c>
      <c r="D40" s="1079"/>
      <c r="E40" s="2424"/>
      <c r="F40" s="3389"/>
      <c r="G40" s="3390"/>
      <c r="H40" s="3390"/>
      <c r="I40" s="3390"/>
      <c r="J40" s="3390"/>
      <c r="K40" s="3390"/>
      <c r="L40" s="3390"/>
      <c r="M40" s="3390"/>
      <c r="N40" s="3389"/>
      <c r="O40" s="47"/>
      <c r="P40" s="1077"/>
      <c r="Q40" s="207"/>
      <c r="R40" s="3391"/>
      <c r="S40" s="3391"/>
      <c r="T40" s="1228"/>
      <c r="U40" s="1228"/>
      <c r="V40" s="1228"/>
      <c r="W40" s="1228"/>
      <c r="X40" s="1228"/>
      <c r="Y40" s="1228"/>
      <c r="Z40" s="1228"/>
      <c r="AA40" s="2553"/>
      <c r="AB40" s="1077"/>
      <c r="AC40" s="1077"/>
      <c r="AD40" s="1077"/>
      <c r="AE40" s="1077"/>
      <c r="AF40" s="1077"/>
    </row>
    <row r="41" spans="2:32" hidden="1">
      <c r="B41" s="110"/>
      <c r="C41" s="952" t="s">
        <v>739</v>
      </c>
      <c r="D41" s="924"/>
      <c r="E41" s="2425"/>
      <c r="F41" s="3392"/>
      <c r="G41" s="3392"/>
      <c r="H41" s="3392"/>
      <c r="I41" s="3392"/>
      <c r="J41" s="3392"/>
      <c r="K41" s="3392"/>
      <c r="L41" s="3392"/>
      <c r="M41" s="3392"/>
      <c r="N41" s="3392"/>
      <c r="O41" s="47"/>
      <c r="P41" s="1077"/>
      <c r="Q41" s="2555"/>
      <c r="R41" s="3043"/>
      <c r="S41" s="3393"/>
      <c r="T41" s="1230"/>
      <c r="U41" s="1230"/>
      <c r="V41" s="1230"/>
      <c r="W41" s="1230"/>
      <c r="X41" s="1230"/>
      <c r="Y41" s="1230"/>
      <c r="Z41" s="1230"/>
      <c r="AA41" s="1230"/>
      <c r="AB41" s="1077"/>
      <c r="AC41" s="1077"/>
      <c r="AD41" s="1077"/>
      <c r="AE41" s="1077"/>
      <c r="AF41" s="1077"/>
    </row>
    <row r="42" spans="2:32" hidden="1" collapsed="1">
      <c r="B42" s="110"/>
      <c r="C42" s="956" t="s">
        <v>740</v>
      </c>
      <c r="D42" s="957"/>
      <c r="E42" s="2426"/>
      <c r="F42" s="3394"/>
      <c r="G42" s="2429"/>
      <c r="H42" s="2429"/>
      <c r="I42" s="2429"/>
      <c r="J42" s="2429"/>
      <c r="K42" s="2429"/>
      <c r="L42" s="2429"/>
      <c r="M42" s="2429"/>
      <c r="N42" s="3394"/>
      <c r="O42" s="47"/>
      <c r="P42" s="1077"/>
      <c r="Q42" s="2557"/>
      <c r="R42" s="3395"/>
      <c r="S42" s="3395"/>
      <c r="T42" s="3396"/>
      <c r="U42" s="3396"/>
      <c r="V42" s="3396"/>
      <c r="W42" s="3396"/>
      <c r="X42" s="3396"/>
      <c r="Y42" s="3396"/>
      <c r="Z42" s="3396"/>
      <c r="AA42" s="3395"/>
      <c r="AB42" s="1077"/>
      <c r="AC42" s="1077"/>
    </row>
    <row r="43" spans="2:32" hidden="1">
      <c r="B43" s="67"/>
      <c r="C43" s="952"/>
      <c r="D43" s="924"/>
      <c r="E43" s="2425"/>
      <c r="F43" s="3397"/>
      <c r="G43" s="2519"/>
      <c r="H43" s="2519"/>
      <c r="I43" s="2519"/>
      <c r="J43" s="2519"/>
      <c r="K43" s="2519"/>
      <c r="L43" s="2519"/>
      <c r="M43" s="2519"/>
      <c r="N43" s="2519"/>
      <c r="O43" s="47"/>
      <c r="P43" s="1077"/>
      <c r="Q43" s="2557"/>
      <c r="R43" s="3395"/>
      <c r="S43" s="3395"/>
      <c r="T43" s="3395"/>
      <c r="U43" s="3395"/>
      <c r="V43" s="3395"/>
      <c r="W43" s="3395"/>
      <c r="X43" s="3395"/>
      <c r="Y43" s="3395"/>
      <c r="Z43" s="3395"/>
      <c r="AA43" s="3395"/>
      <c r="AB43" s="1077"/>
      <c r="AC43" s="1077"/>
    </row>
    <row r="44" spans="2:32" hidden="1">
      <c r="B44" s="47"/>
      <c r="C44" s="49" t="s">
        <v>2681</v>
      </c>
      <c r="D44" s="924"/>
      <c r="E44" s="941"/>
      <c r="F44" s="2519"/>
      <c r="G44" s="943"/>
      <c r="H44" s="943"/>
      <c r="I44" s="943"/>
      <c r="J44" s="943"/>
      <c r="K44" s="943"/>
      <c r="L44" s="943"/>
      <c r="M44" s="943"/>
      <c r="N44" s="944" t="s">
        <v>2830</v>
      </c>
      <c r="O44" s="47"/>
      <c r="P44" s="1077"/>
      <c r="Q44" s="2557"/>
      <c r="R44" s="3398"/>
      <c r="S44" s="3398"/>
      <c r="T44" s="3399"/>
      <c r="U44" s="3399"/>
      <c r="V44" s="3399"/>
      <c r="W44" s="3399"/>
      <c r="X44" s="3399"/>
      <c r="Y44" s="3399"/>
      <c r="Z44" s="3399"/>
      <c r="AA44" s="3398"/>
      <c r="AB44" s="1077"/>
      <c r="AC44" s="1077"/>
    </row>
    <row r="45" spans="2:32" ht="6" hidden="1" customHeight="1">
      <c r="B45" s="47"/>
      <c r="C45" s="946"/>
      <c r="D45" s="924"/>
      <c r="E45" s="941"/>
      <c r="F45" s="2519"/>
      <c r="G45" s="943"/>
      <c r="H45" s="943"/>
      <c r="I45" s="943"/>
      <c r="J45" s="943"/>
      <c r="K45" s="943"/>
      <c r="L45" s="943"/>
      <c r="M45" s="943"/>
      <c r="N45" s="67"/>
      <c r="O45" s="47"/>
      <c r="P45" s="1077"/>
      <c r="Q45" s="1077"/>
      <c r="R45" s="1077"/>
      <c r="S45" s="1077"/>
      <c r="T45" s="1077"/>
      <c r="U45" s="1077"/>
      <c r="V45" s="1077"/>
      <c r="W45" s="1077"/>
      <c r="X45" s="1077"/>
      <c r="Y45" s="1077"/>
      <c r="Z45" s="1077"/>
      <c r="AA45" s="1077"/>
      <c r="AB45" s="1077"/>
      <c r="AC45" s="1077"/>
    </row>
    <row r="46" spans="2:32" hidden="1">
      <c r="B46" s="47"/>
      <c r="C46" s="1179"/>
      <c r="D46" s="1079"/>
      <c r="E46" s="980" t="s">
        <v>160</v>
      </c>
      <c r="F46" s="3040">
        <v>2013</v>
      </c>
      <c r="G46" s="974">
        <v>2015</v>
      </c>
      <c r="H46" s="974">
        <v>2020</v>
      </c>
      <c r="I46" s="974">
        <v>2025</v>
      </c>
      <c r="J46" s="974">
        <v>2030</v>
      </c>
      <c r="K46" s="974">
        <v>2035</v>
      </c>
      <c r="L46" s="974">
        <v>2040</v>
      </c>
      <c r="M46" s="974">
        <v>2045</v>
      </c>
      <c r="N46" s="974">
        <v>2050</v>
      </c>
      <c r="O46" s="47"/>
      <c r="P46" s="1077"/>
      <c r="Q46" s="1077"/>
      <c r="R46" s="1077"/>
      <c r="S46" s="1077"/>
      <c r="T46" s="1077"/>
      <c r="U46" s="1077"/>
      <c r="V46" s="1077"/>
      <c r="W46" s="1077"/>
      <c r="X46" s="1077"/>
      <c r="Y46" s="1077"/>
      <c r="Z46" s="1077"/>
      <c r="AA46" s="1077"/>
      <c r="AB46" s="1077"/>
      <c r="AC46" s="1077"/>
    </row>
    <row r="47" spans="2:32" hidden="1">
      <c r="B47" s="47"/>
      <c r="C47" s="976" t="s">
        <v>738</v>
      </c>
      <c r="D47" s="1079"/>
      <c r="E47" s="2424"/>
      <c r="F47" s="3400"/>
      <c r="G47" s="3401"/>
      <c r="H47" s="3401"/>
      <c r="I47" s="3401"/>
      <c r="J47" s="3401"/>
      <c r="K47" s="3401"/>
      <c r="L47" s="3401"/>
      <c r="M47" s="3401"/>
      <c r="N47" s="3400"/>
      <c r="O47" s="47"/>
      <c r="P47" s="1077"/>
      <c r="Q47" s="1077"/>
      <c r="R47" s="1077"/>
      <c r="S47" s="1077"/>
      <c r="T47" s="1077"/>
      <c r="U47" s="1077"/>
      <c r="V47" s="1077"/>
      <c r="W47" s="1173"/>
      <c r="X47" s="1173"/>
      <c r="Y47" s="1077"/>
      <c r="Z47" s="1077"/>
      <c r="AA47" s="1077"/>
      <c r="AB47" s="1077"/>
      <c r="AC47" s="1077"/>
    </row>
    <row r="48" spans="2:32" hidden="1">
      <c r="B48" s="47"/>
      <c r="C48" s="952" t="s">
        <v>739</v>
      </c>
      <c r="D48" s="924"/>
      <c r="E48" s="2425"/>
      <c r="F48" s="3402"/>
      <c r="G48" s="2519"/>
      <c r="H48" s="2519"/>
      <c r="I48" s="2519"/>
      <c r="J48" s="2519"/>
      <c r="K48" s="2519"/>
      <c r="L48" s="2519"/>
      <c r="M48" s="2519"/>
      <c r="N48" s="3402"/>
      <c r="O48" s="47"/>
      <c r="P48" s="1077"/>
      <c r="Q48" s="1077"/>
      <c r="R48" s="1077"/>
      <c r="S48" s="1077"/>
      <c r="T48" s="1077"/>
      <c r="U48" s="1077"/>
      <c r="V48" s="1077"/>
      <c r="W48" s="1173"/>
      <c r="X48" s="1173"/>
      <c r="Y48" s="1077"/>
      <c r="Z48" s="1077"/>
      <c r="AA48" s="1077"/>
      <c r="AB48" s="1077"/>
      <c r="AC48" s="1077"/>
    </row>
    <row r="49" spans="2:29" hidden="1">
      <c r="B49" s="47"/>
      <c r="C49" s="956" t="s">
        <v>740</v>
      </c>
      <c r="D49" s="957"/>
      <c r="E49" s="2426"/>
      <c r="F49" s="3387"/>
      <c r="G49" s="3403"/>
      <c r="H49" s="3403"/>
      <c r="I49" s="3403"/>
      <c r="J49" s="3403"/>
      <c r="K49" s="3403"/>
      <c r="L49" s="3403"/>
      <c r="M49" s="3403"/>
      <c r="N49" s="3387"/>
      <c r="O49" s="47"/>
      <c r="P49" s="1077"/>
      <c r="Q49" s="1077"/>
      <c r="R49" s="1077"/>
      <c r="S49" s="1077"/>
      <c r="T49" s="1077"/>
      <c r="U49" s="1077"/>
      <c r="V49" s="1077"/>
      <c r="W49" s="1173"/>
      <c r="X49" s="1173"/>
      <c r="Y49" s="1077"/>
      <c r="Z49" s="1077"/>
      <c r="AA49" s="1077"/>
      <c r="AB49" s="1077"/>
      <c r="AC49" s="1077"/>
    </row>
    <row r="50" spans="2:29" hidden="1">
      <c r="B50" s="47"/>
      <c r="C50" s="946"/>
      <c r="D50" s="924"/>
      <c r="E50" s="941"/>
      <c r="F50" s="2519"/>
      <c r="G50" s="943"/>
      <c r="H50" s="943"/>
      <c r="I50" s="943"/>
      <c r="J50" s="943"/>
      <c r="K50" s="943"/>
      <c r="L50" s="943"/>
      <c r="M50" s="943"/>
      <c r="N50" s="67"/>
      <c r="O50" s="47"/>
      <c r="P50" s="1077"/>
      <c r="Q50" s="1077"/>
      <c r="R50" s="1077"/>
      <c r="S50" s="1077"/>
      <c r="T50" s="1077"/>
      <c r="U50" s="1077"/>
      <c r="V50" s="1077"/>
      <c r="W50" s="1173"/>
      <c r="X50" s="1173"/>
      <c r="Y50" s="1077"/>
      <c r="Z50" s="1077"/>
      <c r="AA50" s="1077"/>
      <c r="AB50" s="1077"/>
      <c r="AC50" s="1077"/>
    </row>
    <row r="51" spans="2:29" hidden="1">
      <c r="B51" s="47"/>
      <c r="C51" s="49" t="s">
        <v>2682</v>
      </c>
      <c r="D51" s="924"/>
      <c r="E51" s="941"/>
      <c r="F51" s="2519"/>
      <c r="G51" s="943"/>
      <c r="H51" s="943"/>
      <c r="I51" s="943"/>
      <c r="J51" s="943"/>
      <c r="K51" s="943"/>
      <c r="L51" s="943"/>
      <c r="M51" s="943"/>
      <c r="N51" s="944" t="s">
        <v>2830</v>
      </c>
      <c r="O51" s="47"/>
      <c r="P51" s="1077"/>
      <c r="Q51" s="1077"/>
      <c r="R51" s="1077"/>
      <c r="S51" s="1077"/>
      <c r="W51" s="1422"/>
      <c r="X51" s="1422"/>
      <c r="Y51" s="39"/>
      <c r="Z51" s="39"/>
    </row>
    <row r="52" spans="2:29" hidden="1">
      <c r="B52" s="47"/>
      <c r="C52" s="946"/>
      <c r="D52" s="924"/>
      <c r="E52" s="941"/>
      <c r="F52" s="2519"/>
      <c r="G52" s="943"/>
      <c r="H52" s="943"/>
      <c r="I52" s="943"/>
      <c r="J52" s="943"/>
      <c r="K52" s="943"/>
      <c r="L52" s="943"/>
      <c r="M52" s="943"/>
      <c r="N52" s="67"/>
      <c r="O52" s="47"/>
      <c r="P52" s="1077"/>
      <c r="Q52" s="1077"/>
      <c r="R52" s="1077"/>
      <c r="S52" s="1077"/>
      <c r="W52" s="1422"/>
      <c r="X52" s="1422"/>
      <c r="Y52" s="39"/>
      <c r="Z52" s="39"/>
    </row>
    <row r="53" spans="2:29" hidden="1">
      <c r="B53" s="47"/>
      <c r="C53" s="1179"/>
      <c r="D53" s="1079"/>
      <c r="E53" s="980" t="s">
        <v>160</v>
      </c>
      <c r="F53" s="3040">
        <v>2013</v>
      </c>
      <c r="G53" s="974">
        <v>2015</v>
      </c>
      <c r="H53" s="974">
        <v>2020</v>
      </c>
      <c r="I53" s="974">
        <v>2025</v>
      </c>
      <c r="J53" s="974">
        <v>2030</v>
      </c>
      <c r="K53" s="974">
        <v>2035</v>
      </c>
      <c r="L53" s="974">
        <v>2040</v>
      </c>
      <c r="M53" s="974">
        <v>2045</v>
      </c>
      <c r="N53" s="974">
        <v>2050</v>
      </c>
      <c r="O53" s="47"/>
      <c r="P53" s="1077"/>
      <c r="Q53" s="1077"/>
      <c r="R53" s="1077"/>
      <c r="S53" s="1077"/>
      <c r="W53" s="1422"/>
      <c r="X53" s="1422"/>
      <c r="Y53" s="39"/>
      <c r="Z53" s="39"/>
    </row>
    <row r="54" spans="2:29" hidden="1">
      <c r="B54" s="47"/>
      <c r="C54" s="976" t="s">
        <v>738</v>
      </c>
      <c r="D54" s="1079"/>
      <c r="E54" s="2424"/>
      <c r="F54" s="3404"/>
      <c r="G54" s="3405"/>
      <c r="H54" s="3405"/>
      <c r="I54" s="3405"/>
      <c r="J54" s="3405"/>
      <c r="K54" s="3405"/>
      <c r="L54" s="3405"/>
      <c r="M54" s="3405"/>
      <c r="N54" s="3404"/>
      <c r="O54" s="47"/>
      <c r="P54" s="1077"/>
      <c r="Q54" s="1077"/>
      <c r="R54" s="1077"/>
      <c r="S54" s="1077"/>
      <c r="W54" s="1422"/>
      <c r="X54" s="1422"/>
      <c r="Y54" s="39"/>
      <c r="Z54" s="39"/>
    </row>
    <row r="55" spans="2:29" hidden="1">
      <c r="B55" s="47"/>
      <c r="C55" s="952" t="s">
        <v>739</v>
      </c>
      <c r="D55" s="924"/>
      <c r="E55" s="2425"/>
      <c r="F55" s="2971"/>
      <c r="G55" s="2971"/>
      <c r="H55" s="2971"/>
      <c r="I55" s="2971"/>
      <c r="J55" s="2971"/>
      <c r="K55" s="2971"/>
      <c r="L55" s="2971"/>
      <c r="M55" s="2971"/>
      <c r="N55" s="2971"/>
      <c r="O55" s="47"/>
      <c r="P55" s="1077"/>
      <c r="Q55" s="1077"/>
      <c r="R55" s="1077"/>
      <c r="S55" s="1077"/>
      <c r="W55" s="1422"/>
      <c r="X55" s="39"/>
      <c r="Y55" s="39"/>
      <c r="Z55" s="39"/>
    </row>
    <row r="56" spans="2:29" hidden="1">
      <c r="B56" s="47"/>
      <c r="C56" s="956" t="s">
        <v>740</v>
      </c>
      <c r="D56" s="957"/>
      <c r="E56" s="2426"/>
      <c r="F56" s="3406"/>
      <c r="G56" s="3407"/>
      <c r="H56" s="3407"/>
      <c r="I56" s="3407"/>
      <c r="J56" s="3407"/>
      <c r="K56" s="3407"/>
      <c r="L56" s="3407"/>
      <c r="M56" s="3407"/>
      <c r="N56" s="3406"/>
      <c r="O56" s="47"/>
      <c r="P56" s="1077"/>
      <c r="Q56" s="1077"/>
      <c r="R56" s="1077"/>
      <c r="S56" s="1077"/>
      <c r="W56" s="1422"/>
      <c r="X56" s="39"/>
      <c r="Y56" s="39"/>
      <c r="Z56" s="39"/>
    </row>
    <row r="57" spans="2:29" hidden="1">
      <c r="B57" s="47"/>
      <c r="C57" s="952"/>
      <c r="D57" s="924"/>
      <c r="E57" s="2425"/>
      <c r="F57" s="3408"/>
      <c r="G57" s="2519"/>
      <c r="H57" s="2519"/>
      <c r="I57" s="2519"/>
      <c r="J57" s="2519"/>
      <c r="K57" s="2519"/>
      <c r="L57" s="2519"/>
      <c r="M57" s="2519"/>
      <c r="N57" s="3408"/>
      <c r="O57" s="47"/>
      <c r="P57" s="1077"/>
      <c r="Q57" s="1077"/>
      <c r="R57" s="1077"/>
      <c r="S57" s="1077"/>
      <c r="W57" s="1422"/>
      <c r="X57" s="39"/>
      <c r="Y57" s="39"/>
      <c r="Z57" s="39"/>
    </row>
    <row r="58" spans="2:29" hidden="1">
      <c r="B58" s="47"/>
      <c r="C58" s="47"/>
      <c r="D58" s="3409"/>
      <c r="E58" s="47"/>
      <c r="F58" s="47"/>
      <c r="G58" s="47"/>
      <c r="H58" s="47"/>
      <c r="I58" s="47"/>
      <c r="J58" s="47"/>
      <c r="K58" s="47"/>
      <c r="L58" s="47"/>
      <c r="M58" s="47"/>
      <c r="N58" s="47"/>
      <c r="O58" s="47"/>
      <c r="W58" s="1173"/>
      <c r="X58" s="1077"/>
      <c r="Y58" s="39"/>
      <c r="Z58" s="39"/>
    </row>
    <row r="59" spans="2:29" hidden="1">
      <c r="B59" s="67"/>
      <c r="C59" s="47"/>
      <c r="D59" s="47"/>
      <c r="E59" s="47"/>
      <c r="F59" s="47"/>
      <c r="G59" s="47"/>
      <c r="H59" s="47"/>
      <c r="I59" s="47"/>
      <c r="J59" s="47"/>
      <c r="K59" s="47"/>
      <c r="L59" s="47"/>
      <c r="M59" s="47"/>
      <c r="N59" s="47"/>
      <c r="O59" s="47"/>
      <c r="W59" s="1173"/>
      <c r="X59" s="1077"/>
      <c r="Y59" s="39"/>
      <c r="Z59" s="39"/>
    </row>
    <row r="60" spans="2:29">
      <c r="B60" s="39"/>
      <c r="W60" s="1077"/>
      <c r="X60" s="1077"/>
      <c r="Y60" s="39"/>
      <c r="Z60" s="39"/>
    </row>
    <row r="61" spans="2:29">
      <c r="W61" s="1077"/>
      <c r="X61" s="1077"/>
      <c r="Y61" s="39"/>
      <c r="Z61" s="39"/>
    </row>
    <row r="62" spans="2:29" ht="15.75">
      <c r="B62" s="1110" t="s">
        <v>207</v>
      </c>
      <c r="W62" s="1077"/>
      <c r="X62" s="1077"/>
      <c r="Y62" s="39"/>
      <c r="Z62" s="39"/>
    </row>
    <row r="63" spans="2:29">
      <c r="B63" s="363">
        <v>1</v>
      </c>
      <c r="C63" s="3335" t="s">
        <v>2683</v>
      </c>
      <c r="W63" s="39"/>
      <c r="X63" s="39"/>
      <c r="Y63" s="39"/>
      <c r="Z63" s="39"/>
    </row>
    <row r="65" spans="2:14">
      <c r="C65" s="363" t="s">
        <v>2684</v>
      </c>
      <c r="E65" s="3335" t="str">
        <f>Preferences.EnergyUnits</f>
        <v>TWh</v>
      </c>
      <c r="F65" s="2490">
        <f ca="1">-VII.b.Inputs[2013]</f>
        <v>23.469919126722662</v>
      </c>
      <c r="G65" s="2490">
        <f ca="1">-VII.b.Inputs[2015]</f>
        <v>24.337959285086423</v>
      </c>
      <c r="H65" s="2490">
        <f ca="1">-VII.b.Inputs[2020]</f>
        <v>24.833505229005151</v>
      </c>
      <c r="I65" s="2490">
        <f ca="1">-VII.b.Inputs[2025]</f>
        <v>25.342378547849545</v>
      </c>
      <c r="J65" s="2490">
        <f ca="1">-VII.b.Inputs[2030]</f>
        <v>25.94711529734543</v>
      </c>
      <c r="K65" s="2490">
        <f ca="1">-VII.b.Inputs[2035]</f>
        <v>26.58076499948222</v>
      </c>
      <c r="L65" s="2490">
        <f ca="1">-VII.b.Inputs[2040]</f>
        <v>27.213028415591449</v>
      </c>
      <c r="M65" s="2490">
        <f ca="1">-VII.b.Inputs[2045]</f>
        <v>27.782319170545687</v>
      </c>
      <c r="N65" s="2490">
        <f ca="1">-VII.b.Inputs[2050]</f>
        <v>28.235062849890589</v>
      </c>
    </row>
    <row r="66" spans="2:14">
      <c r="C66" s="3335" t="s">
        <v>2685</v>
      </c>
      <c r="F66" s="3410">
        <f>(1-F$18)</f>
        <v>0.87500728386221682</v>
      </c>
      <c r="G66" s="3410">
        <f t="shared" ref="G66:N66" si="1">(1-G$18)</f>
        <v>0.87500728386221682</v>
      </c>
      <c r="H66" s="3410">
        <f t="shared" si="1"/>
        <v>0.87500728386221682</v>
      </c>
      <c r="I66" s="3410">
        <f t="shared" si="1"/>
        <v>0.87500728386221682</v>
      </c>
      <c r="J66" s="3410">
        <f t="shared" si="1"/>
        <v>0.87500728386221682</v>
      </c>
      <c r="K66" s="3410">
        <f t="shared" si="1"/>
        <v>0.87500728386221682</v>
      </c>
      <c r="L66" s="3410">
        <f t="shared" si="1"/>
        <v>0.87500728386221682</v>
      </c>
      <c r="M66" s="3410">
        <f t="shared" si="1"/>
        <v>0.87500728386221682</v>
      </c>
      <c r="N66" s="3410">
        <f t="shared" si="1"/>
        <v>0.87500728386221682</v>
      </c>
    </row>
    <row r="67" spans="2:14">
      <c r="C67" s="988" t="s">
        <v>2686</v>
      </c>
      <c r="F67" s="2490">
        <f ca="1">F65/F66</f>
        <v>26.822541434316054</v>
      </c>
      <c r="G67" s="2490">
        <f t="shared" ref="G67:N67" ca="1" si="2">G65/G66</f>
        <v>27.814579071456969</v>
      </c>
      <c r="H67" s="2490">
        <f t="shared" ca="1" si="2"/>
        <v>28.380912578683819</v>
      </c>
      <c r="I67" s="2490">
        <f t="shared" ca="1" si="2"/>
        <v>28.962477244749529</v>
      </c>
      <c r="J67" s="2490">
        <f t="shared" ca="1" si="2"/>
        <v>29.653599205273814</v>
      </c>
      <c r="K67" s="2490">
        <f t="shared" ca="1" si="2"/>
        <v>30.377764265180407</v>
      </c>
      <c r="L67" s="2490">
        <f t="shared" ca="1" si="2"/>
        <v>31.100345011386846</v>
      </c>
      <c r="M67" s="2490">
        <f t="shared" ca="1" si="2"/>
        <v>31.750957601080309</v>
      </c>
      <c r="N67" s="2490">
        <f t="shared" ca="1" si="2"/>
        <v>32.268374641709414</v>
      </c>
    </row>
    <row r="68" spans="2:14">
      <c r="C68" s="2975" t="s">
        <v>2687</v>
      </c>
      <c r="F68" s="3411">
        <f>F$18</f>
        <v>0.12499271613778319</v>
      </c>
      <c r="G68" s="3411">
        <f t="shared" ref="G68:N68" si="3">G$18</f>
        <v>0.12499271613778319</v>
      </c>
      <c r="H68" s="3411">
        <f t="shared" si="3"/>
        <v>0.12499271613778319</v>
      </c>
      <c r="I68" s="3411">
        <f t="shared" si="3"/>
        <v>0.12499271613778319</v>
      </c>
      <c r="J68" s="3411">
        <f t="shared" si="3"/>
        <v>0.12499271613778319</v>
      </c>
      <c r="K68" s="3411">
        <f t="shared" si="3"/>
        <v>0.12499271613778319</v>
      </c>
      <c r="L68" s="3411">
        <f t="shared" si="3"/>
        <v>0.12499271613778319</v>
      </c>
      <c r="M68" s="3411">
        <f t="shared" si="3"/>
        <v>0.12499271613778319</v>
      </c>
      <c r="N68" s="3411">
        <f t="shared" si="3"/>
        <v>0.12499271613778319</v>
      </c>
    </row>
    <row r="69" spans="2:14">
      <c r="C69" s="988" t="s">
        <v>2688</v>
      </c>
      <c r="F69" s="2414">
        <f ca="1">F67*F68</f>
        <v>3.3526223075933945</v>
      </c>
      <c r="G69" s="2414">
        <f t="shared" ref="G69:N69" ca="1" si="4">G67*G68</f>
        <v>3.4766197863705459</v>
      </c>
      <c r="H69" s="2414">
        <f t="shared" ca="1" si="4"/>
        <v>3.5474073496786671</v>
      </c>
      <c r="I69" s="2414">
        <f t="shared" ca="1" si="4"/>
        <v>3.6200986968999831</v>
      </c>
      <c r="J69" s="2414">
        <f t="shared" ca="1" si="4"/>
        <v>3.7064839079283831</v>
      </c>
      <c r="K69" s="2414">
        <f t="shared" ca="1" si="4"/>
        <v>3.7969992656981884</v>
      </c>
      <c r="L69" s="2414">
        <f t="shared" ca="1" si="4"/>
        <v>3.8873165957953977</v>
      </c>
      <c r="M69" s="2414">
        <f t="shared" ca="1" si="4"/>
        <v>3.9686384305346207</v>
      </c>
      <c r="N69" s="2414">
        <f t="shared" ca="1" si="4"/>
        <v>4.0333117918188259</v>
      </c>
    </row>
    <row r="70" spans="2:14">
      <c r="F70" s="2490"/>
    </row>
    <row r="71" spans="2:14">
      <c r="B71" s="363">
        <v>2</v>
      </c>
      <c r="C71" s="363" t="s">
        <v>2799</v>
      </c>
      <c r="F71" s="2490"/>
    </row>
    <row r="72" spans="2:14" hidden="1">
      <c r="C72" s="3335" t="s">
        <v>22</v>
      </c>
      <c r="F72" s="2490"/>
    </row>
    <row r="73" spans="2:14" hidden="1">
      <c r="C73" s="3335" t="s">
        <v>2384</v>
      </c>
      <c r="E73" s="3611" t="s">
        <v>2812</v>
      </c>
      <c r="F73" s="2515"/>
      <c r="G73" s="2515"/>
      <c r="H73" s="2515"/>
      <c r="I73" s="2515"/>
      <c r="J73" s="2515"/>
      <c r="K73" s="2515"/>
      <c r="L73" s="2515"/>
      <c r="M73" s="2515"/>
      <c r="N73" s="2515"/>
    </row>
    <row r="74" spans="2:14" hidden="1">
      <c r="C74" s="3335" t="s">
        <v>2385</v>
      </c>
      <c r="E74" s="3611" t="s">
        <v>2824</v>
      </c>
      <c r="F74" s="2515"/>
      <c r="G74" s="2515"/>
      <c r="H74" s="2515"/>
      <c r="I74" s="2515"/>
      <c r="J74" s="2515"/>
      <c r="K74" s="2515"/>
      <c r="L74" s="2515"/>
      <c r="M74" s="2515"/>
      <c r="N74" s="2515"/>
    </row>
    <row r="75" spans="2:14" hidden="1">
      <c r="C75" s="3335" t="s">
        <v>2386</v>
      </c>
      <c r="E75" s="3611" t="s">
        <v>2824</v>
      </c>
      <c r="F75" s="2490"/>
      <c r="G75" s="2121"/>
      <c r="H75" s="2121"/>
      <c r="I75" s="2121"/>
      <c r="J75" s="2121"/>
      <c r="K75" s="2121"/>
      <c r="L75" s="2121"/>
      <c r="M75" s="2121"/>
      <c r="N75" s="2121"/>
    </row>
    <row r="76" spans="2:14" hidden="1">
      <c r="C76" s="3335" t="s">
        <v>2387</v>
      </c>
      <c r="E76" s="3611" t="s">
        <v>2824</v>
      </c>
      <c r="F76" s="2490"/>
      <c r="G76" s="2121"/>
      <c r="H76" s="2121"/>
      <c r="I76" s="2121"/>
      <c r="J76" s="2121"/>
      <c r="K76" s="2121"/>
      <c r="L76" s="2121"/>
      <c r="M76" s="2121"/>
      <c r="N76" s="2121"/>
    </row>
    <row r="77" spans="2:14" hidden="1">
      <c r="F77" s="2490"/>
      <c r="G77" s="2121"/>
      <c r="H77" s="2121"/>
      <c r="I77" s="2121"/>
      <c r="J77" s="2121"/>
      <c r="K77" s="2121"/>
      <c r="L77" s="2121"/>
      <c r="M77" s="2121"/>
      <c r="N77" s="2121"/>
    </row>
    <row r="78" spans="2:14" hidden="1">
      <c r="C78" s="3335" t="s">
        <v>161</v>
      </c>
      <c r="F78" s="2490"/>
    </row>
    <row r="79" spans="2:14" hidden="1">
      <c r="C79" s="3335" t="s">
        <v>2384</v>
      </c>
      <c r="E79" s="3611" t="s">
        <v>2812</v>
      </c>
      <c r="F79" s="2515"/>
      <c r="G79" s="2515"/>
      <c r="H79" s="2515"/>
      <c r="I79" s="2515"/>
      <c r="J79" s="2515"/>
      <c r="K79" s="2515"/>
      <c r="L79" s="2515"/>
      <c r="M79" s="2515"/>
      <c r="N79" s="2515"/>
    </row>
    <row r="80" spans="2:14" hidden="1">
      <c r="C80" s="3335" t="s">
        <v>2385</v>
      </c>
      <c r="E80" s="3611" t="s">
        <v>2824</v>
      </c>
      <c r="F80" s="2515"/>
      <c r="G80" s="2515"/>
      <c r="H80" s="2515"/>
      <c r="I80" s="2515"/>
      <c r="J80" s="2515"/>
      <c r="K80" s="2515"/>
      <c r="L80" s="2515"/>
      <c r="M80" s="2515"/>
      <c r="N80" s="2515"/>
    </row>
    <row r="81" spans="2:22" hidden="1">
      <c r="C81" s="3335" t="s">
        <v>2386</v>
      </c>
      <c r="E81" s="3611" t="s">
        <v>2824</v>
      </c>
      <c r="F81" s="2490"/>
      <c r="G81" s="2121"/>
      <c r="H81" s="2121"/>
      <c r="I81" s="2121"/>
      <c r="J81" s="2121"/>
      <c r="K81" s="2121"/>
      <c r="L81" s="2121"/>
      <c r="M81" s="2121"/>
      <c r="N81" s="2121"/>
    </row>
    <row r="82" spans="2:22" hidden="1">
      <c r="C82" s="3335" t="s">
        <v>2387</v>
      </c>
      <c r="E82" s="3611" t="s">
        <v>2824</v>
      </c>
      <c r="F82" s="2490"/>
      <c r="G82" s="2121"/>
      <c r="H82" s="2121"/>
      <c r="I82" s="2121"/>
      <c r="J82" s="2121"/>
      <c r="K82" s="2121"/>
      <c r="L82" s="2121"/>
      <c r="M82" s="2121"/>
      <c r="N82" s="2121"/>
    </row>
    <row r="83" spans="2:22" hidden="1">
      <c r="F83" s="2490"/>
    </row>
    <row r="84" spans="2:22" hidden="1">
      <c r="C84" s="3335" t="s">
        <v>20</v>
      </c>
      <c r="F84" s="2490"/>
    </row>
    <row r="85" spans="2:22" hidden="1">
      <c r="C85" s="3335" t="s">
        <v>2384</v>
      </c>
      <c r="E85" s="3611" t="s">
        <v>2812</v>
      </c>
      <c r="F85" s="2515"/>
      <c r="G85" s="2515"/>
      <c r="H85" s="2515"/>
      <c r="I85" s="2515"/>
      <c r="J85" s="2515"/>
      <c r="K85" s="2515"/>
      <c r="L85" s="2515"/>
      <c r="M85" s="2515"/>
      <c r="N85" s="2515"/>
    </row>
    <row r="86" spans="2:22" hidden="1">
      <c r="C86" s="3335" t="s">
        <v>2385</v>
      </c>
      <c r="E86" s="3611" t="s">
        <v>2824</v>
      </c>
      <c r="F86" s="2515"/>
      <c r="G86" s="2515"/>
      <c r="H86" s="2515"/>
      <c r="I86" s="2515"/>
      <c r="J86" s="2515"/>
      <c r="K86" s="2515"/>
      <c r="L86" s="2515"/>
      <c r="M86" s="2515"/>
      <c r="N86" s="2515"/>
    </row>
    <row r="87" spans="2:22" hidden="1">
      <c r="C87" s="3335" t="s">
        <v>2386</v>
      </c>
      <c r="E87" s="3611" t="s">
        <v>2824</v>
      </c>
      <c r="F87" s="2490"/>
      <c r="G87" s="2121"/>
      <c r="H87" s="2121"/>
      <c r="I87" s="2121"/>
      <c r="J87" s="2121"/>
      <c r="K87" s="2121"/>
      <c r="L87" s="2121"/>
      <c r="M87" s="2121"/>
      <c r="N87" s="2121"/>
    </row>
    <row r="88" spans="2:22" hidden="1">
      <c r="C88" s="3335" t="s">
        <v>2387</v>
      </c>
      <c r="E88" s="3611" t="s">
        <v>2824</v>
      </c>
      <c r="F88" s="2490"/>
      <c r="G88" s="2121"/>
      <c r="H88" s="2121"/>
      <c r="I88" s="2121"/>
      <c r="J88" s="2121"/>
      <c r="K88" s="2121"/>
      <c r="L88" s="2121"/>
      <c r="M88" s="2121"/>
      <c r="N88" s="2121"/>
    </row>
    <row r="89" spans="2:22" hidden="1">
      <c r="F89" s="2490"/>
    </row>
    <row r="90" spans="2:22" hidden="1">
      <c r="B90" s="363">
        <v>3</v>
      </c>
      <c r="C90" s="363" t="s">
        <v>2689</v>
      </c>
      <c r="F90" s="2490"/>
      <c r="Q90" s="1077"/>
      <c r="R90" s="1077"/>
      <c r="S90" s="1077"/>
      <c r="T90" s="1077"/>
      <c r="U90" s="1077"/>
      <c r="V90" s="1077"/>
    </row>
    <row r="91" spans="2:22" hidden="1">
      <c r="Q91" s="1077"/>
      <c r="R91" s="1077"/>
      <c r="S91" s="1077"/>
      <c r="T91" s="1077"/>
      <c r="U91" s="1077"/>
      <c r="V91" s="1077"/>
    </row>
    <row r="92" spans="2:22" hidden="1">
      <c r="C92" s="3335" t="s">
        <v>22</v>
      </c>
      <c r="F92" s="2490"/>
      <c r="Q92" s="1077"/>
      <c r="R92" s="1077"/>
      <c r="S92" s="1077"/>
      <c r="T92" s="1077"/>
      <c r="U92" s="1077"/>
      <c r="V92" s="1077"/>
    </row>
    <row r="93" spans="2:22" hidden="1">
      <c r="C93" s="3335" t="s">
        <v>2384</v>
      </c>
      <c r="E93" s="3611" t="s">
        <v>2812</v>
      </c>
      <c r="F93" s="2515"/>
      <c r="G93" s="2515"/>
      <c r="H93" s="2515"/>
      <c r="I93" s="2515"/>
      <c r="J93" s="2515"/>
      <c r="K93" s="2515"/>
      <c r="L93" s="2515"/>
      <c r="M93" s="2515"/>
      <c r="N93" s="2515"/>
      <c r="Q93" s="1077"/>
      <c r="R93" s="1077"/>
      <c r="S93" s="1077"/>
      <c r="T93" s="1077"/>
      <c r="U93" s="1077"/>
      <c r="V93" s="1077"/>
    </row>
    <row r="94" spans="2:22" hidden="1">
      <c r="C94" s="3335" t="s">
        <v>2385</v>
      </c>
      <c r="E94" s="3611" t="s">
        <v>2824</v>
      </c>
      <c r="F94" s="2515"/>
      <c r="G94" s="2515"/>
      <c r="H94" s="2515"/>
      <c r="I94" s="2515"/>
      <c r="J94" s="2515"/>
      <c r="K94" s="2515"/>
      <c r="L94" s="2515"/>
      <c r="M94" s="2515"/>
      <c r="N94" s="2515"/>
      <c r="Q94" s="1077"/>
      <c r="R94" s="1077"/>
      <c r="S94" s="1077"/>
      <c r="T94" s="1077"/>
      <c r="U94" s="1077"/>
      <c r="V94" s="1077"/>
    </row>
    <row r="95" spans="2:22" hidden="1">
      <c r="C95" s="3335" t="s">
        <v>2386</v>
      </c>
      <c r="E95" s="3611" t="s">
        <v>2824</v>
      </c>
      <c r="F95" s="2490"/>
      <c r="G95" s="2121"/>
      <c r="H95" s="2121"/>
      <c r="I95" s="2121"/>
      <c r="J95" s="2121"/>
      <c r="K95" s="2121"/>
      <c r="L95" s="2121"/>
      <c r="M95" s="2121"/>
      <c r="N95" s="2121"/>
      <c r="Q95" s="1077"/>
      <c r="R95" s="1077"/>
      <c r="S95" s="1077"/>
      <c r="T95" s="1077"/>
      <c r="U95" s="1077"/>
      <c r="V95" s="1077"/>
    </row>
    <row r="96" spans="2:22" hidden="1">
      <c r="C96" s="3335" t="s">
        <v>2387</v>
      </c>
      <c r="E96" s="3611" t="s">
        <v>2824</v>
      </c>
      <c r="F96" s="2490"/>
      <c r="G96" s="2121"/>
      <c r="H96" s="2121"/>
      <c r="I96" s="2121"/>
      <c r="J96" s="2121"/>
      <c r="K96" s="2121"/>
      <c r="L96" s="2121"/>
      <c r="M96" s="2121"/>
      <c r="N96" s="2121"/>
      <c r="Q96" s="1077"/>
      <c r="R96" s="1077"/>
      <c r="S96" s="1077"/>
      <c r="T96" s="1077"/>
      <c r="U96" s="1077"/>
      <c r="V96" s="1077"/>
    </row>
    <row r="97" spans="1:22" hidden="1">
      <c r="Q97" s="1077"/>
      <c r="R97" s="1077"/>
      <c r="S97" s="656"/>
      <c r="T97" s="1077"/>
      <c r="U97" s="1077"/>
      <c r="V97" s="1077"/>
    </row>
    <row r="98" spans="1:22" hidden="1">
      <c r="C98" s="3335" t="s">
        <v>161</v>
      </c>
      <c r="F98" s="2490"/>
      <c r="Q98" s="1077"/>
      <c r="R98" s="1077"/>
      <c r="S98" s="656"/>
      <c r="T98" s="1077"/>
      <c r="U98" s="1077"/>
      <c r="V98" s="1077"/>
    </row>
    <row r="99" spans="1:22" hidden="1">
      <c r="C99" s="3335" t="s">
        <v>2384</v>
      </c>
      <c r="E99" s="3611" t="s">
        <v>2812</v>
      </c>
      <c r="F99" s="2515"/>
      <c r="G99" s="2515"/>
      <c r="H99" s="2515"/>
      <c r="I99" s="2515"/>
      <c r="J99" s="2515"/>
      <c r="K99" s="2515"/>
      <c r="L99" s="2515"/>
      <c r="M99" s="2515"/>
      <c r="N99" s="2515"/>
      <c r="Q99" s="1077"/>
      <c r="R99" s="1077"/>
      <c r="S99" s="656"/>
      <c r="T99" s="1077"/>
      <c r="U99" s="1077"/>
      <c r="V99" s="1077"/>
    </row>
    <row r="100" spans="1:22" hidden="1">
      <c r="C100" s="3335" t="s">
        <v>2385</v>
      </c>
      <c r="E100" s="3611" t="s">
        <v>2824</v>
      </c>
      <c r="F100" s="2515"/>
      <c r="G100" s="2515"/>
      <c r="H100" s="2515"/>
      <c r="I100" s="2515"/>
      <c r="J100" s="2515"/>
      <c r="K100" s="2515"/>
      <c r="L100" s="2515"/>
      <c r="M100" s="2515"/>
      <c r="N100" s="2515"/>
      <c r="Q100" s="1077"/>
      <c r="R100" s="1077"/>
      <c r="S100" s="656"/>
      <c r="T100" s="1077"/>
      <c r="U100" s="1077"/>
      <c r="V100" s="1077"/>
    </row>
    <row r="101" spans="1:22" hidden="1">
      <c r="C101" s="3335" t="s">
        <v>2386</v>
      </c>
      <c r="E101" s="3611" t="s">
        <v>2824</v>
      </c>
      <c r="F101" s="2490"/>
      <c r="G101" s="2121"/>
      <c r="H101" s="2121"/>
      <c r="I101" s="2121"/>
      <c r="J101" s="2121"/>
      <c r="K101" s="2121"/>
      <c r="L101" s="2121"/>
      <c r="M101" s="2121"/>
      <c r="N101" s="2121"/>
      <c r="Q101" s="1077"/>
      <c r="R101" s="1077"/>
      <c r="S101" s="656"/>
      <c r="T101" s="1077"/>
      <c r="U101" s="1077"/>
      <c r="V101" s="1077"/>
    </row>
    <row r="102" spans="1:22" hidden="1">
      <c r="C102" s="3335" t="s">
        <v>2387</v>
      </c>
      <c r="E102" s="3611" t="s">
        <v>2824</v>
      </c>
      <c r="F102" s="2490"/>
      <c r="G102" s="2121"/>
      <c r="H102" s="2121"/>
      <c r="I102" s="2121"/>
      <c r="J102" s="2121"/>
      <c r="K102" s="2121"/>
      <c r="L102" s="2121"/>
      <c r="M102" s="2121"/>
      <c r="N102" s="2121"/>
      <c r="Q102" s="1077"/>
      <c r="R102" s="1077"/>
      <c r="S102" s="656"/>
      <c r="T102" s="1077"/>
      <c r="U102" s="1077"/>
      <c r="V102" s="1077"/>
    </row>
    <row r="103" spans="1:22" hidden="1">
      <c r="Q103" s="1077"/>
      <c r="R103" s="1077"/>
      <c r="S103" s="656"/>
      <c r="T103" s="1077"/>
      <c r="U103" s="1077"/>
      <c r="V103" s="1077"/>
    </row>
    <row r="104" spans="1:22" hidden="1">
      <c r="C104" s="3335" t="s">
        <v>20</v>
      </c>
      <c r="F104" s="2490"/>
      <c r="Q104" s="1077"/>
      <c r="R104" s="1077"/>
      <c r="S104" s="656"/>
      <c r="T104" s="1077"/>
      <c r="U104" s="1077"/>
      <c r="V104" s="1077"/>
    </row>
    <row r="105" spans="1:22" hidden="1">
      <c r="C105" s="3335" t="s">
        <v>2384</v>
      </c>
      <c r="E105" s="3611" t="s">
        <v>2812</v>
      </c>
      <c r="F105" s="2515"/>
      <c r="G105" s="2515"/>
      <c r="H105" s="2515"/>
      <c r="I105" s="2515"/>
      <c r="J105" s="2515"/>
      <c r="K105" s="2515"/>
      <c r="L105" s="2515"/>
      <c r="M105" s="2515"/>
      <c r="N105" s="2515"/>
      <c r="Q105" s="1077"/>
      <c r="R105" s="1077"/>
      <c r="S105" s="1077"/>
      <c r="T105" s="1077"/>
      <c r="U105" s="1077"/>
      <c r="V105" s="1077"/>
    </row>
    <row r="106" spans="1:22" hidden="1">
      <c r="C106" s="3335" t="s">
        <v>2385</v>
      </c>
      <c r="E106" s="3611" t="s">
        <v>2824</v>
      </c>
      <c r="F106" s="2515"/>
      <c r="G106" s="2515"/>
      <c r="H106" s="2515"/>
      <c r="I106" s="2515"/>
      <c r="J106" s="2515"/>
      <c r="K106" s="2515"/>
      <c r="L106" s="2515"/>
      <c r="M106" s="2515"/>
      <c r="N106" s="2515"/>
      <c r="Q106" s="1077"/>
      <c r="R106" s="1077"/>
      <c r="S106" s="1077"/>
      <c r="T106" s="1077"/>
      <c r="U106" s="1077"/>
      <c r="V106" s="1077"/>
    </row>
    <row r="107" spans="1:22" hidden="1">
      <c r="C107" s="3335" t="s">
        <v>2386</v>
      </c>
      <c r="E107" s="3611" t="s">
        <v>2824</v>
      </c>
      <c r="F107" s="2490"/>
      <c r="G107" s="2121"/>
      <c r="H107" s="2121"/>
      <c r="I107" s="2121"/>
      <c r="J107" s="2121"/>
      <c r="K107" s="2121"/>
      <c r="L107" s="2121"/>
      <c r="M107" s="2121"/>
      <c r="N107" s="2121"/>
    </row>
    <row r="108" spans="1:22" hidden="1">
      <c r="C108" s="3335" t="s">
        <v>2387</v>
      </c>
      <c r="E108" s="3611" t="s">
        <v>2824</v>
      </c>
      <c r="F108" s="2490"/>
      <c r="G108" s="2121"/>
      <c r="H108" s="2121"/>
      <c r="I108" s="2121"/>
      <c r="J108" s="2121"/>
      <c r="K108" s="2121"/>
      <c r="L108" s="2121"/>
      <c r="M108" s="2121"/>
      <c r="N108" s="2121"/>
    </row>
    <row r="110" spans="1:22" ht="23.25">
      <c r="A110" s="7"/>
      <c r="B110" s="511" t="s">
        <v>299</v>
      </c>
      <c r="C110" s="512"/>
      <c r="D110" s="512"/>
      <c r="E110" s="512"/>
      <c r="F110" s="512"/>
      <c r="G110" s="512"/>
      <c r="H110" s="512"/>
      <c r="I110" s="512"/>
      <c r="J110" s="512"/>
      <c r="K110" s="512"/>
      <c r="L110" s="512"/>
      <c r="M110" s="512"/>
      <c r="N110" s="512"/>
      <c r="O110" s="866"/>
    </row>
    <row r="111" spans="1:22">
      <c r="B111" s="514"/>
      <c r="C111" s="515"/>
      <c r="D111" s="515"/>
      <c r="E111" s="515"/>
      <c r="F111" s="515"/>
      <c r="G111" s="515"/>
      <c r="H111" s="515"/>
      <c r="I111" s="515"/>
      <c r="J111" s="515"/>
      <c r="K111" s="515"/>
      <c r="L111" s="515"/>
      <c r="M111" s="515"/>
      <c r="N111" s="515"/>
      <c r="O111" s="867"/>
    </row>
    <row r="112" spans="1:22">
      <c r="B112" s="514"/>
      <c r="C112" s="34" t="s">
        <v>765</v>
      </c>
      <c r="D112" s="515"/>
      <c r="E112" s="516"/>
      <c r="F112" s="515"/>
      <c r="G112" s="515"/>
      <c r="H112" s="515"/>
      <c r="I112" s="515"/>
      <c r="J112" s="515"/>
      <c r="K112" s="515"/>
      <c r="L112" s="515"/>
      <c r="M112" s="515"/>
      <c r="N112" s="516" t="str">
        <f>Preferences.EnergyUnits</f>
        <v>TWh</v>
      </c>
      <c r="O112" s="867"/>
    </row>
    <row r="113" spans="1:18">
      <c r="B113" s="514"/>
      <c r="C113" s="515"/>
      <c r="D113" s="515"/>
      <c r="E113" s="515"/>
      <c r="F113" s="515"/>
      <c r="G113" s="515"/>
      <c r="H113" s="515"/>
      <c r="I113" s="515"/>
      <c r="J113" s="515"/>
      <c r="K113" s="515"/>
      <c r="L113" s="515"/>
      <c r="M113" s="515"/>
      <c r="N113" s="515"/>
      <c r="O113" s="867"/>
    </row>
    <row r="114" spans="1:18" ht="15.75">
      <c r="A114" s="443"/>
      <c r="B114" s="15"/>
      <c r="C114" s="873" t="s">
        <v>28</v>
      </c>
      <c r="D114" s="873" t="s">
        <v>29</v>
      </c>
      <c r="E114" s="873" t="s">
        <v>30</v>
      </c>
      <c r="F114" s="873" t="s">
        <v>597</v>
      </c>
      <c r="G114" s="873" t="s">
        <v>133</v>
      </c>
      <c r="H114" s="873" t="s">
        <v>134</v>
      </c>
      <c r="I114" s="873" t="s">
        <v>135</v>
      </c>
      <c r="J114" s="873" t="s">
        <v>136</v>
      </c>
      <c r="K114" s="873" t="s">
        <v>137</v>
      </c>
      <c r="L114" s="873" t="s">
        <v>138</v>
      </c>
      <c r="M114" s="873" t="s">
        <v>139</v>
      </c>
      <c r="N114" s="873" t="s">
        <v>140</v>
      </c>
      <c r="O114" s="867"/>
    </row>
    <row r="115" spans="1:18" ht="15.75">
      <c r="A115" s="443"/>
      <c r="B115" s="15"/>
      <c r="C115" s="17" t="s">
        <v>96</v>
      </c>
      <c r="D115" s="2487" t="str">
        <f>INDEX(Vectors[Description], MATCH([Vector], Vectors[Code], 0))</f>
        <v>Electricity (delivered to end user)</v>
      </c>
      <c r="E115" s="17"/>
      <c r="F115" s="2521">
        <v>0</v>
      </c>
      <c r="G115" s="2521">
        <v>0</v>
      </c>
      <c r="H115" s="2521">
        <v>0</v>
      </c>
      <c r="I115" s="2521">
        <v>0</v>
      </c>
      <c r="J115" s="2521">
        <v>0</v>
      </c>
      <c r="K115" s="2521">
        <v>0</v>
      </c>
      <c r="L115" s="2521">
        <v>0</v>
      </c>
      <c r="M115" s="2521">
        <v>0</v>
      </c>
      <c r="N115" s="2521">
        <v>0</v>
      </c>
      <c r="O115" s="867"/>
    </row>
    <row r="116" spans="1:18" ht="15.75">
      <c r="A116" s="443"/>
      <c r="B116" s="15"/>
      <c r="C116" s="17" t="s">
        <v>97</v>
      </c>
      <c r="D116" s="2487" t="str">
        <f>INDEX(Vectors[Description], MATCH([Vector], Vectors[Code], 0))</f>
        <v>Electricity (supplied to grid)</v>
      </c>
      <c r="E116" s="17"/>
      <c r="F116" s="2521">
        <f t="shared" ref="F116:N116" ca="1" si="5">-(F$67-F$65)</f>
        <v>-3.3526223075933927</v>
      </c>
      <c r="G116" s="2521">
        <f t="shared" ca="1" si="5"/>
        <v>-3.476619786370545</v>
      </c>
      <c r="H116" s="2521">
        <f t="shared" ca="1" si="5"/>
        <v>-3.547407349678668</v>
      </c>
      <c r="I116" s="2521">
        <f t="shared" ca="1" si="5"/>
        <v>-3.6200986968999835</v>
      </c>
      <c r="J116" s="2521">
        <f t="shared" ca="1" si="5"/>
        <v>-3.7064839079283836</v>
      </c>
      <c r="K116" s="2521">
        <f t="shared" ca="1" si="5"/>
        <v>-3.7969992656981866</v>
      </c>
      <c r="L116" s="2521">
        <f t="shared" ca="1" si="5"/>
        <v>-3.8873165957953972</v>
      </c>
      <c r="M116" s="2521">
        <f t="shared" ca="1" si="5"/>
        <v>-3.9686384305346216</v>
      </c>
      <c r="N116" s="2521">
        <f t="shared" ca="1" si="5"/>
        <v>-4.033311791818825</v>
      </c>
      <c r="O116" s="867"/>
    </row>
    <row r="117" spans="1:18" ht="15.75">
      <c r="A117" s="443"/>
      <c r="B117" s="15"/>
      <c r="C117" s="17" t="s">
        <v>454</v>
      </c>
      <c r="D117" s="2487" t="str">
        <f>INDEX(Vectors[Description], MATCH([Vector], Vectors[Code], 0))</f>
        <v>Distribution losses and own use</v>
      </c>
      <c r="E117" s="17"/>
      <c r="F117" s="2521">
        <f t="shared" ref="F117:N117" ca="1" si="6">F$69</f>
        <v>3.3526223075933945</v>
      </c>
      <c r="G117" s="2521">
        <f t="shared" ca="1" si="6"/>
        <v>3.4766197863705459</v>
      </c>
      <c r="H117" s="2521">
        <f t="shared" ca="1" si="6"/>
        <v>3.5474073496786671</v>
      </c>
      <c r="I117" s="2521">
        <f t="shared" ca="1" si="6"/>
        <v>3.6200986968999831</v>
      </c>
      <c r="J117" s="2521">
        <f t="shared" ca="1" si="6"/>
        <v>3.7064839079283831</v>
      </c>
      <c r="K117" s="2521">
        <f t="shared" ca="1" si="6"/>
        <v>3.7969992656981884</v>
      </c>
      <c r="L117" s="2521">
        <f t="shared" ca="1" si="6"/>
        <v>3.8873165957953977</v>
      </c>
      <c r="M117" s="2521">
        <f t="shared" ca="1" si="6"/>
        <v>3.9686384305346207</v>
      </c>
      <c r="N117" s="2521">
        <f t="shared" ca="1" si="6"/>
        <v>4.0333117918188259</v>
      </c>
      <c r="O117" s="867"/>
    </row>
    <row r="118" spans="1:18" ht="15.75">
      <c r="A118" s="443"/>
      <c r="B118" s="15"/>
      <c r="C118" s="2462" t="s">
        <v>59</v>
      </c>
      <c r="D118" s="2462"/>
      <c r="E118" s="2462"/>
      <c r="F118" s="2465">
        <f ca="1">SUBTOTAL(109,[2013])</f>
        <v>0</v>
      </c>
      <c r="G118" s="2465">
        <f ca="1">SUBTOTAL(109,[2015])</f>
        <v>0</v>
      </c>
      <c r="H118" s="2465">
        <f ca="1">SUBTOTAL(109,[2020])</f>
        <v>0</v>
      </c>
      <c r="I118" s="2465">
        <f ca="1">SUBTOTAL(109,[2025])</f>
        <v>0</v>
      </c>
      <c r="J118" s="2465">
        <f ca="1">SUBTOTAL(109,[2030])</f>
        <v>0</v>
      </c>
      <c r="K118" s="2465">
        <f ca="1">SUBTOTAL(109,[2035])</f>
        <v>0</v>
      </c>
      <c r="L118" s="2465">
        <f ca="1">SUBTOTAL(109,[2040])</f>
        <v>0</v>
      </c>
      <c r="M118" s="2465">
        <f ca="1">SUBTOTAL(109,[2045])</f>
        <v>0</v>
      </c>
      <c r="N118" s="2465">
        <f ca="1">SUBTOTAL(109,[2050])</f>
        <v>0</v>
      </c>
      <c r="O118" s="867"/>
    </row>
    <row r="119" spans="1:18">
      <c r="B119" s="515"/>
      <c r="C119" s="2920"/>
      <c r="D119" s="2921"/>
      <c r="E119" s="2921"/>
      <c r="F119" s="2921"/>
      <c r="G119" s="2921"/>
      <c r="H119" s="2921"/>
      <c r="I119" s="2921"/>
      <c r="J119" s="2921"/>
      <c r="K119" s="2921"/>
      <c r="L119" s="2921"/>
      <c r="M119" s="2921"/>
      <c r="N119" s="2921"/>
      <c r="O119" s="867"/>
      <c r="R119" s="3335" t="s">
        <v>5</v>
      </c>
    </row>
    <row r="121" spans="1:18" ht="15.75">
      <c r="B121" s="995" t="s">
        <v>313</v>
      </c>
      <c r="C121" s="996"/>
      <c r="D121" s="997"/>
      <c r="E121" s="997"/>
      <c r="F121" s="997"/>
      <c r="G121" s="997"/>
      <c r="H121" s="997"/>
      <c r="I121" s="997"/>
      <c r="J121" s="997"/>
      <c r="K121" s="997"/>
      <c r="L121" s="997"/>
      <c r="M121" s="997"/>
      <c r="N121" s="997"/>
      <c r="O121" s="998"/>
    </row>
    <row r="122" spans="1:18">
      <c r="B122" s="999"/>
      <c r="C122" s="1000"/>
      <c r="D122" s="1000"/>
      <c r="E122" s="1000"/>
      <c r="F122" s="1000"/>
      <c r="G122" s="1000"/>
      <c r="H122" s="1000"/>
      <c r="I122" s="1000"/>
      <c r="J122" s="1000"/>
      <c r="K122" s="1000"/>
      <c r="L122" s="1000"/>
      <c r="M122" s="1000"/>
      <c r="N122" s="1000"/>
      <c r="O122" s="1001"/>
    </row>
    <row r="123" spans="1:18">
      <c r="B123" s="1002"/>
      <c r="C123" s="488" t="s">
        <v>314</v>
      </c>
      <c r="D123" s="1003"/>
      <c r="E123" s="1004"/>
      <c r="F123" s="1003"/>
      <c r="G123" s="1003"/>
      <c r="H123" s="1003"/>
      <c r="I123" s="1003"/>
      <c r="J123" s="1003"/>
      <c r="K123" s="1003"/>
      <c r="L123" s="1003"/>
      <c r="M123" s="1003"/>
      <c r="N123" s="1004"/>
      <c r="O123" s="1005"/>
    </row>
    <row r="124" spans="1:18">
      <c r="B124" s="1002"/>
      <c r="C124" s="1003"/>
      <c r="D124" s="1003"/>
      <c r="E124" s="1003"/>
      <c r="F124" s="1003"/>
      <c r="G124" s="1003"/>
      <c r="H124" s="1003"/>
      <c r="I124" s="1003"/>
      <c r="J124" s="1003"/>
      <c r="K124" s="1003"/>
      <c r="L124" s="1003"/>
      <c r="M124" s="1003"/>
      <c r="N124" s="1003"/>
      <c r="O124" s="1005"/>
    </row>
    <row r="125" spans="1:18" ht="15.75">
      <c r="B125" s="492"/>
      <c r="C125" s="1006" t="s">
        <v>28</v>
      </c>
      <c r="D125" s="1006" t="s">
        <v>315</v>
      </c>
      <c r="E125" s="1006" t="s">
        <v>30</v>
      </c>
      <c r="F125" s="1006">
        <v>2013</v>
      </c>
      <c r="G125" s="1006" t="s">
        <v>133</v>
      </c>
      <c r="H125" s="1006" t="s">
        <v>134</v>
      </c>
      <c r="I125" s="1006" t="s">
        <v>135</v>
      </c>
      <c r="J125" s="1006" t="s">
        <v>136</v>
      </c>
      <c r="K125" s="1006" t="s">
        <v>137</v>
      </c>
      <c r="L125" s="1006" t="s">
        <v>138</v>
      </c>
      <c r="M125" s="1006" t="s">
        <v>139</v>
      </c>
      <c r="N125" s="1006" t="s">
        <v>140</v>
      </c>
      <c r="O125" s="1005"/>
    </row>
    <row r="126" spans="1:18" ht="15.75">
      <c r="B126" s="492"/>
      <c r="C126" s="1007"/>
      <c r="D126" s="494"/>
      <c r="E126" s="494"/>
      <c r="F126" s="2438"/>
      <c r="G126" s="2438"/>
      <c r="H126" s="2438"/>
      <c r="I126" s="2438"/>
      <c r="J126" s="2438"/>
      <c r="K126" s="2438"/>
      <c r="L126" s="2438"/>
      <c r="M126" s="2438"/>
      <c r="N126" s="2438"/>
      <c r="O126" s="1005"/>
    </row>
    <row r="127" spans="1:18" ht="15.75">
      <c r="B127" s="492"/>
      <c r="C127" s="1007"/>
      <c r="D127" s="494"/>
      <c r="E127" s="494"/>
      <c r="F127" s="2438"/>
      <c r="G127" s="2438"/>
      <c r="H127" s="2438"/>
      <c r="I127" s="2438"/>
      <c r="J127" s="2438"/>
      <c r="K127" s="2438"/>
      <c r="L127" s="2438"/>
      <c r="M127" s="2438"/>
      <c r="N127" s="2438"/>
      <c r="O127" s="1005"/>
    </row>
    <row r="128" spans="1:18" ht="15.75">
      <c r="B128" s="497"/>
      <c r="C128" s="1010"/>
      <c r="D128" s="1010"/>
      <c r="E128" s="1010"/>
      <c r="F128" s="1010"/>
      <c r="G128" s="1010"/>
      <c r="H128" s="1010"/>
      <c r="I128" s="1010"/>
      <c r="J128" s="1010"/>
      <c r="K128" s="1010"/>
      <c r="L128" s="1010"/>
      <c r="M128" s="1010"/>
      <c r="N128" s="1010"/>
      <c r="O128" s="1011"/>
    </row>
    <row r="130" spans="2:15" ht="15.75">
      <c r="B130" s="995" t="s">
        <v>2795</v>
      </c>
      <c r="C130" s="997"/>
      <c r="D130" s="997"/>
      <c r="E130" s="997"/>
      <c r="F130" s="997"/>
      <c r="G130" s="997"/>
      <c r="H130" s="997"/>
      <c r="I130" s="997"/>
      <c r="J130" s="997"/>
      <c r="K130" s="997"/>
      <c r="L130" s="997"/>
      <c r="M130" s="997"/>
      <c r="N130" s="997"/>
      <c r="O130" s="998"/>
    </row>
    <row r="131" spans="2:15" hidden="1">
      <c r="B131" s="1002"/>
      <c r="C131" s="1003"/>
      <c r="D131" s="1003"/>
      <c r="E131" s="1003"/>
      <c r="F131" s="1003"/>
      <c r="G131" s="1003"/>
      <c r="H131" s="1003"/>
      <c r="I131" s="1003"/>
      <c r="J131" s="1003"/>
      <c r="K131" s="1003"/>
      <c r="L131" s="1003"/>
      <c r="M131" s="1003"/>
      <c r="N131" s="1003"/>
      <c r="O131" s="1005"/>
    </row>
    <row r="132" spans="2:15" hidden="1">
      <c r="B132" s="1002"/>
      <c r="C132" s="500" t="s">
        <v>770</v>
      </c>
      <c r="D132" s="1012"/>
      <c r="E132" s="1012"/>
      <c r="F132" s="1012"/>
      <c r="G132" s="1012"/>
      <c r="H132" s="1012"/>
      <c r="I132" s="1012"/>
      <c r="J132" s="1012"/>
      <c r="K132" s="1012"/>
      <c r="L132" s="1012"/>
      <c r="M132" s="1012"/>
      <c r="N132" s="1013" t="s">
        <v>2812</v>
      </c>
      <c r="O132" s="1005"/>
    </row>
    <row r="133" spans="2:15" hidden="1">
      <c r="B133" s="1002"/>
      <c r="C133" s="1003"/>
      <c r="D133" s="1003"/>
      <c r="E133" s="1003"/>
      <c r="F133" s="1003"/>
      <c r="G133" s="1003"/>
      <c r="H133" s="1003"/>
      <c r="I133" s="1003"/>
      <c r="J133" s="1003"/>
      <c r="K133" s="1003"/>
      <c r="L133" s="1003"/>
      <c r="M133" s="1003"/>
      <c r="N133" s="1003"/>
      <c r="O133" s="1005"/>
    </row>
    <row r="134" spans="2:15" ht="15.75" hidden="1">
      <c r="B134" s="492"/>
      <c r="C134" s="1006" t="s">
        <v>28</v>
      </c>
      <c r="D134" s="1006" t="s">
        <v>29</v>
      </c>
      <c r="E134" s="1006" t="s">
        <v>30</v>
      </c>
      <c r="F134" s="1006">
        <v>2013</v>
      </c>
      <c r="G134" s="1006" t="s">
        <v>133</v>
      </c>
      <c r="H134" s="1006" t="s">
        <v>134</v>
      </c>
      <c r="I134" s="1006" t="s">
        <v>135</v>
      </c>
      <c r="J134" s="1006" t="s">
        <v>136</v>
      </c>
      <c r="K134" s="1006" t="s">
        <v>137</v>
      </c>
      <c r="L134" s="1006" t="s">
        <v>138</v>
      </c>
      <c r="M134" s="1006" t="s">
        <v>139</v>
      </c>
      <c r="N134" s="1006" t="s">
        <v>140</v>
      </c>
      <c r="O134" s="1150"/>
    </row>
    <row r="135" spans="2:15" ht="15.75" hidden="1">
      <c r="B135" s="492"/>
      <c r="C135" s="1007" t="s">
        <v>324</v>
      </c>
      <c r="D135" s="494" t="s">
        <v>325</v>
      </c>
      <c r="E135" s="494"/>
      <c r="F135" s="2440"/>
      <c r="G135" s="2440"/>
      <c r="H135" s="2440"/>
      <c r="I135" s="2440"/>
      <c r="J135" s="2440"/>
      <c r="K135" s="2440"/>
      <c r="L135" s="2440"/>
      <c r="M135" s="2440"/>
      <c r="N135" s="2440"/>
      <c r="O135" s="1150"/>
    </row>
    <row r="136" spans="2:15" ht="15.75" hidden="1">
      <c r="B136" s="492"/>
      <c r="C136" s="1007" t="s">
        <v>331</v>
      </c>
      <c r="D136" s="494" t="s">
        <v>332</v>
      </c>
      <c r="E136" s="494"/>
      <c r="F136" s="2440"/>
      <c r="G136" s="2440"/>
      <c r="H136" s="2440"/>
      <c r="I136" s="2440"/>
      <c r="J136" s="2440"/>
      <c r="K136" s="2440"/>
      <c r="L136" s="2440"/>
      <c r="M136" s="2440"/>
      <c r="N136" s="2440"/>
      <c r="O136" s="1150"/>
    </row>
    <row r="137" spans="2:15" ht="15.75" hidden="1">
      <c r="B137" s="492"/>
      <c r="C137" s="1007" t="s">
        <v>326</v>
      </c>
      <c r="D137" s="494" t="s">
        <v>327</v>
      </c>
      <c r="E137" s="494"/>
      <c r="F137" s="2440"/>
      <c r="G137" s="2440"/>
      <c r="H137" s="2440"/>
      <c r="I137" s="2440"/>
      <c r="J137" s="2440"/>
      <c r="K137" s="2440"/>
      <c r="L137" s="2440"/>
      <c r="M137" s="2440"/>
      <c r="N137" s="2440"/>
      <c r="O137" s="1150"/>
    </row>
    <row r="138" spans="2:15" hidden="1">
      <c r="B138" s="503"/>
      <c r="C138" s="1007" t="s">
        <v>333</v>
      </c>
      <c r="D138" s="494" t="s">
        <v>334</v>
      </c>
      <c r="E138" s="2888"/>
      <c r="F138" s="3412"/>
      <c r="G138" s="3412"/>
      <c r="H138" s="3412"/>
      <c r="I138" s="3412"/>
      <c r="J138" s="3412"/>
      <c r="K138" s="3412"/>
      <c r="L138" s="3412"/>
      <c r="M138" s="3412"/>
      <c r="N138" s="3412"/>
      <c r="O138" s="1151"/>
    </row>
    <row r="139" spans="2:15" hidden="1">
      <c r="B139" s="503"/>
      <c r="C139" s="1007" t="s">
        <v>328</v>
      </c>
      <c r="D139" s="494" t="s">
        <v>329</v>
      </c>
      <c r="E139" s="494"/>
      <c r="F139" s="2440"/>
      <c r="G139" s="2440"/>
      <c r="H139" s="2440"/>
      <c r="I139" s="2440"/>
      <c r="J139" s="2440"/>
      <c r="K139" s="2440"/>
      <c r="L139" s="2440"/>
      <c r="M139" s="2440"/>
      <c r="N139" s="2440"/>
      <c r="O139" s="1151"/>
    </row>
    <row r="140" spans="2:15" hidden="1">
      <c r="B140" s="503"/>
      <c r="C140" s="1007" t="s">
        <v>335</v>
      </c>
      <c r="D140" s="494" t="s">
        <v>336</v>
      </c>
      <c r="E140" s="494"/>
      <c r="F140" s="2440"/>
      <c r="G140" s="2440"/>
      <c r="H140" s="2440"/>
      <c r="I140" s="2440"/>
      <c r="J140" s="2440"/>
      <c r="K140" s="2440"/>
      <c r="L140" s="2440"/>
      <c r="M140" s="2440"/>
      <c r="N140" s="2440"/>
      <c r="O140" s="1151"/>
    </row>
    <row r="141" spans="2:15" hidden="1">
      <c r="B141" s="1014"/>
      <c r="C141" s="1010"/>
      <c r="D141" s="1010"/>
      <c r="E141" s="1010"/>
      <c r="F141" s="1010"/>
      <c r="G141" s="1010"/>
      <c r="H141" s="1010"/>
      <c r="I141" s="1010"/>
      <c r="J141" s="1010"/>
      <c r="K141" s="1010"/>
      <c r="L141" s="1010"/>
      <c r="M141" s="1010"/>
      <c r="N141" s="1010"/>
      <c r="O141" s="1015"/>
    </row>
    <row r="259" spans="18:20">
      <c r="R259" s="3013"/>
      <c r="S259" s="3013"/>
      <c r="T259" s="3013"/>
    </row>
  </sheetData>
  <pageMargins left="0.7" right="0.7" top="0.75" bottom="0.75" header="0.3" footer="0.3"/>
  <pageSetup orientation="portrait" r:id="rId1"/>
  <tableParts count="2">
    <tablePart r:id="rId2"/>
    <tablePart r:id="rId3"/>
  </tableParts>
</worksheet>
</file>

<file path=xl/worksheets/sheet31.xml><?xml version="1.0" encoding="utf-8"?>
<worksheet xmlns="http://schemas.openxmlformats.org/spreadsheetml/2006/main" xmlns:r="http://schemas.openxmlformats.org/officeDocument/2006/relationships">
  <sheetPr>
    <tabColor theme="9"/>
  </sheetPr>
  <dimension ref="A1:AK483"/>
  <sheetViews>
    <sheetView showGridLines="0" topLeftCell="A107" zoomScale="80" zoomScaleNormal="80" workbookViewId="0">
      <selection activeCell="I113" sqref="I113"/>
    </sheetView>
  </sheetViews>
  <sheetFormatPr defaultColWidth="8.85546875" defaultRowHeight="15"/>
  <cols>
    <col min="1" max="1" width="7.7109375" style="2890" customWidth="1"/>
    <col min="2" max="2" width="5.85546875" style="2890" customWidth="1"/>
    <col min="3" max="3" width="20.42578125" style="2890" customWidth="1"/>
    <col min="4" max="4" width="30.7109375" style="2890" customWidth="1"/>
    <col min="5" max="5" width="20.7109375" style="2890" customWidth="1"/>
    <col min="6" max="15" width="17.7109375" style="2890" customWidth="1"/>
    <col min="16" max="16" width="2" style="2890" customWidth="1"/>
    <col min="17" max="17" width="10.85546875" style="2890" customWidth="1"/>
    <col min="18" max="19" width="4.85546875" style="2890" customWidth="1"/>
    <col min="20" max="16384" width="8.85546875" style="2890"/>
  </cols>
  <sheetData>
    <row r="1" spans="1:18" ht="20.25">
      <c r="A1" s="863" t="s">
        <v>571</v>
      </c>
      <c r="B1" s="863" t="s">
        <v>572</v>
      </c>
      <c r="C1" s="863"/>
      <c r="G1"/>
      <c r="H1"/>
    </row>
    <row r="2" spans="1:18" s="6" customFormat="1" ht="15.75">
      <c r="A2" s="864" t="s">
        <v>569</v>
      </c>
      <c r="B2" s="864" t="s">
        <v>570</v>
      </c>
      <c r="C2" s="864"/>
      <c r="E2" s="5"/>
      <c r="P2" s="2890"/>
    </row>
    <row r="4" spans="1:18" ht="23.25">
      <c r="A4" s="7"/>
      <c r="B4" s="511" t="s">
        <v>6</v>
      </c>
      <c r="C4" s="512"/>
      <c r="D4" s="512"/>
      <c r="E4" s="512"/>
      <c r="F4" s="512"/>
      <c r="G4" s="512"/>
      <c r="H4" s="512"/>
      <c r="I4" s="512"/>
      <c r="J4" s="512"/>
      <c r="K4" s="512"/>
      <c r="L4" s="512"/>
      <c r="M4" s="512"/>
      <c r="N4" s="512"/>
      <c r="O4" s="512"/>
      <c r="R4" s="381"/>
    </row>
    <row r="5" spans="1:18">
      <c r="B5" s="514"/>
      <c r="C5" s="515"/>
      <c r="D5" s="515"/>
      <c r="E5" s="515"/>
      <c r="F5" s="515"/>
      <c r="G5" s="515"/>
      <c r="H5" s="515"/>
      <c r="I5" s="515"/>
      <c r="J5" s="515"/>
      <c r="K5" s="515"/>
      <c r="L5" s="515"/>
      <c r="M5" s="515"/>
      <c r="N5" s="515"/>
      <c r="O5" s="515"/>
    </row>
    <row r="6" spans="1:18">
      <c r="B6" s="514"/>
      <c r="C6" s="12"/>
      <c r="D6" s="515"/>
      <c r="E6" s="516"/>
      <c r="F6" s="515"/>
      <c r="G6" s="515"/>
      <c r="H6" s="515"/>
      <c r="I6" s="515"/>
      <c r="J6" s="515"/>
      <c r="K6" s="515"/>
      <c r="L6" s="515"/>
      <c r="M6" s="515"/>
      <c r="N6" s="515"/>
      <c r="O6" s="515"/>
    </row>
    <row r="7" spans="1:18" ht="15.75">
      <c r="B7" s="2223"/>
      <c r="C7" s="515"/>
      <c r="D7" s="16" t="s">
        <v>7</v>
      </c>
      <c r="E7" s="2979" t="s">
        <v>8</v>
      </c>
      <c r="F7" s="515"/>
      <c r="G7" s="515"/>
      <c r="H7" s="515"/>
      <c r="I7" s="515"/>
      <c r="J7" s="515"/>
      <c r="K7" s="515"/>
      <c r="L7" s="515"/>
      <c r="M7" s="515"/>
      <c r="N7" s="515"/>
      <c r="O7" s="515"/>
    </row>
    <row r="8" spans="1:18" ht="15.75">
      <c r="B8" s="2223"/>
      <c r="C8" s="515"/>
      <c r="D8" s="868" t="s">
        <v>2104</v>
      </c>
      <c r="E8" s="868">
        <f>VII.c.Scenario</f>
        <v>1</v>
      </c>
      <c r="F8" s="515"/>
      <c r="G8" s="515"/>
      <c r="H8" s="515"/>
      <c r="I8" s="515"/>
      <c r="J8" s="515"/>
      <c r="K8" s="515"/>
      <c r="L8" s="515"/>
      <c r="M8" s="515"/>
      <c r="N8" s="515"/>
      <c r="O8" s="515"/>
    </row>
    <row r="9" spans="1:18">
      <c r="B9" s="1252"/>
      <c r="C9" s="869"/>
      <c r="D9" s="869"/>
      <c r="E9" s="869"/>
      <c r="F9" s="869"/>
      <c r="G9" s="869"/>
      <c r="H9" s="869"/>
      <c r="I9" s="869"/>
      <c r="J9" s="869"/>
      <c r="K9" s="869"/>
      <c r="L9" s="869"/>
      <c r="M9" s="869"/>
      <c r="N9" s="869"/>
      <c r="O9" s="869"/>
    </row>
    <row r="11" spans="1:18" ht="23.25">
      <c r="A11" s="7"/>
      <c r="B11" s="511" t="s">
        <v>24</v>
      </c>
      <c r="C11" s="512"/>
      <c r="D11" s="512"/>
      <c r="E11" s="512"/>
      <c r="F11" s="512"/>
      <c r="G11" s="512"/>
      <c r="H11" s="512"/>
      <c r="I11" s="512"/>
      <c r="J11" s="512"/>
      <c r="K11" s="512"/>
      <c r="L11" s="512"/>
      <c r="M11" s="512"/>
      <c r="N11" s="512"/>
      <c r="O11" s="866"/>
    </row>
    <row r="12" spans="1:18">
      <c r="B12" s="514"/>
      <c r="C12" s="515"/>
      <c r="D12" s="515"/>
      <c r="E12" s="515"/>
      <c r="F12" s="515"/>
      <c r="G12" s="515"/>
      <c r="H12" s="515"/>
      <c r="I12" s="515"/>
      <c r="J12" s="515"/>
      <c r="K12" s="515"/>
      <c r="L12" s="515"/>
      <c r="M12" s="515"/>
      <c r="N12" s="515"/>
      <c r="O12" s="867"/>
    </row>
    <row r="13" spans="1:18">
      <c r="B13" s="514"/>
      <c r="C13" s="34" t="s">
        <v>2390</v>
      </c>
      <c r="D13" s="515"/>
      <c r="E13" s="515"/>
      <c r="F13" s="515"/>
      <c r="G13" s="515"/>
      <c r="H13" s="515"/>
      <c r="I13" s="515"/>
      <c r="J13" s="515"/>
      <c r="K13" s="515"/>
      <c r="L13" s="515"/>
      <c r="M13" s="516" t="s">
        <v>97</v>
      </c>
      <c r="N13" s="2980" t="str">
        <f>Preferences.PowerUnits&amp;"e"</f>
        <v>GWe</v>
      </c>
      <c r="O13" s="867" t="s">
        <v>3297</v>
      </c>
    </row>
    <row r="14" spans="1:18">
      <c r="B14" s="514"/>
      <c r="C14" s="515"/>
      <c r="D14" s="515"/>
      <c r="E14" s="516"/>
      <c r="F14" s="515"/>
      <c r="G14" s="515"/>
      <c r="H14" s="515"/>
      <c r="I14" s="515"/>
      <c r="J14" s="515"/>
      <c r="K14" s="515"/>
      <c r="L14" s="515"/>
      <c r="M14" s="515"/>
      <c r="N14" s="515"/>
      <c r="O14" s="867"/>
    </row>
    <row r="15" spans="1:18" ht="15.75">
      <c r="A15" s="2981"/>
      <c r="B15" s="2982"/>
      <c r="C15" s="2983" t="s">
        <v>131</v>
      </c>
      <c r="D15" s="2983" t="s">
        <v>29</v>
      </c>
      <c r="E15" s="2983" t="s">
        <v>30</v>
      </c>
      <c r="F15" s="2984">
        <v>2013</v>
      </c>
      <c r="G15" s="2984" t="s">
        <v>133</v>
      </c>
      <c r="H15" s="2984" t="s">
        <v>134</v>
      </c>
      <c r="I15" s="2984" t="s">
        <v>135</v>
      </c>
      <c r="J15" s="2984" t="s">
        <v>136</v>
      </c>
      <c r="K15" s="2984" t="s">
        <v>137</v>
      </c>
      <c r="L15" s="2984" t="s">
        <v>138</v>
      </c>
      <c r="M15" s="2984" t="s">
        <v>139</v>
      </c>
      <c r="N15" s="2984" t="s">
        <v>140</v>
      </c>
      <c r="O15" s="874"/>
    </row>
    <row r="16" spans="1:18" ht="15.75">
      <c r="A16" s="2981"/>
      <c r="B16" s="2982"/>
      <c r="C16" s="873" t="s">
        <v>520</v>
      </c>
      <c r="D16" s="2953" t="s">
        <v>521</v>
      </c>
      <c r="E16" s="873"/>
      <c r="F16" s="2985">
        <f t="shared" ref="F16:N20" ca="1" si="0">IFERROR(INDEX(INDIRECT($C16&amp;".Outputs["&amp;F$15&amp;"]"), MATCH($M$13, INDIRECT($C16&amp;".Outputs[Vector]"), 0)), 0)*Conversion.to.average.power</f>
        <v>0.504</v>
      </c>
      <c r="G16" s="2985">
        <f t="shared" ca="1" si="0"/>
        <v>0.63129999999999975</v>
      </c>
      <c r="H16" s="2985">
        <f t="shared" ca="1" si="0"/>
        <v>1.02955</v>
      </c>
      <c r="I16" s="2985">
        <f t="shared" ca="1" si="0"/>
        <v>1.5162999999999995</v>
      </c>
      <c r="J16" s="2985">
        <f t="shared" ca="1" si="0"/>
        <v>2.2537999999999991</v>
      </c>
      <c r="K16" s="2985">
        <f t="shared" ca="1" si="0"/>
        <v>2.5487999999999995</v>
      </c>
      <c r="L16" s="2985">
        <f t="shared" ca="1" si="0"/>
        <v>2.5487999999999995</v>
      </c>
      <c r="M16" s="2985">
        <f t="shared" ca="1" si="0"/>
        <v>2.5487999999999995</v>
      </c>
      <c r="N16" s="2985">
        <f t="shared" ca="1" si="0"/>
        <v>2.5487999999999995</v>
      </c>
      <c r="O16" s="875"/>
    </row>
    <row r="17" spans="1:19" ht="15.75">
      <c r="A17" s="2981"/>
      <c r="B17" s="2982"/>
      <c r="C17" s="873" t="s">
        <v>522</v>
      </c>
      <c r="D17" s="2953" t="s">
        <v>523</v>
      </c>
      <c r="E17" s="873"/>
      <c r="F17" s="2985">
        <f t="shared" ca="1" si="0"/>
        <v>9.4999999999999998E-3</v>
      </c>
      <c r="G17" s="2985">
        <f t="shared" ca="1" si="0"/>
        <v>9.4999999999999998E-3</v>
      </c>
      <c r="H17" s="2985">
        <f t="shared" ca="1" si="0"/>
        <v>0.01</v>
      </c>
      <c r="I17" s="2985">
        <f t="shared" ca="1" si="0"/>
        <v>0.01</v>
      </c>
      <c r="J17" s="2985">
        <f t="shared" ca="1" si="0"/>
        <v>0.22574999999999995</v>
      </c>
      <c r="K17" s="2985">
        <f t="shared" ca="1" si="0"/>
        <v>0.59624999999999995</v>
      </c>
      <c r="L17" s="2985">
        <f t="shared" ca="1" si="0"/>
        <v>1.0462499999999999</v>
      </c>
      <c r="M17" s="2985">
        <f t="shared" ca="1" si="0"/>
        <v>1.83375</v>
      </c>
      <c r="N17" s="2985">
        <f t="shared" ca="1" si="0"/>
        <v>2.6212499999999999</v>
      </c>
      <c r="O17" s="875"/>
    </row>
    <row r="18" spans="1:19" ht="15.75">
      <c r="A18" s="2981"/>
      <c r="B18" s="2982"/>
      <c r="C18" s="2986" t="s">
        <v>627</v>
      </c>
      <c r="D18" s="2953" t="s">
        <v>399</v>
      </c>
      <c r="E18" s="873"/>
      <c r="F18" s="2985">
        <f t="shared" ca="1" si="0"/>
        <v>0</v>
      </c>
      <c r="G18" s="2985">
        <f t="shared" ca="1" si="0"/>
        <v>4.5205479452054784E-4</v>
      </c>
      <c r="H18" s="2985">
        <f t="shared" ca="1" si="0"/>
        <v>1.4849999999999998E-3</v>
      </c>
      <c r="I18" s="2985">
        <f t="shared" ca="1" si="0"/>
        <v>4.4549999999999999E-2</v>
      </c>
      <c r="J18" s="2985">
        <f t="shared" ca="1" si="0"/>
        <v>0.29699999999999999</v>
      </c>
      <c r="K18" s="2985">
        <f t="shared" ca="1" si="0"/>
        <v>0.4454999999999999</v>
      </c>
      <c r="L18" s="2985">
        <f t="shared" ca="1" si="0"/>
        <v>0.59399999999999997</v>
      </c>
      <c r="M18" s="2985">
        <f t="shared" ca="1" si="0"/>
        <v>0.59399999999999997</v>
      </c>
      <c r="N18" s="2985">
        <f t="shared" ca="1" si="0"/>
        <v>0.71279999999999999</v>
      </c>
      <c r="O18" s="875"/>
    </row>
    <row r="19" spans="1:19" ht="15.75">
      <c r="A19" s="2981"/>
      <c r="B19" s="2982"/>
      <c r="C19" s="2986" t="s">
        <v>534</v>
      </c>
      <c r="D19" s="2953" t="s">
        <v>1505</v>
      </c>
      <c r="E19" s="873"/>
      <c r="F19" s="2985">
        <f t="shared" ca="1" si="0"/>
        <v>0</v>
      </c>
      <c r="G19" s="2985">
        <f t="shared" ca="1" si="0"/>
        <v>0</v>
      </c>
      <c r="H19" s="2985">
        <f t="shared" ca="1" si="0"/>
        <v>4.8499999999999988E-2</v>
      </c>
      <c r="I19" s="2985">
        <f t="shared" ca="1" si="0"/>
        <v>9.6999999999999975E-2</v>
      </c>
      <c r="J19" s="2985">
        <f t="shared" ca="1" si="0"/>
        <v>0.19399999999999995</v>
      </c>
      <c r="K19" s="2985">
        <f t="shared" ca="1" si="0"/>
        <v>0.29099999999999998</v>
      </c>
      <c r="L19" s="2985">
        <f t="shared" ca="1" si="0"/>
        <v>0.3879999999999999</v>
      </c>
      <c r="M19" s="2985">
        <f t="shared" ca="1" si="0"/>
        <v>0.43649999999999994</v>
      </c>
      <c r="N19" s="2985">
        <f t="shared" ca="1" si="0"/>
        <v>0.48499999999999988</v>
      </c>
      <c r="O19" s="875"/>
    </row>
    <row r="20" spans="1:19" ht="15.75">
      <c r="A20" s="2981"/>
      <c r="B20" s="2982"/>
      <c r="C20" s="2987" t="s">
        <v>536</v>
      </c>
      <c r="D20" s="2994" t="s">
        <v>1507</v>
      </c>
      <c r="E20" s="2993"/>
      <c r="F20" s="2988">
        <f t="shared" ca="1" si="0"/>
        <v>0</v>
      </c>
      <c r="G20" s="2988">
        <f t="shared" ca="1" si="0"/>
        <v>0</v>
      </c>
      <c r="H20" s="2988">
        <f t="shared" ca="1" si="0"/>
        <v>2.3999999999999994E-2</v>
      </c>
      <c r="I20" s="2988">
        <f t="shared" ca="1" si="0"/>
        <v>2.3999999999999994E-2</v>
      </c>
      <c r="J20" s="2988">
        <f t="shared" ca="1" si="0"/>
        <v>2.3999999999999994E-2</v>
      </c>
      <c r="K20" s="2988">
        <f t="shared" ca="1" si="0"/>
        <v>4.3999999999999907E-2</v>
      </c>
      <c r="L20" s="2988">
        <f t="shared" ca="1" si="0"/>
        <v>4.3999999999999907E-2</v>
      </c>
      <c r="M20" s="2988">
        <f t="shared" ca="1" si="0"/>
        <v>4.7999999999999987E-2</v>
      </c>
      <c r="N20" s="2988">
        <f t="shared" ca="1" si="0"/>
        <v>4.7999999999999987E-2</v>
      </c>
      <c r="O20" s="875"/>
    </row>
    <row r="21" spans="1:19" ht="15.75">
      <c r="A21" s="2981"/>
      <c r="B21" s="2982"/>
      <c r="C21" s="873"/>
      <c r="D21" s="2953"/>
      <c r="E21" s="873"/>
      <c r="F21" s="22"/>
      <c r="G21" s="22"/>
      <c r="H21" s="22"/>
      <c r="I21" s="22"/>
      <c r="J21" s="22"/>
      <c r="K21" s="22"/>
      <c r="L21" s="22"/>
      <c r="M21" s="22"/>
      <c r="N21" s="22"/>
      <c r="O21" s="875"/>
    </row>
    <row r="22" spans="1:19" ht="15.75">
      <c r="A22" s="2981"/>
      <c r="B22" s="2982"/>
      <c r="C22" s="2989" t="s">
        <v>3033</v>
      </c>
      <c r="D22" s="2953"/>
      <c r="E22" s="873"/>
      <c r="F22" s="22"/>
      <c r="G22" s="22"/>
      <c r="H22" s="22"/>
      <c r="I22" s="22"/>
      <c r="J22" s="22"/>
      <c r="K22" s="22"/>
      <c r="L22" s="22"/>
      <c r="M22" s="2980" t="s">
        <v>318</v>
      </c>
      <c r="N22" s="2980" t="str">
        <f>Preferences.PowerUnits&amp;"e"</f>
        <v>GWe</v>
      </c>
      <c r="O22" s="875"/>
    </row>
    <row r="23" spans="1:19" ht="15.75">
      <c r="A23" s="2981"/>
      <c r="B23" s="2982"/>
      <c r="C23" s="873"/>
      <c r="D23" s="2953"/>
      <c r="E23" s="873"/>
      <c r="F23" s="22"/>
      <c r="G23" s="22"/>
      <c r="H23" s="22"/>
      <c r="I23" s="22"/>
      <c r="J23" s="22"/>
      <c r="K23" s="22"/>
      <c r="L23" s="22"/>
      <c r="M23" s="22"/>
      <c r="N23" s="22"/>
      <c r="O23" s="875"/>
    </row>
    <row r="24" spans="1:19" ht="15.75">
      <c r="A24" s="2981"/>
      <c r="B24" s="2982"/>
      <c r="C24" s="2990" t="s">
        <v>28</v>
      </c>
      <c r="D24" s="2990" t="s">
        <v>29</v>
      </c>
      <c r="E24" s="2990" t="s">
        <v>30</v>
      </c>
      <c r="F24" s="2991">
        <v>2013</v>
      </c>
      <c r="G24" s="2991">
        <v>2015</v>
      </c>
      <c r="H24" s="2991">
        <v>2020</v>
      </c>
      <c r="I24" s="2991">
        <v>2025</v>
      </c>
      <c r="J24" s="2991">
        <v>2030</v>
      </c>
      <c r="K24" s="2991">
        <v>2035</v>
      </c>
      <c r="L24" s="2991">
        <v>2040</v>
      </c>
      <c r="M24" s="2991">
        <v>2045</v>
      </c>
      <c r="N24" s="2991">
        <v>2050</v>
      </c>
      <c r="O24" s="875"/>
    </row>
    <row r="25" spans="1:19" ht="15.75">
      <c r="A25" s="2981"/>
      <c r="B25" s="2982"/>
      <c r="C25" s="873" t="s">
        <v>2</v>
      </c>
      <c r="D25" s="2953" t="s">
        <v>2391</v>
      </c>
      <c r="E25" s="873"/>
      <c r="F25" s="2992">
        <f ca="1">IFERROR(INDEX(INDIRECT($C25&amp;".Info["&amp;F$24&amp;"]"), MATCH($M$22, INDIRECT($C25&amp;".Info[Vector]"), 0)), 0)</f>
        <v>3.0264039699571149E-4</v>
      </c>
      <c r="G25" s="2992">
        <f t="shared" ref="G25:N26" ca="1" si="1">IFERROR(INDEX(INDIRECT($C25&amp;".Info["&amp;G$24&amp;"]"), MATCH($M$22, INDIRECT($C25&amp;".Info[Vector]"), 0)), 0)</f>
        <v>2.2065313085225112E-3</v>
      </c>
      <c r="H25" s="2992">
        <f t="shared" ca="1" si="1"/>
        <v>4.4243153663838684E-3</v>
      </c>
      <c r="I25" s="2992">
        <f t="shared" ca="1" si="1"/>
        <v>7.4596267142884457E-3</v>
      </c>
      <c r="J25" s="2992">
        <f t="shared" ca="1" si="1"/>
        <v>1.2688780447172058E-2</v>
      </c>
      <c r="K25" s="2992">
        <f t="shared" ca="1" si="1"/>
        <v>1.767265475340225E-2</v>
      </c>
      <c r="L25" s="2992">
        <f t="shared" ca="1" si="1"/>
        <v>2.3557899103598151E-2</v>
      </c>
      <c r="M25" s="2992">
        <f t="shared" ca="1" si="1"/>
        <v>3.4704078432113872E-2</v>
      </c>
      <c r="N25" s="2992">
        <f t="shared" ca="1" si="1"/>
        <v>4.7810213585722822E-2</v>
      </c>
      <c r="O25" s="875"/>
    </row>
    <row r="26" spans="1:19" ht="15.75">
      <c r="A26" s="2981"/>
      <c r="B26" s="2982"/>
      <c r="C26" s="2993" t="s">
        <v>465</v>
      </c>
      <c r="D26" s="2994" t="s">
        <v>2392</v>
      </c>
      <c r="E26" s="2993"/>
      <c r="F26" s="2988">
        <f ca="1">IFERROR(INDEX(INDIRECT($C26&amp;".Info["&amp;F$24&amp;"]"), MATCH($M$22, INDIRECT($C26&amp;".Info[Vector]"), 0)), 0)</f>
        <v>-4.5196719649149467E-2</v>
      </c>
      <c r="G26" s="2988">
        <f t="shared" ca="1" si="1"/>
        <v>-5.4309791196626649E-2</v>
      </c>
      <c r="H26" s="2988">
        <f t="shared" ca="1" si="1"/>
        <v>-6.2329291744076129E-2</v>
      </c>
      <c r="I26" s="2988">
        <f t="shared" ca="1" si="1"/>
        <v>-6.6183627036638673E-2</v>
      </c>
      <c r="J26" s="2988">
        <f t="shared" ca="1" si="1"/>
        <v>-6.8143512633587894E-2</v>
      </c>
      <c r="K26" s="2988">
        <f t="shared" ca="1" si="1"/>
        <v>-6.8208948534923916E-2</v>
      </c>
      <c r="L26" s="2988">
        <f t="shared" ca="1" si="1"/>
        <v>-6.6379934740646573E-2</v>
      </c>
      <c r="M26" s="2988">
        <f t="shared" ca="1" si="1"/>
        <v>-6.2656471250756005E-2</v>
      </c>
      <c r="N26" s="2988">
        <f t="shared" ca="1" si="1"/>
        <v>-5.7038558065252098E-2</v>
      </c>
      <c r="O26" s="22"/>
    </row>
    <row r="27" spans="1:19" ht="15.75">
      <c r="A27" s="2981"/>
      <c r="B27" s="2982"/>
      <c r="C27" s="873"/>
      <c r="D27" s="2953"/>
      <c r="E27" s="873"/>
      <c r="F27" s="22"/>
      <c r="G27" s="22"/>
      <c r="H27" s="22"/>
      <c r="I27" s="22"/>
      <c r="J27" s="22"/>
      <c r="K27" s="22"/>
      <c r="L27" s="22"/>
      <c r="M27" s="22"/>
      <c r="N27" s="22"/>
      <c r="O27" s="875"/>
    </row>
    <row r="28" spans="1:19">
      <c r="B28" s="514"/>
      <c r="C28" s="34" t="s">
        <v>2393</v>
      </c>
      <c r="D28" s="515"/>
      <c r="E28" s="2995"/>
      <c r="F28" s="515"/>
      <c r="G28" s="515"/>
      <c r="H28" s="515"/>
      <c r="I28" s="515"/>
      <c r="J28" s="515"/>
      <c r="K28" s="515"/>
      <c r="L28" s="515"/>
      <c r="M28" s="515"/>
      <c r="N28" s="2995" t="s">
        <v>71</v>
      </c>
      <c r="O28" s="867"/>
    </row>
    <row r="29" spans="1:19">
      <c r="B29" s="514"/>
      <c r="C29" s="515"/>
      <c r="D29" s="515"/>
      <c r="E29" s="515"/>
      <c r="F29" s="515"/>
      <c r="G29" s="515"/>
      <c r="H29" s="515"/>
      <c r="I29" s="515"/>
      <c r="J29" s="515"/>
      <c r="K29" s="515"/>
      <c r="L29" s="515"/>
      <c r="M29" s="515"/>
      <c r="N29" s="515"/>
      <c r="O29" s="867"/>
    </row>
    <row r="30" spans="1:19" ht="15.75">
      <c r="B30" s="15"/>
      <c r="C30" s="2996"/>
      <c r="D30" s="2996" t="s">
        <v>72</v>
      </c>
      <c r="E30" s="2996" t="s">
        <v>30</v>
      </c>
      <c r="F30" s="2997">
        <v>2013</v>
      </c>
      <c r="G30" s="2997">
        <v>2015</v>
      </c>
      <c r="H30" s="2997">
        <v>2020</v>
      </c>
      <c r="I30" s="2997">
        <v>2025</v>
      </c>
      <c r="J30" s="2997">
        <v>2030</v>
      </c>
      <c r="K30" s="2997">
        <v>2035</v>
      </c>
      <c r="L30" s="2997">
        <v>2040</v>
      </c>
      <c r="M30" s="2997">
        <v>2045</v>
      </c>
      <c r="N30" s="2997">
        <v>2050</v>
      </c>
      <c r="O30" s="867"/>
    </row>
    <row r="31" spans="1:19" ht="15.75">
      <c r="B31" s="15"/>
      <c r="C31" s="2998"/>
      <c r="D31" s="2998" t="s">
        <v>77</v>
      </c>
      <c r="E31" s="2998"/>
      <c r="F31" s="3067">
        <v>9.3000000000000007</v>
      </c>
      <c r="G31" s="3065">
        <f>F31+(((H31-F31)/(H30-F30))*(G30-F30))</f>
        <v>9.6142857142857157</v>
      </c>
      <c r="H31" s="3065">
        <v>10.4</v>
      </c>
      <c r="I31" s="3065">
        <v>10.516666666666666</v>
      </c>
      <c r="J31" s="3065">
        <v>10.633333333333333</v>
      </c>
      <c r="K31" s="3065">
        <v>10.75</v>
      </c>
      <c r="L31" s="3065">
        <v>10.866666666666665</v>
      </c>
      <c r="M31" s="3065">
        <v>10.983333333333333</v>
      </c>
      <c r="N31" s="3065">
        <v>11.1</v>
      </c>
      <c r="O31" s="867"/>
      <c r="Q31" s="39"/>
      <c r="R31" s="39"/>
      <c r="S31" s="39"/>
    </row>
    <row r="32" spans="1:19" ht="15.75">
      <c r="B32" s="15"/>
      <c r="C32" s="873"/>
      <c r="D32" s="873"/>
      <c r="E32" s="873"/>
      <c r="F32" s="2999"/>
      <c r="G32" s="2999"/>
      <c r="H32" s="2999"/>
      <c r="I32" s="2999"/>
      <c r="J32" s="2999"/>
      <c r="K32" s="2999"/>
      <c r="L32" s="2999"/>
      <c r="M32" s="2999"/>
      <c r="N32" s="2999"/>
      <c r="O32" s="867"/>
      <c r="Q32" s="39"/>
      <c r="R32" s="39"/>
      <c r="S32" s="39"/>
    </row>
    <row r="33" spans="1:20" ht="15.75">
      <c r="A33" s="2981"/>
      <c r="B33" s="2982"/>
      <c r="C33" s="2989" t="s">
        <v>2394</v>
      </c>
      <c r="D33" s="2953"/>
      <c r="E33" s="873"/>
      <c r="F33" s="22"/>
      <c r="G33" s="22"/>
      <c r="H33" s="22"/>
      <c r="I33" s="22"/>
      <c r="J33" s="22"/>
      <c r="K33" s="2980" t="s">
        <v>320</v>
      </c>
      <c r="L33" s="22"/>
      <c r="M33" s="22"/>
      <c r="N33" s="2980" t="str">
        <f>Preferences.PowerUnits&amp;"e/degree drop in temperature"</f>
        <v>GWe/degree drop in temperature</v>
      </c>
      <c r="O33" s="875"/>
      <c r="Q33" s="39"/>
      <c r="R33" s="39"/>
      <c r="S33" s="39"/>
    </row>
    <row r="34" spans="1:20" ht="4.5" customHeight="1">
      <c r="A34" s="2981"/>
      <c r="B34" s="2982"/>
      <c r="C34" s="873"/>
      <c r="D34" s="2953"/>
      <c r="E34" s="873"/>
      <c r="F34" s="22"/>
      <c r="G34" s="22"/>
      <c r="H34" s="22"/>
      <c r="I34" s="22"/>
      <c r="J34" s="22"/>
      <c r="K34" s="22"/>
      <c r="L34" s="22"/>
      <c r="M34" s="22"/>
      <c r="N34" s="22"/>
      <c r="O34" s="875"/>
      <c r="Q34" s="39"/>
      <c r="R34" s="39"/>
      <c r="S34" s="39"/>
    </row>
    <row r="35" spans="1:20" ht="15.75">
      <c r="A35" s="2981"/>
      <c r="B35" s="2982"/>
      <c r="C35" s="2990" t="s">
        <v>28</v>
      </c>
      <c r="D35" s="2990" t="s">
        <v>29</v>
      </c>
      <c r="E35" s="2990" t="s">
        <v>30</v>
      </c>
      <c r="F35" s="2991">
        <v>2013</v>
      </c>
      <c r="G35" s="2991">
        <v>2015</v>
      </c>
      <c r="H35" s="2991">
        <v>2020</v>
      </c>
      <c r="I35" s="2991">
        <v>2025</v>
      </c>
      <c r="J35" s="2991">
        <v>2030</v>
      </c>
      <c r="K35" s="2991">
        <v>2035</v>
      </c>
      <c r="L35" s="2991">
        <v>2040</v>
      </c>
      <c r="M35" s="2991">
        <v>2045</v>
      </c>
      <c r="N35" s="2991">
        <v>2050</v>
      </c>
      <c r="O35" s="875"/>
      <c r="Q35" s="39"/>
      <c r="R35" s="39"/>
      <c r="S35" s="39"/>
    </row>
    <row r="36" spans="1:20" ht="15.75">
      <c r="A36" s="2981"/>
      <c r="B36" s="2982"/>
      <c r="C36" s="873" t="s">
        <v>2</v>
      </c>
      <c r="D36" s="2953" t="s">
        <v>2391</v>
      </c>
      <c r="E36" s="873"/>
      <c r="F36" s="4124">
        <f ca="1">IFERROR(INDEX(INDIRECT($C36&amp;".Info["&amp;F$35&amp;"]"), MATCH($K$33, INDIRECT($C36&amp;".Info[Vector]"), 0)), 0)</f>
        <v>1.5222553503179402E-2</v>
      </c>
      <c r="G36" s="2992">
        <f t="shared" ref="G36:N37" ca="1" si="2">IFERROR(INDEX(INDIRECT($C36&amp;".Info["&amp;G$35&amp;"]"), MATCH($K$33, INDIRECT($C36&amp;".Info[Vector]"), 0)), 0)</f>
        <v>2.5117189869344046E-2</v>
      </c>
      <c r="H36" s="2992">
        <f t="shared" ca="1" si="2"/>
        <v>2.7551560797081605E-2</v>
      </c>
      <c r="I36" s="2992">
        <f t="shared" ca="1" si="2"/>
        <v>3.041285115143506E-2</v>
      </c>
      <c r="J36" s="2992">
        <f t="shared" ca="1" si="2"/>
        <v>3.3227857039637182E-2</v>
      </c>
      <c r="K36" s="2992">
        <f t="shared" ca="1" si="2"/>
        <v>3.6158915586424478E-2</v>
      </c>
      <c r="L36" s="2992">
        <f t="shared" ca="1" si="2"/>
        <v>3.9209893211212488E-2</v>
      </c>
      <c r="M36" s="2992">
        <f t="shared" ca="1" si="2"/>
        <v>4.2286991895689435E-2</v>
      </c>
      <c r="N36" s="2992">
        <f t="shared" ca="1" si="2"/>
        <v>4.553461320181211E-2</v>
      </c>
      <c r="O36" s="875"/>
      <c r="Q36" s="39"/>
      <c r="R36" s="39"/>
      <c r="S36" s="39"/>
    </row>
    <row r="37" spans="1:20" ht="15.75">
      <c r="A37" s="2981"/>
      <c r="B37" s="2982"/>
      <c r="C37" s="2993" t="s">
        <v>465</v>
      </c>
      <c r="D37" s="2994" t="s">
        <v>2392</v>
      </c>
      <c r="E37" s="2993"/>
      <c r="F37" s="4123">
        <f ca="1">IFERROR(INDEX(INDIRECT($C37&amp;".Info["&amp;F$35&amp;"]"), MATCH($K$33, INDIRECT($C37&amp;".Info[Vector]"), 0)), 0)</f>
        <v>0.3037037037037037</v>
      </c>
      <c r="G37" s="2988">
        <f t="shared" ca="1" si="2"/>
        <v>0.3037037037037037</v>
      </c>
      <c r="H37" s="2988">
        <f t="shared" ca="1" si="2"/>
        <v>0.14603174603174598</v>
      </c>
      <c r="I37" s="2988">
        <f t="shared" ca="1" si="2"/>
        <v>-1.1640211640211701E-2</v>
      </c>
      <c r="J37" s="2988">
        <f t="shared" ca="1" si="2"/>
        <v>-0.16931216931216941</v>
      </c>
      <c r="K37" s="2988">
        <f t="shared" ca="1" si="2"/>
        <v>-0.3269841269841271</v>
      </c>
      <c r="L37" s="2988">
        <f t="shared" ca="1" si="2"/>
        <v>-0.48465608465608478</v>
      </c>
      <c r="M37" s="2988">
        <f t="shared" ca="1" si="2"/>
        <v>-0.64232804232804241</v>
      </c>
      <c r="N37" s="2988">
        <f t="shared" ca="1" si="2"/>
        <v>-0.8</v>
      </c>
      <c r="O37" s="22"/>
      <c r="Q37" s="39"/>
      <c r="R37" s="39"/>
      <c r="S37" s="39"/>
    </row>
    <row r="38" spans="1:20" ht="15.75">
      <c r="A38" s="2981"/>
      <c r="B38" s="2982"/>
      <c r="C38" s="873"/>
      <c r="D38" s="2953"/>
      <c r="E38" s="873"/>
      <c r="F38" s="22"/>
      <c r="G38" s="22"/>
      <c r="H38" s="22"/>
      <c r="I38" s="22"/>
      <c r="J38" s="22"/>
      <c r="K38" s="22"/>
      <c r="L38" s="22"/>
      <c r="M38" s="22"/>
      <c r="N38" s="22"/>
      <c r="O38" s="875"/>
      <c r="Q38" s="39"/>
      <c r="R38" s="39"/>
      <c r="S38" s="39"/>
    </row>
    <row r="39" spans="1:20" ht="15.75">
      <c r="A39" s="2981"/>
      <c r="B39" s="2982"/>
      <c r="C39" s="34" t="s">
        <v>2498</v>
      </c>
      <c r="D39" s="2953"/>
      <c r="E39" s="873"/>
      <c r="F39" s="1336"/>
      <c r="G39" s="1336"/>
      <c r="H39" s="1336"/>
      <c r="I39" s="1336"/>
      <c r="J39" s="1336"/>
      <c r="K39" s="1336"/>
      <c r="L39" s="1336"/>
      <c r="M39" s="1336"/>
      <c r="N39" s="2980" t="str">
        <f>Preferences.PowerUnits&amp;"e"</f>
        <v>GWe</v>
      </c>
      <c r="O39" s="875"/>
      <c r="Q39" s="39"/>
      <c r="R39" s="39"/>
      <c r="S39" s="39"/>
    </row>
    <row r="40" spans="1:20" ht="6" customHeight="1">
      <c r="A40" s="2981"/>
      <c r="B40" s="2982"/>
      <c r="C40" s="873"/>
      <c r="D40" s="2953"/>
      <c r="E40" s="873"/>
      <c r="F40" s="1336"/>
      <c r="G40" s="1336"/>
      <c r="H40" s="1336"/>
      <c r="I40" s="1336"/>
      <c r="J40" s="1336"/>
      <c r="K40" s="1336"/>
      <c r="L40" s="1336"/>
      <c r="M40" s="1336"/>
      <c r="N40" s="1336"/>
      <c r="O40" s="875"/>
    </row>
    <row r="41" spans="1:20" ht="15.75">
      <c r="A41" s="2981"/>
      <c r="B41" s="2982"/>
      <c r="C41" s="2990"/>
      <c r="D41" s="2990" t="s">
        <v>72</v>
      </c>
      <c r="E41" s="2990" t="s">
        <v>30</v>
      </c>
      <c r="F41" s="3000">
        <v>2013</v>
      </c>
      <c r="G41" s="3000">
        <v>2015</v>
      </c>
      <c r="H41" s="3000">
        <v>2020</v>
      </c>
      <c r="I41" s="3000">
        <v>2025</v>
      </c>
      <c r="J41" s="3000">
        <v>2030</v>
      </c>
      <c r="K41" s="3000">
        <v>2035</v>
      </c>
      <c r="L41" s="3000">
        <v>2040</v>
      </c>
      <c r="M41" s="3000">
        <v>2045</v>
      </c>
      <c r="N41" s="3000">
        <v>2050</v>
      </c>
      <c r="O41" s="875"/>
    </row>
    <row r="42" spans="1:20" ht="15.75">
      <c r="A42" s="2981"/>
      <c r="B42" s="2982"/>
      <c r="C42" s="3001" t="s">
        <v>586</v>
      </c>
      <c r="D42" s="868" t="s">
        <v>2395</v>
      </c>
      <c r="E42" s="868"/>
      <c r="F42" s="3823">
        <f t="shared" ref="F42:N42" ca="1" si="3">MAX(-INDIRECT(F41&amp;"!T103"),0)*Conversion.to.average.power</f>
        <v>0</v>
      </c>
      <c r="G42" s="3002">
        <f t="shared" ca="1" si="3"/>
        <v>0</v>
      </c>
      <c r="H42" s="3002">
        <f t="shared" ca="1" si="3"/>
        <v>0</v>
      </c>
      <c r="I42" s="3002">
        <f t="shared" ca="1" si="3"/>
        <v>0</v>
      </c>
      <c r="J42" s="3002">
        <f t="shared" ca="1" si="3"/>
        <v>1.6601259901515713</v>
      </c>
      <c r="K42" s="3002">
        <f t="shared" ca="1" si="3"/>
        <v>3.9583380352987465</v>
      </c>
      <c r="L42" s="3002">
        <f t="shared" ca="1" si="3"/>
        <v>5.8750917973489187</v>
      </c>
      <c r="M42" s="3002">
        <f t="shared" ca="1" si="3"/>
        <v>7.964519254025535</v>
      </c>
      <c r="N42" s="3002">
        <f t="shared" ca="1" si="3"/>
        <v>9.9902731049647571</v>
      </c>
      <c r="O42" s="875"/>
      <c r="R42" s="1189" t="s">
        <v>2396</v>
      </c>
      <c r="S42" s="1152"/>
      <c r="T42" s="1152"/>
    </row>
    <row r="43" spans="1:20" ht="15.75">
      <c r="A43" s="2981"/>
      <c r="B43" s="2982"/>
      <c r="C43" s="873"/>
      <c r="D43" s="2953"/>
      <c r="E43" s="873"/>
      <c r="F43" s="1336"/>
      <c r="G43" s="1336"/>
      <c r="H43" s="1336"/>
      <c r="I43" s="1336"/>
      <c r="J43" s="1336"/>
      <c r="K43" s="1336"/>
      <c r="L43" s="1336"/>
      <c r="M43" s="1336"/>
      <c r="N43" s="1336"/>
      <c r="O43" s="875"/>
    </row>
    <row r="44" spans="1:20" ht="15.75">
      <c r="A44" s="2981"/>
      <c r="B44" s="2982"/>
      <c r="C44" s="2989" t="s">
        <v>2397</v>
      </c>
      <c r="D44" s="2953"/>
      <c r="E44" s="873"/>
      <c r="F44" s="1336"/>
      <c r="G44" s="1336"/>
      <c r="H44" s="1336"/>
      <c r="I44" s="1336"/>
      <c r="J44" s="1336"/>
      <c r="K44" s="1336"/>
      <c r="L44" s="1336"/>
      <c r="M44" s="2999" t="s">
        <v>767</v>
      </c>
      <c r="N44" s="2980" t="str">
        <f>Preferences.PowerUnits&amp;"e"</f>
        <v>GWe</v>
      </c>
      <c r="O44" s="875"/>
    </row>
    <row r="45" spans="1:20" ht="5.25" customHeight="1">
      <c r="A45" s="2981"/>
      <c r="B45" s="2982"/>
      <c r="C45" s="2989"/>
      <c r="D45" s="2953"/>
      <c r="E45" s="873"/>
      <c r="F45" s="1336"/>
      <c r="G45" s="1336"/>
      <c r="H45" s="1336"/>
      <c r="I45" s="1336"/>
      <c r="J45" s="1336"/>
      <c r="K45" s="1336"/>
      <c r="L45" s="1336"/>
      <c r="M45" s="1336"/>
      <c r="N45" s="2999"/>
      <c r="O45" s="875"/>
    </row>
    <row r="46" spans="1:20" ht="15.75">
      <c r="A46" s="2981"/>
      <c r="B46" s="2982"/>
      <c r="C46" s="2990"/>
      <c r="D46" s="2990" t="s">
        <v>72</v>
      </c>
      <c r="E46" s="2990" t="s">
        <v>30</v>
      </c>
      <c r="F46" s="3000">
        <v>2013</v>
      </c>
      <c r="G46" s="3000">
        <v>2015</v>
      </c>
      <c r="H46" s="3000">
        <v>2020</v>
      </c>
      <c r="I46" s="3000">
        <v>2025</v>
      </c>
      <c r="J46" s="3000">
        <v>2030</v>
      </c>
      <c r="K46" s="3000">
        <v>2035</v>
      </c>
      <c r="L46" s="3000">
        <v>2040</v>
      </c>
      <c r="M46" s="3000">
        <v>2045</v>
      </c>
      <c r="N46" s="3000">
        <v>2050</v>
      </c>
      <c r="O46" s="875"/>
    </row>
    <row r="47" spans="1:20" ht="15.75">
      <c r="A47" s="2981"/>
      <c r="B47" s="2982"/>
      <c r="C47" s="2487" t="s">
        <v>2398</v>
      </c>
      <c r="D47" s="17" t="s">
        <v>2399</v>
      </c>
      <c r="E47" s="1018"/>
      <c r="F47" s="2985">
        <f ca="1">IFERROR(INDEX(INDIRECT($C47&amp;".Info["&amp;F$15&amp;"]"), MATCH($M$44, INDIRECT($C47&amp;".Info[Vector]"), 0)), 0)</f>
        <v>3.5934362101223432</v>
      </c>
      <c r="G47" s="2985">
        <f t="shared" ref="G47:N51" ca="1" si="4">IFERROR(INDEX(INDIRECT($C47&amp;".Info["&amp;G$15&amp;"]"), MATCH($M$44, INDIRECT($C47&amp;".Info[Vector]"), 0)), 0)</f>
        <v>3.7038082004340493</v>
      </c>
      <c r="H47" s="3003">
        <f t="shared" ca="1" si="4"/>
        <v>2.7433334278341852</v>
      </c>
      <c r="I47" s="3003">
        <f t="shared" ca="1" si="4"/>
        <v>1.50904023633802</v>
      </c>
      <c r="J47" s="3003">
        <f t="shared" ca="1" si="4"/>
        <v>0</v>
      </c>
      <c r="K47" s="3003">
        <f t="shared" ca="1" si="4"/>
        <v>0</v>
      </c>
      <c r="L47" s="3003">
        <f t="shared" ca="1" si="4"/>
        <v>0</v>
      </c>
      <c r="M47" s="3003">
        <f t="shared" ca="1" si="4"/>
        <v>0</v>
      </c>
      <c r="N47" s="3003">
        <f t="shared" ca="1" si="4"/>
        <v>0</v>
      </c>
      <c r="O47" s="875"/>
    </row>
    <row r="48" spans="1:20" ht="15.75">
      <c r="A48" s="2981"/>
      <c r="B48" s="2982"/>
      <c r="C48" s="2487" t="s">
        <v>2400</v>
      </c>
      <c r="D48" s="17" t="s">
        <v>1723</v>
      </c>
      <c r="E48" s="17"/>
      <c r="F48" s="3008">
        <f ca="1">IFERROR(INDEX(INDIRECT($C48&amp;".Info["&amp;F$15&amp;"]"), MATCH($M$44, INDIRECT($C48&amp;".Info[Vector]"), 0)), 0)</f>
        <v>1.1000000000000001</v>
      </c>
      <c r="G48" s="3008">
        <f t="shared" ca="1" si="4"/>
        <v>0.91600000000000004</v>
      </c>
      <c r="H48" s="3008">
        <f t="shared" ca="1" si="4"/>
        <v>0.32400000000000001</v>
      </c>
      <c r="I48" s="3008">
        <f t="shared" ca="1" si="4"/>
        <v>0.32400000000000001</v>
      </c>
      <c r="J48" s="3008">
        <f t="shared" ca="1" si="4"/>
        <v>0.32400000000000001</v>
      </c>
      <c r="K48" s="3008">
        <f t="shared" ca="1" si="4"/>
        <v>0</v>
      </c>
      <c r="L48" s="3008">
        <f t="shared" ca="1" si="4"/>
        <v>0</v>
      </c>
      <c r="M48" s="3008">
        <f t="shared" ca="1" si="4"/>
        <v>0</v>
      </c>
      <c r="N48" s="3008">
        <f t="shared" ca="1" si="4"/>
        <v>0</v>
      </c>
      <c r="O48" s="875"/>
    </row>
    <row r="49" spans="1:15" ht="15.75">
      <c r="A49" s="2981"/>
      <c r="B49" s="2982"/>
      <c r="C49" s="2487" t="s">
        <v>2401</v>
      </c>
      <c r="D49" s="17" t="s">
        <v>1758</v>
      </c>
      <c r="E49" s="17"/>
      <c r="F49" s="3008">
        <f ca="1">IFERROR(INDEX(INDIRECT($C49&amp;".Info["&amp;F$15&amp;"]"), MATCH($M$44, INDIRECT($C49&amp;".Info[Vector]"), 0)), 0)</f>
        <v>1.216</v>
      </c>
      <c r="G49" s="3008">
        <f t="shared" ca="1" si="4"/>
        <v>1.2009999999999998</v>
      </c>
      <c r="H49" s="3008">
        <f t="shared" ca="1" si="4"/>
        <v>0.91600000000000004</v>
      </c>
      <c r="I49" s="3008">
        <f t="shared" ca="1" si="4"/>
        <v>0.91600000000000004</v>
      </c>
      <c r="J49" s="3008">
        <f t="shared" ca="1" si="4"/>
        <v>0.63100000000000001</v>
      </c>
      <c r="K49" s="3008">
        <f t="shared" ca="1" si="4"/>
        <v>1.2010000000000001</v>
      </c>
      <c r="L49" s="3008">
        <f t="shared" ca="1" si="4"/>
        <v>1.2010000000000001</v>
      </c>
      <c r="M49" s="3008">
        <f t="shared" ca="1" si="4"/>
        <v>1.2010000000000001</v>
      </c>
      <c r="N49" s="3008">
        <f t="shared" ca="1" si="4"/>
        <v>1.2010000000000001</v>
      </c>
      <c r="O49" s="875"/>
    </row>
    <row r="50" spans="1:15" ht="15.75">
      <c r="A50" s="2981"/>
      <c r="B50" s="2982"/>
      <c r="C50" s="2487" t="s">
        <v>553</v>
      </c>
      <c r="D50" s="17" t="s">
        <v>2402</v>
      </c>
      <c r="E50" s="17"/>
      <c r="F50" s="3008">
        <f ca="1">IFERROR(INDEX(INDIRECT($C50&amp;".Info["&amp;F$15&amp;"]"), MATCH($M$44, INDIRECT($C50&amp;".Info[Vector]"), 0)), 0)</f>
        <v>0</v>
      </c>
      <c r="G50" s="3008">
        <f t="shared" ca="1" si="4"/>
        <v>0</v>
      </c>
      <c r="H50" s="3008">
        <f t="shared" ca="1" si="4"/>
        <v>0</v>
      </c>
      <c r="I50" s="3008">
        <f t="shared" ca="1" si="4"/>
        <v>0</v>
      </c>
      <c r="J50" s="3008">
        <f t="shared" ca="1" si="4"/>
        <v>0</v>
      </c>
      <c r="K50" s="3008">
        <f t="shared" ca="1" si="4"/>
        <v>0.5</v>
      </c>
      <c r="L50" s="3008">
        <f t="shared" ca="1" si="4"/>
        <v>1.5</v>
      </c>
      <c r="M50" s="3008">
        <f t="shared" ca="1" si="4"/>
        <v>2.5</v>
      </c>
      <c r="N50" s="3008">
        <f t="shared" ca="1" si="4"/>
        <v>3.5</v>
      </c>
      <c r="O50" s="875"/>
    </row>
    <row r="51" spans="1:15" ht="15.75">
      <c r="A51" s="2981"/>
      <c r="B51" s="2982"/>
      <c r="C51" s="3004" t="s">
        <v>548</v>
      </c>
      <c r="D51" s="517" t="s">
        <v>744</v>
      </c>
      <c r="E51" s="517"/>
      <c r="F51" s="3414">
        <f ca="1">IFERROR(INDEX(INDIRECT($C51&amp;".Info["&amp;F$15&amp;"]"), MATCH($M$44, INDIRECT($C51&amp;".Info[Vector]"), 0)), 0)</f>
        <v>0</v>
      </c>
      <c r="G51" s="3414">
        <f t="shared" ca="1" si="4"/>
        <v>0</v>
      </c>
      <c r="H51" s="3414">
        <f t="shared" ca="1" si="4"/>
        <v>0</v>
      </c>
      <c r="I51" s="3414">
        <f t="shared" ca="1" si="4"/>
        <v>0</v>
      </c>
      <c r="J51" s="3414">
        <f t="shared" ca="1" si="4"/>
        <v>1</v>
      </c>
      <c r="K51" s="3414">
        <f t="shared" ca="1" si="4"/>
        <v>1</v>
      </c>
      <c r="L51" s="3414">
        <f t="shared" ca="1" si="4"/>
        <v>1</v>
      </c>
      <c r="M51" s="3414">
        <f t="shared" ca="1" si="4"/>
        <v>1</v>
      </c>
      <c r="N51" s="3414">
        <f t="shared" ca="1" si="4"/>
        <v>1</v>
      </c>
      <c r="O51" s="875"/>
    </row>
    <row r="52" spans="1:15" ht="15.75">
      <c r="A52" s="2981"/>
      <c r="B52" s="2982"/>
      <c r="C52" s="3006"/>
      <c r="D52" s="3007" t="s">
        <v>59</v>
      </c>
      <c r="E52" s="3007"/>
      <c r="F52" s="3344">
        <f t="shared" ref="F52:N52" ca="1" si="5">SUM(F47:F51)</f>
        <v>5.909436210122343</v>
      </c>
      <c r="G52" s="3344">
        <f t="shared" ca="1" si="5"/>
        <v>5.8208082004340493</v>
      </c>
      <c r="H52" s="3344">
        <f t="shared" ca="1" si="5"/>
        <v>3.983333427834185</v>
      </c>
      <c r="I52" s="3344">
        <f t="shared" ca="1" si="5"/>
        <v>2.7490402363380202</v>
      </c>
      <c r="J52" s="3344">
        <f t="shared" ca="1" si="5"/>
        <v>1.9550000000000001</v>
      </c>
      <c r="K52" s="3344">
        <f t="shared" ca="1" si="5"/>
        <v>2.7010000000000001</v>
      </c>
      <c r="L52" s="3344">
        <f t="shared" ca="1" si="5"/>
        <v>3.7010000000000001</v>
      </c>
      <c r="M52" s="3344">
        <f t="shared" ca="1" si="5"/>
        <v>4.7010000000000005</v>
      </c>
      <c r="N52" s="3344">
        <f t="shared" ca="1" si="5"/>
        <v>5.7010000000000005</v>
      </c>
      <c r="O52" s="875"/>
    </row>
    <row r="53" spans="1:15" ht="15.75">
      <c r="A53" s="2981"/>
      <c r="B53" s="2982"/>
      <c r="C53" s="873"/>
      <c r="D53" s="2953"/>
      <c r="E53" s="873"/>
      <c r="F53" s="1336"/>
      <c r="G53" s="1336"/>
      <c r="H53" s="1336"/>
      <c r="I53" s="1336"/>
      <c r="J53" s="1336"/>
      <c r="K53" s="1336"/>
      <c r="L53" s="1336"/>
      <c r="M53" s="1336"/>
      <c r="N53" s="1336"/>
      <c r="O53" s="875"/>
    </row>
    <row r="54" spans="1:15" ht="15.75">
      <c r="A54" s="2981"/>
      <c r="B54" s="2982"/>
      <c r="C54" s="2989" t="s">
        <v>2403</v>
      </c>
      <c r="D54" s="2953"/>
      <c r="E54" s="873"/>
      <c r="F54" s="1336"/>
      <c r="G54" s="1336"/>
      <c r="H54" s="1336"/>
      <c r="I54" s="1336"/>
      <c r="J54" s="1336"/>
      <c r="K54" s="1336"/>
      <c r="L54" s="1336"/>
      <c r="M54" s="2999" t="s">
        <v>769</v>
      </c>
      <c r="N54" s="2999" t="s">
        <v>43</v>
      </c>
      <c r="O54" s="875"/>
    </row>
    <row r="55" spans="1:15" ht="15.75">
      <c r="A55" s="2981"/>
      <c r="B55" s="2982"/>
      <c r="C55" s="2989"/>
      <c r="D55" s="2953"/>
      <c r="E55" s="873"/>
      <c r="F55" s="1336"/>
      <c r="G55" s="1336"/>
      <c r="H55" s="1336"/>
      <c r="I55" s="1336"/>
      <c r="J55" s="1336"/>
      <c r="K55" s="1336"/>
      <c r="L55" s="1336"/>
      <c r="M55" s="1336"/>
      <c r="N55" s="2999"/>
      <c r="O55" s="875"/>
    </row>
    <row r="56" spans="1:15" ht="15.75">
      <c r="A56" s="2981"/>
      <c r="B56" s="2982"/>
      <c r="C56" s="2990"/>
      <c r="D56" s="2990" t="s">
        <v>72</v>
      </c>
      <c r="E56" s="2990" t="s">
        <v>30</v>
      </c>
      <c r="F56" s="3000">
        <v>2013</v>
      </c>
      <c r="G56" s="3000">
        <v>2015</v>
      </c>
      <c r="H56" s="3000">
        <v>2020</v>
      </c>
      <c r="I56" s="3000">
        <v>2025</v>
      </c>
      <c r="J56" s="3000">
        <v>2030</v>
      </c>
      <c r="K56" s="3000">
        <v>2035</v>
      </c>
      <c r="L56" s="3000">
        <v>2040</v>
      </c>
      <c r="M56" s="3000">
        <v>2045</v>
      </c>
      <c r="N56" s="3000">
        <v>2050</v>
      </c>
      <c r="O56" s="875"/>
    </row>
    <row r="57" spans="1:15" ht="15.75">
      <c r="A57" s="2981"/>
      <c r="B57" s="2982"/>
      <c r="C57" s="2487" t="s">
        <v>2398</v>
      </c>
      <c r="D57" s="17" t="s">
        <v>2399</v>
      </c>
      <c r="E57" s="1018"/>
      <c r="F57" s="3609">
        <v>0.4</v>
      </c>
      <c r="G57" s="3609">
        <v>0.4</v>
      </c>
      <c r="H57" s="3609">
        <v>0.5</v>
      </c>
      <c r="I57" s="3609">
        <v>0.5</v>
      </c>
      <c r="J57" s="3609">
        <v>0.7</v>
      </c>
      <c r="K57" s="3609">
        <v>0.7</v>
      </c>
      <c r="L57" s="3609">
        <v>0.7</v>
      </c>
      <c r="M57" s="3609">
        <v>0.7</v>
      </c>
      <c r="N57" s="3609">
        <v>0.7</v>
      </c>
      <c r="O57" s="875"/>
    </row>
    <row r="58" spans="1:15" ht="15.75">
      <c r="A58" s="2981"/>
      <c r="B58" s="2982"/>
      <c r="C58" s="2487" t="s">
        <v>2400</v>
      </c>
      <c r="D58" s="17" t="s">
        <v>1723</v>
      </c>
      <c r="E58" s="17"/>
      <c r="F58" s="3609">
        <v>0</v>
      </c>
      <c r="G58" s="3609">
        <v>0</v>
      </c>
      <c r="H58" s="3609">
        <v>0</v>
      </c>
      <c r="I58" s="3609">
        <v>0</v>
      </c>
      <c r="J58" s="3609">
        <v>0</v>
      </c>
      <c r="K58" s="3609">
        <v>0</v>
      </c>
      <c r="L58" s="3609">
        <v>0</v>
      </c>
      <c r="M58" s="3609">
        <v>0</v>
      </c>
      <c r="N58" s="3609">
        <v>0</v>
      </c>
      <c r="O58" s="875"/>
    </row>
    <row r="59" spans="1:15" ht="15.75">
      <c r="A59" s="2981"/>
      <c r="B59" s="2982"/>
      <c r="C59" s="2487" t="s">
        <v>2401</v>
      </c>
      <c r="D59" s="17" t="s">
        <v>2765</v>
      </c>
      <c r="E59" s="17"/>
      <c r="F59" s="3609">
        <v>0.8</v>
      </c>
      <c r="G59" s="3609">
        <v>0.8</v>
      </c>
      <c r="H59" s="3609">
        <v>0.8</v>
      </c>
      <c r="I59" s="3609">
        <v>0.8</v>
      </c>
      <c r="J59" s="3609">
        <v>0.8</v>
      </c>
      <c r="K59" s="3609">
        <v>0.90000000000000013</v>
      </c>
      <c r="L59" s="3609">
        <v>0.90000000000000013</v>
      </c>
      <c r="M59" s="3609">
        <v>0.90000000000000013</v>
      </c>
      <c r="N59" s="3609">
        <v>0.90000000000000013</v>
      </c>
      <c r="O59" s="875"/>
    </row>
    <row r="60" spans="1:15" ht="15.75">
      <c r="A60" s="2981"/>
      <c r="B60" s="2982"/>
      <c r="C60" s="2487" t="s">
        <v>553</v>
      </c>
      <c r="D60" s="17" t="s">
        <v>2402</v>
      </c>
      <c r="E60" s="17"/>
      <c r="F60" s="3609">
        <v>0</v>
      </c>
      <c r="G60" s="3609">
        <v>0</v>
      </c>
      <c r="H60" s="3609">
        <v>0</v>
      </c>
      <c r="I60" s="3609">
        <v>0.85</v>
      </c>
      <c r="J60" s="3609">
        <v>0.85</v>
      </c>
      <c r="K60" s="3609">
        <v>0.85</v>
      </c>
      <c r="L60" s="3609">
        <v>0.85</v>
      </c>
      <c r="M60" s="3609">
        <v>0.85</v>
      </c>
      <c r="N60" s="3609">
        <v>0.85</v>
      </c>
      <c r="O60" s="875"/>
    </row>
    <row r="61" spans="1:15" ht="15.75">
      <c r="A61" s="2981"/>
      <c r="B61" s="2982"/>
      <c r="C61" s="3004" t="s">
        <v>548</v>
      </c>
      <c r="D61" s="517" t="s">
        <v>744</v>
      </c>
      <c r="E61" s="517"/>
      <c r="F61" s="3610"/>
      <c r="G61" s="3610"/>
      <c r="H61" s="3610"/>
      <c r="I61" s="3610"/>
      <c r="J61" s="3610"/>
      <c r="K61" s="3610">
        <v>0.8</v>
      </c>
      <c r="L61" s="3610">
        <v>0.8</v>
      </c>
      <c r="M61" s="3610">
        <v>0.8</v>
      </c>
      <c r="N61" s="3610">
        <v>0.8</v>
      </c>
      <c r="O61" s="875"/>
    </row>
    <row r="62" spans="1:15" ht="15.75">
      <c r="A62" s="2981"/>
      <c r="B62" s="2982"/>
      <c r="C62" s="2487"/>
      <c r="D62" s="17"/>
      <c r="E62" s="17"/>
      <c r="F62" s="3008"/>
      <c r="G62" s="3008"/>
      <c r="H62" s="3008"/>
      <c r="I62" s="3008"/>
      <c r="J62" s="3008"/>
      <c r="K62" s="3008"/>
      <c r="L62" s="3008"/>
      <c r="M62" s="3008"/>
      <c r="N62" s="3008"/>
      <c r="O62" s="875"/>
    </row>
    <row r="63" spans="1:15" ht="15.75">
      <c r="A63" s="2981"/>
      <c r="B63" s="2982"/>
      <c r="C63" s="2989" t="s">
        <v>2404</v>
      </c>
      <c r="D63" s="17"/>
      <c r="E63" s="17"/>
      <c r="F63" s="3008"/>
      <c r="G63" s="3008"/>
      <c r="H63" s="3008"/>
      <c r="I63" s="3008"/>
      <c r="J63" s="3008"/>
      <c r="K63" s="3008"/>
      <c r="L63" s="3008"/>
      <c r="M63" s="2999" t="s">
        <v>1258</v>
      </c>
      <c r="N63" s="2980" t="str">
        <f>Preferences.PowerUnits&amp;"e"</f>
        <v>GWe</v>
      </c>
      <c r="O63" s="875"/>
    </row>
    <row r="64" spans="1:15" ht="15.75">
      <c r="A64" s="2981"/>
      <c r="B64" s="2982"/>
      <c r="C64" s="2989"/>
      <c r="D64" s="17"/>
      <c r="E64" s="17"/>
      <c r="F64" s="3008"/>
      <c r="G64" s="3008"/>
      <c r="H64" s="3008"/>
      <c r="I64" s="3008"/>
      <c r="J64" s="3008"/>
      <c r="K64" s="3008"/>
      <c r="L64" s="3008"/>
      <c r="M64" s="3008"/>
      <c r="N64" s="2999"/>
      <c r="O64" s="875"/>
    </row>
    <row r="65" spans="1:28" ht="15.75">
      <c r="A65" s="2981"/>
      <c r="B65" s="2982"/>
      <c r="C65" s="2990"/>
      <c r="D65" s="2990" t="s">
        <v>72</v>
      </c>
      <c r="E65" s="2990" t="s">
        <v>30</v>
      </c>
      <c r="F65" s="3000">
        <v>2013</v>
      </c>
      <c r="G65" s="3000">
        <v>2015</v>
      </c>
      <c r="H65" s="3000">
        <v>2020</v>
      </c>
      <c r="I65" s="3000">
        <v>2025</v>
      </c>
      <c r="J65" s="3000">
        <v>2030</v>
      </c>
      <c r="K65" s="3000">
        <v>2035</v>
      </c>
      <c r="L65" s="3000">
        <v>2040</v>
      </c>
      <c r="M65" s="3000">
        <v>2045</v>
      </c>
      <c r="N65" s="3000">
        <v>2050</v>
      </c>
      <c r="O65" s="875"/>
    </row>
    <row r="66" spans="1:28" ht="15.75">
      <c r="A66" s="2981"/>
      <c r="B66" s="2982"/>
      <c r="C66" s="2487" t="s">
        <v>2405</v>
      </c>
      <c r="D66" s="1018" t="s">
        <v>1257</v>
      </c>
      <c r="E66" s="1018"/>
      <c r="F66" s="3003">
        <f ca="1">IFERROR(INDEX(INDIRECT($C66&amp;".Info["&amp;F$15&amp;"]"), MATCH($M$63, INDIRECT($C66&amp;".Info[Vector]"), 0)), 0)</f>
        <v>0</v>
      </c>
      <c r="G66" s="3003">
        <f t="shared" ref="G66:N67" ca="1" si="6">IFERROR(INDEX(INDIRECT($C66&amp;".Info["&amp;G$15&amp;"]"), MATCH($M$63, INDIRECT($C66&amp;".Info[Vector]"), 0)), 0)</f>
        <v>0</v>
      </c>
      <c r="H66" s="3003">
        <f t="shared" ca="1" si="6"/>
        <v>1.6202141747248158E-3</v>
      </c>
      <c r="I66" s="2985">
        <f t="shared" ca="1" si="6"/>
        <v>3.1913257283986375E-3</v>
      </c>
      <c r="J66" s="2985">
        <f t="shared" ca="1" si="6"/>
        <v>1.7481418176539452E-2</v>
      </c>
      <c r="K66" s="2985">
        <f t="shared" ca="1" si="6"/>
        <v>3.216466434182487E-2</v>
      </c>
      <c r="L66" s="2985">
        <f t="shared" ca="1" si="6"/>
        <v>4.9876616788491486E-2</v>
      </c>
      <c r="M66" s="2985">
        <f t="shared" ca="1" si="6"/>
        <v>6.9600399032416091E-2</v>
      </c>
      <c r="N66" s="2985">
        <f t="shared" ca="1" si="6"/>
        <v>8.4514770253648105E-2</v>
      </c>
      <c r="O66" s="875"/>
    </row>
    <row r="67" spans="1:28" ht="15.75">
      <c r="A67" s="2981"/>
      <c r="B67" s="2982"/>
      <c r="C67" s="2487" t="s">
        <v>2406</v>
      </c>
      <c r="D67" s="517" t="s">
        <v>1260</v>
      </c>
      <c r="E67" s="517"/>
      <c r="F67" s="3005">
        <f ca="1">IFERROR(INDEX(INDIRECT($C67&amp;".Info["&amp;F$15&amp;"]"), MATCH($M$63, INDIRECT($C67&amp;".Info[Vector]"), 0)), 0)</f>
        <v>0</v>
      </c>
      <c r="G67" s="3005">
        <f t="shared" ca="1" si="6"/>
        <v>5.3438810284123543E-5</v>
      </c>
      <c r="H67" s="3005">
        <f t="shared" ca="1" si="6"/>
        <v>2.5343857950981582E-4</v>
      </c>
      <c r="I67" s="3345">
        <f t="shared" ca="1" si="6"/>
        <v>4.8287262530297294E-4</v>
      </c>
      <c r="J67" s="3345">
        <f t="shared" ca="1" si="6"/>
        <v>2.5594096603352772E-3</v>
      </c>
      <c r="K67" s="3345">
        <f t="shared" ca="1" si="6"/>
        <v>4.5640379983506842E-3</v>
      </c>
      <c r="L67" s="3345">
        <f t="shared" ca="1" si="6"/>
        <v>6.8437403635707873E-3</v>
      </c>
      <c r="M67" s="3345">
        <f t="shared" ca="1" si="6"/>
        <v>9.2759740600565077E-3</v>
      </c>
      <c r="N67" s="3345">
        <f t="shared" ca="1" si="6"/>
        <v>1.0435470817563571E-2</v>
      </c>
      <c r="O67" s="875"/>
    </row>
    <row r="68" spans="1:28" ht="15.75">
      <c r="A68" s="2981"/>
      <c r="B68" s="2982"/>
      <c r="C68" s="3006"/>
      <c r="D68" s="3007" t="s">
        <v>59</v>
      </c>
      <c r="E68" s="3007"/>
      <c r="F68" s="3344">
        <f t="shared" ref="F68:N68" ca="1" si="7">SUM(F66:F67)</f>
        <v>0</v>
      </c>
      <c r="G68" s="3344">
        <f t="shared" ca="1" si="7"/>
        <v>5.3438810284123543E-5</v>
      </c>
      <c r="H68" s="3344">
        <f t="shared" ca="1" si="7"/>
        <v>1.8736527542346317E-3</v>
      </c>
      <c r="I68" s="3344">
        <f t="shared" ca="1" si="7"/>
        <v>3.6741983537016106E-3</v>
      </c>
      <c r="J68" s="3344">
        <f t="shared" ca="1" si="7"/>
        <v>2.004082783687473E-2</v>
      </c>
      <c r="K68" s="3344">
        <f t="shared" ca="1" si="7"/>
        <v>3.6728702340175556E-2</v>
      </c>
      <c r="L68" s="3344">
        <f t="shared" ca="1" si="7"/>
        <v>5.6720357152062272E-2</v>
      </c>
      <c r="M68" s="3344">
        <f t="shared" ca="1" si="7"/>
        <v>7.8876373092472599E-2</v>
      </c>
      <c r="N68" s="3344">
        <f t="shared" ca="1" si="7"/>
        <v>9.495024107121168E-2</v>
      </c>
      <c r="O68" s="875"/>
    </row>
    <row r="69" spans="1:28" ht="15.75">
      <c r="A69" s="2981"/>
      <c r="B69" s="2982"/>
      <c r="C69" s="2487"/>
      <c r="D69" s="17"/>
      <c r="E69" s="17"/>
      <c r="F69" s="3008"/>
      <c r="G69" s="3008"/>
      <c r="H69" s="3008"/>
      <c r="I69" s="3008"/>
      <c r="J69" s="3008"/>
      <c r="K69" s="3008"/>
      <c r="L69" s="3008"/>
      <c r="M69" s="3008"/>
      <c r="N69" s="3008"/>
      <c r="O69" s="875"/>
    </row>
    <row r="71" spans="1:28" s="6" customFormat="1" ht="23.25">
      <c r="A71" s="40"/>
      <c r="B71" s="878" t="s">
        <v>33</v>
      </c>
      <c r="C71" s="879"/>
      <c r="D71" s="879"/>
      <c r="E71" s="879"/>
      <c r="F71" s="879"/>
      <c r="G71" s="879"/>
      <c r="H71" s="879"/>
      <c r="I71" s="879"/>
      <c r="J71" s="879"/>
      <c r="K71" s="879"/>
      <c r="L71" s="879"/>
      <c r="M71" s="879"/>
      <c r="N71" s="879"/>
      <c r="O71" s="880"/>
      <c r="P71" s="2890"/>
      <c r="R71" s="2890"/>
      <c r="T71" s="2890"/>
      <c r="U71" s="2890"/>
      <c r="V71" s="2890"/>
      <c r="W71" s="2890"/>
      <c r="X71" s="2890"/>
      <c r="Y71" s="2890"/>
      <c r="Z71" s="2890"/>
      <c r="AA71" s="2890"/>
      <c r="AB71" s="2890"/>
    </row>
    <row r="72" spans="1:28">
      <c r="B72" s="110"/>
      <c r="C72" s="67"/>
      <c r="D72" s="67"/>
      <c r="E72" s="67"/>
      <c r="F72" s="67"/>
      <c r="G72" s="67"/>
      <c r="H72" s="67"/>
      <c r="I72" s="67"/>
      <c r="J72" s="67"/>
      <c r="K72" s="67"/>
      <c r="L72" s="67"/>
      <c r="M72" s="67"/>
      <c r="N72" s="67"/>
      <c r="O72" s="885"/>
    </row>
    <row r="73" spans="1:28">
      <c r="B73" s="110"/>
      <c r="C73" s="49" t="s">
        <v>2672</v>
      </c>
      <c r="D73" s="67"/>
      <c r="E73" s="50"/>
      <c r="F73" s="67"/>
      <c r="G73" s="67"/>
      <c r="H73" s="67"/>
      <c r="I73" s="67"/>
      <c r="J73" s="67"/>
      <c r="K73" s="67"/>
      <c r="L73" s="67"/>
      <c r="M73" s="67"/>
      <c r="N73" s="50" t="str">
        <f>Preferences.PowerUnits</f>
        <v>GW</v>
      </c>
      <c r="O73" s="885"/>
    </row>
    <row r="74" spans="1:28">
      <c r="B74" s="110"/>
      <c r="C74" s="67"/>
      <c r="D74" s="67"/>
      <c r="E74" s="67"/>
      <c r="F74" s="67"/>
      <c r="G74" s="67"/>
      <c r="H74" s="67"/>
      <c r="I74" s="67"/>
      <c r="J74" s="67"/>
      <c r="K74" s="67"/>
      <c r="L74" s="67"/>
      <c r="M74" s="67"/>
      <c r="N74" s="67"/>
      <c r="O74" s="885"/>
      <c r="T74" s="6"/>
      <c r="U74" s="6"/>
      <c r="V74" s="6"/>
      <c r="W74" s="6"/>
      <c r="X74" s="6"/>
      <c r="Y74" s="6"/>
      <c r="Z74" s="6"/>
      <c r="AA74" s="6"/>
      <c r="AB74" s="6"/>
    </row>
    <row r="75" spans="1:28" ht="15.75">
      <c r="B75" s="2233"/>
      <c r="C75" s="887" t="s">
        <v>8</v>
      </c>
      <c r="D75" s="887" t="s">
        <v>34</v>
      </c>
      <c r="E75" s="887" t="s">
        <v>30</v>
      </c>
      <c r="F75" s="92">
        <v>2013</v>
      </c>
      <c r="G75" s="92">
        <v>2015</v>
      </c>
      <c r="H75" s="92">
        <v>2020</v>
      </c>
      <c r="I75" s="92">
        <v>2025</v>
      </c>
      <c r="J75" s="92">
        <v>2030</v>
      </c>
      <c r="K75" s="92">
        <v>2035</v>
      </c>
      <c r="L75" s="92">
        <v>2040</v>
      </c>
      <c r="M75" s="92">
        <v>2045</v>
      </c>
      <c r="N75" s="92">
        <v>2050</v>
      </c>
      <c r="O75" s="885"/>
    </row>
    <row r="76" spans="1:28" ht="15.75">
      <c r="B76" s="2233"/>
      <c r="C76" s="65">
        <v>1</v>
      </c>
      <c r="D76" s="108"/>
      <c r="E76" s="108" t="s">
        <v>65</v>
      </c>
      <c r="F76" s="59">
        <f t="shared" ref="F76:I79" si="8">(Unit.GW)*0.292</f>
        <v>0.29199999999999998</v>
      </c>
      <c r="G76" s="59">
        <f t="shared" si="8"/>
        <v>0.29199999999999998</v>
      </c>
      <c r="H76" s="59">
        <f t="shared" si="8"/>
        <v>0.29199999999999998</v>
      </c>
      <c r="I76" s="59">
        <f t="shared" si="8"/>
        <v>0.29199999999999998</v>
      </c>
      <c r="J76" s="59">
        <f t="shared" ref="J76:N77" si="9">(Unit.GW)*1.792</f>
        <v>1.792</v>
      </c>
      <c r="K76" s="59">
        <f t="shared" si="9"/>
        <v>1.792</v>
      </c>
      <c r="L76" s="59">
        <f t="shared" si="9"/>
        <v>1.792</v>
      </c>
      <c r="M76" s="59">
        <f t="shared" si="9"/>
        <v>1.792</v>
      </c>
      <c r="N76" s="59">
        <f t="shared" si="9"/>
        <v>1.792</v>
      </c>
      <c r="O76" s="885"/>
    </row>
    <row r="77" spans="1:28" ht="15.75">
      <c r="B77" s="2233"/>
      <c r="C77" s="65">
        <v>2</v>
      </c>
      <c r="D77" s="108"/>
      <c r="E77" s="108"/>
      <c r="F77" s="59">
        <f t="shared" si="8"/>
        <v>0.29199999999999998</v>
      </c>
      <c r="G77" s="59">
        <f t="shared" si="8"/>
        <v>0.29199999999999998</v>
      </c>
      <c r="H77" s="59">
        <f t="shared" ref="H77:I79" si="10">(Unit.GW)*1.792</f>
        <v>1.792</v>
      </c>
      <c r="I77" s="59">
        <f t="shared" si="10"/>
        <v>1.792</v>
      </c>
      <c r="J77" s="59">
        <f t="shared" si="9"/>
        <v>1.792</v>
      </c>
      <c r="K77" s="59">
        <f t="shared" si="9"/>
        <v>1.792</v>
      </c>
      <c r="L77" s="59">
        <f t="shared" si="9"/>
        <v>1.792</v>
      </c>
      <c r="M77" s="59">
        <f t="shared" si="9"/>
        <v>1.792</v>
      </c>
      <c r="N77" s="59">
        <f t="shared" si="9"/>
        <v>1.792</v>
      </c>
      <c r="O77" s="885" t="s">
        <v>5</v>
      </c>
    </row>
    <row r="78" spans="1:28" ht="15.75">
      <c r="B78" s="2233"/>
      <c r="C78" s="65">
        <v>3</v>
      </c>
      <c r="D78" s="108"/>
      <c r="E78" s="108" t="s">
        <v>67</v>
      </c>
      <c r="F78" s="59">
        <f t="shared" si="8"/>
        <v>0.29199999999999998</v>
      </c>
      <c r="G78" s="59">
        <f t="shared" si="8"/>
        <v>0.29199999999999998</v>
      </c>
      <c r="H78" s="59">
        <f t="shared" si="10"/>
        <v>1.792</v>
      </c>
      <c r="I78" s="59">
        <f t="shared" si="10"/>
        <v>1.792</v>
      </c>
      <c r="J78" s="59">
        <f>(Unit.GW)*1.792</f>
        <v>1.792</v>
      </c>
      <c r="K78" s="59">
        <f>(Unit.GW)*3.5</f>
        <v>3.5</v>
      </c>
      <c r="L78" s="59">
        <f>(Unit.GW)*3.5</f>
        <v>3.5</v>
      </c>
      <c r="M78" s="59">
        <f>(Unit.GW)*3.5</f>
        <v>3.5</v>
      </c>
      <c r="N78" s="59">
        <f>(Unit.GW)*3.5</f>
        <v>3.5</v>
      </c>
      <c r="O78" s="885" t="s">
        <v>5</v>
      </c>
    </row>
    <row r="79" spans="1:28" ht="15.75">
      <c r="B79" s="2233"/>
      <c r="C79" s="896">
        <v>4</v>
      </c>
      <c r="D79" s="897"/>
      <c r="E79" s="897" t="s">
        <v>106</v>
      </c>
      <c r="F79" s="1187">
        <f t="shared" si="8"/>
        <v>0.29199999999999998</v>
      </c>
      <c r="G79" s="907">
        <v>0.3</v>
      </c>
      <c r="H79" s="59">
        <f t="shared" si="10"/>
        <v>1.792</v>
      </c>
      <c r="I79" s="59">
        <f t="shared" si="10"/>
        <v>1.792</v>
      </c>
      <c r="J79" s="60">
        <f>(Unit.GW)*4</f>
        <v>4</v>
      </c>
      <c r="K79" s="60">
        <f>(Unit.GW)*4</f>
        <v>4</v>
      </c>
      <c r="L79" s="907">
        <f>(Unit.GW)*5</f>
        <v>5</v>
      </c>
      <c r="M79" s="907">
        <f>(Unit.GW)*5</f>
        <v>5</v>
      </c>
      <c r="N79" s="907">
        <f>(Unit.GW)*5</f>
        <v>5</v>
      </c>
      <c r="O79" s="885" t="s">
        <v>5</v>
      </c>
    </row>
    <row r="80" spans="1:28" ht="15.75">
      <c r="B80" s="55"/>
      <c r="C80" s="1024" t="s">
        <v>37</v>
      </c>
      <c r="D80" s="901"/>
      <c r="E80" s="901"/>
      <c r="F80" s="3347">
        <f>(INDEX(F76:F79,ROUNDDOWN($E$8,0))*(1-MOD($E$8,1)))+(INDEX(F76:F79,ROUNDUP($E$8,0))*MOD($E$8,1))</f>
        <v>0.29199999999999998</v>
      </c>
      <c r="G80" s="3348">
        <f t="shared" ref="G80:N80" si="11">(INDEX(G76:G79,ROUNDDOWN($E$8,0))*(1-MOD($E$8,1)))+(INDEX(G76:G79,ROUNDUP($E$8,0))*MOD($E$8,1))</f>
        <v>0.29199999999999998</v>
      </c>
      <c r="H80" s="3347">
        <f t="shared" si="11"/>
        <v>0.29199999999999998</v>
      </c>
      <c r="I80" s="3347">
        <f t="shared" si="11"/>
        <v>0.29199999999999998</v>
      </c>
      <c r="J80" s="3347">
        <f t="shared" si="11"/>
        <v>1.792</v>
      </c>
      <c r="K80" s="3347">
        <f t="shared" si="11"/>
        <v>1.792</v>
      </c>
      <c r="L80" s="3347">
        <f t="shared" si="11"/>
        <v>1.792</v>
      </c>
      <c r="M80" s="3347">
        <f>(INDEX(M76:M79,ROUNDDOWN($E$8,0))*(1-MOD($E$8,1)))+(INDEX(M76:M79,ROUNDUP($E$8,0))*MOD($E$8,1))</f>
        <v>1.792</v>
      </c>
      <c r="N80" s="3347">
        <f t="shared" si="11"/>
        <v>1.792</v>
      </c>
      <c r="O80" s="885"/>
    </row>
    <row r="81" spans="2:18" ht="15.75">
      <c r="B81" s="2233"/>
      <c r="C81" s="65"/>
      <c r="D81" s="108"/>
      <c r="E81" s="108"/>
      <c r="F81" s="59"/>
      <c r="G81" s="60"/>
      <c r="H81" s="60" t="s">
        <v>5</v>
      </c>
      <c r="I81" s="60"/>
      <c r="J81" s="60" t="s">
        <v>5</v>
      </c>
      <c r="K81" s="60"/>
      <c r="L81" s="60" t="s">
        <v>5</v>
      </c>
      <c r="M81" s="60"/>
      <c r="N81" s="60"/>
      <c r="O81" s="885"/>
    </row>
    <row r="82" spans="2:18" ht="15.75">
      <c r="B82" s="2233"/>
      <c r="C82" s="49" t="s">
        <v>3249</v>
      </c>
      <c r="D82" s="67"/>
      <c r="E82" s="50"/>
      <c r="F82" s="67"/>
      <c r="G82" s="67"/>
      <c r="H82" s="67"/>
      <c r="I82" s="67" t="s">
        <v>5</v>
      </c>
      <c r="J82" s="67" t="s">
        <v>5</v>
      </c>
      <c r="K82" s="67" t="s">
        <v>5</v>
      </c>
      <c r="L82" s="67" t="s">
        <v>5</v>
      </c>
      <c r="M82" s="67"/>
      <c r="N82" s="50" t="str">
        <f>Preferences.EnergyUnits</f>
        <v>TWh</v>
      </c>
      <c r="O82" s="885"/>
    </row>
    <row r="83" spans="2:18" ht="15.75">
      <c r="B83" s="2233"/>
      <c r="C83" s="67"/>
      <c r="D83" s="67"/>
      <c r="E83" s="67"/>
      <c r="F83" s="67"/>
      <c r="G83" s="67"/>
      <c r="H83" s="67"/>
      <c r="I83" s="67"/>
      <c r="J83" s="67"/>
      <c r="K83" s="67"/>
      <c r="L83" s="67"/>
      <c r="M83" s="67"/>
      <c r="N83" s="67"/>
      <c r="O83" s="885"/>
    </row>
    <row r="84" spans="2:18" ht="15.75">
      <c r="B84" s="2233"/>
      <c r="C84" s="887" t="s">
        <v>8</v>
      </c>
      <c r="D84" s="887" t="s">
        <v>34</v>
      </c>
      <c r="E84" s="887" t="s">
        <v>30</v>
      </c>
      <c r="F84" s="92">
        <v>2013</v>
      </c>
      <c r="G84" s="92">
        <v>2015</v>
      </c>
      <c r="H84" s="92">
        <v>2020</v>
      </c>
      <c r="I84" s="92">
        <v>2025</v>
      </c>
      <c r="J84" s="92">
        <v>2030</v>
      </c>
      <c r="K84" s="92">
        <v>2035</v>
      </c>
      <c r="L84" s="92">
        <v>2040</v>
      </c>
      <c r="M84" s="92">
        <v>2045</v>
      </c>
      <c r="N84" s="92">
        <v>2050</v>
      </c>
      <c r="O84" s="885"/>
    </row>
    <row r="85" spans="2:18" ht="15.75">
      <c r="B85" s="2233"/>
      <c r="C85" s="65">
        <v>1</v>
      </c>
      <c r="D85" s="108"/>
      <c r="E85" s="108" t="s">
        <v>65</v>
      </c>
      <c r="F85" s="1071">
        <f>(Unit.GWh)*1.59</f>
        <v>1.5900000000000001E-3</v>
      </c>
      <c r="G85" s="1071">
        <f>(Unit.GWh)*1.59</f>
        <v>1.5900000000000001E-3</v>
      </c>
      <c r="H85" s="1071">
        <f>(Unit.GWh)*1.59</f>
        <v>1.5900000000000001E-3</v>
      </c>
      <c r="I85" s="1071">
        <f>(Unit.GWh)*1.59</f>
        <v>1.5900000000000001E-3</v>
      </c>
      <c r="J85" s="1071">
        <f>(Unit.GWh)*7.59</f>
        <v>7.5900000000000004E-3</v>
      </c>
      <c r="K85" s="1071">
        <f>(Unit.GWh)*7.59</f>
        <v>7.5900000000000004E-3</v>
      </c>
      <c r="L85" s="1071">
        <f>(Unit.GWh)*7.59</f>
        <v>7.5900000000000004E-3</v>
      </c>
      <c r="M85" s="1071">
        <f>(Unit.GWh)*7.59</f>
        <v>7.5900000000000004E-3</v>
      </c>
      <c r="N85" s="1071">
        <f>(Unit.GWh)*7.59</f>
        <v>7.5900000000000004E-3</v>
      </c>
      <c r="O85" s="885"/>
    </row>
    <row r="86" spans="2:18" ht="15.75">
      <c r="B86" s="2233"/>
      <c r="C86" s="65">
        <v>2</v>
      </c>
      <c r="D86" s="108"/>
      <c r="E86" s="108" t="s">
        <v>67</v>
      </c>
      <c r="F86" s="1071">
        <f t="shared" ref="F86:G88" si="12">(Unit.GWh)*1.59</f>
        <v>1.5900000000000001E-3</v>
      </c>
      <c r="G86" s="1071">
        <f t="shared" si="12"/>
        <v>1.5900000000000001E-3</v>
      </c>
      <c r="H86" s="1071">
        <f>(Unit.GWh)*7.59</f>
        <v>7.5900000000000004E-3</v>
      </c>
      <c r="I86" s="1071">
        <f t="shared" ref="I86:N86" si="13">(Unit.GWh)*14.32</f>
        <v>1.4320000000000001E-2</v>
      </c>
      <c r="J86" s="1071">
        <f t="shared" si="13"/>
        <v>1.4320000000000001E-2</v>
      </c>
      <c r="K86" s="1071">
        <f t="shared" si="13"/>
        <v>1.4320000000000001E-2</v>
      </c>
      <c r="L86" s="1071">
        <f t="shared" si="13"/>
        <v>1.4320000000000001E-2</v>
      </c>
      <c r="M86" s="1071">
        <f t="shared" si="13"/>
        <v>1.4320000000000001E-2</v>
      </c>
      <c r="N86" s="1071">
        <f t="shared" si="13"/>
        <v>1.4320000000000001E-2</v>
      </c>
      <c r="O86" s="885" t="s">
        <v>5</v>
      </c>
    </row>
    <row r="87" spans="2:18" ht="15.75">
      <c r="B87" s="2233"/>
      <c r="C87" s="65">
        <v>3</v>
      </c>
      <c r="D87" s="108"/>
      <c r="E87" s="108" t="s">
        <v>67</v>
      </c>
      <c r="F87" s="1071">
        <f t="shared" si="12"/>
        <v>1.5900000000000001E-3</v>
      </c>
      <c r="G87" s="1071">
        <f t="shared" si="12"/>
        <v>1.5900000000000001E-3</v>
      </c>
      <c r="H87" s="1071">
        <f>(Unit.GWh)*7.59</f>
        <v>7.5900000000000004E-3</v>
      </c>
      <c r="I87" s="1071">
        <f>(Unit.GWh)*14.32</f>
        <v>1.4320000000000001E-2</v>
      </c>
      <c r="J87" s="1071">
        <f>(Unit.GWh)*14.32</f>
        <v>1.4320000000000001E-2</v>
      </c>
      <c r="K87" s="1071">
        <f>(Unit.GWh)*30</f>
        <v>0.03</v>
      </c>
      <c r="L87" s="1071">
        <f>(Unit.GWh)*30</f>
        <v>0.03</v>
      </c>
      <c r="M87" s="1071">
        <f>(Unit.GWh)*59</f>
        <v>5.9000000000000004E-2</v>
      </c>
      <c r="N87" s="1071">
        <f>(Unit.GWh)*59</f>
        <v>5.9000000000000004E-2</v>
      </c>
      <c r="O87" s="885"/>
    </row>
    <row r="88" spans="2:18" ht="15.75">
      <c r="B88" s="2233"/>
      <c r="C88" s="896">
        <v>4</v>
      </c>
      <c r="D88" s="897"/>
      <c r="E88" s="108" t="s">
        <v>67</v>
      </c>
      <c r="F88" s="1071">
        <f t="shared" si="12"/>
        <v>1.5900000000000001E-3</v>
      </c>
      <c r="G88" s="1071">
        <f t="shared" si="12"/>
        <v>1.5900000000000001E-3</v>
      </c>
      <c r="H88" s="1071">
        <f>(Unit.GWh)*7.59</f>
        <v>7.5900000000000004E-3</v>
      </c>
      <c r="I88" s="1071">
        <f>(Unit.GWh)*14.32</f>
        <v>1.4320000000000001E-2</v>
      </c>
      <c r="J88" s="1071">
        <f>(Unit.GWh)*59</f>
        <v>5.9000000000000004E-2</v>
      </c>
      <c r="K88" s="1071">
        <f>(Unit.GWh)*59</f>
        <v>5.9000000000000004E-2</v>
      </c>
      <c r="L88" s="1071">
        <f>(Unit.GWh)*70</f>
        <v>7.0000000000000007E-2</v>
      </c>
      <c r="M88" s="1071">
        <f>(Unit.GWh)*70</f>
        <v>7.0000000000000007E-2</v>
      </c>
      <c r="N88" s="1071">
        <f>(Unit.GWh)*70</f>
        <v>7.0000000000000007E-2</v>
      </c>
      <c r="O88" s="885"/>
      <c r="P88" s="3820" t="s">
        <v>5</v>
      </c>
    </row>
    <row r="89" spans="2:18" ht="15.75">
      <c r="B89" s="55"/>
      <c r="C89" s="1024" t="s">
        <v>37</v>
      </c>
      <c r="D89" s="901"/>
      <c r="E89" s="901"/>
      <c r="F89" s="3350">
        <f t="shared" ref="F89:N89" si="14">(INDEX(F85:F88,ROUNDDOWN($E$8,0))*(1-MOD($E$8,1)))+(INDEX(F85:F88,ROUNDUP($E$8,0))*MOD($E$8,1))</f>
        <v>1.5900000000000001E-3</v>
      </c>
      <c r="G89" s="3351">
        <f t="shared" si="14"/>
        <v>1.5900000000000001E-3</v>
      </c>
      <c r="H89" s="3350">
        <f t="shared" si="14"/>
        <v>1.5900000000000001E-3</v>
      </c>
      <c r="I89" s="3350">
        <f t="shared" si="14"/>
        <v>1.5900000000000001E-3</v>
      </c>
      <c r="J89" s="3350">
        <f t="shared" si="14"/>
        <v>7.5900000000000004E-3</v>
      </c>
      <c r="K89" s="3350">
        <f t="shared" si="14"/>
        <v>7.5900000000000004E-3</v>
      </c>
      <c r="L89" s="3350">
        <f t="shared" si="14"/>
        <v>7.5900000000000004E-3</v>
      </c>
      <c r="M89" s="3350">
        <f t="shared" si="14"/>
        <v>7.5900000000000004E-3</v>
      </c>
      <c r="N89" s="3350">
        <f t="shared" si="14"/>
        <v>7.5900000000000004E-3</v>
      </c>
      <c r="O89" s="885"/>
    </row>
    <row r="90" spans="2:18" ht="15.75">
      <c r="B90" s="2233"/>
      <c r="C90" s="65"/>
      <c r="D90" s="108"/>
      <c r="E90" s="108"/>
      <c r="F90" s="59"/>
      <c r="G90" s="60"/>
      <c r="H90" s="60" t="s">
        <v>5</v>
      </c>
      <c r="I90" s="60" t="s">
        <v>5</v>
      </c>
      <c r="J90" s="60" t="s">
        <v>5</v>
      </c>
      <c r="K90" s="60"/>
      <c r="L90" s="60"/>
      <c r="M90" s="60"/>
      <c r="N90" s="60"/>
      <c r="O90" s="885"/>
    </row>
    <row r="91" spans="2:18" ht="15.75">
      <c r="B91" s="2233"/>
      <c r="C91" s="49" t="s">
        <v>2407</v>
      </c>
      <c r="D91" s="67"/>
      <c r="E91" s="51" t="s">
        <v>5</v>
      </c>
      <c r="F91" s="67"/>
      <c r="G91" s="67"/>
      <c r="H91" s="67" t="s">
        <v>5</v>
      </c>
      <c r="I91" s="67"/>
      <c r="J91" s="67"/>
      <c r="K91" s="67"/>
      <c r="L91" s="67"/>
      <c r="M91" s="67"/>
      <c r="N91" s="50" t="str">
        <f>Preferences.PowerUnits</f>
        <v>GW</v>
      </c>
      <c r="O91" s="885"/>
      <c r="R91" s="3009"/>
    </row>
    <row r="92" spans="2:18" ht="15.75">
      <c r="B92" s="2233"/>
      <c r="C92" s="67"/>
      <c r="D92" s="67"/>
      <c r="E92" s="67"/>
      <c r="F92" s="67"/>
      <c r="G92" s="67"/>
      <c r="H92" s="67"/>
      <c r="I92" s="67"/>
      <c r="J92" s="67"/>
      <c r="K92" s="67"/>
      <c r="L92" s="67"/>
      <c r="M92" s="67"/>
      <c r="N92" s="67"/>
      <c r="O92" s="885"/>
    </row>
    <row r="93" spans="2:18" ht="15.75">
      <c r="B93" s="2233"/>
      <c r="C93" s="887" t="s">
        <v>8</v>
      </c>
      <c r="D93" s="887" t="s">
        <v>34</v>
      </c>
      <c r="E93" s="887" t="s">
        <v>30</v>
      </c>
      <c r="F93" s="92">
        <v>2013</v>
      </c>
      <c r="G93" s="92">
        <v>2015</v>
      </c>
      <c r="H93" s="92">
        <v>2020</v>
      </c>
      <c r="I93" s="92">
        <v>2025</v>
      </c>
      <c r="J93" s="92">
        <v>2030</v>
      </c>
      <c r="K93" s="92">
        <v>2035</v>
      </c>
      <c r="L93" s="92">
        <v>2040</v>
      </c>
      <c r="M93" s="92">
        <v>2045</v>
      </c>
      <c r="N93" s="92">
        <v>2050</v>
      </c>
      <c r="O93" s="885"/>
    </row>
    <row r="94" spans="2:18" ht="15.75">
      <c r="B94" s="2233"/>
      <c r="C94" s="65">
        <v>1</v>
      </c>
      <c r="D94" s="108"/>
      <c r="E94" s="108" t="s">
        <v>106</v>
      </c>
      <c r="F94" s="59">
        <f>(Unit.GW)*0.75</f>
        <v>0.75</v>
      </c>
      <c r="G94" s="59">
        <f>(Unit.GW)*0.75</f>
        <v>0.75</v>
      </c>
      <c r="H94" s="59">
        <f>(Unit.GW)*0.75</f>
        <v>0.75</v>
      </c>
      <c r="I94" s="60">
        <f t="shared" ref="I94:N94" si="15">(Unit.GW)*1.4</f>
        <v>1.4</v>
      </c>
      <c r="J94" s="60">
        <f t="shared" si="15"/>
        <v>1.4</v>
      </c>
      <c r="K94" s="60">
        <f t="shared" si="15"/>
        <v>1.4</v>
      </c>
      <c r="L94" s="60">
        <f t="shared" si="15"/>
        <v>1.4</v>
      </c>
      <c r="M94" s="60">
        <f t="shared" si="15"/>
        <v>1.4</v>
      </c>
      <c r="N94" s="60">
        <f t="shared" si="15"/>
        <v>1.4</v>
      </c>
      <c r="O94" s="885"/>
    </row>
    <row r="95" spans="2:18" ht="15.75">
      <c r="B95" s="2233"/>
      <c r="C95" s="65">
        <v>2</v>
      </c>
      <c r="D95" s="108"/>
      <c r="E95" s="108" t="s">
        <v>80</v>
      </c>
      <c r="F95" s="59">
        <f t="shared" ref="F95:H97" si="16">(Unit.GW)*0.75</f>
        <v>0.75</v>
      </c>
      <c r="G95" s="59">
        <f t="shared" si="16"/>
        <v>0.75</v>
      </c>
      <c r="H95" s="59">
        <f t="shared" si="16"/>
        <v>0.75</v>
      </c>
      <c r="I95" s="60">
        <f t="shared" ref="I95:N95" si="17">(Unit.GW)*1.8</f>
        <v>1.8</v>
      </c>
      <c r="J95" s="60">
        <f t="shared" si="17"/>
        <v>1.8</v>
      </c>
      <c r="K95" s="60">
        <f t="shared" si="17"/>
        <v>1.8</v>
      </c>
      <c r="L95" s="60">
        <f t="shared" si="17"/>
        <v>1.8</v>
      </c>
      <c r="M95" s="60">
        <f t="shared" si="17"/>
        <v>1.8</v>
      </c>
      <c r="N95" s="60">
        <f t="shared" si="17"/>
        <v>1.8</v>
      </c>
      <c r="O95" s="885" t="s">
        <v>5</v>
      </c>
    </row>
    <row r="96" spans="2:18" ht="15.75">
      <c r="B96" s="2233"/>
      <c r="C96" s="65">
        <v>3</v>
      </c>
      <c r="D96" s="108"/>
      <c r="E96" s="108" t="s">
        <v>80</v>
      </c>
      <c r="F96" s="59">
        <f t="shared" si="16"/>
        <v>0.75</v>
      </c>
      <c r="G96" s="59">
        <f t="shared" si="16"/>
        <v>0.75</v>
      </c>
      <c r="H96" s="59">
        <f t="shared" si="16"/>
        <v>0.75</v>
      </c>
      <c r="I96" s="60">
        <f>(Unit.GW)*1.8</f>
        <v>1.8</v>
      </c>
      <c r="J96" s="60">
        <f>(Unit.GW)*1.8</f>
        <v>1.8</v>
      </c>
      <c r="K96" s="60">
        <f>(Unit.GW)*1.8</f>
        <v>1.8</v>
      </c>
      <c r="L96" s="60">
        <f>(Unit.GW)*2.8</f>
        <v>2.8</v>
      </c>
      <c r="M96" s="60">
        <f>(Unit.GW)*2.8</f>
        <v>2.8</v>
      </c>
      <c r="N96" s="60">
        <f>(Unit.GW)*2.8</f>
        <v>2.8</v>
      </c>
      <c r="O96" s="885" t="s">
        <v>5</v>
      </c>
    </row>
    <row r="97" spans="2:15" ht="15.75">
      <c r="B97" s="2233"/>
      <c r="C97" s="896">
        <v>4</v>
      </c>
      <c r="D97" s="897"/>
      <c r="E97" s="897" t="s">
        <v>80</v>
      </c>
      <c r="F97" s="59">
        <f>(Unit.GW)*0.75</f>
        <v>0.75</v>
      </c>
      <c r="G97" s="59">
        <f>(Unit.GW)*0.75</f>
        <v>0.75</v>
      </c>
      <c r="H97" s="59">
        <f t="shared" si="16"/>
        <v>0.75</v>
      </c>
      <c r="I97" s="60">
        <f>(Unit.GW)*1.8</f>
        <v>1.8</v>
      </c>
      <c r="J97" s="60">
        <f>(Unit.GW)*2.8</f>
        <v>2.8</v>
      </c>
      <c r="K97" s="60">
        <f>(Unit.GW)*2.8</f>
        <v>2.8</v>
      </c>
      <c r="L97" s="907">
        <f>(Unit.GW)*3.8</f>
        <v>3.8</v>
      </c>
      <c r="M97" s="907">
        <f>(Unit.GW)*4.8</f>
        <v>4.8</v>
      </c>
      <c r="N97" s="907">
        <f>(Unit.GW)*4.8</f>
        <v>4.8</v>
      </c>
      <c r="O97" s="885"/>
    </row>
    <row r="98" spans="2:15" ht="15.75">
      <c r="B98" s="55"/>
      <c r="C98" s="1024" t="s">
        <v>37</v>
      </c>
      <c r="D98" s="901"/>
      <c r="E98" s="901"/>
      <c r="F98" s="3347">
        <f>(INDEX(F94:F97,ROUNDDOWN($E$8,0))*(1-MOD($E$8,1)))+(INDEX(F94:F97,ROUNDUP($E$8,0))*MOD($E$8,1))</f>
        <v>0.75</v>
      </c>
      <c r="G98" s="3348">
        <f t="shared" ref="G98:N98" si="18">(INDEX(G94:G97,ROUNDDOWN($E$8,0))*(1-MOD($E$8,1)))+(INDEX(G94:G97,ROUNDUP($E$8,0))*MOD($E$8,1))</f>
        <v>0.75</v>
      </c>
      <c r="H98" s="3347">
        <f t="shared" si="18"/>
        <v>0.75</v>
      </c>
      <c r="I98" s="3347">
        <f t="shared" si="18"/>
        <v>1.4</v>
      </c>
      <c r="J98" s="3347">
        <f t="shared" si="18"/>
        <v>1.4</v>
      </c>
      <c r="K98" s="3347">
        <f t="shared" si="18"/>
        <v>1.4</v>
      </c>
      <c r="L98" s="3347">
        <f t="shared" si="18"/>
        <v>1.4</v>
      </c>
      <c r="M98" s="3347">
        <f t="shared" si="18"/>
        <v>1.4</v>
      </c>
      <c r="N98" s="3347">
        <f t="shared" si="18"/>
        <v>1.4</v>
      </c>
      <c r="O98" s="885"/>
    </row>
    <row r="99" spans="2:15" ht="15.75">
      <c r="B99" s="2233"/>
      <c r="C99" s="65"/>
      <c r="D99" s="108"/>
      <c r="E99" s="108"/>
      <c r="F99" s="59"/>
      <c r="G99" s="60"/>
      <c r="H99" s="60"/>
      <c r="I99" s="60"/>
      <c r="J99" s="60"/>
      <c r="K99" s="60"/>
      <c r="L99" s="60"/>
      <c r="M99" s="60"/>
      <c r="N99" s="60"/>
      <c r="O99" s="885"/>
    </row>
    <row r="100" spans="2:15" ht="15.75">
      <c r="B100" s="2233"/>
      <c r="C100" s="89" t="s">
        <v>2408</v>
      </c>
      <c r="D100" s="108"/>
      <c r="E100" s="108"/>
      <c r="F100" s="60" t="s">
        <v>1742</v>
      </c>
      <c r="G100" s="3603" t="s">
        <v>64</v>
      </c>
      <c r="H100" s="60"/>
      <c r="I100" s="60" t="s">
        <v>5</v>
      </c>
      <c r="J100" s="60"/>
      <c r="K100" s="60"/>
      <c r="L100" s="60"/>
      <c r="M100" s="60"/>
      <c r="N100" s="60"/>
      <c r="O100" s="885"/>
    </row>
    <row r="101" spans="2:15" ht="15.75">
      <c r="B101" s="2233"/>
      <c r="C101" s="65"/>
      <c r="D101" s="108"/>
      <c r="E101" s="108"/>
      <c r="F101" s="59"/>
      <c r="G101" s="2293" t="s">
        <v>65</v>
      </c>
      <c r="H101" s="3883" t="s">
        <v>3303</v>
      </c>
      <c r="I101" s="3824"/>
      <c r="J101" s="60"/>
      <c r="K101" s="60"/>
      <c r="L101" s="60"/>
      <c r="M101" s="60"/>
      <c r="N101" s="60"/>
      <c r="O101" s="885"/>
    </row>
    <row r="102" spans="2:15" ht="15.75">
      <c r="B102" s="2233"/>
      <c r="C102" s="887" t="s">
        <v>8</v>
      </c>
      <c r="D102" s="887" t="s">
        <v>34</v>
      </c>
      <c r="E102" s="887" t="s">
        <v>30</v>
      </c>
      <c r="F102" s="92" t="s">
        <v>2409</v>
      </c>
      <c r="G102" s="2293" t="s">
        <v>67</v>
      </c>
      <c r="H102" s="3883" t="s">
        <v>3305</v>
      </c>
      <c r="I102" s="3824"/>
      <c r="J102" s="60"/>
      <c r="K102" s="60"/>
      <c r="L102" s="60"/>
      <c r="M102" s="60"/>
      <c r="N102" s="60"/>
      <c r="O102" s="885"/>
    </row>
    <row r="103" spans="2:15" ht="15.75">
      <c r="B103" s="2233"/>
      <c r="C103" s="65">
        <v>1</v>
      </c>
      <c r="D103" s="108"/>
      <c r="E103" s="108"/>
      <c r="F103" s="93">
        <v>0.75</v>
      </c>
      <c r="G103" s="2293"/>
      <c r="H103" s="3883" t="s">
        <v>3304</v>
      </c>
      <c r="I103" s="3824"/>
      <c r="J103" s="60"/>
      <c r="K103" s="60"/>
      <c r="L103" s="60"/>
      <c r="M103" s="60"/>
      <c r="N103" s="60"/>
      <c r="O103" s="885"/>
    </row>
    <row r="104" spans="2:15" ht="15.75">
      <c r="B104" s="2233"/>
      <c r="C104" s="65">
        <v>2</v>
      </c>
      <c r="D104" s="108"/>
      <c r="E104" s="108"/>
      <c r="F104" s="93">
        <v>0.75</v>
      </c>
      <c r="G104" s="2293" t="s">
        <v>106</v>
      </c>
      <c r="H104" s="3883" t="s">
        <v>3302</v>
      </c>
      <c r="I104" s="3824"/>
      <c r="J104" s="60"/>
      <c r="K104" s="60"/>
      <c r="L104" s="60"/>
      <c r="M104" s="60"/>
      <c r="N104" s="60"/>
      <c r="O104" s="885"/>
    </row>
    <row r="105" spans="2:15" ht="15.75">
      <c r="B105" s="2233"/>
      <c r="C105" s="65">
        <v>3</v>
      </c>
      <c r="D105" s="108"/>
      <c r="E105" s="108"/>
      <c r="F105" s="93">
        <v>0.75</v>
      </c>
      <c r="G105" s="2293" t="s">
        <v>80</v>
      </c>
      <c r="H105" s="3933" t="s">
        <v>3306</v>
      </c>
      <c r="I105" s="3824"/>
      <c r="J105" s="60"/>
      <c r="K105" s="60"/>
      <c r="L105" s="60"/>
      <c r="M105" s="60"/>
      <c r="N105" s="60"/>
      <c r="O105" s="885"/>
    </row>
    <row r="106" spans="2:15" ht="15.75">
      <c r="B106" s="2233"/>
      <c r="C106" s="896">
        <v>4</v>
      </c>
      <c r="D106" s="897"/>
      <c r="E106" s="897"/>
      <c r="F106" s="98">
        <v>0.75</v>
      </c>
      <c r="G106" s="2293" t="s">
        <v>156</v>
      </c>
      <c r="H106" s="3933" t="s">
        <v>3307</v>
      </c>
      <c r="I106" s="60"/>
      <c r="J106" s="60"/>
      <c r="K106" s="60"/>
      <c r="L106" s="60"/>
      <c r="M106" s="60"/>
      <c r="N106" s="60"/>
      <c r="O106" s="885"/>
    </row>
    <row r="107" spans="2:15" ht="15.75">
      <c r="B107" s="55"/>
      <c r="C107" s="1024" t="s">
        <v>37</v>
      </c>
      <c r="D107" s="901"/>
      <c r="E107" s="901"/>
      <c r="F107" s="102">
        <v>0.75</v>
      </c>
      <c r="G107" s="2293"/>
      <c r="H107" s="3933" t="s">
        <v>3308</v>
      </c>
      <c r="I107" s="60"/>
      <c r="J107" s="60"/>
      <c r="K107" s="60"/>
      <c r="L107" s="60"/>
      <c r="M107" s="60"/>
      <c r="N107" s="60"/>
      <c r="O107" s="885"/>
    </row>
    <row r="108" spans="2:15" ht="15.75">
      <c r="B108" s="2233"/>
      <c r="C108" s="65"/>
      <c r="D108" s="108"/>
      <c r="E108" s="108"/>
      <c r="F108" s="59"/>
      <c r="G108" s="60"/>
      <c r="H108" s="3933"/>
      <c r="I108" s="60"/>
      <c r="J108" s="60"/>
      <c r="K108" s="60"/>
      <c r="L108" s="60"/>
      <c r="M108" s="60"/>
      <c r="N108" s="60"/>
      <c r="O108" s="60"/>
    </row>
    <row r="109" spans="2:15" ht="15.75">
      <c r="B109" s="2233"/>
      <c r="C109" s="49" t="s">
        <v>2410</v>
      </c>
      <c r="D109" s="67"/>
      <c r="E109" s="67"/>
      <c r="F109" s="67"/>
      <c r="G109" s="67"/>
      <c r="H109" s="51" t="s">
        <v>2411</v>
      </c>
      <c r="I109" s="60"/>
      <c r="J109" s="3346"/>
      <c r="K109" s="60"/>
      <c r="L109" s="60"/>
      <c r="M109" s="60"/>
      <c r="N109" s="60"/>
      <c r="O109" s="60"/>
    </row>
    <row r="110" spans="2:15" ht="15.75">
      <c r="B110" s="2233"/>
      <c r="C110" s="286"/>
      <c r="D110" s="67"/>
      <c r="E110" s="67"/>
      <c r="F110" s="67"/>
      <c r="G110" s="67"/>
      <c r="H110" s="67"/>
      <c r="I110" s="60"/>
      <c r="J110" s="60"/>
      <c r="K110" s="60"/>
      <c r="L110" s="60"/>
      <c r="M110" s="60"/>
      <c r="N110" s="60"/>
      <c r="O110" s="60"/>
    </row>
    <row r="111" spans="2:15" ht="15.75">
      <c r="B111" s="2233"/>
      <c r="C111" s="887" t="s">
        <v>8</v>
      </c>
      <c r="D111" s="887" t="s">
        <v>72</v>
      </c>
      <c r="E111" s="887" t="s">
        <v>30</v>
      </c>
      <c r="F111" s="92"/>
      <c r="G111" s="1276" t="s">
        <v>1150</v>
      </c>
      <c r="H111" s="92" t="s">
        <v>1149</v>
      </c>
      <c r="I111" s="60"/>
      <c r="J111" s="60"/>
      <c r="K111" s="60"/>
      <c r="L111" s="60"/>
      <c r="M111" s="60"/>
      <c r="N111" s="60"/>
      <c r="O111" s="60"/>
    </row>
    <row r="112" spans="2:15" ht="15.75">
      <c r="B112" s="2233"/>
      <c r="C112" s="65">
        <v>1</v>
      </c>
      <c r="D112" s="108"/>
      <c r="E112" s="890"/>
      <c r="F112" s="59"/>
      <c r="G112" s="3352">
        <v>0</v>
      </c>
      <c r="H112" s="2600">
        <v>0</v>
      </c>
      <c r="I112" s="60"/>
      <c r="J112" s="60"/>
      <c r="K112" s="60"/>
      <c r="L112" s="60"/>
      <c r="M112" s="60"/>
      <c r="N112" s="60"/>
      <c r="O112" s="60"/>
    </row>
    <row r="113" spans="1:28" ht="15.75">
      <c r="B113" s="2233"/>
      <c r="C113" s="65">
        <v>2</v>
      </c>
      <c r="D113" s="108"/>
      <c r="E113" s="108"/>
      <c r="F113" s="59"/>
      <c r="G113" s="3353">
        <f>33%*75%</f>
        <v>0.2475</v>
      </c>
      <c r="H113" s="3354">
        <f>33%*90%</f>
        <v>0.29700000000000004</v>
      </c>
      <c r="I113" s="60"/>
      <c r="J113" s="60"/>
      <c r="K113" s="60"/>
      <c r="L113" s="60"/>
      <c r="M113" s="60"/>
      <c r="N113" s="60"/>
      <c r="O113" s="60"/>
    </row>
    <row r="114" spans="1:28" ht="15.75">
      <c r="B114" s="2233"/>
      <c r="C114" s="65">
        <v>3</v>
      </c>
      <c r="D114" s="108"/>
      <c r="E114" s="108"/>
      <c r="F114" s="59"/>
      <c r="G114" s="3353">
        <f>66%*75%</f>
        <v>0.495</v>
      </c>
      <c r="H114" s="3354">
        <f>66%*90%</f>
        <v>0.59400000000000008</v>
      </c>
      <c r="I114" s="60"/>
      <c r="J114" s="60"/>
      <c r="K114" s="60"/>
      <c r="L114" s="60"/>
      <c r="M114" s="60"/>
      <c r="N114" s="60"/>
      <c r="O114" s="60"/>
    </row>
    <row r="115" spans="1:28" ht="15.75">
      <c r="B115" s="2233"/>
      <c r="C115" s="896">
        <v>4</v>
      </c>
      <c r="D115" s="897"/>
      <c r="E115" s="897"/>
      <c r="F115" s="1022"/>
      <c r="G115" s="3355">
        <f>75%</f>
        <v>0.75</v>
      </c>
      <c r="H115" s="3356">
        <f>90%</f>
        <v>0.9</v>
      </c>
      <c r="I115" s="60"/>
      <c r="J115" s="60"/>
      <c r="K115" s="60"/>
      <c r="L115" s="60"/>
      <c r="M115" s="60"/>
      <c r="N115" s="60"/>
      <c r="O115" s="60"/>
    </row>
    <row r="116" spans="1:28" ht="15.75">
      <c r="B116" s="55"/>
      <c r="C116" s="1024" t="s">
        <v>37</v>
      </c>
      <c r="D116" s="901"/>
      <c r="E116" s="901"/>
      <c r="F116" s="84"/>
      <c r="G116" s="3357">
        <f>(INDEX(G112:G115,ROUNDDOWN($E$8,0))*(1-MOD($E$8,1)))+(INDEX(G112:G115,ROUNDUP($E$8,0))*MOD($E$8,1))</f>
        <v>0</v>
      </c>
      <c r="H116" s="3357">
        <f>(INDEX(H112:H115,ROUNDDOWN($E$8,0))*(1-MOD($E$8,1)))+(INDEX(H112:H115,ROUNDUP($E$8,0))*MOD($E$8,1))</f>
        <v>0</v>
      </c>
      <c r="I116" s="60"/>
      <c r="J116" s="60"/>
      <c r="K116" s="60"/>
      <c r="L116" s="60"/>
      <c r="M116" s="60"/>
      <c r="N116" s="60"/>
      <c r="O116" s="60"/>
    </row>
    <row r="117" spans="1:28" ht="15.75">
      <c r="B117" s="2233"/>
      <c r="C117" s="65"/>
      <c r="D117" s="108"/>
      <c r="E117" s="108"/>
      <c r="F117" s="59"/>
      <c r="G117" s="60"/>
      <c r="H117" s="60"/>
      <c r="I117" s="60"/>
      <c r="J117" s="60"/>
      <c r="K117" s="60"/>
      <c r="L117" s="60"/>
      <c r="M117" s="60"/>
      <c r="N117" s="60"/>
      <c r="O117" s="60"/>
    </row>
    <row r="119" spans="1:28" s="6" customFormat="1" ht="23.25">
      <c r="A119" s="40"/>
      <c r="B119" s="878" t="s">
        <v>70</v>
      </c>
      <c r="C119" s="879"/>
      <c r="D119" s="879"/>
      <c r="E119" s="879"/>
      <c r="F119" s="879"/>
      <c r="G119" s="879"/>
      <c r="H119" s="879"/>
      <c r="I119" s="879"/>
      <c r="J119" s="879"/>
      <c r="K119" s="879"/>
      <c r="L119" s="879"/>
      <c r="M119" s="879"/>
      <c r="N119" s="879"/>
      <c r="O119" s="880"/>
      <c r="P119" s="2890"/>
      <c r="T119" s="2890"/>
      <c r="U119" s="2890"/>
      <c r="V119" s="2890"/>
      <c r="W119" s="2890"/>
      <c r="X119" s="2890"/>
      <c r="Y119" s="2890"/>
      <c r="Z119" s="2890"/>
      <c r="AA119" s="2890"/>
      <c r="AB119" s="2890"/>
    </row>
    <row r="120" spans="1:28">
      <c r="B120" s="110"/>
      <c r="C120" s="67"/>
      <c r="D120" s="67"/>
      <c r="E120" s="67"/>
      <c r="F120" s="67"/>
      <c r="G120" s="67"/>
      <c r="H120" s="67"/>
      <c r="I120" s="67"/>
      <c r="J120" s="67"/>
      <c r="K120" s="67"/>
      <c r="L120" s="67"/>
      <c r="M120" s="67"/>
      <c r="N120" s="67"/>
      <c r="O120" s="885"/>
    </row>
    <row r="121" spans="1:28">
      <c r="B121" s="110"/>
      <c r="C121" s="49" t="s">
        <v>3034</v>
      </c>
      <c r="D121" s="67"/>
      <c r="E121" s="67"/>
      <c r="F121" s="67"/>
      <c r="G121" s="67"/>
      <c r="H121" s="67"/>
      <c r="I121" s="67"/>
      <c r="J121" s="67"/>
      <c r="K121" s="67"/>
      <c r="L121" s="67"/>
      <c r="M121" s="67"/>
      <c r="N121" s="50" t="str">
        <f>Preferences.EnergyUnits</f>
        <v>TWh</v>
      </c>
      <c r="O121" s="885"/>
    </row>
    <row r="122" spans="1:28">
      <c r="B122" s="110"/>
      <c r="C122" s="67"/>
      <c r="D122" s="67"/>
      <c r="E122" s="67"/>
      <c r="F122" s="67"/>
      <c r="G122" s="67"/>
      <c r="H122" s="67"/>
      <c r="I122" s="67"/>
      <c r="J122" s="67"/>
      <c r="K122" s="67"/>
      <c r="L122" s="67"/>
      <c r="M122" s="67"/>
      <c r="N122" s="67"/>
      <c r="O122" s="885"/>
      <c r="T122" s="6"/>
      <c r="U122" s="6"/>
      <c r="V122" s="6"/>
      <c r="W122" s="6"/>
      <c r="X122" s="6"/>
      <c r="Y122" s="6"/>
      <c r="Z122" s="6"/>
      <c r="AA122" s="6"/>
      <c r="AB122" s="6"/>
    </row>
    <row r="123" spans="1:28" ht="15.75">
      <c r="B123" s="2233"/>
      <c r="C123" s="887" t="s">
        <v>28</v>
      </c>
      <c r="D123" s="887" t="s">
        <v>29</v>
      </c>
      <c r="E123" s="887" t="s">
        <v>30</v>
      </c>
      <c r="F123" s="92">
        <v>2013</v>
      </c>
      <c r="G123" s="92">
        <v>2015</v>
      </c>
      <c r="H123" s="92">
        <v>2020</v>
      </c>
      <c r="I123" s="92">
        <v>2025</v>
      </c>
      <c r="J123" s="92">
        <v>2030</v>
      </c>
      <c r="K123" s="92">
        <v>2035</v>
      </c>
      <c r="L123" s="92">
        <v>2040</v>
      </c>
      <c r="M123" s="92">
        <v>2045</v>
      </c>
      <c r="N123" s="92">
        <v>2050</v>
      </c>
      <c r="O123" s="885"/>
    </row>
    <row r="124" spans="1:28" s="6" customFormat="1" ht="15.75">
      <c r="B124" s="3010"/>
      <c r="C124" s="910" t="s">
        <v>97</v>
      </c>
      <c r="D124" s="910" t="s">
        <v>2412</v>
      </c>
      <c r="E124" s="910" t="s">
        <v>65</v>
      </c>
      <c r="F124" s="3011">
        <f>'Irl. Energy Balance 2013 (TWh)'!AK19-'Irl. Energy Balance 2013 (TWh)'!AK12</f>
        <v>-0.24050481566786658</v>
      </c>
      <c r="G124" s="3011">
        <v>0</v>
      </c>
      <c r="H124" s="3011">
        <v>0</v>
      </c>
      <c r="I124" s="3011">
        <v>0</v>
      </c>
      <c r="J124" s="3011">
        <v>0</v>
      </c>
      <c r="K124" s="3011">
        <v>0</v>
      </c>
      <c r="L124" s="3011">
        <v>0</v>
      </c>
      <c r="M124" s="3011">
        <v>0</v>
      </c>
      <c r="N124" s="3011">
        <v>0</v>
      </c>
      <c r="O124" s="893"/>
      <c r="P124" s="2890"/>
      <c r="R124" s="3012"/>
      <c r="S124" s="3013"/>
      <c r="T124" s="2890"/>
      <c r="U124" s="2890"/>
      <c r="V124" s="2890"/>
      <c r="W124" s="2890"/>
      <c r="X124" s="2890"/>
      <c r="Y124" s="2890"/>
      <c r="Z124" s="2890"/>
      <c r="AA124" s="2890"/>
      <c r="AB124" s="2890"/>
    </row>
    <row r="125" spans="1:28" s="6" customFormat="1" ht="15.75">
      <c r="B125" s="3010"/>
      <c r="C125" s="924"/>
      <c r="D125" s="924"/>
      <c r="E125" s="924"/>
      <c r="F125" s="953"/>
      <c r="G125" s="953"/>
      <c r="H125" s="953"/>
      <c r="I125" s="953"/>
      <c r="J125" s="953"/>
      <c r="K125" s="953"/>
      <c r="L125" s="953"/>
      <c r="M125" s="953"/>
      <c r="N125" s="953"/>
      <c r="O125" s="893"/>
      <c r="P125" s="2890"/>
      <c r="R125" s="3012"/>
      <c r="S125" s="3013"/>
      <c r="T125" s="2890"/>
      <c r="U125" s="2890"/>
      <c r="V125" s="2890"/>
      <c r="W125" s="2890"/>
      <c r="X125" s="2890"/>
      <c r="Y125" s="2890"/>
      <c r="Z125" s="2890"/>
      <c r="AA125" s="2890"/>
      <c r="AB125" s="2890"/>
    </row>
    <row r="126" spans="1:28" s="6" customFormat="1" ht="15.75">
      <c r="B126" s="3010"/>
      <c r="C126" s="941" t="s">
        <v>65</v>
      </c>
      <c r="D126" s="924" t="s">
        <v>2413</v>
      </c>
      <c r="E126" s="924"/>
      <c r="F126" s="953"/>
      <c r="G126" s="953"/>
      <c r="H126" s="953"/>
      <c r="I126" s="953"/>
      <c r="J126" s="953"/>
      <c r="K126" s="953"/>
      <c r="L126" s="953"/>
      <c r="M126" s="953"/>
      <c r="N126" s="953"/>
      <c r="O126" s="893"/>
      <c r="P126" s="2890"/>
      <c r="R126" s="3012"/>
      <c r="S126" s="3013"/>
      <c r="T126" s="2890"/>
      <c r="U126" s="2890"/>
      <c r="V126" s="2890"/>
      <c r="W126" s="2890"/>
      <c r="X126" s="2890"/>
      <c r="Y126" s="2890"/>
      <c r="Z126" s="2890"/>
      <c r="AA126" s="2890"/>
      <c r="AB126" s="2890"/>
    </row>
    <row r="127" spans="1:28">
      <c r="B127" s="45"/>
      <c r="C127" s="67"/>
      <c r="D127" s="200"/>
      <c r="E127" s="67"/>
      <c r="F127" s="67"/>
      <c r="G127" s="67"/>
      <c r="H127" s="67"/>
      <c r="I127" s="67"/>
      <c r="J127" s="67"/>
      <c r="K127" s="67"/>
      <c r="L127" s="67"/>
      <c r="M127" s="67"/>
      <c r="N127" s="67"/>
      <c r="O127" s="885"/>
    </row>
    <row r="128" spans="1:28">
      <c r="B128" s="45"/>
      <c r="C128" s="49" t="s">
        <v>2414</v>
      </c>
      <c r="D128" s="200"/>
      <c r="E128" s="67"/>
      <c r="F128" s="67"/>
      <c r="G128" s="67"/>
      <c r="H128" s="67"/>
      <c r="I128" s="67"/>
      <c r="J128" s="67"/>
      <c r="K128" s="67"/>
      <c r="L128" s="67"/>
      <c r="M128" s="67"/>
      <c r="N128" s="67"/>
      <c r="O128" s="67"/>
    </row>
    <row r="129" spans="2:28">
      <c r="B129" s="45"/>
      <c r="C129" s="67"/>
      <c r="D129" s="200"/>
      <c r="E129" s="67"/>
      <c r="F129" s="67"/>
      <c r="G129" s="67"/>
      <c r="H129" s="67"/>
      <c r="I129" s="67"/>
      <c r="J129" s="67"/>
      <c r="K129" s="67"/>
      <c r="L129" s="67"/>
      <c r="M129" s="67"/>
      <c r="N129" s="67"/>
      <c r="O129" s="67"/>
      <c r="T129" s="6"/>
      <c r="U129" s="6"/>
      <c r="V129" s="6"/>
      <c r="W129" s="6"/>
      <c r="X129" s="6"/>
      <c r="Y129" s="6"/>
      <c r="Z129" s="6"/>
      <c r="AA129" s="6"/>
      <c r="AB129" s="6"/>
    </row>
    <row r="130" spans="2:28" ht="15.75">
      <c r="B130" s="2233"/>
      <c r="C130" s="887"/>
      <c r="D130" s="887" t="s">
        <v>29</v>
      </c>
      <c r="E130" s="887" t="s">
        <v>30</v>
      </c>
      <c r="F130" s="909" t="s">
        <v>1492</v>
      </c>
      <c r="G130" s="4160" t="s">
        <v>1491</v>
      </c>
      <c r="H130" s="4160"/>
      <c r="I130" s="3014"/>
      <c r="J130" s="3014"/>
      <c r="K130" s="67"/>
      <c r="L130" s="67"/>
      <c r="M130" s="67"/>
      <c r="N130" s="67"/>
      <c r="O130" s="67"/>
    </row>
    <row r="131" spans="2:28" ht="15.75">
      <c r="B131" s="2233"/>
      <c r="C131" s="2702"/>
      <c r="D131" s="3015" t="s">
        <v>2415</v>
      </c>
      <c r="E131" s="924"/>
      <c r="F131" s="942">
        <v>5</v>
      </c>
      <c r="G131" s="4161" t="s">
        <v>2416</v>
      </c>
      <c r="H131" s="4161"/>
      <c r="I131" s="67"/>
      <c r="J131" s="67"/>
      <c r="K131" s="67"/>
      <c r="L131" s="67"/>
      <c r="M131" s="67"/>
      <c r="N131" s="67"/>
      <c r="O131" s="67"/>
    </row>
    <row r="132" spans="2:28" ht="15.75">
      <c r="B132" s="2233"/>
      <c r="C132" s="924"/>
      <c r="D132" s="3015" t="s">
        <v>2417</v>
      </c>
      <c r="E132" s="924"/>
      <c r="F132" s="942">
        <v>1</v>
      </c>
      <c r="G132" s="4162" t="s">
        <v>2418</v>
      </c>
      <c r="H132" s="4162"/>
      <c r="I132" s="2827"/>
      <c r="J132" s="2827"/>
      <c r="K132" s="2827"/>
      <c r="L132" s="3016"/>
      <c r="M132" s="3017"/>
      <c r="N132" s="944"/>
      <c r="O132" s="67"/>
    </row>
    <row r="133" spans="2:28" ht="15.75">
      <c r="B133" s="2233"/>
      <c r="C133" s="924"/>
      <c r="D133" s="1225" t="s">
        <v>2419</v>
      </c>
      <c r="E133" s="924"/>
      <c r="F133" s="953">
        <v>-1.4</v>
      </c>
      <c r="G133" s="3018" t="s">
        <v>71</v>
      </c>
      <c r="H133" s="3015"/>
      <c r="I133" s="2827"/>
      <c r="J133" s="2827"/>
      <c r="K133" s="2827"/>
      <c r="L133" s="3019"/>
      <c r="M133" s="3019"/>
      <c r="N133" s="3019"/>
      <c r="O133" s="67"/>
    </row>
    <row r="134" spans="2:28" ht="15.75">
      <c r="B134" s="2233"/>
      <c r="C134" s="924"/>
      <c r="D134" s="3015" t="s">
        <v>521</v>
      </c>
      <c r="E134" s="924"/>
      <c r="F134" s="2827">
        <v>-0.83</v>
      </c>
      <c r="G134" s="3020" t="s">
        <v>2420</v>
      </c>
      <c r="H134" s="3015"/>
      <c r="I134" s="2827"/>
      <c r="J134" s="49"/>
      <c r="K134" s="3021"/>
      <c r="L134" s="1095"/>
      <c r="M134" s="1095"/>
      <c r="N134" s="1095"/>
      <c r="O134" s="67"/>
    </row>
    <row r="135" spans="2:28" ht="15.75">
      <c r="B135" s="2233"/>
      <c r="C135" s="924"/>
      <c r="D135" s="3015" t="s">
        <v>523</v>
      </c>
      <c r="E135" s="924"/>
      <c r="F135" s="2827">
        <v>-0.85</v>
      </c>
      <c r="G135" s="3020" t="s">
        <v>2420</v>
      </c>
      <c r="H135" s="3015"/>
      <c r="I135" s="2827"/>
      <c r="J135" s="2827"/>
      <c r="K135" s="3021"/>
      <c r="L135" s="1095"/>
      <c r="M135" s="1095"/>
      <c r="N135" s="1095"/>
      <c r="O135" s="67"/>
    </row>
    <row r="136" spans="2:28" ht="15.75">
      <c r="B136" s="2233"/>
      <c r="C136" s="3022"/>
      <c r="D136" s="924" t="s">
        <v>399</v>
      </c>
      <c r="E136" s="924"/>
      <c r="F136" s="2827">
        <v>-0.43</v>
      </c>
      <c r="G136" s="3020" t="s">
        <v>2420</v>
      </c>
      <c r="H136" s="3023"/>
      <c r="I136" s="2827"/>
      <c r="J136" s="2827"/>
      <c r="K136" s="3024"/>
      <c r="L136" s="1095"/>
      <c r="M136" s="1095"/>
      <c r="N136" s="1095"/>
      <c r="O136" s="67"/>
    </row>
    <row r="137" spans="2:28" ht="15.75">
      <c r="B137" s="2233"/>
      <c r="C137" s="3022"/>
      <c r="D137" s="924" t="s">
        <v>1505</v>
      </c>
      <c r="E137" s="924"/>
      <c r="F137" s="2827">
        <v>-0.8</v>
      </c>
      <c r="G137" s="3020" t="s">
        <v>2420</v>
      </c>
      <c r="H137" s="1066"/>
      <c r="I137" s="2827"/>
      <c r="J137" s="2827"/>
      <c r="K137" s="67"/>
      <c r="L137" s="67"/>
      <c r="M137" s="67"/>
      <c r="N137" s="67"/>
      <c r="O137" s="67"/>
    </row>
    <row r="138" spans="2:28" ht="15.75">
      <c r="B138" s="2233"/>
      <c r="C138" s="3022"/>
      <c r="D138" s="924" t="s">
        <v>1506</v>
      </c>
      <c r="E138" s="924"/>
      <c r="F138" s="2827">
        <v>-0.8</v>
      </c>
      <c r="G138" s="3020" t="s">
        <v>2420</v>
      </c>
      <c r="H138" s="1066"/>
      <c r="I138" s="2827"/>
      <c r="J138" s="2827"/>
      <c r="K138" s="67"/>
      <c r="L138" s="67"/>
      <c r="M138" s="67"/>
      <c r="N138" s="67"/>
      <c r="O138" s="67"/>
    </row>
    <row r="139" spans="2:28" ht="15.75">
      <c r="B139" s="2233"/>
      <c r="C139" s="3025"/>
      <c r="D139" s="957" t="s">
        <v>1507</v>
      </c>
      <c r="E139" s="957"/>
      <c r="F139" s="2830">
        <v>-0.83</v>
      </c>
      <c r="G139" s="3026" t="s">
        <v>2420</v>
      </c>
      <c r="H139" s="3027"/>
      <c r="I139" s="2827"/>
      <c r="J139" s="2827"/>
      <c r="K139" s="67"/>
      <c r="L139" s="67"/>
      <c r="M139" s="67"/>
      <c r="N139" s="67"/>
      <c r="O139" s="67"/>
    </row>
    <row r="140" spans="2:28" ht="15.75">
      <c r="B140" s="2233"/>
      <c r="C140" s="924"/>
      <c r="D140" s="924"/>
      <c r="E140" s="924"/>
      <c r="F140" s="942"/>
      <c r="G140" s="942"/>
      <c r="H140" s="2827"/>
      <c r="I140" s="2827"/>
      <c r="J140" s="2827"/>
      <c r="K140" s="67"/>
      <c r="L140" s="67"/>
      <c r="M140" s="67"/>
      <c r="N140" s="67"/>
      <c r="O140" s="67"/>
    </row>
    <row r="141" spans="2:28" ht="15.75">
      <c r="B141" s="2233"/>
      <c r="C141" s="3028" t="s">
        <v>2421</v>
      </c>
      <c r="D141" s="924"/>
      <c r="E141" s="924"/>
      <c r="F141" s="942"/>
      <c r="G141" s="942"/>
      <c r="H141" s="2827"/>
      <c r="I141" s="2827"/>
      <c r="J141" s="2827"/>
      <c r="K141" s="67"/>
      <c r="L141" s="67"/>
      <c r="M141" s="67"/>
      <c r="N141" s="67"/>
      <c r="O141" s="67"/>
    </row>
    <row r="142" spans="2:28" ht="15.75">
      <c r="B142" s="2233"/>
      <c r="C142" s="3028"/>
      <c r="D142" s="924"/>
      <c r="E142" s="924"/>
      <c r="F142" s="942"/>
      <c r="G142" s="942"/>
      <c r="H142" s="2827"/>
      <c r="I142" s="2827"/>
      <c r="J142" s="2827"/>
      <c r="K142" s="67"/>
      <c r="L142" s="67"/>
      <c r="M142" s="67"/>
      <c r="N142" s="67"/>
      <c r="O142" s="67"/>
    </row>
    <row r="143" spans="2:28" ht="15.75">
      <c r="B143" s="2233"/>
      <c r="C143" s="924"/>
      <c r="D143" s="887" t="s">
        <v>29</v>
      </c>
      <c r="E143" s="887" t="s">
        <v>30</v>
      </c>
      <c r="F143" s="909" t="s">
        <v>1492</v>
      </c>
      <c r="G143" s="887" t="s">
        <v>1491</v>
      </c>
      <c r="H143" s="909"/>
      <c r="I143" s="909"/>
      <c r="J143" s="2827"/>
      <c r="K143" s="67"/>
      <c r="L143" s="67"/>
      <c r="M143" s="67"/>
      <c r="N143" s="67"/>
      <c r="O143" s="67"/>
    </row>
    <row r="144" spans="2:28" ht="15.75">
      <c r="B144" s="2233"/>
      <c r="C144" s="924"/>
      <c r="D144" s="200" t="s">
        <v>1474</v>
      </c>
      <c r="E144" s="67" t="s">
        <v>2116</v>
      </c>
      <c r="F144" s="3029">
        <v>-0.1615</v>
      </c>
      <c r="G144" s="3017" t="s">
        <v>2422</v>
      </c>
      <c r="H144" s="67"/>
      <c r="I144" s="51"/>
      <c r="J144" s="2827"/>
      <c r="K144" s="67"/>
      <c r="L144" s="67"/>
      <c r="M144" s="67"/>
      <c r="N144" s="67"/>
      <c r="O144" s="67"/>
    </row>
    <row r="145" spans="2:28" ht="15.75">
      <c r="B145" s="2233"/>
      <c r="C145" s="924"/>
      <c r="D145" s="200" t="s">
        <v>2423</v>
      </c>
      <c r="E145" s="67" t="s">
        <v>2116</v>
      </c>
      <c r="F145" s="3029">
        <v>-0.1265</v>
      </c>
      <c r="G145" s="3017" t="s">
        <v>2422</v>
      </c>
      <c r="H145" s="67"/>
      <c r="I145" s="51"/>
      <c r="J145" s="2827"/>
      <c r="K145" s="67"/>
      <c r="L145" s="67"/>
      <c r="M145" s="67"/>
      <c r="N145" s="67"/>
      <c r="O145" s="67"/>
    </row>
    <row r="146" spans="2:28">
      <c r="B146" s="45"/>
      <c r="C146" s="67"/>
      <c r="D146" s="3030" t="s">
        <v>2424</v>
      </c>
      <c r="E146" s="978"/>
      <c r="F146" s="3031">
        <v>0.78328173374612997</v>
      </c>
      <c r="G146" s="3032" t="s">
        <v>2425</v>
      </c>
      <c r="H146" s="978"/>
      <c r="I146" s="3033"/>
      <c r="J146" s="67"/>
      <c r="K146" s="67"/>
      <c r="L146" s="67"/>
      <c r="M146" s="67"/>
      <c r="N146" s="67"/>
      <c r="O146" s="67"/>
    </row>
    <row r="147" spans="2:28">
      <c r="B147" s="45"/>
      <c r="C147" s="67"/>
      <c r="D147" s="200"/>
      <c r="E147" s="67"/>
      <c r="F147" s="3034"/>
      <c r="G147" s="67"/>
      <c r="H147" s="67"/>
      <c r="I147" s="51"/>
      <c r="J147" s="67"/>
      <c r="K147" s="67"/>
      <c r="L147" s="67"/>
      <c r="M147" s="67"/>
      <c r="N147" s="67"/>
      <c r="O147" s="67"/>
    </row>
    <row r="148" spans="2:28">
      <c r="B148" s="45"/>
      <c r="C148" s="929" t="s">
        <v>2116</v>
      </c>
      <c r="D148" s="3884" t="s">
        <v>2165</v>
      </c>
      <c r="E148" s="67"/>
      <c r="F148" s="3034"/>
      <c r="G148" s="67"/>
      <c r="H148" s="67"/>
      <c r="I148" s="51"/>
      <c r="J148" s="67"/>
      <c r="K148" s="67"/>
      <c r="L148" s="67"/>
      <c r="M148" s="67"/>
      <c r="N148" s="67"/>
      <c r="O148" s="67"/>
    </row>
    <row r="149" spans="2:28">
      <c r="B149" s="45"/>
      <c r="C149" s="67"/>
      <c r="D149" s="200"/>
      <c r="E149" s="67"/>
      <c r="F149" s="67"/>
      <c r="G149" s="67"/>
      <c r="H149" s="67"/>
      <c r="I149" s="67"/>
      <c r="J149" s="67"/>
      <c r="K149" s="67"/>
      <c r="L149" s="67"/>
      <c r="M149" s="67"/>
      <c r="N149" s="67"/>
      <c r="O149" s="67"/>
    </row>
    <row r="150" spans="2:28">
      <c r="B150" s="45"/>
      <c r="C150" s="49" t="s">
        <v>2426</v>
      </c>
      <c r="D150" s="200"/>
      <c r="E150" s="67"/>
      <c r="F150" s="67"/>
      <c r="G150" s="67"/>
      <c r="H150" s="67"/>
      <c r="I150" s="67"/>
      <c r="J150" s="67"/>
      <c r="K150" s="67"/>
      <c r="L150" s="67"/>
      <c r="M150" s="67"/>
      <c r="N150" s="67"/>
      <c r="O150" s="67"/>
    </row>
    <row r="151" spans="2:28">
      <c r="B151" s="45"/>
      <c r="C151" s="49"/>
      <c r="D151" s="200"/>
      <c r="E151" s="67"/>
      <c r="F151" s="67"/>
      <c r="G151" s="67"/>
      <c r="H151" s="67"/>
      <c r="I151" s="67"/>
      <c r="J151" s="67"/>
      <c r="K151" s="67"/>
      <c r="L151" s="67"/>
      <c r="M151" s="67"/>
      <c r="N151" s="67"/>
      <c r="O151" s="67"/>
    </row>
    <row r="152" spans="2:28">
      <c r="B152" s="45"/>
      <c r="C152" s="67"/>
      <c r="D152" s="887" t="s">
        <v>29</v>
      </c>
      <c r="E152" s="887" t="s">
        <v>30</v>
      </c>
      <c r="F152" s="909" t="s">
        <v>1492</v>
      </c>
      <c r="G152" s="909"/>
      <c r="H152" s="909"/>
      <c r="I152" s="909" t="s">
        <v>1491</v>
      </c>
      <c r="J152" s="67"/>
      <c r="K152" s="67"/>
      <c r="L152" s="67"/>
      <c r="M152" s="67"/>
      <c r="N152" s="67"/>
      <c r="O152" s="67"/>
    </row>
    <row r="153" spans="2:28">
      <c r="B153" s="45"/>
      <c r="C153" s="67"/>
      <c r="D153" s="200" t="s">
        <v>893</v>
      </c>
      <c r="E153" s="67"/>
      <c r="F153" s="1278">
        <v>1</v>
      </c>
      <c r="G153" s="67"/>
      <c r="H153" s="67"/>
      <c r="I153" s="51" t="s">
        <v>2427</v>
      </c>
      <c r="J153" s="67"/>
      <c r="K153" s="67"/>
      <c r="L153" s="67"/>
      <c r="M153" s="67"/>
      <c r="N153" s="67"/>
      <c r="O153" s="67"/>
    </row>
    <row r="154" spans="2:28">
      <c r="B154" s="45"/>
      <c r="C154" s="67"/>
      <c r="D154" s="200" t="s">
        <v>2428</v>
      </c>
      <c r="E154" s="67"/>
      <c r="F154" s="1278">
        <v>0.4</v>
      </c>
      <c r="G154" s="67"/>
      <c r="H154" s="67"/>
      <c r="I154" s="51" t="s">
        <v>2429</v>
      </c>
      <c r="J154" s="67"/>
      <c r="K154" s="67"/>
      <c r="L154" s="67"/>
      <c r="M154" s="67"/>
      <c r="N154" s="67"/>
      <c r="O154" s="67"/>
    </row>
    <row r="155" spans="2:28">
      <c r="B155" s="45"/>
      <c r="C155" s="67"/>
      <c r="D155" s="3030" t="s">
        <v>2430</v>
      </c>
      <c r="E155" s="978"/>
      <c r="F155" s="3036" t="s">
        <v>2431</v>
      </c>
      <c r="G155" s="978"/>
      <c r="H155" s="978"/>
      <c r="I155" s="3033"/>
      <c r="J155" s="67"/>
      <c r="K155" s="67"/>
      <c r="L155" s="67"/>
      <c r="M155" s="67"/>
      <c r="N155" s="67"/>
      <c r="O155" s="67"/>
    </row>
    <row r="156" spans="2:28">
      <c r="B156" s="45"/>
      <c r="C156" s="67"/>
      <c r="D156" s="200"/>
      <c r="E156" s="67"/>
      <c r="F156" s="67"/>
      <c r="G156" s="67"/>
      <c r="H156" s="67"/>
      <c r="I156" s="67" t="s">
        <v>5</v>
      </c>
      <c r="J156" s="67"/>
      <c r="K156" s="67"/>
      <c r="L156" s="67"/>
      <c r="M156" s="67"/>
      <c r="N156" s="67"/>
      <c r="O156" s="67"/>
      <c r="R156" s="1077"/>
      <c r="S156" s="1077"/>
    </row>
    <row r="157" spans="2:28">
      <c r="B157" s="45"/>
      <c r="C157" s="929"/>
      <c r="D157" s="3884" t="s">
        <v>3108</v>
      </c>
      <c r="E157" s="67"/>
      <c r="F157" s="67"/>
      <c r="G157" s="46"/>
      <c r="H157" s="67"/>
      <c r="I157" s="67"/>
      <c r="J157" s="67"/>
      <c r="K157" s="67"/>
      <c r="L157" s="67"/>
      <c r="M157" s="67"/>
      <c r="N157" s="67"/>
      <c r="O157" s="67"/>
      <c r="R157" s="1077"/>
      <c r="S157" s="1077"/>
    </row>
    <row r="158" spans="2:28" s="927" customFormat="1">
      <c r="B158" s="1169"/>
      <c r="C158" s="929"/>
      <c r="D158" s="3884"/>
      <c r="E158" s="67"/>
      <c r="F158" s="67"/>
      <c r="G158" s="46"/>
      <c r="H158" s="931"/>
      <c r="I158" s="931"/>
      <c r="J158" s="931"/>
      <c r="K158" s="931"/>
      <c r="L158" s="931"/>
      <c r="M158" s="931"/>
      <c r="N158" s="931"/>
      <c r="O158" s="931"/>
      <c r="P158" s="2890"/>
      <c r="R158" s="1171"/>
      <c r="S158" s="1171"/>
      <c r="T158" s="2890"/>
      <c r="U158" s="2890"/>
      <c r="V158" s="2890"/>
      <c r="W158" s="2890"/>
      <c r="X158" s="2890"/>
      <c r="Y158" s="2890"/>
      <c r="Z158" s="2890"/>
      <c r="AA158" s="2890"/>
      <c r="AB158" s="2890"/>
    </row>
    <row r="159" spans="2:28" s="927" customFormat="1">
      <c r="B159" s="1169"/>
      <c r="C159" s="1170"/>
      <c r="D159" s="3035"/>
      <c r="E159" s="67"/>
      <c r="F159" s="67"/>
      <c r="G159" s="46"/>
      <c r="H159" s="931"/>
      <c r="I159" s="931"/>
      <c r="J159" s="931"/>
      <c r="K159" s="931"/>
      <c r="L159" s="931"/>
      <c r="M159" s="931"/>
      <c r="N159" s="931"/>
      <c r="O159" s="931"/>
      <c r="P159" s="2890"/>
      <c r="R159" s="1171"/>
      <c r="S159" s="1171"/>
      <c r="T159" s="2890"/>
      <c r="U159" s="2890"/>
      <c r="V159" s="2890"/>
      <c r="W159" s="2890"/>
      <c r="X159" s="2890"/>
      <c r="Y159" s="2890"/>
      <c r="Z159" s="2890"/>
      <c r="AA159" s="2890"/>
      <c r="AB159" s="2890"/>
    </row>
    <row r="160" spans="2:28" ht="15.75">
      <c r="B160" s="2233"/>
      <c r="C160" s="49" t="s">
        <v>2432</v>
      </c>
      <c r="D160" s="67"/>
      <c r="E160" s="51"/>
      <c r="F160" s="67"/>
      <c r="G160" s="67"/>
      <c r="H160" s="60"/>
      <c r="I160" s="60"/>
      <c r="J160" s="60"/>
      <c r="K160" s="60"/>
      <c r="L160" s="60"/>
      <c r="M160" s="60"/>
      <c r="N160" s="60"/>
      <c r="O160" s="885"/>
      <c r="R160" s="2530"/>
      <c r="S160" s="3037"/>
    </row>
    <row r="161" spans="1:19" ht="15.75">
      <c r="B161" s="2233"/>
      <c r="C161" s="67"/>
      <c r="D161" s="67"/>
      <c r="E161" s="67"/>
      <c r="F161" s="67"/>
      <c r="G161" s="67"/>
      <c r="H161" s="60"/>
      <c r="I161" s="60"/>
      <c r="J161" s="60"/>
      <c r="K161" s="60"/>
      <c r="L161" s="60"/>
      <c r="M161" s="60"/>
      <c r="N161" s="60"/>
      <c r="O161" s="885"/>
      <c r="R161" s="1077"/>
      <c r="S161" s="1077"/>
    </row>
    <row r="162" spans="1:19" ht="15.75">
      <c r="B162" s="2233"/>
      <c r="C162" s="887"/>
      <c r="D162" s="887" t="s">
        <v>72</v>
      </c>
      <c r="E162" s="887" t="s">
        <v>30</v>
      </c>
      <c r="F162" s="888">
        <v>2013</v>
      </c>
      <c r="G162" s="92">
        <v>2015</v>
      </c>
      <c r="H162" s="92">
        <v>2020</v>
      </c>
      <c r="I162" s="92">
        <v>2025</v>
      </c>
      <c r="J162" s="92">
        <v>2030</v>
      </c>
      <c r="K162" s="92">
        <v>2035</v>
      </c>
      <c r="L162" s="92">
        <v>2040</v>
      </c>
      <c r="M162" s="92">
        <v>2045</v>
      </c>
      <c r="N162" s="92">
        <v>2050</v>
      </c>
      <c r="O162" s="885"/>
      <c r="R162" s="1077"/>
      <c r="S162" s="207"/>
    </row>
    <row r="163" spans="1:19" ht="15.75">
      <c r="B163" s="2233"/>
      <c r="C163" s="65" t="s">
        <v>556</v>
      </c>
      <c r="D163" s="108" t="s">
        <v>2399</v>
      </c>
      <c r="E163" s="1317"/>
      <c r="F163" s="1317">
        <v>0.9</v>
      </c>
      <c r="G163" s="3358">
        <f>$F163+(((G$162-$F$162)/($O$162-$F$162))*($O163-$F163))</f>
        <v>0.90089418777943375</v>
      </c>
      <c r="H163" s="3358">
        <f t="shared" ref="H163:N165" si="19">$F163+(((H$162-$F$162)/($O$162-$F$162))*($O163-$F163))</f>
        <v>0.90312965722801786</v>
      </c>
      <c r="I163" s="3358">
        <f t="shared" si="19"/>
        <v>0.90536512667660207</v>
      </c>
      <c r="J163" s="3358">
        <f t="shared" si="19"/>
        <v>0.90760059612518629</v>
      </c>
      <c r="K163" s="3358">
        <f t="shared" si="19"/>
        <v>0.9098360655737705</v>
      </c>
      <c r="L163" s="3358">
        <f t="shared" si="19"/>
        <v>0.91207153502235472</v>
      </c>
      <c r="M163" s="3358">
        <f t="shared" si="19"/>
        <v>0.91430700447093893</v>
      </c>
      <c r="N163" s="3358">
        <f t="shared" si="19"/>
        <v>0.91654247391952315</v>
      </c>
      <c r="O163" s="885"/>
      <c r="R163" s="1077"/>
      <c r="S163" s="1077"/>
    </row>
    <row r="164" spans="1:19" ht="15.75">
      <c r="B164" s="2233"/>
      <c r="C164" s="65" t="s">
        <v>556</v>
      </c>
      <c r="D164" s="108" t="s">
        <v>1723</v>
      </c>
      <c r="E164" s="1267"/>
      <c r="F164" s="1267">
        <v>0.8</v>
      </c>
      <c r="G164" s="2600">
        <f>$F164+(((G$162-$F$162)/($O$162-$F$162))*($O164-$F164))</f>
        <v>0.80079483358171888</v>
      </c>
      <c r="H164" s="2600">
        <f t="shared" si="19"/>
        <v>0.80278191753601591</v>
      </c>
      <c r="I164" s="2600">
        <f t="shared" si="19"/>
        <v>0.80476900149031305</v>
      </c>
      <c r="J164" s="2600">
        <f t="shared" si="19"/>
        <v>0.80675608544461008</v>
      </c>
      <c r="K164" s="2600">
        <f t="shared" si="19"/>
        <v>0.80874316939890711</v>
      </c>
      <c r="L164" s="2600">
        <f t="shared" si="19"/>
        <v>0.81073025335320426</v>
      </c>
      <c r="M164" s="2600">
        <f t="shared" si="19"/>
        <v>0.81271733730750129</v>
      </c>
      <c r="N164" s="2600">
        <f t="shared" si="19"/>
        <v>0.81470442126179832</v>
      </c>
      <c r="O164" s="885"/>
      <c r="R164" s="1077"/>
      <c r="S164" s="1077"/>
    </row>
    <row r="165" spans="1:19" ht="15.75">
      <c r="B165" s="2233"/>
      <c r="C165" s="65" t="s">
        <v>556</v>
      </c>
      <c r="D165" s="108" t="s">
        <v>1758</v>
      </c>
      <c r="E165" s="1267"/>
      <c r="F165" s="1267">
        <v>0.9</v>
      </c>
      <c r="G165" s="2600">
        <f>$F165+(((G$162-$F$162)/($O$162-$F$162))*($O165-$F165))</f>
        <v>0.90089418777943375</v>
      </c>
      <c r="H165" s="2600">
        <f t="shared" si="19"/>
        <v>0.90312965722801786</v>
      </c>
      <c r="I165" s="2600">
        <f t="shared" si="19"/>
        <v>0.90536512667660207</v>
      </c>
      <c r="J165" s="2600">
        <f t="shared" si="19"/>
        <v>0.90760059612518629</v>
      </c>
      <c r="K165" s="2600">
        <f t="shared" si="19"/>
        <v>0.9098360655737705</v>
      </c>
      <c r="L165" s="2600">
        <f t="shared" si="19"/>
        <v>0.91207153502235472</v>
      </c>
      <c r="M165" s="2600">
        <f t="shared" si="19"/>
        <v>0.91430700447093893</v>
      </c>
      <c r="N165" s="2600">
        <f t="shared" si="19"/>
        <v>0.91654247391952315</v>
      </c>
      <c r="O165" s="885"/>
      <c r="R165" s="1077"/>
      <c r="S165" s="1077"/>
    </row>
    <row r="166" spans="1:19" ht="15.75">
      <c r="B166" s="2233"/>
      <c r="C166" s="65" t="s">
        <v>553</v>
      </c>
      <c r="D166" s="108" t="s">
        <v>2402</v>
      </c>
      <c r="E166" s="1267"/>
      <c r="F166" s="1267"/>
      <c r="G166" s="3038"/>
      <c r="H166" s="3038"/>
      <c r="I166" s="3038">
        <v>0.77</v>
      </c>
      <c r="J166" s="3038">
        <v>0.9</v>
      </c>
      <c r="K166" s="3038">
        <v>0.9</v>
      </c>
      <c r="L166" s="3038">
        <v>0.9</v>
      </c>
      <c r="M166" s="3038">
        <v>0.9</v>
      </c>
      <c r="N166" s="3038">
        <v>0.9</v>
      </c>
      <c r="O166" s="885"/>
      <c r="R166" s="1077"/>
      <c r="S166" s="1077"/>
    </row>
    <row r="167" spans="1:19" ht="15.75">
      <c r="B167" s="2233"/>
      <c r="C167" s="926" t="s">
        <v>548</v>
      </c>
      <c r="D167" s="199" t="s">
        <v>744</v>
      </c>
      <c r="E167" s="1322"/>
      <c r="F167" s="1322"/>
      <c r="G167" s="147"/>
      <c r="H167" s="147"/>
      <c r="I167" s="147"/>
      <c r="J167" s="147"/>
      <c r="K167" s="147">
        <v>0.8476744186046512</v>
      </c>
      <c r="L167" s="147">
        <v>0.86511627906976751</v>
      </c>
      <c r="M167" s="147">
        <v>0.88255813953488371</v>
      </c>
      <c r="N167" s="147">
        <v>0.9</v>
      </c>
      <c r="O167" s="885"/>
      <c r="R167" s="1077"/>
      <c r="S167" s="1077"/>
    </row>
    <row r="168" spans="1:19" ht="15.75">
      <c r="B168" s="2233"/>
      <c r="C168" s="65"/>
      <c r="D168" s="108"/>
      <c r="E168" s="108"/>
      <c r="F168" s="108"/>
      <c r="G168" s="108"/>
      <c r="H168" s="108"/>
      <c r="I168" s="108"/>
      <c r="J168" s="108"/>
      <c r="K168" s="108"/>
      <c r="L168" s="108"/>
      <c r="M168" s="108"/>
      <c r="N168" s="108"/>
      <c r="O168" s="885"/>
      <c r="R168" s="1077"/>
      <c r="S168" s="1077"/>
    </row>
    <row r="169" spans="1:19" ht="15.75">
      <c r="B169" s="2233"/>
      <c r="C169" s="929"/>
      <c r="D169" s="930"/>
      <c r="E169" s="108"/>
      <c r="F169" s="108"/>
      <c r="G169" s="108"/>
      <c r="H169" s="108"/>
      <c r="I169" s="108"/>
      <c r="J169" s="108"/>
      <c r="K169" s="108"/>
      <c r="L169" s="108"/>
      <c r="M169" s="108"/>
      <c r="N169" s="108"/>
      <c r="O169" s="885"/>
      <c r="R169" s="1077"/>
      <c r="S169" s="1077"/>
    </row>
    <row r="170" spans="1:19">
      <c r="B170" s="1172"/>
      <c r="C170" s="1074"/>
      <c r="D170" s="1074"/>
      <c r="E170" s="1074"/>
      <c r="F170" s="1074"/>
      <c r="G170" s="1074"/>
      <c r="H170" s="1074"/>
      <c r="I170" s="1074"/>
      <c r="J170" s="1074"/>
      <c r="K170" s="1074"/>
      <c r="L170" s="1074"/>
      <c r="M170" s="1074"/>
      <c r="N170" s="1074"/>
      <c r="O170" s="1109"/>
      <c r="R170" s="1077"/>
      <c r="S170" s="1077"/>
    </row>
    <row r="171" spans="1:19">
      <c r="R171" s="1077"/>
      <c r="S171" s="1077"/>
    </row>
    <row r="172" spans="1:19" s="6" customFormat="1" ht="23.25">
      <c r="A172" s="40"/>
      <c r="B172" s="878" t="s">
        <v>2794</v>
      </c>
      <c r="C172" s="879"/>
      <c r="D172" s="879"/>
      <c r="E172" s="879"/>
      <c r="F172" s="879"/>
      <c r="G172" s="879"/>
      <c r="H172" s="879"/>
      <c r="I172" s="879"/>
      <c r="J172" s="879"/>
      <c r="K172" s="879"/>
      <c r="L172" s="879"/>
      <c r="M172" s="879"/>
      <c r="N172" s="879"/>
      <c r="O172" s="880"/>
      <c r="P172" s="2890"/>
      <c r="R172" s="1077"/>
      <c r="S172" s="1077"/>
    </row>
    <row r="173" spans="1:19" hidden="1">
      <c r="B173" s="881"/>
      <c r="C173" s="882"/>
      <c r="D173" s="882"/>
      <c r="E173" s="882"/>
      <c r="F173" s="882"/>
      <c r="G173" s="882"/>
      <c r="H173" s="882"/>
      <c r="I173" s="882"/>
      <c r="J173" s="882"/>
      <c r="K173" s="882"/>
      <c r="L173" s="882"/>
      <c r="M173" s="882"/>
      <c r="N173" s="882"/>
      <c r="O173" s="883"/>
      <c r="R173" s="1077"/>
      <c r="S173" s="1077"/>
    </row>
    <row r="174" spans="1:19" hidden="1">
      <c r="B174" s="110"/>
      <c r="C174" s="49" t="s">
        <v>169</v>
      </c>
      <c r="D174" s="924"/>
      <c r="E174" s="941"/>
      <c r="F174" s="942"/>
      <c r="G174" s="943"/>
      <c r="H174" s="943"/>
      <c r="I174" s="943"/>
      <c r="J174" s="943"/>
      <c r="K174" s="943"/>
      <c r="L174" s="943"/>
      <c r="M174" s="943"/>
      <c r="N174" s="47"/>
      <c r="O174" s="885"/>
      <c r="R174" s="1077"/>
      <c r="S174" s="1077"/>
    </row>
    <row r="175" spans="1:19" hidden="1">
      <c r="B175" s="110"/>
      <c r="C175" s="49"/>
      <c r="D175" s="924"/>
      <c r="E175" s="941"/>
      <c r="F175" s="942"/>
      <c r="G175" s="943"/>
      <c r="H175" s="943"/>
      <c r="I175" s="943"/>
      <c r="J175" s="943"/>
      <c r="K175" s="943"/>
      <c r="L175" s="943"/>
      <c r="M175" s="943"/>
      <c r="N175" s="944"/>
      <c r="O175" s="885"/>
      <c r="R175" s="1077"/>
      <c r="S175" s="1077"/>
    </row>
    <row r="176" spans="1:19" hidden="1">
      <c r="B176" s="110"/>
      <c r="C176" s="3039" t="s">
        <v>22</v>
      </c>
      <c r="D176" s="924"/>
      <c r="E176" s="941"/>
      <c r="F176" s="942"/>
      <c r="G176" s="943"/>
      <c r="H176" s="943"/>
      <c r="I176" s="943"/>
      <c r="J176" s="943"/>
      <c r="K176" s="943"/>
      <c r="L176" s="943"/>
      <c r="M176" s="943"/>
      <c r="N176" s="944" t="s">
        <v>2830</v>
      </c>
      <c r="O176" s="885"/>
      <c r="R176" s="1077"/>
      <c r="S176" s="1077"/>
    </row>
    <row r="177" spans="2:19" hidden="1">
      <c r="B177" s="110"/>
      <c r="C177" s="1179"/>
      <c r="D177" s="1079"/>
      <c r="E177" s="980" t="s">
        <v>160</v>
      </c>
      <c r="F177" s="3040">
        <v>2013</v>
      </c>
      <c r="G177" s="974">
        <v>2015</v>
      </c>
      <c r="H177" s="974">
        <v>2020</v>
      </c>
      <c r="I177" s="974">
        <v>2025</v>
      </c>
      <c r="J177" s="974">
        <v>2030</v>
      </c>
      <c r="K177" s="974">
        <v>2035</v>
      </c>
      <c r="L177" s="974">
        <v>2040</v>
      </c>
      <c r="M177" s="974">
        <v>2045</v>
      </c>
      <c r="N177" s="974">
        <v>2050</v>
      </c>
      <c r="O177" s="885"/>
      <c r="R177" s="1077"/>
      <c r="S177" s="1077"/>
    </row>
    <row r="178" spans="2:19" hidden="1">
      <c r="B178" s="110"/>
      <c r="C178" s="976" t="s">
        <v>2433</v>
      </c>
      <c r="D178" s="1079"/>
      <c r="E178" s="966"/>
      <c r="F178" s="982"/>
      <c r="G178" s="1080"/>
      <c r="H178" s="1080"/>
      <c r="I178" s="1080"/>
      <c r="J178" s="1080"/>
      <c r="K178" s="1080"/>
      <c r="L178" s="1080"/>
      <c r="M178" s="1080"/>
      <c r="N178" s="982"/>
      <c r="O178" s="885"/>
      <c r="R178" s="1077"/>
      <c r="S178" s="1077"/>
    </row>
    <row r="179" spans="2:19" hidden="1">
      <c r="B179" s="110"/>
      <c r="C179" s="952" t="s">
        <v>2434</v>
      </c>
      <c r="D179" s="924"/>
      <c r="E179" s="953"/>
      <c r="F179" s="359"/>
      <c r="G179" s="954"/>
      <c r="H179" s="954"/>
      <c r="I179" s="954"/>
      <c r="J179" s="954"/>
      <c r="K179" s="954"/>
      <c r="L179" s="954"/>
      <c r="M179" s="954"/>
      <c r="N179" s="165"/>
      <c r="O179" s="885"/>
      <c r="Q179" s="39"/>
      <c r="R179" s="39"/>
      <c r="S179" s="39"/>
    </row>
    <row r="180" spans="2:19" hidden="1">
      <c r="B180" s="110"/>
      <c r="C180" s="956" t="s">
        <v>2435</v>
      </c>
      <c r="D180" s="957"/>
      <c r="E180" s="958"/>
      <c r="F180" s="959"/>
      <c r="G180" s="959"/>
      <c r="H180" s="959"/>
      <c r="I180" s="959"/>
      <c r="J180" s="959"/>
      <c r="K180" s="959"/>
      <c r="L180" s="959"/>
      <c r="M180" s="959"/>
      <c r="N180" s="959"/>
      <c r="O180" s="885"/>
      <c r="Q180" s="39"/>
      <c r="R180" s="39"/>
      <c r="S180" s="39"/>
    </row>
    <row r="181" spans="2:19" hidden="1">
      <c r="B181" s="110"/>
      <c r="C181" s="952"/>
      <c r="D181" s="924"/>
      <c r="E181" s="953"/>
      <c r="F181" s="359"/>
      <c r="G181" s="954"/>
      <c r="H181" s="954"/>
      <c r="I181" s="954"/>
      <c r="J181" s="954"/>
      <c r="K181" s="954"/>
      <c r="L181" s="954"/>
      <c r="M181" s="954"/>
      <c r="N181" s="359"/>
      <c r="O181" s="885"/>
      <c r="Q181" s="39"/>
      <c r="R181" s="39"/>
      <c r="S181" s="39"/>
    </row>
    <row r="182" spans="2:19" hidden="1">
      <c r="B182" s="110"/>
      <c r="C182" s="3039" t="s">
        <v>161</v>
      </c>
      <c r="D182" s="924"/>
      <c r="E182" s="941"/>
      <c r="F182" s="942"/>
      <c r="G182" s="943"/>
      <c r="H182" s="943"/>
      <c r="I182" s="943"/>
      <c r="J182" s="943"/>
      <c r="K182" s="943"/>
      <c r="L182" s="943"/>
      <c r="M182" s="943"/>
      <c r="N182" s="944" t="s">
        <v>2830</v>
      </c>
      <c r="O182" s="885"/>
      <c r="Q182" s="39"/>
      <c r="R182" s="39"/>
      <c r="S182" s="39"/>
    </row>
    <row r="183" spans="2:19" hidden="1">
      <c r="B183" s="110"/>
      <c r="C183" s="1179"/>
      <c r="D183" s="1079"/>
      <c r="E183" s="980" t="s">
        <v>160</v>
      </c>
      <c r="F183" s="3040">
        <v>2013</v>
      </c>
      <c r="G183" s="974">
        <v>2015</v>
      </c>
      <c r="H183" s="974">
        <v>2020</v>
      </c>
      <c r="I183" s="974">
        <v>2025</v>
      </c>
      <c r="J183" s="974">
        <v>2030</v>
      </c>
      <c r="K183" s="974">
        <v>2035</v>
      </c>
      <c r="L183" s="974">
        <v>2040</v>
      </c>
      <c r="M183" s="974">
        <v>2045</v>
      </c>
      <c r="N183" s="974">
        <v>2050</v>
      </c>
      <c r="O183" s="885"/>
      <c r="Q183" s="39"/>
      <c r="R183" s="39"/>
      <c r="S183" s="39"/>
    </row>
    <row r="184" spans="2:19" hidden="1">
      <c r="B184" s="110"/>
      <c r="C184" s="976" t="s">
        <v>2433</v>
      </c>
      <c r="D184" s="1079"/>
      <c r="E184" s="966"/>
      <c r="F184" s="3041"/>
      <c r="G184" s="1080"/>
      <c r="H184" s="1080"/>
      <c r="I184" s="1080"/>
      <c r="J184" s="1080"/>
      <c r="K184" s="1080"/>
      <c r="L184" s="1080"/>
      <c r="M184" s="1080"/>
      <c r="N184" s="3041"/>
      <c r="O184" s="885"/>
      <c r="Q184" s="39"/>
      <c r="R184" s="39"/>
      <c r="S184" s="39"/>
    </row>
    <row r="185" spans="2:19" ht="15.75" hidden="1">
      <c r="B185" s="110"/>
      <c r="C185" s="952" t="s">
        <v>2434</v>
      </c>
      <c r="D185" s="924"/>
      <c r="E185" s="953"/>
      <c r="F185" s="165"/>
      <c r="G185" s="954"/>
      <c r="H185" s="954"/>
      <c r="I185" s="954"/>
      <c r="J185" s="954"/>
      <c r="K185" s="954"/>
      <c r="L185" s="954"/>
      <c r="M185" s="954"/>
      <c r="N185" s="165"/>
      <c r="O185" s="885"/>
      <c r="Q185" s="3042"/>
      <c r="R185" s="39"/>
      <c r="S185" s="39"/>
    </row>
    <row r="186" spans="2:19" hidden="1">
      <c r="B186" s="110"/>
      <c r="C186" s="956" t="s">
        <v>2435</v>
      </c>
      <c r="D186" s="957"/>
      <c r="E186" s="958"/>
      <c r="F186" s="959"/>
      <c r="G186" s="959"/>
      <c r="H186" s="959"/>
      <c r="I186" s="959"/>
      <c r="J186" s="959"/>
      <c r="K186" s="959"/>
      <c r="L186" s="959"/>
      <c r="M186" s="959"/>
      <c r="N186" s="959"/>
      <c r="O186" s="885"/>
      <c r="Q186" s="39"/>
      <c r="R186" s="39"/>
      <c r="S186" s="39"/>
    </row>
    <row r="187" spans="2:19" hidden="1">
      <c r="B187" s="110"/>
      <c r="C187" s="952"/>
      <c r="D187" s="924"/>
      <c r="E187" s="953"/>
      <c r="F187" s="359"/>
      <c r="G187" s="954"/>
      <c r="H187" s="954"/>
      <c r="I187" s="954"/>
      <c r="J187" s="954"/>
      <c r="K187" s="954"/>
      <c r="L187" s="954"/>
      <c r="M187" s="954"/>
      <c r="N187" s="359"/>
      <c r="O187" s="885"/>
      <c r="Q187" s="39"/>
      <c r="R187" s="39"/>
      <c r="S187" s="39"/>
    </row>
    <row r="188" spans="2:19" hidden="1">
      <c r="B188" s="110"/>
      <c r="C188" s="3039" t="s">
        <v>20</v>
      </c>
      <c r="D188" s="924"/>
      <c r="E188" s="941"/>
      <c r="F188" s="942"/>
      <c r="G188" s="943"/>
      <c r="H188" s="943"/>
      <c r="I188" s="943"/>
      <c r="J188" s="943"/>
      <c r="K188" s="943"/>
      <c r="L188" s="943"/>
      <c r="M188" s="943"/>
      <c r="N188" s="944" t="s">
        <v>2830</v>
      </c>
      <c r="O188" s="885"/>
      <c r="Q188" s="39"/>
      <c r="R188" s="39"/>
      <c r="S188" s="39"/>
    </row>
    <row r="189" spans="2:19" hidden="1">
      <c r="B189" s="110"/>
      <c r="C189" s="1179"/>
      <c r="D189" s="1079"/>
      <c r="E189" s="980" t="s">
        <v>160</v>
      </c>
      <c r="F189" s="3040">
        <v>2013</v>
      </c>
      <c r="G189" s="974">
        <v>2015</v>
      </c>
      <c r="H189" s="974">
        <v>2020</v>
      </c>
      <c r="I189" s="974">
        <v>2025</v>
      </c>
      <c r="J189" s="974">
        <v>2030</v>
      </c>
      <c r="K189" s="974">
        <v>2035</v>
      </c>
      <c r="L189" s="974">
        <v>2040</v>
      </c>
      <c r="M189" s="974">
        <v>2045</v>
      </c>
      <c r="N189" s="974">
        <v>2050</v>
      </c>
      <c r="O189" s="885"/>
      <c r="Q189" s="39"/>
      <c r="R189" s="39"/>
      <c r="S189" s="39"/>
    </row>
    <row r="190" spans="2:19" hidden="1">
      <c r="B190" s="110"/>
      <c r="C190" s="976" t="s">
        <v>2433</v>
      </c>
      <c r="D190" s="1079"/>
      <c r="E190" s="966"/>
      <c r="F190" s="982"/>
      <c r="G190" s="1080"/>
      <c r="H190" s="1080"/>
      <c r="I190" s="1080"/>
      <c r="J190" s="1080"/>
      <c r="K190" s="1080"/>
      <c r="L190" s="1080"/>
      <c r="M190" s="1080"/>
      <c r="N190" s="982"/>
      <c r="O190" s="885"/>
      <c r="Q190" s="39"/>
      <c r="R190" s="39"/>
      <c r="S190" s="39"/>
    </row>
    <row r="191" spans="2:19" hidden="1">
      <c r="B191" s="110"/>
      <c r="C191" s="952" t="s">
        <v>2434</v>
      </c>
      <c r="D191" s="924"/>
      <c r="E191" s="953"/>
      <c r="F191" s="165"/>
      <c r="G191" s="954"/>
      <c r="H191" s="954"/>
      <c r="I191" s="954"/>
      <c r="J191" s="954"/>
      <c r="K191" s="954"/>
      <c r="L191" s="954"/>
      <c r="M191" s="954"/>
      <c r="N191" s="165"/>
      <c r="O191" s="885"/>
      <c r="Q191" s="39"/>
      <c r="R191" s="39"/>
      <c r="S191" s="39"/>
    </row>
    <row r="192" spans="2:19" hidden="1">
      <c r="B192" s="110"/>
      <c r="C192" s="956" t="s">
        <v>2435</v>
      </c>
      <c r="D192" s="957"/>
      <c r="E192" s="958"/>
      <c r="F192" s="959"/>
      <c r="G192" s="959"/>
      <c r="H192" s="959"/>
      <c r="I192" s="959"/>
      <c r="J192" s="959"/>
      <c r="K192" s="959"/>
      <c r="L192" s="959"/>
      <c r="M192" s="959"/>
      <c r="N192" s="959"/>
      <c r="O192" s="885"/>
      <c r="Q192" s="39"/>
      <c r="R192" s="39"/>
      <c r="S192" s="39"/>
    </row>
    <row r="193" spans="2:19" hidden="1">
      <c r="B193" s="67"/>
      <c r="C193" s="952"/>
      <c r="D193" s="924"/>
      <c r="E193" s="953"/>
      <c r="F193" s="359"/>
      <c r="G193" s="954"/>
      <c r="H193" s="954"/>
      <c r="I193" s="954"/>
      <c r="J193" s="954"/>
      <c r="K193" s="954"/>
      <c r="L193" s="954"/>
      <c r="M193" s="954"/>
      <c r="N193" s="359"/>
      <c r="O193" s="885"/>
      <c r="Q193" s="39"/>
      <c r="R193" s="39"/>
      <c r="S193" s="39"/>
    </row>
    <row r="194" spans="2:19" hidden="1">
      <c r="B194" s="67"/>
      <c r="C194" s="151" t="s">
        <v>173</v>
      </c>
      <c r="D194" s="924"/>
      <c r="E194" s="953"/>
      <c r="F194" s="359"/>
      <c r="G194" s="954"/>
      <c r="H194" s="954"/>
      <c r="I194" s="954"/>
      <c r="J194" s="954"/>
      <c r="K194" s="954"/>
      <c r="L194" s="954"/>
      <c r="M194" s="954"/>
      <c r="N194" s="359"/>
      <c r="O194" s="885"/>
      <c r="Q194" s="39"/>
      <c r="R194" s="39"/>
      <c r="S194" s="39"/>
    </row>
    <row r="195" spans="2:19" hidden="1">
      <c r="B195" s="67"/>
      <c r="C195" s="151"/>
      <c r="D195" s="924"/>
      <c r="E195" s="953"/>
      <c r="F195" s="359"/>
      <c r="G195" s="954"/>
      <c r="H195" s="954"/>
      <c r="I195" s="954"/>
      <c r="J195" s="954"/>
      <c r="K195" s="954"/>
      <c r="L195" s="954"/>
      <c r="M195" s="954"/>
      <c r="N195" s="359"/>
      <c r="O195" s="885"/>
      <c r="Q195" s="39"/>
      <c r="R195" s="39"/>
      <c r="S195" s="39"/>
    </row>
    <row r="196" spans="2:19" hidden="1">
      <c r="B196" s="67"/>
      <c r="C196" s="3039" t="s">
        <v>22</v>
      </c>
      <c r="D196" s="924"/>
      <c r="E196" s="953"/>
      <c r="F196" s="359"/>
      <c r="G196" s="954"/>
      <c r="H196" s="954"/>
      <c r="I196" s="954"/>
      <c r="J196" s="954"/>
      <c r="K196" s="954"/>
      <c r="L196" s="954"/>
      <c r="M196" s="954"/>
      <c r="N196" s="944" t="s">
        <v>2830</v>
      </c>
      <c r="O196" s="885"/>
      <c r="Q196" s="39"/>
      <c r="R196" s="39"/>
      <c r="S196" s="39"/>
    </row>
    <row r="197" spans="2:19" hidden="1">
      <c r="B197" s="67"/>
      <c r="C197" s="1179"/>
      <c r="D197" s="1079"/>
      <c r="E197" s="980" t="s">
        <v>160</v>
      </c>
      <c r="F197" s="3040">
        <v>2013</v>
      </c>
      <c r="G197" s="974">
        <v>2015</v>
      </c>
      <c r="H197" s="974">
        <v>2020</v>
      </c>
      <c r="I197" s="974">
        <v>2025</v>
      </c>
      <c r="J197" s="974">
        <v>2030</v>
      </c>
      <c r="K197" s="974">
        <v>2035</v>
      </c>
      <c r="L197" s="974">
        <v>2040</v>
      </c>
      <c r="M197" s="974">
        <v>2045</v>
      </c>
      <c r="N197" s="974">
        <v>2050</v>
      </c>
      <c r="O197" s="67"/>
      <c r="Q197" s="39"/>
      <c r="R197" s="3043"/>
      <c r="S197" s="3043"/>
    </row>
    <row r="198" spans="2:19" hidden="1">
      <c r="B198" s="67"/>
      <c r="C198" s="976" t="s">
        <v>2433</v>
      </c>
      <c r="D198" s="1079"/>
      <c r="E198" s="966"/>
      <c r="F198" s="2747"/>
      <c r="G198" s="1080"/>
      <c r="H198" s="1080"/>
      <c r="I198" s="1080"/>
      <c r="J198" s="1080"/>
      <c r="K198" s="1080"/>
      <c r="L198" s="1080"/>
      <c r="M198" s="1080"/>
      <c r="N198" s="2747"/>
      <c r="O198" s="67"/>
      <c r="Q198" s="39"/>
      <c r="R198" s="2615"/>
      <c r="S198" s="3044"/>
    </row>
    <row r="199" spans="2:19" hidden="1">
      <c r="B199" s="67"/>
      <c r="C199" s="952" t="s">
        <v>2434</v>
      </c>
      <c r="D199" s="67"/>
      <c r="E199" s="953"/>
      <c r="F199" s="165"/>
      <c r="G199" s="954"/>
      <c r="H199" s="954"/>
      <c r="I199" s="954"/>
      <c r="J199" s="954"/>
      <c r="K199" s="954"/>
      <c r="L199" s="954"/>
      <c r="M199" s="954"/>
      <c r="N199" s="165"/>
      <c r="O199" s="67"/>
      <c r="Q199" s="39"/>
      <c r="R199" s="2615"/>
      <c r="S199" s="3044"/>
    </row>
    <row r="200" spans="2:19" hidden="1">
      <c r="B200" s="67"/>
      <c r="C200" s="956" t="s">
        <v>2435</v>
      </c>
      <c r="D200" s="957"/>
      <c r="E200" s="958"/>
      <c r="F200" s="959"/>
      <c r="G200" s="959"/>
      <c r="H200" s="959"/>
      <c r="I200" s="959"/>
      <c r="J200" s="959"/>
      <c r="K200" s="959"/>
      <c r="L200" s="959"/>
      <c r="M200" s="959"/>
      <c r="N200" s="959"/>
      <c r="O200" s="67"/>
      <c r="Q200" s="39"/>
      <c r="R200" s="2615"/>
      <c r="S200" s="3044"/>
    </row>
    <row r="201" spans="2:19" hidden="1">
      <c r="B201" s="67"/>
      <c r="C201" s="952"/>
      <c r="D201" s="924"/>
      <c r="E201" s="953"/>
      <c r="F201" s="67"/>
      <c r="G201" s="954"/>
      <c r="H201" s="954"/>
      <c r="I201" s="954"/>
      <c r="J201" s="954"/>
      <c r="K201" s="954"/>
      <c r="L201" s="954"/>
      <c r="M201" s="954"/>
      <c r="N201" s="359"/>
      <c r="O201" s="67"/>
      <c r="Q201" s="39"/>
      <c r="R201" s="39"/>
      <c r="S201" s="39"/>
    </row>
    <row r="202" spans="2:19" hidden="1">
      <c r="B202" s="67"/>
      <c r="C202" s="3039" t="s">
        <v>161</v>
      </c>
      <c r="D202" s="924"/>
      <c r="E202" s="953"/>
      <c r="F202" s="359"/>
      <c r="G202" s="954"/>
      <c r="H202" s="954"/>
      <c r="I202" s="954"/>
      <c r="J202" s="954"/>
      <c r="K202" s="954"/>
      <c r="L202" s="954"/>
      <c r="M202" s="954"/>
      <c r="N202" s="944" t="s">
        <v>2830</v>
      </c>
      <c r="O202" s="67"/>
      <c r="Q202" s="39"/>
      <c r="R202" s="39"/>
      <c r="S202" s="39"/>
    </row>
    <row r="203" spans="2:19" hidden="1">
      <c r="B203" s="110"/>
      <c r="C203" s="961"/>
      <c r="D203" s="962"/>
      <c r="E203" s="963" t="s">
        <v>160</v>
      </c>
      <c r="F203" s="3045">
        <v>2013</v>
      </c>
      <c r="G203" s="965">
        <v>2015</v>
      </c>
      <c r="H203" s="965">
        <v>2020</v>
      </c>
      <c r="I203" s="965">
        <v>2025</v>
      </c>
      <c r="J203" s="965">
        <v>2030</v>
      </c>
      <c r="K203" s="965">
        <v>2035</v>
      </c>
      <c r="L203" s="965">
        <v>2040</v>
      </c>
      <c r="M203" s="965">
        <v>2045</v>
      </c>
      <c r="N203" s="965">
        <v>2050</v>
      </c>
      <c r="O203" s="885"/>
      <c r="Q203" s="39"/>
      <c r="R203" s="39"/>
      <c r="S203" s="39"/>
    </row>
    <row r="204" spans="2:19" hidden="1">
      <c r="B204" s="67"/>
      <c r="C204" s="952" t="s">
        <v>2433</v>
      </c>
      <c r="D204" s="924"/>
      <c r="E204" s="966"/>
      <c r="F204" s="3041"/>
      <c r="G204" s="3041"/>
      <c r="H204" s="3041"/>
      <c r="I204" s="3041"/>
      <c r="J204" s="3041"/>
      <c r="K204" s="3041"/>
      <c r="L204" s="3041"/>
      <c r="M204" s="3041"/>
      <c r="N204" s="3041"/>
      <c r="O204" s="885"/>
      <c r="Q204" s="39"/>
      <c r="R204" s="39"/>
      <c r="S204" s="39"/>
    </row>
    <row r="205" spans="2:19" ht="15.75" hidden="1">
      <c r="B205" s="67"/>
      <c r="C205" s="952" t="s">
        <v>2434</v>
      </c>
      <c r="D205" s="67"/>
      <c r="E205" s="953"/>
      <c r="F205" s="165"/>
      <c r="G205" s="954"/>
      <c r="H205" s="954"/>
      <c r="I205" s="954"/>
      <c r="J205" s="954"/>
      <c r="K205" s="954"/>
      <c r="L205" s="954"/>
      <c r="M205" s="954"/>
      <c r="N205" s="165"/>
      <c r="O205" s="885"/>
      <c r="Q205" s="3042"/>
      <c r="R205" s="39"/>
      <c r="S205" s="39"/>
    </row>
    <row r="206" spans="2:19" hidden="1">
      <c r="B206" s="67"/>
      <c r="C206" s="956" t="s">
        <v>2435</v>
      </c>
      <c r="D206" s="957"/>
      <c r="E206" s="958"/>
      <c r="F206" s="361"/>
      <c r="G206" s="361"/>
      <c r="H206" s="361"/>
      <c r="I206" s="361"/>
      <c r="J206" s="361"/>
      <c r="K206" s="361"/>
      <c r="L206" s="361"/>
      <c r="M206" s="361"/>
      <c r="N206" s="361"/>
      <c r="O206" s="885"/>
      <c r="Q206" s="39"/>
      <c r="R206" s="39"/>
      <c r="S206" s="39"/>
    </row>
    <row r="207" spans="2:19" hidden="1">
      <c r="B207" s="67"/>
      <c r="C207" s="952"/>
      <c r="D207" s="924"/>
      <c r="E207" s="953"/>
      <c r="F207" s="359"/>
      <c r="G207" s="954"/>
      <c r="H207" s="954"/>
      <c r="I207" s="954"/>
      <c r="J207" s="954"/>
      <c r="K207" s="954"/>
      <c r="L207" s="954"/>
      <c r="M207" s="954"/>
      <c r="N207" s="359"/>
      <c r="O207" s="885"/>
      <c r="Q207" s="39"/>
      <c r="R207" s="39"/>
      <c r="S207" s="39"/>
    </row>
    <row r="208" spans="2:19" hidden="1">
      <c r="B208" s="67"/>
      <c r="C208" s="3039" t="s">
        <v>20</v>
      </c>
      <c r="D208" s="924"/>
      <c r="E208" s="953"/>
      <c r="F208" s="359"/>
      <c r="G208" s="954"/>
      <c r="H208" s="954"/>
      <c r="I208" s="954"/>
      <c r="J208" s="954"/>
      <c r="K208" s="954"/>
      <c r="L208" s="954"/>
      <c r="M208" s="954"/>
      <c r="N208" s="944" t="s">
        <v>2830</v>
      </c>
      <c r="O208" s="885"/>
      <c r="Q208" s="39"/>
      <c r="R208" s="39"/>
      <c r="S208" s="39"/>
    </row>
    <row r="209" spans="2:19" hidden="1">
      <c r="B209" s="67"/>
      <c r="C209" s="961"/>
      <c r="D209" s="1079"/>
      <c r="E209" s="980" t="s">
        <v>160</v>
      </c>
      <c r="F209" s="3040">
        <v>2013</v>
      </c>
      <c r="G209" s="965">
        <v>2015</v>
      </c>
      <c r="H209" s="965">
        <v>2020</v>
      </c>
      <c r="I209" s="965">
        <v>2025</v>
      </c>
      <c r="J209" s="965">
        <v>2030</v>
      </c>
      <c r="K209" s="965">
        <v>2035</v>
      </c>
      <c r="L209" s="965">
        <v>2040</v>
      </c>
      <c r="M209" s="965">
        <v>2045</v>
      </c>
      <c r="N209" s="965">
        <v>2050</v>
      </c>
      <c r="O209" s="885"/>
      <c r="Q209" s="39"/>
      <c r="R209" s="39"/>
      <c r="S209" s="39"/>
    </row>
    <row r="210" spans="2:19" hidden="1">
      <c r="B210" s="67"/>
      <c r="C210" s="952" t="s">
        <v>2433</v>
      </c>
      <c r="D210" s="1079"/>
      <c r="E210" s="966"/>
      <c r="F210" s="2747"/>
      <c r="G210" s="1080"/>
      <c r="H210" s="1080"/>
      <c r="I210" s="1080"/>
      <c r="J210" s="1080"/>
      <c r="K210" s="1080"/>
      <c r="L210" s="1080"/>
      <c r="M210" s="1080"/>
      <c r="N210" s="2747"/>
      <c r="O210" s="885"/>
      <c r="Q210" s="39"/>
      <c r="R210" s="39"/>
      <c r="S210" s="39"/>
    </row>
    <row r="211" spans="2:19" hidden="1">
      <c r="B211" s="67"/>
      <c r="C211" s="952" t="s">
        <v>2434</v>
      </c>
      <c r="D211" s="67"/>
      <c r="E211" s="953"/>
      <c r="F211" s="165"/>
      <c r="G211" s="954"/>
      <c r="H211" s="954"/>
      <c r="I211" s="954"/>
      <c r="J211" s="954"/>
      <c r="K211" s="954"/>
      <c r="L211" s="954"/>
      <c r="M211" s="954"/>
      <c r="N211" s="165"/>
      <c r="O211" s="885"/>
      <c r="Q211" s="39"/>
      <c r="R211" s="39"/>
      <c r="S211" s="39"/>
    </row>
    <row r="212" spans="2:19" hidden="1">
      <c r="B212" s="67"/>
      <c r="C212" s="956" t="s">
        <v>2435</v>
      </c>
      <c r="D212" s="957"/>
      <c r="E212" s="958"/>
      <c r="F212" s="959"/>
      <c r="G212" s="959"/>
      <c r="H212" s="959"/>
      <c r="I212" s="959"/>
      <c r="J212" s="959"/>
      <c r="K212" s="959"/>
      <c r="L212" s="959"/>
      <c r="M212" s="959"/>
      <c r="N212" s="959"/>
      <c r="O212" s="885"/>
      <c r="Q212" s="39"/>
      <c r="R212" s="39"/>
      <c r="S212" s="39"/>
    </row>
    <row r="213" spans="2:19" hidden="1">
      <c r="B213" s="67"/>
      <c r="C213" s="952"/>
      <c r="D213" s="924"/>
      <c r="E213" s="953"/>
      <c r="F213" s="359"/>
      <c r="G213" s="954"/>
      <c r="H213" s="954"/>
      <c r="I213" s="954"/>
      <c r="J213" s="954"/>
      <c r="K213" s="954"/>
      <c r="L213" s="954"/>
      <c r="M213" s="954"/>
      <c r="N213" s="359"/>
      <c r="O213" s="885"/>
      <c r="Q213" s="39"/>
      <c r="R213" s="39"/>
      <c r="S213" s="39"/>
    </row>
    <row r="214" spans="2:19">
      <c r="B214" s="1077"/>
      <c r="C214" s="2557"/>
      <c r="D214" s="521"/>
      <c r="E214" s="2558"/>
      <c r="F214" s="2615"/>
      <c r="G214" s="2559"/>
      <c r="H214" s="2559"/>
      <c r="I214" s="2559"/>
      <c r="J214" s="2559"/>
      <c r="K214" s="2559"/>
      <c r="L214" s="2559"/>
      <c r="M214" s="2559"/>
      <c r="N214" s="2615"/>
      <c r="O214" s="1077"/>
      <c r="Q214" s="39"/>
      <c r="R214" s="39"/>
      <c r="S214" s="39"/>
    </row>
    <row r="215" spans="2:19" ht="15.75">
      <c r="B215" s="2186" t="s">
        <v>178</v>
      </c>
      <c r="C215" s="3046"/>
      <c r="D215" s="2187"/>
      <c r="E215" s="2187"/>
      <c r="F215" s="2187"/>
      <c r="G215" s="2187"/>
      <c r="H215" s="2187"/>
      <c r="I215" s="2187"/>
      <c r="J215" s="2187"/>
      <c r="K215" s="2187"/>
      <c r="L215" s="2187"/>
      <c r="M215" s="2187"/>
      <c r="N215" s="2187"/>
      <c r="O215" s="2188"/>
      <c r="Q215" s="859"/>
      <c r="R215" s="39"/>
      <c r="S215" s="39"/>
    </row>
    <row r="216" spans="2:19" s="39" customFormat="1">
      <c r="B216" s="955"/>
      <c r="C216" s="1057"/>
      <c r="D216" s="1057"/>
      <c r="E216" s="1057"/>
      <c r="F216" s="1057"/>
      <c r="G216" s="1057"/>
      <c r="H216" s="1057"/>
      <c r="I216" s="1057"/>
      <c r="J216" s="1057"/>
      <c r="K216" s="1057"/>
      <c r="L216" s="1057"/>
      <c r="M216" s="1057"/>
      <c r="N216" s="1057"/>
      <c r="O216" s="1057"/>
      <c r="P216" s="2890"/>
      <c r="Q216" s="859"/>
    </row>
    <row r="217" spans="2:19" s="39" customFormat="1">
      <c r="B217" s="110"/>
      <c r="C217" s="49" t="s">
        <v>2436</v>
      </c>
      <c r="D217" s="67"/>
      <c r="E217" s="67"/>
      <c r="F217" s="67"/>
      <c r="G217" s="67"/>
      <c r="H217" s="67"/>
      <c r="I217" s="67"/>
      <c r="J217" s="67"/>
      <c r="K217" s="67"/>
      <c r="L217" s="67"/>
      <c r="M217" s="67"/>
      <c r="N217" s="51" t="str">
        <f>Preferences.PowerUnits&amp;"_e"</f>
        <v>GW_e</v>
      </c>
      <c r="O217" s="885"/>
      <c r="P217" s="2890"/>
    </row>
    <row r="218" spans="2:19" s="39" customFormat="1">
      <c r="B218" s="110"/>
      <c r="C218" s="49"/>
      <c r="D218" s="67"/>
      <c r="E218" s="67"/>
      <c r="F218" s="67"/>
      <c r="G218" s="67"/>
      <c r="H218" s="67"/>
      <c r="I218" s="67"/>
      <c r="J218" s="67"/>
      <c r="K218" s="67"/>
      <c r="L218" s="67"/>
      <c r="M218" s="67"/>
      <c r="N218" s="67"/>
      <c r="O218" s="885"/>
      <c r="P218" s="2890"/>
    </row>
    <row r="219" spans="2:19" s="39" customFormat="1">
      <c r="B219" s="110"/>
      <c r="C219" s="887" t="s">
        <v>8</v>
      </c>
      <c r="D219" s="887" t="s">
        <v>72</v>
      </c>
      <c r="E219" s="887" t="s">
        <v>30</v>
      </c>
      <c r="F219" s="888">
        <v>2013</v>
      </c>
      <c r="G219" s="92">
        <v>2015</v>
      </c>
      <c r="H219" s="92">
        <v>2020</v>
      </c>
      <c r="I219" s="92">
        <v>2025</v>
      </c>
      <c r="J219" s="92">
        <v>2030</v>
      </c>
      <c r="K219" s="92">
        <v>2035</v>
      </c>
      <c r="L219" s="92">
        <v>2040</v>
      </c>
      <c r="M219" s="92">
        <v>2045</v>
      </c>
      <c r="N219" s="92">
        <v>2050</v>
      </c>
      <c r="O219" s="885"/>
      <c r="P219" s="2890"/>
    </row>
    <row r="220" spans="2:19" s="39" customFormat="1">
      <c r="B220" s="110"/>
      <c r="C220" s="65" t="s">
        <v>556</v>
      </c>
      <c r="D220" s="108" t="s">
        <v>2399</v>
      </c>
      <c r="E220" s="1034"/>
      <c r="F220" s="2672">
        <f t="shared" ref="F220:N224" ca="1" si="20">MAX(F163-F57,0)*F47</f>
        <v>1.7967181050611716</v>
      </c>
      <c r="G220" s="2672">
        <f t="shared" ca="1" si="20"/>
        <v>1.8552160002472193</v>
      </c>
      <c r="H220" s="2672">
        <f t="shared" ca="1" si="20"/>
        <v>1.1059190644249584</v>
      </c>
      <c r="I220" s="2672">
        <f t="shared" ca="1" si="20"/>
        <v>0.61171228656325105</v>
      </c>
      <c r="J220" s="2672">
        <f t="shared" ca="1" si="20"/>
        <v>0</v>
      </c>
      <c r="K220" s="2672">
        <f t="shared" ca="1" si="20"/>
        <v>0</v>
      </c>
      <c r="L220" s="2672">
        <f t="shared" ca="1" si="20"/>
        <v>0</v>
      </c>
      <c r="M220" s="2672">
        <f t="shared" ca="1" si="20"/>
        <v>0</v>
      </c>
      <c r="N220" s="2672">
        <f t="shared" ca="1" si="20"/>
        <v>0</v>
      </c>
      <c r="O220" s="885"/>
      <c r="P220" s="2890"/>
    </row>
    <row r="221" spans="2:19" s="39" customFormat="1">
      <c r="B221" s="110"/>
      <c r="C221" s="65" t="s">
        <v>556</v>
      </c>
      <c r="D221" s="108" t="s">
        <v>1723</v>
      </c>
      <c r="E221" s="59"/>
      <c r="F221" s="2670">
        <f t="shared" ca="1" si="20"/>
        <v>0.88000000000000012</v>
      </c>
      <c r="G221" s="2670">
        <f ca="1">MAX(G164-G58,0)*G48</f>
        <v>0.73352806756085454</v>
      </c>
      <c r="H221" s="2670">
        <f t="shared" ca="1" si="20"/>
        <v>0.26010134128166917</v>
      </c>
      <c r="I221" s="2670">
        <f t="shared" ca="1" si="20"/>
        <v>0.26074515648286145</v>
      </c>
      <c r="J221" s="2670">
        <f t="shared" ca="1" si="20"/>
        <v>0.26138897168405367</v>
      </c>
      <c r="K221" s="2670">
        <f t="shared" ca="1" si="20"/>
        <v>0</v>
      </c>
      <c r="L221" s="2670">
        <f t="shared" ca="1" si="20"/>
        <v>0</v>
      </c>
      <c r="M221" s="2670">
        <f t="shared" ca="1" si="20"/>
        <v>0</v>
      </c>
      <c r="N221" s="2670">
        <f t="shared" ca="1" si="20"/>
        <v>0</v>
      </c>
      <c r="O221" s="885"/>
      <c r="P221" s="2890"/>
    </row>
    <row r="222" spans="2:19" s="39" customFormat="1">
      <c r="B222" s="110"/>
      <c r="C222" s="65" t="s">
        <v>556</v>
      </c>
      <c r="D222" s="108" t="s">
        <v>1758</v>
      </c>
      <c r="E222" s="59"/>
      <c r="F222" s="2670">
        <f t="shared" ca="1" si="20"/>
        <v>0.12159999999999997</v>
      </c>
      <c r="G222" s="2670">
        <f t="shared" ca="1" si="20"/>
        <v>0.12117391952309987</v>
      </c>
      <c r="H222" s="2670">
        <f t="shared" ca="1" si="20"/>
        <v>9.4466766020864318E-2</v>
      </c>
      <c r="I222" s="2670">
        <f t="shared" ca="1" si="20"/>
        <v>9.6514456035767457E-2</v>
      </c>
      <c r="J222" s="2670">
        <f t="shared" ca="1" si="20"/>
        <v>6.7895976154992516E-2</v>
      </c>
      <c r="K222" s="2670">
        <f t="shared" ca="1" si="20"/>
        <v>1.1813114754098214E-2</v>
      </c>
      <c r="L222" s="2670">
        <f t="shared" ca="1" si="20"/>
        <v>1.4497913561847858E-2</v>
      </c>
      <c r="M222" s="2670">
        <f t="shared" ca="1" si="20"/>
        <v>1.7182712369597501E-2</v>
      </c>
      <c r="N222" s="2670">
        <f t="shared" ca="1" si="20"/>
        <v>1.9867511177347141E-2</v>
      </c>
      <c r="O222" s="885"/>
      <c r="P222" s="2890"/>
    </row>
    <row r="223" spans="2:19" s="39" customFormat="1">
      <c r="B223" s="110"/>
      <c r="C223" s="65" t="s">
        <v>553</v>
      </c>
      <c r="D223" s="108" t="s">
        <v>2402</v>
      </c>
      <c r="E223" s="59"/>
      <c r="F223" s="2670">
        <f t="shared" ca="1" si="20"/>
        <v>0</v>
      </c>
      <c r="G223" s="2670">
        <f t="shared" ca="1" si="20"/>
        <v>0</v>
      </c>
      <c r="H223" s="2670">
        <f t="shared" ca="1" si="20"/>
        <v>0</v>
      </c>
      <c r="I223" s="2670">
        <f t="shared" ca="1" si="20"/>
        <v>0</v>
      </c>
      <c r="J223" s="2670">
        <f t="shared" ca="1" si="20"/>
        <v>0</v>
      </c>
      <c r="K223" s="2670">
        <f t="shared" ca="1" si="20"/>
        <v>2.5000000000000022E-2</v>
      </c>
      <c r="L223" s="2670">
        <f t="shared" ca="1" si="20"/>
        <v>7.5000000000000067E-2</v>
      </c>
      <c r="M223" s="2670">
        <f t="shared" ca="1" si="20"/>
        <v>0.12500000000000011</v>
      </c>
      <c r="N223" s="2670">
        <f t="shared" ca="1" si="20"/>
        <v>0.17500000000000016</v>
      </c>
      <c r="O223" s="885"/>
      <c r="P223" s="2890"/>
    </row>
    <row r="224" spans="2:19" s="39" customFormat="1">
      <c r="B224" s="110"/>
      <c r="C224" s="926" t="s">
        <v>548</v>
      </c>
      <c r="D224" s="199" t="s">
        <v>744</v>
      </c>
      <c r="E224" s="978"/>
      <c r="F224" s="2670">
        <f t="shared" ca="1" si="20"/>
        <v>0</v>
      </c>
      <c r="G224" s="2670">
        <f t="shared" ca="1" si="20"/>
        <v>0</v>
      </c>
      <c r="H224" s="2670">
        <f t="shared" ca="1" si="20"/>
        <v>0</v>
      </c>
      <c r="I224" s="2670">
        <f t="shared" ca="1" si="20"/>
        <v>0</v>
      </c>
      <c r="J224" s="2670">
        <f t="shared" ca="1" si="20"/>
        <v>0</v>
      </c>
      <c r="K224" s="2670">
        <f t="shared" ca="1" si="20"/>
        <v>4.7674418604651159E-2</v>
      </c>
      <c r="L224" s="2670">
        <f t="shared" ca="1" si="20"/>
        <v>6.5116279069767469E-2</v>
      </c>
      <c r="M224" s="2670">
        <f t="shared" ca="1" si="20"/>
        <v>8.2558139534883668E-2</v>
      </c>
      <c r="N224" s="2670">
        <f t="shared" ca="1" si="20"/>
        <v>9.9999999999999978E-2</v>
      </c>
      <c r="O224" s="885"/>
      <c r="P224" s="2890"/>
    </row>
    <row r="225" spans="2:16" s="39" customFormat="1">
      <c r="B225" s="110"/>
      <c r="C225" s="1103"/>
      <c r="D225" s="1103" t="s">
        <v>59</v>
      </c>
      <c r="E225" s="1103"/>
      <c r="F225" s="3047">
        <f ca="1">SUM(F220:F224)</f>
        <v>2.7983181050611714</v>
      </c>
      <c r="G225" s="3047">
        <f t="shared" ref="G225:N225" ca="1" si="21">SUM(G220:G224)</f>
        <v>2.7099179873311741</v>
      </c>
      <c r="H225" s="3047">
        <f t="shared" ca="1" si="21"/>
        <v>1.4604871717274919</v>
      </c>
      <c r="I225" s="3047">
        <f t="shared" ca="1" si="21"/>
        <v>0.96897189908187997</v>
      </c>
      <c r="J225" s="3047">
        <f t="shared" ca="1" si="21"/>
        <v>0.32928494783904616</v>
      </c>
      <c r="K225" s="3047">
        <f t="shared" ca="1" si="21"/>
        <v>8.4487533358749395E-2</v>
      </c>
      <c r="L225" s="3047">
        <f t="shared" ca="1" si="21"/>
        <v>0.15461419263161541</v>
      </c>
      <c r="M225" s="3047">
        <f t="shared" ca="1" si="21"/>
        <v>0.22474085190448129</v>
      </c>
      <c r="N225" s="3047">
        <f t="shared" ca="1" si="21"/>
        <v>0.29486751117734727</v>
      </c>
      <c r="O225" s="885"/>
      <c r="P225" s="2890"/>
    </row>
    <row r="226" spans="2:16" s="39" customFormat="1">
      <c r="B226" s="110"/>
      <c r="C226" s="67"/>
      <c r="D226" s="67"/>
      <c r="E226" s="67"/>
      <c r="F226" s="67"/>
      <c r="G226" s="67"/>
      <c r="H226" s="67"/>
      <c r="I226" s="67"/>
      <c r="J226" s="67"/>
      <c r="K226" s="67"/>
      <c r="L226" s="67"/>
      <c r="M226" s="67"/>
      <c r="N226" s="67"/>
      <c r="O226" s="885"/>
      <c r="P226" s="2890"/>
    </row>
    <row r="227" spans="2:16" s="39" customFormat="1" ht="15.75">
      <c r="B227" s="1110" t="s">
        <v>207</v>
      </c>
      <c r="C227" s="2890"/>
      <c r="D227" s="2890"/>
      <c r="E227" s="2890"/>
      <c r="F227" s="2890"/>
      <c r="G227" s="2890"/>
      <c r="H227" s="2890"/>
      <c r="I227" s="2890"/>
      <c r="J227" s="2890"/>
      <c r="K227" s="2890"/>
      <c r="L227" s="2890"/>
      <c r="M227" s="2890"/>
      <c r="N227" s="2890"/>
      <c r="O227" s="2890"/>
      <c r="P227" s="2890"/>
    </row>
    <row r="228" spans="2:16" s="39" customFormat="1">
      <c r="B228" s="2890"/>
      <c r="C228" s="2890"/>
      <c r="D228" s="2890"/>
      <c r="E228" s="2890"/>
      <c r="F228" s="2890"/>
      <c r="G228" s="2890"/>
      <c r="H228" s="2890"/>
      <c r="I228" s="2890"/>
      <c r="J228" s="2890"/>
      <c r="K228" s="2890"/>
      <c r="L228" s="2890"/>
      <c r="M228" s="2890"/>
      <c r="N228" s="2890"/>
      <c r="O228" s="2890"/>
      <c r="P228" s="2890"/>
    </row>
    <row r="229" spans="2:16" s="39" customFormat="1">
      <c r="B229" s="2890">
        <v>1</v>
      </c>
      <c r="C229" s="2890" t="s">
        <v>2437</v>
      </c>
      <c r="D229" s="2890"/>
      <c r="E229" s="2890"/>
      <c r="F229" s="2890"/>
      <c r="G229" s="2890"/>
      <c r="H229" s="2890"/>
      <c r="I229" s="2890"/>
      <c r="J229" s="2890"/>
      <c r="K229" s="2890"/>
      <c r="L229" s="2890"/>
      <c r="M229" s="2890"/>
      <c r="N229" s="2890"/>
      <c r="O229" s="2890"/>
      <c r="P229" s="2890"/>
    </row>
    <row r="230" spans="2:16" s="39" customFormat="1">
      <c r="B230" s="2890">
        <v>2</v>
      </c>
      <c r="C230" s="2890" t="s">
        <v>2438</v>
      </c>
      <c r="D230" s="2890"/>
      <c r="E230" s="2890"/>
      <c r="F230" s="2890"/>
      <c r="G230" s="2890"/>
      <c r="H230" s="2890"/>
      <c r="I230" s="2890"/>
      <c r="J230" s="2890"/>
      <c r="K230" s="2890"/>
      <c r="L230" s="2890"/>
      <c r="M230" s="2890"/>
      <c r="N230" s="2890"/>
      <c r="O230" s="2890"/>
      <c r="P230" s="2890"/>
    </row>
    <row r="231" spans="2:16" s="39" customFormat="1">
      <c r="B231" s="2890">
        <v>3</v>
      </c>
      <c r="C231" s="2890" t="s">
        <v>2439</v>
      </c>
      <c r="D231" s="2890"/>
      <c r="E231" s="2890"/>
      <c r="F231" s="2890"/>
      <c r="G231" s="2890"/>
      <c r="H231" s="2890"/>
      <c r="I231" s="2890"/>
      <c r="J231" s="2890"/>
      <c r="K231" s="2890"/>
      <c r="L231" s="2890"/>
      <c r="M231" s="2890"/>
      <c r="N231" s="2890"/>
      <c r="O231" s="2890"/>
      <c r="P231" s="2890"/>
    </row>
    <row r="232" spans="2:16" s="39" customFormat="1">
      <c r="B232" s="2890">
        <v>4</v>
      </c>
      <c r="C232" s="2890" t="s">
        <v>2440</v>
      </c>
      <c r="D232" s="2890"/>
      <c r="E232" s="2890"/>
      <c r="F232" s="2890"/>
      <c r="G232" s="2890"/>
      <c r="H232" s="2890"/>
      <c r="I232" s="2890"/>
      <c r="J232" s="2890"/>
      <c r="K232" s="2890"/>
      <c r="L232" s="2890"/>
      <c r="M232" s="2890"/>
      <c r="N232" s="2890"/>
      <c r="O232" s="2890"/>
      <c r="P232" s="2890"/>
    </row>
    <row r="233" spans="2:16" s="39" customFormat="1">
      <c r="B233" s="2890">
        <v>5</v>
      </c>
      <c r="C233" s="2890" t="s">
        <v>2441</v>
      </c>
      <c r="D233" s="2890"/>
      <c r="E233" s="2890"/>
      <c r="F233" s="2890"/>
      <c r="G233" s="2890"/>
      <c r="H233" s="2890"/>
      <c r="I233" s="2890"/>
      <c r="J233" s="2890"/>
      <c r="K233" s="2890"/>
      <c r="L233" s="2890"/>
      <c r="M233" s="2890"/>
      <c r="N233" s="2890"/>
      <c r="O233" s="2890"/>
      <c r="P233" s="2890"/>
    </row>
    <row r="234" spans="2:16" s="39" customFormat="1">
      <c r="B234" s="2890">
        <v>6</v>
      </c>
      <c r="C234" s="2890" t="s">
        <v>2442</v>
      </c>
      <c r="D234" s="2890"/>
      <c r="E234" s="2890"/>
      <c r="F234" s="2890"/>
      <c r="G234" s="2890"/>
      <c r="H234" s="2890"/>
      <c r="I234" s="2890"/>
      <c r="J234" s="2890"/>
      <c r="K234" s="2890"/>
      <c r="L234" s="2890"/>
      <c r="M234" s="2890"/>
      <c r="N234" s="2890"/>
      <c r="O234" s="2890"/>
      <c r="P234" s="2890"/>
    </row>
    <row r="235" spans="2:16" s="39" customFormat="1">
      <c r="B235" s="2890">
        <v>7</v>
      </c>
      <c r="C235" s="2890" t="s">
        <v>2443</v>
      </c>
      <c r="D235" s="2890"/>
      <c r="E235" s="2890"/>
      <c r="F235" s="2890"/>
      <c r="G235" s="2890"/>
      <c r="H235" s="2890"/>
      <c r="I235" s="2890"/>
      <c r="J235" s="2890"/>
      <c r="K235" s="2890"/>
      <c r="L235" s="2890"/>
      <c r="M235" s="2890"/>
      <c r="N235" s="2890"/>
      <c r="O235" s="2890"/>
      <c r="P235" s="2890"/>
    </row>
    <row r="236" spans="2:16" s="39" customFormat="1">
      <c r="B236" s="2890"/>
      <c r="C236" s="2890"/>
      <c r="D236" s="2890"/>
      <c r="E236" s="2890"/>
      <c r="F236" s="2890"/>
      <c r="G236" s="2890"/>
      <c r="H236" s="2890"/>
      <c r="I236" s="2890"/>
      <c r="J236" s="2890"/>
      <c r="K236" s="2890"/>
      <c r="L236" s="2890"/>
      <c r="M236" s="2890"/>
      <c r="N236" s="2890"/>
      <c r="O236" s="2890"/>
      <c r="P236" s="2890"/>
    </row>
    <row r="237" spans="2:16" s="39" customFormat="1">
      <c r="B237" s="363">
        <v>1</v>
      </c>
      <c r="C237" s="363" t="s">
        <v>2444</v>
      </c>
      <c r="D237" s="2890"/>
      <c r="E237" s="2890"/>
      <c r="F237" s="2890"/>
      <c r="G237" s="2890"/>
      <c r="H237" s="2890"/>
      <c r="I237" s="2890"/>
      <c r="J237" s="2890"/>
      <c r="K237" s="2890"/>
      <c r="L237" s="2890"/>
      <c r="M237" s="2890"/>
      <c r="N237" s="2890"/>
      <c r="O237" s="2890"/>
      <c r="P237" s="2890"/>
    </row>
    <row r="238" spans="2:16" s="39" customFormat="1">
      <c r="B238" s="2890"/>
      <c r="C238" s="2890"/>
      <c r="D238" s="2890"/>
      <c r="E238" s="2890"/>
      <c r="F238" s="2890"/>
      <c r="G238" s="2890"/>
      <c r="H238" s="2890"/>
      <c r="I238" s="2890"/>
      <c r="J238" s="2890"/>
      <c r="K238" s="2890"/>
      <c r="L238" s="2890"/>
      <c r="M238" s="2890"/>
      <c r="N238" s="2890"/>
      <c r="O238" s="2890"/>
      <c r="P238" s="2890"/>
    </row>
    <row r="239" spans="2:16" s="39" customFormat="1">
      <c r="B239" s="2890"/>
      <c r="C239" s="2890" t="s">
        <v>2445</v>
      </c>
      <c r="D239" s="2890"/>
      <c r="E239" s="2890"/>
      <c r="F239" s="2890"/>
      <c r="G239" s="2890"/>
      <c r="H239" s="2890"/>
      <c r="I239" s="2890"/>
      <c r="J239" s="2890"/>
      <c r="K239" s="2890"/>
      <c r="L239" s="2890"/>
      <c r="M239" s="2890"/>
      <c r="N239" s="382" t="str">
        <f>Preferences.PowerUnits&amp;"e"</f>
        <v>GWe</v>
      </c>
      <c r="O239" s="2890"/>
      <c r="P239" s="2890"/>
    </row>
    <row r="240" spans="2:16" s="39" customFormat="1">
      <c r="B240" s="2890"/>
      <c r="C240" s="2890"/>
      <c r="D240" s="2890"/>
      <c r="E240" s="2890"/>
      <c r="F240" s="2890"/>
      <c r="G240" s="2890"/>
      <c r="H240" s="2890"/>
      <c r="I240" s="2890"/>
      <c r="J240" s="2890"/>
      <c r="K240" s="2890"/>
      <c r="L240" s="2890"/>
      <c r="M240" s="2890"/>
      <c r="N240" s="2890"/>
      <c r="O240" s="2890"/>
      <c r="P240" s="2890"/>
    </row>
    <row r="241" spans="1:19" s="39" customFormat="1" ht="15.75">
      <c r="B241" s="2338"/>
      <c r="C241" s="3048"/>
      <c r="D241" s="3048" t="s">
        <v>29</v>
      </c>
      <c r="E241" s="3048" t="s">
        <v>30</v>
      </c>
      <c r="F241" s="3049">
        <v>2013</v>
      </c>
      <c r="G241" s="3049">
        <v>2015</v>
      </c>
      <c r="H241" s="3049">
        <v>2020</v>
      </c>
      <c r="I241" s="3049">
        <v>2025</v>
      </c>
      <c r="J241" s="3049">
        <v>2030</v>
      </c>
      <c r="K241" s="3049">
        <v>2035</v>
      </c>
      <c r="L241" s="3049">
        <v>2040</v>
      </c>
      <c r="M241" s="3049">
        <v>2045</v>
      </c>
      <c r="N241" s="3049">
        <v>2050</v>
      </c>
      <c r="O241" s="2890"/>
      <c r="P241" s="2890"/>
    </row>
    <row r="242" spans="1:19" s="39" customFormat="1" ht="15.75">
      <c r="B242" s="2338"/>
      <c r="C242" s="2572"/>
      <c r="D242" s="521" t="s">
        <v>2446</v>
      </c>
      <c r="E242" s="2572"/>
      <c r="F242" s="3359">
        <f t="shared" ref="F242:N242" ca="1" si="22">F42</f>
        <v>0</v>
      </c>
      <c r="G242" s="3359">
        <f t="shared" ca="1" si="22"/>
        <v>0</v>
      </c>
      <c r="H242" s="3359">
        <f t="shared" ca="1" si="22"/>
        <v>0</v>
      </c>
      <c r="I242" s="3359">
        <f t="shared" ca="1" si="22"/>
        <v>0</v>
      </c>
      <c r="J242" s="3359">
        <f t="shared" ca="1" si="22"/>
        <v>1.6601259901515713</v>
      </c>
      <c r="K242" s="3359">
        <f t="shared" ca="1" si="22"/>
        <v>3.9583380352987465</v>
      </c>
      <c r="L242" s="3359">
        <f t="shared" ca="1" si="22"/>
        <v>5.8750917973489187</v>
      </c>
      <c r="M242" s="3359">
        <f t="shared" ca="1" si="22"/>
        <v>7.964519254025535</v>
      </c>
      <c r="N242" s="3359">
        <f t="shared" ca="1" si="22"/>
        <v>9.9902731049647571</v>
      </c>
      <c r="O242" s="2890"/>
      <c r="P242" s="2890"/>
    </row>
    <row r="243" spans="1:19" s="39" customFormat="1" ht="15.75">
      <c r="B243" s="2338"/>
      <c r="C243" s="521"/>
      <c r="D243" s="3050" t="s">
        <v>2447</v>
      </c>
      <c r="E243" s="521"/>
      <c r="F243" s="3360">
        <f ca="1">F225</f>
        <v>2.7983181050611714</v>
      </c>
      <c r="G243" s="3360">
        <f t="shared" ref="G243:N243" ca="1" si="23">G225</f>
        <v>2.7099179873311741</v>
      </c>
      <c r="H243" s="3360">
        <f t="shared" ca="1" si="23"/>
        <v>1.4604871717274919</v>
      </c>
      <c r="I243" s="3360">
        <f t="shared" ca="1" si="23"/>
        <v>0.96897189908187997</v>
      </c>
      <c r="J243" s="3360">
        <f t="shared" ca="1" si="23"/>
        <v>0.32928494783904616</v>
      </c>
      <c r="K243" s="3360">
        <f t="shared" ca="1" si="23"/>
        <v>8.4487533358749395E-2</v>
      </c>
      <c r="L243" s="3360">
        <f t="shared" ca="1" si="23"/>
        <v>0.15461419263161541</v>
      </c>
      <c r="M243" s="3360">
        <f t="shared" ca="1" si="23"/>
        <v>0.22474085190448129</v>
      </c>
      <c r="N243" s="3360">
        <f t="shared" ca="1" si="23"/>
        <v>0.29486751117734727</v>
      </c>
      <c r="O243" s="2890"/>
      <c r="P243" s="2890"/>
      <c r="Q243" s="2802"/>
      <c r="R243" s="2802"/>
      <c r="S243" s="2802"/>
    </row>
    <row r="244" spans="1:19" s="39" customFormat="1" ht="15.75">
      <c r="B244" s="2338"/>
      <c r="C244" s="521"/>
      <c r="D244" s="3050" t="s">
        <v>2448</v>
      </c>
      <c r="E244" s="521"/>
      <c r="F244" s="3360">
        <f t="shared" ref="F244:N244" si="24">F98</f>
        <v>0.75</v>
      </c>
      <c r="G244" s="3360">
        <f t="shared" si="24"/>
        <v>0.75</v>
      </c>
      <c r="H244" s="3360">
        <f t="shared" si="24"/>
        <v>0.75</v>
      </c>
      <c r="I244" s="3360">
        <f t="shared" si="24"/>
        <v>1.4</v>
      </c>
      <c r="J244" s="3360">
        <f t="shared" si="24"/>
        <v>1.4</v>
      </c>
      <c r="K244" s="3360">
        <f t="shared" si="24"/>
        <v>1.4</v>
      </c>
      <c r="L244" s="3360">
        <f t="shared" si="24"/>
        <v>1.4</v>
      </c>
      <c r="M244" s="3360">
        <f t="shared" si="24"/>
        <v>1.4</v>
      </c>
      <c r="N244" s="3360">
        <f t="shared" si="24"/>
        <v>1.4</v>
      </c>
      <c r="O244" s="2890"/>
      <c r="P244" s="2890"/>
      <c r="Q244" s="2802"/>
      <c r="R244" s="2802"/>
      <c r="S244" s="2802"/>
    </row>
    <row r="245" spans="1:19" s="39" customFormat="1" ht="15.75">
      <c r="B245" s="2338"/>
      <c r="C245" s="521"/>
      <c r="D245" s="3050" t="s">
        <v>2449</v>
      </c>
      <c r="E245" s="521"/>
      <c r="F245" s="3360">
        <f t="shared" ref="F245:N245" ca="1" si="25">($G$116*F67)+($H$116*F66)</f>
        <v>0</v>
      </c>
      <c r="G245" s="3360">
        <f t="shared" ca="1" si="25"/>
        <v>0</v>
      </c>
      <c r="H245" s="3360">
        <f t="shared" ca="1" si="25"/>
        <v>0</v>
      </c>
      <c r="I245" s="3360">
        <f t="shared" ca="1" si="25"/>
        <v>0</v>
      </c>
      <c r="J245" s="3360">
        <f t="shared" ca="1" si="25"/>
        <v>0</v>
      </c>
      <c r="K245" s="3360">
        <f t="shared" ca="1" si="25"/>
        <v>0</v>
      </c>
      <c r="L245" s="3360">
        <f t="shared" ca="1" si="25"/>
        <v>0</v>
      </c>
      <c r="M245" s="3360">
        <f t="shared" ca="1" si="25"/>
        <v>0</v>
      </c>
      <c r="N245" s="3360">
        <f t="shared" ca="1" si="25"/>
        <v>0</v>
      </c>
      <c r="O245" s="2890"/>
      <c r="P245" s="2890"/>
      <c r="Q245" s="2802"/>
      <c r="R245" s="2802"/>
      <c r="S245" s="2802"/>
    </row>
    <row r="246" spans="1:19" s="39" customFormat="1" ht="15.75">
      <c r="B246" s="2338"/>
      <c r="C246" s="3051"/>
      <c r="D246" s="3052" t="s">
        <v>2450</v>
      </c>
      <c r="E246" s="3051"/>
      <c r="F246" s="3361">
        <f t="shared" ref="F246:N246" si="26">F80</f>
        <v>0.29199999999999998</v>
      </c>
      <c r="G246" s="3361">
        <f t="shared" si="26"/>
        <v>0.29199999999999998</v>
      </c>
      <c r="H246" s="3361">
        <f t="shared" si="26"/>
        <v>0.29199999999999998</v>
      </c>
      <c r="I246" s="3361">
        <f t="shared" si="26"/>
        <v>0.29199999999999998</v>
      </c>
      <c r="J246" s="3361">
        <f t="shared" si="26"/>
        <v>1.792</v>
      </c>
      <c r="K246" s="3361">
        <f t="shared" si="26"/>
        <v>1.792</v>
      </c>
      <c r="L246" s="3361">
        <f t="shared" si="26"/>
        <v>1.792</v>
      </c>
      <c r="M246" s="3361">
        <f t="shared" si="26"/>
        <v>1.792</v>
      </c>
      <c r="N246" s="3361">
        <f t="shared" si="26"/>
        <v>1.792</v>
      </c>
      <c r="O246" s="2890"/>
      <c r="P246" s="2890"/>
      <c r="Q246" s="2802"/>
      <c r="R246" s="2802"/>
      <c r="S246" s="2802"/>
    </row>
    <row r="247" spans="1:19" s="39" customFormat="1" ht="15.75">
      <c r="B247" s="2338"/>
      <c r="C247" s="1725"/>
      <c r="D247" s="1725" t="s">
        <v>2451</v>
      </c>
      <c r="E247" s="1725"/>
      <c r="F247" s="3053">
        <f ca="1">SUM(F242:F246)</f>
        <v>3.8403181050611712</v>
      </c>
      <c r="G247" s="3362">
        <f t="shared" ref="G247:N247" ca="1" si="27">SUM(G242:G246)</f>
        <v>3.7519179873311739</v>
      </c>
      <c r="H247" s="3053">
        <f t="shared" ca="1" si="27"/>
        <v>2.5024871717274917</v>
      </c>
      <c r="I247" s="3053">
        <f t="shared" ca="1" si="27"/>
        <v>2.6609718990818796</v>
      </c>
      <c r="J247" s="3053">
        <f t="shared" ca="1" si="27"/>
        <v>5.1814109379906172</v>
      </c>
      <c r="K247" s="3053">
        <f t="shared" ca="1" si="27"/>
        <v>7.2348255686574952</v>
      </c>
      <c r="L247" s="3053">
        <f t="shared" ca="1" si="27"/>
        <v>9.2217059899805331</v>
      </c>
      <c r="M247" s="3053">
        <f t="shared" ca="1" si="27"/>
        <v>11.381260105930016</v>
      </c>
      <c r="N247" s="3053">
        <f t="shared" ca="1" si="27"/>
        <v>13.477140616142105</v>
      </c>
      <c r="O247" s="2890"/>
      <c r="P247" s="2890"/>
      <c r="Q247" s="2802"/>
      <c r="R247" s="2802"/>
      <c r="S247" s="2802"/>
    </row>
    <row r="248" spans="1:19" s="6" customFormat="1" ht="23.25">
      <c r="A248" s="40"/>
      <c r="B248" s="2890"/>
      <c r="C248" s="2890"/>
      <c r="D248" s="2890"/>
      <c r="E248" s="2890"/>
      <c r="F248" s="39"/>
      <c r="G248" s="39"/>
      <c r="H248" s="39"/>
      <c r="I248" s="39"/>
      <c r="J248" s="39"/>
      <c r="K248" s="39"/>
      <c r="L248" s="39"/>
      <c r="M248" s="39"/>
      <c r="N248" s="39"/>
      <c r="O248" s="2890"/>
      <c r="P248" s="2890"/>
      <c r="Q248" s="2802"/>
      <c r="R248" s="2802"/>
      <c r="S248" s="2802"/>
    </row>
    <row r="249" spans="1:19" s="6" customFormat="1" ht="23.25">
      <c r="A249" s="40"/>
      <c r="B249" s="2890"/>
      <c r="C249" s="2890" t="s">
        <v>2452</v>
      </c>
      <c r="D249" s="2890"/>
      <c r="E249" s="2890"/>
      <c r="F249" s="39"/>
      <c r="G249" s="39"/>
      <c r="H249" s="39"/>
      <c r="I249" s="39"/>
      <c r="J249" s="39"/>
      <c r="K249" s="39"/>
      <c r="L249" s="39"/>
      <c r="M249" s="39"/>
      <c r="N249" s="1620" t="str">
        <f>Preferences.EnergyUnits&amp;"e"</f>
        <v>TWhe</v>
      </c>
      <c r="O249" s="2890"/>
      <c r="P249" s="2890"/>
      <c r="Q249" s="2802"/>
      <c r="R249" s="2802"/>
      <c r="S249" s="2802"/>
    </row>
    <row r="250" spans="1:19">
      <c r="F250" s="39"/>
      <c r="G250" s="39"/>
      <c r="H250" s="39"/>
      <c r="I250" s="39"/>
      <c r="J250" s="39"/>
      <c r="K250" s="39"/>
      <c r="L250" s="39"/>
      <c r="M250" s="39"/>
      <c r="N250" s="39"/>
      <c r="Q250" s="2802"/>
      <c r="R250" s="2802"/>
      <c r="S250" s="2802"/>
    </row>
    <row r="251" spans="1:19" ht="15.75">
      <c r="B251" s="2338"/>
      <c r="C251" s="3048"/>
      <c r="D251" s="3048" t="s">
        <v>29</v>
      </c>
      <c r="E251" s="3048" t="s">
        <v>30</v>
      </c>
      <c r="F251" s="3054">
        <v>2013</v>
      </c>
      <c r="G251" s="3054">
        <v>2015</v>
      </c>
      <c r="H251" s="3054">
        <v>2020</v>
      </c>
      <c r="I251" s="3054">
        <v>2025</v>
      </c>
      <c r="J251" s="3054">
        <v>2030</v>
      </c>
      <c r="K251" s="3054">
        <v>2035</v>
      </c>
      <c r="L251" s="3054">
        <v>2040</v>
      </c>
      <c r="M251" s="3054">
        <v>2045</v>
      </c>
      <c r="N251" s="3054">
        <v>2050</v>
      </c>
      <c r="Q251" s="2802"/>
      <c r="R251" s="2802"/>
      <c r="S251" s="2802"/>
    </row>
    <row r="252" spans="1:19" ht="15.75">
      <c r="B252" s="2338"/>
      <c r="C252" s="2572"/>
      <c r="D252" s="521" t="s">
        <v>2446</v>
      </c>
      <c r="E252" s="2572"/>
      <c r="F252" s="3359">
        <f t="shared" ref="F252:N252" ca="1" si="28">F242*Conversion.to.energy.per.second*$F$131*Unit.day</f>
        <v>0</v>
      </c>
      <c r="G252" s="3363">
        <f t="shared" ca="1" si="28"/>
        <v>0</v>
      </c>
      <c r="H252" s="3359">
        <f t="shared" ca="1" si="28"/>
        <v>0</v>
      </c>
      <c r="I252" s="3359">
        <f t="shared" ca="1" si="28"/>
        <v>0</v>
      </c>
      <c r="J252" s="3359">
        <f t="shared" ca="1" si="28"/>
        <v>0.19921511881818854</v>
      </c>
      <c r="K252" s="3359">
        <f t="shared" ca="1" si="28"/>
        <v>0.47500056423584958</v>
      </c>
      <c r="L252" s="3359">
        <f t="shared" ca="1" si="28"/>
        <v>0.70501101568187008</v>
      </c>
      <c r="M252" s="3359">
        <f t="shared" ca="1" si="28"/>
        <v>0.95574231048306413</v>
      </c>
      <c r="N252" s="3359">
        <f t="shared" ca="1" si="28"/>
        <v>1.1988327725957706</v>
      </c>
      <c r="Q252" s="2802"/>
      <c r="R252" s="2802"/>
      <c r="S252" s="2802"/>
    </row>
    <row r="253" spans="1:19" ht="15.75">
      <c r="B253" s="2338"/>
      <c r="C253" s="521"/>
      <c r="D253" s="3050" t="s">
        <v>2447</v>
      </c>
      <c r="E253" s="521"/>
      <c r="F253" s="3360">
        <f ca="1">F243*Conversion.to.energy.per.second*$F$131*Unit.day</f>
        <v>0.33579817260734057</v>
      </c>
      <c r="G253" s="3360">
        <f t="shared" ref="G253:N253" ca="1" si="29">G243*Conversion.to.energy.per.second*$F$131*Unit.day</f>
        <v>0.32519015847974081</v>
      </c>
      <c r="H253" s="3360">
        <f t="shared" ca="1" si="29"/>
        <v>0.17525846060729902</v>
      </c>
      <c r="I253" s="3360">
        <f t="shared" ca="1" si="29"/>
        <v>0.11627662788982558</v>
      </c>
      <c r="J253" s="3360">
        <f t="shared" ca="1" si="29"/>
        <v>3.9514193740685537E-2</v>
      </c>
      <c r="K253" s="3360">
        <f t="shared" ca="1" si="29"/>
        <v>1.0138504003049926E-2</v>
      </c>
      <c r="L253" s="3360">
        <f t="shared" ca="1" si="29"/>
        <v>1.8553703115793848E-2</v>
      </c>
      <c r="M253" s="3360">
        <f t="shared" ca="1" si="29"/>
        <v>2.6968902228537751E-2</v>
      </c>
      <c r="N253" s="3360">
        <f t="shared" ca="1" si="29"/>
        <v>3.5384101341281671E-2</v>
      </c>
      <c r="Q253" s="2802"/>
      <c r="R253" s="2802"/>
      <c r="S253" s="2802"/>
    </row>
    <row r="254" spans="1:19" ht="15.75">
      <c r="B254" s="2338"/>
      <c r="C254" s="521"/>
      <c r="D254" s="3050" t="s">
        <v>2448</v>
      </c>
      <c r="E254" s="521"/>
      <c r="F254" s="3360">
        <f t="shared" ref="F254:N254" si="30">F244*$F$107*Conversion.to.energy.per.second*$F$131*Unit.day</f>
        <v>6.7499999999999991E-2</v>
      </c>
      <c r="G254" s="3360">
        <f t="shared" si="30"/>
        <v>6.7499999999999991E-2</v>
      </c>
      <c r="H254" s="3360">
        <f t="shared" si="30"/>
        <v>6.7499999999999991E-2</v>
      </c>
      <c r="I254" s="3360">
        <f t="shared" si="30"/>
        <v>0.12599999999999997</v>
      </c>
      <c r="J254" s="3360">
        <f t="shared" si="30"/>
        <v>0.12599999999999997</v>
      </c>
      <c r="K254" s="3360">
        <f t="shared" si="30"/>
        <v>0.12599999999999997</v>
      </c>
      <c r="L254" s="3360">
        <f t="shared" si="30"/>
        <v>0.12599999999999997</v>
      </c>
      <c r="M254" s="3360">
        <f t="shared" si="30"/>
        <v>0.12599999999999997</v>
      </c>
      <c r="N254" s="3360">
        <f t="shared" si="30"/>
        <v>0.12599999999999997</v>
      </c>
      <c r="Q254" s="2802"/>
      <c r="R254" s="2802"/>
      <c r="S254" s="2802"/>
    </row>
    <row r="255" spans="1:19" ht="15.75">
      <c r="B255" s="2338"/>
      <c r="C255" s="521"/>
      <c r="D255" s="3050" t="s">
        <v>2449</v>
      </c>
      <c r="E255" s="521"/>
      <c r="F255" s="3360">
        <f t="shared" ref="F255:N255" ca="1" si="31">F245*Conversion.to.energy.per.second*$F$131*Unit.day</f>
        <v>0</v>
      </c>
      <c r="G255" s="3364">
        <f t="shared" ca="1" si="31"/>
        <v>0</v>
      </c>
      <c r="H255" s="3360">
        <f t="shared" ca="1" si="31"/>
        <v>0</v>
      </c>
      <c r="I255" s="3360">
        <f t="shared" ca="1" si="31"/>
        <v>0</v>
      </c>
      <c r="J255" s="3360">
        <f t="shared" ca="1" si="31"/>
        <v>0</v>
      </c>
      <c r="K255" s="3360">
        <f t="shared" ca="1" si="31"/>
        <v>0</v>
      </c>
      <c r="L255" s="3360">
        <f t="shared" ca="1" si="31"/>
        <v>0</v>
      </c>
      <c r="M255" s="3360">
        <f t="shared" ca="1" si="31"/>
        <v>0</v>
      </c>
      <c r="N255" s="3360">
        <f t="shared" ca="1" si="31"/>
        <v>0</v>
      </c>
      <c r="Q255" s="2802"/>
      <c r="R255" s="2802"/>
      <c r="S255" s="2802"/>
    </row>
    <row r="256" spans="1:19" ht="15.75">
      <c r="B256" s="2338"/>
      <c r="C256" s="3051"/>
      <c r="D256" s="3052" t="s">
        <v>2450</v>
      </c>
      <c r="E256" s="3051"/>
      <c r="F256" s="3361">
        <f t="shared" ref="F256:N256" si="32">F89</f>
        <v>1.5900000000000001E-3</v>
      </c>
      <c r="G256" s="3361">
        <f t="shared" si="32"/>
        <v>1.5900000000000001E-3</v>
      </c>
      <c r="H256" s="3361">
        <f t="shared" si="32"/>
        <v>1.5900000000000001E-3</v>
      </c>
      <c r="I256" s="3361">
        <f t="shared" si="32"/>
        <v>1.5900000000000001E-3</v>
      </c>
      <c r="J256" s="3361">
        <f t="shared" si="32"/>
        <v>7.5900000000000004E-3</v>
      </c>
      <c r="K256" s="3361">
        <f t="shared" si="32"/>
        <v>7.5900000000000004E-3</v>
      </c>
      <c r="L256" s="3361">
        <f t="shared" si="32"/>
        <v>7.5900000000000004E-3</v>
      </c>
      <c r="M256" s="3361">
        <f t="shared" si="32"/>
        <v>7.5900000000000004E-3</v>
      </c>
      <c r="N256" s="3361">
        <f t="shared" si="32"/>
        <v>7.5900000000000004E-3</v>
      </c>
      <c r="Q256" s="2802"/>
      <c r="R256" s="2802"/>
      <c r="S256" s="2802"/>
    </row>
    <row r="257" spans="2:28" ht="15.75">
      <c r="B257" s="2338"/>
      <c r="C257" s="1725"/>
      <c r="D257" s="1725" t="s">
        <v>2453</v>
      </c>
      <c r="E257" s="1725"/>
      <c r="F257" s="3055">
        <f ca="1">SUM(F252:F256)</f>
        <v>0.40488817260734056</v>
      </c>
      <c r="G257" s="3365">
        <f t="shared" ref="G257:N257" ca="1" si="33">SUM(G252:G256)</f>
        <v>0.39428015847974079</v>
      </c>
      <c r="H257" s="3055">
        <f t="shared" ca="1" si="33"/>
        <v>0.24434846060729901</v>
      </c>
      <c r="I257" s="3055">
        <f t="shared" ca="1" si="33"/>
        <v>0.24386662788982558</v>
      </c>
      <c r="J257" s="3055">
        <f t="shared" ca="1" si="33"/>
        <v>0.37231931255887407</v>
      </c>
      <c r="K257" s="3055">
        <f t="shared" ca="1" si="33"/>
        <v>0.6187290682388995</v>
      </c>
      <c r="L257" s="3055">
        <f t="shared" ca="1" si="33"/>
        <v>0.85715471879766392</v>
      </c>
      <c r="M257" s="3055">
        <f t="shared" ca="1" si="33"/>
        <v>1.1163012127116019</v>
      </c>
      <c r="N257" s="3055">
        <f t="shared" ca="1" si="33"/>
        <v>1.3678068739370521</v>
      </c>
      <c r="Q257" s="2802"/>
      <c r="R257" s="2802"/>
      <c r="S257" s="2802"/>
    </row>
    <row r="258" spans="2:28">
      <c r="Q258" s="39"/>
      <c r="R258" s="39"/>
      <c r="S258" s="39"/>
    </row>
    <row r="259" spans="2:28">
      <c r="B259" s="363">
        <v>2</v>
      </c>
      <c r="C259" s="363" t="s">
        <v>2454</v>
      </c>
      <c r="Q259" s="39"/>
      <c r="R259" s="39"/>
      <c r="S259" s="39"/>
    </row>
    <row r="260" spans="2:28">
      <c r="Q260" s="39"/>
      <c r="R260" s="39"/>
      <c r="S260" s="39"/>
      <c r="T260" s="927"/>
      <c r="U260" s="927"/>
      <c r="V260" s="927"/>
      <c r="W260" s="927"/>
      <c r="X260" s="927"/>
      <c r="Y260" s="927"/>
      <c r="Z260" s="927"/>
      <c r="AA260" s="927"/>
      <c r="AB260" s="927"/>
    </row>
    <row r="261" spans="2:28">
      <c r="B261" s="2"/>
      <c r="C261" s="2890" t="s">
        <v>2455</v>
      </c>
      <c r="N261" s="382" t="str">
        <f>Preferences.PowerUnits&amp;"e"</f>
        <v>GWe</v>
      </c>
      <c r="Q261" s="39"/>
      <c r="R261" s="39"/>
      <c r="S261" s="39"/>
    </row>
    <row r="262" spans="2:28">
      <c r="Q262" s="39"/>
      <c r="R262" s="39"/>
      <c r="S262" s="1077"/>
    </row>
    <row r="263" spans="2:28">
      <c r="C263" s="3048"/>
      <c r="D263" s="3048" t="s">
        <v>29</v>
      </c>
      <c r="E263" s="3048" t="s">
        <v>30</v>
      </c>
      <c r="F263" s="3049">
        <v>2013</v>
      </c>
      <c r="G263" s="3049">
        <v>2015</v>
      </c>
      <c r="H263" s="3049">
        <v>2020</v>
      </c>
      <c r="I263" s="3049">
        <v>2025</v>
      </c>
      <c r="J263" s="3049">
        <v>2030</v>
      </c>
      <c r="K263" s="3049">
        <v>2035</v>
      </c>
      <c r="L263" s="3049">
        <v>2040</v>
      </c>
      <c r="M263" s="3049">
        <v>2045</v>
      </c>
      <c r="N263" s="3049">
        <v>2050</v>
      </c>
      <c r="Q263" s="39"/>
      <c r="R263" s="39"/>
      <c r="S263" s="39"/>
    </row>
    <row r="264" spans="2:28">
      <c r="C264" s="2890" t="s">
        <v>2</v>
      </c>
      <c r="D264" s="2890" t="s">
        <v>2391</v>
      </c>
      <c r="F264" s="2510">
        <f t="shared" ref="F264:N265" ca="1" si="34">F25</f>
        <v>3.0264039699571149E-4</v>
      </c>
      <c r="G264" s="2510">
        <f t="shared" ca="1" si="34"/>
        <v>2.2065313085225112E-3</v>
      </c>
      <c r="H264" s="2510">
        <f t="shared" ca="1" si="34"/>
        <v>4.4243153663838684E-3</v>
      </c>
      <c r="I264" s="2510">
        <f t="shared" ca="1" si="34"/>
        <v>7.4596267142884457E-3</v>
      </c>
      <c r="J264" s="2510">
        <f t="shared" ca="1" si="34"/>
        <v>1.2688780447172058E-2</v>
      </c>
      <c r="K264" s="2510">
        <f t="shared" ca="1" si="34"/>
        <v>1.767265475340225E-2</v>
      </c>
      <c r="L264" s="2510">
        <f t="shared" ca="1" si="34"/>
        <v>2.3557899103598151E-2</v>
      </c>
      <c r="M264" s="2510">
        <f t="shared" ca="1" si="34"/>
        <v>3.4704078432113872E-2</v>
      </c>
      <c r="N264" s="2510">
        <f t="shared" ca="1" si="34"/>
        <v>4.7810213585722822E-2</v>
      </c>
    </row>
    <row r="265" spans="2:28">
      <c r="C265" s="2890" t="s">
        <v>465</v>
      </c>
      <c r="D265" s="2890" t="s">
        <v>2392</v>
      </c>
      <c r="F265" s="2510">
        <f t="shared" ca="1" si="34"/>
        <v>-4.5196719649149467E-2</v>
      </c>
      <c r="G265" s="2510">
        <f t="shared" ca="1" si="34"/>
        <v>-5.4309791196626649E-2</v>
      </c>
      <c r="H265" s="2510">
        <f t="shared" ca="1" si="34"/>
        <v>-6.2329291744076129E-2</v>
      </c>
      <c r="I265" s="2510">
        <f t="shared" ca="1" si="34"/>
        <v>-6.6183627036638673E-2</v>
      </c>
      <c r="J265" s="2510">
        <f t="shared" ca="1" si="34"/>
        <v>-6.8143512633587894E-2</v>
      </c>
      <c r="K265" s="2510">
        <f t="shared" ca="1" si="34"/>
        <v>-6.8208948534923916E-2</v>
      </c>
      <c r="L265" s="2510">
        <f t="shared" ca="1" si="34"/>
        <v>-6.6379934740646573E-2</v>
      </c>
      <c r="M265" s="2510">
        <f t="shared" ca="1" si="34"/>
        <v>-6.2656471250756005E-2</v>
      </c>
      <c r="N265" s="2510">
        <f t="shared" ca="1" si="34"/>
        <v>-5.7038558065252098E-2</v>
      </c>
    </row>
    <row r="266" spans="2:28">
      <c r="C266" s="1725"/>
      <c r="D266" s="1725" t="s">
        <v>2456</v>
      </c>
      <c r="E266" s="1725"/>
      <c r="F266" s="3053">
        <f ca="1">SUM(F264:F265)</f>
        <v>-4.4894079252153753E-2</v>
      </c>
      <c r="G266" s="3053">
        <f t="shared" ref="G266:N266" ca="1" si="35">SUM(G264:G265)</f>
        <v>-5.2103259888104138E-2</v>
      </c>
      <c r="H266" s="3053">
        <f t="shared" ca="1" si="35"/>
        <v>-5.7904976377692263E-2</v>
      </c>
      <c r="I266" s="3053">
        <f t="shared" ca="1" si="35"/>
        <v>-5.8724000322350228E-2</v>
      </c>
      <c r="J266" s="3053">
        <f t="shared" ca="1" si="35"/>
        <v>-5.5454732186415834E-2</v>
      </c>
      <c r="K266" s="3053">
        <f t="shared" ca="1" si="35"/>
        <v>-5.0536293781521663E-2</v>
      </c>
      <c r="L266" s="3053">
        <f t="shared" ca="1" si="35"/>
        <v>-4.2822035637048422E-2</v>
      </c>
      <c r="M266" s="3053">
        <f t="shared" ca="1" si="35"/>
        <v>-2.7952392818642133E-2</v>
      </c>
      <c r="N266" s="3053">
        <f t="shared" ca="1" si="35"/>
        <v>-9.2283444795292768E-3</v>
      </c>
    </row>
    <row r="267" spans="2:28">
      <c r="F267" s="989"/>
      <c r="G267" s="989"/>
      <c r="H267" s="989"/>
      <c r="I267" s="989"/>
      <c r="J267" s="989"/>
      <c r="K267" s="989"/>
      <c r="L267" s="989"/>
      <c r="M267" s="989"/>
      <c r="N267" s="989"/>
    </row>
    <row r="268" spans="2:28">
      <c r="C268" s="2890" t="s">
        <v>2457</v>
      </c>
      <c r="F268" s="989"/>
      <c r="G268" s="989"/>
      <c r="H268" s="989"/>
      <c r="I268" s="989"/>
      <c r="J268" s="989"/>
      <c r="K268" s="989"/>
      <c r="L268" s="989"/>
      <c r="M268" s="989"/>
      <c r="N268" s="3056" t="s">
        <v>71</v>
      </c>
    </row>
    <row r="270" spans="2:28">
      <c r="C270" s="3048"/>
      <c r="D270" s="3048" t="s">
        <v>29</v>
      </c>
      <c r="E270" s="3048" t="s">
        <v>30</v>
      </c>
      <c r="F270" s="3049">
        <v>2013</v>
      </c>
      <c r="G270" s="3049">
        <v>2015</v>
      </c>
      <c r="H270" s="3049">
        <v>2020</v>
      </c>
      <c r="I270" s="3049">
        <v>2025</v>
      </c>
      <c r="J270" s="3049">
        <v>2030</v>
      </c>
      <c r="K270" s="3049">
        <v>2035</v>
      </c>
      <c r="L270" s="3049">
        <v>2040</v>
      </c>
      <c r="M270" s="3049">
        <v>2045</v>
      </c>
      <c r="N270" s="3049">
        <v>2050</v>
      </c>
    </row>
    <row r="271" spans="2:28">
      <c r="D271" s="2890" t="s">
        <v>2458</v>
      </c>
      <c r="F271" s="2510">
        <f t="shared" ref="F271:N271" si="36">F31</f>
        <v>9.3000000000000007</v>
      </c>
      <c r="G271" s="2510">
        <f t="shared" si="36"/>
        <v>9.6142857142857157</v>
      </c>
      <c r="H271" s="2510">
        <f t="shared" si="36"/>
        <v>10.4</v>
      </c>
      <c r="I271" s="2510">
        <f t="shared" si="36"/>
        <v>10.516666666666666</v>
      </c>
      <c r="J271" s="2510">
        <f t="shared" si="36"/>
        <v>10.633333333333333</v>
      </c>
      <c r="K271" s="2510">
        <f t="shared" si="36"/>
        <v>10.75</v>
      </c>
      <c r="L271" s="2510">
        <f t="shared" si="36"/>
        <v>10.866666666666665</v>
      </c>
      <c r="M271" s="2510">
        <f t="shared" si="36"/>
        <v>10.983333333333333</v>
      </c>
      <c r="N271" s="2510">
        <f t="shared" si="36"/>
        <v>11.1</v>
      </c>
    </row>
    <row r="272" spans="2:28">
      <c r="D272" s="2890" t="s">
        <v>2459</v>
      </c>
      <c r="F272" s="2510">
        <f>$F$133</f>
        <v>-1.4</v>
      </c>
      <c r="G272" s="2510">
        <f t="shared" ref="G272:N272" si="37">$F$133</f>
        <v>-1.4</v>
      </c>
      <c r="H272" s="2510">
        <f t="shared" si="37"/>
        <v>-1.4</v>
      </c>
      <c r="I272" s="2510">
        <f t="shared" si="37"/>
        <v>-1.4</v>
      </c>
      <c r="J272" s="2510">
        <f t="shared" si="37"/>
        <v>-1.4</v>
      </c>
      <c r="K272" s="2510">
        <f t="shared" si="37"/>
        <v>-1.4</v>
      </c>
      <c r="L272" s="2510">
        <f t="shared" si="37"/>
        <v>-1.4</v>
      </c>
      <c r="M272" s="2510">
        <f t="shared" si="37"/>
        <v>-1.4</v>
      </c>
      <c r="N272" s="2510">
        <f t="shared" si="37"/>
        <v>-1.4</v>
      </c>
    </row>
    <row r="273" spans="2:14">
      <c r="C273" s="1725"/>
      <c r="D273" s="1725" t="s">
        <v>2460</v>
      </c>
      <c r="E273" s="1725"/>
      <c r="F273" s="3053">
        <f>-(F272-F271)</f>
        <v>10.700000000000001</v>
      </c>
      <c r="G273" s="3053">
        <f t="shared" ref="G273:N273" si="38">-(G272-G271)</f>
        <v>11.014285714285716</v>
      </c>
      <c r="H273" s="3053">
        <f t="shared" si="38"/>
        <v>11.8</v>
      </c>
      <c r="I273" s="3053">
        <f t="shared" si="38"/>
        <v>11.916666666666666</v>
      </c>
      <c r="J273" s="3053">
        <f t="shared" si="38"/>
        <v>12.033333333333333</v>
      </c>
      <c r="K273" s="3053">
        <f t="shared" si="38"/>
        <v>12.15</v>
      </c>
      <c r="L273" s="3053">
        <f t="shared" si="38"/>
        <v>12.266666666666666</v>
      </c>
      <c r="M273" s="3053">
        <f t="shared" si="38"/>
        <v>12.383333333333333</v>
      </c>
      <c r="N273" s="3053">
        <f t="shared" si="38"/>
        <v>12.5</v>
      </c>
    </row>
    <row r="274" spans="2:14">
      <c r="F274" s="989"/>
      <c r="G274" s="989"/>
      <c r="H274" s="989"/>
      <c r="I274" s="989"/>
      <c r="J274" s="989"/>
      <c r="K274" s="989"/>
      <c r="L274" s="989"/>
      <c r="M274" s="989"/>
      <c r="N274" s="989"/>
    </row>
    <row r="275" spans="2:14">
      <c r="B275" s="363"/>
      <c r="C275" s="2890" t="s">
        <v>2461</v>
      </c>
      <c r="E275" s="382"/>
      <c r="F275" s="374"/>
      <c r="G275" s="374"/>
      <c r="H275" s="374"/>
      <c r="I275" s="374"/>
      <c r="J275" s="374"/>
      <c r="K275" s="374"/>
      <c r="L275" s="374"/>
      <c r="M275" s="374"/>
      <c r="N275" s="382" t="str">
        <f>Preferences.PowerUnits&amp;"e"</f>
        <v>GWe</v>
      </c>
    </row>
    <row r="276" spans="2:14">
      <c r="B276" s="363"/>
      <c r="C276" s="2"/>
      <c r="E276" s="382"/>
      <c r="F276" s="374"/>
      <c r="G276" s="374"/>
      <c r="H276" s="374"/>
      <c r="I276" s="374"/>
      <c r="J276" s="374"/>
      <c r="K276" s="374"/>
      <c r="L276" s="374"/>
      <c r="M276" s="374"/>
      <c r="N276" s="374"/>
    </row>
    <row r="277" spans="2:14">
      <c r="C277" s="3048"/>
      <c r="D277" s="3048" t="s">
        <v>29</v>
      </c>
      <c r="E277" s="3048" t="s">
        <v>30</v>
      </c>
      <c r="F277" s="3049">
        <v>2013</v>
      </c>
      <c r="G277" s="3049">
        <v>2015</v>
      </c>
      <c r="H277" s="3049">
        <v>2020</v>
      </c>
      <c r="I277" s="3049">
        <v>2025</v>
      </c>
      <c r="J277" s="3049">
        <v>2030</v>
      </c>
      <c r="K277" s="3049">
        <v>2035</v>
      </c>
      <c r="L277" s="3049">
        <v>2040</v>
      </c>
      <c r="M277" s="3049">
        <v>2045</v>
      </c>
      <c r="N277" s="3049">
        <v>2050</v>
      </c>
    </row>
    <row r="278" spans="2:14">
      <c r="C278" s="2890" t="s">
        <v>2</v>
      </c>
      <c r="D278" s="2890" t="s">
        <v>2391</v>
      </c>
      <c r="F278" s="2510">
        <f t="shared" ref="F278:N279" ca="1" si="39">F36*F$273</f>
        <v>0.16288132248401962</v>
      </c>
      <c r="G278" s="2510">
        <f t="shared" ca="1" si="39"/>
        <v>0.27664790556091806</v>
      </c>
      <c r="H278" s="2510">
        <f t="shared" ca="1" si="39"/>
        <v>0.32510841740556295</v>
      </c>
      <c r="I278" s="2510">
        <f t="shared" ca="1" si="39"/>
        <v>0.36241980955460112</v>
      </c>
      <c r="J278" s="2510">
        <f t="shared" ca="1" si="39"/>
        <v>0.39984187971030077</v>
      </c>
      <c r="K278" s="2510">
        <f t="shared" ca="1" si="39"/>
        <v>0.43933082437505744</v>
      </c>
      <c r="L278" s="2510">
        <f t="shared" ca="1" si="39"/>
        <v>0.48097469005753979</v>
      </c>
      <c r="M278" s="2510">
        <f t="shared" ca="1" si="39"/>
        <v>0.5236539163082875</v>
      </c>
      <c r="N278" s="2510">
        <f t="shared" ca="1" si="39"/>
        <v>0.56918266502265136</v>
      </c>
    </row>
    <row r="279" spans="2:14">
      <c r="C279" s="2890" t="s">
        <v>465</v>
      </c>
      <c r="D279" s="2890" t="s">
        <v>2392</v>
      </c>
      <c r="F279" s="2510">
        <f t="shared" ca="1" si="39"/>
        <v>3.2496296296296299</v>
      </c>
      <c r="G279" s="2510">
        <f t="shared" ca="1" si="39"/>
        <v>3.3450793650793655</v>
      </c>
      <c r="H279" s="2510">
        <f t="shared" ca="1" si="39"/>
        <v>1.7231746031746027</v>
      </c>
      <c r="I279" s="2510">
        <f t="shared" ca="1" si="39"/>
        <v>-0.1387125220458561</v>
      </c>
      <c r="J279" s="2510">
        <f t="shared" ca="1" si="39"/>
        <v>-2.0373897707231055</v>
      </c>
      <c r="K279" s="2510">
        <f t="shared" ca="1" si="39"/>
        <v>-3.9728571428571442</v>
      </c>
      <c r="L279" s="2510">
        <f t="shared" ca="1" si="39"/>
        <v>-5.9451146384479729</v>
      </c>
      <c r="M279" s="2510">
        <f t="shared" ca="1" si="39"/>
        <v>-7.9541622574955912</v>
      </c>
      <c r="N279" s="2510">
        <f t="shared" ca="1" si="39"/>
        <v>-10</v>
      </c>
    </row>
    <row r="280" spans="2:14">
      <c r="C280" s="1725"/>
      <c r="D280" s="1725" t="s">
        <v>2456</v>
      </c>
      <c r="E280" s="1725"/>
      <c r="F280" s="3053">
        <f t="shared" ref="F280:N280" ca="1" si="40">SUM(F278:F279)</f>
        <v>3.4125109521136494</v>
      </c>
      <c r="G280" s="3053">
        <f t="shared" ca="1" si="40"/>
        <v>3.6217272706402834</v>
      </c>
      <c r="H280" s="3053">
        <f t="shared" ca="1" si="40"/>
        <v>2.0482830205801656</v>
      </c>
      <c r="I280" s="3053">
        <f t="shared" ca="1" si="40"/>
        <v>0.22370728750874502</v>
      </c>
      <c r="J280" s="3053">
        <f t="shared" ca="1" si="40"/>
        <v>-1.6375478910128047</v>
      </c>
      <c r="K280" s="3053">
        <f t="shared" ca="1" si="40"/>
        <v>-3.5335263184820866</v>
      </c>
      <c r="L280" s="3053">
        <f t="shared" ca="1" si="40"/>
        <v>-5.4641399483904332</v>
      </c>
      <c r="M280" s="3053">
        <f t="shared" ca="1" si="40"/>
        <v>-7.4305083411873039</v>
      </c>
      <c r="N280" s="3053">
        <f t="shared" ca="1" si="40"/>
        <v>-9.4308173349773483</v>
      </c>
    </row>
    <row r="283" spans="2:14">
      <c r="C283" s="2890" t="s">
        <v>2462</v>
      </c>
      <c r="N283" s="382" t="str">
        <f>Preferences.PowerUnits&amp;"e"</f>
        <v>GWe</v>
      </c>
    </row>
    <row r="285" spans="2:14" ht="15.75">
      <c r="B285" s="2338"/>
      <c r="C285" s="3048" t="s">
        <v>131</v>
      </c>
      <c r="D285" s="3048" t="s">
        <v>29</v>
      </c>
      <c r="E285" s="3048" t="s">
        <v>30</v>
      </c>
      <c r="F285" s="3049">
        <v>2013</v>
      </c>
      <c r="G285" s="3049">
        <v>2015</v>
      </c>
      <c r="H285" s="3049">
        <v>2020</v>
      </c>
      <c r="I285" s="3049">
        <v>2025</v>
      </c>
      <c r="J285" s="3049">
        <v>2030</v>
      </c>
      <c r="K285" s="3049">
        <v>2035</v>
      </c>
      <c r="L285" s="3049">
        <v>2040</v>
      </c>
      <c r="M285" s="3049">
        <v>2045</v>
      </c>
      <c r="N285" s="3049">
        <v>2050</v>
      </c>
    </row>
    <row r="286" spans="2:14" ht="15.75">
      <c r="B286" s="2338"/>
      <c r="C286" s="521" t="s">
        <v>0</v>
      </c>
      <c r="D286" s="3050" t="s">
        <v>1</v>
      </c>
      <c r="E286" s="521"/>
      <c r="F286" s="3360">
        <f ca="1">-F266-F280</f>
        <v>-3.3676168728614955</v>
      </c>
      <c r="G286" s="3360">
        <f t="shared" ref="G286:N286" ca="1" si="41">-G266-G280</f>
        <v>-3.5696240107521793</v>
      </c>
      <c r="H286" s="3360">
        <f t="shared" ca="1" si="41"/>
        <v>-1.9903780442024734</v>
      </c>
      <c r="I286" s="3360">
        <f t="shared" ca="1" si="41"/>
        <v>-0.16498328718639479</v>
      </c>
      <c r="J286" s="3360">
        <f t="shared" ca="1" si="41"/>
        <v>1.6930026231992206</v>
      </c>
      <c r="K286" s="3360">
        <f t="shared" ca="1" si="41"/>
        <v>3.5840626122636081</v>
      </c>
      <c r="L286" s="3360">
        <f t="shared" ca="1" si="41"/>
        <v>5.5069619840274813</v>
      </c>
      <c r="M286" s="3360">
        <f t="shared" ca="1" si="41"/>
        <v>7.4584607340059463</v>
      </c>
      <c r="N286" s="3360">
        <f t="shared" ca="1" si="41"/>
        <v>9.4400456794568779</v>
      </c>
    </row>
    <row r="287" spans="2:14" ht="15.75">
      <c r="B287" s="2338"/>
      <c r="C287" s="521" t="s">
        <v>520</v>
      </c>
      <c r="D287" s="3050" t="s">
        <v>521</v>
      </c>
      <c r="E287" s="521"/>
      <c r="F287" s="3360">
        <f t="shared" ref="F287:N287" ca="1" si="42">$F$134*F16</f>
        <v>-0.41831999999999997</v>
      </c>
      <c r="G287" s="3360">
        <f t="shared" ca="1" si="42"/>
        <v>-0.52397899999999975</v>
      </c>
      <c r="H287" s="3360">
        <f t="shared" ca="1" si="42"/>
        <v>-0.85452649999999997</v>
      </c>
      <c r="I287" s="3360">
        <f t="shared" ca="1" si="42"/>
        <v>-1.2585289999999996</v>
      </c>
      <c r="J287" s="3360">
        <f t="shared" ca="1" si="42"/>
        <v>-1.8706539999999992</v>
      </c>
      <c r="K287" s="3360">
        <f t="shared" ca="1" si="42"/>
        <v>-2.1155039999999996</v>
      </c>
      <c r="L287" s="3360">
        <f t="shared" ca="1" si="42"/>
        <v>-2.1155039999999996</v>
      </c>
      <c r="M287" s="3360">
        <f t="shared" ca="1" si="42"/>
        <v>-2.1155039999999996</v>
      </c>
      <c r="N287" s="3360">
        <f t="shared" ca="1" si="42"/>
        <v>-2.1155039999999996</v>
      </c>
    </row>
    <row r="288" spans="2:14" ht="15.75">
      <c r="B288" s="2338"/>
      <c r="C288" s="521" t="s">
        <v>522</v>
      </c>
      <c r="D288" s="3050" t="s">
        <v>523</v>
      </c>
      <c r="E288" s="521"/>
      <c r="F288" s="3360">
        <f t="shared" ref="F288:N288" ca="1" si="43">$F$135*F17</f>
        <v>-8.0749999999999988E-3</v>
      </c>
      <c r="G288" s="3360">
        <f t="shared" ca="1" si="43"/>
        <v>-8.0749999999999988E-3</v>
      </c>
      <c r="H288" s="3360">
        <f t="shared" ca="1" si="43"/>
        <v>-8.5000000000000006E-3</v>
      </c>
      <c r="I288" s="3360">
        <f t="shared" ca="1" si="43"/>
        <v>-8.5000000000000006E-3</v>
      </c>
      <c r="J288" s="3360">
        <f t="shared" ca="1" si="43"/>
        <v>-0.19188749999999996</v>
      </c>
      <c r="K288" s="3360">
        <f t="shared" ca="1" si="43"/>
        <v>-0.50681249999999989</v>
      </c>
      <c r="L288" s="3360">
        <f t="shared" ca="1" si="43"/>
        <v>-0.88931249999999984</v>
      </c>
      <c r="M288" s="3360">
        <f t="shared" ca="1" si="43"/>
        <v>-1.5586875</v>
      </c>
      <c r="N288" s="3360">
        <f t="shared" ca="1" si="43"/>
        <v>-2.2280624999999996</v>
      </c>
    </row>
    <row r="289" spans="2:17" ht="15.75">
      <c r="B289" s="2338"/>
      <c r="C289" s="521" t="s">
        <v>627</v>
      </c>
      <c r="D289" s="3050" t="s">
        <v>399</v>
      </c>
      <c r="E289" s="521"/>
      <c r="F289" s="3360">
        <f t="shared" ref="F289:N289" ca="1" si="44">$F$136*F18</f>
        <v>0</v>
      </c>
      <c r="G289" s="3360">
        <f t="shared" ca="1" si="44"/>
        <v>-1.9438356164383556E-4</v>
      </c>
      <c r="H289" s="3360">
        <f t="shared" ca="1" si="44"/>
        <v>-6.3854999999999988E-4</v>
      </c>
      <c r="I289" s="3360">
        <f t="shared" ca="1" si="44"/>
        <v>-1.91565E-2</v>
      </c>
      <c r="J289" s="3360">
        <f t="shared" ca="1" si="44"/>
        <v>-0.12770999999999999</v>
      </c>
      <c r="K289" s="3360">
        <f t="shared" ca="1" si="44"/>
        <v>-0.19156499999999996</v>
      </c>
      <c r="L289" s="3360">
        <f t="shared" ca="1" si="44"/>
        <v>-0.25541999999999998</v>
      </c>
      <c r="M289" s="3360">
        <f t="shared" ca="1" si="44"/>
        <v>-0.25541999999999998</v>
      </c>
      <c r="N289" s="3360">
        <f t="shared" ca="1" si="44"/>
        <v>-0.306504</v>
      </c>
    </row>
    <row r="290" spans="2:17" ht="15.75">
      <c r="B290" s="2338"/>
      <c r="C290" s="521" t="s">
        <v>534</v>
      </c>
      <c r="D290" s="3050" t="s">
        <v>1505</v>
      </c>
      <c r="E290" s="521"/>
      <c r="F290" s="3360">
        <f t="shared" ref="F290:N290" ca="1" si="45">$F$137*F19</f>
        <v>0</v>
      </c>
      <c r="G290" s="3360">
        <f t="shared" ca="1" si="45"/>
        <v>0</v>
      </c>
      <c r="H290" s="3360">
        <f t="shared" ca="1" si="45"/>
        <v>-3.8799999999999994E-2</v>
      </c>
      <c r="I290" s="3360">
        <f t="shared" ca="1" si="45"/>
        <v>-7.7599999999999988E-2</v>
      </c>
      <c r="J290" s="3360">
        <f t="shared" ca="1" si="45"/>
        <v>-0.15519999999999998</v>
      </c>
      <c r="K290" s="3360">
        <f t="shared" ca="1" si="45"/>
        <v>-0.23280000000000001</v>
      </c>
      <c r="L290" s="3360">
        <f t="shared" ca="1" si="45"/>
        <v>-0.31039999999999995</v>
      </c>
      <c r="M290" s="3360">
        <f t="shared" ca="1" si="45"/>
        <v>-0.34919999999999995</v>
      </c>
      <c r="N290" s="3360">
        <f t="shared" ca="1" si="45"/>
        <v>-0.3879999999999999</v>
      </c>
    </row>
    <row r="291" spans="2:17">
      <c r="C291" s="2890" t="s">
        <v>536</v>
      </c>
      <c r="D291" s="2890" t="s">
        <v>1507</v>
      </c>
      <c r="F291" s="3360">
        <f t="shared" ref="F291:N291" ca="1" si="46">$F$139*F20</f>
        <v>0</v>
      </c>
      <c r="G291" s="3360">
        <f t="shared" ca="1" si="46"/>
        <v>0</v>
      </c>
      <c r="H291" s="3360">
        <f t="shared" ca="1" si="46"/>
        <v>-1.9919999999999993E-2</v>
      </c>
      <c r="I291" s="3360">
        <f t="shared" ca="1" si="46"/>
        <v>-1.9919999999999993E-2</v>
      </c>
      <c r="J291" s="3360">
        <f t="shared" ca="1" si="46"/>
        <v>-1.9919999999999993E-2</v>
      </c>
      <c r="K291" s="3360">
        <f t="shared" ca="1" si="46"/>
        <v>-3.6519999999999921E-2</v>
      </c>
      <c r="L291" s="3360">
        <f t="shared" ca="1" si="46"/>
        <v>-3.6519999999999921E-2</v>
      </c>
      <c r="M291" s="3360">
        <f t="shared" ca="1" si="46"/>
        <v>-3.9839999999999987E-2</v>
      </c>
      <c r="N291" s="3360">
        <f t="shared" ca="1" si="46"/>
        <v>-3.9839999999999987E-2</v>
      </c>
    </row>
    <row r="292" spans="2:17" ht="15.75">
      <c r="B292" s="2338"/>
      <c r="C292" s="1725"/>
      <c r="D292" s="1725" t="s">
        <v>2463</v>
      </c>
      <c r="E292" s="1725"/>
      <c r="F292" s="3055">
        <f ca="1">MIN(SUM(F286:F291),0)</f>
        <v>-3.7940118728614953</v>
      </c>
      <c r="G292" s="3365">
        <f t="shared" ref="G292:N292" ca="1" si="47">MIN(SUM(G286:G291),0)</f>
        <v>-4.1018723943138236</v>
      </c>
      <c r="H292" s="3055">
        <f t="shared" ca="1" si="47"/>
        <v>-2.9127630942024738</v>
      </c>
      <c r="I292" s="3055">
        <f t="shared" ca="1" si="47"/>
        <v>-1.5486887871863941</v>
      </c>
      <c r="J292" s="3055">
        <f t="shared" ca="1" si="47"/>
        <v>-0.6723688768007785</v>
      </c>
      <c r="K292" s="3055">
        <f t="shared" ca="1" si="47"/>
        <v>0</v>
      </c>
      <c r="L292" s="3055">
        <f t="shared" ca="1" si="47"/>
        <v>0</v>
      </c>
      <c r="M292" s="3055">
        <f t="shared" ca="1" si="47"/>
        <v>0</v>
      </c>
      <c r="N292" s="3055">
        <f t="shared" ca="1" si="47"/>
        <v>0</v>
      </c>
    </row>
    <row r="294" spans="2:17">
      <c r="C294" s="2890" t="s">
        <v>2464</v>
      </c>
      <c r="N294" s="1620" t="str">
        <f>Preferences.EnergyUnits&amp;"e"</f>
        <v>TWhe</v>
      </c>
    </row>
    <row r="296" spans="2:17" ht="15.75">
      <c r="B296" s="2338"/>
      <c r="C296" s="3048" t="s">
        <v>131</v>
      </c>
      <c r="D296" s="3048" t="s">
        <v>29</v>
      </c>
      <c r="E296" s="3048" t="s">
        <v>30</v>
      </c>
      <c r="F296" s="3049">
        <v>2013</v>
      </c>
      <c r="G296" s="3049">
        <v>2015</v>
      </c>
      <c r="H296" s="3049">
        <v>2020</v>
      </c>
      <c r="I296" s="3049">
        <v>2025</v>
      </c>
      <c r="J296" s="3049">
        <v>2030</v>
      </c>
      <c r="K296" s="3049">
        <v>2035</v>
      </c>
      <c r="L296" s="3049">
        <v>2040</v>
      </c>
      <c r="M296" s="3049">
        <v>2045</v>
      </c>
      <c r="N296" s="3049">
        <v>2050</v>
      </c>
    </row>
    <row r="297" spans="2:17" ht="15.75">
      <c r="B297" s="2338"/>
      <c r="C297" s="521" t="s">
        <v>0</v>
      </c>
      <c r="D297" s="3050" t="s">
        <v>1</v>
      </c>
      <c r="E297" s="521"/>
      <c r="F297" s="3360">
        <f t="shared" ref="F297:N299" ca="1" si="48">F286*Conversion.to.energy.per.second*$F$131*Unit.day</f>
        <v>-0.40411402474337943</v>
      </c>
      <c r="G297" s="3364">
        <f t="shared" ca="1" si="48"/>
        <v>-0.42835488129026156</v>
      </c>
      <c r="H297" s="3360">
        <f t="shared" ca="1" si="48"/>
        <v>-0.23884536530429684</v>
      </c>
      <c r="I297" s="3360">
        <f t="shared" ca="1" si="48"/>
        <v>-1.9797994462367373E-2</v>
      </c>
      <c r="J297" s="3360">
        <f t="shared" ca="1" si="48"/>
        <v>0.20316031478390648</v>
      </c>
      <c r="K297" s="3360">
        <f t="shared" ca="1" si="48"/>
        <v>0.43008751347163299</v>
      </c>
      <c r="L297" s="3360">
        <f t="shared" ca="1" si="48"/>
        <v>0.6608354380832977</v>
      </c>
      <c r="M297" s="3360">
        <f t="shared" ca="1" si="48"/>
        <v>0.89501528808071351</v>
      </c>
      <c r="N297" s="3360">
        <f t="shared" ca="1" si="48"/>
        <v>1.1328054815348254</v>
      </c>
    </row>
    <row r="298" spans="2:17" ht="15.75">
      <c r="B298" s="2338"/>
      <c r="C298" s="521" t="s">
        <v>520</v>
      </c>
      <c r="D298" s="3050" t="s">
        <v>521</v>
      </c>
      <c r="E298" s="521"/>
      <c r="F298" s="3360">
        <f t="shared" ca="1" si="48"/>
        <v>-5.019839999999999E-2</v>
      </c>
      <c r="G298" s="3364">
        <f t="shared" ca="1" si="48"/>
        <v>-6.2877479999999958E-2</v>
      </c>
      <c r="H298" s="3360">
        <f t="shared" ca="1" si="48"/>
        <v>-0.10254317999999998</v>
      </c>
      <c r="I298" s="3360">
        <f t="shared" ca="1" si="48"/>
        <v>-0.15102347999999993</v>
      </c>
      <c r="J298" s="3360">
        <f t="shared" ca="1" si="48"/>
        <v>-0.2244784799999999</v>
      </c>
      <c r="K298" s="3360">
        <f t="shared" ca="1" si="48"/>
        <v>-0.25386047999999994</v>
      </c>
      <c r="L298" s="3360">
        <f t="shared" ca="1" si="48"/>
        <v>-0.25386047999999994</v>
      </c>
      <c r="M298" s="3360">
        <f t="shared" ca="1" si="48"/>
        <v>-0.25386047999999994</v>
      </c>
      <c r="N298" s="3360">
        <f t="shared" ca="1" si="48"/>
        <v>-0.25386047999999994</v>
      </c>
    </row>
    <row r="299" spans="2:17" ht="15.75">
      <c r="B299" s="2338"/>
      <c r="C299" s="521" t="s">
        <v>522</v>
      </c>
      <c r="D299" s="3050" t="s">
        <v>523</v>
      </c>
      <c r="E299" s="521"/>
      <c r="F299" s="3360">
        <f ca="1">F288*Conversion.to.energy.per.second*$F$131*Unit.day</f>
        <v>-9.6899999999999992E-4</v>
      </c>
      <c r="G299" s="3364">
        <f t="shared" ca="1" si="48"/>
        <v>-9.6899999999999992E-4</v>
      </c>
      <c r="H299" s="3360">
        <f t="shared" ref="H299:N302" ca="1" si="49">H288*Conversion.to.energy.per.second*$F$131*Unit.day</f>
        <v>-1.0200000000000001E-3</v>
      </c>
      <c r="I299" s="3360">
        <f t="shared" ca="1" si="49"/>
        <v>-1.0200000000000001E-3</v>
      </c>
      <c r="J299" s="3360">
        <f t="shared" ca="1" si="49"/>
        <v>-2.3026499999999995E-2</v>
      </c>
      <c r="K299" s="3360">
        <f t="shared" ca="1" si="49"/>
        <v>-6.0817499999999976E-2</v>
      </c>
      <c r="L299" s="3360">
        <f t="shared" ca="1" si="49"/>
        <v>-0.10671749999999998</v>
      </c>
      <c r="M299" s="3360">
        <f t="shared" ca="1" si="49"/>
        <v>-0.18704249999999997</v>
      </c>
      <c r="N299" s="3360">
        <f t="shared" ca="1" si="49"/>
        <v>-0.26736749999999992</v>
      </c>
    </row>
    <row r="300" spans="2:17" ht="15.75">
      <c r="B300" s="2338"/>
      <c r="C300" s="521" t="s">
        <v>627</v>
      </c>
      <c r="D300" s="3050" t="s">
        <v>399</v>
      </c>
      <c r="E300" s="521"/>
      <c r="F300" s="3360">
        <f ca="1">F289*Conversion.to.energy.per.second*$F$131*Unit.day</f>
        <v>0</v>
      </c>
      <c r="G300" s="3364">
        <f ca="1">G289*Conversion.to.energy.per.second*$F$131*Unit.day</f>
        <v>-2.3326027397260269E-5</v>
      </c>
      <c r="H300" s="3360">
        <f t="shared" ca="1" si="49"/>
        <v>-7.6625999999999967E-5</v>
      </c>
      <c r="I300" s="3360">
        <f t="shared" ca="1" si="49"/>
        <v>-2.2987799999999998E-3</v>
      </c>
      <c r="J300" s="3360">
        <f t="shared" ca="1" si="49"/>
        <v>-1.5325199999999997E-2</v>
      </c>
      <c r="K300" s="3360">
        <f t="shared" ca="1" si="49"/>
        <v>-2.2987799999999996E-2</v>
      </c>
      <c r="L300" s="3360">
        <f t="shared" ca="1" si="49"/>
        <v>-3.0650399999999994E-2</v>
      </c>
      <c r="M300" s="3360">
        <f t="shared" ca="1" si="49"/>
        <v>-3.0650399999999994E-2</v>
      </c>
      <c r="N300" s="3360">
        <f t="shared" ca="1" si="49"/>
        <v>-3.6780479999999997E-2</v>
      </c>
    </row>
    <row r="301" spans="2:17" ht="15.75">
      <c r="B301" s="2338"/>
      <c r="C301" s="521" t="s">
        <v>534</v>
      </c>
      <c r="D301" s="3050" t="s">
        <v>1505</v>
      </c>
      <c r="E301" s="521"/>
      <c r="F301" s="3360">
        <f ca="1">F290*Conversion.to.energy.per.second*$F$131*Unit.day</f>
        <v>0</v>
      </c>
      <c r="G301" s="3364">
        <f ca="1">G290*Conversion.to.energy.per.second*$F$131*Unit.day</f>
        <v>0</v>
      </c>
      <c r="H301" s="3360">
        <f t="shared" ca="1" si="49"/>
        <v>-4.6559999999999995E-3</v>
      </c>
      <c r="I301" s="3360">
        <f t="shared" ca="1" si="49"/>
        <v>-9.3119999999999991E-3</v>
      </c>
      <c r="J301" s="3360">
        <f t="shared" ca="1" si="49"/>
        <v>-1.8623999999999998E-2</v>
      </c>
      <c r="K301" s="3360">
        <f t="shared" ca="1" si="49"/>
        <v>-2.7936000000000002E-2</v>
      </c>
      <c r="L301" s="3360">
        <f t="shared" ca="1" si="49"/>
        <v>-3.7247999999999996E-2</v>
      </c>
      <c r="M301" s="3360">
        <f t="shared" ca="1" si="49"/>
        <v>-4.190399999999999E-2</v>
      </c>
      <c r="N301" s="3360">
        <f t="shared" ca="1" si="49"/>
        <v>-4.6559999999999983E-2</v>
      </c>
    </row>
    <row r="302" spans="2:17" ht="15.75">
      <c r="B302" s="2338"/>
      <c r="C302" s="2890" t="s">
        <v>536</v>
      </c>
      <c r="D302" s="2890" t="s">
        <v>1507</v>
      </c>
      <c r="E302" s="521"/>
      <c r="F302" s="3360">
        <f ca="1">F291*Conversion.to.energy.per.second*$F$131*Unit.day</f>
        <v>0</v>
      </c>
      <c r="G302" s="3366">
        <f ca="1">G291*Conversion.to.energy.per.second*$F$131*Unit.day</f>
        <v>0</v>
      </c>
      <c r="H302" s="3360">
        <f t="shared" ca="1" si="49"/>
        <v>-2.3903999999999987E-3</v>
      </c>
      <c r="I302" s="3360">
        <f t="shared" ca="1" si="49"/>
        <v>-2.3903999999999987E-3</v>
      </c>
      <c r="J302" s="3360">
        <f t="shared" ca="1" si="49"/>
        <v>-2.3903999999999987E-3</v>
      </c>
      <c r="K302" s="3360">
        <f t="shared" ca="1" si="49"/>
        <v>-4.3823999999999903E-3</v>
      </c>
      <c r="L302" s="3360">
        <f t="shared" ca="1" si="49"/>
        <v>-4.3823999999999903E-3</v>
      </c>
      <c r="M302" s="3360">
        <f t="shared" ca="1" si="49"/>
        <v>-4.7807999999999974E-3</v>
      </c>
      <c r="N302" s="3360">
        <f t="shared" ca="1" si="49"/>
        <v>-4.7807999999999974E-3</v>
      </c>
    </row>
    <row r="303" spans="2:17" ht="15.75">
      <c r="B303" s="2338"/>
      <c r="C303" s="1725"/>
      <c r="D303" s="1725" t="s">
        <v>2463</v>
      </c>
      <c r="E303" s="1725"/>
      <c r="F303" s="3055">
        <f ca="1">MIN(SUM(F297:F302),0)</f>
        <v>-0.4552814247433794</v>
      </c>
      <c r="G303" s="3365">
        <f t="shared" ref="G303:N303" ca="1" si="50">MIN(SUM(G297:G302),0)</f>
        <v>-0.49222468731765873</v>
      </c>
      <c r="H303" s="3055">
        <f t="shared" ca="1" si="50"/>
        <v>-0.34953157130429691</v>
      </c>
      <c r="I303" s="3055">
        <f t="shared" ca="1" si="50"/>
        <v>-0.18584265446236728</v>
      </c>
      <c r="J303" s="3055">
        <f t="shared" ca="1" si="50"/>
        <v>-8.0684265216093412E-2</v>
      </c>
      <c r="K303" s="3055">
        <f t="shared" ca="1" si="50"/>
        <v>0</v>
      </c>
      <c r="L303" s="3055">
        <f t="shared" ca="1" si="50"/>
        <v>0</v>
      </c>
      <c r="M303" s="3055">
        <f t="shared" ca="1" si="50"/>
        <v>0</v>
      </c>
      <c r="N303" s="3055">
        <f t="shared" ca="1" si="50"/>
        <v>0</v>
      </c>
      <c r="Q303" s="2655"/>
    </row>
    <row r="305" spans="2:14">
      <c r="B305" s="363">
        <v>3</v>
      </c>
      <c r="C305" s="363" t="s">
        <v>2465</v>
      </c>
    </row>
    <row r="307" spans="2:14">
      <c r="C307" s="2890" t="s">
        <v>2466</v>
      </c>
      <c r="N307" s="382" t="str">
        <f>Preferences.PowerUnits&amp;"e"</f>
        <v>GWe</v>
      </c>
    </row>
    <row r="309" spans="2:14" ht="15.75">
      <c r="B309" s="2338"/>
      <c r="C309" s="3048"/>
      <c r="D309" s="3048" t="s">
        <v>29</v>
      </c>
      <c r="E309" s="3048" t="s">
        <v>30</v>
      </c>
      <c r="F309" s="3049">
        <v>2013</v>
      </c>
      <c r="G309" s="3049">
        <v>2015</v>
      </c>
      <c r="H309" s="3049">
        <v>2020</v>
      </c>
      <c r="I309" s="3049">
        <v>2025</v>
      </c>
      <c r="J309" s="3049">
        <v>2030</v>
      </c>
      <c r="K309" s="3049">
        <v>2035</v>
      </c>
      <c r="L309" s="3049">
        <v>2040</v>
      </c>
      <c r="M309" s="3049">
        <v>2045</v>
      </c>
      <c r="N309" s="3049">
        <v>2050</v>
      </c>
    </row>
    <row r="310" spans="2:14" ht="15.75">
      <c r="B310" s="2338"/>
      <c r="C310" s="521"/>
      <c r="D310" s="3050" t="s">
        <v>2467</v>
      </c>
      <c r="E310" s="521"/>
      <c r="F310" s="3360">
        <f ca="1">F292</f>
        <v>-3.7940118728614953</v>
      </c>
      <c r="G310" s="3364">
        <f t="shared" ref="G310:N310" ca="1" si="51">G292</f>
        <v>-4.1018723943138236</v>
      </c>
      <c r="H310" s="3360">
        <f t="shared" ca="1" si="51"/>
        <v>-2.9127630942024738</v>
      </c>
      <c r="I310" s="3360">
        <f t="shared" ca="1" si="51"/>
        <v>-1.5486887871863941</v>
      </c>
      <c r="J310" s="3360">
        <f t="shared" ca="1" si="51"/>
        <v>-0.6723688768007785</v>
      </c>
      <c r="K310" s="3360">
        <f t="shared" ca="1" si="51"/>
        <v>0</v>
      </c>
      <c r="L310" s="3360">
        <f t="shared" ca="1" si="51"/>
        <v>0</v>
      </c>
      <c r="M310" s="3360">
        <f t="shared" ca="1" si="51"/>
        <v>0</v>
      </c>
      <c r="N310" s="3360">
        <f t="shared" ca="1" si="51"/>
        <v>0</v>
      </c>
    </row>
    <row r="311" spans="2:14" ht="15.75">
      <c r="B311" s="2338"/>
      <c r="C311" s="521"/>
      <c r="D311" s="3050" t="s">
        <v>2468</v>
      </c>
      <c r="E311" s="521"/>
      <c r="F311" s="3360">
        <f ca="1">F310+F336</f>
        <v>-3.7940118728614953</v>
      </c>
      <c r="G311" s="3360">
        <f t="shared" ref="G311:N315" ca="1" si="52">G310+G336</f>
        <v>-4.1018723943138236</v>
      </c>
      <c r="H311" s="3360">
        <f t="shared" ca="1" si="52"/>
        <v>-2.9127630942024738</v>
      </c>
      <c r="I311" s="3360">
        <f t="shared" ca="1" si="52"/>
        <v>-1.5486887871863941</v>
      </c>
      <c r="J311" s="3360">
        <f t="shared" ca="1" si="52"/>
        <v>0</v>
      </c>
      <c r="K311" s="3360">
        <f t="shared" ca="1" si="52"/>
        <v>0</v>
      </c>
      <c r="L311" s="3360">
        <f t="shared" ca="1" si="52"/>
        <v>0</v>
      </c>
      <c r="M311" s="3360">
        <f t="shared" ca="1" si="52"/>
        <v>0</v>
      </c>
      <c r="N311" s="3360">
        <f t="shared" ca="1" si="52"/>
        <v>0</v>
      </c>
    </row>
    <row r="312" spans="2:14" ht="15.75">
      <c r="B312" s="2338"/>
      <c r="C312" s="521"/>
      <c r="D312" s="3050" t="s">
        <v>2469</v>
      </c>
      <c r="E312" s="521"/>
      <c r="F312" s="3360">
        <f ca="1">F311+F337</f>
        <v>-0.99569376780032393</v>
      </c>
      <c r="G312" s="3364">
        <f t="shared" ca="1" si="52"/>
        <v>-1.3919544069826495</v>
      </c>
      <c r="H312" s="3360">
        <f t="shared" ca="1" si="52"/>
        <v>-1.4522759224749819</v>
      </c>
      <c r="I312" s="3360">
        <f t="shared" ca="1" si="52"/>
        <v>-0.57971688810451416</v>
      </c>
      <c r="J312" s="3360">
        <f t="shared" ca="1" si="52"/>
        <v>0</v>
      </c>
      <c r="K312" s="3360">
        <f t="shared" ca="1" si="52"/>
        <v>0</v>
      </c>
      <c r="L312" s="3360">
        <f t="shared" ca="1" si="52"/>
        <v>0</v>
      </c>
      <c r="M312" s="3360">
        <f t="shared" ca="1" si="52"/>
        <v>0</v>
      </c>
      <c r="N312" s="3360">
        <f t="shared" ca="1" si="52"/>
        <v>0</v>
      </c>
    </row>
    <row r="313" spans="2:14" ht="15.75">
      <c r="B313" s="2338"/>
      <c r="C313" s="521"/>
      <c r="D313" s="3050" t="s">
        <v>2470</v>
      </c>
      <c r="E313" s="521"/>
      <c r="F313" s="3360">
        <f ca="1">F312+F338</f>
        <v>-0.24569376780032393</v>
      </c>
      <c r="G313" s="3364">
        <f t="shared" ca="1" si="52"/>
        <v>-0.64195440698264949</v>
      </c>
      <c r="H313" s="3360">
        <f t="shared" ca="1" si="52"/>
        <v>-0.70227592247498194</v>
      </c>
      <c r="I313" s="3360">
        <f t="shared" ca="1" si="52"/>
        <v>0</v>
      </c>
      <c r="J313" s="3360">
        <f t="shared" ca="1" si="52"/>
        <v>0</v>
      </c>
      <c r="K313" s="3360">
        <f t="shared" ca="1" si="52"/>
        <v>0</v>
      </c>
      <c r="L313" s="3360">
        <f t="shared" ca="1" si="52"/>
        <v>0</v>
      </c>
      <c r="M313" s="3360">
        <f t="shared" ca="1" si="52"/>
        <v>0</v>
      </c>
      <c r="N313" s="3360">
        <f t="shared" ca="1" si="52"/>
        <v>0</v>
      </c>
    </row>
    <row r="314" spans="2:14" ht="15.75">
      <c r="B314" s="2338"/>
      <c r="C314" s="521"/>
      <c r="D314" s="3050" t="s">
        <v>2471</v>
      </c>
      <c r="E314" s="521"/>
      <c r="F314" s="3360">
        <f ca="1">F313+F339</f>
        <v>-0.24569376780032393</v>
      </c>
      <c r="G314" s="3364">
        <f t="shared" ca="1" si="52"/>
        <v>-0.64195440698264949</v>
      </c>
      <c r="H314" s="3360">
        <f t="shared" ca="1" si="52"/>
        <v>-0.70227592247498194</v>
      </c>
      <c r="I314" s="3360">
        <f t="shared" ca="1" si="52"/>
        <v>0</v>
      </c>
      <c r="J314" s="3360">
        <f t="shared" ca="1" si="52"/>
        <v>0</v>
      </c>
      <c r="K314" s="3360">
        <f t="shared" ca="1" si="52"/>
        <v>0</v>
      </c>
      <c r="L314" s="3360">
        <f t="shared" ca="1" si="52"/>
        <v>0</v>
      </c>
      <c r="M314" s="3360">
        <f t="shared" ca="1" si="52"/>
        <v>0</v>
      </c>
      <c r="N314" s="3360">
        <f t="shared" ca="1" si="52"/>
        <v>0</v>
      </c>
    </row>
    <row r="315" spans="2:14" ht="15.75">
      <c r="B315" s="2338"/>
      <c r="C315" s="3051"/>
      <c r="D315" s="3050" t="s">
        <v>2472</v>
      </c>
      <c r="E315" s="3051"/>
      <c r="F315" s="3360">
        <f ca="1">F314+F340</f>
        <v>0</v>
      </c>
      <c r="G315" s="3364">
        <f t="shared" ca="1" si="52"/>
        <v>-0.34995440698264951</v>
      </c>
      <c r="H315" s="3360">
        <f t="shared" ca="1" si="52"/>
        <v>-0.41027592247498196</v>
      </c>
      <c r="I315" s="3360">
        <f t="shared" ca="1" si="52"/>
        <v>0</v>
      </c>
      <c r="J315" s="3360">
        <f t="shared" ca="1" si="52"/>
        <v>0</v>
      </c>
      <c r="K315" s="3360">
        <f t="shared" ca="1" si="52"/>
        <v>0</v>
      </c>
      <c r="L315" s="3360">
        <f t="shared" ca="1" si="52"/>
        <v>0</v>
      </c>
      <c r="M315" s="3360">
        <f t="shared" ca="1" si="52"/>
        <v>0</v>
      </c>
      <c r="N315" s="3360">
        <f t="shared" ca="1" si="52"/>
        <v>0</v>
      </c>
    </row>
    <row r="316" spans="2:14" ht="15.75">
      <c r="B316" s="2338"/>
      <c r="C316" s="1725"/>
      <c r="D316" s="1725" t="s">
        <v>2473</v>
      </c>
      <c r="E316" s="1725"/>
      <c r="F316" s="3055">
        <f ca="1">F315</f>
        <v>0</v>
      </c>
      <c r="G316" s="3365">
        <f t="shared" ref="G316:N316" ca="1" si="53">G315</f>
        <v>-0.34995440698264951</v>
      </c>
      <c r="H316" s="3055">
        <f t="shared" ca="1" si="53"/>
        <v>-0.41027592247498196</v>
      </c>
      <c r="I316" s="3055">
        <f t="shared" ca="1" si="53"/>
        <v>0</v>
      </c>
      <c r="J316" s="3055">
        <f t="shared" ca="1" si="53"/>
        <v>0</v>
      </c>
      <c r="K316" s="3055">
        <f t="shared" ca="1" si="53"/>
        <v>0</v>
      </c>
      <c r="L316" s="3055">
        <f t="shared" ca="1" si="53"/>
        <v>0</v>
      </c>
      <c r="M316" s="3055">
        <f t="shared" ca="1" si="53"/>
        <v>0</v>
      </c>
      <c r="N316" s="3055">
        <f t="shared" ca="1" si="53"/>
        <v>0</v>
      </c>
    </row>
    <row r="317" spans="2:14">
      <c r="F317" s="3084"/>
      <c r="G317" s="3084"/>
      <c r="H317" s="3084"/>
      <c r="I317" s="3084"/>
      <c r="J317" s="3084"/>
      <c r="K317" s="3084"/>
      <c r="L317" s="3084"/>
      <c r="M317" s="3084"/>
      <c r="N317" s="3084"/>
    </row>
    <row r="318" spans="2:14">
      <c r="B318" s="363">
        <v>4</v>
      </c>
      <c r="C318" s="363" t="s">
        <v>2474</v>
      </c>
    </row>
    <row r="320" spans="2:14">
      <c r="C320" s="2890" t="s">
        <v>2475</v>
      </c>
      <c r="N320" s="1620" t="str">
        <f>Preferences.EnergyUnits&amp;"e"</f>
        <v>TWhe</v>
      </c>
    </row>
    <row r="322" spans="2:17" ht="15.75">
      <c r="B322" s="2338"/>
      <c r="C322" s="3048"/>
      <c r="D322" s="3048" t="s">
        <v>29</v>
      </c>
      <c r="E322" s="3048" t="s">
        <v>30</v>
      </c>
      <c r="F322" s="3049">
        <v>2013</v>
      </c>
      <c r="G322" s="3049">
        <v>2015</v>
      </c>
      <c r="H322" s="3049">
        <v>2020</v>
      </c>
      <c r="I322" s="3049">
        <v>2025</v>
      </c>
      <c r="J322" s="3049">
        <v>2030</v>
      </c>
      <c r="K322" s="3049">
        <v>2035</v>
      </c>
      <c r="L322" s="3049">
        <v>2040</v>
      </c>
      <c r="M322" s="3049">
        <v>2045</v>
      </c>
      <c r="N322" s="3049">
        <v>2050</v>
      </c>
    </row>
    <row r="323" spans="2:17" ht="15.75">
      <c r="B323" s="2338"/>
      <c r="C323" s="521"/>
      <c r="D323" s="3050" t="s">
        <v>2467</v>
      </c>
      <c r="E323" s="521"/>
      <c r="F323" s="3360">
        <f ca="1">F303</f>
        <v>-0.4552814247433794</v>
      </c>
      <c r="G323" s="3367">
        <f t="shared" ref="G323:N323" ca="1" si="54">G303</f>
        <v>-0.49222468731765873</v>
      </c>
      <c r="H323" s="3360">
        <f t="shared" ca="1" si="54"/>
        <v>-0.34953157130429691</v>
      </c>
      <c r="I323" s="3360">
        <f t="shared" ca="1" si="54"/>
        <v>-0.18584265446236728</v>
      </c>
      <c r="J323" s="3360">
        <f t="shared" ca="1" si="54"/>
        <v>-8.0684265216093412E-2</v>
      </c>
      <c r="K323" s="3360">
        <f t="shared" ca="1" si="54"/>
        <v>0</v>
      </c>
      <c r="L323" s="3360">
        <f t="shared" ca="1" si="54"/>
        <v>0</v>
      </c>
      <c r="M323" s="3360">
        <f t="shared" ca="1" si="54"/>
        <v>0</v>
      </c>
      <c r="N323" s="3360">
        <f t="shared" ca="1" si="54"/>
        <v>0</v>
      </c>
    </row>
    <row r="324" spans="2:17" ht="15.75">
      <c r="B324" s="2338"/>
      <c r="C324" s="521"/>
      <c r="D324" s="3050" t="s">
        <v>2468</v>
      </c>
      <c r="E324" s="521"/>
      <c r="F324" s="3360">
        <f t="shared" ref="F324:N328" ca="1" si="55">F323+F346</f>
        <v>-0.4552814247433794</v>
      </c>
      <c r="G324" s="3364">
        <f t="shared" ca="1" si="55"/>
        <v>-0.49222468731765873</v>
      </c>
      <c r="H324" s="3360">
        <f t="shared" ca="1" si="55"/>
        <v>-0.34953157130429691</v>
      </c>
      <c r="I324" s="3360">
        <f t="shared" ca="1" si="55"/>
        <v>-0.18584265446236728</v>
      </c>
      <c r="J324" s="3360">
        <f t="shared" ca="1" si="55"/>
        <v>0</v>
      </c>
      <c r="K324" s="3360">
        <f t="shared" ca="1" si="55"/>
        <v>0</v>
      </c>
      <c r="L324" s="3360">
        <f t="shared" ca="1" si="55"/>
        <v>0</v>
      </c>
      <c r="M324" s="3360">
        <f t="shared" ca="1" si="55"/>
        <v>0</v>
      </c>
      <c r="N324" s="3360">
        <f t="shared" ca="1" si="55"/>
        <v>0</v>
      </c>
    </row>
    <row r="325" spans="2:17" ht="15.75">
      <c r="B325" s="2338"/>
      <c r="C325" s="521"/>
      <c r="D325" s="3050" t="s">
        <v>2469</v>
      </c>
      <c r="E325" s="521"/>
      <c r="F325" s="3360">
        <f t="shared" ca="1" si="55"/>
        <v>-0.11948325213603883</v>
      </c>
      <c r="G325" s="3364">
        <f t="shared" ca="1" si="55"/>
        <v>-0.16703452883791792</v>
      </c>
      <c r="H325" s="3360">
        <f t="shared" ca="1" si="55"/>
        <v>-0.17427311069699788</v>
      </c>
      <c r="I325" s="3360">
        <f t="shared" ca="1" si="55"/>
        <v>-6.9566026572541698E-2</v>
      </c>
      <c r="J325" s="3360">
        <f t="shared" ca="1" si="55"/>
        <v>0</v>
      </c>
      <c r="K325" s="3360">
        <f t="shared" ca="1" si="55"/>
        <v>0</v>
      </c>
      <c r="L325" s="3360">
        <f t="shared" ca="1" si="55"/>
        <v>0</v>
      </c>
      <c r="M325" s="3360">
        <f t="shared" ca="1" si="55"/>
        <v>0</v>
      </c>
      <c r="N325" s="3360">
        <f t="shared" ca="1" si="55"/>
        <v>0</v>
      </c>
    </row>
    <row r="326" spans="2:17" ht="15.75">
      <c r="B326" s="2338"/>
      <c r="C326" s="521"/>
      <c r="D326" s="3050" t="s">
        <v>2470</v>
      </c>
      <c r="E326" s="521"/>
      <c r="F326" s="3360">
        <f t="shared" ca="1" si="55"/>
        <v>-5.1983252136038841E-2</v>
      </c>
      <c r="G326" s="3364">
        <f t="shared" ca="1" si="55"/>
        <v>-9.9534528837917927E-2</v>
      </c>
      <c r="H326" s="3360">
        <f t="shared" ca="1" si="55"/>
        <v>-0.10677311069699789</v>
      </c>
      <c r="I326" s="3360">
        <f t="shared" ca="1" si="55"/>
        <v>0</v>
      </c>
      <c r="J326" s="3360">
        <f t="shared" ca="1" si="55"/>
        <v>0</v>
      </c>
      <c r="K326" s="3360">
        <f t="shared" ca="1" si="55"/>
        <v>0</v>
      </c>
      <c r="L326" s="3360">
        <f t="shared" ca="1" si="55"/>
        <v>0</v>
      </c>
      <c r="M326" s="3360">
        <f t="shared" ca="1" si="55"/>
        <v>0</v>
      </c>
      <c r="N326" s="3360">
        <f t="shared" ca="1" si="55"/>
        <v>0</v>
      </c>
    </row>
    <row r="327" spans="2:17" ht="15.75">
      <c r="B327" s="2338"/>
      <c r="C327" s="521"/>
      <c r="D327" s="3050" t="s">
        <v>2471</v>
      </c>
      <c r="E327" s="521"/>
      <c r="F327" s="3360">
        <f t="shared" ca="1" si="55"/>
        <v>-5.1983252136038841E-2</v>
      </c>
      <c r="G327" s="3364">
        <f t="shared" ca="1" si="55"/>
        <v>-9.9534528837917927E-2</v>
      </c>
      <c r="H327" s="3360">
        <f t="shared" ca="1" si="55"/>
        <v>-0.10677311069699789</v>
      </c>
      <c r="I327" s="3360">
        <f t="shared" ca="1" si="55"/>
        <v>0</v>
      </c>
      <c r="J327" s="3360">
        <f t="shared" ca="1" si="55"/>
        <v>0</v>
      </c>
      <c r="K327" s="3360">
        <f t="shared" ca="1" si="55"/>
        <v>0</v>
      </c>
      <c r="L327" s="3360">
        <f t="shared" ca="1" si="55"/>
        <v>0</v>
      </c>
      <c r="M327" s="3360">
        <f t="shared" ca="1" si="55"/>
        <v>0</v>
      </c>
      <c r="N327" s="3360">
        <f t="shared" ca="1" si="55"/>
        <v>0</v>
      </c>
    </row>
    <row r="328" spans="2:17" ht="15.75">
      <c r="B328" s="2338"/>
      <c r="C328" s="3051"/>
      <c r="D328" s="3050" t="s">
        <v>2472</v>
      </c>
      <c r="E328" s="3051"/>
      <c r="F328" s="3361">
        <f t="shared" ca="1" si="55"/>
        <v>-5.0393252136038839E-2</v>
      </c>
      <c r="G328" s="3366">
        <f t="shared" ca="1" si="55"/>
        <v>-9.7944528837917932E-2</v>
      </c>
      <c r="H328" s="3361">
        <f t="shared" ca="1" si="55"/>
        <v>-0.1051831106969979</v>
      </c>
      <c r="I328" s="3361">
        <f t="shared" ca="1" si="55"/>
        <v>0</v>
      </c>
      <c r="J328" s="3361">
        <f t="shared" ca="1" si="55"/>
        <v>0</v>
      </c>
      <c r="K328" s="3361">
        <f t="shared" ca="1" si="55"/>
        <v>0</v>
      </c>
      <c r="L328" s="3361">
        <f t="shared" ca="1" si="55"/>
        <v>0</v>
      </c>
      <c r="M328" s="3361">
        <f t="shared" ca="1" si="55"/>
        <v>0</v>
      </c>
      <c r="N328" s="3361">
        <f t="shared" ca="1" si="55"/>
        <v>0</v>
      </c>
    </row>
    <row r="329" spans="2:17" ht="15.75">
      <c r="B329" s="2338"/>
      <c r="C329" s="1725"/>
      <c r="D329" s="1725" t="s">
        <v>2476</v>
      </c>
      <c r="E329" s="1725"/>
      <c r="F329" s="3055">
        <f t="shared" ref="F329:N329" ca="1" si="56">F328</f>
        <v>-5.0393252136038839E-2</v>
      </c>
      <c r="G329" s="3365">
        <f t="shared" ca="1" si="56"/>
        <v>-9.7944528837917932E-2</v>
      </c>
      <c r="H329" s="3055">
        <f t="shared" ca="1" si="56"/>
        <v>-0.1051831106969979</v>
      </c>
      <c r="I329" s="3055">
        <f t="shared" ca="1" si="56"/>
        <v>0</v>
      </c>
      <c r="J329" s="3055">
        <f t="shared" ca="1" si="56"/>
        <v>0</v>
      </c>
      <c r="K329" s="3055">
        <f t="shared" ca="1" si="56"/>
        <v>0</v>
      </c>
      <c r="L329" s="3055">
        <f t="shared" ca="1" si="56"/>
        <v>0</v>
      </c>
      <c r="M329" s="3055">
        <f t="shared" ca="1" si="56"/>
        <v>0</v>
      </c>
      <c r="N329" s="3055">
        <f t="shared" ca="1" si="56"/>
        <v>0</v>
      </c>
      <c r="Q329" s="2655"/>
    </row>
    <row r="331" spans="2:17">
      <c r="B331" s="363">
        <v>5</v>
      </c>
      <c r="C331" s="363" t="s">
        <v>2477</v>
      </c>
    </row>
    <row r="333" spans="2:17">
      <c r="C333" s="2890" t="s">
        <v>2478</v>
      </c>
      <c r="N333" s="382" t="str">
        <f>Preferences.PowerUnits&amp;"e"</f>
        <v>GWe</v>
      </c>
    </row>
    <row r="335" spans="2:17">
      <c r="C335" s="3048"/>
      <c r="D335" s="3048" t="s">
        <v>29</v>
      </c>
      <c r="E335" s="3048" t="s">
        <v>30</v>
      </c>
      <c r="F335" s="3049">
        <v>2013</v>
      </c>
      <c r="G335" s="3049">
        <v>2015</v>
      </c>
      <c r="H335" s="3049">
        <v>2020</v>
      </c>
      <c r="I335" s="3049">
        <v>2025</v>
      </c>
      <c r="J335" s="3049">
        <v>2030</v>
      </c>
      <c r="K335" s="3049">
        <v>2035</v>
      </c>
      <c r="L335" s="3049">
        <v>2040</v>
      </c>
      <c r="M335" s="3049">
        <v>2045</v>
      </c>
      <c r="N335" s="3049">
        <v>2050</v>
      </c>
    </row>
    <row r="336" spans="2:17">
      <c r="C336" s="2572"/>
      <c r="D336" s="521" t="s">
        <v>2446</v>
      </c>
      <c r="E336" s="2572"/>
      <c r="F336" s="3360">
        <f ca="1">MIN(ABS(F310),F242)</f>
        <v>0</v>
      </c>
      <c r="G336" s="3360">
        <f t="shared" ref="G336:N336" ca="1" si="57">MIN(ABS(G310),G242)</f>
        <v>0</v>
      </c>
      <c r="H336" s="3360">
        <f t="shared" ca="1" si="57"/>
        <v>0</v>
      </c>
      <c r="I336" s="3360">
        <f t="shared" ca="1" si="57"/>
        <v>0</v>
      </c>
      <c r="J336" s="3360">
        <f t="shared" ca="1" si="57"/>
        <v>0.6723688768007785</v>
      </c>
      <c r="K336" s="3360">
        <f t="shared" ca="1" si="57"/>
        <v>0</v>
      </c>
      <c r="L336" s="3360">
        <f t="shared" ca="1" si="57"/>
        <v>0</v>
      </c>
      <c r="M336" s="3360">
        <f t="shared" ca="1" si="57"/>
        <v>0</v>
      </c>
      <c r="N336" s="3360">
        <f t="shared" ca="1" si="57"/>
        <v>0</v>
      </c>
    </row>
    <row r="337" spans="2:14" ht="15.75">
      <c r="B337" s="2338"/>
      <c r="C337" s="521"/>
      <c r="D337" s="3050" t="s">
        <v>2447</v>
      </c>
      <c r="E337" s="521"/>
      <c r="F337" s="3360">
        <f t="shared" ref="F337:N340" ca="1" si="58">MIN(ABS(F311),F243)</f>
        <v>2.7983181050611714</v>
      </c>
      <c r="G337" s="3368">
        <f t="shared" ca="1" si="58"/>
        <v>2.7099179873311741</v>
      </c>
      <c r="H337" s="3360">
        <f t="shared" ca="1" si="58"/>
        <v>1.4604871717274919</v>
      </c>
      <c r="I337" s="3360">
        <f t="shared" ca="1" si="58"/>
        <v>0.96897189908187997</v>
      </c>
      <c r="J337" s="3360">
        <f t="shared" ca="1" si="58"/>
        <v>0</v>
      </c>
      <c r="K337" s="3360">
        <f t="shared" ca="1" si="58"/>
        <v>0</v>
      </c>
      <c r="L337" s="3360">
        <f t="shared" ca="1" si="58"/>
        <v>0</v>
      </c>
      <c r="M337" s="3360">
        <f t="shared" ca="1" si="58"/>
        <v>0</v>
      </c>
      <c r="N337" s="3360">
        <f t="shared" ca="1" si="58"/>
        <v>0</v>
      </c>
    </row>
    <row r="338" spans="2:14" ht="15.75">
      <c r="B338" s="2338"/>
      <c r="C338" s="521"/>
      <c r="D338" s="3050" t="s">
        <v>2448</v>
      </c>
      <c r="E338" s="521"/>
      <c r="F338" s="3360">
        <f t="shared" ca="1" si="58"/>
        <v>0.75</v>
      </c>
      <c r="G338" s="3368">
        <f t="shared" ca="1" si="58"/>
        <v>0.75</v>
      </c>
      <c r="H338" s="3360">
        <f t="shared" ca="1" si="58"/>
        <v>0.75</v>
      </c>
      <c r="I338" s="3360">
        <f t="shared" ca="1" si="58"/>
        <v>0.57971688810451416</v>
      </c>
      <c r="J338" s="3360">
        <f t="shared" ca="1" si="58"/>
        <v>0</v>
      </c>
      <c r="K338" s="3360">
        <f t="shared" ca="1" si="58"/>
        <v>0</v>
      </c>
      <c r="L338" s="3360">
        <f t="shared" ca="1" si="58"/>
        <v>0</v>
      </c>
      <c r="M338" s="3360">
        <f t="shared" ca="1" si="58"/>
        <v>0</v>
      </c>
      <c r="N338" s="3360">
        <f t="shared" ca="1" si="58"/>
        <v>0</v>
      </c>
    </row>
    <row r="339" spans="2:14" ht="15.75">
      <c r="B339" s="2338"/>
      <c r="C339" s="521"/>
      <c r="D339" s="3050" t="s">
        <v>2449</v>
      </c>
      <c r="E339" s="521"/>
      <c r="F339" s="3360">
        <f t="shared" ca="1" si="58"/>
        <v>0</v>
      </c>
      <c r="G339" s="3368">
        <f t="shared" ca="1" si="58"/>
        <v>0</v>
      </c>
      <c r="H339" s="3360">
        <f t="shared" ca="1" si="58"/>
        <v>0</v>
      </c>
      <c r="I339" s="3360">
        <f t="shared" ca="1" si="58"/>
        <v>0</v>
      </c>
      <c r="J339" s="3360">
        <f t="shared" ca="1" si="58"/>
        <v>0</v>
      </c>
      <c r="K339" s="3360">
        <f t="shared" ca="1" si="58"/>
        <v>0</v>
      </c>
      <c r="L339" s="3360">
        <f t="shared" ca="1" si="58"/>
        <v>0</v>
      </c>
      <c r="M339" s="3360">
        <f t="shared" ca="1" si="58"/>
        <v>0</v>
      </c>
      <c r="N339" s="3360">
        <f t="shared" ca="1" si="58"/>
        <v>0</v>
      </c>
    </row>
    <row r="340" spans="2:14" ht="15.75">
      <c r="B340" s="2338"/>
      <c r="C340" s="3051"/>
      <c r="D340" s="3052" t="s">
        <v>2450</v>
      </c>
      <c r="E340" s="3051"/>
      <c r="F340" s="3360">
        <f t="shared" ca="1" si="58"/>
        <v>0.24569376780032393</v>
      </c>
      <c r="G340" s="3368">
        <f t="shared" ca="1" si="58"/>
        <v>0.29199999999999998</v>
      </c>
      <c r="H340" s="3360">
        <f t="shared" ca="1" si="58"/>
        <v>0.29199999999999998</v>
      </c>
      <c r="I340" s="3360">
        <f t="shared" ca="1" si="58"/>
        <v>0</v>
      </c>
      <c r="J340" s="3360">
        <f t="shared" ca="1" si="58"/>
        <v>0</v>
      </c>
      <c r="K340" s="3360">
        <f t="shared" ca="1" si="58"/>
        <v>0</v>
      </c>
      <c r="L340" s="3360">
        <f t="shared" ca="1" si="58"/>
        <v>0</v>
      </c>
      <c r="M340" s="3360">
        <f t="shared" ca="1" si="58"/>
        <v>0</v>
      </c>
      <c r="N340" s="3360">
        <f t="shared" ca="1" si="58"/>
        <v>0</v>
      </c>
    </row>
    <row r="341" spans="2:14" ht="15.75">
      <c r="B341" s="2338"/>
      <c r="C341" s="1725"/>
      <c r="D341" s="1725" t="s">
        <v>2479</v>
      </c>
      <c r="E341" s="1725"/>
      <c r="F341" s="3055">
        <f ca="1">SUM(F336:F340)</f>
        <v>3.7940118728614953</v>
      </c>
      <c r="G341" s="3365">
        <f t="shared" ref="G341:N341" ca="1" si="59">SUM(G336:G340)</f>
        <v>3.7519179873311739</v>
      </c>
      <c r="H341" s="3055">
        <f t="shared" ca="1" si="59"/>
        <v>2.5024871717274917</v>
      </c>
      <c r="I341" s="3055">
        <f t="shared" ca="1" si="59"/>
        <v>1.5486887871863941</v>
      </c>
      <c r="J341" s="3055">
        <f t="shared" ca="1" si="59"/>
        <v>0.6723688768007785</v>
      </c>
      <c r="K341" s="3055">
        <f t="shared" ca="1" si="59"/>
        <v>0</v>
      </c>
      <c r="L341" s="3055">
        <f t="shared" ca="1" si="59"/>
        <v>0</v>
      </c>
      <c r="M341" s="3055">
        <f t="shared" ca="1" si="59"/>
        <v>0</v>
      </c>
      <c r="N341" s="3055">
        <f t="shared" ca="1" si="59"/>
        <v>0</v>
      </c>
    </row>
    <row r="342" spans="2:14">
      <c r="H342" s="3084" t="s">
        <v>5</v>
      </c>
    </row>
    <row r="343" spans="2:14">
      <c r="C343" s="2890" t="s">
        <v>2480</v>
      </c>
      <c r="N343" s="1620" t="str">
        <f>Preferences.EnergyUnits&amp;"e"</f>
        <v>TWhe</v>
      </c>
    </row>
    <row r="345" spans="2:14" ht="15.75">
      <c r="B345" s="2338"/>
      <c r="C345" s="3048"/>
      <c r="D345" s="3048" t="s">
        <v>29</v>
      </c>
      <c r="E345" s="3048" t="s">
        <v>30</v>
      </c>
      <c r="F345" s="3049">
        <v>2013</v>
      </c>
      <c r="G345" s="3049">
        <v>2015</v>
      </c>
      <c r="H345" s="3049">
        <v>2020</v>
      </c>
      <c r="I345" s="3049">
        <v>2025</v>
      </c>
      <c r="J345" s="3049">
        <v>2030</v>
      </c>
      <c r="K345" s="3049">
        <v>2035</v>
      </c>
      <c r="L345" s="3049">
        <v>2040</v>
      </c>
      <c r="M345" s="3049">
        <v>2045</v>
      </c>
      <c r="N345" s="3049">
        <v>2050</v>
      </c>
    </row>
    <row r="346" spans="2:14" ht="15.75">
      <c r="B346" s="2338"/>
      <c r="C346" s="2572"/>
      <c r="D346" s="521" t="s">
        <v>2446</v>
      </c>
      <c r="E346" s="2572"/>
      <c r="F346" s="3360">
        <f t="shared" ref="F346:N350" ca="1" si="60">MIN(ABS(F323),F252)</f>
        <v>0</v>
      </c>
      <c r="G346" s="3360">
        <f t="shared" ca="1" si="60"/>
        <v>0</v>
      </c>
      <c r="H346" s="3360">
        <f t="shared" ca="1" si="60"/>
        <v>0</v>
      </c>
      <c r="I346" s="3360">
        <f t="shared" ca="1" si="60"/>
        <v>0</v>
      </c>
      <c r="J346" s="3360">
        <f t="shared" ca="1" si="60"/>
        <v>8.0684265216093412E-2</v>
      </c>
      <c r="K346" s="3360">
        <f t="shared" ca="1" si="60"/>
        <v>0</v>
      </c>
      <c r="L346" s="3360">
        <f t="shared" ca="1" si="60"/>
        <v>0</v>
      </c>
      <c r="M346" s="3360">
        <f t="shared" ca="1" si="60"/>
        <v>0</v>
      </c>
      <c r="N346" s="3360">
        <f t="shared" ca="1" si="60"/>
        <v>0</v>
      </c>
    </row>
    <row r="347" spans="2:14" ht="15.75">
      <c r="B347" s="2338"/>
      <c r="C347" s="521"/>
      <c r="D347" s="3050" t="s">
        <v>2447</v>
      </c>
      <c r="E347" s="521"/>
      <c r="F347" s="3360">
        <f t="shared" ca="1" si="60"/>
        <v>0.33579817260734057</v>
      </c>
      <c r="G347" s="3360">
        <f t="shared" ca="1" si="60"/>
        <v>0.32519015847974081</v>
      </c>
      <c r="H347" s="3360">
        <f t="shared" ca="1" si="60"/>
        <v>0.17525846060729902</v>
      </c>
      <c r="I347" s="3360">
        <f t="shared" ca="1" si="60"/>
        <v>0.11627662788982558</v>
      </c>
      <c r="J347" s="3360">
        <f t="shared" ca="1" si="60"/>
        <v>0</v>
      </c>
      <c r="K347" s="3360">
        <f t="shared" ca="1" si="60"/>
        <v>0</v>
      </c>
      <c r="L347" s="3360">
        <f t="shared" ca="1" si="60"/>
        <v>0</v>
      </c>
      <c r="M347" s="3360">
        <f t="shared" ca="1" si="60"/>
        <v>0</v>
      </c>
      <c r="N347" s="3360">
        <f t="shared" ca="1" si="60"/>
        <v>0</v>
      </c>
    </row>
    <row r="348" spans="2:14" ht="15.75">
      <c r="B348" s="2338"/>
      <c r="C348" s="521"/>
      <c r="D348" s="3050" t="s">
        <v>2448</v>
      </c>
      <c r="E348" s="521"/>
      <c r="F348" s="3360">
        <f t="shared" ca="1" si="60"/>
        <v>6.7499999999999991E-2</v>
      </c>
      <c r="G348" s="3360">
        <f t="shared" ca="1" si="60"/>
        <v>6.7499999999999991E-2</v>
      </c>
      <c r="H348" s="3360">
        <f t="shared" ca="1" si="60"/>
        <v>6.7499999999999991E-2</v>
      </c>
      <c r="I348" s="3360">
        <f t="shared" ca="1" si="60"/>
        <v>6.9566026572541698E-2</v>
      </c>
      <c r="J348" s="3360">
        <f t="shared" ca="1" si="60"/>
        <v>0</v>
      </c>
      <c r="K348" s="3360">
        <f t="shared" ca="1" si="60"/>
        <v>0</v>
      </c>
      <c r="L348" s="3360">
        <f t="shared" ca="1" si="60"/>
        <v>0</v>
      </c>
      <c r="M348" s="3360">
        <f t="shared" ca="1" si="60"/>
        <v>0</v>
      </c>
      <c r="N348" s="3360">
        <f t="shared" ca="1" si="60"/>
        <v>0</v>
      </c>
    </row>
    <row r="349" spans="2:14" ht="15.75">
      <c r="B349" s="2338"/>
      <c r="C349" s="521"/>
      <c r="D349" s="3050" t="s">
        <v>2449</v>
      </c>
      <c r="E349" s="521"/>
      <c r="F349" s="3360">
        <f t="shared" ca="1" si="60"/>
        <v>0</v>
      </c>
      <c r="G349" s="3360">
        <f t="shared" ca="1" si="60"/>
        <v>0</v>
      </c>
      <c r="H349" s="3360">
        <f t="shared" ca="1" si="60"/>
        <v>0</v>
      </c>
      <c r="I349" s="3360">
        <f t="shared" ca="1" si="60"/>
        <v>0</v>
      </c>
      <c r="J349" s="3360">
        <f ca="1">MIN(ABS(J326),J255)</f>
        <v>0</v>
      </c>
      <c r="K349" s="3360">
        <f t="shared" ca="1" si="60"/>
        <v>0</v>
      </c>
      <c r="L349" s="3360">
        <f t="shared" ca="1" si="60"/>
        <v>0</v>
      </c>
      <c r="M349" s="3360">
        <f t="shared" ca="1" si="60"/>
        <v>0</v>
      </c>
      <c r="N349" s="3360">
        <f t="shared" ca="1" si="60"/>
        <v>0</v>
      </c>
    </row>
    <row r="350" spans="2:14" ht="15.75">
      <c r="B350" s="2338"/>
      <c r="C350" s="3051"/>
      <c r="D350" s="3052" t="s">
        <v>2450</v>
      </c>
      <c r="E350" s="3051"/>
      <c r="F350" s="3361">
        <f t="shared" ca="1" si="60"/>
        <v>1.5900000000000001E-3</v>
      </c>
      <c r="G350" s="3361">
        <f t="shared" ca="1" si="60"/>
        <v>1.5900000000000001E-3</v>
      </c>
      <c r="H350" s="3361">
        <f t="shared" ca="1" si="60"/>
        <v>1.5900000000000001E-3</v>
      </c>
      <c r="I350" s="3361">
        <f t="shared" ca="1" si="60"/>
        <v>0</v>
      </c>
      <c r="J350" s="3361">
        <f t="shared" ca="1" si="60"/>
        <v>0</v>
      </c>
      <c r="K350" s="3361">
        <f t="shared" ca="1" si="60"/>
        <v>0</v>
      </c>
      <c r="L350" s="3361">
        <f t="shared" ca="1" si="60"/>
        <v>0</v>
      </c>
      <c r="M350" s="3361">
        <f t="shared" ca="1" si="60"/>
        <v>0</v>
      </c>
      <c r="N350" s="3361">
        <f t="shared" ca="1" si="60"/>
        <v>0</v>
      </c>
    </row>
    <row r="351" spans="2:14" ht="15.75">
      <c r="B351" s="2338"/>
      <c r="C351" s="1725"/>
      <c r="D351" s="1725" t="s">
        <v>2481</v>
      </c>
      <c r="E351" s="1725"/>
      <c r="F351" s="3055">
        <f ca="1">SUM(F346:F350)</f>
        <v>0.40488817260734056</v>
      </c>
      <c r="G351" s="3365">
        <f t="shared" ref="G351:N351" ca="1" si="61">SUM(G346:G350)</f>
        <v>0.39428015847974079</v>
      </c>
      <c r="H351" s="3055">
        <f t="shared" ca="1" si="61"/>
        <v>0.24434846060729901</v>
      </c>
      <c r="I351" s="3055">
        <f t="shared" ca="1" si="61"/>
        <v>0.18584265446236728</v>
      </c>
      <c r="J351" s="3055">
        <f t="shared" ca="1" si="61"/>
        <v>8.0684265216093412E-2</v>
      </c>
      <c r="K351" s="3055">
        <f t="shared" ca="1" si="61"/>
        <v>0</v>
      </c>
      <c r="L351" s="3055">
        <f t="shared" ca="1" si="61"/>
        <v>0</v>
      </c>
      <c r="M351" s="3055">
        <f t="shared" ca="1" si="61"/>
        <v>0</v>
      </c>
      <c r="N351" s="3055">
        <f t="shared" ca="1" si="61"/>
        <v>0</v>
      </c>
    </row>
    <row r="352" spans="2:14">
      <c r="C352" s="988"/>
      <c r="F352" s="366"/>
      <c r="G352" s="366"/>
      <c r="H352" s="366"/>
      <c r="I352" s="366"/>
      <c r="J352" s="366"/>
      <c r="K352" s="366"/>
      <c r="L352" s="366"/>
      <c r="M352" s="366"/>
      <c r="N352" s="366"/>
    </row>
    <row r="353" spans="3:14">
      <c r="C353" s="2890" t="s">
        <v>2478</v>
      </c>
      <c r="J353" s="3084" t="s">
        <v>5</v>
      </c>
      <c r="N353" s="382" t="s">
        <v>2482</v>
      </c>
    </row>
    <row r="354" spans="3:14">
      <c r="G354" s="3084" t="s">
        <v>5</v>
      </c>
    </row>
    <row r="355" spans="3:14">
      <c r="C355" s="3048"/>
      <c r="D355" s="3048" t="s">
        <v>29</v>
      </c>
      <c r="E355" s="3048" t="s">
        <v>30</v>
      </c>
      <c r="F355" s="3049">
        <v>2013</v>
      </c>
      <c r="G355" s="3049">
        <v>2015</v>
      </c>
      <c r="H355" s="3049">
        <v>2020</v>
      </c>
      <c r="I355" s="3049">
        <v>2025</v>
      </c>
      <c r="J355" s="3049">
        <v>2030</v>
      </c>
      <c r="K355" s="3049">
        <v>2035</v>
      </c>
      <c r="L355" s="3049">
        <v>2040</v>
      </c>
      <c r="M355" s="3049">
        <v>2045</v>
      </c>
      <c r="N355" s="3049">
        <v>2050</v>
      </c>
    </row>
    <row r="356" spans="3:14">
      <c r="C356" s="2572"/>
      <c r="D356" s="521" t="s">
        <v>2446</v>
      </c>
      <c r="E356" s="2572"/>
      <c r="F356" s="3369">
        <f t="shared" ref="F356:N361" ca="1" si="62">IF(F242=0,0,F336/F242)</f>
        <v>0</v>
      </c>
      <c r="G356" s="3369">
        <f t="shared" ca="1" si="62"/>
        <v>0</v>
      </c>
      <c r="H356" s="3369">
        <f t="shared" ca="1" si="62"/>
        <v>0</v>
      </c>
      <c r="I356" s="3369">
        <f t="shared" ca="1" si="62"/>
        <v>0</v>
      </c>
      <c r="J356" s="3369">
        <f t="shared" ca="1" si="62"/>
        <v>0.40501075267148279</v>
      </c>
      <c r="K356" s="3369">
        <f t="shared" ca="1" si="62"/>
        <v>0</v>
      </c>
      <c r="L356" s="3369">
        <f t="shared" ca="1" si="62"/>
        <v>0</v>
      </c>
      <c r="M356" s="3369">
        <f t="shared" ca="1" si="62"/>
        <v>0</v>
      </c>
      <c r="N356" s="3369">
        <f t="shared" ca="1" si="62"/>
        <v>0</v>
      </c>
    </row>
    <row r="357" spans="3:14">
      <c r="C357" s="521"/>
      <c r="D357" s="3050" t="s">
        <v>2447</v>
      </c>
      <c r="E357" s="521"/>
      <c r="F357" s="3369">
        <f t="shared" ca="1" si="62"/>
        <v>1</v>
      </c>
      <c r="G357" s="3369">
        <f t="shared" ca="1" si="62"/>
        <v>1</v>
      </c>
      <c r="H357" s="3369">
        <f t="shared" ca="1" si="62"/>
        <v>1</v>
      </c>
      <c r="I357" s="3369">
        <f t="shared" ca="1" si="62"/>
        <v>1</v>
      </c>
      <c r="J357" s="3369">
        <f t="shared" ca="1" si="62"/>
        <v>0</v>
      </c>
      <c r="K357" s="3369">
        <f t="shared" ca="1" si="62"/>
        <v>0</v>
      </c>
      <c r="L357" s="3369">
        <f t="shared" ca="1" si="62"/>
        <v>0</v>
      </c>
      <c r="M357" s="3369">
        <f t="shared" ca="1" si="62"/>
        <v>0</v>
      </c>
      <c r="N357" s="3369">
        <f t="shared" ca="1" si="62"/>
        <v>0</v>
      </c>
    </row>
    <row r="358" spans="3:14">
      <c r="C358" s="521"/>
      <c r="D358" s="3050" t="s">
        <v>2448</v>
      </c>
      <c r="E358" s="521"/>
      <c r="F358" s="3369">
        <f t="shared" ca="1" si="62"/>
        <v>1</v>
      </c>
      <c r="G358" s="3369">
        <f t="shared" ca="1" si="62"/>
        <v>1</v>
      </c>
      <c r="H358" s="3369">
        <f t="shared" ca="1" si="62"/>
        <v>1</v>
      </c>
      <c r="I358" s="3369">
        <f t="shared" ca="1" si="62"/>
        <v>0.41408349150322443</v>
      </c>
      <c r="J358" s="3369">
        <f t="shared" ca="1" si="62"/>
        <v>0</v>
      </c>
      <c r="K358" s="3369">
        <f t="shared" ca="1" si="62"/>
        <v>0</v>
      </c>
      <c r="L358" s="3369">
        <f t="shared" ca="1" si="62"/>
        <v>0</v>
      </c>
      <c r="M358" s="3369">
        <f t="shared" ca="1" si="62"/>
        <v>0</v>
      </c>
      <c r="N358" s="3369">
        <f t="shared" ca="1" si="62"/>
        <v>0</v>
      </c>
    </row>
    <row r="359" spans="3:14">
      <c r="C359" s="521"/>
      <c r="D359" s="3050" t="s">
        <v>2449</v>
      </c>
      <c r="E359" s="521"/>
      <c r="F359" s="3369">
        <f t="shared" ca="1" si="62"/>
        <v>0</v>
      </c>
      <c r="G359" s="3369">
        <f t="shared" ca="1" si="62"/>
        <v>0</v>
      </c>
      <c r="H359" s="3369">
        <f t="shared" ca="1" si="62"/>
        <v>0</v>
      </c>
      <c r="I359" s="3369">
        <f t="shared" ca="1" si="62"/>
        <v>0</v>
      </c>
      <c r="J359" s="3369">
        <f t="shared" ca="1" si="62"/>
        <v>0</v>
      </c>
      <c r="K359" s="3369">
        <f t="shared" ca="1" si="62"/>
        <v>0</v>
      </c>
      <c r="L359" s="3369">
        <f t="shared" ca="1" si="62"/>
        <v>0</v>
      </c>
      <c r="M359" s="3369">
        <f t="shared" ca="1" si="62"/>
        <v>0</v>
      </c>
      <c r="N359" s="3369">
        <f t="shared" ca="1" si="62"/>
        <v>0</v>
      </c>
    </row>
    <row r="360" spans="3:14">
      <c r="C360" s="3051"/>
      <c r="D360" s="3052" t="s">
        <v>2450</v>
      </c>
      <c r="E360" s="3051"/>
      <c r="F360" s="3369">
        <f t="shared" ca="1" si="62"/>
        <v>0.84141701301480798</v>
      </c>
      <c r="G360" s="3369">
        <f t="shared" ca="1" si="62"/>
        <v>1</v>
      </c>
      <c r="H360" s="3369">
        <f t="shared" ca="1" si="62"/>
        <v>1</v>
      </c>
      <c r="I360" s="3369">
        <f t="shared" ca="1" si="62"/>
        <v>0</v>
      </c>
      <c r="J360" s="3369">
        <f t="shared" ca="1" si="62"/>
        <v>0</v>
      </c>
      <c r="K360" s="3369">
        <f t="shared" ca="1" si="62"/>
        <v>0</v>
      </c>
      <c r="L360" s="3369">
        <f t="shared" ca="1" si="62"/>
        <v>0</v>
      </c>
      <c r="M360" s="3369">
        <f t="shared" ca="1" si="62"/>
        <v>0</v>
      </c>
      <c r="N360" s="3369">
        <f t="shared" ca="1" si="62"/>
        <v>0</v>
      </c>
    </row>
    <row r="361" spans="3:14">
      <c r="C361" s="1725"/>
      <c r="D361" s="1725" t="s">
        <v>2479</v>
      </c>
      <c r="E361" s="1725"/>
      <c r="F361" s="3372">
        <f t="shared" ca="1" si="62"/>
        <v>0.98794208424071728</v>
      </c>
      <c r="G361" s="3373">
        <f t="shared" ca="1" si="62"/>
        <v>1</v>
      </c>
      <c r="H361" s="3372">
        <f t="shared" ca="1" si="62"/>
        <v>1</v>
      </c>
      <c r="I361" s="3372">
        <f t="shared" ca="1" si="62"/>
        <v>0.58200118074179641</v>
      </c>
      <c r="J361" s="3372">
        <f t="shared" ca="1" si="62"/>
        <v>0.12976559567412488</v>
      </c>
      <c r="K361" s="3372">
        <f t="shared" ca="1" si="62"/>
        <v>0</v>
      </c>
      <c r="L361" s="3372">
        <f t="shared" ca="1" si="62"/>
        <v>0</v>
      </c>
      <c r="M361" s="3372">
        <f t="shared" ca="1" si="62"/>
        <v>0</v>
      </c>
      <c r="N361" s="3372">
        <f t="shared" ca="1" si="62"/>
        <v>0</v>
      </c>
    </row>
    <row r="363" spans="3:14">
      <c r="C363" s="2890" t="s">
        <v>2480</v>
      </c>
      <c r="N363" s="382" t="s">
        <v>2482</v>
      </c>
    </row>
    <row r="365" spans="3:14">
      <c r="C365" s="3048"/>
      <c r="D365" s="3048" t="s">
        <v>29</v>
      </c>
      <c r="E365" s="3048" t="s">
        <v>30</v>
      </c>
      <c r="F365" s="3049">
        <v>2013</v>
      </c>
      <c r="G365" s="3049">
        <v>2015</v>
      </c>
      <c r="H365" s="3049">
        <v>2020</v>
      </c>
      <c r="I365" s="3049">
        <v>2025</v>
      </c>
      <c r="J365" s="3049">
        <v>2030</v>
      </c>
      <c r="K365" s="3049">
        <v>2035</v>
      </c>
      <c r="L365" s="3049">
        <v>2040</v>
      </c>
      <c r="M365" s="3049">
        <v>2045</v>
      </c>
      <c r="N365" s="3049">
        <v>2050</v>
      </c>
    </row>
    <row r="366" spans="3:14">
      <c r="C366" s="2572"/>
      <c r="D366" s="521" t="s">
        <v>2446</v>
      </c>
      <c r="E366" s="2572"/>
      <c r="F366" s="3369">
        <f t="shared" ref="F366:N371" ca="1" si="63">IF(F252=0,0,F346/F252)</f>
        <v>0</v>
      </c>
      <c r="G366" s="3370">
        <f t="shared" ca="1" si="63"/>
        <v>0</v>
      </c>
      <c r="H366" s="3369">
        <f t="shared" ca="1" si="63"/>
        <v>0</v>
      </c>
      <c r="I366" s="3369">
        <f t="shared" ca="1" si="63"/>
        <v>0</v>
      </c>
      <c r="J366" s="3369">
        <f t="shared" ca="1" si="63"/>
        <v>0.40501075267148279</v>
      </c>
      <c r="K366" s="3369">
        <f t="shared" ca="1" si="63"/>
        <v>0</v>
      </c>
      <c r="L366" s="3369">
        <f t="shared" ca="1" si="63"/>
        <v>0</v>
      </c>
      <c r="M366" s="3369">
        <f t="shared" ca="1" si="63"/>
        <v>0</v>
      </c>
      <c r="N366" s="3369">
        <f t="shared" ca="1" si="63"/>
        <v>0</v>
      </c>
    </row>
    <row r="367" spans="3:14">
      <c r="C367" s="521"/>
      <c r="D367" s="3050" t="s">
        <v>2447</v>
      </c>
      <c r="E367" s="521"/>
      <c r="F367" s="3369">
        <f t="shared" ca="1" si="63"/>
        <v>1</v>
      </c>
      <c r="G367" s="3370">
        <f t="shared" ca="1" si="63"/>
        <v>1</v>
      </c>
      <c r="H367" s="3369">
        <f t="shared" ca="1" si="63"/>
        <v>1</v>
      </c>
      <c r="I367" s="3369">
        <f t="shared" ca="1" si="63"/>
        <v>1</v>
      </c>
      <c r="J367" s="3369">
        <f t="shared" ca="1" si="63"/>
        <v>0</v>
      </c>
      <c r="K367" s="3369">
        <f t="shared" ca="1" si="63"/>
        <v>0</v>
      </c>
      <c r="L367" s="3369">
        <f t="shared" ca="1" si="63"/>
        <v>0</v>
      </c>
      <c r="M367" s="3369">
        <f t="shared" ca="1" si="63"/>
        <v>0</v>
      </c>
      <c r="N367" s="3369">
        <f t="shared" ca="1" si="63"/>
        <v>0</v>
      </c>
    </row>
    <row r="368" spans="3:14">
      <c r="C368" s="521"/>
      <c r="D368" s="3050" t="s">
        <v>2448</v>
      </c>
      <c r="E368" s="521"/>
      <c r="F368" s="3369">
        <f t="shared" ca="1" si="63"/>
        <v>1</v>
      </c>
      <c r="G368" s="3371">
        <f t="shared" ca="1" si="63"/>
        <v>1</v>
      </c>
      <c r="H368" s="3369">
        <f t="shared" ca="1" si="63"/>
        <v>1</v>
      </c>
      <c r="I368" s="3369">
        <f t="shared" ca="1" si="63"/>
        <v>0.55211132200429935</v>
      </c>
      <c r="J368" s="3369">
        <f t="shared" ca="1" si="63"/>
        <v>0</v>
      </c>
      <c r="K368" s="3369">
        <f t="shared" ca="1" si="63"/>
        <v>0</v>
      </c>
      <c r="L368" s="3369">
        <f t="shared" ca="1" si="63"/>
        <v>0</v>
      </c>
      <c r="M368" s="3369">
        <f t="shared" ca="1" si="63"/>
        <v>0</v>
      </c>
      <c r="N368" s="3369">
        <f t="shared" ca="1" si="63"/>
        <v>0</v>
      </c>
    </row>
    <row r="369" spans="2:14">
      <c r="C369" s="521"/>
      <c r="D369" s="3050" t="s">
        <v>2449</v>
      </c>
      <c r="E369" s="521"/>
      <c r="F369" s="3369">
        <f t="shared" ca="1" si="63"/>
        <v>0</v>
      </c>
      <c r="G369" s="3371">
        <f t="shared" ca="1" si="63"/>
        <v>0</v>
      </c>
      <c r="H369" s="3369">
        <f t="shared" ca="1" si="63"/>
        <v>0</v>
      </c>
      <c r="I369" s="3369">
        <f t="shared" ca="1" si="63"/>
        <v>0</v>
      </c>
      <c r="J369" s="3369">
        <f t="shared" ca="1" si="63"/>
        <v>0</v>
      </c>
      <c r="K369" s="3369">
        <f t="shared" ca="1" si="63"/>
        <v>0</v>
      </c>
      <c r="L369" s="3369">
        <f t="shared" ca="1" si="63"/>
        <v>0</v>
      </c>
      <c r="M369" s="3369">
        <f t="shared" ca="1" si="63"/>
        <v>0</v>
      </c>
      <c r="N369" s="3369">
        <f t="shared" ca="1" si="63"/>
        <v>0</v>
      </c>
    </row>
    <row r="370" spans="2:14">
      <c r="C370" s="3051"/>
      <c r="D370" s="3052" t="s">
        <v>2450</v>
      </c>
      <c r="E370" s="3051"/>
      <c r="F370" s="3369">
        <f t="shared" ca="1" si="63"/>
        <v>1</v>
      </c>
      <c r="G370" s="3371">
        <f t="shared" ca="1" si="63"/>
        <v>1</v>
      </c>
      <c r="H370" s="3369">
        <f t="shared" ca="1" si="63"/>
        <v>1</v>
      </c>
      <c r="I370" s="3369">
        <f t="shared" ca="1" si="63"/>
        <v>0</v>
      </c>
      <c r="J370" s="3369">
        <f t="shared" ca="1" si="63"/>
        <v>0</v>
      </c>
      <c r="K370" s="3369">
        <f t="shared" ca="1" si="63"/>
        <v>0</v>
      </c>
      <c r="L370" s="3369">
        <f t="shared" ca="1" si="63"/>
        <v>0</v>
      </c>
      <c r="M370" s="3369">
        <f t="shared" ca="1" si="63"/>
        <v>0</v>
      </c>
      <c r="N370" s="3369">
        <f t="shared" ca="1" si="63"/>
        <v>0</v>
      </c>
    </row>
    <row r="371" spans="2:14">
      <c r="C371" s="1725"/>
      <c r="D371" s="1725" t="s">
        <v>2481</v>
      </c>
      <c r="E371" s="1725"/>
      <c r="F371" s="3372">
        <f t="shared" ca="1" si="63"/>
        <v>1</v>
      </c>
      <c r="G371" s="3373">
        <f t="shared" ca="1" si="63"/>
        <v>1</v>
      </c>
      <c r="H371" s="3372">
        <f t="shared" ca="1" si="63"/>
        <v>1</v>
      </c>
      <c r="I371" s="3372">
        <f t="shared" ca="1" si="63"/>
        <v>0.76206677424648506</v>
      </c>
      <c r="J371" s="3372">
        <f t="shared" ca="1" si="63"/>
        <v>0.21670717175954976</v>
      </c>
      <c r="K371" s="3372">
        <f t="shared" ca="1" si="63"/>
        <v>0</v>
      </c>
      <c r="L371" s="3372">
        <f t="shared" ca="1" si="63"/>
        <v>0</v>
      </c>
      <c r="M371" s="3372">
        <f t="shared" ca="1" si="63"/>
        <v>0</v>
      </c>
      <c r="N371" s="3372">
        <f t="shared" ca="1" si="63"/>
        <v>0</v>
      </c>
    </row>
    <row r="373" spans="2:14">
      <c r="C373" s="2890" t="s">
        <v>2483</v>
      </c>
      <c r="N373" s="382" t="s">
        <v>2482</v>
      </c>
    </row>
    <row r="375" spans="2:14">
      <c r="C375" s="3048"/>
      <c r="D375" s="3048" t="s">
        <v>29</v>
      </c>
      <c r="E375" s="3048" t="s">
        <v>30</v>
      </c>
      <c r="F375" s="3049">
        <v>2013</v>
      </c>
      <c r="G375" s="3049">
        <v>2015</v>
      </c>
      <c r="H375" s="3049">
        <v>2020</v>
      </c>
      <c r="I375" s="3049">
        <v>2025</v>
      </c>
      <c r="J375" s="3049">
        <v>2030</v>
      </c>
      <c r="K375" s="3049">
        <v>2035</v>
      </c>
      <c r="L375" s="3049">
        <v>2040</v>
      </c>
      <c r="M375" s="3049">
        <v>2045</v>
      </c>
      <c r="N375" s="3049">
        <v>2050</v>
      </c>
    </row>
    <row r="376" spans="2:14">
      <c r="C376" s="2572"/>
      <c r="D376" s="521" t="s">
        <v>2446</v>
      </c>
      <c r="E376" s="521"/>
      <c r="F376" s="3369">
        <f ca="1">MAX(F366,F356)</f>
        <v>0</v>
      </c>
      <c r="G376" s="3370">
        <f t="shared" ref="G376:N377" ca="1" si="64">MAX(G366,G356)</f>
        <v>0</v>
      </c>
      <c r="H376" s="3369">
        <f t="shared" ca="1" si="64"/>
        <v>0</v>
      </c>
      <c r="I376" s="3369">
        <f t="shared" ca="1" si="64"/>
        <v>0</v>
      </c>
      <c r="J376" s="3369">
        <f t="shared" ca="1" si="64"/>
        <v>0.40501075267148279</v>
      </c>
      <c r="K376" s="3369">
        <f t="shared" ca="1" si="64"/>
        <v>0</v>
      </c>
      <c r="L376" s="3369">
        <f t="shared" ca="1" si="64"/>
        <v>0</v>
      </c>
      <c r="M376" s="3369">
        <f t="shared" ca="1" si="64"/>
        <v>0</v>
      </c>
      <c r="N376" s="3369">
        <f t="shared" ca="1" si="64"/>
        <v>0</v>
      </c>
    </row>
    <row r="377" spans="2:14">
      <c r="C377" s="521"/>
      <c r="D377" s="3050" t="s">
        <v>2447</v>
      </c>
      <c r="E377" s="521"/>
      <c r="F377" s="3369">
        <f ca="1">MAX(F367,F357)</f>
        <v>1</v>
      </c>
      <c r="G377" s="3370">
        <f t="shared" ca="1" si="64"/>
        <v>1</v>
      </c>
      <c r="H377" s="3369">
        <f t="shared" ca="1" si="64"/>
        <v>1</v>
      </c>
      <c r="I377" s="3369">
        <f t="shared" ca="1" si="64"/>
        <v>1</v>
      </c>
      <c r="J377" s="3369">
        <f t="shared" ca="1" si="64"/>
        <v>0</v>
      </c>
      <c r="K377" s="3369">
        <f t="shared" ca="1" si="64"/>
        <v>0</v>
      </c>
      <c r="L377" s="3369">
        <f t="shared" ca="1" si="64"/>
        <v>0</v>
      </c>
      <c r="M377" s="3369">
        <f t="shared" ca="1" si="64"/>
        <v>0</v>
      </c>
      <c r="N377" s="3369">
        <f t="shared" ca="1" si="64"/>
        <v>0</v>
      </c>
    </row>
    <row r="378" spans="2:14">
      <c r="C378" s="521"/>
      <c r="D378" s="3050" t="s">
        <v>2448</v>
      </c>
      <c r="E378" s="521"/>
      <c r="F378" s="3369">
        <f t="shared" ref="F378:N381" ca="1" si="65">MAX(F368,F358)</f>
        <v>1</v>
      </c>
      <c r="G378" s="3371">
        <f t="shared" ca="1" si="65"/>
        <v>1</v>
      </c>
      <c r="H378" s="3369">
        <f t="shared" ca="1" si="65"/>
        <v>1</v>
      </c>
      <c r="I378" s="3369">
        <f t="shared" ca="1" si="65"/>
        <v>0.55211132200429935</v>
      </c>
      <c r="J378" s="3369">
        <f t="shared" ca="1" si="65"/>
        <v>0</v>
      </c>
      <c r="K378" s="3369">
        <f t="shared" ca="1" si="65"/>
        <v>0</v>
      </c>
      <c r="L378" s="3369">
        <f t="shared" ca="1" si="65"/>
        <v>0</v>
      </c>
      <c r="M378" s="3369">
        <f t="shared" ca="1" si="65"/>
        <v>0</v>
      </c>
      <c r="N378" s="3369">
        <f t="shared" ca="1" si="65"/>
        <v>0</v>
      </c>
    </row>
    <row r="379" spans="2:14">
      <c r="C379" s="521"/>
      <c r="D379" s="3050" t="s">
        <v>2449</v>
      </c>
      <c r="E379" s="521"/>
      <c r="F379" s="3369">
        <f t="shared" ca="1" si="65"/>
        <v>0</v>
      </c>
      <c r="G379" s="3371">
        <f t="shared" ca="1" si="65"/>
        <v>0</v>
      </c>
      <c r="H379" s="3369">
        <f t="shared" ca="1" si="65"/>
        <v>0</v>
      </c>
      <c r="I379" s="3369">
        <f t="shared" ca="1" si="65"/>
        <v>0</v>
      </c>
      <c r="J379" s="3369">
        <f t="shared" ca="1" si="65"/>
        <v>0</v>
      </c>
      <c r="K379" s="3369">
        <f t="shared" ca="1" si="65"/>
        <v>0</v>
      </c>
      <c r="L379" s="3369">
        <f t="shared" ca="1" si="65"/>
        <v>0</v>
      </c>
      <c r="M379" s="3369">
        <f t="shared" ca="1" si="65"/>
        <v>0</v>
      </c>
      <c r="N379" s="3369">
        <f t="shared" ca="1" si="65"/>
        <v>0</v>
      </c>
    </row>
    <row r="380" spans="2:14">
      <c r="C380" s="3051"/>
      <c r="D380" s="3052" t="s">
        <v>2450</v>
      </c>
      <c r="E380" s="3051"/>
      <c r="F380" s="3369">
        <f t="shared" ca="1" si="65"/>
        <v>1</v>
      </c>
      <c r="G380" s="3371">
        <f t="shared" ca="1" si="65"/>
        <v>1</v>
      </c>
      <c r="H380" s="3369">
        <f t="shared" ca="1" si="65"/>
        <v>1</v>
      </c>
      <c r="I380" s="3369">
        <f t="shared" ca="1" si="65"/>
        <v>0</v>
      </c>
      <c r="J380" s="3369">
        <f t="shared" ca="1" si="65"/>
        <v>0</v>
      </c>
      <c r="K380" s="3369">
        <f t="shared" ca="1" si="65"/>
        <v>0</v>
      </c>
      <c r="L380" s="3369">
        <f t="shared" ca="1" si="65"/>
        <v>0</v>
      </c>
      <c r="M380" s="3369">
        <f t="shared" ca="1" si="65"/>
        <v>0</v>
      </c>
      <c r="N380" s="3369">
        <f t="shared" ca="1" si="65"/>
        <v>0</v>
      </c>
    </row>
    <row r="381" spans="2:14">
      <c r="C381" s="1725"/>
      <c r="D381" s="1725" t="s">
        <v>2484</v>
      </c>
      <c r="E381" s="1725"/>
      <c r="F381" s="3372">
        <f t="shared" ca="1" si="65"/>
        <v>1</v>
      </c>
      <c r="G381" s="3373">
        <f t="shared" ca="1" si="65"/>
        <v>1</v>
      </c>
      <c r="H381" s="3372">
        <f t="shared" ca="1" si="65"/>
        <v>1</v>
      </c>
      <c r="I381" s="3372">
        <f t="shared" ca="1" si="65"/>
        <v>0.76206677424648506</v>
      </c>
      <c r="J381" s="3372">
        <f t="shared" ca="1" si="65"/>
        <v>0.21670717175954976</v>
      </c>
      <c r="K381" s="3372">
        <f t="shared" ca="1" si="65"/>
        <v>0</v>
      </c>
      <c r="L381" s="3372">
        <f t="shared" ca="1" si="65"/>
        <v>0</v>
      </c>
      <c r="M381" s="3372">
        <f t="shared" ca="1" si="65"/>
        <v>0</v>
      </c>
      <c r="N381" s="3372">
        <f t="shared" ca="1" si="65"/>
        <v>0</v>
      </c>
    </row>
    <row r="382" spans="2:14">
      <c r="C382" s="988"/>
      <c r="F382" s="366"/>
      <c r="G382" s="366"/>
      <c r="H382" s="366"/>
      <c r="I382" s="366"/>
      <c r="J382" s="366"/>
      <c r="K382" s="366"/>
      <c r="L382" s="366"/>
      <c r="M382" s="366"/>
      <c r="N382" s="366"/>
    </row>
    <row r="383" spans="2:14">
      <c r="B383" s="363">
        <v>6</v>
      </c>
      <c r="C383" s="363" t="s">
        <v>2485</v>
      </c>
    </row>
    <row r="385" spans="2:14" ht="15.75">
      <c r="B385" s="2338"/>
      <c r="C385" s="2572"/>
      <c r="D385" s="2572" t="s">
        <v>2486</v>
      </c>
      <c r="E385" s="2572"/>
      <c r="F385" s="3057">
        <v>2013</v>
      </c>
      <c r="G385" s="3057">
        <v>2015</v>
      </c>
      <c r="H385" s="3057">
        <v>2020</v>
      </c>
      <c r="I385" s="3057">
        <v>2025</v>
      </c>
      <c r="J385" s="3057">
        <v>2030</v>
      </c>
      <c r="K385" s="3057">
        <v>2035</v>
      </c>
      <c r="L385" s="3057">
        <v>2040</v>
      </c>
      <c r="M385" s="3057">
        <v>2045</v>
      </c>
      <c r="N385" s="3057">
        <v>2050</v>
      </c>
    </row>
    <row r="386" spans="2:14" ht="15.75">
      <c r="B386" s="2338"/>
      <c r="C386" s="2883"/>
      <c r="D386" s="2883" t="s">
        <v>2487</v>
      </c>
      <c r="E386" s="1334" t="str">
        <f>Preferences.EnergyUnits&amp;"e"</f>
        <v>TWhe</v>
      </c>
      <c r="F386" s="2517">
        <f t="shared" ref="F386:N386" ca="1" si="66">F329</f>
        <v>-5.0393252136038839E-2</v>
      </c>
      <c r="G386" s="2517">
        <f t="shared" ca="1" si="66"/>
        <v>-9.7944528837917932E-2</v>
      </c>
      <c r="H386" s="2516">
        <f t="shared" ca="1" si="66"/>
        <v>-0.1051831106969979</v>
      </c>
      <c r="I386" s="2516">
        <f t="shared" ca="1" si="66"/>
        <v>0</v>
      </c>
      <c r="J386" s="2516">
        <f t="shared" ca="1" si="66"/>
        <v>0</v>
      </c>
      <c r="K386" s="2516">
        <f t="shared" ca="1" si="66"/>
        <v>0</v>
      </c>
      <c r="L386" s="2516">
        <f t="shared" ca="1" si="66"/>
        <v>0</v>
      </c>
      <c r="M386" s="2516">
        <f t="shared" ca="1" si="66"/>
        <v>0</v>
      </c>
      <c r="N386" s="2516">
        <f t="shared" ca="1" si="66"/>
        <v>0</v>
      </c>
    </row>
    <row r="387" spans="2:14" ht="15.75">
      <c r="B387" s="2338"/>
      <c r="C387" s="382" t="s">
        <v>1935</v>
      </c>
      <c r="D387" s="2883" t="s">
        <v>2488</v>
      </c>
      <c r="E387" s="1334" t="str">
        <f>Preferences.PowerUnits&amp;"e"</f>
        <v>GWe</v>
      </c>
      <c r="F387" s="2414">
        <f t="shared" ref="F387:N387" ca="1" si="67">F386/(Conversion.to.energy.per.second*$F$131*Unit.day)</f>
        <v>-0.41994376780032372</v>
      </c>
      <c r="G387" s="2414">
        <f t="shared" ca="1" si="67"/>
        <v>-0.81620440698264951</v>
      </c>
      <c r="H387" s="2414">
        <f t="shared" ca="1" si="67"/>
        <v>-0.87652592247498262</v>
      </c>
      <c r="I387" s="2414">
        <f t="shared" ca="1" si="67"/>
        <v>0</v>
      </c>
      <c r="J387" s="2414">
        <f t="shared" ca="1" si="67"/>
        <v>0</v>
      </c>
      <c r="K387" s="2414">
        <f t="shared" ca="1" si="67"/>
        <v>0</v>
      </c>
      <c r="L387" s="2414">
        <f t="shared" ca="1" si="67"/>
        <v>0</v>
      </c>
      <c r="M387" s="2414">
        <f t="shared" ca="1" si="67"/>
        <v>0</v>
      </c>
      <c r="N387" s="2414">
        <f t="shared" ca="1" si="67"/>
        <v>0</v>
      </c>
    </row>
    <row r="388" spans="2:14" ht="15.75">
      <c r="B388" s="2338"/>
      <c r="C388" s="1720" t="s">
        <v>686</v>
      </c>
      <c r="D388" s="2883" t="s">
        <v>2467</v>
      </c>
      <c r="E388" s="1334" t="str">
        <f>Preferences.PowerUnits&amp;"e"</f>
        <v>GWe</v>
      </c>
      <c r="F388" s="3058">
        <f t="shared" ref="F388:N388" ca="1" si="68">F316</f>
        <v>0</v>
      </c>
      <c r="G388" s="3058">
        <f t="shared" ca="1" si="68"/>
        <v>-0.34995440698264951</v>
      </c>
      <c r="H388" s="3058">
        <f t="shared" ca="1" si="68"/>
        <v>-0.41027592247498196</v>
      </c>
      <c r="I388" s="3058">
        <f t="shared" ca="1" si="68"/>
        <v>0</v>
      </c>
      <c r="J388" s="3058">
        <f t="shared" ca="1" si="68"/>
        <v>0</v>
      </c>
      <c r="K388" s="3058">
        <f t="shared" ca="1" si="68"/>
        <v>0</v>
      </c>
      <c r="L388" s="3058">
        <f t="shared" ca="1" si="68"/>
        <v>0</v>
      </c>
      <c r="M388" s="3058">
        <f t="shared" ca="1" si="68"/>
        <v>0</v>
      </c>
      <c r="N388" s="3058">
        <f t="shared" ca="1" si="68"/>
        <v>0</v>
      </c>
    </row>
    <row r="389" spans="2:14" ht="15.75">
      <c r="B389" s="2338"/>
      <c r="C389" s="363"/>
      <c r="D389" s="3059" t="s">
        <v>2489</v>
      </c>
      <c r="E389" s="3060" t="str">
        <f>Preferences.PowerUnits&amp;"e"</f>
        <v>GWe</v>
      </c>
      <c r="F389" s="3061">
        <f ca="1">MIN(F387:F388)</f>
        <v>-0.41994376780032372</v>
      </c>
      <c r="G389" s="3061">
        <f t="shared" ref="G389:N389" ca="1" si="69">MIN(G387:G388)</f>
        <v>-0.81620440698264951</v>
      </c>
      <c r="H389" s="3061">
        <f t="shared" ca="1" si="69"/>
        <v>-0.87652592247498262</v>
      </c>
      <c r="I389" s="3061">
        <f t="shared" ca="1" si="69"/>
        <v>0</v>
      </c>
      <c r="J389" s="3061">
        <f t="shared" ca="1" si="69"/>
        <v>0</v>
      </c>
      <c r="K389" s="3061">
        <f t="shared" ca="1" si="69"/>
        <v>0</v>
      </c>
      <c r="L389" s="3061">
        <f t="shared" ca="1" si="69"/>
        <v>0</v>
      </c>
      <c r="M389" s="3061">
        <f t="shared" ca="1" si="69"/>
        <v>0</v>
      </c>
      <c r="N389" s="3061">
        <f t="shared" ca="1" si="69"/>
        <v>0</v>
      </c>
    </row>
    <row r="390" spans="2:14" ht="15.75">
      <c r="B390" s="2338"/>
      <c r="C390" s="363"/>
      <c r="D390" s="1228" t="s">
        <v>623</v>
      </c>
      <c r="E390" s="2883" t="str">
        <f>Preferences.PowerUnits&amp;"capacity"</f>
        <v>GWcapacity</v>
      </c>
      <c r="F390" s="723">
        <f ca="1">-F389/$F$153</f>
        <v>0.41994376780032372</v>
      </c>
      <c r="G390" s="723">
        <f t="shared" ref="G390:N390" ca="1" si="70">-G389/$F$153</f>
        <v>0.81620440698264951</v>
      </c>
      <c r="H390" s="723">
        <f t="shared" ca="1" si="70"/>
        <v>0.87652592247498262</v>
      </c>
      <c r="I390" s="723">
        <f t="shared" ca="1" si="70"/>
        <v>0</v>
      </c>
      <c r="J390" s="723">
        <f t="shared" ca="1" si="70"/>
        <v>0</v>
      </c>
      <c r="K390" s="723">
        <f t="shared" ca="1" si="70"/>
        <v>0</v>
      </c>
      <c r="L390" s="723">
        <f t="shared" ca="1" si="70"/>
        <v>0</v>
      </c>
      <c r="M390" s="723">
        <f t="shared" ca="1" si="70"/>
        <v>0</v>
      </c>
      <c r="N390" s="723">
        <f t="shared" ca="1" si="70"/>
        <v>0</v>
      </c>
    </row>
    <row r="391" spans="2:14">
      <c r="C391" s="363"/>
      <c r="D391" s="1228"/>
      <c r="E391" s="2883"/>
      <c r="F391" s="723"/>
      <c r="G391" s="723"/>
      <c r="H391" s="723"/>
      <c r="I391" s="723"/>
      <c r="J391" s="723"/>
      <c r="K391" s="723"/>
      <c r="L391" s="723"/>
      <c r="M391" s="723"/>
      <c r="N391" s="723"/>
    </row>
    <row r="392" spans="2:14">
      <c r="B392" s="363">
        <v>7</v>
      </c>
      <c r="C392" s="363" t="s">
        <v>2490</v>
      </c>
      <c r="D392" s="1228"/>
      <c r="E392" s="1334"/>
      <c r="F392" s="723"/>
      <c r="G392" s="723"/>
      <c r="H392" s="723"/>
      <c r="I392" s="723"/>
      <c r="J392" s="723"/>
      <c r="K392" s="723"/>
      <c r="L392" s="723"/>
      <c r="M392" s="723"/>
      <c r="N392" s="723"/>
    </row>
    <row r="393" spans="2:14">
      <c r="B393" s="363"/>
      <c r="C393" s="363"/>
      <c r="D393" s="1228"/>
      <c r="E393" s="1334"/>
      <c r="F393" s="723"/>
      <c r="G393" s="723"/>
      <c r="H393" s="723"/>
      <c r="I393" s="723"/>
      <c r="J393" s="723"/>
      <c r="K393" s="723"/>
      <c r="L393" s="723"/>
      <c r="M393" s="723"/>
      <c r="N393" s="723"/>
    </row>
    <row r="394" spans="2:14">
      <c r="B394" s="363"/>
      <c r="C394" s="363"/>
      <c r="D394" s="1228" t="s">
        <v>2491</v>
      </c>
      <c r="E394" s="723">
        <f ca="1">INDIRECT("EF."&amp;$F$155&amp;".CO2")+INDIRECT("EF."&amp;$F$155&amp;".CH4")+INDIRECT("EF."&amp;$F$155&amp;".N2O")</f>
        <v>0.2080332</v>
      </c>
      <c r="F394" s="1334" t="str">
        <f>"MtCO2e/"&amp;Preferences.EnergyUnits&amp;"th"</f>
        <v>MtCO2e/TWhth</v>
      </c>
      <c r="H394" s="723"/>
      <c r="I394" s="723"/>
      <c r="J394" s="723"/>
      <c r="K394" s="723"/>
      <c r="L394" s="723"/>
      <c r="M394" s="723"/>
      <c r="N394" s="723"/>
    </row>
    <row r="395" spans="2:14">
      <c r="B395" s="363"/>
      <c r="C395" s="363"/>
      <c r="D395" s="1228"/>
      <c r="E395" s="1334"/>
      <c r="F395" s="723"/>
      <c r="G395" s="723"/>
      <c r="H395" s="723"/>
      <c r="I395" s="723"/>
      <c r="J395" s="723"/>
      <c r="K395" s="723"/>
      <c r="L395" s="723"/>
      <c r="M395" s="723"/>
      <c r="N395" s="723"/>
    </row>
    <row r="396" spans="2:14" ht="15.75">
      <c r="B396" s="2338"/>
      <c r="C396" s="363"/>
      <c r="D396" s="2572" t="s">
        <v>2486</v>
      </c>
      <c r="E396" s="2572"/>
      <c r="F396" s="3057">
        <v>2013</v>
      </c>
      <c r="G396" s="3057">
        <v>2015</v>
      </c>
      <c r="H396" s="3057">
        <v>2020</v>
      </c>
      <c r="I396" s="3057">
        <v>2025</v>
      </c>
      <c r="J396" s="3057">
        <v>2030</v>
      </c>
      <c r="K396" s="3057">
        <v>2035</v>
      </c>
      <c r="L396" s="3057">
        <v>2040</v>
      </c>
      <c r="M396" s="3057">
        <v>2045</v>
      </c>
      <c r="N396" s="3057">
        <v>2050</v>
      </c>
    </row>
    <row r="397" spans="2:14" ht="15.75">
      <c r="B397" s="2338"/>
      <c r="C397" s="363"/>
      <c r="D397" s="2883" t="s">
        <v>2487</v>
      </c>
      <c r="E397" s="1334" t="str">
        <f>Preferences.EnergyUnits&amp;"e"</f>
        <v>TWhe</v>
      </c>
      <c r="F397" s="723">
        <f ca="1">F329</f>
        <v>-5.0393252136038839E-2</v>
      </c>
      <c r="G397" s="723">
        <f t="shared" ref="G397:N397" ca="1" si="71">G329</f>
        <v>-9.7944528837917932E-2</v>
      </c>
      <c r="H397" s="723">
        <f t="shared" ca="1" si="71"/>
        <v>-0.1051831106969979</v>
      </c>
      <c r="I397" s="723">
        <f t="shared" ca="1" si="71"/>
        <v>0</v>
      </c>
      <c r="J397" s="723">
        <f t="shared" ca="1" si="71"/>
        <v>0</v>
      </c>
      <c r="K397" s="723">
        <f t="shared" ca="1" si="71"/>
        <v>0</v>
      </c>
      <c r="L397" s="723">
        <f t="shared" ca="1" si="71"/>
        <v>0</v>
      </c>
      <c r="M397" s="723">
        <f t="shared" ca="1" si="71"/>
        <v>0</v>
      </c>
      <c r="N397" s="723">
        <f t="shared" ca="1" si="71"/>
        <v>0</v>
      </c>
    </row>
    <row r="398" spans="2:14" ht="15.75">
      <c r="B398" s="2338"/>
      <c r="C398" s="363"/>
      <c r="D398" s="3059" t="s">
        <v>2492</v>
      </c>
      <c r="E398" s="3060" t="str">
        <f>Preferences.EnergyUnits&amp;"th"</f>
        <v>TWhth</v>
      </c>
      <c r="F398" s="3916">
        <f ca="1">F397/$F$154</f>
        <v>-0.12598313034009709</v>
      </c>
      <c r="G398" s="3916">
        <f t="shared" ref="G398:N398" ca="1" si="72">G397/$F$154</f>
        <v>-0.24486132209479483</v>
      </c>
      <c r="H398" s="3061">
        <f t="shared" ca="1" si="72"/>
        <v>-0.26295777674249471</v>
      </c>
      <c r="I398" s="3061">
        <f t="shared" ca="1" si="72"/>
        <v>0</v>
      </c>
      <c r="J398" s="3061">
        <f t="shared" ca="1" si="72"/>
        <v>0</v>
      </c>
      <c r="K398" s="3061">
        <f t="shared" ca="1" si="72"/>
        <v>0</v>
      </c>
      <c r="L398" s="3061">
        <f t="shared" ca="1" si="72"/>
        <v>0</v>
      </c>
      <c r="M398" s="3061">
        <f t="shared" ca="1" si="72"/>
        <v>0</v>
      </c>
      <c r="N398" s="3061">
        <f t="shared" ca="1" si="72"/>
        <v>0</v>
      </c>
    </row>
    <row r="399" spans="2:14" ht="15.75">
      <c r="B399" s="2338"/>
      <c r="C399" s="363"/>
      <c r="D399" s="1228" t="s">
        <v>2493</v>
      </c>
      <c r="E399" s="1334" t="s">
        <v>626</v>
      </c>
      <c r="F399" s="723">
        <f t="shared" ref="F399:N399" ca="1" si="73">$E$394*-F398</f>
        <v>2.6208673750667485E-2</v>
      </c>
      <c r="G399" s="723">
        <f t="shared" ca="1" si="73"/>
        <v>5.093928439161087E-2</v>
      </c>
      <c r="H399" s="723">
        <f t="shared" ca="1" si="73"/>
        <v>5.4703947760626752E-2</v>
      </c>
      <c r="I399" s="723">
        <f t="shared" ca="1" si="73"/>
        <v>0</v>
      </c>
      <c r="J399" s="723">
        <f t="shared" ca="1" si="73"/>
        <v>0</v>
      </c>
      <c r="K399" s="723">
        <f t="shared" ca="1" si="73"/>
        <v>0</v>
      </c>
      <c r="L399" s="723">
        <f t="shared" ca="1" si="73"/>
        <v>0</v>
      </c>
      <c r="M399" s="723">
        <f t="shared" ca="1" si="73"/>
        <v>0</v>
      </c>
      <c r="N399" s="723">
        <f t="shared" ca="1" si="73"/>
        <v>0</v>
      </c>
    </row>
    <row r="400" spans="2:14">
      <c r="C400" s="363"/>
      <c r="D400" s="1228"/>
      <c r="E400" s="1334"/>
      <c r="F400" s="723"/>
      <c r="G400" s="723"/>
      <c r="H400" s="723"/>
      <c r="I400" s="723"/>
      <c r="J400" s="723"/>
      <c r="K400" s="723"/>
      <c r="L400" s="723"/>
      <c r="M400" s="723"/>
      <c r="N400" s="723"/>
    </row>
    <row r="401" spans="2:14" ht="15.75">
      <c r="B401" s="2338"/>
      <c r="C401" s="363"/>
      <c r="D401" s="3062" t="s">
        <v>625</v>
      </c>
      <c r="E401" s="3063" t="s">
        <v>626</v>
      </c>
      <c r="F401" s="3055">
        <f t="shared" ref="F401:N401" ca="1" si="74">F399*$F$132</f>
        <v>2.6208673750667485E-2</v>
      </c>
      <c r="G401" s="3055">
        <f t="shared" ca="1" si="74"/>
        <v>5.093928439161087E-2</v>
      </c>
      <c r="H401" s="3055">
        <f t="shared" ca="1" si="74"/>
        <v>5.4703947760626752E-2</v>
      </c>
      <c r="I401" s="3055">
        <f t="shared" ca="1" si="74"/>
        <v>0</v>
      </c>
      <c r="J401" s="3055">
        <f t="shared" ca="1" si="74"/>
        <v>0</v>
      </c>
      <c r="K401" s="3055">
        <f t="shared" ca="1" si="74"/>
        <v>0</v>
      </c>
      <c r="L401" s="3055">
        <f t="shared" ca="1" si="74"/>
        <v>0</v>
      </c>
      <c r="M401" s="3055">
        <f t="shared" ca="1" si="74"/>
        <v>0</v>
      </c>
      <c r="N401" s="3055">
        <f t="shared" ca="1" si="74"/>
        <v>0</v>
      </c>
    </row>
    <row r="402" spans="2:14" ht="15.75">
      <c r="B402" s="2338"/>
      <c r="C402" s="363"/>
      <c r="D402" s="1228"/>
      <c r="E402" s="2883"/>
      <c r="F402" s="3058"/>
      <c r="G402" s="3058"/>
      <c r="H402" s="3058"/>
      <c r="I402" s="3058"/>
      <c r="J402" s="3058"/>
      <c r="K402" s="3058"/>
      <c r="L402" s="3058"/>
      <c r="M402" s="3058"/>
      <c r="N402" s="3058"/>
    </row>
    <row r="403" spans="2:14" ht="15.75">
      <c r="B403" s="362" t="s">
        <v>2494</v>
      </c>
      <c r="C403" s="363"/>
      <c r="D403" s="1228"/>
      <c r="E403" s="2883"/>
      <c r="F403" s="3058"/>
      <c r="G403" s="3058"/>
      <c r="H403" s="3058"/>
      <c r="I403" s="3058"/>
      <c r="J403" s="3058"/>
      <c r="K403" s="3058"/>
      <c r="L403" s="3058"/>
      <c r="M403" s="3058"/>
      <c r="N403" s="3058"/>
    </row>
    <row r="404" spans="2:14" ht="15.75">
      <c r="B404" s="362"/>
      <c r="C404" s="363" t="s">
        <v>2379</v>
      </c>
      <c r="D404" s="1228"/>
      <c r="E404" s="2883"/>
      <c r="F404" s="3058"/>
      <c r="G404" s="3058"/>
      <c r="H404" s="3058"/>
      <c r="I404" s="3058"/>
      <c r="J404" s="3058"/>
      <c r="K404" s="3058"/>
      <c r="L404" s="3058"/>
      <c r="M404" s="3058"/>
      <c r="N404" s="3058"/>
    </row>
    <row r="405" spans="2:14" ht="15.75">
      <c r="B405" s="362"/>
      <c r="C405" s="1228" t="s">
        <v>2412</v>
      </c>
      <c r="D405" s="1228"/>
      <c r="E405" s="2883" t="str">
        <f>Preferences.PowerUnits</f>
        <v>GW</v>
      </c>
      <c r="F405" s="3058">
        <f t="shared" ref="F405:N405" si="75">F80</f>
        <v>0.29199999999999998</v>
      </c>
      <c r="G405" s="3058">
        <f t="shared" si="75"/>
        <v>0.29199999999999998</v>
      </c>
      <c r="H405" s="3058">
        <f t="shared" si="75"/>
        <v>0.29199999999999998</v>
      </c>
      <c r="I405" s="3058">
        <f t="shared" si="75"/>
        <v>0.29199999999999998</v>
      </c>
      <c r="J405" s="3058">
        <f t="shared" si="75"/>
        <v>1.792</v>
      </c>
      <c r="K405" s="3058">
        <f t="shared" si="75"/>
        <v>1.792</v>
      </c>
      <c r="L405" s="3058">
        <f t="shared" si="75"/>
        <v>1.792</v>
      </c>
      <c r="M405" s="3058">
        <f t="shared" si="75"/>
        <v>1.792</v>
      </c>
      <c r="N405" s="3058">
        <f t="shared" si="75"/>
        <v>1.792</v>
      </c>
    </row>
    <row r="406" spans="2:14" ht="15.75">
      <c r="B406" s="362"/>
      <c r="C406" s="1228" t="s">
        <v>2434</v>
      </c>
      <c r="D406" s="1228"/>
      <c r="E406" s="2883" t="str">
        <f>Preferences.PowerUnits</f>
        <v>GW</v>
      </c>
      <c r="F406" s="3058">
        <f t="shared" ref="F406:N406" si="76">F98</f>
        <v>0.75</v>
      </c>
      <c r="G406" s="3058">
        <f t="shared" si="76"/>
        <v>0.75</v>
      </c>
      <c r="H406" s="3058">
        <f t="shared" si="76"/>
        <v>0.75</v>
      </c>
      <c r="I406" s="3058">
        <f t="shared" si="76"/>
        <v>1.4</v>
      </c>
      <c r="J406" s="3058">
        <f t="shared" si="76"/>
        <v>1.4</v>
      </c>
      <c r="K406" s="3058">
        <f t="shared" si="76"/>
        <v>1.4</v>
      </c>
      <c r="L406" s="3058">
        <f t="shared" si="76"/>
        <v>1.4</v>
      </c>
      <c r="M406" s="3058">
        <f t="shared" si="76"/>
        <v>1.4</v>
      </c>
      <c r="N406" s="3058">
        <f t="shared" si="76"/>
        <v>1.4</v>
      </c>
    </row>
    <row r="407" spans="2:14" ht="15.75">
      <c r="B407" s="362"/>
      <c r="C407" s="1228" t="s">
        <v>2495</v>
      </c>
      <c r="D407" s="1228"/>
      <c r="E407" s="2883" t="str">
        <f>Preferences.PowerUnits</f>
        <v>GW</v>
      </c>
      <c r="F407" s="3058">
        <f ca="1">F390</f>
        <v>0.41994376780032372</v>
      </c>
      <c r="G407" s="3058">
        <f t="shared" ref="G407:N407" ca="1" si="77">G390</f>
        <v>0.81620440698264951</v>
      </c>
      <c r="H407" s="3058">
        <f t="shared" ca="1" si="77"/>
        <v>0.87652592247498262</v>
      </c>
      <c r="I407" s="3058">
        <f t="shared" ca="1" si="77"/>
        <v>0</v>
      </c>
      <c r="J407" s="3058">
        <f t="shared" ca="1" si="77"/>
        <v>0</v>
      </c>
      <c r="K407" s="3058">
        <f t="shared" ca="1" si="77"/>
        <v>0</v>
      </c>
      <c r="L407" s="3058">
        <f t="shared" ca="1" si="77"/>
        <v>0</v>
      </c>
      <c r="M407" s="3058">
        <f t="shared" ca="1" si="77"/>
        <v>0</v>
      </c>
      <c r="N407" s="3058">
        <f t="shared" ca="1" si="77"/>
        <v>0</v>
      </c>
    </row>
    <row r="408" spans="2:14" ht="15.75">
      <c r="B408" s="2338"/>
      <c r="C408" s="363"/>
      <c r="D408" s="1228"/>
      <c r="E408" s="2883"/>
      <c r="F408" s="3058"/>
      <c r="G408" s="3058"/>
      <c r="H408" s="3058"/>
      <c r="I408" s="3058"/>
      <c r="J408" s="3058"/>
      <c r="K408" s="3058"/>
      <c r="L408" s="3058"/>
      <c r="M408" s="3058"/>
      <c r="N408" s="3058"/>
    </row>
    <row r="409" spans="2:14" ht="15.75">
      <c r="B409" s="362"/>
      <c r="C409" s="363" t="s">
        <v>2496</v>
      </c>
      <c r="D409" s="1228"/>
      <c r="E409" s="2883"/>
      <c r="F409" s="3058"/>
      <c r="G409" s="3058"/>
      <c r="H409" s="3058"/>
      <c r="I409" s="3058"/>
      <c r="J409" s="3058"/>
      <c r="K409" s="3058"/>
      <c r="L409" s="3058"/>
      <c r="M409" s="3058"/>
      <c r="N409" s="3058"/>
    </row>
    <row r="410" spans="2:14" ht="15.75">
      <c r="B410" s="362"/>
      <c r="C410" s="1228" t="s">
        <v>2412</v>
      </c>
      <c r="D410" s="1228"/>
      <c r="E410" s="2883" t="str">
        <f>Preferences.PowerUnits</f>
        <v>GW</v>
      </c>
      <c r="F410" s="3058"/>
      <c r="G410" s="3058">
        <f>(INDEX($F$76:$O$79,MATCH($E$8,$C$76:$C$79,0),MATCH(G$396,$F$75:$O$75,0))-INDEX($F$76:$O$79,MATCH($E$8,$C$76:$C$79,0),MATCH(F$396,$F$75:$O$75,0)))/(G$396-F$396)</f>
        <v>0</v>
      </c>
      <c r="H410" s="3058">
        <f t="shared" ref="H410:N410" si="78">(INDEX($F$76:$O$79,MATCH($E$8,$C$76:$C$79,0),MATCH(H$396,$F$75:$O$75,0))-INDEX($F$76:$O$79,MATCH($E$8,$C$76:$C$79,0),MATCH(G$396,$F$75:$O$75,0)))/(H$396-G$396)</f>
        <v>0</v>
      </c>
      <c r="I410" s="3058">
        <f t="shared" si="78"/>
        <v>0</v>
      </c>
      <c r="J410" s="3058">
        <f t="shared" si="78"/>
        <v>0.3</v>
      </c>
      <c r="K410" s="3058">
        <f t="shared" si="78"/>
        <v>0</v>
      </c>
      <c r="L410" s="3058">
        <f t="shared" si="78"/>
        <v>0</v>
      </c>
      <c r="M410" s="3058">
        <f t="shared" si="78"/>
        <v>0</v>
      </c>
      <c r="N410" s="3058">
        <f t="shared" si="78"/>
        <v>0</v>
      </c>
    </row>
    <row r="411" spans="2:14" ht="15.75">
      <c r="B411" s="362"/>
      <c r="C411" s="1228" t="s">
        <v>2434</v>
      </c>
      <c r="D411" s="1228"/>
      <c r="E411" s="2883" t="str">
        <f>Preferences.PowerUnits</f>
        <v>GW</v>
      </c>
      <c r="F411" s="3058"/>
      <c r="G411" s="3058">
        <f t="shared" ref="G411:N411" si="79">(INDEX($F$94:$O$97,MATCH($E$8,$C$94:$C$97,0),MATCH(G$396,$F$93:$O$93,0))-INDEX($F$94:$O$97,MATCH($E$8,$C$94:$C$97,0),MATCH(F$396,$F$93:$O$93,0)))/(G$396-F$396)</f>
        <v>0</v>
      </c>
      <c r="H411" s="3058">
        <f t="shared" si="79"/>
        <v>0</v>
      </c>
      <c r="I411" s="3058">
        <f t="shared" si="79"/>
        <v>0.12999999999999998</v>
      </c>
      <c r="J411" s="3058">
        <f t="shared" si="79"/>
        <v>0</v>
      </c>
      <c r="K411" s="3058">
        <f t="shared" si="79"/>
        <v>0</v>
      </c>
      <c r="L411" s="3058">
        <f t="shared" si="79"/>
        <v>0</v>
      </c>
      <c r="M411" s="3058">
        <f t="shared" si="79"/>
        <v>0</v>
      </c>
      <c r="N411" s="3058">
        <f t="shared" si="79"/>
        <v>0</v>
      </c>
    </row>
    <row r="412" spans="2:14" ht="15.75">
      <c r="B412" s="362"/>
      <c r="C412" s="1228" t="s">
        <v>2495</v>
      </c>
      <c r="D412" s="1228"/>
      <c r="E412" s="2883" t="str">
        <f>Preferences.PowerUnits</f>
        <v>GW</v>
      </c>
      <c r="F412" s="3058"/>
      <c r="G412" s="3058">
        <f t="shared" ref="G412:N412" ca="1" si="80">MAX((G447-F447)/(G396-F396),0)</f>
        <v>0.39626063918232579</v>
      </c>
      <c r="H412" s="3058">
        <f t="shared" ca="1" si="80"/>
        <v>2.4128606196933244E-2</v>
      </c>
      <c r="I412" s="3058">
        <f t="shared" ca="1" si="80"/>
        <v>0</v>
      </c>
      <c r="J412" s="3058">
        <f t="shared" ca="1" si="80"/>
        <v>0</v>
      </c>
      <c r="K412" s="3058">
        <f t="shared" ca="1" si="80"/>
        <v>0</v>
      </c>
      <c r="L412" s="3058">
        <f t="shared" ca="1" si="80"/>
        <v>0</v>
      </c>
      <c r="M412" s="3058">
        <f t="shared" ca="1" si="80"/>
        <v>0</v>
      </c>
      <c r="N412" s="3058">
        <f t="shared" ca="1" si="80"/>
        <v>0</v>
      </c>
    </row>
    <row r="413" spans="2:14" ht="15.75">
      <c r="B413" s="2338"/>
      <c r="C413" s="363"/>
      <c r="D413" s="1228"/>
      <c r="E413" s="2883"/>
      <c r="F413" s="3058"/>
      <c r="G413" s="3058"/>
      <c r="H413" s="3058"/>
      <c r="I413" s="3058"/>
      <c r="J413" s="3058"/>
      <c r="K413" s="3058"/>
      <c r="L413" s="3058"/>
      <c r="M413" s="3058"/>
      <c r="N413" s="3058"/>
    </row>
    <row r="414" spans="2:14">
      <c r="C414" s="363" t="s">
        <v>2800</v>
      </c>
      <c r="F414" s="366"/>
    </row>
    <row r="415" spans="2:14" hidden="1">
      <c r="C415" s="2890" t="s">
        <v>2385</v>
      </c>
      <c r="E415" s="3611" t="s">
        <v>2824</v>
      </c>
      <c r="F415" s="993"/>
      <c r="G415" s="993"/>
      <c r="H415" s="993"/>
      <c r="I415" s="993"/>
      <c r="J415" s="993"/>
      <c r="K415" s="993"/>
      <c r="L415" s="993"/>
      <c r="M415" s="993"/>
      <c r="N415" s="993"/>
    </row>
    <row r="416" spans="2:14" hidden="1">
      <c r="C416" s="2890" t="s">
        <v>2386</v>
      </c>
      <c r="E416" s="3611" t="s">
        <v>2824</v>
      </c>
      <c r="F416" s="993"/>
      <c r="G416" s="993"/>
      <c r="H416" s="993"/>
      <c r="I416" s="993"/>
      <c r="J416" s="993"/>
      <c r="K416" s="993"/>
      <c r="L416" s="993"/>
      <c r="M416" s="993"/>
      <c r="N416" s="993"/>
    </row>
    <row r="417" spans="2:15" hidden="1">
      <c r="C417" s="2890" t="s">
        <v>2387</v>
      </c>
      <c r="E417" s="3611" t="s">
        <v>2824</v>
      </c>
      <c r="F417" s="992"/>
      <c r="G417" s="992"/>
      <c r="H417" s="992"/>
      <c r="I417" s="992"/>
      <c r="J417" s="992"/>
      <c r="K417" s="992"/>
      <c r="L417" s="992"/>
      <c r="M417" s="992"/>
      <c r="N417" s="992"/>
    </row>
    <row r="418" spans="2:15" hidden="1"/>
    <row r="419" spans="2:15" hidden="1">
      <c r="C419" s="363" t="s">
        <v>161</v>
      </c>
      <c r="F419" s="366"/>
    </row>
    <row r="420" spans="2:15" hidden="1">
      <c r="C420" s="2890" t="s">
        <v>2385</v>
      </c>
      <c r="E420" s="3611" t="s">
        <v>2824</v>
      </c>
      <c r="F420" s="993"/>
      <c r="G420" s="993"/>
      <c r="H420" s="993"/>
      <c r="I420" s="993"/>
      <c r="J420" s="993"/>
      <c r="K420" s="993"/>
      <c r="L420" s="993"/>
      <c r="M420" s="993"/>
      <c r="N420" s="993"/>
    </row>
    <row r="421" spans="2:15" hidden="1">
      <c r="C421" s="2890" t="s">
        <v>2386</v>
      </c>
      <c r="E421" s="3611" t="s">
        <v>2824</v>
      </c>
      <c r="F421" s="993"/>
      <c r="G421" s="993"/>
      <c r="H421" s="993"/>
      <c r="I421" s="993"/>
      <c r="J421" s="993"/>
      <c r="K421" s="993"/>
      <c r="L421" s="993"/>
      <c r="M421" s="993"/>
      <c r="N421" s="993"/>
    </row>
    <row r="422" spans="2:15" hidden="1">
      <c r="C422" s="2890" t="s">
        <v>2387</v>
      </c>
      <c r="E422" s="3611" t="s">
        <v>2824</v>
      </c>
      <c r="F422" s="992"/>
      <c r="G422" s="992"/>
      <c r="H422" s="992"/>
      <c r="I422" s="992"/>
      <c r="J422" s="992"/>
      <c r="K422" s="992"/>
      <c r="L422" s="992"/>
      <c r="M422" s="992"/>
      <c r="N422" s="992"/>
    </row>
    <row r="423" spans="2:15" hidden="1">
      <c r="F423" s="366"/>
    </row>
    <row r="424" spans="2:15" hidden="1">
      <c r="C424" s="363" t="s">
        <v>20</v>
      </c>
      <c r="F424" s="366"/>
    </row>
    <row r="425" spans="2:15" hidden="1">
      <c r="C425" s="2890" t="s">
        <v>2385</v>
      </c>
      <c r="E425" s="3611" t="s">
        <v>2824</v>
      </c>
      <c r="F425" s="993"/>
      <c r="G425" s="993"/>
      <c r="H425" s="993"/>
      <c r="I425" s="993"/>
      <c r="J425" s="993"/>
      <c r="K425" s="993"/>
      <c r="L425" s="993"/>
      <c r="M425" s="993"/>
      <c r="N425" s="993"/>
    </row>
    <row r="426" spans="2:15" hidden="1">
      <c r="C426" s="2890" t="s">
        <v>2386</v>
      </c>
      <c r="E426" s="3611" t="s">
        <v>2824</v>
      </c>
      <c r="F426" s="993"/>
      <c r="G426" s="993"/>
      <c r="H426" s="993"/>
      <c r="I426" s="993"/>
      <c r="J426" s="993"/>
      <c r="K426" s="993"/>
      <c r="L426" s="993"/>
      <c r="M426" s="993"/>
      <c r="N426" s="993"/>
    </row>
    <row r="427" spans="2:15" hidden="1">
      <c r="C427" s="2890" t="s">
        <v>2387</v>
      </c>
      <c r="E427" s="3611" t="s">
        <v>2824</v>
      </c>
      <c r="F427" s="992"/>
      <c r="G427" s="992"/>
      <c r="H427" s="992"/>
      <c r="I427" s="992"/>
      <c r="J427" s="992"/>
      <c r="K427" s="992"/>
      <c r="L427" s="992"/>
      <c r="M427" s="992"/>
      <c r="N427" s="992"/>
    </row>
    <row r="429" spans="2:15" ht="15.75">
      <c r="B429" s="511" t="s">
        <v>299</v>
      </c>
      <c r="C429" s="512"/>
      <c r="D429" s="512"/>
      <c r="E429" s="512"/>
      <c r="F429" s="512"/>
      <c r="G429" s="512"/>
      <c r="H429" s="512"/>
      <c r="I429" s="512"/>
      <c r="J429" s="512"/>
      <c r="K429" s="512"/>
      <c r="L429" s="512"/>
      <c r="M429" s="512"/>
      <c r="N429" s="512"/>
      <c r="O429" s="866"/>
    </row>
    <row r="430" spans="2:15">
      <c r="B430" s="514"/>
      <c r="C430" s="515"/>
      <c r="D430" s="515"/>
      <c r="E430" s="515"/>
      <c r="F430" s="515"/>
      <c r="G430" s="515"/>
      <c r="H430" s="515"/>
      <c r="I430" s="515"/>
      <c r="J430" s="515"/>
      <c r="K430" s="515"/>
      <c r="L430" s="515"/>
      <c r="M430" s="515"/>
      <c r="N430" s="515"/>
      <c r="O430" s="867"/>
    </row>
    <row r="431" spans="2:15">
      <c r="B431" s="514"/>
      <c r="C431" s="34" t="s">
        <v>765</v>
      </c>
      <c r="D431" s="515"/>
      <c r="E431" s="515"/>
      <c r="F431" s="515"/>
      <c r="G431" s="515"/>
      <c r="H431" s="515"/>
      <c r="I431" s="515"/>
      <c r="J431" s="515"/>
      <c r="K431" s="515"/>
      <c r="L431" s="515"/>
      <c r="M431" s="515"/>
      <c r="N431" s="516" t="str">
        <f>Preferences.EnergyUnits</f>
        <v>TWh</v>
      </c>
      <c r="O431" s="867"/>
    </row>
    <row r="432" spans="2:15">
      <c r="B432" s="514"/>
      <c r="C432" s="515"/>
      <c r="D432" s="515"/>
      <c r="E432" s="515"/>
      <c r="F432" s="515"/>
      <c r="G432" s="515"/>
      <c r="H432" s="515"/>
      <c r="I432" s="515"/>
      <c r="J432" s="515"/>
      <c r="K432" s="515"/>
      <c r="L432" s="515"/>
      <c r="M432" s="515"/>
      <c r="N432" s="515"/>
      <c r="O432" s="867"/>
    </row>
    <row r="433" spans="2:37" ht="15.75">
      <c r="B433" s="15"/>
      <c r="C433" s="873" t="s">
        <v>28</v>
      </c>
      <c r="D433" s="873" t="s">
        <v>29</v>
      </c>
      <c r="E433" s="873" t="s">
        <v>30</v>
      </c>
      <c r="F433" s="873" t="s">
        <v>597</v>
      </c>
      <c r="G433" s="873" t="s">
        <v>133</v>
      </c>
      <c r="H433" s="873" t="s">
        <v>134</v>
      </c>
      <c r="I433" s="873" t="s">
        <v>135</v>
      </c>
      <c r="J433" s="873" t="s">
        <v>136</v>
      </c>
      <c r="K433" s="873" t="s">
        <v>137</v>
      </c>
      <c r="L433" s="873" t="s">
        <v>138</v>
      </c>
      <c r="M433" s="873" t="s">
        <v>139</v>
      </c>
      <c r="N433" s="873" t="s">
        <v>140</v>
      </c>
      <c r="O433" s="874"/>
    </row>
    <row r="434" spans="2:37">
      <c r="B434" s="2211"/>
      <c r="C434" s="17" t="s">
        <v>454</v>
      </c>
      <c r="D434" s="2954" t="str">
        <f>INDEX(Vectors[Description], MATCH([Vector], Vectors[Code], 0))</f>
        <v>Distribution losses and own use</v>
      </c>
      <c r="E434" s="18"/>
      <c r="F434" s="2521">
        <f ca="1">-F397</f>
        <v>5.0393252136038839E-2</v>
      </c>
      <c r="G434" s="2521">
        <f t="shared" ref="G434:N434" ca="1" si="81">-G397</f>
        <v>9.7944528837917932E-2</v>
      </c>
      <c r="H434" s="2521">
        <f t="shared" ca="1" si="81"/>
        <v>0.1051831106969979</v>
      </c>
      <c r="I434" s="2521">
        <f t="shared" ca="1" si="81"/>
        <v>0</v>
      </c>
      <c r="J434" s="2521">
        <f t="shared" ca="1" si="81"/>
        <v>0</v>
      </c>
      <c r="K434" s="2521">
        <f t="shared" ca="1" si="81"/>
        <v>0</v>
      </c>
      <c r="L434" s="2521">
        <f t="shared" ca="1" si="81"/>
        <v>0</v>
      </c>
      <c r="M434" s="2521">
        <f t="shared" ca="1" si="81"/>
        <v>0</v>
      </c>
      <c r="N434" s="2521">
        <f t="shared" ca="1" si="81"/>
        <v>0</v>
      </c>
      <c r="O434" s="2212"/>
      <c r="R434"/>
      <c r="S434"/>
      <c r="T434"/>
      <c r="U434"/>
      <c r="V434"/>
      <c r="W434"/>
      <c r="X434"/>
      <c r="Y434"/>
      <c r="Z434"/>
      <c r="AA434"/>
      <c r="AB434"/>
      <c r="AC434"/>
      <c r="AD434"/>
      <c r="AE434"/>
      <c r="AF434"/>
      <c r="AG434"/>
      <c r="AH434"/>
      <c r="AI434"/>
      <c r="AJ434"/>
      <c r="AK434"/>
    </row>
    <row r="435" spans="2:37">
      <c r="B435" s="2211"/>
      <c r="C435" s="17" t="s">
        <v>100</v>
      </c>
      <c r="D435" s="2954" t="str">
        <f>INDEX(Vectors[Description], MATCH([Vector], Vectors[Code], 0))</f>
        <v>Gaseous hydrocarbons</v>
      </c>
      <c r="E435" s="17"/>
      <c r="F435" s="2521">
        <f ca="1">F398</f>
        <v>-0.12598313034009709</v>
      </c>
      <c r="G435" s="2521">
        <f t="shared" ref="G435:N435" ca="1" si="82">G398</f>
        <v>-0.24486132209479483</v>
      </c>
      <c r="H435" s="2521">
        <f t="shared" ca="1" si="82"/>
        <v>-0.26295777674249471</v>
      </c>
      <c r="I435" s="2521">
        <f t="shared" ca="1" si="82"/>
        <v>0</v>
      </c>
      <c r="J435" s="2521">
        <f t="shared" ca="1" si="82"/>
        <v>0</v>
      </c>
      <c r="K435" s="2521">
        <f t="shared" ca="1" si="82"/>
        <v>0</v>
      </c>
      <c r="L435" s="2521">
        <f t="shared" ca="1" si="82"/>
        <v>0</v>
      </c>
      <c r="M435" s="2521">
        <f t="shared" ca="1" si="82"/>
        <v>0</v>
      </c>
      <c r="N435" s="2521">
        <f t="shared" ca="1" si="82"/>
        <v>0</v>
      </c>
      <c r="O435" s="2212"/>
    </row>
    <row r="436" spans="2:37">
      <c r="B436" s="2211"/>
      <c r="C436" s="18" t="s">
        <v>104</v>
      </c>
      <c r="D436" s="2954" t="str">
        <f>INDEX(Vectors[Description], MATCH([Vector], Vectors[Code], 0))</f>
        <v>Conversion losses</v>
      </c>
      <c r="E436" s="18"/>
      <c r="F436" s="2521">
        <f ca="1">-(F398-F397)</f>
        <v>7.5589878204058242E-2</v>
      </c>
      <c r="G436" s="2521">
        <f t="shared" ref="G436:N436" ca="1" si="83">-(G398-G397)</f>
        <v>0.1469167932568769</v>
      </c>
      <c r="H436" s="2521">
        <f t="shared" ca="1" si="83"/>
        <v>0.15777466604549681</v>
      </c>
      <c r="I436" s="2521">
        <f t="shared" ca="1" si="83"/>
        <v>0</v>
      </c>
      <c r="J436" s="2521">
        <f t="shared" ca="1" si="83"/>
        <v>0</v>
      </c>
      <c r="K436" s="2521">
        <f t="shared" ca="1" si="83"/>
        <v>0</v>
      </c>
      <c r="L436" s="2521">
        <f t="shared" ca="1" si="83"/>
        <v>0</v>
      </c>
      <c r="M436" s="2521">
        <f t="shared" ca="1" si="83"/>
        <v>0</v>
      </c>
      <c r="N436" s="2521">
        <f t="shared" ca="1" si="83"/>
        <v>0</v>
      </c>
      <c r="O436" s="2212"/>
    </row>
    <row r="437" spans="2:37">
      <c r="B437" s="2211"/>
      <c r="C437" s="3375" t="s">
        <v>59</v>
      </c>
      <c r="D437" s="3374"/>
      <c r="E437" s="3374"/>
      <c r="F437" s="2465">
        <f ca="1">SUBTOTAL(109,[2013])</f>
        <v>0</v>
      </c>
      <c r="G437" s="2465">
        <f ca="1">SUBTOTAL(109,[2015])</f>
        <v>0</v>
      </c>
      <c r="H437" s="2465">
        <f ca="1">SUBTOTAL(109,[2020])</f>
        <v>0</v>
      </c>
      <c r="I437" s="2465">
        <f ca="1">SUBTOTAL(109,[2025])</f>
        <v>0</v>
      </c>
      <c r="J437" s="2465">
        <f ca="1">SUBTOTAL(109,[2030])</f>
        <v>0</v>
      </c>
      <c r="K437" s="2465">
        <f ca="1">SUBTOTAL(109,[2035])</f>
        <v>0</v>
      </c>
      <c r="L437" s="2465">
        <f ca="1">SUBTOTAL(109,[2040])</f>
        <v>0</v>
      </c>
      <c r="M437" s="2465">
        <f ca="1">SUBTOTAL(109,[2045])</f>
        <v>0</v>
      </c>
      <c r="N437" s="2465">
        <f ca="1">SUBTOTAL(109,[2050])</f>
        <v>0</v>
      </c>
      <c r="O437" s="2212"/>
    </row>
    <row r="438" spans="2:37">
      <c r="B438" s="2212"/>
      <c r="C438" s="17"/>
      <c r="D438" s="17"/>
      <c r="E438" s="17"/>
      <c r="F438" s="22"/>
      <c r="G438" s="22"/>
      <c r="H438" s="22"/>
      <c r="I438" s="22"/>
      <c r="J438" s="22"/>
      <c r="K438" s="22"/>
      <c r="L438" s="22"/>
      <c r="M438" s="22"/>
      <c r="N438" s="22"/>
      <c r="O438" s="2212"/>
    </row>
    <row r="439" spans="2:37">
      <c r="S439" s="1152"/>
    </row>
    <row r="440" spans="2:37" ht="15.75">
      <c r="B440" s="995" t="s">
        <v>313</v>
      </c>
      <c r="C440" s="996"/>
      <c r="D440" s="997"/>
      <c r="E440" s="997"/>
      <c r="F440" s="997"/>
      <c r="G440" s="997"/>
      <c r="H440" s="997"/>
      <c r="I440" s="997"/>
      <c r="J440" s="997"/>
      <c r="K440" s="997"/>
      <c r="L440" s="997"/>
      <c r="M440" s="997"/>
      <c r="N440" s="997"/>
      <c r="O440" s="998"/>
    </row>
    <row r="441" spans="2:37">
      <c r="B441" s="999"/>
      <c r="C441" s="1000"/>
      <c r="D441" s="1000"/>
      <c r="E441" s="1000"/>
      <c r="F441" s="1000"/>
      <c r="G441" s="1000"/>
      <c r="H441" s="1000"/>
      <c r="I441" s="1000"/>
      <c r="J441" s="1000"/>
      <c r="K441" s="1000"/>
      <c r="L441" s="1000"/>
      <c r="M441" s="1000"/>
      <c r="N441" s="1000"/>
      <c r="O441" s="1001"/>
    </row>
    <row r="442" spans="2:37">
      <c r="B442" s="1002"/>
      <c r="C442" s="488" t="s">
        <v>314</v>
      </c>
      <c r="D442" s="1003"/>
      <c r="E442" s="1004"/>
      <c r="F442" s="1003"/>
      <c r="G442" s="1003"/>
      <c r="H442" s="1003"/>
      <c r="I442" s="1003"/>
      <c r="J442" s="1003"/>
      <c r="K442" s="1003"/>
      <c r="L442" s="1003"/>
      <c r="M442" s="1003"/>
      <c r="N442" s="1004"/>
      <c r="O442" s="1005"/>
    </row>
    <row r="443" spans="2:37">
      <c r="B443" s="1002"/>
      <c r="C443" s="1003"/>
      <c r="D443" s="1003"/>
      <c r="E443" s="1003"/>
      <c r="F443" s="1003"/>
      <c r="G443" s="1003"/>
      <c r="H443" s="1003"/>
      <c r="I443" s="1003"/>
      <c r="J443" s="1003"/>
      <c r="K443" s="1003"/>
      <c r="L443" s="1003"/>
      <c r="M443" s="1003"/>
      <c r="N443" s="1003"/>
      <c r="O443" s="1005"/>
    </row>
    <row r="444" spans="2:37" ht="15.75">
      <c r="B444" s="492"/>
      <c r="C444" s="1006" t="s">
        <v>28</v>
      </c>
      <c r="D444" s="1006" t="s">
        <v>315</v>
      </c>
      <c r="E444" s="1006" t="s">
        <v>30</v>
      </c>
      <c r="F444" s="1006" t="s">
        <v>597</v>
      </c>
      <c r="G444" s="1006" t="s">
        <v>133</v>
      </c>
      <c r="H444" s="1006" t="s">
        <v>134</v>
      </c>
      <c r="I444" s="1006" t="s">
        <v>135</v>
      </c>
      <c r="J444" s="1006" t="s">
        <v>136</v>
      </c>
      <c r="K444" s="1006" t="s">
        <v>137</v>
      </c>
      <c r="L444" s="1006" t="s">
        <v>138</v>
      </c>
      <c r="M444" s="1006" t="s">
        <v>139</v>
      </c>
      <c r="N444" s="1006" t="s">
        <v>140</v>
      </c>
      <c r="O444" s="1005"/>
    </row>
    <row r="445" spans="2:37" s="3084" customFormat="1" ht="15.75">
      <c r="B445" s="492"/>
      <c r="C445" s="1389"/>
      <c r="D445" s="1389"/>
      <c r="E445" s="1389"/>
      <c r="F445" s="1389"/>
      <c r="G445" s="1389"/>
      <c r="H445" s="1389"/>
      <c r="I445" s="1389"/>
      <c r="J445" s="1389"/>
      <c r="K445" s="1389"/>
      <c r="L445" s="1389"/>
      <c r="M445" s="1389"/>
      <c r="N445" s="1389"/>
      <c r="O445" s="1005"/>
    </row>
    <row r="446" spans="2:37" ht="15.75">
      <c r="B446" s="492"/>
      <c r="C446" s="1007" t="s">
        <v>767</v>
      </c>
      <c r="D446" s="1007" t="s">
        <v>2497</v>
      </c>
      <c r="E446" s="494" t="str">
        <f>Preferences.PowerUnits</f>
        <v>GW</v>
      </c>
      <c r="F446" s="2438">
        <f t="shared" ref="F446:N446" ca="1" si="84">F390</f>
        <v>0.41994376780032372</v>
      </c>
      <c r="G446" s="2438">
        <f t="shared" ca="1" si="84"/>
        <v>0.81620440698264951</v>
      </c>
      <c r="H446" s="2438">
        <f t="shared" ca="1" si="84"/>
        <v>0.87652592247498262</v>
      </c>
      <c r="I446" s="2438">
        <f t="shared" ca="1" si="84"/>
        <v>0</v>
      </c>
      <c r="J446" s="2438">
        <f t="shared" ca="1" si="84"/>
        <v>0</v>
      </c>
      <c r="K446" s="2438">
        <f t="shared" ca="1" si="84"/>
        <v>0</v>
      </c>
      <c r="L446" s="2438">
        <f t="shared" ca="1" si="84"/>
        <v>0</v>
      </c>
      <c r="M446" s="2438">
        <f t="shared" ca="1" si="84"/>
        <v>0</v>
      </c>
      <c r="N446" s="2438">
        <f t="shared" ca="1" si="84"/>
        <v>0</v>
      </c>
      <c r="O446" s="1005"/>
    </row>
    <row r="447" spans="2:37" ht="15.75">
      <c r="B447" s="492"/>
      <c r="C447" s="1007" t="s">
        <v>316</v>
      </c>
      <c r="D447" s="1007" t="s">
        <v>3228</v>
      </c>
      <c r="E447" s="1007" t="s">
        <v>760</v>
      </c>
      <c r="F447" s="3376">
        <f t="shared" ref="F447:N447" ca="1" si="85">F446*2/Unit.GW</f>
        <v>0.83988753560064744</v>
      </c>
      <c r="G447" s="3376">
        <f t="shared" ca="1" si="85"/>
        <v>1.632408813965299</v>
      </c>
      <c r="H447" s="3376">
        <f t="shared" ca="1" si="85"/>
        <v>1.7530518449499652</v>
      </c>
      <c r="I447" s="3376">
        <f t="shared" ca="1" si="85"/>
        <v>0</v>
      </c>
      <c r="J447" s="3376">
        <f t="shared" ca="1" si="85"/>
        <v>0</v>
      </c>
      <c r="K447" s="3376">
        <f t="shared" ca="1" si="85"/>
        <v>0</v>
      </c>
      <c r="L447" s="3376">
        <f t="shared" ca="1" si="85"/>
        <v>0</v>
      </c>
      <c r="M447" s="3376">
        <f t="shared" ca="1" si="85"/>
        <v>0</v>
      </c>
      <c r="N447" s="3376">
        <f t="shared" ca="1" si="85"/>
        <v>0</v>
      </c>
      <c r="O447" s="1005"/>
    </row>
    <row r="448" spans="2:37" ht="15.75">
      <c r="B448" s="492"/>
      <c r="C448" s="1007" t="s">
        <v>1865</v>
      </c>
      <c r="D448" s="494" t="s">
        <v>622</v>
      </c>
      <c r="E448" s="494" t="s">
        <v>43</v>
      </c>
      <c r="F448" s="3377">
        <f ca="1">MAX(F371,F381)</f>
        <v>1</v>
      </c>
      <c r="G448" s="3377">
        <f t="shared" ref="G448:N448" ca="1" si="86">MAX(G371,G381)</f>
        <v>1</v>
      </c>
      <c r="H448" s="3377">
        <f t="shared" ca="1" si="86"/>
        <v>1</v>
      </c>
      <c r="I448" s="3377">
        <f t="shared" ca="1" si="86"/>
        <v>0.76206677424648506</v>
      </c>
      <c r="J448" s="3377">
        <f t="shared" ca="1" si="86"/>
        <v>0.21670717175954976</v>
      </c>
      <c r="K448" s="3377">
        <f t="shared" ca="1" si="86"/>
        <v>0</v>
      </c>
      <c r="L448" s="3377">
        <f t="shared" ca="1" si="86"/>
        <v>0</v>
      </c>
      <c r="M448" s="3377">
        <f t="shared" ca="1" si="86"/>
        <v>0</v>
      </c>
      <c r="N448" s="3377">
        <f t="shared" ca="1" si="86"/>
        <v>0</v>
      </c>
      <c r="O448" s="1005"/>
    </row>
    <row r="449" spans="2:15" ht="15.75">
      <c r="B449" s="492"/>
      <c r="C449" s="1007" t="s">
        <v>1868</v>
      </c>
      <c r="D449" s="494" t="s">
        <v>1869</v>
      </c>
      <c r="E449" s="494" t="str">
        <f>Preferences.PowerUnits</f>
        <v>GW</v>
      </c>
      <c r="F449" s="3378">
        <f t="shared" ref="F449:N449" si="87">F98</f>
        <v>0.75</v>
      </c>
      <c r="G449" s="3378">
        <f t="shared" si="87"/>
        <v>0.75</v>
      </c>
      <c r="H449" s="3378">
        <f t="shared" si="87"/>
        <v>0.75</v>
      </c>
      <c r="I449" s="3378">
        <f t="shared" si="87"/>
        <v>1.4</v>
      </c>
      <c r="J449" s="3378">
        <f t="shared" si="87"/>
        <v>1.4</v>
      </c>
      <c r="K449" s="3378">
        <f t="shared" si="87"/>
        <v>1.4</v>
      </c>
      <c r="L449" s="3378">
        <f t="shared" si="87"/>
        <v>1.4</v>
      </c>
      <c r="M449" s="3378">
        <f t="shared" si="87"/>
        <v>1.4</v>
      </c>
      <c r="N449" s="3378">
        <f t="shared" si="87"/>
        <v>1.4</v>
      </c>
      <c r="O449" s="1005"/>
    </row>
    <row r="450" spans="2:15" ht="15.75">
      <c r="B450" s="497"/>
      <c r="C450" s="1010"/>
      <c r="D450" s="1010"/>
      <c r="E450" s="1010"/>
      <c r="F450" s="1010"/>
      <c r="G450" s="1010"/>
      <c r="H450" s="1010"/>
      <c r="I450" s="1010"/>
      <c r="J450" s="1010"/>
      <c r="K450" s="1010"/>
      <c r="L450" s="1010"/>
      <c r="M450" s="1010"/>
      <c r="N450" s="1010"/>
      <c r="O450" s="1011"/>
    </row>
    <row r="452" spans="2:15" ht="15.75">
      <c r="B452" s="1127" t="s">
        <v>303</v>
      </c>
      <c r="C452" s="1128"/>
      <c r="D452" s="1129"/>
      <c r="E452" s="1129"/>
      <c r="F452" s="1129"/>
      <c r="G452" s="1129"/>
      <c r="H452" s="1129"/>
      <c r="I452" s="1129"/>
      <c r="J452" s="1129"/>
      <c r="K452" s="1129"/>
      <c r="L452" s="1129"/>
      <c r="M452" s="1129"/>
      <c r="N452" s="1129"/>
      <c r="O452" s="1130"/>
    </row>
    <row r="453" spans="2:15">
      <c r="B453" s="1131"/>
      <c r="C453" s="1132"/>
      <c r="D453" s="1132"/>
      <c r="E453" s="1132"/>
      <c r="F453" s="1132"/>
      <c r="G453" s="1132"/>
      <c r="H453" s="1132"/>
      <c r="I453" s="1132"/>
      <c r="J453" s="1132"/>
      <c r="K453" s="1132"/>
      <c r="L453" s="1132"/>
      <c r="M453" s="1132"/>
      <c r="N453" s="1132"/>
      <c r="O453" s="1133"/>
    </row>
    <row r="454" spans="2:15">
      <c r="B454" s="1134"/>
      <c r="C454" s="462" t="s">
        <v>1349</v>
      </c>
      <c r="D454" s="1135"/>
      <c r="E454" s="1136"/>
      <c r="F454" s="1135"/>
      <c r="G454" s="1135"/>
      <c r="H454" s="1135"/>
      <c r="I454" s="1135"/>
      <c r="J454" s="1135"/>
      <c r="K454" s="1135"/>
      <c r="L454" s="1135"/>
      <c r="M454" s="1135"/>
      <c r="N454" s="1136" t="s">
        <v>254</v>
      </c>
      <c r="O454" s="1138"/>
    </row>
    <row r="455" spans="2:15">
      <c r="B455" s="1134"/>
      <c r="C455" s="1135"/>
      <c r="D455" s="1135"/>
      <c r="E455" s="1135"/>
      <c r="F455" s="1135"/>
      <c r="G455" s="1135"/>
      <c r="H455" s="1135"/>
      <c r="I455" s="1135"/>
      <c r="J455" s="1135"/>
      <c r="K455" s="1135"/>
      <c r="L455" s="1135"/>
      <c r="M455" s="1135"/>
      <c r="N455" s="1135"/>
      <c r="O455" s="1138"/>
    </row>
    <row r="456" spans="2:15" ht="15.75">
      <c r="B456" s="467"/>
      <c r="C456" s="1339" t="s">
        <v>305</v>
      </c>
      <c r="D456" s="1339" t="s">
        <v>306</v>
      </c>
      <c r="E456" s="1339" t="s">
        <v>30</v>
      </c>
      <c r="F456" s="1339" t="s">
        <v>597</v>
      </c>
      <c r="G456" s="1339" t="s">
        <v>133</v>
      </c>
      <c r="H456" s="1339" t="s">
        <v>134</v>
      </c>
      <c r="I456" s="1339" t="s">
        <v>135</v>
      </c>
      <c r="J456" s="1339" t="s">
        <v>136</v>
      </c>
      <c r="K456" s="1339" t="s">
        <v>137</v>
      </c>
      <c r="L456" s="1339" t="s">
        <v>138</v>
      </c>
      <c r="M456" s="1339" t="s">
        <v>139</v>
      </c>
      <c r="N456" s="1339" t="s">
        <v>140</v>
      </c>
      <c r="O456" s="1138"/>
    </row>
    <row r="457" spans="2:15" ht="15.75">
      <c r="B457" s="467"/>
      <c r="C457" s="1140" t="s">
        <v>253</v>
      </c>
      <c r="D457" s="1141" t="s">
        <v>307</v>
      </c>
      <c r="E457" s="1140"/>
      <c r="F457" s="2799">
        <f t="shared" ref="F457:N459" ca="1" si="88">INDIRECT("EF."&amp;$F$155&amp;"."&amp;$C457)*-F$398*$F$132</f>
        <v>2.5791417622981084E-2</v>
      </c>
      <c r="G457" s="2799">
        <f t="shared" ca="1" si="88"/>
        <v>5.0128303692832908E-2</v>
      </c>
      <c r="H457" s="2799">
        <f t="shared" ca="1" si="88"/>
        <v>5.3833031604055608E-2</v>
      </c>
      <c r="I457" s="2799">
        <f t="shared" ca="1" si="88"/>
        <v>0</v>
      </c>
      <c r="J457" s="2799">
        <f t="shared" ca="1" si="88"/>
        <v>0</v>
      </c>
      <c r="K457" s="2799">
        <f t="shared" ca="1" si="88"/>
        <v>0</v>
      </c>
      <c r="L457" s="2799">
        <f t="shared" ca="1" si="88"/>
        <v>0</v>
      </c>
      <c r="M457" s="2799">
        <f t="shared" ca="1" si="88"/>
        <v>0</v>
      </c>
      <c r="N457" s="2799">
        <f t="shared" ca="1" si="88"/>
        <v>0</v>
      </c>
      <c r="O457" s="1138"/>
    </row>
    <row r="458" spans="2:15" ht="15.75">
      <c r="B458" s="467"/>
      <c r="C458" s="1140" t="s">
        <v>255</v>
      </c>
      <c r="D458" s="1141" t="s">
        <v>307</v>
      </c>
      <c r="E458" s="1140"/>
      <c r="F458" s="2799">
        <f t="shared" ca="1" si="88"/>
        <v>9.5243246537113416E-6</v>
      </c>
      <c r="G458" s="2799">
        <f t="shared" ca="1" si="88"/>
        <v>1.8511515950366493E-5</v>
      </c>
      <c r="H458" s="2799">
        <f t="shared" ca="1" si="88"/>
        <v>1.9879607921732601E-5</v>
      </c>
      <c r="I458" s="2799">
        <f t="shared" ca="1" si="88"/>
        <v>0</v>
      </c>
      <c r="J458" s="2799">
        <f t="shared" ca="1" si="88"/>
        <v>0</v>
      </c>
      <c r="K458" s="2799">
        <f t="shared" ca="1" si="88"/>
        <v>0</v>
      </c>
      <c r="L458" s="2799">
        <f t="shared" ca="1" si="88"/>
        <v>0</v>
      </c>
      <c r="M458" s="2799">
        <f t="shared" ca="1" si="88"/>
        <v>0</v>
      </c>
      <c r="N458" s="2799">
        <f t="shared" ca="1" si="88"/>
        <v>0</v>
      </c>
      <c r="O458" s="1138"/>
    </row>
    <row r="459" spans="2:15" ht="15.75">
      <c r="B459" s="467"/>
      <c r="C459" s="1140" t="s">
        <v>256</v>
      </c>
      <c r="D459" s="1141" t="s">
        <v>307</v>
      </c>
      <c r="E459" s="1140"/>
      <c r="F459" s="2799">
        <f t="shared" ca="1" si="88"/>
        <v>4.0773180303269019E-4</v>
      </c>
      <c r="G459" s="2799">
        <f t="shared" ca="1" si="88"/>
        <v>7.9246918282759396E-4</v>
      </c>
      <c r="H459" s="2799">
        <f t="shared" ca="1" si="88"/>
        <v>8.5103654864940987E-4</v>
      </c>
      <c r="I459" s="2799">
        <f t="shared" ca="1" si="88"/>
        <v>0</v>
      </c>
      <c r="J459" s="2799">
        <f t="shared" ca="1" si="88"/>
        <v>0</v>
      </c>
      <c r="K459" s="2799">
        <f t="shared" ca="1" si="88"/>
        <v>0</v>
      </c>
      <c r="L459" s="2799">
        <f t="shared" ca="1" si="88"/>
        <v>0</v>
      </c>
      <c r="M459" s="2799">
        <f t="shared" ca="1" si="88"/>
        <v>0</v>
      </c>
      <c r="N459" s="2799">
        <f t="shared" ca="1" si="88"/>
        <v>0</v>
      </c>
      <c r="O459" s="1138"/>
    </row>
    <row r="460" spans="2:15" ht="15.75">
      <c r="B460" s="467"/>
      <c r="C460" s="2466" t="s">
        <v>59</v>
      </c>
      <c r="D460" s="2466"/>
      <c r="E460" s="2466"/>
      <c r="F460" s="2467">
        <f ca="1">SUBTOTAL(109,[2013])</f>
        <v>2.6208673750667485E-2</v>
      </c>
      <c r="G460" s="2467">
        <f ca="1">SUBTOTAL(109,[2015])</f>
        <v>5.093928439161087E-2</v>
      </c>
      <c r="H460" s="2467">
        <f ca="1">SUBTOTAL(109,[2020])</f>
        <v>5.4703947760626752E-2</v>
      </c>
      <c r="I460" s="2467">
        <f ca="1">SUBTOTAL(109,[2025])</f>
        <v>0</v>
      </c>
      <c r="J460" s="2467">
        <f ca="1">SUBTOTAL(109,[2030])</f>
        <v>0</v>
      </c>
      <c r="K460" s="2467">
        <f ca="1">SUBTOTAL(109,[2035])</f>
        <v>0</v>
      </c>
      <c r="L460" s="2467">
        <f ca="1">SUBTOTAL(109,[2040])</f>
        <v>0</v>
      </c>
      <c r="M460" s="2467">
        <f ca="1">SUBTOTAL(109,[2045])</f>
        <v>0</v>
      </c>
      <c r="N460" s="2467">
        <f ca="1">SUBTOTAL(109,[2050])</f>
        <v>0</v>
      </c>
      <c r="O460" s="1138"/>
    </row>
    <row r="461" spans="2:15">
      <c r="B461" s="1135"/>
      <c r="C461" s="1149"/>
      <c r="D461" s="1149"/>
      <c r="E461" s="1149"/>
      <c r="F461" s="1149"/>
      <c r="G461" s="1149"/>
      <c r="H461" s="1149"/>
      <c r="I461" s="1149"/>
      <c r="J461" s="1149"/>
      <c r="K461" s="1149"/>
      <c r="L461" s="1149"/>
      <c r="M461" s="1149"/>
      <c r="N461" s="1149"/>
      <c r="O461" s="1135"/>
    </row>
    <row r="463" spans="2:15" ht="15.75">
      <c r="B463" s="995" t="s">
        <v>2795</v>
      </c>
      <c r="C463" s="997"/>
      <c r="D463" s="997"/>
      <c r="E463" s="997"/>
      <c r="F463" s="997"/>
      <c r="G463" s="997"/>
      <c r="H463" s="997"/>
      <c r="I463" s="997"/>
      <c r="J463" s="997"/>
      <c r="K463" s="997"/>
      <c r="L463" s="997"/>
      <c r="M463" s="997"/>
      <c r="N463" s="997"/>
      <c r="O463" s="998"/>
    </row>
    <row r="464" spans="2:15" hidden="1">
      <c r="B464" s="1002"/>
      <c r="C464" s="1003"/>
      <c r="D464" s="1003"/>
      <c r="E464" s="1003"/>
      <c r="F464" s="1003"/>
      <c r="G464" s="1003"/>
      <c r="H464" s="1003"/>
      <c r="I464" s="1003"/>
      <c r="J464" s="1003"/>
      <c r="K464" s="1003"/>
      <c r="L464" s="1003"/>
      <c r="M464" s="1003"/>
      <c r="N464" s="1003"/>
      <c r="O464" s="1005"/>
    </row>
    <row r="465" spans="2:17" hidden="1">
      <c r="B465" s="1002"/>
      <c r="C465" s="500" t="s">
        <v>770</v>
      </c>
      <c r="D465" s="1012"/>
      <c r="E465" s="1012"/>
      <c r="F465" s="1012"/>
      <c r="G465" s="1012"/>
      <c r="H465" s="1012"/>
      <c r="I465" s="1012"/>
      <c r="J465" s="1012"/>
      <c r="K465" s="1012"/>
      <c r="L465" s="1012"/>
      <c r="M465" s="1012"/>
      <c r="N465" s="1013" t="s">
        <v>2812</v>
      </c>
      <c r="O465" s="1005"/>
    </row>
    <row r="466" spans="2:17" hidden="1">
      <c r="B466" s="1002"/>
      <c r="C466" s="1003"/>
      <c r="D466" s="1003"/>
      <c r="E466" s="1003"/>
      <c r="F466" s="1003"/>
      <c r="G466" s="1003"/>
      <c r="H466" s="1003"/>
      <c r="I466" s="1003"/>
      <c r="J466" s="1003"/>
      <c r="K466" s="1003"/>
      <c r="L466" s="1003"/>
      <c r="M466" s="1003"/>
      <c r="N466" s="1003"/>
      <c r="O466" s="1005"/>
    </row>
    <row r="467" spans="2:17" ht="15.75" hidden="1">
      <c r="B467" s="492"/>
      <c r="C467" s="1389" t="s">
        <v>28</v>
      </c>
      <c r="D467" s="1389" t="s">
        <v>29</v>
      </c>
      <c r="E467" s="1389" t="s">
        <v>30</v>
      </c>
      <c r="F467" s="1389">
        <v>2013</v>
      </c>
      <c r="G467" s="1389" t="s">
        <v>133</v>
      </c>
      <c r="H467" s="1389" t="s">
        <v>134</v>
      </c>
      <c r="I467" s="1389" t="s">
        <v>135</v>
      </c>
      <c r="J467" s="1389" t="s">
        <v>136</v>
      </c>
      <c r="K467" s="1389" t="s">
        <v>137</v>
      </c>
      <c r="L467" s="1389" t="s">
        <v>138</v>
      </c>
      <c r="M467" s="1389" t="s">
        <v>139</v>
      </c>
      <c r="N467" s="1389" t="s">
        <v>140</v>
      </c>
      <c r="O467" s="1150"/>
    </row>
    <row r="468" spans="2:17" ht="15.75" hidden="1">
      <c r="B468" s="492"/>
      <c r="C468" s="1007" t="s">
        <v>324</v>
      </c>
      <c r="D468" s="3064" t="s">
        <v>325</v>
      </c>
      <c r="E468" s="494"/>
      <c r="F468" s="495"/>
      <c r="G468" s="495"/>
      <c r="H468" s="495"/>
      <c r="I468" s="495"/>
      <c r="J468" s="495"/>
      <c r="K468" s="495"/>
      <c r="L468" s="495"/>
      <c r="M468" s="495"/>
      <c r="N468" s="495"/>
      <c r="O468" s="1150"/>
    </row>
    <row r="469" spans="2:17" hidden="1">
      <c r="B469" s="503"/>
      <c r="C469" s="1007" t="s">
        <v>331</v>
      </c>
      <c r="D469" s="3064" t="s">
        <v>332</v>
      </c>
      <c r="E469" s="494"/>
      <c r="F469" s="495"/>
      <c r="G469" s="495"/>
      <c r="H469" s="495"/>
      <c r="I469" s="495"/>
      <c r="J469" s="495"/>
      <c r="K469" s="495"/>
      <c r="L469" s="495"/>
      <c r="M469" s="495"/>
      <c r="N469" s="495"/>
      <c r="O469" s="1151"/>
    </row>
    <row r="470" spans="2:17" ht="15.75" hidden="1">
      <c r="B470" s="492"/>
      <c r="C470" s="1007" t="s">
        <v>326</v>
      </c>
      <c r="D470" s="3064" t="s">
        <v>327</v>
      </c>
      <c r="E470" s="494"/>
      <c r="F470" s="495"/>
      <c r="G470" s="495"/>
      <c r="H470" s="495"/>
      <c r="I470" s="495"/>
      <c r="J470" s="495"/>
      <c r="K470" s="495"/>
      <c r="L470" s="495"/>
      <c r="M470" s="495"/>
      <c r="N470" s="495"/>
      <c r="O470" s="1150"/>
      <c r="Q470" s="994"/>
    </row>
    <row r="471" spans="2:17" hidden="1">
      <c r="B471" s="503"/>
      <c r="C471" s="1007" t="s">
        <v>333</v>
      </c>
      <c r="D471" s="3064" t="s">
        <v>334</v>
      </c>
      <c r="E471" s="494"/>
      <c r="F471" s="495"/>
      <c r="G471" s="495"/>
      <c r="H471" s="495"/>
      <c r="I471" s="495"/>
      <c r="J471" s="495"/>
      <c r="K471" s="495"/>
      <c r="L471" s="495"/>
      <c r="M471" s="495"/>
      <c r="N471" s="495"/>
      <c r="O471" s="1151"/>
    </row>
    <row r="472" spans="2:17" ht="15.75" hidden="1">
      <c r="B472" s="492"/>
      <c r="C472" s="1007" t="s">
        <v>328</v>
      </c>
      <c r="D472" s="3064" t="s">
        <v>329</v>
      </c>
      <c r="E472" s="494"/>
      <c r="F472" s="495"/>
      <c r="G472" s="495"/>
      <c r="H472" s="495"/>
      <c r="I472" s="495"/>
      <c r="J472" s="495"/>
      <c r="K472" s="495"/>
      <c r="L472" s="495"/>
      <c r="M472" s="495"/>
      <c r="N472" s="495"/>
      <c r="O472" s="1150"/>
    </row>
    <row r="473" spans="2:17" ht="15.75" hidden="1">
      <c r="B473" s="492"/>
      <c r="C473" s="1007" t="s">
        <v>335</v>
      </c>
      <c r="D473" s="3064" t="s">
        <v>336</v>
      </c>
      <c r="E473" s="494"/>
      <c r="F473" s="495"/>
      <c r="G473" s="495"/>
      <c r="H473" s="495"/>
      <c r="I473" s="495"/>
      <c r="J473" s="495"/>
      <c r="K473" s="495"/>
      <c r="L473" s="495"/>
      <c r="M473" s="495"/>
      <c r="N473" s="495"/>
      <c r="O473" s="1150"/>
    </row>
    <row r="474" spans="2:17" hidden="1">
      <c r="B474" s="1012"/>
      <c r="C474" s="1012"/>
      <c r="D474" s="1012"/>
      <c r="E474" s="1012"/>
      <c r="F474" s="1012"/>
      <c r="G474" s="1012"/>
      <c r="H474" s="1012"/>
      <c r="I474" s="1012"/>
      <c r="J474" s="1012"/>
      <c r="K474" s="1012"/>
      <c r="L474" s="1012"/>
      <c r="M474" s="1012"/>
      <c r="N474" s="1012"/>
      <c r="O474" s="1012"/>
    </row>
    <row r="483" spans="1:1" ht="23.25">
      <c r="A483" s="7"/>
    </row>
  </sheetData>
  <mergeCells count="3">
    <mergeCell ref="G130:H130"/>
    <mergeCell ref="G131:H131"/>
    <mergeCell ref="G132:H132"/>
  </mergeCells>
  <pageMargins left="0.7" right="0.7" top="0.75" bottom="0.75" header="0.3" footer="0.3"/>
  <pageSetup orientation="portrait" r:id="rId1"/>
  <tableParts count="3">
    <tablePart r:id="rId2"/>
    <tablePart r:id="rId3"/>
    <tablePart r:id="rId4"/>
  </tableParts>
</worksheet>
</file>

<file path=xl/worksheets/sheet32.xml><?xml version="1.0" encoding="utf-8"?>
<worksheet xmlns="http://schemas.openxmlformats.org/spreadsheetml/2006/main" xmlns:r="http://schemas.openxmlformats.org/officeDocument/2006/relationships">
  <sheetPr>
    <tabColor theme="9"/>
  </sheetPr>
  <dimension ref="A1:AG258"/>
  <sheetViews>
    <sheetView showGridLines="0" zoomScale="80" zoomScaleNormal="80" workbookViewId="0">
      <selection activeCell="J213" sqref="J213"/>
    </sheetView>
  </sheetViews>
  <sheetFormatPr defaultColWidth="8.85546875" defaultRowHeight="15"/>
  <cols>
    <col min="1" max="1" width="7.7109375" style="3634" customWidth="1"/>
    <col min="2" max="2" width="5.85546875" style="3634" customWidth="1"/>
    <col min="3" max="3" width="20.42578125" style="3634" customWidth="1"/>
    <col min="4" max="4" width="30.7109375" style="3634" customWidth="1"/>
    <col min="5" max="5" width="20.7109375" style="3634" customWidth="1"/>
    <col min="6" max="14" width="17.7109375" style="3634" customWidth="1"/>
    <col min="15" max="15" width="2" style="3634" customWidth="1"/>
    <col min="16" max="16" width="10.85546875" style="3634" customWidth="1"/>
    <col min="17" max="17" width="8.85546875" style="3634"/>
    <col min="18" max="26" width="5" style="3634" bestFit="1" customWidth="1"/>
    <col min="27" max="27" width="9.85546875" style="3634" bestFit="1" customWidth="1"/>
    <col min="28" max="16384" width="8.85546875" style="3634"/>
  </cols>
  <sheetData>
    <row r="1" spans="1:16" ht="20.25">
      <c r="A1" s="863" t="s">
        <v>504</v>
      </c>
      <c r="B1" s="863" t="s">
        <v>505</v>
      </c>
      <c r="C1" s="863"/>
    </row>
    <row r="2" spans="1:16" s="6" customFormat="1" ht="15.75">
      <c r="A2" s="864" t="s">
        <v>502</v>
      </c>
      <c r="B2" s="864" t="s">
        <v>503</v>
      </c>
      <c r="C2" s="864"/>
      <c r="E2" s="5"/>
    </row>
    <row r="4" spans="1:16" ht="23.25">
      <c r="A4" s="7"/>
      <c r="B4" s="511" t="s">
        <v>24</v>
      </c>
      <c r="C4" s="512"/>
      <c r="D4" s="512"/>
      <c r="E4" s="512"/>
      <c r="F4" s="512"/>
      <c r="G4" s="512"/>
      <c r="H4" s="512"/>
      <c r="I4" s="512"/>
      <c r="J4" s="512"/>
      <c r="K4" s="512"/>
      <c r="L4" s="512"/>
      <c r="M4" s="512"/>
      <c r="N4" s="512"/>
      <c r="O4" s="866"/>
    </row>
    <row r="5" spans="1:16">
      <c r="B5" s="514"/>
      <c r="C5" s="515"/>
      <c r="D5" s="515"/>
      <c r="E5" s="515"/>
      <c r="F5" s="515"/>
      <c r="G5" s="515"/>
      <c r="H5" s="515"/>
      <c r="I5" s="515"/>
      <c r="J5" s="515"/>
      <c r="K5" s="515"/>
      <c r="L5" s="515"/>
      <c r="M5" s="515"/>
      <c r="N5" s="515"/>
      <c r="O5" s="867"/>
    </row>
    <row r="6" spans="1:16">
      <c r="B6" s="514"/>
      <c r="C6" s="34" t="s">
        <v>2674</v>
      </c>
      <c r="D6" s="515"/>
      <c r="E6" s="516"/>
      <c r="F6" s="515"/>
      <c r="G6" s="515"/>
      <c r="H6" s="515"/>
      <c r="I6" s="515"/>
      <c r="J6" s="515"/>
      <c r="K6" s="515"/>
      <c r="L6" s="515"/>
      <c r="M6" s="515"/>
      <c r="N6" s="516" t="str">
        <f>Preferences.EnergyUnits</f>
        <v>TWh</v>
      </c>
      <c r="O6" s="867"/>
    </row>
    <row r="7" spans="1:16">
      <c r="B7" s="514"/>
      <c r="C7" s="12"/>
      <c r="D7" s="515"/>
      <c r="E7" s="516"/>
      <c r="F7" s="515"/>
      <c r="G7" s="515"/>
      <c r="H7" s="515"/>
      <c r="I7" s="515"/>
      <c r="J7" s="515"/>
      <c r="K7" s="515"/>
      <c r="L7" s="515"/>
      <c r="M7" s="515"/>
      <c r="N7" s="515"/>
      <c r="O7" s="867"/>
    </row>
    <row r="8" spans="1:16" s="6" customFormat="1" ht="15.75">
      <c r="A8" s="3"/>
      <c r="B8" s="19"/>
      <c r="C8" s="873" t="s">
        <v>28</v>
      </c>
      <c r="D8" s="873" t="s">
        <v>29</v>
      </c>
      <c r="E8" s="873" t="s">
        <v>30</v>
      </c>
      <c r="F8" s="873" t="s">
        <v>597</v>
      </c>
      <c r="G8" s="873" t="s">
        <v>133</v>
      </c>
      <c r="H8" s="873" t="s">
        <v>134</v>
      </c>
      <c r="I8" s="873" t="s">
        <v>135</v>
      </c>
      <c r="J8" s="873" t="s">
        <v>136</v>
      </c>
      <c r="K8" s="873" t="s">
        <v>137</v>
      </c>
      <c r="L8" s="873" t="s">
        <v>138</v>
      </c>
      <c r="M8" s="873" t="s">
        <v>139</v>
      </c>
      <c r="N8" s="873" t="s">
        <v>140</v>
      </c>
      <c r="O8" s="874"/>
    </row>
    <row r="9" spans="1:16" s="6" customFormat="1" ht="15.75">
      <c r="A9" s="3"/>
      <c r="B9" s="19"/>
      <c r="C9" s="17" t="s">
        <v>435</v>
      </c>
      <c r="D9" s="17" t="s">
        <v>385</v>
      </c>
      <c r="E9" s="17"/>
      <c r="F9" s="2800">
        <f ca="1">INDEX(INDIRECT("'"&amp;VIII.a.Inputs[#Headers]&amp;"'!Year.Matrix"), MATCH("Subtotal."&amp;$A$2, INDIRECT("'"&amp;VIII.a.Inputs[#Headers]&amp;"'!Year.Modules"), 0), MATCH([Vector], INDIRECT("'"&amp;VIII.a.Inputs[#Headers]&amp;"'!Year.Vectors"), 0))</f>
        <v>-9.8843865838814832E-5</v>
      </c>
      <c r="G9" s="2800">
        <f ca="1">INDEX(INDIRECT("'"&amp;VIII.a.Inputs[#Headers]&amp;"'!Year.Matrix"), MATCH("Subtotal."&amp;$A$2, INDIRECT("'"&amp;VIII.a.Inputs[#Headers]&amp;"'!Year.Modules"), 0), MATCH([Vector], INDIRECT("'"&amp;VIII.a.Inputs[#Headers]&amp;"'!Year.Vectors"), 0))</f>
        <v>-1.0526549418152516E-4</v>
      </c>
      <c r="H9" s="2800">
        <f ca="1">INDEX(INDIRECT("'"&amp;VIII.a.Inputs[#Headers]&amp;"'!Year.Matrix"), MATCH("Subtotal."&amp;$A$2, INDIRECT("'"&amp;VIII.a.Inputs[#Headers]&amp;"'!Year.Modules"), 0), MATCH([Vector], INDIRECT("'"&amp;VIII.a.Inputs[#Headers]&amp;"'!Year.Vectors"), 0))</f>
        <v>-1.4985241277847491E-3</v>
      </c>
      <c r="I9" s="2800">
        <f ca="1">INDEX(INDIRECT("'"&amp;VIII.a.Inputs[#Headers]&amp;"'!Year.Matrix"), MATCH("Subtotal."&amp;$A$2, INDIRECT("'"&amp;VIII.a.Inputs[#Headers]&amp;"'!Year.Modules"), 0), MATCH([Vector], INDIRECT("'"&amp;VIII.a.Inputs[#Headers]&amp;"'!Year.Vectors"), 0))</f>
        <v>-3.1077607021923297E-3</v>
      </c>
      <c r="J9" s="2800">
        <f ca="1">INDEX(INDIRECT("'"&amp;VIII.a.Inputs[#Headers]&amp;"'!Year.Matrix"), MATCH("Subtotal."&amp;$A$2, INDIRECT("'"&amp;VIII.a.Inputs[#Headers]&amp;"'!Year.Modules"), 0), MATCH([Vector], INDIRECT("'"&amp;VIII.a.Inputs[#Headers]&amp;"'!Year.Vectors"), 0))</f>
        <v>-8.5334544167595186E-3</v>
      </c>
      <c r="K9" s="2800">
        <f ca="1">INDEX(INDIRECT("'"&amp;VIII.a.Inputs[#Headers]&amp;"'!Year.Matrix"), MATCH("Subtotal."&amp;$A$2, INDIRECT("'"&amp;VIII.a.Inputs[#Headers]&amp;"'!Year.Modules"), 0), MATCH([Vector], INDIRECT("'"&amp;VIII.a.Inputs[#Headers]&amp;"'!Year.Vectors"), 0))</f>
        <v>-1.4355027286859567E-2</v>
      </c>
      <c r="L9" s="2800">
        <f ca="1">INDEX(INDIRECT("'"&amp;VIII.a.Inputs[#Headers]&amp;"'!Year.Matrix"), MATCH("Subtotal."&amp;$A$2, INDIRECT("'"&amp;VIII.a.Inputs[#Headers]&amp;"'!Year.Modules"), 0), MATCH([Vector], INDIRECT("'"&amp;VIII.a.Inputs[#Headers]&amp;"'!Year.Vectors"), 0))</f>
        <v>-2.1173596359821727E-2</v>
      </c>
      <c r="M9" s="2800">
        <f ca="1">INDEX(INDIRECT("'"&amp;VIII.a.Inputs[#Headers]&amp;"'!Year.Matrix"), MATCH("Subtotal."&amp;$A$2, INDIRECT("'"&amp;VIII.a.Inputs[#Headers]&amp;"'!Year.Modules"), 0), MATCH([Vector], INDIRECT("'"&amp;VIII.a.Inputs[#Headers]&amp;"'!Year.Vectors"), 0))</f>
        <v>-2.8440030433297275E-2</v>
      </c>
      <c r="N9" s="2800">
        <f ca="1">INDEX(INDIRECT("'"&amp;VIII.a.Inputs[#Headers]&amp;"'!Year.Matrix"), MATCH("Subtotal."&amp;$A$2, INDIRECT("'"&amp;VIII.a.Inputs[#Headers]&amp;"'!Year.Modules"), 0), MATCH([Vector], INDIRECT("'"&amp;VIII.a.Inputs[#Headers]&amp;"'!Year.Vectors"), 0))</f>
        <v>-3.1711867178177075E-2</v>
      </c>
      <c r="O9" s="875"/>
      <c r="P9" s="6" t="s">
        <v>5</v>
      </c>
    </row>
    <row r="10" spans="1:16">
      <c r="B10" s="1252"/>
      <c r="C10" s="869"/>
      <c r="D10" s="869"/>
      <c r="E10" s="869"/>
      <c r="F10" s="869"/>
      <c r="G10" s="869"/>
      <c r="H10" s="869"/>
      <c r="I10" s="869"/>
      <c r="J10" s="869"/>
      <c r="K10" s="869"/>
      <c r="L10" s="869"/>
      <c r="M10" s="869"/>
      <c r="N10" s="869"/>
      <c r="O10" s="870"/>
    </row>
    <row r="12" spans="1:16" s="6" customFormat="1" ht="23.25">
      <c r="A12" s="40"/>
      <c r="B12" s="878" t="s">
        <v>70</v>
      </c>
      <c r="C12" s="879"/>
      <c r="D12" s="879"/>
      <c r="E12" s="879"/>
      <c r="F12" s="879"/>
      <c r="G12" s="879"/>
      <c r="H12" s="879"/>
      <c r="I12" s="879"/>
      <c r="J12" s="879"/>
      <c r="K12" s="879"/>
      <c r="L12" s="879"/>
      <c r="M12" s="879"/>
      <c r="N12" s="879"/>
      <c r="O12" s="880"/>
    </row>
    <row r="13" spans="1:16">
      <c r="B13" s="110"/>
      <c r="C13" s="67"/>
      <c r="D13" s="67"/>
      <c r="E13" s="67"/>
      <c r="F13" s="67"/>
      <c r="G13" s="67"/>
      <c r="H13" s="67"/>
      <c r="I13" s="67"/>
      <c r="J13" s="67"/>
      <c r="K13" s="67"/>
      <c r="L13" s="67"/>
      <c r="M13" s="67"/>
      <c r="N13" s="67"/>
      <c r="O13" s="885"/>
    </row>
    <row r="14" spans="1:16">
      <c r="B14" s="110"/>
      <c r="C14" s="49" t="s">
        <v>3111</v>
      </c>
      <c r="D14" s="67"/>
      <c r="E14" s="51"/>
      <c r="F14" s="67"/>
      <c r="G14" s="67"/>
      <c r="H14" s="67"/>
      <c r="I14" s="67"/>
      <c r="J14" s="67"/>
      <c r="K14" s="67"/>
      <c r="L14" s="67"/>
      <c r="M14" s="67"/>
      <c r="N14" s="67"/>
      <c r="O14" s="885"/>
    </row>
    <row r="15" spans="1:16">
      <c r="B15" s="110"/>
      <c r="C15" s="67"/>
      <c r="D15" s="67"/>
      <c r="E15" s="67"/>
      <c r="F15" s="67"/>
      <c r="G15" s="67"/>
      <c r="H15" s="67"/>
      <c r="I15" s="67"/>
      <c r="J15" s="67"/>
      <c r="K15" s="67"/>
      <c r="L15" s="67"/>
      <c r="M15" s="67"/>
      <c r="N15" s="67"/>
      <c r="O15" s="885"/>
    </row>
    <row r="16" spans="1:16" ht="15.75">
      <c r="B16" s="55"/>
      <c r="C16" s="887"/>
      <c r="D16" s="887" t="s">
        <v>72</v>
      </c>
      <c r="E16" s="887" t="s">
        <v>30</v>
      </c>
      <c r="F16" s="92">
        <v>2013</v>
      </c>
      <c r="G16" s="92">
        <v>2015</v>
      </c>
      <c r="H16" s="92">
        <v>2020</v>
      </c>
      <c r="I16" s="92">
        <v>2025</v>
      </c>
      <c r="J16" s="92">
        <v>2030</v>
      </c>
      <c r="K16" s="92">
        <v>2035</v>
      </c>
      <c r="L16" s="92">
        <v>2040</v>
      </c>
      <c r="M16" s="92">
        <v>2045</v>
      </c>
      <c r="N16" s="92">
        <v>2050</v>
      </c>
      <c r="O16" s="885"/>
    </row>
    <row r="17" spans="2:25" s="6" customFormat="1" ht="15.75">
      <c r="B17" s="975"/>
      <c r="C17" s="1092"/>
      <c r="D17" s="890" t="s">
        <v>2920</v>
      </c>
      <c r="E17" s="890"/>
      <c r="F17" s="3675"/>
      <c r="G17" s="3675">
        <v>0.72</v>
      </c>
      <c r="H17" s="3675">
        <v>0.72</v>
      </c>
      <c r="I17" s="3675">
        <v>0.72</v>
      </c>
      <c r="J17" s="3675">
        <v>0.72</v>
      </c>
      <c r="K17" s="3675">
        <v>0.72</v>
      </c>
      <c r="L17" s="3675">
        <v>0.72</v>
      </c>
      <c r="M17" s="3675">
        <v>0.72</v>
      </c>
      <c r="N17" s="3675">
        <v>0.72</v>
      </c>
      <c r="O17" s="893"/>
    </row>
    <row r="18" spans="2:25" s="6" customFormat="1" ht="15.75">
      <c r="B18" s="975"/>
      <c r="C18" s="65"/>
      <c r="D18" s="108" t="s">
        <v>2896</v>
      </c>
      <c r="E18" s="108"/>
      <c r="F18" s="2679"/>
      <c r="G18" s="2679">
        <v>0.68</v>
      </c>
      <c r="H18" s="2679">
        <v>0.68</v>
      </c>
      <c r="I18" s="2679">
        <v>0.69299999999999995</v>
      </c>
      <c r="J18" s="2679">
        <v>0.70629999999999993</v>
      </c>
      <c r="K18" s="2679">
        <v>0.72</v>
      </c>
      <c r="L18" s="2679">
        <v>0.72</v>
      </c>
      <c r="M18" s="2679">
        <v>0.72</v>
      </c>
      <c r="N18" s="2679">
        <v>0.72</v>
      </c>
      <c r="O18" s="893"/>
    </row>
    <row r="19" spans="2:25" s="6" customFormat="1" ht="15.75">
      <c r="B19" s="975"/>
      <c r="C19" s="926"/>
      <c r="D19" s="199" t="s">
        <v>2897</v>
      </c>
      <c r="E19" s="199"/>
      <c r="F19" s="2681"/>
      <c r="G19" s="2681">
        <v>0.65</v>
      </c>
      <c r="H19" s="2681">
        <v>0.65</v>
      </c>
      <c r="I19" s="2681">
        <v>0.66870000000000007</v>
      </c>
      <c r="J19" s="2681">
        <v>0.68799999999999994</v>
      </c>
      <c r="K19" s="2681">
        <v>0.70779999999999998</v>
      </c>
      <c r="L19" s="2681">
        <v>0.72829999999999995</v>
      </c>
      <c r="M19" s="2681">
        <v>0.74919999999999998</v>
      </c>
      <c r="N19" s="2681">
        <v>0.77</v>
      </c>
      <c r="O19" s="893"/>
    </row>
    <row r="20" spans="2:25" s="6" customFormat="1" ht="15.75">
      <c r="B20" s="975"/>
      <c r="C20" s="65"/>
      <c r="D20" s="108"/>
      <c r="E20" s="108"/>
      <c r="F20" s="2679"/>
      <c r="G20" s="2679"/>
      <c r="H20" s="2679"/>
      <c r="I20" s="2679"/>
      <c r="J20" s="2679"/>
      <c r="K20" s="2679"/>
      <c r="L20" s="2679"/>
      <c r="M20" s="2679"/>
      <c r="N20" s="2679"/>
      <c r="O20" s="893"/>
    </row>
    <row r="21" spans="2:25" s="6" customFormat="1" ht="15.75">
      <c r="B21" s="975"/>
      <c r="C21" s="49" t="s">
        <v>3112</v>
      </c>
      <c r="D21" s="108"/>
      <c r="E21" s="108"/>
      <c r="F21" s="2679"/>
      <c r="G21" s="2679"/>
      <c r="H21" s="2679"/>
      <c r="I21" s="2679"/>
      <c r="J21" s="2679"/>
      <c r="K21" s="2679"/>
      <c r="L21" s="2679"/>
      <c r="M21" s="2679"/>
      <c r="N21" s="2679"/>
      <c r="O21" s="893"/>
    </row>
    <row r="22" spans="2:25" s="6" customFormat="1" ht="15.75">
      <c r="B22" s="975"/>
      <c r="C22" s="887"/>
      <c r="D22" s="887" t="s">
        <v>72</v>
      </c>
      <c r="E22" s="887" t="s">
        <v>30</v>
      </c>
      <c r="F22" s="92">
        <v>2013</v>
      </c>
      <c r="G22" s="92">
        <v>2015</v>
      </c>
      <c r="H22" s="92">
        <v>2020</v>
      </c>
      <c r="I22" s="92">
        <v>2025</v>
      </c>
      <c r="J22" s="92">
        <v>2030</v>
      </c>
      <c r="K22" s="92">
        <v>2035</v>
      </c>
      <c r="L22" s="92">
        <v>2040</v>
      </c>
      <c r="M22" s="92">
        <v>2045</v>
      </c>
      <c r="N22" s="92">
        <v>2050</v>
      </c>
      <c r="O22" s="108"/>
      <c r="P22" s="1036"/>
      <c r="Q22" s="3676"/>
      <c r="R22" s="3676"/>
      <c r="S22" s="3676"/>
      <c r="T22" s="3676"/>
      <c r="U22" s="3676"/>
      <c r="V22" s="3676"/>
      <c r="W22" s="3676"/>
      <c r="X22" s="3676"/>
      <c r="Y22" s="1036"/>
    </row>
    <row r="23" spans="2:25" s="6" customFormat="1" ht="15.75">
      <c r="B23" s="975"/>
      <c r="C23" s="2702"/>
      <c r="D23" s="2702" t="s">
        <v>2895</v>
      </c>
      <c r="E23" s="924"/>
      <c r="F23" s="924"/>
      <c r="G23" s="3677">
        <v>0.61980000000000002</v>
      </c>
      <c r="H23" s="3677">
        <v>0.4</v>
      </c>
      <c r="I23" s="3677">
        <v>0.3357</v>
      </c>
      <c r="J23" s="3677">
        <v>0.27600000000000002</v>
      </c>
      <c r="K23" s="3677">
        <v>0.2263</v>
      </c>
      <c r="L23" s="3677">
        <v>0.1656</v>
      </c>
      <c r="M23" s="3677">
        <v>9.1400000000000009E-2</v>
      </c>
      <c r="N23" s="3677">
        <v>0</v>
      </c>
      <c r="O23" s="108"/>
      <c r="P23" s="1036"/>
      <c r="Q23" s="3678"/>
      <c r="R23" s="3678"/>
      <c r="S23" s="3678"/>
      <c r="T23" s="3678"/>
      <c r="U23" s="3678"/>
      <c r="V23" s="3678"/>
      <c r="W23" s="3678"/>
      <c r="X23" s="3678"/>
      <c r="Y23" s="1036"/>
    </row>
    <row r="24" spans="2:25" s="6" customFormat="1" ht="15.75">
      <c r="B24" s="975"/>
      <c r="C24" s="924"/>
      <c r="D24" s="924" t="s">
        <v>2896</v>
      </c>
      <c r="E24" s="924"/>
      <c r="F24" s="924"/>
      <c r="G24" s="3677">
        <v>0.2707</v>
      </c>
      <c r="H24" s="3677">
        <v>0.3</v>
      </c>
      <c r="I24" s="3677">
        <v>0.29770000000000002</v>
      </c>
      <c r="J24" s="3677">
        <v>0.27600000000000002</v>
      </c>
      <c r="K24" s="3677">
        <v>0.2263</v>
      </c>
      <c r="L24" s="3677">
        <v>0.1656</v>
      </c>
      <c r="M24" s="3677">
        <v>9.1400000000000009E-2</v>
      </c>
      <c r="N24" s="3677">
        <v>0</v>
      </c>
      <c r="O24" s="108"/>
      <c r="P24" s="1036"/>
      <c r="Q24" s="3678"/>
      <c r="R24" s="3678"/>
      <c r="S24" s="3678"/>
      <c r="T24" s="3678"/>
      <c r="U24" s="3678"/>
      <c r="V24" s="3678"/>
      <c r="W24" s="3678"/>
      <c r="X24" s="3678"/>
      <c r="Y24" s="1036"/>
    </row>
    <row r="25" spans="2:25" s="6" customFormat="1" ht="15.75">
      <c r="B25" s="975"/>
      <c r="C25" s="926"/>
      <c r="D25" s="199" t="s">
        <v>2897</v>
      </c>
      <c r="E25" s="199"/>
      <c r="F25" s="2681"/>
      <c r="G25" s="2681">
        <v>0.10949999999999999</v>
      </c>
      <c r="H25" s="2681">
        <v>0.3</v>
      </c>
      <c r="I25" s="2681">
        <v>0.36659999999999998</v>
      </c>
      <c r="J25" s="2681">
        <v>0.44789999999999996</v>
      </c>
      <c r="K25" s="2681">
        <v>0.54730000000000001</v>
      </c>
      <c r="L25" s="2681">
        <v>0.66879999999999995</v>
      </c>
      <c r="M25" s="2681">
        <v>0.81720000000000004</v>
      </c>
      <c r="N25" s="2681">
        <v>1</v>
      </c>
      <c r="O25" s="108"/>
      <c r="P25" s="1036"/>
      <c r="Q25" s="3678"/>
      <c r="R25" s="3678"/>
      <c r="S25" s="3678"/>
      <c r="T25" s="3678"/>
      <c r="U25" s="3678"/>
      <c r="V25" s="3678"/>
      <c r="W25" s="3678"/>
      <c r="X25" s="3678"/>
      <c r="Y25" s="1036"/>
    </row>
    <row r="26" spans="2:25" s="6" customFormat="1" ht="15.75">
      <c r="B26" s="975"/>
      <c r="C26" s="924"/>
      <c r="D26" s="924"/>
      <c r="E26" s="924"/>
      <c r="F26" s="924"/>
      <c r="G26" s="3677"/>
      <c r="H26" s="3677"/>
      <c r="I26" s="3677"/>
      <c r="J26" s="3677"/>
      <c r="K26" s="3677"/>
      <c r="L26" s="3677"/>
      <c r="M26" s="3677"/>
      <c r="N26" s="3677"/>
      <c r="O26" s="108"/>
      <c r="P26" s="1036"/>
      <c r="Q26" s="3678"/>
      <c r="R26" s="3678"/>
      <c r="S26" s="3678"/>
      <c r="T26" s="3678"/>
      <c r="U26" s="3678"/>
      <c r="V26" s="3678"/>
      <c r="W26" s="3678"/>
      <c r="X26" s="3678"/>
      <c r="Y26" s="1036"/>
    </row>
    <row r="27" spans="2:25">
      <c r="B27" s="110"/>
      <c r="C27" s="49" t="s">
        <v>798</v>
      </c>
      <c r="D27" s="67"/>
      <c r="E27" s="67"/>
      <c r="F27" s="67"/>
      <c r="G27" s="67"/>
      <c r="H27" s="67"/>
      <c r="I27" s="67"/>
      <c r="J27" s="67"/>
      <c r="K27" s="67"/>
      <c r="L27" s="67"/>
      <c r="M27" s="67"/>
      <c r="N27" s="67" t="str">
        <f>"kt per "&amp;Preferences.EnergyUnits</f>
        <v>kt per TWh</v>
      </c>
      <c r="O27" s="885"/>
    </row>
    <row r="28" spans="2:25">
      <c r="B28" s="110"/>
      <c r="C28" s="67"/>
      <c r="D28" s="67"/>
      <c r="E28" s="1364"/>
      <c r="F28" s="1365"/>
      <c r="G28" s="67"/>
      <c r="H28" s="67"/>
      <c r="I28" s="67"/>
      <c r="J28" s="67"/>
      <c r="K28" s="67"/>
      <c r="L28" s="67"/>
      <c r="M28" s="67"/>
      <c r="N28" s="67"/>
      <c r="O28" s="885"/>
    </row>
    <row r="29" spans="2:25">
      <c r="B29" s="110"/>
      <c r="C29" s="1366" t="s">
        <v>44</v>
      </c>
      <c r="D29" s="1366" t="s">
        <v>1010</v>
      </c>
      <c r="E29" s="1367" t="s">
        <v>45</v>
      </c>
      <c r="F29" s="1368">
        <v>2013</v>
      </c>
      <c r="G29" s="1368" t="s">
        <v>133</v>
      </c>
      <c r="H29" s="1368" t="s">
        <v>134</v>
      </c>
      <c r="I29" s="1368" t="s">
        <v>135</v>
      </c>
      <c r="J29" s="1368" t="s">
        <v>136</v>
      </c>
      <c r="K29" s="1368" t="s">
        <v>137</v>
      </c>
      <c r="L29" s="1368" t="s">
        <v>138</v>
      </c>
      <c r="M29" s="1368" t="s">
        <v>139</v>
      </c>
      <c r="N29" s="1369" t="s">
        <v>140</v>
      </c>
      <c r="O29" s="885"/>
    </row>
    <row r="30" spans="2:25">
      <c r="B30" s="110"/>
      <c r="C30" s="1370" t="s">
        <v>502</v>
      </c>
      <c r="D30" s="1371" t="s">
        <v>2898</v>
      </c>
      <c r="E30" s="1372" t="s">
        <v>90</v>
      </c>
      <c r="F30" s="3679">
        <f>G30</f>
        <v>0</v>
      </c>
      <c r="G30" s="3679">
        <f t="shared" ref="G30:N30" si="0">0*(1/Unit.TWh)</f>
        <v>0</v>
      </c>
      <c r="H30" s="3679">
        <f t="shared" si="0"/>
        <v>0</v>
      </c>
      <c r="I30" s="3679">
        <f t="shared" si="0"/>
        <v>0</v>
      </c>
      <c r="J30" s="3679">
        <f t="shared" si="0"/>
        <v>0</v>
      </c>
      <c r="K30" s="3679">
        <f t="shared" si="0"/>
        <v>0</v>
      </c>
      <c r="L30" s="3679">
        <f t="shared" si="0"/>
        <v>0</v>
      </c>
      <c r="M30" s="3679">
        <f t="shared" si="0"/>
        <v>0</v>
      </c>
      <c r="N30" s="3679">
        <f t="shared" si="0"/>
        <v>0</v>
      </c>
      <c r="O30" s="885"/>
    </row>
    <row r="31" spans="2:25">
      <c r="B31" s="110"/>
      <c r="C31" s="67"/>
      <c r="D31" s="67"/>
      <c r="E31" s="67"/>
      <c r="F31" s="67"/>
      <c r="G31" s="67"/>
      <c r="H31" s="67"/>
      <c r="I31" s="67"/>
      <c r="J31" s="67"/>
      <c r="K31" s="67"/>
      <c r="L31" s="67"/>
      <c r="M31" s="67"/>
      <c r="N31" s="67"/>
      <c r="O31" s="885"/>
      <c r="P31" s="39"/>
      <c r="Q31" s="39"/>
      <c r="R31" s="39"/>
      <c r="S31" s="39"/>
    </row>
    <row r="32" spans="2:25">
      <c r="B32" s="110"/>
      <c r="C32" s="49" t="s">
        <v>800</v>
      </c>
      <c r="D32" s="67"/>
      <c r="E32" s="67"/>
      <c r="F32" s="67"/>
      <c r="G32" s="67"/>
      <c r="H32" s="67"/>
      <c r="I32" s="67"/>
      <c r="J32" s="67"/>
      <c r="K32" s="67"/>
      <c r="L32" s="67"/>
      <c r="M32" s="67"/>
      <c r="N32" s="67" t="str">
        <f>"kt per "&amp;Preferences.EnergyUnits</f>
        <v>kt per TWh</v>
      </c>
      <c r="O32" s="885"/>
      <c r="P32" s="39"/>
      <c r="Q32" s="39"/>
      <c r="R32" s="39"/>
      <c r="S32" s="39"/>
    </row>
    <row r="33" spans="2:32">
      <c r="B33" s="110"/>
      <c r="C33" s="67"/>
      <c r="D33" s="67"/>
      <c r="E33" s="1364"/>
      <c r="F33" s="1365"/>
      <c r="G33" s="67"/>
      <c r="H33" s="67"/>
      <c r="I33" s="67"/>
      <c r="J33" s="67"/>
      <c r="K33" s="67"/>
      <c r="L33" s="67"/>
      <c r="M33" s="67"/>
      <c r="N33" s="67"/>
      <c r="O33" s="885"/>
      <c r="P33" s="39"/>
      <c r="Q33" s="39"/>
      <c r="R33" s="39"/>
      <c r="S33" s="39"/>
    </row>
    <row r="34" spans="2:32">
      <c r="B34" s="110"/>
      <c r="C34" s="1366" t="s">
        <v>44</v>
      </c>
      <c r="D34" s="1366" t="s">
        <v>1010</v>
      </c>
      <c r="E34" s="1367" t="s">
        <v>45</v>
      </c>
      <c r="F34" s="1368">
        <v>2013</v>
      </c>
      <c r="G34" s="1368" t="s">
        <v>133</v>
      </c>
      <c r="H34" s="1368" t="s">
        <v>134</v>
      </c>
      <c r="I34" s="1368" t="s">
        <v>135</v>
      </c>
      <c r="J34" s="1368" t="s">
        <v>136</v>
      </c>
      <c r="K34" s="1368" t="s">
        <v>137</v>
      </c>
      <c r="L34" s="1368" t="s">
        <v>138</v>
      </c>
      <c r="M34" s="1368" t="s">
        <v>139</v>
      </c>
      <c r="N34" s="1368" t="s">
        <v>140</v>
      </c>
      <c r="O34" s="885"/>
      <c r="P34" s="39"/>
      <c r="Q34" s="39"/>
      <c r="R34" s="39"/>
      <c r="S34" s="39"/>
    </row>
    <row r="35" spans="2:32">
      <c r="B35" s="110"/>
      <c r="C35" s="1370" t="s">
        <v>502</v>
      </c>
      <c r="D35" s="1371" t="s">
        <v>2898</v>
      </c>
      <c r="E35" s="1372" t="s">
        <v>90</v>
      </c>
      <c r="F35" s="3679">
        <f>G35</f>
        <v>0.56038112541444796</v>
      </c>
      <c r="G35" s="3679">
        <f t="shared" ref="G35:N35" si="1">0.560381125414448*(1/Unit.TWh)</f>
        <v>0.56038112541444796</v>
      </c>
      <c r="H35" s="3679">
        <f t="shared" si="1"/>
        <v>0.56038112541444796</v>
      </c>
      <c r="I35" s="3679">
        <f t="shared" si="1"/>
        <v>0.56038112541444796</v>
      </c>
      <c r="J35" s="3679">
        <f t="shared" si="1"/>
        <v>0.56038112541444796</v>
      </c>
      <c r="K35" s="3679">
        <f t="shared" si="1"/>
        <v>0.56038112541444796</v>
      </c>
      <c r="L35" s="3679">
        <f t="shared" si="1"/>
        <v>0.56038112541444796</v>
      </c>
      <c r="M35" s="3679">
        <f t="shared" si="1"/>
        <v>0.56038112541444796</v>
      </c>
      <c r="N35" s="3679">
        <f t="shared" si="1"/>
        <v>0.56038112541444796</v>
      </c>
      <c r="O35" s="885"/>
      <c r="P35" s="39"/>
      <c r="Q35" s="39"/>
      <c r="R35" s="39"/>
      <c r="S35" s="39"/>
    </row>
    <row r="36" spans="2:32">
      <c r="B36" s="110"/>
      <c r="C36" s="67"/>
      <c r="D36" s="67"/>
      <c r="E36" s="67"/>
      <c r="F36" s="67"/>
      <c r="G36" s="67"/>
      <c r="H36" s="67"/>
      <c r="I36" s="67"/>
      <c r="J36" s="67"/>
      <c r="K36" s="67"/>
      <c r="L36" s="67"/>
      <c r="M36" s="67"/>
      <c r="N36" s="67"/>
      <c r="O36" s="885"/>
      <c r="P36" s="39"/>
      <c r="Q36" s="39"/>
      <c r="R36" s="39"/>
      <c r="S36" s="39"/>
    </row>
    <row r="37" spans="2:32">
      <c r="B37" s="110"/>
      <c r="C37" s="49" t="s">
        <v>801</v>
      </c>
      <c r="D37" s="67"/>
      <c r="E37" s="67"/>
      <c r="F37" s="67"/>
      <c r="G37" s="67"/>
      <c r="H37" s="67"/>
      <c r="I37" s="67"/>
      <c r="J37" s="67"/>
      <c r="K37" s="67"/>
      <c r="L37" s="67"/>
      <c r="M37" s="67"/>
      <c r="N37" s="67" t="str">
        <f>"kt per "&amp;Preferences.EnergyUnits</f>
        <v>kt per TWh</v>
      </c>
      <c r="O37" s="885"/>
      <c r="P37" s="39"/>
      <c r="Q37" s="39"/>
      <c r="R37" s="39"/>
      <c r="S37" s="39"/>
    </row>
    <row r="38" spans="2:32">
      <c r="B38" s="110"/>
      <c r="C38" s="67"/>
      <c r="D38" s="67"/>
      <c r="E38" s="1364"/>
      <c r="F38" s="1365"/>
      <c r="G38" s="67"/>
      <c r="H38" s="67"/>
      <c r="I38" s="67"/>
      <c r="J38" s="67"/>
      <c r="K38" s="67"/>
      <c r="L38" s="67"/>
      <c r="M38" s="67"/>
      <c r="N38" s="67"/>
      <c r="O38" s="885"/>
      <c r="P38" s="39"/>
      <c r="Q38" s="39"/>
      <c r="R38" s="39"/>
      <c r="S38" s="39"/>
    </row>
    <row r="39" spans="2:32">
      <c r="B39" s="110"/>
      <c r="C39" s="1366" t="s">
        <v>44</v>
      </c>
      <c r="D39" s="1366" t="s">
        <v>1010</v>
      </c>
      <c r="E39" s="1367" t="s">
        <v>45</v>
      </c>
      <c r="F39" s="1368">
        <v>2013</v>
      </c>
      <c r="G39" s="1368" t="s">
        <v>133</v>
      </c>
      <c r="H39" s="1368" t="s">
        <v>134</v>
      </c>
      <c r="I39" s="1368" t="s">
        <v>135</v>
      </c>
      <c r="J39" s="1368" t="s">
        <v>136</v>
      </c>
      <c r="K39" s="1368" t="s">
        <v>137</v>
      </c>
      <c r="L39" s="1368" t="s">
        <v>138</v>
      </c>
      <c r="M39" s="1368" t="s">
        <v>139</v>
      </c>
      <c r="N39" s="1369" t="s">
        <v>140</v>
      </c>
      <c r="O39" s="885"/>
      <c r="P39" s="39"/>
      <c r="Q39" s="39"/>
      <c r="R39" s="39"/>
      <c r="S39" s="39"/>
    </row>
    <row r="40" spans="2:32">
      <c r="B40" s="110"/>
      <c r="C40" s="1370" t="s">
        <v>502</v>
      </c>
      <c r="D40" s="1371" t="s">
        <v>2898</v>
      </c>
      <c r="E40" s="1372" t="s">
        <v>90</v>
      </c>
      <c r="F40" s="3679">
        <f>G40</f>
        <v>0</v>
      </c>
      <c r="G40" s="3679">
        <f t="shared" ref="G40:N40" si="2">0*(1/Unit.TWh)</f>
        <v>0</v>
      </c>
      <c r="H40" s="3679">
        <f t="shared" si="2"/>
        <v>0</v>
      </c>
      <c r="I40" s="3679">
        <f t="shared" si="2"/>
        <v>0</v>
      </c>
      <c r="J40" s="3679">
        <f t="shared" si="2"/>
        <v>0</v>
      </c>
      <c r="K40" s="3679">
        <f t="shared" si="2"/>
        <v>0</v>
      </c>
      <c r="L40" s="3679">
        <f t="shared" si="2"/>
        <v>0</v>
      </c>
      <c r="M40" s="3679">
        <f t="shared" si="2"/>
        <v>0</v>
      </c>
      <c r="N40" s="3679">
        <f t="shared" si="2"/>
        <v>0</v>
      </c>
      <c r="O40" s="885"/>
    </row>
    <row r="41" spans="2:32">
      <c r="B41" s="110"/>
      <c r="C41" s="67"/>
      <c r="D41" s="67"/>
      <c r="E41" s="67"/>
      <c r="F41" s="67"/>
      <c r="G41" s="67"/>
      <c r="H41" s="67"/>
      <c r="I41" s="67"/>
      <c r="J41" s="67"/>
      <c r="K41" s="67"/>
      <c r="L41" s="67"/>
      <c r="M41" s="67"/>
      <c r="N41" s="67"/>
      <c r="O41" s="885"/>
    </row>
    <row r="42" spans="2:32">
      <c r="B42" s="110"/>
      <c r="C42" s="49" t="s">
        <v>802</v>
      </c>
      <c r="D42" s="67"/>
      <c r="E42" s="67"/>
      <c r="F42" s="67"/>
      <c r="G42" s="67"/>
      <c r="H42" s="67"/>
      <c r="I42" s="67"/>
      <c r="J42" s="67"/>
      <c r="K42" s="67"/>
      <c r="L42" s="67"/>
      <c r="M42" s="67"/>
      <c r="N42" s="67" t="str">
        <f>"kt per "&amp;Preferences.EnergyUnits</f>
        <v>kt per TWh</v>
      </c>
      <c r="O42" s="885"/>
    </row>
    <row r="43" spans="2:32">
      <c r="B43" s="110"/>
      <c r="C43" s="67"/>
      <c r="D43" s="67"/>
      <c r="E43" s="1364"/>
      <c r="F43" s="1365"/>
      <c r="G43" s="67"/>
      <c r="H43" s="67"/>
      <c r="I43" s="67"/>
      <c r="J43" s="67"/>
      <c r="K43" s="67"/>
      <c r="L43" s="67"/>
      <c r="M43" s="67"/>
      <c r="N43" s="67"/>
      <c r="O43" s="885"/>
    </row>
    <row r="44" spans="2:32">
      <c r="B44" s="110"/>
      <c r="C44" s="1366" t="s">
        <v>44</v>
      </c>
      <c r="D44" s="1366" t="s">
        <v>1010</v>
      </c>
      <c r="E44" s="1367" t="s">
        <v>45</v>
      </c>
      <c r="F44" s="1368">
        <v>2013</v>
      </c>
      <c r="G44" s="1368" t="s">
        <v>133</v>
      </c>
      <c r="H44" s="1368" t="s">
        <v>134</v>
      </c>
      <c r="I44" s="1368" t="s">
        <v>135</v>
      </c>
      <c r="J44" s="1368" t="s">
        <v>136</v>
      </c>
      <c r="K44" s="1368" t="s">
        <v>137</v>
      </c>
      <c r="L44" s="1368" t="s">
        <v>138</v>
      </c>
      <c r="M44" s="1368" t="s">
        <v>139</v>
      </c>
      <c r="N44" s="1369" t="s">
        <v>140</v>
      </c>
      <c r="O44" s="885"/>
    </row>
    <row r="45" spans="2:32">
      <c r="B45" s="110"/>
      <c r="C45" s="1370" t="s">
        <v>502</v>
      </c>
      <c r="D45" s="1371" t="s">
        <v>2898</v>
      </c>
      <c r="E45" s="1372" t="s">
        <v>90</v>
      </c>
      <c r="F45" s="3679">
        <f>G45</f>
        <v>8.0207196413967004E-3</v>
      </c>
      <c r="G45" s="3679">
        <f t="shared" ref="G45:N45" si="3">0.0080207196413967*(1/Unit.TWh)</f>
        <v>8.0207196413967004E-3</v>
      </c>
      <c r="H45" s="3679">
        <f t="shared" si="3"/>
        <v>8.0207196413967004E-3</v>
      </c>
      <c r="I45" s="3679">
        <f t="shared" si="3"/>
        <v>8.0207196413967004E-3</v>
      </c>
      <c r="J45" s="3679">
        <f t="shared" si="3"/>
        <v>8.0207196413967004E-3</v>
      </c>
      <c r="K45" s="3679">
        <f t="shared" si="3"/>
        <v>8.0207196413967004E-3</v>
      </c>
      <c r="L45" s="3679">
        <f t="shared" si="3"/>
        <v>8.0207196413967004E-3</v>
      </c>
      <c r="M45" s="3679">
        <f t="shared" si="3"/>
        <v>8.0207196413967004E-3</v>
      </c>
      <c r="N45" s="3679">
        <f t="shared" si="3"/>
        <v>8.0207196413967004E-3</v>
      </c>
      <c r="O45" s="885"/>
      <c r="AC45" s="39"/>
      <c r="AD45" s="39"/>
      <c r="AE45" s="39"/>
      <c r="AF45" s="39"/>
    </row>
    <row r="46" spans="2:32">
      <c r="B46" s="110"/>
      <c r="C46" s="1374"/>
      <c r="D46" s="194"/>
      <c r="E46" s="2471"/>
      <c r="F46" s="2460"/>
      <c r="G46" s="2460"/>
      <c r="H46" s="2460"/>
      <c r="I46" s="2460"/>
      <c r="J46" s="2460"/>
      <c r="K46" s="2460"/>
      <c r="L46" s="2460"/>
      <c r="M46" s="2460"/>
      <c r="N46" s="2460"/>
      <c r="O46" s="885"/>
      <c r="AC46" s="39"/>
      <c r="AD46" s="39"/>
      <c r="AE46" s="39"/>
      <c r="AF46" s="39"/>
    </row>
    <row r="47" spans="2:32">
      <c r="B47" s="47"/>
      <c r="C47" s="970" t="s">
        <v>3110</v>
      </c>
      <c r="D47" s="47"/>
      <c r="E47" s="47"/>
      <c r="F47" s="47"/>
      <c r="G47" s="47"/>
      <c r="H47" s="47"/>
      <c r="I47" s="47"/>
      <c r="J47" s="47"/>
      <c r="K47" s="47"/>
      <c r="L47" s="47"/>
      <c r="M47" s="47"/>
      <c r="N47" s="47"/>
      <c r="O47" s="47"/>
      <c r="AC47" s="39"/>
      <c r="AD47" s="39"/>
      <c r="AE47" s="39"/>
      <c r="AF47" s="39"/>
    </row>
    <row r="48" spans="2:32">
      <c r="B48" s="47"/>
      <c r="C48" s="47"/>
      <c r="D48" s="47"/>
      <c r="E48" s="47"/>
      <c r="F48" s="47"/>
      <c r="G48" s="47"/>
      <c r="H48" s="3885"/>
      <c r="I48" s="47"/>
      <c r="J48" s="47"/>
      <c r="K48" s="47"/>
      <c r="L48" s="47"/>
      <c r="M48" s="47"/>
      <c r="N48" s="47"/>
      <c r="O48" s="47"/>
      <c r="AC48" s="39"/>
      <c r="AD48" s="860"/>
      <c r="AE48" s="3680"/>
      <c r="AF48" s="39"/>
    </row>
    <row r="49" spans="2:33" ht="25.5">
      <c r="B49" s="47"/>
      <c r="C49" s="887" t="s">
        <v>2899</v>
      </c>
      <c r="D49" s="3681" t="s">
        <v>2900</v>
      </c>
      <c r="E49" s="3681" t="s">
        <v>2901</v>
      </c>
      <c r="F49" s="3682" t="s">
        <v>2902</v>
      </c>
      <c r="G49" s="47"/>
      <c r="H49" s="3885" t="s">
        <v>64</v>
      </c>
      <c r="I49" s="47"/>
      <c r="J49" s="47"/>
      <c r="K49" s="47"/>
      <c r="L49" s="47"/>
      <c r="M49" s="47"/>
      <c r="N49" s="47"/>
      <c r="O49" s="47"/>
      <c r="AC49" s="39"/>
      <c r="AD49" s="1077"/>
      <c r="AE49" s="2497"/>
      <c r="AF49" s="39"/>
    </row>
    <row r="50" spans="2:33">
      <c r="B50" s="47"/>
      <c r="C50" s="890" t="s">
        <v>2895</v>
      </c>
      <c r="D50" s="3715">
        <f>1*Unit.GW*Conversion.to.annual.energy</f>
        <v>8.766</v>
      </c>
      <c r="E50" s="3683">
        <f>(5/30)</f>
        <v>0.16666666666666666</v>
      </c>
      <c r="F50" s="3684">
        <v>1</v>
      </c>
      <c r="G50" s="47"/>
      <c r="H50" s="3449" t="s">
        <v>65</v>
      </c>
      <c r="I50" s="47" t="s">
        <v>3109</v>
      </c>
      <c r="J50" s="47"/>
      <c r="K50" s="47"/>
      <c r="L50" s="47"/>
      <c r="M50" s="47"/>
      <c r="N50" s="47"/>
      <c r="O50" s="47"/>
      <c r="AC50" s="39"/>
      <c r="AD50" s="1077"/>
      <c r="AE50" s="2497"/>
      <c r="AF50" s="39"/>
    </row>
    <row r="51" spans="2:33" ht="15.75" customHeight="1">
      <c r="B51" s="47"/>
      <c r="C51" s="108" t="s">
        <v>2896</v>
      </c>
      <c r="D51" s="3685">
        <f>4*Unit.MW*Conversion.to.annual.energy</f>
        <v>3.5063999999999998E-2</v>
      </c>
      <c r="E51" s="3646">
        <f>5/(22.5)</f>
        <v>0.22222222222222221</v>
      </c>
      <c r="F51" s="3686">
        <v>0</v>
      </c>
      <c r="G51" s="47"/>
      <c r="H51" s="47"/>
      <c r="I51" s="47"/>
      <c r="J51" s="47"/>
      <c r="K51" s="47"/>
      <c r="L51" s="47"/>
      <c r="M51" s="47"/>
      <c r="N51" s="47"/>
      <c r="O51" s="47"/>
      <c r="AC51" s="39"/>
      <c r="AD51" s="1077"/>
      <c r="AE51" s="2497"/>
      <c r="AF51" s="39"/>
    </row>
    <row r="52" spans="2:33">
      <c r="B52" s="47"/>
      <c r="C52" s="1507" t="s">
        <v>2897</v>
      </c>
      <c r="D52" s="3687">
        <f>D51</f>
        <v>3.5063999999999998E-2</v>
      </c>
      <c r="E52" s="3688">
        <f>5/(20)</f>
        <v>0.25</v>
      </c>
      <c r="F52" s="3689">
        <v>0.5</v>
      </c>
      <c r="G52" s="47"/>
      <c r="H52" s="47"/>
      <c r="I52" s="47"/>
      <c r="J52" s="47"/>
      <c r="K52" s="47"/>
      <c r="L52" s="47"/>
      <c r="M52" s="47"/>
      <c r="N52" s="47"/>
      <c r="O52" s="47"/>
      <c r="AC52" s="39"/>
      <c r="AD52" s="1077"/>
      <c r="AE52" s="2497"/>
      <c r="AF52" s="39"/>
    </row>
    <row r="53" spans="2:33">
      <c r="B53" s="47"/>
      <c r="C53" s="108" t="s">
        <v>2903</v>
      </c>
      <c r="D53" s="3685">
        <f>D51</f>
        <v>3.5063999999999998E-2</v>
      </c>
      <c r="E53" s="3646">
        <f>5/30</f>
        <v>0.16666666666666666</v>
      </c>
      <c r="F53" s="3690" t="s">
        <v>1740</v>
      </c>
      <c r="G53" s="47"/>
      <c r="H53" s="47"/>
      <c r="I53" s="47"/>
      <c r="J53" s="47"/>
      <c r="K53" s="47"/>
      <c r="L53" s="47"/>
      <c r="M53" s="47"/>
      <c r="N53" s="47"/>
      <c r="O53" s="47"/>
      <c r="AC53" s="39"/>
      <c r="AD53" s="1077"/>
      <c r="AE53" s="2497"/>
      <c r="AF53" s="39"/>
    </row>
    <row r="54" spans="2:33">
      <c r="B54" s="47"/>
      <c r="C54" s="199" t="s">
        <v>2904</v>
      </c>
      <c r="D54" s="3691">
        <f>D52</f>
        <v>3.5063999999999998E-2</v>
      </c>
      <c r="E54" s="3692">
        <f>5/50</f>
        <v>0.1</v>
      </c>
      <c r="F54" s="3693" t="s">
        <v>1740</v>
      </c>
      <c r="G54" s="47"/>
      <c r="H54" s="47"/>
      <c r="I54" s="47"/>
      <c r="J54" s="47"/>
      <c r="K54" s="47"/>
      <c r="L54" s="47"/>
      <c r="M54" s="47"/>
      <c r="N54" s="47"/>
      <c r="O54" s="47"/>
      <c r="AC54" s="39"/>
      <c r="AD54" s="1077"/>
      <c r="AE54" s="2497"/>
      <c r="AF54" s="39"/>
    </row>
    <row r="55" spans="2:33">
      <c r="B55" s="47"/>
      <c r="C55" s="108"/>
      <c r="D55" s="108"/>
      <c r="E55" s="3685"/>
      <c r="F55" s="3646"/>
      <c r="G55" s="47"/>
      <c r="H55" s="47"/>
      <c r="I55" s="47"/>
      <c r="J55" s="47"/>
      <c r="K55" s="47"/>
      <c r="L55" s="47"/>
      <c r="M55" s="47"/>
      <c r="N55" s="47"/>
      <c r="O55" s="47"/>
      <c r="P55" s="1077"/>
      <c r="Q55" s="1077"/>
      <c r="R55" s="1077"/>
      <c r="S55" s="1077"/>
      <c r="T55" s="1077"/>
      <c r="U55" s="1077"/>
      <c r="V55" s="1077"/>
      <c r="W55" s="1077"/>
      <c r="X55" s="1077"/>
      <c r="Y55" s="1077"/>
      <c r="Z55" s="1077"/>
      <c r="AA55" s="1077"/>
      <c r="AB55" s="1077"/>
      <c r="AC55" s="1077"/>
      <c r="AD55" s="1077"/>
      <c r="AE55" s="1077"/>
      <c r="AF55" s="1077"/>
      <c r="AG55" s="1077"/>
    </row>
    <row r="56" spans="2:33">
      <c r="B56" s="86"/>
      <c r="C56" s="1077"/>
      <c r="D56" s="1432"/>
      <c r="E56" s="1077"/>
      <c r="F56" s="1077"/>
      <c r="G56" s="1077"/>
      <c r="H56" s="1077"/>
      <c r="I56" s="1077"/>
      <c r="J56" s="1077"/>
      <c r="K56" s="1077"/>
      <c r="L56" s="1077"/>
      <c r="M56" s="1077"/>
      <c r="N56" s="1077"/>
      <c r="O56" s="1077"/>
      <c r="P56" s="1077"/>
      <c r="Q56" s="1077"/>
      <c r="R56" s="1077"/>
      <c r="S56" s="1077"/>
      <c r="T56" s="1077"/>
      <c r="U56" s="1077"/>
      <c r="V56" s="1077"/>
      <c r="W56" s="1077"/>
      <c r="X56" s="1077"/>
      <c r="Y56" s="1077"/>
      <c r="Z56" s="1077"/>
      <c r="AA56" s="1077"/>
      <c r="AB56" s="1077"/>
      <c r="AC56" s="1077"/>
      <c r="AD56" s="1077"/>
      <c r="AE56" s="1077"/>
      <c r="AF56" s="1077"/>
      <c r="AG56" s="1077"/>
    </row>
    <row r="57" spans="2:33" ht="15.75">
      <c r="B57" s="878" t="s">
        <v>2794</v>
      </c>
      <c r="C57" s="879"/>
      <c r="D57" s="879"/>
      <c r="E57" s="879"/>
      <c r="F57" s="879"/>
      <c r="G57" s="879"/>
      <c r="H57" s="879"/>
      <c r="I57" s="879"/>
      <c r="J57" s="879"/>
      <c r="K57" s="879"/>
      <c r="L57" s="879"/>
      <c r="M57" s="879"/>
      <c r="N57" s="879"/>
      <c r="O57" s="879"/>
      <c r="P57" s="1077"/>
      <c r="Q57" s="2530"/>
      <c r="R57" s="656"/>
      <c r="S57" s="656"/>
      <c r="T57" s="656"/>
      <c r="U57" s="656"/>
      <c r="V57" s="656"/>
      <c r="W57" s="656"/>
      <c r="X57" s="656"/>
      <c r="Y57" s="656"/>
      <c r="Z57" s="656"/>
      <c r="AA57" s="656"/>
      <c r="AB57" s="656"/>
      <c r="AC57" s="656"/>
      <c r="AD57" s="1077"/>
      <c r="AE57" s="1077"/>
      <c r="AF57" s="1077"/>
      <c r="AG57" s="1077"/>
    </row>
    <row r="58" spans="2:33" ht="6.75" hidden="1" customHeight="1">
      <c r="B58" s="881"/>
      <c r="C58" s="882"/>
      <c r="D58" s="882"/>
      <c r="E58" s="882"/>
      <c r="F58" s="882"/>
      <c r="G58" s="882"/>
      <c r="H58" s="882"/>
      <c r="I58" s="882"/>
      <c r="J58" s="882"/>
      <c r="K58" s="882"/>
      <c r="L58" s="882"/>
      <c r="M58" s="882"/>
      <c r="N58" s="882"/>
      <c r="O58" s="882"/>
      <c r="P58" s="1077"/>
      <c r="Q58" s="1077"/>
      <c r="R58" s="1077"/>
      <c r="S58" s="1077"/>
      <c r="T58" s="1077"/>
      <c r="U58" s="1077"/>
      <c r="V58" s="1077"/>
      <c r="W58" s="1077"/>
      <c r="X58" s="1077"/>
      <c r="Y58" s="1077"/>
      <c r="Z58" s="1077"/>
      <c r="AA58" s="1077"/>
      <c r="AB58" s="1077"/>
      <c r="AC58" s="1077"/>
      <c r="AD58" s="1077"/>
      <c r="AE58" s="1077"/>
      <c r="AF58" s="1077"/>
      <c r="AG58" s="1077"/>
    </row>
    <row r="59" spans="2:33" hidden="1">
      <c r="B59" s="110"/>
      <c r="C59" s="49" t="s">
        <v>169</v>
      </c>
      <c r="D59" s="924"/>
      <c r="E59" s="941"/>
      <c r="F59" s="2519"/>
      <c r="G59" s="943"/>
      <c r="H59" s="943"/>
      <c r="I59" s="943"/>
      <c r="J59" s="943"/>
      <c r="K59" s="943"/>
      <c r="L59" s="943"/>
      <c r="M59" s="943"/>
      <c r="N59" s="47"/>
      <c r="O59" s="67"/>
      <c r="P59" s="1077"/>
      <c r="Q59" s="2601"/>
      <c r="R59" s="207"/>
      <c r="S59" s="1432"/>
      <c r="T59" s="1077"/>
      <c r="U59" s="3635"/>
      <c r="V59" s="2496"/>
      <c r="W59" s="4157"/>
      <c r="X59" s="4157"/>
      <c r="Y59" s="4157"/>
      <c r="Z59" s="4157"/>
      <c r="AA59" s="207"/>
      <c r="AB59" s="1077"/>
      <c r="AC59" s="1077"/>
      <c r="AD59" s="1077"/>
      <c r="AE59" s="1077"/>
      <c r="AF59" s="1077"/>
      <c r="AG59" s="1077"/>
    </row>
    <row r="60" spans="2:33" ht="6.75" hidden="1" customHeight="1">
      <c r="B60" s="110"/>
      <c r="C60" s="49"/>
      <c r="D60" s="924"/>
      <c r="E60" s="941"/>
      <c r="F60" s="2519"/>
      <c r="G60" s="943"/>
      <c r="H60" s="943"/>
      <c r="I60" s="943"/>
      <c r="J60" s="943"/>
      <c r="K60" s="943"/>
      <c r="L60" s="943"/>
      <c r="M60" s="943"/>
      <c r="N60" s="944"/>
      <c r="O60" s="67"/>
      <c r="P60" s="1077"/>
      <c r="Q60" s="2601"/>
      <c r="R60" s="1077"/>
      <c r="S60" s="1432"/>
      <c r="T60" s="1077"/>
      <c r="U60" s="1077"/>
      <c r="V60" s="1077"/>
      <c r="W60" s="1077"/>
      <c r="X60" s="1077"/>
      <c r="Y60" s="1077"/>
      <c r="Z60" s="1077"/>
      <c r="AA60" s="1077"/>
      <c r="AB60" s="1077"/>
      <c r="AC60" s="1077"/>
      <c r="AD60" s="2619"/>
      <c r="AE60" s="86"/>
      <c r="AF60" s="1077"/>
      <c r="AG60" s="1077"/>
    </row>
    <row r="61" spans="2:33" ht="12.75" hidden="1" customHeight="1">
      <c r="B61" s="110"/>
      <c r="C61" s="3039" t="s">
        <v>22</v>
      </c>
      <c r="D61" s="924"/>
      <c r="E61" s="941"/>
      <c r="F61" s="2519"/>
      <c r="G61" s="943"/>
      <c r="H61" s="943"/>
      <c r="I61" s="943"/>
      <c r="J61" s="943"/>
      <c r="K61" s="943"/>
      <c r="L61" s="943"/>
      <c r="M61" s="943"/>
      <c r="N61" s="944" t="s">
        <v>2816</v>
      </c>
      <c r="O61" s="67"/>
      <c r="P61" s="1077"/>
      <c r="Q61" s="2603"/>
      <c r="R61" s="2572"/>
      <c r="S61" s="2572"/>
      <c r="T61" s="537"/>
      <c r="U61" s="537"/>
      <c r="V61" s="1077"/>
      <c r="W61" s="2856"/>
      <c r="X61" s="2856"/>
      <c r="Y61" s="2856"/>
      <c r="Z61" s="2856"/>
      <c r="AA61" s="2856"/>
      <c r="AB61" s="2856"/>
      <c r="AC61" s="2856"/>
      <c r="AD61" s="2619"/>
      <c r="AE61" s="86"/>
      <c r="AF61" s="1077"/>
      <c r="AG61" s="1077"/>
    </row>
    <row r="62" spans="2:33" s="39" customFormat="1" ht="12" hidden="1" customHeight="1">
      <c r="B62" s="110"/>
      <c r="C62" s="1179"/>
      <c r="D62" s="1079"/>
      <c r="E62" s="980" t="s">
        <v>160</v>
      </c>
      <c r="F62" s="3040">
        <v>2013</v>
      </c>
      <c r="G62" s="974">
        <v>2015</v>
      </c>
      <c r="H62" s="974">
        <v>2020</v>
      </c>
      <c r="I62" s="974">
        <v>2025</v>
      </c>
      <c r="J62" s="974">
        <v>2030</v>
      </c>
      <c r="K62" s="974">
        <v>2035</v>
      </c>
      <c r="L62" s="974">
        <v>2040</v>
      </c>
      <c r="M62" s="974">
        <v>2045</v>
      </c>
      <c r="N62" s="974">
        <v>2050</v>
      </c>
      <c r="O62" s="67"/>
      <c r="P62" s="1077"/>
      <c r="Q62" s="2603"/>
      <c r="R62" s="656"/>
      <c r="S62" s="656"/>
      <c r="T62" s="1077"/>
      <c r="U62" s="1077"/>
      <c r="V62" s="1077"/>
      <c r="W62" s="3385"/>
      <c r="X62" s="3385"/>
      <c r="Y62" s="3385"/>
      <c r="Z62" s="3385"/>
      <c r="AA62" s="3171"/>
      <c r="AB62" s="3171"/>
      <c r="AC62" s="3171"/>
      <c r="AD62" s="2619"/>
      <c r="AE62" s="86"/>
      <c r="AF62" s="1077"/>
      <c r="AG62" s="1077"/>
    </row>
    <row r="63" spans="2:33" s="39" customFormat="1" ht="12" hidden="1" customHeight="1">
      <c r="B63" s="110"/>
      <c r="C63" s="977" t="s">
        <v>2895</v>
      </c>
      <c r="D63" s="1079"/>
      <c r="E63" s="2424"/>
      <c r="F63" s="3400"/>
      <c r="G63" s="3401"/>
      <c r="H63" s="3401"/>
      <c r="I63" s="3401"/>
      <c r="J63" s="3401"/>
      <c r="K63" s="3401"/>
      <c r="L63" s="3401"/>
      <c r="M63" s="3401"/>
      <c r="N63" s="3400"/>
      <c r="O63" s="67"/>
      <c r="P63" s="1077"/>
      <c r="Q63" s="2603"/>
      <c r="R63" s="656"/>
      <c r="S63" s="656"/>
      <c r="T63" s="1077"/>
      <c r="U63" s="1077"/>
      <c r="V63" s="1077"/>
      <c r="W63" s="3385"/>
      <c r="X63" s="3385"/>
      <c r="Y63" s="3385"/>
      <c r="Z63" s="3385"/>
      <c r="AA63" s="3171"/>
      <c r="AB63" s="3171"/>
      <c r="AC63" s="3171"/>
      <c r="AD63" s="2619"/>
      <c r="AE63" s="86"/>
      <c r="AF63" s="1077"/>
      <c r="AG63" s="1077"/>
    </row>
    <row r="64" spans="2:33" s="39" customFormat="1" ht="12" hidden="1" customHeight="1">
      <c r="B64" s="110"/>
      <c r="C64" s="108" t="s">
        <v>2896</v>
      </c>
      <c r="D64" s="924"/>
      <c r="E64" s="2425"/>
      <c r="F64" s="3402"/>
      <c r="G64" s="2519"/>
      <c r="H64" s="2519"/>
      <c r="I64" s="2519"/>
      <c r="J64" s="2519"/>
      <c r="K64" s="2519"/>
      <c r="L64" s="2519"/>
      <c r="M64" s="2519"/>
      <c r="N64" s="3402"/>
      <c r="O64" s="67"/>
      <c r="P64" s="1077"/>
      <c r="Q64" s="2603"/>
      <c r="R64" s="656"/>
      <c r="S64" s="656"/>
      <c r="T64" s="1077"/>
      <c r="U64" s="1077"/>
      <c r="V64" s="1077"/>
      <c r="W64" s="3385"/>
      <c r="X64" s="3385"/>
      <c r="Y64" s="3385"/>
      <c r="Z64" s="3385"/>
      <c r="AA64" s="3171"/>
      <c r="AB64" s="3171"/>
      <c r="AC64" s="3171"/>
      <c r="AD64" s="2619"/>
      <c r="AE64" s="86"/>
      <c r="AF64" s="1077"/>
      <c r="AG64" s="1077"/>
    </row>
    <row r="65" spans="2:33" s="39" customFormat="1" ht="12" hidden="1" customHeight="1">
      <c r="B65" s="110"/>
      <c r="C65" s="108" t="s">
        <v>2897</v>
      </c>
      <c r="D65" s="924"/>
      <c r="E65" s="2425"/>
      <c r="F65" s="3402"/>
      <c r="G65" s="2519"/>
      <c r="H65" s="2519"/>
      <c r="I65" s="2519"/>
      <c r="J65" s="2519"/>
      <c r="K65" s="2519"/>
      <c r="L65" s="2519"/>
      <c r="M65" s="2519"/>
      <c r="N65" s="3402"/>
      <c r="O65" s="67"/>
      <c r="P65" s="1077"/>
      <c r="Q65" s="2603"/>
      <c r="R65" s="656"/>
      <c r="S65" s="656"/>
      <c r="T65" s="1077"/>
      <c r="U65" s="1077"/>
      <c r="V65" s="1077"/>
      <c r="W65" s="3385"/>
      <c r="X65" s="3385"/>
      <c r="Y65" s="3385"/>
      <c r="Z65" s="3385"/>
      <c r="AA65" s="3171"/>
      <c r="AB65" s="3171"/>
      <c r="AC65" s="3171"/>
      <c r="AD65" s="2619"/>
      <c r="AE65" s="86"/>
      <c r="AF65" s="1077"/>
      <c r="AG65" s="1077"/>
    </row>
    <row r="66" spans="2:33" s="39" customFormat="1" ht="12" hidden="1" customHeight="1">
      <c r="B66" s="110"/>
      <c r="C66" s="108" t="s">
        <v>2903</v>
      </c>
      <c r="D66" s="67"/>
      <c r="E66" s="2425"/>
      <c r="F66" s="3402"/>
      <c r="G66" s="3402"/>
      <c r="H66" s="3402"/>
      <c r="I66" s="3402"/>
      <c r="J66" s="3402"/>
      <c r="K66" s="3402"/>
      <c r="L66" s="3402"/>
      <c r="M66" s="3402"/>
      <c r="N66" s="3402"/>
      <c r="O66" s="47"/>
      <c r="P66" s="1077"/>
      <c r="Q66" s="2552"/>
      <c r="R66" s="3513"/>
      <c r="S66" s="3513"/>
      <c r="T66" s="1228"/>
      <c r="U66" s="1228"/>
      <c r="V66" s="1228"/>
      <c r="W66" s="1228"/>
      <c r="X66" s="1228"/>
      <c r="Y66" s="1228"/>
      <c r="Z66" s="1228"/>
      <c r="AA66" s="2553"/>
      <c r="AB66" s="3171"/>
      <c r="AC66" s="3171"/>
      <c r="AD66" s="2619"/>
      <c r="AE66" s="86"/>
      <c r="AF66" s="1077"/>
      <c r="AG66" s="1077"/>
    </row>
    <row r="67" spans="2:33" s="39" customFormat="1" ht="12" hidden="1" customHeight="1">
      <c r="B67" s="110"/>
      <c r="C67" s="199" t="s">
        <v>2904</v>
      </c>
      <c r="D67" s="978"/>
      <c r="E67" s="2426"/>
      <c r="F67" s="3387"/>
      <c r="G67" s="3387"/>
      <c r="H67" s="3387"/>
      <c r="I67" s="3387"/>
      <c r="J67" s="3387"/>
      <c r="K67" s="3387"/>
      <c r="L67" s="3387"/>
      <c r="M67" s="3387"/>
      <c r="N67" s="3387"/>
      <c r="O67" s="47"/>
      <c r="P67" s="1077"/>
      <c r="Q67" s="1077"/>
      <c r="R67" s="3043"/>
      <c r="S67" s="3393"/>
      <c r="T67" s="1230"/>
      <c r="U67" s="1230"/>
      <c r="V67" s="1230"/>
      <c r="W67" s="1230"/>
      <c r="X67" s="1230"/>
      <c r="Y67" s="1230"/>
      <c r="Z67" s="1230"/>
      <c r="AA67" s="1230"/>
      <c r="AB67" s="3171"/>
      <c r="AC67" s="3171"/>
      <c r="AD67" s="2619"/>
      <c r="AE67" s="86"/>
      <c r="AF67" s="1077"/>
      <c r="AG67" s="1077"/>
    </row>
    <row r="68" spans="2:33" s="39" customFormat="1" ht="12" hidden="1" customHeight="1">
      <c r="B68" s="47"/>
      <c r="C68" s="952"/>
      <c r="D68" s="924"/>
      <c r="E68" s="2425"/>
      <c r="F68" s="3402"/>
      <c r="G68" s="2428"/>
      <c r="H68" s="2428"/>
      <c r="I68" s="2428"/>
      <c r="J68" s="2428"/>
      <c r="K68" s="2428"/>
      <c r="L68" s="2428"/>
      <c r="M68" s="2428"/>
      <c r="N68" s="3402"/>
      <c r="O68" s="67"/>
      <c r="P68" s="1077"/>
      <c r="Q68" s="1077"/>
      <c r="R68" s="3395"/>
      <c r="S68" s="3395"/>
      <c r="T68" s="3395"/>
      <c r="U68" s="3395"/>
      <c r="V68" s="3395"/>
      <c r="W68" s="3395"/>
      <c r="X68" s="3395"/>
      <c r="Y68" s="3395"/>
      <c r="Z68" s="3395"/>
      <c r="AA68" s="3395"/>
      <c r="AB68" s="2616"/>
      <c r="AC68" s="2616"/>
      <c r="AD68" s="2619"/>
      <c r="AE68" s="86"/>
      <c r="AF68" s="1077"/>
      <c r="AG68" s="1077"/>
    </row>
    <row r="69" spans="2:33" s="39" customFormat="1" ht="12" hidden="1" customHeight="1">
      <c r="B69" s="47"/>
      <c r="C69" s="3039" t="s">
        <v>161</v>
      </c>
      <c r="D69" s="924"/>
      <c r="E69" s="941"/>
      <c r="F69" s="2519"/>
      <c r="G69" s="943"/>
      <c r="H69" s="943"/>
      <c r="I69" s="943"/>
      <c r="J69" s="943"/>
      <c r="K69" s="943"/>
      <c r="L69" s="943"/>
      <c r="M69" s="943"/>
      <c r="N69" s="944" t="s">
        <v>2816</v>
      </c>
      <c r="O69" s="67"/>
      <c r="P69" s="1077"/>
      <c r="Q69" s="1077"/>
      <c r="R69" s="3395"/>
      <c r="S69" s="3395"/>
      <c r="T69" s="3395"/>
      <c r="U69" s="3395"/>
      <c r="V69" s="3395"/>
      <c r="W69" s="3395"/>
      <c r="X69" s="3395"/>
      <c r="Y69" s="3395"/>
      <c r="Z69" s="3395"/>
      <c r="AA69" s="3395"/>
      <c r="AB69" s="2616"/>
      <c r="AC69" s="2616"/>
      <c r="AD69" s="2619"/>
      <c r="AE69" s="86"/>
      <c r="AF69" s="1077"/>
      <c r="AG69" s="1077"/>
    </row>
    <row r="70" spans="2:33" s="39" customFormat="1" ht="12" hidden="1" customHeight="1">
      <c r="B70" s="47"/>
      <c r="C70" s="1179"/>
      <c r="D70" s="1079"/>
      <c r="E70" s="980" t="s">
        <v>160</v>
      </c>
      <c r="F70" s="3040">
        <v>2013</v>
      </c>
      <c r="G70" s="974">
        <v>2015</v>
      </c>
      <c r="H70" s="974">
        <v>2020</v>
      </c>
      <c r="I70" s="974">
        <v>2025</v>
      </c>
      <c r="J70" s="974">
        <v>2030</v>
      </c>
      <c r="K70" s="974">
        <v>2035</v>
      </c>
      <c r="L70" s="974">
        <v>2040</v>
      </c>
      <c r="M70" s="974">
        <v>2045</v>
      </c>
      <c r="N70" s="974">
        <v>2050</v>
      </c>
      <c r="O70" s="67"/>
      <c r="P70" s="1077"/>
      <c r="Q70" s="1077"/>
      <c r="R70" s="3395"/>
      <c r="S70" s="3395"/>
      <c r="T70" s="3395"/>
      <c r="U70" s="3395"/>
      <c r="V70" s="3395"/>
      <c r="W70" s="3395"/>
      <c r="X70" s="3395"/>
      <c r="Y70" s="3395"/>
      <c r="Z70" s="3395"/>
      <c r="AA70" s="3395"/>
      <c r="AB70" s="2616"/>
      <c r="AC70" s="2616"/>
      <c r="AD70" s="2619"/>
      <c r="AE70" s="86"/>
      <c r="AF70" s="1077"/>
      <c r="AG70" s="1077"/>
    </row>
    <row r="71" spans="2:33" s="39" customFormat="1" ht="12" hidden="1" customHeight="1">
      <c r="B71" s="47"/>
      <c r="C71" s="977" t="s">
        <v>2895</v>
      </c>
      <c r="D71" s="1079"/>
      <c r="E71" s="2424"/>
      <c r="F71" s="3400"/>
      <c r="G71" s="3401"/>
      <c r="H71" s="3401"/>
      <c r="I71" s="3401"/>
      <c r="J71" s="3401"/>
      <c r="K71" s="3401"/>
      <c r="L71" s="3401"/>
      <c r="M71" s="3401"/>
      <c r="N71" s="3400"/>
      <c r="O71" s="67"/>
      <c r="P71" s="1077"/>
      <c r="Q71" s="1077"/>
      <c r="R71" s="1077"/>
      <c r="S71" s="1077"/>
      <c r="T71" s="1077"/>
      <c r="U71" s="1077"/>
      <c r="V71" s="1077"/>
      <c r="W71" s="1077"/>
      <c r="X71" s="1077"/>
      <c r="Y71" s="1077"/>
      <c r="Z71" s="1077"/>
      <c r="AA71" s="2553"/>
      <c r="AB71" s="2616"/>
      <c r="AC71" s="2616"/>
      <c r="AD71" s="2619"/>
      <c r="AE71" s="86"/>
      <c r="AF71" s="1077"/>
      <c r="AG71" s="1077"/>
    </row>
    <row r="72" spans="2:33" s="39" customFormat="1" ht="12" hidden="1" customHeight="1">
      <c r="B72" s="47"/>
      <c r="C72" s="108" t="s">
        <v>2896</v>
      </c>
      <c r="D72" s="924"/>
      <c r="E72" s="2425"/>
      <c r="F72" s="3402"/>
      <c r="G72" s="2519"/>
      <c r="H72" s="2519"/>
      <c r="I72" s="2519"/>
      <c r="J72" s="2519"/>
      <c r="K72" s="2519"/>
      <c r="L72" s="2519"/>
      <c r="M72" s="2519"/>
      <c r="N72" s="3402"/>
      <c r="O72" s="67"/>
      <c r="P72" s="1077"/>
      <c r="Q72" s="1077"/>
      <c r="R72" s="3043"/>
      <c r="S72" s="3393"/>
      <c r="T72" s="1230"/>
      <c r="U72" s="1230"/>
      <c r="V72" s="1230"/>
      <c r="W72" s="1230"/>
      <c r="X72" s="1230"/>
      <c r="Y72" s="1230"/>
      <c r="Z72" s="1230"/>
      <c r="AA72" s="1230"/>
      <c r="AB72" s="2616"/>
      <c r="AC72" s="2616"/>
      <c r="AD72" s="2619"/>
      <c r="AE72" s="86"/>
      <c r="AF72" s="1077"/>
      <c r="AG72" s="1077"/>
    </row>
    <row r="73" spans="2:33" s="39" customFormat="1" ht="12" hidden="1" customHeight="1">
      <c r="B73" s="47"/>
      <c r="C73" s="108" t="s">
        <v>2897</v>
      </c>
      <c r="D73" s="924"/>
      <c r="E73" s="2425"/>
      <c r="F73" s="3402"/>
      <c r="G73" s="2519"/>
      <c r="H73" s="2519"/>
      <c r="I73" s="2519"/>
      <c r="J73" s="2519"/>
      <c r="K73" s="2519"/>
      <c r="L73" s="2519"/>
      <c r="M73" s="2519"/>
      <c r="N73" s="3402"/>
      <c r="O73" s="67"/>
      <c r="P73" s="1077"/>
      <c r="Q73" s="3395"/>
      <c r="R73" s="3395"/>
      <c r="S73" s="3395"/>
      <c r="T73" s="3395"/>
      <c r="U73" s="3395"/>
      <c r="V73" s="3395"/>
      <c r="W73" s="3395"/>
      <c r="X73" s="3395"/>
      <c r="Y73" s="3395"/>
      <c r="Z73" s="3395"/>
      <c r="AA73" s="3395"/>
      <c r="AB73" s="2616"/>
      <c r="AC73" s="2616"/>
      <c r="AD73" s="2619"/>
      <c r="AE73" s="86"/>
      <c r="AF73" s="1077"/>
      <c r="AG73" s="1077"/>
    </row>
    <row r="74" spans="2:33" s="39" customFormat="1" ht="12" hidden="1" customHeight="1">
      <c r="B74" s="47"/>
      <c r="C74" s="108" t="s">
        <v>2903</v>
      </c>
      <c r="D74" s="67"/>
      <c r="E74" s="2425"/>
      <c r="F74" s="3402"/>
      <c r="G74" s="3402"/>
      <c r="H74" s="3402"/>
      <c r="I74" s="3402"/>
      <c r="J74" s="3402"/>
      <c r="K74" s="3402"/>
      <c r="L74" s="3402"/>
      <c r="M74" s="3402"/>
      <c r="N74" s="3402"/>
      <c r="O74" s="67"/>
      <c r="P74" s="1077"/>
      <c r="Q74" s="3395"/>
      <c r="R74" s="3395"/>
      <c r="S74" s="3395"/>
      <c r="T74" s="3395"/>
      <c r="U74" s="3395"/>
      <c r="V74" s="3395"/>
      <c r="W74" s="3395"/>
      <c r="X74" s="3395"/>
      <c r="Y74" s="3395"/>
      <c r="Z74" s="3395"/>
      <c r="AA74" s="3395"/>
      <c r="AB74" s="2616"/>
      <c r="AC74" s="2616"/>
      <c r="AD74" s="2619"/>
      <c r="AE74" s="86"/>
      <c r="AF74" s="1077"/>
      <c r="AG74" s="1077"/>
    </row>
    <row r="75" spans="2:33" s="39" customFormat="1" ht="12" hidden="1" customHeight="1">
      <c r="B75" s="47"/>
      <c r="C75" s="199" t="s">
        <v>2904</v>
      </c>
      <c r="D75" s="978"/>
      <c r="E75" s="2426"/>
      <c r="F75" s="3387"/>
      <c r="G75" s="3387"/>
      <c r="H75" s="3387"/>
      <c r="I75" s="3387"/>
      <c r="J75" s="3387"/>
      <c r="K75" s="3387"/>
      <c r="L75" s="3387"/>
      <c r="M75" s="3387"/>
      <c r="N75" s="3387"/>
      <c r="O75" s="67"/>
      <c r="P75" s="1077"/>
      <c r="Q75" s="3395"/>
      <c r="R75" s="3395"/>
      <c r="S75" s="3395"/>
      <c r="T75" s="3395"/>
      <c r="U75" s="3395"/>
      <c r="V75" s="3395"/>
      <c r="W75" s="3395"/>
      <c r="X75" s="3395"/>
      <c r="Y75" s="3395"/>
      <c r="Z75" s="3395"/>
      <c r="AA75" s="3395"/>
      <c r="AB75" s="2616"/>
      <c r="AC75" s="2616"/>
      <c r="AD75" s="2619"/>
      <c r="AE75" s="86"/>
      <c r="AF75" s="1077"/>
      <c r="AG75" s="1077"/>
    </row>
    <row r="76" spans="2:33" s="39" customFormat="1" ht="12" hidden="1" customHeight="1">
      <c r="B76" s="47"/>
      <c r="C76" s="47"/>
      <c r="D76" s="47"/>
      <c r="E76" s="47"/>
      <c r="F76" s="47"/>
      <c r="G76" s="47"/>
      <c r="H76" s="47"/>
      <c r="I76" s="47"/>
      <c r="J76" s="47"/>
      <c r="K76" s="47"/>
      <c r="L76" s="47"/>
      <c r="M76" s="47"/>
      <c r="N76" s="47"/>
      <c r="O76" s="67"/>
      <c r="P76" s="1077"/>
      <c r="Q76" s="1077"/>
      <c r="R76" s="2778"/>
      <c r="S76" s="1228"/>
      <c r="T76" s="1077"/>
      <c r="U76" s="1077"/>
      <c r="V76" s="1077"/>
      <c r="W76" s="656"/>
      <c r="X76" s="2616"/>
      <c r="Y76" s="2617"/>
      <c r="Z76" s="2618"/>
      <c r="AA76" s="2618"/>
      <c r="AB76" s="2616"/>
      <c r="AC76" s="2616"/>
      <c r="AD76" s="2619"/>
      <c r="AE76" s="86"/>
      <c r="AF76" s="1077"/>
      <c r="AG76" s="1077"/>
    </row>
    <row r="77" spans="2:33" s="39" customFormat="1" ht="12" hidden="1" customHeight="1">
      <c r="B77" s="47"/>
      <c r="C77" s="3039" t="s">
        <v>20</v>
      </c>
      <c r="D77" s="924"/>
      <c r="E77" s="941"/>
      <c r="F77" s="2519"/>
      <c r="G77" s="943"/>
      <c r="H77" s="943"/>
      <c r="I77" s="943"/>
      <c r="J77" s="943"/>
      <c r="K77" s="943"/>
      <c r="L77" s="943"/>
      <c r="M77" s="943"/>
      <c r="N77" s="944" t="s">
        <v>2816</v>
      </c>
      <c r="O77" s="67"/>
      <c r="P77" s="1077"/>
      <c r="Q77" s="1077"/>
      <c r="R77" s="2778"/>
      <c r="S77" s="1228"/>
      <c r="T77" s="1077"/>
      <c r="U77" s="1077"/>
      <c r="V77" s="1077"/>
      <c r="W77" s="656"/>
      <c r="X77" s="2616"/>
      <c r="Y77" s="2617"/>
      <c r="Z77" s="2618"/>
      <c r="AA77" s="2618"/>
      <c r="AB77" s="2616"/>
      <c r="AC77" s="2616"/>
      <c r="AD77" s="2619"/>
      <c r="AE77" s="86"/>
      <c r="AF77" s="1077"/>
      <c r="AG77" s="1077"/>
    </row>
    <row r="78" spans="2:33" s="39" customFormat="1" ht="12" hidden="1" customHeight="1">
      <c r="B78" s="47"/>
      <c r="C78" s="1179"/>
      <c r="D78" s="1079"/>
      <c r="E78" s="980" t="s">
        <v>160</v>
      </c>
      <c r="F78" s="3040">
        <v>2013</v>
      </c>
      <c r="G78" s="974">
        <v>2015</v>
      </c>
      <c r="H78" s="974">
        <v>2020</v>
      </c>
      <c r="I78" s="974">
        <v>2025</v>
      </c>
      <c r="J78" s="974">
        <v>2030</v>
      </c>
      <c r="K78" s="974">
        <v>2035</v>
      </c>
      <c r="L78" s="974">
        <v>2040</v>
      </c>
      <c r="M78" s="974">
        <v>2045</v>
      </c>
      <c r="N78" s="974">
        <v>2050</v>
      </c>
      <c r="O78" s="67"/>
      <c r="P78" s="1077"/>
      <c r="Q78" s="1077"/>
      <c r="R78" s="2778"/>
      <c r="S78" s="1228"/>
      <c r="T78" s="1077"/>
      <c r="U78" s="1077"/>
      <c r="V78" s="1077"/>
      <c r="W78" s="656"/>
      <c r="X78" s="2616"/>
      <c r="Y78" s="2617"/>
      <c r="Z78" s="2618"/>
      <c r="AA78" s="2618"/>
      <c r="AB78" s="2616"/>
      <c r="AC78" s="2616"/>
      <c r="AD78" s="2619"/>
      <c r="AE78" s="86"/>
      <c r="AF78" s="1077"/>
      <c r="AG78" s="1077"/>
    </row>
    <row r="79" spans="2:33" s="39" customFormat="1" ht="12" hidden="1" customHeight="1">
      <c r="B79" s="47"/>
      <c r="C79" s="977" t="s">
        <v>2895</v>
      </c>
      <c r="D79" s="1079"/>
      <c r="E79" s="2424"/>
      <c r="F79" s="3400"/>
      <c r="G79" s="3401"/>
      <c r="H79" s="3401"/>
      <c r="I79" s="3401"/>
      <c r="J79" s="3401"/>
      <c r="K79" s="3401"/>
      <c r="L79" s="3401"/>
      <c r="M79" s="3401"/>
      <c r="N79" s="3400"/>
      <c r="O79" s="67"/>
      <c r="P79" s="1077"/>
      <c r="Q79" s="1077"/>
      <c r="R79" s="1077"/>
      <c r="S79" s="1228"/>
      <c r="T79" s="1077"/>
      <c r="U79" s="1077"/>
      <c r="V79" s="1077"/>
      <c r="W79" s="656"/>
      <c r="X79" s="2616"/>
      <c r="Y79" s="2617"/>
      <c r="Z79" s="2618"/>
      <c r="AA79" s="2618"/>
      <c r="AB79" s="2616"/>
      <c r="AC79" s="2616"/>
      <c r="AD79" s="656"/>
      <c r="AE79" s="656"/>
      <c r="AF79" s="656"/>
      <c r="AG79" s="656"/>
    </row>
    <row r="80" spans="2:33" s="39" customFormat="1" ht="12" hidden="1" customHeight="1">
      <c r="B80" s="47"/>
      <c r="C80" s="108" t="s">
        <v>2896</v>
      </c>
      <c r="D80" s="924"/>
      <c r="E80" s="2425"/>
      <c r="F80" s="3402"/>
      <c r="G80" s="2519"/>
      <c r="H80" s="2519"/>
      <c r="I80" s="2519"/>
      <c r="J80" s="2519"/>
      <c r="K80" s="2519"/>
      <c r="L80" s="2519"/>
      <c r="M80" s="2519"/>
      <c r="N80" s="3402"/>
      <c r="O80" s="67"/>
      <c r="P80" s="1077"/>
      <c r="Q80" s="1077"/>
      <c r="R80" s="1077"/>
      <c r="S80" s="1228"/>
      <c r="T80" s="1077"/>
      <c r="U80" s="1077"/>
      <c r="V80" s="1077"/>
      <c r="W80" s="656"/>
      <c r="X80" s="2616"/>
      <c r="Y80" s="2617"/>
      <c r="Z80" s="2618"/>
      <c r="AA80" s="2618"/>
      <c r="AB80" s="2616"/>
      <c r="AC80" s="2616"/>
      <c r="AD80" s="1077"/>
      <c r="AE80" s="1077"/>
      <c r="AF80" s="1077"/>
      <c r="AG80" s="1077"/>
    </row>
    <row r="81" spans="2:33" s="39" customFormat="1" ht="12" hidden="1" customHeight="1">
      <c r="B81" s="47"/>
      <c r="C81" s="108" t="s">
        <v>2897</v>
      </c>
      <c r="D81" s="924"/>
      <c r="E81" s="2425"/>
      <c r="F81" s="3402"/>
      <c r="G81" s="2519"/>
      <c r="H81" s="2519"/>
      <c r="I81" s="2519"/>
      <c r="J81" s="2519"/>
      <c r="K81" s="2519"/>
      <c r="L81" s="2519"/>
      <c r="M81" s="2519"/>
      <c r="N81" s="3402"/>
      <c r="O81" s="67"/>
      <c r="P81" s="1077"/>
      <c r="Q81" s="1077"/>
      <c r="R81" s="1077"/>
      <c r="S81" s="1228"/>
      <c r="T81" s="1077"/>
      <c r="U81" s="1077"/>
      <c r="V81" s="1077"/>
      <c r="W81" s="656"/>
      <c r="X81" s="2616"/>
      <c r="Y81" s="2617"/>
      <c r="Z81" s="2618"/>
      <c r="AA81" s="2618"/>
      <c r="AB81" s="2616"/>
      <c r="AC81" s="2616"/>
      <c r="AD81" s="1228"/>
      <c r="AE81" s="1228"/>
      <c r="AF81" s="1077"/>
      <c r="AG81" s="1077"/>
    </row>
    <row r="82" spans="2:33" s="39" customFormat="1" ht="12" hidden="1" customHeight="1">
      <c r="B82" s="47"/>
      <c r="C82" s="108" t="s">
        <v>2903</v>
      </c>
      <c r="D82" s="67"/>
      <c r="E82" s="2425"/>
      <c r="F82" s="3402"/>
      <c r="G82" s="3402"/>
      <c r="H82" s="3402"/>
      <c r="I82" s="3402"/>
      <c r="J82" s="3402"/>
      <c r="K82" s="3402"/>
      <c r="L82" s="3402"/>
      <c r="M82" s="3402"/>
      <c r="N82" s="3402"/>
      <c r="O82" s="67"/>
      <c r="P82" s="1077"/>
      <c r="Q82" s="1077"/>
      <c r="R82" s="2778"/>
      <c r="S82" s="1228"/>
      <c r="T82" s="1077"/>
      <c r="U82" s="1077"/>
      <c r="V82" s="1077"/>
      <c r="W82" s="656"/>
      <c r="X82" s="2616"/>
      <c r="Y82" s="2617"/>
      <c r="Z82" s="2618"/>
      <c r="AA82" s="2618"/>
      <c r="AB82" s="2616"/>
      <c r="AC82" s="2616"/>
      <c r="AD82" s="1228"/>
      <c r="AE82" s="1228"/>
      <c r="AF82" s="2553"/>
      <c r="AG82" s="1077"/>
    </row>
    <row r="83" spans="2:33" s="39" customFormat="1" ht="12" hidden="1" customHeight="1">
      <c r="B83" s="47"/>
      <c r="C83" s="199" t="s">
        <v>2904</v>
      </c>
      <c r="D83" s="978"/>
      <c r="E83" s="2426"/>
      <c r="F83" s="3387"/>
      <c r="G83" s="3387"/>
      <c r="H83" s="3387"/>
      <c r="I83" s="3387"/>
      <c r="J83" s="3387"/>
      <c r="K83" s="3387"/>
      <c r="L83" s="3387"/>
      <c r="M83" s="3387"/>
      <c r="N83" s="3387"/>
      <c r="O83" s="47"/>
      <c r="P83" s="1077"/>
      <c r="Q83" s="1077"/>
      <c r="R83" s="2778"/>
      <c r="S83" s="1228"/>
      <c r="T83" s="1077"/>
      <c r="U83" s="1077"/>
      <c r="V83" s="1077"/>
      <c r="W83" s="656"/>
      <c r="X83" s="2616"/>
      <c r="Y83" s="2617"/>
      <c r="Z83" s="2618"/>
      <c r="AA83" s="2618"/>
      <c r="AB83" s="2616"/>
      <c r="AC83" s="2616"/>
      <c r="AD83" s="1228"/>
      <c r="AE83" s="1228"/>
      <c r="AF83" s="2553"/>
      <c r="AG83" s="1077"/>
    </row>
    <row r="84" spans="2:33" s="39" customFormat="1" ht="12" hidden="1" customHeight="1">
      <c r="B84" s="47"/>
      <c r="C84" s="47"/>
      <c r="D84" s="47"/>
      <c r="E84" s="47"/>
      <c r="F84" s="47"/>
      <c r="G84" s="47"/>
      <c r="H84" s="47"/>
      <c r="I84" s="47"/>
      <c r="J84" s="47"/>
      <c r="K84" s="47"/>
      <c r="L84" s="47"/>
      <c r="M84" s="47"/>
      <c r="N84" s="47"/>
      <c r="O84" s="47"/>
      <c r="P84" s="1077"/>
      <c r="Q84" s="1077"/>
      <c r="R84" s="2778"/>
      <c r="S84" s="3500"/>
      <c r="T84" s="2617"/>
      <c r="U84" s="2618"/>
      <c r="V84" s="2618"/>
      <c r="W84" s="2616"/>
      <c r="X84" s="2616"/>
      <c r="Y84" s="2617"/>
      <c r="Z84" s="2618"/>
      <c r="AA84" s="2618"/>
      <c r="AB84" s="2616"/>
      <c r="AC84" s="2616"/>
      <c r="AD84" s="1228"/>
      <c r="AE84" s="1228"/>
      <c r="AF84" s="2553"/>
      <c r="AG84" s="1077"/>
    </row>
    <row r="85" spans="2:33" s="39" customFormat="1" ht="12" hidden="1" customHeight="1">
      <c r="B85" s="47"/>
      <c r="C85" s="151" t="s">
        <v>173</v>
      </c>
      <c r="D85" s="924"/>
      <c r="E85" s="2425"/>
      <c r="F85" s="3402"/>
      <c r="G85" s="2428"/>
      <c r="H85" s="2428"/>
      <c r="I85" s="2428"/>
      <c r="J85" s="2428"/>
      <c r="K85" s="2428"/>
      <c r="L85" s="2428"/>
      <c r="M85" s="2428"/>
      <c r="N85" s="3402"/>
      <c r="O85" s="67"/>
      <c r="P85" s="1077"/>
      <c r="Q85" s="1077"/>
      <c r="R85" s="2778"/>
      <c r="S85" s="3500"/>
      <c r="T85" s="2617"/>
      <c r="U85" s="2618"/>
      <c r="V85" s="2618"/>
      <c r="W85" s="2616"/>
      <c r="X85" s="2616"/>
      <c r="Y85" s="2617"/>
      <c r="Z85" s="2618"/>
      <c r="AA85" s="2618"/>
      <c r="AB85" s="2616"/>
      <c r="AC85" s="2616"/>
      <c r="AD85" s="1228"/>
      <c r="AE85" s="1228"/>
      <c r="AF85" s="2553"/>
      <c r="AG85" s="1077"/>
    </row>
    <row r="86" spans="2:33" s="39" customFormat="1" ht="3.75" hidden="1" customHeight="1">
      <c r="B86" s="47"/>
      <c r="C86" s="151"/>
      <c r="D86" s="924"/>
      <c r="E86" s="2425"/>
      <c r="F86" s="3402"/>
      <c r="G86" s="2428"/>
      <c r="H86" s="2428"/>
      <c r="I86" s="2428"/>
      <c r="J86" s="2428"/>
      <c r="K86" s="2428"/>
      <c r="L86" s="2428"/>
      <c r="M86" s="2428"/>
      <c r="N86" s="3402"/>
      <c r="O86" s="67"/>
      <c r="P86" s="1077"/>
      <c r="Q86" s="1077"/>
      <c r="R86" s="2778"/>
      <c r="S86" s="1077"/>
      <c r="T86" s="2617"/>
      <c r="U86" s="2618"/>
      <c r="V86" s="2618"/>
      <c r="W86" s="2616"/>
      <c r="X86" s="2616"/>
      <c r="Y86" s="2617"/>
      <c r="Z86" s="2618"/>
      <c r="AA86" s="2618"/>
      <c r="AB86" s="2616"/>
      <c r="AC86" s="2616"/>
      <c r="AD86" s="1228"/>
      <c r="AE86" s="1228"/>
      <c r="AF86" s="2553"/>
      <c r="AG86" s="1077"/>
    </row>
    <row r="87" spans="2:33" s="39" customFormat="1" ht="12" hidden="1" customHeight="1">
      <c r="B87" s="47"/>
      <c r="C87" s="3039" t="s">
        <v>22</v>
      </c>
      <c r="D87" s="924"/>
      <c r="E87" s="2425"/>
      <c r="F87" s="3402"/>
      <c r="G87" s="2428"/>
      <c r="H87" s="2428"/>
      <c r="I87" s="2428"/>
      <c r="J87" s="2428"/>
      <c r="K87" s="2428"/>
      <c r="L87" s="2428"/>
      <c r="M87" s="2428"/>
      <c r="N87" s="944" t="s">
        <v>2816</v>
      </c>
      <c r="O87" s="67"/>
      <c r="P87" s="1077"/>
      <c r="Q87" s="1077"/>
      <c r="R87" s="2778"/>
      <c r="S87" s="1077"/>
      <c r="T87" s="656"/>
      <c r="U87" s="656"/>
      <c r="V87" s="656"/>
      <c r="W87" s="656"/>
      <c r="X87" s="656"/>
      <c r="Y87" s="656"/>
      <c r="Z87" s="656"/>
      <c r="AA87" s="656"/>
      <c r="AB87" s="656"/>
      <c r="AC87" s="656"/>
      <c r="AD87" s="1228"/>
      <c r="AE87" s="1228"/>
      <c r="AF87" s="2553"/>
      <c r="AG87" s="1077"/>
    </row>
    <row r="88" spans="2:33" s="39" customFormat="1" ht="12" hidden="1" customHeight="1">
      <c r="B88" s="47"/>
      <c r="C88" s="1179"/>
      <c r="D88" s="1079"/>
      <c r="E88" s="980" t="s">
        <v>160</v>
      </c>
      <c r="F88" s="3040">
        <v>2013</v>
      </c>
      <c r="G88" s="974">
        <v>2015</v>
      </c>
      <c r="H88" s="974">
        <v>2020</v>
      </c>
      <c r="I88" s="974">
        <v>2025</v>
      </c>
      <c r="J88" s="974">
        <v>2030</v>
      </c>
      <c r="K88" s="974">
        <v>2035</v>
      </c>
      <c r="L88" s="974">
        <v>2040</v>
      </c>
      <c r="M88" s="974">
        <v>2045</v>
      </c>
      <c r="N88" s="974">
        <v>2050</v>
      </c>
      <c r="O88" s="67"/>
      <c r="P88" s="1077"/>
      <c r="Q88" s="1077"/>
      <c r="R88" s="2778"/>
      <c r="S88" s="2778"/>
      <c r="T88" s="1077"/>
      <c r="U88" s="1077"/>
      <c r="V88" s="1077"/>
      <c r="W88" s="1077"/>
      <c r="X88" s="1077"/>
      <c r="Y88" s="1077"/>
      <c r="Z88" s="1077"/>
      <c r="AA88" s="1077"/>
      <c r="AB88" s="1077"/>
      <c r="AC88" s="1077"/>
      <c r="AD88" s="1230"/>
      <c r="AE88" s="1230"/>
      <c r="AF88" s="1230"/>
      <c r="AG88" s="1077"/>
    </row>
    <row r="89" spans="2:33" s="39" customFormat="1" ht="12" hidden="1" customHeight="1">
      <c r="B89" s="47"/>
      <c r="C89" s="977" t="s">
        <v>2895</v>
      </c>
      <c r="D89" s="1079"/>
      <c r="E89" s="2424"/>
      <c r="F89" s="3400"/>
      <c r="G89" s="3401"/>
      <c r="H89" s="3401"/>
      <c r="I89" s="3401"/>
      <c r="J89" s="3401"/>
      <c r="K89" s="3401"/>
      <c r="L89" s="3401"/>
      <c r="M89" s="3401"/>
      <c r="N89" s="3400"/>
      <c r="O89" s="67"/>
      <c r="P89" s="1077"/>
      <c r="Q89" s="1077"/>
      <c r="R89" s="2778"/>
      <c r="S89" s="2778"/>
      <c r="T89" s="207"/>
      <c r="U89" s="521"/>
      <c r="V89" s="2552"/>
      <c r="W89" s="3513"/>
      <c r="X89" s="3513"/>
      <c r="Y89" s="1228"/>
      <c r="Z89" s="1228"/>
      <c r="AA89" s="1228"/>
      <c r="AB89" s="1228"/>
      <c r="AC89" s="1228"/>
      <c r="AD89" s="3399"/>
      <c r="AE89" s="3399"/>
      <c r="AF89" s="3385"/>
      <c r="AG89" s="1077"/>
    </row>
    <row r="90" spans="2:33" s="39" customFormat="1" ht="12" hidden="1" customHeight="1">
      <c r="B90" s="47"/>
      <c r="C90" s="108" t="s">
        <v>2896</v>
      </c>
      <c r="D90" s="67"/>
      <c r="E90" s="2425"/>
      <c r="F90" s="3402"/>
      <c r="G90" s="2519"/>
      <c r="H90" s="2519"/>
      <c r="I90" s="2519"/>
      <c r="J90" s="2519"/>
      <c r="K90" s="2519"/>
      <c r="L90" s="2519"/>
      <c r="M90" s="2519"/>
      <c r="N90" s="3402"/>
      <c r="O90" s="67"/>
      <c r="P90" s="1077"/>
      <c r="Q90" s="1077"/>
      <c r="R90" s="2778"/>
      <c r="S90" s="2778"/>
      <c r="T90" s="207"/>
      <c r="U90" s="521"/>
      <c r="V90" s="2552"/>
      <c r="W90" s="3513"/>
      <c r="X90" s="3513"/>
      <c r="Y90" s="1228"/>
      <c r="Z90" s="1228"/>
      <c r="AA90" s="1228"/>
      <c r="AB90" s="1228"/>
      <c r="AC90" s="1228"/>
      <c r="AD90" s="3399"/>
      <c r="AE90" s="3399"/>
      <c r="AF90" s="3433"/>
      <c r="AG90" s="1077"/>
    </row>
    <row r="91" spans="2:33" s="1077" customFormat="1" ht="12" hidden="1" customHeight="1">
      <c r="B91" s="47"/>
      <c r="C91" s="108" t="s">
        <v>2897</v>
      </c>
      <c r="D91" s="924"/>
      <c r="E91" s="2425"/>
      <c r="F91" s="3402"/>
      <c r="G91" s="2519"/>
      <c r="H91" s="2519"/>
      <c r="I91" s="2519"/>
      <c r="J91" s="2519"/>
      <c r="K91" s="2519"/>
      <c r="L91" s="2519"/>
      <c r="M91" s="2519"/>
      <c r="N91" s="3402"/>
      <c r="O91" s="67"/>
      <c r="R91" s="2778"/>
      <c r="T91" s="207"/>
      <c r="U91" s="521"/>
      <c r="V91" s="2552"/>
      <c r="W91" s="3513"/>
      <c r="X91" s="3513"/>
      <c r="Y91" s="1228"/>
      <c r="Z91" s="1228"/>
      <c r="AA91" s="1228"/>
      <c r="AB91" s="1228"/>
      <c r="AC91" s="1228"/>
      <c r="AD91" s="3399"/>
      <c r="AE91" s="3399"/>
      <c r="AF91" s="3433"/>
    </row>
    <row r="92" spans="2:33" s="1077" customFormat="1" ht="12" hidden="1" customHeight="1">
      <c r="B92" s="47"/>
      <c r="C92" s="108" t="s">
        <v>2903</v>
      </c>
      <c r="D92" s="924"/>
      <c r="E92" s="2425"/>
      <c r="F92" s="3402"/>
      <c r="G92" s="3402"/>
      <c r="H92" s="3402"/>
      <c r="I92" s="3402"/>
      <c r="J92" s="3402"/>
      <c r="K92" s="3402"/>
      <c r="L92" s="3402"/>
      <c r="M92" s="3402"/>
      <c r="N92" s="3402"/>
      <c r="O92" s="67"/>
      <c r="R92" s="2778"/>
      <c r="T92" s="207"/>
      <c r="U92" s="521"/>
      <c r="V92" s="2552"/>
      <c r="W92" s="3513"/>
      <c r="X92" s="3513"/>
      <c r="Y92" s="1228"/>
      <c r="Z92" s="1228"/>
      <c r="AA92" s="1228"/>
      <c r="AB92" s="1228"/>
      <c r="AC92" s="1228"/>
      <c r="AD92" s="3399"/>
      <c r="AE92" s="3399"/>
      <c r="AF92" s="3433"/>
    </row>
    <row r="93" spans="2:33" s="1077" customFormat="1" ht="12" hidden="1" customHeight="1">
      <c r="B93" s="47"/>
      <c r="C93" s="199" t="s">
        <v>2904</v>
      </c>
      <c r="D93" s="978"/>
      <c r="E93" s="2426"/>
      <c r="F93" s="3387"/>
      <c r="G93" s="3387"/>
      <c r="H93" s="3387"/>
      <c r="I93" s="3387"/>
      <c r="J93" s="3387"/>
      <c r="K93" s="3387"/>
      <c r="L93" s="3387"/>
      <c r="M93" s="3387"/>
      <c r="N93" s="3387"/>
      <c r="O93" s="47"/>
      <c r="R93" s="2778"/>
      <c r="T93" s="207"/>
      <c r="U93" s="521"/>
      <c r="V93" s="2552"/>
      <c r="W93" s="3513"/>
      <c r="X93" s="3513"/>
      <c r="Y93" s="1228"/>
      <c r="Z93" s="1228"/>
      <c r="AA93" s="1228"/>
      <c r="AB93" s="1228"/>
      <c r="AC93" s="1228"/>
      <c r="AD93" s="3399"/>
      <c r="AE93" s="3399"/>
      <c r="AF93" s="3433"/>
    </row>
    <row r="94" spans="2:33" s="1077" customFormat="1" ht="12" hidden="1" customHeight="1">
      <c r="B94" s="47"/>
      <c r="C94" s="47"/>
      <c r="D94" s="47"/>
      <c r="E94" s="47"/>
      <c r="F94" s="47"/>
      <c r="G94" s="47"/>
      <c r="H94" s="47"/>
      <c r="I94" s="47"/>
      <c r="J94" s="47"/>
      <c r="K94" s="47"/>
      <c r="L94" s="47"/>
      <c r="M94" s="47"/>
      <c r="N94" s="47"/>
      <c r="O94" s="47"/>
      <c r="R94" s="2778"/>
      <c r="T94" s="207"/>
      <c r="U94" s="521"/>
      <c r="V94" s="2552"/>
      <c r="W94" s="3513"/>
      <c r="X94" s="3513"/>
      <c r="Y94" s="1228"/>
      <c r="Z94" s="1228"/>
      <c r="AA94" s="1228"/>
      <c r="AB94" s="1228"/>
      <c r="AC94" s="1228"/>
      <c r="AD94" s="3399"/>
      <c r="AE94" s="3399"/>
      <c r="AF94" s="3433"/>
    </row>
    <row r="95" spans="2:33" s="1077" customFormat="1" ht="12" hidden="1" customHeight="1">
      <c r="B95" s="47"/>
      <c r="C95" s="3039" t="s">
        <v>161</v>
      </c>
      <c r="D95" s="924"/>
      <c r="E95" s="2425"/>
      <c r="F95" s="3402"/>
      <c r="G95" s="2428"/>
      <c r="H95" s="2428"/>
      <c r="I95" s="2428"/>
      <c r="J95" s="2428"/>
      <c r="K95" s="2428"/>
      <c r="L95" s="2428"/>
      <c r="M95" s="2428"/>
      <c r="N95" s="944" t="s">
        <v>2816</v>
      </c>
      <c r="O95" s="67"/>
      <c r="R95" s="2778"/>
      <c r="T95" s="2541"/>
      <c r="U95" s="521"/>
      <c r="V95" s="2552"/>
      <c r="W95" s="3513"/>
      <c r="X95" s="3513"/>
      <c r="Y95" s="1228"/>
      <c r="Z95" s="1228"/>
      <c r="AA95" s="1228"/>
      <c r="AB95" s="1228"/>
      <c r="AC95" s="1228"/>
      <c r="AD95" s="3399"/>
      <c r="AE95" s="3399"/>
      <c r="AF95" s="3433"/>
    </row>
    <row r="96" spans="2:33" s="1077" customFormat="1" ht="12" hidden="1" customHeight="1">
      <c r="B96" s="47"/>
      <c r="C96" s="1179"/>
      <c r="D96" s="962"/>
      <c r="E96" s="963" t="s">
        <v>160</v>
      </c>
      <c r="F96" s="3045">
        <v>2013</v>
      </c>
      <c r="G96" s="965">
        <v>2015</v>
      </c>
      <c r="H96" s="965">
        <v>2020</v>
      </c>
      <c r="I96" s="965">
        <v>2025</v>
      </c>
      <c r="J96" s="965">
        <v>2030</v>
      </c>
      <c r="K96" s="965">
        <v>2035</v>
      </c>
      <c r="L96" s="965">
        <v>2040</v>
      </c>
      <c r="M96" s="965">
        <v>2045</v>
      </c>
      <c r="N96" s="965">
        <v>2050</v>
      </c>
      <c r="O96" s="67"/>
      <c r="R96" s="2778"/>
      <c r="T96" s="2555"/>
      <c r="U96" s="521"/>
      <c r="V96" s="2552"/>
      <c r="W96" s="3043"/>
      <c r="X96" s="3393"/>
      <c r="Y96" s="1230"/>
      <c r="Z96" s="1230"/>
      <c r="AA96" s="1230"/>
      <c r="AB96" s="1230"/>
      <c r="AC96" s="1230"/>
      <c r="AD96" s="3399"/>
      <c r="AE96" s="3399"/>
      <c r="AF96" s="3433"/>
    </row>
    <row r="97" spans="1:33" s="1077" customFormat="1" ht="12" hidden="1" customHeight="1">
      <c r="B97" s="47"/>
      <c r="C97" s="977" t="s">
        <v>2895</v>
      </c>
      <c r="D97" s="1079"/>
      <c r="E97" s="2424"/>
      <c r="F97" s="3400"/>
      <c r="G97" s="3401"/>
      <c r="H97" s="3401"/>
      <c r="I97" s="3401"/>
      <c r="J97" s="3401"/>
      <c r="K97" s="3401"/>
      <c r="L97" s="3401"/>
      <c r="M97" s="3401"/>
      <c r="N97" s="3400"/>
      <c r="O97" s="67"/>
      <c r="R97" s="207"/>
      <c r="T97" s="2557"/>
      <c r="U97" s="521"/>
      <c r="V97" s="3359"/>
      <c r="W97" s="3385"/>
      <c r="X97" s="3385"/>
      <c r="Y97" s="3399"/>
      <c r="Z97" s="3399"/>
      <c r="AA97" s="3399"/>
      <c r="AB97" s="3399"/>
      <c r="AC97" s="3399"/>
      <c r="AD97" s="3399"/>
      <c r="AE97" s="3399"/>
      <c r="AF97" s="3433"/>
    </row>
    <row r="98" spans="1:33" s="1077" customFormat="1" ht="12" hidden="1" customHeight="1">
      <c r="B98" s="47"/>
      <c r="C98" s="108" t="s">
        <v>2896</v>
      </c>
      <c r="D98" s="67"/>
      <c r="E98" s="2425"/>
      <c r="F98" s="3402"/>
      <c r="G98" s="2519"/>
      <c r="H98" s="2519"/>
      <c r="I98" s="2519"/>
      <c r="J98" s="2519"/>
      <c r="K98" s="2519"/>
      <c r="L98" s="2519"/>
      <c r="M98" s="2519"/>
      <c r="N98" s="3402"/>
      <c r="O98" s="67"/>
      <c r="R98" s="207"/>
      <c r="T98" s="2557"/>
      <c r="U98" s="521"/>
      <c r="V98" s="3359"/>
      <c r="W98" s="3385"/>
      <c r="X98" s="3433"/>
      <c r="Y98" s="3399"/>
      <c r="Z98" s="3399"/>
      <c r="AA98" s="3399"/>
      <c r="AB98" s="3399"/>
      <c r="AC98" s="3399"/>
      <c r="AD98" s="3399"/>
      <c r="AE98" s="3399"/>
      <c r="AF98" s="3433"/>
    </row>
    <row r="99" spans="1:33" s="1077" customFormat="1" ht="12" hidden="1" customHeight="1">
      <c r="A99" s="1726"/>
      <c r="B99" s="47"/>
      <c r="C99" s="108" t="s">
        <v>2897</v>
      </c>
      <c r="D99" s="924"/>
      <c r="E99" s="2425"/>
      <c r="F99" s="3402"/>
      <c r="G99" s="2519"/>
      <c r="H99" s="2519"/>
      <c r="I99" s="2519"/>
      <c r="J99" s="2519"/>
      <c r="K99" s="2519"/>
      <c r="L99" s="2519"/>
      <c r="M99" s="2519"/>
      <c r="N99" s="3402"/>
      <c r="O99" s="67"/>
      <c r="R99" s="207"/>
      <c r="T99" s="2557"/>
      <c r="U99" s="521"/>
      <c r="V99" s="3359"/>
      <c r="W99" s="3385"/>
      <c r="X99" s="3433"/>
      <c r="Y99" s="3399"/>
      <c r="Z99" s="3399"/>
      <c r="AA99" s="3399"/>
      <c r="AB99" s="3399"/>
      <c r="AC99" s="3399"/>
      <c r="AD99" s="3399"/>
      <c r="AE99" s="3399"/>
      <c r="AF99" s="3433"/>
    </row>
    <row r="100" spans="1:33" s="1077" customFormat="1" ht="12" hidden="1" customHeight="1">
      <c r="A100" s="1726"/>
      <c r="B100" s="47"/>
      <c r="C100" s="108" t="s">
        <v>2903</v>
      </c>
      <c r="D100" s="924"/>
      <c r="E100" s="2425"/>
      <c r="F100" s="3402"/>
      <c r="G100" s="3402"/>
      <c r="H100" s="3402"/>
      <c r="I100" s="3402"/>
      <c r="J100" s="3402"/>
      <c r="K100" s="3402"/>
      <c r="L100" s="3402"/>
      <c r="M100" s="3402"/>
      <c r="N100" s="3402"/>
      <c r="O100" s="67"/>
      <c r="R100" s="207"/>
      <c r="T100" s="2557"/>
      <c r="U100" s="521"/>
      <c r="V100" s="3359"/>
      <c r="W100" s="3385"/>
      <c r="X100" s="3433"/>
      <c r="Y100" s="3399"/>
      <c r="Z100" s="3399"/>
      <c r="AA100" s="3399"/>
      <c r="AB100" s="3399"/>
      <c r="AC100" s="3399"/>
      <c r="AD100" s="3399"/>
      <c r="AE100" s="3399"/>
      <c r="AF100" s="3433"/>
    </row>
    <row r="101" spans="1:33" s="1077" customFormat="1" ht="12" hidden="1" customHeight="1">
      <c r="A101" s="1726"/>
      <c r="B101" s="67"/>
      <c r="C101" s="199" t="s">
        <v>2904</v>
      </c>
      <c r="D101" s="978"/>
      <c r="E101" s="2426"/>
      <c r="F101" s="3387"/>
      <c r="G101" s="3387"/>
      <c r="H101" s="3387"/>
      <c r="I101" s="3387"/>
      <c r="J101" s="3387"/>
      <c r="K101" s="3387"/>
      <c r="L101" s="3387"/>
      <c r="M101" s="3387"/>
      <c r="N101" s="3387"/>
      <c r="O101" s="3402"/>
      <c r="R101" s="207"/>
      <c r="T101" s="2557"/>
      <c r="U101" s="521"/>
      <c r="V101" s="3359"/>
      <c r="W101" s="3385"/>
      <c r="X101" s="3433"/>
      <c r="Y101" s="3399"/>
      <c r="Z101" s="3399"/>
      <c r="AA101" s="3399"/>
      <c r="AB101" s="3399"/>
      <c r="AC101" s="3399"/>
      <c r="AD101" s="3399"/>
      <c r="AE101" s="3399"/>
      <c r="AF101" s="3433"/>
    </row>
    <row r="102" spans="1:33" s="1077" customFormat="1" ht="12" hidden="1" customHeight="1">
      <c r="A102" s="1726"/>
      <c r="B102" s="67"/>
      <c r="C102" s="67"/>
      <c r="D102" s="67"/>
      <c r="E102" s="67"/>
      <c r="F102" s="67"/>
      <c r="G102" s="67"/>
      <c r="H102" s="67"/>
      <c r="I102" s="67"/>
      <c r="J102" s="67"/>
      <c r="K102" s="67"/>
      <c r="L102" s="67"/>
      <c r="M102" s="67"/>
      <c r="N102" s="67"/>
      <c r="O102" s="67"/>
      <c r="R102" s="207"/>
      <c r="T102" s="2557"/>
      <c r="U102" s="521"/>
      <c r="V102" s="3359"/>
      <c r="W102" s="3385"/>
      <c r="X102" s="3433"/>
      <c r="Y102" s="3399"/>
      <c r="Z102" s="3399"/>
      <c r="AA102" s="3399"/>
      <c r="AB102" s="3399"/>
      <c r="AC102" s="3399"/>
      <c r="AD102" s="3399"/>
      <c r="AE102" s="3399"/>
      <c r="AF102" s="3433"/>
    </row>
    <row r="103" spans="1:33" s="39" customFormat="1" ht="12" hidden="1" customHeight="1">
      <c r="A103" s="3694"/>
      <c r="B103" s="47"/>
      <c r="C103" s="3039" t="s">
        <v>20</v>
      </c>
      <c r="D103" s="924"/>
      <c r="E103" s="2425"/>
      <c r="F103" s="3402"/>
      <c r="G103" s="2428"/>
      <c r="H103" s="2428"/>
      <c r="I103" s="2428"/>
      <c r="J103" s="2428"/>
      <c r="K103" s="2428"/>
      <c r="L103" s="2428"/>
      <c r="M103" s="2428"/>
      <c r="N103" s="944" t="s">
        <v>2816</v>
      </c>
      <c r="O103" s="885"/>
      <c r="P103" s="1077"/>
      <c r="Q103" s="1077"/>
      <c r="R103" s="207"/>
      <c r="S103" s="1077"/>
      <c r="T103" s="2557"/>
      <c r="U103" s="521"/>
      <c r="V103" s="3359"/>
      <c r="W103" s="3385"/>
      <c r="X103" s="3433"/>
      <c r="Y103" s="3399"/>
      <c r="Z103" s="3399"/>
      <c r="AA103" s="3399"/>
      <c r="AB103" s="3399"/>
      <c r="AC103" s="3399"/>
      <c r="AD103" s="1228"/>
      <c r="AE103" s="1228"/>
      <c r="AF103" s="2553"/>
      <c r="AG103" s="1077"/>
    </row>
    <row r="104" spans="1:33" ht="12" hidden="1" customHeight="1" collapsed="1">
      <c r="B104" s="47"/>
      <c r="C104" s="1179"/>
      <c r="D104" s="1079"/>
      <c r="E104" s="980" t="s">
        <v>160</v>
      </c>
      <c r="F104" s="3040">
        <v>2013</v>
      </c>
      <c r="G104" s="974">
        <v>2015</v>
      </c>
      <c r="H104" s="974">
        <v>2020</v>
      </c>
      <c r="I104" s="974">
        <v>2025</v>
      </c>
      <c r="J104" s="974">
        <v>2030</v>
      </c>
      <c r="K104" s="974">
        <v>2035</v>
      </c>
      <c r="L104" s="974">
        <v>2040</v>
      </c>
      <c r="M104" s="974">
        <v>2045</v>
      </c>
      <c r="N104" s="974">
        <v>2050</v>
      </c>
      <c r="O104" s="885"/>
      <c r="P104" s="1077"/>
      <c r="Q104" s="1077"/>
      <c r="R104" s="207"/>
      <c r="S104" s="1077"/>
      <c r="T104" s="2557"/>
      <c r="U104" s="521"/>
      <c r="V104" s="3359"/>
      <c r="W104" s="3385"/>
      <c r="X104" s="3433"/>
      <c r="Y104" s="3399"/>
      <c r="Z104" s="3399"/>
      <c r="AA104" s="3399"/>
      <c r="AB104" s="3399"/>
      <c r="AC104" s="3399"/>
      <c r="AD104" s="3399"/>
      <c r="AE104" s="3399"/>
      <c r="AF104" s="3385"/>
      <c r="AG104" s="1077"/>
    </row>
    <row r="105" spans="1:33" ht="12" hidden="1" customHeight="1">
      <c r="B105" s="67"/>
      <c r="C105" s="977" t="s">
        <v>2895</v>
      </c>
      <c r="D105" s="1079"/>
      <c r="E105" s="2424"/>
      <c r="F105" s="3400"/>
      <c r="G105" s="3401"/>
      <c r="H105" s="3401"/>
      <c r="I105" s="3401"/>
      <c r="J105" s="3401"/>
      <c r="K105" s="3401"/>
      <c r="L105" s="3401"/>
      <c r="M105" s="3401"/>
      <c r="N105" s="3400"/>
      <c r="O105" s="885"/>
      <c r="P105" s="1077"/>
      <c r="Q105" s="1077"/>
      <c r="R105" s="207"/>
      <c r="S105" s="1077"/>
      <c r="T105" s="2557"/>
      <c r="U105" s="521"/>
      <c r="V105" s="3359"/>
      <c r="W105" s="3385"/>
      <c r="X105" s="3433"/>
      <c r="Y105" s="3399"/>
      <c r="Z105" s="3399"/>
      <c r="AA105" s="3399"/>
      <c r="AB105" s="3399"/>
      <c r="AC105" s="3399"/>
      <c r="AD105" s="1228"/>
      <c r="AE105" s="1228"/>
      <c r="AF105" s="2553"/>
      <c r="AG105" s="1077"/>
    </row>
    <row r="106" spans="1:33" ht="12" hidden="1" customHeight="1">
      <c r="B106" s="67"/>
      <c r="C106" s="108" t="s">
        <v>2896</v>
      </c>
      <c r="D106" s="67"/>
      <c r="E106" s="2425"/>
      <c r="F106" s="3402"/>
      <c r="G106" s="2519"/>
      <c r="H106" s="2519"/>
      <c r="I106" s="2519"/>
      <c r="J106" s="2519"/>
      <c r="K106" s="2519"/>
      <c r="L106" s="2519"/>
      <c r="M106" s="2519"/>
      <c r="N106" s="3402"/>
      <c r="O106" s="885"/>
      <c r="P106" s="1077"/>
      <c r="Q106" s="1077"/>
      <c r="R106" s="207"/>
      <c r="S106" s="1077"/>
      <c r="T106" s="2557"/>
      <c r="U106" s="521"/>
      <c r="V106" s="3359"/>
      <c r="W106" s="3385"/>
      <c r="X106" s="3433"/>
      <c r="Y106" s="3399"/>
      <c r="Z106" s="3399"/>
      <c r="AA106" s="3399"/>
      <c r="AB106" s="3399"/>
      <c r="AC106" s="3399"/>
      <c r="AD106" s="1230"/>
      <c r="AE106" s="1230"/>
      <c r="AF106" s="1230"/>
      <c r="AG106" s="1077"/>
    </row>
    <row r="107" spans="1:33" ht="12" hidden="1" customHeight="1">
      <c r="B107" s="67"/>
      <c r="C107" s="108" t="s">
        <v>2897</v>
      </c>
      <c r="D107" s="924"/>
      <c r="E107" s="2425"/>
      <c r="F107" s="3402"/>
      <c r="G107" s="2519"/>
      <c r="H107" s="2519"/>
      <c r="I107" s="2519"/>
      <c r="J107" s="2519"/>
      <c r="K107" s="2519"/>
      <c r="L107" s="2519"/>
      <c r="M107" s="2519"/>
      <c r="N107" s="3402"/>
      <c r="O107" s="67"/>
      <c r="P107" s="1726"/>
      <c r="Q107" s="1077"/>
      <c r="R107" s="207"/>
      <c r="S107" s="1077"/>
      <c r="T107" s="2557"/>
      <c r="U107" s="521"/>
      <c r="V107" s="3359"/>
      <c r="W107" s="3385"/>
      <c r="X107" s="3433"/>
      <c r="Y107" s="3399"/>
      <c r="Z107" s="3399"/>
      <c r="AA107" s="3399"/>
      <c r="AB107" s="3399"/>
      <c r="AC107" s="3399"/>
      <c r="AD107" s="3399"/>
      <c r="AE107" s="3399"/>
      <c r="AF107" s="3385"/>
      <c r="AG107" s="1077"/>
    </row>
    <row r="108" spans="1:33" ht="12" hidden="1" customHeight="1">
      <c r="B108" s="67"/>
      <c r="C108" s="108" t="s">
        <v>2903</v>
      </c>
      <c r="D108" s="924"/>
      <c r="E108" s="2425"/>
      <c r="F108" s="3402"/>
      <c r="G108" s="3402"/>
      <c r="H108" s="3402"/>
      <c r="I108" s="3402"/>
      <c r="J108" s="3402"/>
      <c r="K108" s="3402"/>
      <c r="L108" s="3402"/>
      <c r="M108" s="3402"/>
      <c r="N108" s="3402"/>
      <c r="O108" s="67"/>
      <c r="P108" s="1726"/>
      <c r="Q108" s="1077"/>
      <c r="R108" s="207"/>
      <c r="S108" s="1077"/>
      <c r="T108" s="2557"/>
      <c r="U108" s="521"/>
      <c r="V108" s="3359"/>
      <c r="W108" s="3385"/>
      <c r="X108" s="3433"/>
      <c r="Y108" s="3399"/>
      <c r="Z108" s="3399"/>
      <c r="AA108" s="3399"/>
      <c r="AB108" s="3399"/>
      <c r="AC108" s="3399"/>
      <c r="AD108" s="3399"/>
      <c r="AE108" s="3399"/>
      <c r="AF108" s="3433"/>
      <c r="AG108" s="1077"/>
    </row>
    <row r="109" spans="1:33" ht="12" hidden="1" customHeight="1">
      <c r="B109" s="85"/>
      <c r="C109" s="199" t="s">
        <v>2904</v>
      </c>
      <c r="D109" s="3695"/>
      <c r="E109" s="2426"/>
      <c r="F109" s="3387"/>
      <c r="G109" s="3387"/>
      <c r="H109" s="3387"/>
      <c r="I109" s="3387"/>
      <c r="J109" s="3387"/>
      <c r="K109" s="3387"/>
      <c r="L109" s="3387"/>
      <c r="M109" s="3387"/>
      <c r="N109" s="3387"/>
      <c r="O109" s="85"/>
      <c r="P109" s="1726"/>
      <c r="Q109" s="1077"/>
      <c r="R109" s="207"/>
      <c r="S109" s="1077"/>
      <c r="T109" s="2557"/>
      <c r="U109" s="521"/>
      <c r="V109" s="3359"/>
      <c r="W109" s="3385"/>
      <c r="X109" s="3433"/>
      <c r="Y109" s="3399"/>
      <c r="Z109" s="3399"/>
      <c r="AA109" s="3399"/>
      <c r="AB109" s="3399"/>
      <c r="AC109" s="3399"/>
      <c r="AD109" s="3399"/>
      <c r="AE109" s="3399"/>
      <c r="AF109" s="3385"/>
      <c r="AG109" s="1077"/>
    </row>
    <row r="110" spans="1:33" ht="12" hidden="1" customHeight="1">
      <c r="B110" s="85"/>
      <c r="C110" s="3696"/>
      <c r="D110" s="3697"/>
      <c r="E110" s="3698"/>
      <c r="F110" s="3699"/>
      <c r="G110" s="3700"/>
      <c r="H110" s="3700"/>
      <c r="I110" s="3700"/>
      <c r="J110" s="3700"/>
      <c r="K110" s="3700"/>
      <c r="L110" s="3700"/>
      <c r="M110" s="3700"/>
      <c r="N110" s="3699"/>
      <c r="O110" s="85"/>
      <c r="P110" s="1726"/>
      <c r="Q110" s="1077"/>
      <c r="R110" s="207"/>
      <c r="S110" s="1077"/>
      <c r="T110" s="2557"/>
      <c r="U110" s="521"/>
      <c r="V110" s="3359"/>
      <c r="W110" s="3385"/>
      <c r="X110" s="3433"/>
      <c r="Y110" s="3399"/>
      <c r="Z110" s="3399"/>
      <c r="AA110" s="3399"/>
      <c r="AB110" s="3399"/>
      <c r="AC110" s="3399"/>
      <c r="AD110" s="3399"/>
      <c r="AE110" s="3399"/>
      <c r="AF110" s="3385"/>
      <c r="AG110" s="1077"/>
    </row>
    <row r="111" spans="1:33">
      <c r="B111" s="3694"/>
      <c r="C111" s="3694"/>
      <c r="D111" s="3694"/>
      <c r="E111" s="3694"/>
      <c r="F111" s="3694"/>
      <c r="G111" s="3694"/>
      <c r="H111" s="3694"/>
      <c r="I111" s="3694"/>
      <c r="J111" s="3694"/>
      <c r="K111" s="3694"/>
      <c r="L111" s="3694"/>
      <c r="M111" s="3694"/>
      <c r="N111" s="3694"/>
      <c r="O111" s="3694"/>
      <c r="P111" s="3694"/>
      <c r="Q111" s="1186"/>
      <c r="R111" s="2778"/>
      <c r="S111" s="1077"/>
      <c r="T111" s="207"/>
      <c r="U111" s="521"/>
      <c r="V111" s="2552"/>
      <c r="W111" s="3513"/>
      <c r="X111" s="3513"/>
      <c r="Y111" s="1228"/>
      <c r="Z111" s="1228"/>
      <c r="AA111" s="1228"/>
      <c r="AB111" s="1228"/>
      <c r="AC111" s="1228"/>
      <c r="AD111" s="1228"/>
      <c r="AE111" s="1228"/>
      <c r="AF111" s="2553"/>
      <c r="AG111" s="1077"/>
    </row>
    <row r="112" spans="1:33" ht="15.75">
      <c r="B112" s="1110" t="s">
        <v>207</v>
      </c>
      <c r="S112" s="1077"/>
      <c r="T112" s="2557"/>
      <c r="U112" s="521"/>
      <c r="V112" s="3359"/>
      <c r="W112" s="3385"/>
      <c r="X112" s="3385"/>
      <c r="Y112" s="3399"/>
      <c r="Z112" s="3399"/>
      <c r="AA112" s="3399"/>
      <c r="AB112" s="3399"/>
      <c r="AC112" s="3399"/>
      <c r="AD112" s="1230"/>
      <c r="AE112" s="1230"/>
      <c r="AF112" s="1230"/>
      <c r="AG112" s="1077"/>
    </row>
    <row r="113" spans="2:33">
      <c r="B113" s="363">
        <v>1</v>
      </c>
      <c r="C113" s="3634" t="s">
        <v>2905</v>
      </c>
      <c r="E113" s="3634" t="s">
        <v>5</v>
      </c>
      <c r="S113" s="1077"/>
      <c r="T113" s="2541"/>
      <c r="U113" s="521"/>
      <c r="V113" s="2552"/>
      <c r="W113" s="3513"/>
      <c r="X113" s="3513"/>
      <c r="Y113" s="1228"/>
      <c r="Z113" s="1228"/>
      <c r="AA113" s="1228"/>
      <c r="AB113" s="1228"/>
      <c r="AC113" s="1228"/>
      <c r="AD113" s="3399"/>
      <c r="AE113" s="3399"/>
      <c r="AF113" s="3385"/>
      <c r="AG113" s="1077"/>
    </row>
    <row r="114" spans="2:33">
      <c r="B114" s="363">
        <v>2</v>
      </c>
      <c r="C114" s="3634" t="s">
        <v>1757</v>
      </c>
      <c r="S114" s="1077"/>
      <c r="T114" s="2555"/>
      <c r="U114" s="521"/>
      <c r="V114" s="2552"/>
      <c r="W114" s="3043"/>
      <c r="X114" s="3393"/>
      <c r="Y114" s="1230"/>
      <c r="Z114" s="1230"/>
      <c r="AA114" s="1230"/>
      <c r="AB114" s="1230"/>
      <c r="AC114" s="1230"/>
      <c r="AD114" s="3399"/>
      <c r="AE114" s="3399"/>
      <c r="AF114" s="3433"/>
      <c r="AG114" s="1077"/>
    </row>
    <row r="115" spans="2:33">
      <c r="F115" s="3634">
        <v>2013</v>
      </c>
      <c r="G115" s="3634">
        <v>2015</v>
      </c>
      <c r="H115" s="3634">
        <v>2020</v>
      </c>
      <c r="I115" s="3634">
        <v>2025</v>
      </c>
      <c r="J115" s="3634">
        <v>2030</v>
      </c>
      <c r="K115" s="3634">
        <v>2035</v>
      </c>
      <c r="L115" s="3634">
        <v>2040</v>
      </c>
      <c r="M115" s="3634">
        <v>2045</v>
      </c>
      <c r="N115" s="3634">
        <v>2050</v>
      </c>
      <c r="S115" s="1077"/>
      <c r="T115" s="2557"/>
      <c r="U115" s="521"/>
      <c r="V115" s="3359"/>
      <c r="W115" s="3385"/>
      <c r="X115" s="3385"/>
      <c r="Y115" s="3399"/>
      <c r="Z115" s="3399"/>
      <c r="AA115" s="3399"/>
      <c r="AB115" s="3399"/>
      <c r="AC115" s="3399"/>
      <c r="AD115" s="3399"/>
      <c r="AE115" s="3399"/>
      <c r="AF115" s="3385"/>
      <c r="AG115" s="1077"/>
    </row>
    <row r="116" spans="2:33">
      <c r="C116" s="363" t="s">
        <v>2906</v>
      </c>
      <c r="E116" s="3834" t="str">
        <f>Preferences.EnergyUnits</f>
        <v>TWh</v>
      </c>
      <c r="F116" s="2490">
        <f ca="1">-VIII.a.Inputs[2013]</f>
        <v>9.8843865838814832E-5</v>
      </c>
      <c r="G116" s="2490">
        <f ca="1">-VIII.a.Inputs[2015]</f>
        <v>1.0526549418152516E-4</v>
      </c>
      <c r="H116" s="2490">
        <f ca="1">-VIII.a.Inputs[2020]</f>
        <v>1.4985241277847491E-3</v>
      </c>
      <c r="I116" s="2490">
        <f ca="1">-VIII.a.Inputs[2025]</f>
        <v>3.1077607021923297E-3</v>
      </c>
      <c r="J116" s="2490">
        <f ca="1">-VIII.a.Inputs[2030]</f>
        <v>8.5334544167595186E-3</v>
      </c>
      <c r="K116" s="2490">
        <f ca="1">-VIII.a.Inputs[2035]</f>
        <v>1.4355027286859567E-2</v>
      </c>
      <c r="L116" s="2490">
        <f ca="1">-VIII.a.Inputs[2040]</f>
        <v>2.1173596359821727E-2</v>
      </c>
      <c r="M116" s="2490">
        <f ca="1">-VIII.a.Inputs[2045]</f>
        <v>2.8440030433297275E-2</v>
      </c>
      <c r="N116" s="2490">
        <f ca="1">-VIII.a.Inputs[2050]</f>
        <v>3.1711867178177075E-2</v>
      </c>
      <c r="S116" s="1077"/>
      <c r="T116" s="2557"/>
      <c r="U116" s="521"/>
      <c r="V116" s="3359"/>
      <c r="W116" s="3385"/>
      <c r="X116" s="3433"/>
      <c r="Y116" s="3399"/>
      <c r="Z116" s="3399"/>
      <c r="AA116" s="3399"/>
      <c r="AB116" s="3399"/>
      <c r="AC116" s="3399"/>
      <c r="AD116" s="3399"/>
      <c r="AE116" s="3399"/>
      <c r="AF116" s="3385"/>
      <c r="AG116" s="1077"/>
    </row>
    <row r="117" spans="2:33">
      <c r="C117" s="3634" t="s">
        <v>2907</v>
      </c>
      <c r="G117" s="418">
        <f t="shared" ref="G117:N118" ca="1" si="4">G$116*G23</f>
        <v>6.5243553293709296E-5</v>
      </c>
      <c r="H117" s="418">
        <f t="shared" ca="1" si="4"/>
        <v>5.9940965111389974E-4</v>
      </c>
      <c r="I117" s="418">
        <f t="shared" ca="1" si="4"/>
        <v>1.0432752677259651E-3</v>
      </c>
      <c r="J117" s="418">
        <f t="shared" ca="1" si="4"/>
        <v>2.3552334190256275E-3</v>
      </c>
      <c r="K117" s="418">
        <f t="shared" ca="1" si="4"/>
        <v>3.2485426750163198E-3</v>
      </c>
      <c r="L117" s="418">
        <f t="shared" ca="1" si="4"/>
        <v>3.5063475571864779E-3</v>
      </c>
      <c r="M117" s="418">
        <f t="shared" ca="1" si="4"/>
        <v>2.599418781603371E-3</v>
      </c>
      <c r="N117" s="418">
        <f t="shared" ca="1" si="4"/>
        <v>0</v>
      </c>
      <c r="S117" s="1077"/>
      <c r="T117" s="2557"/>
      <c r="U117" s="521"/>
      <c r="V117" s="3359"/>
      <c r="W117" s="3385"/>
      <c r="X117" s="3385"/>
      <c r="Y117" s="3399"/>
      <c r="Z117" s="3399"/>
      <c r="AA117" s="3399"/>
      <c r="AB117" s="3399"/>
      <c r="AC117" s="3399"/>
      <c r="AD117" s="3399"/>
      <c r="AE117" s="3399"/>
      <c r="AF117" s="3385"/>
      <c r="AG117" s="1077"/>
    </row>
    <row r="118" spans="2:33">
      <c r="C118" s="3634" t="s">
        <v>2908</v>
      </c>
      <c r="G118" s="418">
        <f t="shared" ca="1" si="4"/>
        <v>2.8495369274938862E-5</v>
      </c>
      <c r="H118" s="418">
        <f t="shared" ca="1" si="4"/>
        <v>4.495572383354247E-4</v>
      </c>
      <c r="I118" s="418">
        <f t="shared" ca="1" si="4"/>
        <v>9.2518036104265666E-4</v>
      </c>
      <c r="J118" s="418">
        <f t="shared" ca="1" si="4"/>
        <v>2.3552334190256275E-3</v>
      </c>
      <c r="K118" s="418">
        <f t="shared" ca="1" si="4"/>
        <v>3.2485426750163198E-3</v>
      </c>
      <c r="L118" s="418">
        <f t="shared" ca="1" si="4"/>
        <v>3.5063475571864779E-3</v>
      </c>
      <c r="M118" s="418">
        <f t="shared" ca="1" si="4"/>
        <v>2.599418781603371E-3</v>
      </c>
      <c r="N118" s="418">
        <f t="shared" ca="1" si="4"/>
        <v>0</v>
      </c>
      <c r="S118" s="1077"/>
      <c r="T118" s="2557"/>
      <c r="U118" s="521"/>
      <c r="V118" s="3359"/>
      <c r="W118" s="3385"/>
      <c r="X118" s="3385"/>
      <c r="Y118" s="3399"/>
      <c r="Z118" s="3399"/>
      <c r="AA118" s="3399"/>
      <c r="AB118" s="3399"/>
      <c r="AC118" s="3399"/>
      <c r="AD118" s="3399"/>
      <c r="AE118" s="3399"/>
      <c r="AF118" s="3385"/>
      <c r="AG118" s="1077"/>
    </row>
    <row r="119" spans="2:33">
      <c r="C119" s="3634" t="s">
        <v>2909</v>
      </c>
      <c r="G119" s="418">
        <f t="shared" ref="G119:N119" ca="1" si="5">G116*G25</f>
        <v>1.1526571612877004E-5</v>
      </c>
      <c r="H119" s="418">
        <f t="shared" ca="1" si="5"/>
        <v>4.495572383354247E-4</v>
      </c>
      <c r="I119" s="418">
        <f t="shared" ca="1" si="5"/>
        <v>1.139305073423708E-3</v>
      </c>
      <c r="J119" s="418">
        <f t="shared" ca="1" si="5"/>
        <v>3.8221342332665879E-3</v>
      </c>
      <c r="K119" s="418">
        <f t="shared" ca="1" si="5"/>
        <v>7.8565064340982409E-3</v>
      </c>
      <c r="L119" s="418">
        <f t="shared" ca="1" si="5"/>
        <v>1.4160901245448771E-2</v>
      </c>
      <c r="M119" s="418">
        <f t="shared" ca="1" si="5"/>
        <v>2.3241192870090535E-2</v>
      </c>
      <c r="N119" s="418">
        <f t="shared" ca="1" si="5"/>
        <v>3.1711867178177075E-2</v>
      </c>
      <c r="S119" s="1077"/>
      <c r="T119" s="2541"/>
      <c r="U119" s="521"/>
      <c r="V119" s="2552"/>
      <c r="W119" s="3513"/>
      <c r="X119" s="3513"/>
      <c r="Y119" s="1228"/>
      <c r="Z119" s="1228"/>
      <c r="AA119" s="1228"/>
      <c r="AB119" s="1228"/>
      <c r="AC119" s="1228"/>
      <c r="AD119" s="3399"/>
      <c r="AE119" s="3399"/>
      <c r="AF119" s="2553"/>
      <c r="AG119" s="1077"/>
    </row>
    <row r="120" spans="2:33">
      <c r="S120" s="1077"/>
      <c r="T120" s="2555"/>
      <c r="U120" s="521"/>
      <c r="V120" s="2552"/>
      <c r="W120" s="3043"/>
      <c r="X120" s="3393"/>
      <c r="Y120" s="1230"/>
      <c r="Z120" s="1230"/>
      <c r="AA120" s="1230"/>
      <c r="AB120" s="1230"/>
      <c r="AC120" s="1230"/>
      <c r="AD120" s="1230"/>
      <c r="AE120" s="1230"/>
      <c r="AF120" s="1230"/>
      <c r="AG120" s="1077"/>
    </row>
    <row r="121" spans="2:33">
      <c r="B121" s="3701"/>
      <c r="C121" s="3702" t="s">
        <v>94</v>
      </c>
      <c r="F121" s="3410"/>
      <c r="G121" s="3410"/>
      <c r="H121" s="3410"/>
      <c r="I121" s="3410"/>
      <c r="J121" s="3410"/>
      <c r="K121" s="3410"/>
      <c r="L121" s="3410"/>
      <c r="M121" s="3410"/>
      <c r="N121" s="3410"/>
      <c r="S121" s="1077"/>
      <c r="T121" s="2557"/>
      <c r="U121" s="521"/>
      <c r="V121" s="3359"/>
      <c r="W121" s="3385"/>
      <c r="X121" s="3385"/>
      <c r="Y121" s="3399"/>
      <c r="Z121" s="3399"/>
      <c r="AA121" s="3399"/>
      <c r="AB121" s="3399"/>
      <c r="AC121" s="3399"/>
      <c r="AD121" s="3399"/>
      <c r="AE121" s="3399"/>
      <c r="AF121" s="3703"/>
      <c r="AG121" s="1077"/>
    </row>
    <row r="122" spans="2:33">
      <c r="B122" s="3701"/>
      <c r="C122" s="3634" t="s">
        <v>2907</v>
      </c>
      <c r="F122" s="3410"/>
      <c r="G122" s="3704">
        <f t="shared" ref="G122:N123" ca="1" si="6">(G117/G17)-G117</f>
        <v>2.5372492947553613E-5</v>
      </c>
      <c r="H122" s="3704">
        <f t="shared" ca="1" si="6"/>
        <v>2.3310375321096107E-4</v>
      </c>
      <c r="I122" s="3704">
        <f t="shared" ca="1" si="6"/>
        <v>4.0571815967120877E-4</v>
      </c>
      <c r="J122" s="3704">
        <f t="shared" ca="1" si="6"/>
        <v>9.1592410739885525E-4</v>
      </c>
      <c r="K122" s="3704">
        <f t="shared" ca="1" si="6"/>
        <v>1.2633221513952356E-3</v>
      </c>
      <c r="L122" s="3704">
        <f t="shared" ca="1" si="6"/>
        <v>1.363579605572519E-3</v>
      </c>
      <c r="M122" s="3704">
        <f t="shared" ca="1" si="6"/>
        <v>1.0108850817346442E-3</v>
      </c>
      <c r="N122" s="3704">
        <f t="shared" ca="1" si="6"/>
        <v>0</v>
      </c>
      <c r="S122" s="1077"/>
      <c r="T122" s="2557"/>
      <c r="U122" s="521"/>
      <c r="V122" s="3359"/>
      <c r="W122" s="3433"/>
      <c r="X122" s="3433"/>
      <c r="Y122" s="3399"/>
      <c r="Z122" s="3399"/>
      <c r="AA122" s="3399"/>
      <c r="AB122" s="3399"/>
      <c r="AC122" s="3399"/>
      <c r="AD122" s="3399"/>
      <c r="AE122" s="3399"/>
      <c r="AF122" s="3433"/>
      <c r="AG122" s="1077"/>
    </row>
    <row r="123" spans="2:33">
      <c r="B123" s="3701"/>
      <c r="C123" s="3634" t="s">
        <v>2908</v>
      </c>
      <c r="F123" s="3410"/>
      <c r="G123" s="3704">
        <f t="shared" ca="1" si="6"/>
        <v>1.3409585541147697E-5</v>
      </c>
      <c r="H123" s="3704">
        <f t="shared" ca="1" si="6"/>
        <v>2.1155634745196456E-4</v>
      </c>
      <c r="I123" s="3704">
        <f t="shared" ca="1" si="6"/>
        <v>4.0985623497849304E-4</v>
      </c>
      <c r="J123" s="3704">
        <f t="shared" ca="1" si="6"/>
        <v>9.7937428170441314E-4</v>
      </c>
      <c r="K123" s="3704">
        <f t="shared" ca="1" si="6"/>
        <v>1.2633221513952356E-3</v>
      </c>
      <c r="L123" s="3704">
        <f t="shared" ca="1" si="6"/>
        <v>1.363579605572519E-3</v>
      </c>
      <c r="M123" s="3704">
        <f t="shared" ca="1" si="6"/>
        <v>1.0108850817346442E-3</v>
      </c>
      <c r="N123" s="3704">
        <f t="shared" ca="1" si="6"/>
        <v>0</v>
      </c>
      <c r="S123" s="1077"/>
      <c r="T123" s="2557"/>
      <c r="U123" s="521"/>
      <c r="V123" s="3359"/>
      <c r="W123" s="3385"/>
      <c r="X123" s="3385"/>
      <c r="Y123" s="3399"/>
      <c r="Z123" s="3399"/>
      <c r="AA123" s="3399"/>
      <c r="AB123" s="3399"/>
      <c r="AC123" s="3399"/>
      <c r="AD123" s="3399"/>
      <c r="AE123" s="3399"/>
      <c r="AF123" s="3385"/>
      <c r="AG123" s="1077"/>
    </row>
    <row r="124" spans="2:33">
      <c r="B124" s="988"/>
      <c r="C124" s="3634" t="s">
        <v>2909</v>
      </c>
      <c r="G124" s="3704">
        <f t="shared" ref="G124:N124" ca="1" si="7">G128-G119</f>
        <v>6.2066154838568479E-6</v>
      </c>
      <c r="H124" s="3704">
        <f t="shared" ca="1" si="7"/>
        <v>2.4206928218061332E-4</v>
      </c>
      <c r="I124" s="3704">
        <f t="shared" ca="1" si="7"/>
        <v>5.6445606523893282E-4</v>
      </c>
      <c r="J124" s="3704">
        <f t="shared" ca="1" si="7"/>
        <v>1.7332934313650811E-3</v>
      </c>
      <c r="K124" s="3704">
        <f t="shared" ca="1" si="7"/>
        <v>3.2433896299004037E-3</v>
      </c>
      <c r="L124" s="3704">
        <f t="shared" ca="1" si="7"/>
        <v>5.2828736350246219E-3</v>
      </c>
      <c r="M124" s="3704">
        <f t="shared" ca="1" si="7"/>
        <v>7.7801537263997682E-3</v>
      </c>
      <c r="N124" s="3704">
        <f t="shared" ca="1" si="7"/>
        <v>9.4723759103645805E-3</v>
      </c>
      <c r="S124" s="1077"/>
      <c r="T124" s="2557"/>
      <c r="U124" s="521"/>
      <c r="V124" s="3359"/>
      <c r="W124" s="3385"/>
      <c r="X124" s="3385"/>
      <c r="Y124" s="3399"/>
      <c r="Z124" s="3399"/>
      <c r="AA124" s="3399"/>
      <c r="AB124" s="3399"/>
      <c r="AC124" s="3399"/>
      <c r="AD124" s="3399"/>
      <c r="AE124" s="3399"/>
      <c r="AF124" s="3385"/>
      <c r="AG124" s="1077"/>
    </row>
    <row r="125" spans="2:33">
      <c r="B125" s="988"/>
      <c r="S125" s="1077"/>
      <c r="T125" s="2539"/>
      <c r="U125" s="521"/>
      <c r="V125" s="3359"/>
      <c r="W125" s="3385"/>
      <c r="X125" s="3385"/>
      <c r="Y125" s="3399"/>
      <c r="Z125" s="3399"/>
      <c r="AA125" s="3399"/>
      <c r="AB125" s="3399"/>
      <c r="AC125" s="3399"/>
      <c r="AD125" s="3399"/>
      <c r="AE125" s="3399"/>
      <c r="AF125" s="2553"/>
      <c r="AG125" s="1077"/>
    </row>
    <row r="126" spans="2:33">
      <c r="B126" s="988"/>
      <c r="C126" s="363" t="s">
        <v>2910</v>
      </c>
      <c r="S126" s="1077"/>
      <c r="T126" s="2539"/>
      <c r="U126" s="521"/>
      <c r="V126" s="3359"/>
      <c r="W126" s="3385"/>
      <c r="X126" s="3385"/>
      <c r="Y126" s="3399"/>
      <c r="Z126" s="3399"/>
      <c r="AA126" s="3399"/>
      <c r="AB126" s="3399"/>
      <c r="AC126" s="3399"/>
      <c r="AD126" s="1230"/>
      <c r="AE126" s="1230"/>
      <c r="AF126" s="1230"/>
      <c r="AG126" s="1077"/>
    </row>
    <row r="127" spans="2:33">
      <c r="C127" s="3634" t="s">
        <v>2911</v>
      </c>
      <c r="E127" s="3634" t="s">
        <v>100</v>
      </c>
      <c r="F127" s="3411"/>
      <c r="G127" s="3705">
        <f t="shared" ref="G127:N127" ca="1" si="8">(G117/G17)+(G118/G18)</f>
        <v>1.3252100105734947E-4</v>
      </c>
      <c r="H127" s="3705">
        <f t="shared" ca="1" si="8"/>
        <v>1.4936269901122501E-3</v>
      </c>
      <c r="I127" s="3705">
        <f t="shared" ca="1" si="8"/>
        <v>2.7840300234183235E-3</v>
      </c>
      <c r="J127" s="3705">
        <f t="shared" ca="1" si="8"/>
        <v>6.6057652271545239E-3</v>
      </c>
      <c r="K127" s="3705">
        <f t="shared" ca="1" si="8"/>
        <v>9.023729652823111E-3</v>
      </c>
      <c r="L127" s="3705">
        <f t="shared" ca="1" si="8"/>
        <v>9.7398543255179937E-3</v>
      </c>
      <c r="M127" s="3705">
        <f t="shared" ca="1" si="8"/>
        <v>7.2206077266760305E-3</v>
      </c>
      <c r="N127" s="3705">
        <f t="shared" ca="1" si="8"/>
        <v>0</v>
      </c>
      <c r="S127" s="1077"/>
      <c r="T127" s="2541"/>
      <c r="U127" s="521"/>
      <c r="V127" s="3359"/>
      <c r="W127" s="3385"/>
      <c r="X127" s="3385"/>
      <c r="Y127" s="3399"/>
      <c r="Z127" s="3399"/>
      <c r="AA127" s="3399"/>
      <c r="AB127" s="3399"/>
      <c r="AC127" s="3399"/>
      <c r="AD127" s="3399"/>
      <c r="AE127" s="3399"/>
      <c r="AF127" s="3703"/>
      <c r="AG127" s="1077"/>
    </row>
    <row r="128" spans="2:33">
      <c r="C128" s="2" t="s">
        <v>2912</v>
      </c>
      <c r="E128" s="3634" t="s">
        <v>96</v>
      </c>
      <c r="F128" s="2490"/>
      <c r="G128" s="2414">
        <f t="shared" ref="G128:N128" ca="1" si="9">G119/G19</f>
        <v>1.7733187096733852E-5</v>
      </c>
      <c r="H128" s="2414">
        <f t="shared" ca="1" si="9"/>
        <v>6.9162652051603802E-4</v>
      </c>
      <c r="I128" s="2414">
        <f t="shared" ca="1" si="9"/>
        <v>1.7037611386626409E-3</v>
      </c>
      <c r="J128" s="2414">
        <f t="shared" ca="1" si="9"/>
        <v>5.5554276646316691E-3</v>
      </c>
      <c r="K128" s="2414">
        <f t="shared" ca="1" si="9"/>
        <v>1.1099896063998645E-2</v>
      </c>
      <c r="L128" s="2414">
        <f t="shared" ca="1" si="9"/>
        <v>1.9443774880473393E-2</v>
      </c>
      <c r="M128" s="2414">
        <f t="shared" ca="1" si="9"/>
        <v>3.1021346596490303E-2</v>
      </c>
      <c r="N128" s="2414">
        <f t="shared" ca="1" si="9"/>
        <v>4.1184243088541655E-2</v>
      </c>
      <c r="S128" s="1077"/>
      <c r="T128" s="2555"/>
      <c r="U128" s="521"/>
      <c r="V128" s="2552"/>
      <c r="W128" s="3043"/>
      <c r="X128" s="3393"/>
      <c r="Y128" s="1230"/>
      <c r="Z128" s="1230"/>
      <c r="AA128" s="1230"/>
      <c r="AB128" s="1230"/>
      <c r="AC128" s="1230"/>
      <c r="AD128" s="3399"/>
      <c r="AE128" s="3399"/>
      <c r="AF128" s="3433"/>
      <c r="AG128" s="1077"/>
    </row>
    <row r="129" spans="2:33">
      <c r="C129" s="2"/>
      <c r="F129" s="2490"/>
      <c r="G129" s="2414"/>
      <c r="H129" s="2414"/>
      <c r="I129" s="2414"/>
      <c r="J129" s="2414"/>
      <c r="K129" s="2414"/>
      <c r="L129" s="2414"/>
      <c r="M129" s="2414"/>
      <c r="N129" s="2414"/>
      <c r="S129" s="1077"/>
      <c r="T129" s="2557"/>
      <c r="U129" s="521"/>
      <c r="V129" s="3359"/>
      <c r="W129" s="3703"/>
      <c r="X129" s="3703"/>
      <c r="Y129" s="3399"/>
      <c r="Z129" s="3399"/>
      <c r="AA129" s="3399"/>
      <c r="AB129" s="3399"/>
      <c r="AC129" s="3399"/>
      <c r="AD129" s="3399"/>
      <c r="AE129" s="3399"/>
      <c r="AF129" s="3385"/>
      <c r="AG129" s="1077"/>
    </row>
    <row r="130" spans="2:33">
      <c r="C130" s="381" t="s">
        <v>843</v>
      </c>
      <c r="D130" s="1117"/>
      <c r="E130" s="6"/>
      <c r="F130" s="6"/>
      <c r="G130" s="3136"/>
      <c r="H130" s="3136"/>
      <c r="I130" s="3136"/>
      <c r="J130" s="3136"/>
      <c r="K130" s="3136"/>
      <c r="L130" s="3136"/>
      <c r="M130" s="3136"/>
      <c r="N130" s="3136"/>
      <c r="O130" s="3136"/>
      <c r="S130" s="1077"/>
      <c r="T130" s="2557"/>
      <c r="U130" s="1077"/>
      <c r="V130" s="3359"/>
      <c r="W130" s="3433"/>
      <c r="X130" s="3433"/>
      <c r="Y130" s="3399"/>
      <c r="Z130" s="3399"/>
      <c r="AA130" s="3399"/>
      <c r="AB130" s="3399"/>
      <c r="AC130" s="3399"/>
      <c r="AD130" s="3399"/>
      <c r="AE130" s="3399"/>
      <c r="AF130" s="3385"/>
      <c r="AG130" s="1077"/>
    </row>
    <row r="131" spans="2:33">
      <c r="C131" s="6"/>
      <c r="D131" s="4" t="s">
        <v>253</v>
      </c>
      <c r="E131" s="6"/>
      <c r="F131" s="6" t="s">
        <v>254</v>
      </c>
      <c r="G131" s="2444">
        <f ca="1">(G$127)*INDEX(EF[CO2], MATCH("V.05", EF[Vector], 0))</f>
        <v>2.712985836166185E-5</v>
      </c>
      <c r="H131" s="2444">
        <f ca="1">(H$127)*INDEX(EF[CO2], MATCH("V.05", EF[Vector], 0))</f>
        <v>3.0577710976816794E-4</v>
      </c>
      <c r="I131" s="2444">
        <f ca="1">(I$127)*INDEX(EF[CO2], MATCH("V.05", EF[Vector], 0))</f>
        <v>5.6994996723022727E-4</v>
      </c>
      <c r="J131" s="2444">
        <f ca="1">(J$127)*INDEX(EF[CO2], MATCH("V.05", EF[Vector], 0))</f>
        <v>1.3523401842213466E-3</v>
      </c>
      <c r="K131" s="2444">
        <f ca="1">(K$127)*INDEX(EF[CO2], MATCH("V.05", EF[Vector], 0))</f>
        <v>1.8473487630015306E-3</v>
      </c>
      <c r="L131" s="2444">
        <f ca="1">(L$127)*INDEX(EF[CO2], MATCH("V.05", EF[Vector], 0))</f>
        <v>1.9939546653452342E-3</v>
      </c>
      <c r="M131" s="2444">
        <f ca="1">(M$127)*INDEX(EF[CO2], MATCH("V.05", EF[Vector], 0))</f>
        <v>1.4782114785343889E-3</v>
      </c>
      <c r="N131" s="2444">
        <f ca="1">(N$127)*INDEX(EF[CO2], MATCH("V.05", EF[Vector], 0))</f>
        <v>0</v>
      </c>
      <c r="O131" s="2444">
        <v>0</v>
      </c>
      <c r="S131" s="1077"/>
      <c r="T131" s="2557"/>
      <c r="U131" s="521"/>
      <c r="V131" s="3359"/>
      <c r="W131" s="3385"/>
      <c r="X131" s="3385"/>
      <c r="Y131" s="3399"/>
      <c r="Z131" s="3399"/>
      <c r="AA131" s="3399"/>
      <c r="AB131" s="3399"/>
      <c r="AC131" s="3399"/>
      <c r="AD131" s="3399"/>
      <c r="AE131" s="3399"/>
      <c r="AF131" s="2553"/>
      <c r="AG131" s="1077"/>
    </row>
    <row r="132" spans="2:33">
      <c r="C132" s="6"/>
      <c r="D132" s="4" t="s">
        <v>255</v>
      </c>
      <c r="E132" s="6"/>
      <c r="F132" s="6" t="s">
        <v>254</v>
      </c>
      <c r="G132" s="2444">
        <f ca="1">G$127*INDEX(EF[CH4], MATCH("V.05", EF[Vector], 0))</f>
        <v>1.001858767993562E-8</v>
      </c>
      <c r="H132" s="2444">
        <f ca="1">H$127*INDEX(EF[CH4], MATCH("V.05", EF[Vector], 0))</f>
        <v>1.1291820045248612E-7</v>
      </c>
      <c r="I132" s="2444">
        <f ca="1">I$127*INDEX(EF[CH4], MATCH("V.05", EF[Vector], 0))</f>
        <v>2.1047266977042527E-7</v>
      </c>
      <c r="J132" s="2444">
        <f ca="1">J$127*INDEX(EF[CH4], MATCH("V.05", EF[Vector], 0))</f>
        <v>4.9939585117288209E-7</v>
      </c>
      <c r="K132" s="2444">
        <f ca="1">K$127*INDEX(EF[CH4], MATCH("V.05", EF[Vector], 0))</f>
        <v>6.8219396175342725E-7</v>
      </c>
      <c r="L132" s="2444">
        <f ca="1">L$127*INDEX(EF[CH4], MATCH("V.05", EF[Vector], 0))</f>
        <v>7.3633298700916041E-7</v>
      </c>
      <c r="M132" s="2444">
        <f ca="1">M$127*INDEX(EF[CH4], MATCH("V.05", EF[Vector], 0))</f>
        <v>5.4587794413670802E-7</v>
      </c>
      <c r="N132" s="2444">
        <f ca="1">N$127*INDEX(EF[CH4], MATCH("V.05", EF[Vector], 0))</f>
        <v>0</v>
      </c>
      <c r="O132" s="2444">
        <v>0</v>
      </c>
      <c r="S132" s="1077"/>
      <c r="T132" s="2557"/>
      <c r="U132" s="521"/>
      <c r="V132" s="3359"/>
      <c r="W132" s="1077"/>
      <c r="X132" s="3385"/>
      <c r="Y132" s="3399"/>
      <c r="Z132" s="3399"/>
      <c r="AA132" s="3399"/>
      <c r="AB132" s="3399"/>
      <c r="AC132" s="3399"/>
      <c r="AD132" s="1230"/>
      <c r="AE132" s="1230"/>
      <c r="AF132" s="1230"/>
      <c r="AG132" s="1077"/>
    </row>
    <row r="133" spans="2:33">
      <c r="C133" s="6"/>
      <c r="D133" s="4" t="s">
        <v>256</v>
      </c>
      <c r="E133" s="6"/>
      <c r="F133" s="6" t="s">
        <v>254</v>
      </c>
      <c r="G133" s="2444">
        <f ca="1">G$127*INDEX(EF[N2O], MATCH("V.05", EF[Vector], 0))</f>
        <v>4.2889096782200581E-7</v>
      </c>
      <c r="H133" s="2444">
        <f ca="1">H$127*INDEX(EF[N2O], MATCH("V.05", EF[Vector], 0))</f>
        <v>4.833974390799286E-6</v>
      </c>
      <c r="I133" s="2444">
        <f ca="1">I$127*INDEX(EF[N2O], MATCH("V.05", EF[Vector], 0))</f>
        <v>9.010234767791062E-6</v>
      </c>
      <c r="J133" s="2444">
        <f ca="1">J$127*INDEX(EF[N2O], MATCH("V.05", EF[Vector], 0))</f>
        <v>2.1378898581162902E-5</v>
      </c>
      <c r="K133" s="2444">
        <f ca="1">K$127*INDEX(EF[N2O], MATCH("V.05", EF[Vector], 0))</f>
        <v>2.9204398648396717E-5</v>
      </c>
      <c r="L133" s="2444">
        <f ca="1">L$127*INDEX(EF[N2O], MATCH("V.05", EF[Vector], 0))</f>
        <v>3.1522064539106434E-5</v>
      </c>
      <c r="M133" s="2444">
        <f ca="1">M$127*INDEX(EF[N2O], MATCH("V.05", EF[Vector], 0))</f>
        <v>2.3368774846614304E-5</v>
      </c>
      <c r="N133" s="2444">
        <f ca="1">N$127*INDEX(EF[N2O], MATCH("V.05", EF[Vector], 0))</f>
        <v>0</v>
      </c>
      <c r="O133" s="2444">
        <v>0</v>
      </c>
      <c r="S133" s="1077"/>
      <c r="T133" s="2541"/>
      <c r="U133" s="521"/>
      <c r="V133" s="3359"/>
      <c r="W133" s="3385"/>
      <c r="X133" s="3385"/>
      <c r="Y133" s="3399"/>
      <c r="Z133" s="3399"/>
      <c r="AA133" s="3399"/>
      <c r="AB133" s="3399"/>
      <c r="AC133" s="3399"/>
      <c r="AD133" s="3399"/>
      <c r="AE133" s="3399"/>
      <c r="AF133" s="3703"/>
      <c r="AG133" s="1077"/>
    </row>
    <row r="134" spans="2:33">
      <c r="C134" s="2"/>
      <c r="F134" s="2490"/>
      <c r="G134" s="2414"/>
      <c r="H134" s="2414"/>
      <c r="I134" s="2414"/>
      <c r="J134" s="2414"/>
      <c r="K134" s="2414"/>
      <c r="L134" s="2414"/>
      <c r="M134" s="2414"/>
      <c r="N134" s="2414"/>
      <c r="S134" s="1077"/>
      <c r="T134" s="2555"/>
      <c r="U134" s="521"/>
      <c r="V134" s="2552"/>
      <c r="W134" s="3043"/>
      <c r="X134" s="3393"/>
      <c r="Y134" s="1230"/>
      <c r="Z134" s="1230"/>
      <c r="AA134" s="1230"/>
      <c r="AB134" s="1230"/>
      <c r="AC134" s="1230"/>
      <c r="AD134" s="3399"/>
      <c r="AE134" s="3399"/>
      <c r="AF134" s="3433"/>
      <c r="AG134" s="1077"/>
    </row>
    <row r="135" spans="2:33">
      <c r="B135" s="363">
        <v>2</v>
      </c>
      <c r="C135" s="363" t="s">
        <v>2913</v>
      </c>
      <c r="F135" s="2490"/>
      <c r="G135" s="2414"/>
      <c r="H135" s="2414"/>
      <c r="I135" s="2414"/>
      <c r="J135" s="2414"/>
      <c r="K135" s="2414"/>
      <c r="L135" s="2414"/>
      <c r="M135" s="2414"/>
      <c r="N135" s="2414"/>
      <c r="S135" s="1077"/>
      <c r="T135" s="2557"/>
      <c r="U135" s="521"/>
      <c r="V135" s="3359"/>
      <c r="W135" s="3703"/>
      <c r="X135" s="3703"/>
      <c r="Y135" s="3399"/>
      <c r="Z135" s="3399"/>
      <c r="AA135" s="3399"/>
      <c r="AB135" s="3399"/>
      <c r="AC135" s="3399"/>
      <c r="AD135" s="3399"/>
      <c r="AE135" s="3399"/>
      <c r="AF135" s="3385"/>
      <c r="AG135" s="1077"/>
    </row>
    <row r="136" spans="2:33">
      <c r="F136" s="2490"/>
      <c r="G136" s="2414"/>
      <c r="H136" s="2414"/>
      <c r="I136" s="2414"/>
      <c r="J136" s="2414"/>
      <c r="K136" s="2414"/>
      <c r="L136" s="2414"/>
      <c r="M136" s="2414"/>
      <c r="N136" s="2414"/>
      <c r="S136" s="1077"/>
      <c r="T136" s="2557"/>
      <c r="U136" s="1077"/>
      <c r="V136" s="3359"/>
      <c r="W136" s="3433"/>
      <c r="X136" s="3433"/>
      <c r="Y136" s="3399"/>
      <c r="Z136" s="3399"/>
      <c r="AA136" s="3399"/>
      <c r="AB136" s="3399"/>
      <c r="AC136" s="3399"/>
      <c r="AD136" s="3399"/>
      <c r="AE136" s="3399"/>
      <c r="AF136" s="3385"/>
      <c r="AG136" s="1077"/>
    </row>
    <row r="137" spans="2:33">
      <c r="C137" s="3634" t="s">
        <v>2907</v>
      </c>
      <c r="E137" s="3634" t="s">
        <v>280</v>
      </c>
      <c r="F137" s="2490"/>
      <c r="G137" s="2414">
        <f t="shared" ref="G137:N137" ca="1" si="10">(G117/G17)/((1/Unit.W)*Unit.year*Unit.J)</f>
        <v>1.0337217230351689E-5</v>
      </c>
      <c r="H137" s="2414">
        <f t="shared" ca="1" si="10"/>
        <v>9.4970728305368563E-5</v>
      </c>
      <c r="I137" s="2414">
        <f t="shared" ca="1" si="10"/>
        <v>1.6529699148952473E-4</v>
      </c>
      <c r="J137" s="2414">
        <f t="shared" ca="1" si="10"/>
        <v>3.7316421702309865E-4</v>
      </c>
      <c r="K137" s="2414">
        <f t="shared" ca="1" si="10"/>
        <v>5.1470052776768826E-4</v>
      </c>
      <c r="L137" s="2414">
        <f t="shared" ca="1" si="10"/>
        <v>5.5554724649315497E-4</v>
      </c>
      <c r="M137" s="2414">
        <f t="shared" ca="1" si="10"/>
        <v>4.1185305308441881E-4</v>
      </c>
      <c r="N137" s="2414">
        <f t="shared" ca="1" si="10"/>
        <v>0</v>
      </c>
      <c r="S137" s="1077"/>
      <c r="T137" s="2557"/>
      <c r="U137" s="521"/>
      <c r="V137" s="3359"/>
      <c r="W137" s="3385"/>
      <c r="X137" s="3385"/>
      <c r="Y137" s="3399"/>
      <c r="Z137" s="3399"/>
      <c r="AA137" s="3399"/>
      <c r="AB137" s="3399"/>
      <c r="AC137" s="3399"/>
      <c r="AD137" s="3399"/>
      <c r="AE137" s="3399"/>
      <c r="AF137" s="3385"/>
      <c r="AG137" s="1077"/>
    </row>
    <row r="138" spans="2:33">
      <c r="C138" s="3634" t="s">
        <v>2908</v>
      </c>
      <c r="E138" s="3634" t="s">
        <v>280</v>
      </c>
      <c r="F138" s="2490"/>
      <c r="G138" s="2414">
        <f t="shared" ref="G138:N138" ca="1" si="11">(G118/G18)/((1/Unit.W)*Unit.year*Unit.J)</f>
        <v>4.7803963969982386E-6</v>
      </c>
      <c r="H138" s="2414">
        <f t="shared" ca="1" si="11"/>
        <v>7.5417931301322071E-5</v>
      </c>
      <c r="I138" s="2414">
        <f t="shared" ca="1" si="11"/>
        <v>1.5229712480277775E-4</v>
      </c>
      <c r="J138" s="2414">
        <f t="shared" ca="1" si="11"/>
        <v>3.8040242992585453E-4</v>
      </c>
      <c r="K138" s="2414">
        <f t="shared" ca="1" si="11"/>
        <v>5.1470052776768826E-4</v>
      </c>
      <c r="L138" s="2414">
        <f t="shared" ca="1" si="11"/>
        <v>5.5554724649315497E-4</v>
      </c>
      <c r="M138" s="2414">
        <f t="shared" ca="1" si="11"/>
        <v>4.1185305308441881E-4</v>
      </c>
      <c r="N138" s="2414">
        <f t="shared" ca="1" si="11"/>
        <v>0</v>
      </c>
      <c r="S138" s="1077"/>
      <c r="T138" s="2557"/>
      <c r="U138" s="521"/>
      <c r="V138" s="3359"/>
      <c r="W138" s="3385"/>
      <c r="X138" s="3385"/>
      <c r="Y138" s="3399"/>
      <c r="Z138" s="3399"/>
      <c r="AA138" s="3399"/>
      <c r="AB138" s="3399"/>
      <c r="AC138" s="3399"/>
      <c r="AD138" s="3399"/>
      <c r="AE138" s="3399"/>
      <c r="AF138" s="3385"/>
      <c r="AG138" s="1077"/>
    </row>
    <row r="139" spans="2:33">
      <c r="C139" s="3634" t="s">
        <v>2909</v>
      </c>
      <c r="E139" s="3634" t="s">
        <v>280</v>
      </c>
      <c r="G139" s="2414">
        <f t="shared" ref="G139:N139" ca="1" si="12">(G119/G19)/((1/Unit.W)*Unit.year*Unit.J)</f>
        <v>2.0229508437980664E-6</v>
      </c>
      <c r="H139" s="2414">
        <f t="shared" ca="1" si="12"/>
        <v>7.8898758899844634E-5</v>
      </c>
      <c r="I139" s="2414">
        <f t="shared" ca="1" si="12"/>
        <v>1.9436015727385819E-4</v>
      </c>
      <c r="J139" s="2414">
        <f t="shared" ca="1" si="12"/>
        <v>6.3374716685280278E-4</v>
      </c>
      <c r="K139" s="2414">
        <f t="shared" ca="1" si="12"/>
        <v>1.2662441323293E-3</v>
      </c>
      <c r="L139" s="2414">
        <f t="shared" ca="1" si="12"/>
        <v>2.2180897650551441E-3</v>
      </c>
      <c r="M139" s="2414">
        <f t="shared" ca="1" si="12"/>
        <v>3.5388257582124462E-3</v>
      </c>
      <c r="N139" s="2414">
        <f t="shared" ca="1" si="12"/>
        <v>4.6981796815584826E-3</v>
      </c>
      <c r="S139" s="1077"/>
      <c r="T139" s="2541"/>
      <c r="U139" s="521"/>
      <c r="V139" s="3359"/>
      <c r="W139" s="3385"/>
      <c r="X139" s="3385"/>
      <c r="Y139" s="3399"/>
      <c r="Z139" s="3399"/>
      <c r="AA139" s="3399"/>
      <c r="AB139" s="3399"/>
      <c r="AC139" s="3399"/>
      <c r="AD139" s="3399"/>
      <c r="AE139" s="3399"/>
      <c r="AF139" s="2553"/>
      <c r="AG139" s="1077"/>
    </row>
    <row r="140" spans="2:33">
      <c r="G140" s="2414"/>
      <c r="H140" s="2414"/>
      <c r="I140" s="2414"/>
      <c r="J140" s="2414"/>
      <c r="K140" s="2414"/>
      <c r="L140" s="2414"/>
      <c r="M140" s="2414"/>
      <c r="N140" s="2414"/>
      <c r="S140" s="1077"/>
      <c r="T140" s="2555"/>
      <c r="U140" s="521"/>
      <c r="V140" s="2552"/>
      <c r="W140" s="3043"/>
      <c r="X140" s="3393"/>
      <c r="Y140" s="1230"/>
      <c r="Z140" s="1230"/>
      <c r="AA140" s="1230"/>
      <c r="AB140" s="1230"/>
      <c r="AC140" s="1230"/>
      <c r="AD140" s="1230"/>
      <c r="AE140" s="1230"/>
      <c r="AF140" s="1230"/>
      <c r="AG140" s="1077"/>
    </row>
    <row r="141" spans="2:33">
      <c r="C141" s="3634" t="s">
        <v>2914</v>
      </c>
      <c r="E141" s="3634" t="s">
        <v>760</v>
      </c>
      <c r="F141" s="3634">
        <v>2013</v>
      </c>
      <c r="G141" s="3634">
        <v>2015</v>
      </c>
      <c r="H141" s="3634">
        <v>2020</v>
      </c>
      <c r="I141" s="3634">
        <v>2025</v>
      </c>
      <c r="J141" s="3634">
        <v>2030</v>
      </c>
      <c r="K141" s="3634">
        <v>2035</v>
      </c>
      <c r="L141" s="3634">
        <v>2040</v>
      </c>
      <c r="M141" s="3634">
        <v>2045</v>
      </c>
      <c r="N141" s="3634">
        <v>2050</v>
      </c>
      <c r="S141" s="1077"/>
      <c r="T141" s="2557"/>
      <c r="U141" s="521"/>
      <c r="V141" s="3359"/>
      <c r="W141" s="3703"/>
      <c r="X141" s="3703"/>
      <c r="Y141" s="3399"/>
      <c r="Z141" s="3399"/>
      <c r="AA141" s="3399"/>
      <c r="AB141" s="3399"/>
      <c r="AC141" s="3399"/>
      <c r="AD141" s="3399"/>
      <c r="AE141" s="3399"/>
      <c r="AF141" s="3703"/>
      <c r="AG141" s="1077"/>
    </row>
    <row r="142" spans="2:33">
      <c r="C142" s="3634" t="s">
        <v>2895</v>
      </c>
      <c r="F142" s="3634">
        <f>F117/$D$50</f>
        <v>0</v>
      </c>
      <c r="G142" s="2121">
        <f t="shared" ref="G142:N142" ca="1" si="13">G117/$D$50</f>
        <v>7.4427964058532168E-6</v>
      </c>
      <c r="H142" s="2121">
        <f t="shared" ca="1" si="13"/>
        <v>6.8378924379865365E-5</v>
      </c>
      <c r="I142" s="2121">
        <f t="shared" ca="1" si="13"/>
        <v>1.190138338724578E-4</v>
      </c>
      <c r="J142" s="2121">
        <f t="shared" ca="1" si="13"/>
        <v>2.6867823625663102E-4</v>
      </c>
      <c r="K142" s="2121">
        <f t="shared" ca="1" si="13"/>
        <v>3.7058437999273555E-4</v>
      </c>
      <c r="L142" s="2121">
        <f t="shared" ca="1" si="13"/>
        <v>3.9999401747507161E-4</v>
      </c>
      <c r="M142" s="2121">
        <f t="shared" ca="1" si="13"/>
        <v>2.9653419822078152E-4</v>
      </c>
      <c r="N142" s="2121">
        <f t="shared" ca="1" si="13"/>
        <v>0</v>
      </c>
      <c r="S142" s="1077"/>
      <c r="T142" s="2557"/>
      <c r="U142" s="1077"/>
      <c r="V142" s="3359"/>
      <c r="W142" s="3433"/>
      <c r="X142" s="3433"/>
      <c r="Y142" s="3399"/>
      <c r="Z142" s="3399"/>
      <c r="AA142" s="3399"/>
      <c r="AB142" s="3399"/>
      <c r="AC142" s="3399"/>
      <c r="AD142" s="3399"/>
      <c r="AE142" s="3399"/>
      <c r="AF142" s="3433"/>
      <c r="AG142" s="1077"/>
    </row>
    <row r="143" spans="2:33">
      <c r="C143" s="3634" t="s">
        <v>2896</v>
      </c>
      <c r="F143" s="3634">
        <f t="shared" ref="F143:N143" si="14">F118/$D$51</f>
        <v>0</v>
      </c>
      <c r="G143" s="2121">
        <f t="shared" ca="1" si="14"/>
        <v>8.1266738748970069E-4</v>
      </c>
      <c r="H143" s="2121">
        <f t="shared" ca="1" si="14"/>
        <v>1.2821048321224753E-2</v>
      </c>
      <c r="I143" s="2121">
        <f t="shared" ca="1" si="14"/>
        <v>2.6385476872081242E-2</v>
      </c>
      <c r="J143" s="2121">
        <f t="shared" ca="1" si="14"/>
        <v>6.7169559064157766E-2</v>
      </c>
      <c r="K143" s="2121">
        <f t="shared" ca="1" si="14"/>
        <v>9.2646094998183895E-2</v>
      </c>
      <c r="L143" s="2121">
        <f t="shared" ca="1" si="14"/>
        <v>9.9998504368767907E-2</v>
      </c>
      <c r="M143" s="2121">
        <f t="shared" ca="1" si="14"/>
        <v>7.4133549555195397E-2</v>
      </c>
      <c r="N143" s="2121">
        <f t="shared" ca="1" si="14"/>
        <v>0</v>
      </c>
      <c r="S143" s="1077"/>
      <c r="T143" s="2557"/>
      <c r="U143" s="521"/>
      <c r="V143" s="3359"/>
      <c r="W143" s="3385"/>
      <c r="X143" s="3385"/>
      <c r="Y143" s="3399"/>
      <c r="Z143" s="3399"/>
      <c r="AA143" s="3399"/>
      <c r="AB143" s="3399"/>
      <c r="AC143" s="3399"/>
      <c r="AD143" s="3399"/>
      <c r="AE143" s="3399"/>
      <c r="AF143" s="3385"/>
      <c r="AG143" s="1077"/>
    </row>
    <row r="144" spans="2:33">
      <c r="C144" s="3634" t="s">
        <v>2897</v>
      </c>
      <c r="F144" s="3634">
        <f t="shared" ref="F144:N144" si="15">F119/$D$52</f>
        <v>0</v>
      </c>
      <c r="G144" s="2121">
        <f t="shared" ca="1" si="15"/>
        <v>3.2872951211718583E-4</v>
      </c>
      <c r="H144" s="2121">
        <f t="shared" ca="1" si="15"/>
        <v>1.2821048321224753E-2</v>
      </c>
      <c r="I144" s="2121">
        <f t="shared" ca="1" si="15"/>
        <v>3.2492159292257246E-2</v>
      </c>
      <c r="J144" s="2121">
        <f t="shared" ca="1" si="15"/>
        <v>0.10900451269868207</v>
      </c>
      <c r="K144" s="2121">
        <f t="shared" ca="1" si="15"/>
        <v>0.22406189921566969</v>
      </c>
      <c r="L144" s="2121">
        <f t="shared" ca="1" si="15"/>
        <v>0.40385869397241536</v>
      </c>
      <c r="M144" s="2121">
        <f t="shared" ca="1" si="15"/>
        <v>0.66282206451319126</v>
      </c>
      <c r="N144" s="2121">
        <f t="shared" ca="1" si="15"/>
        <v>0.90439958870000792</v>
      </c>
      <c r="S144" s="1077"/>
      <c r="T144" s="2557"/>
      <c r="U144" s="521"/>
      <c r="V144" s="3359"/>
      <c r="W144" s="3385"/>
      <c r="X144" s="3385"/>
      <c r="Y144" s="3399"/>
      <c r="Z144" s="3399"/>
      <c r="AA144" s="3399"/>
      <c r="AB144" s="3399"/>
      <c r="AC144" s="3399"/>
      <c r="AD144" s="3399"/>
      <c r="AE144" s="3399"/>
      <c r="AF144" s="3385"/>
      <c r="AG144" s="1077"/>
    </row>
    <row r="145" spans="2:33">
      <c r="C145" s="3634" t="s">
        <v>2903</v>
      </c>
      <c r="F145" s="3634">
        <f t="shared" ref="F145:N145" ca="1" si="16">F116/$D$53</f>
        <v>2.8189557905206148E-3</v>
      </c>
      <c r="G145" s="2121">
        <f t="shared" ca="1" si="16"/>
        <v>3.0020960010701905E-3</v>
      </c>
      <c r="H145" s="2121">
        <f t="shared" ca="1" si="16"/>
        <v>4.2736827737415849E-2</v>
      </c>
      <c r="I145" s="2121">
        <f t="shared" ca="1" si="16"/>
        <v>8.8631094632452945E-2</v>
      </c>
      <c r="J145" s="2121">
        <f t="shared" ca="1" si="16"/>
        <v>0.24336796762375995</v>
      </c>
      <c r="K145" s="2121">
        <f t="shared" ca="1" si="16"/>
        <v>0.40939502871490896</v>
      </c>
      <c r="L145" s="2121">
        <f t="shared" ca="1" si="16"/>
        <v>0.60385570270995115</v>
      </c>
      <c r="M145" s="2121">
        <f t="shared" ca="1" si="16"/>
        <v>0.81108916362358197</v>
      </c>
      <c r="N145" s="2121">
        <f t="shared" ca="1" si="16"/>
        <v>0.90439958870000792</v>
      </c>
      <c r="S145" s="1077"/>
      <c r="T145" s="2557"/>
      <c r="U145" s="521"/>
      <c r="V145" s="3359"/>
      <c r="W145" s="3385"/>
      <c r="X145" s="3385"/>
      <c r="Y145" s="3399"/>
      <c r="Z145" s="3399"/>
      <c r="AA145" s="3399"/>
      <c r="AB145" s="3399"/>
      <c r="AC145" s="3399"/>
      <c r="AD145" s="3399"/>
      <c r="AE145" s="3399"/>
      <c r="AF145" s="2553"/>
      <c r="AG145" s="1077"/>
    </row>
    <row r="146" spans="2:33">
      <c r="C146" s="3634" t="s">
        <v>2904</v>
      </c>
      <c r="F146" s="3634">
        <f t="shared" ref="F146:N146" si="17">SUMPRODUCT(F117:F119,$F$50:$F$52)/$D$54</f>
        <v>0</v>
      </c>
      <c r="G146" s="2121">
        <f t="shared" ca="1" si="17"/>
        <v>2.0250638575218969E-3</v>
      </c>
      <c r="H146" s="2121">
        <f t="shared" ca="1" si="17"/>
        <v>2.3505255255578717E-2</v>
      </c>
      <c r="I146" s="2121">
        <f t="shared" ca="1" si="17"/>
        <v>4.5999538114243073E-2</v>
      </c>
      <c r="J146" s="2121">
        <f t="shared" ca="1" si="17"/>
        <v>0.12167181541349879</v>
      </c>
      <c r="K146" s="2121">
        <f t="shared" ca="1" si="17"/>
        <v>0.20467704460601874</v>
      </c>
      <c r="L146" s="2121">
        <f t="shared" ca="1" si="17"/>
        <v>0.30192785135497557</v>
      </c>
      <c r="M146" s="2121">
        <f t="shared" ca="1" si="17"/>
        <v>0.40554458181179098</v>
      </c>
      <c r="N146" s="2121">
        <f t="shared" ca="1" si="17"/>
        <v>0.45219979435000396</v>
      </c>
      <c r="S146" s="1077"/>
      <c r="T146" s="2557"/>
      <c r="U146" s="521"/>
      <c r="V146" s="3359"/>
      <c r="W146" s="1077"/>
      <c r="X146" s="3385"/>
      <c r="Y146" s="3399"/>
      <c r="Z146" s="3399"/>
      <c r="AA146" s="3399"/>
      <c r="AB146" s="3399"/>
      <c r="AC146" s="3399"/>
      <c r="AD146" s="1230"/>
      <c r="AE146" s="1230"/>
      <c r="AF146" s="1230"/>
      <c r="AG146" s="1077"/>
    </row>
    <row r="147" spans="2:33">
      <c r="G147" s="2414"/>
      <c r="H147" s="2414"/>
      <c r="I147" s="2414"/>
      <c r="J147" s="2414"/>
      <c r="K147" s="2414"/>
      <c r="L147" s="2414"/>
      <c r="M147" s="2414"/>
      <c r="N147" s="2414"/>
      <c r="S147" s="1077"/>
      <c r="T147" s="2541"/>
      <c r="U147" s="521"/>
      <c r="V147" s="3359"/>
      <c r="W147" s="3385"/>
      <c r="X147" s="3385"/>
      <c r="Y147" s="3399"/>
      <c r="Z147" s="3399"/>
      <c r="AA147" s="3399"/>
      <c r="AB147" s="3399"/>
      <c r="AC147" s="3399"/>
      <c r="AD147" s="3399"/>
      <c r="AE147" s="3399"/>
      <c r="AF147" s="3703"/>
      <c r="AG147" s="1077"/>
    </row>
    <row r="148" spans="2:33">
      <c r="C148" s="3634" t="s">
        <v>2915</v>
      </c>
      <c r="E148" s="3634" t="s">
        <v>762</v>
      </c>
      <c r="F148" s="3634">
        <v>2013</v>
      </c>
      <c r="G148" s="3634">
        <v>2015</v>
      </c>
      <c r="H148" s="3634">
        <v>2020</v>
      </c>
      <c r="I148" s="3634">
        <v>2025</v>
      </c>
      <c r="J148" s="3634">
        <v>2030</v>
      </c>
      <c r="K148" s="3634">
        <v>2035</v>
      </c>
      <c r="L148" s="3634">
        <v>2040</v>
      </c>
      <c r="M148" s="3634">
        <v>2045</v>
      </c>
      <c r="N148" s="3634">
        <v>2050</v>
      </c>
      <c r="S148" s="1077"/>
      <c r="T148" s="2555"/>
      <c r="U148" s="521"/>
      <c r="V148" s="2552"/>
      <c r="W148" s="3043"/>
      <c r="X148" s="3393"/>
      <c r="Y148" s="1230"/>
      <c r="Z148" s="1230"/>
      <c r="AA148" s="1230"/>
      <c r="AB148" s="1230"/>
      <c r="AC148" s="1230"/>
      <c r="AD148" s="3399"/>
      <c r="AE148" s="3399"/>
      <c r="AF148" s="3433"/>
      <c r="AG148" s="1077"/>
    </row>
    <row r="149" spans="2:33">
      <c r="C149" s="3634" t="s">
        <v>2895</v>
      </c>
      <c r="G149" s="2121">
        <f ca="1">MAX(((G142-F142)+(F142*$E50))/3,0)</f>
        <v>2.4809321352844057E-6</v>
      </c>
      <c r="H149" s="2121">
        <f t="shared" ref="H149:N153" ca="1" si="18">MAX(((H142-G142)+(G142*$E50))/5,0)</f>
        <v>1.243531880833087E-5</v>
      </c>
      <c r="I149" s="2121">
        <f t="shared" ca="1" si="18"/>
        <v>1.2406279377847333E-5</v>
      </c>
      <c r="J149" s="2121">
        <f t="shared" ca="1" si="18"/>
        <v>3.3900008272583238E-5</v>
      </c>
      <c r="K149" s="2121">
        <f t="shared" ca="1" si="18"/>
        <v>2.933716995577527E-5</v>
      </c>
      <c r="L149" s="2121">
        <f t="shared" ca="1" si="18"/>
        <v>1.823474016289173E-5</v>
      </c>
      <c r="M149" s="2121">
        <f t="shared" ca="1" si="18"/>
        <v>0</v>
      </c>
      <c r="N149" s="2121">
        <f t="shared" ca="1" si="18"/>
        <v>0</v>
      </c>
      <c r="S149" s="1077"/>
      <c r="T149" s="2557"/>
      <c r="U149" s="521"/>
      <c r="V149" s="3359"/>
      <c r="W149" s="3703"/>
      <c r="X149" s="3703"/>
      <c r="Y149" s="3399"/>
      <c r="Z149" s="3399"/>
      <c r="AA149" s="3399"/>
      <c r="AB149" s="3399"/>
      <c r="AC149" s="3399"/>
      <c r="AD149" s="3399"/>
      <c r="AE149" s="3399"/>
      <c r="AF149" s="3385"/>
      <c r="AG149" s="1077"/>
    </row>
    <row r="150" spans="2:33">
      <c r="C150" s="3634" t="s">
        <v>2896</v>
      </c>
      <c r="G150" s="2121">
        <f ca="1">MAX(((G143-F143)+(F143*$E51))/3,0)</f>
        <v>2.7088912916323356E-4</v>
      </c>
      <c r="H150" s="2121">
        <f t="shared" ca="1" si="18"/>
        <v>2.4377947373021083E-3</v>
      </c>
      <c r="I150" s="2121">
        <f t="shared" ca="1" si="18"/>
        <v>3.2827100800035093E-3</v>
      </c>
      <c r="J150" s="2121">
        <f t="shared" ca="1" si="18"/>
        <v>9.3295042993966938E-3</v>
      </c>
      <c r="K150" s="2121">
        <f t="shared" ca="1" si="18"/>
        <v>8.0806209229900144E-3</v>
      </c>
      <c r="L150" s="2121">
        <f t="shared" ca="1" si="18"/>
        <v>5.5880860962583085E-3</v>
      </c>
      <c r="M150" s="2121">
        <f t="shared" ca="1" si="18"/>
        <v>0</v>
      </c>
      <c r="N150" s="2121">
        <f t="shared" ca="1" si="18"/>
        <v>0</v>
      </c>
      <c r="R150" s="994"/>
      <c r="S150" s="1077"/>
      <c r="T150" s="2557"/>
      <c r="U150" s="1077"/>
      <c r="V150" s="3359"/>
      <c r="W150" s="3433"/>
      <c r="X150" s="3433"/>
      <c r="Y150" s="3399"/>
      <c r="Z150" s="3399"/>
      <c r="AA150" s="3399"/>
      <c r="AB150" s="3399"/>
      <c r="AC150" s="3399"/>
      <c r="AD150" s="3399"/>
      <c r="AE150" s="3399"/>
      <c r="AF150" s="3385"/>
      <c r="AG150" s="1077"/>
    </row>
    <row r="151" spans="2:33">
      <c r="C151" s="3634" t="s">
        <v>2897</v>
      </c>
      <c r="G151" s="2121">
        <f ca="1">MAX(((G144-F144)+(F144*$E52))/3,0)</f>
        <v>1.0957650403906195E-4</v>
      </c>
      <c r="H151" s="2121">
        <f t="shared" ca="1" si="18"/>
        <v>2.5149002374273729E-3</v>
      </c>
      <c r="I151" s="2121">
        <f t="shared" ca="1" si="18"/>
        <v>4.5752746102677364E-3</v>
      </c>
      <c r="J151" s="2121">
        <f t="shared" ca="1" si="18"/>
        <v>1.6927078645897826E-2</v>
      </c>
      <c r="K151" s="2121">
        <f t="shared" ca="1" si="18"/>
        <v>2.846170293833163E-2</v>
      </c>
      <c r="L151" s="2121">
        <f t="shared" ca="1" si="18"/>
        <v>4.7162453912132619E-2</v>
      </c>
      <c r="M151" s="2121">
        <f t="shared" ca="1" si="18"/>
        <v>7.1985608806775944E-2</v>
      </c>
      <c r="N151" s="2121">
        <f t="shared" ca="1" si="18"/>
        <v>8.1456608063022892E-2</v>
      </c>
      <c r="S151" s="1077"/>
      <c r="T151" s="2557"/>
      <c r="U151" s="521"/>
      <c r="V151" s="3359"/>
      <c r="W151" s="3385"/>
      <c r="X151" s="3385"/>
      <c r="Y151" s="3399"/>
      <c r="Z151" s="3399"/>
      <c r="AA151" s="3399"/>
      <c r="AB151" s="3399"/>
      <c r="AC151" s="3399"/>
    </row>
    <row r="152" spans="2:33">
      <c r="C152" s="3634" t="s">
        <v>2903</v>
      </c>
      <c r="G152" s="2121">
        <f ca="1">MAX(((G145-F145)+(F145*$E53))/3,0)</f>
        <v>2.1765539187878157E-4</v>
      </c>
      <c r="H152" s="2121">
        <f t="shared" ca="1" si="18"/>
        <v>8.0470162139714731E-3</v>
      </c>
      <c r="I152" s="2121">
        <f t="shared" ca="1" si="18"/>
        <v>1.0603414303587948E-2</v>
      </c>
      <c r="J152" s="2121">
        <f t="shared" ca="1" si="18"/>
        <v>3.3901744419343169E-2</v>
      </c>
      <c r="K152" s="2121">
        <f t="shared" ca="1" si="18"/>
        <v>4.1317677805688471E-2</v>
      </c>
      <c r="L152" s="2121">
        <f t="shared" ca="1" si="18"/>
        <v>5.253863575617207E-2</v>
      </c>
      <c r="M152" s="2121">
        <f t="shared" ca="1" si="18"/>
        <v>6.1575215606391197E-2</v>
      </c>
      <c r="N152" s="2121">
        <f t="shared" ca="1" si="18"/>
        <v>4.569839046940459E-2</v>
      </c>
      <c r="S152" s="1077"/>
      <c r="T152" s="2557"/>
      <c r="U152" s="521"/>
      <c r="V152" s="3359"/>
      <c r="W152" s="3385"/>
      <c r="X152" s="3385"/>
      <c r="Y152" s="3399"/>
      <c r="Z152" s="3399"/>
      <c r="AA152" s="3399"/>
      <c r="AB152" s="3399"/>
      <c r="AC152" s="3399"/>
    </row>
    <row r="153" spans="2:33">
      <c r="C153" s="3634" t="s">
        <v>2904</v>
      </c>
      <c r="G153" s="2121">
        <f ca="1">MAX(((G146-F146)+(F146*$E54))/3,0)</f>
        <v>6.7502128584063235E-4</v>
      </c>
      <c r="H153" s="2121">
        <f t="shared" ca="1" si="18"/>
        <v>4.336539556761802E-3</v>
      </c>
      <c r="I153" s="2121">
        <f t="shared" ca="1" si="18"/>
        <v>4.9689616768444451E-3</v>
      </c>
      <c r="J153" s="2121">
        <f t="shared" ca="1" si="18"/>
        <v>1.6054446222136004E-2</v>
      </c>
      <c r="K153" s="2121">
        <f t="shared" ca="1" si="18"/>
        <v>1.9034482146773966E-2</v>
      </c>
      <c r="L153" s="2121">
        <f t="shared" ca="1" si="18"/>
        <v>2.3543702241911744E-2</v>
      </c>
      <c r="M153" s="2121">
        <f t="shared" ca="1" si="18"/>
        <v>2.6761903118462594E-2</v>
      </c>
      <c r="N153" s="2121">
        <f t="shared" ca="1" si="18"/>
        <v>1.7441934143878415E-2</v>
      </c>
      <c r="S153" s="1077"/>
      <c r="T153" s="2541"/>
      <c r="U153" s="521"/>
      <c r="V153" s="3359"/>
      <c r="W153" s="3385"/>
      <c r="X153" s="3385"/>
      <c r="Y153" s="3399"/>
      <c r="Z153" s="3399"/>
      <c r="AA153" s="3399"/>
      <c r="AB153" s="3399"/>
      <c r="AC153" s="3399"/>
    </row>
    <row r="154" spans="2:33">
      <c r="G154" s="2414"/>
      <c r="H154" s="2414"/>
      <c r="I154" s="2414"/>
      <c r="J154" s="2414"/>
      <c r="K154" s="2414"/>
      <c r="L154" s="2414"/>
      <c r="M154" s="2414"/>
      <c r="N154" s="2414"/>
      <c r="S154" s="1077"/>
      <c r="T154" s="2555"/>
      <c r="U154" s="521"/>
      <c r="V154" s="2552"/>
      <c r="W154" s="3043"/>
      <c r="X154" s="3393"/>
      <c r="Y154" s="1230"/>
      <c r="Z154" s="1230"/>
      <c r="AA154" s="1230"/>
      <c r="AB154" s="1230"/>
      <c r="AC154" s="1230"/>
    </row>
    <row r="155" spans="2:33">
      <c r="B155" s="363">
        <v>3</v>
      </c>
      <c r="C155" s="363" t="s">
        <v>2791</v>
      </c>
      <c r="G155" s="2414"/>
      <c r="H155" s="2414"/>
      <c r="I155" s="2414"/>
      <c r="J155" s="2414"/>
      <c r="K155" s="2414"/>
      <c r="L155" s="2414"/>
      <c r="M155" s="2414"/>
      <c r="N155" s="2414"/>
      <c r="S155" s="1077"/>
      <c r="T155" s="2557"/>
      <c r="U155" s="521"/>
      <c r="V155" s="3359"/>
      <c r="W155" s="3703"/>
      <c r="X155" s="3703"/>
      <c r="Y155" s="3399"/>
      <c r="Z155" s="3399"/>
      <c r="AA155" s="3399"/>
      <c r="AB155" s="3399"/>
      <c r="AC155" s="3399"/>
    </row>
    <row r="156" spans="2:33" hidden="1">
      <c r="G156" s="2414"/>
      <c r="H156" s="2414"/>
      <c r="I156" s="2414"/>
      <c r="J156" s="2414"/>
      <c r="K156" s="2414"/>
      <c r="L156" s="2414"/>
      <c r="M156" s="2414"/>
      <c r="N156" s="2414"/>
      <c r="S156" s="1077"/>
      <c r="T156" s="2557"/>
      <c r="U156" s="1077"/>
      <c r="V156" s="3359"/>
      <c r="W156" s="3433"/>
      <c r="X156" s="3433"/>
      <c r="Y156" s="3399"/>
      <c r="Z156" s="3399"/>
      <c r="AA156" s="3399"/>
      <c r="AB156" s="3399"/>
      <c r="AC156" s="3399"/>
    </row>
    <row r="157" spans="2:33" hidden="1">
      <c r="C157" s="3634" t="s">
        <v>2916</v>
      </c>
      <c r="E157" s="3634" t="s">
        <v>2812</v>
      </c>
      <c r="F157" s="3634">
        <v>2013</v>
      </c>
      <c r="G157" s="3634">
        <v>2015</v>
      </c>
      <c r="H157" s="3634">
        <v>2020</v>
      </c>
      <c r="I157" s="3634">
        <v>2025</v>
      </c>
      <c r="J157" s="3634">
        <v>2030</v>
      </c>
      <c r="K157" s="3634">
        <v>2035</v>
      </c>
      <c r="L157" s="3634">
        <v>2040</v>
      </c>
      <c r="M157" s="3634">
        <v>2045</v>
      </c>
      <c r="N157" s="3634">
        <v>2050</v>
      </c>
      <c r="AC157" s="3399"/>
    </row>
    <row r="158" spans="2:33" hidden="1">
      <c r="C158" s="3634" t="s">
        <v>2895</v>
      </c>
      <c r="F158"/>
      <c r="G158"/>
      <c r="H158"/>
      <c r="I158"/>
      <c r="J158"/>
      <c r="K158"/>
      <c r="L158"/>
      <c r="M158"/>
      <c r="N158"/>
      <c r="P158" s="39"/>
      <c r="Q158" s="39"/>
      <c r="R158" s="39"/>
      <c r="S158" s="39"/>
      <c r="T158" s="39"/>
      <c r="U158" s="39"/>
      <c r="V158" s="39"/>
      <c r="W158" s="39"/>
      <c r="X158" s="39"/>
      <c r="Y158" s="39"/>
      <c r="Z158" s="39"/>
      <c r="AC158" s="3399"/>
    </row>
    <row r="159" spans="2:33" hidden="1">
      <c r="C159" s="3634" t="s">
        <v>2896</v>
      </c>
      <c r="F159"/>
      <c r="G159"/>
      <c r="H159"/>
      <c r="I159"/>
      <c r="J159"/>
      <c r="K159"/>
      <c r="L159"/>
      <c r="M159"/>
      <c r="N159"/>
      <c r="P159" s="39"/>
      <c r="Q159" s="39"/>
      <c r="R159" s="39"/>
      <c r="S159" s="39"/>
      <c r="T159" s="39"/>
      <c r="U159" s="39"/>
      <c r="V159" s="39"/>
      <c r="W159" s="39"/>
      <c r="X159" s="39"/>
      <c r="Y159" s="39"/>
      <c r="Z159" s="39"/>
    </row>
    <row r="160" spans="2:33" hidden="1">
      <c r="C160" s="3634" t="s">
        <v>2897</v>
      </c>
      <c r="F160"/>
      <c r="G160"/>
      <c r="H160"/>
      <c r="I160"/>
      <c r="J160"/>
      <c r="K160"/>
      <c r="L160"/>
      <c r="M160"/>
      <c r="N160"/>
      <c r="P160" s="39"/>
      <c r="Q160" s="39"/>
      <c r="R160" s="39"/>
      <c r="S160" s="39"/>
      <c r="T160" s="39"/>
      <c r="U160" s="39"/>
      <c r="V160" s="39"/>
      <c r="W160" s="39"/>
      <c r="X160" s="39"/>
      <c r="Y160" s="39"/>
      <c r="Z160" s="39"/>
    </row>
    <row r="161" spans="3:14" hidden="1">
      <c r="C161" s="3634" t="s">
        <v>2903</v>
      </c>
      <c r="F161"/>
      <c r="G161"/>
      <c r="H161"/>
      <c r="I161"/>
      <c r="J161"/>
      <c r="K161"/>
      <c r="L161"/>
      <c r="M161"/>
      <c r="N161"/>
    </row>
    <row r="162" spans="3:14" hidden="1">
      <c r="C162" s="3634" t="s">
        <v>2904</v>
      </c>
      <c r="F162"/>
      <c r="G162"/>
      <c r="H162"/>
      <c r="I162"/>
      <c r="J162"/>
      <c r="K162"/>
      <c r="L162"/>
      <c r="M162"/>
      <c r="N162"/>
    </row>
    <row r="163" spans="3:14" hidden="1">
      <c r="C163" s="3634" t="s">
        <v>59</v>
      </c>
      <c r="F163"/>
      <c r="G163"/>
      <c r="H163"/>
      <c r="I163"/>
      <c r="J163"/>
      <c r="K163"/>
      <c r="L163"/>
      <c r="M163"/>
      <c r="N163"/>
    </row>
    <row r="164" spans="3:14" hidden="1">
      <c r="F164" s="2121"/>
      <c r="G164" s="2121"/>
      <c r="H164" s="2121"/>
      <c r="I164" s="2121"/>
      <c r="J164" s="2121"/>
      <c r="K164" s="2121"/>
      <c r="L164" s="2121"/>
      <c r="M164" s="2121"/>
      <c r="N164" s="2121"/>
    </row>
    <row r="165" spans="3:14" hidden="1">
      <c r="C165" s="3634" t="s">
        <v>2917</v>
      </c>
      <c r="E165" s="3634" t="s">
        <v>2812</v>
      </c>
      <c r="F165" s="3634">
        <v>2013</v>
      </c>
      <c r="G165" s="3634">
        <v>2015</v>
      </c>
      <c r="H165" s="3634">
        <v>2020</v>
      </c>
      <c r="I165" s="3634">
        <v>2025</v>
      </c>
      <c r="J165" s="3634">
        <v>2030</v>
      </c>
      <c r="K165" s="3634">
        <v>2035</v>
      </c>
      <c r="L165" s="3634">
        <v>2040</v>
      </c>
      <c r="M165" s="3634">
        <v>2045</v>
      </c>
      <c r="N165" s="3634">
        <v>2050</v>
      </c>
    </row>
    <row r="166" spans="3:14" hidden="1">
      <c r="C166" s="3634" t="s">
        <v>2895</v>
      </c>
    </row>
    <row r="167" spans="3:14" hidden="1">
      <c r="C167" s="3634" t="s">
        <v>2896</v>
      </c>
    </row>
    <row r="168" spans="3:14" hidden="1">
      <c r="C168" s="3634" t="s">
        <v>2897</v>
      </c>
    </row>
    <row r="169" spans="3:14" hidden="1">
      <c r="C169" s="3634" t="s">
        <v>2903</v>
      </c>
    </row>
    <row r="170" spans="3:14" hidden="1">
      <c r="C170" s="3634" t="s">
        <v>2904</v>
      </c>
    </row>
    <row r="171" spans="3:14" hidden="1">
      <c r="C171" s="3634" t="s">
        <v>59</v>
      </c>
    </row>
    <row r="172" spans="3:14" hidden="1"/>
    <row r="173" spans="3:14" hidden="1">
      <c r="C173" s="3634" t="s">
        <v>2302</v>
      </c>
      <c r="E173" s="3634" t="s">
        <v>2812</v>
      </c>
      <c r="F173" s="3634">
        <v>2013</v>
      </c>
      <c r="G173" s="3634">
        <v>2015</v>
      </c>
      <c r="H173" s="3634">
        <v>2020</v>
      </c>
      <c r="I173" s="3634">
        <v>2025</v>
      </c>
      <c r="J173" s="3634">
        <v>2030</v>
      </c>
      <c r="K173" s="3634">
        <v>2035</v>
      </c>
      <c r="L173" s="3634">
        <v>2040</v>
      </c>
      <c r="M173" s="3634">
        <v>2045</v>
      </c>
      <c r="N173" s="3634">
        <v>2050</v>
      </c>
    </row>
    <row r="174" spans="3:14" hidden="1">
      <c r="C174" s="3634" t="s">
        <v>2895</v>
      </c>
    </row>
    <row r="175" spans="3:14" hidden="1">
      <c r="C175" s="3634" t="s">
        <v>2896</v>
      </c>
    </row>
    <row r="176" spans="3:14" hidden="1">
      <c r="C176" s="3634" t="s">
        <v>2897</v>
      </c>
    </row>
    <row r="177" spans="3:14" hidden="1">
      <c r="C177" s="3634" t="s">
        <v>2903</v>
      </c>
    </row>
    <row r="178" spans="3:14" hidden="1">
      <c r="C178" s="3634" t="s">
        <v>2904</v>
      </c>
    </row>
    <row r="179" spans="3:14" hidden="1">
      <c r="C179" s="3634" t="s">
        <v>59</v>
      </c>
    </row>
    <row r="180" spans="3:14" hidden="1">
      <c r="F180" s="2121"/>
      <c r="G180" s="2121"/>
      <c r="H180" s="2121"/>
      <c r="I180" s="2121"/>
      <c r="J180" s="2121"/>
      <c r="K180" s="2121"/>
      <c r="L180" s="2121"/>
      <c r="M180" s="2121"/>
      <c r="N180" s="2121"/>
    </row>
    <row r="181" spans="3:14" hidden="1">
      <c r="C181" s="3634" t="s">
        <v>2303</v>
      </c>
      <c r="E181" s="3634" t="s">
        <v>2812</v>
      </c>
      <c r="F181" s="3634">
        <v>2013</v>
      </c>
      <c r="G181" s="3634">
        <v>2015</v>
      </c>
      <c r="H181" s="3634">
        <v>2020</v>
      </c>
      <c r="I181" s="3634">
        <v>2025</v>
      </c>
      <c r="J181" s="3634">
        <v>2030</v>
      </c>
      <c r="K181" s="3634">
        <v>2035</v>
      </c>
      <c r="L181" s="3634">
        <v>2040</v>
      </c>
      <c r="M181" s="3634">
        <v>2045</v>
      </c>
      <c r="N181" s="3634">
        <v>2050</v>
      </c>
    </row>
    <row r="182" spans="3:14" hidden="1">
      <c r="C182" s="3634" t="s">
        <v>2895</v>
      </c>
    </row>
    <row r="183" spans="3:14" hidden="1">
      <c r="C183" s="3634" t="s">
        <v>2896</v>
      </c>
    </row>
    <row r="184" spans="3:14" hidden="1">
      <c r="C184" s="3634" t="s">
        <v>2897</v>
      </c>
    </row>
    <row r="185" spans="3:14" hidden="1">
      <c r="C185" s="3634" t="s">
        <v>2903</v>
      </c>
    </row>
    <row r="186" spans="3:14" hidden="1">
      <c r="C186" s="3634" t="s">
        <v>2904</v>
      </c>
    </row>
    <row r="187" spans="3:14" hidden="1">
      <c r="C187" s="3634" t="s">
        <v>59</v>
      </c>
    </row>
    <row r="188" spans="3:14" hidden="1">
      <c r="F188" s="2121"/>
      <c r="G188" s="2121"/>
      <c r="H188" s="2121"/>
      <c r="I188" s="2121"/>
      <c r="J188" s="2121"/>
      <c r="K188" s="2121"/>
      <c r="L188" s="2121"/>
      <c r="M188" s="2121"/>
      <c r="N188" s="2121"/>
    </row>
    <row r="189" spans="3:14" hidden="1">
      <c r="C189" s="3634" t="s">
        <v>2918</v>
      </c>
      <c r="E189" s="3634" t="s">
        <v>2812</v>
      </c>
      <c r="F189" s="3634">
        <v>2013</v>
      </c>
      <c r="G189" s="3634">
        <v>2015</v>
      </c>
      <c r="H189" s="3634">
        <v>2020</v>
      </c>
      <c r="I189" s="3634">
        <v>2025</v>
      </c>
      <c r="J189" s="3634">
        <v>2030</v>
      </c>
      <c r="K189" s="3634">
        <v>2035</v>
      </c>
      <c r="L189" s="3634">
        <v>2040</v>
      </c>
      <c r="M189" s="3634">
        <v>2045</v>
      </c>
      <c r="N189" s="3634">
        <v>2050</v>
      </c>
    </row>
    <row r="190" spans="3:14" hidden="1">
      <c r="C190" s="3634" t="s">
        <v>2895</v>
      </c>
    </row>
    <row r="191" spans="3:14" hidden="1">
      <c r="C191" s="3634" t="s">
        <v>2896</v>
      </c>
    </row>
    <row r="192" spans="3:14" hidden="1">
      <c r="C192" s="3634" t="s">
        <v>2897</v>
      </c>
    </row>
    <row r="193" spans="1:15" hidden="1">
      <c r="C193" s="3634" t="s">
        <v>2903</v>
      </c>
    </row>
    <row r="194" spans="1:15" hidden="1">
      <c r="C194" s="3634" t="s">
        <v>2904</v>
      </c>
    </row>
    <row r="195" spans="1:15" hidden="1">
      <c r="C195" s="3634" t="s">
        <v>59</v>
      </c>
    </row>
    <row r="196" spans="1:15" ht="23.25" hidden="1">
      <c r="A196" s="7"/>
    </row>
    <row r="197" spans="1:15" hidden="1">
      <c r="C197" s="3634" t="s">
        <v>2919</v>
      </c>
      <c r="E197" s="3634" t="s">
        <v>2812</v>
      </c>
      <c r="F197" s="3634">
        <v>2013</v>
      </c>
      <c r="G197" s="3634">
        <v>2015</v>
      </c>
      <c r="H197" s="3634">
        <v>2020</v>
      </c>
      <c r="I197" s="3634">
        <v>2025</v>
      </c>
      <c r="J197" s="3634">
        <v>2030</v>
      </c>
      <c r="K197" s="3634">
        <v>2035</v>
      </c>
      <c r="L197" s="3634">
        <v>2040</v>
      </c>
      <c r="M197" s="3634">
        <v>2045</v>
      </c>
      <c r="N197" s="3634">
        <v>2050</v>
      </c>
    </row>
    <row r="198" spans="1:15" hidden="1">
      <c r="C198" s="3634" t="s">
        <v>2895</v>
      </c>
    </row>
    <row r="199" spans="1:15" hidden="1">
      <c r="C199" s="3634" t="s">
        <v>2896</v>
      </c>
    </row>
    <row r="200" spans="1:15" ht="15.75" hidden="1">
      <c r="A200" s="443"/>
      <c r="C200" s="3634" t="s">
        <v>2897</v>
      </c>
    </row>
    <row r="201" spans="1:15" ht="15.75" hidden="1">
      <c r="A201" s="443"/>
      <c r="C201" s="3634" t="s">
        <v>2903</v>
      </c>
    </row>
    <row r="202" spans="1:15" ht="15.75" hidden="1">
      <c r="A202" s="443"/>
      <c r="C202" s="3634" t="s">
        <v>2904</v>
      </c>
    </row>
    <row r="203" spans="1:15" ht="15.75" hidden="1">
      <c r="A203" s="443"/>
      <c r="C203" s="3634" t="s">
        <v>59</v>
      </c>
    </row>
    <row r="204" spans="1:15" ht="15.75">
      <c r="A204" s="443"/>
    </row>
    <row r="205" spans="1:15" ht="15.75">
      <c r="A205" s="443"/>
      <c r="B205" s="511" t="s">
        <v>299</v>
      </c>
      <c r="C205" s="512"/>
      <c r="D205" s="512"/>
      <c r="E205" s="512"/>
      <c r="F205" s="512"/>
      <c r="G205" s="512"/>
      <c r="H205" s="512"/>
      <c r="I205" s="512"/>
      <c r="J205" s="512"/>
      <c r="K205" s="512"/>
      <c r="L205" s="512"/>
      <c r="M205" s="512"/>
      <c r="N205" s="512"/>
      <c r="O205" s="866"/>
    </row>
    <row r="206" spans="1:15" ht="15.75">
      <c r="A206" s="443"/>
      <c r="B206" s="514"/>
      <c r="C206" s="515"/>
      <c r="D206" s="515"/>
      <c r="E206" s="515"/>
      <c r="F206" s="515"/>
      <c r="G206" s="515"/>
      <c r="H206" s="515"/>
      <c r="I206" s="515"/>
      <c r="J206" s="515"/>
      <c r="K206" s="515"/>
      <c r="L206" s="515"/>
      <c r="M206" s="515"/>
      <c r="N206" s="515"/>
      <c r="O206" s="867"/>
    </row>
    <row r="207" spans="1:15" ht="15.75">
      <c r="A207" s="443"/>
      <c r="B207" s="514"/>
      <c r="C207" s="34" t="s">
        <v>765</v>
      </c>
      <c r="D207" s="515"/>
      <c r="E207" s="516"/>
      <c r="F207" s="515"/>
      <c r="G207" s="515"/>
      <c r="H207" s="515"/>
      <c r="I207" s="515"/>
      <c r="J207" s="515"/>
      <c r="K207" s="515"/>
      <c r="L207" s="515"/>
      <c r="M207" s="515"/>
      <c r="N207" s="516" t="str">
        <f>Preferences.EnergyUnits</f>
        <v>TWh</v>
      </c>
      <c r="O207" s="867"/>
    </row>
    <row r="208" spans="1:15">
      <c r="B208" s="514"/>
      <c r="C208" s="515"/>
      <c r="D208" s="515"/>
      <c r="E208" s="515"/>
      <c r="F208" s="515"/>
      <c r="G208" s="515"/>
      <c r="H208" s="515"/>
      <c r="I208" s="515"/>
      <c r="J208" s="515"/>
      <c r="K208" s="515"/>
      <c r="L208" s="515"/>
      <c r="M208" s="515"/>
      <c r="N208" s="515"/>
      <c r="O208" s="867"/>
    </row>
    <row r="209" spans="1:15" ht="23.25">
      <c r="A209" s="7"/>
      <c r="B209" s="15"/>
      <c r="C209" s="873" t="s">
        <v>28</v>
      </c>
      <c r="D209" s="873" t="s">
        <v>29</v>
      </c>
      <c r="E209" s="873" t="s">
        <v>30</v>
      </c>
      <c r="F209" s="873" t="s">
        <v>597</v>
      </c>
      <c r="G209" s="873" t="s">
        <v>133</v>
      </c>
      <c r="H209" s="873" t="s">
        <v>134</v>
      </c>
      <c r="I209" s="873" t="s">
        <v>135</v>
      </c>
      <c r="J209" s="873" t="s">
        <v>136</v>
      </c>
      <c r="K209" s="873" t="s">
        <v>137</v>
      </c>
      <c r="L209" s="873" t="s">
        <v>138</v>
      </c>
      <c r="M209" s="873" t="s">
        <v>139</v>
      </c>
      <c r="N209" s="873" t="s">
        <v>140</v>
      </c>
      <c r="O209" s="867"/>
    </row>
    <row r="210" spans="1:15" ht="15.75">
      <c r="B210" s="15"/>
      <c r="C210" s="17" t="s">
        <v>96</v>
      </c>
      <c r="D210" s="2487" t="str">
        <f>INDEX(Vectors[Description], MATCH([Vector], Vectors[Code], 0))</f>
        <v>Electricity (delivered to end user)</v>
      </c>
      <c r="E210" s="17"/>
      <c r="F210" s="2521">
        <f t="shared" ref="F210:N210" si="19">-F128</f>
        <v>0</v>
      </c>
      <c r="G210" s="2521">
        <f t="shared" ca="1" si="19"/>
        <v>-1.7733187096733852E-5</v>
      </c>
      <c r="H210" s="2521">
        <f t="shared" ca="1" si="19"/>
        <v>-6.9162652051603802E-4</v>
      </c>
      <c r="I210" s="2521">
        <f t="shared" ca="1" si="19"/>
        <v>-1.7037611386626409E-3</v>
      </c>
      <c r="J210" s="2521">
        <f t="shared" ca="1" si="19"/>
        <v>-5.5554276646316691E-3</v>
      </c>
      <c r="K210" s="2521">
        <f t="shared" ca="1" si="19"/>
        <v>-1.1099896063998645E-2</v>
      </c>
      <c r="L210" s="2521">
        <f t="shared" ca="1" si="19"/>
        <v>-1.9443774880473393E-2</v>
      </c>
      <c r="M210" s="2521">
        <f t="shared" ca="1" si="19"/>
        <v>-3.1021346596490303E-2</v>
      </c>
      <c r="N210" s="2521">
        <f t="shared" ca="1" si="19"/>
        <v>-4.1184243088541655E-2</v>
      </c>
      <c r="O210" s="867"/>
    </row>
    <row r="211" spans="1:15" ht="15.75">
      <c r="B211" s="15"/>
      <c r="C211" s="17" t="s">
        <v>100</v>
      </c>
      <c r="D211" s="2487" t="str">
        <f>INDEX(Vectors[Description], MATCH([Vector], Vectors[Code], 0))</f>
        <v>Gaseous hydrocarbons</v>
      </c>
      <c r="E211" s="17"/>
      <c r="F211" s="2521">
        <f>-F127</f>
        <v>0</v>
      </c>
      <c r="G211" s="2521">
        <f t="shared" ref="G211:N211" ca="1" si="20">-G127</f>
        <v>-1.3252100105734947E-4</v>
      </c>
      <c r="H211" s="2521">
        <f t="shared" ca="1" si="20"/>
        <v>-1.4936269901122501E-3</v>
      </c>
      <c r="I211" s="2521">
        <f t="shared" ca="1" si="20"/>
        <v>-2.7840300234183235E-3</v>
      </c>
      <c r="J211" s="2521">
        <f t="shared" ca="1" si="20"/>
        <v>-6.6057652271545239E-3</v>
      </c>
      <c r="K211" s="2521">
        <f t="shared" ca="1" si="20"/>
        <v>-9.023729652823111E-3</v>
      </c>
      <c r="L211" s="2521">
        <f t="shared" ca="1" si="20"/>
        <v>-9.7398543255179937E-3</v>
      </c>
      <c r="M211" s="2521">
        <f t="shared" ca="1" si="20"/>
        <v>-7.2206077266760305E-3</v>
      </c>
      <c r="N211" s="2521">
        <f t="shared" ca="1" si="20"/>
        <v>0</v>
      </c>
      <c r="O211" s="867"/>
    </row>
    <row r="212" spans="1:15" ht="15.75">
      <c r="B212" s="15"/>
      <c r="C212" s="17" t="s">
        <v>435</v>
      </c>
      <c r="D212" s="2487" t="str">
        <f>INDEX(Vectors[Description], MATCH([Vector], Vectors[Code], 0))</f>
        <v>H2</v>
      </c>
      <c r="E212" s="17"/>
      <c r="F212" s="2521">
        <f t="shared" ref="F212:N212" ca="1" si="21">F116</f>
        <v>9.8843865838814832E-5</v>
      </c>
      <c r="G212" s="2521">
        <f t="shared" ca="1" si="21"/>
        <v>1.0526549418152516E-4</v>
      </c>
      <c r="H212" s="2521">
        <f t="shared" ca="1" si="21"/>
        <v>1.4985241277847491E-3</v>
      </c>
      <c r="I212" s="2521">
        <f t="shared" ca="1" si="21"/>
        <v>3.1077607021923297E-3</v>
      </c>
      <c r="J212" s="2521">
        <f t="shared" ca="1" si="21"/>
        <v>8.5334544167595186E-3</v>
      </c>
      <c r="K212" s="2521">
        <f t="shared" ca="1" si="21"/>
        <v>1.4355027286859567E-2</v>
      </c>
      <c r="L212" s="2521">
        <f t="shared" ca="1" si="21"/>
        <v>2.1173596359821727E-2</v>
      </c>
      <c r="M212" s="2521">
        <f t="shared" ca="1" si="21"/>
        <v>2.8440030433297275E-2</v>
      </c>
      <c r="N212" s="2521">
        <f t="shared" ca="1" si="21"/>
        <v>3.1711867178177075E-2</v>
      </c>
      <c r="O212" s="867"/>
    </row>
    <row r="213" spans="1:15" ht="15.75">
      <c r="B213" s="15"/>
      <c r="C213" s="17" t="s">
        <v>104</v>
      </c>
      <c r="D213" s="2487" t="str">
        <f>INDEX(Vectors[Description], MATCH([Vector], Vectors[Code], 0))</f>
        <v>Conversion losses</v>
      </c>
      <c r="E213" s="17"/>
      <c r="F213" s="2521">
        <f t="shared" ref="F213:N213" si="22">SUM(F122:F124)</f>
        <v>0</v>
      </c>
      <c r="G213" s="2521">
        <f t="shared" ca="1" si="22"/>
        <v>4.4988693972558154E-5</v>
      </c>
      <c r="H213" s="2521">
        <f t="shared" ca="1" si="22"/>
        <v>6.8672938284353895E-4</v>
      </c>
      <c r="I213" s="2521">
        <f t="shared" ca="1" si="22"/>
        <v>1.3800304598886345E-3</v>
      </c>
      <c r="J213" s="2521">
        <f t="shared" ca="1" si="22"/>
        <v>3.6285918204683495E-3</v>
      </c>
      <c r="K213" s="2521">
        <f t="shared" ca="1" si="22"/>
        <v>5.770033932690875E-3</v>
      </c>
      <c r="L213" s="2521">
        <f t="shared" ca="1" si="22"/>
        <v>8.0100328461696589E-3</v>
      </c>
      <c r="M213" s="2521">
        <f t="shared" ca="1" si="22"/>
        <v>9.8019238898690575E-3</v>
      </c>
      <c r="N213" s="2521">
        <f t="shared" ca="1" si="22"/>
        <v>9.4723759103645805E-3</v>
      </c>
      <c r="O213" s="867"/>
    </row>
    <row r="214" spans="1:15" ht="15.75">
      <c r="B214" s="15"/>
      <c r="C214" s="2462" t="s">
        <v>59</v>
      </c>
      <c r="D214" s="2462"/>
      <c r="E214" s="2462"/>
      <c r="F214" s="2465">
        <f ca="1">SUBTOTAL(109,[2013])</f>
        <v>9.8843865838814832E-5</v>
      </c>
      <c r="G214" s="2465">
        <f ca="1">SUBTOTAL(109,[2015])</f>
        <v>0</v>
      </c>
      <c r="H214" s="2465">
        <f ca="1">SUBTOTAL(109,[2020])</f>
        <v>0</v>
      </c>
      <c r="I214" s="2465">
        <f ca="1">SUBTOTAL(109,[2025])</f>
        <v>0</v>
      </c>
      <c r="J214" s="2465">
        <f ca="1">SUBTOTAL(109,[2030])</f>
        <v>8.5334544167514279E-7</v>
      </c>
      <c r="K214" s="2465">
        <f ca="1">SUBTOTAL(109,[2035])</f>
        <v>1.4355027286878236E-6</v>
      </c>
      <c r="L214" s="2465">
        <f ca="1">SUBTOTAL(109,[2040])</f>
        <v>0</v>
      </c>
      <c r="M214" s="2465">
        <f ca="1">SUBTOTAL(109,[2045])</f>
        <v>0</v>
      </c>
      <c r="N214" s="2465">
        <f ca="1">SUBTOTAL(109,[2050])</f>
        <v>0</v>
      </c>
      <c r="O214" s="867"/>
    </row>
    <row r="215" spans="1:15" ht="15.75">
      <c r="B215" s="15"/>
      <c r="C215" s="17"/>
      <c r="D215" s="17"/>
      <c r="E215" s="17"/>
      <c r="F215" s="449"/>
      <c r="G215" s="449"/>
      <c r="H215" s="449"/>
      <c r="I215" s="449"/>
      <c r="J215" s="449"/>
      <c r="K215" s="449"/>
      <c r="L215" s="449"/>
      <c r="M215" s="449"/>
      <c r="N215" s="449"/>
      <c r="O215" s="35"/>
    </row>
    <row r="217" spans="1:15" ht="15.75">
      <c r="B217" s="1127" t="s">
        <v>303</v>
      </c>
      <c r="C217" s="1128"/>
      <c r="D217" s="1129"/>
      <c r="E217" s="1129"/>
      <c r="F217" s="1129"/>
      <c r="G217" s="1129"/>
      <c r="H217" s="1129"/>
      <c r="I217" s="1129"/>
      <c r="J217" s="1129"/>
      <c r="K217" s="1129"/>
      <c r="L217" s="1129"/>
      <c r="M217" s="1129"/>
      <c r="N217" s="1129"/>
      <c r="O217" s="1130"/>
    </row>
    <row r="218" spans="1:15">
      <c r="B218" s="1131"/>
      <c r="C218" s="1132"/>
      <c r="D218" s="1132"/>
      <c r="E218" s="1132"/>
      <c r="F218" s="1132"/>
      <c r="G218" s="1132"/>
      <c r="H218" s="1132"/>
      <c r="I218" s="1132"/>
      <c r="J218" s="1132"/>
      <c r="K218" s="1132"/>
      <c r="L218" s="1132"/>
      <c r="M218" s="1132"/>
      <c r="N218" s="1132"/>
      <c r="O218" s="1133"/>
    </row>
    <row r="219" spans="1:15">
      <c r="B219" s="1134"/>
      <c r="C219" s="462" t="s">
        <v>1349</v>
      </c>
      <c r="D219" s="1135"/>
      <c r="E219" s="1136"/>
      <c r="F219" s="1135"/>
      <c r="G219" s="1135"/>
      <c r="H219" s="1135"/>
      <c r="I219" s="1135"/>
      <c r="J219" s="1135"/>
      <c r="K219" s="1135"/>
      <c r="L219" s="1135"/>
      <c r="M219" s="1135"/>
      <c r="N219" s="1136" t="s">
        <v>254</v>
      </c>
      <c r="O219" s="1138"/>
    </row>
    <row r="220" spans="1:15">
      <c r="B220" s="1134"/>
      <c r="C220" s="1135"/>
      <c r="D220" s="1135"/>
      <c r="E220" s="1135"/>
      <c r="F220" s="1135"/>
      <c r="G220" s="1135"/>
      <c r="H220" s="1135"/>
      <c r="I220" s="1135"/>
      <c r="J220" s="1135"/>
      <c r="K220" s="1135"/>
      <c r="L220" s="1135"/>
      <c r="M220" s="1135"/>
      <c r="N220" s="1135"/>
      <c r="O220" s="1138"/>
    </row>
    <row r="221" spans="1:15" ht="15.75">
      <c r="B221" s="467"/>
      <c r="C221" s="1339" t="s">
        <v>305</v>
      </c>
      <c r="D221" s="1339" t="s">
        <v>306</v>
      </c>
      <c r="E221" s="1339" t="s">
        <v>30</v>
      </c>
      <c r="F221" s="1339" t="s">
        <v>597</v>
      </c>
      <c r="G221" s="1339" t="s">
        <v>133</v>
      </c>
      <c r="H221" s="1339" t="s">
        <v>134</v>
      </c>
      <c r="I221" s="1339" t="s">
        <v>135</v>
      </c>
      <c r="J221" s="1339" t="s">
        <v>136</v>
      </c>
      <c r="K221" s="1339" t="s">
        <v>137</v>
      </c>
      <c r="L221" s="1339" t="s">
        <v>138</v>
      </c>
      <c r="M221" s="1339" t="s">
        <v>139</v>
      </c>
      <c r="N221" s="1339" t="s">
        <v>140</v>
      </c>
      <c r="O221" s="1138"/>
    </row>
    <row r="222" spans="1:15" ht="15.75">
      <c r="B222" s="467"/>
      <c r="C222" s="1140" t="s">
        <v>253</v>
      </c>
      <c r="D222" s="1141" t="s">
        <v>307</v>
      </c>
      <c r="E222" s="1141" t="str">
        <f>INDEX(IPCC[Sector_description], MATCH([IPCC Sector], IPCC[Sector_code], 0))</f>
        <v>Fuel Combustion</v>
      </c>
      <c r="F222" s="2473" t="s">
        <v>254</v>
      </c>
      <c r="G222" s="2473">
        <f t="shared" ref="G222:N224" ca="1" si="23">G131</f>
        <v>2.712985836166185E-5</v>
      </c>
      <c r="H222" s="2473">
        <f t="shared" ca="1" si="23"/>
        <v>3.0577710976816794E-4</v>
      </c>
      <c r="I222" s="2473">
        <f t="shared" ca="1" si="23"/>
        <v>5.6994996723022727E-4</v>
      </c>
      <c r="J222" s="2473">
        <f t="shared" ca="1" si="23"/>
        <v>1.3523401842213466E-3</v>
      </c>
      <c r="K222" s="2473">
        <f t="shared" ca="1" si="23"/>
        <v>1.8473487630015306E-3</v>
      </c>
      <c r="L222" s="2473">
        <f t="shared" ca="1" si="23"/>
        <v>1.9939546653452342E-3</v>
      </c>
      <c r="M222" s="2473">
        <f t="shared" ca="1" si="23"/>
        <v>1.4782114785343889E-3</v>
      </c>
      <c r="N222" s="2473">
        <f t="shared" ca="1" si="23"/>
        <v>0</v>
      </c>
      <c r="O222" s="1138"/>
    </row>
    <row r="223" spans="1:15" ht="15.75">
      <c r="B223" s="467"/>
      <c r="C223" s="1140" t="s">
        <v>255</v>
      </c>
      <c r="D223" s="1141" t="s">
        <v>307</v>
      </c>
      <c r="E223" s="1141" t="str">
        <f>INDEX(IPCC[Sector_description], MATCH([IPCC Sector], IPCC[Sector_code], 0))</f>
        <v>Fuel Combustion</v>
      </c>
      <c r="F223" s="2473" t="s">
        <v>254</v>
      </c>
      <c r="G223" s="2473">
        <f t="shared" ca="1" si="23"/>
        <v>1.001858767993562E-8</v>
      </c>
      <c r="H223" s="2473">
        <f t="shared" ca="1" si="23"/>
        <v>1.1291820045248612E-7</v>
      </c>
      <c r="I223" s="2473">
        <f t="shared" ca="1" si="23"/>
        <v>2.1047266977042527E-7</v>
      </c>
      <c r="J223" s="2473">
        <f t="shared" ca="1" si="23"/>
        <v>4.9939585117288209E-7</v>
      </c>
      <c r="K223" s="2473">
        <f t="shared" ca="1" si="23"/>
        <v>6.8219396175342725E-7</v>
      </c>
      <c r="L223" s="2473">
        <f t="shared" ca="1" si="23"/>
        <v>7.3633298700916041E-7</v>
      </c>
      <c r="M223" s="2473">
        <f t="shared" ca="1" si="23"/>
        <v>5.4587794413670802E-7</v>
      </c>
      <c r="N223" s="2473">
        <f t="shared" ca="1" si="23"/>
        <v>0</v>
      </c>
      <c r="O223" s="1138"/>
    </row>
    <row r="224" spans="1:15" ht="15.75">
      <c r="B224" s="467"/>
      <c r="C224" s="1140" t="s">
        <v>256</v>
      </c>
      <c r="D224" s="1141" t="s">
        <v>307</v>
      </c>
      <c r="E224" s="1141" t="str">
        <f>INDEX(IPCC[Sector_description], MATCH([IPCC Sector], IPCC[Sector_code], 0))</f>
        <v>Fuel Combustion</v>
      </c>
      <c r="F224" s="2473" t="s">
        <v>254</v>
      </c>
      <c r="G224" s="2473">
        <f t="shared" ca="1" si="23"/>
        <v>4.2889096782200581E-7</v>
      </c>
      <c r="H224" s="2473">
        <f t="shared" ca="1" si="23"/>
        <v>4.833974390799286E-6</v>
      </c>
      <c r="I224" s="2473">
        <f t="shared" ca="1" si="23"/>
        <v>9.010234767791062E-6</v>
      </c>
      <c r="J224" s="2473">
        <f t="shared" ca="1" si="23"/>
        <v>2.1378898581162902E-5</v>
      </c>
      <c r="K224" s="2473">
        <f t="shared" ca="1" si="23"/>
        <v>2.9204398648396717E-5</v>
      </c>
      <c r="L224" s="2473">
        <f t="shared" ca="1" si="23"/>
        <v>3.1522064539106434E-5</v>
      </c>
      <c r="M224" s="2473">
        <f t="shared" ca="1" si="23"/>
        <v>2.3368774846614304E-5</v>
      </c>
      <c r="N224" s="2473">
        <f t="shared" ca="1" si="23"/>
        <v>0</v>
      </c>
      <c r="O224" s="1138"/>
    </row>
    <row r="225" spans="2:19" ht="15.75">
      <c r="B225" s="467"/>
      <c r="C225" s="2466" t="s">
        <v>59</v>
      </c>
      <c r="D225" s="2466"/>
      <c r="E225" s="2466"/>
      <c r="F225" s="3713"/>
      <c r="G225" s="3713"/>
      <c r="H225" s="3713"/>
      <c r="I225" s="3713"/>
      <c r="J225" s="3713"/>
      <c r="K225" s="3713"/>
      <c r="L225" s="3713"/>
      <c r="M225" s="3713"/>
      <c r="N225" s="2467">
        <f ca="1">SUBTOTAL(109,[2050])</f>
        <v>0</v>
      </c>
      <c r="O225" s="1138"/>
    </row>
    <row r="226" spans="2:19" ht="15.75">
      <c r="B226" s="474"/>
      <c r="C226" s="1140"/>
      <c r="D226" s="1384"/>
      <c r="E226" s="1140"/>
      <c r="F226" s="471"/>
      <c r="G226" s="471"/>
      <c r="H226" s="471"/>
      <c r="I226" s="471"/>
      <c r="J226" s="471"/>
      <c r="K226" s="471"/>
      <c r="L226" s="471"/>
      <c r="M226" s="471"/>
      <c r="N226" s="471"/>
      <c r="O226" s="1135"/>
    </row>
    <row r="227" spans="2:19" ht="15.75">
      <c r="B227" s="474"/>
      <c r="C227" s="475" t="s">
        <v>853</v>
      </c>
      <c r="D227" s="1140"/>
      <c r="E227" s="1140"/>
      <c r="F227" s="1142"/>
      <c r="G227" s="1142"/>
      <c r="H227" s="1142"/>
      <c r="I227" s="1142"/>
      <c r="J227" s="1142"/>
      <c r="K227" s="1142"/>
      <c r="L227" s="1142"/>
      <c r="M227" s="1142"/>
      <c r="N227" s="1143" t="s">
        <v>850</v>
      </c>
      <c r="O227" s="1135"/>
    </row>
    <row r="228" spans="2:19">
      <c r="B228" s="477"/>
      <c r="C228" s="1140"/>
      <c r="D228" s="1384"/>
      <c r="E228" s="1140"/>
      <c r="F228" s="471"/>
      <c r="G228" s="471"/>
      <c r="H228" s="471"/>
      <c r="I228" s="471"/>
      <c r="J228" s="471"/>
      <c r="K228" s="471"/>
      <c r="L228" s="471"/>
      <c r="M228" s="471"/>
      <c r="N228" s="471"/>
      <c r="O228" s="477"/>
    </row>
    <row r="229" spans="2:19">
      <c r="B229" s="477"/>
      <c r="C229" s="2215" t="s">
        <v>28</v>
      </c>
      <c r="D229" s="2216" t="s">
        <v>29</v>
      </c>
      <c r="E229" s="2216" t="s">
        <v>306</v>
      </c>
      <c r="F229" s="2216" t="s">
        <v>597</v>
      </c>
      <c r="G229" s="2216" t="s">
        <v>133</v>
      </c>
      <c r="H229" s="2216" t="s">
        <v>134</v>
      </c>
      <c r="I229" s="2216" t="s">
        <v>135</v>
      </c>
      <c r="J229" s="2216" t="s">
        <v>136</v>
      </c>
      <c r="K229" s="2216" t="s">
        <v>137</v>
      </c>
      <c r="L229" s="2216" t="s">
        <v>138</v>
      </c>
      <c r="M229" s="2216" t="s">
        <v>139</v>
      </c>
      <c r="N229" s="2217" t="s">
        <v>140</v>
      </c>
      <c r="O229" s="477"/>
    </row>
    <row r="230" spans="2:19">
      <c r="B230" s="477"/>
      <c r="C230" s="1387" t="str">
        <f>INDEX(AirQualityVectors[Code],MATCH(D230,AirQualityVectors[Description],0))</f>
        <v>AQ.01</v>
      </c>
      <c r="D230" s="1387" t="s">
        <v>261</v>
      </c>
      <c r="E230" s="1386" t="s">
        <v>307</v>
      </c>
      <c r="F230" s="3552">
        <f t="shared" ref="F230:N230" si="24">F30*F$127</f>
        <v>0</v>
      </c>
      <c r="G230" s="3552">
        <f t="shared" ca="1" si="24"/>
        <v>0</v>
      </c>
      <c r="H230" s="3552">
        <f t="shared" ca="1" si="24"/>
        <v>0</v>
      </c>
      <c r="I230" s="3552">
        <f t="shared" ca="1" si="24"/>
        <v>0</v>
      </c>
      <c r="J230" s="3552">
        <f t="shared" ca="1" si="24"/>
        <v>0</v>
      </c>
      <c r="K230" s="3552">
        <f t="shared" ca="1" si="24"/>
        <v>0</v>
      </c>
      <c r="L230" s="3552">
        <f t="shared" ca="1" si="24"/>
        <v>0</v>
      </c>
      <c r="M230" s="3552">
        <f t="shared" ca="1" si="24"/>
        <v>0</v>
      </c>
      <c r="N230" s="3552">
        <f t="shared" ca="1" si="24"/>
        <v>0</v>
      </c>
      <c r="O230" s="477"/>
    </row>
    <row r="231" spans="2:19">
      <c r="B231" s="477"/>
      <c r="C231" s="1388" t="str">
        <f>INDEX(AirQualityVectors[Code],MATCH(D231,AirQualityVectors[Description],0))</f>
        <v>AQ.02</v>
      </c>
      <c r="D231" s="1388" t="s">
        <v>263</v>
      </c>
      <c r="E231" s="1385" t="s">
        <v>307</v>
      </c>
      <c r="F231" s="3553">
        <f t="shared" ref="F231:N231" si="25">F35*F$127</f>
        <v>0</v>
      </c>
      <c r="G231" s="3553">
        <f t="shared" ca="1" si="25"/>
        <v>7.4262267713566744E-5</v>
      </c>
      <c r="H231" s="3553">
        <f t="shared" ca="1" si="25"/>
        <v>8.3700037366849726E-4</v>
      </c>
      <c r="I231" s="3553">
        <f t="shared" ca="1" si="25"/>
        <v>1.5601178777107721E-3</v>
      </c>
      <c r="J231" s="3553">
        <f t="shared" ca="1" si="25"/>
        <v>3.7017461522164787E-3</v>
      </c>
      <c r="K231" s="3553">
        <f t="shared" ca="1" si="25"/>
        <v>5.0567277782847409E-3</v>
      </c>
      <c r="L231" s="3553">
        <f t="shared" ca="1" si="25"/>
        <v>5.4580305283065522E-3</v>
      </c>
      <c r="M231" s="3553">
        <f t="shared" ca="1" si="25"/>
        <v>4.0462922840509728E-3</v>
      </c>
      <c r="N231" s="3553">
        <f t="shared" ca="1" si="25"/>
        <v>0</v>
      </c>
      <c r="O231" s="477"/>
    </row>
    <row r="232" spans="2:19">
      <c r="B232" s="477"/>
      <c r="C232" s="1388" t="str">
        <f>INDEX(AirQualityVectors[Code],MATCH(D232,AirQualityVectors[Description],0))</f>
        <v>AQ.03</v>
      </c>
      <c r="D232" s="1388" t="s">
        <v>265</v>
      </c>
      <c r="E232" s="1385" t="s">
        <v>307</v>
      </c>
      <c r="F232" s="3553">
        <f t="shared" ref="F232:N232" si="26">F40*F$127</f>
        <v>0</v>
      </c>
      <c r="G232" s="3553">
        <f t="shared" ca="1" si="26"/>
        <v>0</v>
      </c>
      <c r="H232" s="3553">
        <f t="shared" ca="1" si="26"/>
        <v>0</v>
      </c>
      <c r="I232" s="3553">
        <f t="shared" ca="1" si="26"/>
        <v>0</v>
      </c>
      <c r="J232" s="3553">
        <f t="shared" ca="1" si="26"/>
        <v>0</v>
      </c>
      <c r="K232" s="3553">
        <f t="shared" ca="1" si="26"/>
        <v>0</v>
      </c>
      <c r="L232" s="3553">
        <f t="shared" ca="1" si="26"/>
        <v>0</v>
      </c>
      <c r="M232" s="3553">
        <f t="shared" ca="1" si="26"/>
        <v>0</v>
      </c>
      <c r="N232" s="3553">
        <f t="shared" ca="1" si="26"/>
        <v>0</v>
      </c>
      <c r="O232" s="477"/>
    </row>
    <row r="233" spans="2:19">
      <c r="B233" s="1134"/>
      <c r="C233" s="1765" t="str">
        <f>INDEX(AirQualityVectors[Code],MATCH(D233,AirQualityVectors[Description],0))</f>
        <v>AQ.04</v>
      </c>
      <c r="D233" s="1765" t="s">
        <v>267</v>
      </c>
      <c r="E233" s="1766" t="s">
        <v>307</v>
      </c>
      <c r="F233" s="3554">
        <f t="shared" ref="F233:N233" si="27">F45*F$127</f>
        <v>0</v>
      </c>
      <c r="G233" s="3554">
        <f t="shared" ca="1" si="27"/>
        <v>1.0629137960782359E-6</v>
      </c>
      <c r="H233" s="3554">
        <f t="shared" ca="1" si="27"/>
        <v>1.197996333651356E-5</v>
      </c>
      <c r="I233" s="3554">
        <f t="shared" ca="1" si="27"/>
        <v>2.2329924291069462E-5</v>
      </c>
      <c r="J233" s="3554">
        <f t="shared" ca="1" si="27"/>
        <v>5.2982990903893629E-5</v>
      </c>
      <c r="K233" s="3554">
        <f t="shared" ca="1" si="27"/>
        <v>7.2376805665052155E-5</v>
      </c>
      <c r="L233" s="3554">
        <f t="shared" ca="1" si="27"/>
        <v>7.8120640893024785E-5</v>
      </c>
      <c r="M233" s="3554">
        <f t="shared" ca="1" si="27"/>
        <v>5.7914470216171218E-5</v>
      </c>
      <c r="N233" s="3554">
        <f t="shared" ca="1" si="27"/>
        <v>0</v>
      </c>
      <c r="O233" s="1138"/>
    </row>
    <row r="234" spans="2:19">
      <c r="B234" s="1135"/>
      <c r="C234" s="1149"/>
      <c r="D234" s="1149"/>
      <c r="E234" s="1149"/>
      <c r="F234" s="1149"/>
      <c r="G234" s="1149"/>
      <c r="H234" s="1149"/>
      <c r="I234" s="1149"/>
      <c r="J234" s="1149"/>
      <c r="K234" s="1149"/>
      <c r="L234" s="1149"/>
      <c r="M234" s="1149"/>
      <c r="N234" s="1149"/>
      <c r="O234" s="1135"/>
    </row>
    <row r="235" spans="2:19">
      <c r="S235" s="6"/>
    </row>
    <row r="236" spans="2:19" ht="15.75">
      <c r="B236" s="995" t="s">
        <v>313</v>
      </c>
      <c r="C236" s="996"/>
      <c r="D236" s="997"/>
      <c r="E236" s="997"/>
      <c r="F236" s="997"/>
      <c r="G236" s="997"/>
      <c r="H236" s="997"/>
      <c r="I236" s="997"/>
      <c r="J236" s="997"/>
      <c r="K236" s="997"/>
      <c r="L236" s="997"/>
      <c r="M236" s="997"/>
      <c r="N236" s="997"/>
      <c r="O236" s="998"/>
      <c r="S236" s="6"/>
    </row>
    <row r="237" spans="2:19">
      <c r="B237" s="999"/>
      <c r="C237" s="1000"/>
      <c r="D237" s="1000"/>
      <c r="E237" s="1000"/>
      <c r="F237" s="1000"/>
      <c r="G237" s="1000"/>
      <c r="H237" s="1000"/>
      <c r="I237" s="1000"/>
      <c r="J237" s="1000"/>
      <c r="K237" s="1000"/>
      <c r="L237" s="1000"/>
      <c r="M237" s="1000"/>
      <c r="N237" s="1000"/>
      <c r="O237" s="1001"/>
      <c r="S237" s="6"/>
    </row>
    <row r="238" spans="2:19">
      <c r="B238" s="1002"/>
      <c r="C238" s="488" t="s">
        <v>314</v>
      </c>
      <c r="D238" s="1003"/>
      <c r="E238" s="1004"/>
      <c r="F238" s="1003"/>
      <c r="G238" s="1003"/>
      <c r="H238" s="1003"/>
      <c r="I238" s="1003"/>
      <c r="J238" s="1003"/>
      <c r="K238" s="1003"/>
      <c r="L238" s="1003"/>
      <c r="M238" s="1003"/>
      <c r="N238" s="1004"/>
      <c r="O238" s="1005"/>
    </row>
    <row r="239" spans="2:19">
      <c r="B239" s="1002"/>
      <c r="C239" s="1003"/>
      <c r="D239" s="1003"/>
      <c r="E239" s="1003"/>
      <c r="F239" s="1003"/>
      <c r="G239" s="1003"/>
      <c r="H239" s="1003"/>
      <c r="I239" s="1003"/>
      <c r="J239" s="1003"/>
      <c r="K239" s="1003"/>
      <c r="L239" s="1003"/>
      <c r="M239" s="1003"/>
      <c r="N239" s="1003"/>
      <c r="O239" s="1005"/>
    </row>
    <row r="240" spans="2:19" ht="15.75">
      <c r="B240" s="492"/>
      <c r="C240" s="1006" t="s">
        <v>28</v>
      </c>
      <c r="D240" s="1006" t="s">
        <v>315</v>
      </c>
      <c r="E240" s="1006" t="s">
        <v>30</v>
      </c>
      <c r="F240" s="1006" t="s">
        <v>597</v>
      </c>
      <c r="G240" s="1006" t="s">
        <v>133</v>
      </c>
      <c r="H240" s="1006" t="s">
        <v>134</v>
      </c>
      <c r="I240" s="1006" t="s">
        <v>135</v>
      </c>
      <c r="J240" s="1006" t="s">
        <v>136</v>
      </c>
      <c r="K240" s="1006" t="s">
        <v>137</v>
      </c>
      <c r="L240" s="1006" t="s">
        <v>138</v>
      </c>
      <c r="M240" s="1006" t="s">
        <v>139</v>
      </c>
      <c r="N240" s="1006" t="s">
        <v>140</v>
      </c>
      <c r="O240" s="1005"/>
    </row>
    <row r="241" spans="2:16" ht="15.75">
      <c r="B241" s="492"/>
      <c r="C241" s="1007" t="s">
        <v>767</v>
      </c>
      <c r="D241" s="494" t="s">
        <v>768</v>
      </c>
      <c r="E241" s="494"/>
      <c r="F241" s="3714">
        <f t="shared" ref="F241:N241" si="28">SUM(F137:F139)</f>
        <v>0</v>
      </c>
      <c r="G241" s="3714">
        <f t="shared" ca="1" si="28"/>
        <v>1.7140564471147994E-5</v>
      </c>
      <c r="H241" s="3714">
        <f t="shared" ca="1" si="28"/>
        <v>2.4928741850653525E-4</v>
      </c>
      <c r="I241" s="3714">
        <f t="shared" ca="1" si="28"/>
        <v>5.1195427356616062E-4</v>
      </c>
      <c r="J241" s="3714">
        <f t="shared" ca="1" si="28"/>
        <v>1.3873138138017558E-3</v>
      </c>
      <c r="K241" s="3714">
        <f t="shared" ca="1" si="28"/>
        <v>2.2956451878646767E-3</v>
      </c>
      <c r="L241" s="3714">
        <f t="shared" ca="1" si="28"/>
        <v>3.3291842580414543E-3</v>
      </c>
      <c r="M241" s="3714">
        <f t="shared" ca="1" si="28"/>
        <v>4.3625318643812838E-3</v>
      </c>
      <c r="N241" s="3714">
        <f t="shared" ca="1" si="28"/>
        <v>4.6981796815584826E-3</v>
      </c>
      <c r="O241" s="1005"/>
    </row>
    <row r="242" spans="2:16" ht="15.75">
      <c r="B242" s="497"/>
      <c r="C242" s="1010"/>
      <c r="D242" s="1010"/>
      <c r="E242" s="1010"/>
      <c r="F242" s="1010"/>
      <c r="G242" s="1010"/>
      <c r="H242" s="1010"/>
      <c r="I242" s="1010"/>
      <c r="J242" s="1010"/>
      <c r="K242" s="1010"/>
      <c r="L242" s="1010"/>
      <c r="M242" s="1010"/>
      <c r="N242" s="1010"/>
      <c r="O242" s="1011"/>
      <c r="P242" s="39"/>
    </row>
    <row r="243" spans="2:16">
      <c r="P243" s="39"/>
    </row>
    <row r="244" spans="2:16" ht="15.75">
      <c r="B244" s="995" t="s">
        <v>2795</v>
      </c>
      <c r="C244" s="997"/>
      <c r="D244" s="997"/>
      <c r="E244" s="997"/>
      <c r="F244" s="997"/>
      <c r="G244" s="997"/>
      <c r="H244" s="997"/>
      <c r="I244" s="997"/>
      <c r="J244" s="997"/>
      <c r="K244" s="997"/>
      <c r="L244" s="997"/>
      <c r="M244" s="997"/>
      <c r="N244" s="997"/>
      <c r="O244" s="998"/>
      <c r="P244" s="39"/>
    </row>
    <row r="245" spans="2:16" hidden="1">
      <c r="B245" s="1002"/>
      <c r="C245" s="1003"/>
      <c r="D245" s="1003"/>
      <c r="E245" s="1003"/>
      <c r="F245" s="1003"/>
      <c r="G245" s="1003"/>
      <c r="H245" s="1003"/>
      <c r="I245" s="1003"/>
      <c r="J245" s="1003"/>
      <c r="K245" s="1003"/>
      <c r="L245" s="1003"/>
      <c r="M245" s="1003"/>
      <c r="N245" s="1003"/>
      <c r="O245" s="1005"/>
      <c r="P245" s="39"/>
    </row>
    <row r="246" spans="2:16" hidden="1">
      <c r="B246" s="1002"/>
      <c r="C246" s="500" t="s">
        <v>770</v>
      </c>
      <c r="D246" s="1012"/>
      <c r="E246" s="1012"/>
      <c r="F246" s="1012"/>
      <c r="G246" s="1012"/>
      <c r="H246" s="1012"/>
      <c r="I246" s="1012"/>
      <c r="J246" s="1012"/>
      <c r="K246" s="1012"/>
      <c r="L246" s="1012"/>
      <c r="M246" s="1012"/>
      <c r="N246" s="3706" t="s">
        <v>2812</v>
      </c>
      <c r="O246" s="1005"/>
      <c r="P246" s="39"/>
    </row>
    <row r="247" spans="2:16" hidden="1">
      <c r="B247" s="1002"/>
      <c r="C247" s="1003"/>
      <c r="D247" s="1003"/>
      <c r="E247" s="1003"/>
      <c r="F247" s="1003"/>
      <c r="G247" s="1003"/>
      <c r="H247" s="1003"/>
      <c r="I247" s="1003"/>
      <c r="J247" s="1003"/>
      <c r="K247" s="1003"/>
      <c r="L247" s="1003"/>
      <c r="M247" s="1003"/>
      <c r="N247" s="1003"/>
      <c r="O247" s="1005"/>
      <c r="P247" s="39"/>
    </row>
    <row r="248" spans="2:16" ht="15.75" hidden="1">
      <c r="B248" s="492"/>
      <c r="C248" s="1006" t="s">
        <v>28</v>
      </c>
      <c r="D248" s="1006" t="s">
        <v>29</v>
      </c>
      <c r="E248" s="1006" t="s">
        <v>30</v>
      </c>
      <c r="F248" s="1006">
        <v>2013</v>
      </c>
      <c r="G248" s="1006" t="s">
        <v>133</v>
      </c>
      <c r="H248" s="1006" t="s">
        <v>134</v>
      </c>
      <c r="I248" s="1006" t="s">
        <v>135</v>
      </c>
      <c r="J248" s="1006" t="s">
        <v>136</v>
      </c>
      <c r="K248" s="1006" t="s">
        <v>137</v>
      </c>
      <c r="L248" s="1006" t="s">
        <v>138</v>
      </c>
      <c r="M248" s="1006" t="s">
        <v>139</v>
      </c>
      <c r="N248" s="1006" t="s">
        <v>140</v>
      </c>
      <c r="O248" s="1150"/>
      <c r="P248" s="39"/>
    </row>
    <row r="249" spans="2:16" ht="15.75" hidden="1">
      <c r="B249" s="492"/>
      <c r="C249" s="1007" t="s">
        <v>324</v>
      </c>
      <c r="D249" s="494" t="s">
        <v>325</v>
      </c>
      <c r="E249" s="494"/>
      <c r="F249" s="3707"/>
      <c r="G249" s="3708"/>
      <c r="H249" s="3708"/>
      <c r="I249" s="3708"/>
      <c r="J249" s="3708"/>
      <c r="K249" s="3708"/>
      <c r="L249" s="3708"/>
      <c r="M249" s="3708"/>
      <c r="N249" s="3708"/>
      <c r="O249" s="1150"/>
      <c r="P249" s="3712"/>
    </row>
    <row r="250" spans="2:16" ht="15.75" hidden="1">
      <c r="B250" s="492"/>
      <c r="C250" s="1007" t="s">
        <v>331</v>
      </c>
      <c r="D250" s="494" t="s">
        <v>332</v>
      </c>
      <c r="E250" s="494"/>
      <c r="F250" s="3707"/>
      <c r="G250" s="3708"/>
      <c r="H250" s="3708"/>
      <c r="I250" s="3708"/>
      <c r="J250" s="3708"/>
      <c r="K250" s="3708"/>
      <c r="L250" s="3708"/>
      <c r="M250" s="3708"/>
      <c r="N250" s="3708"/>
      <c r="O250" s="1150"/>
      <c r="P250" s="39"/>
    </row>
    <row r="251" spans="2:16" ht="15.75" hidden="1">
      <c r="B251" s="492"/>
      <c r="C251" s="1007" t="s">
        <v>326</v>
      </c>
      <c r="D251" s="494" t="s">
        <v>327</v>
      </c>
      <c r="E251" s="504"/>
      <c r="F251" s="3709"/>
      <c r="G251" s="3710"/>
      <c r="H251" s="3710"/>
      <c r="I251" s="3710"/>
      <c r="J251" s="3710"/>
      <c r="K251" s="3710"/>
      <c r="L251" s="3710"/>
      <c r="M251" s="3710"/>
      <c r="N251" s="3710"/>
      <c r="O251" s="3711"/>
    </row>
    <row r="252" spans="2:16" ht="15.75" hidden="1">
      <c r="B252" s="492"/>
      <c r="C252" s="1007" t="s">
        <v>333</v>
      </c>
      <c r="D252" s="494" t="s">
        <v>334</v>
      </c>
      <c r="E252" s="504"/>
      <c r="F252" s="3709"/>
      <c r="G252" s="3710"/>
      <c r="H252" s="3710"/>
      <c r="I252" s="3710"/>
      <c r="J252" s="3710"/>
      <c r="K252" s="3710"/>
      <c r="L252" s="3710"/>
      <c r="M252" s="3710"/>
      <c r="N252" s="3710"/>
      <c r="O252" s="1150"/>
    </row>
    <row r="253" spans="2:16" hidden="1">
      <c r="B253" s="503"/>
      <c r="C253" s="1007" t="s">
        <v>328</v>
      </c>
      <c r="D253" s="494" t="s">
        <v>329</v>
      </c>
      <c r="E253" s="494"/>
      <c r="F253" s="3707"/>
      <c r="G253" s="3708"/>
      <c r="H253" s="3708"/>
      <c r="I253" s="3708"/>
      <c r="J253" s="3708"/>
      <c r="K253" s="3708"/>
      <c r="L253" s="3708"/>
      <c r="M253" s="3708"/>
      <c r="N253" s="3708"/>
      <c r="O253" s="1151"/>
      <c r="P253" s="39"/>
    </row>
    <row r="254" spans="2:16" hidden="1">
      <c r="B254" s="503"/>
      <c r="C254" s="1007" t="s">
        <v>335</v>
      </c>
      <c r="D254" s="494" t="s">
        <v>336</v>
      </c>
      <c r="E254" s="494"/>
      <c r="F254" s="3707"/>
      <c r="G254" s="3708"/>
      <c r="H254" s="3708"/>
      <c r="I254" s="3708"/>
      <c r="J254" s="3708"/>
      <c r="K254" s="3708"/>
      <c r="L254" s="3708"/>
      <c r="M254" s="3708"/>
      <c r="N254" s="3708"/>
      <c r="O254" s="1151"/>
    </row>
    <row r="255" spans="2:16" hidden="1">
      <c r="B255" s="1014"/>
      <c r="C255" s="1010"/>
      <c r="D255" s="1010"/>
      <c r="E255" s="1010"/>
      <c r="F255" s="1010"/>
      <c r="G255" s="1010"/>
      <c r="H255" s="1010"/>
      <c r="I255" s="1010"/>
      <c r="J255" s="1010"/>
      <c r="K255" s="1010"/>
      <c r="L255" s="1010"/>
      <c r="M255" s="1010"/>
      <c r="N255" s="1010"/>
      <c r="O255" s="1015"/>
    </row>
    <row r="258" spans="18:19">
      <c r="R258" s="745"/>
      <c r="S258" s="745"/>
    </row>
  </sheetData>
  <mergeCells count="2">
    <mergeCell ref="W59:X59"/>
    <mergeCell ref="Y59:Z59"/>
  </mergeCells>
  <pageMargins left="0.7" right="0.7" top="0.75" bottom="0.75" header="0.3" footer="0.3"/>
  <tableParts count="5">
    <tablePart r:id="rId1"/>
    <tablePart r:id="rId2"/>
    <tablePart r:id="rId3"/>
    <tablePart r:id="rId4"/>
    <tablePart r:id="rId5"/>
  </tableParts>
</worksheet>
</file>

<file path=xl/worksheets/sheet33.xml><?xml version="1.0" encoding="utf-8"?>
<worksheet xmlns="http://schemas.openxmlformats.org/spreadsheetml/2006/main" xmlns:r="http://schemas.openxmlformats.org/officeDocument/2006/relationships">
  <sheetPr codeName="Sheet14">
    <tabColor theme="9"/>
  </sheetPr>
  <dimension ref="A1:BN1304"/>
  <sheetViews>
    <sheetView showGridLines="0" zoomScale="80" zoomScaleNormal="80" workbookViewId="0">
      <selection activeCell="D375" sqref="D375"/>
    </sheetView>
  </sheetViews>
  <sheetFormatPr defaultColWidth="8.85546875" defaultRowHeight="15"/>
  <cols>
    <col min="1" max="1" width="7.7109375" style="2" customWidth="1"/>
    <col min="2" max="2" width="5.85546875" style="2" customWidth="1"/>
    <col min="3" max="3" width="20.42578125" style="2" customWidth="1"/>
    <col min="4" max="4" width="30.7109375" style="2" customWidth="1"/>
    <col min="5" max="5" width="24.28515625" style="2" customWidth="1"/>
    <col min="6" max="15" width="17.7109375" style="2" customWidth="1"/>
    <col min="16" max="16" width="10.7109375" style="2" customWidth="1"/>
    <col min="17" max="17" width="10.85546875" style="2" customWidth="1"/>
    <col min="18" max="18" width="20.28515625" style="2" customWidth="1"/>
    <col min="19" max="19" width="10.140625" style="2" customWidth="1"/>
    <col min="20" max="20" width="10.140625" style="2" hidden="1" customWidth="1"/>
    <col min="21" max="21" width="11" style="2" hidden="1" customWidth="1"/>
    <col min="22" max="23" width="9.7109375" style="2" hidden="1" customWidth="1"/>
    <col min="24" max="24" width="9.7109375" style="2" customWidth="1"/>
    <col min="25" max="32" width="8.85546875" style="2"/>
    <col min="33" max="33" width="57.42578125" style="2" customWidth="1"/>
    <col min="34" max="34" width="12.42578125" style="2" customWidth="1"/>
    <col min="35" max="35" width="19.28515625" style="2" customWidth="1"/>
    <col min="36" max="37" width="10" style="2" bestFit="1" customWidth="1"/>
    <col min="38" max="38" width="26.7109375" style="2" customWidth="1"/>
    <col min="39" max="39" width="18.28515625" style="2" customWidth="1"/>
    <col min="40" max="46" width="10" style="2" bestFit="1" customWidth="1"/>
    <col min="47" max="16384" width="8.85546875" style="2"/>
  </cols>
  <sheetData>
    <row r="1" spans="1:16" ht="21">
      <c r="A1" s="1" t="s">
        <v>0</v>
      </c>
      <c r="B1" s="1" t="s">
        <v>1</v>
      </c>
      <c r="C1" s="1"/>
      <c r="F1" s="39"/>
      <c r="G1" s="38"/>
    </row>
    <row r="2" spans="1:16" s="4" customFormat="1" ht="15.75">
      <c r="A2" s="3" t="s">
        <v>2</v>
      </c>
      <c r="B2" s="3" t="s">
        <v>3</v>
      </c>
      <c r="C2" s="3"/>
      <c r="E2" s="5"/>
      <c r="I2" s="6" t="s">
        <v>5</v>
      </c>
    </row>
    <row r="3" spans="1:16">
      <c r="H3" t="s">
        <v>5</v>
      </c>
    </row>
    <row r="4" spans="1:16" ht="23.25">
      <c r="A4" s="7"/>
      <c r="B4" s="8" t="s">
        <v>6</v>
      </c>
      <c r="C4" s="9"/>
      <c r="D4" s="9"/>
      <c r="E4" s="9"/>
      <c r="F4" s="9"/>
      <c r="G4" s="9"/>
      <c r="H4" s="9"/>
      <c r="I4" s="9"/>
      <c r="J4" s="9"/>
      <c r="K4" s="9"/>
      <c r="L4" s="9"/>
      <c r="M4" s="9"/>
      <c r="N4" s="9"/>
      <c r="O4" s="9"/>
      <c r="P4" s="10"/>
    </row>
    <row r="5" spans="1:16">
      <c r="B5" s="11"/>
      <c r="C5" s="12"/>
      <c r="D5" s="12"/>
      <c r="E5" s="12"/>
      <c r="F5" s="12"/>
      <c r="G5" s="12"/>
      <c r="H5" s="12"/>
      <c r="I5" s="12"/>
      <c r="J5" s="12"/>
      <c r="K5" s="12"/>
      <c r="L5" s="12"/>
      <c r="M5" s="12"/>
      <c r="N5" s="12"/>
      <c r="O5" s="12"/>
      <c r="P5" s="13"/>
    </row>
    <row r="6" spans="1:16">
      <c r="B6" s="11"/>
      <c r="C6" s="12"/>
      <c r="D6" s="12"/>
      <c r="E6" s="14"/>
      <c r="F6" s="12"/>
      <c r="G6" s="12"/>
      <c r="H6" s="12"/>
      <c r="I6" s="12"/>
      <c r="J6" s="12"/>
      <c r="K6" s="12"/>
      <c r="L6" s="12"/>
      <c r="M6" s="12"/>
      <c r="N6" s="12"/>
      <c r="O6" s="12"/>
      <c r="P6" s="13"/>
    </row>
    <row r="7" spans="1:16" ht="15.75">
      <c r="B7" s="15"/>
      <c r="C7" s="12"/>
      <c r="D7" s="16" t="s">
        <v>7</v>
      </c>
      <c r="E7" s="16" t="s">
        <v>8</v>
      </c>
      <c r="F7" s="12"/>
      <c r="G7" s="12"/>
      <c r="H7" s="12"/>
      <c r="I7" s="12"/>
      <c r="J7" s="12"/>
      <c r="K7" s="12"/>
      <c r="L7" s="12"/>
      <c r="M7" s="12"/>
      <c r="N7" s="12"/>
      <c r="O7" s="12"/>
      <c r="P7" s="13"/>
    </row>
    <row r="8" spans="1:16" ht="15.75">
      <c r="B8" s="15"/>
      <c r="C8" s="12"/>
      <c r="D8" s="17" t="s">
        <v>9</v>
      </c>
      <c r="E8" s="18">
        <f>IX.a.1.Scenario</f>
        <v>1</v>
      </c>
      <c r="F8" s="12"/>
      <c r="G8" s="12"/>
      <c r="H8" s="12"/>
      <c r="I8" s="12"/>
      <c r="J8" s="12"/>
      <c r="K8" s="12"/>
      <c r="L8" s="12"/>
      <c r="M8" s="12"/>
      <c r="N8" s="12"/>
      <c r="O8" s="12"/>
      <c r="P8" s="13"/>
    </row>
    <row r="9" spans="1:16" ht="15.75">
      <c r="B9" s="19"/>
      <c r="C9" s="18"/>
      <c r="D9" s="17" t="s">
        <v>10</v>
      </c>
      <c r="E9" s="18">
        <f>IX.a.2.Scenario</f>
        <v>1</v>
      </c>
      <c r="F9" s="18"/>
      <c r="G9" s="18"/>
      <c r="H9" s="18"/>
      <c r="I9" s="18"/>
      <c r="J9" s="18"/>
      <c r="K9" s="18"/>
      <c r="L9" s="18"/>
      <c r="M9" s="18"/>
      <c r="N9" s="18"/>
      <c r="O9" s="18"/>
      <c r="P9" s="20"/>
    </row>
    <row r="10" spans="1:16" ht="15.75">
      <c r="B10" s="19"/>
      <c r="C10" s="18"/>
      <c r="D10" s="18" t="s">
        <v>11</v>
      </c>
      <c r="E10" s="18">
        <f>IX.a.3.Scenario</f>
        <v>1</v>
      </c>
      <c r="F10" s="18"/>
      <c r="G10" s="18"/>
      <c r="H10" s="18"/>
      <c r="I10" s="18"/>
      <c r="J10" s="18"/>
      <c r="K10" s="18"/>
      <c r="L10" s="18"/>
      <c r="M10" s="18"/>
      <c r="N10" s="18"/>
      <c r="O10" s="18"/>
      <c r="P10" s="20"/>
    </row>
    <row r="11" spans="1:16" ht="15.75">
      <c r="B11" s="19"/>
      <c r="C11" s="18"/>
      <c r="D11" s="21" t="s">
        <v>12</v>
      </c>
      <c r="E11" s="21">
        <f>IX.a.4.Scenario</f>
        <v>1</v>
      </c>
      <c r="F11" s="22"/>
      <c r="G11" s="18"/>
      <c r="H11" s="18"/>
      <c r="I11" s="18"/>
      <c r="J11" s="18"/>
      <c r="K11" s="18"/>
      <c r="L11" s="18"/>
      <c r="M11" s="18"/>
      <c r="N11" s="18"/>
      <c r="O11" s="18"/>
      <c r="P11" s="20"/>
    </row>
    <row r="12" spans="1:16" ht="15.75">
      <c r="B12" s="19"/>
      <c r="C12" s="18"/>
      <c r="D12" s="18"/>
      <c r="E12" s="18"/>
      <c r="F12" s="22"/>
      <c r="G12" s="18"/>
      <c r="H12" s="18"/>
      <c r="I12" s="18"/>
      <c r="J12" s="18"/>
      <c r="K12" s="18"/>
      <c r="L12" s="18"/>
      <c r="M12" s="18"/>
      <c r="N12" s="18"/>
      <c r="O12" s="18"/>
      <c r="P12" s="20"/>
    </row>
    <row r="13" spans="1:16" ht="15.75">
      <c r="B13" s="19"/>
      <c r="C13" s="23" t="s">
        <v>13</v>
      </c>
      <c r="D13" s="18"/>
      <c r="E13" s="18"/>
      <c r="F13" s="22"/>
      <c r="G13" s="18"/>
      <c r="H13" s="18"/>
      <c r="I13" s="18"/>
      <c r="J13" s="18"/>
      <c r="K13" s="18"/>
      <c r="L13" s="18"/>
      <c r="M13" s="18"/>
      <c r="N13" s="18"/>
      <c r="O13" s="18"/>
      <c r="P13" s="20"/>
    </row>
    <row r="14" spans="1:16" ht="15.75">
      <c r="B14" s="19"/>
      <c r="C14" s="18"/>
      <c r="D14" s="18"/>
      <c r="E14" s="18"/>
      <c r="F14" s="22"/>
      <c r="G14" s="18"/>
      <c r="H14" s="18"/>
      <c r="I14" s="18"/>
      <c r="J14" s="18"/>
      <c r="K14" s="18"/>
      <c r="L14" s="18"/>
      <c r="M14" s="18"/>
      <c r="N14" s="18"/>
      <c r="O14" s="18"/>
      <c r="P14" s="20"/>
    </row>
    <row r="15" spans="1:16" ht="15.75">
      <c r="B15" s="19"/>
      <c r="C15" s="24"/>
      <c r="D15" s="24"/>
      <c r="E15" s="25" t="s">
        <v>14</v>
      </c>
      <c r="F15" s="26"/>
      <c r="G15" s="25"/>
      <c r="H15" s="25"/>
      <c r="I15" s="18"/>
      <c r="J15" s="18"/>
      <c r="K15" s="18"/>
      <c r="L15" s="18"/>
      <c r="M15" s="18"/>
      <c r="N15" s="18"/>
      <c r="O15" s="18"/>
      <c r="P15" s="20"/>
    </row>
    <row r="16" spans="1:16" ht="15.75">
      <c r="B16" s="19"/>
      <c r="C16" s="18"/>
      <c r="D16" s="18"/>
      <c r="E16" s="27">
        <v>1</v>
      </c>
      <c r="F16" s="27">
        <v>2</v>
      </c>
      <c r="G16" s="27">
        <v>3</v>
      </c>
      <c r="H16" s="27">
        <v>4</v>
      </c>
      <c r="I16" s="18"/>
      <c r="J16" s="18"/>
      <c r="K16" s="18"/>
      <c r="L16" s="18"/>
      <c r="M16" s="18"/>
      <c r="N16" s="18"/>
      <c r="O16" s="18"/>
      <c r="P16" s="20"/>
    </row>
    <row r="17" spans="1:20" ht="15.75">
      <c r="B17" s="19"/>
      <c r="C17" s="28" t="s">
        <v>11</v>
      </c>
      <c r="D17" s="28"/>
      <c r="E17" s="29" t="s">
        <v>15</v>
      </c>
      <c r="F17" s="30" t="s">
        <v>16</v>
      </c>
      <c r="G17" s="29" t="s">
        <v>17</v>
      </c>
      <c r="H17" s="29" t="s">
        <v>18</v>
      </c>
      <c r="I17" s="18"/>
      <c r="J17" s="18"/>
      <c r="K17" s="18"/>
      <c r="L17" s="18"/>
      <c r="M17" s="18"/>
      <c r="N17" s="18"/>
      <c r="O17" s="18"/>
      <c r="P17" s="20"/>
    </row>
    <row r="18" spans="1:20" ht="15.75">
      <c r="B18" s="19"/>
      <c r="C18" s="18">
        <v>1</v>
      </c>
      <c r="D18" s="18" t="s">
        <v>19</v>
      </c>
      <c r="E18" s="31">
        <v>9</v>
      </c>
      <c r="F18" s="31">
        <v>6</v>
      </c>
      <c r="G18" s="31">
        <v>15</v>
      </c>
      <c r="H18" s="31">
        <v>7</v>
      </c>
      <c r="I18" s="18"/>
      <c r="J18" s="18"/>
      <c r="K18" s="18"/>
      <c r="L18" s="18"/>
      <c r="M18" s="18"/>
      <c r="N18" s="18"/>
      <c r="O18" s="18"/>
      <c r="P18" s="20"/>
    </row>
    <row r="19" spans="1:20" ht="15.75">
      <c r="B19" s="19"/>
      <c r="C19" s="18">
        <v>2</v>
      </c>
      <c r="D19" s="18" t="s">
        <v>20</v>
      </c>
      <c r="E19" s="31">
        <v>11</v>
      </c>
      <c r="F19" s="31">
        <v>5</v>
      </c>
      <c r="G19" s="31">
        <v>14</v>
      </c>
      <c r="H19" s="31">
        <v>12</v>
      </c>
      <c r="I19" s="18"/>
      <c r="J19" s="18"/>
      <c r="K19" s="18"/>
      <c r="L19" s="18"/>
      <c r="M19" s="18"/>
      <c r="N19" s="18"/>
      <c r="O19" s="18"/>
      <c r="P19" s="20"/>
    </row>
    <row r="20" spans="1:20" ht="15.75">
      <c r="B20" s="19"/>
      <c r="C20" s="18">
        <v>3</v>
      </c>
      <c r="D20" s="18" t="s">
        <v>21</v>
      </c>
      <c r="E20" s="31">
        <v>10</v>
      </c>
      <c r="F20" s="31">
        <v>8</v>
      </c>
      <c r="G20" s="31">
        <v>13</v>
      </c>
      <c r="H20" s="31">
        <v>16</v>
      </c>
      <c r="I20" s="18"/>
      <c r="J20" s="18"/>
      <c r="K20" s="18"/>
      <c r="L20" s="18"/>
      <c r="M20" s="18"/>
      <c r="N20" s="18"/>
      <c r="O20" s="18"/>
      <c r="P20" s="20"/>
    </row>
    <row r="21" spans="1:20" ht="15.75">
      <c r="B21" s="19"/>
      <c r="C21" s="32">
        <v>4</v>
      </c>
      <c r="D21" s="32" t="s">
        <v>22</v>
      </c>
      <c r="E21" s="33">
        <v>3</v>
      </c>
      <c r="F21" s="33">
        <v>2</v>
      </c>
      <c r="G21" s="33">
        <v>4</v>
      </c>
      <c r="H21" s="33">
        <v>1</v>
      </c>
      <c r="I21" s="18"/>
      <c r="J21" s="18"/>
      <c r="K21" s="18"/>
      <c r="L21" s="18"/>
      <c r="M21" s="18"/>
      <c r="N21" s="18"/>
      <c r="O21" s="18"/>
      <c r="P21" s="20"/>
    </row>
    <row r="22" spans="1:20" ht="15.75">
      <c r="B22" s="19"/>
      <c r="C22" s="18"/>
      <c r="D22" s="18"/>
      <c r="E22" s="18"/>
      <c r="F22" s="22"/>
      <c r="G22" s="18"/>
      <c r="H22" s="18"/>
      <c r="I22" s="18"/>
      <c r="J22" s="18"/>
      <c r="K22" s="18"/>
      <c r="L22" s="18"/>
      <c r="M22" s="18"/>
      <c r="N22" s="18"/>
      <c r="O22" s="18"/>
      <c r="P22" s="20"/>
    </row>
    <row r="23" spans="1:20" ht="15.75">
      <c r="B23" s="19"/>
      <c r="C23" s="18"/>
      <c r="D23" s="18" t="s">
        <v>23</v>
      </c>
      <c r="E23" s="18">
        <f>INDEX($E$18:$H$21, MATCH($E$10, $C$18:$C$21, 0), MATCH($E$11, $E$16:$H$16, 0))</f>
        <v>9</v>
      </c>
      <c r="F23" s="22"/>
      <c r="G23" s="18"/>
      <c r="H23" s="18"/>
      <c r="I23" s="18"/>
      <c r="J23" s="18"/>
      <c r="K23" s="18"/>
      <c r="L23" s="18"/>
      <c r="M23" s="18"/>
      <c r="N23" s="18"/>
      <c r="O23" s="18"/>
      <c r="P23" s="20"/>
    </row>
    <row r="24" spans="1:20" ht="15.75">
      <c r="B24" s="19"/>
      <c r="C24" s="18"/>
      <c r="D24" s="18"/>
      <c r="E24" s="18"/>
      <c r="F24" s="22"/>
      <c r="G24" s="18"/>
      <c r="H24" s="18"/>
      <c r="I24" s="18"/>
      <c r="J24" s="18"/>
      <c r="K24" s="18"/>
      <c r="L24" s="18"/>
      <c r="M24" s="18"/>
      <c r="N24" s="18"/>
      <c r="O24" s="18"/>
      <c r="P24" s="20"/>
    </row>
    <row r="26" spans="1:20" ht="23.25">
      <c r="A26" s="7"/>
      <c r="B26" s="8" t="s">
        <v>24</v>
      </c>
      <c r="C26" s="9"/>
      <c r="D26" s="9"/>
      <c r="E26" s="9"/>
      <c r="F26" s="9"/>
      <c r="G26" s="9"/>
      <c r="H26" s="9"/>
      <c r="I26" s="9"/>
      <c r="J26" s="9"/>
      <c r="K26" s="9"/>
      <c r="L26" s="9"/>
      <c r="M26" s="9"/>
      <c r="N26" s="9"/>
      <c r="O26" s="9"/>
      <c r="P26" s="10"/>
    </row>
    <row r="27" spans="1:20">
      <c r="B27" s="11"/>
      <c r="C27" s="12"/>
      <c r="D27" s="12"/>
      <c r="E27" s="12"/>
      <c r="F27" s="12"/>
      <c r="G27" s="12"/>
      <c r="H27" s="12"/>
      <c r="I27" s="12"/>
      <c r="J27" s="12"/>
      <c r="K27" s="12"/>
      <c r="L27" s="12"/>
      <c r="M27" s="12"/>
      <c r="N27" s="12"/>
      <c r="O27" s="12"/>
      <c r="P27" s="13"/>
    </row>
    <row r="28" spans="1:20">
      <c r="B28" s="12"/>
      <c r="C28" s="34" t="s">
        <v>25</v>
      </c>
      <c r="D28" s="12" t="s">
        <v>26</v>
      </c>
      <c r="E28" s="14"/>
      <c r="F28" s="12"/>
      <c r="G28" s="12"/>
      <c r="H28" s="12"/>
      <c r="I28" s="12"/>
      <c r="J28" s="12"/>
      <c r="K28" s="12"/>
      <c r="L28" s="12"/>
      <c r="M28" s="12"/>
      <c r="N28" s="516" t="str">
        <f>Preferences.EnergyUnits</f>
        <v>TWh</v>
      </c>
      <c r="O28" s="516"/>
      <c r="P28" s="12"/>
    </row>
    <row r="29" spans="1:20">
      <c r="B29" s="12"/>
      <c r="C29" s="12"/>
      <c r="D29" s="12"/>
      <c r="E29" s="14"/>
      <c r="F29" s="12"/>
      <c r="G29" s="12"/>
      <c r="H29" s="12"/>
      <c r="I29" s="12"/>
      <c r="J29" s="12"/>
      <c r="K29" s="12"/>
      <c r="L29" s="12"/>
      <c r="M29" s="12"/>
      <c r="N29" s="12"/>
      <c r="O29" s="12"/>
      <c r="P29" s="12"/>
    </row>
    <row r="30" spans="1:20" ht="15.75">
      <c r="B30" s="35"/>
      <c r="C30" s="16" t="s">
        <v>28</v>
      </c>
      <c r="D30" s="16" t="s">
        <v>29</v>
      </c>
      <c r="E30" s="16" t="s">
        <v>30</v>
      </c>
      <c r="F30" s="36">
        <v>2013</v>
      </c>
      <c r="G30" s="36">
        <v>2015</v>
      </c>
      <c r="H30" s="36">
        <v>2020</v>
      </c>
      <c r="I30" s="36">
        <v>2025</v>
      </c>
      <c r="J30" s="36">
        <v>2030</v>
      </c>
      <c r="K30" s="36">
        <v>2035</v>
      </c>
      <c r="L30" s="36">
        <v>2040</v>
      </c>
      <c r="M30" s="36">
        <v>2045</v>
      </c>
      <c r="N30" s="36">
        <v>2050</v>
      </c>
      <c r="O30" s="12"/>
      <c r="P30" s="12"/>
    </row>
    <row r="31" spans="1:20" ht="15.75">
      <c r="A31" s="38"/>
      <c r="B31" s="35"/>
      <c r="C31" s="21" t="s">
        <v>31</v>
      </c>
      <c r="D31" s="21" t="s">
        <v>32</v>
      </c>
      <c r="E31" s="21"/>
      <c r="F31" s="37">
        <f t="shared" ref="F31:N31" ca="1" si="0">INDEX(INDIRECT("'"&amp;F$30&amp;"'!Year.Matrix"), MATCH($C$28, INDIRECT("'"&amp;F30&amp;"'!Year.Modules"), 0), MATCH($C$31, INDIRECT("'"&amp;F30&amp;"'!Year.Vectors"), 0))</f>
        <v>4.1054887428987621E-2</v>
      </c>
      <c r="G31" s="37">
        <f t="shared" ca="1" si="0"/>
        <v>0.29533988943004724</v>
      </c>
      <c r="H31" s="37">
        <f t="shared" ca="1" si="0"/>
        <v>0.55796848364472162</v>
      </c>
      <c r="I31" s="37">
        <f t="shared" ca="1" si="0"/>
        <v>0.87993360231339046</v>
      </c>
      <c r="J31" s="37">
        <f t="shared" ca="1" si="0"/>
        <v>1.4025987513562512</v>
      </c>
      <c r="K31" s="37">
        <f t="shared" ca="1" si="0"/>
        <v>1.8347909840221523</v>
      </c>
      <c r="L31" s="37">
        <f t="shared" ca="1" si="0"/>
        <v>2.3046831432863932</v>
      </c>
      <c r="M31" s="37">
        <f t="shared" ca="1" si="0"/>
        <v>3.2093197943966696</v>
      </c>
      <c r="N31" s="37">
        <f t="shared" ca="1" si="0"/>
        <v>4.1910433229244628</v>
      </c>
      <c r="O31" s="12"/>
      <c r="P31" s="12"/>
      <c r="Q31" s="38"/>
      <c r="R31" s="38"/>
      <c r="S31" s="38"/>
      <c r="T31" s="38"/>
    </row>
    <row r="32" spans="1:20">
      <c r="B32" s="12"/>
      <c r="C32" s="12"/>
      <c r="D32" s="12"/>
      <c r="E32" s="12"/>
      <c r="F32" s="12"/>
      <c r="G32" s="12"/>
      <c r="H32" s="12"/>
      <c r="I32" s="12"/>
      <c r="J32" s="12"/>
      <c r="K32" s="12"/>
      <c r="L32" s="12"/>
      <c r="M32" s="12"/>
      <c r="N32" s="12"/>
      <c r="O32" s="12"/>
      <c r="P32" s="12"/>
      <c r="Q32" s="38"/>
      <c r="R32" s="38"/>
      <c r="S32" s="38"/>
      <c r="T32" s="38"/>
    </row>
    <row r="33" spans="1:27">
      <c r="B33" s="12"/>
      <c r="C33" s="12"/>
      <c r="D33" s="12"/>
      <c r="E33" s="12"/>
      <c r="F33" s="12"/>
      <c r="G33" s="12"/>
      <c r="H33" s="12"/>
      <c r="I33" s="12"/>
      <c r="J33" s="12"/>
      <c r="K33" s="12"/>
      <c r="L33" s="12"/>
      <c r="M33" s="12"/>
      <c r="N33" s="12"/>
      <c r="O33" s="12"/>
      <c r="P33" s="12"/>
      <c r="Q33" s="38"/>
      <c r="R33" s="38"/>
      <c r="S33" s="38"/>
      <c r="T33" s="38"/>
    </row>
    <row r="34" spans="1:27">
      <c r="Q34" s="38"/>
      <c r="R34" s="39"/>
      <c r="S34" s="38"/>
      <c r="T34" s="39"/>
    </row>
    <row r="35" spans="1:27" s="4" customFormat="1" ht="23.25">
      <c r="A35" s="40"/>
      <c r="B35" s="41" t="s">
        <v>33</v>
      </c>
      <c r="C35" s="42"/>
      <c r="D35" s="42"/>
      <c r="E35" s="42"/>
      <c r="F35" s="42"/>
      <c r="G35" s="42"/>
      <c r="H35" s="42"/>
      <c r="I35" s="42"/>
      <c r="J35" s="42"/>
      <c r="K35" s="42"/>
      <c r="L35" s="42"/>
      <c r="M35" s="42"/>
      <c r="N35" s="42"/>
      <c r="O35" s="42"/>
      <c r="P35" s="42"/>
      <c r="Q35" s="42"/>
      <c r="R35" s="43"/>
      <c r="S35" s="42"/>
      <c r="T35" s="42"/>
      <c r="U35" s="42"/>
      <c r="V35" s="42"/>
      <c r="W35" s="42"/>
      <c r="X35" s="42"/>
    </row>
    <row r="36" spans="1:27">
      <c r="B36" s="45"/>
      <c r="C36" s="46"/>
      <c r="D36" s="46"/>
      <c r="E36" s="46"/>
      <c r="F36" s="46"/>
      <c r="G36" s="46"/>
      <c r="H36" s="46"/>
      <c r="I36" s="46"/>
      <c r="J36" s="46"/>
      <c r="K36" s="46"/>
      <c r="L36" s="46"/>
      <c r="M36" s="46"/>
      <c r="N36" s="46"/>
      <c r="O36" s="46"/>
      <c r="P36" s="46"/>
      <c r="Q36" s="46"/>
      <c r="R36" s="46"/>
      <c r="S36" s="47"/>
      <c r="T36" s="47"/>
      <c r="U36" s="47"/>
      <c r="V36" s="47"/>
      <c r="W36" s="47"/>
      <c r="X36" s="47"/>
    </row>
    <row r="37" spans="1:27" ht="15.75">
      <c r="B37" s="55"/>
      <c r="C37" s="49" t="s">
        <v>2792</v>
      </c>
      <c r="D37" s="46"/>
      <c r="E37" s="50"/>
      <c r="F37" s="46"/>
      <c r="G37" s="67" t="s">
        <v>5</v>
      </c>
      <c r="H37" s="46"/>
      <c r="I37" s="46"/>
      <c r="J37" s="46"/>
      <c r="K37" s="46"/>
      <c r="L37" s="46"/>
      <c r="M37" s="46"/>
      <c r="N37" s="51" t="s">
        <v>36</v>
      </c>
      <c r="O37" s="50"/>
      <c r="P37" s="46"/>
      <c r="Q37" s="46"/>
      <c r="R37" s="46"/>
      <c r="S37" s="46"/>
      <c r="T37" s="46"/>
      <c r="U37" s="46"/>
      <c r="V37" s="46"/>
      <c r="W37" s="46"/>
      <c r="X37" s="46"/>
    </row>
    <row r="38" spans="1:27" ht="15.75">
      <c r="B38" s="55"/>
      <c r="C38" s="46"/>
      <c r="D38" s="46"/>
      <c r="E38" s="46"/>
      <c r="F38" s="46"/>
      <c r="G38" s="46"/>
      <c r="H38" s="46"/>
      <c r="I38" s="46"/>
      <c r="J38" s="46"/>
      <c r="K38" s="46"/>
      <c r="L38" s="46"/>
      <c r="M38" s="46"/>
      <c r="N38" s="46"/>
      <c r="O38" s="46"/>
      <c r="P38" s="46"/>
      <c r="Q38" s="46"/>
      <c r="R38" s="46"/>
      <c r="S38" s="46"/>
      <c r="T38" s="46"/>
      <c r="U38" s="46"/>
      <c r="V38" s="46"/>
      <c r="W38" s="46"/>
      <c r="X38" s="46"/>
    </row>
    <row r="39" spans="1:27" ht="15.75">
      <c r="B39" s="55"/>
      <c r="C39" s="52" t="s">
        <v>8</v>
      </c>
      <c r="D39" s="52" t="s">
        <v>34</v>
      </c>
      <c r="E39" s="52" t="s">
        <v>30</v>
      </c>
      <c r="F39" s="53">
        <v>2013</v>
      </c>
      <c r="G39" s="53">
        <v>2015</v>
      </c>
      <c r="H39" s="53">
        <v>2020</v>
      </c>
      <c r="I39" s="53">
        <v>2025</v>
      </c>
      <c r="J39" s="53">
        <v>2030</v>
      </c>
      <c r="K39" s="53">
        <v>2035</v>
      </c>
      <c r="L39" s="53">
        <v>2040</v>
      </c>
      <c r="M39" s="53">
        <v>2045</v>
      </c>
      <c r="N39" s="53">
        <v>2050</v>
      </c>
      <c r="O39" s="46"/>
      <c r="P39" s="46"/>
      <c r="Q39" s="54"/>
      <c r="R39" s="54"/>
      <c r="S39" s="54"/>
      <c r="T39" s="54"/>
      <c r="U39" s="54"/>
      <c r="V39" s="54"/>
      <c r="W39" s="54"/>
      <c r="X39" s="54"/>
    </row>
    <row r="40" spans="1:27" ht="15.75">
      <c r="B40" s="55"/>
      <c r="C40" s="56">
        <v>1</v>
      </c>
      <c r="D40" s="57"/>
      <c r="E40" s="57"/>
      <c r="F40" s="68">
        <v>0</v>
      </c>
      <c r="G40" s="68">
        <v>0</v>
      </c>
      <c r="H40" s="68">
        <v>0</v>
      </c>
      <c r="I40" s="68">
        <v>0</v>
      </c>
      <c r="J40" s="68">
        <v>0</v>
      </c>
      <c r="K40" s="68">
        <v>0</v>
      </c>
      <c r="L40" s="68">
        <v>0</v>
      </c>
      <c r="M40" s="68">
        <v>0</v>
      </c>
      <c r="N40" s="68">
        <v>0</v>
      </c>
      <c r="O40" s="46"/>
      <c r="P40" s="46"/>
      <c r="Q40" s="59"/>
      <c r="R40" s="59"/>
      <c r="S40" s="59"/>
      <c r="T40" s="59"/>
      <c r="U40" s="59"/>
      <c r="V40" s="59"/>
      <c r="W40" s="59"/>
      <c r="X40" s="59"/>
      <c r="Y40" s="38"/>
      <c r="Z40" s="38"/>
      <c r="AA40" s="38"/>
    </row>
    <row r="41" spans="1:27" ht="15.75">
      <c r="B41" s="55"/>
      <c r="C41" s="56">
        <v>2</v>
      </c>
      <c r="D41" s="57"/>
      <c r="E41" s="57"/>
      <c r="F41" s="68">
        <v>0</v>
      </c>
      <c r="G41" s="68">
        <v>0</v>
      </c>
      <c r="H41" s="68">
        <v>0</v>
      </c>
      <c r="I41" s="68">
        <v>0.03</v>
      </c>
      <c r="J41" s="68">
        <v>0.03</v>
      </c>
      <c r="K41" s="68">
        <v>0.03</v>
      </c>
      <c r="L41" s="68">
        <v>0.03</v>
      </c>
      <c r="M41" s="68">
        <v>0.03</v>
      </c>
      <c r="N41" s="68">
        <v>0.03</v>
      </c>
      <c r="O41" s="46"/>
      <c r="P41" s="46"/>
      <c r="Q41" s="59"/>
      <c r="R41" s="59"/>
      <c r="S41" s="59"/>
      <c r="T41" s="59"/>
      <c r="U41" s="59"/>
      <c r="V41" s="59"/>
      <c r="W41" s="59"/>
      <c r="X41" s="59"/>
      <c r="Y41" s="38"/>
      <c r="Z41" s="38"/>
      <c r="AA41" s="38"/>
    </row>
    <row r="42" spans="1:27" ht="15.75">
      <c r="B42" s="55"/>
      <c r="C42" s="56">
        <v>3</v>
      </c>
      <c r="D42" s="57"/>
      <c r="E42" s="57"/>
      <c r="F42" s="68">
        <v>0</v>
      </c>
      <c r="G42" s="68">
        <v>0</v>
      </c>
      <c r="H42" s="68">
        <v>0</v>
      </c>
      <c r="I42" s="68">
        <v>0.09</v>
      </c>
      <c r="J42" s="68">
        <v>0.09</v>
      </c>
      <c r="K42" s="68">
        <v>0.09</v>
      </c>
      <c r="L42" s="68">
        <v>0.09</v>
      </c>
      <c r="M42" s="68">
        <v>0.09</v>
      </c>
      <c r="N42" s="68">
        <v>0.09</v>
      </c>
      <c r="O42" s="46"/>
      <c r="P42" s="46"/>
      <c r="Q42" s="59"/>
      <c r="R42" s="59"/>
      <c r="S42" s="59"/>
      <c r="T42" s="59"/>
      <c r="U42" s="59"/>
      <c r="V42" s="59"/>
      <c r="W42" s="59"/>
      <c r="X42" s="59"/>
      <c r="Y42" s="38"/>
      <c r="Z42" s="38"/>
      <c r="AA42" s="38"/>
    </row>
    <row r="43" spans="1:27" ht="15.75">
      <c r="B43" s="55"/>
      <c r="C43" s="61">
        <v>4</v>
      </c>
      <c r="D43" s="62"/>
      <c r="E43" s="62"/>
      <c r="F43" s="68">
        <v>0</v>
      </c>
      <c r="G43" s="68">
        <v>0</v>
      </c>
      <c r="H43" s="68">
        <v>0.05</v>
      </c>
      <c r="I43" s="68">
        <v>0.1</v>
      </c>
      <c r="J43" s="68">
        <v>0.15</v>
      </c>
      <c r="K43" s="68">
        <v>0.15</v>
      </c>
      <c r="L43" s="68">
        <v>0.15</v>
      </c>
      <c r="M43" s="68">
        <v>0.15</v>
      </c>
      <c r="N43" s="68">
        <v>0.15</v>
      </c>
      <c r="O43" s="46"/>
      <c r="P43" s="46"/>
      <c r="Q43" s="59"/>
      <c r="R43" s="59"/>
      <c r="S43" s="59"/>
      <c r="T43" s="59"/>
      <c r="U43" s="59"/>
      <c r="V43" s="59"/>
      <c r="W43" s="59"/>
      <c r="X43" s="59"/>
      <c r="Y43" s="38"/>
      <c r="Z43" s="38"/>
      <c r="AA43" s="38"/>
    </row>
    <row r="44" spans="1:27" ht="15.75">
      <c r="B44" s="55"/>
      <c r="C44" s="69" t="s">
        <v>37</v>
      </c>
      <c r="D44" s="64"/>
      <c r="E44" s="64"/>
      <c r="F44" s="70">
        <f t="shared" ref="F44:N44" si="1">(INDEX(F$40:F$43,ROUNDDOWN($E$8,0))*(1-MOD($E$8,1)))+(INDEX(F$40:F$43,ROUNDUP($E$8,0))*MOD($E$8,1))</f>
        <v>0</v>
      </c>
      <c r="G44" s="70">
        <f t="shared" si="1"/>
        <v>0</v>
      </c>
      <c r="H44" s="70">
        <f t="shared" si="1"/>
        <v>0</v>
      </c>
      <c r="I44" s="70">
        <f t="shared" si="1"/>
        <v>0</v>
      </c>
      <c r="J44" s="70">
        <f t="shared" si="1"/>
        <v>0</v>
      </c>
      <c r="K44" s="70">
        <f t="shared" si="1"/>
        <v>0</v>
      </c>
      <c r="L44" s="70">
        <f t="shared" si="1"/>
        <v>0</v>
      </c>
      <c r="M44" s="70">
        <f t="shared" si="1"/>
        <v>0</v>
      </c>
      <c r="N44" s="70">
        <f t="shared" si="1"/>
        <v>0</v>
      </c>
      <c r="O44" s="46"/>
      <c r="P44" s="46"/>
      <c r="Q44" s="60"/>
      <c r="R44" s="60"/>
      <c r="S44" s="60"/>
      <c r="T44" s="60"/>
      <c r="U44" s="60"/>
      <c r="V44" s="60"/>
      <c r="W44" s="60"/>
      <c r="X44" s="60"/>
      <c r="Y44" s="38"/>
      <c r="Z44" s="38"/>
      <c r="AA44" s="38"/>
    </row>
    <row r="45" spans="1:27" ht="15.75">
      <c r="B45" s="55"/>
      <c r="C45" s="65" t="s">
        <v>5</v>
      </c>
      <c r="D45" s="57"/>
      <c r="E45" s="57"/>
      <c r="F45" s="59" t="s">
        <v>5</v>
      </c>
      <c r="G45" s="60"/>
      <c r="H45" s="60"/>
      <c r="I45" s="71"/>
      <c r="J45" s="60"/>
      <c r="K45" s="60"/>
      <c r="L45" s="60"/>
      <c r="M45" s="60"/>
      <c r="N45" s="60"/>
      <c r="O45" s="46"/>
      <c r="P45" s="46"/>
      <c r="Q45" s="60"/>
      <c r="R45" s="60"/>
      <c r="S45" s="60"/>
      <c r="T45" s="60"/>
      <c r="U45" s="60"/>
      <c r="V45" s="60"/>
      <c r="W45" s="60"/>
      <c r="X45" s="60"/>
    </row>
    <row r="46" spans="1:27" ht="15.75">
      <c r="B46" s="55"/>
      <c r="C46" s="49" t="s">
        <v>38</v>
      </c>
      <c r="D46" s="46"/>
      <c r="E46" s="50"/>
      <c r="F46" s="46"/>
      <c r="G46" s="67" t="s">
        <v>5</v>
      </c>
      <c r="H46" s="46"/>
      <c r="I46" s="67" t="s">
        <v>5</v>
      </c>
      <c r="J46" s="46"/>
      <c r="K46" s="46"/>
      <c r="L46" s="46"/>
      <c r="M46" s="46"/>
      <c r="N46" s="51" t="s">
        <v>39</v>
      </c>
      <c r="O46" s="46"/>
      <c r="P46" s="46"/>
      <c r="Q46" s="60"/>
      <c r="R46" s="60"/>
      <c r="S46" s="60"/>
      <c r="T46" s="60"/>
      <c r="U46" s="60"/>
      <c r="V46" s="60"/>
      <c r="W46" s="60"/>
      <c r="X46" s="60"/>
    </row>
    <row r="47" spans="1:27" ht="15.75">
      <c r="B47" s="55"/>
      <c r="C47" s="46"/>
      <c r="D47" s="46"/>
      <c r="E47" s="46"/>
      <c r="F47" s="46"/>
      <c r="G47" s="46"/>
      <c r="H47" s="46"/>
      <c r="I47" s="46"/>
      <c r="J47" s="46"/>
      <c r="K47" s="46"/>
      <c r="L47" s="46"/>
      <c r="M47" s="46"/>
      <c r="N47" s="46"/>
      <c r="O47" s="46"/>
      <c r="P47" s="46"/>
      <c r="Q47" s="60"/>
      <c r="R47" s="60"/>
      <c r="S47" s="60"/>
      <c r="T47" s="60"/>
      <c r="U47" s="60"/>
      <c r="V47" s="60"/>
      <c r="W47" s="60"/>
      <c r="X47" s="60"/>
    </row>
    <row r="48" spans="1:27" ht="15.75">
      <c r="B48" s="55"/>
      <c r="C48" s="52" t="s">
        <v>8</v>
      </c>
      <c r="D48" s="52" t="s">
        <v>34</v>
      </c>
      <c r="E48" s="52" t="s">
        <v>30</v>
      </c>
      <c r="F48" s="53">
        <v>2013</v>
      </c>
      <c r="G48" s="53">
        <v>2015</v>
      </c>
      <c r="H48" s="53">
        <v>2020</v>
      </c>
      <c r="I48" s="53">
        <v>2025</v>
      </c>
      <c r="J48" s="53">
        <v>2030</v>
      </c>
      <c r="K48" s="53">
        <v>2035</v>
      </c>
      <c r="L48" s="53">
        <v>2040</v>
      </c>
      <c r="M48" s="53">
        <v>2045</v>
      </c>
      <c r="N48" s="53">
        <v>2050</v>
      </c>
      <c r="O48" s="46"/>
      <c r="P48" s="46"/>
      <c r="Q48" s="60"/>
      <c r="R48" s="60"/>
      <c r="S48" s="60"/>
      <c r="T48" s="60"/>
      <c r="U48" s="60"/>
      <c r="V48" s="60"/>
      <c r="W48" s="60"/>
      <c r="X48" s="60"/>
    </row>
    <row r="49" spans="2:27" ht="15.75">
      <c r="B49" s="55"/>
      <c r="C49" s="56">
        <v>1</v>
      </c>
      <c r="D49" s="57"/>
      <c r="E49" s="57"/>
      <c r="F49" s="68">
        <v>0</v>
      </c>
      <c r="G49" s="68">
        <v>0</v>
      </c>
      <c r="H49" s="68">
        <v>0</v>
      </c>
      <c r="I49" s="68">
        <v>0</v>
      </c>
      <c r="J49" s="68">
        <v>0</v>
      </c>
      <c r="K49" s="68">
        <v>0</v>
      </c>
      <c r="L49" s="68">
        <v>0</v>
      </c>
      <c r="M49" s="68">
        <v>0</v>
      </c>
      <c r="N49" s="68">
        <v>0</v>
      </c>
      <c r="O49" s="46"/>
      <c r="P49" s="46"/>
      <c r="Q49" s="60"/>
      <c r="R49" s="60"/>
      <c r="S49" s="60"/>
      <c r="T49" s="60"/>
      <c r="U49" s="60"/>
      <c r="V49" s="60"/>
      <c r="W49" s="60"/>
      <c r="X49" s="60"/>
    </row>
    <row r="50" spans="2:27" ht="15.75">
      <c r="B50" s="55"/>
      <c r="C50" s="56">
        <v>2</v>
      </c>
      <c r="D50" s="57"/>
      <c r="E50" s="57"/>
      <c r="F50" s="68">
        <v>0</v>
      </c>
      <c r="G50" s="68">
        <v>0</v>
      </c>
      <c r="H50" s="68">
        <v>0</v>
      </c>
      <c r="I50" s="68">
        <v>0.4</v>
      </c>
      <c r="J50" s="68">
        <v>0.4</v>
      </c>
      <c r="K50" s="68">
        <v>0.4</v>
      </c>
      <c r="L50" s="68">
        <v>0.4</v>
      </c>
      <c r="M50" s="68">
        <v>0.4</v>
      </c>
      <c r="N50" s="68">
        <v>0.4</v>
      </c>
      <c r="O50" s="46"/>
      <c r="P50" s="46"/>
      <c r="Q50" s="60"/>
      <c r="R50" s="60"/>
      <c r="S50" s="60"/>
      <c r="T50" s="60"/>
      <c r="U50" s="60"/>
      <c r="V50" s="60"/>
      <c r="W50" s="60"/>
      <c r="X50" s="60"/>
    </row>
    <row r="51" spans="2:27" ht="15.75">
      <c r="B51" s="55"/>
      <c r="C51" s="56">
        <v>3</v>
      </c>
      <c r="D51" s="57"/>
      <c r="E51" s="57"/>
      <c r="F51" s="68">
        <v>0</v>
      </c>
      <c r="G51" s="68">
        <v>0</v>
      </c>
      <c r="H51" s="68">
        <v>0</v>
      </c>
      <c r="I51" s="68">
        <v>0.7</v>
      </c>
      <c r="J51" s="68">
        <v>0.7</v>
      </c>
      <c r="K51" s="68">
        <v>0.7</v>
      </c>
      <c r="L51" s="68">
        <v>0.7</v>
      </c>
      <c r="M51" s="68">
        <v>0.7</v>
      </c>
      <c r="N51" s="68">
        <v>0.7</v>
      </c>
      <c r="O51" s="67" t="s">
        <v>5</v>
      </c>
      <c r="P51" s="46"/>
      <c r="Q51" s="60"/>
      <c r="R51" s="60"/>
      <c r="S51" s="60"/>
      <c r="T51" s="60"/>
      <c r="U51" s="60"/>
      <c r="V51" s="60"/>
      <c r="W51" s="60"/>
      <c r="X51" s="60"/>
    </row>
    <row r="52" spans="2:27" ht="15.75">
      <c r="B52" s="55"/>
      <c r="C52" s="61">
        <v>4</v>
      </c>
      <c r="D52" s="62"/>
      <c r="E52" s="62"/>
      <c r="F52" s="68">
        <v>0</v>
      </c>
      <c r="G52" s="68">
        <v>0</v>
      </c>
      <c r="H52" s="68">
        <v>0.9</v>
      </c>
      <c r="I52" s="68">
        <v>0.9</v>
      </c>
      <c r="J52" s="68">
        <v>0.9</v>
      </c>
      <c r="K52" s="68">
        <v>0.9</v>
      </c>
      <c r="L52" s="68">
        <v>0.9</v>
      </c>
      <c r="M52" s="68">
        <v>0.9</v>
      </c>
      <c r="N52" s="68">
        <v>0.9</v>
      </c>
      <c r="O52" s="67" t="s">
        <v>5</v>
      </c>
      <c r="P52" s="46"/>
      <c r="Q52" s="60"/>
      <c r="R52" s="60"/>
      <c r="S52" s="60"/>
      <c r="T52" s="60"/>
      <c r="U52" s="60"/>
      <c r="V52" s="60"/>
      <c r="W52" s="60"/>
      <c r="X52" s="60"/>
    </row>
    <row r="53" spans="2:27" ht="15.75">
      <c r="B53" s="55"/>
      <c r="C53" s="69" t="s">
        <v>37</v>
      </c>
      <c r="D53" s="64"/>
      <c r="E53" s="64"/>
      <c r="F53" s="70">
        <f t="shared" ref="F53:N53" si="2">(INDEX(F$49:F$52,ROUNDDOWN($E$8,0))*(1-MOD($E$8,1)))+(INDEX(F$49:F$52,ROUNDUP($E$8,0))*MOD($E$8,1))</f>
        <v>0</v>
      </c>
      <c r="G53" s="70">
        <f t="shared" si="2"/>
        <v>0</v>
      </c>
      <c r="H53" s="70">
        <f t="shared" si="2"/>
        <v>0</v>
      </c>
      <c r="I53" s="70">
        <f t="shared" si="2"/>
        <v>0</v>
      </c>
      <c r="J53" s="70">
        <f t="shared" si="2"/>
        <v>0</v>
      </c>
      <c r="K53" s="70">
        <f t="shared" si="2"/>
        <v>0</v>
      </c>
      <c r="L53" s="70">
        <f t="shared" si="2"/>
        <v>0</v>
      </c>
      <c r="M53" s="70">
        <f t="shared" si="2"/>
        <v>0</v>
      </c>
      <c r="N53" s="70">
        <f t="shared" si="2"/>
        <v>0</v>
      </c>
      <c r="O53" s="46"/>
      <c r="P53" s="46"/>
      <c r="Q53" s="60"/>
      <c r="R53" s="60"/>
      <c r="S53" s="60"/>
      <c r="T53" s="60"/>
      <c r="U53" s="60"/>
      <c r="V53" s="60"/>
      <c r="W53" s="60"/>
      <c r="X53" s="60"/>
    </row>
    <row r="54" spans="2:27" ht="15.75">
      <c r="B54" s="55"/>
      <c r="C54" s="56"/>
      <c r="D54" s="57"/>
      <c r="E54" s="57"/>
      <c r="F54" s="59"/>
      <c r="G54" s="60"/>
      <c r="H54" s="60"/>
      <c r="I54" s="60"/>
      <c r="J54" s="60"/>
      <c r="K54" s="60"/>
      <c r="L54" s="60"/>
      <c r="M54" s="60"/>
      <c r="N54" s="60"/>
      <c r="O54" s="46"/>
      <c r="P54" s="46"/>
      <c r="Q54" s="60"/>
      <c r="R54" s="60"/>
      <c r="S54" s="60"/>
      <c r="T54" s="60"/>
      <c r="U54" s="60"/>
      <c r="V54" s="60"/>
      <c r="W54" s="60"/>
      <c r="X54" s="60"/>
    </row>
    <row r="55" spans="2:27" ht="15.75">
      <c r="B55" s="55"/>
      <c r="C55" s="49" t="s">
        <v>3113</v>
      </c>
      <c r="D55" s="46"/>
      <c r="E55" s="50"/>
      <c r="F55" s="67" t="s">
        <v>5</v>
      </c>
      <c r="G55" s="46"/>
      <c r="H55" s="46"/>
      <c r="I55" s="46"/>
      <c r="J55" s="67" t="s">
        <v>5</v>
      </c>
      <c r="K55" s="46"/>
      <c r="L55" s="46"/>
      <c r="M55" s="46"/>
      <c r="N55" s="50" t="str">
        <f>Preferences.EnergyUnits&amp;"/household"</f>
        <v>TWh/household</v>
      </c>
      <c r="O55" s="46"/>
      <c r="P55" s="46"/>
      <c r="Q55" s="46"/>
      <c r="R55" s="46"/>
      <c r="S55" s="46"/>
      <c r="T55" s="46"/>
      <c r="U55" s="46"/>
      <c r="V55" s="46"/>
      <c r="W55" s="46"/>
      <c r="X55" s="46"/>
    </row>
    <row r="56" spans="2:27" ht="15.75">
      <c r="B56" s="55"/>
      <c r="C56" s="46"/>
      <c r="D56" s="46"/>
      <c r="E56" s="46"/>
      <c r="F56" s="46"/>
      <c r="G56" s="46"/>
      <c r="H56" s="46"/>
      <c r="I56" s="46"/>
      <c r="J56" s="46"/>
      <c r="K56" s="46"/>
      <c r="L56" s="46"/>
      <c r="M56" s="46"/>
      <c r="N56" s="46"/>
      <c r="O56" s="46"/>
      <c r="P56" s="46"/>
      <c r="Q56" s="46"/>
      <c r="R56" s="46"/>
      <c r="S56" s="46"/>
      <c r="T56" s="46"/>
      <c r="U56" s="46"/>
      <c r="V56" s="46"/>
      <c r="W56" s="46"/>
      <c r="X56" s="46"/>
    </row>
    <row r="57" spans="2:27" ht="15.75">
      <c r="B57" s="55"/>
      <c r="C57" s="52" t="s">
        <v>8</v>
      </c>
      <c r="D57" s="72" t="s">
        <v>40</v>
      </c>
      <c r="E57" s="52"/>
      <c r="F57" s="53">
        <v>2013</v>
      </c>
      <c r="G57" s="53">
        <v>2015</v>
      </c>
      <c r="H57" s="53">
        <v>2020</v>
      </c>
      <c r="I57" s="53">
        <v>2025</v>
      </c>
      <c r="J57" s="53">
        <v>2030</v>
      </c>
      <c r="K57" s="53">
        <v>2035</v>
      </c>
      <c r="L57" s="53">
        <v>2040</v>
      </c>
      <c r="M57" s="53">
        <v>2045</v>
      </c>
      <c r="N57" s="53">
        <v>2050</v>
      </c>
      <c r="O57" s="46"/>
      <c r="P57" s="46"/>
      <c r="Q57" s="54"/>
      <c r="R57" s="54"/>
      <c r="S57" s="54"/>
      <c r="T57" s="54"/>
      <c r="U57" s="54"/>
      <c r="V57" s="54"/>
      <c r="W57" s="54"/>
      <c r="X57" s="54"/>
    </row>
    <row r="58" spans="2:27" ht="15.75">
      <c r="B58" s="55"/>
      <c r="C58" s="56">
        <v>1</v>
      </c>
      <c r="D58" s="73">
        <v>9.4999999999999998E-3</v>
      </c>
      <c r="E58" s="74"/>
      <c r="F58" s="75">
        <v>3.5250287804622114E-6</v>
      </c>
      <c r="G58" s="75">
        <f>F58*(1+$D58)^(G$57-F$57)</f>
        <v>3.5923224611384305E-6</v>
      </c>
      <c r="H58" s="76">
        <f t="shared" ref="G58:N61" si="3">G58*(1+$D58)^(H$57-G$57)</f>
        <v>3.7662307953148075E-6</v>
      </c>
      <c r="I58" s="76">
        <f t="shared" si="3"/>
        <v>3.9485582257786648E-6</v>
      </c>
      <c r="J58" s="76">
        <f t="shared" si="3"/>
        <v>4.1397123303648052E-6</v>
      </c>
      <c r="K58" s="76">
        <f t="shared" si="3"/>
        <v>4.340120418205283E-6</v>
      </c>
      <c r="L58" s="76">
        <f t="shared" si="3"/>
        <v>4.5502304849434915E-6</v>
      </c>
      <c r="M58" s="76">
        <f t="shared" si="3"/>
        <v>4.7705122141912371E-6</v>
      </c>
      <c r="N58" s="76">
        <f t="shared" si="3"/>
        <v>5.0014580274674603E-6</v>
      </c>
      <c r="O58" s="46"/>
      <c r="P58" s="77">
        <f>(N58-F58)/F58</f>
        <v>0.41884175675060886</v>
      </c>
      <c r="Q58" s="76"/>
      <c r="R58" s="76"/>
      <c r="S58" s="76"/>
      <c r="T58" s="76"/>
      <c r="U58" s="76"/>
      <c r="V58" s="76"/>
      <c r="W58" s="76"/>
      <c r="X58" s="76"/>
    </row>
    <row r="59" spans="2:27" ht="15.75">
      <c r="B59" s="55"/>
      <c r="C59" s="56">
        <v>2</v>
      </c>
      <c r="D59" s="73">
        <v>0</v>
      </c>
      <c r="E59" s="78"/>
      <c r="F59" s="79">
        <v>3.5250287804622114E-6</v>
      </c>
      <c r="G59" s="79">
        <f t="shared" si="3"/>
        <v>3.5250287804622114E-6</v>
      </c>
      <c r="H59" s="80">
        <f t="shared" si="3"/>
        <v>3.5250287804622114E-6</v>
      </c>
      <c r="I59" s="80">
        <f t="shared" si="3"/>
        <v>3.5250287804622114E-6</v>
      </c>
      <c r="J59" s="80">
        <f t="shared" si="3"/>
        <v>3.5250287804622114E-6</v>
      </c>
      <c r="K59" s="80">
        <f t="shared" si="3"/>
        <v>3.5250287804622114E-6</v>
      </c>
      <c r="L59" s="80">
        <f t="shared" si="3"/>
        <v>3.5250287804622114E-6</v>
      </c>
      <c r="M59" s="80">
        <f t="shared" si="3"/>
        <v>3.5250287804622114E-6</v>
      </c>
      <c r="N59" s="80">
        <f t="shared" si="3"/>
        <v>3.5250287804622114E-6</v>
      </c>
      <c r="O59" s="46"/>
      <c r="P59" s="77">
        <f>(N59-F59)/F59</f>
        <v>0</v>
      </c>
      <c r="Q59" s="80"/>
      <c r="R59" s="80"/>
      <c r="S59" s="80"/>
      <c r="T59" s="80"/>
      <c r="U59" s="80"/>
      <c r="V59" s="80"/>
      <c r="W59" s="80"/>
      <c r="X59" s="80"/>
    </row>
    <row r="60" spans="2:27" ht="15.75">
      <c r="B60" s="55"/>
      <c r="C60" s="56">
        <v>3</v>
      </c>
      <c r="D60" s="73">
        <v>-6.7000000000000002E-3</v>
      </c>
      <c r="E60" s="74"/>
      <c r="F60" s="79">
        <v>3.5250287804622114E-6</v>
      </c>
      <c r="G60" s="79">
        <f t="shared" si="3"/>
        <v>3.4779516333459725E-6</v>
      </c>
      <c r="H60" s="80">
        <f t="shared" si="3"/>
        <v>3.3629910807207751E-6</v>
      </c>
      <c r="I60" s="80">
        <f t="shared" si="3"/>
        <v>3.2518304454185153E-6</v>
      </c>
      <c r="J60" s="80">
        <f t="shared" si="3"/>
        <v>3.1443441246012508E-6</v>
      </c>
      <c r="K60" s="80">
        <f t="shared" si="3"/>
        <v>3.040410667119499E-6</v>
      </c>
      <c r="L60" s="80">
        <f t="shared" si="3"/>
        <v>2.9399126362819227E-6</v>
      </c>
      <c r="M60" s="80">
        <f t="shared" si="3"/>
        <v>2.8427364771610375E-6</v>
      </c>
      <c r="N60" s="80">
        <f t="shared" si="3"/>
        <v>2.7487723882850118E-6</v>
      </c>
      <c r="O60" s="46"/>
      <c r="P60" s="77">
        <f>(N60-F60)/F60</f>
        <v>-0.22021278137633099</v>
      </c>
      <c r="Q60" s="80"/>
      <c r="R60" s="80"/>
      <c r="S60" s="80"/>
      <c r="T60" s="80"/>
      <c r="U60" s="80"/>
      <c r="V60" s="80"/>
      <c r="W60" s="80"/>
      <c r="X60" s="80"/>
    </row>
    <row r="61" spans="2:27" ht="15.75">
      <c r="B61" s="55"/>
      <c r="C61" s="61">
        <v>4</v>
      </c>
      <c r="D61" s="81">
        <v>-1.6E-2</v>
      </c>
      <c r="E61" s="62"/>
      <c r="F61" s="82">
        <v>3.5250287804622114E-6</v>
      </c>
      <c r="G61" s="82">
        <f t="shared" si="3"/>
        <v>3.413130266855219E-6</v>
      </c>
      <c r="H61" s="83">
        <f t="shared" si="3"/>
        <v>3.1486787720098198E-6</v>
      </c>
      <c r="I61" s="83">
        <f t="shared" si="3"/>
        <v>2.9047171464803088E-6</v>
      </c>
      <c r="J61" s="83">
        <f t="shared" si="3"/>
        <v>2.6796578222144518E-6</v>
      </c>
      <c r="K61" s="83">
        <f t="shared" si="3"/>
        <v>2.4720362369382168E-6</v>
      </c>
      <c r="L61" s="83">
        <f t="shared" si="3"/>
        <v>2.2805013035901725E-6</v>
      </c>
      <c r="M61" s="83">
        <f t="shared" si="3"/>
        <v>2.1038066181901425E-6</v>
      </c>
      <c r="N61" s="83">
        <f t="shared" si="3"/>
        <v>1.9408023489277685E-6</v>
      </c>
      <c r="O61" s="46"/>
      <c r="P61" s="77">
        <f>(N61-F61)/F61</f>
        <v>-0.44942226863938251</v>
      </c>
      <c r="Q61" s="80"/>
      <c r="R61" s="80"/>
      <c r="S61" s="80"/>
      <c r="T61" s="80"/>
      <c r="U61" s="80"/>
      <c r="V61" s="80"/>
      <c r="W61" s="80"/>
      <c r="X61" s="80"/>
    </row>
    <row r="62" spans="2:27" ht="15.75">
      <c r="B62" s="55"/>
      <c r="C62" s="63" t="s">
        <v>35</v>
      </c>
      <c r="D62" s="64"/>
      <c r="E62" s="64"/>
      <c r="F62" s="84">
        <f>F59</f>
        <v>3.5250287804622114E-6</v>
      </c>
      <c r="G62" s="84">
        <f t="shared" ref="G62:N62" si="4">G59</f>
        <v>3.5250287804622114E-6</v>
      </c>
      <c r="H62" s="84">
        <f t="shared" si="4"/>
        <v>3.5250287804622114E-6</v>
      </c>
      <c r="I62" s="84">
        <f t="shared" si="4"/>
        <v>3.5250287804622114E-6</v>
      </c>
      <c r="J62" s="84">
        <f t="shared" si="4"/>
        <v>3.5250287804622114E-6</v>
      </c>
      <c r="K62" s="84">
        <f t="shared" si="4"/>
        <v>3.5250287804622114E-6</v>
      </c>
      <c r="L62" s="84">
        <f t="shared" si="4"/>
        <v>3.5250287804622114E-6</v>
      </c>
      <c r="M62" s="84">
        <f t="shared" si="4"/>
        <v>3.5250287804622114E-6</v>
      </c>
      <c r="N62" s="84">
        <f t="shared" si="4"/>
        <v>3.5250287804622114E-6</v>
      </c>
      <c r="O62" s="46"/>
      <c r="P62" s="46"/>
      <c r="Q62" s="60"/>
      <c r="R62" s="60"/>
      <c r="S62" s="60"/>
      <c r="T62" s="60"/>
      <c r="U62" s="60"/>
      <c r="V62" s="60"/>
      <c r="W62" s="60"/>
      <c r="X62" s="60"/>
    </row>
    <row r="63" spans="2:27" ht="15.75">
      <c r="B63" s="55"/>
      <c r="C63" s="65"/>
      <c r="D63" s="57"/>
      <c r="E63" s="57"/>
      <c r="F63" s="59"/>
      <c r="G63" s="66"/>
      <c r="H63" s="66"/>
      <c r="I63" s="66"/>
      <c r="J63" s="66"/>
      <c r="K63" s="66"/>
      <c r="L63" s="66"/>
      <c r="M63" s="66"/>
      <c r="N63" s="66"/>
      <c r="O63" s="66"/>
      <c r="P63" s="46"/>
      <c r="Q63" s="85"/>
      <c r="R63" s="85"/>
      <c r="S63" s="85"/>
      <c r="T63" s="85"/>
      <c r="U63" s="85"/>
      <c r="V63" s="85"/>
      <c r="W63" s="85"/>
      <c r="X63" s="85"/>
      <c r="AA63" s="86"/>
    </row>
    <row r="64" spans="2:27" ht="15.75">
      <c r="B64" s="55"/>
      <c r="C64" s="49" t="s">
        <v>3114</v>
      </c>
      <c r="D64" s="46"/>
      <c r="E64" s="50"/>
      <c r="F64" s="87"/>
      <c r="G64" s="67" t="s">
        <v>5</v>
      </c>
      <c r="H64" s="46"/>
      <c r="I64" s="46"/>
      <c r="J64" s="46"/>
      <c r="K64" s="46"/>
      <c r="L64" s="46"/>
      <c r="M64" s="46"/>
      <c r="N64" s="51" t="s">
        <v>41</v>
      </c>
      <c r="O64" s="50"/>
      <c r="P64" s="46"/>
      <c r="Q64" s="46"/>
      <c r="R64" s="46"/>
      <c r="S64" s="46"/>
      <c r="T64" s="46"/>
      <c r="U64" s="46"/>
      <c r="V64" s="46"/>
      <c r="W64" s="46"/>
      <c r="X64" s="46"/>
    </row>
    <row r="65" spans="2:27" ht="15.75">
      <c r="B65" s="55"/>
      <c r="C65" s="46"/>
      <c r="D65" s="46"/>
      <c r="E65" s="46"/>
      <c r="F65" s="46"/>
      <c r="G65" s="46"/>
      <c r="H65" s="46"/>
      <c r="I65" s="46"/>
      <c r="J65" s="46"/>
      <c r="K65" s="46"/>
      <c r="L65" s="46"/>
      <c r="M65" s="46"/>
      <c r="N65" s="46"/>
      <c r="O65" s="46"/>
      <c r="P65" s="46"/>
      <c r="Q65" s="46"/>
      <c r="R65" s="46"/>
      <c r="S65" s="46"/>
      <c r="T65" s="46"/>
      <c r="U65" s="46"/>
      <c r="V65" s="46"/>
      <c r="W65" s="46"/>
      <c r="X65" s="46"/>
    </row>
    <row r="66" spans="2:27" ht="15.75">
      <c r="B66" s="55"/>
      <c r="C66" s="52" t="s">
        <v>8</v>
      </c>
      <c r="D66" s="52" t="s">
        <v>34</v>
      </c>
      <c r="E66" s="52"/>
      <c r="F66" s="53">
        <v>2013</v>
      </c>
      <c r="G66" s="53">
        <v>2015</v>
      </c>
      <c r="H66" s="53">
        <v>2020</v>
      </c>
      <c r="I66" s="53">
        <v>2025</v>
      </c>
      <c r="J66" s="53">
        <v>2030</v>
      </c>
      <c r="K66" s="53">
        <v>2035</v>
      </c>
      <c r="L66" s="53">
        <v>2040</v>
      </c>
      <c r="M66" s="53">
        <v>2045</v>
      </c>
      <c r="N66" s="53">
        <v>2050</v>
      </c>
      <c r="O66" s="46"/>
      <c r="P66" s="46"/>
      <c r="Q66" s="54"/>
      <c r="R66" s="54"/>
      <c r="S66" s="54"/>
      <c r="T66" s="54"/>
      <c r="U66" s="54"/>
      <c r="V66" s="54"/>
      <c r="W66" s="54"/>
      <c r="X66" s="54"/>
    </row>
    <row r="67" spans="2:27" ht="15.75">
      <c r="B67" s="55"/>
      <c r="C67" s="56">
        <v>1</v>
      </c>
      <c r="D67" s="88" t="s">
        <v>42</v>
      </c>
      <c r="E67" s="57"/>
      <c r="F67" s="68">
        <v>7.0000000000000007E-2</v>
      </c>
      <c r="G67" s="68">
        <v>0.1</v>
      </c>
      <c r="H67" s="68">
        <v>0.19</v>
      </c>
      <c r="I67" s="68">
        <v>0.26</v>
      </c>
      <c r="J67" s="68">
        <v>0.33</v>
      </c>
      <c r="K67" s="68">
        <v>0.39</v>
      </c>
      <c r="L67" s="68">
        <v>0.44</v>
      </c>
      <c r="M67" s="68">
        <v>0.47</v>
      </c>
      <c r="N67" s="68">
        <v>0.5</v>
      </c>
      <c r="O67" s="46"/>
      <c r="P67" s="46"/>
      <c r="Q67" s="59"/>
      <c r="R67" s="59"/>
      <c r="S67" s="59"/>
      <c r="T67" s="59"/>
      <c r="U67" s="59"/>
      <c r="V67" s="59"/>
      <c r="W67" s="59"/>
      <c r="X67" s="59"/>
      <c r="Y67" s="38"/>
      <c r="Z67" s="38"/>
      <c r="AA67" s="38"/>
    </row>
    <row r="68" spans="2:27" ht="15.75">
      <c r="B68" s="55"/>
      <c r="C68" s="56">
        <v>2</v>
      </c>
      <c r="D68" s="57"/>
      <c r="E68" s="57"/>
      <c r="F68" s="68">
        <v>7.0000000000000034E-2</v>
      </c>
      <c r="G68" s="68">
        <v>0.1</v>
      </c>
      <c r="H68" s="68">
        <v>0.19</v>
      </c>
      <c r="I68" s="68">
        <v>0.26</v>
      </c>
      <c r="J68" s="68">
        <v>0.35</v>
      </c>
      <c r="K68" s="68">
        <v>0.41249999999999998</v>
      </c>
      <c r="L68" s="68">
        <v>0.47499999999999998</v>
      </c>
      <c r="M68" s="68">
        <v>0.53749999999999998</v>
      </c>
      <c r="N68" s="68">
        <v>0.6</v>
      </c>
      <c r="O68" s="46"/>
      <c r="P68" s="46"/>
      <c r="Q68" s="59"/>
      <c r="R68" s="59"/>
      <c r="S68" s="59"/>
      <c r="T68" s="59"/>
      <c r="U68" s="59"/>
      <c r="V68" s="59"/>
      <c r="W68" s="59"/>
      <c r="X68" s="59"/>
      <c r="Y68" s="38"/>
      <c r="Z68" s="38"/>
      <c r="AA68" s="38"/>
    </row>
    <row r="69" spans="2:27" ht="15.75">
      <c r="B69" s="55"/>
      <c r="C69" s="56">
        <v>3</v>
      </c>
      <c r="D69" s="57"/>
      <c r="E69" s="57"/>
      <c r="F69" s="68">
        <v>7.000000000000009E-2</v>
      </c>
      <c r="G69" s="68">
        <v>0.11999999999999988</v>
      </c>
      <c r="H69" s="68">
        <v>0.2</v>
      </c>
      <c r="I69" s="68">
        <v>0.29999999999999993</v>
      </c>
      <c r="J69" s="68">
        <v>0.38999999999999996</v>
      </c>
      <c r="K69" s="68">
        <v>0.48</v>
      </c>
      <c r="L69" s="68">
        <v>0.57000000000000006</v>
      </c>
      <c r="M69" s="68">
        <v>0.65999999999999992</v>
      </c>
      <c r="N69" s="68">
        <v>0.75</v>
      </c>
      <c r="O69" s="46"/>
      <c r="P69" s="46"/>
      <c r="Q69" s="59"/>
      <c r="R69" s="59"/>
      <c r="S69" s="59"/>
      <c r="T69" s="59"/>
      <c r="U69" s="59"/>
      <c r="V69" s="59"/>
      <c r="W69" s="59"/>
      <c r="X69" s="59"/>
      <c r="Y69" s="38"/>
      <c r="Z69" s="38"/>
      <c r="AA69" s="38"/>
    </row>
    <row r="70" spans="2:27" ht="15.75">
      <c r="B70" s="55"/>
      <c r="C70" s="61">
        <v>4</v>
      </c>
      <c r="D70" s="62"/>
      <c r="E70" s="62"/>
      <c r="F70" s="68">
        <v>7.0000000000000132E-2</v>
      </c>
      <c r="G70" s="68">
        <v>0.11999999999999991</v>
      </c>
      <c r="H70" s="68">
        <v>0.2</v>
      </c>
      <c r="I70" s="68">
        <v>0.34285714285714286</v>
      </c>
      <c r="J70" s="68">
        <v>0.45428571428571429</v>
      </c>
      <c r="K70" s="68">
        <v>0.56571428571428573</v>
      </c>
      <c r="L70" s="68">
        <v>0.67714285714285727</v>
      </c>
      <c r="M70" s="68">
        <v>0.7885714285714287</v>
      </c>
      <c r="N70" s="68">
        <v>0.90000000000000013</v>
      </c>
      <c r="O70" s="46"/>
      <c r="P70" s="46"/>
      <c r="Q70" s="59"/>
      <c r="R70" s="59"/>
      <c r="S70" s="59"/>
      <c r="T70" s="59"/>
      <c r="U70" s="59"/>
      <c r="V70" s="59"/>
      <c r="W70" s="59"/>
      <c r="X70" s="59"/>
      <c r="Y70" s="38"/>
      <c r="Z70" s="38"/>
      <c r="AA70" s="38"/>
    </row>
    <row r="71" spans="2:27" ht="15.75">
      <c r="B71" s="55"/>
      <c r="C71" s="69" t="s">
        <v>37</v>
      </c>
      <c r="D71" s="64"/>
      <c r="E71" s="64"/>
      <c r="F71" s="70">
        <f t="shared" ref="F71:N71" si="5">(INDEX(F$67:F$70,ROUNDDOWN($E$9,0))*(1-MOD($E$9,1)))+(INDEX(F$67:F$70,ROUNDUP($E$9,0))*MOD($E$9,1))</f>
        <v>7.0000000000000007E-2</v>
      </c>
      <c r="G71" s="70">
        <f t="shared" si="5"/>
        <v>0.1</v>
      </c>
      <c r="H71" s="70">
        <f t="shared" si="5"/>
        <v>0.19</v>
      </c>
      <c r="I71" s="70">
        <f t="shared" si="5"/>
        <v>0.26</v>
      </c>
      <c r="J71" s="70">
        <f t="shared" si="5"/>
        <v>0.33</v>
      </c>
      <c r="K71" s="70">
        <f t="shared" si="5"/>
        <v>0.39</v>
      </c>
      <c r="L71" s="70">
        <f t="shared" si="5"/>
        <v>0.44</v>
      </c>
      <c r="M71" s="70">
        <f t="shared" si="5"/>
        <v>0.47</v>
      </c>
      <c r="N71" s="70">
        <f t="shared" si="5"/>
        <v>0.5</v>
      </c>
      <c r="O71" s="46"/>
      <c r="P71" s="46"/>
      <c r="Q71" s="60"/>
      <c r="R71" s="60"/>
      <c r="S71" s="60"/>
      <c r="T71" s="60"/>
      <c r="U71" s="60"/>
      <c r="V71" s="60"/>
      <c r="W71" s="60"/>
      <c r="X71" s="60"/>
      <c r="Y71" s="38"/>
      <c r="Z71" s="38"/>
      <c r="AA71" s="38"/>
    </row>
    <row r="72" spans="2:27" ht="15.75">
      <c r="B72" s="55"/>
      <c r="C72" s="65"/>
      <c r="D72" s="57"/>
      <c r="E72" s="57"/>
      <c r="F72" s="59"/>
      <c r="G72" s="66"/>
      <c r="H72" s="66"/>
      <c r="I72" s="66"/>
      <c r="J72" s="66"/>
      <c r="K72" s="66"/>
      <c r="L72" s="66"/>
      <c r="M72" s="66"/>
      <c r="N72" s="66"/>
      <c r="O72" s="66"/>
      <c r="P72" s="46"/>
      <c r="Q72" s="66"/>
      <c r="R72" s="66"/>
      <c r="S72" s="66"/>
      <c r="T72" s="66"/>
      <c r="U72" s="66"/>
      <c r="V72" s="66"/>
      <c r="W72" s="66"/>
      <c r="X72" s="66"/>
      <c r="Y72" s="39"/>
      <c r="Z72" s="38"/>
      <c r="AA72" s="38"/>
    </row>
    <row r="73" spans="2:27" ht="15.75">
      <c r="B73" s="55"/>
      <c r="C73" s="89" t="s">
        <v>3115</v>
      </c>
      <c r="D73" s="57"/>
      <c r="E73" s="90"/>
      <c r="F73" s="59"/>
      <c r="G73" s="66"/>
      <c r="H73" s="66"/>
      <c r="I73" s="66"/>
      <c r="J73" s="66"/>
      <c r="K73" s="66"/>
      <c r="L73" s="66"/>
      <c r="M73" s="66"/>
      <c r="N73" s="66"/>
      <c r="O73" s="90"/>
      <c r="P73" s="90"/>
      <c r="Q73" s="90"/>
      <c r="R73" s="90"/>
      <c r="S73" s="90"/>
      <c r="T73" s="90"/>
      <c r="U73" s="90"/>
      <c r="V73" s="90"/>
      <c r="W73" s="90"/>
      <c r="X73" s="90"/>
      <c r="Y73" s="38"/>
      <c r="Z73" s="38"/>
      <c r="AA73" s="38"/>
    </row>
    <row r="74" spans="2:27" ht="15.75">
      <c r="B74" s="55"/>
      <c r="C74" s="56"/>
      <c r="D74" s="57"/>
      <c r="E74" s="57"/>
      <c r="F74" s="59"/>
      <c r="G74" s="66"/>
      <c r="H74" s="66"/>
      <c r="I74" s="66"/>
      <c r="J74" s="66"/>
      <c r="K74" s="66"/>
      <c r="L74" s="66"/>
      <c r="M74" s="66"/>
      <c r="N74" s="66"/>
      <c r="O74" s="66"/>
      <c r="P74" s="66"/>
      <c r="Q74" s="66"/>
      <c r="R74" s="66"/>
      <c r="S74" s="66"/>
      <c r="T74" s="66"/>
      <c r="U74" s="66"/>
      <c r="V74" s="66"/>
      <c r="W74" s="66"/>
      <c r="X74" s="66"/>
      <c r="Y74" s="38"/>
      <c r="Z74" s="38"/>
      <c r="AA74" s="38"/>
    </row>
    <row r="75" spans="2:27" ht="15.75">
      <c r="B75" s="55"/>
      <c r="C75" s="52" t="s">
        <v>44</v>
      </c>
      <c r="D75" s="52" t="s">
        <v>45</v>
      </c>
      <c r="E75" s="52">
        <v>9</v>
      </c>
      <c r="F75" s="53">
        <v>1</v>
      </c>
      <c r="G75" s="53">
        <v>3</v>
      </c>
      <c r="H75" s="53">
        <v>11</v>
      </c>
      <c r="I75" s="53">
        <v>2</v>
      </c>
      <c r="J75" s="53">
        <v>5</v>
      </c>
      <c r="K75" s="53">
        <v>4</v>
      </c>
      <c r="L75" s="53">
        <v>13</v>
      </c>
      <c r="M75" s="53">
        <v>10</v>
      </c>
      <c r="N75" s="53">
        <v>8</v>
      </c>
      <c r="O75" s="53">
        <v>16</v>
      </c>
      <c r="P75" s="53">
        <v>7</v>
      </c>
      <c r="Q75" s="53">
        <v>15</v>
      </c>
      <c r="R75" s="53">
        <v>6</v>
      </c>
      <c r="S75" s="53">
        <v>14</v>
      </c>
      <c r="T75" s="53">
        <v>12</v>
      </c>
      <c r="U75" s="91"/>
      <c r="X75" s="92">
        <v>12</v>
      </c>
      <c r="Y75" s="38"/>
      <c r="Z75" s="38"/>
      <c r="AA75" s="38"/>
    </row>
    <row r="76" spans="2:27" ht="15.75">
      <c r="B76" s="55"/>
      <c r="C76" s="56">
        <v>1</v>
      </c>
      <c r="D76" s="57" t="s">
        <v>46</v>
      </c>
      <c r="E76" s="93"/>
      <c r="F76" s="94"/>
      <c r="G76" s="94"/>
      <c r="H76" s="94"/>
      <c r="I76" s="94"/>
      <c r="J76" s="94"/>
      <c r="K76" s="94"/>
      <c r="L76" s="94"/>
      <c r="M76" s="94"/>
      <c r="N76" s="94"/>
      <c r="O76" s="94"/>
      <c r="P76" s="94"/>
      <c r="Q76" s="94"/>
      <c r="R76" s="94"/>
      <c r="S76" s="94"/>
      <c r="T76" s="94"/>
      <c r="U76" s="95"/>
      <c r="X76" s="94"/>
      <c r="Y76" s="38"/>
      <c r="Z76" s="38"/>
      <c r="AA76" s="38"/>
    </row>
    <row r="77" spans="2:27" ht="15.75">
      <c r="B77" s="55"/>
      <c r="C77" s="56">
        <v>2</v>
      </c>
      <c r="D77" s="57" t="s">
        <v>47</v>
      </c>
      <c r="E77" s="93">
        <v>0.9</v>
      </c>
      <c r="F77" s="94"/>
      <c r="G77" s="94">
        <v>0.25</v>
      </c>
      <c r="H77" s="94">
        <v>0.8</v>
      </c>
      <c r="I77" s="94"/>
      <c r="J77" s="94"/>
      <c r="K77" s="94"/>
      <c r="L77" s="94"/>
      <c r="M77" s="94">
        <v>0</v>
      </c>
      <c r="N77" s="94"/>
      <c r="O77" s="94"/>
      <c r="P77" s="94"/>
      <c r="Q77" s="94"/>
      <c r="R77" s="94"/>
      <c r="S77" s="94"/>
      <c r="T77" s="94"/>
      <c r="U77" s="95"/>
      <c r="X77" s="94">
        <v>1E-3</v>
      </c>
      <c r="Y77" s="38"/>
      <c r="Z77" s="38"/>
      <c r="AA77" s="38"/>
    </row>
    <row r="78" spans="2:27" ht="15.75">
      <c r="B78" s="55"/>
      <c r="C78" s="56">
        <v>3</v>
      </c>
      <c r="D78" s="57" t="s">
        <v>48</v>
      </c>
      <c r="E78" s="93">
        <v>0.1</v>
      </c>
      <c r="F78" s="94">
        <v>0.25</v>
      </c>
      <c r="G78" s="94"/>
      <c r="H78" s="94">
        <v>0.2</v>
      </c>
      <c r="I78" s="94">
        <v>0.1</v>
      </c>
      <c r="J78" s="94"/>
      <c r="K78" s="94">
        <v>0.15</v>
      </c>
      <c r="L78" s="94">
        <v>0.05</v>
      </c>
      <c r="M78" s="94">
        <v>0.3</v>
      </c>
      <c r="N78" s="94"/>
      <c r="O78" s="94">
        <v>0.1</v>
      </c>
      <c r="P78" s="94"/>
      <c r="Q78" s="94"/>
      <c r="R78" s="94"/>
      <c r="S78" s="94"/>
      <c r="T78" s="94"/>
      <c r="U78" s="95"/>
      <c r="X78" s="94"/>
      <c r="Y78" s="38"/>
      <c r="Z78" s="38"/>
      <c r="AA78" s="38"/>
    </row>
    <row r="79" spans="2:27" ht="15.75">
      <c r="B79" s="55"/>
      <c r="C79" s="56">
        <v>4</v>
      </c>
      <c r="D79" s="57" t="s">
        <v>49</v>
      </c>
      <c r="E79" s="93"/>
      <c r="F79" s="94"/>
      <c r="G79" s="94"/>
      <c r="H79" s="94"/>
      <c r="I79" s="94"/>
      <c r="J79" s="94"/>
      <c r="K79" s="94"/>
      <c r="L79" s="94"/>
      <c r="M79" s="94"/>
      <c r="N79" s="94"/>
      <c r="O79" s="94"/>
      <c r="P79" s="94"/>
      <c r="Q79" s="94"/>
      <c r="R79" s="94"/>
      <c r="S79" s="94"/>
      <c r="T79" s="94"/>
      <c r="U79" s="95"/>
      <c r="X79" s="94"/>
    </row>
    <row r="80" spans="2:27" ht="15.75">
      <c r="B80" s="55"/>
      <c r="C80" s="56">
        <v>5</v>
      </c>
      <c r="D80" s="57" t="s">
        <v>50</v>
      </c>
      <c r="E80" s="93"/>
      <c r="F80" s="94"/>
      <c r="G80" s="94"/>
      <c r="H80" s="94"/>
      <c r="I80" s="96">
        <v>0.2</v>
      </c>
      <c r="J80" s="94">
        <v>0.3</v>
      </c>
      <c r="K80" s="94"/>
      <c r="L80" s="94"/>
      <c r="M80" s="94"/>
      <c r="N80" s="94">
        <v>0.35</v>
      </c>
      <c r="O80" s="94">
        <v>0</v>
      </c>
      <c r="P80" s="94">
        <v>0.1</v>
      </c>
      <c r="Q80" s="94">
        <v>0.1</v>
      </c>
      <c r="R80" s="94">
        <v>0.05</v>
      </c>
      <c r="S80" s="94">
        <v>0.15</v>
      </c>
      <c r="T80" s="94">
        <v>0.05</v>
      </c>
      <c r="U80" s="95"/>
      <c r="X80" s="94">
        <v>0.05</v>
      </c>
    </row>
    <row r="81" spans="2:24" ht="15.75">
      <c r="B81" s="55"/>
      <c r="C81" s="56">
        <v>6</v>
      </c>
      <c r="D81" s="57" t="s">
        <v>51</v>
      </c>
      <c r="E81" s="93"/>
      <c r="F81" s="94"/>
      <c r="G81" s="96"/>
      <c r="H81" s="96"/>
      <c r="I81" s="96"/>
      <c r="J81" s="96"/>
      <c r="K81" s="96"/>
      <c r="L81" s="96"/>
      <c r="M81" s="96">
        <v>0</v>
      </c>
      <c r="N81" s="96"/>
      <c r="O81" s="96"/>
      <c r="P81" s="96">
        <v>0.19</v>
      </c>
      <c r="Q81" s="96">
        <v>0.19</v>
      </c>
      <c r="R81" s="96">
        <v>0.24</v>
      </c>
      <c r="S81" s="96"/>
      <c r="T81" s="96"/>
      <c r="U81" s="97"/>
      <c r="X81" s="96"/>
    </row>
    <row r="82" spans="2:24" ht="15.75">
      <c r="B82" s="55"/>
      <c r="C82" s="56">
        <v>7</v>
      </c>
      <c r="D82" s="57" t="s">
        <v>52</v>
      </c>
      <c r="E82" s="93"/>
      <c r="F82" s="94"/>
      <c r="G82" s="96"/>
      <c r="H82" s="96">
        <v>0</v>
      </c>
      <c r="I82" s="96"/>
      <c r="J82" s="96"/>
      <c r="K82" s="96"/>
      <c r="L82" s="96"/>
      <c r="M82" s="96">
        <v>0</v>
      </c>
      <c r="N82" s="96"/>
      <c r="O82" s="96"/>
      <c r="P82" s="96"/>
      <c r="Q82" s="96"/>
      <c r="R82" s="96"/>
      <c r="S82" s="96"/>
      <c r="T82" s="96">
        <v>0.16</v>
      </c>
      <c r="U82" s="97"/>
      <c r="X82" s="96">
        <v>0.16</v>
      </c>
    </row>
    <row r="83" spans="2:24" ht="15.75">
      <c r="B83" s="55"/>
      <c r="C83" s="56">
        <v>8</v>
      </c>
      <c r="D83" s="57" t="s">
        <v>53</v>
      </c>
      <c r="E83" s="93"/>
      <c r="F83" s="94">
        <v>0.5</v>
      </c>
      <c r="G83" s="96">
        <v>0.55000000000000004</v>
      </c>
      <c r="H83" s="96"/>
      <c r="I83" s="96">
        <v>0.45</v>
      </c>
      <c r="J83" s="96"/>
      <c r="K83" s="96">
        <v>0.45</v>
      </c>
      <c r="L83" s="96">
        <v>0.45</v>
      </c>
      <c r="M83" s="96"/>
      <c r="N83" s="96">
        <v>0.18</v>
      </c>
      <c r="O83" s="96">
        <v>0.25</v>
      </c>
      <c r="P83" s="96"/>
      <c r="Q83" s="96"/>
      <c r="R83" s="96"/>
      <c r="S83" s="96">
        <v>0.14000000000000001</v>
      </c>
      <c r="T83" s="96"/>
      <c r="U83" s="97"/>
      <c r="X83" s="96"/>
    </row>
    <row r="84" spans="2:24" ht="15.75">
      <c r="B84" s="55"/>
      <c r="C84" s="56">
        <v>9</v>
      </c>
      <c r="D84" s="57" t="s">
        <v>54</v>
      </c>
      <c r="E84" s="93"/>
      <c r="F84" s="94">
        <v>0.25</v>
      </c>
      <c r="G84" s="96">
        <v>0.2</v>
      </c>
      <c r="H84" s="96">
        <v>0</v>
      </c>
      <c r="I84" s="96">
        <v>0.25</v>
      </c>
      <c r="J84" s="96">
        <v>0.2</v>
      </c>
      <c r="K84" s="96">
        <v>0.25</v>
      </c>
      <c r="L84" s="96">
        <v>0.3</v>
      </c>
      <c r="M84" s="96">
        <v>0.3</v>
      </c>
      <c r="N84" s="96">
        <v>0.3</v>
      </c>
      <c r="O84" s="96">
        <v>0.25</v>
      </c>
      <c r="P84" s="96"/>
      <c r="Q84" s="96"/>
      <c r="R84" s="96"/>
      <c r="S84" s="96">
        <v>0.2</v>
      </c>
      <c r="T84" s="96">
        <v>0.25</v>
      </c>
      <c r="U84" s="97"/>
      <c r="X84" s="96">
        <v>0.25</v>
      </c>
    </row>
    <row r="85" spans="2:24" ht="15.75">
      <c r="B85" s="55"/>
      <c r="C85" s="56">
        <v>10</v>
      </c>
      <c r="D85" s="57" t="s">
        <v>55</v>
      </c>
      <c r="E85" s="93"/>
      <c r="F85" s="94"/>
      <c r="G85" s="96"/>
      <c r="H85" s="96"/>
      <c r="I85" s="73"/>
      <c r="J85" s="96"/>
      <c r="K85" s="96"/>
      <c r="L85" s="96">
        <v>0.01</v>
      </c>
      <c r="M85" s="96"/>
      <c r="N85" s="96"/>
      <c r="O85" s="96"/>
      <c r="P85" s="96">
        <v>0.01</v>
      </c>
      <c r="Q85" s="96">
        <v>0.01</v>
      </c>
      <c r="R85" s="96">
        <v>0.01</v>
      </c>
      <c r="S85" s="96"/>
      <c r="T85" s="96">
        <v>0.01</v>
      </c>
      <c r="U85" s="97"/>
      <c r="X85" s="96">
        <v>0.01</v>
      </c>
    </row>
    <row r="86" spans="2:24" ht="15.75">
      <c r="B86" s="55"/>
      <c r="C86" s="56">
        <v>11</v>
      </c>
      <c r="D86" s="57" t="s">
        <v>56</v>
      </c>
      <c r="E86" s="93"/>
      <c r="F86" s="94"/>
      <c r="G86" s="96"/>
      <c r="H86" s="96"/>
      <c r="I86" s="96"/>
      <c r="J86" s="96"/>
      <c r="K86" s="96"/>
      <c r="L86" s="96"/>
      <c r="M86" s="96">
        <v>0.33</v>
      </c>
      <c r="N86" s="96"/>
      <c r="O86" s="96">
        <v>0.13</v>
      </c>
      <c r="P86" s="96">
        <v>0.3</v>
      </c>
      <c r="Q86" s="96">
        <v>0.24</v>
      </c>
      <c r="R86" s="96"/>
      <c r="S86" s="96">
        <v>0.15</v>
      </c>
      <c r="T86" s="96">
        <v>0.23</v>
      </c>
      <c r="U86" s="97"/>
      <c r="X86" s="96">
        <v>0.23</v>
      </c>
    </row>
    <row r="87" spans="2:24" ht="15.75">
      <c r="B87" s="55"/>
      <c r="C87" s="56">
        <v>12</v>
      </c>
      <c r="D87" s="57" t="s">
        <v>57</v>
      </c>
      <c r="E87" s="93"/>
      <c r="F87" s="94"/>
      <c r="G87" s="96"/>
      <c r="H87" s="96"/>
      <c r="I87" s="96"/>
      <c r="J87" s="96">
        <v>0.5</v>
      </c>
      <c r="K87" s="96"/>
      <c r="L87" s="96"/>
      <c r="M87" s="96"/>
      <c r="N87" s="96">
        <v>0.1</v>
      </c>
      <c r="O87" s="96">
        <v>0.2</v>
      </c>
      <c r="P87" s="96">
        <v>0.33</v>
      </c>
      <c r="Q87" s="96">
        <v>0.35</v>
      </c>
      <c r="R87" s="96">
        <v>0.63</v>
      </c>
      <c r="S87" s="96">
        <v>0.25</v>
      </c>
      <c r="T87" s="96">
        <v>0.23</v>
      </c>
      <c r="U87" s="97"/>
      <c r="X87" s="96">
        <v>0.23</v>
      </c>
    </row>
    <row r="88" spans="2:24" ht="15.75">
      <c r="B88" s="55"/>
      <c r="C88" s="61">
        <v>13</v>
      </c>
      <c r="D88" s="62" t="s">
        <v>58</v>
      </c>
      <c r="E88" s="98"/>
      <c r="F88" s="99"/>
      <c r="G88" s="100"/>
      <c r="H88" s="100"/>
      <c r="I88" s="100"/>
      <c r="J88" s="100"/>
      <c r="K88" s="100">
        <v>0.1</v>
      </c>
      <c r="L88" s="100">
        <v>0.19</v>
      </c>
      <c r="M88" s="100">
        <v>7.0000000000000007E-2</v>
      </c>
      <c r="N88" s="100">
        <v>7.0000000000000007E-2</v>
      </c>
      <c r="O88" s="100">
        <v>7.0000000000000007E-2</v>
      </c>
      <c r="P88" s="100">
        <v>7.0000000000000007E-2</v>
      </c>
      <c r="Q88" s="100">
        <v>0.11</v>
      </c>
      <c r="R88" s="100">
        <v>7.0000000000000007E-2</v>
      </c>
      <c r="S88" s="100">
        <v>0.11</v>
      </c>
      <c r="T88" s="100">
        <v>7.0000000000000007E-2</v>
      </c>
      <c r="U88" s="97"/>
      <c r="X88" s="100">
        <v>7.0000000000000007E-2</v>
      </c>
    </row>
    <row r="89" spans="2:24" ht="15.75">
      <c r="B89" s="55"/>
      <c r="C89" s="101"/>
      <c r="D89" s="64" t="s">
        <v>59</v>
      </c>
      <c r="E89" s="102">
        <f t="shared" ref="E89:T89" si="6">SUM(E76:E88)</f>
        <v>1</v>
      </c>
      <c r="F89" s="102">
        <f t="shared" si="6"/>
        <v>1</v>
      </c>
      <c r="G89" s="102">
        <f t="shared" si="6"/>
        <v>1</v>
      </c>
      <c r="H89" s="102">
        <f t="shared" si="6"/>
        <v>1</v>
      </c>
      <c r="I89" s="102">
        <f t="shared" si="6"/>
        <v>1</v>
      </c>
      <c r="J89" s="102">
        <f t="shared" si="6"/>
        <v>1</v>
      </c>
      <c r="K89" s="102">
        <f t="shared" si="6"/>
        <v>0.95</v>
      </c>
      <c r="L89" s="102">
        <f t="shared" si="6"/>
        <v>1</v>
      </c>
      <c r="M89" s="102">
        <f t="shared" si="6"/>
        <v>1</v>
      </c>
      <c r="N89" s="102">
        <f t="shared" si="6"/>
        <v>1</v>
      </c>
      <c r="O89" s="102">
        <f t="shared" si="6"/>
        <v>1</v>
      </c>
      <c r="P89" s="102">
        <f t="shared" si="6"/>
        <v>1.0000000000000002</v>
      </c>
      <c r="Q89" s="102">
        <f t="shared" si="6"/>
        <v>1</v>
      </c>
      <c r="R89" s="102">
        <f t="shared" si="6"/>
        <v>1</v>
      </c>
      <c r="S89" s="102">
        <f t="shared" si="6"/>
        <v>1</v>
      </c>
      <c r="T89" s="102">
        <f t="shared" si="6"/>
        <v>1</v>
      </c>
      <c r="U89" s="103"/>
      <c r="X89" s="93">
        <f>SUM(X76:X88)</f>
        <v>1.0010000000000001</v>
      </c>
    </row>
    <row r="90" spans="2:24" ht="15.75">
      <c r="B90" s="55"/>
      <c r="C90" s="57"/>
      <c r="D90" s="57"/>
      <c r="E90" s="57"/>
      <c r="F90" s="57"/>
      <c r="G90" s="93"/>
      <c r="H90" s="93"/>
      <c r="I90" s="93"/>
      <c r="J90" s="93"/>
      <c r="K90" s="93"/>
      <c r="L90" s="93"/>
      <c r="M90" s="93"/>
      <c r="N90" s="93"/>
      <c r="O90" s="93"/>
      <c r="P90" s="93"/>
      <c r="Q90" s="93"/>
      <c r="R90" s="93"/>
      <c r="S90" s="93"/>
      <c r="T90" s="93"/>
      <c r="U90" s="93"/>
      <c r="V90" s="93"/>
      <c r="W90" s="93"/>
      <c r="X90" s="3837"/>
    </row>
    <row r="91" spans="2:24" ht="15.75">
      <c r="B91" s="55"/>
      <c r="C91" s="89" t="s">
        <v>3116</v>
      </c>
      <c r="D91" s="57"/>
      <c r="E91" s="57"/>
      <c r="F91" s="93"/>
      <c r="G91" s="93"/>
      <c r="H91" s="93"/>
      <c r="I91" s="93"/>
      <c r="J91" s="93"/>
      <c r="K91" s="93"/>
      <c r="L91" s="93"/>
      <c r="M91" s="93"/>
      <c r="N91" s="93" t="s">
        <v>5</v>
      </c>
      <c r="O91" s="93"/>
      <c r="P91" s="46"/>
      <c r="Q91" s="46"/>
      <c r="R91" s="46"/>
      <c r="S91" s="46"/>
      <c r="T91" s="46"/>
      <c r="U91" s="46"/>
      <c r="V91" s="46"/>
      <c r="W91" s="46"/>
      <c r="X91" s="46"/>
    </row>
    <row r="92" spans="2:24" ht="15.75">
      <c r="B92" s="55"/>
      <c r="C92" s="56"/>
      <c r="D92" s="57"/>
      <c r="E92" s="57"/>
      <c r="F92" s="93"/>
      <c r="G92" s="93"/>
      <c r="H92" s="93"/>
      <c r="I92" s="93"/>
      <c r="J92" s="93"/>
      <c r="K92" s="93"/>
      <c r="L92" s="93"/>
      <c r="M92" s="93"/>
      <c r="N92" s="93"/>
      <c r="O92" s="93"/>
      <c r="P92" s="46"/>
      <c r="Q92" s="46"/>
      <c r="R92" s="46"/>
      <c r="S92" s="46"/>
      <c r="T92" s="46"/>
      <c r="U92" s="46"/>
      <c r="V92" s="46"/>
      <c r="W92" s="46"/>
      <c r="X92" s="46"/>
    </row>
    <row r="93" spans="2:24" ht="15.75">
      <c r="B93" s="55"/>
      <c r="C93" s="52" t="s">
        <v>44</v>
      </c>
      <c r="D93" s="52" t="s">
        <v>45</v>
      </c>
      <c r="E93" s="52">
        <v>9</v>
      </c>
      <c r="F93" s="53">
        <v>1</v>
      </c>
      <c r="G93" s="53">
        <v>3</v>
      </c>
      <c r="H93" s="53">
        <v>11</v>
      </c>
      <c r="I93" s="53">
        <v>2</v>
      </c>
      <c r="J93" s="53">
        <v>5</v>
      </c>
      <c r="K93" s="53">
        <v>4</v>
      </c>
      <c r="L93" s="53">
        <v>13</v>
      </c>
      <c r="M93" s="53">
        <v>10</v>
      </c>
      <c r="N93" s="53">
        <v>8</v>
      </c>
      <c r="O93" s="53">
        <v>16</v>
      </c>
      <c r="P93" s="53">
        <v>7</v>
      </c>
      <c r="Q93" s="53">
        <v>15</v>
      </c>
      <c r="R93" s="53">
        <v>6</v>
      </c>
      <c r="S93" s="53">
        <v>14</v>
      </c>
      <c r="T93" s="53">
        <v>12</v>
      </c>
      <c r="U93" s="48"/>
      <c r="X93" s="53">
        <v>12</v>
      </c>
    </row>
    <row r="94" spans="2:24" ht="15.75">
      <c r="B94" s="55"/>
      <c r="C94" s="56">
        <v>1</v>
      </c>
      <c r="D94" s="57" t="s">
        <v>61</v>
      </c>
      <c r="E94" s="93"/>
      <c r="F94" s="94"/>
      <c r="G94" s="94"/>
      <c r="H94" s="94"/>
      <c r="I94" s="94"/>
      <c r="J94" s="94"/>
      <c r="K94" s="94"/>
      <c r="L94" s="94"/>
      <c r="M94" s="94"/>
      <c r="N94" s="94"/>
      <c r="O94" s="94"/>
      <c r="P94" s="94"/>
      <c r="Q94" s="94"/>
      <c r="R94" s="94"/>
      <c r="S94" s="94"/>
      <c r="T94" s="94"/>
      <c r="U94" s="48"/>
      <c r="X94" s="94"/>
    </row>
    <row r="95" spans="2:24" ht="15.75">
      <c r="B95" s="55"/>
      <c r="C95" s="56">
        <v>2</v>
      </c>
      <c r="D95" s="57" t="s">
        <v>62</v>
      </c>
      <c r="E95" s="93">
        <v>1</v>
      </c>
      <c r="F95" s="94">
        <v>1</v>
      </c>
      <c r="G95" s="94">
        <v>1</v>
      </c>
      <c r="H95" s="94">
        <v>1</v>
      </c>
      <c r="I95" s="94">
        <v>1</v>
      </c>
      <c r="J95" s="94">
        <v>1</v>
      </c>
      <c r="K95" s="94">
        <v>0.97</v>
      </c>
      <c r="L95" s="94">
        <v>0.88</v>
      </c>
      <c r="M95" s="94">
        <v>0.93</v>
      </c>
      <c r="N95" s="94">
        <v>0.93</v>
      </c>
      <c r="O95" s="94">
        <v>0.93</v>
      </c>
      <c r="P95" s="94">
        <v>0.92</v>
      </c>
      <c r="Q95" s="94">
        <v>0.88</v>
      </c>
      <c r="R95" s="94">
        <v>0.92</v>
      </c>
      <c r="S95" s="94">
        <v>0.89</v>
      </c>
      <c r="T95" s="94">
        <v>0.92</v>
      </c>
      <c r="U95" s="48"/>
      <c r="X95" s="94">
        <v>0.89</v>
      </c>
    </row>
    <row r="96" spans="2:24" ht="15.75">
      <c r="B96" s="55"/>
      <c r="C96" s="56">
        <v>3</v>
      </c>
      <c r="D96" s="57" t="s">
        <v>63</v>
      </c>
      <c r="E96" s="93"/>
      <c r="F96" s="94"/>
      <c r="G96" s="94"/>
      <c r="H96" s="93"/>
      <c r="I96" s="94"/>
      <c r="J96" s="93"/>
      <c r="K96" s="94">
        <v>0.03</v>
      </c>
      <c r="L96" s="94">
        <v>0.12</v>
      </c>
      <c r="M96" s="93">
        <v>7.0000000000000007E-2</v>
      </c>
      <c r="N96" s="93">
        <v>7.0000000000000007E-2</v>
      </c>
      <c r="O96" s="94">
        <v>7.0000000000000007E-2</v>
      </c>
      <c r="P96" s="94">
        <v>0.08</v>
      </c>
      <c r="Q96" s="94">
        <v>0.12</v>
      </c>
      <c r="R96" s="94">
        <v>0.08</v>
      </c>
      <c r="S96" s="94">
        <v>0.11</v>
      </c>
      <c r="T96" s="94">
        <v>0.08</v>
      </c>
      <c r="U96" s="48"/>
      <c r="X96" s="94">
        <v>0.11</v>
      </c>
    </row>
    <row r="97" spans="1:24" ht="15.75">
      <c r="B97" s="55"/>
      <c r="C97" s="105"/>
      <c r="D97" s="106" t="s">
        <v>59</v>
      </c>
      <c r="E97" s="107">
        <f t="shared" ref="E97:T97" si="7">SUM(E$94:E$96)</f>
        <v>1</v>
      </c>
      <c r="F97" s="107">
        <f t="shared" si="7"/>
        <v>1</v>
      </c>
      <c r="G97" s="107">
        <f t="shared" si="7"/>
        <v>1</v>
      </c>
      <c r="H97" s="107">
        <f t="shared" si="7"/>
        <v>1</v>
      </c>
      <c r="I97" s="107">
        <f t="shared" si="7"/>
        <v>1</v>
      </c>
      <c r="J97" s="107">
        <f t="shared" si="7"/>
        <v>1</v>
      </c>
      <c r="K97" s="107">
        <f t="shared" si="7"/>
        <v>1</v>
      </c>
      <c r="L97" s="107">
        <f t="shared" si="7"/>
        <v>1</v>
      </c>
      <c r="M97" s="107">
        <f t="shared" si="7"/>
        <v>1</v>
      </c>
      <c r="N97" s="107">
        <f t="shared" si="7"/>
        <v>1</v>
      </c>
      <c r="O97" s="107">
        <f t="shared" si="7"/>
        <v>1</v>
      </c>
      <c r="P97" s="107">
        <f t="shared" si="7"/>
        <v>1</v>
      </c>
      <c r="Q97" s="107">
        <f t="shared" si="7"/>
        <v>1</v>
      </c>
      <c r="R97" s="107">
        <f t="shared" si="7"/>
        <v>1</v>
      </c>
      <c r="S97" s="107">
        <f t="shared" si="7"/>
        <v>1</v>
      </c>
      <c r="T97" s="107">
        <f t="shared" si="7"/>
        <v>1</v>
      </c>
      <c r="U97" s="48"/>
      <c r="X97" s="107">
        <f>SUM(X$94:X$96)</f>
        <v>1</v>
      </c>
    </row>
    <row r="98" spans="1:24">
      <c r="B98" s="45"/>
      <c r="C98" s="56"/>
      <c r="D98" s="57"/>
      <c r="E98" s="57"/>
      <c r="F98" s="93"/>
      <c r="G98" s="93"/>
      <c r="H98" s="93"/>
      <c r="I98" s="93"/>
      <c r="J98" s="93"/>
      <c r="K98" s="93"/>
      <c r="L98" s="93"/>
      <c r="M98" s="93"/>
      <c r="N98" s="93"/>
      <c r="O98" s="93"/>
      <c r="P98" s="46"/>
      <c r="Q98" s="46"/>
      <c r="R98" s="46"/>
      <c r="S98" s="46"/>
      <c r="T98" s="46"/>
      <c r="U98" s="46"/>
      <c r="V98" s="46"/>
      <c r="W98" s="46"/>
      <c r="X98" s="46"/>
    </row>
    <row r="99" spans="1:24">
      <c r="B99" s="45"/>
      <c r="C99" s="3600" t="s">
        <v>64</v>
      </c>
      <c r="D99" s="108"/>
      <c r="E99" s="57"/>
      <c r="F99" s="93"/>
      <c r="G99" s="93"/>
      <c r="H99" s="93"/>
      <c r="I99" s="93"/>
      <c r="J99" s="93"/>
      <c r="K99" s="93"/>
      <c r="L99" s="93"/>
      <c r="M99" s="93"/>
      <c r="N99" s="93"/>
      <c r="O99" s="93"/>
      <c r="P99" s="46"/>
      <c r="Q99" s="46"/>
      <c r="R99" s="46"/>
      <c r="S99" s="46"/>
      <c r="T99" s="46"/>
      <c r="U99" s="46"/>
      <c r="V99" s="46"/>
      <c r="W99" s="46"/>
      <c r="X99" s="46"/>
    </row>
    <row r="100" spans="1:24">
      <c r="B100" s="45"/>
      <c r="C100" s="3870" t="s">
        <v>65</v>
      </c>
      <c r="D100" s="2278" t="s">
        <v>66</v>
      </c>
      <c r="E100" s="57"/>
      <c r="F100" s="93"/>
      <c r="G100" s="93"/>
      <c r="H100" s="93"/>
      <c r="I100" s="93"/>
      <c r="J100" s="93"/>
      <c r="K100" s="93"/>
      <c r="L100" s="93"/>
      <c r="M100" s="93"/>
      <c r="N100" s="93"/>
      <c r="O100" s="93"/>
      <c r="P100" s="46"/>
      <c r="Q100" s="46"/>
      <c r="R100" s="46"/>
      <c r="S100" s="46"/>
      <c r="T100" s="46"/>
      <c r="U100" s="46"/>
      <c r="V100" s="46"/>
      <c r="W100" s="46"/>
      <c r="X100" s="46"/>
    </row>
    <row r="101" spans="1:24">
      <c r="B101" s="45"/>
      <c r="C101" s="3870" t="s">
        <v>67</v>
      </c>
      <c r="D101" s="2278" t="s">
        <v>3117</v>
      </c>
      <c r="E101" s="57"/>
      <c r="F101" s="93"/>
      <c r="G101" s="93"/>
      <c r="H101" s="93"/>
      <c r="I101" s="93"/>
      <c r="J101" s="93"/>
      <c r="K101" s="93"/>
      <c r="L101" s="93"/>
      <c r="M101" s="93"/>
      <c r="N101" s="93"/>
      <c r="O101" s="93"/>
      <c r="P101" s="46"/>
      <c r="Q101" s="46"/>
      <c r="R101" s="46"/>
      <c r="S101" s="46"/>
      <c r="T101" s="46"/>
      <c r="U101" s="46"/>
      <c r="V101" s="46"/>
      <c r="W101" s="46"/>
      <c r="X101" s="46"/>
    </row>
    <row r="102" spans="1:24">
      <c r="B102" s="45"/>
      <c r="C102" s="3870" t="s">
        <v>106</v>
      </c>
      <c r="D102" s="2278" t="s">
        <v>3118</v>
      </c>
      <c r="E102" s="57"/>
      <c r="F102" s="93"/>
      <c r="G102" s="93"/>
      <c r="H102" s="93"/>
      <c r="I102" s="93"/>
      <c r="J102" s="93"/>
      <c r="K102" s="93"/>
      <c r="L102" s="93"/>
      <c r="M102" s="93"/>
      <c r="N102" s="93"/>
      <c r="O102" s="93"/>
      <c r="P102" s="46"/>
      <c r="Q102" s="46"/>
      <c r="R102" s="46"/>
      <c r="S102" s="46"/>
      <c r="T102" s="46"/>
      <c r="U102" s="46"/>
      <c r="V102" s="46"/>
      <c r="W102" s="46"/>
      <c r="X102" s="46"/>
    </row>
    <row r="103" spans="1:24">
      <c r="B103" s="110" t="s">
        <v>5</v>
      </c>
      <c r="C103" s="3870" t="s">
        <v>80</v>
      </c>
      <c r="D103" s="2278" t="s">
        <v>68</v>
      </c>
      <c r="E103" s="57"/>
      <c r="F103" s="93"/>
      <c r="G103" s="93"/>
      <c r="H103" s="93"/>
      <c r="I103" s="93"/>
      <c r="J103" s="93"/>
      <c r="K103" s="93"/>
      <c r="L103" s="93"/>
      <c r="M103" s="93"/>
      <c r="N103" s="93"/>
      <c r="O103" s="93"/>
      <c r="P103" s="46"/>
      <c r="Q103" s="46"/>
      <c r="R103" s="46"/>
      <c r="S103" s="46"/>
      <c r="T103" s="46"/>
      <c r="U103" s="46"/>
      <c r="V103" s="46"/>
      <c r="W103" s="46"/>
      <c r="X103" s="46"/>
    </row>
    <row r="104" spans="1:24">
      <c r="B104" s="111"/>
      <c r="C104" s="3864"/>
      <c r="D104" s="2278" t="s">
        <v>69</v>
      </c>
      <c r="E104" s="112"/>
      <c r="F104" s="113"/>
      <c r="G104" s="114"/>
      <c r="H104" s="114"/>
      <c r="I104" s="114"/>
      <c r="J104" s="114"/>
      <c r="K104" s="114"/>
      <c r="L104" s="114"/>
      <c r="M104" s="114"/>
      <c r="N104" s="114"/>
      <c r="O104" s="114"/>
      <c r="P104" s="115"/>
      <c r="Q104" s="115"/>
      <c r="R104" s="115"/>
      <c r="S104" s="115"/>
      <c r="T104" s="115"/>
      <c r="U104" s="115"/>
      <c r="V104" s="115"/>
      <c r="W104" s="115"/>
      <c r="X104" s="115"/>
    </row>
    <row r="105" spans="1:24">
      <c r="D105"/>
    </row>
    <row r="106" spans="1:24" s="4" customFormat="1" ht="23.25">
      <c r="A106" s="40"/>
      <c r="B106" s="41" t="s">
        <v>70</v>
      </c>
      <c r="C106" s="42"/>
      <c r="D106" s="42"/>
      <c r="E106" s="42"/>
      <c r="F106" s="42"/>
      <c r="G106" s="42"/>
      <c r="H106" s="42"/>
      <c r="I106" s="42"/>
      <c r="J106" s="42"/>
      <c r="K106" s="42"/>
      <c r="L106" s="42"/>
      <c r="M106" s="42"/>
      <c r="N106" s="42"/>
      <c r="O106" s="42"/>
      <c r="P106" s="42"/>
      <c r="Q106" s="44"/>
    </row>
    <row r="107" spans="1:24">
      <c r="B107" s="45"/>
      <c r="C107" s="46"/>
      <c r="D107" s="46"/>
      <c r="E107" s="46"/>
      <c r="F107" s="46"/>
      <c r="G107" s="46"/>
      <c r="H107" s="46"/>
      <c r="I107" s="46"/>
      <c r="J107" s="46"/>
      <c r="K107" s="46"/>
      <c r="L107" s="46"/>
      <c r="M107" s="46"/>
      <c r="N107" s="46"/>
      <c r="O107" s="46"/>
      <c r="P107" s="46"/>
      <c r="Q107" s="48"/>
    </row>
    <row r="108" spans="1:24">
      <c r="B108" s="45"/>
      <c r="C108" s="2230" t="s">
        <v>3119</v>
      </c>
      <c r="D108" s="46"/>
      <c r="E108" s="50"/>
      <c r="F108" s="46"/>
      <c r="G108" s="104"/>
      <c r="H108" s="46"/>
      <c r="I108" s="46"/>
      <c r="J108" s="46"/>
      <c r="K108" s="46"/>
      <c r="L108" s="46"/>
      <c r="M108" s="46"/>
      <c r="N108" s="50" t="s">
        <v>71</v>
      </c>
      <c r="O108" s="50"/>
      <c r="P108" s="50"/>
      <c r="Q108" s="48"/>
    </row>
    <row r="109" spans="1:24">
      <c r="B109" s="45"/>
      <c r="C109" s="46"/>
      <c r="D109" s="46"/>
      <c r="E109" s="46"/>
      <c r="F109" s="46"/>
      <c r="G109" s="46"/>
      <c r="H109" s="46"/>
      <c r="I109" s="46"/>
      <c r="J109" s="46"/>
      <c r="K109" s="46"/>
      <c r="L109" s="46"/>
      <c r="M109" s="46"/>
      <c r="N109" s="46"/>
      <c r="O109" s="46"/>
      <c r="P109" s="46"/>
      <c r="Q109" s="48"/>
    </row>
    <row r="110" spans="1:24" ht="15.75">
      <c r="B110" s="55"/>
      <c r="C110" s="116"/>
      <c r="D110" s="116" t="s">
        <v>72</v>
      </c>
      <c r="E110" s="116" t="s">
        <v>30</v>
      </c>
      <c r="F110" s="117">
        <v>2013</v>
      </c>
      <c r="G110" s="117">
        <v>2015</v>
      </c>
      <c r="H110" s="117">
        <v>2020</v>
      </c>
      <c r="I110" s="117">
        <v>2025</v>
      </c>
      <c r="J110" s="117">
        <v>2030</v>
      </c>
      <c r="K110" s="117">
        <v>2035</v>
      </c>
      <c r="L110" s="117">
        <v>2040</v>
      </c>
      <c r="M110" s="117">
        <v>2045</v>
      </c>
      <c r="N110" s="117">
        <v>2050</v>
      </c>
      <c r="O110" s="46"/>
      <c r="P110" s="54"/>
      <c r="Q110" s="48"/>
    </row>
    <row r="111" spans="1:24" ht="15.75">
      <c r="B111" s="55"/>
      <c r="C111" s="118"/>
      <c r="D111" s="118" t="s">
        <v>73</v>
      </c>
      <c r="E111" s="118"/>
      <c r="F111" s="119">
        <v>5.3333333333333321</v>
      </c>
      <c r="G111" s="120">
        <v>5.6666666666666696</v>
      </c>
      <c r="H111" s="121">
        <v>6</v>
      </c>
      <c r="I111" s="121">
        <v>6.1166666666666671</v>
      </c>
      <c r="J111" s="121">
        <v>6.2333333333333334</v>
      </c>
      <c r="K111" s="121">
        <v>6.35</v>
      </c>
      <c r="L111" s="121">
        <v>6.4666666666666668</v>
      </c>
      <c r="M111" s="121">
        <v>6.583333333333333</v>
      </c>
      <c r="N111" s="121">
        <v>6.6999999999999993</v>
      </c>
      <c r="O111" s="46"/>
      <c r="P111" s="60"/>
      <c r="Q111" s="48"/>
    </row>
    <row r="112" spans="1:24" ht="15.75">
      <c r="B112" s="55"/>
      <c r="C112" s="57"/>
      <c r="D112" s="57" t="s">
        <v>74</v>
      </c>
      <c r="E112" s="122"/>
      <c r="F112" s="123">
        <v>6.6333333333333337</v>
      </c>
      <c r="G112" s="124">
        <v>7.8333333333333339</v>
      </c>
      <c r="H112" s="60">
        <v>9.0333333333333314</v>
      </c>
      <c r="I112" s="60">
        <v>9.1333333333333311</v>
      </c>
      <c r="J112" s="60">
        <v>9.2333333333333307</v>
      </c>
      <c r="K112" s="60">
        <v>9.3333333333333321</v>
      </c>
      <c r="L112" s="60">
        <v>9.4333333333333318</v>
      </c>
      <c r="M112" s="60">
        <v>9.5333333333333314</v>
      </c>
      <c r="N112" s="60">
        <v>9.6333333333333311</v>
      </c>
      <c r="O112" s="46"/>
      <c r="P112" s="60"/>
      <c r="Q112" s="48"/>
    </row>
    <row r="113" spans="2:17" ht="15.75">
      <c r="B113" s="55"/>
      <c r="C113" s="57"/>
      <c r="D113" s="57" t="s">
        <v>75</v>
      </c>
      <c r="E113" s="122"/>
      <c r="F113" s="123">
        <v>14.999999999999998</v>
      </c>
      <c r="G113" s="124">
        <v>15.083333333333332</v>
      </c>
      <c r="H113" s="60">
        <v>15.166666666666666</v>
      </c>
      <c r="I113" s="60">
        <v>15.299999999999999</v>
      </c>
      <c r="J113" s="60">
        <v>15.433333333333334</v>
      </c>
      <c r="K113" s="60">
        <v>15.566666666666666</v>
      </c>
      <c r="L113" s="60">
        <v>15.700000000000001</v>
      </c>
      <c r="M113" s="60">
        <v>15.833333333333334</v>
      </c>
      <c r="N113" s="60">
        <v>15.966666666666669</v>
      </c>
      <c r="O113" s="46"/>
      <c r="P113" s="60"/>
      <c r="Q113" s="48"/>
    </row>
    <row r="114" spans="2:17" ht="15.75">
      <c r="B114" s="55"/>
      <c r="C114" s="125"/>
      <c r="D114" s="125" t="s">
        <v>76</v>
      </c>
      <c r="E114" s="126"/>
      <c r="F114" s="127">
        <v>10.333333333333334</v>
      </c>
      <c r="G114" s="128">
        <v>10.783333333333333</v>
      </c>
      <c r="H114" s="129">
        <v>11.233333333333333</v>
      </c>
      <c r="I114" s="129">
        <v>11.366666666666667</v>
      </c>
      <c r="J114" s="129">
        <v>11.5</v>
      </c>
      <c r="K114" s="129">
        <v>11.633333333333333</v>
      </c>
      <c r="L114" s="129">
        <v>11.766666666666667</v>
      </c>
      <c r="M114" s="129">
        <v>11.9</v>
      </c>
      <c r="N114" s="129">
        <v>12.033333333333333</v>
      </c>
      <c r="O114" s="46"/>
      <c r="P114" s="60"/>
      <c r="Q114" s="48"/>
    </row>
    <row r="115" spans="2:17" ht="15.75">
      <c r="B115" s="55"/>
      <c r="C115" s="106"/>
      <c r="D115" s="106" t="s">
        <v>77</v>
      </c>
      <c r="E115" s="130"/>
      <c r="F115" s="131">
        <f>((F111*$F$805)+(F112*$F$810)+(F113*$F$815)+(F114*$F$820))/($F$805+$F$810+$F$815+$F$820)</f>
        <v>9.3413643623089211</v>
      </c>
      <c r="G115" s="131">
        <f t="shared" ref="G115:N115" si="8">((G111*$F$805)+(G112*$F$810)+(G113*$F$815)+(G114*$F$820))/($F$805+$F$810+$F$815+$F$820)</f>
        <v>9.8590919461556012</v>
      </c>
      <c r="H115" s="131">
        <f t="shared" si="8"/>
        <v>10.376819530002281</v>
      </c>
      <c r="I115" s="131">
        <f t="shared" si="8"/>
        <v>10.497638603696098</v>
      </c>
      <c r="J115" s="131">
        <f t="shared" si="8"/>
        <v>10.618457677389916</v>
      </c>
      <c r="K115" s="131">
        <f t="shared" si="8"/>
        <v>10.739276751083732</v>
      </c>
      <c r="L115" s="131">
        <f t="shared" si="8"/>
        <v>10.860095824777549</v>
      </c>
      <c r="M115" s="131">
        <f t="shared" si="8"/>
        <v>10.980914898471367</v>
      </c>
      <c r="N115" s="131">
        <f t="shared" si="8"/>
        <v>11.101733972165183</v>
      </c>
      <c r="O115" s="46"/>
      <c r="P115" s="60"/>
      <c r="Q115" s="48"/>
    </row>
    <row r="116" spans="2:17">
      <c r="B116" s="45"/>
      <c r="C116" s="46"/>
      <c r="D116" s="46"/>
      <c r="E116" s="46"/>
      <c r="F116" s="46"/>
      <c r="G116" s="46"/>
      <c r="H116" s="46"/>
      <c r="I116" s="46"/>
      <c r="J116" s="46"/>
      <c r="K116" s="46"/>
      <c r="L116" s="46"/>
      <c r="M116" s="46"/>
      <c r="N116" s="46"/>
      <c r="O116" s="46"/>
      <c r="P116" s="46"/>
      <c r="Q116" s="48"/>
    </row>
    <row r="117" spans="2:17">
      <c r="B117" s="45"/>
      <c r="C117" s="2230" t="s">
        <v>2757</v>
      </c>
      <c r="D117" s="46"/>
      <c r="E117" s="104"/>
      <c r="F117" s="104" t="s">
        <v>78</v>
      </c>
      <c r="G117" s="46"/>
      <c r="H117" s="46"/>
      <c r="I117" s="46"/>
      <c r="J117" s="46"/>
      <c r="K117" s="46"/>
      <c r="L117" s="46"/>
      <c r="M117" s="46"/>
      <c r="N117" s="46"/>
      <c r="O117" s="104"/>
      <c r="P117" s="104"/>
      <c r="Q117" s="48"/>
    </row>
    <row r="118" spans="2:17">
      <c r="B118" s="45"/>
      <c r="C118" s="46"/>
      <c r="D118" s="46"/>
      <c r="E118" s="46"/>
      <c r="F118" s="46"/>
      <c r="G118" s="46"/>
      <c r="H118" s="46"/>
      <c r="I118" s="46"/>
      <c r="J118" s="46"/>
      <c r="K118" s="46"/>
      <c r="L118" s="46"/>
      <c r="M118" s="46"/>
      <c r="N118" s="46"/>
      <c r="O118" s="46"/>
      <c r="P118" s="46"/>
      <c r="Q118" s="48"/>
    </row>
    <row r="119" spans="2:17" ht="15.75">
      <c r="B119" s="55"/>
      <c r="C119" s="116"/>
      <c r="D119" s="116" t="s">
        <v>72</v>
      </c>
      <c r="E119" s="116" t="s">
        <v>30</v>
      </c>
      <c r="F119" s="117">
        <v>2013</v>
      </c>
      <c r="G119" s="54"/>
      <c r="H119" s="54"/>
      <c r="I119" s="54"/>
      <c r="J119" s="54"/>
      <c r="K119" s="54"/>
      <c r="L119" s="54"/>
      <c r="M119" s="54"/>
      <c r="N119" s="54"/>
      <c r="O119" s="54"/>
      <c r="P119" s="54"/>
      <c r="Q119" s="48"/>
    </row>
    <row r="120" spans="2:17" ht="15.75">
      <c r="B120" s="55"/>
      <c r="C120" s="118"/>
      <c r="D120" s="118" t="s">
        <v>79</v>
      </c>
      <c r="E120" s="118"/>
      <c r="F120" s="132">
        <v>9228297640.4315128</v>
      </c>
      <c r="G120" s="60"/>
      <c r="H120" s="60"/>
      <c r="I120" s="60"/>
      <c r="J120" s="60"/>
      <c r="K120" s="60"/>
      <c r="L120" s="60"/>
      <c r="M120" s="60"/>
      <c r="N120" s="60"/>
      <c r="O120" s="60"/>
      <c r="P120" s="60"/>
      <c r="Q120" s="48"/>
    </row>
    <row r="121" spans="2:17" ht="15.75">
      <c r="B121" s="55"/>
      <c r="C121" s="57"/>
      <c r="D121" s="57" t="s">
        <v>81</v>
      </c>
      <c r="E121" s="122"/>
      <c r="F121" s="80">
        <v>2869171114.8882608</v>
      </c>
      <c r="G121" s="80"/>
      <c r="H121" s="80"/>
      <c r="I121" s="80"/>
      <c r="J121" s="80"/>
      <c r="K121" s="80"/>
      <c r="L121" s="80"/>
      <c r="M121" s="80"/>
      <c r="N121" s="80"/>
      <c r="O121" s="80"/>
      <c r="P121" s="80"/>
      <c r="Q121" s="48"/>
    </row>
    <row r="122" spans="2:17" ht="15.75">
      <c r="B122" s="55"/>
      <c r="C122" s="57"/>
      <c r="D122" s="57" t="s">
        <v>82</v>
      </c>
      <c r="E122" s="57"/>
      <c r="F122" s="80">
        <v>1366768785.6376805</v>
      </c>
      <c r="G122" s="80"/>
      <c r="H122" s="80"/>
      <c r="I122" s="80"/>
      <c r="J122" s="80"/>
      <c r="K122" s="80"/>
      <c r="L122" s="80"/>
      <c r="M122" s="80"/>
      <c r="N122" s="80"/>
      <c r="O122" s="80"/>
      <c r="P122" s="80"/>
      <c r="Q122" s="48"/>
    </row>
    <row r="123" spans="2:17" ht="15.75">
      <c r="B123" s="55"/>
      <c r="C123" s="57"/>
      <c r="D123" s="57" t="s">
        <v>83</v>
      </c>
      <c r="E123" s="57"/>
      <c r="F123" s="80">
        <v>7011210869.8360405</v>
      </c>
      <c r="G123" s="80"/>
      <c r="H123" s="80"/>
      <c r="I123" s="80"/>
      <c r="J123" s="80"/>
      <c r="K123" s="80"/>
      <c r="L123" s="80"/>
      <c r="M123" s="80"/>
      <c r="N123" s="80"/>
      <c r="O123" s="80"/>
      <c r="P123" s="80"/>
      <c r="Q123" s="48"/>
    </row>
    <row r="124" spans="2:17" ht="15.75">
      <c r="B124" s="55"/>
      <c r="C124" s="125"/>
      <c r="D124" s="125" t="s">
        <v>84</v>
      </c>
      <c r="E124" s="126"/>
      <c r="F124" s="133">
        <v>12000960272.364443</v>
      </c>
      <c r="G124" s="80"/>
      <c r="H124" s="80"/>
      <c r="I124" s="80"/>
      <c r="J124" s="80"/>
      <c r="K124" s="80"/>
      <c r="L124" s="80"/>
      <c r="M124" s="80"/>
      <c r="N124" s="80"/>
      <c r="O124" s="80"/>
      <c r="P124" s="80"/>
      <c r="Q124" s="48"/>
    </row>
    <row r="125" spans="2:17" ht="15.75">
      <c r="B125" s="55"/>
      <c r="C125" s="57"/>
      <c r="D125" s="57"/>
      <c r="E125" s="57"/>
      <c r="F125" s="134">
        <v>32476408683.157936</v>
      </c>
      <c r="G125" s="80"/>
      <c r="H125" s="80"/>
      <c r="I125" s="80"/>
      <c r="J125" s="80"/>
      <c r="K125" s="80"/>
      <c r="L125" s="80"/>
      <c r="M125" s="80"/>
      <c r="N125" s="80"/>
      <c r="O125" s="80"/>
      <c r="P125" s="80"/>
      <c r="Q125" s="48"/>
    </row>
    <row r="126" spans="2:17" ht="15.75">
      <c r="B126" s="55"/>
      <c r="C126" s="46"/>
      <c r="D126" s="46"/>
      <c r="E126" s="46"/>
      <c r="F126" s="46"/>
      <c r="G126" s="46"/>
      <c r="H126" s="46"/>
      <c r="I126" s="46"/>
      <c r="J126" s="46"/>
      <c r="K126" s="46"/>
      <c r="L126" s="46"/>
      <c r="M126" s="46"/>
      <c r="N126" s="46"/>
      <c r="O126" s="46"/>
      <c r="P126" s="46"/>
      <c r="Q126" s="48"/>
    </row>
    <row r="127" spans="2:17">
      <c r="B127" s="135"/>
      <c r="C127" s="49" t="s">
        <v>3122</v>
      </c>
      <c r="D127" s="46"/>
      <c r="E127" s="46"/>
      <c r="F127" s="46"/>
      <c r="G127" s="104"/>
      <c r="H127" s="46"/>
      <c r="I127" s="46"/>
      <c r="J127" s="46"/>
      <c r="K127" s="46"/>
      <c r="L127" s="46"/>
      <c r="M127" s="46"/>
      <c r="N127" s="46"/>
      <c r="O127" s="104" t="s">
        <v>85</v>
      </c>
      <c r="P127" s="104"/>
      <c r="Q127" s="48"/>
    </row>
    <row r="128" spans="2:17">
      <c r="B128" s="45"/>
      <c r="C128" s="46"/>
      <c r="D128" s="46"/>
      <c r="E128" s="46"/>
      <c r="F128" s="46"/>
      <c r="G128" s="46"/>
      <c r="H128" s="46"/>
      <c r="I128" s="46"/>
      <c r="J128" s="46"/>
      <c r="K128" s="46"/>
      <c r="L128" s="46"/>
      <c r="M128" s="46"/>
      <c r="N128" s="46"/>
      <c r="O128" s="46"/>
      <c r="P128" s="46"/>
      <c r="Q128" s="48"/>
    </row>
    <row r="129" spans="2:17" ht="22.5">
      <c r="B129" s="55"/>
      <c r="C129" s="116"/>
      <c r="D129" s="116"/>
      <c r="E129" s="116"/>
      <c r="F129" s="136" t="s">
        <v>86</v>
      </c>
      <c r="G129" s="136" t="s">
        <v>87</v>
      </c>
      <c r="H129" s="136" t="s">
        <v>88</v>
      </c>
      <c r="I129" s="136" t="s">
        <v>89</v>
      </c>
      <c r="J129" s="136" t="s">
        <v>90</v>
      </c>
      <c r="K129" s="136" t="s">
        <v>91</v>
      </c>
      <c r="L129" s="136" t="s">
        <v>92</v>
      </c>
      <c r="M129" s="136" t="s">
        <v>93</v>
      </c>
      <c r="N129" s="136" t="s">
        <v>94</v>
      </c>
      <c r="O129" s="137" t="s">
        <v>95</v>
      </c>
      <c r="P129" s="138"/>
      <c r="Q129" s="48"/>
    </row>
    <row r="130" spans="2:17" ht="15.75">
      <c r="B130" s="55"/>
      <c r="C130" s="139" t="s">
        <v>44</v>
      </c>
      <c r="D130" s="139" t="s">
        <v>45</v>
      </c>
      <c r="E130" s="139" t="s">
        <v>30</v>
      </c>
      <c r="F130" s="140" t="s">
        <v>96</v>
      </c>
      <c r="G130" s="140" t="s">
        <v>97</v>
      </c>
      <c r="H130" s="140" t="s">
        <v>98</v>
      </c>
      <c r="I130" s="140" t="s">
        <v>99</v>
      </c>
      <c r="J130" s="140" t="s">
        <v>100</v>
      </c>
      <c r="K130" s="140" t="s">
        <v>101</v>
      </c>
      <c r="L130" s="140" t="s">
        <v>102</v>
      </c>
      <c r="M130" s="140" t="s">
        <v>103</v>
      </c>
      <c r="N130" s="140" t="s">
        <v>104</v>
      </c>
      <c r="O130" s="141"/>
      <c r="P130" s="142"/>
      <c r="Q130" s="48"/>
    </row>
    <row r="131" spans="2:17" ht="15.75">
      <c r="B131" s="55"/>
      <c r="C131" s="56">
        <v>1</v>
      </c>
      <c r="D131" s="57" t="s">
        <v>46</v>
      </c>
      <c r="E131" s="57"/>
      <c r="F131" s="93"/>
      <c r="G131" s="93"/>
      <c r="H131" s="93"/>
      <c r="I131" s="93"/>
      <c r="J131" s="93">
        <v>-1</v>
      </c>
      <c r="K131" s="93"/>
      <c r="L131" s="93"/>
      <c r="M131" s="93">
        <v>0.76</v>
      </c>
      <c r="N131" s="93">
        <v>0.24</v>
      </c>
      <c r="O131" s="143">
        <v>0</v>
      </c>
      <c r="P131" s="59"/>
      <c r="Q131" s="48"/>
    </row>
    <row r="132" spans="2:17" ht="15.75">
      <c r="B132" s="55"/>
      <c r="C132" s="56">
        <v>2</v>
      </c>
      <c r="D132" s="57" t="s">
        <v>47</v>
      </c>
      <c r="E132" s="57"/>
      <c r="F132" s="93"/>
      <c r="G132" s="93"/>
      <c r="H132" s="93"/>
      <c r="I132" s="93"/>
      <c r="J132" s="93">
        <v>-1</v>
      </c>
      <c r="K132" s="93"/>
      <c r="L132" s="93"/>
      <c r="M132" s="93">
        <v>0.91</v>
      </c>
      <c r="N132" s="93">
        <v>0.09</v>
      </c>
      <c r="O132" s="143">
        <v>0</v>
      </c>
      <c r="P132" s="59"/>
      <c r="Q132" s="48"/>
    </row>
    <row r="133" spans="2:17" ht="15.75">
      <c r="B133" s="55"/>
      <c r="C133" s="56">
        <v>3</v>
      </c>
      <c r="D133" s="57" t="s">
        <v>48</v>
      </c>
      <c r="E133" s="57"/>
      <c r="F133" s="93">
        <v>-1</v>
      </c>
      <c r="G133" s="93"/>
      <c r="H133" s="93"/>
      <c r="I133" s="93"/>
      <c r="J133" s="93"/>
      <c r="K133" s="93"/>
      <c r="L133" s="93"/>
      <c r="M133" s="93">
        <v>1</v>
      </c>
      <c r="N133" s="93">
        <v>0</v>
      </c>
      <c r="O133" s="143">
        <v>0</v>
      </c>
      <c r="P133" s="59"/>
      <c r="Q133" s="48"/>
    </row>
    <row r="134" spans="2:17" ht="15.75">
      <c r="B134" s="55"/>
      <c r="C134" s="56">
        <v>4</v>
      </c>
      <c r="D134" s="57" t="s">
        <v>49</v>
      </c>
      <c r="E134" s="57"/>
      <c r="F134" s="93"/>
      <c r="G134" s="93"/>
      <c r="H134" s="93"/>
      <c r="I134" s="93">
        <v>-1</v>
      </c>
      <c r="J134" s="93"/>
      <c r="K134" s="93"/>
      <c r="L134" s="93"/>
      <c r="M134" s="93">
        <v>0.97</v>
      </c>
      <c r="N134" s="93">
        <v>0.03</v>
      </c>
      <c r="O134" s="143">
        <v>-2.7755575615628914E-17</v>
      </c>
      <c r="P134" s="59"/>
      <c r="Q134" s="48"/>
    </row>
    <row r="135" spans="2:17" ht="15.75">
      <c r="B135" s="55"/>
      <c r="C135" s="56">
        <v>5</v>
      </c>
      <c r="D135" s="57" t="s">
        <v>50</v>
      </c>
      <c r="E135" s="57" t="s">
        <v>67</v>
      </c>
      <c r="F135" s="93"/>
      <c r="G135" s="93"/>
      <c r="H135" s="93">
        <v>-1</v>
      </c>
      <c r="I135" s="93"/>
      <c r="J135" s="93"/>
      <c r="K135" s="93"/>
      <c r="L135" s="93"/>
      <c r="M135" s="93">
        <v>0.87</v>
      </c>
      <c r="N135" s="93">
        <v>0.13</v>
      </c>
      <c r="O135" s="143">
        <v>0</v>
      </c>
      <c r="P135" s="59"/>
      <c r="Q135" s="48"/>
    </row>
    <row r="136" spans="2:17" ht="15.75">
      <c r="B136" s="55"/>
      <c r="C136" s="56">
        <v>6</v>
      </c>
      <c r="D136" s="57" t="s">
        <v>51</v>
      </c>
      <c r="E136" s="57"/>
      <c r="F136" s="93"/>
      <c r="G136" s="93">
        <v>0.22500000000000001</v>
      </c>
      <c r="H136" s="93"/>
      <c r="I136" s="93"/>
      <c r="J136" s="93">
        <v>-1</v>
      </c>
      <c r="K136" s="93"/>
      <c r="L136" s="93"/>
      <c r="M136" s="93">
        <v>0.63</v>
      </c>
      <c r="N136" s="93">
        <v>0.14499999999999999</v>
      </c>
      <c r="O136" s="143">
        <v>0</v>
      </c>
      <c r="P136" s="59"/>
      <c r="Q136" s="48"/>
    </row>
    <row r="137" spans="2:17" ht="15.75">
      <c r="B137" s="55"/>
      <c r="C137" s="56">
        <v>7</v>
      </c>
      <c r="D137" s="57" t="s">
        <v>52</v>
      </c>
      <c r="E137" s="57"/>
      <c r="F137" s="93"/>
      <c r="G137" s="93">
        <v>0.45</v>
      </c>
      <c r="H137" s="93"/>
      <c r="I137" s="93"/>
      <c r="J137" s="93">
        <v>-1</v>
      </c>
      <c r="K137" s="93"/>
      <c r="L137" s="93"/>
      <c r="M137" s="93">
        <v>0.45</v>
      </c>
      <c r="N137" s="93">
        <v>0.1</v>
      </c>
      <c r="O137" s="143">
        <v>0</v>
      </c>
      <c r="P137" s="59"/>
      <c r="Q137" s="48"/>
    </row>
    <row r="138" spans="2:17" ht="15.75">
      <c r="B138" s="55"/>
      <c r="C138" s="56">
        <v>8</v>
      </c>
      <c r="D138" s="57" t="s">
        <v>53</v>
      </c>
      <c r="E138" s="57"/>
      <c r="F138" s="93">
        <v>-1</v>
      </c>
      <c r="G138" s="93"/>
      <c r="H138" s="93"/>
      <c r="I138" s="93"/>
      <c r="J138" s="93"/>
      <c r="K138" s="93"/>
      <c r="L138" s="93">
        <v>-2</v>
      </c>
      <c r="M138" s="93">
        <v>3</v>
      </c>
      <c r="N138" s="93"/>
      <c r="O138" s="143">
        <v>0</v>
      </c>
      <c r="P138" s="59"/>
      <c r="Q138" s="48"/>
    </row>
    <row r="139" spans="2:17" ht="15.75">
      <c r="B139" s="55"/>
      <c r="C139" s="56">
        <v>9</v>
      </c>
      <c r="D139" s="57" t="s">
        <v>54</v>
      </c>
      <c r="E139" s="57"/>
      <c r="F139" s="93">
        <v>-1</v>
      </c>
      <c r="G139" s="93"/>
      <c r="H139" s="93"/>
      <c r="I139" s="93"/>
      <c r="J139" s="93"/>
      <c r="K139" s="93"/>
      <c r="L139" s="93">
        <v>-3</v>
      </c>
      <c r="M139" s="93">
        <v>4</v>
      </c>
      <c r="N139" s="93"/>
      <c r="O139" s="143">
        <v>0</v>
      </c>
      <c r="P139" s="59"/>
      <c r="Q139" s="48"/>
    </row>
    <row r="140" spans="2:17" ht="15.75">
      <c r="B140" s="55"/>
      <c r="C140" s="56">
        <v>10</v>
      </c>
      <c r="D140" s="57" t="s">
        <v>55</v>
      </c>
      <c r="E140" s="57"/>
      <c r="F140" s="93"/>
      <c r="G140" s="93"/>
      <c r="H140" s="93"/>
      <c r="I140" s="93"/>
      <c r="J140" s="93"/>
      <c r="K140" s="93"/>
      <c r="L140" s="93">
        <v>-1</v>
      </c>
      <c r="M140" s="93">
        <v>0.85</v>
      </c>
      <c r="N140" s="93">
        <v>0.15</v>
      </c>
      <c r="O140" s="143">
        <v>0</v>
      </c>
      <c r="P140" s="59"/>
      <c r="Q140" s="48"/>
    </row>
    <row r="141" spans="2:17" ht="15.75">
      <c r="B141" s="55"/>
      <c r="C141" s="56">
        <v>11</v>
      </c>
      <c r="D141" s="57" t="s">
        <v>56</v>
      </c>
      <c r="E141" s="57"/>
      <c r="F141" s="93"/>
      <c r="G141" s="93">
        <v>0.38</v>
      </c>
      <c r="H141" s="93"/>
      <c r="I141" s="93"/>
      <c r="J141" s="93">
        <v>-1</v>
      </c>
      <c r="K141" s="93"/>
      <c r="L141" s="93"/>
      <c r="M141" s="93">
        <v>0.38</v>
      </c>
      <c r="N141" s="93">
        <v>0.24</v>
      </c>
      <c r="O141" s="143">
        <v>0</v>
      </c>
      <c r="P141" s="59"/>
      <c r="Q141" s="48"/>
    </row>
    <row r="142" spans="2:17" ht="15.75">
      <c r="B142" s="55"/>
      <c r="C142" s="56">
        <v>12</v>
      </c>
      <c r="D142" s="57" t="s">
        <v>57</v>
      </c>
      <c r="E142" s="57"/>
      <c r="F142" s="93"/>
      <c r="G142" s="93">
        <v>0.17</v>
      </c>
      <c r="H142" s="93">
        <v>-1</v>
      </c>
      <c r="I142" s="93"/>
      <c r="J142" s="93"/>
      <c r="K142" s="93"/>
      <c r="L142" s="93"/>
      <c r="M142" s="93">
        <v>0.56999999999999995</v>
      </c>
      <c r="N142" s="93">
        <v>0.26</v>
      </c>
      <c r="O142" s="143">
        <v>0</v>
      </c>
      <c r="P142" s="59"/>
      <c r="Q142" s="48"/>
    </row>
    <row r="143" spans="2:17" ht="15.75">
      <c r="B143" s="55"/>
      <c r="C143" s="61">
        <v>13</v>
      </c>
      <c r="D143" s="62" t="s">
        <v>58</v>
      </c>
      <c r="E143" s="62" t="s">
        <v>105</v>
      </c>
      <c r="F143" s="98"/>
      <c r="G143" s="144"/>
      <c r="H143" s="144"/>
      <c r="I143" s="144"/>
      <c r="J143" s="144"/>
      <c r="K143" s="144">
        <v>-1</v>
      </c>
      <c r="L143" s="144"/>
      <c r="M143" s="144">
        <v>0.9</v>
      </c>
      <c r="N143" s="144">
        <v>0.1</v>
      </c>
      <c r="O143" s="145">
        <v>0</v>
      </c>
      <c r="P143" s="60"/>
      <c r="Q143" s="48"/>
    </row>
    <row r="144" spans="2:17">
      <c r="B144" s="45"/>
      <c r="C144" s="3864"/>
      <c r="D144" s="46"/>
      <c r="E144" s="67"/>
      <c r="F144" s="46"/>
      <c r="G144" s="46"/>
      <c r="H144" s="46"/>
      <c r="I144" s="46"/>
      <c r="J144" s="46"/>
      <c r="K144" s="46"/>
      <c r="L144" s="46"/>
      <c r="M144" s="46"/>
      <c r="N144" s="46"/>
      <c r="O144" s="46"/>
      <c r="P144" s="46"/>
      <c r="Q144" s="48"/>
    </row>
    <row r="145" spans="2:17">
      <c r="B145" s="45"/>
      <c r="C145" s="49" t="s">
        <v>3123</v>
      </c>
      <c r="D145" s="46"/>
      <c r="E145" s="46"/>
      <c r="F145" s="46"/>
      <c r="G145" s="104"/>
      <c r="H145" s="46"/>
      <c r="I145" s="46"/>
      <c r="J145" s="46"/>
      <c r="K145" s="46"/>
      <c r="L145" s="46"/>
      <c r="M145" s="46"/>
      <c r="N145" s="46"/>
      <c r="O145" s="104" t="s">
        <v>85</v>
      </c>
      <c r="P145" s="104"/>
      <c r="Q145" s="48"/>
    </row>
    <row r="146" spans="2:17">
      <c r="B146" s="45"/>
      <c r="C146" s="46"/>
      <c r="D146" s="46"/>
      <c r="E146" s="46"/>
      <c r="F146" s="46"/>
      <c r="G146" s="46"/>
      <c r="H146" s="46"/>
      <c r="I146" s="46"/>
      <c r="J146" s="46"/>
      <c r="K146" s="46"/>
      <c r="L146" s="46"/>
      <c r="M146" s="46"/>
      <c r="N146" s="46"/>
      <c r="O146" s="46"/>
      <c r="P146" s="46"/>
      <c r="Q146" s="48"/>
    </row>
    <row r="147" spans="2:17" ht="22.5">
      <c r="B147" s="45"/>
      <c r="C147" s="116"/>
      <c r="D147" s="116"/>
      <c r="E147" s="116"/>
      <c r="F147" s="136" t="s">
        <v>86</v>
      </c>
      <c r="G147" s="136" t="s">
        <v>87</v>
      </c>
      <c r="H147" s="136" t="s">
        <v>88</v>
      </c>
      <c r="I147" s="136" t="s">
        <v>89</v>
      </c>
      <c r="J147" s="136" t="s">
        <v>90</v>
      </c>
      <c r="K147" s="136" t="s">
        <v>91</v>
      </c>
      <c r="L147" s="136" t="s">
        <v>92</v>
      </c>
      <c r="M147" s="136" t="s">
        <v>93</v>
      </c>
      <c r="N147" s="136" t="s">
        <v>94</v>
      </c>
      <c r="O147" s="137" t="s">
        <v>95</v>
      </c>
      <c r="P147" s="138"/>
      <c r="Q147" s="48"/>
    </row>
    <row r="148" spans="2:17">
      <c r="B148" s="45"/>
      <c r="C148" s="139" t="s">
        <v>44</v>
      </c>
      <c r="D148" s="139" t="s">
        <v>45</v>
      </c>
      <c r="E148" s="139" t="s">
        <v>30</v>
      </c>
      <c r="F148" s="140" t="s">
        <v>96</v>
      </c>
      <c r="G148" s="140" t="s">
        <v>97</v>
      </c>
      <c r="H148" s="140" t="s">
        <v>98</v>
      </c>
      <c r="I148" s="140" t="s">
        <v>99</v>
      </c>
      <c r="J148" s="140" t="s">
        <v>100</v>
      </c>
      <c r="K148" s="140" t="s">
        <v>101</v>
      </c>
      <c r="L148" s="140" t="s">
        <v>102</v>
      </c>
      <c r="M148" s="140" t="s">
        <v>103</v>
      </c>
      <c r="N148" s="140" t="s">
        <v>104</v>
      </c>
      <c r="O148" s="141"/>
      <c r="P148" s="142"/>
      <c r="Q148" s="48"/>
    </row>
    <row r="149" spans="2:17" ht="15.75">
      <c r="B149" s="55"/>
      <c r="C149" s="56">
        <v>1</v>
      </c>
      <c r="D149" s="57" t="s">
        <v>46</v>
      </c>
      <c r="E149" s="57"/>
      <c r="F149" s="93"/>
      <c r="G149" s="93"/>
      <c r="H149" s="93"/>
      <c r="I149" s="93"/>
      <c r="J149" s="93">
        <v>-1</v>
      </c>
      <c r="K149" s="93"/>
      <c r="L149" s="93"/>
      <c r="M149" s="93">
        <v>0.76</v>
      </c>
      <c r="N149" s="93">
        <v>0.24</v>
      </c>
      <c r="O149" s="143">
        <v>0</v>
      </c>
      <c r="P149" s="59"/>
      <c r="Q149" s="48"/>
    </row>
    <row r="150" spans="2:17" ht="15.75">
      <c r="B150" s="55"/>
      <c r="C150" s="56">
        <v>2</v>
      </c>
      <c r="D150" s="57" t="s">
        <v>47</v>
      </c>
      <c r="E150" s="57"/>
      <c r="F150" s="93"/>
      <c r="G150" s="93"/>
      <c r="H150" s="93"/>
      <c r="I150" s="93"/>
      <c r="J150" s="93">
        <v>-1</v>
      </c>
      <c r="K150" s="93"/>
      <c r="L150" s="93"/>
      <c r="M150" s="93">
        <v>0.91</v>
      </c>
      <c r="N150" s="93">
        <v>0.09</v>
      </c>
      <c r="O150" s="143">
        <v>0</v>
      </c>
      <c r="P150" s="59"/>
      <c r="Q150" s="48"/>
    </row>
    <row r="151" spans="2:17" ht="15.75">
      <c r="B151" s="55"/>
      <c r="C151" s="56">
        <v>3</v>
      </c>
      <c r="D151" s="57" t="s">
        <v>48</v>
      </c>
      <c r="E151" s="57"/>
      <c r="F151" s="93">
        <v>-1</v>
      </c>
      <c r="G151" s="93"/>
      <c r="H151" s="93"/>
      <c r="I151" s="93"/>
      <c r="J151" s="93"/>
      <c r="K151" s="93"/>
      <c r="L151" s="93"/>
      <c r="M151" s="93">
        <v>1</v>
      </c>
      <c r="N151" s="93">
        <v>0</v>
      </c>
      <c r="O151" s="143">
        <v>0</v>
      </c>
      <c r="P151" s="59"/>
      <c r="Q151" s="48"/>
    </row>
    <row r="152" spans="2:17" ht="15.75">
      <c r="B152" s="55"/>
      <c r="C152" s="56">
        <v>4</v>
      </c>
      <c r="D152" s="57" t="s">
        <v>49</v>
      </c>
      <c r="E152" s="57"/>
      <c r="F152" s="93"/>
      <c r="G152" s="93"/>
      <c r="H152" s="93"/>
      <c r="I152" s="93">
        <v>-1</v>
      </c>
      <c r="J152" s="93"/>
      <c r="K152" s="93"/>
      <c r="L152" s="93"/>
      <c r="M152" s="93">
        <v>0.97</v>
      </c>
      <c r="N152" s="93">
        <v>0.03</v>
      </c>
      <c r="O152" s="143">
        <v>-2.7755575615628914E-17</v>
      </c>
      <c r="P152" s="59"/>
      <c r="Q152" s="48"/>
    </row>
    <row r="153" spans="2:17" ht="15.75">
      <c r="B153" s="55"/>
      <c r="C153" s="56">
        <v>5</v>
      </c>
      <c r="D153" s="57" t="s">
        <v>50</v>
      </c>
      <c r="E153" s="57" t="s">
        <v>67</v>
      </c>
      <c r="F153" s="93"/>
      <c r="G153" s="93"/>
      <c r="H153" s="93">
        <v>-1</v>
      </c>
      <c r="I153" s="93"/>
      <c r="J153" s="93"/>
      <c r="K153" s="93"/>
      <c r="L153" s="93"/>
      <c r="M153" s="93">
        <v>0.87</v>
      </c>
      <c r="N153" s="93">
        <v>0.13</v>
      </c>
      <c r="O153" s="143">
        <v>0</v>
      </c>
      <c r="P153" s="59"/>
      <c r="Q153" s="48"/>
    </row>
    <row r="154" spans="2:17" ht="15.75">
      <c r="B154" s="55"/>
      <c r="C154" s="56">
        <v>6</v>
      </c>
      <c r="D154" s="57" t="s">
        <v>51</v>
      </c>
      <c r="E154" s="57" t="s">
        <v>106</v>
      </c>
      <c r="F154" s="93"/>
      <c r="G154" s="93">
        <v>0.22500000000000001</v>
      </c>
      <c r="H154" s="93"/>
      <c r="I154" s="93"/>
      <c r="J154" s="93">
        <v>-1</v>
      </c>
      <c r="K154" s="93"/>
      <c r="L154" s="93"/>
      <c r="M154" s="93">
        <v>0.63</v>
      </c>
      <c r="N154" s="93">
        <v>0.14499999999999999</v>
      </c>
      <c r="O154" s="143">
        <v>0</v>
      </c>
      <c r="P154" s="59"/>
      <c r="Q154" s="48"/>
    </row>
    <row r="155" spans="2:17" ht="15.75">
      <c r="B155" s="55"/>
      <c r="C155" s="56">
        <v>7</v>
      </c>
      <c r="D155" s="57" t="s">
        <v>52</v>
      </c>
      <c r="E155" s="57" t="s">
        <v>106</v>
      </c>
      <c r="F155" s="93"/>
      <c r="G155" s="93">
        <v>0.45</v>
      </c>
      <c r="H155" s="93"/>
      <c r="I155" s="93"/>
      <c r="J155" s="93">
        <v>-1</v>
      </c>
      <c r="K155" s="93"/>
      <c r="L155" s="93"/>
      <c r="M155" s="93">
        <v>0.45</v>
      </c>
      <c r="N155" s="93">
        <v>0.1</v>
      </c>
      <c r="O155" s="143">
        <v>0</v>
      </c>
      <c r="P155" s="59"/>
      <c r="Q155" s="48"/>
    </row>
    <row r="156" spans="2:17" ht="15.75">
      <c r="B156" s="55"/>
      <c r="C156" s="56">
        <v>8</v>
      </c>
      <c r="D156" s="57" t="s">
        <v>53</v>
      </c>
      <c r="E156" s="108"/>
      <c r="F156" s="93">
        <v>-1</v>
      </c>
      <c r="G156" s="93"/>
      <c r="H156" s="93"/>
      <c r="I156" s="93"/>
      <c r="J156" s="93"/>
      <c r="K156" s="93"/>
      <c r="L156" s="93">
        <v>-1</v>
      </c>
      <c r="M156" s="93">
        <v>2</v>
      </c>
      <c r="N156" s="93"/>
      <c r="O156" s="143">
        <v>0</v>
      </c>
      <c r="P156" s="59"/>
      <c r="Q156" s="48"/>
    </row>
    <row r="157" spans="2:17" ht="15.75">
      <c r="B157" s="55"/>
      <c r="C157" s="56">
        <v>9</v>
      </c>
      <c r="D157" s="57" t="s">
        <v>54</v>
      </c>
      <c r="E157" s="57"/>
      <c r="F157" s="93">
        <v>-1</v>
      </c>
      <c r="G157" s="93"/>
      <c r="H157" s="93"/>
      <c r="I157" s="93"/>
      <c r="J157" s="93"/>
      <c r="K157" s="93"/>
      <c r="L157" s="93">
        <v>-2</v>
      </c>
      <c r="M157" s="93">
        <v>3</v>
      </c>
      <c r="N157" s="93"/>
      <c r="O157" s="143">
        <v>0</v>
      </c>
      <c r="P157" s="59"/>
      <c r="Q157" s="48"/>
    </row>
    <row r="158" spans="2:17" ht="15.75">
      <c r="B158" s="55"/>
      <c r="C158" s="56">
        <v>10</v>
      </c>
      <c r="D158" s="57" t="s">
        <v>55</v>
      </c>
      <c r="E158" s="57"/>
      <c r="F158" s="93"/>
      <c r="G158" s="93"/>
      <c r="H158" s="93"/>
      <c r="I158" s="93"/>
      <c r="J158" s="93"/>
      <c r="K158" s="93"/>
      <c r="L158" s="93">
        <v>-1</v>
      </c>
      <c r="M158" s="93">
        <v>0.85</v>
      </c>
      <c r="N158" s="93">
        <v>0.15</v>
      </c>
      <c r="O158" s="143">
        <v>0</v>
      </c>
      <c r="P158" s="59"/>
      <c r="Q158" s="48"/>
    </row>
    <row r="159" spans="2:17" ht="15.75">
      <c r="B159" s="55"/>
      <c r="C159" s="56">
        <v>11</v>
      </c>
      <c r="D159" s="57" t="s">
        <v>56</v>
      </c>
      <c r="E159" s="57"/>
      <c r="F159" s="93"/>
      <c r="G159" s="93">
        <v>0.38</v>
      </c>
      <c r="H159" s="93"/>
      <c r="I159" s="93"/>
      <c r="J159" s="93">
        <v>-1</v>
      </c>
      <c r="K159" s="93"/>
      <c r="L159" s="93"/>
      <c r="M159" s="93">
        <v>0.38</v>
      </c>
      <c r="N159" s="93">
        <v>0.24</v>
      </c>
      <c r="O159" s="143">
        <v>0</v>
      </c>
      <c r="P159" s="59"/>
      <c r="Q159" s="48"/>
    </row>
    <row r="160" spans="2:17" ht="15.75">
      <c r="B160" s="55"/>
      <c r="C160" s="56">
        <v>12</v>
      </c>
      <c r="D160" s="57" t="s">
        <v>57</v>
      </c>
      <c r="E160" s="57"/>
      <c r="F160" s="93"/>
      <c r="G160" s="93">
        <v>0.17</v>
      </c>
      <c r="H160" s="93">
        <v>-1</v>
      </c>
      <c r="I160" s="93"/>
      <c r="J160" s="93"/>
      <c r="K160" s="93"/>
      <c r="L160" s="93"/>
      <c r="M160" s="93">
        <v>0.56999999999999995</v>
      </c>
      <c r="N160" s="93">
        <v>0.26</v>
      </c>
      <c r="O160" s="143">
        <v>0</v>
      </c>
      <c r="P160" s="59"/>
      <c r="Q160" s="48"/>
    </row>
    <row r="161" spans="2:17" ht="15.75">
      <c r="B161" s="55"/>
      <c r="C161" s="61">
        <v>13</v>
      </c>
      <c r="D161" s="62" t="s">
        <v>58</v>
      </c>
      <c r="E161" s="62"/>
      <c r="F161" s="98"/>
      <c r="G161" s="144"/>
      <c r="H161" s="144"/>
      <c r="I161" s="144"/>
      <c r="J161" s="144"/>
      <c r="K161" s="144">
        <v>-1</v>
      </c>
      <c r="L161" s="144"/>
      <c r="M161" s="144">
        <v>0.9</v>
      </c>
      <c r="N161" s="144">
        <v>0.1</v>
      </c>
      <c r="O161" s="145">
        <v>0</v>
      </c>
      <c r="P161" s="60"/>
      <c r="Q161" s="48"/>
    </row>
    <row r="162" spans="2:17" ht="15.75">
      <c r="B162" s="55"/>
      <c r="C162" s="3864"/>
      <c r="D162" s="46"/>
      <c r="E162" s="46"/>
      <c r="F162" s="46"/>
      <c r="G162" s="46"/>
      <c r="H162" s="46"/>
      <c r="I162" s="46"/>
      <c r="J162" s="46"/>
      <c r="K162" s="46"/>
      <c r="L162" s="46"/>
      <c r="M162" s="46"/>
      <c r="N162" s="46"/>
      <c r="O162" s="46"/>
      <c r="P162" s="46"/>
      <c r="Q162" s="48"/>
    </row>
    <row r="163" spans="2:17">
      <c r="B163" s="135"/>
      <c r="C163" s="49" t="s">
        <v>107</v>
      </c>
      <c r="D163" s="46"/>
      <c r="E163" s="46"/>
      <c r="F163" s="46"/>
      <c r="G163" s="104"/>
      <c r="H163" s="46"/>
      <c r="I163" s="46"/>
      <c r="J163" s="46"/>
      <c r="K163" s="46"/>
      <c r="L163" s="46"/>
      <c r="M163" s="46"/>
      <c r="N163" s="46"/>
      <c r="O163" s="104" t="s">
        <v>85</v>
      </c>
      <c r="P163" s="104"/>
      <c r="Q163" s="48"/>
    </row>
    <row r="164" spans="2:17">
      <c r="B164" s="45"/>
      <c r="C164" s="46"/>
      <c r="D164" s="46"/>
      <c r="E164" s="46"/>
      <c r="F164" s="46"/>
      <c r="G164" s="46"/>
      <c r="H164" s="46"/>
      <c r="I164" s="46"/>
      <c r="J164" s="46"/>
      <c r="K164" s="46"/>
      <c r="L164" s="46"/>
      <c r="M164" s="46"/>
      <c r="N164" s="46"/>
      <c r="O164" s="46"/>
      <c r="P164" s="46"/>
      <c r="Q164" s="48"/>
    </row>
    <row r="165" spans="2:17" ht="22.5">
      <c r="B165" s="55"/>
      <c r="C165" s="116"/>
      <c r="D165" s="116"/>
      <c r="E165" s="116"/>
      <c r="F165" s="136" t="s">
        <v>86</v>
      </c>
      <c r="G165" s="136" t="s">
        <v>87</v>
      </c>
      <c r="H165" s="136" t="s">
        <v>88</v>
      </c>
      <c r="I165" s="136" t="s">
        <v>89</v>
      </c>
      <c r="J165" s="136" t="s">
        <v>90</v>
      </c>
      <c r="K165" s="136" t="s">
        <v>91</v>
      </c>
      <c r="L165" s="136" t="s">
        <v>92</v>
      </c>
      <c r="M165" s="136" t="s">
        <v>93</v>
      </c>
      <c r="N165" s="136" t="s">
        <v>94</v>
      </c>
      <c r="O165" s="137" t="s">
        <v>95</v>
      </c>
      <c r="P165" s="138"/>
      <c r="Q165" s="48"/>
    </row>
    <row r="166" spans="2:17" ht="15.75">
      <c r="B166" s="55"/>
      <c r="C166" s="139" t="s">
        <v>44</v>
      </c>
      <c r="D166" s="139" t="s">
        <v>45</v>
      </c>
      <c r="E166" s="139" t="s">
        <v>30</v>
      </c>
      <c r="F166" s="140" t="s">
        <v>96</v>
      </c>
      <c r="G166" s="140" t="s">
        <v>97</v>
      </c>
      <c r="H166" s="140" t="s">
        <v>98</v>
      </c>
      <c r="I166" s="140" t="s">
        <v>99</v>
      </c>
      <c r="J166" s="140" t="s">
        <v>100</v>
      </c>
      <c r="K166" s="140" t="s">
        <v>101</v>
      </c>
      <c r="L166" s="140" t="s">
        <v>102</v>
      </c>
      <c r="M166" s="140" t="s">
        <v>103</v>
      </c>
      <c r="N166" s="140" t="s">
        <v>104</v>
      </c>
      <c r="O166" s="141"/>
      <c r="P166" s="142"/>
      <c r="Q166" s="48"/>
    </row>
    <row r="167" spans="2:17" ht="15.75">
      <c r="B167" s="55"/>
      <c r="C167" s="56">
        <v>1</v>
      </c>
      <c r="D167" s="57" t="s">
        <v>46</v>
      </c>
      <c r="E167" s="57"/>
      <c r="F167" s="93">
        <v>0</v>
      </c>
      <c r="G167" s="93">
        <v>0</v>
      </c>
      <c r="H167" s="93">
        <v>0</v>
      </c>
      <c r="I167" s="93">
        <v>0</v>
      </c>
      <c r="J167" s="93">
        <v>-1</v>
      </c>
      <c r="K167" s="93">
        <v>0</v>
      </c>
      <c r="L167" s="93">
        <v>0</v>
      </c>
      <c r="M167" s="93">
        <v>0.76</v>
      </c>
      <c r="N167" s="93">
        <v>0.24</v>
      </c>
      <c r="O167" s="143">
        <v>0</v>
      </c>
      <c r="P167" s="59"/>
      <c r="Q167" s="48"/>
    </row>
    <row r="168" spans="2:17" ht="15.75">
      <c r="B168" s="55"/>
      <c r="C168" s="56">
        <v>2</v>
      </c>
      <c r="D168" s="57" t="s">
        <v>47</v>
      </c>
      <c r="E168" s="57"/>
      <c r="F168" s="93">
        <v>0</v>
      </c>
      <c r="G168" s="93">
        <v>0</v>
      </c>
      <c r="H168" s="93">
        <v>0</v>
      </c>
      <c r="I168" s="93">
        <v>0</v>
      </c>
      <c r="J168" s="93">
        <v>-1</v>
      </c>
      <c r="K168" s="93">
        <v>0</v>
      </c>
      <c r="L168" s="93">
        <v>0</v>
      </c>
      <c r="M168" s="93">
        <v>0.91</v>
      </c>
      <c r="N168" s="93">
        <v>0.09</v>
      </c>
      <c r="O168" s="143">
        <v>0</v>
      </c>
      <c r="P168" s="59"/>
      <c r="Q168" s="48"/>
    </row>
    <row r="169" spans="2:17" ht="15.75">
      <c r="B169" s="55"/>
      <c r="C169" s="56">
        <v>3</v>
      </c>
      <c r="D169" s="57" t="s">
        <v>48</v>
      </c>
      <c r="E169" s="57"/>
      <c r="F169" s="93">
        <v>-1</v>
      </c>
      <c r="G169" s="93">
        <v>0</v>
      </c>
      <c r="H169" s="93">
        <v>0</v>
      </c>
      <c r="I169" s="93">
        <v>0</v>
      </c>
      <c r="J169" s="93">
        <v>0</v>
      </c>
      <c r="K169" s="93">
        <v>0</v>
      </c>
      <c r="L169" s="93">
        <v>0</v>
      </c>
      <c r="M169" s="93">
        <v>1</v>
      </c>
      <c r="N169" s="93">
        <v>0</v>
      </c>
      <c r="O169" s="143">
        <v>0</v>
      </c>
      <c r="P169" s="59"/>
      <c r="Q169" s="48"/>
    </row>
    <row r="170" spans="2:17" ht="15.75">
      <c r="B170" s="55"/>
      <c r="C170" s="56">
        <v>4</v>
      </c>
      <c r="D170" s="57" t="s">
        <v>49</v>
      </c>
      <c r="E170" s="57"/>
      <c r="F170" s="93">
        <v>0</v>
      </c>
      <c r="G170" s="93">
        <v>0</v>
      </c>
      <c r="H170" s="93">
        <v>0</v>
      </c>
      <c r="I170" s="93">
        <v>-1</v>
      </c>
      <c r="J170" s="93">
        <v>0</v>
      </c>
      <c r="K170" s="93">
        <v>0</v>
      </c>
      <c r="L170" s="93">
        <v>0</v>
      </c>
      <c r="M170" s="93">
        <v>0.97</v>
      </c>
      <c r="N170" s="93">
        <v>0.03</v>
      </c>
      <c r="O170" s="143">
        <v>-2.7755575615628914E-17</v>
      </c>
      <c r="P170" s="59"/>
      <c r="Q170" s="48"/>
    </row>
    <row r="171" spans="2:17" ht="15.75">
      <c r="B171" s="55"/>
      <c r="C171" s="56">
        <v>5</v>
      </c>
      <c r="D171" s="57" t="s">
        <v>50</v>
      </c>
      <c r="E171" s="57" t="s">
        <v>67</v>
      </c>
      <c r="F171" s="93">
        <v>0</v>
      </c>
      <c r="G171" s="93">
        <v>0</v>
      </c>
      <c r="H171" s="93">
        <v>-1</v>
      </c>
      <c r="I171" s="93">
        <v>0</v>
      </c>
      <c r="J171" s="93">
        <v>0</v>
      </c>
      <c r="K171" s="93">
        <v>0</v>
      </c>
      <c r="L171" s="93">
        <v>0</v>
      </c>
      <c r="M171" s="93">
        <v>0.87</v>
      </c>
      <c r="N171" s="93">
        <v>0.13</v>
      </c>
      <c r="O171" s="143">
        <v>0</v>
      </c>
      <c r="P171" s="59"/>
      <c r="Q171" s="48"/>
    </row>
    <row r="172" spans="2:17" ht="15.75">
      <c r="B172" s="55"/>
      <c r="C172" s="56">
        <v>6</v>
      </c>
      <c r="D172" s="57" t="s">
        <v>51</v>
      </c>
      <c r="E172" s="57"/>
      <c r="F172" s="93">
        <v>0</v>
      </c>
      <c r="G172" s="93">
        <v>0.22500000000000001</v>
      </c>
      <c r="H172" s="93">
        <v>0</v>
      </c>
      <c r="I172" s="93">
        <v>0</v>
      </c>
      <c r="J172" s="93">
        <v>-1</v>
      </c>
      <c r="K172" s="93">
        <v>0</v>
      </c>
      <c r="L172" s="93">
        <v>0</v>
      </c>
      <c r="M172" s="93">
        <v>0.63</v>
      </c>
      <c r="N172" s="93">
        <v>0.14499999999999999</v>
      </c>
      <c r="O172" s="143">
        <v>0</v>
      </c>
      <c r="P172" s="59"/>
      <c r="Q172" s="48"/>
    </row>
    <row r="173" spans="2:17" ht="15.75">
      <c r="B173" s="55"/>
      <c r="C173" s="56">
        <v>7</v>
      </c>
      <c r="D173" s="57" t="s">
        <v>52</v>
      </c>
      <c r="E173" s="57"/>
      <c r="F173" s="93">
        <v>0</v>
      </c>
      <c r="G173" s="93">
        <v>0.45</v>
      </c>
      <c r="H173" s="93">
        <v>0</v>
      </c>
      <c r="I173" s="93">
        <v>0</v>
      </c>
      <c r="J173" s="93">
        <v>-1</v>
      </c>
      <c r="K173" s="93">
        <v>0</v>
      </c>
      <c r="L173" s="93">
        <v>0</v>
      </c>
      <c r="M173" s="93">
        <v>0.45</v>
      </c>
      <c r="N173" s="93">
        <v>0.1</v>
      </c>
      <c r="O173" s="143">
        <v>0</v>
      </c>
      <c r="P173" s="59"/>
      <c r="Q173" s="48"/>
    </row>
    <row r="174" spans="2:17" ht="15.75">
      <c r="B174" s="55"/>
      <c r="C174" s="56">
        <v>8</v>
      </c>
      <c r="D174" s="57" t="s">
        <v>53</v>
      </c>
      <c r="E174" s="57"/>
      <c r="F174" s="93">
        <v>-1</v>
      </c>
      <c r="G174" s="93">
        <v>0</v>
      </c>
      <c r="H174" s="93">
        <v>0</v>
      </c>
      <c r="I174" s="93">
        <v>0</v>
      </c>
      <c r="J174" s="93">
        <v>0</v>
      </c>
      <c r="K174" s="93">
        <v>0</v>
      </c>
      <c r="L174" s="93">
        <v>-1.7000000000000002</v>
      </c>
      <c r="M174" s="93">
        <v>2.7</v>
      </c>
      <c r="N174" s="93">
        <v>0</v>
      </c>
      <c r="O174" s="143">
        <v>0</v>
      </c>
      <c r="P174" s="59"/>
      <c r="Q174" s="48"/>
    </row>
    <row r="175" spans="2:17" ht="15.75">
      <c r="B175" s="55"/>
      <c r="C175" s="56">
        <v>9</v>
      </c>
      <c r="D175" s="57" t="s">
        <v>54</v>
      </c>
      <c r="E175" s="57"/>
      <c r="F175" s="93">
        <v>-1</v>
      </c>
      <c r="G175" s="93">
        <v>0</v>
      </c>
      <c r="H175" s="93">
        <v>0</v>
      </c>
      <c r="I175" s="93">
        <v>0</v>
      </c>
      <c r="J175" s="93">
        <v>0</v>
      </c>
      <c r="K175" s="93">
        <v>0</v>
      </c>
      <c r="L175" s="93">
        <v>-2.96</v>
      </c>
      <c r="M175" s="93">
        <v>3.96</v>
      </c>
      <c r="N175" s="93">
        <v>0</v>
      </c>
      <c r="O175" s="143">
        <v>0</v>
      </c>
      <c r="P175" s="59"/>
      <c r="Q175" s="48"/>
    </row>
    <row r="176" spans="2:17" ht="15.75">
      <c r="B176" s="55"/>
      <c r="C176" s="56">
        <v>10</v>
      </c>
      <c r="D176" s="57" t="s">
        <v>55</v>
      </c>
      <c r="E176" s="57"/>
      <c r="F176" s="93">
        <v>0</v>
      </c>
      <c r="G176" s="93">
        <v>0</v>
      </c>
      <c r="H176" s="93">
        <v>0</v>
      </c>
      <c r="I176" s="93">
        <v>0</v>
      </c>
      <c r="J176" s="93">
        <v>0</v>
      </c>
      <c r="K176" s="93">
        <v>0</v>
      </c>
      <c r="L176" s="93">
        <v>-1</v>
      </c>
      <c r="M176" s="93">
        <v>0.85</v>
      </c>
      <c r="N176" s="93">
        <v>0.15</v>
      </c>
      <c r="O176" s="143">
        <v>0</v>
      </c>
      <c r="P176" s="59"/>
      <c r="Q176" s="48"/>
    </row>
    <row r="177" spans="2:17" ht="15.75">
      <c r="B177" s="55"/>
      <c r="C177" s="56">
        <v>11</v>
      </c>
      <c r="D177" s="57" t="s">
        <v>56</v>
      </c>
      <c r="E177" s="57"/>
      <c r="F177" s="93">
        <v>0</v>
      </c>
      <c r="G177" s="93">
        <v>0.38</v>
      </c>
      <c r="H177" s="93">
        <v>0</v>
      </c>
      <c r="I177" s="93">
        <v>0</v>
      </c>
      <c r="J177" s="93">
        <v>-1</v>
      </c>
      <c r="K177" s="93">
        <v>0</v>
      </c>
      <c r="L177" s="93">
        <v>0</v>
      </c>
      <c r="M177" s="93">
        <v>0.38</v>
      </c>
      <c r="N177" s="93">
        <v>0.24</v>
      </c>
      <c r="O177" s="143">
        <v>0</v>
      </c>
      <c r="P177" s="59"/>
      <c r="Q177" s="48"/>
    </row>
    <row r="178" spans="2:17" ht="15.75">
      <c r="B178" s="55"/>
      <c r="C178" s="56">
        <v>12</v>
      </c>
      <c r="D178" s="57" t="s">
        <v>57</v>
      </c>
      <c r="E178" s="57"/>
      <c r="F178" s="93">
        <v>0</v>
      </c>
      <c r="G178" s="93">
        <v>0.17</v>
      </c>
      <c r="H178" s="93">
        <v>-1</v>
      </c>
      <c r="I178" s="93">
        <v>0</v>
      </c>
      <c r="J178" s="93">
        <v>0</v>
      </c>
      <c r="K178" s="93">
        <v>0</v>
      </c>
      <c r="L178" s="93">
        <v>0</v>
      </c>
      <c r="M178" s="93">
        <v>0.56999999999999995</v>
      </c>
      <c r="N178" s="93">
        <v>0.26</v>
      </c>
      <c r="O178" s="143">
        <v>0</v>
      </c>
      <c r="P178" s="59"/>
      <c r="Q178" s="48"/>
    </row>
    <row r="179" spans="2:17" ht="15.75">
      <c r="B179" s="55"/>
      <c r="C179" s="61">
        <v>13</v>
      </c>
      <c r="D179" s="62" t="s">
        <v>58</v>
      </c>
      <c r="E179" s="62"/>
      <c r="F179" s="98">
        <v>0</v>
      </c>
      <c r="G179" s="144">
        <v>0</v>
      </c>
      <c r="H179" s="144">
        <v>0</v>
      </c>
      <c r="I179" s="144">
        <v>0</v>
      </c>
      <c r="J179" s="144">
        <v>0</v>
      </c>
      <c r="K179" s="144">
        <v>-1</v>
      </c>
      <c r="L179" s="144">
        <v>0</v>
      </c>
      <c r="M179" s="144">
        <v>0.9</v>
      </c>
      <c r="N179" s="144">
        <v>0.1</v>
      </c>
      <c r="O179" s="145">
        <v>0</v>
      </c>
      <c r="P179" s="60"/>
      <c r="Q179" s="48"/>
    </row>
    <row r="180" spans="2:17">
      <c r="B180" s="45"/>
      <c r="C180" s="46"/>
      <c r="D180" s="46"/>
      <c r="E180" s="46"/>
      <c r="F180" s="46"/>
      <c r="G180" s="46"/>
      <c r="H180" s="46"/>
      <c r="I180" s="46"/>
      <c r="J180" s="46"/>
      <c r="K180" s="46"/>
      <c r="L180" s="46"/>
      <c r="M180" s="46"/>
      <c r="N180" s="46"/>
      <c r="O180" s="46"/>
      <c r="P180" s="46"/>
      <c r="Q180" s="48"/>
    </row>
    <row r="181" spans="2:17">
      <c r="B181" s="45"/>
      <c r="C181" s="49" t="s">
        <v>108</v>
      </c>
      <c r="D181" s="46"/>
      <c r="E181" s="46"/>
      <c r="F181" s="46"/>
      <c r="G181" s="104"/>
      <c r="H181" s="46"/>
      <c r="I181" s="46"/>
      <c r="J181" s="46"/>
      <c r="K181" s="46"/>
      <c r="L181" s="46"/>
      <c r="M181" s="46"/>
      <c r="N181" s="46"/>
      <c r="O181" s="104" t="s">
        <v>85</v>
      </c>
      <c r="P181" s="104"/>
      <c r="Q181" s="48"/>
    </row>
    <row r="182" spans="2:17">
      <c r="B182" s="45"/>
      <c r="C182" s="46"/>
      <c r="D182" s="46"/>
      <c r="E182" s="46"/>
      <c r="F182" s="46"/>
      <c r="G182" s="46"/>
      <c r="H182" s="46"/>
      <c r="I182" s="46"/>
      <c r="J182" s="46"/>
      <c r="K182" s="46"/>
      <c r="L182" s="46"/>
      <c r="M182" s="46"/>
      <c r="N182" s="46"/>
      <c r="O182" s="46"/>
      <c r="P182" s="46"/>
      <c r="Q182" s="48"/>
    </row>
    <row r="183" spans="2:17" ht="22.5">
      <c r="B183" s="45"/>
      <c r="C183" s="116"/>
      <c r="D183" s="116"/>
      <c r="E183" s="116"/>
      <c r="F183" s="136" t="s">
        <v>86</v>
      </c>
      <c r="G183" s="136" t="s">
        <v>87</v>
      </c>
      <c r="H183" s="136" t="s">
        <v>88</v>
      </c>
      <c r="I183" s="136" t="s">
        <v>89</v>
      </c>
      <c r="J183" s="136" t="s">
        <v>90</v>
      </c>
      <c r="K183" s="136" t="s">
        <v>91</v>
      </c>
      <c r="L183" s="136" t="s">
        <v>92</v>
      </c>
      <c r="M183" s="136" t="s">
        <v>93</v>
      </c>
      <c r="N183" s="136" t="s">
        <v>94</v>
      </c>
      <c r="O183" s="137" t="s">
        <v>95</v>
      </c>
      <c r="P183" s="138"/>
      <c r="Q183" s="48"/>
    </row>
    <row r="184" spans="2:17">
      <c r="B184" s="45"/>
      <c r="C184" s="139" t="s">
        <v>44</v>
      </c>
      <c r="D184" s="139" t="s">
        <v>45</v>
      </c>
      <c r="E184" s="139" t="s">
        <v>30</v>
      </c>
      <c r="F184" s="140" t="s">
        <v>96</v>
      </c>
      <c r="G184" s="140" t="s">
        <v>97</v>
      </c>
      <c r="H184" s="140" t="s">
        <v>98</v>
      </c>
      <c r="I184" s="140" t="s">
        <v>99</v>
      </c>
      <c r="J184" s="140" t="s">
        <v>100</v>
      </c>
      <c r="K184" s="140" t="s">
        <v>101</v>
      </c>
      <c r="L184" s="140" t="s">
        <v>102</v>
      </c>
      <c r="M184" s="140" t="s">
        <v>103</v>
      </c>
      <c r="N184" s="140" t="s">
        <v>104</v>
      </c>
      <c r="O184" s="141"/>
      <c r="P184" s="142"/>
      <c r="Q184" s="48"/>
    </row>
    <row r="185" spans="2:17" ht="15.75">
      <c r="B185" s="55"/>
      <c r="C185" s="56">
        <v>1</v>
      </c>
      <c r="D185" s="57" t="s">
        <v>46</v>
      </c>
      <c r="E185" s="57"/>
      <c r="F185" s="93">
        <v>0</v>
      </c>
      <c r="G185" s="93">
        <v>0</v>
      </c>
      <c r="H185" s="93">
        <v>0</v>
      </c>
      <c r="I185" s="93">
        <v>0</v>
      </c>
      <c r="J185" s="93">
        <v>-1</v>
      </c>
      <c r="K185" s="93">
        <v>0</v>
      </c>
      <c r="L185" s="93">
        <v>0</v>
      </c>
      <c r="M185" s="93">
        <v>0.76</v>
      </c>
      <c r="N185" s="93">
        <v>0.24</v>
      </c>
      <c r="O185" s="143">
        <v>0</v>
      </c>
      <c r="P185" s="59"/>
      <c r="Q185" s="48"/>
    </row>
    <row r="186" spans="2:17" ht="15.75">
      <c r="B186" s="55"/>
      <c r="C186" s="56">
        <v>2</v>
      </c>
      <c r="D186" s="57" t="s">
        <v>47</v>
      </c>
      <c r="E186" s="57"/>
      <c r="F186" s="93">
        <v>0</v>
      </c>
      <c r="G186" s="93">
        <v>0</v>
      </c>
      <c r="H186" s="93">
        <v>0</v>
      </c>
      <c r="I186" s="93">
        <v>0</v>
      </c>
      <c r="J186" s="93">
        <v>-1</v>
      </c>
      <c r="K186" s="93">
        <v>0</v>
      </c>
      <c r="L186" s="93">
        <v>0</v>
      </c>
      <c r="M186" s="93">
        <v>0.91</v>
      </c>
      <c r="N186" s="93">
        <v>0.09</v>
      </c>
      <c r="O186" s="143">
        <v>0</v>
      </c>
      <c r="P186" s="59"/>
      <c r="Q186" s="48"/>
    </row>
    <row r="187" spans="2:17" ht="15.75">
      <c r="B187" s="55"/>
      <c r="C187" s="56">
        <v>3</v>
      </c>
      <c r="D187" s="57" t="s">
        <v>48</v>
      </c>
      <c r="E187" s="57"/>
      <c r="F187" s="93">
        <v>-1</v>
      </c>
      <c r="G187" s="93">
        <v>0</v>
      </c>
      <c r="H187" s="93">
        <v>0</v>
      </c>
      <c r="I187" s="93">
        <v>0</v>
      </c>
      <c r="J187" s="93">
        <v>0</v>
      </c>
      <c r="K187" s="93">
        <v>0</v>
      </c>
      <c r="L187" s="93">
        <v>0</v>
      </c>
      <c r="M187" s="93">
        <v>1</v>
      </c>
      <c r="N187" s="93">
        <v>0</v>
      </c>
      <c r="O187" s="143">
        <v>0</v>
      </c>
      <c r="P187" s="59"/>
      <c r="Q187" s="48"/>
    </row>
    <row r="188" spans="2:17" ht="15.75">
      <c r="B188" s="55"/>
      <c r="C188" s="56">
        <v>4</v>
      </c>
      <c r="D188" s="57" t="s">
        <v>49</v>
      </c>
      <c r="E188" s="57"/>
      <c r="F188" s="93">
        <v>0</v>
      </c>
      <c r="G188" s="93">
        <v>0</v>
      </c>
      <c r="H188" s="93">
        <v>0</v>
      </c>
      <c r="I188" s="93">
        <v>-1</v>
      </c>
      <c r="J188" s="93">
        <v>0</v>
      </c>
      <c r="K188" s="93">
        <v>0</v>
      </c>
      <c r="L188" s="93">
        <v>0</v>
      </c>
      <c r="M188" s="93">
        <v>0.97</v>
      </c>
      <c r="N188" s="93">
        <v>0.03</v>
      </c>
      <c r="O188" s="143">
        <v>-2.7755575615628914E-17</v>
      </c>
      <c r="P188" s="59"/>
      <c r="Q188" s="48"/>
    </row>
    <row r="189" spans="2:17" ht="15.75">
      <c r="B189" s="55"/>
      <c r="C189" s="56">
        <v>5</v>
      </c>
      <c r="D189" s="57" t="s">
        <v>50</v>
      </c>
      <c r="E189" s="57" t="s">
        <v>67</v>
      </c>
      <c r="F189" s="93">
        <v>0</v>
      </c>
      <c r="G189" s="93">
        <v>0</v>
      </c>
      <c r="H189" s="93">
        <v>-1</v>
      </c>
      <c r="I189" s="93">
        <v>0</v>
      </c>
      <c r="J189" s="93">
        <v>0</v>
      </c>
      <c r="K189" s="93">
        <v>0</v>
      </c>
      <c r="L189" s="93">
        <v>0</v>
      </c>
      <c r="M189" s="93">
        <v>0.87</v>
      </c>
      <c r="N189" s="93">
        <v>0.13</v>
      </c>
      <c r="O189" s="143">
        <v>0</v>
      </c>
      <c r="P189" s="59"/>
      <c r="Q189" s="48"/>
    </row>
    <row r="190" spans="2:17" ht="15.75">
      <c r="B190" s="55"/>
      <c r="C190" s="56">
        <v>6</v>
      </c>
      <c r="D190" s="57" t="s">
        <v>51</v>
      </c>
      <c r="E190" s="57" t="s">
        <v>106</v>
      </c>
      <c r="F190" s="93">
        <v>0</v>
      </c>
      <c r="G190" s="93">
        <v>0.22500000000000001</v>
      </c>
      <c r="H190" s="93">
        <v>0</v>
      </c>
      <c r="I190" s="93">
        <v>0</v>
      </c>
      <c r="J190" s="93">
        <v>-1</v>
      </c>
      <c r="K190" s="93">
        <v>0</v>
      </c>
      <c r="L190" s="93">
        <v>0</v>
      </c>
      <c r="M190" s="93">
        <v>0.63</v>
      </c>
      <c r="N190" s="93">
        <v>0.14499999999999999</v>
      </c>
      <c r="O190" s="143">
        <v>0</v>
      </c>
      <c r="P190" s="59"/>
      <c r="Q190" s="48"/>
    </row>
    <row r="191" spans="2:17" ht="15.75">
      <c r="B191" s="55"/>
      <c r="C191" s="56">
        <v>7</v>
      </c>
      <c r="D191" s="57" t="s">
        <v>52</v>
      </c>
      <c r="E191" s="57" t="s">
        <v>106</v>
      </c>
      <c r="F191" s="93">
        <v>0</v>
      </c>
      <c r="G191" s="93">
        <v>0.45</v>
      </c>
      <c r="H191" s="93">
        <v>0</v>
      </c>
      <c r="I191" s="93">
        <v>0</v>
      </c>
      <c r="J191" s="93">
        <v>-1</v>
      </c>
      <c r="K191" s="93">
        <v>0</v>
      </c>
      <c r="L191" s="93">
        <v>0</v>
      </c>
      <c r="M191" s="93">
        <v>0.45</v>
      </c>
      <c r="N191" s="93">
        <v>0.1</v>
      </c>
      <c r="O191" s="143">
        <v>0</v>
      </c>
      <c r="P191" s="59"/>
      <c r="Q191" s="48"/>
    </row>
    <row r="192" spans="2:17" ht="15.75">
      <c r="B192" s="55"/>
      <c r="C192" s="56">
        <v>8</v>
      </c>
      <c r="D192" s="57" t="s">
        <v>53</v>
      </c>
      <c r="E192" s="57"/>
      <c r="F192" s="93">
        <v>-1</v>
      </c>
      <c r="G192" s="93">
        <v>0</v>
      </c>
      <c r="H192" s="93">
        <v>0</v>
      </c>
      <c r="I192" s="93">
        <v>0</v>
      </c>
      <c r="J192" s="93">
        <v>0</v>
      </c>
      <c r="K192" s="93">
        <v>0</v>
      </c>
      <c r="L192" s="93">
        <v>-0.8</v>
      </c>
      <c r="M192" s="93">
        <v>1.8</v>
      </c>
      <c r="N192" s="93">
        <v>0</v>
      </c>
      <c r="O192" s="143">
        <v>0</v>
      </c>
      <c r="P192" s="59"/>
      <c r="Q192" s="48"/>
    </row>
    <row r="193" spans="2:17" ht="15.75">
      <c r="B193" s="55"/>
      <c r="C193" s="56">
        <v>9</v>
      </c>
      <c r="D193" s="57" t="s">
        <v>54</v>
      </c>
      <c r="E193" s="57"/>
      <c r="F193" s="93">
        <v>-1</v>
      </c>
      <c r="G193" s="93">
        <v>0</v>
      </c>
      <c r="H193" s="93">
        <v>0</v>
      </c>
      <c r="I193" s="93">
        <v>0</v>
      </c>
      <c r="J193" s="93">
        <v>0</v>
      </c>
      <c r="K193" s="93">
        <v>0</v>
      </c>
      <c r="L193" s="93">
        <v>-1.9699999999999998</v>
      </c>
      <c r="M193" s="93">
        <v>2.9699999999999998</v>
      </c>
      <c r="N193" s="93">
        <v>0</v>
      </c>
      <c r="O193" s="143">
        <v>0</v>
      </c>
      <c r="P193" s="59"/>
      <c r="Q193" s="48"/>
    </row>
    <row r="194" spans="2:17" ht="15.75">
      <c r="B194" s="55"/>
      <c r="C194" s="56">
        <v>10</v>
      </c>
      <c r="D194" s="57" t="s">
        <v>55</v>
      </c>
      <c r="E194" s="57"/>
      <c r="F194" s="93">
        <v>0</v>
      </c>
      <c r="G194" s="93">
        <v>0</v>
      </c>
      <c r="H194" s="93">
        <v>0</v>
      </c>
      <c r="I194" s="93">
        <v>0</v>
      </c>
      <c r="J194" s="93">
        <v>0</v>
      </c>
      <c r="K194" s="93">
        <v>0</v>
      </c>
      <c r="L194" s="93">
        <v>-1</v>
      </c>
      <c r="M194" s="93">
        <v>0.85</v>
      </c>
      <c r="N194" s="93">
        <v>0.15</v>
      </c>
      <c r="O194" s="143">
        <v>0</v>
      </c>
      <c r="P194" s="59"/>
      <c r="Q194" s="48"/>
    </row>
    <row r="195" spans="2:17" ht="15.75">
      <c r="B195" s="55"/>
      <c r="C195" s="56">
        <v>11</v>
      </c>
      <c r="D195" s="57" t="s">
        <v>56</v>
      </c>
      <c r="E195" s="57"/>
      <c r="F195" s="93">
        <v>0</v>
      </c>
      <c r="G195" s="93">
        <v>0.38</v>
      </c>
      <c r="H195" s="93">
        <v>0</v>
      </c>
      <c r="I195" s="93">
        <v>0</v>
      </c>
      <c r="J195" s="93">
        <v>-1</v>
      </c>
      <c r="K195" s="93">
        <v>0</v>
      </c>
      <c r="L195" s="93">
        <v>0</v>
      </c>
      <c r="M195" s="93">
        <v>0.38</v>
      </c>
      <c r="N195" s="93">
        <v>0.24</v>
      </c>
      <c r="O195" s="143">
        <v>0</v>
      </c>
      <c r="P195" s="59"/>
      <c r="Q195" s="48"/>
    </row>
    <row r="196" spans="2:17" ht="15.75">
      <c r="B196" s="55"/>
      <c r="C196" s="56">
        <v>12</v>
      </c>
      <c r="D196" s="57" t="s">
        <v>57</v>
      </c>
      <c r="E196" s="57"/>
      <c r="F196" s="93">
        <v>0</v>
      </c>
      <c r="G196" s="93">
        <v>0.17</v>
      </c>
      <c r="H196" s="93">
        <v>-1</v>
      </c>
      <c r="I196" s="93">
        <v>0</v>
      </c>
      <c r="J196" s="93">
        <v>0</v>
      </c>
      <c r="K196" s="93">
        <v>0</v>
      </c>
      <c r="L196" s="93">
        <v>0</v>
      </c>
      <c r="M196" s="93">
        <v>0.56999999999999995</v>
      </c>
      <c r="N196" s="93">
        <v>0.26</v>
      </c>
      <c r="O196" s="143">
        <v>0</v>
      </c>
      <c r="P196" s="59"/>
      <c r="Q196" s="48"/>
    </row>
    <row r="197" spans="2:17" ht="15.75">
      <c r="B197" s="55"/>
      <c r="C197" s="61">
        <v>13</v>
      </c>
      <c r="D197" s="62" t="s">
        <v>58</v>
      </c>
      <c r="E197" s="62"/>
      <c r="F197" s="98">
        <v>0</v>
      </c>
      <c r="G197" s="144">
        <v>0</v>
      </c>
      <c r="H197" s="144">
        <v>0</v>
      </c>
      <c r="I197" s="144">
        <v>0</v>
      </c>
      <c r="J197" s="144">
        <v>0</v>
      </c>
      <c r="K197" s="144">
        <v>-1</v>
      </c>
      <c r="L197" s="144">
        <v>0</v>
      </c>
      <c r="M197" s="144">
        <v>0.9</v>
      </c>
      <c r="N197" s="144">
        <v>0.1</v>
      </c>
      <c r="O197" s="145">
        <v>0</v>
      </c>
      <c r="P197" s="60"/>
      <c r="Q197" s="48"/>
    </row>
    <row r="198" spans="2:17">
      <c r="B198" s="45"/>
      <c r="C198" s="3864"/>
      <c r="D198" s="46"/>
      <c r="E198" s="46"/>
      <c r="F198" s="46"/>
      <c r="G198" s="46"/>
      <c r="H198" s="46"/>
      <c r="I198" s="46"/>
      <c r="J198" s="46"/>
      <c r="K198" s="46"/>
      <c r="L198" s="46"/>
      <c r="M198" s="46"/>
      <c r="N198" s="46"/>
      <c r="O198" s="46"/>
      <c r="P198" s="46"/>
      <c r="Q198" s="48"/>
    </row>
    <row r="199" spans="2:17">
      <c r="B199" s="45"/>
      <c r="C199" s="49" t="s">
        <v>109</v>
      </c>
      <c r="D199" s="46"/>
      <c r="E199" s="46"/>
      <c r="F199" s="46"/>
      <c r="G199" s="104"/>
      <c r="H199" s="46"/>
      <c r="I199" s="46"/>
      <c r="J199" s="46"/>
      <c r="K199" s="46"/>
      <c r="L199" s="46"/>
      <c r="M199" s="46"/>
      <c r="N199" s="46"/>
      <c r="O199" s="104" t="s">
        <v>85</v>
      </c>
      <c r="P199" s="104"/>
      <c r="Q199" s="48"/>
    </row>
    <row r="200" spans="2:17">
      <c r="B200" s="45"/>
      <c r="C200" s="46"/>
      <c r="D200" s="46"/>
      <c r="E200" s="46"/>
      <c r="F200" s="46"/>
      <c r="G200" s="46"/>
      <c r="H200" s="46"/>
      <c r="I200" s="46"/>
      <c r="J200" s="46"/>
      <c r="K200" s="46"/>
      <c r="L200" s="46"/>
      <c r="M200" s="46"/>
      <c r="N200" s="46"/>
      <c r="O200" s="46"/>
      <c r="P200" s="46"/>
      <c r="Q200" s="48"/>
    </row>
    <row r="201" spans="2:17" ht="22.5">
      <c r="B201" s="45"/>
      <c r="C201" s="116"/>
      <c r="D201" s="116"/>
      <c r="E201" s="116"/>
      <c r="F201" s="136" t="s">
        <v>86</v>
      </c>
      <c r="G201" s="136" t="s">
        <v>87</v>
      </c>
      <c r="H201" s="136" t="s">
        <v>88</v>
      </c>
      <c r="I201" s="136" t="s">
        <v>89</v>
      </c>
      <c r="J201" s="136" t="s">
        <v>90</v>
      </c>
      <c r="K201" s="136" t="s">
        <v>91</v>
      </c>
      <c r="L201" s="136" t="s">
        <v>92</v>
      </c>
      <c r="M201" s="136" t="s">
        <v>93</v>
      </c>
      <c r="N201" s="136" t="s">
        <v>94</v>
      </c>
      <c r="O201" s="137" t="s">
        <v>95</v>
      </c>
      <c r="P201" s="138"/>
      <c r="Q201" s="48"/>
    </row>
    <row r="202" spans="2:17">
      <c r="B202" s="45"/>
      <c r="C202" s="139" t="s">
        <v>44</v>
      </c>
      <c r="D202" s="139" t="s">
        <v>45</v>
      </c>
      <c r="E202" s="139" t="s">
        <v>30</v>
      </c>
      <c r="F202" s="140" t="s">
        <v>96</v>
      </c>
      <c r="G202" s="140" t="s">
        <v>97</v>
      </c>
      <c r="H202" s="140" t="s">
        <v>98</v>
      </c>
      <c r="I202" s="140" t="s">
        <v>99</v>
      </c>
      <c r="J202" s="140" t="s">
        <v>100</v>
      </c>
      <c r="K202" s="140" t="s">
        <v>101</v>
      </c>
      <c r="L202" s="140" t="s">
        <v>102</v>
      </c>
      <c r="M202" s="140" t="s">
        <v>103</v>
      </c>
      <c r="N202" s="140" t="s">
        <v>104</v>
      </c>
      <c r="O202" s="141"/>
      <c r="P202" s="142"/>
      <c r="Q202" s="48"/>
    </row>
    <row r="203" spans="2:17" ht="15.75">
      <c r="B203" s="55"/>
      <c r="C203" s="56">
        <v>1</v>
      </c>
      <c r="D203" s="57" t="s">
        <v>61</v>
      </c>
      <c r="E203" s="57"/>
      <c r="F203" s="93">
        <v>-1</v>
      </c>
      <c r="G203" s="93"/>
      <c r="H203" s="93"/>
      <c r="I203" s="93"/>
      <c r="J203" s="93"/>
      <c r="K203" s="93"/>
      <c r="L203" s="93">
        <v>-1.5</v>
      </c>
      <c r="M203" s="93">
        <v>2.5</v>
      </c>
      <c r="N203" s="93"/>
      <c r="O203" s="143">
        <v>0</v>
      </c>
      <c r="P203" s="59"/>
      <c r="Q203" s="48"/>
    </row>
    <row r="204" spans="2:17" ht="15.75">
      <c r="B204" s="55"/>
      <c r="C204" s="56">
        <v>2</v>
      </c>
      <c r="D204" s="57" t="s">
        <v>62</v>
      </c>
      <c r="E204" s="57"/>
      <c r="F204" s="93">
        <v>-1</v>
      </c>
      <c r="G204" s="93"/>
      <c r="H204" s="93"/>
      <c r="I204" s="93"/>
      <c r="J204" s="93"/>
      <c r="K204" s="93"/>
      <c r="L204" s="93">
        <v>-5</v>
      </c>
      <c r="M204" s="93">
        <v>6</v>
      </c>
      <c r="N204" s="93"/>
      <c r="O204" s="143">
        <v>0</v>
      </c>
      <c r="P204" s="59"/>
      <c r="Q204" s="48"/>
    </row>
    <row r="205" spans="2:17" ht="15.75">
      <c r="B205" s="55"/>
      <c r="C205" s="146">
        <v>3</v>
      </c>
      <c r="D205" s="125" t="s">
        <v>63</v>
      </c>
      <c r="E205" s="125"/>
      <c r="F205" s="147"/>
      <c r="G205" s="147"/>
      <c r="H205" s="147"/>
      <c r="I205" s="147"/>
      <c r="J205" s="147"/>
      <c r="K205" s="147">
        <v>-1</v>
      </c>
      <c r="L205" s="147">
        <v>0.3</v>
      </c>
      <c r="M205" s="147">
        <v>0.7</v>
      </c>
      <c r="N205" s="147"/>
      <c r="O205" s="148">
        <v>0</v>
      </c>
      <c r="P205" s="59"/>
      <c r="Q205" s="48"/>
    </row>
    <row r="206" spans="2:17">
      <c r="B206" s="45"/>
      <c r="C206" s="46"/>
      <c r="D206" s="46"/>
      <c r="E206" s="46"/>
      <c r="F206" s="46"/>
      <c r="G206" s="46"/>
      <c r="H206" s="46"/>
      <c r="I206" s="46"/>
      <c r="J206" s="46"/>
      <c r="K206" s="46"/>
      <c r="L206" s="46"/>
      <c r="M206" s="46"/>
      <c r="N206" s="46"/>
      <c r="O206" s="46"/>
      <c r="P206" s="46"/>
      <c r="Q206" s="48"/>
    </row>
    <row r="207" spans="2:17">
      <c r="B207" s="45"/>
      <c r="C207" s="46"/>
      <c r="D207" s="46"/>
      <c r="E207" s="46"/>
      <c r="F207" s="46"/>
      <c r="G207" s="46"/>
      <c r="H207" s="46"/>
      <c r="I207" s="46"/>
      <c r="J207" s="46"/>
      <c r="K207" s="46"/>
      <c r="L207" s="46"/>
      <c r="M207" s="46"/>
      <c r="N207" s="46"/>
      <c r="O207" s="46"/>
      <c r="P207" s="46"/>
      <c r="Q207" s="48"/>
    </row>
    <row r="208" spans="2:17">
      <c r="B208" s="45"/>
      <c r="C208" s="89" t="s">
        <v>3121</v>
      </c>
      <c r="D208" s="57"/>
      <c r="E208" s="90"/>
      <c r="F208" s="59"/>
      <c r="G208" s="66"/>
      <c r="H208" s="46"/>
      <c r="I208" s="46"/>
      <c r="J208" s="46"/>
      <c r="K208" s="46"/>
      <c r="L208" s="46"/>
      <c r="M208" s="46"/>
      <c r="N208" s="46"/>
      <c r="O208" s="46"/>
      <c r="P208" s="46"/>
      <c r="Q208" s="48"/>
    </row>
    <row r="209" spans="2:17">
      <c r="B209" s="45"/>
      <c r="C209" s="56"/>
      <c r="D209" s="57"/>
      <c r="E209" s="57"/>
      <c r="F209" s="59"/>
      <c r="G209" s="66"/>
      <c r="H209" s="46"/>
      <c r="I209" s="46"/>
      <c r="J209" s="46"/>
      <c r="K209" s="46"/>
      <c r="L209" s="46"/>
      <c r="M209" s="46"/>
      <c r="N209" s="46"/>
      <c r="O209" s="46"/>
      <c r="P209" s="46"/>
      <c r="Q209" s="48"/>
    </row>
    <row r="210" spans="2:17" ht="15.75">
      <c r="B210" s="55"/>
      <c r="C210" s="52" t="s">
        <v>44</v>
      </c>
      <c r="D210" s="52" t="s">
        <v>110</v>
      </c>
      <c r="E210" s="52" t="s">
        <v>30</v>
      </c>
      <c r="F210" s="53">
        <v>2013</v>
      </c>
      <c r="G210" s="149" t="s">
        <v>111</v>
      </c>
      <c r="H210" s="150" t="s">
        <v>112</v>
      </c>
      <c r="I210" s="151"/>
      <c r="J210" s="46"/>
      <c r="K210" s="46"/>
      <c r="L210" s="46"/>
      <c r="M210" s="46"/>
      <c r="N210" s="46"/>
      <c r="O210" s="46"/>
      <c r="P210" s="46"/>
      <c r="Q210" s="48"/>
    </row>
    <row r="211" spans="2:17" ht="15.75">
      <c r="B211" s="55"/>
      <c r="C211" s="56">
        <v>1</v>
      </c>
      <c r="D211" s="57" t="s">
        <v>46</v>
      </c>
      <c r="E211" s="57"/>
      <c r="F211" s="94">
        <v>0.17</v>
      </c>
      <c r="G211" s="152">
        <v>0</v>
      </c>
      <c r="H211" s="153">
        <v>2013</v>
      </c>
      <c r="I211" s="59"/>
      <c r="J211" s="46"/>
      <c r="K211" s="46"/>
      <c r="L211" s="46"/>
      <c r="M211" s="46"/>
      <c r="N211" s="46"/>
      <c r="O211" s="46"/>
      <c r="P211" s="46"/>
      <c r="Q211" s="48"/>
    </row>
    <row r="212" spans="2:17" ht="15.75">
      <c r="B212" s="55"/>
      <c r="C212" s="56">
        <v>2</v>
      </c>
      <c r="D212" s="57" t="s">
        <v>47</v>
      </c>
      <c r="E212" s="108"/>
      <c r="F212" s="94">
        <v>0.156</v>
      </c>
      <c r="G212" s="152">
        <v>0.9</v>
      </c>
      <c r="H212" s="153">
        <v>2013</v>
      </c>
      <c r="I212" s="59"/>
      <c r="J212" s="67" t="s">
        <v>5</v>
      </c>
      <c r="K212" s="46"/>
      <c r="L212" s="46"/>
      <c r="M212" s="46"/>
      <c r="N212" s="46"/>
      <c r="O212" s="46"/>
      <c r="P212" s="46"/>
      <c r="Q212" s="48"/>
    </row>
    <row r="213" spans="2:17" ht="15.75">
      <c r="B213" s="55"/>
      <c r="C213" s="56">
        <v>3</v>
      </c>
      <c r="D213" s="57" t="s">
        <v>48</v>
      </c>
      <c r="E213" s="108"/>
      <c r="F213" s="94">
        <v>3.5999999999999997E-2</v>
      </c>
      <c r="G213" s="152">
        <v>1</v>
      </c>
      <c r="H213" s="153">
        <v>2013</v>
      </c>
      <c r="I213" s="59"/>
      <c r="J213" s="46"/>
      <c r="K213" s="46"/>
      <c r="L213" s="46"/>
      <c r="M213" s="46"/>
      <c r="N213" s="46"/>
      <c r="O213" s="46"/>
      <c r="P213" s="46"/>
      <c r="Q213" s="48"/>
    </row>
    <row r="214" spans="2:17" ht="15.75">
      <c r="B214" s="55"/>
      <c r="C214" s="56">
        <v>4</v>
      </c>
      <c r="D214" s="57" t="s">
        <v>49</v>
      </c>
      <c r="E214" s="57"/>
      <c r="F214" s="94">
        <v>0.61899999999999999</v>
      </c>
      <c r="G214" s="152">
        <v>0.62</v>
      </c>
      <c r="H214" s="153">
        <v>2013</v>
      </c>
      <c r="I214" s="59"/>
      <c r="J214" s="154"/>
      <c r="K214" s="46"/>
      <c r="L214" s="46"/>
      <c r="M214" s="46"/>
      <c r="N214" s="46"/>
      <c r="O214" s="46"/>
      <c r="P214" s="46"/>
      <c r="Q214" s="48"/>
    </row>
    <row r="215" spans="2:17" ht="15.75">
      <c r="B215" s="55"/>
      <c r="C215" s="56">
        <v>5</v>
      </c>
      <c r="D215" s="57" t="s">
        <v>50</v>
      </c>
      <c r="E215" s="57"/>
      <c r="F215" s="94">
        <v>1.4999999999999999E-2</v>
      </c>
      <c r="G215" s="152">
        <v>0.74</v>
      </c>
      <c r="H215" s="153">
        <v>2013</v>
      </c>
      <c r="I215" s="59"/>
      <c r="J215" s="46"/>
      <c r="K215" s="46"/>
      <c r="L215" s="46"/>
      <c r="M215" s="46"/>
      <c r="N215" s="46"/>
      <c r="O215" s="46"/>
      <c r="P215" s="46"/>
      <c r="Q215" s="48"/>
    </row>
    <row r="216" spans="2:17" ht="15.75">
      <c r="B216" s="55"/>
      <c r="C216" s="56">
        <v>6</v>
      </c>
      <c r="D216" s="57" t="s">
        <v>51</v>
      </c>
      <c r="E216" s="57"/>
      <c r="F216" s="94">
        <v>0</v>
      </c>
      <c r="G216" s="155">
        <v>0.9</v>
      </c>
      <c r="H216" s="153">
        <v>2015</v>
      </c>
      <c r="I216" s="60"/>
      <c r="J216" s="46"/>
      <c r="K216" s="46"/>
      <c r="L216" s="46"/>
      <c r="M216" s="46"/>
      <c r="N216" s="46"/>
      <c r="O216" s="46"/>
      <c r="P216" s="46"/>
      <c r="Q216" s="48"/>
    </row>
    <row r="217" spans="2:17" ht="15.75">
      <c r="B217" s="55"/>
      <c r="C217" s="56">
        <v>7</v>
      </c>
      <c r="D217" s="57" t="s">
        <v>52</v>
      </c>
      <c r="E217" s="57"/>
      <c r="F217" s="94">
        <v>0</v>
      </c>
      <c r="G217" s="155">
        <v>0.9</v>
      </c>
      <c r="H217" s="153">
        <v>2015</v>
      </c>
      <c r="I217" s="60"/>
      <c r="J217" s="46"/>
      <c r="K217" s="46"/>
      <c r="L217" s="46"/>
      <c r="M217" s="46"/>
      <c r="N217" s="46"/>
      <c r="O217" s="46"/>
      <c r="P217" s="46"/>
      <c r="Q217" s="48"/>
    </row>
    <row r="218" spans="2:17" ht="15.75">
      <c r="B218" s="55"/>
      <c r="C218" s="56">
        <v>8</v>
      </c>
      <c r="D218" s="57" t="s">
        <v>53</v>
      </c>
      <c r="E218" s="57"/>
      <c r="F218" s="94">
        <v>1E-3</v>
      </c>
      <c r="G218" s="155">
        <v>1</v>
      </c>
      <c r="H218" s="153">
        <v>2015</v>
      </c>
      <c r="I218" s="60"/>
      <c r="J218" s="46"/>
      <c r="K218" s="46"/>
      <c r="L218" s="46"/>
      <c r="M218" s="46"/>
      <c r="N218" s="46"/>
      <c r="O218" s="46"/>
      <c r="P218" s="46"/>
      <c r="Q218" s="48"/>
    </row>
    <row r="219" spans="2:17" ht="15.75">
      <c r="B219" s="55"/>
      <c r="C219" s="56">
        <v>9</v>
      </c>
      <c r="D219" s="57" t="s">
        <v>54</v>
      </c>
      <c r="E219" s="57"/>
      <c r="F219" s="94">
        <v>2E-3</v>
      </c>
      <c r="G219" s="155">
        <v>0.28999999999999998</v>
      </c>
      <c r="H219" s="153">
        <v>2015</v>
      </c>
      <c r="I219" s="60"/>
      <c r="J219" s="46"/>
      <c r="K219" s="46"/>
      <c r="L219" s="46"/>
      <c r="M219" s="46"/>
      <c r="N219" s="46"/>
      <c r="O219" s="46"/>
      <c r="P219" s="46"/>
      <c r="Q219" s="48"/>
    </row>
    <row r="220" spans="2:17" ht="15.75">
      <c r="B220" s="55"/>
      <c r="C220" s="56">
        <v>10</v>
      </c>
      <c r="D220" s="57" t="s">
        <v>55</v>
      </c>
      <c r="E220" s="57"/>
      <c r="F220" s="94">
        <v>0</v>
      </c>
      <c r="G220" s="155">
        <v>0.01</v>
      </c>
      <c r="H220" s="153">
        <v>2015</v>
      </c>
      <c r="I220" s="60"/>
      <c r="J220" s="46"/>
      <c r="K220" s="46"/>
      <c r="L220" s="46"/>
      <c r="M220" s="46"/>
      <c r="N220" s="46"/>
      <c r="O220" s="46"/>
      <c r="P220" s="46"/>
      <c r="Q220" s="48"/>
    </row>
    <row r="221" spans="2:17" ht="15.75">
      <c r="B221" s="55"/>
      <c r="C221" s="56">
        <v>11</v>
      </c>
      <c r="D221" s="57" t="s">
        <v>56</v>
      </c>
      <c r="E221" s="57"/>
      <c r="F221" s="94">
        <v>0</v>
      </c>
      <c r="G221" s="155">
        <v>0.68</v>
      </c>
      <c r="H221" s="153">
        <v>2015</v>
      </c>
      <c r="I221" s="60"/>
      <c r="J221" s="46"/>
      <c r="K221" s="46"/>
      <c r="L221" s="46"/>
      <c r="M221" s="46"/>
      <c r="N221" s="46"/>
      <c r="O221" s="46"/>
      <c r="P221" s="46"/>
      <c r="Q221" s="48"/>
    </row>
    <row r="222" spans="2:17" ht="15.75">
      <c r="B222" s="55"/>
      <c r="C222" s="56">
        <v>12</v>
      </c>
      <c r="D222" s="57" t="s">
        <v>57</v>
      </c>
      <c r="E222" s="57"/>
      <c r="F222" s="94">
        <v>0</v>
      </c>
      <c r="G222" s="155">
        <v>0.68</v>
      </c>
      <c r="H222" s="153">
        <v>2015</v>
      </c>
      <c r="I222" s="60"/>
      <c r="J222" s="46"/>
      <c r="K222" s="46"/>
      <c r="L222" s="46"/>
      <c r="M222" s="46"/>
      <c r="N222" s="46"/>
      <c r="O222" s="46"/>
      <c r="P222" s="46"/>
      <c r="Q222" s="48"/>
    </row>
    <row r="223" spans="2:17" ht="15.75">
      <c r="B223" s="55"/>
      <c r="C223" s="61">
        <v>13</v>
      </c>
      <c r="D223" s="62" t="s">
        <v>58</v>
      </c>
      <c r="E223" s="62"/>
      <c r="F223" s="99">
        <v>0</v>
      </c>
      <c r="G223" s="156">
        <v>0.4</v>
      </c>
      <c r="H223" s="157">
        <v>2015</v>
      </c>
      <c r="I223" s="60"/>
      <c r="J223" s="46"/>
      <c r="K223" s="46"/>
      <c r="L223" s="46"/>
      <c r="M223" s="46"/>
      <c r="N223" s="46"/>
      <c r="O223" s="46"/>
      <c r="P223" s="46"/>
      <c r="Q223" s="48"/>
    </row>
    <row r="224" spans="2:17" ht="15.75">
      <c r="B224" s="55"/>
      <c r="C224" s="56"/>
      <c r="D224" s="108" t="s">
        <v>3043</v>
      </c>
      <c r="E224" s="57"/>
      <c r="F224" s="93">
        <f>SUM(F211:F223)</f>
        <v>0.999</v>
      </c>
      <c r="G224" s="93"/>
      <c r="H224" s="46"/>
      <c r="I224" s="46"/>
      <c r="J224" s="46"/>
      <c r="K224" s="46"/>
      <c r="L224" s="46"/>
      <c r="M224" s="46"/>
      <c r="N224" s="46"/>
      <c r="O224" s="46"/>
      <c r="P224" s="46"/>
      <c r="Q224" s="48"/>
    </row>
    <row r="225" spans="2:17">
      <c r="B225" s="45"/>
      <c r="C225" s="46"/>
      <c r="D225" s="46"/>
      <c r="E225" s="46"/>
      <c r="F225" s="46"/>
      <c r="G225" s="46"/>
      <c r="H225" s="46"/>
      <c r="I225" s="46"/>
      <c r="J225" s="46"/>
      <c r="K225" s="46"/>
      <c r="L225" s="46"/>
      <c r="M225" s="46"/>
      <c r="N225" s="46"/>
      <c r="O225" s="46"/>
      <c r="P225" s="46"/>
      <c r="Q225" s="48"/>
    </row>
    <row r="226" spans="2:17" ht="15.75">
      <c r="B226" s="55"/>
      <c r="C226" s="52" t="s">
        <v>44</v>
      </c>
      <c r="D226" s="52" t="s">
        <v>110</v>
      </c>
      <c r="E226" s="52" t="s">
        <v>30</v>
      </c>
      <c r="F226" s="53">
        <v>2013</v>
      </c>
      <c r="G226" s="149" t="s">
        <v>111</v>
      </c>
      <c r="H226" s="150" t="s">
        <v>112</v>
      </c>
      <c r="I226" s="46"/>
      <c r="J226" s="46"/>
      <c r="K226" s="46"/>
      <c r="L226" s="46"/>
      <c r="M226" s="46"/>
      <c r="N226" s="46"/>
      <c r="O226" s="46"/>
      <c r="P226" s="46"/>
      <c r="Q226" s="48"/>
    </row>
    <row r="227" spans="2:17" ht="15.75">
      <c r="B227" s="55"/>
      <c r="C227" s="56">
        <v>1</v>
      </c>
      <c r="D227" s="57" t="s">
        <v>61</v>
      </c>
      <c r="E227" s="57"/>
      <c r="F227" s="94">
        <v>0</v>
      </c>
      <c r="G227" s="152">
        <v>1</v>
      </c>
      <c r="H227" s="153">
        <v>2013</v>
      </c>
      <c r="I227" s="46"/>
      <c r="J227" s="46"/>
      <c r="K227" s="46"/>
      <c r="L227" s="46"/>
      <c r="M227" s="46"/>
      <c r="N227" s="46"/>
      <c r="O227" s="46"/>
      <c r="P227" s="46"/>
      <c r="Q227" s="48"/>
    </row>
    <row r="228" spans="2:17" ht="15.75">
      <c r="B228" s="55"/>
      <c r="C228" s="56">
        <v>2</v>
      </c>
      <c r="D228" s="57" t="s">
        <v>62</v>
      </c>
      <c r="E228" s="57"/>
      <c r="F228" s="94">
        <v>0</v>
      </c>
      <c r="G228" s="152">
        <v>1</v>
      </c>
      <c r="H228" s="153">
        <v>2013</v>
      </c>
      <c r="I228" s="46"/>
      <c r="J228" s="46"/>
      <c r="K228" s="46"/>
      <c r="L228" s="46"/>
      <c r="M228" s="46"/>
      <c r="N228" s="46"/>
      <c r="O228" s="46"/>
      <c r="P228" s="46"/>
      <c r="Q228" s="48"/>
    </row>
    <row r="229" spans="2:17" ht="15.75">
      <c r="B229" s="55"/>
      <c r="C229" s="146">
        <v>3</v>
      </c>
      <c r="D229" s="125" t="s">
        <v>63</v>
      </c>
      <c r="E229" s="125"/>
      <c r="F229" s="158">
        <v>0</v>
      </c>
      <c r="G229" s="159">
        <v>1</v>
      </c>
      <c r="H229" s="157">
        <v>2015</v>
      </c>
      <c r="I229" s="46"/>
      <c r="J229" s="46"/>
      <c r="K229" s="46"/>
      <c r="L229" s="46"/>
      <c r="M229" s="46"/>
      <c r="N229" s="46"/>
      <c r="O229" s="46"/>
      <c r="P229" s="46"/>
      <c r="Q229" s="48"/>
    </row>
    <row r="230" spans="2:17" ht="15.75">
      <c r="B230" s="55"/>
      <c r="C230" s="46"/>
      <c r="D230" s="46" t="s">
        <v>59</v>
      </c>
      <c r="E230" s="46"/>
      <c r="F230" s="160">
        <v>0</v>
      </c>
      <c r="G230" s="46"/>
      <c r="H230" s="46"/>
      <c r="I230" s="46"/>
      <c r="J230" s="46"/>
      <c r="K230" s="46"/>
      <c r="L230" s="46"/>
      <c r="M230" s="46"/>
      <c r="N230" s="46"/>
      <c r="O230" s="46"/>
      <c r="P230" s="46"/>
      <c r="Q230" s="48"/>
    </row>
    <row r="231" spans="2:17">
      <c r="B231" s="45"/>
      <c r="C231" s="46"/>
      <c r="D231" s="46"/>
      <c r="E231" s="46"/>
      <c r="F231" s="46"/>
      <c r="G231" s="46"/>
      <c r="H231" s="46"/>
      <c r="I231" s="46"/>
      <c r="J231" s="46"/>
      <c r="K231" s="46"/>
      <c r="L231" s="46"/>
      <c r="M231" s="46"/>
      <c r="N231" s="46"/>
      <c r="O231" s="46"/>
      <c r="P231" s="46"/>
      <c r="Q231" s="48"/>
    </row>
    <row r="232" spans="2:17">
      <c r="B232" s="45"/>
      <c r="C232" s="49" t="s">
        <v>113</v>
      </c>
      <c r="D232" s="46"/>
      <c r="E232" s="104"/>
      <c r="F232" s="46"/>
      <c r="G232" s="46"/>
      <c r="H232" s="46"/>
      <c r="I232" s="46"/>
      <c r="J232" s="46"/>
      <c r="K232" s="46"/>
      <c r="L232" s="46"/>
      <c r="M232" s="46"/>
      <c r="N232" s="104" t="s">
        <v>114</v>
      </c>
      <c r="O232" s="46"/>
      <c r="P232" s="104"/>
      <c r="Q232" s="48"/>
    </row>
    <row r="233" spans="2:17">
      <c r="B233" s="45"/>
      <c r="C233" s="46"/>
      <c r="D233" s="46"/>
      <c r="E233" s="46"/>
      <c r="F233" s="46"/>
      <c r="G233" s="46"/>
      <c r="H233" s="46"/>
      <c r="I233" s="46"/>
      <c r="J233" s="46"/>
      <c r="K233" s="46"/>
      <c r="L233" s="46"/>
      <c r="M233" s="46"/>
      <c r="N233" s="46"/>
      <c r="O233" s="46"/>
      <c r="P233" s="46"/>
      <c r="Q233" s="48"/>
    </row>
    <row r="234" spans="2:17" ht="15.75">
      <c r="B234" s="55"/>
      <c r="C234" s="116"/>
      <c r="D234" s="116" t="s">
        <v>72</v>
      </c>
      <c r="E234" s="116" t="s">
        <v>30</v>
      </c>
      <c r="F234" s="117">
        <v>2013</v>
      </c>
      <c r="G234" s="117">
        <v>2015</v>
      </c>
      <c r="H234" s="117">
        <v>2020</v>
      </c>
      <c r="I234" s="117">
        <v>2025</v>
      </c>
      <c r="J234" s="117">
        <v>2030</v>
      </c>
      <c r="K234" s="117">
        <v>2035</v>
      </c>
      <c r="L234" s="117">
        <v>2040</v>
      </c>
      <c r="M234" s="117">
        <v>2045</v>
      </c>
      <c r="N234" s="117">
        <v>2050</v>
      </c>
      <c r="O234" s="67" t="s">
        <v>5</v>
      </c>
      <c r="P234" s="54"/>
      <c r="Q234" s="48"/>
    </row>
    <row r="235" spans="2:17" ht="15.75">
      <c r="B235" s="55"/>
      <c r="C235" s="118"/>
      <c r="D235" s="118" t="s">
        <v>115</v>
      </c>
      <c r="E235" s="118"/>
      <c r="F235" s="161">
        <f>F241*F580</f>
        <v>83495.751867679137</v>
      </c>
      <c r="G235" s="162">
        <f t="shared" ref="G235:N235" si="9">G241*G580</f>
        <v>86093.194562742574</v>
      </c>
      <c r="H235" s="162">
        <f t="shared" si="9"/>
        <v>90781.879533281535</v>
      </c>
      <c r="I235" s="162">
        <f t="shared" si="9"/>
        <v>95443.892888837334</v>
      </c>
      <c r="J235" s="162">
        <f t="shared" si="9"/>
        <v>99839.180244991599</v>
      </c>
      <c r="K235" s="162">
        <f t="shared" si="9"/>
        <v>104482.64129055713</v>
      </c>
      <c r="L235" s="162">
        <f t="shared" si="9"/>
        <v>109367.30861322941</v>
      </c>
      <c r="M235" s="162">
        <f t="shared" si="9"/>
        <v>114222.20970422239</v>
      </c>
      <c r="N235" s="162">
        <f t="shared" si="9"/>
        <v>119330.01632217916</v>
      </c>
      <c r="O235" s="46"/>
      <c r="P235" s="80"/>
      <c r="Q235" s="48"/>
    </row>
    <row r="236" spans="2:17" ht="15.75">
      <c r="B236" s="55"/>
      <c r="C236" s="125"/>
      <c r="D236" s="125" t="s">
        <v>116</v>
      </c>
      <c r="E236" s="125"/>
      <c r="F236" s="163">
        <f>F241*F580</f>
        <v>83495.751867679137</v>
      </c>
      <c r="G236" s="164">
        <f t="shared" ref="G236:N236" si="10">G241*G580</f>
        <v>86093.194562742574</v>
      </c>
      <c r="H236" s="164">
        <f t="shared" si="10"/>
        <v>90781.879533281535</v>
      </c>
      <c r="I236" s="164">
        <f t="shared" si="10"/>
        <v>95443.892888837334</v>
      </c>
      <c r="J236" s="164">
        <f t="shared" si="10"/>
        <v>99839.180244991599</v>
      </c>
      <c r="K236" s="164">
        <f t="shared" si="10"/>
        <v>104482.64129055713</v>
      </c>
      <c r="L236" s="164">
        <f t="shared" si="10"/>
        <v>109367.30861322941</v>
      </c>
      <c r="M236" s="164">
        <f t="shared" si="10"/>
        <v>114222.20970422239</v>
      </c>
      <c r="N236" s="164">
        <f t="shared" si="10"/>
        <v>119330.01632217916</v>
      </c>
      <c r="O236" s="46"/>
      <c r="P236" s="80"/>
      <c r="Q236" s="48"/>
    </row>
    <row r="237" spans="2:17" ht="15.75">
      <c r="B237" s="55"/>
      <c r="C237" s="57"/>
      <c r="D237" s="57"/>
      <c r="E237" s="57"/>
      <c r="F237" s="165"/>
      <c r="G237" s="165"/>
      <c r="H237" s="165"/>
      <c r="I237" s="165"/>
      <c r="J237" s="165"/>
      <c r="K237" s="165"/>
      <c r="L237" s="165"/>
      <c r="M237" s="165"/>
      <c r="N237" s="165"/>
      <c r="O237" s="46"/>
      <c r="P237" s="80"/>
      <c r="Q237" s="48"/>
    </row>
    <row r="238" spans="2:17" ht="15.75">
      <c r="B238" s="55"/>
      <c r="C238" s="122" t="s">
        <v>117</v>
      </c>
      <c r="D238" s="57"/>
      <c r="E238" s="57"/>
      <c r="F238" s="165"/>
      <c r="G238" s="165"/>
      <c r="H238" s="165"/>
      <c r="I238" s="165"/>
      <c r="J238" s="165"/>
      <c r="K238" s="165"/>
      <c r="L238" s="165"/>
      <c r="M238" s="165"/>
      <c r="N238" s="165"/>
      <c r="O238" s="46"/>
      <c r="P238" s="80"/>
      <c r="Q238" s="48"/>
    </row>
    <row r="239" spans="2:17" ht="15.75">
      <c r="B239" s="55"/>
      <c r="C239" s="57"/>
      <c r="D239" s="57"/>
      <c r="E239" s="57"/>
      <c r="F239" s="165"/>
      <c r="G239" s="165"/>
      <c r="H239" s="165"/>
      <c r="I239" s="165"/>
      <c r="J239" s="165"/>
      <c r="K239" s="165"/>
      <c r="L239" s="165"/>
      <c r="M239" s="165"/>
      <c r="N239" s="165"/>
      <c r="O239" s="46"/>
      <c r="P239" s="80"/>
      <c r="Q239" s="48"/>
    </row>
    <row r="240" spans="2:17" ht="15.75">
      <c r="B240" s="55"/>
      <c r="C240" s="116"/>
      <c r="D240" s="116" t="s">
        <v>72</v>
      </c>
      <c r="E240" s="116" t="s">
        <v>30</v>
      </c>
      <c r="F240" s="117">
        <v>2013</v>
      </c>
      <c r="G240" s="117">
        <v>2015</v>
      </c>
      <c r="H240" s="117">
        <v>2020</v>
      </c>
      <c r="I240" s="117">
        <v>2025</v>
      </c>
      <c r="J240" s="117">
        <v>2030</v>
      </c>
      <c r="K240" s="117">
        <v>2035</v>
      </c>
      <c r="L240" s="117">
        <v>2040</v>
      </c>
      <c r="M240" s="117">
        <v>2045</v>
      </c>
      <c r="N240" s="117">
        <v>2050</v>
      </c>
      <c r="O240" s="46"/>
      <c r="P240" s="80"/>
      <c r="Q240" s="48"/>
    </row>
    <row r="241" spans="2:17" ht="15.75">
      <c r="B241" s="55"/>
      <c r="C241" s="118"/>
      <c r="D241" s="118" t="s">
        <v>115</v>
      </c>
      <c r="E241" s="118"/>
      <c r="F241" s="166">
        <v>4.991821093132022E-2</v>
      </c>
      <c r="G241" s="167">
        <v>4.991821093132022E-2</v>
      </c>
      <c r="H241" s="167">
        <v>4.9918210931320213E-2</v>
      </c>
      <c r="I241" s="167">
        <v>4.9918210931320227E-2</v>
      </c>
      <c r="J241" s="167">
        <v>4.991821093132022E-2</v>
      </c>
      <c r="K241" s="167">
        <v>4.991821093132022E-2</v>
      </c>
      <c r="L241" s="167">
        <v>4.9918210931320227E-2</v>
      </c>
      <c r="M241" s="167">
        <v>4.991821093132022E-2</v>
      </c>
      <c r="N241" s="167">
        <v>4.991821093132022E-2</v>
      </c>
      <c r="O241" s="46"/>
      <c r="P241" s="80"/>
      <c r="Q241" s="48"/>
    </row>
    <row r="242" spans="2:17" ht="15.75">
      <c r="B242" s="55"/>
      <c r="C242" s="125"/>
      <c r="D242" s="125" t="s">
        <v>116</v>
      </c>
      <c r="E242" s="125"/>
      <c r="F242" s="168">
        <v>4.991821093132022E-2</v>
      </c>
      <c r="G242" s="169">
        <v>4.991821093132022E-2</v>
      </c>
      <c r="H242" s="169">
        <v>4.9918210931320213E-2</v>
      </c>
      <c r="I242" s="169">
        <v>4.9918210931320227E-2</v>
      </c>
      <c r="J242" s="169">
        <v>4.991821093132022E-2</v>
      </c>
      <c r="K242" s="169">
        <v>4.991821093132022E-2</v>
      </c>
      <c r="L242" s="169">
        <v>4.9918210931320227E-2</v>
      </c>
      <c r="M242" s="169">
        <v>4.991821093132022E-2</v>
      </c>
      <c r="N242" s="169">
        <v>4.991821093132022E-2</v>
      </c>
      <c r="O242" s="46"/>
      <c r="P242" s="80"/>
      <c r="Q242" s="48"/>
    </row>
    <row r="243" spans="2:17" ht="15.75">
      <c r="B243" s="55"/>
      <c r="C243" s="57"/>
      <c r="D243" s="57"/>
      <c r="E243" s="57"/>
      <c r="F243" s="80"/>
      <c r="G243" s="80"/>
      <c r="H243" s="80"/>
      <c r="I243" s="80"/>
      <c r="J243" s="80"/>
      <c r="K243" s="80"/>
      <c r="L243" s="80"/>
      <c r="M243" s="80"/>
      <c r="N243" s="80"/>
      <c r="O243" s="80"/>
      <c r="P243" s="80"/>
      <c r="Q243" s="48"/>
    </row>
    <row r="244" spans="2:17" ht="15.75">
      <c r="B244" s="55"/>
      <c r="C244" s="122" t="s">
        <v>2801</v>
      </c>
      <c r="D244" s="57"/>
      <c r="E244" s="57"/>
      <c r="F244" s="80" t="s">
        <v>118</v>
      </c>
      <c r="G244" s="80"/>
      <c r="H244" s="80"/>
      <c r="I244" s="80"/>
      <c r="J244" s="80"/>
      <c r="K244" s="80"/>
      <c r="L244" s="80"/>
      <c r="M244" s="80"/>
      <c r="N244" s="80"/>
      <c r="O244" s="80"/>
      <c r="P244" s="80"/>
      <c r="Q244" s="48"/>
    </row>
    <row r="245" spans="2:17" ht="15.75">
      <c r="B245" s="55"/>
      <c r="C245" s="57"/>
      <c r="D245" s="57"/>
      <c r="E245" s="57"/>
      <c r="F245" s="80"/>
      <c r="G245" s="80"/>
      <c r="H245" s="80"/>
      <c r="I245" s="80"/>
      <c r="J245" s="80"/>
      <c r="K245" s="80"/>
      <c r="L245" s="80"/>
      <c r="M245" s="80"/>
      <c r="N245" s="80"/>
      <c r="O245" s="80"/>
      <c r="P245" s="80"/>
      <c r="Q245" s="48"/>
    </row>
    <row r="246" spans="2:17" ht="15.75" hidden="1">
      <c r="B246" s="55"/>
      <c r="C246" s="116" t="s">
        <v>119</v>
      </c>
      <c r="D246" s="116"/>
      <c r="E246" s="116">
        <v>2013</v>
      </c>
      <c r="F246" s="116">
        <v>2050</v>
      </c>
      <c r="G246" s="80" t="s">
        <v>120</v>
      </c>
      <c r="H246" s="80" t="s">
        <v>121</v>
      </c>
      <c r="I246" s="170"/>
      <c r="J246" s="80"/>
      <c r="K246" s="80"/>
      <c r="L246" s="80"/>
      <c r="M246" s="80"/>
      <c r="N246" s="80"/>
      <c r="O246" s="80"/>
      <c r="P246" s="80"/>
      <c r="Q246" s="48"/>
    </row>
    <row r="247" spans="2:17" ht="15.75" hidden="1">
      <c r="B247" s="55"/>
      <c r="C247" s="118"/>
      <c r="D247" s="118" t="s">
        <v>122</v>
      </c>
      <c r="E247" s="351">
        <f t="shared" ref="E247:E252" si="11">G247*$F$580</f>
        <v>514074.17513210542</v>
      </c>
      <c r="F247" s="351">
        <f t="shared" ref="F247:F252" si="12">H247*$N$580</f>
        <v>459723.66806970147</v>
      </c>
      <c r="G247" s="71">
        <v>0.30734094291714997</v>
      </c>
      <c r="H247" s="71">
        <v>0.19231190726451181</v>
      </c>
      <c r="I247" s="170"/>
      <c r="J247" s="80"/>
      <c r="K247" s="80"/>
      <c r="L247" s="80"/>
      <c r="M247" s="80"/>
      <c r="N247" s="80"/>
      <c r="O247" s="80"/>
      <c r="P247" s="80"/>
      <c r="Q247" s="48"/>
    </row>
    <row r="248" spans="2:17" ht="15.75" hidden="1">
      <c r="B248" s="55"/>
      <c r="C248" s="177"/>
      <c r="D248" s="3839" t="s">
        <v>123</v>
      </c>
      <c r="E248" s="172">
        <f t="shared" si="11"/>
        <v>587681.63814558776</v>
      </c>
      <c r="F248" s="172">
        <f t="shared" si="12"/>
        <v>525548.97992312629</v>
      </c>
      <c r="G248" s="71">
        <v>0.35134740770890771</v>
      </c>
      <c r="H248" s="71">
        <v>0.21984799502341767</v>
      </c>
      <c r="I248" s="170"/>
      <c r="J248" s="80"/>
      <c r="K248" s="80"/>
      <c r="L248" s="80"/>
      <c r="M248" s="80"/>
      <c r="N248" s="80"/>
      <c r="O248" s="80"/>
      <c r="P248" s="80"/>
      <c r="Q248" s="48"/>
    </row>
    <row r="249" spans="2:17" ht="15.75" hidden="1">
      <c r="B249" s="55"/>
      <c r="C249" s="177"/>
      <c r="D249" s="3839" t="s">
        <v>124</v>
      </c>
      <c r="E249" s="172">
        <f t="shared" si="11"/>
        <v>764307.26709644753</v>
      </c>
      <c r="F249" s="172">
        <f t="shared" si="12"/>
        <v>683500.85913499491</v>
      </c>
      <c r="G249" s="71">
        <v>0.45694362314054665</v>
      </c>
      <c r="H249" s="71">
        <v>0.28592252904684923</v>
      </c>
      <c r="I249" s="170"/>
      <c r="J249" s="80"/>
      <c r="K249" s="80"/>
      <c r="L249" s="80"/>
      <c r="M249" s="80"/>
      <c r="N249" s="80"/>
      <c r="O249" s="80"/>
      <c r="P249" s="80"/>
      <c r="Q249" s="48"/>
    </row>
    <row r="250" spans="2:17" ht="15.75" hidden="1">
      <c r="B250" s="55"/>
      <c r="C250" s="177"/>
      <c r="D250" s="234" t="s">
        <v>125</v>
      </c>
      <c r="E250" s="172">
        <f t="shared" si="11"/>
        <v>1519622.6839917602</v>
      </c>
      <c r="F250" s="172">
        <f t="shared" si="12"/>
        <v>1358960.531691931</v>
      </c>
      <c r="G250" s="71">
        <v>0.90851143895002806</v>
      </c>
      <c r="H250" s="71">
        <v>0.56848126363432372</v>
      </c>
      <c r="I250" s="170"/>
      <c r="J250" s="80"/>
      <c r="K250" s="80"/>
      <c r="L250" s="80"/>
      <c r="M250" s="80"/>
      <c r="N250" s="80"/>
      <c r="O250" s="80"/>
      <c r="P250" s="80"/>
      <c r="Q250" s="48"/>
    </row>
    <row r="251" spans="2:17" ht="15.75" hidden="1">
      <c r="B251" s="55"/>
      <c r="C251" s="177"/>
      <c r="D251" s="234" t="s">
        <v>126</v>
      </c>
      <c r="E251" s="172">
        <f>G251*$F$580</f>
        <v>1434412.0578357219</v>
      </c>
      <c r="F251" s="172">
        <f t="shared" si="12"/>
        <v>1282758.801455427</v>
      </c>
      <c r="G251" s="71">
        <v>0.85756798476342611</v>
      </c>
      <c r="H251" s="71">
        <v>0.53660450571109219</v>
      </c>
      <c r="I251" s="170"/>
      <c r="J251" s="80"/>
      <c r="K251" s="80"/>
      <c r="L251" s="80"/>
      <c r="M251" s="80"/>
      <c r="N251" s="80"/>
      <c r="O251" s="80"/>
      <c r="P251" s="80"/>
      <c r="Q251" s="48"/>
    </row>
    <row r="252" spans="2:17" ht="15.75" hidden="1">
      <c r="B252" s="55"/>
      <c r="C252" s="181"/>
      <c r="D252" s="3840" t="s">
        <v>127</v>
      </c>
      <c r="E252" s="352">
        <f t="shared" si="11"/>
        <v>1614215.4907408427</v>
      </c>
      <c r="F252" s="352">
        <f t="shared" si="12"/>
        <v>1443552.5112064078</v>
      </c>
      <c r="G252" s="71">
        <v>0.96506406078124884</v>
      </c>
      <c r="H252" s="71">
        <v>0.60386783615519524</v>
      </c>
      <c r="I252" s="3841" t="s">
        <v>3044</v>
      </c>
      <c r="J252" s="170" t="s">
        <v>3045</v>
      </c>
      <c r="K252" s="80"/>
      <c r="L252" s="80"/>
      <c r="M252" s="80"/>
      <c r="N252" s="80"/>
      <c r="O252" s="80"/>
      <c r="P252" s="80"/>
      <c r="Q252" s="48"/>
    </row>
    <row r="253" spans="2:17" ht="15.75" hidden="1">
      <c r="B253" s="55"/>
      <c r="C253" s="67"/>
      <c r="D253" s="171"/>
      <c r="E253" s="172"/>
      <c r="F253" s="172"/>
      <c r="G253" s="80"/>
      <c r="H253" s="80"/>
      <c r="I253" s="80"/>
      <c r="J253" s="80"/>
      <c r="K253" s="80"/>
      <c r="L253" s="80"/>
      <c r="M253" s="80"/>
      <c r="N253" s="80"/>
      <c r="O253" s="80"/>
      <c r="P253" s="80"/>
      <c r="Q253" s="48"/>
    </row>
    <row r="254" spans="2:17" ht="15.75" hidden="1">
      <c r="B254" s="55"/>
      <c r="C254" s="49" t="s">
        <v>8</v>
      </c>
      <c r="D254" s="3838"/>
      <c r="E254" s="172"/>
      <c r="F254" s="172"/>
      <c r="G254" s="80"/>
      <c r="H254" s="80"/>
      <c r="I254" s="80"/>
      <c r="J254" s="80"/>
      <c r="K254" s="80"/>
      <c r="L254" s="80"/>
      <c r="M254" s="80"/>
      <c r="N254" s="80"/>
      <c r="O254" s="80" t="s">
        <v>128</v>
      </c>
      <c r="P254" s="80"/>
      <c r="Q254" s="48"/>
    </row>
    <row r="255" spans="2:17" ht="15.75" hidden="1">
      <c r="B255" s="55"/>
      <c r="C255" s="173"/>
      <c r="D255" s="173"/>
      <c r="E255" s="173"/>
      <c r="F255" s="134"/>
      <c r="G255" s="80"/>
      <c r="H255" s="80"/>
      <c r="I255" s="80"/>
      <c r="J255" s="80"/>
      <c r="K255" s="80"/>
      <c r="L255" s="80"/>
      <c r="M255" s="80"/>
      <c r="N255" s="80"/>
      <c r="O255" s="80"/>
      <c r="P255" s="80"/>
      <c r="Q255" s="48"/>
    </row>
    <row r="256" spans="2:17" ht="15.75" hidden="1">
      <c r="B256" s="55"/>
      <c r="C256" s="116">
        <v>1</v>
      </c>
      <c r="D256" s="116" t="s">
        <v>129</v>
      </c>
      <c r="E256" s="116"/>
      <c r="F256" s="117">
        <v>2013</v>
      </c>
      <c r="G256" s="117">
        <v>2015</v>
      </c>
      <c r="H256" s="117">
        <v>2020</v>
      </c>
      <c r="I256" s="117">
        <v>2025</v>
      </c>
      <c r="J256" s="117">
        <v>2030</v>
      </c>
      <c r="K256" s="117">
        <v>2035</v>
      </c>
      <c r="L256" s="117">
        <v>2040</v>
      </c>
      <c r="M256" s="117">
        <v>2045</v>
      </c>
      <c r="N256" s="117">
        <v>2050</v>
      </c>
      <c r="O256" s="174" t="s">
        <v>43</v>
      </c>
      <c r="P256" s="80"/>
      <c r="Q256" s="48"/>
    </row>
    <row r="257" spans="2:17" ht="15.75" hidden="1">
      <c r="B257" s="55"/>
      <c r="C257" s="118"/>
      <c r="D257" s="118" t="s">
        <v>122</v>
      </c>
      <c r="E257" s="118"/>
      <c r="F257" s="175"/>
      <c r="G257" s="162"/>
      <c r="H257" s="162"/>
      <c r="I257" s="162"/>
      <c r="J257" s="162"/>
      <c r="K257" s="162"/>
      <c r="L257" s="162"/>
      <c r="M257" s="162"/>
      <c r="N257" s="162">
        <f>O257*$F$247</f>
        <v>54521.339058243124</v>
      </c>
      <c r="O257" s="176">
        <v>0.11859589323988605</v>
      </c>
      <c r="P257" s="80"/>
      <c r="Q257" s="48"/>
    </row>
    <row r="258" spans="2:17" ht="15.75" hidden="1">
      <c r="B258" s="55"/>
      <c r="C258" s="177"/>
      <c r="D258" s="178" t="s">
        <v>123</v>
      </c>
      <c r="E258" s="57"/>
      <c r="F258" s="134"/>
      <c r="G258" s="179"/>
      <c r="H258" s="179"/>
      <c r="I258" s="179"/>
      <c r="J258" s="179"/>
      <c r="K258" s="179"/>
      <c r="L258" s="179"/>
      <c r="M258" s="179"/>
      <c r="N258" s="179">
        <f>O258*$F$248</f>
        <v>196522.95032206224</v>
      </c>
      <c r="O258" s="180">
        <v>0.37393841074681239</v>
      </c>
      <c r="P258" s="80"/>
      <c r="Q258" s="48"/>
    </row>
    <row r="259" spans="2:17" ht="15.75" hidden="1">
      <c r="B259" s="55"/>
      <c r="C259" s="177"/>
      <c r="D259" s="178" t="s">
        <v>124</v>
      </c>
      <c r="E259" s="57"/>
      <c r="F259" s="134"/>
      <c r="G259" s="179"/>
      <c r="H259" s="179"/>
      <c r="I259" s="179"/>
      <c r="J259" s="179"/>
      <c r="K259" s="179"/>
      <c r="L259" s="179"/>
      <c r="M259" s="179"/>
      <c r="N259" s="179">
        <f>O259*$F$249</f>
        <v>213594.01847968591</v>
      </c>
      <c r="O259" s="180">
        <v>0.3125</v>
      </c>
      <c r="P259" s="80"/>
      <c r="Q259" s="48"/>
    </row>
    <row r="260" spans="2:17" ht="15.75" hidden="1">
      <c r="B260" s="55"/>
      <c r="C260" s="177"/>
      <c r="D260" s="171" t="s">
        <v>125</v>
      </c>
      <c r="E260" s="57"/>
      <c r="F260" s="134"/>
      <c r="G260" s="179"/>
      <c r="H260" s="179"/>
      <c r="I260" s="179"/>
      <c r="J260" s="179"/>
      <c r="K260" s="179"/>
      <c r="L260" s="179"/>
      <c r="M260" s="179"/>
      <c r="N260" s="179">
        <f>O260*$F$250</f>
        <v>141558.38871790949</v>
      </c>
      <c r="O260" s="180">
        <v>0.10416666666666667</v>
      </c>
      <c r="P260" s="80"/>
      <c r="Q260" s="48"/>
    </row>
    <row r="261" spans="2:17" ht="15.75" hidden="1">
      <c r="B261" s="55"/>
      <c r="C261" s="177"/>
      <c r="D261" s="171" t="s">
        <v>126</v>
      </c>
      <c r="E261" s="57"/>
      <c r="F261" s="134"/>
      <c r="G261" s="179"/>
      <c r="H261" s="179"/>
      <c r="I261" s="179"/>
      <c r="J261" s="179"/>
      <c r="K261" s="179"/>
      <c r="L261" s="179"/>
      <c r="M261" s="179"/>
      <c r="N261" s="179">
        <f>O261*$F$251</f>
        <v>398444.38475824834</v>
      </c>
      <c r="O261" s="180">
        <v>0.31061520241074986</v>
      </c>
      <c r="P261" s="80"/>
      <c r="Q261" s="48"/>
    </row>
    <row r="262" spans="2:17" ht="15.75" hidden="1">
      <c r="B262" s="55"/>
      <c r="C262" s="181"/>
      <c r="D262" s="182" t="s">
        <v>127</v>
      </c>
      <c r="E262" s="125"/>
      <c r="F262" s="183"/>
      <c r="G262" s="184"/>
      <c r="H262" s="184"/>
      <c r="I262" s="184"/>
      <c r="J262" s="184"/>
      <c r="K262" s="184"/>
      <c r="L262" s="184"/>
      <c r="M262" s="184"/>
      <c r="N262" s="184">
        <f>O262*$F$252</f>
        <v>150370.05325066749</v>
      </c>
      <c r="O262" s="185">
        <v>0.10416666666666669</v>
      </c>
      <c r="P262" s="80"/>
      <c r="Q262" s="48"/>
    </row>
    <row r="263" spans="2:17" ht="15.75" hidden="1">
      <c r="B263" s="55"/>
      <c r="C263" s="186"/>
      <c r="D263" s="186"/>
      <c r="E263" s="57"/>
      <c r="F263" s="134"/>
      <c r="G263" s="187"/>
      <c r="H263" s="188"/>
      <c r="I263" s="188"/>
      <c r="J263" s="188"/>
      <c r="K263" s="188"/>
      <c r="L263" s="188"/>
      <c r="M263" s="188"/>
      <c r="N263" s="188"/>
      <c r="O263" s="188"/>
      <c r="P263" s="80"/>
      <c r="Q263" s="48"/>
    </row>
    <row r="264" spans="2:17" ht="15.75" hidden="1">
      <c r="B264" s="55"/>
      <c r="C264" s="116">
        <v>2</v>
      </c>
      <c r="D264" s="116" t="s">
        <v>129</v>
      </c>
      <c r="E264" s="116"/>
      <c r="F264" s="117"/>
      <c r="G264" s="117">
        <v>2015</v>
      </c>
      <c r="H264" s="117">
        <v>2020</v>
      </c>
      <c r="I264" s="117">
        <v>2025</v>
      </c>
      <c r="J264" s="117">
        <v>2030</v>
      </c>
      <c r="K264" s="117">
        <v>2035</v>
      </c>
      <c r="L264" s="117">
        <v>2040</v>
      </c>
      <c r="M264" s="117">
        <v>2045</v>
      </c>
      <c r="N264" s="117">
        <v>2050</v>
      </c>
      <c r="O264" s="174" t="s">
        <v>43</v>
      </c>
      <c r="P264" s="80"/>
      <c r="Q264" s="48"/>
    </row>
    <row r="265" spans="2:17" ht="15.75" hidden="1">
      <c r="B265" s="55"/>
      <c r="C265" s="118"/>
      <c r="D265" s="118" t="s">
        <v>122</v>
      </c>
      <c r="E265" s="118"/>
      <c r="F265" s="175"/>
      <c r="G265" s="162"/>
      <c r="H265" s="162"/>
      <c r="I265" s="162"/>
      <c r="J265" s="162"/>
      <c r="K265" s="162"/>
      <c r="L265" s="162"/>
      <c r="M265" s="162"/>
      <c r="N265" s="162">
        <f>O265*$F$247</f>
        <v>152387.02569984854</v>
      </c>
      <c r="O265" s="176">
        <v>0.3314752671745067</v>
      </c>
      <c r="P265" s="80"/>
      <c r="Q265" s="48"/>
    </row>
    <row r="266" spans="2:17" ht="15.75" hidden="1">
      <c r="B266" s="55"/>
      <c r="C266" s="178"/>
      <c r="D266" s="178" t="s">
        <v>123</v>
      </c>
      <c r="E266" s="57"/>
      <c r="F266" s="134"/>
      <c r="G266" s="179"/>
      <c r="H266" s="179"/>
      <c r="I266" s="179"/>
      <c r="J266" s="179"/>
      <c r="K266" s="179"/>
      <c r="L266" s="179"/>
      <c r="M266" s="179"/>
      <c r="N266" s="179">
        <f>O266*$F$248</f>
        <v>273723.42704329494</v>
      </c>
      <c r="O266" s="180">
        <v>0.52083333333333337</v>
      </c>
      <c r="P266" s="80"/>
      <c r="Q266" s="48"/>
    </row>
    <row r="267" spans="2:17" ht="15.75" hidden="1">
      <c r="B267" s="55"/>
      <c r="C267" s="178"/>
      <c r="D267" s="178" t="s">
        <v>124</v>
      </c>
      <c r="E267" s="57"/>
      <c r="F267" s="134"/>
      <c r="G267" s="179"/>
      <c r="H267" s="179"/>
      <c r="I267" s="179"/>
      <c r="J267" s="179"/>
      <c r="K267" s="179"/>
      <c r="L267" s="179"/>
      <c r="M267" s="179"/>
      <c r="N267" s="179">
        <f>O267*$F$249</f>
        <v>320391.02771952888</v>
      </c>
      <c r="O267" s="180">
        <v>0.46875</v>
      </c>
      <c r="P267" s="80"/>
      <c r="Q267" s="48"/>
    </row>
    <row r="268" spans="2:17" ht="15.75" hidden="1">
      <c r="B268" s="55"/>
      <c r="C268" s="171"/>
      <c r="D268" s="171" t="s">
        <v>125</v>
      </c>
      <c r="E268" s="57"/>
      <c r="F268" s="134"/>
      <c r="G268" s="179"/>
      <c r="H268" s="179"/>
      <c r="I268" s="179"/>
      <c r="J268" s="179"/>
      <c r="K268" s="179"/>
      <c r="L268" s="179"/>
      <c r="M268" s="179"/>
      <c r="N268" s="179">
        <f>O268*$F$250</f>
        <v>495454.36051268311</v>
      </c>
      <c r="O268" s="180">
        <v>0.36458333333333331</v>
      </c>
      <c r="P268" s="80"/>
      <c r="Q268" s="48"/>
    </row>
    <row r="269" spans="2:17" ht="15.75" hidden="1">
      <c r="B269" s="55"/>
      <c r="C269" s="171"/>
      <c r="D269" s="171" t="s">
        <v>126</v>
      </c>
      <c r="E269" s="57"/>
      <c r="F269" s="134"/>
      <c r="G269" s="179"/>
      <c r="H269" s="179"/>
      <c r="I269" s="179"/>
      <c r="J269" s="179"/>
      <c r="K269" s="179"/>
      <c r="L269" s="179"/>
      <c r="M269" s="179"/>
      <c r="N269" s="179">
        <f>O269*$F$251</f>
        <v>454310.40884879703</v>
      </c>
      <c r="O269" s="180">
        <v>0.35416666666666663</v>
      </c>
      <c r="P269" s="80"/>
      <c r="Q269" s="48"/>
    </row>
    <row r="270" spans="2:17" ht="15.75" hidden="1">
      <c r="B270" s="55"/>
      <c r="C270" s="182"/>
      <c r="D270" s="182" t="s">
        <v>127</v>
      </c>
      <c r="E270" s="125"/>
      <c r="F270" s="183"/>
      <c r="G270" s="184"/>
      <c r="H270" s="184"/>
      <c r="I270" s="184"/>
      <c r="J270" s="184"/>
      <c r="K270" s="184"/>
      <c r="L270" s="184"/>
      <c r="M270" s="184"/>
      <c r="N270" s="184">
        <f>O270*$F$252</f>
        <v>432313.90309566905</v>
      </c>
      <c r="O270" s="185">
        <v>0.29947916666666669</v>
      </c>
      <c r="P270" s="80"/>
      <c r="Q270" s="48"/>
    </row>
    <row r="271" spans="2:17" ht="15.75" hidden="1">
      <c r="B271" s="55"/>
      <c r="C271" s="186"/>
      <c r="D271" s="186"/>
      <c r="E271" s="57"/>
      <c r="F271" s="134"/>
      <c r="G271" s="187"/>
      <c r="H271" s="188"/>
      <c r="I271" s="188"/>
      <c r="J271" s="188"/>
      <c r="K271" s="188"/>
      <c r="L271" s="188"/>
      <c r="M271" s="188"/>
      <c r="N271" s="188"/>
      <c r="O271" s="188"/>
      <c r="P271" s="80"/>
      <c r="Q271" s="48"/>
    </row>
    <row r="272" spans="2:17" ht="15.75" hidden="1">
      <c r="B272" s="55"/>
      <c r="C272" s="116">
        <v>3</v>
      </c>
      <c r="D272" s="116" t="s">
        <v>129</v>
      </c>
      <c r="E272" s="116"/>
      <c r="F272" s="117"/>
      <c r="G272" s="117">
        <v>2015</v>
      </c>
      <c r="H272" s="117">
        <v>2020</v>
      </c>
      <c r="I272" s="117">
        <v>2025</v>
      </c>
      <c r="J272" s="117">
        <v>2030</v>
      </c>
      <c r="K272" s="117">
        <v>2035</v>
      </c>
      <c r="L272" s="117">
        <v>2040</v>
      </c>
      <c r="M272" s="117">
        <v>2045</v>
      </c>
      <c r="N272" s="117">
        <v>2050</v>
      </c>
      <c r="O272" s="174" t="s">
        <v>43</v>
      </c>
      <c r="P272" s="80"/>
      <c r="Q272" s="48"/>
    </row>
    <row r="273" spans="2:17" ht="15.75" hidden="1">
      <c r="B273" s="55"/>
      <c r="C273" s="118"/>
      <c r="D273" s="118" t="s">
        <v>122</v>
      </c>
      <c r="E273" s="118"/>
      <c r="F273" s="175"/>
      <c r="G273" s="162"/>
      <c r="H273" s="162"/>
      <c r="I273" s="162"/>
      <c r="J273" s="162"/>
      <c r="K273" s="162"/>
      <c r="L273" s="162"/>
      <c r="M273" s="162"/>
      <c r="N273" s="162">
        <f>O273*$F$247</f>
        <v>346882.0748032158</v>
      </c>
      <c r="O273" s="176">
        <v>0.75454473827660951</v>
      </c>
      <c r="P273" s="80"/>
      <c r="Q273" s="48"/>
    </row>
    <row r="274" spans="2:17" ht="15.75" hidden="1">
      <c r="B274" s="55"/>
      <c r="C274" s="178"/>
      <c r="D274" s="178" t="s">
        <v>123</v>
      </c>
      <c r="E274" s="57"/>
      <c r="F274" s="134"/>
      <c r="G274" s="179"/>
      <c r="H274" s="179"/>
      <c r="I274" s="179"/>
      <c r="J274" s="179"/>
      <c r="K274" s="179"/>
      <c r="L274" s="179"/>
      <c r="M274" s="179"/>
      <c r="N274" s="179">
        <f>O274*$F$248</f>
        <v>410585.14056494238</v>
      </c>
      <c r="O274" s="180">
        <v>0.78125</v>
      </c>
      <c r="P274" s="80"/>
      <c r="Q274" s="48"/>
    </row>
    <row r="275" spans="2:17" ht="15.75" hidden="1">
      <c r="B275" s="55"/>
      <c r="C275" s="178"/>
      <c r="D275" s="178" t="s">
        <v>124</v>
      </c>
      <c r="E275" s="57"/>
      <c r="F275" s="134"/>
      <c r="G275" s="179"/>
      <c r="H275" s="179"/>
      <c r="I275" s="179"/>
      <c r="J275" s="179"/>
      <c r="K275" s="179"/>
      <c r="L275" s="179"/>
      <c r="M275" s="179"/>
      <c r="N275" s="179">
        <f>O275*$F$249</f>
        <v>427188.03695937182</v>
      </c>
      <c r="O275" s="180">
        <v>0.625</v>
      </c>
      <c r="P275" s="80"/>
      <c r="Q275" s="48"/>
    </row>
    <row r="276" spans="2:17" ht="15.75" hidden="1">
      <c r="B276" s="55"/>
      <c r="C276" s="171"/>
      <c r="D276" s="171" t="s">
        <v>125</v>
      </c>
      <c r="E276" s="57"/>
      <c r="F276" s="134"/>
      <c r="G276" s="179"/>
      <c r="H276" s="179"/>
      <c r="I276" s="179"/>
      <c r="J276" s="179"/>
      <c r="K276" s="179"/>
      <c r="L276" s="179"/>
      <c r="M276" s="179"/>
      <c r="N276" s="179">
        <f>O276*$F$250</f>
        <v>849350.33230745688</v>
      </c>
      <c r="O276" s="180">
        <v>0.625</v>
      </c>
      <c r="P276" s="80"/>
      <c r="Q276" s="48"/>
    </row>
    <row r="277" spans="2:17" ht="15.75" hidden="1">
      <c r="B277" s="55"/>
      <c r="C277" s="171"/>
      <c r="D277" s="171" t="s">
        <v>126</v>
      </c>
      <c r="E277" s="57"/>
      <c r="F277" s="134"/>
      <c r="G277" s="179"/>
      <c r="H277" s="179"/>
      <c r="I277" s="179"/>
      <c r="J277" s="179"/>
      <c r="K277" s="179"/>
      <c r="L277" s="179"/>
      <c r="M277" s="179"/>
      <c r="N277" s="179">
        <f>O277*$F$251</f>
        <v>1095689.8095765084</v>
      </c>
      <c r="O277" s="180">
        <v>0.85416666666666496</v>
      </c>
      <c r="P277" s="80"/>
      <c r="Q277" s="48"/>
    </row>
    <row r="278" spans="2:17" ht="15.75" hidden="1">
      <c r="B278" s="55"/>
      <c r="C278" s="182"/>
      <c r="D278" s="182" t="s">
        <v>127</v>
      </c>
      <c r="E278" s="125"/>
      <c r="F278" s="183"/>
      <c r="G278" s="184"/>
      <c r="H278" s="184"/>
      <c r="I278" s="184"/>
      <c r="J278" s="184"/>
      <c r="K278" s="184"/>
      <c r="L278" s="184"/>
      <c r="M278" s="184"/>
      <c r="N278" s="184">
        <f>O278*$F$252</f>
        <v>808239.03622233763</v>
      </c>
      <c r="O278" s="185">
        <v>0.55989583333333326</v>
      </c>
      <c r="P278" s="80"/>
      <c r="Q278" s="48"/>
    </row>
    <row r="279" spans="2:17" ht="15.75" hidden="1">
      <c r="B279" s="55"/>
      <c r="C279" s="186"/>
      <c r="D279" s="186"/>
      <c r="E279" s="57"/>
      <c r="F279" s="134"/>
      <c r="G279" s="187"/>
      <c r="H279" s="188"/>
      <c r="I279" s="188"/>
      <c r="J279" s="188"/>
      <c r="K279" s="188"/>
      <c r="L279" s="188"/>
      <c r="M279" s="188"/>
      <c r="N279" s="188"/>
      <c r="O279" s="188"/>
      <c r="P279" s="80"/>
      <c r="Q279" s="48"/>
    </row>
    <row r="280" spans="2:17" ht="15.75" hidden="1">
      <c r="B280" s="55"/>
      <c r="C280" s="116">
        <v>4</v>
      </c>
      <c r="D280" s="116" t="s">
        <v>129</v>
      </c>
      <c r="E280" s="116"/>
      <c r="F280" s="117"/>
      <c r="G280" s="117">
        <v>2015</v>
      </c>
      <c r="H280" s="117">
        <v>2020</v>
      </c>
      <c r="I280" s="117">
        <v>2025</v>
      </c>
      <c r="J280" s="117">
        <v>2030</v>
      </c>
      <c r="K280" s="117">
        <v>2035</v>
      </c>
      <c r="L280" s="117">
        <v>2040</v>
      </c>
      <c r="M280" s="117">
        <v>2045</v>
      </c>
      <c r="N280" s="117">
        <v>2050</v>
      </c>
      <c r="O280" s="174" t="s">
        <v>43</v>
      </c>
      <c r="P280" s="80"/>
      <c r="Q280" s="48"/>
    </row>
    <row r="281" spans="2:17" ht="15.75" hidden="1">
      <c r="B281" s="55"/>
      <c r="C281" s="118"/>
      <c r="D281" s="118" t="s">
        <v>122</v>
      </c>
      <c r="E281" s="118"/>
      <c r="F281" s="175"/>
      <c r="G281" s="162"/>
      <c r="H281" s="162"/>
      <c r="I281" s="162"/>
      <c r="J281" s="162"/>
      <c r="K281" s="162"/>
      <c r="L281" s="162"/>
      <c r="M281" s="162"/>
      <c r="N281" s="162">
        <f>O281*$F$247</f>
        <v>459723.66806970158</v>
      </c>
      <c r="O281" s="176">
        <v>1.0000000000000002</v>
      </c>
      <c r="P281" s="80"/>
      <c r="Q281" s="48"/>
    </row>
    <row r="282" spans="2:17" ht="15.75" hidden="1">
      <c r="B282" s="55"/>
      <c r="C282" s="178"/>
      <c r="D282" s="178" t="s">
        <v>123</v>
      </c>
      <c r="E282" s="57"/>
      <c r="F282" s="134"/>
      <c r="G282" s="179"/>
      <c r="H282" s="179"/>
      <c r="I282" s="179"/>
      <c r="J282" s="179"/>
      <c r="K282" s="179"/>
      <c r="L282" s="179"/>
      <c r="M282" s="179"/>
      <c r="N282" s="179">
        <f>O282*$F$248</f>
        <v>523869.90057038027</v>
      </c>
      <c r="O282" s="180">
        <v>0.99680509445001375</v>
      </c>
      <c r="P282" s="80"/>
      <c r="Q282" s="48"/>
    </row>
    <row r="283" spans="2:17" ht="15.75" hidden="1">
      <c r="B283" s="55"/>
      <c r="C283" s="178"/>
      <c r="D283" s="178" t="s">
        <v>124</v>
      </c>
      <c r="E283" s="57"/>
      <c r="F283" s="134"/>
      <c r="G283" s="179"/>
      <c r="H283" s="179"/>
      <c r="I283" s="179"/>
      <c r="J283" s="179"/>
      <c r="K283" s="179"/>
      <c r="L283" s="179"/>
      <c r="M283" s="179"/>
      <c r="N283" s="179">
        <f>O283*$F$249</f>
        <v>681317.13844672416</v>
      </c>
      <c r="O283" s="180">
        <v>0.99680509445001375</v>
      </c>
      <c r="P283" s="80"/>
      <c r="Q283" s="48"/>
    </row>
    <row r="284" spans="2:17" ht="15.75" hidden="1">
      <c r="B284" s="55"/>
      <c r="C284" s="171"/>
      <c r="D284" s="171" t="s">
        <v>125</v>
      </c>
      <c r="E284" s="57"/>
      <c r="F284" s="134"/>
      <c r="G284" s="179"/>
      <c r="H284" s="179"/>
      <c r="I284" s="179"/>
      <c r="J284" s="179"/>
      <c r="K284" s="179"/>
      <c r="L284" s="179"/>
      <c r="M284" s="179"/>
      <c r="N284" s="179">
        <f>O284*$F$250</f>
        <v>1354618.781147016</v>
      </c>
      <c r="O284" s="180">
        <v>0.99680509445001364</v>
      </c>
      <c r="P284" s="80"/>
      <c r="Q284" s="48"/>
    </row>
    <row r="285" spans="2:17" ht="15.75" hidden="1">
      <c r="B285" s="55"/>
      <c r="C285" s="171"/>
      <c r="D285" s="171" t="s">
        <v>126</v>
      </c>
      <c r="E285" s="57"/>
      <c r="F285" s="134"/>
      <c r="G285" s="179"/>
      <c r="H285" s="179"/>
      <c r="I285" s="179"/>
      <c r="J285" s="179"/>
      <c r="K285" s="179"/>
      <c r="L285" s="179"/>
      <c r="M285" s="179"/>
      <c r="N285" s="179">
        <f>O285*$F$251</f>
        <v>1282758.801455427</v>
      </c>
      <c r="O285" s="180">
        <v>1</v>
      </c>
      <c r="P285" s="80"/>
      <c r="Q285" s="48"/>
    </row>
    <row r="286" spans="2:17" ht="15.75" hidden="1">
      <c r="B286" s="55"/>
      <c r="C286" s="182"/>
      <c r="D286" s="182" t="s">
        <v>127</v>
      </c>
      <c r="E286" s="125"/>
      <c r="F286" s="183"/>
      <c r="G286" s="184"/>
      <c r="H286" s="184"/>
      <c r="I286" s="184"/>
      <c r="J286" s="184"/>
      <c r="K286" s="184"/>
      <c r="L286" s="184"/>
      <c r="M286" s="184"/>
      <c r="N286" s="184">
        <f>O286*$F$252</f>
        <v>1443552.5112064078</v>
      </c>
      <c r="O286" s="185">
        <v>1</v>
      </c>
      <c r="P286" s="80"/>
      <c r="Q286" s="48"/>
    </row>
    <row r="287" spans="2:17" ht="15.75">
      <c r="B287" s="55"/>
      <c r="C287" s="171"/>
      <c r="D287" s="171"/>
      <c r="E287" s="57"/>
      <c r="F287" s="134"/>
      <c r="G287" s="165"/>
      <c r="H287" s="189"/>
      <c r="I287" s="189"/>
      <c r="J287" s="189"/>
      <c r="K287" s="189"/>
      <c r="L287" s="189"/>
      <c r="M287" s="189"/>
      <c r="N287" s="189"/>
      <c r="O287" s="189"/>
      <c r="P287" s="190"/>
      <c r="Q287" s="48"/>
    </row>
    <row r="288" spans="2:17" ht="15.75">
      <c r="B288" s="55"/>
      <c r="C288" s="191" t="s">
        <v>130</v>
      </c>
      <c r="D288" s="171"/>
      <c r="E288" s="57"/>
      <c r="F288" s="3408"/>
      <c r="G288" s="189"/>
      <c r="H288" s="189"/>
      <c r="I288" s="189"/>
      <c r="J288" s="189"/>
      <c r="K288" s="189"/>
      <c r="L288" s="189"/>
      <c r="M288" s="189"/>
      <c r="N288" s="192" t="str">
        <f>"kt/"&amp;Preferences.EnergyUnits</f>
        <v>kt/TWh</v>
      </c>
      <c r="O288" s="192"/>
      <c r="P288" s="190"/>
      <c r="Q288" s="48"/>
    </row>
    <row r="289" spans="2:17" ht="15.75">
      <c r="B289" s="55"/>
      <c r="C289" s="191"/>
      <c r="D289" s="171"/>
      <c r="E289" s="57"/>
      <c r="F289" s="3408"/>
      <c r="G289" s="189"/>
      <c r="H289" s="189"/>
      <c r="I289" s="189"/>
      <c r="J289" s="189"/>
      <c r="K289" s="189"/>
      <c r="L289" s="189"/>
      <c r="M289" s="189"/>
      <c r="N289" s="192"/>
      <c r="O289" s="192"/>
      <c r="P289" s="190"/>
      <c r="Q289" s="48"/>
    </row>
    <row r="290" spans="2:17" ht="15.75">
      <c r="B290" s="55"/>
      <c r="C290" s="52" t="s">
        <v>44</v>
      </c>
      <c r="D290" s="52" t="s">
        <v>131</v>
      </c>
      <c r="E290" s="52" t="s">
        <v>132</v>
      </c>
      <c r="F290" s="149">
        <v>2013</v>
      </c>
      <c r="G290" s="53" t="s">
        <v>133</v>
      </c>
      <c r="H290" s="53" t="s">
        <v>134</v>
      </c>
      <c r="I290" s="53" t="s">
        <v>135</v>
      </c>
      <c r="J290" s="53" t="s">
        <v>136</v>
      </c>
      <c r="K290" s="53" t="s">
        <v>137</v>
      </c>
      <c r="L290" s="53" t="s">
        <v>138</v>
      </c>
      <c r="M290" s="53" t="s">
        <v>139</v>
      </c>
      <c r="N290" s="53" t="s">
        <v>140</v>
      </c>
      <c r="O290" s="177"/>
      <c r="P290" s="190"/>
      <c r="Q290" s="48"/>
    </row>
    <row r="291" spans="2:17" ht="15.75">
      <c r="B291" s="55"/>
      <c r="C291" s="193">
        <v>1</v>
      </c>
      <c r="D291" s="194" t="s">
        <v>141</v>
      </c>
      <c r="E291" s="108" t="s">
        <v>142</v>
      </c>
      <c r="F291" s="2460">
        <f>0.00180010469224528*(1/Unit.TWh)</f>
        <v>1.80010469224528E-3</v>
      </c>
      <c r="G291" s="196">
        <f t="shared" ref="G291:N291" si="13">0.00180010469224529*(1/Unit.TWh)</f>
        <v>1.80010469224529E-3</v>
      </c>
      <c r="H291" s="196">
        <f t="shared" si="13"/>
        <v>1.80010469224529E-3</v>
      </c>
      <c r="I291" s="196">
        <f t="shared" si="13"/>
        <v>1.80010469224529E-3</v>
      </c>
      <c r="J291" s="196">
        <f t="shared" si="13"/>
        <v>1.80010469224529E-3</v>
      </c>
      <c r="K291" s="196">
        <f t="shared" si="13"/>
        <v>1.80010469224529E-3</v>
      </c>
      <c r="L291" s="196">
        <f t="shared" si="13"/>
        <v>1.80010469224529E-3</v>
      </c>
      <c r="M291" s="196">
        <f t="shared" si="13"/>
        <v>1.80010469224529E-3</v>
      </c>
      <c r="N291" s="196">
        <f t="shared" si="13"/>
        <v>1.80010469224529E-3</v>
      </c>
      <c r="O291" s="177"/>
      <c r="P291" s="190"/>
      <c r="Q291" s="48"/>
    </row>
    <row r="292" spans="2:17" ht="15.75">
      <c r="B292" s="55"/>
      <c r="C292" s="193">
        <v>1</v>
      </c>
      <c r="D292" s="194" t="s">
        <v>141</v>
      </c>
      <c r="E292" s="108" t="s">
        <v>143</v>
      </c>
      <c r="F292" s="2460">
        <f>F291*Constants!$F$37</f>
        <v>1.807283110243579E-2</v>
      </c>
      <c r="G292" s="2460">
        <f>G291*Constants!$F$37</f>
        <v>1.8072831102435891E-2</v>
      </c>
      <c r="H292" s="2460">
        <f>H291*Constants!$F$37</f>
        <v>1.8072831102435891E-2</v>
      </c>
      <c r="I292" s="2460">
        <f>I291*Constants!$F$37</f>
        <v>1.8072831102435891E-2</v>
      </c>
      <c r="J292" s="2460">
        <f>J291*Constants!$F$37</f>
        <v>1.8072831102435891E-2</v>
      </c>
      <c r="K292" s="2460">
        <f>K291*Constants!$F$37</f>
        <v>1.8072831102435891E-2</v>
      </c>
      <c r="L292" s="2460">
        <f>L291*Constants!$F$37</f>
        <v>1.8072831102435891E-2</v>
      </c>
      <c r="M292" s="2460">
        <f>M291*Constants!$F$37</f>
        <v>1.8072831102435891E-2</v>
      </c>
      <c r="N292" s="2460">
        <f>N291*Constants!$F$37</f>
        <v>1.8072831102435891E-2</v>
      </c>
      <c r="O292" s="177"/>
      <c r="P292" s="190"/>
      <c r="Q292" s="48"/>
    </row>
    <row r="293" spans="2:17" ht="15.75">
      <c r="B293" s="55"/>
      <c r="C293" s="193">
        <v>2</v>
      </c>
      <c r="D293" s="194" t="s">
        <v>144</v>
      </c>
      <c r="E293" s="108" t="s">
        <v>142</v>
      </c>
      <c r="F293" s="2460">
        <f>0.00180010469224528*(1/Unit.TWh)</f>
        <v>1.80010469224528E-3</v>
      </c>
      <c r="G293" s="196">
        <f t="shared" ref="G293:N293" si="14">0.00180010469224529*(1/Unit.TWh)</f>
        <v>1.80010469224529E-3</v>
      </c>
      <c r="H293" s="196">
        <f t="shared" si="14"/>
        <v>1.80010469224529E-3</v>
      </c>
      <c r="I293" s="196">
        <f t="shared" si="14"/>
        <v>1.80010469224529E-3</v>
      </c>
      <c r="J293" s="196">
        <f t="shared" si="14"/>
        <v>1.80010469224529E-3</v>
      </c>
      <c r="K293" s="196">
        <f t="shared" si="14"/>
        <v>1.80010469224529E-3</v>
      </c>
      <c r="L293" s="196">
        <f t="shared" si="14"/>
        <v>1.80010469224529E-3</v>
      </c>
      <c r="M293" s="196">
        <f t="shared" si="14"/>
        <v>1.80010469224529E-3</v>
      </c>
      <c r="N293" s="196">
        <f t="shared" si="14"/>
        <v>1.80010469224529E-3</v>
      </c>
      <c r="O293" s="177"/>
      <c r="P293" s="190"/>
      <c r="Q293" s="48"/>
    </row>
    <row r="294" spans="2:17" ht="15.75">
      <c r="B294" s="55"/>
      <c r="C294" s="193">
        <v>2</v>
      </c>
      <c r="D294" s="194" t="s">
        <v>144</v>
      </c>
      <c r="E294" s="108" t="s">
        <v>143</v>
      </c>
      <c r="F294" s="2460">
        <f>F293*Constants!$F$37</f>
        <v>1.807283110243579E-2</v>
      </c>
      <c r="G294" s="2460">
        <f>G293*Constants!$F$37</f>
        <v>1.8072831102435891E-2</v>
      </c>
      <c r="H294" s="2460">
        <f>H293*Constants!$F$37</f>
        <v>1.8072831102435891E-2</v>
      </c>
      <c r="I294" s="2460">
        <f>I293*Constants!$F$37</f>
        <v>1.8072831102435891E-2</v>
      </c>
      <c r="J294" s="2460">
        <f>J293*Constants!$F$37</f>
        <v>1.8072831102435891E-2</v>
      </c>
      <c r="K294" s="2460">
        <f>K293*Constants!$F$37</f>
        <v>1.8072831102435891E-2</v>
      </c>
      <c r="L294" s="2460">
        <f>L293*Constants!$F$37</f>
        <v>1.8072831102435891E-2</v>
      </c>
      <c r="M294" s="2460">
        <f>M293*Constants!$F$37</f>
        <v>1.8072831102435891E-2</v>
      </c>
      <c r="N294" s="2460">
        <f>N293*Constants!$F$37</f>
        <v>1.8072831102435891E-2</v>
      </c>
      <c r="O294" s="177"/>
      <c r="P294" s="190"/>
      <c r="Q294" s="48"/>
    </row>
    <row r="295" spans="2:17" ht="15.75">
      <c r="B295" s="55"/>
      <c r="C295" s="193">
        <v>4</v>
      </c>
      <c r="D295" s="194" t="s">
        <v>49</v>
      </c>
      <c r="E295" s="108" t="s">
        <v>145</v>
      </c>
      <c r="F295" s="2460">
        <f>0.0104150398768621*(1/Unit.TWh)</f>
        <v>1.0415039876862099E-2</v>
      </c>
      <c r="G295" s="196">
        <f>0.0109713940084016*(1/Unit.TWh)</f>
        <v>1.0971394008401599E-2</v>
      </c>
      <c r="H295" s="196">
        <f>0.0109713937489954*(1/Unit.TWh)</f>
        <v>1.09713937489954E-2</v>
      </c>
      <c r="I295" s="196">
        <f>0.0109713943405242*(1/Unit.TWh)</f>
        <v>1.09713943405242E-2</v>
      </c>
      <c r="J295" s="196">
        <f>0.0109713942526951*(1/Unit.TWh)</f>
        <v>1.09713942526951E-2</v>
      </c>
      <c r="K295" s="196">
        <f>0.0109713942526951*(1/Unit.TWh)</f>
        <v>1.09713942526951E-2</v>
      </c>
      <c r="L295" s="196">
        <f>0.0109713942526951*(1/Unit.TWh)</f>
        <v>1.09713942526951E-2</v>
      </c>
      <c r="M295" s="196">
        <f>0.0109713942526951*(1/Unit.TWh)</f>
        <v>1.09713942526951E-2</v>
      </c>
      <c r="N295" s="196">
        <f>0.0109713942526951*(1/Unit.TWh)</f>
        <v>1.09713942526951E-2</v>
      </c>
      <c r="O295" s="177"/>
      <c r="P295" s="190"/>
      <c r="Q295" s="48"/>
    </row>
    <row r="296" spans="2:17" ht="15.75">
      <c r="B296" s="55"/>
      <c r="C296" s="193">
        <v>4</v>
      </c>
      <c r="D296" s="194" t="s">
        <v>49</v>
      </c>
      <c r="E296" s="108" t="s">
        <v>146</v>
      </c>
      <c r="F296" s="2460">
        <f>F295*Constants!$F$36</f>
        <v>4.8789074952175125E-2</v>
      </c>
      <c r="G296" s="2460">
        <f>G295*Constants!$F$36</f>
        <v>5.1395306300740164E-2</v>
      </c>
      <c r="H296" s="2460">
        <f>H295*Constants!$F$36</f>
        <v>5.1395305085556293E-2</v>
      </c>
      <c r="I296" s="2460">
        <f>I295*Constants!$F$36</f>
        <v>5.1395307856562766E-2</v>
      </c>
      <c r="J296" s="2460">
        <f>J295*Constants!$F$36</f>
        <v>5.1395307445128866E-2</v>
      </c>
      <c r="K296" s="2460">
        <f>K295*Constants!$F$36</f>
        <v>5.1395307445128866E-2</v>
      </c>
      <c r="L296" s="2460">
        <f>L295*Constants!$F$36</f>
        <v>5.1395307445128866E-2</v>
      </c>
      <c r="M296" s="2460">
        <f>M295*Constants!$F$36</f>
        <v>5.1395307445128866E-2</v>
      </c>
      <c r="N296" s="2460">
        <f>N295*Constants!$F$36</f>
        <v>5.1395307445128866E-2</v>
      </c>
      <c r="O296" s="177"/>
      <c r="P296" s="190"/>
      <c r="Q296" s="48"/>
    </row>
    <row r="297" spans="2:17" ht="15.75">
      <c r="B297" s="55"/>
      <c r="C297" s="193">
        <v>5</v>
      </c>
      <c r="D297" s="194" t="s">
        <v>50</v>
      </c>
      <c r="E297" s="108" t="s">
        <v>147</v>
      </c>
      <c r="F297" s="2460">
        <f>0.717008553286199*(1/Unit.TWh)</f>
        <v>0.71700855328619895</v>
      </c>
      <c r="G297" s="196">
        <f>0.561656414964649*(1/Unit.TWh)</f>
        <v>0.56165641496464902</v>
      </c>
      <c r="H297" s="196">
        <f>0.4063042766431*(1/Unit.TWh)</f>
        <v>0.40630427664309998</v>
      </c>
      <c r="I297" s="196">
        <f>0.25095213832155*(1/Unit.TWh)</f>
        <v>0.25095213832155</v>
      </c>
      <c r="J297" s="196">
        <f>0.0956*(1/Unit.TWh)</f>
        <v>9.5600000000000004E-2</v>
      </c>
      <c r="K297" s="196">
        <f>0.0956*(1/Unit.TWh)</f>
        <v>9.5600000000000004E-2</v>
      </c>
      <c r="L297" s="196">
        <f>0.0956*(1/Unit.TWh)</f>
        <v>9.5600000000000004E-2</v>
      </c>
      <c r="M297" s="196">
        <f>0.0956*(1/Unit.TWh)</f>
        <v>9.5600000000000004E-2</v>
      </c>
      <c r="N297" s="196">
        <f>0.0956*(1/Unit.TWh)</f>
        <v>9.5600000000000004E-2</v>
      </c>
      <c r="O297" s="177"/>
      <c r="P297" s="190"/>
      <c r="Q297" s="48"/>
    </row>
    <row r="298" spans="2:17" ht="15.75">
      <c r="B298" s="55"/>
      <c r="C298" s="193">
        <v>5</v>
      </c>
      <c r="D298" s="194" t="s">
        <v>50</v>
      </c>
      <c r="E298" s="108" t="s">
        <v>148</v>
      </c>
      <c r="F298" s="2460">
        <f>F297*Constants!$F$35</f>
        <v>3.0030781432413249</v>
      </c>
      <c r="G298" s="2460">
        <f>G297*Constants!$F$35</f>
        <v>2.3524100180690035</v>
      </c>
      <c r="H298" s="2460">
        <f>H297*Constants!$F$35</f>
        <v>1.7017418928966856</v>
      </c>
      <c r="I298" s="2460">
        <f>I297*Constants!$F$35</f>
        <v>1.051073767724364</v>
      </c>
      <c r="J298" s="2460">
        <f>J297*Constants!$F$35</f>
        <v>0.4004056425520422</v>
      </c>
      <c r="K298" s="2460">
        <f>K297*Constants!$F$35</f>
        <v>0.4004056425520422</v>
      </c>
      <c r="L298" s="2460">
        <f>L297*Constants!$F$35</f>
        <v>0.4004056425520422</v>
      </c>
      <c r="M298" s="2460">
        <f>M297*Constants!$F$35</f>
        <v>0.4004056425520422</v>
      </c>
      <c r="N298" s="2460">
        <f>N297*Constants!$F$35</f>
        <v>0.4004056425520422</v>
      </c>
      <c r="O298" s="177"/>
      <c r="P298" s="190"/>
      <c r="Q298" s="48"/>
    </row>
    <row r="299" spans="2:17" ht="15.75">
      <c r="B299" s="55"/>
      <c r="C299" s="193">
        <v>6</v>
      </c>
      <c r="D299" s="194" t="s">
        <v>51</v>
      </c>
      <c r="E299" s="108" t="s">
        <v>142</v>
      </c>
      <c r="F299" s="2460">
        <f>0.00180010469224528*(1/Unit.TWh)</f>
        <v>1.80010469224528E-3</v>
      </c>
      <c r="G299" s="196">
        <f t="shared" ref="G299:N299" si="15">0.00180010469224529*(1/Unit.TWh)</f>
        <v>1.80010469224529E-3</v>
      </c>
      <c r="H299" s="196">
        <f t="shared" si="15"/>
        <v>1.80010469224529E-3</v>
      </c>
      <c r="I299" s="196">
        <f t="shared" si="15"/>
        <v>1.80010469224529E-3</v>
      </c>
      <c r="J299" s="196">
        <f t="shared" si="15"/>
        <v>1.80010469224529E-3</v>
      </c>
      <c r="K299" s="196">
        <f t="shared" si="15"/>
        <v>1.80010469224529E-3</v>
      </c>
      <c r="L299" s="196">
        <f t="shared" si="15"/>
        <v>1.80010469224529E-3</v>
      </c>
      <c r="M299" s="196">
        <f t="shared" si="15"/>
        <v>1.80010469224529E-3</v>
      </c>
      <c r="N299" s="196">
        <f t="shared" si="15"/>
        <v>1.80010469224529E-3</v>
      </c>
      <c r="O299" s="177"/>
      <c r="P299" s="190"/>
      <c r="Q299" s="48"/>
    </row>
    <row r="300" spans="2:17" ht="15.75">
      <c r="B300" s="55"/>
      <c r="C300" s="193">
        <v>6</v>
      </c>
      <c r="D300" s="194" t="s">
        <v>51</v>
      </c>
      <c r="E300" s="108" t="s">
        <v>143</v>
      </c>
      <c r="F300" s="2460">
        <f>F299*Constants!$F$37</f>
        <v>1.807283110243579E-2</v>
      </c>
      <c r="G300" s="2460">
        <f>G299*Constants!$F$37</f>
        <v>1.8072831102435891E-2</v>
      </c>
      <c r="H300" s="2460">
        <f>H299*Constants!$F$37</f>
        <v>1.8072831102435891E-2</v>
      </c>
      <c r="I300" s="2460">
        <f>I299*Constants!$F$37</f>
        <v>1.8072831102435891E-2</v>
      </c>
      <c r="J300" s="2460">
        <f>J299*Constants!$F$37</f>
        <v>1.8072831102435891E-2</v>
      </c>
      <c r="K300" s="2460">
        <f>K299*Constants!$F$37</f>
        <v>1.8072831102435891E-2</v>
      </c>
      <c r="L300" s="2460">
        <f>L299*Constants!$F$37</f>
        <v>1.8072831102435891E-2</v>
      </c>
      <c r="M300" s="2460">
        <f>M299*Constants!$F$37</f>
        <v>1.8072831102435891E-2</v>
      </c>
      <c r="N300" s="2460">
        <f>N299*Constants!$F$37</f>
        <v>1.8072831102435891E-2</v>
      </c>
      <c r="O300" s="177"/>
      <c r="P300" s="190"/>
      <c r="Q300" s="48"/>
    </row>
    <row r="301" spans="2:17" ht="15.75">
      <c r="B301" s="55"/>
      <c r="C301" s="193">
        <v>7</v>
      </c>
      <c r="D301" s="194" t="s">
        <v>52</v>
      </c>
      <c r="E301" s="108" t="s">
        <v>142</v>
      </c>
      <c r="F301" s="2460">
        <f t="shared" ref="F301:N301" si="16">0*(1/Unit.TWh)</f>
        <v>0</v>
      </c>
      <c r="G301" s="2460">
        <f t="shared" si="16"/>
        <v>0</v>
      </c>
      <c r="H301" s="2460">
        <f t="shared" si="16"/>
        <v>0</v>
      </c>
      <c r="I301" s="2460">
        <f t="shared" si="16"/>
        <v>0</v>
      </c>
      <c r="J301" s="2460">
        <f t="shared" si="16"/>
        <v>0</v>
      </c>
      <c r="K301" s="2460">
        <f t="shared" si="16"/>
        <v>0</v>
      </c>
      <c r="L301" s="2460">
        <f t="shared" si="16"/>
        <v>0</v>
      </c>
      <c r="M301" s="2460">
        <f t="shared" si="16"/>
        <v>0</v>
      </c>
      <c r="N301" s="2460">
        <f t="shared" si="16"/>
        <v>0</v>
      </c>
      <c r="O301" s="177"/>
      <c r="P301" s="190"/>
      <c r="Q301" s="48"/>
    </row>
    <row r="302" spans="2:17" ht="15.75">
      <c r="B302" s="55"/>
      <c r="C302" s="193">
        <v>7</v>
      </c>
      <c r="D302" s="194" t="s">
        <v>52</v>
      </c>
      <c r="E302" s="108" t="s">
        <v>143</v>
      </c>
      <c r="F302" s="2460">
        <f>F301*Constants!$F$37</f>
        <v>0</v>
      </c>
      <c r="G302" s="2460">
        <f>G301*Constants!$F$37</f>
        <v>0</v>
      </c>
      <c r="H302" s="2460">
        <f>H301*Constants!$F$37</f>
        <v>0</v>
      </c>
      <c r="I302" s="2460">
        <f>I301*Constants!$F$37</f>
        <v>0</v>
      </c>
      <c r="J302" s="2460">
        <f>J301*Constants!$F$37</f>
        <v>0</v>
      </c>
      <c r="K302" s="2460">
        <f>K301*Constants!$F$37</f>
        <v>0</v>
      </c>
      <c r="L302" s="2460">
        <f>L301*Constants!$F$37</f>
        <v>0</v>
      </c>
      <c r="M302" s="2460">
        <f>M301*Constants!$F$37</f>
        <v>0</v>
      </c>
      <c r="N302" s="2460">
        <f>N301*Constants!$F$37</f>
        <v>0</v>
      </c>
      <c r="O302" s="177"/>
      <c r="P302" s="190"/>
      <c r="Q302" s="48"/>
    </row>
    <row r="303" spans="2:17" ht="15.75">
      <c r="B303" s="55"/>
      <c r="C303" s="193">
        <v>11</v>
      </c>
      <c r="D303" s="194" t="s">
        <v>56</v>
      </c>
      <c r="E303" s="108" t="s">
        <v>142</v>
      </c>
      <c r="F303" s="2460">
        <f>0.00319820625663352*(1/Unit.TWh)</f>
        <v>3.1982062566335199E-3</v>
      </c>
      <c r="G303" s="196">
        <f>0.00319622522930352*(1/Unit.TWh)</f>
        <v>3.1962252293035202E-3</v>
      </c>
      <c r="H303" s="196">
        <f>0.00318545414263802*(1/Unit.TWh)</f>
        <v>3.1854541426380202E-3</v>
      </c>
      <c r="I303" s="196">
        <f>0.00318367741134261*(1/Unit.TWh)</f>
        <v>3.1836774113426099E-3</v>
      </c>
      <c r="J303" s="196">
        <f>0.0031870230559918*(1/Unit.TWh)</f>
        <v>3.1870230559917999E-3</v>
      </c>
      <c r="K303" s="196">
        <f>0.0031870230559918*(1/Unit.TWh)</f>
        <v>3.1870230559917999E-3</v>
      </c>
      <c r="L303" s="196">
        <f>0.0031870230559918*(1/Unit.TWh)</f>
        <v>3.1870230559917999E-3</v>
      </c>
      <c r="M303" s="196">
        <f>0.0031870230559918*(1/Unit.TWh)</f>
        <v>3.1870230559917999E-3</v>
      </c>
      <c r="N303" s="196">
        <f>0.0031870230559918*(1/Unit.TWh)</f>
        <v>3.1870230559917999E-3</v>
      </c>
      <c r="O303" s="177"/>
      <c r="P303" s="190"/>
      <c r="Q303" s="48"/>
    </row>
    <row r="304" spans="2:17" ht="15.75">
      <c r="B304" s="55"/>
      <c r="C304" s="193">
        <v>11</v>
      </c>
      <c r="D304" s="194" t="s">
        <v>56</v>
      </c>
      <c r="E304" s="108" t="s">
        <v>143</v>
      </c>
      <c r="F304" s="2460">
        <f>F303*Constants!$F$37</f>
        <v>3.210959993376606E-2</v>
      </c>
      <c r="G304" s="2460">
        <f>G303*Constants!$F$37</f>
        <v>3.2089710661492826E-2</v>
      </c>
      <c r="H304" s="2460">
        <f>H303*Constants!$F$37</f>
        <v>3.1981570267806902E-2</v>
      </c>
      <c r="I304" s="2460">
        <f>I303*Constants!$F$37</f>
        <v>3.196373210275201E-2</v>
      </c>
      <c r="J304" s="2460">
        <f>J303*Constants!$F$37</f>
        <v>3.1997321966127208E-2</v>
      </c>
      <c r="K304" s="2460">
        <f>K303*Constants!$F$37</f>
        <v>3.1997321966127208E-2</v>
      </c>
      <c r="L304" s="2460">
        <f>L303*Constants!$F$37</f>
        <v>3.1997321966127208E-2</v>
      </c>
      <c r="M304" s="2460">
        <f>M303*Constants!$F$37</f>
        <v>3.1997321966127208E-2</v>
      </c>
      <c r="N304" s="2460">
        <f>N303*Constants!$F$37</f>
        <v>3.1997321966127208E-2</v>
      </c>
      <c r="O304" s="177"/>
      <c r="P304" s="190"/>
      <c r="Q304" s="48"/>
    </row>
    <row r="305" spans="2:17" ht="15.75">
      <c r="B305" s="55"/>
      <c r="C305" s="193">
        <v>12</v>
      </c>
      <c r="D305" s="194" t="s">
        <v>57</v>
      </c>
      <c r="E305" s="108" t="s">
        <v>147</v>
      </c>
      <c r="F305" s="2460">
        <f>0.356249246094979*(1/Unit.TWh)</f>
        <v>0.35624924609497899</v>
      </c>
      <c r="G305" s="196">
        <f>0.291086934571234*(1/Unit.TWh)</f>
        <v>0.29108693457123402</v>
      </c>
      <c r="H305" s="196">
        <f>0.22592462304749*(1/Unit.TWh)</f>
        <v>0.22592462304749</v>
      </c>
      <c r="I305" s="196">
        <f>0.160762311523745*(1/Unit.TWh)</f>
        <v>0.16076231152374501</v>
      </c>
      <c r="J305" s="196">
        <f>0.0956*(1/Unit.TWh)</f>
        <v>9.5600000000000004E-2</v>
      </c>
      <c r="K305" s="196">
        <f>0.0956*(1/Unit.TWh)</f>
        <v>9.5600000000000004E-2</v>
      </c>
      <c r="L305" s="196">
        <f>0.0956*(1/Unit.TWh)</f>
        <v>9.5600000000000004E-2</v>
      </c>
      <c r="M305" s="196">
        <f>0.0956*(1/Unit.TWh)</f>
        <v>9.5600000000000004E-2</v>
      </c>
      <c r="N305" s="196">
        <f>0.0956*(1/Unit.TWh)</f>
        <v>9.5600000000000004E-2</v>
      </c>
      <c r="O305" s="177"/>
      <c r="P305" s="190"/>
      <c r="Q305" s="48"/>
    </row>
    <row r="306" spans="2:17" ht="15.75">
      <c r="B306" s="55"/>
      <c r="C306" s="197">
        <v>12</v>
      </c>
      <c r="D306" s="198" t="s">
        <v>57</v>
      </c>
      <c r="E306" s="199" t="s">
        <v>148</v>
      </c>
      <c r="F306" s="3842">
        <f>F305*Constants!$F$35</f>
        <v>1.4920942289889192</v>
      </c>
      <c r="G306" s="3842">
        <f>G305*Constants!$F$35</f>
        <v>1.219172082379699</v>
      </c>
      <c r="H306" s="3842">
        <f>H305*Constants!$F$35</f>
        <v>0.94624993577048278</v>
      </c>
      <c r="I306" s="3842">
        <f>I305*Constants!$F$35</f>
        <v>0.67332778916126257</v>
      </c>
      <c r="J306" s="3842">
        <f>J305*Constants!$F$35</f>
        <v>0.4004056425520422</v>
      </c>
      <c r="K306" s="3842">
        <f>K305*Constants!$F$35</f>
        <v>0.4004056425520422</v>
      </c>
      <c r="L306" s="3842">
        <f>L305*Constants!$F$35</f>
        <v>0.4004056425520422</v>
      </c>
      <c r="M306" s="3842">
        <f>M305*Constants!$F$35</f>
        <v>0.4004056425520422</v>
      </c>
      <c r="N306" s="3842">
        <f>N305*Constants!$F$35</f>
        <v>0.4004056425520422</v>
      </c>
      <c r="O306" s="177"/>
      <c r="P306" s="190"/>
      <c r="Q306" s="48"/>
    </row>
    <row r="307" spans="2:17" ht="15.75">
      <c r="B307" s="55"/>
      <c r="C307" s="171"/>
      <c r="D307" s="171"/>
      <c r="E307" s="57"/>
      <c r="F307" s="3408"/>
      <c r="G307" s="189"/>
      <c r="H307" s="189"/>
      <c r="I307" s="189"/>
      <c r="J307" s="189"/>
      <c r="K307" s="189"/>
      <c r="L307" s="189"/>
      <c r="M307" s="189"/>
      <c r="N307" s="189"/>
      <c r="O307" s="177"/>
      <c r="P307" s="190"/>
      <c r="Q307" s="48"/>
    </row>
    <row r="308" spans="2:17" ht="15.75">
      <c r="B308" s="55"/>
      <c r="C308" s="191" t="s">
        <v>149</v>
      </c>
      <c r="D308" s="171"/>
      <c r="E308" s="57"/>
      <c r="F308" s="3408"/>
      <c r="G308" s="189"/>
      <c r="H308" s="189"/>
      <c r="I308" s="189"/>
      <c r="J308" s="189"/>
      <c r="K308" s="189"/>
      <c r="L308" s="189"/>
      <c r="M308" s="189"/>
      <c r="N308" s="192" t="str">
        <f>"kt/"&amp;Preferences.EnergyUnits</f>
        <v>kt/TWh</v>
      </c>
      <c r="O308" s="177"/>
      <c r="P308" s="190"/>
      <c r="Q308" s="48"/>
    </row>
    <row r="309" spans="2:17" ht="15.75">
      <c r="B309" s="55"/>
      <c r="C309" s="191"/>
      <c r="D309" s="171"/>
      <c r="E309" s="57"/>
      <c r="F309" s="3408"/>
      <c r="G309" s="189"/>
      <c r="H309" s="189"/>
      <c r="I309" s="189"/>
      <c r="J309" s="189"/>
      <c r="K309" s="189"/>
      <c r="L309" s="189"/>
      <c r="M309" s="189"/>
      <c r="N309" s="189"/>
      <c r="O309" s="177"/>
      <c r="P309" s="190"/>
      <c r="Q309" s="48"/>
    </row>
    <row r="310" spans="2:17" ht="15.75">
      <c r="B310" s="55"/>
      <c r="C310" s="52" t="s">
        <v>44</v>
      </c>
      <c r="D310" s="52" t="s">
        <v>131</v>
      </c>
      <c r="E310" s="52" t="s">
        <v>132</v>
      </c>
      <c r="F310" s="149">
        <v>2013</v>
      </c>
      <c r="G310" s="53" t="s">
        <v>133</v>
      </c>
      <c r="H310" s="53" t="s">
        <v>134</v>
      </c>
      <c r="I310" s="53" t="s">
        <v>135</v>
      </c>
      <c r="J310" s="53" t="s">
        <v>136</v>
      </c>
      <c r="K310" s="53" t="s">
        <v>137</v>
      </c>
      <c r="L310" s="53" t="s">
        <v>138</v>
      </c>
      <c r="M310" s="53" t="s">
        <v>139</v>
      </c>
      <c r="N310" s="53" t="s">
        <v>140</v>
      </c>
      <c r="O310" s="177"/>
      <c r="P310" s="190"/>
      <c r="Q310" s="48"/>
    </row>
    <row r="311" spans="2:17" ht="15.75">
      <c r="B311" s="55"/>
      <c r="C311" s="193">
        <v>1</v>
      </c>
      <c r="D311" s="194" t="s">
        <v>141</v>
      </c>
      <c r="E311" s="108" t="s">
        <v>142</v>
      </c>
      <c r="F311" s="2460">
        <f t="shared" ref="F311:N311" si="17">0.0864*(1/Unit.TWh)</f>
        <v>8.6400000000000005E-2</v>
      </c>
      <c r="G311" s="2460">
        <f t="shared" si="17"/>
        <v>8.6400000000000005E-2</v>
      </c>
      <c r="H311" s="2460">
        <f t="shared" si="17"/>
        <v>8.6400000000000005E-2</v>
      </c>
      <c r="I311" s="2460">
        <f t="shared" si="17"/>
        <v>8.6400000000000005E-2</v>
      </c>
      <c r="J311" s="2460">
        <f t="shared" si="17"/>
        <v>8.6400000000000005E-2</v>
      </c>
      <c r="K311" s="2460">
        <f t="shared" si="17"/>
        <v>8.6400000000000005E-2</v>
      </c>
      <c r="L311" s="2460">
        <f t="shared" si="17"/>
        <v>8.6400000000000005E-2</v>
      </c>
      <c r="M311" s="2460">
        <f t="shared" si="17"/>
        <v>8.6400000000000005E-2</v>
      </c>
      <c r="N311" s="2460">
        <f t="shared" si="17"/>
        <v>8.6400000000000005E-2</v>
      </c>
      <c r="O311" s="177"/>
      <c r="P311" s="190"/>
      <c r="Q311" s="48"/>
    </row>
    <row r="312" spans="2:17" ht="15.75">
      <c r="B312" s="55"/>
      <c r="C312" s="193">
        <v>1</v>
      </c>
      <c r="D312" s="194" t="s">
        <v>141</v>
      </c>
      <c r="E312" s="108" t="s">
        <v>143</v>
      </c>
      <c r="F312" s="2460">
        <f>F311*Constants!$G$37</f>
        <v>4.9577751483547268E-2</v>
      </c>
      <c r="G312" s="2460">
        <f>G311*Constants!$G$37</f>
        <v>4.9577751483547268E-2</v>
      </c>
      <c r="H312" s="2460">
        <f>H311*Constants!$G$37</f>
        <v>4.9577751483547268E-2</v>
      </c>
      <c r="I312" s="2460">
        <f>I311*Constants!$G$37</f>
        <v>4.9577751483547268E-2</v>
      </c>
      <c r="J312" s="2460">
        <f>J311*Constants!$G$37</f>
        <v>4.9577751483547268E-2</v>
      </c>
      <c r="K312" s="2460">
        <f>K311*Constants!$G$37</f>
        <v>4.9577751483547268E-2</v>
      </c>
      <c r="L312" s="2460">
        <f>L311*Constants!$G$37</f>
        <v>4.9577751483547268E-2</v>
      </c>
      <c r="M312" s="2460">
        <f>M311*Constants!$G$37</f>
        <v>4.9577751483547268E-2</v>
      </c>
      <c r="N312" s="2460">
        <f>N311*Constants!$G$37</f>
        <v>4.9577751483547268E-2</v>
      </c>
      <c r="O312" s="177"/>
      <c r="P312" s="190"/>
      <c r="Q312" s="48"/>
    </row>
    <row r="313" spans="2:17" ht="15.75">
      <c r="B313" s="55"/>
      <c r="C313" s="193">
        <v>2</v>
      </c>
      <c r="D313" s="194" t="s">
        <v>144</v>
      </c>
      <c r="E313" s="108" t="s">
        <v>142</v>
      </c>
      <c r="F313" s="2460">
        <f t="shared" ref="F313:N313" si="18">0.07*(1/Unit.TWh)</f>
        <v>7.0000000000000007E-2</v>
      </c>
      <c r="G313" s="2460">
        <f t="shared" si="18"/>
        <v>7.0000000000000007E-2</v>
      </c>
      <c r="H313" s="2460">
        <f t="shared" si="18"/>
        <v>7.0000000000000007E-2</v>
      </c>
      <c r="I313" s="2460">
        <f t="shared" si="18"/>
        <v>7.0000000000000007E-2</v>
      </c>
      <c r="J313" s="2460">
        <f t="shared" si="18"/>
        <v>7.0000000000000007E-2</v>
      </c>
      <c r="K313" s="2460">
        <f t="shared" si="18"/>
        <v>7.0000000000000007E-2</v>
      </c>
      <c r="L313" s="2460">
        <f t="shared" si="18"/>
        <v>7.0000000000000007E-2</v>
      </c>
      <c r="M313" s="2460">
        <f t="shared" si="18"/>
        <v>7.0000000000000007E-2</v>
      </c>
      <c r="N313" s="2460">
        <f t="shared" si="18"/>
        <v>7.0000000000000007E-2</v>
      </c>
      <c r="O313" s="177"/>
      <c r="P313" s="190"/>
      <c r="Q313" s="48"/>
    </row>
    <row r="314" spans="2:17" ht="15.75">
      <c r="B314" s="55"/>
      <c r="C314" s="193">
        <v>2</v>
      </c>
      <c r="D314" s="194" t="s">
        <v>144</v>
      </c>
      <c r="E314" s="108" t="s">
        <v>143</v>
      </c>
      <c r="F314" s="2460">
        <f>F313*Constants!$G$37</f>
        <v>4.0167159766762835E-2</v>
      </c>
      <c r="G314" s="2460">
        <f>G313*Constants!$G$37</f>
        <v>4.0167159766762835E-2</v>
      </c>
      <c r="H314" s="2460">
        <f>H313*Constants!$G$37</f>
        <v>4.0167159766762835E-2</v>
      </c>
      <c r="I314" s="2460">
        <f>I313*Constants!$G$37</f>
        <v>4.0167159766762835E-2</v>
      </c>
      <c r="J314" s="2460">
        <f>J313*Constants!$G$37</f>
        <v>4.0167159766762835E-2</v>
      </c>
      <c r="K314" s="2460">
        <f>K313*Constants!$G$37</f>
        <v>4.0167159766762835E-2</v>
      </c>
      <c r="L314" s="2460">
        <f>L313*Constants!$G$37</f>
        <v>4.0167159766762835E-2</v>
      </c>
      <c r="M314" s="2460">
        <f>M313*Constants!$G$37</f>
        <v>4.0167159766762835E-2</v>
      </c>
      <c r="N314" s="2460">
        <f>N313*Constants!$G$37</f>
        <v>4.0167159766762835E-2</v>
      </c>
      <c r="O314" s="177"/>
      <c r="P314" s="190"/>
      <c r="Q314" s="48"/>
    </row>
    <row r="315" spans="2:17" ht="15.75">
      <c r="B315" s="55"/>
      <c r="C315" s="193">
        <v>4</v>
      </c>
      <c r="D315" s="194" t="s">
        <v>49</v>
      </c>
      <c r="E315" s="108" t="s">
        <v>145</v>
      </c>
      <c r="F315" s="2460">
        <f t="shared" ref="F315:N315" si="19">0.2489834294032*(1/Unit.TWh)</f>
        <v>0.24898342940320001</v>
      </c>
      <c r="G315" s="2460">
        <f t="shared" si="19"/>
        <v>0.24898342940320001</v>
      </c>
      <c r="H315" s="2460">
        <f t="shared" si="19"/>
        <v>0.24898342940320001</v>
      </c>
      <c r="I315" s="2460">
        <f t="shared" si="19"/>
        <v>0.24898342940320001</v>
      </c>
      <c r="J315" s="2460">
        <f t="shared" si="19"/>
        <v>0.24898342940320001</v>
      </c>
      <c r="K315" s="2460">
        <f t="shared" si="19"/>
        <v>0.24898342940320001</v>
      </c>
      <c r="L315" s="2460">
        <f t="shared" si="19"/>
        <v>0.24898342940320001</v>
      </c>
      <c r="M315" s="2460">
        <f t="shared" si="19"/>
        <v>0.24898342940320001</v>
      </c>
      <c r="N315" s="2460">
        <f t="shared" si="19"/>
        <v>0.24898342940320001</v>
      </c>
      <c r="O315" s="177"/>
      <c r="P315" s="190"/>
      <c r="Q315" s="48"/>
    </row>
    <row r="316" spans="2:17" ht="15.75">
      <c r="B316" s="55"/>
      <c r="C316" s="193">
        <v>4</v>
      </c>
      <c r="D316" s="194" t="s">
        <v>49</v>
      </c>
      <c r="E316" s="108" t="s">
        <v>146</v>
      </c>
      <c r="F316" s="2460">
        <f>F315*Constants!$G$36</f>
        <v>5.7384975626051271E-2</v>
      </c>
      <c r="G316" s="2460">
        <f>G315*Constants!$G$36</f>
        <v>5.7384975626051271E-2</v>
      </c>
      <c r="H316" s="2460">
        <f>H315*Constants!$G$36</f>
        <v>5.7384975626051271E-2</v>
      </c>
      <c r="I316" s="2460">
        <f>I315*Constants!$G$36</f>
        <v>5.7384975626051271E-2</v>
      </c>
      <c r="J316" s="2460">
        <f>J315*Constants!$G$36</f>
        <v>5.7384975626051271E-2</v>
      </c>
      <c r="K316" s="2460">
        <f>K315*Constants!$G$36</f>
        <v>5.7384975626051271E-2</v>
      </c>
      <c r="L316" s="2460">
        <f>L315*Constants!$G$36</f>
        <v>5.7384975626051271E-2</v>
      </c>
      <c r="M316" s="2460">
        <f>M315*Constants!$G$36</f>
        <v>5.7384975626051271E-2</v>
      </c>
      <c r="N316" s="2460">
        <f>N315*Constants!$G$36</f>
        <v>5.7384975626051271E-2</v>
      </c>
      <c r="O316" s="177"/>
      <c r="P316" s="190"/>
      <c r="Q316" s="48"/>
    </row>
    <row r="317" spans="2:17" ht="15.75">
      <c r="B317" s="55"/>
      <c r="C317" s="193">
        <v>5</v>
      </c>
      <c r="D317" s="194" t="s">
        <v>50</v>
      </c>
      <c r="E317" s="108" t="s">
        <v>147</v>
      </c>
      <c r="F317" s="2460">
        <f t="shared" ref="F317:N317" si="20">0.247805398161068*(1/Unit.TWh)</f>
        <v>0.247805398161068</v>
      </c>
      <c r="G317" s="2460">
        <f t="shared" si="20"/>
        <v>0.247805398161068</v>
      </c>
      <c r="H317" s="2460">
        <f t="shared" si="20"/>
        <v>0.247805398161068</v>
      </c>
      <c r="I317" s="2460">
        <f t="shared" si="20"/>
        <v>0.247805398161068</v>
      </c>
      <c r="J317" s="2460">
        <f t="shared" si="20"/>
        <v>0.247805398161068</v>
      </c>
      <c r="K317" s="2460">
        <f t="shared" si="20"/>
        <v>0.247805398161068</v>
      </c>
      <c r="L317" s="2460">
        <f t="shared" si="20"/>
        <v>0.247805398161068</v>
      </c>
      <c r="M317" s="2460">
        <f t="shared" si="20"/>
        <v>0.247805398161068</v>
      </c>
      <c r="N317" s="2460">
        <f t="shared" si="20"/>
        <v>0.247805398161068</v>
      </c>
      <c r="O317" s="177"/>
      <c r="P317" s="190"/>
      <c r="Q317" s="48"/>
    </row>
    <row r="318" spans="2:17" ht="15.75">
      <c r="B318" s="55"/>
      <c r="C318" s="193">
        <v>5</v>
      </c>
      <c r="D318" s="194" t="s">
        <v>50</v>
      </c>
      <c r="E318" s="108" t="s">
        <v>148</v>
      </c>
      <c r="F318" s="2460">
        <f>F317*Constants!$G$35</f>
        <v>0.19052487950607594</v>
      </c>
      <c r="G318" s="2460">
        <f>G317*Constants!$G$35</f>
        <v>0.19052487950607594</v>
      </c>
      <c r="H318" s="2460">
        <f>H317*Constants!$G$35</f>
        <v>0.19052487950607594</v>
      </c>
      <c r="I318" s="2460">
        <f>I317*Constants!$G$35</f>
        <v>0.19052487950607594</v>
      </c>
      <c r="J318" s="2460">
        <f>J317*Constants!$G$35</f>
        <v>0.19052487950607594</v>
      </c>
      <c r="K318" s="2460">
        <f>K317*Constants!$G$35</f>
        <v>0.19052487950607594</v>
      </c>
      <c r="L318" s="2460">
        <f>L317*Constants!$G$35</f>
        <v>0.19052487950607594</v>
      </c>
      <c r="M318" s="2460">
        <f>M317*Constants!$G$35</f>
        <v>0.19052487950607594</v>
      </c>
      <c r="N318" s="2460">
        <f>N317*Constants!$G$35</f>
        <v>0.19052487950607594</v>
      </c>
      <c r="O318" s="177"/>
      <c r="P318" s="190"/>
      <c r="Q318" s="48"/>
    </row>
    <row r="319" spans="2:17" ht="15.75">
      <c r="B319" s="55"/>
      <c r="C319" s="193">
        <v>6</v>
      </c>
      <c r="D319" s="194" t="s">
        <v>51</v>
      </c>
      <c r="E319" s="108" t="s">
        <v>142</v>
      </c>
      <c r="F319" s="2460">
        <f t="shared" ref="F319:N319" si="21">0.07984*(1/Unit.TWh)</f>
        <v>7.9839999999999994E-2</v>
      </c>
      <c r="G319" s="2460">
        <f t="shared" si="21"/>
        <v>7.9839999999999994E-2</v>
      </c>
      <c r="H319" s="2460">
        <f t="shared" si="21"/>
        <v>7.9839999999999994E-2</v>
      </c>
      <c r="I319" s="2460">
        <f t="shared" si="21"/>
        <v>7.9839999999999994E-2</v>
      </c>
      <c r="J319" s="2460">
        <f t="shared" si="21"/>
        <v>7.9839999999999994E-2</v>
      </c>
      <c r="K319" s="2460">
        <f t="shared" si="21"/>
        <v>7.9839999999999994E-2</v>
      </c>
      <c r="L319" s="2460">
        <f t="shared" si="21"/>
        <v>7.9839999999999994E-2</v>
      </c>
      <c r="M319" s="2460">
        <f t="shared" si="21"/>
        <v>7.9839999999999994E-2</v>
      </c>
      <c r="N319" s="2460">
        <f t="shared" si="21"/>
        <v>7.9839999999999994E-2</v>
      </c>
      <c r="O319" s="177"/>
      <c r="P319" s="190"/>
      <c r="Q319" s="48"/>
    </row>
    <row r="320" spans="2:17" ht="15.75">
      <c r="B320" s="55"/>
      <c r="C320" s="193">
        <v>6</v>
      </c>
      <c r="D320" s="194" t="s">
        <v>51</v>
      </c>
      <c r="E320" s="108" t="s">
        <v>143</v>
      </c>
      <c r="F320" s="2460">
        <f>F319*Constants!$G$37</f>
        <v>4.5813514796833488E-2</v>
      </c>
      <c r="G320" s="2460">
        <f>G319*Constants!$G$37</f>
        <v>4.5813514796833488E-2</v>
      </c>
      <c r="H320" s="2460">
        <f>H319*Constants!$G$37</f>
        <v>4.5813514796833488E-2</v>
      </c>
      <c r="I320" s="2460">
        <f>I319*Constants!$G$37</f>
        <v>4.5813514796833488E-2</v>
      </c>
      <c r="J320" s="2460">
        <f>J319*Constants!$G$37</f>
        <v>4.5813514796833488E-2</v>
      </c>
      <c r="K320" s="2460">
        <f>K319*Constants!$G$37</f>
        <v>4.5813514796833488E-2</v>
      </c>
      <c r="L320" s="2460">
        <f>L319*Constants!$G$37</f>
        <v>4.5813514796833488E-2</v>
      </c>
      <c r="M320" s="2460">
        <f>M319*Constants!$G$37</f>
        <v>4.5813514796833488E-2</v>
      </c>
      <c r="N320" s="2460">
        <f>N319*Constants!$G$37</f>
        <v>4.5813514796833488E-2</v>
      </c>
      <c r="O320" s="177"/>
      <c r="P320" s="190"/>
      <c r="Q320" s="48"/>
    </row>
    <row r="321" spans="2:17" ht="15.75">
      <c r="B321" s="55"/>
      <c r="C321" s="193">
        <v>7</v>
      </c>
      <c r="D321" s="194" t="s">
        <v>52</v>
      </c>
      <c r="E321" s="108" t="s">
        <v>142</v>
      </c>
      <c r="F321" s="2460">
        <f t="shared" ref="F321:N321" si="22">0*(1/Unit.GWh)</f>
        <v>0</v>
      </c>
      <c r="G321" s="2460">
        <f t="shared" si="22"/>
        <v>0</v>
      </c>
      <c r="H321" s="2460">
        <f t="shared" si="22"/>
        <v>0</v>
      </c>
      <c r="I321" s="2460">
        <f t="shared" si="22"/>
        <v>0</v>
      </c>
      <c r="J321" s="2460">
        <f t="shared" si="22"/>
        <v>0</v>
      </c>
      <c r="K321" s="2460">
        <f t="shared" si="22"/>
        <v>0</v>
      </c>
      <c r="L321" s="2460">
        <f t="shared" si="22"/>
        <v>0</v>
      </c>
      <c r="M321" s="2460">
        <f t="shared" si="22"/>
        <v>0</v>
      </c>
      <c r="N321" s="2460">
        <f t="shared" si="22"/>
        <v>0</v>
      </c>
      <c r="O321" s="177"/>
      <c r="P321" s="190"/>
      <c r="Q321" s="48"/>
    </row>
    <row r="322" spans="2:17" ht="15.75">
      <c r="B322" s="55"/>
      <c r="C322" s="193">
        <v>7</v>
      </c>
      <c r="D322" s="194" t="s">
        <v>52</v>
      </c>
      <c r="E322" s="108" t="s">
        <v>143</v>
      </c>
      <c r="F322" s="2460">
        <f>F321*Constants!$G$37</f>
        <v>0</v>
      </c>
      <c r="G322" s="2460">
        <f>G321*Constants!$G$37</f>
        <v>0</v>
      </c>
      <c r="H322" s="2460">
        <f>H321*Constants!$G$37</f>
        <v>0</v>
      </c>
      <c r="I322" s="2460">
        <f>I321*Constants!$G$37</f>
        <v>0</v>
      </c>
      <c r="J322" s="2460">
        <f>J321*Constants!$G$37</f>
        <v>0</v>
      </c>
      <c r="K322" s="2460">
        <f>K321*Constants!$G$37</f>
        <v>0</v>
      </c>
      <c r="L322" s="2460">
        <f>L321*Constants!$G$37</f>
        <v>0</v>
      </c>
      <c r="M322" s="2460">
        <f>M321*Constants!$G$37</f>
        <v>0</v>
      </c>
      <c r="N322" s="2460">
        <f>N321*Constants!$G$37</f>
        <v>0</v>
      </c>
      <c r="O322" s="177"/>
      <c r="P322" s="190"/>
      <c r="Q322" s="48"/>
    </row>
    <row r="323" spans="2:17" ht="15.75">
      <c r="B323" s="55"/>
      <c r="C323" s="193">
        <v>11</v>
      </c>
      <c r="D323" s="194" t="s">
        <v>56</v>
      </c>
      <c r="E323" s="108" t="s">
        <v>142</v>
      </c>
      <c r="F323" s="2460">
        <f t="shared" ref="F323:N323" si="23">0.377732303754266*(1/Unit.TWh)</f>
        <v>0.37773230375426597</v>
      </c>
      <c r="G323" s="2460">
        <f t="shared" si="23"/>
        <v>0.37773230375426597</v>
      </c>
      <c r="H323" s="2460">
        <f t="shared" si="23"/>
        <v>0.37773230375426597</v>
      </c>
      <c r="I323" s="2460">
        <f t="shared" si="23"/>
        <v>0.37773230375426597</v>
      </c>
      <c r="J323" s="2460">
        <f t="shared" si="23"/>
        <v>0.37773230375426597</v>
      </c>
      <c r="K323" s="2460">
        <f t="shared" si="23"/>
        <v>0.37773230375426597</v>
      </c>
      <c r="L323" s="2460">
        <f t="shared" si="23"/>
        <v>0.37773230375426597</v>
      </c>
      <c r="M323" s="2460">
        <f t="shared" si="23"/>
        <v>0.37773230375426597</v>
      </c>
      <c r="N323" s="2460">
        <f t="shared" si="23"/>
        <v>0.37773230375426597</v>
      </c>
      <c r="O323" s="177"/>
      <c r="P323" s="190"/>
      <c r="Q323" s="48"/>
    </row>
    <row r="324" spans="2:17" ht="15.75">
      <c r="B324" s="55"/>
      <c r="C324" s="193">
        <v>11</v>
      </c>
      <c r="D324" s="194" t="s">
        <v>56</v>
      </c>
      <c r="E324" s="108" t="s">
        <v>143</v>
      </c>
      <c r="F324" s="2460">
        <f>F323*Constants!$G$37</f>
        <v>0.21674905419949983</v>
      </c>
      <c r="G324" s="2460">
        <f>G323*Constants!$G$37</f>
        <v>0.21674905419949983</v>
      </c>
      <c r="H324" s="2460">
        <f>H323*Constants!$G$37</f>
        <v>0.21674905419949983</v>
      </c>
      <c r="I324" s="2460">
        <f>I323*Constants!$G$37</f>
        <v>0.21674905419949983</v>
      </c>
      <c r="J324" s="2460">
        <f>J323*Constants!$G$37</f>
        <v>0.21674905419949983</v>
      </c>
      <c r="K324" s="2460">
        <f>K323*Constants!$G$37</f>
        <v>0.21674905419949983</v>
      </c>
      <c r="L324" s="2460">
        <f>L323*Constants!$G$37</f>
        <v>0.21674905419949983</v>
      </c>
      <c r="M324" s="2460">
        <f>M323*Constants!$G$37</f>
        <v>0.21674905419949983</v>
      </c>
      <c r="N324" s="2460">
        <f>N323*Constants!$G$37</f>
        <v>0.21674905419949983</v>
      </c>
      <c r="O324" s="177"/>
      <c r="P324" s="190"/>
      <c r="Q324" s="48"/>
    </row>
    <row r="325" spans="2:17" ht="15.75">
      <c r="B325" s="55"/>
      <c r="C325" s="193">
        <v>12</v>
      </c>
      <c r="D325" s="194" t="s">
        <v>57</v>
      </c>
      <c r="E325" s="108" t="s">
        <v>147</v>
      </c>
      <c r="F325" s="2460">
        <f t="shared" ref="F325:N325" si="24">0.714407232434977*(1/Unit.TWh)</f>
        <v>0.71440723243497695</v>
      </c>
      <c r="G325" s="2460">
        <f t="shared" si="24"/>
        <v>0.71440723243497695</v>
      </c>
      <c r="H325" s="2460">
        <f t="shared" si="24"/>
        <v>0.71440723243497695</v>
      </c>
      <c r="I325" s="2460">
        <f t="shared" si="24"/>
        <v>0.71440723243497695</v>
      </c>
      <c r="J325" s="2460">
        <f t="shared" si="24"/>
        <v>0.71440723243497695</v>
      </c>
      <c r="K325" s="2460">
        <f t="shared" si="24"/>
        <v>0.71440723243497695</v>
      </c>
      <c r="L325" s="2460">
        <f t="shared" si="24"/>
        <v>0.71440723243497695</v>
      </c>
      <c r="M325" s="2460">
        <f t="shared" si="24"/>
        <v>0.71440723243497695</v>
      </c>
      <c r="N325" s="2460">
        <f t="shared" si="24"/>
        <v>0.71440723243497695</v>
      </c>
      <c r="O325" s="177"/>
      <c r="P325" s="190"/>
      <c r="Q325" s="48"/>
    </row>
    <row r="326" spans="2:17" ht="15.75">
      <c r="B326" s="55"/>
      <c r="C326" s="197">
        <v>12</v>
      </c>
      <c r="D326" s="198" t="s">
        <v>57</v>
      </c>
      <c r="E326" s="199" t="s">
        <v>148</v>
      </c>
      <c r="F326" s="3842">
        <f>F325*Constants!$G$35</f>
        <v>0.54927113326834454</v>
      </c>
      <c r="G326" s="3842">
        <f>G325*Constants!$G$35</f>
        <v>0.54927113326834454</v>
      </c>
      <c r="H326" s="3842">
        <f>H325*Constants!$G$35</f>
        <v>0.54927113326834454</v>
      </c>
      <c r="I326" s="3842">
        <f>I325*Constants!$G$35</f>
        <v>0.54927113326834454</v>
      </c>
      <c r="J326" s="3842">
        <f>J325*Constants!$G$35</f>
        <v>0.54927113326834454</v>
      </c>
      <c r="K326" s="3842">
        <f>K325*Constants!$G$35</f>
        <v>0.54927113326834454</v>
      </c>
      <c r="L326" s="3842">
        <f>L325*Constants!$G$35</f>
        <v>0.54927113326834454</v>
      </c>
      <c r="M326" s="3842">
        <f>M325*Constants!$G$35</f>
        <v>0.54927113326834454</v>
      </c>
      <c r="N326" s="3842">
        <f>N325*Constants!$G$35</f>
        <v>0.54927113326834454</v>
      </c>
      <c r="O326" s="177"/>
      <c r="P326" s="190"/>
      <c r="Q326" s="48"/>
    </row>
    <row r="327" spans="2:17" ht="15.75">
      <c r="B327" s="55"/>
      <c r="C327" s="171"/>
      <c r="D327" s="171"/>
      <c r="E327" s="57"/>
      <c r="F327" s="3408"/>
      <c r="G327" s="189"/>
      <c r="H327" s="189"/>
      <c r="I327" s="189"/>
      <c r="J327" s="189"/>
      <c r="K327" s="189"/>
      <c r="L327" s="189"/>
      <c r="M327" s="189"/>
      <c r="N327" s="189"/>
      <c r="O327" s="177"/>
      <c r="P327" s="190"/>
      <c r="Q327" s="48"/>
    </row>
    <row r="328" spans="2:17" ht="15.75">
      <c r="B328" s="55"/>
      <c r="C328" s="191" t="s">
        <v>150</v>
      </c>
      <c r="D328" s="171"/>
      <c r="E328" s="57"/>
      <c r="F328" s="3408"/>
      <c r="G328" s="189"/>
      <c r="H328" s="189"/>
      <c r="I328" s="189"/>
      <c r="J328" s="189"/>
      <c r="K328" s="189"/>
      <c r="L328" s="189"/>
      <c r="M328" s="189"/>
      <c r="N328" s="192" t="str">
        <f>"kt/"&amp;Preferences.EnergyUnits</f>
        <v>kt/TWh</v>
      </c>
      <c r="O328" s="177"/>
      <c r="P328" s="190"/>
      <c r="Q328" s="48"/>
    </row>
    <row r="329" spans="2:17" ht="15.75">
      <c r="B329" s="55"/>
      <c r="C329" s="191"/>
      <c r="D329" s="171"/>
      <c r="E329" s="57"/>
      <c r="F329" s="3408"/>
      <c r="G329" s="189"/>
      <c r="H329" s="189"/>
      <c r="I329" s="189"/>
      <c r="J329" s="189"/>
      <c r="K329" s="189"/>
      <c r="L329" s="189"/>
      <c r="M329" s="189"/>
      <c r="N329" s="189"/>
      <c r="O329" s="177"/>
      <c r="P329" s="190"/>
      <c r="Q329" s="48"/>
    </row>
    <row r="330" spans="2:17" ht="15.75">
      <c r="B330" s="55"/>
      <c r="C330" s="52" t="s">
        <v>44</v>
      </c>
      <c r="D330" s="52" t="s">
        <v>131</v>
      </c>
      <c r="E330" s="52" t="s">
        <v>132</v>
      </c>
      <c r="F330" s="149">
        <v>2013</v>
      </c>
      <c r="G330" s="53" t="s">
        <v>133</v>
      </c>
      <c r="H330" s="53" t="s">
        <v>134</v>
      </c>
      <c r="I330" s="53" t="s">
        <v>135</v>
      </c>
      <c r="J330" s="53" t="s">
        <v>136</v>
      </c>
      <c r="K330" s="53" t="s">
        <v>137</v>
      </c>
      <c r="L330" s="53" t="s">
        <v>138</v>
      </c>
      <c r="M330" s="53" t="s">
        <v>139</v>
      </c>
      <c r="N330" s="53" t="s">
        <v>140</v>
      </c>
      <c r="O330" s="177"/>
      <c r="P330" s="190"/>
      <c r="Q330" s="48"/>
    </row>
    <row r="331" spans="2:17" ht="15.75">
      <c r="B331" s="55"/>
      <c r="C331" s="193">
        <v>1</v>
      </c>
      <c r="D331" s="194" t="s">
        <v>141</v>
      </c>
      <c r="E331" s="108" t="s">
        <v>142</v>
      </c>
      <c r="F331" s="2460">
        <f t="shared" ref="F331:N333" si="25">0*(1/Unit.GWh)</f>
        <v>0</v>
      </c>
      <c r="G331" s="2460">
        <f t="shared" si="25"/>
        <v>0</v>
      </c>
      <c r="H331" s="2460">
        <f t="shared" si="25"/>
        <v>0</v>
      </c>
      <c r="I331" s="2460">
        <f t="shared" si="25"/>
        <v>0</v>
      </c>
      <c r="J331" s="2460">
        <f t="shared" si="25"/>
        <v>0</v>
      </c>
      <c r="K331" s="2460">
        <f t="shared" si="25"/>
        <v>0</v>
      </c>
      <c r="L331" s="2460">
        <f t="shared" si="25"/>
        <v>0</v>
      </c>
      <c r="M331" s="2460">
        <f t="shared" si="25"/>
        <v>0</v>
      </c>
      <c r="N331" s="2460">
        <f t="shared" si="25"/>
        <v>0</v>
      </c>
      <c r="O331" s="177"/>
      <c r="P331" s="190"/>
      <c r="Q331" s="48"/>
    </row>
    <row r="332" spans="2:17" ht="15.75">
      <c r="B332" s="55"/>
      <c r="C332" s="193">
        <v>1</v>
      </c>
      <c r="D332" s="194" t="s">
        <v>141</v>
      </c>
      <c r="E332" s="108" t="s">
        <v>143</v>
      </c>
      <c r="F332" s="2460">
        <f>F331*Constants!$H$37</f>
        <v>0</v>
      </c>
      <c r="G332" s="2460">
        <f>G331*Constants!$H$37</f>
        <v>0</v>
      </c>
      <c r="H332" s="2460">
        <f>H331*Constants!$H$37</f>
        <v>0</v>
      </c>
      <c r="I332" s="2460">
        <f>I331*Constants!$H$37</f>
        <v>0</v>
      </c>
      <c r="J332" s="2460">
        <f>J331*Constants!$H$37</f>
        <v>0</v>
      </c>
      <c r="K332" s="2460">
        <f>K331*Constants!$H$37</f>
        <v>0</v>
      </c>
      <c r="L332" s="2460">
        <f>L331*Constants!$H$37</f>
        <v>0</v>
      </c>
      <c r="M332" s="2460">
        <f>M331*Constants!$H$37</f>
        <v>0</v>
      </c>
      <c r="N332" s="2460">
        <f>N331*Constants!$H$37</f>
        <v>0</v>
      </c>
      <c r="O332" s="177"/>
      <c r="P332" s="190"/>
      <c r="Q332" s="48"/>
    </row>
    <row r="333" spans="2:17" ht="15.75">
      <c r="B333" s="55"/>
      <c r="C333" s="193">
        <v>2</v>
      </c>
      <c r="D333" s="194" t="s">
        <v>144</v>
      </c>
      <c r="E333" s="108" t="s">
        <v>142</v>
      </c>
      <c r="F333" s="2460">
        <f t="shared" si="25"/>
        <v>0</v>
      </c>
      <c r="G333" s="2460">
        <f t="shared" si="25"/>
        <v>0</v>
      </c>
      <c r="H333" s="2460">
        <f t="shared" si="25"/>
        <v>0</v>
      </c>
      <c r="I333" s="2460">
        <f t="shared" si="25"/>
        <v>0</v>
      </c>
      <c r="J333" s="2460">
        <f t="shared" si="25"/>
        <v>0</v>
      </c>
      <c r="K333" s="2460">
        <f t="shared" si="25"/>
        <v>0</v>
      </c>
      <c r="L333" s="2460">
        <f t="shared" si="25"/>
        <v>0</v>
      </c>
      <c r="M333" s="2460">
        <f t="shared" si="25"/>
        <v>0</v>
      </c>
      <c r="N333" s="2460">
        <f t="shared" si="25"/>
        <v>0</v>
      </c>
      <c r="O333" s="177"/>
      <c r="P333" s="190"/>
      <c r="Q333" s="48"/>
    </row>
    <row r="334" spans="2:17" ht="15.75">
      <c r="B334" s="55"/>
      <c r="C334" s="193">
        <v>2</v>
      </c>
      <c r="D334" s="194" t="s">
        <v>144</v>
      </c>
      <c r="E334" s="108" t="s">
        <v>143</v>
      </c>
      <c r="F334" s="2460">
        <f>F333*Constants!$H$37</f>
        <v>0</v>
      </c>
      <c r="G334" s="2460">
        <f>G333*Constants!$H$37</f>
        <v>0</v>
      </c>
      <c r="H334" s="2460">
        <f>H333*Constants!$H$37</f>
        <v>0</v>
      </c>
      <c r="I334" s="2460">
        <f>I333*Constants!$H$37</f>
        <v>0</v>
      </c>
      <c r="J334" s="2460">
        <f>J333*Constants!$H$37</f>
        <v>0</v>
      </c>
      <c r="K334" s="2460">
        <f>K333*Constants!$H$37</f>
        <v>0</v>
      </c>
      <c r="L334" s="2460">
        <f>L333*Constants!$H$37</f>
        <v>0</v>
      </c>
      <c r="M334" s="2460">
        <f>M333*Constants!$H$37</f>
        <v>0</v>
      </c>
      <c r="N334" s="2460">
        <f>N333*Constants!$H$37</f>
        <v>0</v>
      </c>
      <c r="O334" s="177"/>
      <c r="P334" s="190"/>
      <c r="Q334" s="48"/>
    </row>
    <row r="335" spans="2:17" ht="15.75">
      <c r="B335" s="55"/>
      <c r="C335" s="193">
        <v>4</v>
      </c>
      <c r="D335" s="194" t="s">
        <v>49</v>
      </c>
      <c r="E335" s="108" t="s">
        <v>145</v>
      </c>
      <c r="F335" s="2460">
        <f t="shared" ref="F335:N335" si="26">0.0379854823852755*(1/Unit.TWh)</f>
        <v>3.79854823852755E-2</v>
      </c>
      <c r="G335" s="2460">
        <f t="shared" si="26"/>
        <v>3.79854823852755E-2</v>
      </c>
      <c r="H335" s="2460">
        <f t="shared" si="26"/>
        <v>3.79854823852755E-2</v>
      </c>
      <c r="I335" s="2460">
        <f t="shared" si="26"/>
        <v>3.79854823852755E-2</v>
      </c>
      <c r="J335" s="2460">
        <f t="shared" si="26"/>
        <v>3.79854823852755E-2</v>
      </c>
      <c r="K335" s="2460">
        <f t="shared" si="26"/>
        <v>3.79854823852755E-2</v>
      </c>
      <c r="L335" s="2460">
        <f t="shared" si="26"/>
        <v>3.79854823852755E-2</v>
      </c>
      <c r="M335" s="2460">
        <f t="shared" si="26"/>
        <v>3.79854823852755E-2</v>
      </c>
      <c r="N335" s="2460">
        <f t="shared" si="26"/>
        <v>3.79854823852755E-2</v>
      </c>
      <c r="O335" s="177"/>
      <c r="P335" s="190"/>
      <c r="Q335" s="48"/>
    </row>
    <row r="336" spans="2:17" ht="15.75">
      <c r="B336" s="55"/>
      <c r="C336" s="193">
        <v>4</v>
      </c>
      <c r="D336" s="194" t="s">
        <v>49</v>
      </c>
      <c r="E336" s="108" t="s">
        <v>146</v>
      </c>
      <c r="F336" s="2460">
        <f>F335*Constants!$H$36</f>
        <v>4.9628598089003462E-4</v>
      </c>
      <c r="G336" s="2460">
        <f>G335*Constants!$H$36</f>
        <v>4.9628598089003462E-4</v>
      </c>
      <c r="H336" s="2460">
        <f>H335*Constants!$H$36</f>
        <v>4.9628598089003462E-4</v>
      </c>
      <c r="I336" s="2460">
        <f>I335*Constants!$H$36</f>
        <v>4.9628598089003462E-4</v>
      </c>
      <c r="J336" s="2460">
        <f>J335*Constants!$H$36</f>
        <v>4.9628598089003462E-4</v>
      </c>
      <c r="K336" s="2460">
        <f>K335*Constants!$H$36</f>
        <v>4.9628598089003462E-4</v>
      </c>
      <c r="L336" s="2460">
        <f>L335*Constants!$H$36</f>
        <v>4.9628598089003462E-4</v>
      </c>
      <c r="M336" s="2460">
        <f>M335*Constants!$H$36</f>
        <v>4.9628598089003462E-4</v>
      </c>
      <c r="N336" s="2460">
        <f>N335*Constants!$H$36</f>
        <v>4.9628598089003462E-4</v>
      </c>
      <c r="O336" s="177"/>
      <c r="P336" s="190"/>
      <c r="Q336" s="48"/>
    </row>
    <row r="337" spans="2:17" ht="15.75">
      <c r="B337" s="55"/>
      <c r="C337" s="193">
        <v>5</v>
      </c>
      <c r="D337" s="194" t="s">
        <v>50</v>
      </c>
      <c r="E337" s="108" t="s">
        <v>147</v>
      </c>
      <c r="F337" s="2460">
        <f t="shared" ref="F337:N337" si="27">3.3005713096006*(1/Unit.TWh)</f>
        <v>3.3005713096006</v>
      </c>
      <c r="G337" s="2460">
        <f t="shared" si="27"/>
        <v>3.3005713096006</v>
      </c>
      <c r="H337" s="2460">
        <f t="shared" si="27"/>
        <v>3.3005713096006</v>
      </c>
      <c r="I337" s="2460">
        <f t="shared" si="27"/>
        <v>3.3005713096006</v>
      </c>
      <c r="J337" s="2460">
        <f t="shared" si="27"/>
        <v>3.3005713096006</v>
      </c>
      <c r="K337" s="2460">
        <f t="shared" si="27"/>
        <v>3.3005713096006</v>
      </c>
      <c r="L337" s="2460">
        <f t="shared" si="27"/>
        <v>3.3005713096006</v>
      </c>
      <c r="M337" s="2460">
        <f t="shared" si="27"/>
        <v>3.3005713096006</v>
      </c>
      <c r="N337" s="2460">
        <f t="shared" si="27"/>
        <v>3.3005713096006</v>
      </c>
      <c r="O337" s="177"/>
      <c r="P337" s="190"/>
      <c r="Q337" s="48"/>
    </row>
    <row r="338" spans="2:17" ht="15.75">
      <c r="B338" s="55"/>
      <c r="C338" s="193">
        <v>5</v>
      </c>
      <c r="D338" s="194" t="s">
        <v>50</v>
      </c>
      <c r="E338" s="108" t="s">
        <v>148</v>
      </c>
      <c r="F338" s="2460">
        <f>F337*Constants!$H$35</f>
        <v>3.8431273423793967E-2</v>
      </c>
      <c r="G338" s="2460">
        <f>G337*Constants!$H$35</f>
        <v>3.8431273423793967E-2</v>
      </c>
      <c r="H338" s="2460">
        <f>H337*Constants!$H$35</f>
        <v>3.8431273423793967E-2</v>
      </c>
      <c r="I338" s="2460">
        <f>I337*Constants!$H$35</f>
        <v>3.8431273423793967E-2</v>
      </c>
      <c r="J338" s="2460">
        <f>J337*Constants!$H$35</f>
        <v>3.8431273423793967E-2</v>
      </c>
      <c r="K338" s="2460">
        <f>K337*Constants!$H$35</f>
        <v>3.8431273423793967E-2</v>
      </c>
      <c r="L338" s="2460">
        <f>L337*Constants!$H$35</f>
        <v>3.8431273423793967E-2</v>
      </c>
      <c r="M338" s="2460">
        <f>M337*Constants!$H$35</f>
        <v>3.8431273423793967E-2</v>
      </c>
      <c r="N338" s="2460">
        <f>N337*Constants!$H$35</f>
        <v>3.8431273423793967E-2</v>
      </c>
      <c r="O338" s="177"/>
      <c r="P338" s="190"/>
      <c r="Q338" s="48"/>
    </row>
    <row r="339" spans="2:17" ht="15.75">
      <c r="B339" s="55"/>
      <c r="C339" s="193">
        <v>6</v>
      </c>
      <c r="D339" s="194" t="s">
        <v>51</v>
      </c>
      <c r="E339" s="108" t="s">
        <v>142</v>
      </c>
      <c r="F339" s="2460">
        <f t="shared" ref="F339:N343" si="28">0*(1/Unit.GWh)</f>
        <v>0</v>
      </c>
      <c r="G339" s="2460">
        <f t="shared" si="28"/>
        <v>0</v>
      </c>
      <c r="H339" s="2460">
        <f t="shared" si="28"/>
        <v>0</v>
      </c>
      <c r="I339" s="2460">
        <f t="shared" si="28"/>
        <v>0</v>
      </c>
      <c r="J339" s="2460">
        <f t="shared" si="28"/>
        <v>0</v>
      </c>
      <c r="K339" s="2460">
        <f t="shared" si="28"/>
        <v>0</v>
      </c>
      <c r="L339" s="2460">
        <f t="shared" si="28"/>
        <v>0</v>
      </c>
      <c r="M339" s="2460">
        <f t="shared" si="28"/>
        <v>0</v>
      </c>
      <c r="N339" s="2460">
        <f t="shared" si="28"/>
        <v>0</v>
      </c>
      <c r="O339" s="177"/>
      <c r="P339" s="190"/>
      <c r="Q339" s="48"/>
    </row>
    <row r="340" spans="2:17" ht="15.75">
      <c r="B340" s="55"/>
      <c r="C340" s="193">
        <v>6</v>
      </c>
      <c r="D340" s="194" t="s">
        <v>51</v>
      </c>
      <c r="E340" s="108" t="s">
        <v>143</v>
      </c>
      <c r="F340" s="2460">
        <f>F339*Constants!$H$37</f>
        <v>0</v>
      </c>
      <c r="G340" s="2460">
        <f>G339*Constants!$H$37</f>
        <v>0</v>
      </c>
      <c r="H340" s="2460">
        <f>H339*Constants!$H$37</f>
        <v>0</v>
      </c>
      <c r="I340" s="2460">
        <f>I339*Constants!$H$37</f>
        <v>0</v>
      </c>
      <c r="J340" s="2460">
        <f>J339*Constants!$H$37</f>
        <v>0</v>
      </c>
      <c r="K340" s="2460">
        <f>K339*Constants!$H$37</f>
        <v>0</v>
      </c>
      <c r="L340" s="2460">
        <f>L339*Constants!$H$37</f>
        <v>0</v>
      </c>
      <c r="M340" s="2460">
        <f>M339*Constants!$H$37</f>
        <v>0</v>
      </c>
      <c r="N340" s="2460">
        <f>N339*Constants!$H$37</f>
        <v>0</v>
      </c>
      <c r="O340" s="177"/>
      <c r="P340" s="190"/>
      <c r="Q340" s="48"/>
    </row>
    <row r="341" spans="2:17" ht="15.75">
      <c r="B341" s="55"/>
      <c r="C341" s="193">
        <v>7</v>
      </c>
      <c r="D341" s="194" t="s">
        <v>52</v>
      </c>
      <c r="E341" s="108" t="s">
        <v>142</v>
      </c>
      <c r="F341" s="2460">
        <f t="shared" si="28"/>
        <v>0</v>
      </c>
      <c r="G341" s="2460">
        <f t="shared" si="28"/>
        <v>0</v>
      </c>
      <c r="H341" s="2460">
        <f t="shared" si="28"/>
        <v>0</v>
      </c>
      <c r="I341" s="2460">
        <f t="shared" si="28"/>
        <v>0</v>
      </c>
      <c r="J341" s="2460">
        <f t="shared" si="28"/>
        <v>0</v>
      </c>
      <c r="K341" s="2460">
        <f t="shared" si="28"/>
        <v>0</v>
      </c>
      <c r="L341" s="2460">
        <f t="shared" si="28"/>
        <v>0</v>
      </c>
      <c r="M341" s="2460">
        <f t="shared" si="28"/>
        <v>0</v>
      </c>
      <c r="N341" s="2460">
        <f t="shared" si="28"/>
        <v>0</v>
      </c>
      <c r="O341" s="177"/>
      <c r="P341" s="190"/>
      <c r="Q341" s="48"/>
    </row>
    <row r="342" spans="2:17" ht="15.75">
      <c r="B342" s="55"/>
      <c r="C342" s="193">
        <v>7</v>
      </c>
      <c r="D342" s="194" t="s">
        <v>52</v>
      </c>
      <c r="E342" s="108" t="s">
        <v>143</v>
      </c>
      <c r="F342" s="2460">
        <f>F341*Constants!$H$37</f>
        <v>0</v>
      </c>
      <c r="G342" s="2460">
        <f>G341*Constants!$H$37</f>
        <v>0</v>
      </c>
      <c r="H342" s="2460">
        <f>H341*Constants!$H$37</f>
        <v>0</v>
      </c>
      <c r="I342" s="2460">
        <f>I341*Constants!$H$37</f>
        <v>0</v>
      </c>
      <c r="J342" s="2460">
        <f>J341*Constants!$H$37</f>
        <v>0</v>
      </c>
      <c r="K342" s="2460">
        <f>K341*Constants!$H$37</f>
        <v>0</v>
      </c>
      <c r="L342" s="2460">
        <f>L341*Constants!$H$37</f>
        <v>0</v>
      </c>
      <c r="M342" s="2460">
        <f>M341*Constants!$H$37</f>
        <v>0</v>
      </c>
      <c r="N342" s="2460">
        <f>N341*Constants!$H$37</f>
        <v>0</v>
      </c>
      <c r="O342" s="177"/>
      <c r="P342" s="190"/>
      <c r="Q342" s="48"/>
    </row>
    <row r="343" spans="2:17" ht="15.75">
      <c r="B343" s="55"/>
      <c r="C343" s="193">
        <v>11</v>
      </c>
      <c r="D343" s="194" t="s">
        <v>56</v>
      </c>
      <c r="E343" s="108" t="s">
        <v>142</v>
      </c>
      <c r="F343" s="2460">
        <f t="shared" si="28"/>
        <v>0</v>
      </c>
      <c r="G343" s="2460">
        <f t="shared" si="28"/>
        <v>0</v>
      </c>
      <c r="H343" s="2460">
        <f t="shared" si="28"/>
        <v>0</v>
      </c>
      <c r="I343" s="2460">
        <f t="shared" si="28"/>
        <v>0</v>
      </c>
      <c r="J343" s="2460">
        <f t="shared" si="28"/>
        <v>0</v>
      </c>
      <c r="K343" s="2460">
        <f t="shared" si="28"/>
        <v>0</v>
      </c>
      <c r="L343" s="2460">
        <f t="shared" si="28"/>
        <v>0</v>
      </c>
      <c r="M343" s="2460">
        <f t="shared" si="28"/>
        <v>0</v>
      </c>
      <c r="N343" s="2460">
        <f t="shared" si="28"/>
        <v>0</v>
      </c>
      <c r="O343" s="177"/>
      <c r="P343" s="190"/>
      <c r="Q343" s="48"/>
    </row>
    <row r="344" spans="2:17" ht="15.75">
      <c r="B344" s="55"/>
      <c r="C344" s="193">
        <v>11</v>
      </c>
      <c r="D344" s="194" t="s">
        <v>56</v>
      </c>
      <c r="E344" s="108" t="s">
        <v>143</v>
      </c>
      <c r="F344" s="2460">
        <f>F343*Constants!$H$37</f>
        <v>0</v>
      </c>
      <c r="G344" s="2460">
        <f>G343*Constants!$H$37</f>
        <v>0</v>
      </c>
      <c r="H344" s="2460">
        <f>H343*Constants!$H$37</f>
        <v>0</v>
      </c>
      <c r="I344" s="2460">
        <f>I343*Constants!$H$37</f>
        <v>0</v>
      </c>
      <c r="J344" s="2460">
        <f>J343*Constants!$H$37</f>
        <v>0</v>
      </c>
      <c r="K344" s="2460">
        <f>K343*Constants!$H$37</f>
        <v>0</v>
      </c>
      <c r="L344" s="2460">
        <f>L343*Constants!$H$37</f>
        <v>0</v>
      </c>
      <c r="M344" s="2460">
        <f>M343*Constants!$H$37</f>
        <v>0</v>
      </c>
      <c r="N344" s="2460">
        <f>N343*Constants!$H$37</f>
        <v>0</v>
      </c>
      <c r="O344" s="177"/>
      <c r="P344" s="190"/>
      <c r="Q344" s="48"/>
    </row>
    <row r="345" spans="2:17" ht="15.75">
      <c r="B345" s="55"/>
      <c r="C345" s="193">
        <v>12</v>
      </c>
      <c r="D345" s="194" t="s">
        <v>57</v>
      </c>
      <c r="E345" s="108" t="s">
        <v>147</v>
      </c>
      <c r="F345" s="2460">
        <f t="shared" ref="F345:N345" si="29">2.40023223873546*(1/Unit.TWh)</f>
        <v>2.4002322387354602</v>
      </c>
      <c r="G345" s="2460">
        <f t="shared" si="29"/>
        <v>2.4002322387354602</v>
      </c>
      <c r="H345" s="2460">
        <f t="shared" si="29"/>
        <v>2.4002322387354602</v>
      </c>
      <c r="I345" s="2460">
        <f t="shared" si="29"/>
        <v>2.4002322387354602</v>
      </c>
      <c r="J345" s="2460">
        <f t="shared" si="29"/>
        <v>2.4002322387354602</v>
      </c>
      <c r="K345" s="2460">
        <f t="shared" si="29"/>
        <v>2.4002322387354602</v>
      </c>
      <c r="L345" s="2460">
        <f t="shared" si="29"/>
        <v>2.4002322387354602</v>
      </c>
      <c r="M345" s="2460">
        <f t="shared" si="29"/>
        <v>2.4002322387354602</v>
      </c>
      <c r="N345" s="2460">
        <f t="shared" si="29"/>
        <v>2.4002322387354602</v>
      </c>
      <c r="O345" s="177"/>
      <c r="P345" s="190"/>
      <c r="Q345" s="48"/>
    </row>
    <row r="346" spans="2:17" ht="15.75">
      <c r="B346" s="55"/>
      <c r="C346" s="197">
        <v>12</v>
      </c>
      <c r="D346" s="198" t="s">
        <v>57</v>
      </c>
      <c r="E346" s="199" t="s">
        <v>148</v>
      </c>
      <c r="F346" s="3842">
        <f>F345*Constants!$H$35</f>
        <v>2.7947883198018216E-2</v>
      </c>
      <c r="G346" s="3842">
        <f>G345*Constants!$H$35</f>
        <v>2.7947883198018216E-2</v>
      </c>
      <c r="H346" s="3842">
        <f>H345*Constants!$H$35</f>
        <v>2.7947883198018216E-2</v>
      </c>
      <c r="I346" s="3842">
        <f>I345*Constants!$H$35</f>
        <v>2.7947883198018216E-2</v>
      </c>
      <c r="J346" s="3842">
        <f>J345*Constants!$H$35</f>
        <v>2.7947883198018216E-2</v>
      </c>
      <c r="K346" s="3842">
        <f>K345*Constants!$H$35</f>
        <v>2.7947883198018216E-2</v>
      </c>
      <c r="L346" s="3842">
        <f>L345*Constants!$H$35</f>
        <v>2.7947883198018216E-2</v>
      </c>
      <c r="M346" s="3842">
        <f>M345*Constants!$H$35</f>
        <v>2.7947883198018216E-2</v>
      </c>
      <c r="N346" s="3842">
        <f>N345*Constants!$H$35</f>
        <v>2.7947883198018216E-2</v>
      </c>
      <c r="O346" s="177"/>
      <c r="P346" s="190"/>
      <c r="Q346" s="48"/>
    </row>
    <row r="347" spans="2:17" ht="15.75">
      <c r="B347" s="55"/>
      <c r="C347" s="171"/>
      <c r="D347" s="171"/>
      <c r="E347" s="57"/>
      <c r="F347" s="3408"/>
      <c r="G347" s="189"/>
      <c r="H347" s="189"/>
      <c r="I347" s="189"/>
      <c r="J347" s="189"/>
      <c r="K347" s="189"/>
      <c r="L347" s="189"/>
      <c r="M347" s="189"/>
      <c r="N347" s="189"/>
      <c r="O347" s="177"/>
      <c r="P347" s="190"/>
      <c r="Q347" s="48"/>
    </row>
    <row r="348" spans="2:17" ht="15.75">
      <c r="B348" s="55"/>
      <c r="C348" s="191" t="s">
        <v>151</v>
      </c>
      <c r="D348" s="171"/>
      <c r="E348" s="57"/>
      <c r="F348" s="3408"/>
      <c r="G348" s="189"/>
      <c r="H348" s="189"/>
      <c r="I348" s="189"/>
      <c r="J348" s="189"/>
      <c r="K348" s="189"/>
      <c r="L348" s="189"/>
      <c r="M348" s="189"/>
      <c r="N348" s="192" t="str">
        <f>"kt/"&amp;Preferences.EnergyUnits</f>
        <v>kt/TWh</v>
      </c>
      <c r="O348" s="177"/>
      <c r="P348" s="190"/>
      <c r="Q348" s="48"/>
    </row>
    <row r="349" spans="2:17" ht="15.75">
      <c r="B349" s="55"/>
      <c r="C349" s="191"/>
      <c r="D349" s="171"/>
      <c r="E349" s="57"/>
      <c r="F349" s="3408"/>
      <c r="G349" s="189"/>
      <c r="H349" s="189"/>
      <c r="I349" s="189"/>
      <c r="J349" s="189"/>
      <c r="K349" s="189"/>
      <c r="L349" s="189"/>
      <c r="M349" s="189"/>
      <c r="N349" s="189"/>
      <c r="O349" s="177"/>
      <c r="P349" s="190"/>
      <c r="Q349" s="48"/>
    </row>
    <row r="350" spans="2:17" ht="15.75">
      <c r="B350" s="55"/>
      <c r="C350" s="52" t="s">
        <v>44</v>
      </c>
      <c r="D350" s="52" t="s">
        <v>131</v>
      </c>
      <c r="E350" s="52" t="s">
        <v>132</v>
      </c>
      <c r="F350" s="149">
        <v>2013</v>
      </c>
      <c r="G350" s="53" t="s">
        <v>133</v>
      </c>
      <c r="H350" s="53" t="s">
        <v>134</v>
      </c>
      <c r="I350" s="53" t="s">
        <v>135</v>
      </c>
      <c r="J350" s="53" t="s">
        <v>136</v>
      </c>
      <c r="K350" s="53" t="s">
        <v>137</v>
      </c>
      <c r="L350" s="53" t="s">
        <v>138</v>
      </c>
      <c r="M350" s="53" t="s">
        <v>139</v>
      </c>
      <c r="N350" s="53" t="s">
        <v>140</v>
      </c>
      <c r="O350" s="177"/>
      <c r="P350" s="190"/>
      <c r="Q350" s="48"/>
    </row>
    <row r="351" spans="2:17" ht="15.75">
      <c r="B351" s="55"/>
      <c r="C351" s="193">
        <v>1</v>
      </c>
      <c r="D351" s="194" t="s">
        <v>141</v>
      </c>
      <c r="E351" s="108" t="s">
        <v>142</v>
      </c>
      <c r="F351" s="2460">
        <f t="shared" ref="F351:N351" si="30">0.00802071964139671*(1/Unit.TWh)</f>
        <v>8.0207196413967109E-3</v>
      </c>
      <c r="G351" s="2460">
        <f t="shared" si="30"/>
        <v>8.0207196413967109E-3</v>
      </c>
      <c r="H351" s="2460">
        <f t="shared" si="30"/>
        <v>8.0207196413967109E-3</v>
      </c>
      <c r="I351" s="2460">
        <f t="shared" si="30"/>
        <v>8.0207196413967109E-3</v>
      </c>
      <c r="J351" s="2460">
        <f t="shared" si="30"/>
        <v>8.0207196413967109E-3</v>
      </c>
      <c r="K351" s="2460">
        <f t="shared" si="30"/>
        <v>8.0207196413967109E-3</v>
      </c>
      <c r="L351" s="2460">
        <f t="shared" si="30"/>
        <v>8.0207196413967109E-3</v>
      </c>
      <c r="M351" s="2460">
        <f t="shared" si="30"/>
        <v>8.0207196413967109E-3</v>
      </c>
      <c r="N351" s="2460">
        <f t="shared" si="30"/>
        <v>8.0207196413967109E-3</v>
      </c>
      <c r="O351" s="177"/>
      <c r="P351" s="190"/>
      <c r="Q351" s="48"/>
    </row>
    <row r="352" spans="2:17" ht="15.75">
      <c r="B352" s="55"/>
      <c r="C352" s="193">
        <v>1</v>
      </c>
      <c r="D352" s="194" t="s">
        <v>141</v>
      </c>
      <c r="E352" s="108" t="s">
        <v>143</v>
      </c>
      <c r="F352" s="2460">
        <f>F351*Constants!$I$37</f>
        <v>1.3055577325261407E-2</v>
      </c>
      <c r="G352" s="2460">
        <f>G351*Constants!$I$37</f>
        <v>1.3055577325261407E-2</v>
      </c>
      <c r="H352" s="2460">
        <f>H351*Constants!$I$37</f>
        <v>1.3055577325261407E-2</v>
      </c>
      <c r="I352" s="2460">
        <f>I351*Constants!$I$37</f>
        <v>1.3055577325261407E-2</v>
      </c>
      <c r="J352" s="2460">
        <f>J351*Constants!$I$37</f>
        <v>1.3055577325261407E-2</v>
      </c>
      <c r="K352" s="2460">
        <f>K351*Constants!$I$37</f>
        <v>1.3055577325261407E-2</v>
      </c>
      <c r="L352" s="2460">
        <f>L351*Constants!$I$37</f>
        <v>1.3055577325261407E-2</v>
      </c>
      <c r="M352" s="2460">
        <f>M351*Constants!$I$37</f>
        <v>1.3055577325261407E-2</v>
      </c>
      <c r="N352" s="2460">
        <f>N351*Constants!$I$37</f>
        <v>1.3055577325261407E-2</v>
      </c>
      <c r="O352" s="177"/>
      <c r="P352" s="190"/>
      <c r="Q352" s="48"/>
    </row>
    <row r="353" spans="2:17" ht="15.75">
      <c r="B353" s="55"/>
      <c r="C353" s="193">
        <v>2</v>
      </c>
      <c r="D353" s="194" t="s">
        <v>144</v>
      </c>
      <c r="E353" s="108" t="s">
        <v>142</v>
      </c>
      <c r="F353" s="2460">
        <f t="shared" ref="F353:N353" si="31">0.00802071964139671*(1/Unit.TWh)</f>
        <v>8.0207196413967109E-3</v>
      </c>
      <c r="G353" s="2460">
        <f t="shared" si="31"/>
        <v>8.0207196413967109E-3</v>
      </c>
      <c r="H353" s="2460">
        <f t="shared" si="31"/>
        <v>8.0207196413967109E-3</v>
      </c>
      <c r="I353" s="2460">
        <f t="shared" si="31"/>
        <v>8.0207196413967109E-3</v>
      </c>
      <c r="J353" s="2460">
        <f t="shared" si="31"/>
        <v>8.0207196413967109E-3</v>
      </c>
      <c r="K353" s="2460">
        <f t="shared" si="31"/>
        <v>8.0207196413967109E-3</v>
      </c>
      <c r="L353" s="2460">
        <f t="shared" si="31"/>
        <v>8.0207196413967109E-3</v>
      </c>
      <c r="M353" s="2460">
        <f t="shared" si="31"/>
        <v>8.0207196413967109E-3</v>
      </c>
      <c r="N353" s="2460">
        <f t="shared" si="31"/>
        <v>8.0207196413967109E-3</v>
      </c>
      <c r="O353" s="177"/>
      <c r="P353" s="190"/>
      <c r="Q353" s="48"/>
    </row>
    <row r="354" spans="2:17" ht="15.75">
      <c r="B354" s="55"/>
      <c r="C354" s="193">
        <v>2</v>
      </c>
      <c r="D354" s="194" t="s">
        <v>144</v>
      </c>
      <c r="E354" s="108" t="s">
        <v>143</v>
      </c>
      <c r="F354" s="2460">
        <f>F353*Constants!$I$37</f>
        <v>1.3055577325261407E-2</v>
      </c>
      <c r="G354" s="2460">
        <f>G353*Constants!$I$37</f>
        <v>1.3055577325261407E-2</v>
      </c>
      <c r="H354" s="2460">
        <f>H353*Constants!$I$37</f>
        <v>1.3055577325261407E-2</v>
      </c>
      <c r="I354" s="2460">
        <f>I353*Constants!$I$37</f>
        <v>1.3055577325261407E-2</v>
      </c>
      <c r="J354" s="2460">
        <f>J353*Constants!$I$37</f>
        <v>1.3055577325261407E-2</v>
      </c>
      <c r="K354" s="2460">
        <f>K353*Constants!$I$37</f>
        <v>1.3055577325261407E-2</v>
      </c>
      <c r="L354" s="2460">
        <f>L353*Constants!$I$37</f>
        <v>1.3055577325261407E-2</v>
      </c>
      <c r="M354" s="2460">
        <f>M353*Constants!$I$37</f>
        <v>1.3055577325261407E-2</v>
      </c>
      <c r="N354" s="2460">
        <f>N353*Constants!$I$37</f>
        <v>1.3055577325261407E-2</v>
      </c>
      <c r="O354" s="177"/>
      <c r="P354" s="190"/>
      <c r="Q354" s="48"/>
    </row>
    <row r="355" spans="2:17" ht="15.75">
      <c r="B355" s="55"/>
      <c r="C355" s="193">
        <v>4</v>
      </c>
      <c r="D355" s="194" t="s">
        <v>49</v>
      </c>
      <c r="E355" s="108" t="s">
        <v>145</v>
      </c>
      <c r="F355" s="2460">
        <f t="shared" ref="F355:N355" si="32">0.00499476848946225*(1/Unit.TWh)</f>
        <v>4.9947684894622504E-3</v>
      </c>
      <c r="G355" s="2460">
        <f t="shared" si="32"/>
        <v>4.9947684894622504E-3</v>
      </c>
      <c r="H355" s="2460">
        <f t="shared" si="32"/>
        <v>4.9947684894622504E-3</v>
      </c>
      <c r="I355" s="2460">
        <f t="shared" si="32"/>
        <v>4.9947684894622504E-3</v>
      </c>
      <c r="J355" s="2460">
        <f t="shared" si="32"/>
        <v>4.9947684894622504E-3</v>
      </c>
      <c r="K355" s="2460">
        <f t="shared" si="32"/>
        <v>4.9947684894622504E-3</v>
      </c>
      <c r="L355" s="2460">
        <f t="shared" si="32"/>
        <v>4.9947684894622504E-3</v>
      </c>
      <c r="M355" s="2460">
        <f t="shared" si="32"/>
        <v>4.9947684894622504E-3</v>
      </c>
      <c r="N355" s="2460">
        <f t="shared" si="32"/>
        <v>4.9947684894622504E-3</v>
      </c>
      <c r="O355" s="177"/>
      <c r="P355" s="190"/>
      <c r="Q355" s="48"/>
    </row>
    <row r="356" spans="2:17" ht="15.75">
      <c r="B356" s="55"/>
      <c r="C356" s="193">
        <v>4</v>
      </c>
      <c r="D356" s="194" t="s">
        <v>49</v>
      </c>
      <c r="E356" s="108" t="s">
        <v>146</v>
      </c>
      <c r="F356" s="2460">
        <f>F355*Constants!$I$36</f>
        <v>4.2908333958702527E-2</v>
      </c>
      <c r="G356" s="2460">
        <f>G355*Constants!$I$36</f>
        <v>4.2908333958702527E-2</v>
      </c>
      <c r="H356" s="2460">
        <f>H355*Constants!$I$36</f>
        <v>4.2908333958702527E-2</v>
      </c>
      <c r="I356" s="2460">
        <f>I355*Constants!$I$36</f>
        <v>4.2908333958702527E-2</v>
      </c>
      <c r="J356" s="2460">
        <f>J355*Constants!$I$36</f>
        <v>4.2908333958702527E-2</v>
      </c>
      <c r="K356" s="2460">
        <f>K355*Constants!$I$36</f>
        <v>4.2908333958702527E-2</v>
      </c>
      <c r="L356" s="2460">
        <f>L355*Constants!$I$36</f>
        <v>4.2908333958702527E-2</v>
      </c>
      <c r="M356" s="2460">
        <f>M355*Constants!$I$36</f>
        <v>4.2908333958702527E-2</v>
      </c>
      <c r="N356" s="2460">
        <f>N355*Constants!$I$36</f>
        <v>4.2908333958702527E-2</v>
      </c>
      <c r="O356" s="177"/>
      <c r="P356" s="190"/>
      <c r="Q356" s="48"/>
    </row>
    <row r="357" spans="2:17" ht="15.75">
      <c r="B357" s="55"/>
      <c r="C357" s="193">
        <v>5</v>
      </c>
      <c r="D357" s="194" t="s">
        <v>50</v>
      </c>
      <c r="E357" s="108" t="s">
        <v>147</v>
      </c>
      <c r="F357" s="2460">
        <f t="shared" ref="F357:N357" si="33">0.93832803120343*(1/Unit.TWh)</f>
        <v>0.93832803120343</v>
      </c>
      <c r="G357" s="2460">
        <f t="shared" si="33"/>
        <v>0.93832803120343</v>
      </c>
      <c r="H357" s="2460">
        <f t="shared" si="33"/>
        <v>0.93832803120343</v>
      </c>
      <c r="I357" s="2460">
        <f t="shared" si="33"/>
        <v>0.93832803120343</v>
      </c>
      <c r="J357" s="2460">
        <f t="shared" si="33"/>
        <v>0.93832803120343</v>
      </c>
      <c r="K357" s="2460">
        <f t="shared" si="33"/>
        <v>0.93832803120343</v>
      </c>
      <c r="L357" s="2460">
        <f t="shared" si="33"/>
        <v>0.93832803120343</v>
      </c>
      <c r="M357" s="2460">
        <f t="shared" si="33"/>
        <v>0.93832803120343</v>
      </c>
      <c r="N357" s="2460">
        <f t="shared" si="33"/>
        <v>0.93832803120343</v>
      </c>
      <c r="O357" s="177"/>
      <c r="P357" s="190"/>
      <c r="Q357" s="48"/>
    </row>
    <row r="358" spans="2:17" ht="15.75">
      <c r="B358" s="55"/>
      <c r="C358" s="193">
        <v>5</v>
      </c>
      <c r="D358" s="194" t="s">
        <v>50</v>
      </c>
      <c r="E358" s="108" t="s">
        <v>148</v>
      </c>
      <c r="F358" s="2460">
        <f>F357*Constants!$I$35</f>
        <v>14.376135690353021</v>
      </c>
      <c r="G358" s="2460">
        <f>G357*Constants!$I$35</f>
        <v>14.376135690353021</v>
      </c>
      <c r="H358" s="2460">
        <f>H357*Constants!$I$35</f>
        <v>14.376135690353021</v>
      </c>
      <c r="I358" s="2460">
        <f>I357*Constants!$I$35</f>
        <v>14.376135690353021</v>
      </c>
      <c r="J358" s="2460">
        <f>J357*Constants!$I$35</f>
        <v>14.376135690353021</v>
      </c>
      <c r="K358" s="2460">
        <f>K357*Constants!$I$35</f>
        <v>14.376135690353021</v>
      </c>
      <c r="L358" s="2460">
        <f>L357*Constants!$I$35</f>
        <v>14.376135690353021</v>
      </c>
      <c r="M358" s="2460">
        <f>M357*Constants!$I$35</f>
        <v>14.376135690353021</v>
      </c>
      <c r="N358" s="2460">
        <f>N357*Constants!$I$35</f>
        <v>14.376135690353021</v>
      </c>
      <c r="O358" s="177"/>
      <c r="P358" s="190"/>
      <c r="Q358" s="48"/>
    </row>
    <row r="359" spans="2:17" ht="15.75">
      <c r="B359" s="55"/>
      <c r="C359" s="193">
        <v>6</v>
      </c>
      <c r="D359" s="194" t="s">
        <v>51</v>
      </c>
      <c r="E359" s="108" t="s">
        <v>142</v>
      </c>
      <c r="F359" s="2460">
        <f t="shared" ref="F359:N359" si="34">0.00802071964139671*(1/Unit.TWh)</f>
        <v>8.0207196413967109E-3</v>
      </c>
      <c r="G359" s="2460">
        <f t="shared" si="34"/>
        <v>8.0207196413967109E-3</v>
      </c>
      <c r="H359" s="2460">
        <f t="shared" si="34"/>
        <v>8.0207196413967109E-3</v>
      </c>
      <c r="I359" s="2460">
        <f t="shared" si="34"/>
        <v>8.0207196413967109E-3</v>
      </c>
      <c r="J359" s="2460">
        <f t="shared" si="34"/>
        <v>8.0207196413967109E-3</v>
      </c>
      <c r="K359" s="2460">
        <f t="shared" si="34"/>
        <v>8.0207196413967109E-3</v>
      </c>
      <c r="L359" s="2460">
        <f t="shared" si="34"/>
        <v>8.0207196413967109E-3</v>
      </c>
      <c r="M359" s="2460">
        <f t="shared" si="34"/>
        <v>8.0207196413967109E-3</v>
      </c>
      <c r="N359" s="2460">
        <f t="shared" si="34"/>
        <v>8.0207196413967109E-3</v>
      </c>
      <c r="O359" s="177"/>
      <c r="P359" s="190"/>
      <c r="Q359" s="48"/>
    </row>
    <row r="360" spans="2:17" ht="15.75">
      <c r="B360" s="55"/>
      <c r="C360" s="193">
        <v>6</v>
      </c>
      <c r="D360" s="194" t="s">
        <v>51</v>
      </c>
      <c r="E360" s="108" t="s">
        <v>143</v>
      </c>
      <c r="F360" s="2460">
        <f>F359*Constants!$I$37</f>
        <v>1.3055577325261407E-2</v>
      </c>
      <c r="G360" s="2460">
        <f>G359*Constants!$I$37</f>
        <v>1.3055577325261407E-2</v>
      </c>
      <c r="H360" s="2460">
        <f>H359*Constants!$I$37</f>
        <v>1.3055577325261407E-2</v>
      </c>
      <c r="I360" s="2460">
        <f>I359*Constants!$I$37</f>
        <v>1.3055577325261407E-2</v>
      </c>
      <c r="J360" s="2460">
        <f>J359*Constants!$I$37</f>
        <v>1.3055577325261407E-2</v>
      </c>
      <c r="K360" s="2460">
        <f>K359*Constants!$I$37</f>
        <v>1.3055577325261407E-2</v>
      </c>
      <c r="L360" s="2460">
        <f>L359*Constants!$I$37</f>
        <v>1.3055577325261407E-2</v>
      </c>
      <c r="M360" s="2460">
        <f>M359*Constants!$I$37</f>
        <v>1.3055577325261407E-2</v>
      </c>
      <c r="N360" s="2460">
        <f>N359*Constants!$I$37</f>
        <v>1.3055577325261407E-2</v>
      </c>
      <c r="O360" s="177"/>
      <c r="P360" s="190"/>
      <c r="Q360" s="48"/>
    </row>
    <row r="361" spans="2:17" ht="15.75">
      <c r="B361" s="55"/>
      <c r="C361" s="193">
        <v>7</v>
      </c>
      <c r="D361" s="194" t="s">
        <v>52</v>
      </c>
      <c r="E361" s="108" t="s">
        <v>142</v>
      </c>
      <c r="F361" s="2460">
        <f t="shared" ref="F361:N361" si="35">0*(1/Unit.GWh)</f>
        <v>0</v>
      </c>
      <c r="G361" s="2460">
        <f t="shared" si="35"/>
        <v>0</v>
      </c>
      <c r="H361" s="2460">
        <f t="shared" si="35"/>
        <v>0</v>
      </c>
      <c r="I361" s="2460">
        <f t="shared" si="35"/>
        <v>0</v>
      </c>
      <c r="J361" s="2460">
        <f t="shared" si="35"/>
        <v>0</v>
      </c>
      <c r="K361" s="2460">
        <f t="shared" si="35"/>
        <v>0</v>
      </c>
      <c r="L361" s="2460">
        <f t="shared" si="35"/>
        <v>0</v>
      </c>
      <c r="M361" s="2460">
        <f t="shared" si="35"/>
        <v>0</v>
      </c>
      <c r="N361" s="2460">
        <f t="shared" si="35"/>
        <v>0</v>
      </c>
      <c r="O361" s="177"/>
      <c r="P361" s="190"/>
      <c r="Q361" s="48"/>
    </row>
    <row r="362" spans="2:17" ht="15.75">
      <c r="B362" s="55"/>
      <c r="C362" s="193">
        <v>7</v>
      </c>
      <c r="D362" s="194" t="s">
        <v>52</v>
      </c>
      <c r="E362" s="108" t="s">
        <v>143</v>
      </c>
      <c r="F362" s="2460">
        <f>F361*Constants!$I$37</f>
        <v>0</v>
      </c>
      <c r="G362" s="2460">
        <f>G361*Constants!$I$37</f>
        <v>0</v>
      </c>
      <c r="H362" s="2460">
        <f>H361*Constants!$I$37</f>
        <v>0</v>
      </c>
      <c r="I362" s="2460">
        <f>I361*Constants!$I$37</f>
        <v>0</v>
      </c>
      <c r="J362" s="2460">
        <f>J361*Constants!$I$37</f>
        <v>0</v>
      </c>
      <c r="K362" s="2460">
        <f>K361*Constants!$I$37</f>
        <v>0</v>
      </c>
      <c r="L362" s="2460">
        <f>L361*Constants!$I$37</f>
        <v>0</v>
      </c>
      <c r="M362" s="2460">
        <f>M361*Constants!$I$37</f>
        <v>0</v>
      </c>
      <c r="N362" s="2460">
        <f>N361*Constants!$I$37</f>
        <v>0</v>
      </c>
      <c r="O362" s="177"/>
      <c r="P362" s="190"/>
      <c r="Q362" s="48"/>
    </row>
    <row r="363" spans="2:17" ht="15.75">
      <c r="B363" s="55"/>
      <c r="C363" s="193">
        <v>11</v>
      </c>
      <c r="D363" s="194" t="s">
        <v>56</v>
      </c>
      <c r="E363" s="108" t="s">
        <v>142</v>
      </c>
      <c r="F363" s="2460">
        <f t="shared" ref="F363:N363" si="36">0.00802071964139671*(1/Unit.TWh)</f>
        <v>8.0207196413967109E-3</v>
      </c>
      <c r="G363" s="2460">
        <f t="shared" si="36"/>
        <v>8.0207196413967109E-3</v>
      </c>
      <c r="H363" s="2460">
        <f t="shared" si="36"/>
        <v>8.0207196413967109E-3</v>
      </c>
      <c r="I363" s="2460">
        <f t="shared" si="36"/>
        <v>8.0207196413967109E-3</v>
      </c>
      <c r="J363" s="2460">
        <f t="shared" si="36"/>
        <v>8.0207196413967109E-3</v>
      </c>
      <c r="K363" s="2460">
        <f t="shared" si="36"/>
        <v>8.0207196413967109E-3</v>
      </c>
      <c r="L363" s="2460">
        <f t="shared" si="36"/>
        <v>8.0207196413967109E-3</v>
      </c>
      <c r="M363" s="2460">
        <f t="shared" si="36"/>
        <v>8.0207196413967109E-3</v>
      </c>
      <c r="N363" s="2460">
        <f t="shared" si="36"/>
        <v>8.0207196413967109E-3</v>
      </c>
      <c r="O363" s="177"/>
      <c r="P363" s="190"/>
      <c r="Q363" s="48"/>
    </row>
    <row r="364" spans="2:17" ht="15.75">
      <c r="B364" s="55"/>
      <c r="C364" s="193">
        <v>11</v>
      </c>
      <c r="D364" s="194" t="s">
        <v>56</v>
      </c>
      <c r="E364" s="108" t="s">
        <v>143</v>
      </c>
      <c r="F364" s="2460">
        <f>F363*Constants!$I$37</f>
        <v>1.3055577325261407E-2</v>
      </c>
      <c r="G364" s="2460">
        <f>G363*Constants!$I$37</f>
        <v>1.3055577325261407E-2</v>
      </c>
      <c r="H364" s="2460">
        <f>H363*Constants!$I$37</f>
        <v>1.3055577325261407E-2</v>
      </c>
      <c r="I364" s="2460">
        <f>I363*Constants!$I$37</f>
        <v>1.3055577325261407E-2</v>
      </c>
      <c r="J364" s="2460">
        <f>J363*Constants!$I$37</f>
        <v>1.3055577325261407E-2</v>
      </c>
      <c r="K364" s="2460">
        <f>K363*Constants!$I$37</f>
        <v>1.3055577325261407E-2</v>
      </c>
      <c r="L364" s="2460">
        <f>L363*Constants!$I$37</f>
        <v>1.3055577325261407E-2</v>
      </c>
      <c r="M364" s="2460">
        <f>M363*Constants!$I$37</f>
        <v>1.3055577325261407E-2</v>
      </c>
      <c r="N364" s="2460">
        <f>N363*Constants!$I$37</f>
        <v>1.3055577325261407E-2</v>
      </c>
      <c r="O364" s="177"/>
      <c r="P364" s="190"/>
      <c r="Q364" s="48"/>
    </row>
    <row r="365" spans="2:17" ht="15.75">
      <c r="B365" s="55"/>
      <c r="C365" s="193">
        <v>12</v>
      </c>
      <c r="D365" s="194" t="s">
        <v>57</v>
      </c>
      <c r="E365" s="108" t="s">
        <v>147</v>
      </c>
      <c r="F365" s="2460">
        <f t="shared" ref="F365:N365" si="37">0.00705882352941176*(1/Unit.TWh)</f>
        <v>7.0588235294117598E-3</v>
      </c>
      <c r="G365" s="2460">
        <f t="shared" si="37"/>
        <v>7.0588235294117598E-3</v>
      </c>
      <c r="H365" s="2460">
        <f t="shared" si="37"/>
        <v>7.0588235294117598E-3</v>
      </c>
      <c r="I365" s="2460">
        <f t="shared" si="37"/>
        <v>7.0588235294117598E-3</v>
      </c>
      <c r="J365" s="2460">
        <f t="shared" si="37"/>
        <v>7.0588235294117598E-3</v>
      </c>
      <c r="K365" s="2460">
        <f t="shared" si="37"/>
        <v>7.0588235294117598E-3</v>
      </c>
      <c r="L365" s="2460">
        <f t="shared" si="37"/>
        <v>7.0588235294117598E-3</v>
      </c>
      <c r="M365" s="2460">
        <f t="shared" si="37"/>
        <v>7.0588235294117598E-3</v>
      </c>
      <c r="N365" s="2460">
        <f t="shared" si="37"/>
        <v>7.0588235294117598E-3</v>
      </c>
      <c r="O365" s="177"/>
      <c r="P365" s="190"/>
      <c r="Q365" s="48"/>
    </row>
    <row r="366" spans="2:17" ht="15.75">
      <c r="B366" s="55"/>
      <c r="C366" s="197">
        <v>12</v>
      </c>
      <c r="D366" s="198" t="s">
        <v>57</v>
      </c>
      <c r="E366" s="199" t="s">
        <v>148</v>
      </c>
      <c r="F366" s="3842">
        <f>F365*Constants!$I$35</f>
        <v>0.10814832499774214</v>
      </c>
      <c r="G366" s="3842">
        <f>G365*Constants!$I$35</f>
        <v>0.10814832499774214</v>
      </c>
      <c r="H366" s="3842">
        <f>H365*Constants!$I$35</f>
        <v>0.10814832499774214</v>
      </c>
      <c r="I366" s="3842">
        <f>I365*Constants!$I$35</f>
        <v>0.10814832499774214</v>
      </c>
      <c r="J366" s="3842">
        <f>J365*Constants!$I$35</f>
        <v>0.10814832499774214</v>
      </c>
      <c r="K366" s="3842">
        <f>K365*Constants!$I$35</f>
        <v>0.10814832499774214</v>
      </c>
      <c r="L366" s="3842">
        <f>L365*Constants!$I$35</f>
        <v>0.10814832499774214</v>
      </c>
      <c r="M366" s="3842">
        <f>M365*Constants!$I$35</f>
        <v>0.10814832499774214</v>
      </c>
      <c r="N366" s="3842">
        <f>N365*Constants!$I$35</f>
        <v>0.10814832499774214</v>
      </c>
      <c r="O366" s="177"/>
      <c r="P366" s="190"/>
      <c r="Q366" s="48"/>
    </row>
    <row r="367" spans="2:17" ht="15.75">
      <c r="B367" s="55"/>
      <c r="C367" s="171"/>
      <c r="D367" s="171"/>
      <c r="E367" s="57"/>
      <c r="F367" s="134"/>
      <c r="G367" s="165"/>
      <c r="H367" s="189"/>
      <c r="I367" s="189"/>
      <c r="J367" s="189"/>
      <c r="K367" s="189"/>
      <c r="L367" s="189"/>
      <c r="M367" s="189"/>
      <c r="N367" s="189"/>
      <c r="O367" s="189"/>
      <c r="P367" s="190"/>
      <c r="Q367" s="48"/>
    </row>
    <row r="368" spans="2:17">
      <c r="B368" s="45"/>
      <c r="C368" s="3862" t="s">
        <v>64</v>
      </c>
      <c r="D368" s="87"/>
      <c r="E368" s="46"/>
      <c r="F368" s="46"/>
      <c r="G368" s="46"/>
      <c r="H368" s="46"/>
      <c r="I368" s="46"/>
      <c r="J368" s="46"/>
      <c r="K368" s="46"/>
      <c r="L368" s="46"/>
      <c r="M368" s="46"/>
      <c r="N368" s="46"/>
      <c r="O368" s="46"/>
      <c r="P368" s="46"/>
      <c r="Q368" s="48"/>
    </row>
    <row r="369" spans="1:31">
      <c r="B369" s="45"/>
      <c r="C369" s="3863" t="s">
        <v>65</v>
      </c>
      <c r="D369" s="3866" t="s">
        <v>152</v>
      </c>
      <c r="E369" s="46"/>
      <c r="F369" s="46"/>
      <c r="G369" s="46"/>
      <c r="H369" s="46"/>
      <c r="I369" s="46"/>
      <c r="J369" s="46"/>
      <c r="K369" s="46"/>
      <c r="L369" s="46"/>
      <c r="M369" s="46"/>
      <c r="N369" s="46"/>
      <c r="O369" s="46"/>
      <c r="P369" s="46"/>
      <c r="Q369" s="48"/>
    </row>
    <row r="370" spans="1:31" s="204" customFormat="1">
      <c r="B370" s="201"/>
      <c r="C370" s="3868"/>
      <c r="D370" s="3866" t="s">
        <v>153</v>
      </c>
      <c r="E370" s="202"/>
      <c r="F370" s="202"/>
      <c r="G370" s="202"/>
      <c r="H370" s="202"/>
      <c r="I370" s="202"/>
      <c r="J370" s="202"/>
      <c r="K370" s="202"/>
      <c r="L370" s="202"/>
      <c r="M370" s="202"/>
      <c r="N370" s="202"/>
      <c r="O370" s="202"/>
      <c r="P370" s="202"/>
      <c r="Q370" s="203"/>
      <c r="R370" s="2"/>
      <c r="Z370" s="2"/>
    </row>
    <row r="371" spans="1:31" s="204" customFormat="1">
      <c r="B371" s="201"/>
      <c r="C371" s="3863" t="s">
        <v>67</v>
      </c>
      <c r="D371" s="3866" t="s">
        <v>154</v>
      </c>
      <c r="E371" s="202"/>
      <c r="F371" s="202"/>
      <c r="G371" s="202"/>
      <c r="H371" s="202"/>
      <c r="I371" s="202"/>
      <c r="J371" s="202"/>
      <c r="K371" s="202"/>
      <c r="L371" s="202"/>
      <c r="M371" s="202"/>
      <c r="N371" s="202"/>
      <c r="O371" s="202"/>
      <c r="P371" s="202"/>
      <c r="Q371" s="203"/>
      <c r="R371" s="2"/>
    </row>
    <row r="372" spans="1:31" s="204" customFormat="1">
      <c r="B372" s="201"/>
      <c r="C372" s="3863" t="s">
        <v>106</v>
      </c>
      <c r="D372" s="3866" t="s">
        <v>155</v>
      </c>
      <c r="E372" s="202"/>
      <c r="F372" s="202"/>
      <c r="G372" s="202"/>
      <c r="H372" s="202"/>
      <c r="I372" s="202"/>
      <c r="J372" s="202"/>
      <c r="K372" s="202"/>
      <c r="L372" s="202"/>
      <c r="M372" s="202"/>
      <c r="N372" s="202"/>
      <c r="O372" s="202"/>
      <c r="P372" s="202"/>
      <c r="Q372" s="203"/>
      <c r="R372" s="2"/>
    </row>
    <row r="373" spans="1:31" s="204" customFormat="1">
      <c r="B373" s="201"/>
      <c r="C373" s="3863" t="s">
        <v>80</v>
      </c>
      <c r="D373" s="3866" t="s">
        <v>3120</v>
      </c>
      <c r="E373" s="202"/>
      <c r="F373" s="202"/>
      <c r="G373" s="202"/>
      <c r="H373" s="202"/>
      <c r="I373" s="202"/>
      <c r="J373" s="202"/>
      <c r="K373" s="202"/>
      <c r="L373" s="202"/>
      <c r="M373" s="202"/>
      <c r="N373" s="202"/>
      <c r="O373" s="202"/>
      <c r="P373" s="202"/>
      <c r="Q373" s="203"/>
      <c r="R373" s="2"/>
    </row>
    <row r="374" spans="1:31" s="204" customFormat="1">
      <c r="B374" s="201"/>
      <c r="C374" s="3863" t="s">
        <v>156</v>
      </c>
      <c r="D374" s="3866" t="s">
        <v>157</v>
      </c>
      <c r="E374" s="202"/>
      <c r="F374" s="202"/>
      <c r="G374" s="202"/>
      <c r="H374" s="202"/>
      <c r="I374" s="202"/>
      <c r="J374" s="202"/>
      <c r="K374" s="202"/>
      <c r="L374" s="202"/>
      <c r="M374" s="202"/>
      <c r="N374" s="202"/>
      <c r="O374" s="202"/>
      <c r="P374" s="202"/>
      <c r="Q374" s="203"/>
      <c r="R374" s="2"/>
    </row>
    <row r="375" spans="1:31" s="204" customFormat="1">
      <c r="B375" s="201"/>
      <c r="C375" s="3863" t="s">
        <v>105</v>
      </c>
      <c r="D375" s="3866" t="s">
        <v>3124</v>
      </c>
      <c r="E375" s="202"/>
      <c r="F375" s="202"/>
      <c r="G375" s="202"/>
      <c r="H375" s="202"/>
      <c r="I375" s="202"/>
      <c r="J375" s="202"/>
      <c r="K375" s="202"/>
      <c r="L375" s="202"/>
      <c r="M375" s="202"/>
      <c r="N375" s="202"/>
      <c r="O375" s="202"/>
      <c r="P375" s="202"/>
      <c r="Q375" s="203"/>
      <c r="R375" s="2"/>
    </row>
    <row r="376" spans="1:31" s="204" customFormat="1">
      <c r="B376" s="201"/>
      <c r="C376" s="3863" t="s">
        <v>158</v>
      </c>
      <c r="D376" s="3866" t="s">
        <v>3125</v>
      </c>
      <c r="E376" s="202"/>
      <c r="F376" s="202"/>
      <c r="G376" s="202"/>
      <c r="H376" s="202"/>
      <c r="I376" s="202"/>
      <c r="J376" s="202"/>
      <c r="K376" s="202"/>
      <c r="L376" s="202"/>
      <c r="M376" s="202"/>
      <c r="N376" s="202"/>
      <c r="O376" s="202"/>
      <c r="P376" s="202"/>
      <c r="Q376" s="203"/>
      <c r="R376" s="2"/>
    </row>
    <row r="377" spans="1:31" s="204" customFormat="1">
      <c r="B377" s="201"/>
      <c r="C377" s="3863"/>
      <c r="D377" s="3866"/>
      <c r="E377" s="202"/>
      <c r="F377" s="202"/>
      <c r="G377" s="202"/>
      <c r="H377" s="202"/>
      <c r="I377" s="202"/>
      <c r="J377" s="202"/>
      <c r="K377" s="202"/>
      <c r="L377" s="202"/>
      <c r="M377" s="202"/>
      <c r="N377" s="202"/>
      <c r="O377" s="202"/>
      <c r="P377" s="202"/>
      <c r="Q377" s="203"/>
      <c r="R377" s="2"/>
    </row>
    <row r="378" spans="1:31" s="204" customFormat="1">
      <c r="B378" s="201"/>
      <c r="C378" s="3863"/>
      <c r="D378" s="3866"/>
      <c r="E378" s="202"/>
      <c r="F378" s="202"/>
      <c r="G378" s="202"/>
      <c r="H378" s="202"/>
      <c r="I378" s="202"/>
      <c r="J378" s="202"/>
      <c r="K378" s="202"/>
      <c r="L378" s="202"/>
      <c r="M378" s="202"/>
      <c r="N378" s="202"/>
      <c r="O378" s="202"/>
      <c r="P378" s="202"/>
      <c r="Q378" s="203"/>
      <c r="R378" s="2"/>
    </row>
    <row r="379" spans="1:31" s="204" customFormat="1">
      <c r="B379" s="201"/>
      <c r="C379" s="3863"/>
      <c r="D379" s="3866"/>
      <c r="E379" s="202"/>
      <c r="F379" s="202"/>
      <c r="G379" s="202"/>
      <c r="H379" s="202"/>
      <c r="I379" s="202"/>
      <c r="J379" s="202"/>
      <c r="K379" s="202"/>
      <c r="L379" s="202"/>
      <c r="M379" s="202"/>
      <c r="N379" s="202"/>
      <c r="O379" s="202"/>
      <c r="P379" s="202"/>
      <c r="Q379" s="203"/>
      <c r="R379" s="2"/>
    </row>
    <row r="380" spans="1:31">
      <c r="B380" s="111"/>
      <c r="C380" s="115"/>
      <c r="D380" s="87"/>
      <c r="E380" s="115"/>
      <c r="F380" s="115"/>
      <c r="G380" s="115"/>
      <c r="H380" s="115"/>
      <c r="I380" s="115"/>
      <c r="J380" s="115"/>
      <c r="K380" s="115"/>
      <c r="L380" s="115"/>
      <c r="M380" s="115"/>
      <c r="N380" s="115"/>
      <c r="O380" s="115"/>
      <c r="P380" s="115"/>
      <c r="Q380" s="205"/>
      <c r="W380" s="204"/>
      <c r="X380" s="204"/>
      <c r="Y380" s="204"/>
      <c r="Z380" s="204"/>
    </row>
    <row r="382" spans="1:31" s="4" customFormat="1" ht="23.25">
      <c r="A382" s="40"/>
      <c r="B382" s="41" t="s">
        <v>2794</v>
      </c>
      <c r="C382" s="42"/>
      <c r="D382" s="42"/>
      <c r="E382" s="42"/>
      <c r="F382" s="42"/>
      <c r="G382" s="42"/>
      <c r="H382" s="42"/>
      <c r="I382" s="42"/>
      <c r="J382" s="42"/>
      <c r="K382" s="42"/>
      <c r="L382" s="42"/>
      <c r="M382" s="42"/>
      <c r="N382" s="42"/>
      <c r="O382" s="42"/>
      <c r="P382" s="42"/>
      <c r="Q382" s="206"/>
      <c r="R382" s="206"/>
      <c r="S382" s="206"/>
      <c r="T382" s="206"/>
      <c r="U382" s="206"/>
      <c r="V382" s="206"/>
      <c r="W382" s="206"/>
      <c r="X382" s="206"/>
      <c r="Y382" s="206"/>
      <c r="Z382" s="206"/>
      <c r="AA382" s="206"/>
      <c r="AB382" s="206"/>
      <c r="AC382" s="206"/>
      <c r="AD382" s="206"/>
      <c r="AE382" s="206"/>
    </row>
    <row r="383" spans="1:31" hidden="1">
      <c r="B383" s="45"/>
      <c r="C383" s="46"/>
      <c r="D383" s="46"/>
      <c r="E383" s="46"/>
      <c r="F383" s="46"/>
      <c r="G383" s="46"/>
      <c r="H383" s="46"/>
      <c r="I383" s="46"/>
      <c r="J383" s="46"/>
      <c r="K383" s="177"/>
      <c r="L383" s="177"/>
      <c r="M383" s="177"/>
      <c r="N383" s="177"/>
      <c r="O383" s="177"/>
      <c r="P383" s="177"/>
      <c r="Q383" s="207"/>
      <c r="R383" s="86"/>
      <c r="S383" s="86"/>
      <c r="T383" s="86"/>
      <c r="U383" s="86"/>
      <c r="V383" s="86"/>
      <c r="W383" s="86"/>
      <c r="X383" s="86"/>
      <c r="Y383" s="86"/>
      <c r="Z383" s="86"/>
      <c r="AA383" s="86"/>
      <c r="AB383" s="86"/>
      <c r="AC383" s="86"/>
      <c r="AD383" s="86"/>
      <c r="AE383" s="86"/>
    </row>
    <row r="384" spans="1:31" hidden="1">
      <c r="B384" s="45"/>
      <c r="C384" s="49" t="s">
        <v>159</v>
      </c>
      <c r="D384" s="46"/>
      <c r="E384" s="46"/>
      <c r="F384" s="46"/>
      <c r="G384" s="177"/>
      <c r="H384" s="177"/>
      <c r="I384" s="177"/>
      <c r="J384" s="177"/>
      <c r="K384" s="177"/>
      <c r="L384" s="177"/>
      <c r="M384" s="177"/>
      <c r="N384" s="177"/>
      <c r="O384" s="177"/>
      <c r="P384" s="177"/>
      <c r="Q384" s="86"/>
      <c r="R384" s="208"/>
      <c r="S384" s="86"/>
      <c r="T384" s="86"/>
      <c r="U384" s="86"/>
      <c r="V384" s="86"/>
      <c r="W384" s="86"/>
      <c r="X384" s="86"/>
      <c r="Y384" s="86"/>
      <c r="Z384" s="86"/>
      <c r="AA384" s="86"/>
      <c r="AB384" s="86"/>
      <c r="AC384" s="86"/>
      <c r="AD384" s="86"/>
      <c r="AE384" s="86"/>
    </row>
    <row r="385" spans="2:31" hidden="1">
      <c r="B385" s="45"/>
      <c r="C385" s="49"/>
      <c r="D385" s="46"/>
      <c r="E385" s="46"/>
      <c r="F385" s="46"/>
      <c r="G385" s="104"/>
      <c r="H385" s="177"/>
      <c r="I385" s="177"/>
      <c r="J385" s="177"/>
      <c r="K385" s="177"/>
      <c r="L385" s="177"/>
      <c r="M385" s="177"/>
      <c r="N385" s="177"/>
      <c r="O385" s="177"/>
      <c r="P385" s="177"/>
      <c r="Q385" s="86"/>
      <c r="R385" s="208"/>
      <c r="S385" s="86"/>
      <c r="T385" s="86"/>
      <c r="U385" s="86"/>
      <c r="V385" s="86"/>
      <c r="W385" s="86"/>
      <c r="X385" s="86"/>
      <c r="Y385" s="86"/>
      <c r="Z385" s="86"/>
      <c r="AA385" s="86"/>
      <c r="AB385" s="86"/>
      <c r="AC385" s="86"/>
      <c r="AD385" s="86"/>
      <c r="AE385" s="86"/>
    </row>
    <row r="386" spans="2:31" hidden="1">
      <c r="B386" s="45"/>
      <c r="C386" s="49" t="s">
        <v>22</v>
      </c>
      <c r="D386" s="46"/>
      <c r="E386" s="46"/>
      <c r="F386" s="46"/>
      <c r="G386" s="177"/>
      <c r="H386" s="177"/>
      <c r="I386" s="177"/>
      <c r="J386" s="177"/>
      <c r="K386" s="177"/>
      <c r="L386" s="177"/>
      <c r="M386" s="177"/>
      <c r="N386" s="104" t="s">
        <v>2831</v>
      </c>
      <c r="O386" s="177"/>
      <c r="P386" s="177"/>
      <c r="Q386" s="86"/>
      <c r="R386" s="86"/>
      <c r="S386" s="86"/>
      <c r="T386" s="86"/>
      <c r="U386" s="86"/>
      <c r="V386" s="86"/>
      <c r="W386" s="86"/>
      <c r="X386" s="86"/>
      <c r="Y386" s="86"/>
      <c r="Z386" s="86"/>
      <c r="AA386" s="86"/>
      <c r="AB386" s="86"/>
      <c r="AC386" s="86"/>
      <c r="AD386" s="86"/>
      <c r="AE386" s="86"/>
    </row>
    <row r="387" spans="2:31" hidden="1">
      <c r="B387" s="45"/>
      <c r="C387" s="209"/>
      <c r="D387" s="209" t="s">
        <v>129</v>
      </c>
      <c r="E387" s="210" t="s">
        <v>160</v>
      </c>
      <c r="F387" s="211">
        <v>2013</v>
      </c>
      <c r="G387" s="211">
        <v>2015</v>
      </c>
      <c r="H387" s="211">
        <v>2020</v>
      </c>
      <c r="I387" s="211">
        <v>2025</v>
      </c>
      <c r="J387" s="211">
        <v>2030</v>
      </c>
      <c r="K387" s="211">
        <v>2035</v>
      </c>
      <c r="L387" s="211">
        <v>2040</v>
      </c>
      <c r="M387" s="211">
        <v>2045</v>
      </c>
      <c r="N387" s="211">
        <v>2050</v>
      </c>
      <c r="O387" s="177"/>
      <c r="P387" s="177"/>
      <c r="Q387" s="212"/>
      <c r="R387" s="212"/>
      <c r="S387" s="86"/>
      <c r="T387" s="86"/>
      <c r="U387" s="86"/>
      <c r="V387" s="86"/>
      <c r="W387" s="86"/>
      <c r="X387" s="86"/>
      <c r="Y387" s="86"/>
      <c r="Z387" s="86"/>
      <c r="AA387" s="86"/>
      <c r="AB387" s="86"/>
      <c r="AC387" s="86"/>
      <c r="AD387" s="86"/>
      <c r="AE387" s="86"/>
    </row>
    <row r="388" spans="2:31" hidden="1">
      <c r="B388" s="45"/>
      <c r="C388" s="213"/>
      <c r="D388" s="213" t="s">
        <v>122</v>
      </c>
      <c r="E388" s="214">
        <v>0</v>
      </c>
      <c r="F388" s="215">
        <v>7.6E-3</v>
      </c>
      <c r="G388" s="214">
        <v>7.6E-3</v>
      </c>
      <c r="H388" s="214">
        <v>7.6E-3</v>
      </c>
      <c r="I388" s="214">
        <v>7.6E-3</v>
      </c>
      <c r="J388" s="214">
        <v>7.6E-3</v>
      </c>
      <c r="K388" s="214">
        <v>7.6E-3</v>
      </c>
      <c r="L388" s="214">
        <v>7.6E-3</v>
      </c>
      <c r="M388" s="214">
        <v>7.6E-3</v>
      </c>
      <c r="N388" s="216">
        <v>7.6E-3</v>
      </c>
      <c r="O388" s="177"/>
      <c r="P388" s="177"/>
    </row>
    <row r="389" spans="2:31" hidden="1">
      <c r="B389" s="45"/>
      <c r="C389" s="217"/>
      <c r="D389" s="217" t="s">
        <v>123</v>
      </c>
      <c r="E389" s="218">
        <v>0</v>
      </c>
      <c r="F389" s="219">
        <v>1.6199999999999999E-3</v>
      </c>
      <c r="G389" s="218">
        <v>1.6199999999999999E-3</v>
      </c>
      <c r="H389" s="218">
        <v>1.6199999999999999E-3</v>
      </c>
      <c r="I389" s="218">
        <v>1.6199999999999999E-3</v>
      </c>
      <c r="J389" s="218">
        <v>1.6199999999999999E-3</v>
      </c>
      <c r="K389" s="218">
        <v>1.6199999999999999E-3</v>
      </c>
      <c r="L389" s="218">
        <v>1.6199999999999999E-3</v>
      </c>
      <c r="M389" s="218">
        <v>1.6199999999999999E-3</v>
      </c>
      <c r="N389" s="220">
        <v>1.6199999999999999E-3</v>
      </c>
      <c r="O389" s="177"/>
      <c r="P389" s="177"/>
    </row>
    <row r="390" spans="2:31" hidden="1">
      <c r="B390" s="45"/>
      <c r="C390" s="217"/>
      <c r="D390" s="217" t="s">
        <v>124</v>
      </c>
      <c r="E390" s="218">
        <v>0</v>
      </c>
      <c r="F390" s="219">
        <v>1.2949999999999999E-3</v>
      </c>
      <c r="G390" s="218">
        <v>1.2949999999999999E-3</v>
      </c>
      <c r="H390" s="218">
        <v>1.2949999999999999E-3</v>
      </c>
      <c r="I390" s="218">
        <v>1.2949999999999999E-3</v>
      </c>
      <c r="J390" s="218">
        <v>1.2949999999999999E-3</v>
      </c>
      <c r="K390" s="218">
        <v>1.2949999999999999E-3</v>
      </c>
      <c r="L390" s="218">
        <v>1.2949999999999999E-3</v>
      </c>
      <c r="M390" s="218">
        <v>1.2949999999999999E-3</v>
      </c>
      <c r="N390" s="220">
        <v>1.2949999999999999E-3</v>
      </c>
      <c r="O390" s="177"/>
      <c r="P390" s="177"/>
    </row>
    <row r="391" spans="2:31" hidden="1">
      <c r="B391" s="45"/>
      <c r="C391" s="217"/>
      <c r="D391" s="217" t="s">
        <v>125</v>
      </c>
      <c r="E391" s="218">
        <v>0</v>
      </c>
      <c r="F391" s="219">
        <v>5.1799999999999997E-3</v>
      </c>
      <c r="G391" s="218">
        <v>5.1799999999999997E-3</v>
      </c>
      <c r="H391" s="218">
        <v>5.1799999999999997E-3</v>
      </c>
      <c r="I391" s="218">
        <v>5.1799999999999997E-3</v>
      </c>
      <c r="J391" s="218">
        <v>5.1799999999999997E-3</v>
      </c>
      <c r="K391" s="218">
        <v>5.1799999999999997E-3</v>
      </c>
      <c r="L391" s="218">
        <v>5.1799999999999997E-3</v>
      </c>
      <c r="M391" s="218">
        <v>5.1799999999999997E-3</v>
      </c>
      <c r="N391" s="220">
        <v>5.1799999999999997E-3</v>
      </c>
      <c r="O391" s="177"/>
      <c r="P391" s="177"/>
    </row>
    <row r="392" spans="2:31" hidden="1">
      <c r="B392" s="45"/>
      <c r="C392" s="217"/>
      <c r="D392" s="217" t="s">
        <v>126</v>
      </c>
      <c r="E392" s="218">
        <v>0</v>
      </c>
      <c r="F392" s="219">
        <v>3.5399999999999999E-4</v>
      </c>
      <c r="G392" s="218">
        <v>3.5399999999999999E-4</v>
      </c>
      <c r="H392" s="218">
        <v>3.5399999999999999E-4</v>
      </c>
      <c r="I392" s="218">
        <v>3.5399999999999999E-4</v>
      </c>
      <c r="J392" s="218">
        <v>3.5399999999999999E-4</v>
      </c>
      <c r="K392" s="218">
        <v>3.5399999999999999E-4</v>
      </c>
      <c r="L392" s="218">
        <v>3.5399999999999999E-4</v>
      </c>
      <c r="M392" s="218">
        <v>3.5399999999999999E-4</v>
      </c>
      <c r="N392" s="220">
        <v>3.5399999999999999E-4</v>
      </c>
      <c r="O392" s="177"/>
      <c r="P392" s="177"/>
    </row>
    <row r="393" spans="2:31" hidden="1">
      <c r="B393" s="45"/>
      <c r="C393" s="221"/>
      <c r="D393" s="221" t="s">
        <v>127</v>
      </c>
      <c r="E393" s="222">
        <v>0</v>
      </c>
      <c r="F393" s="223">
        <v>2E-3</v>
      </c>
      <c r="G393" s="222">
        <v>2E-3</v>
      </c>
      <c r="H393" s="222">
        <v>2E-3</v>
      </c>
      <c r="I393" s="222">
        <v>2E-3</v>
      </c>
      <c r="J393" s="222">
        <v>2E-3</v>
      </c>
      <c r="K393" s="222">
        <v>2E-3</v>
      </c>
      <c r="L393" s="222">
        <v>2E-3</v>
      </c>
      <c r="M393" s="222">
        <v>2E-3</v>
      </c>
      <c r="N393" s="224">
        <v>2E-3</v>
      </c>
      <c r="O393" s="177"/>
      <c r="P393" s="177"/>
    </row>
    <row r="394" spans="2:31" hidden="1">
      <c r="B394" s="45"/>
      <c r="C394" s="218"/>
      <c r="D394" s="218"/>
      <c r="E394" s="218"/>
      <c r="F394" s="218"/>
      <c r="G394" s="218"/>
      <c r="H394" s="218"/>
      <c r="I394" s="218"/>
      <c r="J394" s="225"/>
      <c r="K394" s="225"/>
      <c r="L394" s="225"/>
      <c r="M394" s="225"/>
      <c r="N394" s="226"/>
      <c r="O394" s="177"/>
      <c r="P394" s="177"/>
    </row>
    <row r="395" spans="2:31" hidden="1">
      <c r="B395" s="45"/>
      <c r="C395" s="227" t="s">
        <v>161</v>
      </c>
      <c r="D395" s="218"/>
      <c r="E395" s="218"/>
      <c r="F395" s="218"/>
      <c r="G395" s="225"/>
      <c r="H395" s="225"/>
      <c r="I395" s="225"/>
      <c r="J395" s="225"/>
      <c r="K395" s="225"/>
      <c r="L395" s="225"/>
      <c r="M395" s="225"/>
      <c r="N395" s="228" t="s">
        <v>2831</v>
      </c>
      <c r="O395" s="177"/>
      <c r="P395" s="177"/>
    </row>
    <row r="396" spans="2:31" hidden="1">
      <c r="B396" s="45"/>
      <c r="C396" s="209"/>
      <c r="D396" s="209" t="s">
        <v>129</v>
      </c>
      <c r="E396" s="210" t="s">
        <v>160</v>
      </c>
      <c r="F396" s="211">
        <v>2013</v>
      </c>
      <c r="G396" s="211">
        <v>2015</v>
      </c>
      <c r="H396" s="211">
        <v>2020</v>
      </c>
      <c r="I396" s="211">
        <v>2025</v>
      </c>
      <c r="J396" s="211">
        <v>2030</v>
      </c>
      <c r="K396" s="211">
        <v>2035</v>
      </c>
      <c r="L396" s="211">
        <v>2040</v>
      </c>
      <c r="M396" s="211">
        <v>2045</v>
      </c>
      <c r="N396" s="211">
        <v>2050</v>
      </c>
      <c r="O396" s="177"/>
      <c r="P396" s="177"/>
    </row>
    <row r="397" spans="2:31" hidden="1">
      <c r="B397" s="45"/>
      <c r="C397" s="213"/>
      <c r="D397" s="213" t="s">
        <v>122</v>
      </c>
      <c r="E397" s="214">
        <v>0</v>
      </c>
      <c r="F397" s="215">
        <v>2.9673090871412291E-3</v>
      </c>
      <c r="G397" s="214">
        <v>2.9673090871412291E-3</v>
      </c>
      <c r="H397" s="214">
        <v>2.9673090871412291E-3</v>
      </c>
      <c r="I397" s="214">
        <v>2.9673090871412291E-3</v>
      </c>
      <c r="J397" s="214">
        <v>2.9673090871412291E-3</v>
      </c>
      <c r="K397" s="214">
        <v>2.9673090871412291E-3</v>
      </c>
      <c r="L397" s="214">
        <v>2.9673090871412291E-3</v>
      </c>
      <c r="M397" s="214">
        <v>2.9673090871412291E-3</v>
      </c>
      <c r="N397" s="216">
        <v>2.9673090871412291E-3</v>
      </c>
      <c r="O397" s="177"/>
      <c r="P397" s="47"/>
    </row>
    <row r="398" spans="2:31" hidden="1">
      <c r="B398" s="45"/>
      <c r="C398" s="217"/>
      <c r="D398" s="217" t="s">
        <v>123</v>
      </c>
      <c r="E398" s="218">
        <v>0</v>
      </c>
      <c r="F398" s="219">
        <v>4.053984043104341E-4</v>
      </c>
      <c r="G398" s="218">
        <v>4.053984043104341E-4</v>
      </c>
      <c r="H398" s="218">
        <v>4.053984043104341E-4</v>
      </c>
      <c r="I398" s="218">
        <v>4.053984043104341E-4</v>
      </c>
      <c r="J398" s="218">
        <v>4.053984043104341E-4</v>
      </c>
      <c r="K398" s="218">
        <v>4.053984043104341E-4</v>
      </c>
      <c r="L398" s="218">
        <v>4.053984043104341E-4</v>
      </c>
      <c r="M398" s="218">
        <v>4.053984043104341E-4</v>
      </c>
      <c r="N398" s="220">
        <v>4.053984043104341E-4</v>
      </c>
      <c r="O398" s="177"/>
      <c r="P398" s="177"/>
    </row>
    <row r="399" spans="2:31" hidden="1">
      <c r="B399" s="45"/>
      <c r="C399" s="217"/>
      <c r="D399" s="217" t="s">
        <v>124</v>
      </c>
      <c r="E399" s="218">
        <v>0</v>
      </c>
      <c r="F399" s="219">
        <v>6.7998134908299653E-4</v>
      </c>
      <c r="G399" s="218">
        <v>6.7998134908299653E-4</v>
      </c>
      <c r="H399" s="218">
        <v>6.7998134908299653E-4</v>
      </c>
      <c r="I399" s="218">
        <v>6.7998134908299653E-4</v>
      </c>
      <c r="J399" s="218">
        <v>6.7998134908299653E-4</v>
      </c>
      <c r="K399" s="218">
        <v>6.7998134908299653E-4</v>
      </c>
      <c r="L399" s="218">
        <v>6.7998134908299653E-4</v>
      </c>
      <c r="M399" s="218">
        <v>6.7998134908299653E-4</v>
      </c>
      <c r="N399" s="220">
        <v>6.7998134908299653E-4</v>
      </c>
      <c r="O399" s="177"/>
      <c r="P399" s="177"/>
    </row>
    <row r="400" spans="2:31" hidden="1">
      <c r="B400" s="46"/>
      <c r="C400" s="217"/>
      <c r="D400" s="217" t="s">
        <v>125</v>
      </c>
      <c r="E400" s="218">
        <v>0</v>
      </c>
      <c r="F400" s="219">
        <v>2.5904051393637966E-3</v>
      </c>
      <c r="G400" s="218">
        <v>2.5904051393637966E-3</v>
      </c>
      <c r="H400" s="218">
        <v>2.5904051393637966E-3</v>
      </c>
      <c r="I400" s="218">
        <v>2.5904051393637966E-3</v>
      </c>
      <c r="J400" s="218">
        <v>2.5904051393637966E-3</v>
      </c>
      <c r="K400" s="218">
        <v>2.5904051393637966E-3</v>
      </c>
      <c r="L400" s="218">
        <v>2.5904051393637966E-3</v>
      </c>
      <c r="M400" s="218">
        <v>2.5904051393637966E-3</v>
      </c>
      <c r="N400" s="220">
        <v>2.5904051393637966E-3</v>
      </c>
      <c r="O400" s="177"/>
      <c r="P400" s="177"/>
    </row>
    <row r="401" spans="2:16" hidden="1">
      <c r="B401" s="46"/>
      <c r="C401" s="217"/>
      <c r="D401" s="217" t="s">
        <v>126</v>
      </c>
      <c r="E401" s="218">
        <v>0</v>
      </c>
      <c r="F401" s="219">
        <v>3.5399999999999999E-4</v>
      </c>
      <c r="G401" s="218">
        <v>3.5399999999999999E-4</v>
      </c>
      <c r="H401" s="218">
        <v>3.5399999999999999E-4</v>
      </c>
      <c r="I401" s="218">
        <v>3.5399999999999999E-4</v>
      </c>
      <c r="J401" s="218">
        <v>3.5399999999999999E-4</v>
      </c>
      <c r="K401" s="218">
        <v>3.5399999999999999E-4</v>
      </c>
      <c r="L401" s="218">
        <v>3.5399999999999999E-4</v>
      </c>
      <c r="M401" s="218">
        <v>3.5399999999999999E-4</v>
      </c>
      <c r="N401" s="220">
        <v>3.5399999999999999E-4</v>
      </c>
      <c r="O401" s="177"/>
      <c r="P401" s="177"/>
    </row>
    <row r="402" spans="2:16" hidden="1">
      <c r="B402" s="46"/>
      <c r="C402" s="221"/>
      <c r="D402" s="221" t="s">
        <v>127</v>
      </c>
      <c r="E402" s="222">
        <v>0</v>
      </c>
      <c r="F402" s="224">
        <v>7.2599999999999997E-4</v>
      </c>
      <c r="G402" s="222">
        <v>7.2599999999999997E-4</v>
      </c>
      <c r="H402" s="222">
        <v>7.2599999999999997E-4</v>
      </c>
      <c r="I402" s="222">
        <v>7.2599999999999997E-4</v>
      </c>
      <c r="J402" s="222">
        <v>7.2599999999999997E-4</v>
      </c>
      <c r="K402" s="222">
        <v>7.2599999999999997E-4</v>
      </c>
      <c r="L402" s="222">
        <v>7.2599999999999997E-4</v>
      </c>
      <c r="M402" s="222">
        <v>7.2599999999999997E-4</v>
      </c>
      <c r="N402" s="224">
        <v>7.2599999999999997E-4</v>
      </c>
      <c r="O402" s="177"/>
      <c r="P402" s="47"/>
    </row>
    <row r="403" spans="2:16" hidden="1">
      <c r="B403" s="46"/>
      <c r="C403" s="217"/>
      <c r="D403" s="217"/>
      <c r="E403" s="229"/>
      <c r="F403" s="230"/>
      <c r="G403" s="231"/>
      <c r="H403" s="231"/>
      <c r="I403" s="218"/>
      <c r="J403" s="225"/>
      <c r="K403" s="225"/>
      <c r="L403" s="225"/>
      <c r="M403" s="225"/>
      <c r="N403" s="226"/>
      <c r="O403" s="177"/>
      <c r="P403" s="177"/>
    </row>
    <row r="404" spans="2:16" hidden="1">
      <c r="B404" s="46"/>
      <c r="C404" s="227" t="s">
        <v>20</v>
      </c>
      <c r="D404" s="218"/>
      <c r="E404" s="218"/>
      <c r="F404" s="218"/>
      <c r="G404" s="225"/>
      <c r="H404" s="225"/>
      <c r="I404" s="225"/>
      <c r="J404" s="225"/>
      <c r="K404" s="225"/>
      <c r="L404" s="225"/>
      <c r="M404" s="225"/>
      <c r="N404" s="228" t="s">
        <v>2831</v>
      </c>
      <c r="O404" s="177"/>
      <c r="P404" s="177"/>
    </row>
    <row r="405" spans="2:16" hidden="1">
      <c r="B405" s="46"/>
      <c r="C405" s="209"/>
      <c r="D405" s="209" t="s">
        <v>129</v>
      </c>
      <c r="E405" s="210" t="s">
        <v>160</v>
      </c>
      <c r="F405" s="211">
        <v>2013</v>
      </c>
      <c r="G405" s="211">
        <v>2015</v>
      </c>
      <c r="H405" s="211">
        <v>2020</v>
      </c>
      <c r="I405" s="211">
        <v>2025</v>
      </c>
      <c r="J405" s="211">
        <v>2030</v>
      </c>
      <c r="K405" s="211">
        <v>2035</v>
      </c>
      <c r="L405" s="211">
        <v>2040</v>
      </c>
      <c r="M405" s="211">
        <v>2045</v>
      </c>
      <c r="N405" s="211">
        <v>2050</v>
      </c>
      <c r="O405" s="177"/>
      <c r="P405" s="177"/>
    </row>
    <row r="406" spans="2:16" hidden="1">
      <c r="B406" s="46"/>
      <c r="C406" s="213"/>
      <c r="D406" s="213" t="s">
        <v>122</v>
      </c>
      <c r="E406" s="214">
        <v>0</v>
      </c>
      <c r="F406" s="232">
        <v>1.6954201637136E-3</v>
      </c>
      <c r="G406" s="214">
        <v>1.6954201637136E-3</v>
      </c>
      <c r="H406" s="214">
        <v>1.6954201637136E-3</v>
      </c>
      <c r="I406" s="214">
        <v>1.6954201637136E-3</v>
      </c>
      <c r="J406" s="214">
        <v>1.6954201637136E-3</v>
      </c>
      <c r="K406" s="214">
        <v>1.6954201637136E-3</v>
      </c>
      <c r="L406" s="214">
        <v>1.6954201637136E-3</v>
      </c>
      <c r="M406" s="214">
        <v>1.6954201637136E-3</v>
      </c>
      <c r="N406" s="233">
        <v>1.6954201637136E-3</v>
      </c>
      <c r="O406" s="177"/>
      <c r="P406" s="177"/>
    </row>
    <row r="407" spans="2:16" hidden="1">
      <c r="B407" s="46"/>
      <c r="C407" s="217"/>
      <c r="D407" s="217" t="s">
        <v>123</v>
      </c>
      <c r="E407" s="218">
        <v>0</v>
      </c>
      <c r="F407" s="219">
        <v>3.5634375E-4</v>
      </c>
      <c r="G407" s="218">
        <v>3.5634375E-4</v>
      </c>
      <c r="H407" s="218">
        <v>3.5634375E-4</v>
      </c>
      <c r="I407" s="218">
        <v>3.5634375E-4</v>
      </c>
      <c r="J407" s="218">
        <v>3.5634375E-4</v>
      </c>
      <c r="K407" s="218">
        <v>3.5634375E-4</v>
      </c>
      <c r="L407" s="218">
        <v>3.5634375E-4</v>
      </c>
      <c r="M407" s="218">
        <v>3.5634375E-4</v>
      </c>
      <c r="N407" s="220">
        <v>3.5634375E-4</v>
      </c>
      <c r="O407" s="177"/>
      <c r="P407" s="177"/>
    </row>
    <row r="408" spans="2:16" hidden="1">
      <c r="B408" s="46"/>
      <c r="C408" s="217"/>
      <c r="D408" s="217" t="s">
        <v>124</v>
      </c>
      <c r="E408" s="218">
        <v>0</v>
      </c>
      <c r="F408" s="219">
        <v>6.4760128484094901E-5</v>
      </c>
      <c r="G408" s="218">
        <v>6.4760128484094901E-5</v>
      </c>
      <c r="H408" s="218">
        <v>6.4760128484094901E-5</v>
      </c>
      <c r="I408" s="218">
        <v>6.4760128484094901E-5</v>
      </c>
      <c r="J408" s="218">
        <v>6.4760128484094901E-5</v>
      </c>
      <c r="K408" s="218">
        <v>6.4760128484094901E-5</v>
      </c>
      <c r="L408" s="218">
        <v>6.4760128484094901E-5</v>
      </c>
      <c r="M408" s="218">
        <v>6.4760128484094901E-5</v>
      </c>
      <c r="N408" s="220">
        <v>6.4760128484094901E-5</v>
      </c>
      <c r="O408" s="177"/>
      <c r="P408" s="177"/>
    </row>
    <row r="409" spans="2:16" hidden="1">
      <c r="B409" s="46"/>
      <c r="C409" s="217"/>
      <c r="D409" s="217" t="s">
        <v>125</v>
      </c>
      <c r="E409" s="218">
        <v>0</v>
      </c>
      <c r="F409" s="219">
        <v>0</v>
      </c>
      <c r="G409" s="218">
        <v>0</v>
      </c>
      <c r="H409" s="218">
        <v>0</v>
      </c>
      <c r="I409" s="218">
        <v>0</v>
      </c>
      <c r="J409" s="218">
        <v>0</v>
      </c>
      <c r="K409" s="218">
        <v>0</v>
      </c>
      <c r="L409" s="218">
        <v>0</v>
      </c>
      <c r="M409" s="218">
        <v>0</v>
      </c>
      <c r="N409" s="220">
        <v>0</v>
      </c>
      <c r="O409" s="177"/>
      <c r="P409" s="177"/>
    </row>
    <row r="410" spans="2:16" hidden="1">
      <c r="B410" s="46"/>
      <c r="C410" s="217"/>
      <c r="D410" s="217" t="s">
        <v>126</v>
      </c>
      <c r="E410" s="218">
        <v>0</v>
      </c>
      <c r="F410" s="219">
        <v>2.1111801885814944E-4</v>
      </c>
      <c r="G410" s="218">
        <v>1.2799999999999999E-4</v>
      </c>
      <c r="H410" s="218">
        <v>1.2799999999999999E-4</v>
      </c>
      <c r="I410" s="218">
        <v>1.2799999999999999E-4</v>
      </c>
      <c r="J410" s="218">
        <v>1.2799999999999999E-4</v>
      </c>
      <c r="K410" s="218">
        <v>1.2799999999999999E-4</v>
      </c>
      <c r="L410" s="218">
        <v>1.2799999999999999E-4</v>
      </c>
      <c r="M410" s="218">
        <v>1.2799999999999999E-4</v>
      </c>
      <c r="N410" s="220">
        <v>1.2799999999999999E-4</v>
      </c>
      <c r="O410" s="177"/>
      <c r="P410" s="177"/>
    </row>
    <row r="411" spans="2:16" hidden="1">
      <c r="B411" s="46"/>
      <c r="C411" s="221"/>
      <c r="D411" s="221" t="s">
        <v>127</v>
      </c>
      <c r="E411" s="222">
        <v>0</v>
      </c>
      <c r="F411" s="223">
        <v>3.9999999999999996E-5</v>
      </c>
      <c r="G411" s="222">
        <v>3.9999999999999996E-5</v>
      </c>
      <c r="H411" s="222">
        <v>3.9999999999999996E-5</v>
      </c>
      <c r="I411" s="222">
        <v>3.9999999999999996E-5</v>
      </c>
      <c r="J411" s="222">
        <v>3.9999999999999996E-5</v>
      </c>
      <c r="K411" s="222">
        <v>3.9999999999999996E-5</v>
      </c>
      <c r="L411" s="222">
        <v>3.9999999999999996E-5</v>
      </c>
      <c r="M411" s="222">
        <v>3.9999999999999996E-5</v>
      </c>
      <c r="N411" s="224">
        <v>3.9999999999999996E-5</v>
      </c>
      <c r="O411" s="177"/>
      <c r="P411" s="177"/>
    </row>
    <row r="412" spans="2:16" hidden="1">
      <c r="B412" s="46"/>
      <c r="C412" s="234"/>
      <c r="D412" s="234"/>
      <c r="E412" s="57"/>
      <c r="F412" s="235"/>
      <c r="G412" s="235"/>
      <c r="H412" s="236"/>
      <c r="I412" s="236"/>
      <c r="J412" s="46"/>
      <c r="K412" s="177"/>
      <c r="L412" s="177"/>
      <c r="M412" s="177"/>
      <c r="N412" s="177"/>
      <c r="O412" s="177"/>
      <c r="P412" s="177"/>
    </row>
    <row r="413" spans="2:16" hidden="1">
      <c r="B413" s="46"/>
      <c r="C413" s="49" t="s">
        <v>162</v>
      </c>
      <c r="D413" s="46"/>
      <c r="E413" s="46"/>
      <c r="F413" s="46"/>
      <c r="G413" s="104" t="s">
        <v>2831</v>
      </c>
      <c r="H413" s="46"/>
      <c r="I413" s="104" t="s">
        <v>2832</v>
      </c>
      <c r="J413" s="46"/>
      <c r="K413" s="177"/>
      <c r="L413" s="177"/>
      <c r="M413" s="177"/>
      <c r="N413" s="177"/>
      <c r="O413" s="177"/>
      <c r="P413" s="177"/>
    </row>
    <row r="414" spans="2:16" hidden="1">
      <c r="B414" s="46"/>
      <c r="C414" s="46"/>
      <c r="D414" s="46"/>
      <c r="E414" s="46"/>
      <c r="F414" s="46"/>
      <c r="G414" s="46"/>
      <c r="H414" s="46"/>
      <c r="I414" s="46"/>
      <c r="J414" s="46"/>
      <c r="K414" s="177"/>
      <c r="L414" s="177"/>
      <c r="M414" s="177"/>
      <c r="N414" s="177"/>
      <c r="O414" s="177"/>
      <c r="P414" s="177"/>
    </row>
    <row r="415" spans="2:16" hidden="1">
      <c r="B415" s="46"/>
      <c r="C415" s="116" t="s">
        <v>8</v>
      </c>
      <c r="D415" s="116"/>
      <c r="E415" s="116"/>
      <c r="F415" s="174" t="s">
        <v>22</v>
      </c>
      <c r="G415" s="117" t="s">
        <v>20</v>
      </c>
      <c r="H415" s="174" t="s">
        <v>22</v>
      </c>
      <c r="I415" s="53" t="s">
        <v>20</v>
      </c>
      <c r="J415" s="67" t="s">
        <v>163</v>
      </c>
      <c r="K415" s="47" t="s">
        <v>164</v>
      </c>
      <c r="L415" s="177"/>
      <c r="M415" s="47"/>
      <c r="N415" s="47"/>
      <c r="O415" s="177"/>
      <c r="P415" s="177"/>
    </row>
    <row r="416" spans="2:16" hidden="1">
      <c r="B416" s="46"/>
      <c r="C416" s="237">
        <v>1</v>
      </c>
      <c r="D416" s="118" t="s">
        <v>165</v>
      </c>
      <c r="E416" s="118"/>
      <c r="F416" s="238">
        <v>0</v>
      </c>
      <c r="G416" s="239">
        <v>0</v>
      </c>
      <c r="H416" s="240">
        <v>0</v>
      </c>
      <c r="I416" s="241">
        <v>0</v>
      </c>
      <c r="J416" s="242">
        <v>0</v>
      </c>
      <c r="K416" s="177"/>
      <c r="L416" s="177"/>
      <c r="M416" s="177"/>
      <c r="N416" s="177"/>
      <c r="O416" s="177"/>
      <c r="P416" s="177"/>
    </row>
    <row r="417" spans="2:16" hidden="1">
      <c r="B417" s="46"/>
      <c r="C417" s="178">
        <v>2</v>
      </c>
      <c r="D417" s="178" t="s">
        <v>166</v>
      </c>
      <c r="E417" s="57"/>
      <c r="F417" s="243">
        <v>6.9999999999999993E-2</v>
      </c>
      <c r="G417" s="235">
        <v>4.8000000000000001E-2</v>
      </c>
      <c r="H417" s="235">
        <v>70000</v>
      </c>
      <c r="I417" s="235">
        <v>48000</v>
      </c>
      <c r="J417" s="242">
        <v>55700</v>
      </c>
      <c r="K417" s="177"/>
      <c r="L417" s="177"/>
      <c r="M417" s="177"/>
      <c r="N417" s="177"/>
      <c r="O417" s="177"/>
      <c r="P417" s="177"/>
    </row>
    <row r="418" spans="2:16" hidden="1">
      <c r="B418" s="46"/>
      <c r="C418" s="178">
        <v>3</v>
      </c>
      <c r="D418" s="178" t="s">
        <v>166</v>
      </c>
      <c r="E418" s="57"/>
      <c r="F418" s="243">
        <v>6.9999999999999993E-2</v>
      </c>
      <c r="G418" s="235">
        <v>4.8000000000000001E-2</v>
      </c>
      <c r="H418" s="235">
        <v>70000</v>
      </c>
      <c r="I418" s="235">
        <v>48000</v>
      </c>
      <c r="J418" s="242">
        <v>55700</v>
      </c>
      <c r="K418" s="177"/>
      <c r="L418" s="177"/>
      <c r="M418" s="177"/>
      <c r="N418" s="177"/>
      <c r="O418" s="177"/>
      <c r="P418" s="177"/>
    </row>
    <row r="419" spans="2:16" hidden="1">
      <c r="B419" s="46"/>
      <c r="C419" s="182">
        <v>4</v>
      </c>
      <c r="D419" s="182" t="s">
        <v>167</v>
      </c>
      <c r="E419" s="125"/>
      <c r="F419" s="244">
        <v>7.6762999999999998E-2</v>
      </c>
      <c r="G419" s="245">
        <v>5.2600000000000001E-2</v>
      </c>
      <c r="H419" s="246">
        <v>76763</v>
      </c>
      <c r="I419" s="247">
        <v>52600</v>
      </c>
      <c r="J419" s="242">
        <v>61057.05</v>
      </c>
      <c r="K419" s="177"/>
      <c r="L419" s="177"/>
      <c r="M419" s="177"/>
      <c r="N419" s="177"/>
      <c r="O419" s="177"/>
      <c r="P419" s="177"/>
    </row>
    <row r="420" spans="2:16" hidden="1">
      <c r="B420" s="46"/>
      <c r="C420" s="234"/>
      <c r="D420" s="234"/>
      <c r="E420" s="57"/>
      <c r="F420" s="235"/>
      <c r="G420" s="235"/>
      <c r="H420" s="236"/>
      <c r="I420" s="236"/>
      <c r="J420" s="46"/>
      <c r="K420" s="177"/>
      <c r="L420" s="177"/>
      <c r="M420" s="177"/>
      <c r="N420" s="177"/>
      <c r="O420" s="177"/>
      <c r="P420" s="177"/>
    </row>
    <row r="421" spans="2:16" hidden="1">
      <c r="B421" s="46"/>
      <c r="C421" s="177"/>
      <c r="D421" s="177"/>
      <c r="E421" s="177"/>
      <c r="F421" s="177"/>
      <c r="G421" s="177"/>
      <c r="H421" s="177"/>
      <c r="I421" s="177"/>
      <c r="J421" s="177"/>
      <c r="K421" s="177"/>
      <c r="L421" s="177"/>
      <c r="M421" s="177"/>
      <c r="N421" s="177"/>
      <c r="O421" s="177"/>
      <c r="P421" s="177"/>
    </row>
    <row r="422" spans="2:16" ht="18.75" hidden="1">
      <c r="B422" s="46"/>
      <c r="C422" s="248" t="s">
        <v>168</v>
      </c>
      <c r="D422" s="177"/>
      <c r="E422" s="177"/>
      <c r="F422" s="177"/>
      <c r="G422" s="177"/>
      <c r="H422" s="177"/>
      <c r="I422" s="177"/>
      <c r="J422" s="177"/>
      <c r="K422" s="177"/>
      <c r="L422" s="177"/>
      <c r="M422" s="177"/>
      <c r="N422" s="177"/>
      <c r="O422" s="177"/>
      <c r="P422" s="177"/>
    </row>
    <row r="423" spans="2:16" hidden="1">
      <c r="B423" s="46"/>
      <c r="C423" s="177"/>
      <c r="D423" s="177"/>
      <c r="E423" s="177"/>
      <c r="F423" s="177"/>
      <c r="G423" s="177"/>
      <c r="H423" s="177"/>
      <c r="I423" s="177"/>
      <c r="J423" s="177"/>
      <c r="K423" s="177"/>
      <c r="L423" s="177"/>
      <c r="M423" s="177"/>
      <c r="N423" s="177"/>
      <c r="O423" s="177"/>
      <c r="P423" s="177"/>
    </row>
    <row r="424" spans="2:16" hidden="1">
      <c r="B424" s="46"/>
      <c r="C424" s="249" t="s">
        <v>169</v>
      </c>
      <c r="D424" s="177"/>
      <c r="E424" s="177"/>
      <c r="F424" s="177"/>
      <c r="G424" s="177"/>
      <c r="H424" s="177"/>
      <c r="I424" s="177"/>
      <c r="J424" s="177"/>
      <c r="K424" s="177"/>
      <c r="L424" s="177"/>
      <c r="M424" s="177"/>
      <c r="N424" s="177"/>
      <c r="O424" s="177"/>
      <c r="P424" s="177"/>
    </row>
    <row r="425" spans="2:16" hidden="1">
      <c r="B425" s="46"/>
      <c r="C425" s="46"/>
      <c r="D425" s="177"/>
      <c r="E425" s="177"/>
      <c r="F425" s="177"/>
      <c r="G425" s="177"/>
      <c r="H425" s="177"/>
      <c r="I425" s="177"/>
      <c r="J425" s="177"/>
      <c r="K425" s="177"/>
      <c r="L425" s="177"/>
      <c r="M425" s="177"/>
      <c r="N425" s="177"/>
      <c r="O425" s="177"/>
      <c r="P425" s="177"/>
    </row>
    <row r="426" spans="2:16" hidden="1">
      <c r="B426" s="46"/>
      <c r="C426" s="46" t="s">
        <v>170</v>
      </c>
      <c r="D426" s="177"/>
      <c r="E426" s="177"/>
      <c r="F426" s="177"/>
      <c r="G426" s="177"/>
      <c r="H426" s="177"/>
      <c r="I426" s="177"/>
      <c r="J426" s="177"/>
      <c r="K426" s="177"/>
      <c r="L426" s="177"/>
      <c r="M426" s="177"/>
      <c r="N426" s="177"/>
      <c r="O426" s="177"/>
      <c r="P426" s="177"/>
    </row>
    <row r="427" spans="2:16" hidden="1">
      <c r="B427" s="46"/>
      <c r="C427" s="177"/>
      <c r="D427" s="177"/>
      <c r="E427" s="177"/>
      <c r="F427" s="177"/>
      <c r="G427" s="177"/>
      <c r="H427" s="177"/>
      <c r="I427" s="177"/>
      <c r="J427" s="177"/>
      <c r="K427" s="177"/>
      <c r="L427" s="177"/>
      <c r="M427" s="177"/>
      <c r="N427" s="46" t="s">
        <v>2831</v>
      </c>
      <c r="O427" s="177"/>
      <c r="P427" s="177"/>
    </row>
    <row r="428" spans="2:16" hidden="1">
      <c r="B428" s="46"/>
      <c r="C428" s="250"/>
      <c r="D428" s="250"/>
      <c r="E428" s="251" t="s">
        <v>160</v>
      </c>
      <c r="F428" s="252">
        <v>2013</v>
      </c>
      <c r="G428" s="253">
        <v>2015</v>
      </c>
      <c r="H428" s="253">
        <v>2020</v>
      </c>
      <c r="I428" s="253">
        <v>2025</v>
      </c>
      <c r="J428" s="253">
        <v>2030</v>
      </c>
      <c r="K428" s="253">
        <v>2035</v>
      </c>
      <c r="L428" s="253">
        <v>2040</v>
      </c>
      <c r="M428" s="253">
        <v>2045</v>
      </c>
      <c r="N428" s="253">
        <v>2050</v>
      </c>
      <c r="O428" s="177"/>
      <c r="P428" s="177"/>
    </row>
    <row r="429" spans="2:16" hidden="1">
      <c r="B429" s="46"/>
      <c r="C429" s="56">
        <v>1</v>
      </c>
      <c r="D429" s="254" t="s">
        <v>46</v>
      </c>
      <c r="E429" s="255">
        <v>0</v>
      </c>
      <c r="F429" s="242">
        <v>3.0874679675198398E-3</v>
      </c>
      <c r="G429" s="256">
        <v>3.0874679675198398E-3</v>
      </c>
      <c r="H429" s="256">
        <v>3.0874679675198398E-3</v>
      </c>
      <c r="I429" s="256">
        <v>3.0874679675198398E-3</v>
      </c>
      <c r="J429" s="256">
        <v>3.0874679675198398E-3</v>
      </c>
      <c r="K429" s="256">
        <v>3.0874679675198398E-3</v>
      </c>
      <c r="L429" s="256">
        <v>3.0874679675198398E-3</v>
      </c>
      <c r="M429" s="256">
        <v>3.0874679675198398E-3</v>
      </c>
      <c r="N429" s="242">
        <v>3.0874679675198398E-3</v>
      </c>
      <c r="O429" s="177"/>
      <c r="P429" s="177"/>
    </row>
    <row r="430" spans="2:16" ht="15.75" hidden="1">
      <c r="B430" s="55"/>
      <c r="C430" s="56">
        <v>2</v>
      </c>
      <c r="D430" s="254" t="s">
        <v>47</v>
      </c>
      <c r="E430" s="255">
        <v>0</v>
      </c>
      <c r="F430" s="242">
        <v>3.0874679675198398E-3</v>
      </c>
      <c r="G430" s="256">
        <v>3.0874679675198398E-3</v>
      </c>
      <c r="H430" s="256">
        <v>3.0874679675198398E-3</v>
      </c>
      <c r="I430" s="256">
        <v>3.0874679675198398E-3</v>
      </c>
      <c r="J430" s="256">
        <v>3.0874679675198398E-3</v>
      </c>
      <c r="K430" s="256">
        <v>3.0874679675198398E-3</v>
      </c>
      <c r="L430" s="256">
        <v>3.0874679675198398E-3</v>
      </c>
      <c r="M430" s="256">
        <v>3.0874679675198398E-3</v>
      </c>
      <c r="N430" s="242">
        <v>3.0874679675198398E-3</v>
      </c>
      <c r="O430" s="177"/>
      <c r="P430" s="177"/>
    </row>
    <row r="431" spans="2:16" ht="15.75" hidden="1">
      <c r="B431" s="55"/>
      <c r="C431" s="56">
        <v>3</v>
      </c>
      <c r="D431" s="254" t="s">
        <v>48</v>
      </c>
      <c r="E431" s="255">
        <v>0</v>
      </c>
      <c r="F431" s="242">
        <v>4.1999999999999997E-3</v>
      </c>
      <c r="G431" s="256">
        <v>4.1999999999999997E-3</v>
      </c>
      <c r="H431" s="256">
        <v>4.1999999999999997E-3</v>
      </c>
      <c r="I431" s="256">
        <v>4.1999999999999997E-3</v>
      </c>
      <c r="J431" s="256">
        <v>4.1999999999999997E-3</v>
      </c>
      <c r="K431" s="256">
        <v>4.1999999999999997E-3</v>
      </c>
      <c r="L431" s="256">
        <v>4.1999999999999997E-3</v>
      </c>
      <c r="M431" s="256">
        <v>4.1999999999999997E-3</v>
      </c>
      <c r="N431" s="242">
        <v>4.1999999999999997E-3</v>
      </c>
      <c r="O431" s="177"/>
      <c r="P431" s="177"/>
    </row>
    <row r="432" spans="2:16" ht="15.75" hidden="1">
      <c r="B432" s="55"/>
      <c r="C432" s="56">
        <v>4</v>
      </c>
      <c r="D432" s="254" t="s">
        <v>49</v>
      </c>
      <c r="E432" s="255">
        <v>0</v>
      </c>
      <c r="F432" s="242">
        <v>6.4799999999999996E-3</v>
      </c>
      <c r="G432" s="256">
        <v>6.4799999999999996E-3</v>
      </c>
      <c r="H432" s="256">
        <v>6.4799999999999996E-3</v>
      </c>
      <c r="I432" s="256">
        <v>6.4799999999999996E-3</v>
      </c>
      <c r="J432" s="256">
        <v>6.4799999999999996E-3</v>
      </c>
      <c r="K432" s="256">
        <v>6.4799999999999996E-3</v>
      </c>
      <c r="L432" s="256">
        <v>6.4799999999999996E-3</v>
      </c>
      <c r="M432" s="256">
        <v>6.4799999999999996E-3</v>
      </c>
      <c r="N432" s="242">
        <v>6.4799999999999996E-3</v>
      </c>
      <c r="O432" s="177"/>
      <c r="P432" s="177"/>
    </row>
    <row r="433" spans="2:16" ht="15.75" hidden="1">
      <c r="B433" s="55"/>
      <c r="C433" s="56">
        <v>5</v>
      </c>
      <c r="D433" s="254" t="s">
        <v>50</v>
      </c>
      <c r="E433" s="255">
        <v>0</v>
      </c>
      <c r="F433" s="242">
        <v>1.132E-2</v>
      </c>
      <c r="G433" s="256">
        <v>1.132E-2</v>
      </c>
      <c r="H433" s="256">
        <v>1.132E-2</v>
      </c>
      <c r="I433" s="256">
        <v>1.132E-2</v>
      </c>
      <c r="J433" s="256">
        <v>1.132E-2</v>
      </c>
      <c r="K433" s="256">
        <v>1.132E-2</v>
      </c>
      <c r="L433" s="256">
        <v>1.132E-2</v>
      </c>
      <c r="M433" s="256">
        <v>1.132E-2</v>
      </c>
      <c r="N433" s="242">
        <v>1.132E-2</v>
      </c>
      <c r="O433" s="177"/>
      <c r="P433" s="177"/>
    </row>
    <row r="434" spans="2:16" ht="15.75" hidden="1">
      <c r="B434" s="55"/>
      <c r="C434" s="56">
        <v>6</v>
      </c>
      <c r="D434" s="254" t="s">
        <v>51</v>
      </c>
      <c r="E434" s="255">
        <v>0</v>
      </c>
      <c r="F434" s="242">
        <v>1.166E-2</v>
      </c>
      <c r="G434" s="256">
        <v>1.166E-2</v>
      </c>
      <c r="H434" s="256">
        <v>1.166E-2</v>
      </c>
      <c r="I434" s="256">
        <v>1.166E-2</v>
      </c>
      <c r="J434" s="256">
        <v>1.166E-2</v>
      </c>
      <c r="K434" s="256">
        <v>1.166E-2</v>
      </c>
      <c r="L434" s="256">
        <v>1.166E-2</v>
      </c>
      <c r="M434" s="256">
        <v>1.166E-2</v>
      </c>
      <c r="N434" s="242">
        <v>1.166E-2</v>
      </c>
      <c r="O434" s="177"/>
      <c r="P434" s="177"/>
    </row>
    <row r="435" spans="2:16" ht="15.75" hidden="1">
      <c r="B435" s="55"/>
      <c r="C435" s="56">
        <v>7</v>
      </c>
      <c r="D435" s="254" t="s">
        <v>52</v>
      </c>
      <c r="E435" s="255">
        <v>0</v>
      </c>
      <c r="F435" s="242">
        <v>1.2719999999999999E-2</v>
      </c>
      <c r="G435" s="256">
        <v>1.2719999999999999E-2</v>
      </c>
      <c r="H435" s="256">
        <v>1.2719999999999999E-2</v>
      </c>
      <c r="I435" s="256">
        <v>1.2719999999999999E-2</v>
      </c>
      <c r="J435" s="256">
        <v>1.2719999999999999E-2</v>
      </c>
      <c r="K435" s="256">
        <v>1.2719999999999999E-2</v>
      </c>
      <c r="L435" s="256">
        <v>1.2719999999999999E-2</v>
      </c>
      <c r="M435" s="256">
        <v>1.2719999999999999E-2</v>
      </c>
      <c r="N435" s="242">
        <v>1.2719999999999999E-2</v>
      </c>
      <c r="O435" s="177"/>
      <c r="P435" s="177"/>
    </row>
    <row r="436" spans="2:16" ht="15.75" hidden="1">
      <c r="B436" s="55"/>
      <c r="C436" s="56">
        <v>8</v>
      </c>
      <c r="D436" s="254" t="s">
        <v>53</v>
      </c>
      <c r="E436" s="255">
        <v>0</v>
      </c>
      <c r="F436" s="242">
        <v>1.0808E-2</v>
      </c>
      <c r="G436" s="256">
        <v>1.0808E-2</v>
      </c>
      <c r="H436" s="256">
        <v>1.0808E-2</v>
      </c>
      <c r="I436" s="256">
        <v>1.0808E-2</v>
      </c>
      <c r="J436" s="256">
        <v>1.0808E-2</v>
      </c>
      <c r="K436" s="256">
        <v>1.0808E-2</v>
      </c>
      <c r="L436" s="256">
        <v>1.0808E-2</v>
      </c>
      <c r="M436" s="256">
        <v>1.0808E-2</v>
      </c>
      <c r="N436" s="242">
        <v>1.0808E-2</v>
      </c>
      <c r="O436" s="177"/>
      <c r="P436" s="177"/>
    </row>
    <row r="437" spans="2:16" ht="15.75" hidden="1">
      <c r="B437" s="55"/>
      <c r="C437" s="56">
        <v>9</v>
      </c>
      <c r="D437" s="254" t="s">
        <v>54</v>
      </c>
      <c r="E437" s="255">
        <v>0</v>
      </c>
      <c r="F437" s="242">
        <v>1.4574999999999999E-2</v>
      </c>
      <c r="G437" s="256">
        <v>1.4574999999999999E-2</v>
      </c>
      <c r="H437" s="256">
        <v>1.4574999999999999E-2</v>
      </c>
      <c r="I437" s="256">
        <v>1.4574999999999999E-2</v>
      </c>
      <c r="J437" s="256">
        <v>1.4574999999999999E-2</v>
      </c>
      <c r="K437" s="256">
        <v>1.4574999999999999E-2</v>
      </c>
      <c r="L437" s="256">
        <v>1.4574999999999999E-2</v>
      </c>
      <c r="M437" s="256">
        <v>1.4574999999999999E-2</v>
      </c>
      <c r="N437" s="242">
        <v>1.4574999999999999E-2</v>
      </c>
      <c r="O437" s="177"/>
      <c r="P437" s="177"/>
    </row>
    <row r="438" spans="2:16" ht="15.75" hidden="1">
      <c r="B438" s="55"/>
      <c r="C438" s="56">
        <v>10</v>
      </c>
      <c r="D438" s="254" t="s">
        <v>55</v>
      </c>
      <c r="E438" s="255">
        <v>0</v>
      </c>
      <c r="F438" s="242">
        <v>9.3019459123406992E-2</v>
      </c>
      <c r="G438" s="256">
        <v>9.3019459123406992E-2</v>
      </c>
      <c r="H438" s="256">
        <v>9.3019459123406992E-2</v>
      </c>
      <c r="I438" s="256">
        <v>9.3019459123406992E-2</v>
      </c>
      <c r="J438" s="256">
        <v>9.3019459123406992E-2</v>
      </c>
      <c r="K438" s="256">
        <v>9.3019459123406992E-2</v>
      </c>
      <c r="L438" s="256">
        <v>9.3019459123406992E-2</v>
      </c>
      <c r="M438" s="256">
        <v>9.3019459123406992E-2</v>
      </c>
      <c r="N438" s="242">
        <v>9.3019459123406992E-2</v>
      </c>
      <c r="O438" s="177"/>
      <c r="P438" s="177"/>
    </row>
    <row r="439" spans="2:16" ht="15.75" hidden="1">
      <c r="B439" s="55"/>
      <c r="C439" s="56">
        <v>11</v>
      </c>
      <c r="D439" s="254" t="s">
        <v>56</v>
      </c>
      <c r="E439" s="255">
        <v>0</v>
      </c>
      <c r="F439" s="242">
        <v>2.35E-2</v>
      </c>
      <c r="G439" s="256">
        <v>2.35E-2</v>
      </c>
      <c r="H439" s="256">
        <v>2.35E-2</v>
      </c>
      <c r="I439" s="256">
        <v>2.35E-2</v>
      </c>
      <c r="J439" s="256">
        <v>2.35E-2</v>
      </c>
      <c r="K439" s="256">
        <v>2.35E-2</v>
      </c>
      <c r="L439" s="256">
        <v>2.35E-2</v>
      </c>
      <c r="M439" s="256">
        <v>2.35E-2</v>
      </c>
      <c r="N439" s="242">
        <v>2.35E-2</v>
      </c>
      <c r="O439" s="177"/>
      <c r="P439" s="177"/>
    </row>
    <row r="440" spans="2:16" ht="15.75" hidden="1">
      <c r="B440" s="257"/>
      <c r="C440" s="56">
        <v>12</v>
      </c>
      <c r="D440" s="254" t="s">
        <v>57</v>
      </c>
      <c r="E440" s="255">
        <v>0</v>
      </c>
      <c r="F440" s="242">
        <v>3.3999999999999996E-2</v>
      </c>
      <c r="G440" s="256">
        <v>3.3999999999999996E-2</v>
      </c>
      <c r="H440" s="256">
        <v>3.3999999999999996E-2</v>
      </c>
      <c r="I440" s="256">
        <v>3.3999999999999996E-2</v>
      </c>
      <c r="J440" s="256">
        <v>3.3999999999999996E-2</v>
      </c>
      <c r="K440" s="256">
        <v>3.3999999999999996E-2</v>
      </c>
      <c r="L440" s="256">
        <v>3.3999999999999996E-2</v>
      </c>
      <c r="M440" s="256">
        <v>3.3999999999999996E-2</v>
      </c>
      <c r="N440" s="242">
        <v>3.3999999999999996E-2</v>
      </c>
      <c r="O440" s="177"/>
      <c r="P440" s="46"/>
    </row>
    <row r="441" spans="2:16" ht="15.75" hidden="1">
      <c r="B441" s="257"/>
      <c r="C441" s="146">
        <v>13</v>
      </c>
      <c r="D441" s="258" t="s">
        <v>58</v>
      </c>
      <c r="E441" s="259">
        <v>0</v>
      </c>
      <c r="F441" s="260">
        <v>1.4999999999999999E-4</v>
      </c>
      <c r="G441" s="261">
        <v>1.4999999999999999E-4</v>
      </c>
      <c r="H441" s="261">
        <v>1.4999999999999999E-4</v>
      </c>
      <c r="I441" s="261">
        <v>1.4999999999999999E-4</v>
      </c>
      <c r="J441" s="261">
        <v>1.4999999999999999E-4</v>
      </c>
      <c r="K441" s="261">
        <v>1.4999999999999999E-4</v>
      </c>
      <c r="L441" s="261">
        <v>1.4999999999999999E-4</v>
      </c>
      <c r="M441" s="261">
        <v>1.4999999999999999E-4</v>
      </c>
      <c r="N441" s="260">
        <v>1.4999999999999999E-4</v>
      </c>
      <c r="O441" s="177"/>
      <c r="P441" s="46"/>
    </row>
    <row r="442" spans="2:16" ht="15.75" hidden="1">
      <c r="B442" s="257"/>
      <c r="C442" s="46"/>
      <c r="D442" s="46"/>
      <c r="E442" s="262"/>
      <c r="F442" s="263"/>
      <c r="G442" s="264"/>
      <c r="H442" s="264"/>
      <c r="I442" s="264"/>
      <c r="J442" s="264"/>
      <c r="K442" s="264"/>
      <c r="L442" s="264"/>
      <c r="M442" s="264"/>
      <c r="N442" s="264"/>
      <c r="O442" s="177"/>
      <c r="P442" s="46"/>
    </row>
    <row r="443" spans="2:16" hidden="1">
      <c r="B443" s="46"/>
      <c r="C443" s="177"/>
      <c r="D443" s="177"/>
      <c r="E443" s="177"/>
      <c r="F443" s="177"/>
      <c r="G443" s="177"/>
      <c r="H443" s="177"/>
      <c r="I443" s="177"/>
      <c r="J443" s="177"/>
      <c r="K443" s="177"/>
      <c r="L443" s="177"/>
      <c r="M443" s="177"/>
      <c r="N443" s="177"/>
      <c r="O443" s="177"/>
      <c r="P443" s="46"/>
    </row>
    <row r="444" spans="2:16" hidden="1">
      <c r="B444" s="46"/>
      <c r="C444" s="265">
        <v>1</v>
      </c>
      <c r="D444" s="265" t="s">
        <v>61</v>
      </c>
      <c r="E444" s="266">
        <v>0</v>
      </c>
      <c r="F444" s="267">
        <v>2.9637259624667399E-3</v>
      </c>
      <c r="G444" s="268">
        <v>2.9637259624667399E-3</v>
      </c>
      <c r="H444" s="268">
        <v>2.9637259624667399E-3</v>
      </c>
      <c r="I444" s="268">
        <v>2.9637259624667399E-3</v>
      </c>
      <c r="J444" s="268">
        <v>2.9637259624667399E-3</v>
      </c>
      <c r="K444" s="268">
        <v>2.9637259624667399E-3</v>
      </c>
      <c r="L444" s="268">
        <v>2.9637259624667399E-3</v>
      </c>
      <c r="M444" s="268">
        <v>2.9637259624667399E-3</v>
      </c>
      <c r="N444" s="267">
        <v>2.9637259624667399E-3</v>
      </c>
      <c r="O444" s="177"/>
      <c r="P444" s="46"/>
    </row>
    <row r="445" spans="2:16" hidden="1">
      <c r="B445" s="46"/>
      <c r="C445" s="46">
        <v>2</v>
      </c>
      <c r="D445" s="46" t="s">
        <v>62</v>
      </c>
      <c r="E445" s="269">
        <v>0</v>
      </c>
      <c r="F445" s="270">
        <v>2.9637259624667399E-3</v>
      </c>
      <c r="G445" s="256">
        <v>2.9637259624667399E-3</v>
      </c>
      <c r="H445" s="256">
        <v>2.9637259624667399E-3</v>
      </c>
      <c r="I445" s="256">
        <v>2.9637259624667399E-3</v>
      </c>
      <c r="J445" s="256">
        <v>2.9637259624667399E-3</v>
      </c>
      <c r="K445" s="256">
        <v>2.9637259624667399E-3</v>
      </c>
      <c r="L445" s="256">
        <v>2.9637259624667399E-3</v>
      </c>
      <c r="M445" s="256">
        <v>2.9637259624667399E-3</v>
      </c>
      <c r="N445" s="270">
        <v>2.9637259624667399E-3</v>
      </c>
      <c r="O445" s="177"/>
      <c r="P445" s="46"/>
    </row>
    <row r="446" spans="2:16" hidden="1">
      <c r="B446" s="46"/>
      <c r="C446" s="181">
        <v>3</v>
      </c>
      <c r="D446" s="181" t="s">
        <v>63</v>
      </c>
      <c r="E446" s="271">
        <v>0</v>
      </c>
      <c r="F446" s="272">
        <v>2.9637259624667399E-3</v>
      </c>
      <c r="G446" s="261">
        <v>2.9637259624667399E-3</v>
      </c>
      <c r="H446" s="261">
        <v>2.9637259624667399E-3</v>
      </c>
      <c r="I446" s="261">
        <v>2.9637259624667399E-3</v>
      </c>
      <c r="J446" s="261">
        <v>2.9637259624667399E-3</v>
      </c>
      <c r="K446" s="261">
        <v>2.9637259624667399E-3</v>
      </c>
      <c r="L446" s="261">
        <v>2.9637259624667399E-3</v>
      </c>
      <c r="M446" s="261">
        <v>2.9637259624667399E-3</v>
      </c>
      <c r="N446" s="272">
        <v>2.9637259624667399E-3</v>
      </c>
      <c r="O446" s="177"/>
      <c r="P446" s="46"/>
    </row>
    <row r="447" spans="2:16" hidden="1">
      <c r="B447" s="46"/>
      <c r="C447" s="177"/>
      <c r="D447" s="177"/>
      <c r="E447" s="177"/>
      <c r="F447" s="177"/>
      <c r="G447" s="177"/>
      <c r="H447" s="177"/>
      <c r="I447" s="177"/>
      <c r="J447" s="177"/>
      <c r="K447" s="177"/>
      <c r="L447" s="177"/>
      <c r="M447" s="177"/>
      <c r="N447" s="177"/>
      <c r="O447" s="177"/>
      <c r="P447" s="46"/>
    </row>
    <row r="448" spans="2:16" hidden="1">
      <c r="B448" s="46"/>
      <c r="C448" s="46"/>
      <c r="D448" s="46"/>
      <c r="E448" s="262"/>
      <c r="F448" s="263"/>
      <c r="G448" s="273"/>
      <c r="H448" s="273"/>
      <c r="I448" s="273"/>
      <c r="J448" s="273"/>
      <c r="K448" s="273"/>
      <c r="L448" s="273"/>
      <c r="M448" s="273"/>
      <c r="N448" s="274"/>
      <c r="O448" s="177"/>
      <c r="P448" s="177"/>
    </row>
    <row r="449" spans="2:16" hidden="1">
      <c r="B449" s="46"/>
      <c r="C449" s="46" t="s">
        <v>171</v>
      </c>
      <c r="D449" s="177"/>
      <c r="E449" s="177"/>
      <c r="F449" s="177"/>
      <c r="G449" s="177"/>
      <c r="H449" s="177"/>
      <c r="I449" s="177"/>
      <c r="J449" s="177"/>
      <c r="K449" s="177"/>
      <c r="L449" s="177"/>
      <c r="M449" s="177"/>
      <c r="N449" s="177"/>
      <c r="O449" s="177"/>
      <c r="P449" s="177"/>
    </row>
    <row r="450" spans="2:16" hidden="1">
      <c r="B450" s="46"/>
      <c r="C450" s="177"/>
      <c r="D450" s="177"/>
      <c r="E450" s="177"/>
      <c r="F450" s="177"/>
      <c r="G450" s="177"/>
      <c r="H450" s="177"/>
      <c r="I450" s="177"/>
      <c r="J450" s="177"/>
      <c r="K450" s="177"/>
      <c r="L450" s="177"/>
      <c r="M450" s="177"/>
      <c r="N450" s="46" t="s">
        <v>2831</v>
      </c>
      <c r="O450" s="177"/>
      <c r="P450" s="177"/>
    </row>
    <row r="451" spans="2:16" hidden="1">
      <c r="B451" s="46"/>
      <c r="C451" s="250"/>
      <c r="D451" s="250"/>
      <c r="E451" s="275" t="s">
        <v>160</v>
      </c>
      <c r="F451" s="276">
        <v>2013</v>
      </c>
      <c r="G451" s="277">
        <v>2015</v>
      </c>
      <c r="H451" s="277">
        <v>2020</v>
      </c>
      <c r="I451" s="253">
        <v>2025</v>
      </c>
      <c r="J451" s="253">
        <v>2030</v>
      </c>
      <c r="K451" s="253">
        <v>2035</v>
      </c>
      <c r="L451" s="253">
        <v>2040</v>
      </c>
      <c r="M451" s="277">
        <v>2045</v>
      </c>
      <c r="N451" s="277">
        <v>2050</v>
      </c>
      <c r="O451" s="177"/>
      <c r="P451" s="177"/>
    </row>
    <row r="452" spans="2:16" hidden="1">
      <c r="B452" s="46"/>
      <c r="C452" s="278">
        <v>1</v>
      </c>
      <c r="D452" s="279" t="s">
        <v>46</v>
      </c>
      <c r="E452" s="280">
        <v>0</v>
      </c>
      <c r="F452" s="281">
        <v>2.7529922710385242E-3</v>
      </c>
      <c r="G452" s="268">
        <v>2.7529922710385242E-3</v>
      </c>
      <c r="H452" s="268">
        <v>2.7529922710385242E-3</v>
      </c>
      <c r="I452" s="268">
        <v>2.7529922710385242E-3</v>
      </c>
      <c r="J452" s="268">
        <v>2.7529922710385242E-3</v>
      </c>
      <c r="K452" s="268">
        <v>2.7529922710385242E-3</v>
      </c>
      <c r="L452" s="268">
        <v>2.7529922710385242E-3</v>
      </c>
      <c r="M452" s="268">
        <v>2.7529922710385242E-3</v>
      </c>
      <c r="N452" s="281">
        <v>2.7529922710385242E-3</v>
      </c>
      <c r="O452" s="177"/>
      <c r="P452" s="177"/>
    </row>
    <row r="453" spans="2:16" hidden="1">
      <c r="B453" s="177"/>
      <c r="C453" s="56">
        <v>2</v>
      </c>
      <c r="D453" s="282" t="s">
        <v>47</v>
      </c>
      <c r="E453" s="255">
        <v>0</v>
      </c>
      <c r="F453" s="242">
        <v>2.7529922710385242E-3</v>
      </c>
      <c r="G453" s="256">
        <v>2.7529922710385242E-3</v>
      </c>
      <c r="H453" s="256">
        <v>2.7529922710385242E-3</v>
      </c>
      <c r="I453" s="256">
        <v>2.7529922710385242E-3</v>
      </c>
      <c r="J453" s="256">
        <v>2.7529922710385242E-3</v>
      </c>
      <c r="K453" s="256">
        <v>2.7529922710385242E-3</v>
      </c>
      <c r="L453" s="256">
        <v>2.7529922710385242E-3</v>
      </c>
      <c r="M453" s="256">
        <v>2.7529922710385242E-3</v>
      </c>
      <c r="N453" s="242">
        <v>2.7529922710385242E-3</v>
      </c>
      <c r="O453" s="177"/>
      <c r="P453" s="177"/>
    </row>
    <row r="454" spans="2:16" hidden="1">
      <c r="B454" s="177"/>
      <c r="C454" s="56">
        <v>3</v>
      </c>
      <c r="D454" s="282" t="s">
        <v>48</v>
      </c>
      <c r="E454" s="255">
        <v>0</v>
      </c>
      <c r="F454" s="242">
        <v>3.29E-3</v>
      </c>
      <c r="G454" s="256">
        <v>3.29E-3</v>
      </c>
      <c r="H454" s="256">
        <v>3.29E-3</v>
      </c>
      <c r="I454" s="256">
        <v>3.29E-3</v>
      </c>
      <c r="J454" s="256">
        <v>3.29E-3</v>
      </c>
      <c r="K454" s="256">
        <v>3.29E-3</v>
      </c>
      <c r="L454" s="256">
        <v>3.29E-3</v>
      </c>
      <c r="M454" s="256">
        <v>3.29E-3</v>
      </c>
      <c r="N454" s="242">
        <v>3.29E-3</v>
      </c>
      <c r="O454" s="177"/>
      <c r="P454" s="177"/>
    </row>
    <row r="455" spans="2:16" hidden="1">
      <c r="B455" s="177"/>
      <c r="C455" s="56">
        <v>4</v>
      </c>
      <c r="D455" s="282" t="s">
        <v>49</v>
      </c>
      <c r="E455" s="255">
        <v>0</v>
      </c>
      <c r="F455" s="242">
        <v>4.6990000000000001E-3</v>
      </c>
      <c r="G455" s="256">
        <v>4.6990000000000001E-3</v>
      </c>
      <c r="H455" s="256">
        <v>4.6990000000000001E-3</v>
      </c>
      <c r="I455" s="256">
        <v>4.6990000000000001E-3</v>
      </c>
      <c r="J455" s="256">
        <v>4.6990000000000001E-3</v>
      </c>
      <c r="K455" s="256">
        <v>4.6990000000000001E-3</v>
      </c>
      <c r="L455" s="256">
        <v>4.6990000000000001E-3</v>
      </c>
      <c r="M455" s="256">
        <v>4.6990000000000001E-3</v>
      </c>
      <c r="N455" s="242">
        <v>4.6990000000000001E-3</v>
      </c>
      <c r="O455" s="177"/>
      <c r="P455" s="177"/>
    </row>
    <row r="456" spans="2:16" hidden="1">
      <c r="B456" s="177"/>
      <c r="C456" s="56">
        <v>5</v>
      </c>
      <c r="D456" s="282" t="s">
        <v>50</v>
      </c>
      <c r="E456" s="255">
        <v>0</v>
      </c>
      <c r="F456" s="242">
        <v>7.3289999999999996E-3</v>
      </c>
      <c r="G456" s="256">
        <v>7.3289999999999996E-3</v>
      </c>
      <c r="H456" s="256">
        <v>7.3289999999999996E-3</v>
      </c>
      <c r="I456" s="256">
        <v>7.3289999999999996E-3</v>
      </c>
      <c r="J456" s="256">
        <v>7.3289999999999996E-3</v>
      </c>
      <c r="K456" s="256">
        <v>7.3289999999999996E-3</v>
      </c>
      <c r="L456" s="256">
        <v>7.3289999999999996E-3</v>
      </c>
      <c r="M456" s="256">
        <v>7.3289999999999996E-3</v>
      </c>
      <c r="N456" s="242">
        <v>7.3289999999999996E-3</v>
      </c>
      <c r="O456" s="177"/>
      <c r="P456" s="177"/>
    </row>
    <row r="457" spans="2:16" hidden="1">
      <c r="B457" s="177"/>
      <c r="C457" s="56">
        <v>6</v>
      </c>
      <c r="D457" s="282" t="s">
        <v>51</v>
      </c>
      <c r="E457" s="255">
        <v>0</v>
      </c>
      <c r="F457" s="242">
        <v>1.0905999999999999E-2</v>
      </c>
      <c r="G457" s="256">
        <v>1.0905999999999999E-2</v>
      </c>
      <c r="H457" s="256">
        <v>1.0905999999999999E-2</v>
      </c>
      <c r="I457" s="256">
        <v>1.0905999999999999E-2</v>
      </c>
      <c r="J457" s="256">
        <v>1.0905999999999999E-2</v>
      </c>
      <c r="K457" s="256">
        <v>1.0905999999999999E-2</v>
      </c>
      <c r="L457" s="256">
        <v>1.0905999999999999E-2</v>
      </c>
      <c r="M457" s="256">
        <v>1.0905999999999999E-2</v>
      </c>
      <c r="N457" s="242">
        <v>1.0905999999999999E-2</v>
      </c>
      <c r="O457" s="177"/>
      <c r="P457" s="177"/>
    </row>
    <row r="458" spans="2:16" hidden="1">
      <c r="B458" s="177"/>
      <c r="C458" s="56">
        <v>7</v>
      </c>
      <c r="D458" s="282" t="s">
        <v>52</v>
      </c>
      <c r="E458" s="255">
        <v>0</v>
      </c>
      <c r="F458" s="242">
        <v>1.0952E-2</v>
      </c>
      <c r="G458" s="256">
        <v>1.0952E-2</v>
      </c>
      <c r="H458" s="256">
        <v>1.0952E-2</v>
      </c>
      <c r="I458" s="256">
        <v>1.0952E-2</v>
      </c>
      <c r="J458" s="256">
        <v>1.0952E-2</v>
      </c>
      <c r="K458" s="256">
        <v>1.0952E-2</v>
      </c>
      <c r="L458" s="256">
        <v>1.0952E-2</v>
      </c>
      <c r="M458" s="256">
        <v>1.0952E-2</v>
      </c>
      <c r="N458" s="242">
        <v>1.0952E-2</v>
      </c>
      <c r="O458" s="177"/>
      <c r="P458" s="177"/>
    </row>
    <row r="459" spans="2:16" hidden="1">
      <c r="B459" s="177"/>
      <c r="C459" s="56">
        <v>8</v>
      </c>
      <c r="D459" s="282" t="s">
        <v>53</v>
      </c>
      <c r="E459" s="255">
        <v>-6.1879999999999984E-5</v>
      </c>
      <c r="F459" s="242">
        <v>9.2427999999999989E-3</v>
      </c>
      <c r="G459" s="256">
        <v>8.9333999999999993E-3</v>
      </c>
      <c r="H459" s="256">
        <v>8.6239999999999997E-3</v>
      </c>
      <c r="I459" s="256">
        <v>8.3146000000000001E-3</v>
      </c>
      <c r="J459" s="256">
        <v>8.0052000000000005E-3</v>
      </c>
      <c r="K459" s="256">
        <v>7.6958000000000009E-3</v>
      </c>
      <c r="L459" s="256">
        <v>7.3864000000000013E-3</v>
      </c>
      <c r="M459" s="256">
        <v>7.0770000000000017E-3</v>
      </c>
      <c r="N459" s="242">
        <v>6.7675999999999995E-3</v>
      </c>
      <c r="O459" s="177"/>
      <c r="P459" s="177"/>
    </row>
    <row r="460" spans="2:16" hidden="1">
      <c r="B460" s="177"/>
      <c r="C460" s="56">
        <v>9</v>
      </c>
      <c r="D460" s="282" t="s">
        <v>54</v>
      </c>
      <c r="E460" s="255">
        <v>-2.4131249999999977E-5</v>
      </c>
      <c r="F460" s="242">
        <v>1.0749749999999999E-2</v>
      </c>
      <c r="G460" s="256">
        <v>1.0629093749999999E-2</v>
      </c>
      <c r="H460" s="256">
        <v>1.0508437499999999E-2</v>
      </c>
      <c r="I460" s="256">
        <v>1.0387781249999999E-2</v>
      </c>
      <c r="J460" s="256">
        <v>1.0267124999999998E-2</v>
      </c>
      <c r="K460" s="256">
        <v>1.0146468749999998E-2</v>
      </c>
      <c r="L460" s="256">
        <v>1.0025812499999998E-2</v>
      </c>
      <c r="M460" s="256">
        <v>9.9051562499999982E-3</v>
      </c>
      <c r="N460" s="242">
        <v>9.7844999999999998E-3</v>
      </c>
      <c r="O460" s="177"/>
      <c r="P460" s="177"/>
    </row>
    <row r="461" spans="2:16" hidden="1">
      <c r="B461" s="177"/>
      <c r="C461" s="56">
        <v>10</v>
      </c>
      <c r="D461" s="282" t="s">
        <v>55</v>
      </c>
      <c r="E461" s="255">
        <v>0</v>
      </c>
      <c r="F461" s="242">
        <v>5.3231026836597292E-2</v>
      </c>
      <c r="G461" s="256">
        <v>5.3231026836597292E-2</v>
      </c>
      <c r="H461" s="256">
        <v>5.3231026836597292E-2</v>
      </c>
      <c r="I461" s="256">
        <v>5.3231026836597292E-2</v>
      </c>
      <c r="J461" s="256">
        <v>5.3231026836597292E-2</v>
      </c>
      <c r="K461" s="256">
        <v>5.3231026836597292E-2</v>
      </c>
      <c r="L461" s="256">
        <v>5.3231026836597292E-2</v>
      </c>
      <c r="M461" s="256">
        <v>5.3231026836597292E-2</v>
      </c>
      <c r="N461" s="242">
        <v>5.3231026836597292E-2</v>
      </c>
      <c r="O461" s="177"/>
      <c r="P461" s="177"/>
    </row>
    <row r="462" spans="2:16" hidden="1">
      <c r="B462" s="177"/>
      <c r="C462" s="56">
        <v>11</v>
      </c>
      <c r="D462" s="282" t="s">
        <v>56</v>
      </c>
      <c r="E462" s="255">
        <v>0</v>
      </c>
      <c r="F462" s="242">
        <v>1.9157999999999998E-2</v>
      </c>
      <c r="G462" s="256">
        <v>1.9157999999999998E-2</v>
      </c>
      <c r="H462" s="256">
        <v>1.9157999999999998E-2</v>
      </c>
      <c r="I462" s="256">
        <v>1.9157999999999998E-2</v>
      </c>
      <c r="J462" s="256">
        <v>1.9157999999999998E-2</v>
      </c>
      <c r="K462" s="256">
        <v>1.9157999999999998E-2</v>
      </c>
      <c r="L462" s="256">
        <v>1.9157999999999998E-2</v>
      </c>
      <c r="M462" s="256">
        <v>1.9157999999999998E-2</v>
      </c>
      <c r="N462" s="242">
        <v>1.9157999999999998E-2</v>
      </c>
      <c r="O462" s="177"/>
      <c r="P462" s="177"/>
    </row>
    <row r="463" spans="2:16" hidden="1">
      <c r="B463" s="177"/>
      <c r="C463" s="56">
        <v>12</v>
      </c>
      <c r="D463" s="282" t="s">
        <v>57</v>
      </c>
      <c r="E463" s="255">
        <v>0</v>
      </c>
      <c r="F463" s="242">
        <v>2.5952999999999997E-2</v>
      </c>
      <c r="G463" s="256">
        <v>2.5952999999999997E-2</v>
      </c>
      <c r="H463" s="256">
        <v>2.5952999999999997E-2</v>
      </c>
      <c r="I463" s="256">
        <v>2.5952999999999997E-2</v>
      </c>
      <c r="J463" s="256">
        <v>2.5952999999999997E-2</v>
      </c>
      <c r="K463" s="256">
        <v>2.5952999999999997E-2</v>
      </c>
      <c r="L463" s="256">
        <v>2.5952999999999997E-2</v>
      </c>
      <c r="M463" s="256">
        <v>2.5952999999999997E-2</v>
      </c>
      <c r="N463" s="242">
        <v>2.5952999999999997E-2</v>
      </c>
      <c r="O463" s="177"/>
      <c r="P463" s="177"/>
    </row>
    <row r="464" spans="2:16" hidden="1">
      <c r="B464" s="177"/>
      <c r="C464" s="146">
        <v>13</v>
      </c>
      <c r="D464" s="283" t="s">
        <v>58</v>
      </c>
      <c r="E464" s="259">
        <v>0</v>
      </c>
      <c r="F464" s="260">
        <v>8.4999999999999993E-5</v>
      </c>
      <c r="G464" s="261">
        <v>8.4999999999999993E-5</v>
      </c>
      <c r="H464" s="261">
        <v>8.4999999999999993E-5</v>
      </c>
      <c r="I464" s="261">
        <v>8.4999999999999993E-5</v>
      </c>
      <c r="J464" s="261">
        <v>8.4999999999999993E-5</v>
      </c>
      <c r="K464" s="261">
        <v>8.4999999999999993E-5</v>
      </c>
      <c r="L464" s="261">
        <v>8.4999999999999993E-5</v>
      </c>
      <c r="M464" s="261">
        <v>8.4999999999999993E-5</v>
      </c>
      <c r="N464" s="260">
        <v>8.4999999999999993E-5</v>
      </c>
      <c r="O464" s="177"/>
      <c r="P464" s="177"/>
    </row>
    <row r="465" spans="2:16" hidden="1">
      <c r="B465" s="177"/>
      <c r="C465" s="46"/>
      <c r="D465" s="46"/>
      <c r="E465" s="262"/>
      <c r="F465" s="263"/>
      <c r="G465" s="264"/>
      <c r="H465" s="264"/>
      <c r="I465" s="264"/>
      <c r="J465" s="264"/>
      <c r="K465" s="264"/>
      <c r="L465" s="264"/>
      <c r="M465" s="264"/>
      <c r="N465" s="264"/>
      <c r="O465" s="177"/>
      <c r="P465" s="177"/>
    </row>
    <row r="466" spans="2:16" hidden="1">
      <c r="B466" s="177"/>
      <c r="C466" s="265">
        <v>1</v>
      </c>
      <c r="D466" s="265" t="s">
        <v>61</v>
      </c>
      <c r="E466" s="266">
        <v>0</v>
      </c>
      <c r="F466" s="281">
        <v>1.6873040868633591E-3</v>
      </c>
      <c r="G466" s="268">
        <v>1.6873040868633591E-3</v>
      </c>
      <c r="H466" s="268">
        <v>1.6873040868633591E-3</v>
      </c>
      <c r="I466" s="268">
        <v>1.6873040868633591E-3</v>
      </c>
      <c r="J466" s="268">
        <v>1.6873040868633591E-3</v>
      </c>
      <c r="K466" s="268">
        <v>1.6873040868633591E-3</v>
      </c>
      <c r="L466" s="268">
        <v>1.6873040868633591E-3</v>
      </c>
      <c r="M466" s="268">
        <v>1.6873040868633591E-3</v>
      </c>
      <c r="N466" s="281">
        <v>1.6873040868633591E-3</v>
      </c>
      <c r="O466" s="177"/>
      <c r="P466" s="177"/>
    </row>
    <row r="467" spans="2:16" hidden="1">
      <c r="B467" s="177"/>
      <c r="C467" s="46">
        <v>2</v>
      </c>
      <c r="D467" s="46" t="s">
        <v>62</v>
      </c>
      <c r="E467" s="269">
        <v>0</v>
      </c>
      <c r="F467" s="242">
        <v>1.6873040868633591E-3</v>
      </c>
      <c r="G467" s="256">
        <v>1.6873040868633591E-3</v>
      </c>
      <c r="H467" s="256">
        <v>1.6873040868633591E-3</v>
      </c>
      <c r="I467" s="256">
        <v>1.6873040868633591E-3</v>
      </c>
      <c r="J467" s="256">
        <v>1.6873040868633591E-3</v>
      </c>
      <c r="K467" s="256">
        <v>1.6873040868633591E-3</v>
      </c>
      <c r="L467" s="256">
        <v>1.6873040868633591E-3</v>
      </c>
      <c r="M467" s="256">
        <v>1.6873040868633591E-3</v>
      </c>
      <c r="N467" s="242">
        <v>1.6873040868633591E-3</v>
      </c>
      <c r="O467" s="177"/>
      <c r="P467" s="177"/>
    </row>
    <row r="468" spans="2:16" hidden="1">
      <c r="B468" s="177"/>
      <c r="C468" s="181">
        <v>3</v>
      </c>
      <c r="D468" s="181" t="s">
        <v>63</v>
      </c>
      <c r="E468" s="271">
        <v>0</v>
      </c>
      <c r="F468" s="260">
        <v>1.6873040868633591E-3</v>
      </c>
      <c r="G468" s="261">
        <v>1.6873040868633591E-3</v>
      </c>
      <c r="H468" s="261">
        <v>1.6873040868633591E-3</v>
      </c>
      <c r="I468" s="261">
        <v>1.6873040868633591E-3</v>
      </c>
      <c r="J468" s="261">
        <v>1.6873040868633591E-3</v>
      </c>
      <c r="K468" s="261">
        <v>1.6873040868633591E-3</v>
      </c>
      <c r="L468" s="261">
        <v>1.6873040868633591E-3</v>
      </c>
      <c r="M468" s="261">
        <v>1.6873040868633591E-3</v>
      </c>
      <c r="N468" s="260">
        <v>1.6873040868633591E-3</v>
      </c>
      <c r="O468" s="177"/>
      <c r="P468" s="177"/>
    </row>
    <row r="469" spans="2:16" hidden="1">
      <c r="B469" s="177"/>
      <c r="C469" s="273"/>
      <c r="D469" s="177"/>
      <c r="E469" s="177"/>
      <c r="F469" s="264"/>
      <c r="G469" s="264"/>
      <c r="H469" s="264"/>
      <c r="I469" s="264"/>
      <c r="J469" s="264"/>
      <c r="K469" s="264"/>
      <c r="L469" s="264"/>
      <c r="M469" s="264"/>
      <c r="N469" s="264"/>
      <c r="O469" s="177"/>
      <c r="P469" s="177"/>
    </row>
    <row r="470" spans="2:16" hidden="1">
      <c r="B470" s="177"/>
      <c r="C470" s="46" t="s">
        <v>172</v>
      </c>
      <c r="D470" s="177"/>
      <c r="E470" s="177"/>
      <c r="F470" s="264"/>
      <c r="G470" s="264"/>
      <c r="H470" s="264"/>
      <c r="I470" s="264"/>
      <c r="J470" s="264"/>
      <c r="K470" s="264"/>
      <c r="L470" s="264"/>
      <c r="M470" s="264"/>
      <c r="N470" s="264"/>
      <c r="O470" s="177"/>
      <c r="P470" s="177"/>
    </row>
    <row r="471" spans="2:16" hidden="1">
      <c r="B471" s="177"/>
      <c r="C471" s="177"/>
      <c r="D471" s="177"/>
      <c r="E471" s="177"/>
      <c r="F471" s="264"/>
      <c r="G471" s="264"/>
      <c r="H471" s="264"/>
      <c r="I471" s="264"/>
      <c r="J471" s="264"/>
      <c r="K471" s="264"/>
      <c r="L471" s="264"/>
      <c r="M471" s="264"/>
      <c r="N471" s="46" t="s">
        <v>2831</v>
      </c>
      <c r="O471" s="177"/>
      <c r="P471" s="177"/>
    </row>
    <row r="472" spans="2:16" hidden="1">
      <c r="B472" s="177"/>
      <c r="C472" s="250"/>
      <c r="D472" s="250"/>
      <c r="E472" s="251" t="s">
        <v>160</v>
      </c>
      <c r="F472" s="252">
        <v>2013</v>
      </c>
      <c r="G472" s="253">
        <v>2015</v>
      </c>
      <c r="H472" s="253">
        <v>2020</v>
      </c>
      <c r="I472" s="253">
        <v>2025</v>
      </c>
      <c r="J472" s="253">
        <v>2030</v>
      </c>
      <c r="K472" s="253">
        <v>2035</v>
      </c>
      <c r="L472" s="253">
        <v>2040</v>
      </c>
      <c r="M472" s="253">
        <v>2045</v>
      </c>
      <c r="N472" s="253">
        <v>2050</v>
      </c>
      <c r="O472" s="177"/>
      <c r="P472" s="177"/>
    </row>
    <row r="473" spans="2:16" hidden="1">
      <c r="B473" s="177"/>
      <c r="C473" s="278">
        <v>1</v>
      </c>
      <c r="D473" s="279" t="s">
        <v>46</v>
      </c>
      <c r="E473" s="280">
        <v>0</v>
      </c>
      <c r="F473" s="281">
        <v>2.5728899729332002E-3</v>
      </c>
      <c r="G473" s="268">
        <v>2.5728899729332002E-3</v>
      </c>
      <c r="H473" s="268">
        <v>2.5728899729332002E-3</v>
      </c>
      <c r="I473" s="268">
        <v>2.5728899729332002E-3</v>
      </c>
      <c r="J473" s="268">
        <v>2.5728899729332002E-3</v>
      </c>
      <c r="K473" s="268">
        <v>2.5728899729332002E-3</v>
      </c>
      <c r="L473" s="268">
        <v>2.5728899729332002E-3</v>
      </c>
      <c r="M473" s="268">
        <v>2.5728899729332002E-3</v>
      </c>
      <c r="N473" s="281">
        <v>2.5728899729332002E-3</v>
      </c>
      <c r="O473" s="177"/>
      <c r="P473" s="177"/>
    </row>
    <row r="474" spans="2:16" hidden="1">
      <c r="B474" s="177"/>
      <c r="C474" s="56">
        <v>2</v>
      </c>
      <c r="D474" s="282" t="s">
        <v>47</v>
      </c>
      <c r="E474" s="255">
        <v>0</v>
      </c>
      <c r="F474" s="242">
        <v>2.5728899729332002E-3</v>
      </c>
      <c r="G474" s="256">
        <v>2.5728899729332002E-3</v>
      </c>
      <c r="H474" s="256">
        <v>2.5728899729332002E-3</v>
      </c>
      <c r="I474" s="256">
        <v>2.5728899729332002E-3</v>
      </c>
      <c r="J474" s="256">
        <v>2.5728899729332002E-3</v>
      </c>
      <c r="K474" s="256">
        <v>2.5728899729332002E-3</v>
      </c>
      <c r="L474" s="256">
        <v>2.5728899729332002E-3</v>
      </c>
      <c r="M474" s="256">
        <v>2.5728899729332002E-3</v>
      </c>
      <c r="N474" s="242">
        <v>2.5728899729332002E-3</v>
      </c>
      <c r="O474" s="177"/>
      <c r="P474" s="177"/>
    </row>
    <row r="475" spans="2:16" hidden="1">
      <c r="B475" s="177"/>
      <c r="C475" s="56">
        <v>3</v>
      </c>
      <c r="D475" s="282" t="s">
        <v>48</v>
      </c>
      <c r="E475" s="255">
        <v>0</v>
      </c>
      <c r="F475" s="242">
        <v>2.8E-3</v>
      </c>
      <c r="G475" s="256">
        <v>2.8E-3</v>
      </c>
      <c r="H475" s="256">
        <v>2.8E-3</v>
      </c>
      <c r="I475" s="256">
        <v>2.8E-3</v>
      </c>
      <c r="J475" s="256">
        <v>2.8E-3</v>
      </c>
      <c r="K475" s="256">
        <v>2.8E-3</v>
      </c>
      <c r="L475" s="256">
        <v>2.8E-3</v>
      </c>
      <c r="M475" s="256">
        <v>2.8E-3</v>
      </c>
      <c r="N475" s="242">
        <v>2.8E-3</v>
      </c>
      <c r="O475" s="177"/>
      <c r="P475" s="177"/>
    </row>
    <row r="476" spans="2:16" hidden="1">
      <c r="B476" s="177"/>
      <c r="C476" s="56">
        <v>4</v>
      </c>
      <c r="D476" s="282" t="s">
        <v>49</v>
      </c>
      <c r="E476" s="255">
        <v>0</v>
      </c>
      <c r="F476" s="242">
        <v>3.7399999999999998E-3</v>
      </c>
      <c r="G476" s="256">
        <v>3.7399999999999998E-3</v>
      </c>
      <c r="H476" s="256">
        <v>3.7399999999999998E-3</v>
      </c>
      <c r="I476" s="256">
        <v>3.7399999999999998E-3</v>
      </c>
      <c r="J476" s="256">
        <v>3.7399999999999998E-3</v>
      </c>
      <c r="K476" s="256">
        <v>3.7399999999999998E-3</v>
      </c>
      <c r="L476" s="256">
        <v>3.7399999999999998E-3</v>
      </c>
      <c r="M476" s="256">
        <v>3.7399999999999998E-3</v>
      </c>
      <c r="N476" s="242">
        <v>3.7399999999999998E-3</v>
      </c>
      <c r="O476" s="177"/>
      <c r="P476" s="177"/>
    </row>
    <row r="477" spans="2:16" hidden="1">
      <c r="B477" s="177"/>
      <c r="C477" s="56">
        <v>5</v>
      </c>
      <c r="D477" s="282" t="s">
        <v>50</v>
      </c>
      <c r="E477" s="255">
        <v>0</v>
      </c>
      <c r="F477" s="242">
        <v>5.1799999999999997E-3</v>
      </c>
      <c r="G477" s="256">
        <v>5.1799999999999997E-3</v>
      </c>
      <c r="H477" s="256">
        <v>5.1799999999999997E-3</v>
      </c>
      <c r="I477" s="256">
        <v>5.1799999999999997E-3</v>
      </c>
      <c r="J477" s="256">
        <v>5.1799999999999997E-3</v>
      </c>
      <c r="K477" s="256">
        <v>5.1799999999999997E-3</v>
      </c>
      <c r="L477" s="256">
        <v>5.1799999999999997E-3</v>
      </c>
      <c r="M477" s="256">
        <v>5.1799999999999997E-3</v>
      </c>
      <c r="N477" s="242">
        <v>5.1799999999999997E-3</v>
      </c>
      <c r="O477" s="177"/>
      <c r="P477" s="177"/>
    </row>
    <row r="478" spans="2:16" hidden="1">
      <c r="B478" s="177"/>
      <c r="C478" s="56">
        <v>6</v>
      </c>
      <c r="D478" s="282" t="s">
        <v>51</v>
      </c>
      <c r="E478" s="255">
        <v>0</v>
      </c>
      <c r="F478" s="242">
        <v>1.0499999999999999E-2</v>
      </c>
      <c r="G478" s="256">
        <v>1.0499999999999999E-2</v>
      </c>
      <c r="H478" s="256">
        <v>1.0499999999999999E-2</v>
      </c>
      <c r="I478" s="256">
        <v>1.0499999999999999E-2</v>
      </c>
      <c r="J478" s="256">
        <v>1.0499999999999999E-2</v>
      </c>
      <c r="K478" s="256">
        <v>1.0499999999999999E-2</v>
      </c>
      <c r="L478" s="256">
        <v>1.0499999999999999E-2</v>
      </c>
      <c r="M478" s="256">
        <v>1.0499999999999999E-2</v>
      </c>
      <c r="N478" s="242">
        <v>1.0499999999999999E-2</v>
      </c>
      <c r="O478" s="177"/>
      <c r="P478" s="177"/>
    </row>
    <row r="479" spans="2:16" hidden="1">
      <c r="B479" s="177"/>
      <c r="C479" s="56">
        <v>7</v>
      </c>
      <c r="D479" s="282" t="s">
        <v>52</v>
      </c>
      <c r="E479" s="255">
        <v>0</v>
      </c>
      <c r="F479" s="242">
        <v>0.01</v>
      </c>
      <c r="G479" s="256">
        <v>0.01</v>
      </c>
      <c r="H479" s="256">
        <v>0.01</v>
      </c>
      <c r="I479" s="256">
        <v>0.01</v>
      </c>
      <c r="J479" s="256">
        <v>0.01</v>
      </c>
      <c r="K479" s="256">
        <v>0.01</v>
      </c>
      <c r="L479" s="256">
        <v>0.01</v>
      </c>
      <c r="M479" s="256">
        <v>0.01</v>
      </c>
      <c r="N479" s="242">
        <v>0.01</v>
      </c>
      <c r="O479" s="177"/>
      <c r="P479" s="177"/>
    </row>
    <row r="480" spans="2:16" hidden="1">
      <c r="B480" s="177"/>
      <c r="C480" s="56">
        <v>8</v>
      </c>
      <c r="D480" s="282" t="s">
        <v>53</v>
      </c>
      <c r="E480" s="255">
        <v>-9.5199999999999997E-5</v>
      </c>
      <c r="F480" s="242">
        <v>8.3999999999999995E-3</v>
      </c>
      <c r="G480" s="256">
        <v>7.9239999999999988E-3</v>
      </c>
      <c r="H480" s="256">
        <v>7.4479999999999989E-3</v>
      </c>
      <c r="I480" s="256">
        <v>6.971999999999999E-3</v>
      </c>
      <c r="J480" s="256">
        <v>6.4959999999999992E-3</v>
      </c>
      <c r="K480" s="256">
        <v>6.0199999999999993E-3</v>
      </c>
      <c r="L480" s="256">
        <v>5.5439999999999994E-3</v>
      </c>
      <c r="M480" s="256">
        <v>5.0679999999999996E-3</v>
      </c>
      <c r="N480" s="263">
        <v>4.5919999999999997E-3</v>
      </c>
      <c r="O480" s="177"/>
      <c r="P480" s="177"/>
    </row>
    <row r="481" spans="2:16" hidden="1">
      <c r="B481" s="177"/>
      <c r="C481" s="56">
        <v>9</v>
      </c>
      <c r="D481" s="282" t="s">
        <v>54</v>
      </c>
      <c r="E481" s="255">
        <v>-3.7125000000000008E-5</v>
      </c>
      <c r="F481" s="242">
        <v>8.6899999999999998E-3</v>
      </c>
      <c r="G481" s="256">
        <v>8.5043749999999998E-3</v>
      </c>
      <c r="H481" s="256">
        <v>8.3187499999999998E-3</v>
      </c>
      <c r="I481" s="256">
        <v>8.1331249999999997E-3</v>
      </c>
      <c r="J481" s="256">
        <v>7.9474999999999997E-3</v>
      </c>
      <c r="K481" s="256">
        <v>7.7618749999999997E-3</v>
      </c>
      <c r="L481" s="256">
        <v>7.5762499999999997E-3</v>
      </c>
      <c r="M481" s="256">
        <v>7.3906249999999996E-3</v>
      </c>
      <c r="N481" s="263">
        <v>7.2049999999999996E-3</v>
      </c>
      <c r="O481" s="177"/>
      <c r="P481" s="177"/>
    </row>
    <row r="482" spans="2:16" hidden="1">
      <c r="B482" s="177"/>
      <c r="C482" s="56">
        <v>10</v>
      </c>
      <c r="D482" s="282" t="s">
        <v>55</v>
      </c>
      <c r="E482" s="255">
        <v>0</v>
      </c>
      <c r="F482" s="242">
        <v>3.1806486374468999E-2</v>
      </c>
      <c r="G482" s="256">
        <v>3.1806486374468999E-2</v>
      </c>
      <c r="H482" s="256">
        <v>3.1806486374468999E-2</v>
      </c>
      <c r="I482" s="256">
        <v>3.1806486374468999E-2</v>
      </c>
      <c r="J482" s="256">
        <v>3.1806486374468999E-2</v>
      </c>
      <c r="K482" s="256">
        <v>3.1806486374468999E-2</v>
      </c>
      <c r="L482" s="256">
        <v>3.1806486374468999E-2</v>
      </c>
      <c r="M482" s="256">
        <v>3.1806486374468999E-2</v>
      </c>
      <c r="N482" s="263">
        <v>3.1806486374468999E-2</v>
      </c>
      <c r="O482" s="177"/>
      <c r="P482" s="177"/>
    </row>
    <row r="483" spans="2:16" hidden="1">
      <c r="B483" s="177"/>
      <c r="C483" s="56">
        <v>11</v>
      </c>
      <c r="D483" s="282" t="s">
        <v>56</v>
      </c>
      <c r="E483" s="255">
        <v>0</v>
      </c>
      <c r="F483" s="242">
        <v>1.6819999999999998E-2</v>
      </c>
      <c r="G483" s="256">
        <v>1.6819999999999998E-2</v>
      </c>
      <c r="H483" s="256">
        <v>1.6819999999999998E-2</v>
      </c>
      <c r="I483" s="256">
        <v>1.6819999999999998E-2</v>
      </c>
      <c r="J483" s="256">
        <v>1.6819999999999998E-2</v>
      </c>
      <c r="K483" s="256">
        <v>1.6819999999999998E-2</v>
      </c>
      <c r="L483" s="256">
        <v>1.6819999999999998E-2</v>
      </c>
      <c r="M483" s="256">
        <v>1.6819999999999998E-2</v>
      </c>
      <c r="N483" s="263">
        <v>1.6819999999999998E-2</v>
      </c>
      <c r="O483" s="177"/>
      <c r="P483" s="177"/>
    </row>
    <row r="484" spans="2:16" hidden="1">
      <c r="B484" s="177"/>
      <c r="C484" s="56">
        <v>12</v>
      </c>
      <c r="D484" s="282" t="s">
        <v>57</v>
      </c>
      <c r="E484" s="255">
        <v>0</v>
      </c>
      <c r="F484" s="242">
        <v>2.162E-2</v>
      </c>
      <c r="G484" s="256">
        <v>2.162E-2</v>
      </c>
      <c r="H484" s="256">
        <v>2.162E-2</v>
      </c>
      <c r="I484" s="256">
        <v>2.162E-2</v>
      </c>
      <c r="J484" s="256">
        <v>2.162E-2</v>
      </c>
      <c r="K484" s="256">
        <v>2.162E-2</v>
      </c>
      <c r="L484" s="256">
        <v>2.162E-2</v>
      </c>
      <c r="M484" s="256">
        <v>2.162E-2</v>
      </c>
      <c r="N484" s="263">
        <v>2.162E-2</v>
      </c>
      <c r="O484" s="177"/>
      <c r="P484" s="177"/>
    </row>
    <row r="485" spans="2:16" hidden="1">
      <c r="B485" s="177"/>
      <c r="C485" s="146">
        <v>13</v>
      </c>
      <c r="D485" s="283" t="s">
        <v>58</v>
      </c>
      <c r="E485" s="259">
        <v>0</v>
      </c>
      <c r="F485" s="260">
        <v>4.9999999999999996E-5</v>
      </c>
      <c r="G485" s="261">
        <v>4.9999999999999996E-5</v>
      </c>
      <c r="H485" s="261">
        <v>4.9999999999999996E-5</v>
      </c>
      <c r="I485" s="261">
        <v>4.9999999999999996E-5</v>
      </c>
      <c r="J485" s="261">
        <v>4.9999999999999996E-5</v>
      </c>
      <c r="K485" s="261">
        <v>4.9999999999999996E-5</v>
      </c>
      <c r="L485" s="261">
        <v>4.9999999999999996E-5</v>
      </c>
      <c r="M485" s="261">
        <v>4.9999999999999996E-5</v>
      </c>
      <c r="N485" s="284">
        <v>4.9999999999999996E-5</v>
      </c>
      <c r="O485" s="177"/>
      <c r="P485" s="177"/>
    </row>
    <row r="486" spans="2:16" hidden="1">
      <c r="B486" s="177"/>
      <c r="C486" s="177"/>
      <c r="D486" s="177"/>
      <c r="E486" s="177"/>
      <c r="F486" s="177"/>
      <c r="G486" s="177"/>
      <c r="H486" s="177"/>
      <c r="I486" s="177"/>
      <c r="J486" s="177"/>
      <c r="K486" s="177"/>
      <c r="L486" s="177"/>
      <c r="M486" s="177"/>
      <c r="N486" s="177"/>
      <c r="O486" s="177"/>
      <c r="P486" s="177"/>
    </row>
    <row r="487" spans="2:16" hidden="1">
      <c r="B487" s="177"/>
      <c r="C487" s="265">
        <v>1</v>
      </c>
      <c r="D487" s="265" t="s">
        <v>61</v>
      </c>
      <c r="E487" s="266">
        <v>0</v>
      </c>
      <c r="F487" s="267">
        <v>1E-3</v>
      </c>
      <c r="G487" s="268">
        <v>1E-3</v>
      </c>
      <c r="H487" s="268">
        <v>1E-3</v>
      </c>
      <c r="I487" s="268">
        <v>1E-3</v>
      </c>
      <c r="J487" s="268">
        <v>1E-3</v>
      </c>
      <c r="K487" s="268">
        <v>1E-3</v>
      </c>
      <c r="L487" s="268">
        <v>1E-3</v>
      </c>
      <c r="M487" s="268">
        <v>1E-3</v>
      </c>
      <c r="N487" s="267">
        <v>1E-3</v>
      </c>
      <c r="O487" s="177"/>
      <c r="P487" s="177"/>
    </row>
    <row r="488" spans="2:16" hidden="1">
      <c r="B488" s="177"/>
      <c r="C488" s="46">
        <v>2</v>
      </c>
      <c r="D488" s="46" t="s">
        <v>62</v>
      </c>
      <c r="E488" s="269">
        <v>0</v>
      </c>
      <c r="F488" s="270">
        <v>1E-3</v>
      </c>
      <c r="G488" s="270">
        <v>1E-3</v>
      </c>
      <c r="H488" s="270">
        <v>1E-3</v>
      </c>
      <c r="I488" s="270">
        <v>1E-3</v>
      </c>
      <c r="J488" s="270">
        <v>1E-3</v>
      </c>
      <c r="K488" s="270">
        <v>1E-3</v>
      </c>
      <c r="L488" s="270">
        <v>1E-3</v>
      </c>
      <c r="M488" s="270">
        <v>1E-3</v>
      </c>
      <c r="N488" s="270">
        <v>1E-3</v>
      </c>
      <c r="O488" s="177"/>
      <c r="P488" s="177"/>
    </row>
    <row r="489" spans="2:16" hidden="1">
      <c r="B489" s="177"/>
      <c r="C489" s="181">
        <v>3</v>
      </c>
      <c r="D489" s="181" t="s">
        <v>63</v>
      </c>
      <c r="E489" s="271">
        <v>0</v>
      </c>
      <c r="F489" s="272">
        <v>1E-3</v>
      </c>
      <c r="G489" s="261">
        <v>1E-3</v>
      </c>
      <c r="H489" s="261">
        <v>1E-3</v>
      </c>
      <c r="I489" s="261">
        <v>1E-3</v>
      </c>
      <c r="J489" s="261">
        <v>1E-3</v>
      </c>
      <c r="K489" s="261">
        <v>1E-3</v>
      </c>
      <c r="L489" s="261">
        <v>1E-3</v>
      </c>
      <c r="M489" s="261">
        <v>1E-3</v>
      </c>
      <c r="N489" s="272">
        <v>1E-3</v>
      </c>
      <c r="O489" s="177"/>
      <c r="P489" s="177"/>
    </row>
    <row r="490" spans="2:16" hidden="1">
      <c r="B490" s="177"/>
      <c r="C490" s="46"/>
      <c r="D490" s="46"/>
      <c r="E490" s="262"/>
      <c r="F490" s="263"/>
      <c r="G490" s="264"/>
      <c r="H490" s="264"/>
      <c r="I490" s="264"/>
      <c r="J490" s="264"/>
      <c r="K490" s="264"/>
      <c r="L490" s="264"/>
      <c r="M490" s="264"/>
      <c r="N490" s="274"/>
      <c r="O490" s="177"/>
      <c r="P490" s="177"/>
    </row>
    <row r="491" spans="2:16" hidden="1">
      <c r="B491" s="177"/>
      <c r="C491" s="177"/>
      <c r="D491" s="177"/>
      <c r="E491" s="177"/>
      <c r="F491" s="177"/>
      <c r="G491" s="177"/>
      <c r="H491" s="177"/>
      <c r="I491" s="177"/>
      <c r="J491" s="177"/>
      <c r="K491" s="177"/>
      <c r="L491" s="177"/>
      <c r="M491" s="177"/>
      <c r="N491" s="177"/>
      <c r="O491" s="177"/>
      <c r="P491" s="177"/>
    </row>
    <row r="492" spans="2:16" ht="18.75" hidden="1">
      <c r="B492" s="177"/>
      <c r="C492" s="285" t="s">
        <v>173</v>
      </c>
      <c r="D492" s="177"/>
      <c r="E492" s="177"/>
      <c r="F492" s="177"/>
      <c r="G492" s="177"/>
      <c r="H492" s="177"/>
      <c r="I492" s="177"/>
      <c r="J492" s="177"/>
      <c r="K492" s="177"/>
      <c r="L492" s="177"/>
      <c r="M492" s="177"/>
      <c r="N492" s="177"/>
      <c r="O492" s="177"/>
      <c r="P492" s="177"/>
    </row>
    <row r="493" spans="2:16" hidden="1">
      <c r="B493" s="177"/>
      <c r="C493" s="46"/>
      <c r="D493" s="177"/>
      <c r="E493" s="177"/>
      <c r="F493" s="177"/>
      <c r="G493" s="177"/>
      <c r="H493" s="177"/>
      <c r="I493" s="177"/>
      <c r="J493" s="177"/>
      <c r="K493" s="177"/>
      <c r="L493" s="177"/>
      <c r="M493" s="177"/>
      <c r="N493" s="177"/>
      <c r="O493" s="177"/>
      <c r="P493" s="177"/>
    </row>
    <row r="494" spans="2:16" hidden="1">
      <c r="B494" s="177"/>
      <c r="C494" s="286" t="s">
        <v>170</v>
      </c>
      <c r="D494" s="177"/>
      <c r="E494" s="177"/>
      <c r="F494" s="177"/>
      <c r="G494" s="177"/>
      <c r="H494" s="177"/>
      <c r="I494" s="177"/>
      <c r="J494" s="177"/>
      <c r="K494" s="177"/>
      <c r="L494" s="177"/>
      <c r="M494" s="177"/>
      <c r="N494" s="177"/>
      <c r="O494" s="177"/>
      <c r="P494" s="177"/>
    </row>
    <row r="495" spans="2:16" hidden="1">
      <c r="B495" s="177"/>
      <c r="C495" s="46" t="s">
        <v>2831</v>
      </c>
      <c r="D495" s="177"/>
      <c r="E495" s="177"/>
      <c r="F495" s="177"/>
      <c r="G495" s="177"/>
      <c r="H495" s="177"/>
      <c r="I495" s="177"/>
      <c r="J495" s="177"/>
      <c r="K495" s="177"/>
      <c r="L495" s="177"/>
      <c r="M495" s="177"/>
      <c r="N495" s="177"/>
      <c r="O495" s="177"/>
      <c r="P495" s="177"/>
    </row>
    <row r="496" spans="2:16" hidden="1">
      <c r="B496" s="177"/>
      <c r="C496" s="265"/>
      <c r="D496" s="265"/>
      <c r="E496" s="275" t="s">
        <v>160</v>
      </c>
      <c r="F496" s="276">
        <v>2013</v>
      </c>
      <c r="G496" s="277">
        <v>2015</v>
      </c>
      <c r="H496" s="277">
        <v>2020</v>
      </c>
      <c r="I496" s="277">
        <v>2025</v>
      </c>
      <c r="J496" s="277">
        <v>2030</v>
      </c>
      <c r="K496" s="277">
        <v>2035</v>
      </c>
      <c r="L496" s="277">
        <v>2040</v>
      </c>
      <c r="M496" s="277">
        <v>2045</v>
      </c>
      <c r="N496" s="277">
        <v>2050</v>
      </c>
      <c r="O496" s="177"/>
      <c r="P496" s="177"/>
    </row>
    <row r="497" spans="2:16" hidden="1">
      <c r="B497" s="177"/>
      <c r="C497" s="278">
        <v>1</v>
      </c>
      <c r="D497" s="287" t="s">
        <v>46</v>
      </c>
      <c r="E497" s="280">
        <v>0</v>
      </c>
      <c r="F497" s="281">
        <v>1.7999999999999998E-4</v>
      </c>
      <c r="G497" s="268">
        <v>1.7999999999999998E-4</v>
      </c>
      <c r="H497" s="268">
        <v>1.7999999999999998E-4</v>
      </c>
      <c r="I497" s="268">
        <v>1.7999999999999998E-4</v>
      </c>
      <c r="J497" s="268">
        <v>1.7999999999999998E-4</v>
      </c>
      <c r="K497" s="268">
        <v>1.7999999999999998E-4</v>
      </c>
      <c r="L497" s="268">
        <v>1.7999999999999998E-4</v>
      </c>
      <c r="M497" s="268">
        <v>1.7999999999999998E-4</v>
      </c>
      <c r="N497" s="281">
        <v>1.7999999999999998E-4</v>
      </c>
      <c r="O497" s="177"/>
      <c r="P497" s="177"/>
    </row>
    <row r="498" spans="2:16" hidden="1">
      <c r="B498" s="177"/>
      <c r="C498" s="56">
        <v>2</v>
      </c>
      <c r="D498" s="254" t="s">
        <v>47</v>
      </c>
      <c r="E498" s="255">
        <v>0</v>
      </c>
      <c r="F498" s="242">
        <v>1.7999999999999998E-4</v>
      </c>
      <c r="G498" s="256">
        <v>1.7999999999999998E-4</v>
      </c>
      <c r="H498" s="256">
        <v>1.7999999999999998E-4</v>
      </c>
      <c r="I498" s="256">
        <v>1.7999999999999998E-4</v>
      </c>
      <c r="J498" s="256">
        <v>1.7999999999999998E-4</v>
      </c>
      <c r="K498" s="256">
        <v>1.7999999999999998E-4</v>
      </c>
      <c r="L498" s="256">
        <v>1.7999999999999998E-4</v>
      </c>
      <c r="M498" s="256">
        <v>1.7999999999999998E-4</v>
      </c>
      <c r="N498" s="242">
        <v>1.7999999999999998E-4</v>
      </c>
      <c r="O498" s="177"/>
      <c r="P498" s="177"/>
    </row>
    <row r="499" spans="2:16" hidden="1">
      <c r="B499" s="177"/>
      <c r="C499" s="56">
        <v>3</v>
      </c>
      <c r="D499" s="254" t="s">
        <v>48</v>
      </c>
      <c r="E499" s="255">
        <v>0</v>
      </c>
      <c r="F499" s="242">
        <v>1.9599999999999999E-4</v>
      </c>
      <c r="G499" s="256">
        <v>1.9599999999999999E-4</v>
      </c>
      <c r="H499" s="256">
        <v>1.9599999999999999E-4</v>
      </c>
      <c r="I499" s="256">
        <v>1.9599999999999999E-4</v>
      </c>
      <c r="J499" s="256">
        <v>1.9599999999999999E-4</v>
      </c>
      <c r="K499" s="256">
        <v>1.9599999999999999E-4</v>
      </c>
      <c r="L499" s="256">
        <v>1.9599999999999999E-4</v>
      </c>
      <c r="M499" s="256">
        <v>1.9599999999999999E-4</v>
      </c>
      <c r="N499" s="242">
        <v>1.9599999999999999E-4</v>
      </c>
      <c r="O499" s="177"/>
      <c r="P499" s="177"/>
    </row>
    <row r="500" spans="2:16" hidden="1">
      <c r="B500" s="177"/>
      <c r="C500" s="56">
        <v>4</v>
      </c>
      <c r="D500" s="254" t="s">
        <v>49</v>
      </c>
      <c r="E500" s="255">
        <v>0</v>
      </c>
      <c r="F500" s="242">
        <v>4.3999999999999996E-4</v>
      </c>
      <c r="G500" s="256">
        <v>4.3999999999999996E-4</v>
      </c>
      <c r="H500" s="256">
        <v>4.3999999999999996E-4</v>
      </c>
      <c r="I500" s="256">
        <v>4.3999999999999996E-4</v>
      </c>
      <c r="J500" s="256">
        <v>4.3999999999999996E-4</v>
      </c>
      <c r="K500" s="256">
        <v>4.3999999999999996E-4</v>
      </c>
      <c r="L500" s="256">
        <v>4.3999999999999996E-4</v>
      </c>
      <c r="M500" s="256">
        <v>4.3999999999999996E-4</v>
      </c>
      <c r="N500" s="242">
        <v>4.3999999999999996E-4</v>
      </c>
      <c r="O500" s="177"/>
      <c r="P500" s="177"/>
    </row>
    <row r="501" spans="2:16" hidden="1">
      <c r="B501" s="177"/>
      <c r="C501" s="56">
        <v>5</v>
      </c>
      <c r="D501" s="254" t="s">
        <v>50</v>
      </c>
      <c r="E501" s="255">
        <v>0</v>
      </c>
      <c r="F501" s="242">
        <v>5.1999999999999995E-4</v>
      </c>
      <c r="G501" s="256">
        <v>5.1999999999999995E-4</v>
      </c>
      <c r="H501" s="256">
        <v>5.1999999999999995E-4</v>
      </c>
      <c r="I501" s="256">
        <v>5.1999999999999995E-4</v>
      </c>
      <c r="J501" s="256">
        <v>5.1999999999999995E-4</v>
      </c>
      <c r="K501" s="256">
        <v>5.1999999999999995E-4</v>
      </c>
      <c r="L501" s="256">
        <v>5.1999999999999995E-4</v>
      </c>
      <c r="M501" s="256">
        <v>5.1999999999999995E-4</v>
      </c>
      <c r="N501" s="242">
        <v>5.1999999999999995E-4</v>
      </c>
      <c r="O501" s="177"/>
      <c r="P501" s="177"/>
    </row>
    <row r="502" spans="2:16" hidden="1">
      <c r="B502" s="177"/>
      <c r="C502" s="56">
        <v>6</v>
      </c>
      <c r="D502" s="254" t="s">
        <v>51</v>
      </c>
      <c r="E502" s="255">
        <v>0</v>
      </c>
      <c r="F502" s="242">
        <v>1.7999999999999998E-4</v>
      </c>
      <c r="G502" s="256">
        <v>1.7999999999999998E-4</v>
      </c>
      <c r="H502" s="256">
        <v>1.7999999999999998E-4</v>
      </c>
      <c r="I502" s="256">
        <v>1.7999999999999998E-4</v>
      </c>
      <c r="J502" s="256">
        <v>1.7999999999999998E-4</v>
      </c>
      <c r="K502" s="256">
        <v>1.7999999999999998E-4</v>
      </c>
      <c r="L502" s="256">
        <v>1.7999999999999998E-4</v>
      </c>
      <c r="M502" s="256">
        <v>1.7999999999999998E-4</v>
      </c>
      <c r="N502" s="242">
        <v>1.7999999999999998E-4</v>
      </c>
      <c r="O502" s="177"/>
      <c r="P502" s="177"/>
    </row>
    <row r="503" spans="2:16" hidden="1">
      <c r="B503" s="177"/>
      <c r="C503" s="56">
        <v>7</v>
      </c>
      <c r="D503" s="254" t="s">
        <v>52</v>
      </c>
      <c r="E503" s="255">
        <v>0</v>
      </c>
      <c r="F503" s="242">
        <v>1.7999999999999998E-4</v>
      </c>
      <c r="G503" s="256">
        <v>1.7999999999999998E-4</v>
      </c>
      <c r="H503" s="256">
        <v>1.7999999999999998E-4</v>
      </c>
      <c r="I503" s="256">
        <v>1.7999999999999998E-4</v>
      </c>
      <c r="J503" s="256">
        <v>1.7999999999999998E-4</v>
      </c>
      <c r="K503" s="256">
        <v>1.7999999999999998E-4</v>
      </c>
      <c r="L503" s="256">
        <v>1.7999999999999998E-4</v>
      </c>
      <c r="M503" s="256">
        <v>1.7999999999999998E-4</v>
      </c>
      <c r="N503" s="242">
        <v>1.7999999999999998E-4</v>
      </c>
      <c r="O503" s="177"/>
      <c r="P503" s="177"/>
    </row>
    <row r="504" spans="2:16" hidden="1">
      <c r="B504" s="177"/>
      <c r="C504" s="56">
        <v>8</v>
      </c>
      <c r="D504" s="254" t="s">
        <v>53</v>
      </c>
      <c r="E504" s="255">
        <v>0</v>
      </c>
      <c r="F504" s="242">
        <v>1.27E-4</v>
      </c>
      <c r="G504" s="256">
        <v>1.27E-4</v>
      </c>
      <c r="H504" s="256">
        <v>1.27E-4</v>
      </c>
      <c r="I504" s="256">
        <v>1.27E-4</v>
      </c>
      <c r="J504" s="256">
        <v>1.27E-4</v>
      </c>
      <c r="K504" s="256">
        <v>1.27E-4</v>
      </c>
      <c r="L504" s="256">
        <v>1.27E-4</v>
      </c>
      <c r="M504" s="256">
        <v>1.27E-4</v>
      </c>
      <c r="N504" s="242">
        <v>1.27E-4</v>
      </c>
      <c r="O504" s="177"/>
      <c r="P504" s="177"/>
    </row>
    <row r="505" spans="2:16" hidden="1">
      <c r="B505" s="177"/>
      <c r="C505" s="56">
        <v>9</v>
      </c>
      <c r="D505" s="254" t="s">
        <v>54</v>
      </c>
      <c r="E505" s="255">
        <v>0</v>
      </c>
      <c r="F505" s="242">
        <v>9.9999999999999991E-5</v>
      </c>
      <c r="G505" s="256">
        <v>9.9999999999999991E-5</v>
      </c>
      <c r="H505" s="256">
        <v>9.9999999999999991E-5</v>
      </c>
      <c r="I505" s="256">
        <v>9.9999999999999991E-5</v>
      </c>
      <c r="J505" s="256">
        <v>9.9999999999999991E-5</v>
      </c>
      <c r="K505" s="256">
        <v>9.9999999999999991E-5</v>
      </c>
      <c r="L505" s="256">
        <v>9.9999999999999991E-5</v>
      </c>
      <c r="M505" s="256">
        <v>9.9999999999999991E-5</v>
      </c>
      <c r="N505" s="242">
        <v>9.9999999999999991E-5</v>
      </c>
      <c r="O505" s="177"/>
      <c r="P505" s="177"/>
    </row>
    <row r="506" spans="2:16" hidden="1">
      <c r="B506" s="177"/>
      <c r="C506" s="56">
        <v>10</v>
      </c>
      <c r="D506" s="254" t="s">
        <v>55</v>
      </c>
      <c r="E506" s="255">
        <v>0</v>
      </c>
      <c r="F506" s="242">
        <v>1.114E-3</v>
      </c>
      <c r="G506" s="256">
        <v>1.114E-3</v>
      </c>
      <c r="H506" s="256">
        <v>1.114E-3</v>
      </c>
      <c r="I506" s="256">
        <v>1.114E-3</v>
      </c>
      <c r="J506" s="256">
        <v>1.114E-3</v>
      </c>
      <c r="K506" s="256">
        <v>1.114E-3</v>
      </c>
      <c r="L506" s="256">
        <v>1.114E-3</v>
      </c>
      <c r="M506" s="256">
        <v>1.114E-3</v>
      </c>
      <c r="N506" s="242">
        <v>1.114E-3</v>
      </c>
      <c r="O506" s="177"/>
      <c r="P506" s="177"/>
    </row>
    <row r="507" spans="2:16" hidden="1">
      <c r="B507" s="177"/>
      <c r="C507" s="56">
        <v>11</v>
      </c>
      <c r="D507" s="254" t="s">
        <v>56</v>
      </c>
      <c r="E507" s="255">
        <v>0</v>
      </c>
      <c r="F507" s="242">
        <v>1.3599999999999999E-3</v>
      </c>
      <c r="G507" s="256">
        <v>1.3599999999999999E-3</v>
      </c>
      <c r="H507" s="256">
        <v>1.3599999999999999E-3</v>
      </c>
      <c r="I507" s="256">
        <v>1.3599999999999999E-3</v>
      </c>
      <c r="J507" s="256">
        <v>1.3599999999999999E-3</v>
      </c>
      <c r="K507" s="256">
        <v>1.3599999999999999E-3</v>
      </c>
      <c r="L507" s="256">
        <v>1.3599999999999999E-3</v>
      </c>
      <c r="M507" s="256">
        <v>1.3599999999999999E-3</v>
      </c>
      <c r="N507" s="242">
        <v>1.3599999999999999E-3</v>
      </c>
      <c r="O507" s="177"/>
      <c r="P507" s="177"/>
    </row>
    <row r="508" spans="2:16" hidden="1">
      <c r="B508" s="177"/>
      <c r="C508" s="56">
        <v>12</v>
      </c>
      <c r="D508" s="254" t="s">
        <v>57</v>
      </c>
      <c r="E508" s="255">
        <v>0</v>
      </c>
      <c r="F508" s="242">
        <v>1.9E-3</v>
      </c>
      <c r="G508" s="256">
        <v>1.9E-3</v>
      </c>
      <c r="H508" s="256">
        <v>1.9E-3</v>
      </c>
      <c r="I508" s="256">
        <v>1.9E-3</v>
      </c>
      <c r="J508" s="256">
        <v>1.9E-3</v>
      </c>
      <c r="K508" s="256">
        <v>1.9E-3</v>
      </c>
      <c r="L508" s="256">
        <v>1.9E-3</v>
      </c>
      <c r="M508" s="256">
        <v>1.9E-3</v>
      </c>
      <c r="N508" s="242">
        <v>1.9E-3</v>
      </c>
      <c r="O508" s="177"/>
      <c r="P508" s="177"/>
    </row>
    <row r="509" spans="2:16" hidden="1">
      <c r="B509" s="177"/>
      <c r="C509" s="146">
        <v>13</v>
      </c>
      <c r="D509" s="258" t="s">
        <v>58</v>
      </c>
      <c r="E509" s="259">
        <v>0</v>
      </c>
      <c r="F509" s="260">
        <v>1.4999999999999999E-4</v>
      </c>
      <c r="G509" s="261">
        <v>1.4999999999999999E-4</v>
      </c>
      <c r="H509" s="261">
        <v>1.4999999999999999E-4</v>
      </c>
      <c r="I509" s="261">
        <v>1.4999999999999999E-4</v>
      </c>
      <c r="J509" s="261">
        <v>1.4999999999999999E-4</v>
      </c>
      <c r="K509" s="261">
        <v>1.4999999999999999E-4</v>
      </c>
      <c r="L509" s="261">
        <v>1.4999999999999999E-4</v>
      </c>
      <c r="M509" s="261">
        <v>1.4999999999999999E-4</v>
      </c>
      <c r="N509" s="260">
        <v>1.4999999999999999E-4</v>
      </c>
      <c r="O509" s="177"/>
      <c r="P509" s="177"/>
    </row>
    <row r="510" spans="2:16" hidden="1">
      <c r="B510" s="177"/>
      <c r="C510" s="46"/>
      <c r="D510" s="46"/>
      <c r="E510" s="262"/>
      <c r="F510" s="263"/>
      <c r="G510" s="264"/>
      <c r="H510" s="264"/>
      <c r="I510" s="264"/>
      <c r="J510" s="264"/>
      <c r="K510" s="264"/>
      <c r="L510" s="264"/>
      <c r="M510" s="264"/>
      <c r="N510" s="264"/>
      <c r="O510" s="177"/>
      <c r="P510" s="177"/>
    </row>
    <row r="511" spans="2:16" hidden="1">
      <c r="B511" s="177"/>
      <c r="C511" s="265">
        <v>1</v>
      </c>
      <c r="D511" s="265" t="s">
        <v>61</v>
      </c>
      <c r="E511" s="266">
        <v>0</v>
      </c>
      <c r="F511" s="281">
        <v>1.7999999999999998E-4</v>
      </c>
      <c r="G511" s="268">
        <v>1.7999999999999998E-4</v>
      </c>
      <c r="H511" s="268">
        <v>1.7999999999999998E-4</v>
      </c>
      <c r="I511" s="268">
        <v>1.7999999999999998E-4</v>
      </c>
      <c r="J511" s="268">
        <v>1.7999999999999998E-4</v>
      </c>
      <c r="K511" s="268">
        <v>1.7999999999999998E-4</v>
      </c>
      <c r="L511" s="268">
        <v>1.7999999999999998E-4</v>
      </c>
      <c r="M511" s="268">
        <v>1.7999999999999998E-4</v>
      </c>
      <c r="N511" s="281">
        <v>1.7999999999999998E-4</v>
      </c>
      <c r="O511" s="177"/>
      <c r="P511" s="177"/>
    </row>
    <row r="512" spans="2:16" hidden="1">
      <c r="B512" s="177"/>
      <c r="C512" s="46">
        <v>2</v>
      </c>
      <c r="D512" s="46" t="s">
        <v>62</v>
      </c>
      <c r="E512" s="269">
        <v>0</v>
      </c>
      <c r="F512" s="242">
        <v>1.7999999999999998E-4</v>
      </c>
      <c r="G512" s="256">
        <v>1.7999999999999998E-4</v>
      </c>
      <c r="H512" s="256">
        <v>1.7999999999999998E-4</v>
      </c>
      <c r="I512" s="256">
        <v>1.7999999999999998E-4</v>
      </c>
      <c r="J512" s="256">
        <v>1.7999999999999998E-4</v>
      </c>
      <c r="K512" s="256">
        <v>1.7999999999999998E-4</v>
      </c>
      <c r="L512" s="256">
        <v>1.7999999999999998E-4</v>
      </c>
      <c r="M512" s="256">
        <v>1.7999999999999998E-4</v>
      </c>
      <c r="N512" s="242">
        <v>1.7999999999999998E-4</v>
      </c>
      <c r="O512" s="177"/>
      <c r="P512" s="177"/>
    </row>
    <row r="513" spans="2:16" hidden="1">
      <c r="B513" s="177"/>
      <c r="C513" s="181">
        <v>3</v>
      </c>
      <c r="D513" s="181" t="s">
        <v>63</v>
      </c>
      <c r="E513" s="271">
        <v>0</v>
      </c>
      <c r="F513" s="260">
        <v>1.7999999999999998E-4</v>
      </c>
      <c r="G513" s="261">
        <v>1.7999999999999998E-4</v>
      </c>
      <c r="H513" s="261">
        <v>1.7999999999999998E-4</v>
      </c>
      <c r="I513" s="261">
        <v>1.7999999999999998E-4</v>
      </c>
      <c r="J513" s="261">
        <v>1.7999999999999998E-4</v>
      </c>
      <c r="K513" s="261">
        <v>1.7999999999999998E-4</v>
      </c>
      <c r="L513" s="261">
        <v>1.7999999999999998E-4</v>
      </c>
      <c r="M513" s="261">
        <v>1.7999999999999998E-4</v>
      </c>
      <c r="N513" s="260">
        <v>1.7999999999999998E-4</v>
      </c>
      <c r="O513" s="177"/>
      <c r="P513" s="177"/>
    </row>
    <row r="514" spans="2:16" hidden="1">
      <c r="B514" s="177"/>
      <c r="C514" s="46"/>
      <c r="D514" s="46"/>
      <c r="E514" s="262"/>
      <c r="F514" s="263"/>
      <c r="G514" s="273"/>
      <c r="H514" s="273"/>
      <c r="I514" s="273"/>
      <c r="J514" s="273"/>
      <c r="K514" s="273"/>
      <c r="L514" s="273"/>
      <c r="M514" s="273"/>
      <c r="N514" s="274"/>
      <c r="O514" s="177"/>
      <c r="P514" s="177"/>
    </row>
    <row r="515" spans="2:16" hidden="1">
      <c r="B515" s="177"/>
      <c r="C515" s="286" t="s">
        <v>161</v>
      </c>
      <c r="D515" s="177"/>
      <c r="E515" s="177"/>
      <c r="F515" s="177"/>
      <c r="G515" s="177"/>
      <c r="H515" s="177"/>
      <c r="I515" s="177"/>
      <c r="J515" s="177"/>
      <c r="K515" s="177"/>
      <c r="L515" s="177"/>
      <c r="M515" s="177"/>
      <c r="N515" s="177"/>
      <c r="O515" s="177"/>
      <c r="P515" s="177"/>
    </row>
    <row r="516" spans="2:16" hidden="1">
      <c r="B516" s="177"/>
      <c r="C516" s="46" t="s">
        <v>2831</v>
      </c>
      <c r="D516" s="177"/>
      <c r="E516" s="177"/>
      <c r="F516" s="177"/>
      <c r="G516" s="177"/>
      <c r="H516" s="177"/>
      <c r="I516" s="177"/>
      <c r="J516" s="177"/>
      <c r="K516" s="177"/>
      <c r="L516" s="177"/>
      <c r="M516" s="177"/>
      <c r="N516" s="177"/>
      <c r="O516" s="177"/>
      <c r="P516" s="177"/>
    </row>
    <row r="517" spans="2:16" hidden="1">
      <c r="B517" s="177"/>
      <c r="C517" s="265"/>
      <c r="D517" s="265"/>
      <c r="E517" s="275" t="s">
        <v>160</v>
      </c>
      <c r="F517" s="276">
        <v>2013</v>
      </c>
      <c r="G517" s="277">
        <v>2015</v>
      </c>
      <c r="H517" s="277">
        <v>2020</v>
      </c>
      <c r="I517" s="277">
        <v>2025</v>
      </c>
      <c r="J517" s="277">
        <v>2030</v>
      </c>
      <c r="K517" s="277">
        <v>2035</v>
      </c>
      <c r="L517" s="277">
        <v>2040</v>
      </c>
      <c r="M517" s="277">
        <v>2045</v>
      </c>
      <c r="N517" s="277">
        <v>2050</v>
      </c>
      <c r="O517" s="177"/>
      <c r="P517" s="177"/>
    </row>
    <row r="518" spans="2:16" hidden="1">
      <c r="B518" s="177"/>
      <c r="C518" s="278">
        <v>1</v>
      </c>
      <c r="D518" s="279" t="s">
        <v>46</v>
      </c>
      <c r="E518" s="280">
        <v>0</v>
      </c>
      <c r="F518" s="281">
        <v>1.7999999999999998E-4</v>
      </c>
      <c r="G518" s="268">
        <v>1.7999999999999998E-4</v>
      </c>
      <c r="H518" s="268">
        <v>1.7999999999999998E-4</v>
      </c>
      <c r="I518" s="268">
        <v>1.7999999999999998E-4</v>
      </c>
      <c r="J518" s="268">
        <v>1.7999999999999998E-4</v>
      </c>
      <c r="K518" s="268">
        <v>1.7999999999999998E-4</v>
      </c>
      <c r="L518" s="268">
        <v>1.7999999999999998E-4</v>
      </c>
      <c r="M518" s="268">
        <v>1.7999999999999998E-4</v>
      </c>
      <c r="N518" s="281">
        <v>1.7999999999999998E-4</v>
      </c>
      <c r="O518" s="177"/>
      <c r="P518" s="177"/>
    </row>
    <row r="519" spans="2:16" hidden="1">
      <c r="B519" s="177"/>
      <c r="C519" s="56">
        <v>2</v>
      </c>
      <c r="D519" s="282" t="s">
        <v>47</v>
      </c>
      <c r="E519" s="255">
        <v>0</v>
      </c>
      <c r="F519" s="242">
        <v>1.7999999999999998E-4</v>
      </c>
      <c r="G519" s="256">
        <v>1.7999999999999998E-4</v>
      </c>
      <c r="H519" s="256">
        <v>1.7999999999999998E-4</v>
      </c>
      <c r="I519" s="256">
        <v>1.7999999999999998E-4</v>
      </c>
      <c r="J519" s="256">
        <v>1.7999999999999998E-4</v>
      </c>
      <c r="K519" s="256">
        <v>1.7999999999999998E-4</v>
      </c>
      <c r="L519" s="256">
        <v>1.7999999999999998E-4</v>
      </c>
      <c r="M519" s="256">
        <v>1.7999999999999998E-4</v>
      </c>
      <c r="N519" s="242">
        <v>1.7999999999999998E-4</v>
      </c>
      <c r="O519" s="177"/>
      <c r="P519" s="177"/>
    </row>
    <row r="520" spans="2:16" hidden="1">
      <c r="B520" s="177"/>
      <c r="C520" s="56">
        <v>3</v>
      </c>
      <c r="D520" s="282" t="s">
        <v>48</v>
      </c>
      <c r="E520" s="255">
        <v>0</v>
      </c>
      <c r="F520" s="242">
        <v>1.9599999999999999E-4</v>
      </c>
      <c r="G520" s="256">
        <v>1.9599999999999999E-4</v>
      </c>
      <c r="H520" s="256">
        <v>1.9599999999999999E-4</v>
      </c>
      <c r="I520" s="256">
        <v>1.9599999999999999E-4</v>
      </c>
      <c r="J520" s="256">
        <v>1.9599999999999999E-4</v>
      </c>
      <c r="K520" s="256">
        <v>1.9599999999999999E-4</v>
      </c>
      <c r="L520" s="256">
        <v>1.9599999999999999E-4</v>
      </c>
      <c r="M520" s="256">
        <v>1.9599999999999999E-4</v>
      </c>
      <c r="N520" s="242">
        <v>1.9599999999999999E-4</v>
      </c>
      <c r="O520" s="177"/>
      <c r="P520" s="177"/>
    </row>
    <row r="521" spans="2:16" hidden="1">
      <c r="B521" s="177"/>
      <c r="C521" s="56">
        <v>4</v>
      </c>
      <c r="D521" s="282" t="s">
        <v>49</v>
      </c>
      <c r="E521" s="255">
        <v>0</v>
      </c>
      <c r="F521" s="242">
        <v>1.7999999999999998E-4</v>
      </c>
      <c r="G521" s="256">
        <v>1.7999999999999998E-4</v>
      </c>
      <c r="H521" s="256">
        <v>1.7999999999999998E-4</v>
      </c>
      <c r="I521" s="256">
        <v>1.7999999999999998E-4</v>
      </c>
      <c r="J521" s="256">
        <v>1.7999999999999998E-4</v>
      </c>
      <c r="K521" s="256">
        <v>1.7999999999999998E-4</v>
      </c>
      <c r="L521" s="256">
        <v>1.7999999999999998E-4</v>
      </c>
      <c r="M521" s="256">
        <v>1.7999999999999998E-4</v>
      </c>
      <c r="N521" s="242">
        <v>1.7999999999999998E-4</v>
      </c>
      <c r="O521" s="177"/>
      <c r="P521" s="177"/>
    </row>
    <row r="522" spans="2:16" hidden="1">
      <c r="B522" s="177"/>
      <c r="C522" s="56">
        <v>5</v>
      </c>
      <c r="D522" s="282" t="s">
        <v>50</v>
      </c>
      <c r="E522" s="255">
        <v>0</v>
      </c>
      <c r="F522" s="242">
        <v>3.2499999999999999E-4</v>
      </c>
      <c r="G522" s="256">
        <v>3.2499999999999999E-4</v>
      </c>
      <c r="H522" s="256">
        <v>3.2499999999999999E-4</v>
      </c>
      <c r="I522" s="256">
        <v>3.2499999999999999E-4</v>
      </c>
      <c r="J522" s="256">
        <v>3.2499999999999999E-4</v>
      </c>
      <c r="K522" s="256">
        <v>3.2499999999999999E-4</v>
      </c>
      <c r="L522" s="256">
        <v>3.2499999999999999E-4</v>
      </c>
      <c r="M522" s="256">
        <v>3.2499999999999999E-4</v>
      </c>
      <c r="N522" s="242">
        <v>3.2499999999999999E-4</v>
      </c>
      <c r="O522" s="177"/>
      <c r="P522" s="177"/>
    </row>
    <row r="523" spans="2:16" hidden="1">
      <c r="B523" s="177"/>
      <c r="C523" s="56">
        <v>6</v>
      </c>
      <c r="D523" s="282" t="s">
        <v>51</v>
      </c>
      <c r="E523" s="255">
        <v>0</v>
      </c>
      <c r="F523" s="242">
        <v>1.7999999999999998E-4</v>
      </c>
      <c r="G523" s="256">
        <v>1.7999999999999998E-4</v>
      </c>
      <c r="H523" s="256">
        <v>1.7999999999999998E-4</v>
      </c>
      <c r="I523" s="256">
        <v>1.7999999999999998E-4</v>
      </c>
      <c r="J523" s="256">
        <v>1.7999999999999998E-4</v>
      </c>
      <c r="K523" s="256">
        <v>1.7999999999999998E-4</v>
      </c>
      <c r="L523" s="256">
        <v>1.7999999999999998E-4</v>
      </c>
      <c r="M523" s="256">
        <v>1.7999999999999998E-4</v>
      </c>
      <c r="N523" s="242">
        <v>1.7999999999999998E-4</v>
      </c>
      <c r="O523" s="177"/>
      <c r="P523" s="177"/>
    </row>
    <row r="524" spans="2:16" hidden="1">
      <c r="B524" s="177"/>
      <c r="C524" s="56">
        <v>7</v>
      </c>
      <c r="D524" s="282" t="s">
        <v>52</v>
      </c>
      <c r="E524" s="255">
        <v>0</v>
      </c>
      <c r="F524" s="242">
        <v>1.7999999999999998E-4</v>
      </c>
      <c r="G524" s="256">
        <v>1.7999999999999998E-4</v>
      </c>
      <c r="H524" s="256">
        <v>1.7999999999999998E-4</v>
      </c>
      <c r="I524" s="256">
        <v>1.7999999999999998E-4</v>
      </c>
      <c r="J524" s="256">
        <v>1.7999999999999998E-4</v>
      </c>
      <c r="K524" s="256">
        <v>1.7999999999999998E-4</v>
      </c>
      <c r="L524" s="256">
        <v>1.7999999999999998E-4</v>
      </c>
      <c r="M524" s="256">
        <v>1.7999999999999998E-4</v>
      </c>
      <c r="N524" s="242">
        <v>1.7999999999999998E-4</v>
      </c>
      <c r="O524" s="177"/>
      <c r="P524" s="177"/>
    </row>
    <row r="525" spans="2:16" hidden="1">
      <c r="B525" s="177"/>
      <c r="C525" s="56">
        <v>8</v>
      </c>
      <c r="D525" s="282" t="s">
        <v>53</v>
      </c>
      <c r="E525" s="255">
        <v>0</v>
      </c>
      <c r="F525" s="242">
        <v>7.9803141398383191E-5</v>
      </c>
      <c r="G525" s="256">
        <v>7.9803141398383191E-5</v>
      </c>
      <c r="H525" s="256">
        <v>7.9803141398383191E-5</v>
      </c>
      <c r="I525" s="256">
        <v>7.9803141398383191E-5</v>
      </c>
      <c r="J525" s="256">
        <v>7.9803141398383191E-5</v>
      </c>
      <c r="K525" s="256">
        <v>7.9803141398383191E-5</v>
      </c>
      <c r="L525" s="256">
        <v>7.9803141398383191E-5</v>
      </c>
      <c r="M525" s="256">
        <v>7.9803141398383191E-5</v>
      </c>
      <c r="N525" s="242">
        <v>7.9803141398383191E-5</v>
      </c>
      <c r="O525" s="177"/>
      <c r="P525" s="177"/>
    </row>
    <row r="526" spans="2:16" hidden="1">
      <c r="B526" s="177"/>
      <c r="C526" s="56">
        <v>9</v>
      </c>
      <c r="D526" s="282" t="s">
        <v>54</v>
      </c>
      <c r="E526" s="255">
        <v>0</v>
      </c>
      <c r="F526" s="242">
        <v>7.0353141398383178E-5</v>
      </c>
      <c r="G526" s="256">
        <v>7.0353141398383178E-5</v>
      </c>
      <c r="H526" s="256">
        <v>7.0353141398383178E-5</v>
      </c>
      <c r="I526" s="256">
        <v>7.0353141398383178E-5</v>
      </c>
      <c r="J526" s="256">
        <v>7.0353141398383178E-5</v>
      </c>
      <c r="K526" s="256">
        <v>7.0353141398383178E-5</v>
      </c>
      <c r="L526" s="256">
        <v>7.0353141398383178E-5</v>
      </c>
      <c r="M526" s="256">
        <v>7.0353141398383178E-5</v>
      </c>
      <c r="N526" s="242">
        <v>7.0353141398383178E-5</v>
      </c>
      <c r="O526" s="177"/>
      <c r="P526" s="177"/>
    </row>
    <row r="527" spans="2:16" hidden="1">
      <c r="B527" s="177"/>
      <c r="C527" s="56">
        <v>10</v>
      </c>
      <c r="D527" s="282" t="s">
        <v>55</v>
      </c>
      <c r="E527" s="255">
        <v>0</v>
      </c>
      <c r="F527" s="242">
        <v>1.1139182364521794E-3</v>
      </c>
      <c r="G527" s="256">
        <v>1.1139182364521794E-3</v>
      </c>
      <c r="H527" s="256">
        <v>1.1139182364521794E-3</v>
      </c>
      <c r="I527" s="256">
        <v>1.1139182364521794E-3</v>
      </c>
      <c r="J527" s="256">
        <v>1.1139182364521794E-3</v>
      </c>
      <c r="K527" s="256">
        <v>1.1139182364521794E-3</v>
      </c>
      <c r="L527" s="256">
        <v>1.1139182364521794E-3</v>
      </c>
      <c r="M527" s="256">
        <v>1.1139182364521794E-3</v>
      </c>
      <c r="N527" s="242">
        <v>1.1139182364521794E-3</v>
      </c>
      <c r="O527" s="177"/>
      <c r="P527" s="177"/>
    </row>
    <row r="528" spans="2:16" hidden="1">
      <c r="B528" s="177"/>
      <c r="C528" s="56">
        <v>11</v>
      </c>
      <c r="D528" s="282" t="s">
        <v>56</v>
      </c>
      <c r="E528" s="255">
        <v>0</v>
      </c>
      <c r="F528" s="242">
        <v>4.8324018236452172E-4</v>
      </c>
      <c r="G528" s="256">
        <v>4.8324018236452172E-4</v>
      </c>
      <c r="H528" s="256">
        <v>4.8324018236452172E-4</v>
      </c>
      <c r="I528" s="256">
        <v>4.8324018236452172E-4</v>
      </c>
      <c r="J528" s="256">
        <v>4.8324018236452172E-4</v>
      </c>
      <c r="K528" s="256">
        <v>4.8324018236452172E-4</v>
      </c>
      <c r="L528" s="256">
        <v>4.8324018236452172E-4</v>
      </c>
      <c r="M528" s="256">
        <v>4.8324018236452172E-4</v>
      </c>
      <c r="N528" s="242">
        <v>4.8324018236452172E-4</v>
      </c>
      <c r="O528" s="177"/>
      <c r="P528" s="177"/>
    </row>
    <row r="529" spans="2:16" hidden="1">
      <c r="B529" s="177"/>
      <c r="C529" s="56">
        <v>12</v>
      </c>
      <c r="D529" s="282" t="s">
        <v>57</v>
      </c>
      <c r="E529" s="255">
        <v>0</v>
      </c>
      <c r="F529" s="242">
        <v>1.029E-3</v>
      </c>
      <c r="G529" s="256">
        <v>1.029E-3</v>
      </c>
      <c r="H529" s="256">
        <v>1.029E-3</v>
      </c>
      <c r="I529" s="256">
        <v>1.029E-3</v>
      </c>
      <c r="J529" s="256">
        <v>1.029E-3</v>
      </c>
      <c r="K529" s="256">
        <v>1.029E-3</v>
      </c>
      <c r="L529" s="256">
        <v>1.029E-3</v>
      </c>
      <c r="M529" s="256">
        <v>1.029E-3</v>
      </c>
      <c r="N529" s="242">
        <v>1.029E-3</v>
      </c>
      <c r="O529" s="177"/>
      <c r="P529" s="177"/>
    </row>
    <row r="530" spans="2:16" hidden="1">
      <c r="B530" s="177"/>
      <c r="C530" s="146">
        <v>13</v>
      </c>
      <c r="D530" s="283" t="s">
        <v>58</v>
      </c>
      <c r="E530" s="259">
        <v>0</v>
      </c>
      <c r="F530" s="260">
        <v>8.4999999999999993E-5</v>
      </c>
      <c r="G530" s="261">
        <v>8.4999999999999993E-5</v>
      </c>
      <c r="H530" s="261">
        <v>8.4999999999999993E-5</v>
      </c>
      <c r="I530" s="261">
        <v>8.4999999999999993E-5</v>
      </c>
      <c r="J530" s="261">
        <v>8.4999999999999993E-5</v>
      </c>
      <c r="K530" s="261">
        <v>8.4999999999999993E-5</v>
      </c>
      <c r="L530" s="261">
        <v>8.4999999999999993E-5</v>
      </c>
      <c r="M530" s="261">
        <v>8.4999999999999993E-5</v>
      </c>
      <c r="N530" s="260">
        <v>8.4999999999999993E-5</v>
      </c>
      <c r="O530" s="177"/>
      <c r="P530" s="177"/>
    </row>
    <row r="531" spans="2:16" hidden="1">
      <c r="B531" s="177"/>
      <c r="C531" s="46"/>
      <c r="D531" s="46"/>
      <c r="E531" s="262"/>
      <c r="F531" s="263"/>
      <c r="G531" s="264"/>
      <c r="H531" s="264"/>
      <c r="I531" s="264"/>
      <c r="J531" s="264"/>
      <c r="K531" s="264"/>
      <c r="L531" s="264"/>
      <c r="M531" s="264"/>
      <c r="N531" s="264"/>
      <c r="O531" s="177"/>
      <c r="P531" s="177"/>
    </row>
    <row r="532" spans="2:16" hidden="1">
      <c r="B532" s="177"/>
      <c r="C532" s="265">
        <v>1</v>
      </c>
      <c r="D532" s="265" t="s">
        <v>61</v>
      </c>
      <c r="E532" s="280">
        <v>0</v>
      </c>
      <c r="F532" s="281">
        <v>1.0199999999999999E-4</v>
      </c>
      <c r="G532" s="268">
        <v>1.0199999999999999E-4</v>
      </c>
      <c r="H532" s="268">
        <v>1.0199999999999999E-4</v>
      </c>
      <c r="I532" s="268">
        <v>1.0199999999999999E-4</v>
      </c>
      <c r="J532" s="268">
        <v>1.0199999999999999E-4</v>
      </c>
      <c r="K532" s="268">
        <v>1.0199999999999999E-4</v>
      </c>
      <c r="L532" s="268">
        <v>1.0199999999999999E-4</v>
      </c>
      <c r="M532" s="268">
        <v>1.0199999999999999E-4</v>
      </c>
      <c r="N532" s="281">
        <v>1.0199999999999999E-4</v>
      </c>
      <c r="O532" s="177"/>
      <c r="P532" s="177"/>
    </row>
    <row r="533" spans="2:16" hidden="1">
      <c r="B533" s="177"/>
      <c r="C533" s="46">
        <v>2</v>
      </c>
      <c r="D533" s="46" t="s">
        <v>62</v>
      </c>
      <c r="E533" s="255">
        <v>0</v>
      </c>
      <c r="F533" s="242">
        <v>1.0199999999999999E-4</v>
      </c>
      <c r="G533" s="256">
        <v>1.0199999999999999E-4</v>
      </c>
      <c r="H533" s="256">
        <v>1.0199999999999999E-4</v>
      </c>
      <c r="I533" s="256">
        <v>1.0199999999999999E-4</v>
      </c>
      <c r="J533" s="256">
        <v>1.0199999999999999E-4</v>
      </c>
      <c r="K533" s="256">
        <v>1.0199999999999999E-4</v>
      </c>
      <c r="L533" s="256">
        <v>1.0199999999999999E-4</v>
      </c>
      <c r="M533" s="256">
        <v>1.0199999999999999E-4</v>
      </c>
      <c r="N533" s="242">
        <v>1.0199999999999999E-4</v>
      </c>
      <c r="O533" s="177"/>
      <c r="P533" s="177"/>
    </row>
    <row r="534" spans="2:16" hidden="1">
      <c r="B534" s="177"/>
      <c r="C534" s="181">
        <v>3</v>
      </c>
      <c r="D534" s="181" t="s">
        <v>63</v>
      </c>
      <c r="E534" s="259">
        <v>0</v>
      </c>
      <c r="F534" s="260">
        <v>1.0199999999999999E-4</v>
      </c>
      <c r="G534" s="261">
        <v>1.0199999999999999E-4</v>
      </c>
      <c r="H534" s="261">
        <v>1.0199999999999999E-4</v>
      </c>
      <c r="I534" s="261">
        <v>1.0199999999999999E-4</v>
      </c>
      <c r="J534" s="261">
        <v>1.0199999999999999E-4</v>
      </c>
      <c r="K534" s="261">
        <v>1.0199999999999999E-4</v>
      </c>
      <c r="L534" s="261">
        <v>1.0199999999999999E-4</v>
      </c>
      <c r="M534" s="261">
        <v>1.0199999999999999E-4</v>
      </c>
      <c r="N534" s="260">
        <v>1.0199999999999999E-4</v>
      </c>
      <c r="O534" s="177"/>
      <c r="P534" s="177"/>
    </row>
    <row r="535" spans="2:16" hidden="1">
      <c r="B535" s="177"/>
      <c r="C535" s="273"/>
      <c r="D535" s="177"/>
      <c r="E535" s="177"/>
      <c r="F535" s="264"/>
      <c r="G535" s="264"/>
      <c r="H535" s="264"/>
      <c r="I535" s="264"/>
      <c r="J535" s="264"/>
      <c r="K535" s="264"/>
      <c r="L535" s="264"/>
      <c r="M535" s="264"/>
      <c r="N535" s="264"/>
      <c r="O535" s="177"/>
      <c r="P535" s="177"/>
    </row>
    <row r="536" spans="2:16" hidden="1">
      <c r="B536" s="177"/>
      <c r="C536" s="286" t="s">
        <v>172</v>
      </c>
      <c r="D536" s="177"/>
      <c r="E536" s="177"/>
      <c r="F536" s="264"/>
      <c r="G536" s="264"/>
      <c r="H536" s="264"/>
      <c r="I536" s="264"/>
      <c r="J536" s="264"/>
      <c r="K536" s="264"/>
      <c r="L536" s="264"/>
      <c r="M536" s="264"/>
      <c r="N536" s="264"/>
      <c r="O536" s="177"/>
      <c r="P536" s="177"/>
    </row>
    <row r="537" spans="2:16" hidden="1">
      <c r="B537" s="177"/>
      <c r="C537" s="46" t="s">
        <v>2831</v>
      </c>
      <c r="D537" s="177"/>
      <c r="E537" s="177"/>
      <c r="F537" s="264"/>
      <c r="G537" s="264"/>
      <c r="H537" s="264"/>
      <c r="I537" s="264"/>
      <c r="J537" s="264"/>
      <c r="K537" s="264"/>
      <c r="L537" s="264"/>
      <c r="M537" s="264"/>
      <c r="N537" s="264"/>
      <c r="O537" s="177"/>
      <c r="P537" s="177"/>
    </row>
    <row r="538" spans="2:16" hidden="1">
      <c r="B538" s="177"/>
      <c r="C538" s="250"/>
      <c r="D538" s="265"/>
      <c r="E538" s="275" t="s">
        <v>160</v>
      </c>
      <c r="F538" s="276">
        <v>2013</v>
      </c>
      <c r="G538" s="277">
        <v>2015</v>
      </c>
      <c r="H538" s="277">
        <v>2020</v>
      </c>
      <c r="I538" s="277">
        <v>2025</v>
      </c>
      <c r="J538" s="277">
        <v>2030</v>
      </c>
      <c r="K538" s="277">
        <v>2035</v>
      </c>
      <c r="L538" s="277">
        <v>2040</v>
      </c>
      <c r="M538" s="277">
        <v>2045</v>
      </c>
      <c r="N538" s="277">
        <v>2050</v>
      </c>
      <c r="O538" s="177"/>
      <c r="P538" s="177"/>
    </row>
    <row r="539" spans="2:16" hidden="1">
      <c r="B539" s="177"/>
      <c r="C539" s="278">
        <v>1</v>
      </c>
      <c r="D539" s="279" t="s">
        <v>46</v>
      </c>
      <c r="E539" s="280">
        <v>0</v>
      </c>
      <c r="F539" s="281">
        <v>1.7999999999999998E-4</v>
      </c>
      <c r="G539" s="268">
        <v>1.7999999999999998E-4</v>
      </c>
      <c r="H539" s="268">
        <v>1.7999999999999998E-4</v>
      </c>
      <c r="I539" s="268">
        <v>1.7999999999999998E-4</v>
      </c>
      <c r="J539" s="268">
        <v>1.7999999999999998E-4</v>
      </c>
      <c r="K539" s="268">
        <v>1.7999999999999998E-4</v>
      </c>
      <c r="L539" s="268">
        <v>1.7999999999999998E-4</v>
      </c>
      <c r="M539" s="268">
        <v>1.7999999999999998E-4</v>
      </c>
      <c r="N539" s="281">
        <v>1.7999999999999998E-4</v>
      </c>
      <c r="O539" s="177"/>
      <c r="P539" s="177"/>
    </row>
    <row r="540" spans="2:16" hidden="1">
      <c r="B540" s="177"/>
      <c r="C540" s="56">
        <v>2</v>
      </c>
      <c r="D540" s="282" t="s">
        <v>47</v>
      </c>
      <c r="E540" s="255">
        <v>0</v>
      </c>
      <c r="F540" s="242">
        <v>1.7999999999999998E-4</v>
      </c>
      <c r="G540" s="256">
        <v>1.7999999999999998E-4</v>
      </c>
      <c r="H540" s="256">
        <v>1.7999999999999998E-4</v>
      </c>
      <c r="I540" s="256">
        <v>1.7999999999999998E-4</v>
      </c>
      <c r="J540" s="256">
        <v>1.7999999999999998E-4</v>
      </c>
      <c r="K540" s="256">
        <v>1.7999999999999998E-4</v>
      </c>
      <c r="L540" s="256">
        <v>1.7999999999999998E-4</v>
      </c>
      <c r="M540" s="256">
        <v>1.7999999999999998E-4</v>
      </c>
      <c r="N540" s="242">
        <v>1.7999999999999998E-4</v>
      </c>
      <c r="O540" s="177"/>
      <c r="P540" s="177"/>
    </row>
    <row r="541" spans="2:16" hidden="1">
      <c r="B541" s="177"/>
      <c r="C541" s="56">
        <v>3</v>
      </c>
      <c r="D541" s="282" t="s">
        <v>48</v>
      </c>
      <c r="E541" s="255">
        <v>0</v>
      </c>
      <c r="F541" s="242">
        <v>1.9599999999999999E-4</v>
      </c>
      <c r="G541" s="256">
        <v>1.9599999999999999E-4</v>
      </c>
      <c r="H541" s="256">
        <v>1.9599999999999999E-4</v>
      </c>
      <c r="I541" s="256">
        <v>1.9599999999999999E-4</v>
      </c>
      <c r="J541" s="256">
        <v>1.9599999999999999E-4</v>
      </c>
      <c r="K541" s="256">
        <v>1.9599999999999999E-4</v>
      </c>
      <c r="L541" s="256">
        <v>1.9599999999999999E-4</v>
      </c>
      <c r="M541" s="256">
        <v>1.9599999999999999E-4</v>
      </c>
      <c r="N541" s="242">
        <v>1.9599999999999999E-4</v>
      </c>
      <c r="O541" s="177"/>
      <c r="P541" s="177"/>
    </row>
    <row r="542" spans="2:16" hidden="1">
      <c r="B542" s="177"/>
      <c r="C542" s="56">
        <v>4</v>
      </c>
      <c r="D542" s="282" t="s">
        <v>49</v>
      </c>
      <c r="E542" s="255">
        <v>0</v>
      </c>
      <c r="F542" s="242">
        <v>3.9999999999999996E-5</v>
      </c>
      <c r="G542" s="256">
        <v>3.9999999999999996E-5</v>
      </c>
      <c r="H542" s="256">
        <v>3.9999999999999996E-5</v>
      </c>
      <c r="I542" s="256">
        <v>3.9999999999999996E-5</v>
      </c>
      <c r="J542" s="256">
        <v>3.9999999999999996E-5</v>
      </c>
      <c r="K542" s="256">
        <v>3.9999999999999996E-5</v>
      </c>
      <c r="L542" s="256">
        <v>3.9999999999999996E-5</v>
      </c>
      <c r="M542" s="256">
        <v>3.9999999999999996E-5</v>
      </c>
      <c r="N542" s="242">
        <v>3.9999999999999996E-5</v>
      </c>
      <c r="O542" s="177"/>
      <c r="P542" s="177"/>
    </row>
    <row r="543" spans="2:16" hidden="1">
      <c r="B543" s="177"/>
      <c r="C543" s="56">
        <v>5</v>
      </c>
      <c r="D543" s="282" t="s">
        <v>50</v>
      </c>
      <c r="E543" s="255">
        <v>0</v>
      </c>
      <c r="F543" s="242">
        <v>2.1999999999999998E-4</v>
      </c>
      <c r="G543" s="256">
        <v>2.1999999999999998E-4</v>
      </c>
      <c r="H543" s="256">
        <v>2.1999999999999998E-4</v>
      </c>
      <c r="I543" s="256">
        <v>2.1999999999999998E-4</v>
      </c>
      <c r="J543" s="256">
        <v>2.1999999999999998E-4</v>
      </c>
      <c r="K543" s="256">
        <v>2.1999999999999998E-4</v>
      </c>
      <c r="L543" s="256">
        <v>2.1999999999999998E-4</v>
      </c>
      <c r="M543" s="256">
        <v>2.1999999999999998E-4</v>
      </c>
      <c r="N543" s="242">
        <v>2.1999999999999998E-4</v>
      </c>
      <c r="O543" s="177"/>
      <c r="P543" s="177"/>
    </row>
    <row r="544" spans="2:16" hidden="1">
      <c r="B544" s="177"/>
      <c r="C544" s="56">
        <v>6</v>
      </c>
      <c r="D544" s="282" t="s">
        <v>51</v>
      </c>
      <c r="E544" s="255">
        <v>0</v>
      </c>
      <c r="F544" s="242">
        <v>1.7999999999999998E-4</v>
      </c>
      <c r="G544" s="256">
        <v>1.7999999999999998E-4</v>
      </c>
      <c r="H544" s="256">
        <v>1.7999999999999998E-4</v>
      </c>
      <c r="I544" s="256">
        <v>1.7999999999999998E-4</v>
      </c>
      <c r="J544" s="256">
        <v>1.7999999999999998E-4</v>
      </c>
      <c r="K544" s="256">
        <v>1.7999999999999998E-4</v>
      </c>
      <c r="L544" s="256">
        <v>1.7999999999999998E-4</v>
      </c>
      <c r="M544" s="256">
        <v>1.7999999999999998E-4</v>
      </c>
      <c r="N544" s="242">
        <v>1.7999999999999998E-4</v>
      </c>
      <c r="O544" s="177"/>
      <c r="P544" s="177"/>
    </row>
    <row r="545" spans="1:16" hidden="1">
      <c r="B545" s="177"/>
      <c r="C545" s="56">
        <v>7</v>
      </c>
      <c r="D545" s="282" t="s">
        <v>52</v>
      </c>
      <c r="E545" s="255">
        <v>0</v>
      </c>
      <c r="F545" s="242">
        <v>1.7999999999999998E-4</v>
      </c>
      <c r="G545" s="256">
        <v>1.7999999999999998E-4</v>
      </c>
      <c r="H545" s="256">
        <v>1.7999999999999998E-4</v>
      </c>
      <c r="I545" s="256">
        <v>1.7999999999999998E-4</v>
      </c>
      <c r="J545" s="256">
        <v>1.7999999999999998E-4</v>
      </c>
      <c r="K545" s="256">
        <v>1.7999999999999998E-4</v>
      </c>
      <c r="L545" s="256">
        <v>1.7999999999999998E-4</v>
      </c>
      <c r="M545" s="256">
        <v>1.7999999999999998E-4</v>
      </c>
      <c r="N545" s="242">
        <v>1.7999999999999998E-4</v>
      </c>
      <c r="O545" s="177"/>
      <c r="P545" s="177"/>
    </row>
    <row r="546" spans="1:16" hidden="1">
      <c r="B546" s="177"/>
      <c r="C546" s="56">
        <v>8</v>
      </c>
      <c r="D546" s="282" t="s">
        <v>53</v>
      </c>
      <c r="E546" s="255">
        <v>0</v>
      </c>
      <c r="F546" s="242">
        <v>5.43894483052049E-5</v>
      </c>
      <c r="G546" s="256">
        <v>5.43894483052049E-5</v>
      </c>
      <c r="H546" s="256">
        <v>5.43894483052049E-5</v>
      </c>
      <c r="I546" s="256">
        <v>5.43894483052049E-5</v>
      </c>
      <c r="J546" s="256">
        <v>5.43894483052049E-5</v>
      </c>
      <c r="K546" s="256">
        <v>5.43894483052049E-5</v>
      </c>
      <c r="L546" s="256">
        <v>5.43894483052049E-5</v>
      </c>
      <c r="M546" s="256">
        <v>5.43894483052049E-5</v>
      </c>
      <c r="N546" s="242">
        <v>5.43894483052049E-5</v>
      </c>
      <c r="O546" s="177"/>
      <c r="P546" s="177"/>
    </row>
    <row r="547" spans="1:16" hidden="1">
      <c r="B547" s="177"/>
      <c r="C547" s="56">
        <v>9</v>
      </c>
      <c r="D547" s="282" t="s">
        <v>54</v>
      </c>
      <c r="E547" s="255">
        <v>0</v>
      </c>
      <c r="F547" s="242">
        <v>5.43894483052049E-5</v>
      </c>
      <c r="G547" s="256">
        <v>5.43894483052049E-5</v>
      </c>
      <c r="H547" s="256">
        <v>5.43894483052049E-5</v>
      </c>
      <c r="I547" s="256">
        <v>5.43894483052049E-5</v>
      </c>
      <c r="J547" s="256">
        <v>5.43894483052049E-5</v>
      </c>
      <c r="K547" s="256">
        <v>5.43894483052049E-5</v>
      </c>
      <c r="L547" s="256">
        <v>5.43894483052049E-5</v>
      </c>
      <c r="M547" s="256">
        <v>5.43894483052049E-5</v>
      </c>
      <c r="N547" s="242">
        <v>5.43894483052049E-5</v>
      </c>
      <c r="O547" s="177"/>
      <c r="P547" s="177"/>
    </row>
    <row r="548" spans="1:16" hidden="1">
      <c r="B548" s="177"/>
      <c r="C548" s="56">
        <v>10</v>
      </c>
      <c r="D548" s="282" t="s">
        <v>55</v>
      </c>
      <c r="E548" s="255">
        <v>0</v>
      </c>
      <c r="F548" s="242">
        <v>1.1138742099264299E-3</v>
      </c>
      <c r="G548" s="256">
        <v>1.1138742099264299E-3</v>
      </c>
      <c r="H548" s="256">
        <v>1.1138742099264299E-3</v>
      </c>
      <c r="I548" s="256">
        <v>1.1138742099264299E-3</v>
      </c>
      <c r="J548" s="256">
        <v>1.1138742099264299E-3</v>
      </c>
      <c r="K548" s="256">
        <v>1.1138742099264299E-3</v>
      </c>
      <c r="L548" s="256">
        <v>1.1138742099264299E-3</v>
      </c>
      <c r="M548" s="256">
        <v>1.1138742099264299E-3</v>
      </c>
      <c r="N548" s="242">
        <v>1.1138742099264299E-3</v>
      </c>
      <c r="O548" s="177"/>
      <c r="P548" s="177"/>
    </row>
    <row r="549" spans="1:16" hidden="1">
      <c r="B549" s="177"/>
      <c r="C549" s="56">
        <v>11</v>
      </c>
      <c r="D549" s="282" t="s">
        <v>56</v>
      </c>
      <c r="E549" s="255">
        <v>0</v>
      </c>
      <c r="F549" s="242">
        <v>1.11387420992643E-5</v>
      </c>
      <c r="G549" s="256">
        <v>1.11387420992643E-5</v>
      </c>
      <c r="H549" s="256">
        <v>1.11387420992643E-5</v>
      </c>
      <c r="I549" s="256">
        <v>1.11387420992643E-5</v>
      </c>
      <c r="J549" s="256">
        <v>1.11387420992643E-5</v>
      </c>
      <c r="K549" s="256">
        <v>1.11387420992643E-5</v>
      </c>
      <c r="L549" s="256">
        <v>1.11387420992643E-5</v>
      </c>
      <c r="M549" s="256">
        <v>1.11387420992643E-5</v>
      </c>
      <c r="N549" s="242">
        <v>1.11387420992643E-5</v>
      </c>
      <c r="O549" s="177"/>
      <c r="P549" s="177"/>
    </row>
    <row r="550" spans="1:16" hidden="1">
      <c r="B550" s="177"/>
      <c r="C550" s="56">
        <v>12</v>
      </c>
      <c r="D550" s="282" t="s">
        <v>57</v>
      </c>
      <c r="E550" s="255">
        <v>0</v>
      </c>
      <c r="F550" s="242">
        <v>5.5999999999999995E-4</v>
      </c>
      <c r="G550" s="256">
        <v>5.5999999999999995E-4</v>
      </c>
      <c r="H550" s="256">
        <v>5.5999999999999995E-4</v>
      </c>
      <c r="I550" s="256">
        <v>5.5999999999999995E-4</v>
      </c>
      <c r="J550" s="256">
        <v>5.5999999999999995E-4</v>
      </c>
      <c r="K550" s="256">
        <v>5.5999999999999995E-4</v>
      </c>
      <c r="L550" s="256">
        <v>5.5999999999999995E-4</v>
      </c>
      <c r="M550" s="256">
        <v>5.5999999999999995E-4</v>
      </c>
      <c r="N550" s="242">
        <v>5.5999999999999995E-4</v>
      </c>
      <c r="O550" s="177"/>
      <c r="P550" s="177"/>
    </row>
    <row r="551" spans="1:16" hidden="1">
      <c r="B551" s="177"/>
      <c r="C551" s="146">
        <v>13</v>
      </c>
      <c r="D551" s="283" t="s">
        <v>58</v>
      </c>
      <c r="E551" s="259">
        <v>0</v>
      </c>
      <c r="F551" s="260">
        <v>4.9999999999999996E-5</v>
      </c>
      <c r="G551" s="261">
        <v>4.9999999999999996E-5</v>
      </c>
      <c r="H551" s="261">
        <v>4.9999999999999996E-5</v>
      </c>
      <c r="I551" s="261">
        <v>4.9999999999999996E-5</v>
      </c>
      <c r="J551" s="261">
        <v>4.9999999999999996E-5</v>
      </c>
      <c r="K551" s="261">
        <v>4.9999999999999996E-5</v>
      </c>
      <c r="L551" s="261">
        <v>4.9999999999999996E-5</v>
      </c>
      <c r="M551" s="261">
        <v>4.9999999999999996E-5</v>
      </c>
      <c r="N551" s="260">
        <v>4.9999999999999996E-5</v>
      </c>
      <c r="O551" s="177"/>
      <c r="P551" s="177"/>
    </row>
    <row r="552" spans="1:16" hidden="1">
      <c r="B552" s="177"/>
      <c r="C552" s="46"/>
      <c r="D552" s="46"/>
      <c r="E552" s="262"/>
      <c r="F552" s="263"/>
      <c r="G552" s="264"/>
      <c r="H552" s="264"/>
      <c r="I552" s="264"/>
      <c r="J552" s="264"/>
      <c r="K552" s="264"/>
      <c r="L552" s="264"/>
      <c r="M552" s="264"/>
      <c r="N552" s="274"/>
      <c r="O552" s="177"/>
      <c r="P552" s="177"/>
    </row>
    <row r="553" spans="1:16" hidden="1">
      <c r="B553" s="177"/>
      <c r="C553" s="265">
        <v>1</v>
      </c>
      <c r="D553" s="265" t="s">
        <v>61</v>
      </c>
      <c r="E553" s="280">
        <v>0</v>
      </c>
      <c r="F553" s="281">
        <v>5.9999999999999995E-5</v>
      </c>
      <c r="G553" s="268">
        <v>5.9999999999999995E-5</v>
      </c>
      <c r="H553" s="268">
        <v>5.9999999999999995E-5</v>
      </c>
      <c r="I553" s="268">
        <v>5.9999999999999995E-5</v>
      </c>
      <c r="J553" s="268">
        <v>5.9999999999999995E-5</v>
      </c>
      <c r="K553" s="268">
        <v>5.9999999999999995E-5</v>
      </c>
      <c r="L553" s="268">
        <v>5.9999999999999995E-5</v>
      </c>
      <c r="M553" s="268">
        <v>5.9999999999999995E-5</v>
      </c>
      <c r="N553" s="281">
        <v>5.9999999999999995E-5</v>
      </c>
      <c r="O553" s="177"/>
      <c r="P553" s="46"/>
    </row>
    <row r="554" spans="1:16" hidden="1">
      <c r="B554" s="177"/>
      <c r="C554" s="46">
        <v>2</v>
      </c>
      <c r="D554" s="46" t="s">
        <v>62</v>
      </c>
      <c r="E554" s="255">
        <v>0</v>
      </c>
      <c r="F554" s="242">
        <v>5.9999999999999995E-5</v>
      </c>
      <c r="G554" s="256">
        <v>5.9999999999999995E-5</v>
      </c>
      <c r="H554" s="256">
        <v>5.9999999999999995E-5</v>
      </c>
      <c r="I554" s="256">
        <v>5.9999999999999995E-5</v>
      </c>
      <c r="J554" s="256">
        <v>5.9999999999999995E-5</v>
      </c>
      <c r="K554" s="256">
        <v>5.9999999999999995E-5</v>
      </c>
      <c r="L554" s="256">
        <v>5.9999999999999995E-5</v>
      </c>
      <c r="M554" s="256">
        <v>5.9999999999999995E-5</v>
      </c>
      <c r="N554" s="242">
        <v>5.9999999999999995E-5</v>
      </c>
      <c r="O554" s="177"/>
      <c r="P554" s="46"/>
    </row>
    <row r="555" spans="1:16" hidden="1">
      <c r="B555" s="177"/>
      <c r="C555" s="181">
        <v>3</v>
      </c>
      <c r="D555" s="181" t="s">
        <v>63</v>
      </c>
      <c r="E555" s="259">
        <v>0</v>
      </c>
      <c r="F555" s="260">
        <v>5.9999999999999995E-5</v>
      </c>
      <c r="G555" s="261">
        <v>5.9999999999999995E-5</v>
      </c>
      <c r="H555" s="261">
        <v>5.9999999999999995E-5</v>
      </c>
      <c r="I555" s="261">
        <v>5.9999999999999995E-5</v>
      </c>
      <c r="J555" s="261">
        <v>5.9999999999999995E-5</v>
      </c>
      <c r="K555" s="261">
        <v>5.9999999999999995E-5</v>
      </c>
      <c r="L555" s="261">
        <v>5.9999999999999995E-5</v>
      </c>
      <c r="M555" s="261">
        <v>5.9999999999999995E-5</v>
      </c>
      <c r="N555" s="260">
        <v>5.9999999999999995E-5</v>
      </c>
      <c r="O555" s="177"/>
      <c r="P555" s="46"/>
    </row>
    <row r="556" spans="1:16" hidden="1">
      <c r="B556" s="177"/>
      <c r="C556" s="177"/>
      <c r="D556" s="177"/>
      <c r="E556" s="177"/>
      <c r="F556" s="177"/>
      <c r="G556" s="177"/>
      <c r="H556" s="177"/>
      <c r="I556" s="177"/>
      <c r="J556" s="177"/>
      <c r="K556" s="177"/>
      <c r="L556" s="177"/>
      <c r="M556" s="177"/>
      <c r="N556" s="177"/>
      <c r="O556" s="177"/>
      <c r="P556" s="177"/>
    </row>
    <row r="557" spans="1:16" hidden="1">
      <c r="B557" s="177"/>
      <c r="C557" s="177"/>
      <c r="D557" s="177"/>
      <c r="E557" s="177"/>
      <c r="F557" s="177"/>
      <c r="G557" s="177"/>
      <c r="H557" s="177"/>
      <c r="I557" s="177"/>
      <c r="J557" s="177"/>
      <c r="K557" s="177"/>
      <c r="L557" s="177"/>
      <c r="M557" s="177"/>
      <c r="N557" s="177"/>
      <c r="O557" s="177"/>
      <c r="P557" s="177"/>
    </row>
    <row r="558" spans="1:16" hidden="1">
      <c r="B558" s="177"/>
      <c r="C558" s="49" t="s">
        <v>174</v>
      </c>
      <c r="D558" s="177"/>
      <c r="E558" s="177"/>
      <c r="F558" s="270"/>
      <c r="G558" s="270"/>
      <c r="H558" s="177"/>
      <c r="I558" s="177"/>
      <c r="J558" s="177"/>
      <c r="K558" s="177"/>
      <c r="L558" s="177"/>
      <c r="M558" s="177"/>
      <c r="N558" s="177"/>
      <c r="O558" s="177"/>
      <c r="P558" s="177"/>
    </row>
    <row r="559" spans="1:16" ht="23.25" hidden="1">
      <c r="A559" s="7"/>
      <c r="B559" s="177"/>
      <c r="C559" s="46" t="s">
        <v>2831</v>
      </c>
      <c r="D559" s="177"/>
      <c r="E559" s="177"/>
      <c r="F559" s="270"/>
      <c r="G559" s="270"/>
      <c r="H559" s="177"/>
      <c r="I559" s="177"/>
      <c r="J559" s="177"/>
      <c r="K559" s="177"/>
      <c r="L559" s="177"/>
      <c r="M559" s="177"/>
      <c r="N559" s="177"/>
      <c r="O559" s="177"/>
      <c r="P559" s="177"/>
    </row>
    <row r="560" spans="1:16" hidden="1">
      <c r="B560" s="177"/>
      <c r="C560" s="67" t="s">
        <v>175</v>
      </c>
      <c r="D560" s="288">
        <v>1.0799999999999999E-2</v>
      </c>
      <c r="E560" s="177"/>
      <c r="F560" s="270"/>
      <c r="G560" s="270"/>
      <c r="H560" s="177"/>
      <c r="I560" s="177"/>
      <c r="J560" s="177"/>
      <c r="K560" s="177"/>
      <c r="L560" s="177"/>
      <c r="M560" s="177"/>
      <c r="N560" s="177"/>
      <c r="O560" s="177"/>
      <c r="P560" s="177"/>
    </row>
    <row r="561" spans="2:16" hidden="1">
      <c r="B561" s="177"/>
      <c r="C561" s="67" t="s">
        <v>161</v>
      </c>
      <c r="D561" s="289">
        <v>6.3799999999999994E-3</v>
      </c>
      <c r="E561" s="47" t="s">
        <v>176</v>
      </c>
      <c r="F561" s="270"/>
      <c r="G561" s="270"/>
      <c r="H561" s="177"/>
      <c r="I561" s="177"/>
      <c r="J561" s="177"/>
      <c r="K561" s="177"/>
      <c r="L561" s="177"/>
      <c r="M561" s="177"/>
      <c r="N561" s="177"/>
      <c r="O561" s="177"/>
      <c r="P561" s="177"/>
    </row>
    <row r="562" spans="2:16" hidden="1">
      <c r="B562" s="177"/>
      <c r="C562" s="67" t="s">
        <v>20</v>
      </c>
      <c r="D562" s="288">
        <v>4.0000000000000001E-3</v>
      </c>
      <c r="E562" s="177"/>
      <c r="F562" s="270"/>
      <c r="G562" s="270"/>
      <c r="H562" s="177"/>
      <c r="I562" s="177"/>
      <c r="J562" s="177"/>
      <c r="K562" s="177"/>
      <c r="L562" s="177"/>
      <c r="M562" s="177"/>
      <c r="N562" s="177"/>
      <c r="O562" s="177"/>
      <c r="P562" s="177"/>
    </row>
    <row r="563" spans="2:16" hidden="1">
      <c r="B563" s="177"/>
      <c r="C563" s="49"/>
      <c r="D563" s="177"/>
      <c r="E563" s="177"/>
      <c r="F563" s="273"/>
      <c r="G563" s="273"/>
      <c r="H563" s="177"/>
      <c r="I563" s="177"/>
      <c r="J563" s="177"/>
      <c r="K563" s="177"/>
      <c r="L563" s="177"/>
      <c r="M563" s="177"/>
      <c r="N563" s="177"/>
      <c r="O563" s="177"/>
      <c r="P563" s="177"/>
    </row>
    <row r="564" spans="2:16" hidden="1">
      <c r="B564" s="177"/>
      <c r="C564" s="177"/>
      <c r="D564" s="177" t="s">
        <v>177</v>
      </c>
      <c r="E564" s="290" t="s">
        <v>4</v>
      </c>
      <c r="F564" s="177"/>
      <c r="G564" s="177"/>
      <c r="H564" s="177"/>
      <c r="I564" s="177"/>
      <c r="J564" s="177"/>
      <c r="K564" s="177"/>
      <c r="L564" s="177"/>
      <c r="M564" s="177"/>
      <c r="N564" s="177"/>
      <c r="O564" s="177"/>
      <c r="P564" s="177"/>
    </row>
    <row r="565" spans="2:16" hidden="1">
      <c r="B565" s="177"/>
      <c r="C565" s="177"/>
      <c r="D565" s="177"/>
      <c r="E565" s="177"/>
      <c r="F565" s="177"/>
      <c r="G565" s="177"/>
      <c r="H565" s="177"/>
      <c r="I565" s="177"/>
      <c r="J565" s="177"/>
      <c r="K565" s="177"/>
      <c r="L565" s="177"/>
      <c r="M565" s="177"/>
      <c r="N565" s="177"/>
      <c r="O565" s="177"/>
      <c r="P565" s="177"/>
    </row>
    <row r="566" spans="2:16" hidden="1"/>
    <row r="568" spans="2:16" ht="15.75">
      <c r="B568" s="41" t="s">
        <v>178</v>
      </c>
      <c r="C568" s="291"/>
      <c r="D568" s="291"/>
      <c r="E568" s="291"/>
      <c r="F568" s="291"/>
      <c r="G568" s="291"/>
      <c r="H568" s="291"/>
      <c r="I568" s="291"/>
      <c r="J568" s="291"/>
      <c r="K568" s="291"/>
      <c r="L568" s="291"/>
      <c r="M568" s="291"/>
      <c r="N568" s="291"/>
      <c r="O568" s="291"/>
      <c r="P568" s="292"/>
    </row>
    <row r="569" spans="2:16">
      <c r="B569" s="45"/>
      <c r="C569" s="46"/>
      <c r="D569" s="46"/>
      <c r="E569" s="46"/>
      <c r="F569" s="46"/>
      <c r="G569" s="46"/>
      <c r="H569" s="46"/>
      <c r="I569" s="46"/>
      <c r="J569" s="46"/>
      <c r="K569" s="46"/>
      <c r="L569" s="46"/>
      <c r="M569" s="46"/>
      <c r="N569" s="46"/>
      <c r="O569" s="46"/>
      <c r="P569" s="48"/>
    </row>
    <row r="570" spans="2:16">
      <c r="B570" s="45"/>
      <c r="C570" s="49" t="s">
        <v>179</v>
      </c>
      <c r="D570" s="46"/>
      <c r="E570" s="46"/>
      <c r="F570" s="46"/>
      <c r="G570" s="46"/>
      <c r="H570" s="46"/>
      <c r="I570" s="46"/>
      <c r="J570" s="46"/>
      <c r="K570" s="46"/>
      <c r="L570" s="46"/>
      <c r="M570" s="46"/>
      <c r="N570" s="46"/>
      <c r="O570" s="46"/>
      <c r="P570" s="48"/>
    </row>
    <row r="571" spans="2:16">
      <c r="B571" s="45"/>
      <c r="C571" s="49" t="s">
        <v>180</v>
      </c>
      <c r="D571" s="46"/>
      <c r="E571" s="46"/>
      <c r="F571" s="46"/>
      <c r="G571" s="46"/>
      <c r="H571" s="46"/>
      <c r="I571" s="46"/>
      <c r="J571" s="46"/>
      <c r="K571" s="46"/>
      <c r="L571" s="46"/>
      <c r="M571" s="46"/>
      <c r="N571" s="46"/>
      <c r="O571" s="46"/>
      <c r="P571" s="48"/>
    </row>
    <row r="572" spans="2:16">
      <c r="B572" s="45"/>
      <c r="C572" s="49" t="s">
        <v>181</v>
      </c>
      <c r="D572" s="46"/>
      <c r="E572" s="46"/>
      <c r="F572" s="46"/>
      <c r="G572" s="46"/>
      <c r="H572" s="46"/>
      <c r="I572" s="46"/>
      <c r="J572" s="46"/>
      <c r="K572" s="46"/>
      <c r="L572" s="46"/>
      <c r="M572" s="46"/>
      <c r="N572" s="46"/>
      <c r="O572" s="46"/>
      <c r="P572" s="48"/>
    </row>
    <row r="573" spans="2:16">
      <c r="B573" s="45"/>
      <c r="C573" s="46"/>
      <c r="D573" s="46"/>
      <c r="E573" s="46"/>
      <c r="F573" s="46"/>
      <c r="G573" s="46"/>
      <c r="H573" s="46"/>
      <c r="I573" s="46"/>
      <c r="J573" s="46"/>
      <c r="K573" s="46"/>
      <c r="L573" s="46"/>
      <c r="M573" s="46"/>
      <c r="N573" s="46"/>
      <c r="O573" s="46"/>
      <c r="P573" s="48"/>
    </row>
    <row r="574" spans="2:16">
      <c r="B574" s="45"/>
      <c r="C574" s="46"/>
      <c r="D574" s="46"/>
      <c r="E574" s="46"/>
      <c r="F574" s="46"/>
      <c r="G574" s="46"/>
      <c r="H574" s="46"/>
      <c r="I574" s="46"/>
      <c r="J574" s="46"/>
      <c r="K574" s="46"/>
      <c r="L574" s="46"/>
      <c r="M574" s="46"/>
      <c r="N574" s="46"/>
      <c r="O574" s="46"/>
      <c r="P574" s="48"/>
    </row>
    <row r="575" spans="2:16">
      <c r="B575" s="45"/>
      <c r="C575" s="46"/>
      <c r="D575" s="46"/>
      <c r="E575" s="46"/>
      <c r="F575" s="46"/>
      <c r="G575" s="46"/>
      <c r="H575" s="46"/>
      <c r="I575" s="46"/>
      <c r="J575" s="46"/>
      <c r="K575" s="46"/>
      <c r="L575" s="46"/>
      <c r="M575" s="46"/>
      <c r="N575" s="46"/>
      <c r="O575" s="46"/>
      <c r="P575" s="48"/>
    </row>
    <row r="576" spans="2:16">
      <c r="B576" s="45"/>
      <c r="C576" s="46"/>
      <c r="D576" s="46"/>
      <c r="E576" s="67" t="s">
        <v>5</v>
      </c>
      <c r="F576" s="46"/>
      <c r="G576" s="46"/>
      <c r="H576" s="46"/>
      <c r="I576" s="46"/>
      <c r="J576" s="46"/>
      <c r="K576" s="46"/>
      <c r="L576" s="46"/>
      <c r="M576" s="46"/>
      <c r="N576" s="46"/>
      <c r="O576" s="46"/>
      <c r="P576" s="48"/>
    </row>
    <row r="577" spans="1:16">
      <c r="B577" s="45">
        <v>1</v>
      </c>
      <c r="C577" s="89" t="s">
        <v>182</v>
      </c>
      <c r="D577" s="57"/>
      <c r="E577" s="90"/>
      <c r="F577" s="59"/>
      <c r="G577" s="66"/>
      <c r="H577" s="46"/>
      <c r="I577" s="46"/>
      <c r="J577" s="46"/>
      <c r="K577" s="46"/>
      <c r="L577" s="46"/>
      <c r="M577" s="46"/>
      <c r="N577" s="104" t="s">
        <v>182</v>
      </c>
      <c r="O577" s="104"/>
      <c r="P577" s="48"/>
    </row>
    <row r="578" spans="1:16">
      <c r="B578" s="45"/>
      <c r="C578" s="56"/>
      <c r="D578" s="57"/>
      <c r="E578" s="57"/>
      <c r="F578" s="59"/>
      <c r="G578" s="66"/>
      <c r="H578" s="46"/>
      <c r="I578" s="46"/>
      <c r="J578" s="46"/>
      <c r="K578" s="46"/>
      <c r="L578" s="46"/>
      <c r="M578" s="46"/>
      <c r="N578" s="46"/>
      <c r="O578" s="46"/>
      <c r="P578" s="48"/>
    </row>
    <row r="579" spans="1:16" ht="15.75">
      <c r="B579" s="55"/>
      <c r="C579" s="293"/>
      <c r="D579" s="293" t="s">
        <v>72</v>
      </c>
      <c r="E579" s="293"/>
      <c r="F579" s="294">
        <v>2013</v>
      </c>
      <c r="G579" s="294">
        <v>2015</v>
      </c>
      <c r="H579" s="294">
        <v>2020</v>
      </c>
      <c r="I579" s="294">
        <v>2025</v>
      </c>
      <c r="J579" s="294">
        <v>2030</v>
      </c>
      <c r="K579" s="294">
        <v>2035</v>
      </c>
      <c r="L579" s="294">
        <v>2040</v>
      </c>
      <c r="M579" s="294">
        <v>2045</v>
      </c>
      <c r="N579" s="294">
        <v>2050</v>
      </c>
      <c r="O579" s="46"/>
      <c r="P579" s="48"/>
    </row>
    <row r="580" spans="1:16" ht="15.75">
      <c r="A580" s="38"/>
      <c r="B580" s="55"/>
      <c r="C580" s="56"/>
      <c r="D580" s="57" t="s">
        <v>183</v>
      </c>
      <c r="E580" s="90"/>
      <c r="F580" s="295">
        <f>INDEX(Global.Assumptions[Households], MATCH(F$579, Global.Assumptions[Year], 0))</f>
        <v>1672651.1289147851</v>
      </c>
      <c r="G580" s="295">
        <f>INDEX(Global.Assumptions[Households], MATCH(G$579, Global.Assumptions[Year], 0))</f>
        <v>1724685.0990151383</v>
      </c>
      <c r="H580" s="295">
        <f>INDEX(Global.Assumptions[Households], MATCH(H$579, Global.Assumptions[Year], 0))</f>
        <v>1818612.4430257217</v>
      </c>
      <c r="I580" s="295">
        <f>INDEX(Global.Assumptions[Households], MATCH(I$579, Global.Assumptions[Year], 0))</f>
        <v>1912005.4807283345</v>
      </c>
      <c r="J580" s="295">
        <f>INDEX(Global.Assumptions[Households], MATCH(J$579, Global.Assumptions[Year], 0))</f>
        <v>2000055.258037091</v>
      </c>
      <c r="K580" s="295">
        <f>INDEX(Global.Assumptions[Households], MATCH(K$579, Global.Assumptions[Year], 0))</f>
        <v>2093076.6415949718</v>
      </c>
      <c r="L580" s="295">
        <f>INDEX(Global.Assumptions[Households], MATCH(L$579, Global.Assumptions[Year], 0))</f>
        <v>2190930.0548391445</v>
      </c>
      <c r="M580" s="295">
        <f>INDEX(Global.Assumptions[Households], MATCH(M$579, Global.Assumptions[Year], 0))</f>
        <v>2288187.1680332171</v>
      </c>
      <c r="N580" s="295">
        <f>INDEX(Global.Assumptions[Households], MATCH(N$579, Global.Assumptions[Year], 0))</f>
        <v>2390510.6792861409</v>
      </c>
      <c r="O580" s="46"/>
      <c r="P580" s="48"/>
    </row>
    <row r="581" spans="1:16" ht="15.75">
      <c r="B581" s="55"/>
      <c r="C581" s="146"/>
      <c r="D581" s="125" t="s">
        <v>184</v>
      </c>
      <c r="E581" s="181"/>
      <c r="F581" s="164"/>
      <c r="G581" s="164">
        <f>(G580-F580)</f>
        <v>52033.970100353239</v>
      </c>
      <c r="H581" s="164">
        <f t="shared" ref="H581:N581" si="38">(H580-G580)</f>
        <v>93927.344010583358</v>
      </c>
      <c r="I581" s="164">
        <f t="shared" si="38"/>
        <v>93393.037702612812</v>
      </c>
      <c r="J581" s="164">
        <f t="shared" si="38"/>
        <v>88049.777308756486</v>
      </c>
      <c r="K581" s="164">
        <f t="shared" si="38"/>
        <v>93021.383557880763</v>
      </c>
      <c r="L581" s="164">
        <f t="shared" si="38"/>
        <v>97853.413244172698</v>
      </c>
      <c r="M581" s="164">
        <f t="shared" si="38"/>
        <v>97257.113194072619</v>
      </c>
      <c r="N581" s="164">
        <f t="shared" si="38"/>
        <v>102323.51125292387</v>
      </c>
      <c r="O581" s="46"/>
      <c r="P581" s="48"/>
    </row>
    <row r="582" spans="1:16">
      <c r="B582" s="45"/>
      <c r="C582" s="46"/>
      <c r="D582" s="46"/>
      <c r="E582" s="46"/>
      <c r="F582" s="46"/>
      <c r="G582" s="296"/>
      <c r="H582" s="296"/>
      <c r="I582" s="46"/>
      <c r="J582" s="46"/>
      <c r="K582" s="46"/>
      <c r="L582" s="46"/>
      <c r="M582" s="46"/>
      <c r="N582" s="46"/>
      <c r="O582" s="46"/>
      <c r="P582" s="48"/>
    </row>
    <row r="583" spans="1:16">
      <c r="B583" s="45">
        <v>2</v>
      </c>
      <c r="C583" s="89" t="s">
        <v>2788</v>
      </c>
      <c r="D583" s="46"/>
      <c r="E583" s="46"/>
      <c r="F583" s="67"/>
      <c r="G583" s="46"/>
      <c r="H583" s="46"/>
      <c r="I583" s="46"/>
      <c r="J583" s="46"/>
      <c r="K583" s="46"/>
      <c r="L583" s="46"/>
      <c r="M583" s="46"/>
      <c r="N583" s="80" t="s">
        <v>185</v>
      </c>
      <c r="O583" s="46"/>
      <c r="P583" s="48"/>
    </row>
    <row r="584" spans="1:16" hidden="1">
      <c r="B584" s="45"/>
      <c r="C584" s="122"/>
      <c r="D584" s="122"/>
      <c r="E584" s="122"/>
      <c r="F584" s="134"/>
      <c r="G584" s="80"/>
      <c r="H584" s="80"/>
      <c r="I584" s="80"/>
      <c r="J584" s="80"/>
      <c r="K584" s="80"/>
      <c r="L584" s="80"/>
      <c r="M584" s="80"/>
      <c r="N584" s="80"/>
      <c r="O584" s="46"/>
      <c r="P584" s="48"/>
    </row>
    <row r="585" spans="1:16" hidden="1">
      <c r="B585" s="45"/>
      <c r="C585" s="116"/>
      <c r="D585" s="116"/>
      <c r="E585" s="116"/>
      <c r="F585" s="117">
        <v>2013</v>
      </c>
      <c r="G585" s="117">
        <v>2015</v>
      </c>
      <c r="H585" s="117">
        <v>2020</v>
      </c>
      <c r="I585" s="117">
        <v>2025</v>
      </c>
      <c r="J585" s="117">
        <v>2030</v>
      </c>
      <c r="K585" s="117">
        <v>2035</v>
      </c>
      <c r="L585" s="117">
        <v>2040</v>
      </c>
      <c r="M585" s="117">
        <v>2045</v>
      </c>
      <c r="N585" s="117">
        <v>2050</v>
      </c>
      <c r="O585" s="46"/>
      <c r="P585" s="48"/>
    </row>
    <row r="586" spans="1:16" hidden="1">
      <c r="B586" s="45"/>
      <c r="C586" s="118"/>
      <c r="D586" s="118" t="s">
        <v>122</v>
      </c>
      <c r="E586" s="118"/>
      <c r="F586" s="132"/>
      <c r="G586" s="297">
        <f t="shared" ref="G586:G591" si="39">IF($E$9=1,G257-F257,IF($E$9=2,G265-F265,IF($E$9=3,G273-F273,G281-F281)))/3</f>
        <v>0</v>
      </c>
      <c r="H586" s="162">
        <f t="shared" ref="H586:N591" si="40">IF($E$9=1,H257-G257,IF($E$9=2,H265-G265,IF($E$9=3,H273-G273,H281-G281)))/5</f>
        <v>0</v>
      </c>
      <c r="I586" s="162">
        <f t="shared" si="40"/>
        <v>0</v>
      </c>
      <c r="J586" s="162">
        <f t="shared" si="40"/>
        <v>0</v>
      </c>
      <c r="K586" s="162">
        <f t="shared" si="40"/>
        <v>0</v>
      </c>
      <c r="L586" s="162">
        <f t="shared" si="40"/>
        <v>0</v>
      </c>
      <c r="M586" s="162">
        <f t="shared" si="40"/>
        <v>0</v>
      </c>
      <c r="N586" s="162">
        <f t="shared" si="40"/>
        <v>10904.267811648624</v>
      </c>
      <c r="O586" s="46"/>
      <c r="P586" s="48"/>
    </row>
    <row r="587" spans="1:16" hidden="1">
      <c r="B587" s="45"/>
      <c r="C587" s="177"/>
      <c r="D587" s="178" t="s">
        <v>123</v>
      </c>
      <c r="E587" s="57"/>
      <c r="F587" s="134"/>
      <c r="G587" s="298">
        <f t="shared" si="39"/>
        <v>0</v>
      </c>
      <c r="H587" s="179">
        <f t="shared" si="40"/>
        <v>0</v>
      </c>
      <c r="I587" s="179">
        <f t="shared" si="40"/>
        <v>0</v>
      </c>
      <c r="J587" s="179">
        <f t="shared" si="40"/>
        <v>0</v>
      </c>
      <c r="K587" s="179">
        <f t="shared" si="40"/>
        <v>0</v>
      </c>
      <c r="L587" s="179">
        <f t="shared" si="40"/>
        <v>0</v>
      </c>
      <c r="M587" s="179">
        <f t="shared" si="40"/>
        <v>0</v>
      </c>
      <c r="N587" s="179">
        <f t="shared" si="40"/>
        <v>39304.590064412449</v>
      </c>
      <c r="O587" s="46"/>
      <c r="P587" s="48"/>
    </row>
    <row r="588" spans="1:16" hidden="1">
      <c r="B588" s="45"/>
      <c r="C588" s="177"/>
      <c r="D588" s="178" t="s">
        <v>124</v>
      </c>
      <c r="E588" s="57"/>
      <c r="F588" s="134"/>
      <c r="G588" s="298">
        <f t="shared" si="39"/>
        <v>0</v>
      </c>
      <c r="H588" s="179">
        <f t="shared" si="40"/>
        <v>0</v>
      </c>
      <c r="I588" s="179">
        <f t="shared" si="40"/>
        <v>0</v>
      </c>
      <c r="J588" s="179">
        <f t="shared" si="40"/>
        <v>0</v>
      </c>
      <c r="K588" s="179">
        <f t="shared" si="40"/>
        <v>0</v>
      </c>
      <c r="L588" s="179">
        <f t="shared" si="40"/>
        <v>0</v>
      </c>
      <c r="M588" s="179">
        <f t="shared" si="40"/>
        <v>0</v>
      </c>
      <c r="N588" s="179">
        <f t="shared" si="40"/>
        <v>42718.803695937182</v>
      </c>
      <c r="O588" s="46"/>
      <c r="P588" s="48"/>
    </row>
    <row r="589" spans="1:16" hidden="1">
      <c r="B589" s="45"/>
      <c r="C589" s="177"/>
      <c r="D589" s="171" t="s">
        <v>125</v>
      </c>
      <c r="E589" s="57"/>
      <c r="F589" s="134"/>
      <c r="G589" s="298">
        <f t="shared" si="39"/>
        <v>0</v>
      </c>
      <c r="H589" s="179">
        <f t="shared" si="40"/>
        <v>0</v>
      </c>
      <c r="I589" s="179">
        <f t="shared" si="40"/>
        <v>0</v>
      </c>
      <c r="J589" s="179">
        <f t="shared" si="40"/>
        <v>0</v>
      </c>
      <c r="K589" s="179">
        <f t="shared" si="40"/>
        <v>0</v>
      </c>
      <c r="L589" s="179">
        <f t="shared" si="40"/>
        <v>0</v>
      </c>
      <c r="M589" s="179">
        <f t="shared" si="40"/>
        <v>0</v>
      </c>
      <c r="N589" s="179">
        <f t="shared" si="40"/>
        <v>28311.677743581899</v>
      </c>
      <c r="O589" s="46"/>
      <c r="P589" s="48"/>
    </row>
    <row r="590" spans="1:16" hidden="1">
      <c r="B590" s="45"/>
      <c r="C590" s="177"/>
      <c r="D590" s="171" t="s">
        <v>126</v>
      </c>
      <c r="E590" s="57"/>
      <c r="F590" s="134"/>
      <c r="G590" s="298">
        <f t="shared" si="39"/>
        <v>0</v>
      </c>
      <c r="H590" s="179">
        <f t="shared" si="40"/>
        <v>0</v>
      </c>
      <c r="I590" s="179">
        <f t="shared" si="40"/>
        <v>0</v>
      </c>
      <c r="J590" s="179">
        <f t="shared" si="40"/>
        <v>0</v>
      </c>
      <c r="K590" s="179">
        <f t="shared" si="40"/>
        <v>0</v>
      </c>
      <c r="L590" s="179">
        <f t="shared" si="40"/>
        <v>0</v>
      </c>
      <c r="M590" s="179">
        <f t="shared" si="40"/>
        <v>0</v>
      </c>
      <c r="N590" s="179">
        <f t="shared" si="40"/>
        <v>79688.876951649669</v>
      </c>
      <c r="O590" s="46"/>
      <c r="P590" s="48"/>
    </row>
    <row r="591" spans="1:16" hidden="1">
      <c r="B591" s="45"/>
      <c r="C591" s="181"/>
      <c r="D591" s="182" t="s">
        <v>127</v>
      </c>
      <c r="E591" s="125"/>
      <c r="F591" s="183"/>
      <c r="G591" s="299">
        <f t="shared" si="39"/>
        <v>0</v>
      </c>
      <c r="H591" s="184">
        <f t="shared" si="40"/>
        <v>0</v>
      </c>
      <c r="I591" s="184">
        <f t="shared" si="40"/>
        <v>0</v>
      </c>
      <c r="J591" s="184">
        <f t="shared" si="40"/>
        <v>0</v>
      </c>
      <c r="K591" s="184">
        <f t="shared" si="40"/>
        <v>0</v>
      </c>
      <c r="L591" s="184">
        <f t="shared" si="40"/>
        <v>0</v>
      </c>
      <c r="M591" s="184">
        <f t="shared" si="40"/>
        <v>0</v>
      </c>
      <c r="N591" s="184">
        <f t="shared" si="40"/>
        <v>30074.010650133499</v>
      </c>
      <c r="O591" s="46"/>
      <c r="P591" s="48"/>
    </row>
    <row r="592" spans="1:16">
      <c r="B592" s="45"/>
      <c r="C592" s="46"/>
      <c r="D592" s="46"/>
      <c r="E592" s="46"/>
      <c r="F592" s="46"/>
      <c r="G592" s="46"/>
      <c r="H592" s="46"/>
      <c r="I592" s="46"/>
      <c r="J592" s="46"/>
      <c r="K592" s="46"/>
      <c r="L592" s="46"/>
      <c r="M592" s="46"/>
      <c r="N592" s="46"/>
      <c r="O592" s="46"/>
      <c r="P592" s="48"/>
    </row>
    <row r="593" spans="2:16">
      <c r="B593" s="49" t="s">
        <v>2789</v>
      </c>
      <c r="C593" s="46"/>
      <c r="D593" s="46"/>
      <c r="E593" s="46"/>
      <c r="F593" s="46"/>
      <c r="G593" s="46"/>
      <c r="H593" s="46"/>
      <c r="I593" s="46"/>
      <c r="J593" s="46"/>
      <c r="K593" s="46"/>
      <c r="L593" s="46"/>
      <c r="M593" s="46"/>
      <c r="N593" s="46"/>
      <c r="O593" s="46"/>
      <c r="P593" s="48"/>
    </row>
    <row r="594" spans="2:16" hidden="1">
      <c r="B594" s="45"/>
      <c r="C594" s="46"/>
      <c r="D594" s="46"/>
      <c r="E594" s="46"/>
      <c r="F594" s="46"/>
      <c r="G594" s="46"/>
      <c r="H594" s="46"/>
      <c r="I594" s="46"/>
      <c r="J594" s="46"/>
      <c r="K594" s="46"/>
      <c r="L594" s="46"/>
      <c r="M594" s="46"/>
      <c r="N594" s="46"/>
      <c r="O594" s="46"/>
      <c r="P594" s="48"/>
    </row>
    <row r="595" spans="2:16" hidden="1">
      <c r="B595" s="45"/>
      <c r="C595" s="286" t="s">
        <v>186</v>
      </c>
      <c r="D595" s="46"/>
      <c r="E595" s="46"/>
      <c r="F595" s="46"/>
      <c r="G595" s="46"/>
      <c r="H595" s="67" t="s">
        <v>5</v>
      </c>
      <c r="I595" s="46"/>
      <c r="J595" s="46"/>
      <c r="K595" s="46"/>
      <c r="L595" s="46"/>
      <c r="M595" s="46"/>
      <c r="N595" s="46"/>
      <c r="O595" s="46"/>
      <c r="P595" s="48"/>
    </row>
    <row r="596" spans="2:16" hidden="1">
      <c r="B596" s="45"/>
      <c r="C596" s="46"/>
      <c r="D596" s="46"/>
      <c r="E596" s="46"/>
      <c r="F596" s="46"/>
      <c r="G596" s="46"/>
      <c r="H596" s="46"/>
      <c r="I596" s="46"/>
      <c r="J596" s="46"/>
      <c r="K596" s="46"/>
      <c r="L596" s="46"/>
      <c r="M596" s="46"/>
      <c r="N596" s="46"/>
      <c r="O596" s="46"/>
      <c r="P596" s="48"/>
    </row>
    <row r="597" spans="2:16" hidden="1">
      <c r="B597" s="45"/>
      <c r="C597" s="89" t="s">
        <v>187</v>
      </c>
      <c r="D597" s="57"/>
      <c r="E597" s="90"/>
      <c r="F597" s="59"/>
      <c r="G597" s="46"/>
      <c r="H597" s="46"/>
      <c r="I597" s="46"/>
      <c r="J597" s="46"/>
      <c r="K597" s="46"/>
      <c r="L597" s="46"/>
      <c r="M597" s="46"/>
      <c r="N597" s="46"/>
      <c r="O597" s="46"/>
      <c r="P597" s="48"/>
    </row>
    <row r="598" spans="2:16" hidden="1">
      <c r="B598" s="45"/>
      <c r="C598" s="56"/>
      <c r="D598" s="57"/>
      <c r="E598" s="57"/>
      <c r="F598" s="59"/>
      <c r="G598" s="46"/>
      <c r="H598" s="46"/>
      <c r="I598" s="46"/>
      <c r="J598" s="46"/>
      <c r="K598" s="46"/>
      <c r="L598" s="46"/>
      <c r="M598" s="46"/>
      <c r="N598" s="46"/>
      <c r="O598" s="46"/>
      <c r="P598" s="48"/>
    </row>
    <row r="599" spans="2:16" ht="15.75" hidden="1">
      <c r="B599" s="55"/>
      <c r="C599" s="52" t="s">
        <v>44</v>
      </c>
      <c r="D599" s="52" t="s">
        <v>110</v>
      </c>
      <c r="E599" s="52" t="s">
        <v>30</v>
      </c>
      <c r="F599" s="53" t="s">
        <v>37</v>
      </c>
      <c r="G599" s="46"/>
      <c r="H599" s="46"/>
      <c r="I599" s="46"/>
      <c r="J599" s="46"/>
      <c r="K599" s="46"/>
      <c r="L599" s="46"/>
      <c r="M599" s="46"/>
      <c r="N599" s="46"/>
      <c r="O599" s="46"/>
      <c r="P599" s="48"/>
    </row>
    <row r="600" spans="2:16" ht="15.75" hidden="1">
      <c r="B600" s="55"/>
      <c r="C600" s="56">
        <v>1</v>
      </c>
      <c r="D600" s="57" t="s">
        <v>46</v>
      </c>
      <c r="E600" s="57"/>
      <c r="F600" s="300">
        <f t="shared" ref="F600:F612" si="41">INDEX($E76:$T76, MATCH($E$23, $E$75:$T$75, 0))</f>
        <v>0</v>
      </c>
      <c r="G600" s="46"/>
      <c r="H600" s="46"/>
      <c r="I600" s="46"/>
      <c r="J600" s="46"/>
      <c r="K600" s="46"/>
      <c r="L600" s="46"/>
      <c r="M600" s="46"/>
      <c r="N600" s="46"/>
      <c r="O600" s="46"/>
      <c r="P600" s="48"/>
    </row>
    <row r="601" spans="2:16" ht="15.75" hidden="1">
      <c r="B601" s="55"/>
      <c r="C601" s="56">
        <v>2</v>
      </c>
      <c r="D601" s="57" t="s">
        <v>47</v>
      </c>
      <c r="E601" s="57"/>
      <c r="F601" s="301">
        <f t="shared" si="41"/>
        <v>0.9</v>
      </c>
      <c r="G601" s="46"/>
      <c r="H601" s="46"/>
      <c r="I601" s="46"/>
      <c r="J601" s="46"/>
      <c r="K601" s="46"/>
      <c r="L601" s="46"/>
      <c r="M601" s="46"/>
      <c r="N601" s="46"/>
      <c r="O601" s="46"/>
      <c r="P601" s="48"/>
    </row>
    <row r="602" spans="2:16" ht="15.75" hidden="1">
      <c r="B602" s="55"/>
      <c r="C602" s="56">
        <v>3</v>
      </c>
      <c r="D602" s="57" t="s">
        <v>48</v>
      </c>
      <c r="E602" s="57"/>
      <c r="F602" s="94">
        <f t="shared" si="41"/>
        <v>0.1</v>
      </c>
      <c r="G602" s="46"/>
      <c r="H602" s="46"/>
      <c r="I602" s="46"/>
      <c r="J602" s="46"/>
      <c r="K602" s="46"/>
      <c r="L602" s="46"/>
      <c r="M602" s="46"/>
      <c r="N602" s="46"/>
      <c r="O602" s="46"/>
      <c r="P602" s="48"/>
    </row>
    <row r="603" spans="2:16" ht="15.75" hidden="1">
      <c r="B603" s="55"/>
      <c r="C603" s="56">
        <v>4</v>
      </c>
      <c r="D603" s="57" t="s">
        <v>49</v>
      </c>
      <c r="E603" s="57"/>
      <c r="F603" s="94">
        <f t="shared" si="41"/>
        <v>0</v>
      </c>
      <c r="G603" s="46"/>
      <c r="H603" s="46"/>
      <c r="I603" s="46"/>
      <c r="J603" s="46"/>
      <c r="K603" s="46"/>
      <c r="L603" s="46"/>
      <c r="M603" s="46"/>
      <c r="N603" s="46"/>
      <c r="O603" s="46"/>
      <c r="P603" s="48"/>
    </row>
    <row r="604" spans="2:16" ht="15.75" hidden="1">
      <c r="B604" s="55"/>
      <c r="C604" s="56">
        <v>5</v>
      </c>
      <c r="D604" s="57" t="s">
        <v>50</v>
      </c>
      <c r="E604" s="57"/>
      <c r="F604" s="94">
        <f t="shared" si="41"/>
        <v>0</v>
      </c>
      <c r="G604" s="46"/>
      <c r="H604" s="46"/>
      <c r="I604" s="46"/>
      <c r="J604" s="46"/>
      <c r="K604" s="46"/>
      <c r="L604" s="46"/>
      <c r="M604" s="46"/>
      <c r="N604" s="46"/>
      <c r="O604" s="46"/>
      <c r="P604" s="48"/>
    </row>
    <row r="605" spans="2:16" ht="15.75" hidden="1">
      <c r="B605" s="55"/>
      <c r="C605" s="56">
        <v>6</v>
      </c>
      <c r="D605" s="57" t="s">
        <v>51</v>
      </c>
      <c r="E605" s="57"/>
      <c r="F605" s="94">
        <f t="shared" si="41"/>
        <v>0</v>
      </c>
      <c r="G605" s="46"/>
      <c r="H605" s="46"/>
      <c r="I605" s="46"/>
      <c r="J605" s="46"/>
      <c r="K605" s="46"/>
      <c r="L605" s="46"/>
      <c r="M605" s="46"/>
      <c r="N605" s="46"/>
      <c r="O605" s="46"/>
      <c r="P605" s="48"/>
    </row>
    <row r="606" spans="2:16" ht="15.75" hidden="1">
      <c r="B606" s="55"/>
      <c r="C606" s="56">
        <v>7</v>
      </c>
      <c r="D606" s="57" t="s">
        <v>52</v>
      </c>
      <c r="E606" s="57"/>
      <c r="F606" s="94">
        <f t="shared" si="41"/>
        <v>0</v>
      </c>
      <c r="G606" s="46"/>
      <c r="H606" s="46"/>
      <c r="I606" s="46"/>
      <c r="J606" s="46"/>
      <c r="K606" s="46"/>
      <c r="L606" s="46"/>
      <c r="M606" s="46"/>
      <c r="N606" s="46"/>
      <c r="O606" s="46"/>
      <c r="P606" s="48"/>
    </row>
    <row r="607" spans="2:16" ht="15.75" hidden="1">
      <c r="B607" s="55"/>
      <c r="C607" s="56">
        <v>8</v>
      </c>
      <c r="D607" s="57" t="s">
        <v>53</v>
      </c>
      <c r="E607" s="57"/>
      <c r="F607" s="94">
        <f t="shared" si="41"/>
        <v>0</v>
      </c>
      <c r="G607" s="46"/>
      <c r="H607" s="46"/>
      <c r="I607" s="46"/>
      <c r="J607" s="46"/>
      <c r="K607" s="46"/>
      <c r="L607" s="46"/>
      <c r="M607" s="46"/>
      <c r="N607" s="46"/>
      <c r="O607" s="46"/>
      <c r="P607" s="48"/>
    </row>
    <row r="608" spans="2:16" ht="15.75" hidden="1">
      <c r="B608" s="55"/>
      <c r="C608" s="56">
        <v>9</v>
      </c>
      <c r="D608" s="57" t="s">
        <v>54</v>
      </c>
      <c r="E608" s="57"/>
      <c r="F608" s="94">
        <f t="shared" si="41"/>
        <v>0</v>
      </c>
      <c r="G608" s="46"/>
      <c r="H608" s="46"/>
      <c r="I608" s="46"/>
      <c r="J608" s="46"/>
      <c r="K608" s="46"/>
      <c r="L608" s="46"/>
      <c r="M608" s="46"/>
      <c r="N608" s="46"/>
      <c r="O608" s="46"/>
      <c r="P608" s="48"/>
    </row>
    <row r="609" spans="2:66" ht="15.75" hidden="1">
      <c r="B609" s="55"/>
      <c r="C609" s="56">
        <v>10</v>
      </c>
      <c r="D609" s="57" t="s">
        <v>55</v>
      </c>
      <c r="E609" s="57"/>
      <c r="F609" s="94">
        <f t="shared" si="41"/>
        <v>0</v>
      </c>
      <c r="G609" s="46"/>
      <c r="H609" s="46"/>
      <c r="I609" s="46"/>
      <c r="J609" s="46"/>
      <c r="K609" s="46"/>
      <c r="L609" s="46"/>
      <c r="M609" s="46"/>
      <c r="N609" s="46"/>
      <c r="O609" s="46"/>
      <c r="P609" s="48"/>
    </row>
    <row r="610" spans="2:66" ht="15.75" hidden="1">
      <c r="B610" s="55"/>
      <c r="C610" s="56">
        <v>11</v>
      </c>
      <c r="D610" s="57" t="s">
        <v>56</v>
      </c>
      <c r="E610" s="57"/>
      <c r="F610" s="94">
        <f t="shared" si="41"/>
        <v>0</v>
      </c>
      <c r="G610" s="46"/>
      <c r="H610" s="46"/>
      <c r="I610" s="46"/>
      <c r="J610" s="46"/>
      <c r="K610" s="46"/>
      <c r="L610" s="46"/>
      <c r="M610" s="46"/>
      <c r="N610" s="46"/>
      <c r="O610" s="46"/>
      <c r="P610" s="48"/>
    </row>
    <row r="611" spans="2:66" ht="15.75" hidden="1">
      <c r="B611" s="55"/>
      <c r="C611" s="56">
        <v>12</v>
      </c>
      <c r="D611" s="57" t="s">
        <v>57</v>
      </c>
      <c r="E611" s="57"/>
      <c r="F611" s="94">
        <f t="shared" si="41"/>
        <v>0</v>
      </c>
      <c r="G611" s="46"/>
      <c r="H611" s="46"/>
      <c r="I611" s="46"/>
      <c r="J611" s="46"/>
      <c r="K611" s="46"/>
      <c r="L611" s="46"/>
      <c r="M611" s="46"/>
      <c r="N611" s="46"/>
      <c r="O611" s="46"/>
      <c r="P611" s="48"/>
    </row>
    <row r="612" spans="2:66" s="302" customFormat="1" ht="15.75" hidden="1">
      <c r="B612" s="55"/>
      <c r="C612" s="61">
        <v>13</v>
      </c>
      <c r="D612" s="62" t="s">
        <v>58</v>
      </c>
      <c r="E612" s="62"/>
      <c r="F612" s="99">
        <f t="shared" si="41"/>
        <v>0</v>
      </c>
      <c r="G612" s="46"/>
      <c r="H612" s="46"/>
      <c r="I612" s="46"/>
      <c r="J612" s="46"/>
      <c r="K612" s="46"/>
      <c r="L612" s="46"/>
      <c r="M612" s="46"/>
      <c r="N612" s="46"/>
      <c r="O612" s="46"/>
      <c r="P612" s="48"/>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row>
    <row r="613" spans="2:66" s="302" customFormat="1" ht="15.75" hidden="1">
      <c r="B613" s="55"/>
      <c r="C613" s="56"/>
      <c r="D613" s="57"/>
      <c r="E613" s="57"/>
      <c r="F613" s="93"/>
      <c r="G613" s="46"/>
      <c r="H613" s="46"/>
      <c r="I613" s="46"/>
      <c r="J613" s="46"/>
      <c r="K613" s="46"/>
      <c r="L613" s="46"/>
      <c r="M613" s="46"/>
      <c r="N613" s="46"/>
      <c r="O613" s="46"/>
      <c r="P613" s="48"/>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row>
    <row r="614" spans="2:66" ht="15.75" hidden="1">
      <c r="B614" s="55"/>
      <c r="C614" s="52" t="s">
        <v>44</v>
      </c>
      <c r="D614" s="52" t="s">
        <v>110</v>
      </c>
      <c r="E614" s="52" t="s">
        <v>30</v>
      </c>
      <c r="F614" s="53" t="s">
        <v>37</v>
      </c>
      <c r="G614" s="46"/>
      <c r="H614" s="46"/>
      <c r="I614" s="46"/>
      <c r="J614" s="46"/>
      <c r="K614" s="46"/>
      <c r="L614" s="46"/>
      <c r="M614" s="46"/>
      <c r="N614" s="46"/>
      <c r="O614" s="46"/>
      <c r="P614" s="48"/>
      <c r="AE614" s="302"/>
      <c r="AF614" s="302"/>
      <c r="AG614" s="302"/>
      <c r="AH614" s="302"/>
      <c r="AI614" s="302"/>
      <c r="AJ614" s="302"/>
      <c r="AK614" s="302"/>
      <c r="AL614" s="302"/>
      <c r="AM614" s="302"/>
      <c r="AN614" s="302"/>
      <c r="AO614" s="302"/>
      <c r="AP614" s="302"/>
      <c r="AQ614" s="302"/>
      <c r="AR614" s="302"/>
      <c r="AS614" s="302"/>
      <c r="AT614" s="302"/>
      <c r="AU614" s="302"/>
      <c r="AV614" s="302"/>
      <c r="AW614" s="302"/>
      <c r="AX614" s="302"/>
      <c r="AY614" s="302"/>
      <c r="AZ614" s="302"/>
      <c r="BA614" s="302"/>
      <c r="BB614" s="302"/>
      <c r="BC614" s="302"/>
      <c r="BD614" s="302"/>
      <c r="BE614" s="302"/>
      <c r="BF614" s="302"/>
      <c r="BG614" s="302"/>
      <c r="BH614" s="302"/>
      <c r="BI614" s="302"/>
      <c r="BJ614" s="302"/>
      <c r="BK614" s="302"/>
      <c r="BL614" s="302"/>
      <c r="BM614" s="302"/>
      <c r="BN614" s="302"/>
    </row>
    <row r="615" spans="2:66" ht="15.75" hidden="1">
      <c r="B615" s="55"/>
      <c r="C615" s="56">
        <v>1</v>
      </c>
      <c r="D615" s="57" t="s">
        <v>61</v>
      </c>
      <c r="E615" s="57"/>
      <c r="F615" s="300">
        <f>INDEX($E94:$T94, MATCH($E$23, $E$93:$T$93, 0))</f>
        <v>0</v>
      </c>
      <c r="G615" s="46"/>
      <c r="H615" s="46"/>
      <c r="I615" s="46"/>
      <c r="J615" s="46"/>
      <c r="K615" s="46"/>
      <c r="L615" s="46"/>
      <c r="M615" s="46"/>
      <c r="N615" s="46"/>
      <c r="O615" s="46"/>
      <c r="P615" s="48"/>
      <c r="AE615" s="302"/>
      <c r="AF615" s="302"/>
      <c r="AG615" s="302"/>
      <c r="AH615" s="302"/>
      <c r="AI615" s="302"/>
      <c r="AJ615" s="302"/>
      <c r="AK615" s="302"/>
      <c r="AL615" s="302"/>
      <c r="AM615" s="302"/>
      <c r="AN615" s="302"/>
      <c r="AO615" s="302"/>
      <c r="AP615" s="302"/>
      <c r="AQ615" s="302"/>
      <c r="AR615" s="302"/>
      <c r="AS615" s="302"/>
      <c r="AT615" s="302"/>
      <c r="AU615" s="302"/>
      <c r="AV615" s="302"/>
      <c r="AW615" s="302"/>
      <c r="AX615" s="302"/>
      <c r="AY615" s="302"/>
      <c r="AZ615" s="302"/>
      <c r="BA615" s="302"/>
      <c r="BB615" s="302"/>
      <c r="BC615" s="302"/>
      <c r="BD615" s="302"/>
      <c r="BE615" s="302"/>
      <c r="BF615" s="302"/>
      <c r="BG615" s="302"/>
      <c r="BH615" s="302"/>
      <c r="BI615" s="302"/>
      <c r="BJ615" s="302"/>
      <c r="BK615" s="302"/>
      <c r="BL615" s="302"/>
      <c r="BM615" s="302"/>
      <c r="BN615" s="302"/>
    </row>
    <row r="616" spans="2:66" ht="12" hidden="1" customHeight="1">
      <c r="B616" s="55"/>
      <c r="C616" s="56">
        <v>2</v>
      </c>
      <c r="D616" s="57" t="s">
        <v>62</v>
      </c>
      <c r="E616" s="57"/>
      <c r="F616" s="94">
        <f>INDEX($E95:$T95, MATCH($E$23, $E$93:$T$93, 0))</f>
        <v>1</v>
      </c>
      <c r="G616" s="46"/>
      <c r="H616" s="46"/>
      <c r="I616" s="46"/>
      <c r="J616" s="46"/>
      <c r="K616" s="46"/>
      <c r="L616" s="46"/>
      <c r="M616" s="46"/>
      <c r="N616" s="46"/>
      <c r="O616" s="46"/>
      <c r="P616" s="48"/>
    </row>
    <row r="617" spans="2:66" ht="15.75" hidden="1">
      <c r="B617" s="55"/>
      <c r="C617" s="146">
        <v>3</v>
      </c>
      <c r="D617" s="125" t="s">
        <v>63</v>
      </c>
      <c r="E617" s="125"/>
      <c r="F617" s="158">
        <f>INDEX($E96:$T96, MATCH($E$23, $E$93:$T$93, 0))</f>
        <v>0</v>
      </c>
      <c r="G617" s="46"/>
      <c r="H617" s="46"/>
      <c r="I617" s="46"/>
      <c r="J617" s="46"/>
      <c r="K617" s="46"/>
      <c r="L617" s="46"/>
      <c r="M617" s="46"/>
      <c r="N617" s="46"/>
      <c r="O617" s="46"/>
      <c r="P617" s="48"/>
    </row>
    <row r="618" spans="2:66" ht="15.75" hidden="1">
      <c r="B618" s="55"/>
      <c r="C618" s="56"/>
      <c r="D618" s="57"/>
      <c r="E618" s="57"/>
      <c r="F618" s="94"/>
      <c r="G618" s="46"/>
      <c r="H618" s="46"/>
      <c r="I618" s="46"/>
      <c r="J618" s="46"/>
      <c r="K618" s="46"/>
      <c r="L618" s="46"/>
      <c r="M618" s="46"/>
      <c r="N618" s="46"/>
      <c r="O618" s="46"/>
      <c r="P618" s="48"/>
    </row>
    <row r="619" spans="2:66" ht="15.75" hidden="1">
      <c r="B619" s="55"/>
      <c r="C619" s="303" t="s">
        <v>188</v>
      </c>
      <c r="D619" s="57"/>
      <c r="E619" s="57"/>
      <c r="F619" s="94"/>
      <c r="G619" s="46"/>
      <c r="H619" s="46"/>
      <c r="I619" s="46"/>
      <c r="J619" s="46"/>
      <c r="K619" s="46"/>
      <c r="L619" s="46"/>
      <c r="M619" s="46"/>
      <c r="N619" s="46"/>
      <c r="O619" s="46"/>
      <c r="P619" s="48"/>
    </row>
    <row r="620" spans="2:66">
      <c r="B620" s="304"/>
      <c r="C620" s="305"/>
      <c r="D620" s="306"/>
      <c r="E620" s="306"/>
      <c r="F620" s="307"/>
      <c r="G620" s="308"/>
      <c r="H620" s="308"/>
      <c r="I620" s="308"/>
      <c r="J620" s="308"/>
      <c r="K620" s="308"/>
      <c r="L620" s="308"/>
      <c r="M620" s="308"/>
      <c r="N620" s="308"/>
      <c r="O620" s="308"/>
      <c r="P620" s="309"/>
    </row>
    <row r="621" spans="2:66">
      <c r="B621" s="304"/>
      <c r="C621" s="310" t="s">
        <v>189</v>
      </c>
      <c r="D621" s="306"/>
      <c r="E621" s="311"/>
      <c r="F621" s="312"/>
      <c r="G621" s="308"/>
      <c r="H621" s="308"/>
      <c r="I621" s="308"/>
      <c r="J621" s="308"/>
      <c r="K621" s="308"/>
      <c r="L621" s="308"/>
      <c r="M621" s="308"/>
      <c r="N621" s="313" t="s">
        <v>190</v>
      </c>
      <c r="O621" s="309"/>
      <c r="P621" s="309"/>
    </row>
    <row r="622" spans="2:66">
      <c r="B622" s="304"/>
      <c r="C622" s="310"/>
      <c r="D622" s="306"/>
      <c r="E622" s="311"/>
      <c r="F622" s="312"/>
      <c r="G622" s="308"/>
      <c r="H622" s="308"/>
      <c r="I622" s="308"/>
      <c r="J622" s="308"/>
      <c r="K622" s="308"/>
      <c r="L622" s="308"/>
      <c r="M622" s="308"/>
      <c r="N622" s="313"/>
      <c r="O622" s="309"/>
      <c r="P622" s="309"/>
    </row>
    <row r="623" spans="2:66">
      <c r="B623" s="304"/>
      <c r="C623" s="305" t="s">
        <v>191</v>
      </c>
      <c r="D623" s="306"/>
      <c r="E623" s="306"/>
      <c r="F623" s="312"/>
      <c r="G623" s="308"/>
      <c r="H623" s="308"/>
      <c r="I623" s="308"/>
      <c r="J623" s="308"/>
      <c r="K623" s="308"/>
      <c r="L623" s="308"/>
      <c r="M623" s="308"/>
      <c r="N623" s="308"/>
      <c r="O623" s="309"/>
      <c r="P623" s="309"/>
    </row>
    <row r="624" spans="2:66">
      <c r="B624" s="304"/>
      <c r="C624" s="305"/>
      <c r="D624" s="306"/>
      <c r="E624" s="306"/>
      <c r="F624" s="312"/>
      <c r="G624" s="308"/>
      <c r="H624" s="308"/>
      <c r="I624" s="308"/>
      <c r="J624" s="308"/>
      <c r="K624" s="308"/>
      <c r="L624" s="308"/>
      <c r="M624" s="308"/>
      <c r="N624" s="308"/>
      <c r="O624" s="308"/>
      <c r="P624" s="309"/>
    </row>
    <row r="625" spans="2:16">
      <c r="B625" s="304"/>
      <c r="C625" s="314" t="s">
        <v>44</v>
      </c>
      <c r="D625" s="314" t="s">
        <v>110</v>
      </c>
      <c r="E625" s="314" t="s">
        <v>30</v>
      </c>
      <c r="F625" s="315">
        <v>2013</v>
      </c>
      <c r="G625" s="316">
        <v>2015</v>
      </c>
      <c r="H625" s="316">
        <v>2020</v>
      </c>
      <c r="I625" s="316">
        <v>2025</v>
      </c>
      <c r="J625" s="316">
        <v>2030</v>
      </c>
      <c r="K625" s="316">
        <v>2035</v>
      </c>
      <c r="L625" s="316">
        <v>2040</v>
      </c>
      <c r="M625" s="316">
        <v>2045</v>
      </c>
      <c r="N625" s="316">
        <v>2050</v>
      </c>
      <c r="O625" s="316" t="s">
        <v>160</v>
      </c>
      <c r="P625" s="309"/>
    </row>
    <row r="626" spans="2:16">
      <c r="B626" s="304"/>
      <c r="C626" s="305">
        <v>1</v>
      </c>
      <c r="D626" s="306" t="s">
        <v>46</v>
      </c>
      <c r="E626" s="306"/>
      <c r="F626" s="317">
        <f t="shared" ref="F626:F638" si="42">INDEX($F$211:$F$223, MATCH($C626,$C$211:$C$223, 0))</f>
        <v>0.17</v>
      </c>
      <c r="G626" s="318">
        <v>0.24</v>
      </c>
      <c r="H626" s="319">
        <f t="shared" ref="H626:M638" si="43">G626+$O626</f>
        <v>0.20571428571428571</v>
      </c>
      <c r="I626" s="319">
        <f t="shared" si="43"/>
        <v>0.17142857142857143</v>
      </c>
      <c r="J626" s="319">
        <f t="shared" si="43"/>
        <v>0.13714285714285715</v>
      </c>
      <c r="K626" s="319">
        <f t="shared" si="43"/>
        <v>0.10285714285714287</v>
      </c>
      <c r="L626" s="319">
        <f t="shared" si="43"/>
        <v>6.8571428571428589E-2</v>
      </c>
      <c r="M626" s="319">
        <f t="shared" si="43"/>
        <v>3.4285714285714301E-2</v>
      </c>
      <c r="N626" s="320">
        <f>F600</f>
        <v>0</v>
      </c>
      <c r="O626" s="320">
        <f>(N626-G626)/7</f>
        <v>-3.4285714285714287E-2</v>
      </c>
      <c r="P626" s="309"/>
    </row>
    <row r="627" spans="2:16">
      <c r="B627" s="304"/>
      <c r="C627" s="305">
        <v>2</v>
      </c>
      <c r="D627" s="306" t="s">
        <v>47</v>
      </c>
      <c r="E627" s="306"/>
      <c r="F627" s="321">
        <f t="shared" si="42"/>
        <v>0.156</v>
      </c>
      <c r="G627" s="322">
        <v>0.08</v>
      </c>
      <c r="H627" s="323">
        <f t="shared" si="43"/>
        <v>0.19714285714285715</v>
      </c>
      <c r="I627" s="323">
        <f t="shared" si="43"/>
        <v>0.31428571428571428</v>
      </c>
      <c r="J627" s="323">
        <f t="shared" si="43"/>
        <v>0.43142857142857144</v>
      </c>
      <c r="K627" s="323">
        <f t="shared" si="43"/>
        <v>0.5485714285714286</v>
      </c>
      <c r="L627" s="323">
        <f t="shared" si="43"/>
        <v>0.6657142857142857</v>
      </c>
      <c r="M627" s="323">
        <f t="shared" si="43"/>
        <v>0.78285714285714281</v>
      </c>
      <c r="N627" s="324">
        <f t="shared" ref="N627:N638" si="44">F601</f>
        <v>0.9</v>
      </c>
      <c r="O627" s="324">
        <f t="shared" ref="O627:O638" si="45">(N627-G627)/7</f>
        <v>0.11714285714285715</v>
      </c>
      <c r="P627" s="309"/>
    </row>
    <row r="628" spans="2:16">
      <c r="B628" s="304"/>
      <c r="C628" s="305">
        <v>3</v>
      </c>
      <c r="D628" s="306" t="s">
        <v>48</v>
      </c>
      <c r="E628" s="306"/>
      <c r="F628" s="321">
        <f t="shared" si="42"/>
        <v>3.5999999999999997E-2</v>
      </c>
      <c r="G628" s="322">
        <v>0.06</v>
      </c>
      <c r="H628" s="323">
        <f t="shared" si="43"/>
        <v>6.5714285714285711E-2</v>
      </c>
      <c r="I628" s="323">
        <f t="shared" si="43"/>
        <v>7.1428571428571425E-2</v>
      </c>
      <c r="J628" s="323">
        <f t="shared" si="43"/>
        <v>7.7142857142857138E-2</v>
      </c>
      <c r="K628" s="323">
        <f t="shared" si="43"/>
        <v>8.2857142857142851E-2</v>
      </c>
      <c r="L628" s="323">
        <f t="shared" si="43"/>
        <v>8.8571428571428565E-2</v>
      </c>
      <c r="M628" s="323">
        <f t="shared" si="43"/>
        <v>9.4285714285714278E-2</v>
      </c>
      <c r="N628" s="324">
        <f t="shared" si="44"/>
        <v>0.1</v>
      </c>
      <c r="O628" s="324">
        <f t="shared" si="45"/>
        <v>5.7142857142857151E-3</v>
      </c>
      <c r="P628" s="309"/>
    </row>
    <row r="629" spans="2:16">
      <c r="B629" s="304"/>
      <c r="C629" s="305">
        <v>4</v>
      </c>
      <c r="D629" s="306" t="s">
        <v>49</v>
      </c>
      <c r="E629" s="306"/>
      <c r="F629" s="321">
        <f t="shared" si="42"/>
        <v>0.61899999999999999</v>
      </c>
      <c r="G629" s="322">
        <v>0.55000000000000004</v>
      </c>
      <c r="H629" s="323">
        <f t="shared" si="43"/>
        <v>0.47142857142857147</v>
      </c>
      <c r="I629" s="323">
        <f t="shared" si="43"/>
        <v>0.3928571428571429</v>
      </c>
      <c r="J629" s="323">
        <f t="shared" si="43"/>
        <v>0.31428571428571433</v>
      </c>
      <c r="K629" s="323">
        <f t="shared" si="43"/>
        <v>0.23571428571428577</v>
      </c>
      <c r="L629" s="323">
        <f t="shared" si="43"/>
        <v>0.1571428571428572</v>
      </c>
      <c r="M629" s="323">
        <f t="shared" si="43"/>
        <v>7.8571428571428611E-2</v>
      </c>
      <c r="N629" s="324">
        <f t="shared" si="44"/>
        <v>0</v>
      </c>
      <c r="O629" s="324">
        <f t="shared" si="45"/>
        <v>-7.8571428571428584E-2</v>
      </c>
      <c r="P629" s="309"/>
    </row>
    <row r="630" spans="2:16">
      <c r="B630" s="304"/>
      <c r="C630" s="305">
        <v>5</v>
      </c>
      <c r="D630" s="306" t="s">
        <v>50</v>
      </c>
      <c r="E630" s="306"/>
      <c r="F630" s="321">
        <f t="shared" si="42"/>
        <v>1.4999999999999999E-2</v>
      </c>
      <c r="G630" s="322">
        <v>0.01</v>
      </c>
      <c r="H630" s="323">
        <f t="shared" si="43"/>
        <v>8.5714285714285719E-3</v>
      </c>
      <c r="I630" s="323">
        <f t="shared" si="43"/>
        <v>7.1428571428571435E-3</v>
      </c>
      <c r="J630" s="323">
        <f t="shared" si="43"/>
        <v>5.7142857142857151E-3</v>
      </c>
      <c r="K630" s="323">
        <f t="shared" si="43"/>
        <v>4.2857142857142868E-3</v>
      </c>
      <c r="L630" s="323">
        <f t="shared" si="43"/>
        <v>2.8571428571428584E-3</v>
      </c>
      <c r="M630" s="323">
        <f t="shared" si="43"/>
        <v>1.4285714285714299E-3</v>
      </c>
      <c r="N630" s="324">
        <f t="shared" si="44"/>
        <v>0</v>
      </c>
      <c r="O630" s="324">
        <f t="shared" si="45"/>
        <v>-1.4285714285714286E-3</v>
      </c>
      <c r="P630" s="309"/>
    </row>
    <row r="631" spans="2:16">
      <c r="B631" s="304"/>
      <c r="C631" s="305">
        <v>6</v>
      </c>
      <c r="D631" s="306" t="s">
        <v>51</v>
      </c>
      <c r="E631" s="306"/>
      <c r="F631" s="321">
        <f t="shared" si="42"/>
        <v>0</v>
      </c>
      <c r="G631" s="325">
        <v>0</v>
      </c>
      <c r="H631" s="323">
        <f t="shared" si="43"/>
        <v>0</v>
      </c>
      <c r="I631" s="323">
        <f t="shared" si="43"/>
        <v>0</v>
      </c>
      <c r="J631" s="323">
        <f t="shared" si="43"/>
        <v>0</v>
      </c>
      <c r="K631" s="323">
        <f t="shared" si="43"/>
        <v>0</v>
      </c>
      <c r="L631" s="323">
        <f t="shared" si="43"/>
        <v>0</v>
      </c>
      <c r="M631" s="323">
        <f t="shared" si="43"/>
        <v>0</v>
      </c>
      <c r="N631" s="324">
        <f t="shared" si="44"/>
        <v>0</v>
      </c>
      <c r="O631" s="324">
        <f t="shared" si="45"/>
        <v>0</v>
      </c>
      <c r="P631" s="309"/>
    </row>
    <row r="632" spans="2:16">
      <c r="B632" s="304"/>
      <c r="C632" s="305">
        <v>7</v>
      </c>
      <c r="D632" s="306" t="s">
        <v>52</v>
      </c>
      <c r="E632" s="306"/>
      <c r="F632" s="321">
        <f t="shared" si="42"/>
        <v>0</v>
      </c>
      <c r="G632" s="325">
        <v>0</v>
      </c>
      <c r="H632" s="323">
        <f t="shared" si="43"/>
        <v>0</v>
      </c>
      <c r="I632" s="323">
        <f t="shared" si="43"/>
        <v>0</v>
      </c>
      <c r="J632" s="323">
        <f t="shared" si="43"/>
        <v>0</v>
      </c>
      <c r="K632" s="323">
        <f t="shared" si="43"/>
        <v>0</v>
      </c>
      <c r="L632" s="323">
        <f t="shared" si="43"/>
        <v>0</v>
      </c>
      <c r="M632" s="323">
        <f t="shared" si="43"/>
        <v>0</v>
      </c>
      <c r="N632" s="324">
        <f t="shared" si="44"/>
        <v>0</v>
      </c>
      <c r="O632" s="324">
        <f t="shared" si="45"/>
        <v>0</v>
      </c>
      <c r="P632" s="309"/>
    </row>
    <row r="633" spans="2:16">
      <c r="B633" s="304"/>
      <c r="C633" s="305">
        <v>8</v>
      </c>
      <c r="D633" s="306" t="s">
        <v>53</v>
      </c>
      <c r="E633" s="306"/>
      <c r="F633" s="321">
        <f t="shared" si="42"/>
        <v>1E-3</v>
      </c>
      <c r="G633" s="325">
        <v>0</v>
      </c>
      <c r="H633" s="323">
        <f t="shared" si="43"/>
        <v>0</v>
      </c>
      <c r="I633" s="323">
        <f t="shared" si="43"/>
        <v>0</v>
      </c>
      <c r="J633" s="323">
        <f t="shared" si="43"/>
        <v>0</v>
      </c>
      <c r="K633" s="323">
        <f t="shared" si="43"/>
        <v>0</v>
      </c>
      <c r="L633" s="323">
        <f t="shared" si="43"/>
        <v>0</v>
      </c>
      <c r="M633" s="323">
        <f t="shared" si="43"/>
        <v>0</v>
      </c>
      <c r="N633" s="324">
        <f t="shared" si="44"/>
        <v>0</v>
      </c>
      <c r="O633" s="324">
        <f t="shared" si="45"/>
        <v>0</v>
      </c>
      <c r="P633" s="309"/>
    </row>
    <row r="634" spans="2:16">
      <c r="B634" s="304"/>
      <c r="C634" s="305">
        <v>9</v>
      </c>
      <c r="D634" s="306" t="s">
        <v>54</v>
      </c>
      <c r="E634" s="306"/>
      <c r="F634" s="321">
        <f t="shared" si="42"/>
        <v>2E-3</v>
      </c>
      <c r="G634" s="325">
        <v>0.01</v>
      </c>
      <c r="H634" s="323">
        <f t="shared" si="43"/>
        <v>8.5714285714285719E-3</v>
      </c>
      <c r="I634" s="323">
        <f t="shared" si="43"/>
        <v>7.1428571428571435E-3</v>
      </c>
      <c r="J634" s="323">
        <f t="shared" si="43"/>
        <v>5.7142857142857151E-3</v>
      </c>
      <c r="K634" s="323">
        <f t="shared" si="43"/>
        <v>4.2857142857142868E-3</v>
      </c>
      <c r="L634" s="323">
        <f t="shared" si="43"/>
        <v>2.8571428571428584E-3</v>
      </c>
      <c r="M634" s="323">
        <f t="shared" si="43"/>
        <v>1.4285714285714299E-3</v>
      </c>
      <c r="N634" s="324">
        <f t="shared" si="44"/>
        <v>0</v>
      </c>
      <c r="O634" s="324">
        <f t="shared" si="45"/>
        <v>-1.4285714285714286E-3</v>
      </c>
      <c r="P634" s="309"/>
    </row>
    <row r="635" spans="2:16">
      <c r="B635" s="304"/>
      <c r="C635" s="305">
        <v>10</v>
      </c>
      <c r="D635" s="306" t="s">
        <v>55</v>
      </c>
      <c r="E635" s="306"/>
      <c r="F635" s="321">
        <f t="shared" si="42"/>
        <v>0</v>
      </c>
      <c r="G635" s="325">
        <v>0</v>
      </c>
      <c r="H635" s="323">
        <f t="shared" si="43"/>
        <v>0</v>
      </c>
      <c r="I635" s="323">
        <f t="shared" si="43"/>
        <v>0</v>
      </c>
      <c r="J635" s="323">
        <f t="shared" si="43"/>
        <v>0</v>
      </c>
      <c r="K635" s="323">
        <f t="shared" si="43"/>
        <v>0</v>
      </c>
      <c r="L635" s="323">
        <f t="shared" si="43"/>
        <v>0</v>
      </c>
      <c r="M635" s="323">
        <f t="shared" si="43"/>
        <v>0</v>
      </c>
      <c r="N635" s="324">
        <f t="shared" si="44"/>
        <v>0</v>
      </c>
      <c r="O635" s="324">
        <f t="shared" si="45"/>
        <v>0</v>
      </c>
      <c r="P635" s="309"/>
    </row>
    <row r="636" spans="2:16">
      <c r="B636" s="304"/>
      <c r="C636" s="305">
        <v>11</v>
      </c>
      <c r="D636" s="306" t="s">
        <v>56</v>
      </c>
      <c r="E636" s="306"/>
      <c r="F636" s="321">
        <f t="shared" si="42"/>
        <v>0</v>
      </c>
      <c r="G636" s="325">
        <v>0</v>
      </c>
      <c r="H636" s="323">
        <f t="shared" si="43"/>
        <v>0</v>
      </c>
      <c r="I636" s="323">
        <f t="shared" si="43"/>
        <v>0</v>
      </c>
      <c r="J636" s="323">
        <f t="shared" si="43"/>
        <v>0</v>
      </c>
      <c r="K636" s="323">
        <f t="shared" si="43"/>
        <v>0</v>
      </c>
      <c r="L636" s="323">
        <f t="shared" si="43"/>
        <v>0</v>
      </c>
      <c r="M636" s="323">
        <f t="shared" si="43"/>
        <v>0</v>
      </c>
      <c r="N636" s="324">
        <f t="shared" si="44"/>
        <v>0</v>
      </c>
      <c r="O636" s="324">
        <f t="shared" si="45"/>
        <v>0</v>
      </c>
      <c r="P636" s="309"/>
    </row>
    <row r="637" spans="2:16">
      <c r="B637" s="304"/>
      <c r="C637" s="305">
        <v>12</v>
      </c>
      <c r="D637" s="306" t="s">
        <v>57</v>
      </c>
      <c r="E637" s="306"/>
      <c r="F637" s="321">
        <f t="shared" si="42"/>
        <v>0</v>
      </c>
      <c r="G637" s="325">
        <v>0</v>
      </c>
      <c r="H637" s="323">
        <f t="shared" si="43"/>
        <v>0</v>
      </c>
      <c r="I637" s="323">
        <f t="shared" si="43"/>
        <v>0</v>
      </c>
      <c r="J637" s="323">
        <f t="shared" si="43"/>
        <v>0</v>
      </c>
      <c r="K637" s="323">
        <f t="shared" si="43"/>
        <v>0</v>
      </c>
      <c r="L637" s="323">
        <f t="shared" si="43"/>
        <v>0</v>
      </c>
      <c r="M637" s="323">
        <f t="shared" si="43"/>
        <v>0</v>
      </c>
      <c r="N637" s="324">
        <f t="shared" si="44"/>
        <v>0</v>
      </c>
      <c r="O637" s="324">
        <f t="shared" si="45"/>
        <v>0</v>
      </c>
      <c r="P637" s="309"/>
    </row>
    <row r="638" spans="2:16">
      <c r="B638" s="304"/>
      <c r="C638" s="326">
        <v>13</v>
      </c>
      <c r="D638" s="327" t="s">
        <v>58</v>
      </c>
      <c r="E638" s="327"/>
      <c r="F638" s="328">
        <f t="shared" si="42"/>
        <v>0</v>
      </c>
      <c r="G638" s="329">
        <v>0</v>
      </c>
      <c r="H638" s="330">
        <f t="shared" si="43"/>
        <v>0</v>
      </c>
      <c r="I638" s="330">
        <f t="shared" si="43"/>
        <v>0</v>
      </c>
      <c r="J638" s="330">
        <f t="shared" si="43"/>
        <v>0</v>
      </c>
      <c r="K638" s="330">
        <f t="shared" si="43"/>
        <v>0</v>
      </c>
      <c r="L638" s="330">
        <f t="shared" si="43"/>
        <v>0</v>
      </c>
      <c r="M638" s="330">
        <f t="shared" si="43"/>
        <v>0</v>
      </c>
      <c r="N638" s="331">
        <f t="shared" si="44"/>
        <v>0</v>
      </c>
      <c r="O638" s="331">
        <f t="shared" si="45"/>
        <v>0</v>
      </c>
      <c r="P638" s="309"/>
    </row>
    <row r="639" spans="2:16">
      <c r="B639" s="304"/>
      <c r="C639" s="305"/>
      <c r="D639" s="306" t="s">
        <v>59</v>
      </c>
      <c r="E639" s="306"/>
      <c r="F639" s="307">
        <f>SUM(F626:F638)</f>
        <v>0.999</v>
      </c>
      <c r="G639" s="307">
        <f t="shared" ref="G639:N639" si="46">SUM(G626:G638)</f>
        <v>0.95000000000000007</v>
      </c>
      <c r="H639" s="332">
        <f t="shared" si="46"/>
        <v>0.95714285714285718</v>
      </c>
      <c r="I639" s="332">
        <f t="shared" si="46"/>
        <v>0.9642857142857143</v>
      </c>
      <c r="J639" s="332">
        <f t="shared" si="46"/>
        <v>0.97142857142857153</v>
      </c>
      <c r="K639" s="332">
        <f t="shared" si="46"/>
        <v>0.97857142857142876</v>
      </c>
      <c r="L639" s="332">
        <f t="shared" si="46"/>
        <v>0.98571428571428577</v>
      </c>
      <c r="M639" s="332">
        <f t="shared" si="46"/>
        <v>0.99285714285714288</v>
      </c>
      <c r="N639" s="332">
        <f t="shared" si="46"/>
        <v>1</v>
      </c>
      <c r="O639" s="332"/>
      <c r="P639" s="309"/>
    </row>
    <row r="640" spans="2:16">
      <c r="B640" s="304"/>
      <c r="C640" s="305"/>
      <c r="D640" s="306"/>
      <c r="E640" s="306"/>
      <c r="F640" s="307"/>
      <c r="G640" s="307"/>
      <c r="H640" s="332"/>
      <c r="I640" s="332"/>
      <c r="J640" s="332"/>
      <c r="K640" s="332"/>
      <c r="L640" s="332"/>
      <c r="M640" s="332"/>
      <c r="N640" s="332"/>
      <c r="O640" s="332"/>
      <c r="P640" s="309"/>
    </row>
    <row r="641" spans="2:16">
      <c r="B641" s="304"/>
      <c r="C641" s="305" t="s">
        <v>192</v>
      </c>
      <c r="D641" s="306"/>
      <c r="E641" s="306"/>
      <c r="F641" s="307"/>
      <c r="G641" s="307"/>
      <c r="H641" s="332"/>
      <c r="I641" s="332"/>
      <c r="J641" s="332"/>
      <c r="K641" s="332"/>
      <c r="L641" s="332"/>
      <c r="M641" s="332"/>
      <c r="N641" s="332"/>
      <c r="O641" s="332"/>
      <c r="P641" s="309"/>
    </row>
    <row r="642" spans="2:16">
      <c r="B642" s="304"/>
      <c r="C642" s="308"/>
      <c r="D642" s="308"/>
      <c r="E642" s="308"/>
      <c r="F642" s="308"/>
      <c r="G642" s="308"/>
      <c r="H642" s="308"/>
      <c r="I642" s="308"/>
      <c r="J642" s="308"/>
      <c r="K642" s="308"/>
      <c r="L642" s="308"/>
      <c r="M642" s="308"/>
      <c r="N642" s="308"/>
      <c r="O642" s="308"/>
      <c r="P642" s="309"/>
    </row>
    <row r="643" spans="2:16">
      <c r="B643" s="304"/>
      <c r="C643" s="314" t="s">
        <v>44</v>
      </c>
      <c r="D643" s="314" t="s">
        <v>110</v>
      </c>
      <c r="E643" s="314" t="s">
        <v>30</v>
      </c>
      <c r="F643" s="315">
        <v>2013</v>
      </c>
      <c r="G643" s="316">
        <v>2015</v>
      </c>
      <c r="H643" s="316">
        <v>2020</v>
      </c>
      <c r="I643" s="316">
        <v>2025</v>
      </c>
      <c r="J643" s="316">
        <v>2030</v>
      </c>
      <c r="K643" s="316">
        <v>2035</v>
      </c>
      <c r="L643" s="316">
        <v>2040</v>
      </c>
      <c r="M643" s="316">
        <v>2045</v>
      </c>
      <c r="N643" s="316">
        <v>2050</v>
      </c>
      <c r="O643" s="308"/>
      <c r="P643" s="308"/>
    </row>
    <row r="644" spans="2:16">
      <c r="B644" s="304"/>
      <c r="C644" s="305">
        <v>1</v>
      </c>
      <c r="D644" s="306" t="s">
        <v>61</v>
      </c>
      <c r="E644" s="306"/>
      <c r="F644" s="317">
        <v>0</v>
      </c>
      <c r="G644" s="333">
        <v>0</v>
      </c>
      <c r="H644" s="334">
        <f t="shared" ref="H644:M646" si="47">$G644+$P644</f>
        <v>0</v>
      </c>
      <c r="I644" s="334">
        <f t="shared" si="47"/>
        <v>0</v>
      </c>
      <c r="J644" s="334">
        <f t="shared" si="47"/>
        <v>0</v>
      </c>
      <c r="K644" s="334">
        <f t="shared" si="47"/>
        <v>0</v>
      </c>
      <c r="L644" s="334">
        <f t="shared" si="47"/>
        <v>0</v>
      </c>
      <c r="M644" s="334">
        <f t="shared" si="47"/>
        <v>0</v>
      </c>
      <c r="N644" s="334">
        <f>F615</f>
        <v>0</v>
      </c>
      <c r="O644" s="308"/>
      <c r="P644" s="324">
        <f>(N644-G644)/8</f>
        <v>0</v>
      </c>
    </row>
    <row r="645" spans="2:16">
      <c r="B645" s="304"/>
      <c r="C645" s="305">
        <v>2</v>
      </c>
      <c r="D645" s="306" t="s">
        <v>62</v>
      </c>
      <c r="E645" s="306"/>
      <c r="F645" s="321">
        <v>0</v>
      </c>
      <c r="G645" s="335">
        <v>1</v>
      </c>
      <c r="H645" s="336">
        <f t="shared" si="47"/>
        <v>1</v>
      </c>
      <c r="I645" s="336">
        <f t="shared" si="47"/>
        <v>1</v>
      </c>
      <c r="J645" s="336">
        <f t="shared" si="47"/>
        <v>1</v>
      </c>
      <c r="K645" s="336">
        <f t="shared" si="47"/>
        <v>1</v>
      </c>
      <c r="L645" s="336">
        <f t="shared" si="47"/>
        <v>1</v>
      </c>
      <c r="M645" s="336">
        <f t="shared" si="47"/>
        <v>1</v>
      </c>
      <c r="N645" s="336">
        <f>F616</f>
        <v>1</v>
      </c>
      <c r="O645" s="308"/>
      <c r="P645" s="324">
        <f>(N645-G645)/8</f>
        <v>0</v>
      </c>
    </row>
    <row r="646" spans="2:16">
      <c r="B646" s="304"/>
      <c r="C646" s="305">
        <v>3</v>
      </c>
      <c r="D646" s="306" t="s">
        <v>63</v>
      </c>
      <c r="E646" s="306"/>
      <c r="F646" s="321">
        <v>0</v>
      </c>
      <c r="G646" s="337">
        <v>0</v>
      </c>
      <c r="H646" s="336">
        <f t="shared" si="47"/>
        <v>0</v>
      </c>
      <c r="I646" s="336">
        <f t="shared" si="47"/>
        <v>0</v>
      </c>
      <c r="J646" s="336">
        <f t="shared" si="47"/>
        <v>0</v>
      </c>
      <c r="K646" s="336">
        <f t="shared" si="47"/>
        <v>0</v>
      </c>
      <c r="L646" s="336">
        <f t="shared" si="47"/>
        <v>0</v>
      </c>
      <c r="M646" s="336">
        <f t="shared" si="47"/>
        <v>0</v>
      </c>
      <c r="N646" s="338">
        <f>F617</f>
        <v>0</v>
      </c>
      <c r="O646" s="308"/>
      <c r="P646" s="324">
        <f>(N646-G646)/8</f>
        <v>0</v>
      </c>
    </row>
    <row r="647" spans="2:16">
      <c r="B647" s="304"/>
      <c r="C647" s="339"/>
      <c r="D647" s="340"/>
      <c r="E647" s="340"/>
      <c r="F647" s="341">
        <v>0</v>
      </c>
      <c r="G647" s="341">
        <f t="shared" ref="G647:N647" si="48">SUM(G644:G646)</f>
        <v>1</v>
      </c>
      <c r="H647" s="341">
        <f t="shared" si="48"/>
        <v>1</v>
      </c>
      <c r="I647" s="341">
        <f t="shared" si="48"/>
        <v>1</v>
      </c>
      <c r="J647" s="341">
        <f t="shared" si="48"/>
        <v>1</v>
      </c>
      <c r="K647" s="341">
        <f t="shared" si="48"/>
        <v>1</v>
      </c>
      <c r="L647" s="341">
        <f t="shared" si="48"/>
        <v>1</v>
      </c>
      <c r="M647" s="341">
        <f t="shared" si="48"/>
        <v>1</v>
      </c>
      <c r="N647" s="341">
        <f t="shared" si="48"/>
        <v>1</v>
      </c>
      <c r="O647" s="308"/>
      <c r="P647" s="309"/>
    </row>
    <row r="648" spans="2:16">
      <c r="B648" s="304"/>
      <c r="C648" s="305"/>
      <c r="D648" s="306"/>
      <c r="E648" s="306"/>
      <c r="F648" s="321"/>
      <c r="G648" s="321"/>
      <c r="H648" s="321"/>
      <c r="I648" s="321"/>
      <c r="J648" s="321"/>
      <c r="K648" s="321"/>
      <c r="L648" s="321"/>
      <c r="M648" s="321"/>
      <c r="N648" s="321"/>
      <c r="O648" s="308"/>
      <c r="P648" s="309"/>
    </row>
    <row r="649" spans="2:16">
      <c r="B649" s="304"/>
      <c r="C649" s="342" t="s">
        <v>193</v>
      </c>
      <c r="D649" s="306"/>
      <c r="E649" s="306"/>
      <c r="F649" s="321"/>
      <c r="G649" s="321"/>
      <c r="H649" s="321"/>
      <c r="I649" s="321"/>
      <c r="J649" s="321"/>
      <c r="K649" s="321"/>
      <c r="L649" s="321"/>
      <c r="M649" s="321"/>
      <c r="N649" s="321"/>
      <c r="O649" s="321"/>
      <c r="P649" s="309"/>
    </row>
    <row r="650" spans="2:16">
      <c r="B650" s="304"/>
      <c r="C650" s="305"/>
      <c r="D650" s="306"/>
      <c r="E650" s="306"/>
      <c r="F650" s="321"/>
      <c r="G650" s="321"/>
      <c r="H650" s="321"/>
      <c r="I650" s="321"/>
      <c r="J650" s="321"/>
      <c r="K650" s="321"/>
      <c r="L650" s="321"/>
      <c r="M650" s="321"/>
      <c r="N650" s="321"/>
      <c r="O650" s="321"/>
      <c r="P650" s="309"/>
    </row>
    <row r="651" spans="2:16">
      <c r="B651" s="304"/>
      <c r="C651" s="305" t="s">
        <v>2790</v>
      </c>
      <c r="D651" s="306"/>
      <c r="E651" s="306"/>
      <c r="F651" s="321"/>
      <c r="G651" s="321"/>
      <c r="H651" s="321"/>
      <c r="I651" s="321"/>
      <c r="J651" s="321"/>
      <c r="K651" s="321"/>
      <c r="L651" s="321"/>
      <c r="M651" s="321"/>
      <c r="N651" s="321"/>
      <c r="O651" s="321"/>
      <c r="P651" s="309"/>
    </row>
    <row r="652" spans="2:16" hidden="1">
      <c r="B652" s="304"/>
      <c r="C652" s="305"/>
      <c r="D652" s="306"/>
      <c r="E652" s="306"/>
      <c r="F652" s="321"/>
      <c r="G652" s="321"/>
      <c r="H652" s="321"/>
      <c r="I652" s="321"/>
      <c r="J652" s="321"/>
      <c r="K652" s="321"/>
      <c r="L652" s="321"/>
      <c r="M652" s="321"/>
      <c r="N652" s="321"/>
      <c r="O652" s="321"/>
      <c r="P652" s="309"/>
    </row>
    <row r="653" spans="2:16" hidden="1">
      <c r="B653" s="304"/>
      <c r="C653" s="314" t="s">
        <v>44</v>
      </c>
      <c r="D653" s="314" t="s">
        <v>110</v>
      </c>
      <c r="E653" s="314" t="s">
        <v>30</v>
      </c>
      <c r="F653" s="315">
        <v>2013</v>
      </c>
      <c r="G653" s="316">
        <v>2015</v>
      </c>
      <c r="H653" s="316">
        <v>2020</v>
      </c>
      <c r="I653" s="316">
        <v>2025</v>
      </c>
      <c r="J653" s="316">
        <v>2030</v>
      </c>
      <c r="K653" s="316">
        <v>2035</v>
      </c>
      <c r="L653" s="316">
        <v>2040</v>
      </c>
      <c r="M653" s="316">
        <v>2045</v>
      </c>
      <c r="N653" s="316">
        <v>2050</v>
      </c>
      <c r="O653" s="309"/>
      <c r="P653" s="309"/>
    </row>
    <row r="654" spans="2:16" hidden="1">
      <c r="B654" s="304"/>
      <c r="C654" s="305">
        <v>1</v>
      </c>
      <c r="D654" s="306" t="s">
        <v>46</v>
      </c>
      <c r="E654" s="306"/>
      <c r="F654" s="343">
        <f>F$667*F626</f>
        <v>284350.69191551348</v>
      </c>
      <c r="G654" s="343">
        <f>G$667*G626</f>
        <v>413924.42376363318</v>
      </c>
      <c r="H654" s="343">
        <f t="shared" ref="H654:N654" si="49">H$667*H626</f>
        <v>374114.55970814847</v>
      </c>
      <c r="I654" s="343">
        <f t="shared" si="49"/>
        <v>327772.36812485737</v>
      </c>
      <c r="J654" s="343">
        <f t="shared" si="49"/>
        <v>274293.29253080109</v>
      </c>
      <c r="K654" s="343">
        <f t="shared" si="49"/>
        <v>215287.88313548284</v>
      </c>
      <c r="L654" s="343">
        <f t="shared" si="49"/>
        <v>150235.20376039852</v>
      </c>
      <c r="M654" s="343">
        <f t="shared" si="49"/>
        <v>78452.131475424627</v>
      </c>
      <c r="N654" s="343">
        <f t="shared" si="49"/>
        <v>0</v>
      </c>
      <c r="O654" s="309"/>
      <c r="P654" s="309"/>
    </row>
    <row r="655" spans="2:16" hidden="1">
      <c r="B655" s="304"/>
      <c r="C655" s="305">
        <v>2</v>
      </c>
      <c r="D655" s="306" t="s">
        <v>47</v>
      </c>
      <c r="E655" s="306"/>
      <c r="F655" s="344">
        <f t="shared" ref="F655:N666" si="50">F$667*F627</f>
        <v>260933.57611070649</v>
      </c>
      <c r="G655" s="344">
        <f t="shared" si="50"/>
        <v>137974.80792121106</v>
      </c>
      <c r="H655" s="344">
        <f t="shared" si="50"/>
        <v>358526.4530536423</v>
      </c>
      <c r="I655" s="344">
        <f t="shared" si="50"/>
        <v>600916.00822890515</v>
      </c>
      <c r="J655" s="344">
        <f t="shared" si="50"/>
        <v>862880.98275314504</v>
      </c>
      <c r="K655" s="344">
        <f t="shared" si="50"/>
        <v>1148202.0433892417</v>
      </c>
      <c r="L655" s="344">
        <f t="shared" si="50"/>
        <v>1458533.4365072018</v>
      </c>
      <c r="M655" s="344">
        <f t="shared" si="50"/>
        <v>1791323.6686888612</v>
      </c>
      <c r="N655" s="344">
        <f t="shared" si="50"/>
        <v>2151459.6113575269</v>
      </c>
      <c r="O655" s="309"/>
      <c r="P655" s="309"/>
    </row>
    <row r="656" spans="2:16" hidden="1">
      <c r="B656" s="304"/>
      <c r="C656" s="305">
        <v>3</v>
      </c>
      <c r="D656" s="306" t="s">
        <v>48</v>
      </c>
      <c r="E656" s="306"/>
      <c r="F656" s="344">
        <f t="shared" si="50"/>
        <v>60215.440640932262</v>
      </c>
      <c r="G656" s="344">
        <f t="shared" si="50"/>
        <v>103481.1059409083</v>
      </c>
      <c r="H656" s="344">
        <f t="shared" si="50"/>
        <v>119508.81768454742</v>
      </c>
      <c r="I656" s="344">
        <f t="shared" si="50"/>
        <v>136571.82005202389</v>
      </c>
      <c r="J656" s="344">
        <f t="shared" si="50"/>
        <v>154289.97704857559</v>
      </c>
      <c r="K656" s="344">
        <f t="shared" si="50"/>
        <v>173426.35030358337</v>
      </c>
      <c r="L656" s="344">
        <f t="shared" si="50"/>
        <v>194053.80485718136</v>
      </c>
      <c r="M656" s="344">
        <f t="shared" si="50"/>
        <v>215743.36155741761</v>
      </c>
      <c r="N656" s="344">
        <f t="shared" si="50"/>
        <v>239051.06792861409</v>
      </c>
      <c r="O656" s="309"/>
      <c r="P656" s="309"/>
    </row>
    <row r="657" spans="2:16" hidden="1">
      <c r="B657" s="304"/>
      <c r="C657" s="305">
        <v>4</v>
      </c>
      <c r="D657" s="306" t="s">
        <v>49</v>
      </c>
      <c r="E657" s="306"/>
      <c r="F657" s="344">
        <f t="shared" si="50"/>
        <v>1035371.048798252</v>
      </c>
      <c r="G657" s="344">
        <f t="shared" si="50"/>
        <v>948576.80445832619</v>
      </c>
      <c r="H657" s="344">
        <f t="shared" si="50"/>
        <v>857345.8659978403</v>
      </c>
      <c r="I657" s="344">
        <f t="shared" si="50"/>
        <v>751145.01028613152</v>
      </c>
      <c r="J657" s="344">
        <f t="shared" si="50"/>
        <v>628588.79538308585</v>
      </c>
      <c r="K657" s="344">
        <f t="shared" si="50"/>
        <v>493368.0655188149</v>
      </c>
      <c r="L657" s="344">
        <f t="shared" si="50"/>
        <v>344289.00861757994</v>
      </c>
      <c r="M657" s="344">
        <f t="shared" si="50"/>
        <v>179786.13463118143</v>
      </c>
      <c r="N657" s="344">
        <f t="shared" si="50"/>
        <v>0</v>
      </c>
      <c r="O657" s="309"/>
      <c r="P657" s="309"/>
    </row>
    <row r="658" spans="2:16" hidden="1">
      <c r="B658" s="304"/>
      <c r="C658" s="305">
        <v>5</v>
      </c>
      <c r="D658" s="306" t="s">
        <v>50</v>
      </c>
      <c r="E658" s="306"/>
      <c r="F658" s="344">
        <f t="shared" si="50"/>
        <v>25089.766933721774</v>
      </c>
      <c r="G658" s="344">
        <f t="shared" si="50"/>
        <v>17246.850990151383</v>
      </c>
      <c r="H658" s="344">
        <f t="shared" si="50"/>
        <v>15588.106654506188</v>
      </c>
      <c r="I658" s="344">
        <f t="shared" si="50"/>
        <v>13657.18200520239</v>
      </c>
      <c r="J658" s="344">
        <f t="shared" si="50"/>
        <v>11428.887188783379</v>
      </c>
      <c r="K658" s="344">
        <f t="shared" si="50"/>
        <v>8970.3284639784524</v>
      </c>
      <c r="L658" s="344">
        <f t="shared" si="50"/>
        <v>6259.8001566832727</v>
      </c>
      <c r="M658" s="344">
        <f t="shared" si="50"/>
        <v>3268.8388114760273</v>
      </c>
      <c r="N658" s="344">
        <f t="shared" si="50"/>
        <v>0</v>
      </c>
      <c r="O658" s="309"/>
      <c r="P658" s="309"/>
    </row>
    <row r="659" spans="2:16" hidden="1">
      <c r="B659" s="304"/>
      <c r="C659" s="305">
        <v>6</v>
      </c>
      <c r="D659" s="306" t="s">
        <v>51</v>
      </c>
      <c r="E659" s="306"/>
      <c r="F659" s="344">
        <f t="shared" si="50"/>
        <v>0</v>
      </c>
      <c r="G659" s="344">
        <f t="shared" si="50"/>
        <v>0</v>
      </c>
      <c r="H659" s="344">
        <f t="shared" si="50"/>
        <v>0</v>
      </c>
      <c r="I659" s="344">
        <f t="shared" si="50"/>
        <v>0</v>
      </c>
      <c r="J659" s="344">
        <f t="shared" si="50"/>
        <v>0</v>
      </c>
      <c r="K659" s="344">
        <f t="shared" si="50"/>
        <v>0</v>
      </c>
      <c r="L659" s="344">
        <f t="shared" si="50"/>
        <v>0</v>
      </c>
      <c r="M659" s="344">
        <f t="shared" si="50"/>
        <v>0</v>
      </c>
      <c r="N659" s="344">
        <f t="shared" si="50"/>
        <v>0</v>
      </c>
      <c r="O659" s="309"/>
      <c r="P659" s="309"/>
    </row>
    <row r="660" spans="2:16" hidden="1">
      <c r="B660" s="304"/>
      <c r="C660" s="305">
        <v>7</v>
      </c>
      <c r="D660" s="306" t="s">
        <v>52</v>
      </c>
      <c r="E660" s="306"/>
      <c r="F660" s="344">
        <f t="shared" si="50"/>
        <v>0</v>
      </c>
      <c r="G660" s="344">
        <f t="shared" si="50"/>
        <v>0</v>
      </c>
      <c r="H660" s="344">
        <f t="shared" si="50"/>
        <v>0</v>
      </c>
      <c r="I660" s="344">
        <f t="shared" si="50"/>
        <v>0</v>
      </c>
      <c r="J660" s="344">
        <f t="shared" si="50"/>
        <v>0</v>
      </c>
      <c r="K660" s="344">
        <f t="shared" si="50"/>
        <v>0</v>
      </c>
      <c r="L660" s="344">
        <f t="shared" si="50"/>
        <v>0</v>
      </c>
      <c r="M660" s="344">
        <f t="shared" si="50"/>
        <v>0</v>
      </c>
      <c r="N660" s="344">
        <f t="shared" si="50"/>
        <v>0</v>
      </c>
      <c r="O660" s="309"/>
      <c r="P660" s="309"/>
    </row>
    <row r="661" spans="2:16" hidden="1">
      <c r="B661" s="304"/>
      <c r="C661" s="305">
        <v>8</v>
      </c>
      <c r="D661" s="306" t="s">
        <v>53</v>
      </c>
      <c r="E661" s="306"/>
      <c r="F661" s="344">
        <f t="shared" si="50"/>
        <v>1672.6511289147852</v>
      </c>
      <c r="G661" s="344">
        <f t="shared" si="50"/>
        <v>0</v>
      </c>
      <c r="H661" s="344">
        <f t="shared" si="50"/>
        <v>0</v>
      </c>
      <c r="I661" s="344">
        <f t="shared" si="50"/>
        <v>0</v>
      </c>
      <c r="J661" s="344">
        <f t="shared" si="50"/>
        <v>0</v>
      </c>
      <c r="K661" s="344">
        <f t="shared" si="50"/>
        <v>0</v>
      </c>
      <c r="L661" s="344">
        <f t="shared" si="50"/>
        <v>0</v>
      </c>
      <c r="M661" s="344">
        <f t="shared" si="50"/>
        <v>0</v>
      </c>
      <c r="N661" s="344">
        <f t="shared" si="50"/>
        <v>0</v>
      </c>
      <c r="O661" s="309"/>
      <c r="P661" s="309"/>
    </row>
    <row r="662" spans="2:16" hidden="1">
      <c r="B662" s="304"/>
      <c r="C662" s="305">
        <v>9</v>
      </c>
      <c r="D662" s="306" t="s">
        <v>54</v>
      </c>
      <c r="E662" s="306"/>
      <c r="F662" s="344">
        <f t="shared" si="50"/>
        <v>3345.3022578295704</v>
      </c>
      <c r="G662" s="344">
        <f t="shared" si="50"/>
        <v>17246.850990151383</v>
      </c>
      <c r="H662" s="344">
        <f t="shared" si="50"/>
        <v>15588.106654506188</v>
      </c>
      <c r="I662" s="344">
        <f t="shared" si="50"/>
        <v>13657.18200520239</v>
      </c>
      <c r="J662" s="344">
        <f t="shared" si="50"/>
        <v>11428.887188783379</v>
      </c>
      <c r="K662" s="344">
        <f t="shared" si="50"/>
        <v>8970.3284639784524</v>
      </c>
      <c r="L662" s="344">
        <f t="shared" si="50"/>
        <v>6259.8001566832727</v>
      </c>
      <c r="M662" s="344">
        <f t="shared" si="50"/>
        <v>3268.8388114760273</v>
      </c>
      <c r="N662" s="344">
        <f t="shared" si="50"/>
        <v>0</v>
      </c>
      <c r="O662" s="309"/>
      <c r="P662" s="309"/>
    </row>
    <row r="663" spans="2:16" hidden="1">
      <c r="B663" s="304"/>
      <c r="C663" s="305">
        <v>10</v>
      </c>
      <c r="D663" s="306" t="s">
        <v>55</v>
      </c>
      <c r="E663" s="306"/>
      <c r="F663" s="344">
        <f t="shared" si="50"/>
        <v>0</v>
      </c>
      <c r="G663" s="344">
        <f t="shared" si="50"/>
        <v>0</v>
      </c>
      <c r="H663" s="344">
        <f t="shared" si="50"/>
        <v>0</v>
      </c>
      <c r="I663" s="344">
        <f t="shared" si="50"/>
        <v>0</v>
      </c>
      <c r="J663" s="344">
        <f t="shared" si="50"/>
        <v>0</v>
      </c>
      <c r="K663" s="344">
        <f t="shared" si="50"/>
        <v>0</v>
      </c>
      <c r="L663" s="344">
        <f t="shared" si="50"/>
        <v>0</v>
      </c>
      <c r="M663" s="344">
        <f t="shared" si="50"/>
        <v>0</v>
      </c>
      <c r="N663" s="344">
        <f t="shared" si="50"/>
        <v>0</v>
      </c>
      <c r="O663" s="309"/>
      <c r="P663" s="309"/>
    </row>
    <row r="664" spans="2:16" hidden="1">
      <c r="B664" s="304"/>
      <c r="C664" s="305">
        <v>11</v>
      </c>
      <c r="D664" s="306" t="s">
        <v>56</v>
      </c>
      <c r="E664" s="306"/>
      <c r="F664" s="344">
        <f t="shared" si="50"/>
        <v>0</v>
      </c>
      <c r="G664" s="344">
        <f t="shared" si="50"/>
        <v>0</v>
      </c>
      <c r="H664" s="344">
        <f t="shared" si="50"/>
        <v>0</v>
      </c>
      <c r="I664" s="344">
        <f t="shared" si="50"/>
        <v>0</v>
      </c>
      <c r="J664" s="344">
        <f t="shared" si="50"/>
        <v>0</v>
      </c>
      <c r="K664" s="344">
        <f t="shared" si="50"/>
        <v>0</v>
      </c>
      <c r="L664" s="344">
        <f t="shared" si="50"/>
        <v>0</v>
      </c>
      <c r="M664" s="344">
        <f t="shared" si="50"/>
        <v>0</v>
      </c>
      <c r="N664" s="344">
        <f t="shared" si="50"/>
        <v>0</v>
      </c>
      <c r="O664" s="309"/>
      <c r="P664" s="309"/>
    </row>
    <row r="665" spans="2:16" hidden="1">
      <c r="B665" s="304"/>
      <c r="C665" s="305">
        <v>12</v>
      </c>
      <c r="D665" s="306" t="s">
        <v>57</v>
      </c>
      <c r="E665" s="306"/>
      <c r="F665" s="344">
        <f t="shared" si="50"/>
        <v>0</v>
      </c>
      <c r="G665" s="344">
        <f t="shared" si="50"/>
        <v>0</v>
      </c>
      <c r="H665" s="344">
        <f t="shared" si="50"/>
        <v>0</v>
      </c>
      <c r="I665" s="344">
        <f t="shared" si="50"/>
        <v>0</v>
      </c>
      <c r="J665" s="344">
        <f t="shared" si="50"/>
        <v>0</v>
      </c>
      <c r="K665" s="344">
        <f t="shared" si="50"/>
        <v>0</v>
      </c>
      <c r="L665" s="344">
        <f t="shared" si="50"/>
        <v>0</v>
      </c>
      <c r="M665" s="344">
        <f t="shared" si="50"/>
        <v>0</v>
      </c>
      <c r="N665" s="344">
        <f t="shared" si="50"/>
        <v>0</v>
      </c>
      <c r="O665" s="309"/>
      <c r="P665" s="309"/>
    </row>
    <row r="666" spans="2:16" hidden="1">
      <c r="B666" s="304"/>
      <c r="C666" s="326">
        <v>13</v>
      </c>
      <c r="D666" s="327" t="s">
        <v>58</v>
      </c>
      <c r="E666" s="327"/>
      <c r="F666" s="345">
        <f t="shared" si="50"/>
        <v>0</v>
      </c>
      <c r="G666" s="346">
        <f t="shared" si="50"/>
        <v>0</v>
      </c>
      <c r="H666" s="346">
        <f t="shared" si="50"/>
        <v>0</v>
      </c>
      <c r="I666" s="346">
        <f t="shared" si="50"/>
        <v>0</v>
      </c>
      <c r="J666" s="346">
        <f t="shared" si="50"/>
        <v>0</v>
      </c>
      <c r="K666" s="346">
        <f t="shared" si="50"/>
        <v>0</v>
      </c>
      <c r="L666" s="346">
        <f t="shared" si="50"/>
        <v>0</v>
      </c>
      <c r="M666" s="346">
        <f t="shared" si="50"/>
        <v>0</v>
      </c>
      <c r="N666" s="346">
        <f t="shared" si="50"/>
        <v>0</v>
      </c>
      <c r="O666" s="309"/>
      <c r="P666" s="309"/>
    </row>
    <row r="667" spans="2:16" hidden="1">
      <c r="B667" s="304"/>
      <c r="C667" s="305"/>
      <c r="D667" s="306" t="s">
        <v>194</v>
      </c>
      <c r="E667" s="306"/>
      <c r="F667" s="344">
        <f>F580</f>
        <v>1672651.1289147851</v>
      </c>
      <c r="G667" s="344">
        <f>G580</f>
        <v>1724685.0990151383</v>
      </c>
      <c r="H667" s="344">
        <f t="shared" ref="H667:N667" si="51">H580</f>
        <v>1818612.4430257217</v>
      </c>
      <c r="I667" s="344">
        <f t="shared" si="51"/>
        <v>1912005.4807283345</v>
      </c>
      <c r="J667" s="344">
        <f t="shared" si="51"/>
        <v>2000055.258037091</v>
      </c>
      <c r="K667" s="344">
        <f t="shared" si="51"/>
        <v>2093076.6415949718</v>
      </c>
      <c r="L667" s="344">
        <f t="shared" si="51"/>
        <v>2190930.0548391445</v>
      </c>
      <c r="M667" s="344">
        <f t="shared" si="51"/>
        <v>2288187.1680332171</v>
      </c>
      <c r="N667" s="344">
        <f t="shared" si="51"/>
        <v>2390510.6792861409</v>
      </c>
      <c r="O667" s="309"/>
      <c r="P667" s="309"/>
    </row>
    <row r="668" spans="2:16" hidden="1">
      <c r="B668" s="304"/>
      <c r="C668" s="305"/>
      <c r="D668" s="306"/>
      <c r="E668" s="306"/>
      <c r="F668" s="321"/>
      <c r="G668" s="321"/>
      <c r="H668" s="321"/>
      <c r="I668" s="321"/>
      <c r="J668" s="321"/>
      <c r="K668" s="321"/>
      <c r="L668" s="321"/>
      <c r="M668" s="321"/>
      <c r="N668" s="321"/>
      <c r="O668" s="309"/>
      <c r="P668" s="309"/>
    </row>
    <row r="669" spans="2:16" hidden="1">
      <c r="B669" s="304"/>
      <c r="C669" s="347" t="s">
        <v>195</v>
      </c>
      <c r="D669" s="348"/>
      <c r="E669" s="307">
        <v>0.33</v>
      </c>
      <c r="F669" s="321"/>
      <c r="G669" s="321"/>
      <c r="H669" s="321"/>
      <c r="I669" s="321"/>
      <c r="J669" s="321"/>
      <c r="K669" s="321"/>
      <c r="L669" s="321"/>
      <c r="M669" s="321"/>
      <c r="N669" s="321"/>
      <c r="O669" s="309"/>
      <c r="P669" s="309"/>
    </row>
    <row r="670" spans="2:16" hidden="1">
      <c r="B670" s="304"/>
      <c r="C670" s="305"/>
      <c r="D670" s="306"/>
      <c r="E670" s="306"/>
      <c r="F670" s="321"/>
      <c r="G670" s="321"/>
      <c r="H670" s="321"/>
      <c r="I670" s="321"/>
      <c r="J670" s="321"/>
      <c r="K670" s="321"/>
      <c r="L670" s="321"/>
      <c r="M670" s="321"/>
      <c r="N670" s="321"/>
      <c r="O670" s="309"/>
      <c r="P670" s="309"/>
    </row>
    <row r="671" spans="2:16" hidden="1">
      <c r="B671" s="304"/>
      <c r="C671" s="305" t="s">
        <v>196</v>
      </c>
      <c r="D671" s="306"/>
      <c r="E671" s="306"/>
      <c r="F671" s="321"/>
      <c r="G671" s="321"/>
      <c r="H671" s="321"/>
      <c r="I671" s="321"/>
      <c r="J671" s="321"/>
      <c r="K671" s="321"/>
      <c r="L671" s="321"/>
      <c r="M671" s="321"/>
      <c r="N671" s="321"/>
      <c r="O671" s="309"/>
      <c r="P671" s="309"/>
    </row>
    <row r="672" spans="2:16" hidden="1">
      <c r="B672" s="304"/>
      <c r="C672" s="305"/>
      <c r="D672" s="306"/>
      <c r="E672" s="306"/>
      <c r="F672" s="321"/>
      <c r="G672" s="321"/>
      <c r="H672" s="321"/>
      <c r="I672" s="321"/>
      <c r="J672" s="321"/>
      <c r="K672" s="321"/>
      <c r="L672" s="321"/>
      <c r="M672" s="321"/>
      <c r="N672" s="321"/>
      <c r="O672" s="309"/>
      <c r="P672" s="309"/>
    </row>
    <row r="673" spans="2:16" hidden="1">
      <c r="B673" s="304"/>
      <c r="C673" s="314" t="s">
        <v>44</v>
      </c>
      <c r="D673" s="314" t="s">
        <v>110</v>
      </c>
      <c r="E673" s="314" t="s">
        <v>30</v>
      </c>
      <c r="F673" s="315">
        <v>2013</v>
      </c>
      <c r="G673" s="316">
        <v>2015</v>
      </c>
      <c r="H673" s="316">
        <v>2020</v>
      </c>
      <c r="I673" s="316">
        <v>2025</v>
      </c>
      <c r="J673" s="316">
        <v>2030</v>
      </c>
      <c r="K673" s="316">
        <v>2035</v>
      </c>
      <c r="L673" s="316">
        <v>2040</v>
      </c>
      <c r="M673" s="316">
        <v>2045</v>
      </c>
      <c r="N673" s="316">
        <v>2050</v>
      </c>
      <c r="O673" s="309"/>
      <c r="P673" s="309"/>
    </row>
    <row r="674" spans="2:16" hidden="1">
      <c r="B674" s="304"/>
      <c r="C674" s="305">
        <v>1</v>
      </c>
      <c r="D674" s="306" t="s">
        <v>46</v>
      </c>
      <c r="E674" s="306"/>
      <c r="F674" s="349">
        <f t="shared" ref="F674:N686" si="52">$E$669*F654</f>
        <v>93835.728332119455</v>
      </c>
      <c r="G674" s="343">
        <f t="shared" si="52"/>
        <v>136595.05984199897</v>
      </c>
      <c r="H674" s="343">
        <f t="shared" si="52"/>
        <v>123457.80470368901</v>
      </c>
      <c r="I674" s="343">
        <f t="shared" si="52"/>
        <v>108164.88148120293</v>
      </c>
      <c r="J674" s="343">
        <f t="shared" si="52"/>
        <v>90516.78653516437</v>
      </c>
      <c r="K674" s="343">
        <f t="shared" si="52"/>
        <v>71045.001434709338</v>
      </c>
      <c r="L674" s="343">
        <f t="shared" si="52"/>
        <v>49577.617240931511</v>
      </c>
      <c r="M674" s="343">
        <f t="shared" si="52"/>
        <v>25889.203386890127</v>
      </c>
      <c r="N674" s="343">
        <f t="shared" si="52"/>
        <v>0</v>
      </c>
      <c r="O674" s="309"/>
      <c r="P674" s="309"/>
    </row>
    <row r="675" spans="2:16" hidden="1">
      <c r="B675" s="304"/>
      <c r="C675" s="305">
        <v>2</v>
      </c>
      <c r="D675" s="306" t="s">
        <v>47</v>
      </c>
      <c r="E675" s="306"/>
      <c r="F675" s="350">
        <f t="shared" si="52"/>
        <v>86108.08011653315</v>
      </c>
      <c r="G675" s="344">
        <f t="shared" si="52"/>
        <v>45531.686613999649</v>
      </c>
      <c r="H675" s="344">
        <f t="shared" si="52"/>
        <v>118313.72950770197</v>
      </c>
      <c r="I675" s="344">
        <f t="shared" si="52"/>
        <v>198302.28271553872</v>
      </c>
      <c r="J675" s="344">
        <f t="shared" si="52"/>
        <v>284750.7243085379</v>
      </c>
      <c r="K675" s="344">
        <f t="shared" si="52"/>
        <v>378906.67431844975</v>
      </c>
      <c r="L675" s="344">
        <f t="shared" si="52"/>
        <v>481316.0340473766</v>
      </c>
      <c r="M675" s="344">
        <f t="shared" si="52"/>
        <v>591136.81066732423</v>
      </c>
      <c r="N675" s="344">
        <f t="shared" si="52"/>
        <v>709981.6717479839</v>
      </c>
      <c r="O675" s="309"/>
      <c r="P675" s="309"/>
    </row>
    <row r="676" spans="2:16" hidden="1">
      <c r="B676" s="304"/>
      <c r="C676" s="305">
        <v>3</v>
      </c>
      <c r="D676" s="306" t="s">
        <v>48</v>
      </c>
      <c r="E676" s="306"/>
      <c r="F676" s="350">
        <f t="shared" si="52"/>
        <v>19871.095411507646</v>
      </c>
      <c r="G676" s="344">
        <f t="shared" si="52"/>
        <v>34148.764960499742</v>
      </c>
      <c r="H676" s="344">
        <f t="shared" si="52"/>
        <v>39437.909835900653</v>
      </c>
      <c r="I676" s="344">
        <f t="shared" si="52"/>
        <v>45068.700617167888</v>
      </c>
      <c r="J676" s="344">
        <f t="shared" si="52"/>
        <v>50915.692426029949</v>
      </c>
      <c r="K676" s="344">
        <f t="shared" si="52"/>
        <v>57230.695600182517</v>
      </c>
      <c r="L676" s="344">
        <f t="shared" si="52"/>
        <v>64037.755602869853</v>
      </c>
      <c r="M676" s="344">
        <f t="shared" si="52"/>
        <v>71195.309313947815</v>
      </c>
      <c r="N676" s="344">
        <f t="shared" si="52"/>
        <v>78886.852416442649</v>
      </c>
      <c r="O676" s="309"/>
      <c r="P676" s="309"/>
    </row>
    <row r="677" spans="2:16" hidden="1">
      <c r="B677" s="304"/>
      <c r="C677" s="305">
        <v>4</v>
      </c>
      <c r="D677" s="306" t="s">
        <v>49</v>
      </c>
      <c r="E677" s="306"/>
      <c r="F677" s="350">
        <f t="shared" si="52"/>
        <v>341672.44610342319</v>
      </c>
      <c r="G677" s="344">
        <f t="shared" si="52"/>
        <v>313030.34547124768</v>
      </c>
      <c r="H677" s="344">
        <f t="shared" si="52"/>
        <v>282924.13577928732</v>
      </c>
      <c r="I677" s="344">
        <f t="shared" si="52"/>
        <v>247877.85339442341</v>
      </c>
      <c r="J677" s="344">
        <f t="shared" si="52"/>
        <v>207434.30247641835</v>
      </c>
      <c r="K677" s="344">
        <f t="shared" si="52"/>
        <v>162811.46162120893</v>
      </c>
      <c r="L677" s="344">
        <f t="shared" si="52"/>
        <v>113615.37284380138</v>
      </c>
      <c r="M677" s="344">
        <f t="shared" si="52"/>
        <v>59329.424428289873</v>
      </c>
      <c r="N677" s="344">
        <f t="shared" si="52"/>
        <v>0</v>
      </c>
      <c r="O677" s="309"/>
      <c r="P677" s="309"/>
    </row>
    <row r="678" spans="2:16" hidden="1">
      <c r="B678" s="304"/>
      <c r="C678" s="305">
        <v>5</v>
      </c>
      <c r="D678" s="306" t="s">
        <v>50</v>
      </c>
      <c r="E678" s="306"/>
      <c r="F678" s="350">
        <f t="shared" si="52"/>
        <v>8279.6230881281863</v>
      </c>
      <c r="G678" s="344">
        <f t="shared" si="52"/>
        <v>5691.4608267499561</v>
      </c>
      <c r="H678" s="344">
        <f t="shared" si="52"/>
        <v>5144.0751959870422</v>
      </c>
      <c r="I678" s="344">
        <f t="shared" si="52"/>
        <v>4506.8700617167888</v>
      </c>
      <c r="J678" s="344">
        <f t="shared" si="52"/>
        <v>3771.5327722985153</v>
      </c>
      <c r="K678" s="344">
        <f t="shared" si="52"/>
        <v>2960.2083931128896</v>
      </c>
      <c r="L678" s="344">
        <f t="shared" si="52"/>
        <v>2065.7340517054799</v>
      </c>
      <c r="M678" s="344">
        <f t="shared" si="52"/>
        <v>1078.716807787089</v>
      </c>
      <c r="N678" s="344">
        <f t="shared" si="52"/>
        <v>0</v>
      </c>
      <c r="O678" s="309"/>
      <c r="P678" s="309"/>
    </row>
    <row r="679" spans="2:16" hidden="1">
      <c r="B679" s="304"/>
      <c r="C679" s="305">
        <v>6</v>
      </c>
      <c r="D679" s="306" t="s">
        <v>51</v>
      </c>
      <c r="E679" s="306"/>
      <c r="F679" s="350">
        <f t="shared" si="52"/>
        <v>0</v>
      </c>
      <c r="G679" s="344">
        <f t="shared" si="52"/>
        <v>0</v>
      </c>
      <c r="H679" s="344">
        <f t="shared" si="52"/>
        <v>0</v>
      </c>
      <c r="I679" s="344">
        <f t="shared" si="52"/>
        <v>0</v>
      </c>
      <c r="J679" s="344">
        <f t="shared" si="52"/>
        <v>0</v>
      </c>
      <c r="K679" s="344">
        <f t="shared" si="52"/>
        <v>0</v>
      </c>
      <c r="L679" s="344">
        <f t="shared" si="52"/>
        <v>0</v>
      </c>
      <c r="M679" s="344">
        <f t="shared" si="52"/>
        <v>0</v>
      </c>
      <c r="N679" s="344">
        <f t="shared" si="52"/>
        <v>0</v>
      </c>
      <c r="O679" s="309"/>
      <c r="P679" s="309"/>
    </row>
    <row r="680" spans="2:16" hidden="1">
      <c r="B680" s="304"/>
      <c r="C680" s="305">
        <v>7</v>
      </c>
      <c r="D680" s="306" t="s">
        <v>52</v>
      </c>
      <c r="E680" s="306"/>
      <c r="F680" s="350">
        <f t="shared" si="52"/>
        <v>0</v>
      </c>
      <c r="G680" s="344">
        <f t="shared" si="52"/>
        <v>0</v>
      </c>
      <c r="H680" s="344">
        <f t="shared" si="52"/>
        <v>0</v>
      </c>
      <c r="I680" s="344">
        <f t="shared" si="52"/>
        <v>0</v>
      </c>
      <c r="J680" s="344">
        <f t="shared" si="52"/>
        <v>0</v>
      </c>
      <c r="K680" s="344">
        <f t="shared" si="52"/>
        <v>0</v>
      </c>
      <c r="L680" s="344">
        <f t="shared" si="52"/>
        <v>0</v>
      </c>
      <c r="M680" s="344">
        <f t="shared" si="52"/>
        <v>0</v>
      </c>
      <c r="N680" s="344">
        <f t="shared" si="52"/>
        <v>0</v>
      </c>
      <c r="O680" s="309"/>
      <c r="P680" s="309"/>
    </row>
    <row r="681" spans="2:16" hidden="1">
      <c r="B681" s="304"/>
      <c r="C681" s="305">
        <v>8</v>
      </c>
      <c r="D681" s="306" t="s">
        <v>53</v>
      </c>
      <c r="E681" s="306"/>
      <c r="F681" s="350">
        <f t="shared" si="52"/>
        <v>551.97487254187911</v>
      </c>
      <c r="G681" s="344">
        <f t="shared" si="52"/>
        <v>0</v>
      </c>
      <c r="H681" s="344">
        <f t="shared" si="52"/>
        <v>0</v>
      </c>
      <c r="I681" s="344">
        <f t="shared" si="52"/>
        <v>0</v>
      </c>
      <c r="J681" s="344">
        <f t="shared" si="52"/>
        <v>0</v>
      </c>
      <c r="K681" s="344">
        <f t="shared" si="52"/>
        <v>0</v>
      </c>
      <c r="L681" s="344">
        <f t="shared" si="52"/>
        <v>0</v>
      </c>
      <c r="M681" s="344">
        <f t="shared" si="52"/>
        <v>0</v>
      </c>
      <c r="N681" s="344">
        <f t="shared" si="52"/>
        <v>0</v>
      </c>
      <c r="O681" s="309"/>
      <c r="P681" s="309"/>
    </row>
    <row r="682" spans="2:16" hidden="1">
      <c r="B682" s="304"/>
      <c r="C682" s="305">
        <v>9</v>
      </c>
      <c r="D682" s="306" t="s">
        <v>54</v>
      </c>
      <c r="E682" s="306"/>
      <c r="F682" s="350">
        <f t="shared" si="52"/>
        <v>1103.9497450837582</v>
      </c>
      <c r="G682" s="344">
        <f t="shared" si="52"/>
        <v>5691.4608267499561</v>
      </c>
      <c r="H682" s="344">
        <f t="shared" si="52"/>
        <v>5144.0751959870422</v>
      </c>
      <c r="I682" s="344">
        <f t="shared" si="52"/>
        <v>4506.8700617167888</v>
      </c>
      <c r="J682" s="344">
        <f t="shared" si="52"/>
        <v>3771.5327722985153</v>
      </c>
      <c r="K682" s="344">
        <f t="shared" si="52"/>
        <v>2960.2083931128896</v>
      </c>
      <c r="L682" s="344">
        <f t="shared" si="52"/>
        <v>2065.7340517054799</v>
      </c>
      <c r="M682" s="344">
        <f t="shared" si="52"/>
        <v>1078.716807787089</v>
      </c>
      <c r="N682" s="344">
        <f t="shared" si="52"/>
        <v>0</v>
      </c>
      <c r="O682" s="309"/>
      <c r="P682" s="309"/>
    </row>
    <row r="683" spans="2:16" hidden="1">
      <c r="B683" s="304"/>
      <c r="C683" s="305">
        <v>10</v>
      </c>
      <c r="D683" s="306" t="s">
        <v>55</v>
      </c>
      <c r="E683" s="306"/>
      <c r="F683" s="350">
        <f t="shared" si="52"/>
        <v>0</v>
      </c>
      <c r="G683" s="344">
        <f t="shared" si="52"/>
        <v>0</v>
      </c>
      <c r="H683" s="344">
        <f t="shared" si="52"/>
        <v>0</v>
      </c>
      <c r="I683" s="344">
        <f t="shared" si="52"/>
        <v>0</v>
      </c>
      <c r="J683" s="344">
        <f t="shared" si="52"/>
        <v>0</v>
      </c>
      <c r="K683" s="344">
        <f t="shared" si="52"/>
        <v>0</v>
      </c>
      <c r="L683" s="344">
        <f t="shared" si="52"/>
        <v>0</v>
      </c>
      <c r="M683" s="344">
        <f t="shared" si="52"/>
        <v>0</v>
      </c>
      <c r="N683" s="344">
        <f t="shared" si="52"/>
        <v>0</v>
      </c>
      <c r="O683" s="309"/>
      <c r="P683" s="309"/>
    </row>
    <row r="684" spans="2:16" hidden="1">
      <c r="B684" s="304"/>
      <c r="C684" s="305">
        <v>11</v>
      </c>
      <c r="D684" s="306" t="s">
        <v>56</v>
      </c>
      <c r="E684" s="306"/>
      <c r="F684" s="350">
        <f t="shared" si="52"/>
        <v>0</v>
      </c>
      <c r="G684" s="344">
        <f t="shared" si="52"/>
        <v>0</v>
      </c>
      <c r="H684" s="344">
        <f t="shared" si="52"/>
        <v>0</v>
      </c>
      <c r="I684" s="344">
        <f t="shared" si="52"/>
        <v>0</v>
      </c>
      <c r="J684" s="344">
        <f t="shared" si="52"/>
        <v>0</v>
      </c>
      <c r="K684" s="344">
        <f t="shared" si="52"/>
        <v>0</v>
      </c>
      <c r="L684" s="344">
        <f t="shared" si="52"/>
        <v>0</v>
      </c>
      <c r="M684" s="344">
        <f t="shared" si="52"/>
        <v>0</v>
      </c>
      <c r="N684" s="344">
        <f t="shared" si="52"/>
        <v>0</v>
      </c>
      <c r="O684" s="309"/>
      <c r="P684" s="309"/>
    </row>
    <row r="685" spans="2:16" hidden="1">
      <c r="B685" s="304"/>
      <c r="C685" s="305">
        <v>12</v>
      </c>
      <c r="D685" s="306" t="s">
        <v>57</v>
      </c>
      <c r="E685" s="306"/>
      <c r="F685" s="350">
        <f t="shared" si="52"/>
        <v>0</v>
      </c>
      <c r="G685" s="344">
        <f t="shared" si="52"/>
        <v>0</v>
      </c>
      <c r="H685" s="344">
        <f t="shared" si="52"/>
        <v>0</v>
      </c>
      <c r="I685" s="344">
        <f t="shared" si="52"/>
        <v>0</v>
      </c>
      <c r="J685" s="344">
        <f t="shared" si="52"/>
        <v>0</v>
      </c>
      <c r="K685" s="344">
        <f t="shared" si="52"/>
        <v>0</v>
      </c>
      <c r="L685" s="344">
        <f t="shared" si="52"/>
        <v>0</v>
      </c>
      <c r="M685" s="344">
        <f t="shared" si="52"/>
        <v>0</v>
      </c>
      <c r="N685" s="344">
        <f t="shared" si="52"/>
        <v>0</v>
      </c>
      <c r="O685" s="309"/>
      <c r="P685" s="309"/>
    </row>
    <row r="686" spans="2:16" hidden="1">
      <c r="B686" s="304"/>
      <c r="C686" s="326">
        <v>13</v>
      </c>
      <c r="D686" s="327" t="s">
        <v>58</v>
      </c>
      <c r="E686" s="327"/>
      <c r="F686" s="345">
        <f t="shared" si="52"/>
        <v>0</v>
      </c>
      <c r="G686" s="346">
        <f t="shared" si="52"/>
        <v>0</v>
      </c>
      <c r="H686" s="346">
        <f t="shared" si="52"/>
        <v>0</v>
      </c>
      <c r="I686" s="346">
        <f t="shared" si="52"/>
        <v>0</v>
      </c>
      <c r="J686" s="346">
        <f t="shared" si="52"/>
        <v>0</v>
      </c>
      <c r="K686" s="346">
        <f t="shared" si="52"/>
        <v>0</v>
      </c>
      <c r="L686" s="346">
        <f t="shared" si="52"/>
        <v>0</v>
      </c>
      <c r="M686" s="346">
        <f t="shared" si="52"/>
        <v>0</v>
      </c>
      <c r="N686" s="346">
        <f t="shared" si="52"/>
        <v>0</v>
      </c>
      <c r="O686" s="309"/>
      <c r="P686" s="309"/>
    </row>
    <row r="687" spans="2:16" hidden="1">
      <c r="B687" s="304"/>
      <c r="C687" s="305"/>
      <c r="D687" s="306" t="s">
        <v>197</v>
      </c>
      <c r="E687" s="306"/>
      <c r="F687" s="344">
        <f>SUM(F674:F686)</f>
        <v>551422.89766933734</v>
      </c>
      <c r="G687" s="344">
        <f t="shared" ref="G687:N687" si="53">SUM(G674:G686)</f>
        <v>540688.77854124585</v>
      </c>
      <c r="H687" s="344">
        <f t="shared" si="53"/>
        <v>574421.73021855298</v>
      </c>
      <c r="I687" s="344">
        <f t="shared" si="53"/>
        <v>608427.45833176642</v>
      </c>
      <c r="J687" s="344">
        <f t="shared" si="53"/>
        <v>641160.57129074761</v>
      </c>
      <c r="K687" s="344">
        <f t="shared" si="53"/>
        <v>675914.24976077629</v>
      </c>
      <c r="L687" s="344">
        <f t="shared" si="53"/>
        <v>712678.24783839029</v>
      </c>
      <c r="M687" s="344">
        <f t="shared" si="53"/>
        <v>749708.18141202617</v>
      </c>
      <c r="N687" s="344">
        <f t="shared" si="53"/>
        <v>788868.52416442661</v>
      </c>
      <c r="O687" s="309"/>
      <c r="P687" s="309"/>
    </row>
    <row r="688" spans="2:16" hidden="1">
      <c r="B688" s="304"/>
      <c r="C688" s="305"/>
      <c r="D688" s="306"/>
      <c r="E688" s="306"/>
      <c r="F688" s="321"/>
      <c r="G688" s="321"/>
      <c r="H688" s="321"/>
      <c r="I688" s="321"/>
      <c r="J688" s="321"/>
      <c r="K688" s="321"/>
      <c r="L688" s="321"/>
      <c r="M688" s="321"/>
      <c r="N688" s="321"/>
      <c r="O688" s="309"/>
      <c r="P688" s="309"/>
    </row>
    <row r="689" spans="2:16" hidden="1">
      <c r="B689" s="304"/>
      <c r="C689" s="305" t="s">
        <v>198</v>
      </c>
      <c r="D689" s="306"/>
      <c r="E689" s="306"/>
      <c r="F689" s="321"/>
      <c r="G689" s="321"/>
      <c r="H689" s="321"/>
      <c r="I689" s="321"/>
      <c r="J689" s="321"/>
      <c r="K689" s="321"/>
      <c r="L689" s="321"/>
      <c r="M689" s="321"/>
      <c r="N689" s="321"/>
      <c r="O689" s="309"/>
      <c r="P689" s="309"/>
    </row>
    <row r="690" spans="2:16" hidden="1">
      <c r="B690" s="304"/>
      <c r="C690" s="305"/>
      <c r="D690" s="306"/>
      <c r="E690" s="306"/>
      <c r="F690" s="321"/>
      <c r="G690" s="321"/>
      <c r="H690" s="321"/>
      <c r="I690" s="321"/>
      <c r="J690" s="321"/>
      <c r="K690" s="321"/>
      <c r="L690" s="321"/>
      <c r="M690" s="321"/>
      <c r="N690" s="321"/>
      <c r="O690" s="309"/>
      <c r="P690" s="309"/>
    </row>
    <row r="691" spans="2:16" hidden="1">
      <c r="B691" s="304"/>
      <c r="C691" s="314" t="s">
        <v>44</v>
      </c>
      <c r="D691" s="314" t="s">
        <v>110</v>
      </c>
      <c r="E691" s="314" t="s">
        <v>30</v>
      </c>
      <c r="F691" s="315">
        <v>2013</v>
      </c>
      <c r="G691" s="316">
        <v>2015</v>
      </c>
      <c r="H691" s="316">
        <v>2020</v>
      </c>
      <c r="I691" s="316">
        <v>2025</v>
      </c>
      <c r="J691" s="316">
        <v>2030</v>
      </c>
      <c r="K691" s="316">
        <v>2035</v>
      </c>
      <c r="L691" s="316">
        <v>2040</v>
      </c>
      <c r="M691" s="316">
        <v>2045</v>
      </c>
      <c r="N691" s="316">
        <v>2050</v>
      </c>
      <c r="O691" s="309"/>
      <c r="P691" s="309"/>
    </row>
    <row r="692" spans="2:16" hidden="1">
      <c r="B692" s="304"/>
      <c r="C692" s="305">
        <v>1</v>
      </c>
      <c r="D692" s="306" t="s">
        <v>46</v>
      </c>
      <c r="E692" s="306"/>
      <c r="F692" s="349"/>
      <c r="G692" s="343">
        <f t="shared" ref="G692:N704" si="54">IF(G654-F654+F674&gt;0,G654-F654+F674,0)</f>
        <v>223409.46018023917</v>
      </c>
      <c r="H692" s="343">
        <f t="shared" si="54"/>
        <v>96785.195786514261</v>
      </c>
      <c r="I692" s="343">
        <f t="shared" si="54"/>
        <v>77115.613120397902</v>
      </c>
      <c r="J692" s="343">
        <f t="shared" si="54"/>
        <v>54685.805887146649</v>
      </c>
      <c r="K692" s="343">
        <f t="shared" si="54"/>
        <v>31511.377139846125</v>
      </c>
      <c r="L692" s="343">
        <f t="shared" si="54"/>
        <v>5992.3220596250176</v>
      </c>
      <c r="M692" s="343">
        <f t="shared" si="54"/>
        <v>0</v>
      </c>
      <c r="N692" s="343">
        <f t="shared" si="54"/>
        <v>0</v>
      </c>
      <c r="O692" s="309"/>
      <c r="P692" s="309"/>
    </row>
    <row r="693" spans="2:16" hidden="1">
      <c r="B693" s="304"/>
      <c r="C693" s="305">
        <v>2</v>
      </c>
      <c r="D693" s="306" t="s">
        <v>47</v>
      </c>
      <c r="E693" s="306"/>
      <c r="F693" s="350"/>
      <c r="G693" s="344">
        <f t="shared" si="54"/>
        <v>0</v>
      </c>
      <c r="H693" s="344">
        <f t="shared" si="54"/>
        <v>266083.33174643089</v>
      </c>
      <c r="I693" s="344">
        <f t="shared" si="54"/>
        <v>360703.28468296479</v>
      </c>
      <c r="J693" s="344">
        <f t="shared" si="54"/>
        <v>460267.25723977864</v>
      </c>
      <c r="K693" s="344">
        <f t="shared" si="54"/>
        <v>570071.78494463454</v>
      </c>
      <c r="L693" s="344">
        <f t="shared" si="54"/>
        <v>689238.06743640988</v>
      </c>
      <c r="M693" s="344">
        <f t="shared" si="54"/>
        <v>814106.26622903603</v>
      </c>
      <c r="N693" s="344">
        <f t="shared" si="54"/>
        <v>951272.7533359899</v>
      </c>
      <c r="O693" s="309"/>
      <c r="P693" s="309"/>
    </row>
    <row r="694" spans="2:16" hidden="1">
      <c r="B694" s="304"/>
      <c r="C694" s="305">
        <v>3</v>
      </c>
      <c r="D694" s="306" t="s">
        <v>48</v>
      </c>
      <c r="E694" s="306"/>
      <c r="F694" s="350"/>
      <c r="G694" s="344">
        <f t="shared" si="54"/>
        <v>63136.760711483679</v>
      </c>
      <c r="H694" s="344">
        <f t="shared" si="54"/>
        <v>50176.47670413887</v>
      </c>
      <c r="I694" s="344">
        <f t="shared" si="54"/>
        <v>56500.91220337712</v>
      </c>
      <c r="J694" s="344">
        <f t="shared" si="54"/>
        <v>62786.857613719585</v>
      </c>
      <c r="K694" s="344">
        <f t="shared" si="54"/>
        <v>70052.065681037726</v>
      </c>
      <c r="L694" s="344">
        <f t="shared" si="54"/>
        <v>77858.150153780502</v>
      </c>
      <c r="M694" s="344">
        <f t="shared" si="54"/>
        <v>85727.312303106097</v>
      </c>
      <c r="N694" s="344">
        <f t="shared" si="54"/>
        <v>94503.015685144303</v>
      </c>
      <c r="O694" s="309"/>
      <c r="P694" s="309"/>
    </row>
    <row r="695" spans="2:16" hidden="1">
      <c r="B695" s="304"/>
      <c r="C695" s="305">
        <v>4</v>
      </c>
      <c r="D695" s="306" t="s">
        <v>49</v>
      </c>
      <c r="E695" s="306"/>
      <c r="F695" s="350"/>
      <c r="G695" s="344">
        <f t="shared" si="54"/>
        <v>254878.20176349737</v>
      </c>
      <c r="H695" s="344">
        <f t="shared" si="54"/>
        <v>221799.40701076179</v>
      </c>
      <c r="I695" s="344">
        <f t="shared" si="54"/>
        <v>176723.28006757854</v>
      </c>
      <c r="J695" s="344">
        <f t="shared" si="54"/>
        <v>125321.63849137773</v>
      </c>
      <c r="K695" s="344">
        <f t="shared" si="54"/>
        <v>72213.5726121474</v>
      </c>
      <c r="L695" s="344">
        <f t="shared" si="54"/>
        <v>13732.404719973973</v>
      </c>
      <c r="M695" s="344">
        <f t="shared" si="54"/>
        <v>0</v>
      </c>
      <c r="N695" s="344">
        <f t="shared" si="54"/>
        <v>0</v>
      </c>
      <c r="O695" s="309"/>
      <c r="P695" s="309"/>
    </row>
    <row r="696" spans="2:16" hidden="1">
      <c r="B696" s="304"/>
      <c r="C696" s="305">
        <v>5</v>
      </c>
      <c r="D696" s="306" t="s">
        <v>50</v>
      </c>
      <c r="E696" s="306"/>
      <c r="F696" s="350"/>
      <c r="G696" s="344">
        <f t="shared" si="54"/>
        <v>436.70714455779489</v>
      </c>
      <c r="H696" s="344">
        <f t="shared" si="54"/>
        <v>4032.7164911047612</v>
      </c>
      <c r="I696" s="344">
        <f t="shared" si="54"/>
        <v>3213.150546683245</v>
      </c>
      <c r="J696" s="344">
        <f t="shared" si="54"/>
        <v>2278.5752452977777</v>
      </c>
      <c r="K696" s="344">
        <f t="shared" si="54"/>
        <v>1312.9740474935884</v>
      </c>
      <c r="L696" s="344">
        <f t="shared" si="54"/>
        <v>249.68008581770982</v>
      </c>
      <c r="M696" s="344">
        <f t="shared" si="54"/>
        <v>0</v>
      </c>
      <c r="N696" s="344">
        <f t="shared" si="54"/>
        <v>0</v>
      </c>
      <c r="O696" s="309"/>
      <c r="P696" s="309"/>
    </row>
    <row r="697" spans="2:16" hidden="1">
      <c r="B697" s="304"/>
      <c r="C697" s="305">
        <v>6</v>
      </c>
      <c r="D697" s="306" t="s">
        <v>51</v>
      </c>
      <c r="E697" s="306"/>
      <c r="F697" s="350"/>
      <c r="G697" s="344">
        <f t="shared" si="54"/>
        <v>0</v>
      </c>
      <c r="H697" s="344">
        <f t="shared" si="54"/>
        <v>0</v>
      </c>
      <c r="I697" s="344">
        <f t="shared" si="54"/>
        <v>0</v>
      </c>
      <c r="J697" s="344">
        <f t="shared" si="54"/>
        <v>0</v>
      </c>
      <c r="K697" s="344">
        <f t="shared" si="54"/>
        <v>0</v>
      </c>
      <c r="L697" s="344">
        <f t="shared" si="54"/>
        <v>0</v>
      </c>
      <c r="M697" s="344">
        <f t="shared" si="54"/>
        <v>0</v>
      </c>
      <c r="N697" s="344">
        <f t="shared" si="54"/>
        <v>0</v>
      </c>
      <c r="O697" s="309"/>
      <c r="P697" s="309"/>
    </row>
    <row r="698" spans="2:16" hidden="1">
      <c r="B698" s="304"/>
      <c r="C698" s="305">
        <v>7</v>
      </c>
      <c r="D698" s="306" t="s">
        <v>52</v>
      </c>
      <c r="E698" s="306"/>
      <c r="F698" s="350"/>
      <c r="G698" s="344">
        <f t="shared" si="54"/>
        <v>0</v>
      </c>
      <c r="H698" s="344">
        <f t="shared" si="54"/>
        <v>0</v>
      </c>
      <c r="I698" s="344">
        <f t="shared" si="54"/>
        <v>0</v>
      </c>
      <c r="J698" s="344">
        <f t="shared" si="54"/>
        <v>0</v>
      </c>
      <c r="K698" s="344">
        <f t="shared" si="54"/>
        <v>0</v>
      </c>
      <c r="L698" s="344">
        <f t="shared" si="54"/>
        <v>0</v>
      </c>
      <c r="M698" s="344">
        <f t="shared" si="54"/>
        <v>0</v>
      </c>
      <c r="N698" s="344">
        <f t="shared" si="54"/>
        <v>0</v>
      </c>
      <c r="O698" s="309"/>
      <c r="P698" s="309"/>
    </row>
    <row r="699" spans="2:16" hidden="1">
      <c r="B699" s="304"/>
      <c r="C699" s="305">
        <v>8</v>
      </c>
      <c r="D699" s="306" t="s">
        <v>53</v>
      </c>
      <c r="E699" s="306"/>
      <c r="F699" s="350"/>
      <c r="G699" s="344">
        <f t="shared" si="54"/>
        <v>0</v>
      </c>
      <c r="H699" s="344">
        <f t="shared" si="54"/>
        <v>0</v>
      </c>
      <c r="I699" s="344">
        <f t="shared" si="54"/>
        <v>0</v>
      </c>
      <c r="J699" s="344">
        <f t="shared" si="54"/>
        <v>0</v>
      </c>
      <c r="K699" s="344">
        <f t="shared" si="54"/>
        <v>0</v>
      </c>
      <c r="L699" s="344">
        <f t="shared" si="54"/>
        <v>0</v>
      </c>
      <c r="M699" s="344">
        <f t="shared" si="54"/>
        <v>0</v>
      </c>
      <c r="N699" s="344">
        <f t="shared" si="54"/>
        <v>0</v>
      </c>
      <c r="O699" s="309"/>
      <c r="P699" s="309"/>
    </row>
    <row r="700" spans="2:16" hidden="1">
      <c r="B700" s="304"/>
      <c r="C700" s="305">
        <v>9</v>
      </c>
      <c r="D700" s="306" t="s">
        <v>54</v>
      </c>
      <c r="E700" s="306"/>
      <c r="F700" s="350"/>
      <c r="G700" s="344">
        <f t="shared" si="54"/>
        <v>15005.49847740557</v>
      </c>
      <c r="H700" s="344">
        <f t="shared" si="54"/>
        <v>4032.7164911047612</v>
      </c>
      <c r="I700" s="344">
        <f t="shared" si="54"/>
        <v>3213.150546683245</v>
      </c>
      <c r="J700" s="344">
        <f t="shared" si="54"/>
        <v>2278.5752452977777</v>
      </c>
      <c r="K700" s="344">
        <f t="shared" si="54"/>
        <v>1312.9740474935884</v>
      </c>
      <c r="L700" s="344">
        <f t="shared" si="54"/>
        <v>249.68008581770982</v>
      </c>
      <c r="M700" s="344">
        <f t="shared" si="54"/>
        <v>0</v>
      </c>
      <c r="N700" s="344">
        <f t="shared" si="54"/>
        <v>0</v>
      </c>
      <c r="O700" s="309"/>
      <c r="P700" s="309"/>
    </row>
    <row r="701" spans="2:16" hidden="1">
      <c r="B701" s="304"/>
      <c r="C701" s="305">
        <v>10</v>
      </c>
      <c r="D701" s="306" t="s">
        <v>55</v>
      </c>
      <c r="E701" s="306"/>
      <c r="F701" s="350"/>
      <c r="G701" s="344">
        <f t="shared" si="54"/>
        <v>0</v>
      </c>
      <c r="H701" s="344">
        <f t="shared" si="54"/>
        <v>0</v>
      </c>
      <c r="I701" s="344">
        <f t="shared" si="54"/>
        <v>0</v>
      </c>
      <c r="J701" s="344">
        <f t="shared" si="54"/>
        <v>0</v>
      </c>
      <c r="K701" s="344">
        <f t="shared" si="54"/>
        <v>0</v>
      </c>
      <c r="L701" s="344">
        <f t="shared" si="54"/>
        <v>0</v>
      </c>
      <c r="M701" s="344">
        <f t="shared" si="54"/>
        <v>0</v>
      </c>
      <c r="N701" s="344">
        <f t="shared" si="54"/>
        <v>0</v>
      </c>
      <c r="O701" s="309"/>
      <c r="P701" s="309"/>
    </row>
    <row r="702" spans="2:16" hidden="1">
      <c r="B702" s="304"/>
      <c r="C702" s="305">
        <v>11</v>
      </c>
      <c r="D702" s="306" t="s">
        <v>56</v>
      </c>
      <c r="E702" s="306"/>
      <c r="F702" s="350"/>
      <c r="G702" s="344">
        <f t="shared" si="54"/>
        <v>0</v>
      </c>
      <c r="H702" s="344">
        <f t="shared" si="54"/>
        <v>0</v>
      </c>
      <c r="I702" s="344">
        <f t="shared" si="54"/>
        <v>0</v>
      </c>
      <c r="J702" s="344">
        <f t="shared" si="54"/>
        <v>0</v>
      </c>
      <c r="K702" s="344">
        <f t="shared" si="54"/>
        <v>0</v>
      </c>
      <c r="L702" s="344">
        <f t="shared" si="54"/>
        <v>0</v>
      </c>
      <c r="M702" s="344">
        <f t="shared" si="54"/>
        <v>0</v>
      </c>
      <c r="N702" s="344">
        <f t="shared" si="54"/>
        <v>0</v>
      </c>
      <c r="O702" s="309"/>
      <c r="P702" s="309"/>
    </row>
    <row r="703" spans="2:16" hidden="1">
      <c r="B703" s="304"/>
      <c r="C703" s="305">
        <v>12</v>
      </c>
      <c r="D703" s="306" t="s">
        <v>57</v>
      </c>
      <c r="E703" s="306"/>
      <c r="F703" s="350"/>
      <c r="G703" s="344">
        <f t="shared" si="54"/>
        <v>0</v>
      </c>
      <c r="H703" s="344">
        <f t="shared" si="54"/>
        <v>0</v>
      </c>
      <c r="I703" s="344">
        <f t="shared" si="54"/>
        <v>0</v>
      </c>
      <c r="J703" s="344">
        <f t="shared" si="54"/>
        <v>0</v>
      </c>
      <c r="K703" s="344">
        <f t="shared" si="54"/>
        <v>0</v>
      </c>
      <c r="L703" s="344">
        <f t="shared" si="54"/>
        <v>0</v>
      </c>
      <c r="M703" s="344">
        <f t="shared" si="54"/>
        <v>0</v>
      </c>
      <c r="N703" s="344">
        <f t="shared" si="54"/>
        <v>0</v>
      </c>
      <c r="O703" s="309"/>
      <c r="P703" s="309"/>
    </row>
    <row r="704" spans="2:16" hidden="1">
      <c r="B704" s="304"/>
      <c r="C704" s="326">
        <v>13</v>
      </c>
      <c r="D704" s="327" t="s">
        <v>58</v>
      </c>
      <c r="E704" s="327"/>
      <c r="F704" s="345"/>
      <c r="G704" s="346">
        <f t="shared" si="54"/>
        <v>0</v>
      </c>
      <c r="H704" s="346">
        <f t="shared" si="54"/>
        <v>0</v>
      </c>
      <c r="I704" s="346">
        <f t="shared" si="54"/>
        <v>0</v>
      </c>
      <c r="J704" s="346">
        <f t="shared" si="54"/>
        <v>0</v>
      </c>
      <c r="K704" s="346">
        <f t="shared" si="54"/>
        <v>0</v>
      </c>
      <c r="L704" s="346">
        <f t="shared" si="54"/>
        <v>0</v>
      </c>
      <c r="M704" s="346">
        <f t="shared" si="54"/>
        <v>0</v>
      </c>
      <c r="N704" s="346">
        <f t="shared" si="54"/>
        <v>0</v>
      </c>
      <c r="O704" s="309"/>
      <c r="P704" s="309"/>
    </row>
    <row r="705" spans="2:16" hidden="1">
      <c r="B705" s="304"/>
      <c r="C705" s="305"/>
      <c r="D705" s="306" t="s">
        <v>194</v>
      </c>
      <c r="E705" s="306"/>
      <c r="F705" s="344"/>
      <c r="G705" s="344">
        <f>SUM(G692:G704)</f>
        <v>556866.62827718351</v>
      </c>
      <c r="H705" s="344">
        <f t="shared" ref="H705:N705" si="55">SUM(H692:H704)</f>
        <v>642909.84423005534</v>
      </c>
      <c r="I705" s="344">
        <f t="shared" si="55"/>
        <v>677469.39116768481</v>
      </c>
      <c r="J705" s="344">
        <f t="shared" si="55"/>
        <v>707618.70972261799</v>
      </c>
      <c r="K705" s="344">
        <f t="shared" si="55"/>
        <v>746474.74847265286</v>
      </c>
      <c r="L705" s="344">
        <f t="shared" si="55"/>
        <v>787320.30454142485</v>
      </c>
      <c r="M705" s="344">
        <f t="shared" si="55"/>
        <v>899833.5785321421</v>
      </c>
      <c r="N705" s="344">
        <f t="shared" si="55"/>
        <v>1045775.7690211342</v>
      </c>
      <c r="O705" s="309"/>
      <c r="P705" s="309"/>
    </row>
    <row r="706" spans="2:16" hidden="1">
      <c r="B706" s="304"/>
      <c r="C706" s="305"/>
      <c r="D706" s="306"/>
      <c r="E706" s="306"/>
      <c r="F706" s="344"/>
      <c r="G706" s="344"/>
      <c r="H706" s="344"/>
      <c r="I706" s="344"/>
      <c r="J706" s="344"/>
      <c r="K706" s="344"/>
      <c r="L706" s="344"/>
      <c r="M706" s="344"/>
      <c r="N706" s="344"/>
      <c r="O706" s="309"/>
      <c r="P706" s="309"/>
    </row>
    <row r="707" spans="2:16" hidden="1">
      <c r="B707" s="304"/>
      <c r="C707" s="305" t="s">
        <v>199</v>
      </c>
      <c r="D707" s="306"/>
      <c r="E707" s="306"/>
      <c r="F707" s="344"/>
      <c r="G707" s="344"/>
      <c r="H707" s="344"/>
      <c r="I707" s="344"/>
      <c r="J707" s="344"/>
      <c r="K707" s="344"/>
      <c r="L707" s="344"/>
      <c r="M707" s="344"/>
      <c r="N707" s="344"/>
      <c r="O707" s="309"/>
      <c r="P707" s="309"/>
    </row>
    <row r="708" spans="2:16" hidden="1">
      <c r="B708" s="304"/>
      <c r="C708" s="305"/>
      <c r="D708" s="306"/>
      <c r="E708" s="306"/>
      <c r="F708" s="344"/>
      <c r="G708" s="344"/>
      <c r="H708" s="344"/>
      <c r="I708" s="344"/>
      <c r="J708" s="344"/>
      <c r="K708" s="344"/>
      <c r="L708" s="344"/>
      <c r="M708" s="344"/>
      <c r="N708" s="344"/>
      <c r="O708" s="309"/>
      <c r="P708" s="309"/>
    </row>
    <row r="709" spans="2:16" hidden="1">
      <c r="B709" s="304"/>
      <c r="C709" s="314" t="s">
        <v>44</v>
      </c>
      <c r="D709" s="314" t="s">
        <v>110</v>
      </c>
      <c r="E709" s="314" t="s">
        <v>30</v>
      </c>
      <c r="F709" s="315">
        <v>2013</v>
      </c>
      <c r="G709" s="315">
        <v>2015</v>
      </c>
      <c r="H709" s="315">
        <v>2020</v>
      </c>
      <c r="I709" s="315">
        <v>2025</v>
      </c>
      <c r="J709" s="315">
        <v>2030</v>
      </c>
      <c r="K709" s="315">
        <v>2035</v>
      </c>
      <c r="L709" s="315">
        <v>2040</v>
      </c>
      <c r="M709" s="315">
        <v>2045</v>
      </c>
      <c r="N709" s="315">
        <v>2050</v>
      </c>
      <c r="O709" s="309"/>
      <c r="P709" s="309"/>
    </row>
    <row r="710" spans="2:16" hidden="1">
      <c r="B710" s="304"/>
      <c r="C710" s="305"/>
      <c r="D710" s="306" t="s">
        <v>200</v>
      </c>
      <c r="E710" s="306" t="s">
        <v>201</v>
      </c>
      <c r="F710" s="344"/>
      <c r="G710" s="344">
        <f t="shared" ref="G710:N710" si="56">(SUM(G663:G666))-(SUM(F663:F666))</f>
        <v>0</v>
      </c>
      <c r="H710" s="344">
        <f t="shared" si="56"/>
        <v>0</v>
      </c>
      <c r="I710" s="344">
        <f t="shared" si="56"/>
        <v>0</v>
      </c>
      <c r="J710" s="344">
        <f t="shared" si="56"/>
        <v>0</v>
      </c>
      <c r="K710" s="344">
        <f t="shared" si="56"/>
        <v>0</v>
      </c>
      <c r="L710" s="344">
        <f t="shared" si="56"/>
        <v>0</v>
      </c>
      <c r="M710" s="344">
        <f t="shared" si="56"/>
        <v>0</v>
      </c>
      <c r="N710" s="344">
        <f t="shared" si="56"/>
        <v>0</v>
      </c>
      <c r="O710" s="309"/>
      <c r="P710" s="309"/>
    </row>
    <row r="711" spans="2:16" hidden="1">
      <c r="B711" s="304"/>
      <c r="C711" s="305"/>
      <c r="D711" s="306" t="s">
        <v>200</v>
      </c>
      <c r="E711" s="306" t="s">
        <v>202</v>
      </c>
      <c r="F711" s="344"/>
      <c r="G711" s="344"/>
      <c r="H711" s="344">
        <f t="shared" ref="H711:N711" si="57">H710-G710</f>
        <v>0</v>
      </c>
      <c r="I711" s="344">
        <f t="shared" si="57"/>
        <v>0</v>
      </c>
      <c r="J711" s="344">
        <f t="shared" si="57"/>
        <v>0</v>
      </c>
      <c r="K711" s="344">
        <f t="shared" si="57"/>
        <v>0</v>
      </c>
      <c r="L711" s="344">
        <f t="shared" si="57"/>
        <v>0</v>
      </c>
      <c r="M711" s="344">
        <f t="shared" si="57"/>
        <v>0</v>
      </c>
      <c r="N711" s="344">
        <f t="shared" si="57"/>
        <v>0</v>
      </c>
      <c r="O711" s="309"/>
      <c r="P711" s="309"/>
    </row>
    <row r="712" spans="2:16" hidden="1">
      <c r="B712" s="304"/>
      <c r="C712" s="305"/>
      <c r="D712" s="306"/>
      <c r="E712" s="306"/>
      <c r="F712" s="344"/>
      <c r="G712" s="344"/>
      <c r="H712" s="344"/>
      <c r="I712" s="344"/>
      <c r="J712" s="344"/>
      <c r="K712" s="344"/>
      <c r="L712" s="344"/>
      <c r="M712" s="344"/>
      <c r="N712" s="344"/>
      <c r="O712" s="309"/>
      <c r="P712" s="309"/>
    </row>
    <row r="713" spans="2:16" hidden="1">
      <c r="B713" s="304"/>
      <c r="C713" s="342" t="s">
        <v>203</v>
      </c>
      <c r="D713" s="306"/>
      <c r="E713" s="306"/>
      <c r="F713" s="344"/>
      <c r="G713" s="344"/>
      <c r="H713" s="344"/>
      <c r="I713" s="344"/>
      <c r="J713" s="344"/>
      <c r="K713" s="344"/>
      <c r="L713" s="344"/>
      <c r="M713" s="344"/>
      <c r="N713" s="344"/>
      <c r="O713" s="309"/>
      <c r="P713" s="309"/>
    </row>
    <row r="714" spans="2:16" hidden="1">
      <c r="B714" s="304"/>
      <c r="C714" s="305"/>
      <c r="D714" s="306"/>
      <c r="E714" s="306"/>
      <c r="F714" s="344"/>
      <c r="G714" s="344"/>
      <c r="H714" s="344"/>
      <c r="I714" s="344"/>
      <c r="J714" s="344"/>
      <c r="K714" s="344"/>
      <c r="L714" s="344"/>
      <c r="M714" s="344"/>
      <c r="N714" s="344"/>
      <c r="O714" s="309"/>
      <c r="P714" s="309"/>
    </row>
    <row r="715" spans="2:16" hidden="1">
      <c r="B715" s="304"/>
      <c r="C715" s="308" t="s">
        <v>204</v>
      </c>
      <c r="D715" s="308"/>
      <c r="E715" s="308"/>
      <c r="F715" s="308"/>
      <c r="G715" s="308"/>
      <c r="H715" s="308"/>
      <c r="I715" s="308"/>
      <c r="J715" s="308"/>
      <c r="K715" s="308"/>
      <c r="L715" s="308"/>
      <c r="M715" s="308"/>
      <c r="N715" s="308"/>
      <c r="O715" s="309"/>
      <c r="P715" s="309"/>
    </row>
    <row r="716" spans="2:16" hidden="1">
      <c r="B716" s="304"/>
      <c r="C716" s="308"/>
      <c r="D716" s="308"/>
      <c r="E716" s="308"/>
      <c r="F716" s="308"/>
      <c r="G716" s="308"/>
      <c r="H716" s="308"/>
      <c r="I716" s="308"/>
      <c r="J716" s="308"/>
      <c r="K716" s="308"/>
      <c r="L716" s="308"/>
      <c r="M716" s="308"/>
      <c r="N716" s="308"/>
      <c r="O716" s="309"/>
      <c r="P716" s="309"/>
    </row>
    <row r="717" spans="2:16" ht="15.75" hidden="1">
      <c r="B717" s="55"/>
      <c r="C717" s="52" t="s">
        <v>44</v>
      </c>
      <c r="D717" s="52" t="s">
        <v>110</v>
      </c>
      <c r="E717" s="52" t="s">
        <v>30</v>
      </c>
      <c r="F717" s="53">
        <v>2013</v>
      </c>
      <c r="G717" s="117">
        <v>2015</v>
      </c>
      <c r="H717" s="117">
        <v>2020</v>
      </c>
      <c r="I717" s="117">
        <v>2025</v>
      </c>
      <c r="J717" s="117">
        <v>2030</v>
      </c>
      <c r="K717" s="117">
        <v>2035</v>
      </c>
      <c r="L717" s="117">
        <v>2040</v>
      </c>
      <c r="M717" s="117">
        <v>2045</v>
      </c>
      <c r="N717" s="117">
        <v>2050</v>
      </c>
      <c r="O717" s="48"/>
      <c r="P717" s="309"/>
    </row>
    <row r="718" spans="2:16" ht="15.75" hidden="1">
      <c r="B718" s="55"/>
      <c r="C718" s="56">
        <v>1</v>
      </c>
      <c r="D718" s="57" t="s">
        <v>61</v>
      </c>
      <c r="E718" s="57"/>
      <c r="F718" s="351">
        <f>F644*F$580</f>
        <v>0</v>
      </c>
      <c r="G718" s="162">
        <f t="shared" ref="G718:N720" si="58">G$721*$F615</f>
        <v>0</v>
      </c>
      <c r="H718" s="162">
        <f t="shared" si="58"/>
        <v>0</v>
      </c>
      <c r="I718" s="162">
        <f t="shared" si="58"/>
        <v>0</v>
      </c>
      <c r="J718" s="162">
        <f t="shared" si="58"/>
        <v>0</v>
      </c>
      <c r="K718" s="162">
        <f t="shared" si="58"/>
        <v>0</v>
      </c>
      <c r="L718" s="162">
        <f t="shared" si="58"/>
        <v>0</v>
      </c>
      <c r="M718" s="162">
        <f t="shared" si="58"/>
        <v>0</v>
      </c>
      <c r="N718" s="162" t="e">
        <f t="shared" si="58"/>
        <v>#DIV/0!</v>
      </c>
      <c r="O718" s="48"/>
      <c r="P718" s="309"/>
    </row>
    <row r="719" spans="2:16" ht="15.75" hidden="1">
      <c r="B719" s="55"/>
      <c r="C719" s="56">
        <v>2</v>
      </c>
      <c r="D719" s="57" t="s">
        <v>62</v>
      </c>
      <c r="E719" s="57"/>
      <c r="F719" s="172">
        <f>F645*F$580</f>
        <v>0</v>
      </c>
      <c r="G719" s="165">
        <f t="shared" si="58"/>
        <v>0</v>
      </c>
      <c r="H719" s="165">
        <f t="shared" si="58"/>
        <v>0</v>
      </c>
      <c r="I719" s="165">
        <f t="shared" si="58"/>
        <v>0</v>
      </c>
      <c r="J719" s="165">
        <f t="shared" si="58"/>
        <v>0</v>
      </c>
      <c r="K719" s="165">
        <f t="shared" si="58"/>
        <v>0</v>
      </c>
      <c r="L719" s="165">
        <f t="shared" si="58"/>
        <v>0</v>
      </c>
      <c r="M719" s="165">
        <f t="shared" si="58"/>
        <v>0</v>
      </c>
      <c r="N719" s="165" t="e">
        <f t="shared" si="58"/>
        <v>#DIV/0!</v>
      </c>
      <c r="O719" s="48"/>
      <c r="P719" s="309"/>
    </row>
    <row r="720" spans="2:16" ht="15.75" hidden="1">
      <c r="B720" s="55"/>
      <c r="C720" s="146">
        <v>3</v>
      </c>
      <c r="D720" s="125" t="s">
        <v>63</v>
      </c>
      <c r="E720" s="125"/>
      <c r="F720" s="352">
        <f>F646*F$580</f>
        <v>0</v>
      </c>
      <c r="G720" s="164">
        <f t="shared" si="58"/>
        <v>0</v>
      </c>
      <c r="H720" s="164">
        <f t="shared" si="58"/>
        <v>0</v>
      </c>
      <c r="I720" s="164">
        <f t="shared" si="58"/>
        <v>0</v>
      </c>
      <c r="J720" s="164">
        <f t="shared" si="58"/>
        <v>0</v>
      </c>
      <c r="K720" s="164">
        <f t="shared" si="58"/>
        <v>0</v>
      </c>
      <c r="L720" s="164">
        <f t="shared" si="58"/>
        <v>0</v>
      </c>
      <c r="M720" s="164">
        <f t="shared" si="58"/>
        <v>0</v>
      </c>
      <c r="N720" s="164" t="e">
        <f t="shared" si="58"/>
        <v>#DIV/0!</v>
      </c>
      <c r="O720" s="48"/>
      <c r="P720" s="309"/>
    </row>
    <row r="721" spans="1:24" hidden="1">
      <c r="B721" s="45"/>
      <c r="C721" s="56"/>
      <c r="D721" s="57" t="s">
        <v>59</v>
      </c>
      <c r="E721" s="57"/>
      <c r="F721" s="172">
        <f>SUM(F718:F720)</f>
        <v>0</v>
      </c>
      <c r="G721" s="353">
        <f t="shared" ref="G721:M721" si="59">F721+$P$721</f>
        <v>0</v>
      </c>
      <c r="H721" s="353">
        <f t="shared" si="59"/>
        <v>0</v>
      </c>
      <c r="I721" s="353">
        <f t="shared" si="59"/>
        <v>0</v>
      </c>
      <c r="J721" s="353">
        <f t="shared" si="59"/>
        <v>0</v>
      </c>
      <c r="K721" s="353">
        <f t="shared" si="59"/>
        <v>0</v>
      </c>
      <c r="L721" s="353">
        <f t="shared" si="59"/>
        <v>0</v>
      </c>
      <c r="M721" s="353">
        <f t="shared" si="59"/>
        <v>0</v>
      </c>
      <c r="N721" s="172" t="e">
        <f>N580*(INDEX($N$40:$N$43,MATCH($E$8,$C$40:$C$43,0),1))/$N$40</f>
        <v>#DIV/0!</v>
      </c>
      <c r="O721" s="354" t="e">
        <f>(N721-F721)/8</f>
        <v>#DIV/0!</v>
      </c>
      <c r="P721" s="309"/>
    </row>
    <row r="722" spans="1:24" hidden="1">
      <c r="B722" s="45"/>
      <c r="C722" s="56"/>
      <c r="D722" s="57"/>
      <c r="E722" s="57"/>
      <c r="F722" s="172"/>
      <c r="G722" s="353"/>
      <c r="H722" s="353"/>
      <c r="I722" s="353"/>
      <c r="J722" s="353"/>
      <c r="K722" s="353"/>
      <c r="L722" s="353"/>
      <c r="M722" s="353"/>
      <c r="N722" s="172"/>
      <c r="O722" s="48"/>
      <c r="P722" s="309"/>
    </row>
    <row r="723" spans="1:24" hidden="1">
      <c r="B723" s="45"/>
      <c r="C723" s="65" t="s">
        <v>205</v>
      </c>
      <c r="D723" s="57"/>
      <c r="E723" s="57"/>
      <c r="F723" s="172"/>
      <c r="G723" s="353"/>
      <c r="H723" s="353"/>
      <c r="I723" s="353"/>
      <c r="J723" s="353"/>
      <c r="K723" s="353"/>
      <c r="L723" s="353"/>
      <c r="M723" s="353"/>
      <c r="N723" s="172"/>
      <c r="O723" s="48"/>
      <c r="P723" s="309"/>
    </row>
    <row r="724" spans="1:24" hidden="1">
      <c r="B724" s="304"/>
      <c r="C724" s="308"/>
      <c r="D724" s="308"/>
      <c r="E724" s="308"/>
      <c r="F724" s="308"/>
      <c r="G724" s="308"/>
      <c r="H724" s="308"/>
      <c r="I724" s="308"/>
      <c r="J724" s="308"/>
      <c r="K724" s="308"/>
      <c r="L724" s="308"/>
      <c r="M724" s="308"/>
      <c r="N724" s="308"/>
      <c r="O724" s="309"/>
      <c r="P724" s="309"/>
    </row>
    <row r="725" spans="1:24" ht="15.75" hidden="1">
      <c r="B725" s="55"/>
      <c r="C725" s="52" t="s">
        <v>44</v>
      </c>
      <c r="D725" s="52" t="s">
        <v>110</v>
      </c>
      <c r="E725" s="52" t="s">
        <v>30</v>
      </c>
      <c r="F725" s="53">
        <v>2013</v>
      </c>
      <c r="G725" s="117">
        <v>2015</v>
      </c>
      <c r="H725" s="117">
        <v>2020</v>
      </c>
      <c r="I725" s="117">
        <v>2025</v>
      </c>
      <c r="J725" s="117">
        <v>2030</v>
      </c>
      <c r="K725" s="117">
        <v>2035</v>
      </c>
      <c r="L725" s="117">
        <v>2040</v>
      </c>
      <c r="M725" s="117">
        <v>2045</v>
      </c>
      <c r="N725" s="117">
        <v>2050</v>
      </c>
      <c r="O725" s="48"/>
      <c r="P725" s="309"/>
    </row>
    <row r="726" spans="1:24" ht="15.75" hidden="1">
      <c r="B726" s="55"/>
      <c r="C726" s="56">
        <v>1</v>
      </c>
      <c r="D726" s="57" t="s">
        <v>61</v>
      </c>
      <c r="E726" s="57"/>
      <c r="F726" s="351"/>
      <c r="G726" s="162"/>
      <c r="H726" s="162"/>
      <c r="I726" s="162">
        <f t="shared" ref="I726:N728" si="60">G718</f>
        <v>0</v>
      </c>
      <c r="J726" s="162">
        <f t="shared" si="60"/>
        <v>0</v>
      </c>
      <c r="K726" s="162">
        <f t="shared" si="60"/>
        <v>0</v>
      </c>
      <c r="L726" s="162">
        <f t="shared" si="60"/>
        <v>0</v>
      </c>
      <c r="M726" s="162">
        <f t="shared" si="60"/>
        <v>0</v>
      </c>
      <c r="N726" s="162">
        <f t="shared" si="60"/>
        <v>0</v>
      </c>
      <c r="O726" s="48"/>
      <c r="P726" s="309"/>
    </row>
    <row r="727" spans="1:24" ht="15.75" hidden="1">
      <c r="B727" s="55"/>
      <c r="C727" s="56">
        <v>2</v>
      </c>
      <c r="D727" s="57" t="s">
        <v>62</v>
      </c>
      <c r="E727" s="57"/>
      <c r="F727" s="172"/>
      <c r="G727" s="165"/>
      <c r="H727" s="165"/>
      <c r="I727" s="165">
        <f t="shared" si="60"/>
        <v>0</v>
      </c>
      <c r="J727" s="165">
        <f t="shared" si="60"/>
        <v>0</v>
      </c>
      <c r="K727" s="165">
        <f t="shared" si="60"/>
        <v>0</v>
      </c>
      <c r="L727" s="165">
        <f t="shared" si="60"/>
        <v>0</v>
      </c>
      <c r="M727" s="165">
        <f t="shared" si="60"/>
        <v>0</v>
      </c>
      <c r="N727" s="165">
        <f t="shared" si="60"/>
        <v>0</v>
      </c>
      <c r="O727" s="48"/>
      <c r="P727" s="309"/>
    </row>
    <row r="728" spans="1:24" ht="15.75" hidden="1">
      <c r="B728" s="55"/>
      <c r="C728" s="146">
        <v>3</v>
      </c>
      <c r="D728" s="125" t="s">
        <v>63</v>
      </c>
      <c r="E728" s="125"/>
      <c r="F728" s="352"/>
      <c r="G728" s="164"/>
      <c r="H728" s="164"/>
      <c r="I728" s="164">
        <f t="shared" si="60"/>
        <v>0</v>
      </c>
      <c r="J728" s="164">
        <f t="shared" si="60"/>
        <v>0</v>
      </c>
      <c r="K728" s="164">
        <f t="shared" si="60"/>
        <v>0</v>
      </c>
      <c r="L728" s="164">
        <f t="shared" si="60"/>
        <v>0</v>
      </c>
      <c r="M728" s="164">
        <f t="shared" si="60"/>
        <v>0</v>
      </c>
      <c r="N728" s="164">
        <f t="shared" si="60"/>
        <v>0</v>
      </c>
      <c r="O728" s="48"/>
      <c r="P728" s="309"/>
    </row>
    <row r="729" spans="1:24" hidden="1">
      <c r="B729" s="45"/>
      <c r="C729" s="56"/>
      <c r="D729" s="57" t="s">
        <v>59</v>
      </c>
      <c r="E729" s="57"/>
      <c r="F729" s="172"/>
      <c r="G729" s="172"/>
      <c r="H729" s="172"/>
      <c r="I729" s="172">
        <f t="shared" ref="I729:N729" si="61">SUM(I726:I728)</f>
        <v>0</v>
      </c>
      <c r="J729" s="172">
        <f t="shared" si="61"/>
        <v>0</v>
      </c>
      <c r="K729" s="172">
        <f t="shared" si="61"/>
        <v>0</v>
      </c>
      <c r="L729" s="172">
        <f t="shared" si="61"/>
        <v>0</v>
      </c>
      <c r="M729" s="172">
        <f t="shared" si="61"/>
        <v>0</v>
      </c>
      <c r="N729" s="172">
        <f t="shared" si="61"/>
        <v>0</v>
      </c>
      <c r="O729" s="48"/>
      <c r="P729" s="309"/>
    </row>
    <row r="730" spans="1:24" hidden="1">
      <c r="B730" s="45"/>
      <c r="C730" s="56"/>
      <c r="D730" s="57"/>
      <c r="E730" s="57"/>
      <c r="F730" s="172"/>
      <c r="G730" s="353"/>
      <c r="H730" s="353"/>
      <c r="I730" s="353"/>
      <c r="J730" s="353"/>
      <c r="K730" s="353"/>
      <c r="L730" s="353"/>
      <c r="M730" s="353"/>
      <c r="N730" s="172"/>
      <c r="O730" s="48"/>
      <c r="P730" s="309"/>
    </row>
    <row r="731" spans="1:24" hidden="1">
      <c r="B731" s="45"/>
      <c r="C731" s="65" t="s">
        <v>206</v>
      </c>
      <c r="D731" s="57"/>
      <c r="E731" s="57"/>
      <c r="F731" s="172"/>
      <c r="G731" s="353"/>
      <c r="H731" s="353"/>
      <c r="I731" s="353"/>
      <c r="J731" s="353"/>
      <c r="K731" s="353"/>
      <c r="L731" s="353"/>
      <c r="M731" s="353"/>
      <c r="N731" s="172"/>
      <c r="O731" s="48"/>
      <c r="P731" s="309"/>
      <c r="X731" s="204"/>
    </row>
    <row r="732" spans="1:24" hidden="1">
      <c r="B732" s="304"/>
      <c r="C732" s="308"/>
      <c r="D732" s="308"/>
      <c r="E732" s="308"/>
      <c r="F732" s="308"/>
      <c r="G732" s="308"/>
      <c r="H732" s="308"/>
      <c r="I732" s="308"/>
      <c r="J732" s="308"/>
      <c r="K732" s="308"/>
      <c r="L732" s="308"/>
      <c r="M732" s="308"/>
      <c r="N732" s="308"/>
      <c r="O732" s="309"/>
      <c r="P732" s="309"/>
      <c r="X732" s="204"/>
    </row>
    <row r="733" spans="1:24" ht="18.75" hidden="1">
      <c r="A733" s="355"/>
      <c r="B733" s="55"/>
      <c r="C733" s="52" t="s">
        <v>44</v>
      </c>
      <c r="D733" s="52" t="s">
        <v>110</v>
      </c>
      <c r="E733" s="52" t="s">
        <v>30</v>
      </c>
      <c r="F733" s="53">
        <v>2013</v>
      </c>
      <c r="G733" s="117">
        <v>2015</v>
      </c>
      <c r="H733" s="117">
        <v>2020</v>
      </c>
      <c r="I733" s="117">
        <v>2025</v>
      </c>
      <c r="J733" s="117">
        <v>2030</v>
      </c>
      <c r="K733" s="117">
        <v>2035</v>
      </c>
      <c r="L733" s="117">
        <v>2040</v>
      </c>
      <c r="M733" s="117">
        <v>2045</v>
      </c>
      <c r="N733" s="117">
        <v>2050</v>
      </c>
      <c r="O733" s="48"/>
      <c r="P733" s="309"/>
    </row>
    <row r="734" spans="1:24" ht="15.75" hidden="1">
      <c r="B734" s="55"/>
      <c r="C734" s="56">
        <v>1</v>
      </c>
      <c r="D734" s="57" t="s">
        <v>61</v>
      </c>
      <c r="E734" s="57"/>
      <c r="F734" s="351"/>
      <c r="G734" s="356">
        <f t="shared" ref="G734:N736" si="62">G718-F718+G726</f>
        <v>0</v>
      </c>
      <c r="H734" s="357">
        <f t="shared" si="62"/>
        <v>0</v>
      </c>
      <c r="I734" s="357">
        <f t="shared" si="62"/>
        <v>0</v>
      </c>
      <c r="J734" s="357">
        <f t="shared" si="62"/>
        <v>0</v>
      </c>
      <c r="K734" s="357">
        <f t="shared" si="62"/>
        <v>0</v>
      </c>
      <c r="L734" s="357">
        <f t="shared" si="62"/>
        <v>0</v>
      </c>
      <c r="M734" s="357">
        <f t="shared" si="62"/>
        <v>0</v>
      </c>
      <c r="N734" s="357" t="e">
        <f t="shared" si="62"/>
        <v>#DIV/0!</v>
      </c>
      <c r="O734" s="48"/>
      <c r="P734" s="309"/>
    </row>
    <row r="735" spans="1:24" ht="15.75" hidden="1">
      <c r="B735" s="55"/>
      <c r="C735" s="56">
        <v>2</v>
      </c>
      <c r="D735" s="57" t="s">
        <v>62</v>
      </c>
      <c r="E735" s="57"/>
      <c r="F735" s="172"/>
      <c r="G735" s="358">
        <f t="shared" si="62"/>
        <v>0</v>
      </c>
      <c r="H735" s="359">
        <f t="shared" si="62"/>
        <v>0</v>
      </c>
      <c r="I735" s="359">
        <f t="shared" si="62"/>
        <v>0</v>
      </c>
      <c r="J735" s="359">
        <f t="shared" si="62"/>
        <v>0</v>
      </c>
      <c r="K735" s="359">
        <f t="shared" si="62"/>
        <v>0</v>
      </c>
      <c r="L735" s="359">
        <f t="shared" si="62"/>
        <v>0</v>
      </c>
      <c r="M735" s="359">
        <f t="shared" si="62"/>
        <v>0</v>
      </c>
      <c r="N735" s="359" t="e">
        <f t="shared" si="62"/>
        <v>#DIV/0!</v>
      </c>
      <c r="O735" s="48"/>
      <c r="P735" s="309"/>
    </row>
    <row r="736" spans="1:24" ht="15.75" hidden="1">
      <c r="B736" s="55"/>
      <c r="C736" s="146">
        <v>3</v>
      </c>
      <c r="D736" s="125" t="s">
        <v>63</v>
      </c>
      <c r="E736" s="125"/>
      <c r="F736" s="352"/>
      <c r="G736" s="360">
        <f t="shared" si="62"/>
        <v>0</v>
      </c>
      <c r="H736" s="361">
        <f t="shared" si="62"/>
        <v>0</v>
      </c>
      <c r="I736" s="361">
        <f t="shared" si="62"/>
        <v>0</v>
      </c>
      <c r="J736" s="361">
        <f t="shared" si="62"/>
        <v>0</v>
      </c>
      <c r="K736" s="361">
        <f t="shared" si="62"/>
        <v>0</v>
      </c>
      <c r="L736" s="361">
        <f t="shared" si="62"/>
        <v>0</v>
      </c>
      <c r="M736" s="361">
        <f t="shared" si="62"/>
        <v>0</v>
      </c>
      <c r="N736" s="361" t="e">
        <f t="shared" si="62"/>
        <v>#DIV/0!</v>
      </c>
      <c r="O736" s="48"/>
      <c r="P736" s="309"/>
    </row>
    <row r="737" spans="1:16" hidden="1">
      <c r="B737" s="45"/>
      <c r="C737" s="56"/>
      <c r="D737" s="57" t="s">
        <v>59</v>
      </c>
      <c r="E737" s="57"/>
      <c r="F737" s="172"/>
      <c r="G737" s="172">
        <f>SUM(G734:G736)</f>
        <v>0</v>
      </c>
      <c r="H737" s="172">
        <f>SUM(H734:H736)</f>
        <v>0</v>
      </c>
      <c r="I737" s="172">
        <f t="shared" ref="I737:N737" si="63">SUM(I734:I736)</f>
        <v>0</v>
      </c>
      <c r="J737" s="172">
        <f t="shared" si="63"/>
        <v>0</v>
      </c>
      <c r="K737" s="172">
        <f t="shared" si="63"/>
        <v>0</v>
      </c>
      <c r="L737" s="172">
        <f t="shared" si="63"/>
        <v>0</v>
      </c>
      <c r="M737" s="172">
        <f t="shared" si="63"/>
        <v>0</v>
      </c>
      <c r="N737" s="172" t="e">
        <f t="shared" si="63"/>
        <v>#DIV/0!</v>
      </c>
      <c r="O737" s="48"/>
      <c r="P737" s="309"/>
    </row>
    <row r="738" spans="1:16" hidden="1">
      <c r="B738" s="45"/>
      <c r="C738" s="56"/>
      <c r="D738" s="57"/>
      <c r="E738" s="57"/>
      <c r="F738" s="172"/>
      <c r="G738" s="353"/>
      <c r="H738" s="353"/>
      <c r="I738" s="353"/>
      <c r="J738" s="353"/>
      <c r="K738" s="353"/>
      <c r="L738" s="353"/>
      <c r="M738" s="353"/>
      <c r="N738" s="172"/>
      <c r="O738" s="48"/>
      <c r="P738" s="309"/>
    </row>
    <row r="741" spans="1:16" ht="15.75">
      <c r="B741" s="362" t="s">
        <v>207</v>
      </c>
    </row>
    <row r="742" spans="1:16">
      <c r="B742" s="363">
        <v>1</v>
      </c>
      <c r="C742" s="2" t="s">
        <v>208</v>
      </c>
    </row>
    <row r="743" spans="1:16">
      <c r="B743" s="363">
        <v>2</v>
      </c>
      <c r="C743" s="2" t="s">
        <v>209</v>
      </c>
    </row>
    <row r="744" spans="1:16" s="4" customFormat="1">
      <c r="B744" s="363">
        <v>3</v>
      </c>
      <c r="C744" s="38" t="s">
        <v>210</v>
      </c>
      <c r="D744" s="38"/>
      <c r="E744" s="2"/>
      <c r="F744" s="2"/>
      <c r="G744" s="2"/>
      <c r="H744" s="2"/>
      <c r="I744" s="2"/>
      <c r="J744" s="2"/>
      <c r="K744" s="2"/>
      <c r="L744" s="2"/>
      <c r="M744" s="2"/>
      <c r="N744" s="2"/>
      <c r="O744" s="2"/>
      <c r="P744" s="2"/>
    </row>
    <row r="745" spans="1:16" s="4" customFormat="1">
      <c r="B745" s="363">
        <v>4</v>
      </c>
      <c r="C745" s="2" t="s">
        <v>211</v>
      </c>
      <c r="D745" s="2"/>
      <c r="E745" s="2"/>
      <c r="F745" s="2"/>
      <c r="G745" s="2"/>
      <c r="H745" s="2"/>
      <c r="I745" s="2"/>
      <c r="J745" s="2"/>
      <c r="K745" s="2"/>
      <c r="L745" s="2"/>
      <c r="M745" s="2"/>
      <c r="N745" s="2"/>
      <c r="O745" s="2"/>
      <c r="P745" s="2"/>
    </row>
    <row r="746" spans="1:16" s="4" customFormat="1">
      <c r="B746" s="363">
        <v>5</v>
      </c>
      <c r="C746" s="2" t="s">
        <v>212</v>
      </c>
      <c r="D746" s="2"/>
      <c r="E746" s="2"/>
      <c r="F746" s="2"/>
      <c r="G746" s="2"/>
      <c r="H746" s="2"/>
      <c r="I746" s="2"/>
      <c r="J746" s="2"/>
      <c r="K746" s="2"/>
      <c r="L746" s="2"/>
      <c r="M746" s="2"/>
      <c r="N746" s="2"/>
      <c r="O746" s="2"/>
      <c r="P746" s="2"/>
    </row>
    <row r="747" spans="1:16" s="4" customFormat="1">
      <c r="B747" s="363">
        <v>6</v>
      </c>
      <c r="C747" s="2" t="s">
        <v>213</v>
      </c>
      <c r="D747" s="2"/>
      <c r="E747" s="2"/>
      <c r="F747" s="2"/>
      <c r="G747" s="2"/>
      <c r="H747" s="2"/>
      <c r="I747" s="2"/>
      <c r="J747" s="2"/>
      <c r="K747" s="2"/>
      <c r="L747" s="2"/>
      <c r="M747" s="2"/>
      <c r="N747" s="2"/>
      <c r="O747" s="2"/>
      <c r="P747" s="2"/>
    </row>
    <row r="748" spans="1:16" s="4" customFormat="1">
      <c r="B748" s="363">
        <v>7</v>
      </c>
      <c r="C748" s="2" t="s">
        <v>214</v>
      </c>
      <c r="D748" s="2"/>
      <c r="E748" s="2"/>
      <c r="F748" s="2"/>
      <c r="G748" s="2"/>
      <c r="H748" s="2"/>
      <c r="I748" s="2"/>
      <c r="J748" s="2"/>
      <c r="K748" s="2"/>
      <c r="L748" s="2"/>
      <c r="M748" s="2"/>
      <c r="N748" s="2"/>
      <c r="O748" s="2"/>
      <c r="P748" s="2"/>
    </row>
    <row r="749" spans="1:16" s="4" customFormat="1" ht="15.75">
      <c r="A749" s="3"/>
      <c r="B749" s="363">
        <v>8</v>
      </c>
      <c r="C749" s="2" t="s">
        <v>215</v>
      </c>
      <c r="D749" s="2"/>
      <c r="E749" s="2"/>
      <c r="F749" s="2"/>
      <c r="G749" s="2"/>
      <c r="H749" s="2"/>
      <c r="I749" s="2"/>
      <c r="J749" s="2"/>
      <c r="K749" s="2"/>
      <c r="L749" s="2"/>
      <c r="M749" s="2"/>
      <c r="N749" s="2"/>
      <c r="O749" s="2"/>
      <c r="P749" s="2"/>
    </row>
    <row r="750" spans="1:16" s="4" customFormat="1">
      <c r="B750" s="363">
        <v>9</v>
      </c>
      <c r="C750" s="2" t="s">
        <v>216</v>
      </c>
      <c r="D750" s="2"/>
      <c r="E750" s="2"/>
      <c r="F750" s="2"/>
      <c r="G750" s="2"/>
      <c r="H750" s="2"/>
      <c r="I750" s="2"/>
      <c r="J750" s="2"/>
      <c r="K750" s="2"/>
      <c r="L750" s="2"/>
      <c r="M750" s="2"/>
      <c r="N750" s="2"/>
      <c r="O750" s="2"/>
      <c r="P750" s="2"/>
    </row>
    <row r="751" spans="1:16">
      <c r="B751" s="363"/>
    </row>
    <row r="752" spans="1:16" s="4" customFormat="1" ht="15.75">
      <c r="A752" s="3"/>
      <c r="B752" s="364">
        <v>1</v>
      </c>
      <c r="C752" s="363" t="s">
        <v>217</v>
      </c>
      <c r="D752" s="363"/>
      <c r="E752" s="364"/>
      <c r="F752" s="365">
        <v>2013</v>
      </c>
      <c r="G752" s="365">
        <v>2015</v>
      </c>
      <c r="H752" s="365">
        <v>2020</v>
      </c>
      <c r="I752" s="365">
        <v>2025</v>
      </c>
      <c r="J752" s="365">
        <v>2030</v>
      </c>
      <c r="K752" s="365">
        <v>2035</v>
      </c>
      <c r="L752" s="365">
        <v>2040</v>
      </c>
      <c r="M752" s="365">
        <v>2045</v>
      </c>
      <c r="N752" s="365">
        <v>2050</v>
      </c>
      <c r="O752" s="2"/>
    </row>
    <row r="753" spans="1:17" s="4" customFormat="1">
      <c r="B753" s="364"/>
      <c r="C753" s="363"/>
      <c r="D753" s="363"/>
      <c r="E753" s="364"/>
      <c r="F753" s="366"/>
      <c r="G753" s="366"/>
      <c r="H753" s="366"/>
      <c r="I753" s="366"/>
      <c r="J753" s="366"/>
      <c r="K753" s="366"/>
      <c r="L753" s="366"/>
      <c r="M753" s="366"/>
      <c r="N753" s="366"/>
      <c r="O753" s="2"/>
    </row>
    <row r="754" spans="1:17" s="4" customFormat="1">
      <c r="B754" s="364"/>
      <c r="C754" s="2" t="s">
        <v>218</v>
      </c>
      <c r="D754" s="363"/>
      <c r="E754" s="367"/>
      <c r="F754" s="368">
        <f>F62</f>
        <v>3.5250287804622114E-6</v>
      </c>
      <c r="G754" s="368">
        <f t="shared" ref="G754:N754" si="64">G62</f>
        <v>3.5250287804622114E-6</v>
      </c>
      <c r="H754" s="368">
        <f t="shared" si="64"/>
        <v>3.5250287804622114E-6</v>
      </c>
      <c r="I754" s="368">
        <f t="shared" si="64"/>
        <v>3.5250287804622114E-6</v>
      </c>
      <c r="J754" s="368">
        <f t="shared" si="64"/>
        <v>3.5250287804622114E-6</v>
      </c>
      <c r="K754" s="368">
        <f t="shared" si="64"/>
        <v>3.5250287804622114E-6</v>
      </c>
      <c r="L754" s="368">
        <f t="shared" si="64"/>
        <v>3.5250287804622114E-6</v>
      </c>
      <c r="M754" s="368">
        <f t="shared" si="64"/>
        <v>3.5250287804622114E-6</v>
      </c>
      <c r="N754" s="368">
        <f t="shared" si="64"/>
        <v>3.5250287804622114E-6</v>
      </c>
      <c r="O754" s="2"/>
    </row>
    <row r="755" spans="1:17" s="4" customFormat="1">
      <c r="A755" s="401"/>
      <c r="B755" s="367" t="s">
        <v>219</v>
      </c>
      <c r="C755" s="2" t="s">
        <v>220</v>
      </c>
      <c r="D755" s="2"/>
      <c r="E755" s="2"/>
      <c r="F755" s="369">
        <f>INDEX(Global.Assumptions[Households], MATCH(F$752,Global.Assumptions[Year], 0))</f>
        <v>1672651.1289147851</v>
      </c>
      <c r="G755" s="369">
        <f>INDEX(Global.Assumptions[Households], MATCH(G$752,Global.Assumptions[Year], 0))</f>
        <v>1724685.0990151383</v>
      </c>
      <c r="H755" s="369">
        <f>INDEX(Global.Assumptions[Households], MATCH(H$752,Global.Assumptions[Year], 0))</f>
        <v>1818612.4430257217</v>
      </c>
      <c r="I755" s="369">
        <f>INDEX(Global.Assumptions[Households], MATCH(I$752,Global.Assumptions[Year], 0))</f>
        <v>1912005.4807283345</v>
      </c>
      <c r="J755" s="369">
        <f>INDEX(Global.Assumptions[Households], MATCH(J$752,Global.Assumptions[Year], 0))</f>
        <v>2000055.258037091</v>
      </c>
      <c r="K755" s="369">
        <f>INDEX(Global.Assumptions[Households], MATCH(K$752,Global.Assumptions[Year], 0))</f>
        <v>2093076.6415949718</v>
      </c>
      <c r="L755" s="369">
        <f>INDEX(Global.Assumptions[Households], MATCH(L$752,Global.Assumptions[Year], 0))</f>
        <v>2190930.0548391445</v>
      </c>
      <c r="M755" s="369">
        <f>INDEX(Global.Assumptions[Households], MATCH(M$752,Global.Assumptions[Year], 0))</f>
        <v>2288187.1680332171</v>
      </c>
      <c r="N755" s="369">
        <f>INDEX(Global.Assumptions[Households], MATCH(N$752,Global.Assumptions[Year], 0))</f>
        <v>2390510.6792861409</v>
      </c>
      <c r="O755" s="2"/>
    </row>
    <row r="756" spans="1:17" s="4" customFormat="1">
      <c r="B756" s="367"/>
      <c r="C756" s="2"/>
      <c r="D756" s="2"/>
      <c r="E756" s="2"/>
      <c r="F756" s="369"/>
      <c r="G756" s="369"/>
      <c r="H756" s="369"/>
      <c r="I756" s="369"/>
      <c r="J756" s="369"/>
      <c r="K756" s="369"/>
      <c r="L756" s="369"/>
      <c r="M756" s="369"/>
      <c r="N756" s="369"/>
      <c r="O756" s="2"/>
    </row>
    <row r="757" spans="1:17" s="4" customFormat="1">
      <c r="B757" s="370" t="s">
        <v>221</v>
      </c>
      <c r="C757" s="371" t="s">
        <v>222</v>
      </c>
      <c r="D757" s="371"/>
      <c r="E757" s="372"/>
      <c r="F757" s="373">
        <f>F754*F755</f>
        <v>5.896143369097226</v>
      </c>
      <c r="G757" s="373">
        <f t="shared" ref="G757:N757" si="65">G754*G755</f>
        <v>6.0795646112626818</v>
      </c>
      <c r="H757" s="373">
        <f t="shared" si="65"/>
        <v>6.4106612021723626</v>
      </c>
      <c r="I757" s="373">
        <f t="shared" si="65"/>
        <v>6.7398743479688656</v>
      </c>
      <c r="J757" s="373">
        <f t="shared" si="65"/>
        <v>7.0502523470955207</v>
      </c>
      <c r="K757" s="373">
        <f>K754*K755</f>
        <v>7.3781554013354649</v>
      </c>
      <c r="L757" s="373">
        <f t="shared" si="65"/>
        <v>7.7230914992876354</v>
      </c>
      <c r="M757" s="373">
        <f t="shared" si="65"/>
        <v>8.0659256224014122</v>
      </c>
      <c r="N757" s="373">
        <f t="shared" si="65"/>
        <v>8.4266189444859183</v>
      </c>
      <c r="Q757" s="374"/>
    </row>
    <row r="758" spans="1:17" s="4" customFormat="1">
      <c r="B758" s="375" t="s">
        <v>223</v>
      </c>
      <c r="C758" s="2" t="s">
        <v>224</v>
      </c>
      <c r="D758" s="363"/>
      <c r="E758" s="376"/>
      <c r="F758" s="374">
        <f t="shared" ref="F758:N758" ca="1" si="66">MIN(F$31, F$757)</f>
        <v>4.1054887428987621E-2</v>
      </c>
      <c r="G758" s="374">
        <f t="shared" ca="1" si="66"/>
        <v>0.29533988943004724</v>
      </c>
      <c r="H758" s="374">
        <f t="shared" ca="1" si="66"/>
        <v>0.55796848364472162</v>
      </c>
      <c r="I758" s="374">
        <f t="shared" ca="1" si="66"/>
        <v>0.87993360231339046</v>
      </c>
      <c r="J758" s="374">
        <f t="shared" ca="1" si="66"/>
        <v>1.4025987513562512</v>
      </c>
      <c r="K758" s="374">
        <f t="shared" ca="1" si="66"/>
        <v>1.8347909840221523</v>
      </c>
      <c r="L758" s="374">
        <f t="shared" ca="1" si="66"/>
        <v>2.3046831432863932</v>
      </c>
      <c r="M758" s="374">
        <f t="shared" ca="1" si="66"/>
        <v>3.2093197943966696</v>
      </c>
      <c r="N758" s="374">
        <f t="shared" ca="1" si="66"/>
        <v>4.1910433229244628</v>
      </c>
      <c r="O758" s="2"/>
    </row>
    <row r="759" spans="1:17" s="4" customFormat="1">
      <c r="B759" s="2"/>
      <c r="C759" s="2"/>
      <c r="D759" s="2"/>
      <c r="E759" s="2"/>
      <c r="F759" s="2"/>
      <c r="G759" s="2"/>
      <c r="H759" s="2"/>
      <c r="I759" s="2"/>
      <c r="J759" s="2"/>
      <c r="K759" s="2"/>
      <c r="L759" s="2"/>
      <c r="M759" s="2"/>
      <c r="N759" s="2"/>
      <c r="O759" s="2"/>
    </row>
    <row r="760" spans="1:17" s="4" customFormat="1">
      <c r="B760" s="364" t="s">
        <v>221</v>
      </c>
      <c r="C760" s="377" t="s">
        <v>225</v>
      </c>
      <c r="D760" s="377"/>
      <c r="E760" s="378" t="str">
        <f>Preferences.EnergyUnits</f>
        <v>TWh</v>
      </c>
      <c r="F760" s="379">
        <f t="shared" ref="F760:N760" ca="1" si="67">F$757-F$758</f>
        <v>5.855088481668238</v>
      </c>
      <c r="G760" s="379">
        <f t="shared" ca="1" si="67"/>
        <v>5.7842247218326346</v>
      </c>
      <c r="H760" s="379">
        <f t="shared" ca="1" si="67"/>
        <v>5.8526927185276412</v>
      </c>
      <c r="I760" s="379">
        <f t="shared" ca="1" si="67"/>
        <v>5.8599407456554751</v>
      </c>
      <c r="J760" s="379">
        <f t="shared" ca="1" si="67"/>
        <v>5.6476535957392695</v>
      </c>
      <c r="K760" s="379">
        <f t="shared" ca="1" si="67"/>
        <v>5.5433644173133123</v>
      </c>
      <c r="L760" s="379">
        <f t="shared" ca="1" si="67"/>
        <v>5.4184083560012422</v>
      </c>
      <c r="M760" s="379">
        <f t="shared" ca="1" si="67"/>
        <v>4.8566058280047422</v>
      </c>
      <c r="N760" s="379">
        <f t="shared" ca="1" si="67"/>
        <v>4.2355756215614555</v>
      </c>
      <c r="O760" s="2"/>
    </row>
    <row r="761" spans="1:17" s="4" customFormat="1">
      <c r="B761" s="364"/>
      <c r="C761" s="363"/>
      <c r="D761" s="363"/>
      <c r="E761" s="364"/>
      <c r="F761" s="366"/>
      <c r="G761" s="366"/>
      <c r="H761" s="366"/>
      <c r="I761" s="366"/>
      <c r="J761" s="366"/>
      <c r="K761" s="366"/>
      <c r="L761" s="366"/>
      <c r="M761" s="366"/>
      <c r="N761" s="366"/>
      <c r="O761" s="2"/>
    </row>
    <row r="762" spans="1:17" s="4" customFormat="1">
      <c r="B762" s="364"/>
      <c r="C762" s="363"/>
      <c r="D762" s="363"/>
      <c r="E762" s="364"/>
      <c r="F762" s="366"/>
      <c r="G762" s="366"/>
      <c r="H762" s="366"/>
      <c r="I762" s="366"/>
      <c r="J762" s="366"/>
      <c r="K762" s="366"/>
      <c r="L762" s="366"/>
      <c r="M762" s="366"/>
      <c r="N762" s="366"/>
      <c r="O762" s="2"/>
    </row>
    <row r="763" spans="1:17" s="4" customFormat="1">
      <c r="B763" s="363">
        <v>2</v>
      </c>
      <c r="C763" s="363" t="s">
        <v>226</v>
      </c>
      <c r="D763" s="2"/>
      <c r="E763" s="364"/>
      <c r="F763" s="365">
        <v>2013</v>
      </c>
      <c r="G763" s="365">
        <v>2015</v>
      </c>
      <c r="H763" s="365">
        <v>2020</v>
      </c>
      <c r="I763" s="365">
        <v>2025</v>
      </c>
      <c r="J763" s="365">
        <v>2030</v>
      </c>
      <c r="K763" s="365">
        <v>2035</v>
      </c>
      <c r="L763" s="365">
        <v>2040</v>
      </c>
      <c r="M763" s="365">
        <v>2045</v>
      </c>
      <c r="N763" s="365">
        <v>2050</v>
      </c>
      <c r="O763" s="2"/>
    </row>
    <row r="764" spans="1:17" s="4" customFormat="1">
      <c r="B764" s="2"/>
      <c r="C764" s="2"/>
      <c r="D764" s="2"/>
      <c r="E764" s="2"/>
      <c r="F764" s="2"/>
      <c r="G764" s="2"/>
      <c r="H764" s="2"/>
      <c r="I764" s="2"/>
      <c r="J764" s="2"/>
      <c r="K764" s="2"/>
      <c r="L764" s="2"/>
      <c r="M764" s="2"/>
      <c r="N764" s="2"/>
      <c r="O764" s="2"/>
    </row>
    <row r="765" spans="1:17" s="4" customFormat="1">
      <c r="B765" s="367">
        <v>1</v>
      </c>
      <c r="C765" s="2" t="s">
        <v>46</v>
      </c>
      <c r="D765" s="2"/>
      <c r="E765" s="2"/>
      <c r="F765" s="374">
        <f t="array" aca="1" ref="F765:F777" ca="1">F$760*F$626:F$638</f>
        <v>0.99536504188360053</v>
      </c>
      <c r="G765" s="374">
        <f t="array" aca="1" ref="G765:G777" ca="1">G$760*G$626:G$638</f>
        <v>1.3882139332398322</v>
      </c>
      <c r="H765" s="374">
        <f t="array" aca="1" ref="H765:H777" ca="1">H$760*H$626:H$638</f>
        <v>1.2039825020971147</v>
      </c>
      <c r="I765" s="374">
        <f t="array" aca="1" ref="I765:I777" ca="1">I$760*I$626:I$638</f>
        <v>1.0045612706837956</v>
      </c>
      <c r="J765" s="374">
        <f t="array" aca="1" ref="J765:J777" ca="1">J$760*J$626:J$638</f>
        <v>0.77453535027281417</v>
      </c>
      <c r="K765" s="374">
        <f t="array" aca="1" ref="K765:K777" ca="1">K$760*K$626:K$638</f>
        <v>0.57017462578079792</v>
      </c>
      <c r="L765" s="374">
        <f t="array" aca="1" ref="L765:L777" ca="1">L$760*L$626:L$638</f>
        <v>0.37154800155437101</v>
      </c>
      <c r="M765" s="374">
        <f t="array" aca="1" ref="M765:M777" ca="1">M$760*M$626:M$638</f>
        <v>0.16651219981730553</v>
      </c>
      <c r="N765" s="374">
        <f t="array" aca="1" ref="N765:N777" ca="1">N$760*N$626:N$638</f>
        <v>0</v>
      </c>
      <c r="O765" s="2"/>
    </row>
    <row r="766" spans="1:17" s="4" customFormat="1">
      <c r="B766" s="367">
        <v>2</v>
      </c>
      <c r="C766" s="2" t="s">
        <v>47</v>
      </c>
      <c r="D766" s="2"/>
      <c r="E766" s="2"/>
      <c r="F766" s="374">
        <f ca="1"/>
        <v>0.9133938031402451</v>
      </c>
      <c r="G766" s="374">
        <f ca="1"/>
        <v>0.4627379777466108</v>
      </c>
      <c r="H766" s="374">
        <f ca="1"/>
        <v>1.1538165645097349</v>
      </c>
      <c r="I766" s="374">
        <f ca="1"/>
        <v>1.8416956629202921</v>
      </c>
      <c r="J766" s="374">
        <f ca="1"/>
        <v>2.4365591227332279</v>
      </c>
      <c r="K766" s="374">
        <f ca="1"/>
        <v>3.0409313374975886</v>
      </c>
      <c r="L766" s="374">
        <f ca="1"/>
        <v>3.6071118484236839</v>
      </c>
      <c r="M766" s="374">
        <f ca="1"/>
        <v>3.8020285624951407</v>
      </c>
      <c r="N766" s="374">
        <f ca="1"/>
        <v>3.8120180594053101</v>
      </c>
      <c r="O766" s="2"/>
    </row>
    <row r="767" spans="1:17" s="4" customFormat="1">
      <c r="B767" s="367">
        <v>3</v>
      </c>
      <c r="C767" s="2" t="s">
        <v>48</v>
      </c>
      <c r="D767" s="2"/>
      <c r="E767" s="2"/>
      <c r="F767" s="374">
        <f ca="1"/>
        <v>0.21078318534005655</v>
      </c>
      <c r="G767" s="374">
        <f ca="1"/>
        <v>0.34705348330995806</v>
      </c>
      <c r="H767" s="374">
        <f ca="1"/>
        <v>0.38460552150324495</v>
      </c>
      <c r="I767" s="374">
        <f ca="1"/>
        <v>0.41856719611824822</v>
      </c>
      <c r="J767" s="374">
        <f ca="1"/>
        <v>0.43567613452845788</v>
      </c>
      <c r="K767" s="374">
        <f ca="1"/>
        <v>0.45930733743453156</v>
      </c>
      <c r="L767" s="374">
        <f ca="1"/>
        <v>0.47991616867439568</v>
      </c>
      <c r="M767" s="374">
        <f ca="1"/>
        <v>0.45790854949758991</v>
      </c>
      <c r="N767" s="374">
        <f ca="1"/>
        <v>0.4235575621561456</v>
      </c>
      <c r="O767" s="2"/>
    </row>
    <row r="768" spans="1:17" s="4" customFormat="1">
      <c r="B768" s="367">
        <v>4</v>
      </c>
      <c r="C768" s="2" t="s">
        <v>49</v>
      </c>
      <c r="D768" s="2"/>
      <c r="E768" s="2"/>
      <c r="F768" s="374">
        <f ca="1"/>
        <v>3.6242997701526392</v>
      </c>
      <c r="G768" s="374">
        <f ca="1"/>
        <v>3.1813235970079492</v>
      </c>
      <c r="H768" s="374">
        <f ca="1"/>
        <v>2.7591265673058882</v>
      </c>
      <c r="I768" s="374">
        <f ca="1"/>
        <v>2.3021195786503656</v>
      </c>
      <c r="J768" s="374">
        <f ca="1"/>
        <v>1.7749768443751992</v>
      </c>
      <c r="K768" s="374">
        <f ca="1"/>
        <v>1.3066501840809954</v>
      </c>
      <c r="L768" s="374">
        <f ca="1"/>
        <v>0.85146417022876686</v>
      </c>
      <c r="M768" s="374">
        <f ca="1"/>
        <v>0.38159045791465851</v>
      </c>
      <c r="N768" s="374">
        <f ca="1"/>
        <v>0</v>
      </c>
      <c r="O768" s="2"/>
    </row>
    <row r="769" spans="2:25" s="4" customFormat="1">
      <c r="B769" s="367">
        <v>5</v>
      </c>
      <c r="C769" s="2" t="s">
        <v>50</v>
      </c>
      <c r="D769" s="2"/>
      <c r="E769" s="2"/>
      <c r="F769" s="374">
        <f ca="1"/>
        <v>8.7826327225023565E-2</v>
      </c>
      <c r="G769" s="374">
        <f ca="1"/>
        <v>5.7842247218326349E-2</v>
      </c>
      <c r="H769" s="374">
        <f ca="1"/>
        <v>5.0165937587379784E-2</v>
      </c>
      <c r="I769" s="374">
        <f ca="1"/>
        <v>4.1856719611824827E-2</v>
      </c>
      <c r="J769" s="374">
        <f ca="1"/>
        <v>3.2272306261367262E-2</v>
      </c>
      <c r="K769" s="374">
        <f ca="1"/>
        <v>2.3757276074199914E-2</v>
      </c>
      <c r="L769" s="374">
        <f ca="1"/>
        <v>1.5481166731432128E-2</v>
      </c>
      <c r="M769" s="374">
        <f ca="1"/>
        <v>6.9380083257210663E-3</v>
      </c>
      <c r="N769" s="374">
        <f ca="1"/>
        <v>0</v>
      </c>
      <c r="O769" s="2"/>
    </row>
    <row r="770" spans="2:25" s="4" customFormat="1">
      <c r="B770" s="367">
        <v>6</v>
      </c>
      <c r="C770" s="2" t="s">
        <v>51</v>
      </c>
      <c r="D770" s="2"/>
      <c r="E770" s="2"/>
      <c r="F770" s="374">
        <f ca="1"/>
        <v>0</v>
      </c>
      <c r="G770" s="374">
        <f ca="1"/>
        <v>0</v>
      </c>
      <c r="H770" s="374">
        <f ca="1"/>
        <v>0</v>
      </c>
      <c r="I770" s="374">
        <f ca="1"/>
        <v>0</v>
      </c>
      <c r="J770" s="374">
        <f ca="1"/>
        <v>0</v>
      </c>
      <c r="K770" s="374">
        <f ca="1"/>
        <v>0</v>
      </c>
      <c r="L770" s="374">
        <f ca="1"/>
        <v>0</v>
      </c>
      <c r="M770" s="374">
        <f ca="1"/>
        <v>0</v>
      </c>
      <c r="N770" s="374">
        <f ca="1"/>
        <v>0</v>
      </c>
      <c r="O770" s="2"/>
    </row>
    <row r="771" spans="2:25" s="4" customFormat="1">
      <c r="B771" s="367">
        <v>7</v>
      </c>
      <c r="C771" s="2" t="s">
        <v>52</v>
      </c>
      <c r="D771" s="2"/>
      <c r="E771" s="2"/>
      <c r="F771" s="374">
        <f ca="1"/>
        <v>0</v>
      </c>
      <c r="G771" s="374">
        <f ca="1"/>
        <v>0</v>
      </c>
      <c r="H771" s="374">
        <f ca="1"/>
        <v>0</v>
      </c>
      <c r="I771" s="374">
        <f ca="1"/>
        <v>0</v>
      </c>
      <c r="J771" s="374">
        <f ca="1"/>
        <v>0</v>
      </c>
      <c r="K771" s="374">
        <f ca="1"/>
        <v>0</v>
      </c>
      <c r="L771" s="374">
        <f ca="1"/>
        <v>0</v>
      </c>
      <c r="M771" s="374">
        <f ca="1"/>
        <v>0</v>
      </c>
      <c r="N771" s="374">
        <f ca="1"/>
        <v>0</v>
      </c>
      <c r="O771" s="2"/>
    </row>
    <row r="772" spans="2:25" s="4" customFormat="1">
      <c r="B772" s="367">
        <v>8</v>
      </c>
      <c r="C772" s="2" t="s">
        <v>53</v>
      </c>
      <c r="D772" s="2"/>
      <c r="E772" s="2"/>
      <c r="F772" s="374">
        <f ca="1"/>
        <v>5.8550884816682379E-3</v>
      </c>
      <c r="G772" s="374">
        <f ca="1"/>
        <v>0</v>
      </c>
      <c r="H772" s="374">
        <f ca="1"/>
        <v>0</v>
      </c>
      <c r="I772" s="374">
        <f ca="1"/>
        <v>0</v>
      </c>
      <c r="J772" s="374">
        <f ca="1"/>
        <v>0</v>
      </c>
      <c r="K772" s="374">
        <f ca="1"/>
        <v>0</v>
      </c>
      <c r="L772" s="374">
        <f ca="1"/>
        <v>0</v>
      </c>
      <c r="M772" s="374">
        <f ca="1"/>
        <v>0</v>
      </c>
      <c r="N772" s="374">
        <f ca="1"/>
        <v>0</v>
      </c>
      <c r="O772" s="2"/>
    </row>
    <row r="773" spans="2:25" s="4" customFormat="1">
      <c r="B773" s="367">
        <v>9</v>
      </c>
      <c r="C773" s="2" t="s">
        <v>54</v>
      </c>
      <c r="D773" s="2"/>
      <c r="E773" s="2"/>
      <c r="F773" s="374">
        <f ca="1"/>
        <v>1.1710176963336476E-2</v>
      </c>
      <c r="G773" s="374">
        <f ca="1"/>
        <v>5.7842247218326349E-2</v>
      </c>
      <c r="H773" s="374">
        <f ca="1"/>
        <v>5.0165937587379784E-2</v>
      </c>
      <c r="I773" s="374">
        <f ca="1"/>
        <v>4.1856719611824827E-2</v>
      </c>
      <c r="J773" s="374">
        <f ca="1"/>
        <v>3.2272306261367262E-2</v>
      </c>
      <c r="K773" s="374">
        <f ca="1"/>
        <v>2.3757276074199914E-2</v>
      </c>
      <c r="L773" s="374">
        <f ca="1"/>
        <v>1.5481166731432128E-2</v>
      </c>
      <c r="M773" s="374">
        <f ca="1"/>
        <v>6.9380083257210663E-3</v>
      </c>
      <c r="N773" s="374">
        <f ca="1"/>
        <v>0</v>
      </c>
      <c r="O773" s="2"/>
    </row>
    <row r="774" spans="2:25" s="4" customFormat="1">
      <c r="B774" s="367">
        <v>10</v>
      </c>
      <c r="C774" s="2" t="s">
        <v>55</v>
      </c>
      <c r="D774" s="2"/>
      <c r="E774" s="2"/>
      <c r="F774" s="374">
        <f ca="1"/>
        <v>0</v>
      </c>
      <c r="G774" s="374">
        <f ca="1"/>
        <v>0</v>
      </c>
      <c r="H774" s="374">
        <f ca="1"/>
        <v>0</v>
      </c>
      <c r="I774" s="374">
        <f ca="1"/>
        <v>0</v>
      </c>
      <c r="J774" s="374">
        <f ca="1"/>
        <v>0</v>
      </c>
      <c r="K774" s="374">
        <f ca="1"/>
        <v>0</v>
      </c>
      <c r="L774" s="374">
        <f ca="1"/>
        <v>0</v>
      </c>
      <c r="M774" s="374">
        <f ca="1"/>
        <v>0</v>
      </c>
      <c r="N774" s="374">
        <f ca="1"/>
        <v>0</v>
      </c>
      <c r="O774" s="2"/>
      <c r="Q774" s="374"/>
      <c r="R774" s="374"/>
      <c r="S774" s="374"/>
      <c r="T774" s="374"/>
      <c r="U774" s="374"/>
      <c r="V774" s="374"/>
      <c r="W774" s="374"/>
      <c r="X774" s="374"/>
      <c r="Y774" s="374"/>
    </row>
    <row r="775" spans="2:25" s="4" customFormat="1">
      <c r="B775" s="367">
        <v>11</v>
      </c>
      <c r="C775" s="2" t="s">
        <v>56</v>
      </c>
      <c r="D775" s="2"/>
      <c r="E775" s="2"/>
      <c r="F775" s="374">
        <f ca="1"/>
        <v>0</v>
      </c>
      <c r="G775" s="374">
        <f ca="1"/>
        <v>0</v>
      </c>
      <c r="H775" s="374">
        <f ca="1"/>
        <v>0</v>
      </c>
      <c r="I775" s="374">
        <f ca="1"/>
        <v>0</v>
      </c>
      <c r="J775" s="374">
        <f ca="1"/>
        <v>0</v>
      </c>
      <c r="K775" s="374">
        <f ca="1"/>
        <v>0</v>
      </c>
      <c r="L775" s="374">
        <f ca="1"/>
        <v>0</v>
      </c>
      <c r="M775" s="374">
        <f ca="1"/>
        <v>0</v>
      </c>
      <c r="N775" s="374">
        <f ca="1"/>
        <v>0</v>
      </c>
      <c r="O775" s="2"/>
      <c r="R775" s="374"/>
      <c r="V775" s="374"/>
      <c r="W775" s="374"/>
      <c r="X775" s="374"/>
      <c r="Y775" s="374"/>
    </row>
    <row r="776" spans="2:25" s="4" customFormat="1">
      <c r="B776" s="367">
        <v>12</v>
      </c>
      <c r="C776" s="2" t="s">
        <v>57</v>
      </c>
      <c r="D776" s="2"/>
      <c r="E776" s="2"/>
      <c r="F776" s="374">
        <f ca="1"/>
        <v>0</v>
      </c>
      <c r="G776" s="374">
        <f ca="1"/>
        <v>0</v>
      </c>
      <c r="H776" s="374">
        <f ca="1"/>
        <v>0</v>
      </c>
      <c r="I776" s="374">
        <f ca="1"/>
        <v>0</v>
      </c>
      <c r="J776" s="374">
        <f ca="1"/>
        <v>0</v>
      </c>
      <c r="K776" s="374">
        <f ca="1"/>
        <v>0</v>
      </c>
      <c r="L776" s="374">
        <f ca="1"/>
        <v>0</v>
      </c>
      <c r="M776" s="374">
        <f ca="1"/>
        <v>0</v>
      </c>
      <c r="N776" s="374">
        <f ca="1"/>
        <v>0</v>
      </c>
      <c r="O776" s="2"/>
      <c r="V776" s="374"/>
      <c r="W776" s="374"/>
      <c r="X776" s="374"/>
      <c r="Y776" s="374"/>
    </row>
    <row r="777" spans="2:25" s="4" customFormat="1">
      <c r="B777" s="367">
        <v>13</v>
      </c>
      <c r="C777" s="2" t="s">
        <v>58</v>
      </c>
      <c r="D777" s="2"/>
      <c r="E777" s="2"/>
      <c r="F777" s="374">
        <f ca="1"/>
        <v>0</v>
      </c>
      <c r="G777" s="374">
        <f ca="1"/>
        <v>0</v>
      </c>
      <c r="H777" s="374">
        <f ca="1"/>
        <v>0</v>
      </c>
      <c r="I777" s="374">
        <f ca="1"/>
        <v>0</v>
      </c>
      <c r="J777" s="374">
        <f ca="1"/>
        <v>0</v>
      </c>
      <c r="K777" s="374">
        <f ca="1"/>
        <v>0</v>
      </c>
      <c r="L777" s="374">
        <f ca="1"/>
        <v>0</v>
      </c>
      <c r="M777" s="374">
        <f ca="1"/>
        <v>0</v>
      </c>
      <c r="N777" s="374">
        <f ca="1"/>
        <v>0</v>
      </c>
      <c r="O777" s="2"/>
      <c r="W777" s="374"/>
      <c r="X777" s="374"/>
      <c r="Y777" s="374"/>
    </row>
    <row r="778" spans="2:25" s="4" customFormat="1">
      <c r="B778" s="367"/>
      <c r="C778" s="2"/>
      <c r="D778" s="2"/>
      <c r="E778" s="364" t="str">
        <f>Preferences.EnergyUnits</f>
        <v>TWh</v>
      </c>
      <c r="F778" s="380">
        <f t="shared" ref="F778:N778" ca="1" si="68">SUM(F765:F777)</f>
        <v>5.8492333931865703</v>
      </c>
      <c r="G778" s="380">
        <f t="shared" ca="1" si="68"/>
        <v>5.4950134857410031</v>
      </c>
      <c r="H778" s="380">
        <f t="shared" ca="1" si="68"/>
        <v>5.6018630305907431</v>
      </c>
      <c r="I778" s="380">
        <f t="shared" ca="1" si="68"/>
        <v>5.6506571475963501</v>
      </c>
      <c r="J778" s="380">
        <f t="shared" ca="1" si="68"/>
        <v>5.4862920644324333</v>
      </c>
      <c r="K778" s="380">
        <f t="shared" ca="1" si="68"/>
        <v>5.4245780369423127</v>
      </c>
      <c r="L778" s="380">
        <f t="shared" ca="1" si="68"/>
        <v>5.3410025223440831</v>
      </c>
      <c r="M778" s="380">
        <f t="shared" ca="1" si="68"/>
        <v>4.8219157863761373</v>
      </c>
      <c r="N778" s="380">
        <f t="shared" ca="1" si="68"/>
        <v>4.2355756215614555</v>
      </c>
      <c r="O778" s="2"/>
      <c r="Q778" s="374"/>
      <c r="W778" s="374"/>
      <c r="X778" s="374"/>
      <c r="Y778" s="374"/>
    </row>
    <row r="779" spans="2:25" s="4" customFormat="1">
      <c r="B779" s="2"/>
      <c r="C779" s="2"/>
      <c r="D779" s="2"/>
      <c r="E779" s="2"/>
      <c r="F779" s="2"/>
      <c r="G779" s="2"/>
      <c r="H779" s="2"/>
      <c r="I779" s="2"/>
      <c r="J779" s="2"/>
      <c r="K779" s="2"/>
      <c r="L779" s="2"/>
      <c r="M779" s="2"/>
      <c r="N779" s="2"/>
      <c r="O779" s="2"/>
      <c r="W779" s="374"/>
      <c r="X779" s="374"/>
      <c r="Y779" s="374"/>
    </row>
    <row r="780" spans="2:25" s="4" customFormat="1">
      <c r="B780" s="363"/>
      <c r="C780" s="363" t="s">
        <v>227</v>
      </c>
      <c r="D780" s="2"/>
      <c r="E780" s="364"/>
      <c r="F780" s="2"/>
      <c r="G780" s="2"/>
      <c r="H780" s="2"/>
      <c r="I780" s="2"/>
      <c r="J780" s="2"/>
      <c r="K780" s="2"/>
      <c r="L780" s="2"/>
      <c r="M780" s="2"/>
      <c r="N780" s="2"/>
      <c r="O780" s="2"/>
      <c r="W780" s="374"/>
      <c r="X780" s="374"/>
      <c r="Y780" s="374"/>
    </row>
    <row r="781" spans="2:25" s="4" customFormat="1">
      <c r="B781" s="2"/>
      <c r="C781" s="2"/>
      <c r="D781" s="2"/>
      <c r="E781" s="2"/>
      <c r="F781" s="374"/>
      <c r="G781" s="2"/>
      <c r="H781" s="2"/>
      <c r="I781" s="2"/>
      <c r="J781" s="2"/>
      <c r="K781" s="2"/>
      <c r="L781" s="2"/>
      <c r="M781" s="2"/>
      <c r="N781" s="2"/>
      <c r="O781" s="2"/>
      <c r="W781" s="374"/>
      <c r="X781" s="374"/>
      <c r="Y781" s="374"/>
    </row>
    <row r="782" spans="2:25" s="4" customFormat="1">
      <c r="B782" s="367" t="s">
        <v>96</v>
      </c>
      <c r="C782" s="4" t="s">
        <v>86</v>
      </c>
      <c r="D782" s="2"/>
      <c r="E782" t="s">
        <v>5</v>
      </c>
      <c r="F782" s="374">
        <f t="array" aca="1" ref="F782" ca="1">SUM(F$765:F$777/$M$149:$M$161*($B782=$F$148:$N$148)*($F$149:$N$161))</f>
        <v>-0.21761412190200283</v>
      </c>
      <c r="G782" s="374">
        <f t="array" aca="1" ref="G782" ca="1">SUM(G$765:G$777/$M$149:$M$161*($B782=$F$148:$N$148)*($F$149:$N$161))</f>
        <v>-0.36633423238273349</v>
      </c>
      <c r="H782" s="374">
        <f t="array" aca="1" ref="H782" ca="1">SUM(H$765:H$777/$M$149:$M$161*($B782=$F$148:$N$148)*($F$149:$N$161))</f>
        <v>-0.40132750069903822</v>
      </c>
      <c r="I782" s="374">
        <f t="array" aca="1" ref="I782" ca="1">SUM(I$765:I$777/$M$149:$M$161*($B782=$F$148:$N$148)*($F$149:$N$161))</f>
        <v>-0.4325194359888565</v>
      </c>
      <c r="J782" s="374">
        <f t="array" aca="1" ref="J782" ca="1">SUM(J$765:J$777/$M$149:$M$161*($B782=$F$148:$N$148)*($F$149:$N$161))</f>
        <v>-0.44643356994891364</v>
      </c>
      <c r="K782" s="374">
        <f t="array" aca="1" ref="K782" ca="1">SUM(K$765:K$777/$M$149:$M$161*($B782=$F$148:$N$148)*($F$149:$N$161))</f>
        <v>-0.46722642945926485</v>
      </c>
      <c r="L782" s="374">
        <f t="array" aca="1" ref="L782" ca="1">SUM(L$765:L$777/$M$149:$M$161*($B782=$F$148:$N$148)*($F$149:$N$161))</f>
        <v>-0.48507655758487306</v>
      </c>
      <c r="M782" s="374">
        <f t="array" aca="1" ref="M782" ca="1">SUM(M$765:M$777/$M$149:$M$161*($B782=$F$148:$N$148)*($F$149:$N$161))</f>
        <v>-0.46022121893949691</v>
      </c>
      <c r="N782" s="374">
        <f t="array" aca="1" ref="N782" ca="1">SUM(N$765:N$777/$M$149:$M$161*($B782=$F$148:$N$148)*($F$149:$N$161))</f>
        <v>-0.4235575621561456</v>
      </c>
      <c r="O782" s="2"/>
      <c r="W782" s="374"/>
      <c r="X782" s="374"/>
      <c r="Y782" s="374"/>
    </row>
    <row r="783" spans="2:25" s="4" customFormat="1">
      <c r="B783" s="367" t="s">
        <v>97</v>
      </c>
      <c r="C783" s="4" t="s">
        <v>87</v>
      </c>
      <c r="D783" s="2"/>
      <c r="E783" s="2"/>
      <c r="F783" s="374">
        <f t="array" aca="1" ref="F783" ca="1">SUM(F$765:F$777/$M$149:$M$161*($B783=$F$148:$N$148)*($F$149:$N$161))</f>
        <v>0</v>
      </c>
      <c r="G783" s="374">
        <f t="array" aca="1" ref="G783" ca="1">SUM(G$765:G$777/$M$149:$M$161*($B783=$F$148:$N$148)*($F$149:$N$161))</f>
        <v>0</v>
      </c>
      <c r="H783" s="374">
        <f t="array" aca="1" ref="H783" ca="1">SUM(H$765:H$777/$M$149:$M$161*($B783=$F$148:$N$148)*($F$149:$N$161))</f>
        <v>0</v>
      </c>
      <c r="I783" s="374">
        <f t="array" aca="1" ref="I783" ca="1">SUM(I$765:I$777/$M$149:$M$161*($B783=$F$148:$N$148)*($F$149:$N$161))</f>
        <v>0</v>
      </c>
      <c r="J783" s="374">
        <f t="array" aca="1" ref="J783" ca="1">SUM(J$765:J$777/$M$149:$M$161*($B783=$F$148:$N$148)*($F$149:$N$161))</f>
        <v>0</v>
      </c>
      <c r="K783" s="374">
        <f t="array" aca="1" ref="K783" ca="1">SUM(K$765:K$777/$M$149:$M$161*($B783=$F$148:$N$148)*($F$149:$N$161))</f>
        <v>0</v>
      </c>
      <c r="L783" s="374">
        <f t="array" aca="1" ref="L783" ca="1">SUM(L$765:L$777/$M$149:$M$161*($B783=$F$148:$N$148)*($F$149:$N$161))</f>
        <v>0</v>
      </c>
      <c r="M783" s="374">
        <f t="array" aca="1" ref="M783" ca="1">SUM(M$765:M$777/$M$149:$M$161*($B783=$F$148:$N$148)*($F$149:$N$161))</f>
        <v>0</v>
      </c>
      <c r="N783" s="374">
        <f t="array" aca="1" ref="N783" ca="1">SUM(N$765:N$777/$M$149:$M$161*($B783=$F$148:$N$148)*($F$149:$N$161))</f>
        <v>0</v>
      </c>
      <c r="O783" s="2"/>
      <c r="W783" s="374"/>
      <c r="X783" s="374"/>
      <c r="Y783" s="374"/>
    </row>
    <row r="784" spans="2:25" s="4" customFormat="1">
      <c r="B784" s="367" t="s">
        <v>98</v>
      </c>
      <c r="C784" s="4" t="s">
        <v>88</v>
      </c>
      <c r="D784" s="2"/>
      <c r="E784" s="2"/>
      <c r="F784" s="374">
        <f t="array" aca="1" ref="F784" ca="1">SUM(F$765:F$777/$M$149:$M$161*($B784=$F$148:$N$148)*($F$149:$N$161))</f>
        <v>-0.10094980140807307</v>
      </c>
      <c r="G784" s="374">
        <f t="array" aca="1" ref="G784" ca="1">SUM(G$765:G$777/$M$149:$M$161*($B784=$F$148:$N$148)*($F$149:$N$161))</f>
        <v>-6.6485341630260167E-2</v>
      </c>
      <c r="H784" s="374">
        <f t="array" aca="1" ref="H784" ca="1">SUM(H$765:H$777/$M$149:$M$161*($B784=$F$148:$N$148)*($F$149:$N$161))</f>
        <v>-5.7661997226873318E-2</v>
      </c>
      <c r="I784" s="374">
        <f t="array" aca="1" ref="I784" ca="1">SUM(I$765:I$777/$M$149:$M$161*($B784=$F$148:$N$148)*($F$149:$N$161))</f>
        <v>-4.8111171967614746E-2</v>
      </c>
      <c r="J784" s="374">
        <f t="array" aca="1" ref="J784" ca="1">SUM(J$765:J$777/$M$149:$M$161*($B784=$F$148:$N$148)*($F$149:$N$161))</f>
        <v>-3.7094604898123287E-2</v>
      </c>
      <c r="K784" s="374">
        <f t="array" aca="1" ref="K784" ca="1">SUM(K$765:K$777/$M$149:$M$161*($B784=$F$148:$N$148)*($F$149:$N$161))</f>
        <v>-2.7307213878390708E-2</v>
      </c>
      <c r="L784" s="374">
        <f t="array" aca="1" ref="L784" ca="1">SUM(L$765:L$777/$M$149:$M$161*($B784=$F$148:$N$148)*($F$149:$N$161))</f>
        <v>-1.7794444518887502E-2</v>
      </c>
      <c r="M784" s="374">
        <f t="array" aca="1" ref="M784" ca="1">SUM(M$765:M$777/$M$149:$M$161*($B784=$F$148:$N$148)*($F$149:$N$161))</f>
        <v>-7.9747222134724897E-3</v>
      </c>
      <c r="N784" s="374">
        <f t="array" aca="1" ref="N784" ca="1">SUM(N$765:N$777/$M$149:$M$161*($B784=$F$148:$N$148)*($F$149:$N$161))</f>
        <v>0</v>
      </c>
      <c r="O784" s="2"/>
    </row>
    <row r="785" spans="1:25">
      <c r="B785" s="367" t="s">
        <v>99</v>
      </c>
      <c r="C785" s="4" t="s">
        <v>89</v>
      </c>
      <c r="F785" s="374">
        <f t="array" aca="1" ref="F785" ca="1">SUM(F$765:F$777/$M$149:$M$161*($B785=$F$148:$N$148)*($F$149:$N$161))</f>
        <v>-3.7363915156212775</v>
      </c>
      <c r="G785" s="374">
        <f t="array" aca="1" ref="G785" ca="1">SUM(G$765:G$777/$M$149:$M$161*($B785=$F$148:$N$148)*($F$149:$N$161))</f>
        <v>-3.2797150484618034</v>
      </c>
      <c r="H785" s="374">
        <f t="array" aca="1" ref="H785" ca="1">SUM(H$765:H$777/$M$149:$M$161*($B785=$F$148:$N$148)*($F$149:$N$161))</f>
        <v>-2.8444603786658642</v>
      </c>
      <c r="I785" s="374">
        <f t="array" aca="1" ref="I785" ca="1">SUM(I$765:I$777/$M$149:$M$161*($B785=$F$148:$N$148)*($F$149:$N$161))</f>
        <v>-2.3733191532477997</v>
      </c>
      <c r="J785" s="374">
        <f t="array" aca="1" ref="J785" ca="1">SUM(J$765:J$777/$M$149:$M$161*($B785=$F$148:$N$148)*($F$149:$N$161))</f>
        <v>-1.8298730354383497</v>
      </c>
      <c r="K785" s="374">
        <f t="array" aca="1" ref="K785" ca="1">SUM(K$765:K$777/$M$149:$M$161*($B785=$F$148:$N$148)*($F$149:$N$161))</f>
        <v>-1.3470620454443252</v>
      </c>
      <c r="L785" s="374">
        <f t="array" aca="1" ref="L785" ca="1">SUM(L$765:L$777/$M$149:$M$161*($B785=$F$148:$N$148)*($F$149:$N$161))</f>
        <v>-0.87779811363790405</v>
      </c>
      <c r="M785" s="374">
        <f t="array" aca="1" ref="M785" ca="1">SUM(M$765:M$777/$M$149:$M$161*($B785=$F$148:$N$148)*($F$149:$N$161))</f>
        <v>-0.39339222465428714</v>
      </c>
      <c r="N785" s="374">
        <f t="array" aca="1" ref="N785" ca="1">SUM(N$765:N$777/$M$149:$M$161*($B785=$F$148:$N$148)*($F$149:$N$161))</f>
        <v>0</v>
      </c>
    </row>
    <row r="786" spans="1:25">
      <c r="A786" s="363"/>
      <c r="B786" s="367" t="s">
        <v>100</v>
      </c>
      <c r="C786" s="4" t="s">
        <v>90</v>
      </c>
      <c r="F786" s="374">
        <f t="array" aca="1" ref="F786" ca="1">SUM(F$765:F$777/$M$149:$M$161*($B786=$F$148:$N$148)*($F$149:$N$161))</f>
        <v>-2.3134202985839538</v>
      </c>
      <c r="G786" s="374">
        <f t="array" aca="1" ref="G786" ca="1">SUM(G$765:G$777/$M$149:$M$161*($B786=$F$148:$N$148)*($F$149:$N$161))</f>
        <v>-2.3351005528277495</v>
      </c>
      <c r="H786" s="374">
        <f t="array" aca="1" ref="H786" ca="1">SUM(H$765:H$777/$M$149:$M$161*($B786=$F$148:$N$148)*($F$149:$N$161))</f>
        <v>-2.8521177934293993</v>
      </c>
      <c r="I786" s="374">
        <f t="array" aca="1" ref="I786" ca="1">SUM(I$765:I$777/$M$149:$M$161*($B786=$F$148:$N$148)*($F$149:$N$161))</f>
        <v>-3.3456325334610697</v>
      </c>
      <c r="J786" s="374">
        <f t="array" aca="1" ref="J786" ca="1">SUM(J$765:J$777/$M$149:$M$161*($B786=$F$148:$N$148)*($F$149:$N$161))</f>
        <v>-3.6966629583943234</v>
      </c>
      <c r="K786" s="374">
        <f t="array" aca="1" ref="K786" ca="1">SUM(K$765:K$777/$M$149:$M$161*($B786=$F$148:$N$148)*($F$149:$N$161))</f>
        <v>-4.091912559223096</v>
      </c>
      <c r="L786" s="374">
        <f t="array" aca="1" ref="L786" ca="1">SUM(L$765:L$777/$M$149:$M$161*($B786=$F$148:$N$148)*($F$149:$N$161))</f>
        <v>-4.4527381235056058</v>
      </c>
      <c r="M786" s="374">
        <f t="array" aca="1" ref="M786" ca="1">SUM(M$765:M$777/$M$149:$M$161*($B786=$F$148:$N$148)*($F$149:$N$161))</f>
        <v>-4.3971483651388876</v>
      </c>
      <c r="N786" s="374">
        <f t="array" aca="1" ref="N786" ca="1">SUM(N$765:N$777/$M$149:$M$161*($B786=$F$148:$N$148)*($F$149:$N$161))</f>
        <v>-4.1890308345113301</v>
      </c>
    </row>
    <row r="787" spans="1:25">
      <c r="B787" s="367" t="s">
        <v>101</v>
      </c>
      <c r="C787" s="4" t="s">
        <v>91</v>
      </c>
      <c r="F787" s="374">
        <f t="array" aca="1" ref="F787" ca="1">SUM(F$765:F$777/$M$149:$M$161*($B787=$F$148:$N$148)*($F$149:$N$161))</f>
        <v>0</v>
      </c>
      <c r="G787" s="374">
        <f t="array" aca="1" ref="G787" ca="1">SUM(G$765:G$777/$M$149:$M$161*($B787=$F$148:$N$148)*($F$149:$N$161))</f>
        <v>0</v>
      </c>
      <c r="H787" s="374">
        <f t="array" aca="1" ref="H787" ca="1">SUM(H$765:H$777/$M$149:$M$161*($B787=$F$148:$N$148)*($F$149:$N$161))</f>
        <v>0</v>
      </c>
      <c r="I787" s="374">
        <f t="array" aca="1" ref="I787" ca="1">SUM(I$765:I$777/$M$149:$M$161*($B787=$F$148:$N$148)*($F$149:$N$161))</f>
        <v>0</v>
      </c>
      <c r="J787" s="374">
        <f t="array" aca="1" ref="J787" ca="1">SUM(J$765:J$777/$M$149:$M$161*($B787=$F$148:$N$148)*($F$149:$N$161))</f>
        <v>0</v>
      </c>
      <c r="K787" s="374">
        <f t="array" aca="1" ref="K787" ca="1">SUM(K$765:K$777/$M$149:$M$161*($B787=$F$148:$N$148)*($F$149:$N$161))</f>
        <v>0</v>
      </c>
      <c r="L787" s="374">
        <f t="array" aca="1" ref="L787" ca="1">SUM(L$765:L$777/$M$149:$M$161*($B787=$F$148:$N$148)*($F$149:$N$161))</f>
        <v>0</v>
      </c>
      <c r="M787" s="374">
        <f t="array" aca="1" ref="M787" ca="1">SUM(M$765:M$777/$M$149:$M$161*($B787=$F$148:$N$148)*($F$149:$N$161))</f>
        <v>0</v>
      </c>
      <c r="N787" s="374">
        <f t="array" aca="1" ref="N787" ca="1">SUM(N$765:N$777/$M$149:$M$161*($B787=$F$148:$N$148)*($F$149:$N$161))</f>
        <v>0</v>
      </c>
    </row>
    <row r="788" spans="1:25">
      <c r="B788" s="367" t="s">
        <v>102</v>
      </c>
      <c r="C788" s="4" t="s">
        <v>92</v>
      </c>
      <c r="F788" s="374">
        <f t="array" aca="1" ref="F788" ca="1">SUM(F$765:F$777/$M$149:$M$161*($B788=$F$148:$N$148)*($F$149:$N$161))</f>
        <v>-1.0734328883058437E-2</v>
      </c>
      <c r="G788" s="374">
        <f t="array" aca="1" ref="G788" ca="1">SUM(G$765:G$777/$M$149:$M$161*($B788=$F$148:$N$148)*($F$149:$N$161))</f>
        <v>-3.8561498145550897E-2</v>
      </c>
      <c r="H788" s="374">
        <f t="array" aca="1" ref="H788" ca="1">SUM(H$765:H$777/$M$149:$M$161*($B788=$F$148:$N$148)*($F$149:$N$161))</f>
        <v>-3.3443958391586523E-2</v>
      </c>
      <c r="I788" s="374">
        <f t="array" aca="1" ref="I788" ca="1">SUM(I$765:I$777/$M$149:$M$161*($B788=$F$148:$N$148)*($F$149:$N$161))</f>
        <v>-2.7904479741216553E-2</v>
      </c>
      <c r="J788" s="374">
        <f t="array" aca="1" ref="J788" ca="1">SUM(J$765:J$777/$M$149:$M$161*($B788=$F$148:$N$148)*($F$149:$N$161))</f>
        <v>-2.1514870840911509E-2</v>
      </c>
      <c r="K788" s="374">
        <f t="array" aca="1" ref="K788" ca="1">SUM(K$765:K$777/$M$149:$M$161*($B788=$F$148:$N$148)*($F$149:$N$161))</f>
        <v>-1.583818404946661E-2</v>
      </c>
      <c r="L788" s="374">
        <f t="array" aca="1" ref="L788" ca="1">SUM(L$765:L$777/$M$149:$M$161*($B788=$F$148:$N$148)*($F$149:$N$161))</f>
        <v>-1.0320777820954752E-2</v>
      </c>
      <c r="M788" s="374">
        <f t="array" aca="1" ref="M788" ca="1">SUM(M$765:M$777/$M$149:$M$161*($B788=$F$148:$N$148)*($F$149:$N$161))</f>
        <v>-4.6253388838140442E-3</v>
      </c>
      <c r="N788" s="374">
        <f t="array" aca="1" ref="N788" ca="1">SUM(N$765:N$777/$M$149:$M$161*($B788=$F$148:$N$148)*($F$149:$N$161))</f>
        <v>0</v>
      </c>
    </row>
    <row r="789" spans="1:25">
      <c r="B789" s="367" t="s">
        <v>103</v>
      </c>
      <c r="C789" s="4" t="s">
        <v>93</v>
      </c>
      <c r="F789" s="374">
        <f t="array" aca="1" ref="F789" ca="1">SUM(F$765:F$777/$M$149:$M$161*($B789=$F$148:$N$148)*($F$149:$N$161))</f>
        <v>5.8492333931865703</v>
      </c>
      <c r="G789" s="374">
        <f t="array" aca="1" ref="G789" ca="1">SUM(G$765:G$777/$M$149:$M$161*($B789=$F$148:$N$148)*($F$149:$N$161))</f>
        <v>5.4950134857410031</v>
      </c>
      <c r="H789" s="374">
        <f t="array" aca="1" ref="H789" ca="1">SUM(H$765:H$777/$M$149:$M$161*($B789=$F$148:$N$148)*($F$149:$N$161))</f>
        <v>5.6018630305907431</v>
      </c>
      <c r="I789" s="374">
        <f t="array" aca="1" ref="I789" ca="1">SUM(I$765:I$777/$M$149:$M$161*($B789=$F$148:$N$148)*($F$149:$N$161))</f>
        <v>5.6506571475963501</v>
      </c>
      <c r="J789" s="374">
        <f t="array" aca="1" ref="J789" ca="1">SUM(J$765:J$777/$M$149:$M$161*($B789=$F$148:$N$148)*($F$149:$N$161))</f>
        <v>5.4862920644324333</v>
      </c>
      <c r="K789" s="374">
        <f t="array" aca="1" ref="K789" ca="1">SUM(K$765:K$777/$M$149:$M$161*($B789=$F$148:$N$148)*($F$149:$N$161))</f>
        <v>5.4245780369423127</v>
      </c>
      <c r="L789" s="374">
        <f t="array" aca="1" ref="L789" ca="1">SUM(L$765:L$777/$M$149:$M$161*($B789=$F$148:$N$148)*($F$149:$N$161))</f>
        <v>5.3410025223440831</v>
      </c>
      <c r="M789" s="374">
        <f t="array" aca="1" ref="M789" ca="1">SUM(M$765:M$777/$M$149:$M$161*($B789=$F$148:$N$148)*($F$149:$N$161))</f>
        <v>4.8219157863761373</v>
      </c>
      <c r="N789" s="374">
        <f t="array" aca="1" ref="N789" ca="1">SUM(N$765:N$777/$M$149:$M$161*($B789=$F$148:$N$148)*($F$149:$N$161))</f>
        <v>4.2355756215614564</v>
      </c>
    </row>
    <row r="790" spans="1:25" s="4" customFormat="1">
      <c r="B790" s="367" t="s">
        <v>104</v>
      </c>
      <c r="C790" s="4" t="s">
        <v>94</v>
      </c>
      <c r="D790" s="2"/>
      <c r="E790" s="2"/>
      <c r="F790" s="374">
        <f t="array" aca="1" ref="F790" ca="1">SUM(F$765:F$777/$M$149:$M$161*($B790=$F$148:$N$148)*($F$149:$N$161))</f>
        <v>0.52987667321179632</v>
      </c>
      <c r="G790" s="374">
        <f t="array" aca="1" ref="G790" ca="1">SUM(G$765:G$777/$M$149:$M$161*($B790=$F$148:$N$148)*($F$149:$N$161))</f>
        <v>0.59118318770709433</v>
      </c>
      <c r="H790" s="374">
        <f t="array" aca="1" ref="H790" ca="1">SUM(H$765:H$777/$M$149:$M$161*($B790=$F$148:$N$148)*($F$149:$N$161))</f>
        <v>0.58714859782201967</v>
      </c>
      <c r="I790" s="374">
        <f t="array" aca="1" ref="I790" ca="1">SUM(I$765:I$777/$M$149:$M$161*($B790=$F$148:$N$148)*($F$149:$N$161))</f>
        <v>0.57682962681020611</v>
      </c>
      <c r="J790" s="374">
        <f t="array" aca="1" ref="J790" ca="1">SUM(J$765:J$777/$M$149:$M$161*($B790=$F$148:$N$148)*($F$149:$N$161))</f>
        <v>0.5452869750881878</v>
      </c>
      <c r="K790" s="374">
        <f t="array" aca="1" ref="K790" ca="1">SUM(K$765:K$777/$M$149:$M$161*($B790=$F$148:$N$148)*($F$149:$N$161))</f>
        <v>0.52476839511223039</v>
      </c>
      <c r="L790" s="374">
        <f t="array" aca="1" ref="L790" ca="1">SUM(L$765:L$777/$M$149:$M$161*($B790=$F$148:$N$148)*($F$149:$N$161))</f>
        <v>0.50272549472414396</v>
      </c>
      <c r="M790" s="374">
        <f t="array" aca="1" ref="M790" ca="1">SUM(M$765:M$777/$M$149:$M$161*($B790=$F$148:$N$148)*($F$149:$N$161))</f>
        <v>0.44144608345382186</v>
      </c>
      <c r="N790" s="374">
        <f t="array" aca="1" ref="N790" ca="1">SUM(N$765:N$777/$M$149:$M$161*($B790=$F$148:$N$148)*($F$149:$N$161))</f>
        <v>0.37701277510601972</v>
      </c>
      <c r="O790" s="2"/>
    </row>
    <row r="791" spans="1:25" s="381" customFormat="1">
      <c r="B791" s="367"/>
      <c r="C791" s="4"/>
      <c r="D791" s="2"/>
      <c r="E791" s="364" t="str">
        <f>Preferences.EnergyUnits</f>
        <v>TWh</v>
      </c>
      <c r="F791" s="380">
        <f t="shared" ref="F791:N791" ca="1" si="69">SUM(F782:F790)</f>
        <v>8.8817841970012523E-16</v>
      </c>
      <c r="G791" s="380">
        <f t="shared" ca="1" si="69"/>
        <v>0</v>
      </c>
      <c r="H791" s="380">
        <f t="shared" ca="1" si="69"/>
        <v>1.1102230246251565E-15</v>
      </c>
      <c r="I791" s="380">
        <f t="shared" ca="1" si="69"/>
        <v>-1.2212453270876722E-15</v>
      </c>
      <c r="J791" s="380">
        <f t="shared" ca="1" si="69"/>
        <v>0</v>
      </c>
      <c r="K791" s="380">
        <f t="shared" ca="1" si="69"/>
        <v>0</v>
      </c>
      <c r="L791" s="380">
        <f t="shared" ca="1" si="69"/>
        <v>2.4424906541753444E-15</v>
      </c>
      <c r="M791" s="380">
        <f t="shared" ca="1" si="69"/>
        <v>0</v>
      </c>
      <c r="N791" s="380">
        <f t="shared" ca="1" si="69"/>
        <v>6.6613381477509392E-16</v>
      </c>
      <c r="O791" s="2"/>
    </row>
    <row r="792" spans="1:25" s="4" customFormat="1">
      <c r="B792" s="364"/>
      <c r="C792" s="363"/>
      <c r="D792" s="363"/>
      <c r="E792" s="364"/>
      <c r="F792" s="366"/>
      <c r="G792" s="366"/>
      <c r="H792" s="366"/>
      <c r="I792" s="366"/>
      <c r="J792" s="366"/>
      <c r="K792" s="366"/>
      <c r="L792" s="366"/>
      <c r="M792" s="366"/>
      <c r="N792" s="366"/>
      <c r="O792" s="2"/>
    </row>
    <row r="793" spans="1:25" s="4" customFormat="1">
      <c r="B793" s="363">
        <v>3</v>
      </c>
      <c r="C793" s="363" t="s">
        <v>228</v>
      </c>
      <c r="D793" s="2"/>
      <c r="E793" s="2"/>
      <c r="F793" s="364">
        <v>2013</v>
      </c>
      <c r="G793" s="364">
        <v>2015</v>
      </c>
      <c r="H793" s="364">
        <v>2020</v>
      </c>
      <c r="I793" s="364">
        <v>2025</v>
      </c>
      <c r="J793" s="364">
        <v>2030</v>
      </c>
      <c r="K793" s="364">
        <v>2035</v>
      </c>
      <c r="L793" s="364">
        <v>2040</v>
      </c>
      <c r="M793" s="364">
        <v>2045</v>
      </c>
      <c r="N793" s="364">
        <v>2050</v>
      </c>
      <c r="O793" s="2"/>
      <c r="W793" s="374"/>
      <c r="X793" s="374"/>
      <c r="Y793" s="374"/>
    </row>
    <row r="794" spans="1:25" s="4" customFormat="1">
      <c r="B794" s="408"/>
      <c r="E794" s="2"/>
      <c r="F794" s="2"/>
      <c r="G794" s="2"/>
      <c r="H794" s="2"/>
      <c r="I794" s="2"/>
      <c r="J794" s="2"/>
      <c r="K794" s="2"/>
      <c r="L794" s="2"/>
      <c r="M794" s="2"/>
      <c r="N794" s="2"/>
      <c r="O794" s="2"/>
      <c r="W794" s="374"/>
      <c r="X794" s="374"/>
      <c r="Y794" s="374"/>
    </row>
    <row r="795" spans="1:25" s="4" customFormat="1">
      <c r="B795" s="408"/>
      <c r="C795" s="386" t="s">
        <v>2513</v>
      </c>
      <c r="D795" s="2"/>
      <c r="E795" s="2"/>
      <c r="F795" s="2">
        <v>18.5</v>
      </c>
      <c r="G795" s="2">
        <v>18.5</v>
      </c>
      <c r="H795" s="2">
        <v>18.5</v>
      </c>
      <c r="I795" s="2">
        <v>18.5</v>
      </c>
      <c r="J795" s="2">
        <v>18.5</v>
      </c>
      <c r="K795" s="2">
        <v>18.5</v>
      </c>
      <c r="L795" s="2">
        <v>18.5</v>
      </c>
      <c r="M795" s="2">
        <v>18.5</v>
      </c>
      <c r="N795" s="2">
        <v>18.5</v>
      </c>
      <c r="O795" s="2"/>
      <c r="W795" s="374"/>
      <c r="X795" s="374"/>
      <c r="Y795" s="374"/>
    </row>
    <row r="796" spans="1:25" s="4" customFormat="1">
      <c r="B796" s="408"/>
      <c r="C796" s="386" t="s">
        <v>2393</v>
      </c>
      <c r="D796" s="2"/>
      <c r="E796" s="2"/>
      <c r="F796" s="2897" t="s">
        <v>5</v>
      </c>
      <c r="G796" s="2"/>
      <c r="H796" s="2"/>
      <c r="I796" s="2"/>
      <c r="J796" s="2"/>
      <c r="K796" s="2"/>
      <c r="L796" s="2"/>
      <c r="M796" s="2"/>
      <c r="N796" s="2"/>
      <c r="O796" s="2"/>
      <c r="W796" s="374"/>
      <c r="X796" s="374"/>
      <c r="Y796" s="374"/>
    </row>
    <row r="797" spans="1:25" s="4" customFormat="1">
      <c r="B797" s="408"/>
      <c r="C797" s="2" t="s">
        <v>73</v>
      </c>
      <c r="D797" s="2"/>
      <c r="E797" s="2"/>
      <c r="F797" s="1456">
        <v>5.333333333333333</v>
      </c>
      <c r="G797" s="418">
        <f>F797+(((H797-F797)/(H$793-F$793))*(G$793-F$793))</f>
        <v>5.5238095238095237</v>
      </c>
      <c r="H797" s="1456">
        <v>6</v>
      </c>
      <c r="I797" s="1456">
        <v>6.1166666666666671</v>
      </c>
      <c r="J797" s="1456">
        <v>6.2333333333333334</v>
      </c>
      <c r="K797" s="1456">
        <v>6.35</v>
      </c>
      <c r="L797" s="1456">
        <v>6.4666666666666668</v>
      </c>
      <c r="M797" s="1456">
        <v>6.583333333333333</v>
      </c>
      <c r="N797" s="1456">
        <v>6.6999999999999993</v>
      </c>
      <c r="O797" s="2"/>
      <c r="W797" s="374"/>
      <c r="X797" s="374"/>
      <c r="Y797" s="374"/>
    </row>
    <row r="798" spans="1:25" s="4" customFormat="1">
      <c r="B798" s="408"/>
      <c r="C798" s="2" t="s">
        <v>74</v>
      </c>
      <c r="D798" s="2"/>
      <c r="E798" s="2"/>
      <c r="F798" s="1456">
        <v>6.6333333333333329</v>
      </c>
      <c r="G798" s="418">
        <f>F798+(((H798-F798)/(H$793-F$793))*(G$793-F$793))</f>
        <v>7.3190476190476179</v>
      </c>
      <c r="H798" s="1456">
        <v>9.0333333333333314</v>
      </c>
      <c r="I798" s="1456">
        <v>9.1333333333333311</v>
      </c>
      <c r="J798" s="1456">
        <v>9.2333333333333307</v>
      </c>
      <c r="K798" s="1456">
        <v>9.3333333333333321</v>
      </c>
      <c r="L798" s="1456">
        <v>9.4333333333333318</v>
      </c>
      <c r="M798" s="1456">
        <v>9.5333333333333314</v>
      </c>
      <c r="N798" s="1456">
        <v>9.6333333333333311</v>
      </c>
      <c r="O798" s="2"/>
      <c r="W798" s="374"/>
      <c r="X798" s="374"/>
      <c r="Y798" s="374"/>
    </row>
    <row r="799" spans="1:25" s="4" customFormat="1">
      <c r="B799" s="408"/>
      <c r="C799" s="2" t="s">
        <v>75</v>
      </c>
      <c r="D799" s="2"/>
      <c r="E799" s="2"/>
      <c r="F799" s="1456">
        <v>15</v>
      </c>
      <c r="G799" s="418">
        <f>F799+(((H799-F799)/(H$793-F$793))*(G$793-F$793))</f>
        <v>15.047619047619047</v>
      </c>
      <c r="H799" s="1456">
        <v>15.166666666666666</v>
      </c>
      <c r="I799" s="1456">
        <v>15.3</v>
      </c>
      <c r="J799" s="1456">
        <v>15.433333333333334</v>
      </c>
      <c r="K799" s="1456">
        <v>15.566666666666666</v>
      </c>
      <c r="L799" s="1456">
        <v>15.700000000000001</v>
      </c>
      <c r="M799" s="1456">
        <v>15.833333333333334</v>
      </c>
      <c r="N799" s="1456">
        <v>15.966666666666667</v>
      </c>
      <c r="O799" s="2"/>
      <c r="W799" s="374"/>
      <c r="X799" s="374"/>
      <c r="Y799" s="374"/>
    </row>
    <row r="800" spans="1:25" s="4" customFormat="1">
      <c r="B800" s="408"/>
      <c r="C800" s="2" t="s">
        <v>76</v>
      </c>
      <c r="D800" s="2"/>
      <c r="E800" s="2"/>
      <c r="F800" s="1456">
        <v>10.333333333333334</v>
      </c>
      <c r="G800" s="418">
        <f>F800+(((H800-F800)/(H$793-F$793))*(G$793-F$793))</f>
        <v>10.59047619047619</v>
      </c>
      <c r="H800" s="1456">
        <v>11.233333333333333</v>
      </c>
      <c r="I800" s="1456">
        <v>11.366666666666667</v>
      </c>
      <c r="J800" s="1456">
        <v>11.5</v>
      </c>
      <c r="K800" s="1456">
        <v>11.633333333333333</v>
      </c>
      <c r="L800" s="1456">
        <v>11.766666666666667</v>
      </c>
      <c r="M800" s="1456">
        <v>11.9</v>
      </c>
      <c r="N800" s="1456">
        <v>12.033333333333333</v>
      </c>
      <c r="O800" s="2"/>
      <c r="W800" s="374"/>
      <c r="X800" s="374"/>
      <c r="Y800" s="374"/>
    </row>
    <row r="801" spans="2:25" s="4" customFormat="1">
      <c r="B801" s="408"/>
      <c r="C801" s="2" t="s">
        <v>77</v>
      </c>
      <c r="D801" s="2"/>
      <c r="E801" s="2"/>
      <c r="F801" s="1456">
        <f>AVERAGE(F797:F800)</f>
        <v>9.3249999999999993</v>
      </c>
      <c r="G801" s="1456">
        <f t="shared" ref="G801:N801" si="70">AVERAGE(G797:G800)</f>
        <v>9.6202380952380953</v>
      </c>
      <c r="H801" s="1456">
        <f t="shared" si="70"/>
        <v>10.358333333333333</v>
      </c>
      <c r="I801" s="1456">
        <f t="shared" si="70"/>
        <v>10.479166666666666</v>
      </c>
      <c r="J801" s="1456">
        <f t="shared" si="70"/>
        <v>10.6</v>
      </c>
      <c r="K801" s="1456">
        <f t="shared" si="70"/>
        <v>10.720833333333333</v>
      </c>
      <c r="L801" s="1456">
        <f t="shared" si="70"/>
        <v>10.841666666666667</v>
      </c>
      <c r="M801" s="1456">
        <f t="shared" si="70"/>
        <v>10.962499999999999</v>
      </c>
      <c r="N801" s="1456">
        <f t="shared" si="70"/>
        <v>11.083333333333332</v>
      </c>
      <c r="O801" s="2"/>
      <c r="W801" s="374"/>
      <c r="X801" s="374"/>
      <c r="Y801" s="374"/>
    </row>
    <row r="802" spans="2:25" s="4" customFormat="1">
      <c r="B802" s="408"/>
      <c r="C802" s="2"/>
      <c r="D802" s="2"/>
      <c r="E802" s="2"/>
      <c r="F802" s="2"/>
      <c r="G802" s="2"/>
      <c r="H802" s="2"/>
      <c r="I802" s="2"/>
      <c r="J802" s="2"/>
      <c r="K802" s="2"/>
      <c r="L802" s="2"/>
      <c r="M802" s="2"/>
      <c r="N802" s="2"/>
      <c r="O802" s="2"/>
      <c r="W802" s="374"/>
      <c r="X802" s="374"/>
      <c r="Y802" s="374"/>
    </row>
    <row r="803" spans="2:25" s="4" customFormat="1">
      <c r="B803" s="408"/>
      <c r="C803" s="2" t="s">
        <v>2499</v>
      </c>
      <c r="D803" s="2"/>
      <c r="E803" s="2"/>
      <c r="F803" s="2510">
        <f>F795-F797</f>
        <v>13.166666666666668</v>
      </c>
      <c r="G803" s="2510">
        <f t="shared" ref="G803:N803" si="71">G795-G797</f>
        <v>12.976190476190476</v>
      </c>
      <c r="H803" s="2510">
        <f t="shared" si="71"/>
        <v>12.5</v>
      </c>
      <c r="I803" s="2510">
        <f t="shared" si="71"/>
        <v>12.383333333333333</v>
      </c>
      <c r="J803" s="2510">
        <f t="shared" si="71"/>
        <v>12.266666666666666</v>
      </c>
      <c r="K803" s="2510">
        <f t="shared" si="71"/>
        <v>12.15</v>
      </c>
      <c r="L803" s="2510">
        <f t="shared" si="71"/>
        <v>12.033333333333333</v>
      </c>
      <c r="M803" s="2510">
        <f t="shared" si="71"/>
        <v>11.916666666666668</v>
      </c>
      <c r="N803" s="2510">
        <f t="shared" si="71"/>
        <v>11.8</v>
      </c>
      <c r="O803" s="2"/>
      <c r="W803" s="374"/>
      <c r="X803" s="374"/>
      <c r="Y803" s="374"/>
    </row>
    <row r="804" spans="2:25" s="4" customFormat="1">
      <c r="B804" s="408"/>
      <c r="C804" s="2" t="s">
        <v>2500</v>
      </c>
      <c r="D804" s="2"/>
      <c r="E804" s="2"/>
      <c r="F804" s="2510">
        <v>246.8</v>
      </c>
      <c r="G804" s="2510">
        <v>232.91946452443261</v>
      </c>
      <c r="H804" s="2510">
        <v>223.18858047872828</v>
      </c>
      <c r="I804" s="2510">
        <v>217.20268600363826</v>
      </c>
      <c r="J804" s="2510">
        <v>211.40533175966439</v>
      </c>
      <c r="K804" s="2510">
        <v>205.80903538981411</v>
      </c>
      <c r="L804" s="2510">
        <v>200.42416184370828</v>
      </c>
      <c r="M804" s="2510">
        <v>195.25890542752038</v>
      </c>
      <c r="N804" s="2510">
        <v>190.48069350357281</v>
      </c>
      <c r="O804" s="2"/>
      <c r="W804" s="374"/>
      <c r="X804" s="374"/>
      <c r="Y804" s="374"/>
    </row>
    <row r="805" spans="2:25" s="4" customFormat="1">
      <c r="B805" s="408"/>
      <c r="C805" s="2" t="s">
        <v>2501</v>
      </c>
      <c r="D805" s="2"/>
      <c r="E805" s="2"/>
      <c r="F805" s="369">
        <v>7797600</v>
      </c>
      <c r="G805" s="2"/>
      <c r="H805" s="2"/>
      <c r="I805" s="2"/>
      <c r="J805" s="2"/>
      <c r="K805" s="2"/>
      <c r="L805" s="2"/>
      <c r="M805" s="2"/>
      <c r="N805" s="2"/>
      <c r="O805" s="2"/>
      <c r="W805" s="374"/>
      <c r="X805" s="374"/>
      <c r="Y805" s="374"/>
    </row>
    <row r="806" spans="2:25" s="4" customFormat="1">
      <c r="B806" s="408"/>
      <c r="C806" s="363" t="s">
        <v>2502</v>
      </c>
      <c r="D806" s="2"/>
      <c r="E806" s="2"/>
      <c r="F806" s="3068">
        <f t="shared" ref="F806:N806" si="72">F803*F804*$F805</f>
        <v>25338561120.000004</v>
      </c>
      <c r="G806" s="3068">
        <f t="shared" si="72"/>
        <v>23567523453.184883</v>
      </c>
      <c r="H806" s="3068">
        <f t="shared" si="72"/>
        <v>21754190939.261646</v>
      </c>
      <c r="I806" s="3068">
        <f t="shared" si="72"/>
        <v>20973152177.26339</v>
      </c>
      <c r="J806" s="3068">
        <f t="shared" si="72"/>
        <v>20221038369.797684</v>
      </c>
      <c r="K806" s="3068">
        <f t="shared" si="72"/>
        <v>19498520892.420719</v>
      </c>
      <c r="L806" s="3068">
        <f t="shared" si="72"/>
        <v>18806023580.856415</v>
      </c>
      <c r="M806" s="3068">
        <f t="shared" si="72"/>
        <v>18143730854.792793</v>
      </c>
      <c r="N806" s="3068">
        <f t="shared" si="72"/>
        <v>17526448616.828823</v>
      </c>
      <c r="O806" s="2"/>
      <c r="W806" s="374"/>
      <c r="X806" s="374"/>
      <c r="Y806" s="374"/>
    </row>
    <row r="807" spans="2:25" s="4" customFormat="1">
      <c r="B807" s="408"/>
      <c r="C807" s="2"/>
      <c r="D807" s="2"/>
      <c r="E807" s="2"/>
      <c r="F807" s="2"/>
      <c r="G807" s="2"/>
      <c r="H807" s="2"/>
      <c r="I807" s="2"/>
      <c r="J807" s="2"/>
      <c r="K807" s="2"/>
      <c r="L807" s="2"/>
      <c r="M807" s="2"/>
      <c r="N807" s="2"/>
      <c r="O807" s="2"/>
      <c r="W807" s="374"/>
      <c r="X807" s="374"/>
      <c r="Y807" s="374"/>
    </row>
    <row r="808" spans="2:25" s="4" customFormat="1">
      <c r="B808" s="408"/>
      <c r="C808" s="2" t="s">
        <v>2503</v>
      </c>
      <c r="D808" s="2"/>
      <c r="E808" s="2"/>
      <c r="F808" s="2510">
        <f>F795-F798</f>
        <v>11.866666666666667</v>
      </c>
      <c r="G808" s="2510">
        <f t="shared" ref="G808:N808" si="73">G795-G798</f>
        <v>11.180952380952382</v>
      </c>
      <c r="H808" s="2510">
        <f t="shared" si="73"/>
        <v>9.4666666666666686</v>
      </c>
      <c r="I808" s="2510">
        <f t="shared" si="73"/>
        <v>9.3666666666666689</v>
      </c>
      <c r="J808" s="2510">
        <f t="shared" si="73"/>
        <v>9.2666666666666693</v>
      </c>
      <c r="K808" s="2510">
        <f t="shared" si="73"/>
        <v>9.1666666666666679</v>
      </c>
      <c r="L808" s="2510">
        <f t="shared" si="73"/>
        <v>9.0666666666666682</v>
      </c>
      <c r="M808" s="2510">
        <f t="shared" si="73"/>
        <v>8.9666666666666686</v>
      </c>
      <c r="N808" s="2510">
        <f t="shared" si="73"/>
        <v>8.8666666666666689</v>
      </c>
      <c r="O808" s="2"/>
      <c r="W808" s="374"/>
      <c r="X808" s="374"/>
      <c r="Y808" s="374"/>
    </row>
    <row r="809" spans="2:25" s="4" customFormat="1">
      <c r="B809" s="408"/>
      <c r="C809" s="2" t="s">
        <v>2500</v>
      </c>
      <c r="D809" s="2"/>
      <c r="E809" s="2"/>
      <c r="F809" s="2510">
        <v>246.8</v>
      </c>
      <c r="G809" s="2510">
        <v>232.91946452443261</v>
      </c>
      <c r="H809" s="2510">
        <v>223.18858047872828</v>
      </c>
      <c r="I809" s="2510">
        <v>217.20268600363826</v>
      </c>
      <c r="J809" s="2510">
        <v>211.40533175966439</v>
      </c>
      <c r="K809" s="2510">
        <v>205.80903538981411</v>
      </c>
      <c r="L809" s="2510">
        <v>200.42416184370828</v>
      </c>
      <c r="M809" s="2510">
        <v>195.25890542752038</v>
      </c>
      <c r="N809" s="2510">
        <v>190.48069350357281</v>
      </c>
      <c r="O809" s="2"/>
      <c r="W809" s="374"/>
      <c r="X809" s="374"/>
      <c r="Y809" s="374"/>
    </row>
    <row r="810" spans="2:25" s="4" customFormat="1">
      <c r="B810" s="408"/>
      <c r="C810" s="2" t="s">
        <v>2504</v>
      </c>
      <c r="D810" s="2"/>
      <c r="E810" s="2"/>
      <c r="F810" s="369">
        <v>7948800</v>
      </c>
      <c r="G810" s="2"/>
      <c r="H810" s="2"/>
      <c r="I810" s="2"/>
      <c r="J810" s="2"/>
      <c r="K810" s="2"/>
      <c r="L810" s="2"/>
      <c r="M810" s="2"/>
      <c r="N810" s="2"/>
      <c r="O810" s="2"/>
      <c r="W810" s="374"/>
      <c r="X810" s="374"/>
      <c r="Y810" s="374"/>
    </row>
    <row r="811" spans="2:25" s="4" customFormat="1">
      <c r="B811" s="408"/>
      <c r="C811" s="363" t="s">
        <v>2505</v>
      </c>
      <c r="D811" s="2"/>
      <c r="E811" s="364"/>
      <c r="F811" s="3068">
        <f t="shared" ref="F811:N811" si="74">F808*F809*$F810</f>
        <v>23279597568.000004</v>
      </c>
      <c r="G811" s="3068">
        <f t="shared" si="74"/>
        <v>20700753345.754906</v>
      </c>
      <c r="H811" s="3068">
        <f t="shared" si="74"/>
        <v>16794637144.554853</v>
      </c>
      <c r="I811" s="3068">
        <f t="shared" si="74"/>
        <v>16171556655.070246</v>
      </c>
      <c r="J811" s="3068">
        <f t="shared" si="74"/>
        <v>15571879963.445314</v>
      </c>
      <c r="K811" s="3068">
        <f t="shared" si="74"/>
        <v>14996069554.643417</v>
      </c>
      <c r="L811" s="3068">
        <f t="shared" si="74"/>
        <v>14444392970.813635</v>
      </c>
      <c r="M811" s="3068">
        <f t="shared" si="74"/>
        <v>13916930087.578394</v>
      </c>
      <c r="N811" s="3068">
        <f t="shared" si="74"/>
        <v>13424957370.487972</v>
      </c>
      <c r="O811" s="2"/>
      <c r="W811" s="374"/>
      <c r="X811" s="374"/>
      <c r="Y811" s="374"/>
    </row>
    <row r="812" spans="2:25" s="4" customFormat="1">
      <c r="B812" s="408"/>
      <c r="C812" s="2"/>
      <c r="D812" s="2"/>
      <c r="E812" s="2"/>
      <c r="F812" s="2"/>
      <c r="G812" s="2"/>
      <c r="H812" s="2"/>
      <c r="I812" s="2"/>
      <c r="J812" s="2"/>
      <c r="K812" s="2"/>
      <c r="L812" s="2"/>
      <c r="M812" s="2"/>
      <c r="N812" s="2"/>
      <c r="O812" s="2"/>
      <c r="W812" s="374"/>
      <c r="X812" s="374"/>
      <c r="Y812" s="374"/>
    </row>
    <row r="813" spans="2:25" s="4" customFormat="1">
      <c r="B813" s="408"/>
      <c r="C813" s="2" t="s">
        <v>2506</v>
      </c>
      <c r="D813" s="2"/>
      <c r="E813" s="2"/>
      <c r="F813" s="2510">
        <f>F795-F799</f>
        <v>3.5</v>
      </c>
      <c r="G813" s="2510">
        <f t="shared" ref="G813:N813" si="75">G795-G799</f>
        <v>3.4523809523809526</v>
      </c>
      <c r="H813" s="2510">
        <f t="shared" si="75"/>
        <v>3.3333333333333339</v>
      </c>
      <c r="I813" s="2510">
        <f t="shared" si="75"/>
        <v>3.1999999999999993</v>
      </c>
      <c r="J813" s="2510">
        <f t="shared" si="75"/>
        <v>3.0666666666666664</v>
      </c>
      <c r="K813" s="2510">
        <f t="shared" si="75"/>
        <v>2.9333333333333336</v>
      </c>
      <c r="L813" s="2510">
        <f t="shared" si="75"/>
        <v>2.7999999999999989</v>
      </c>
      <c r="M813" s="2510">
        <f t="shared" si="75"/>
        <v>2.6666666666666661</v>
      </c>
      <c r="N813" s="2510">
        <f t="shared" si="75"/>
        <v>2.5333333333333332</v>
      </c>
      <c r="O813" s="2"/>
      <c r="W813" s="374"/>
      <c r="X813" s="374"/>
      <c r="Y813" s="374"/>
    </row>
    <row r="814" spans="2:25" s="4" customFormat="1">
      <c r="B814" s="408"/>
      <c r="C814" s="2" t="s">
        <v>2500</v>
      </c>
      <c r="D814" s="2"/>
      <c r="E814" s="2"/>
      <c r="F814" s="2510">
        <v>246.8</v>
      </c>
      <c r="G814" s="2510">
        <v>232.91946452443261</v>
      </c>
      <c r="H814" s="2510">
        <v>223.18858047872828</v>
      </c>
      <c r="I814" s="2510">
        <v>217.20268600363826</v>
      </c>
      <c r="J814" s="2510">
        <v>211.40533175966439</v>
      </c>
      <c r="K814" s="2510">
        <v>205.80903538981411</v>
      </c>
      <c r="L814" s="2510">
        <v>200.42416184370828</v>
      </c>
      <c r="M814" s="2510">
        <v>195.25890542752038</v>
      </c>
      <c r="N814" s="2510">
        <v>190.48069350357281</v>
      </c>
      <c r="O814" s="2"/>
      <c r="W814" s="374"/>
      <c r="X814" s="374"/>
      <c r="Y814" s="374"/>
    </row>
    <row r="815" spans="2:25" s="4" customFormat="1">
      <c r="B815" s="408"/>
      <c r="C815" s="2" t="s">
        <v>2507</v>
      </c>
      <c r="D815" s="2"/>
      <c r="E815" s="2"/>
      <c r="F815" s="369">
        <v>7948800</v>
      </c>
      <c r="G815" s="2"/>
      <c r="H815" s="2"/>
      <c r="I815" s="2"/>
      <c r="J815" s="2"/>
      <c r="K815" s="2"/>
      <c r="L815" s="2"/>
      <c r="M815" s="2"/>
      <c r="N815" s="2"/>
      <c r="O815" s="2"/>
      <c r="W815" s="374"/>
      <c r="X815" s="374"/>
      <c r="Y815" s="374"/>
    </row>
    <row r="816" spans="2:25" s="4" customFormat="1">
      <c r="B816" s="408"/>
      <c r="C816" s="363" t="s">
        <v>2508</v>
      </c>
      <c r="D816" s="2"/>
      <c r="E816" s="2"/>
      <c r="F816" s="3068">
        <f t="shared" ref="F816:N816" si="76">F813*F814*$F815</f>
        <v>6866173440.000001</v>
      </c>
      <c r="G816" s="3068">
        <f t="shared" si="76"/>
        <v>6391842493.8979149</v>
      </c>
      <c r="H816" s="3068">
        <f t="shared" si="76"/>
        <v>5913604628.3643856</v>
      </c>
      <c r="I816" s="3068">
        <f t="shared" si="76"/>
        <v>5524802273.6183014</v>
      </c>
      <c r="J816" s="3068">
        <f t="shared" si="76"/>
        <v>5153284016.6797419</v>
      </c>
      <c r="K816" s="3068">
        <f t="shared" si="76"/>
        <v>4798742257.4858932</v>
      </c>
      <c r="L816" s="3068">
        <f t="shared" si="76"/>
        <v>4460768417.4571495</v>
      </c>
      <c r="M816" s="3068">
        <f t="shared" si="76"/>
        <v>4138863966.5660634</v>
      </c>
      <c r="N816" s="3068">
        <f t="shared" si="76"/>
        <v>3835702105.8537054</v>
      </c>
      <c r="O816" s="2"/>
      <c r="W816" s="374"/>
      <c r="X816" s="374"/>
      <c r="Y816" s="374"/>
    </row>
    <row r="817" spans="2:25" s="4" customFormat="1">
      <c r="B817" s="408"/>
      <c r="C817" s="2"/>
      <c r="D817" s="2"/>
      <c r="E817" s="2"/>
      <c r="F817" s="2"/>
      <c r="G817" s="2"/>
      <c r="H817" s="2"/>
      <c r="I817" s="2"/>
      <c r="J817" s="2"/>
      <c r="K817" s="2"/>
      <c r="L817" s="2"/>
      <c r="M817" s="2"/>
      <c r="N817" s="2"/>
      <c r="O817" s="2"/>
      <c r="W817" s="374"/>
      <c r="X817" s="374"/>
      <c r="Y817" s="374"/>
    </row>
    <row r="818" spans="2:25" s="4" customFormat="1">
      <c r="B818" s="408"/>
      <c r="C818" s="2" t="s">
        <v>2509</v>
      </c>
      <c r="D818" s="2"/>
      <c r="E818" s="2"/>
      <c r="F818" s="2510">
        <f>F795-F800</f>
        <v>8.1666666666666661</v>
      </c>
      <c r="G818" s="2510">
        <f t="shared" ref="G818:N818" si="77">G795-G800</f>
        <v>7.9095238095238098</v>
      </c>
      <c r="H818" s="2510">
        <f t="shared" si="77"/>
        <v>7.2666666666666675</v>
      </c>
      <c r="I818" s="2510">
        <f t="shared" si="77"/>
        <v>7.1333333333333329</v>
      </c>
      <c r="J818" s="2510">
        <f t="shared" si="77"/>
        <v>7</v>
      </c>
      <c r="K818" s="2510">
        <f t="shared" si="77"/>
        <v>6.8666666666666671</v>
      </c>
      <c r="L818" s="2510">
        <f t="shared" si="77"/>
        <v>6.7333333333333325</v>
      </c>
      <c r="M818" s="2510">
        <f t="shared" si="77"/>
        <v>6.6</v>
      </c>
      <c r="N818" s="2510">
        <f t="shared" si="77"/>
        <v>6.4666666666666668</v>
      </c>
      <c r="O818" s="2"/>
      <c r="W818" s="374"/>
      <c r="X818" s="374"/>
      <c r="Y818" s="374"/>
    </row>
    <row r="819" spans="2:25" s="4" customFormat="1">
      <c r="B819" s="408"/>
      <c r="C819" s="2" t="s">
        <v>2500</v>
      </c>
      <c r="D819" s="2"/>
      <c r="E819" s="2"/>
      <c r="F819" s="2510">
        <v>246.8</v>
      </c>
      <c r="G819" s="2510">
        <v>232.91946452443261</v>
      </c>
      <c r="H819" s="2510">
        <v>223.18858047872828</v>
      </c>
      <c r="I819" s="2510">
        <v>217.20268600363826</v>
      </c>
      <c r="J819" s="2510">
        <v>211.40533175966439</v>
      </c>
      <c r="K819" s="2510">
        <v>205.80903538981411</v>
      </c>
      <c r="L819" s="2510">
        <v>200.42416184370828</v>
      </c>
      <c r="M819" s="2510">
        <v>195.25890542752038</v>
      </c>
      <c r="N819" s="2510">
        <v>190.48069350357281</v>
      </c>
      <c r="O819" s="2"/>
      <c r="W819" s="374"/>
      <c r="X819" s="374"/>
      <c r="Y819" s="374"/>
    </row>
    <row r="820" spans="2:25" s="4" customFormat="1">
      <c r="B820" s="408"/>
      <c r="C820" s="2" t="s">
        <v>2510</v>
      </c>
      <c r="D820" s="2"/>
      <c r="E820" s="2"/>
      <c r="F820" s="369">
        <v>7862400</v>
      </c>
      <c r="G820" s="2"/>
      <c r="H820" s="2"/>
      <c r="I820" s="2"/>
      <c r="J820" s="2"/>
      <c r="K820" s="2"/>
      <c r="L820" s="2"/>
      <c r="M820" s="2"/>
      <c r="N820" s="2"/>
      <c r="O820" s="2"/>
      <c r="W820" s="374"/>
      <c r="X820" s="374"/>
      <c r="Y820" s="374"/>
    </row>
    <row r="821" spans="2:25" s="4" customFormat="1">
      <c r="B821" s="408"/>
      <c r="C821" s="363" t="s">
        <v>2511</v>
      </c>
      <c r="D821" s="2"/>
      <c r="E821" s="2"/>
      <c r="F821" s="3068">
        <f t="shared" ref="F821:N821" si="78">F818*F819*$F820</f>
        <v>15846929280</v>
      </c>
      <c r="G821" s="3068">
        <f t="shared" si="78"/>
        <v>14484758392.731091</v>
      </c>
      <c r="H821" s="3068">
        <f t="shared" si="78"/>
        <v>12751531371.466595</v>
      </c>
      <c r="I821" s="3068">
        <f t="shared" si="78"/>
        <v>12181838708.83637</v>
      </c>
      <c r="J821" s="3068">
        <f t="shared" si="78"/>
        <v>11635072962.990297</v>
      </c>
      <c r="K821" s="3068">
        <f t="shared" si="78"/>
        <v>11111316990.962273</v>
      </c>
      <c r="L821" s="3068">
        <f t="shared" si="78"/>
        <v>10610487195.871809</v>
      </c>
      <c r="M821" s="3068">
        <f t="shared" si="78"/>
        <v>10132343879.020018</v>
      </c>
      <c r="N821" s="3068">
        <f t="shared" si="78"/>
        <v>9684708949.7627735</v>
      </c>
      <c r="O821" s="2"/>
      <c r="W821" s="374"/>
      <c r="X821" s="374"/>
      <c r="Y821" s="374"/>
    </row>
    <row r="822" spans="2:25" s="4" customFormat="1">
      <c r="B822" s="408"/>
      <c r="C822" s="2"/>
      <c r="D822" s="2"/>
      <c r="E822" s="2"/>
      <c r="F822" s="2"/>
      <c r="G822" s="2"/>
      <c r="H822" s="2"/>
      <c r="I822" s="2"/>
      <c r="J822" s="2"/>
      <c r="K822" s="2"/>
      <c r="L822" s="2"/>
      <c r="M822" s="2"/>
      <c r="N822" s="2"/>
      <c r="O822" s="2"/>
      <c r="W822" s="374"/>
      <c r="X822" s="374"/>
      <c r="Y822" s="374"/>
    </row>
    <row r="823" spans="2:25" s="4" customFormat="1">
      <c r="B823" s="408"/>
      <c r="C823" s="371" t="s">
        <v>2512</v>
      </c>
      <c r="D823" s="428"/>
      <c r="E823" s="3379"/>
      <c r="F823" s="3069">
        <f>F806+F811+F816+F821</f>
        <v>71331261408</v>
      </c>
      <c r="G823" s="3069">
        <f t="shared" ref="G823:N823" si="79">G806+G811+G816+G821</f>
        <v>65144877685.568802</v>
      </c>
      <c r="H823" s="3069">
        <f t="shared" si="79"/>
        <v>57213964083.647476</v>
      </c>
      <c r="I823" s="3069">
        <f t="shared" si="79"/>
        <v>54851349814.788307</v>
      </c>
      <c r="J823" s="3069">
        <f t="shared" si="79"/>
        <v>52581275312.913033</v>
      </c>
      <c r="K823" s="3069">
        <f t="shared" si="79"/>
        <v>50404649695.512299</v>
      </c>
      <c r="L823" s="3069">
        <f t="shared" si="79"/>
        <v>48321672164.999008</v>
      </c>
      <c r="M823" s="3069">
        <f t="shared" si="79"/>
        <v>46331868787.957268</v>
      </c>
      <c r="N823" s="3069">
        <f t="shared" si="79"/>
        <v>44471817042.933273</v>
      </c>
      <c r="O823" s="2"/>
      <c r="W823" s="374"/>
      <c r="X823" s="374"/>
      <c r="Y823" s="374"/>
    </row>
    <row r="824" spans="2:25" s="4" customFormat="1">
      <c r="B824" s="408"/>
      <c r="C824" s="363"/>
      <c r="D824" s="2"/>
      <c r="E824" s="2"/>
      <c r="F824" s="374"/>
      <c r="G824" s="2"/>
      <c r="H824" s="2"/>
      <c r="I824" s="2"/>
      <c r="J824" s="2"/>
      <c r="K824" s="2"/>
      <c r="L824" s="2"/>
      <c r="M824" s="2"/>
      <c r="N824" s="2"/>
      <c r="O824" s="2"/>
      <c r="W824" s="374"/>
      <c r="X824" s="374"/>
      <c r="Y824" s="374"/>
    </row>
    <row r="825" spans="2:25" s="4" customFormat="1">
      <c r="B825" s="408"/>
      <c r="C825" s="363" t="s">
        <v>2514</v>
      </c>
      <c r="D825" s="2"/>
      <c r="E825" s="2"/>
      <c r="F825" s="374"/>
      <c r="G825" s="2"/>
      <c r="H825" s="2"/>
      <c r="I825" s="2"/>
      <c r="J825" s="2"/>
      <c r="K825" s="2"/>
      <c r="L825" s="2"/>
      <c r="M825" s="2"/>
      <c r="N825" s="2"/>
      <c r="O825" s="2"/>
      <c r="W825" s="374"/>
      <c r="X825" s="374"/>
      <c r="Y825" s="374"/>
    </row>
    <row r="826" spans="2:25" s="4" customFormat="1">
      <c r="B826" s="408"/>
      <c r="C826" s="2" t="s">
        <v>79</v>
      </c>
      <c r="E826" s="374" t="s">
        <v>78</v>
      </c>
      <c r="F826" s="368">
        <f>353.8*(836.3/1245.1)*10^15/25751000</f>
        <v>9228297640.4315128</v>
      </c>
      <c r="G826" s="2"/>
      <c r="H826" s="2"/>
      <c r="I826" s="2"/>
      <c r="J826" s="2"/>
      <c r="K826" s="2"/>
      <c r="L826" s="2"/>
      <c r="M826" s="2"/>
      <c r="N826" s="2"/>
      <c r="O826" s="2"/>
      <c r="W826" s="374"/>
      <c r="X826" s="374"/>
      <c r="Y826" s="374"/>
    </row>
    <row r="827" spans="2:25" s="4" customFormat="1">
      <c r="B827" s="408"/>
      <c r="C827" s="2" t="s">
        <v>81</v>
      </c>
      <c r="E827" s="374" t="s">
        <v>78</v>
      </c>
      <c r="F827" s="368">
        <f>110*(836.3/1245.1)*10^15/25751000</f>
        <v>2869171114.8882608</v>
      </c>
      <c r="G827" s="2"/>
      <c r="H827" s="2"/>
      <c r="I827" s="2"/>
      <c r="J827" s="2"/>
      <c r="K827" s="2"/>
      <c r="L827" s="2"/>
      <c r="M827" s="2"/>
      <c r="N827" s="2"/>
      <c r="O827" s="2"/>
      <c r="W827" s="374"/>
      <c r="X827" s="374"/>
      <c r="Y827" s="374"/>
    </row>
    <row r="828" spans="2:25" s="4" customFormat="1">
      <c r="B828" s="408"/>
      <c r="C828" s="2" t="s">
        <v>82</v>
      </c>
      <c r="E828" s="374" t="s">
        <v>78</v>
      </c>
      <c r="F828" s="368">
        <f>52.4*(836.3/1245.1)*10^15/25751000</f>
        <v>1366768785.6376805</v>
      </c>
      <c r="G828" s="2"/>
      <c r="H828" s="2"/>
      <c r="I828" s="2"/>
      <c r="J828" s="2"/>
      <c r="K828" s="2"/>
      <c r="L828" s="2"/>
      <c r="M828" s="2"/>
      <c r="N828" s="2"/>
      <c r="O828" s="2"/>
      <c r="W828" s="374"/>
      <c r="X828" s="374"/>
      <c r="Y828" s="374"/>
    </row>
    <row r="829" spans="2:25" s="4" customFormat="1">
      <c r="B829" s="408"/>
      <c r="C829" s="2" t="s">
        <v>83</v>
      </c>
      <c r="E829" s="374" t="s">
        <v>78</v>
      </c>
      <c r="F829" s="368">
        <f>268.8*(836.3/1245.1)*10^15/25751000</f>
        <v>7011210869.8360405</v>
      </c>
      <c r="G829" s="2"/>
      <c r="H829" s="2"/>
      <c r="I829" s="2"/>
      <c r="J829" s="2"/>
      <c r="K829" s="2"/>
      <c r="L829" s="2"/>
      <c r="M829" s="2"/>
      <c r="N829" s="2"/>
      <c r="O829" s="2"/>
      <c r="W829" s="374"/>
      <c r="X829" s="374"/>
      <c r="Y829" s="374"/>
    </row>
    <row r="830" spans="2:25" s="4" customFormat="1">
      <c r="B830" s="408"/>
      <c r="C830" s="2" t="s">
        <v>84</v>
      </c>
      <c r="E830" s="374" t="s">
        <v>78</v>
      </c>
      <c r="F830" s="368">
        <f>460.1*(836.3/1245.1)*10^15/25751000</f>
        <v>12000960272.364443</v>
      </c>
      <c r="G830" s="2"/>
      <c r="H830" s="2"/>
      <c r="I830" s="2"/>
      <c r="J830" s="2"/>
      <c r="K830" s="2"/>
      <c r="L830" s="2"/>
      <c r="M830" s="2"/>
      <c r="N830" s="2"/>
      <c r="O830" s="2"/>
      <c r="W830" s="374"/>
      <c r="X830" s="374"/>
      <c r="Y830" s="374"/>
    </row>
    <row r="831" spans="2:25" s="4" customFormat="1">
      <c r="B831" s="408"/>
      <c r="C831" s="363" t="s">
        <v>59</v>
      </c>
      <c r="D831" s="2"/>
      <c r="E831" s="2"/>
      <c r="F831" s="3070">
        <f>SUM(F826:F830)</f>
        <v>32476408683.157936</v>
      </c>
      <c r="G831" s="2"/>
      <c r="H831" s="2"/>
      <c r="I831" s="2"/>
      <c r="J831" s="2"/>
      <c r="K831" s="2"/>
      <c r="L831" s="2"/>
      <c r="M831" s="2"/>
      <c r="N831" s="2"/>
      <c r="O831" s="2"/>
      <c r="W831" s="374"/>
      <c r="X831" s="374"/>
      <c r="Y831" s="374"/>
    </row>
    <row r="832" spans="2:25" s="4" customFormat="1">
      <c r="B832" s="408"/>
      <c r="C832" s="363"/>
      <c r="D832" s="2"/>
      <c r="E832" s="2"/>
      <c r="F832" s="374"/>
      <c r="G832" s="2"/>
      <c r="H832" s="2"/>
      <c r="I832" s="2"/>
      <c r="J832" s="2"/>
      <c r="K832" s="2"/>
      <c r="L832" s="2"/>
      <c r="M832" s="2"/>
      <c r="N832" s="2"/>
      <c r="O832" s="2"/>
      <c r="W832" s="374"/>
      <c r="X832" s="374"/>
      <c r="Y832" s="374"/>
    </row>
    <row r="833" spans="1:25" s="4" customFormat="1">
      <c r="B833" s="408"/>
      <c r="C833" s="371" t="s">
        <v>2515</v>
      </c>
      <c r="D833" s="3071"/>
      <c r="E833" s="3072" t="s">
        <v>2516</v>
      </c>
      <c r="F833" s="3073">
        <f t="shared" ref="F833:N833" si="80">$F831/$F$823*F823</f>
        <v>32476408683.157936</v>
      </c>
      <c r="G833" s="3073">
        <f t="shared" si="80"/>
        <v>29659810152.937935</v>
      </c>
      <c r="H833" s="3073">
        <f t="shared" si="80"/>
        <v>26048944646.248238</v>
      </c>
      <c r="I833" s="3073">
        <f t="shared" si="80"/>
        <v>24973270039.609005</v>
      </c>
      <c r="J833" s="3073">
        <f t="shared" si="80"/>
        <v>23939727861.76313</v>
      </c>
      <c r="K833" s="3073">
        <f t="shared" si="80"/>
        <v>22948732024.79607</v>
      </c>
      <c r="L833" s="3073">
        <f t="shared" si="80"/>
        <v>22000373223.570698</v>
      </c>
      <c r="M833" s="3073">
        <f t="shared" si="80"/>
        <v>21094435680.950878</v>
      </c>
      <c r="N833" s="3073">
        <f t="shared" si="80"/>
        <v>20247572756.465355</v>
      </c>
      <c r="O833" s="2"/>
      <c r="W833" s="374"/>
      <c r="X833" s="374"/>
      <c r="Y833" s="374"/>
    </row>
    <row r="834" spans="1:25" s="4" customFormat="1">
      <c r="B834" s="408"/>
      <c r="C834" s="363"/>
      <c r="D834" s="2"/>
      <c r="E834" s="2"/>
      <c r="F834" s="374"/>
      <c r="G834" s="2"/>
      <c r="H834" s="2"/>
      <c r="I834" s="2"/>
      <c r="J834" s="2"/>
      <c r="K834" s="2"/>
      <c r="L834" s="2"/>
      <c r="M834" s="2"/>
      <c r="N834" s="2"/>
      <c r="O834" s="2"/>
      <c r="W834" s="374"/>
      <c r="X834" s="374"/>
      <c r="Y834" s="374"/>
    </row>
    <row r="835" spans="1:25" s="4" customFormat="1">
      <c r="B835" s="1631"/>
      <c r="C835" s="363" t="s">
        <v>2517</v>
      </c>
      <c r="D835" s="2"/>
      <c r="E835" s="2"/>
      <c r="F835" s="368">
        <f>F823-F833</f>
        <v>38854852724.842064</v>
      </c>
      <c r="G835" s="368">
        <f t="shared" ref="G835:N835" si="81">G823-G833</f>
        <v>35485067532.630867</v>
      </c>
      <c r="H835" s="368">
        <f t="shared" si="81"/>
        <v>31165019437.399239</v>
      </c>
      <c r="I835" s="368">
        <f t="shared" si="81"/>
        <v>29878079775.179302</v>
      </c>
      <c r="J835" s="368">
        <f t="shared" si="81"/>
        <v>28641547451.149902</v>
      </c>
      <c r="K835" s="368">
        <f t="shared" si="81"/>
        <v>27455917670.716228</v>
      </c>
      <c r="L835" s="368">
        <f t="shared" si="81"/>
        <v>26321298941.42831</v>
      </c>
      <c r="M835" s="368">
        <f t="shared" si="81"/>
        <v>25237433107.00639</v>
      </c>
      <c r="N835" s="368">
        <f t="shared" si="81"/>
        <v>24224244286.467918</v>
      </c>
      <c r="O835" s="2"/>
      <c r="W835" s="374"/>
      <c r="X835" s="374"/>
      <c r="Y835" s="374"/>
    </row>
    <row r="836" spans="1:25" s="4" customFormat="1">
      <c r="B836" s="1631" t="s">
        <v>219</v>
      </c>
      <c r="C836" s="2" t="s">
        <v>220</v>
      </c>
      <c r="D836" s="2"/>
      <c r="E836" s="2"/>
      <c r="F836" s="374">
        <f>INDEX(Global.Assumptions[Households], MATCH(F$793,Global.Assumptions[Year], 0))</f>
        <v>1672651.1289147851</v>
      </c>
      <c r="G836" s="374">
        <f>INDEX(Global.Assumptions[Households], MATCH(G$793,Global.Assumptions[Year], 0))</f>
        <v>1724685.0990151383</v>
      </c>
      <c r="H836" s="374">
        <f>INDEX(Global.Assumptions[Households], MATCH(H$793,Global.Assumptions[Year], 0))</f>
        <v>1818612.4430257217</v>
      </c>
      <c r="I836" s="374">
        <f>INDEX(Global.Assumptions[Households], MATCH(I$793,Global.Assumptions[Year], 0))</f>
        <v>1912005.4807283345</v>
      </c>
      <c r="J836" s="374">
        <f>INDEX(Global.Assumptions[Households], MATCH(J$793,Global.Assumptions[Year], 0))</f>
        <v>2000055.258037091</v>
      </c>
      <c r="K836" s="374">
        <f>INDEX(Global.Assumptions[Households], MATCH(K$793,Global.Assumptions[Year], 0))</f>
        <v>2093076.6415949718</v>
      </c>
      <c r="L836" s="374">
        <f>INDEX(Global.Assumptions[Households], MATCH(L$793,Global.Assumptions[Year], 0))</f>
        <v>2190930.0548391445</v>
      </c>
      <c r="M836" s="374">
        <f>INDEX(Global.Assumptions[Households], MATCH(M$793,Global.Assumptions[Year], 0))</f>
        <v>2288187.1680332171</v>
      </c>
      <c r="N836" s="374">
        <f>INDEX(Global.Assumptions[Households], MATCH(N$793,Global.Assumptions[Year], 0))</f>
        <v>2390510.6792861409</v>
      </c>
      <c r="O836" s="2"/>
      <c r="W836" s="374"/>
      <c r="X836" s="374"/>
      <c r="Y836" s="374"/>
    </row>
    <row r="837" spans="1:25" s="4" customFormat="1">
      <c r="B837" s="3614" t="s">
        <v>221</v>
      </c>
      <c r="C837" s="363" t="s">
        <v>2518</v>
      </c>
      <c r="D837" s="2"/>
      <c r="E837" s="2"/>
      <c r="F837" s="368">
        <f>F835*F836</f>
        <v>6.4990613274024792E+16</v>
      </c>
      <c r="G837" s="368">
        <f t="shared" ref="G837:N837" si="82">G835*G836</f>
        <v>6.1200567211074336E+16</v>
      </c>
      <c r="H837" s="368">
        <f t="shared" si="82"/>
        <v>5.6677092135992736E+16</v>
      </c>
      <c r="I837" s="368">
        <f t="shared" si="82"/>
        <v>5.7127052283781232E+16</v>
      </c>
      <c r="J837" s="368">
        <f t="shared" si="82"/>
        <v>5.72846775779912E+16</v>
      </c>
      <c r="K837" s="368">
        <f t="shared" si="82"/>
        <v>5.746733995013076E+16</v>
      </c>
      <c r="L837" s="368">
        <f t="shared" si="82"/>
        <v>5.766812493318104E+16</v>
      </c>
      <c r="M837" s="368">
        <f t="shared" si="82"/>
        <v>5.7747970589548704E+16</v>
      </c>
      <c r="N837" s="368">
        <f t="shared" si="82"/>
        <v>5.790831466443784E+16</v>
      </c>
      <c r="O837" s="2"/>
      <c r="W837" s="374"/>
      <c r="X837" s="374"/>
      <c r="Y837" s="374"/>
    </row>
    <row r="838" spans="1:25" s="4" customFormat="1">
      <c r="B838" s="1631"/>
      <c r="C838" s="2"/>
      <c r="D838" s="2"/>
      <c r="E838" s="2"/>
      <c r="F838" s="374"/>
      <c r="G838" s="2"/>
      <c r="H838" s="2"/>
      <c r="I838" s="2"/>
      <c r="J838" s="2"/>
      <c r="K838" s="2"/>
      <c r="L838" s="2"/>
      <c r="M838" s="2"/>
      <c r="N838" s="2"/>
      <c r="O838" s="2"/>
      <c r="W838" s="374"/>
      <c r="X838" s="374"/>
      <c r="Y838" s="374"/>
    </row>
    <row r="839" spans="1:25" s="4" customFormat="1">
      <c r="B839" s="3615"/>
      <c r="C839" s="3074" t="s">
        <v>229</v>
      </c>
      <c r="D839" s="3076"/>
      <c r="E839" s="3075" t="str">
        <f>Preferences.EnergyUnits</f>
        <v>TWh</v>
      </c>
      <c r="F839" s="3077">
        <f t="shared" ref="F839:N839" si="83">MAX(F$837, 0)/Preferences.Unit.Energy</f>
        <v>18.052948131673556</v>
      </c>
      <c r="G839" s="3077">
        <f t="shared" si="83"/>
        <v>17.000157558631763</v>
      </c>
      <c r="H839" s="3077">
        <f t="shared" si="83"/>
        <v>15.743636704442428</v>
      </c>
      <c r="I839" s="3077">
        <f t="shared" si="83"/>
        <v>15.868625634383678</v>
      </c>
      <c r="J839" s="3077">
        <f t="shared" si="83"/>
        <v>15.912410438330891</v>
      </c>
      <c r="K839" s="3077">
        <f t="shared" si="83"/>
        <v>15.963149986147435</v>
      </c>
      <c r="L839" s="3077">
        <f t="shared" si="83"/>
        <v>16.018923592550291</v>
      </c>
      <c r="M839" s="3077">
        <f t="shared" si="83"/>
        <v>16.041102941541308</v>
      </c>
      <c r="N839" s="3077">
        <f t="shared" si="83"/>
        <v>16.085642962343847</v>
      </c>
      <c r="O839" s="2"/>
      <c r="W839" s="374"/>
      <c r="X839" s="374"/>
      <c r="Y839" s="374"/>
    </row>
    <row r="840" spans="1:25" s="4" customFormat="1">
      <c r="A840"/>
      <c r="B840"/>
      <c r="C840" s="384"/>
      <c r="D840" s="2"/>
      <c r="E840" s="382"/>
      <c r="F840" s="385"/>
      <c r="G840" s="374"/>
      <c r="H840" s="374" t="s">
        <v>5</v>
      </c>
      <c r="I840" s="374"/>
      <c r="J840" s="374"/>
      <c r="K840" s="374"/>
      <c r="L840" s="374"/>
      <c r="M840" s="374"/>
      <c r="N840" s="374"/>
      <c r="O840" s="2"/>
    </row>
    <row r="841" spans="1:25" s="381" customFormat="1">
      <c r="A841"/>
      <c r="B841" s="386" t="s">
        <v>1177</v>
      </c>
      <c r="C841" s="386" t="s">
        <v>230</v>
      </c>
      <c r="D841" s="2"/>
      <c r="E841" s="387"/>
      <c r="F841" s="365">
        <v>2013</v>
      </c>
      <c r="G841" s="365">
        <v>2015</v>
      </c>
      <c r="H841" s="365">
        <v>2020</v>
      </c>
      <c r="I841" s="365">
        <v>2025</v>
      </c>
      <c r="J841" s="365">
        <v>2030</v>
      </c>
      <c r="K841" s="365">
        <v>2035</v>
      </c>
      <c r="L841" s="365">
        <v>2040</v>
      </c>
      <c r="M841" s="365">
        <v>2045</v>
      </c>
      <c r="N841" s="365">
        <v>2050</v>
      </c>
      <c r="O841" s="2"/>
    </row>
    <row r="842" spans="1:25" s="4" customFormat="1">
      <c r="B842" s="388"/>
      <c r="C842" t="s">
        <v>231</v>
      </c>
      <c r="D842" s="2"/>
      <c r="E842" s="388" t="s">
        <v>5</v>
      </c>
      <c r="F842" s="389" t="s">
        <v>232</v>
      </c>
      <c r="G842" s="389" t="s">
        <v>232</v>
      </c>
      <c r="H842" s="389" t="s">
        <v>232</v>
      </c>
      <c r="I842" s="389" t="s">
        <v>232</v>
      </c>
      <c r="J842" s="389" t="s">
        <v>232</v>
      </c>
      <c r="K842" s="389" t="s">
        <v>232</v>
      </c>
      <c r="L842" s="389" t="s">
        <v>232</v>
      </c>
      <c r="M842" s="389" t="s">
        <v>232</v>
      </c>
      <c r="N842" s="389" t="s">
        <v>232</v>
      </c>
      <c r="O842" s="2"/>
    </row>
    <row r="843" spans="1:25" s="4" customFormat="1" ht="15.75">
      <c r="A843" s="3"/>
      <c r="B843" s="375"/>
      <c r="C843" t="s">
        <v>233</v>
      </c>
      <c r="D843" s="2">
        <v>50</v>
      </c>
      <c r="E843" s="390">
        <v>121.57485024782476</v>
      </c>
      <c r="F843" s="391">
        <v>7.0000000000000007E-2</v>
      </c>
      <c r="G843" s="391">
        <f>INDEX(G$67:G$70, MATCH($E$9, $C67:$C$70, 0))</f>
        <v>0.1</v>
      </c>
      <c r="H843" s="391">
        <f>INDEX(H$67:H$70, MATCH($E$9, $C67:$C$70, 0))</f>
        <v>0.19</v>
      </c>
      <c r="I843" s="391">
        <f>INDEX(I$67:I$70, MATCH($E$9, $C67:$C$70, 0))</f>
        <v>0.26</v>
      </c>
      <c r="J843" s="391">
        <f>INDEX(J$67:J$70, MATCH($E$9, $C67:$C$70, 0))</f>
        <v>0.33</v>
      </c>
      <c r="K843" s="391">
        <f>INDEX(K$67:K$70, MATCH($E$9, $C67:$C$70, 0))</f>
        <v>0.39</v>
      </c>
      <c r="L843" s="392">
        <f>INDEX(L$67:L$70, MATCH($E$9, $C67:$C$70, 0))</f>
        <v>0.44</v>
      </c>
      <c r="M843" s="392">
        <f>INDEX(M$67:M$70, MATCH($E$9, $C67:$C$70, 0))</f>
        <v>0.47</v>
      </c>
      <c r="N843" s="392">
        <f>INDEX(N$67:N$70, MATCH($E$9, $C67:$C$70, 0))</f>
        <v>0.5</v>
      </c>
      <c r="O843" s="393"/>
    </row>
    <row r="844" spans="1:25" s="4" customFormat="1">
      <c r="B844" s="367"/>
      <c r="C844" t="s">
        <v>234</v>
      </c>
      <c r="D844" s="2">
        <v>150</v>
      </c>
      <c r="E844" s="390">
        <v>106.07124899579502</v>
      </c>
      <c r="F844" s="391">
        <v>0.16</v>
      </c>
      <c r="G844" s="394">
        <f t="shared" ref="G844:N847" si="84">(1-G$843)*(F844/SUM(F$844:F$847))</f>
        <v>0.15483870967741936</v>
      </c>
      <c r="H844" s="394">
        <f t="shared" si="84"/>
        <v>0.13935483870967744</v>
      </c>
      <c r="I844" s="394">
        <f t="shared" si="84"/>
        <v>0.12731182795698925</v>
      </c>
      <c r="J844" s="394">
        <f t="shared" si="84"/>
        <v>0.11526881720430107</v>
      </c>
      <c r="K844" s="394">
        <f t="shared" si="84"/>
        <v>0.10494623655913979</v>
      </c>
      <c r="L844" s="395">
        <f t="shared" si="84"/>
        <v>9.6344086021505376E-2</v>
      </c>
      <c r="M844" s="395">
        <f t="shared" si="84"/>
        <v>9.1182795698924735E-2</v>
      </c>
      <c r="N844" s="395">
        <f t="shared" si="84"/>
        <v>8.6021505376344079E-2</v>
      </c>
      <c r="O844" s="396"/>
    </row>
    <row r="845" spans="1:25" s="4" customFormat="1">
      <c r="B845" s="367"/>
      <c r="C845" t="s">
        <v>235</v>
      </c>
      <c r="D845" s="2">
        <v>225</v>
      </c>
      <c r="E845" s="390">
        <v>97.24970093806165</v>
      </c>
      <c r="F845" s="391">
        <v>0.19</v>
      </c>
      <c r="G845" s="394">
        <f t="shared" si="84"/>
        <v>0.18387096774193551</v>
      </c>
      <c r="H845" s="394">
        <f t="shared" si="84"/>
        <v>0.16548387096774195</v>
      </c>
      <c r="I845" s="394">
        <f t="shared" si="84"/>
        <v>0.15118279569892473</v>
      </c>
      <c r="J845" s="394">
        <f t="shared" si="84"/>
        <v>0.13688172043010752</v>
      </c>
      <c r="K845" s="394">
        <f t="shared" si="84"/>
        <v>0.1246236559139785</v>
      </c>
      <c r="L845" s="395">
        <f t="shared" si="84"/>
        <v>0.11440860215053764</v>
      </c>
      <c r="M845" s="395">
        <f t="shared" si="84"/>
        <v>0.10827956989247312</v>
      </c>
      <c r="N845" s="395">
        <f t="shared" si="84"/>
        <v>0.10215053763440859</v>
      </c>
      <c r="O845" s="393"/>
    </row>
    <row r="846" spans="1:25" s="4" customFormat="1">
      <c r="B846" s="367"/>
      <c r="C846" t="s">
        <v>236</v>
      </c>
      <c r="D846" s="2">
        <v>300</v>
      </c>
      <c r="E846" s="390">
        <v>86.094250886811835</v>
      </c>
      <c r="F846" s="391">
        <v>0.22</v>
      </c>
      <c r="G846" s="394">
        <f t="shared" si="84"/>
        <v>0.21290322580645163</v>
      </c>
      <c r="H846" s="394">
        <f t="shared" si="84"/>
        <v>0.19161290322580649</v>
      </c>
      <c r="I846" s="394">
        <f t="shared" si="84"/>
        <v>0.17505376344086024</v>
      </c>
      <c r="J846" s="394">
        <f t="shared" si="84"/>
        <v>0.15849462365591399</v>
      </c>
      <c r="K846" s="394">
        <f t="shared" si="84"/>
        <v>0.14430107526881722</v>
      </c>
      <c r="L846" s="395">
        <f t="shared" si="84"/>
        <v>0.1324731182795699</v>
      </c>
      <c r="M846" s="395">
        <f t="shared" si="84"/>
        <v>0.1253763440860215</v>
      </c>
      <c r="N846" s="395">
        <f t="shared" si="84"/>
        <v>0.11827956989247311</v>
      </c>
      <c r="O846" s="393"/>
    </row>
    <row r="847" spans="1:25" s="4" customFormat="1">
      <c r="B847" s="367"/>
      <c r="C847" t="s">
        <v>237</v>
      </c>
      <c r="D847" s="2">
        <v>340</v>
      </c>
      <c r="E847" s="387">
        <v>71</v>
      </c>
      <c r="F847" s="391">
        <v>0.36</v>
      </c>
      <c r="G847" s="394">
        <f t="shared" si="84"/>
        <v>0.34838709677419355</v>
      </c>
      <c r="H847" s="394">
        <f t="shared" si="84"/>
        <v>0.31354838709677418</v>
      </c>
      <c r="I847" s="394">
        <f t="shared" si="84"/>
        <v>0.28645161290322579</v>
      </c>
      <c r="J847" s="394">
        <f t="shared" si="84"/>
        <v>0.2593548387096774</v>
      </c>
      <c r="K847" s="394">
        <f t="shared" si="84"/>
        <v>0.23612903225806453</v>
      </c>
      <c r="L847" s="395">
        <f t="shared" si="84"/>
        <v>0.21677419354838712</v>
      </c>
      <c r="M847" s="395">
        <f t="shared" si="84"/>
        <v>0.20516129032258065</v>
      </c>
      <c r="N847" s="395">
        <f t="shared" si="84"/>
        <v>0.19354838709677419</v>
      </c>
      <c r="O847" s="393"/>
    </row>
    <row r="848" spans="1:25" s="4" customFormat="1">
      <c r="B848" s="375"/>
      <c r="C848" t="s">
        <v>238</v>
      </c>
      <c r="D848" s="2"/>
      <c r="E848" s="6" t="s">
        <v>239</v>
      </c>
      <c r="F848" s="4">
        <v>0.9</v>
      </c>
      <c r="G848" s="6" t="s">
        <v>5</v>
      </c>
      <c r="H848"/>
      <c r="I848"/>
      <c r="J848"/>
      <c r="K848"/>
      <c r="L848"/>
      <c r="M848"/>
      <c r="N848"/>
      <c r="O848" s="2"/>
    </row>
    <row r="849" spans="1:15" s="4" customFormat="1">
      <c r="B849" s="375"/>
      <c r="C849"/>
      <c r="D849" s="2"/>
      <c r="E849" s="397" t="s">
        <v>240</v>
      </c>
      <c r="F849" s="397">
        <v>0.8</v>
      </c>
      <c r="H849" t="s">
        <v>5</v>
      </c>
      <c r="I849" s="2"/>
      <c r="J849" s="2"/>
      <c r="K849" s="2"/>
      <c r="L849" s="2"/>
      <c r="M849" s="2"/>
      <c r="N849" s="2"/>
      <c r="O849" s="2"/>
    </row>
    <row r="850" spans="1:15" s="4" customFormat="1">
      <c r="B850" s="398"/>
      <c r="C850" s="386" t="s">
        <v>220</v>
      </c>
      <c r="D850" s="2"/>
      <c r="E850" s="367"/>
      <c r="F850" s="383">
        <f>F580</f>
        <v>1672651.1289147851</v>
      </c>
      <c r="G850" s="383">
        <f t="shared" ref="G850:N850" si="85">G580</f>
        <v>1724685.0990151383</v>
      </c>
      <c r="H850" s="383">
        <f t="shared" si="85"/>
        <v>1818612.4430257217</v>
      </c>
      <c r="I850" s="383">
        <f t="shared" si="85"/>
        <v>1912005.4807283345</v>
      </c>
      <c r="J850" s="383">
        <f t="shared" si="85"/>
        <v>2000055.258037091</v>
      </c>
      <c r="K850" s="383">
        <f t="shared" si="85"/>
        <v>2093076.6415949718</v>
      </c>
      <c r="L850" s="383">
        <f t="shared" si="85"/>
        <v>2190930.0548391445</v>
      </c>
      <c r="M850" s="383">
        <f t="shared" si="85"/>
        <v>2288187.1680332171</v>
      </c>
      <c r="N850" s="383">
        <f t="shared" si="85"/>
        <v>2390510.6792861409</v>
      </c>
      <c r="O850" s="363"/>
    </row>
    <row r="851" spans="1:15" s="398" customFormat="1">
      <c r="B851" s="399"/>
      <c r="C851" s="386" t="s">
        <v>2793</v>
      </c>
      <c r="D851" s="2"/>
      <c r="E851" s="367"/>
      <c r="F851" s="374">
        <f>((F$850*F843*$D843*$E843)+(F$850*F844*$D844*$E844)+(F$850*F845*$D845*$E845)+(F$850*F846*$D846*$E846*$F$848)+(F$850*F847*$D847*$E847*$F$849))/10^9</f>
        <v>32.106480160319798</v>
      </c>
      <c r="G851" s="374"/>
      <c r="H851" s="374"/>
      <c r="I851" s="374"/>
      <c r="J851" s="374"/>
      <c r="K851" s="374"/>
      <c r="L851" s="374"/>
      <c r="M851" s="374"/>
      <c r="N851" s="374"/>
    </row>
    <row r="852" spans="1:15" s="4" customFormat="1" ht="15.75">
      <c r="A852" s="3"/>
      <c r="B852" s="367"/>
      <c r="C852" s="386" t="s">
        <v>241</v>
      </c>
      <c r="D852" s="2"/>
      <c r="E852" s="367"/>
      <c r="F852" s="374">
        <f t="shared" ref="F852:N852" si="86">((F$850*F843*$D843*$E843)+(F$850*F844*$D844*$E844)+(F$850*F845*$D845*$E845)+(F$850*F846*$D846*$E846*$F$848)+(F$850*F847*$D847*$E847*$F$849))/10^9</f>
        <v>32.106480160319798</v>
      </c>
      <c r="G852" s="374">
        <f>((G$850*G843*$D843*$E843)+(G$850*G844*$D844*$E844)+(G$850*G845*$D845*$E845)+(G$850*G846*$D846*$E846*$F$848)+(G$850*G847*$D847*$E847*$F$849))/10^9</f>
        <v>32.375549314604783</v>
      </c>
      <c r="H852" s="374">
        <f t="shared" si="86"/>
        <v>31.830354019516268</v>
      </c>
      <c r="I852" s="374">
        <f t="shared" si="86"/>
        <v>31.577357073961032</v>
      </c>
      <c r="J852" s="374">
        <f t="shared" si="86"/>
        <v>31.056986473610571</v>
      </c>
      <c r="K852" s="374">
        <f t="shared" si="86"/>
        <v>30.730250473155493</v>
      </c>
      <c r="L852" s="374">
        <f t="shared" si="86"/>
        <v>30.621934933006653</v>
      </c>
      <c r="M852" s="374">
        <f t="shared" si="86"/>
        <v>31.013125732801665</v>
      </c>
      <c r="N852" s="374">
        <f t="shared" si="86"/>
        <v>31.388541007459686</v>
      </c>
    </row>
    <row r="853" spans="1:15" s="4" customFormat="1">
      <c r="B853" s="367"/>
      <c r="C853" s="386" t="s">
        <v>242</v>
      </c>
      <c r="D853" s="2"/>
      <c r="E853" s="367"/>
      <c r="F853" s="400">
        <f t="shared" ref="F853:N853" si="87">(F852-$F$851)/$F$851</f>
        <v>0</v>
      </c>
      <c r="G853" s="400">
        <f>(G852-$F$851)/$F$851</f>
        <v>8.3805248330374657E-3</v>
      </c>
      <c r="H853" s="400">
        <f t="shared" si="87"/>
        <v>-8.6003242779877469E-3</v>
      </c>
      <c r="I853" s="400">
        <f t="shared" si="87"/>
        <v>-1.6480258306630125E-2</v>
      </c>
      <c r="J853" s="400">
        <f t="shared" si="87"/>
        <v>-3.2687908530262662E-2</v>
      </c>
      <c r="K853" s="400">
        <f t="shared" si="87"/>
        <v>-4.2864545733206166E-2</v>
      </c>
      <c r="L853" s="400">
        <f t="shared" si="87"/>
        <v>-4.6238180576016093E-2</v>
      </c>
      <c r="M853" s="400">
        <f t="shared" si="87"/>
        <v>-3.4054010967835793E-2</v>
      </c>
      <c r="N853" s="400">
        <f t="shared" si="87"/>
        <v>-2.2361191549966544E-2</v>
      </c>
      <c r="O853" s="2"/>
    </row>
    <row r="854" spans="1:15" s="4" customFormat="1">
      <c r="A854" s="401"/>
      <c r="B854" s="367"/>
      <c r="C854" s="402" t="s">
        <v>243</v>
      </c>
      <c r="D854" s="402"/>
      <c r="E854" s="3075" t="str">
        <f>Preferences.EnergyUnits</f>
        <v>TWh</v>
      </c>
      <c r="F854" s="402">
        <f>F839*(1+F853)</f>
        <v>18.052948131673556</v>
      </c>
      <c r="G854" s="402">
        <f t="shared" ref="G854:N854" si="88">G839*(1+G853)</f>
        <v>17.142627801217426</v>
      </c>
      <c r="H854" s="402">
        <f t="shared" si="88"/>
        <v>15.608236323469393</v>
      </c>
      <c r="I854" s="402">
        <f t="shared" si="88"/>
        <v>15.607106584957823</v>
      </c>
      <c r="J854" s="402">
        <f t="shared" si="88"/>
        <v>15.392267021426733</v>
      </c>
      <c r="K854" s="402">
        <f t="shared" si="88"/>
        <v>15.278896813520189</v>
      </c>
      <c r="L854" s="402">
        <f t="shared" si="88"/>
        <v>15.278237710844545</v>
      </c>
      <c r="M854" s="402">
        <f t="shared" si="88"/>
        <v>15.494839046033878</v>
      </c>
      <c r="N854" s="402">
        <f t="shared" si="88"/>
        <v>15.725948818858505</v>
      </c>
      <c r="O854" s="2"/>
    </row>
    <row r="855" spans="1:15" s="4" customFormat="1">
      <c r="A855"/>
      <c r="B855" s="367"/>
      <c r="C855" s="2"/>
      <c r="D855" s="2"/>
      <c r="E855" s="367"/>
      <c r="F855" s="403"/>
      <c r="G855" s="403"/>
      <c r="H855" s="403"/>
      <c r="I855" s="403"/>
      <c r="J855" s="403"/>
      <c r="K855" s="403"/>
      <c r="L855" s="403"/>
      <c r="M855" s="403"/>
      <c r="N855" s="403"/>
      <c r="O855" s="404"/>
    </row>
    <row r="856" spans="1:15" s="4" customFormat="1">
      <c r="B856" s="363">
        <v>4</v>
      </c>
      <c r="C856" s="363" t="s">
        <v>244</v>
      </c>
      <c r="D856" s="2"/>
      <c r="E856" s="364"/>
      <c r="F856" s="365">
        <v>2013</v>
      </c>
      <c r="G856" s="365">
        <v>2015</v>
      </c>
      <c r="H856" s="365">
        <v>2020</v>
      </c>
      <c r="I856" s="365">
        <v>2025</v>
      </c>
      <c r="J856" s="365">
        <v>2030</v>
      </c>
      <c r="K856" s="365">
        <v>2035</v>
      </c>
      <c r="L856" s="365">
        <v>2040</v>
      </c>
      <c r="M856" s="365">
        <v>2045</v>
      </c>
      <c r="N856" s="365">
        <v>2050</v>
      </c>
      <c r="O856" s="404"/>
    </row>
    <row r="857" spans="1:15" s="4" customFormat="1">
      <c r="B857" s="367">
        <v>1</v>
      </c>
      <c r="C857" s="2" t="s">
        <v>46</v>
      </c>
      <c r="D857" s="2"/>
      <c r="E857" s="2"/>
      <c r="F857" s="374">
        <f t="array" ref="F857:F869">F$854*F$626:F$638</f>
        <v>3.0690011823845049</v>
      </c>
      <c r="G857" s="374">
        <f t="array" ref="G857:G869">G$854*G$626:G$638</f>
        <v>4.114230672292182</v>
      </c>
      <c r="H857" s="374">
        <f t="array" ref="H857:H869">H$854*H$626:H$638</f>
        <v>3.2108371865422751</v>
      </c>
      <c r="I857" s="374">
        <f t="array" ref="I857:I869">I$854*I$626:I$638</f>
        <v>2.6755039859927696</v>
      </c>
      <c r="J857" s="374">
        <f t="array" ref="J857:J869">J$854*J$626:J$638</f>
        <v>2.1109394772242376</v>
      </c>
      <c r="K857" s="374">
        <f t="array" ref="K857:K869">K$854*K$626:K$638</f>
        <v>1.5715436722477911</v>
      </c>
      <c r="L857" s="374">
        <f t="array" ref="L857:L869">L$854*L$626:L$638</f>
        <v>1.0476505858864833</v>
      </c>
      <c r="M857" s="374">
        <f t="array" ref="M857:M869">M$854*M$626:M$638</f>
        <v>0.53125162443544749</v>
      </c>
      <c r="N857" s="374">
        <f t="array" ref="N857:N869">N$854*N$626:N$638</f>
        <v>0</v>
      </c>
      <c r="O857" s="404"/>
    </row>
    <row r="858" spans="1:15" s="4" customFormat="1" ht="15.75">
      <c r="A858" s="3"/>
      <c r="B858" s="367">
        <v>2</v>
      </c>
      <c r="C858" s="2" t="s">
        <v>47</v>
      </c>
      <c r="D858" s="2"/>
      <c r="E858" s="2"/>
      <c r="F858" s="374">
        <v>2.8162599085410749</v>
      </c>
      <c r="G858" s="374">
        <v>1.371410224097394</v>
      </c>
      <c r="H858" s="374">
        <v>3.0770523037696806</v>
      </c>
      <c r="I858" s="374">
        <v>4.9050906409867441</v>
      </c>
      <c r="J858" s="374">
        <v>6.6406637721012478</v>
      </c>
      <c r="K858" s="374">
        <v>8.3815662519882181</v>
      </c>
      <c r="L858" s="374">
        <v>10.170941104647939</v>
      </c>
      <c r="M858" s="374">
        <v>12.130245424609377</v>
      </c>
      <c r="N858" s="374">
        <v>14.153353936972655</v>
      </c>
      <c r="O858" s="404"/>
    </row>
    <row r="859" spans="1:15" s="4" customFormat="1">
      <c r="B859" s="367">
        <v>3</v>
      </c>
      <c r="C859" s="2" t="s">
        <v>48</v>
      </c>
      <c r="D859" s="2"/>
      <c r="E859" s="2"/>
      <c r="F859" s="374">
        <v>0.649906132740248</v>
      </c>
      <c r="G859" s="374">
        <v>1.0285576680730455</v>
      </c>
      <c r="H859" s="374">
        <v>1.0256841012565601</v>
      </c>
      <c r="I859" s="374">
        <v>1.1147933274969872</v>
      </c>
      <c r="J859" s="374">
        <v>1.1874034559386335</v>
      </c>
      <c r="K859" s="374">
        <v>1.265965735977387</v>
      </c>
      <c r="L859" s="374">
        <v>1.353215340103374</v>
      </c>
      <c r="M859" s="374">
        <v>1.4609419671974797</v>
      </c>
      <c r="N859" s="374">
        <v>1.5725948818858506</v>
      </c>
      <c r="O859" s="404"/>
    </row>
    <row r="860" spans="1:15" s="4" customFormat="1">
      <c r="B860" s="367">
        <v>4</v>
      </c>
      <c r="C860" s="2" t="s">
        <v>49</v>
      </c>
      <c r="D860" s="2"/>
      <c r="E860" s="2"/>
      <c r="F860" s="374">
        <v>11.174774893505932</v>
      </c>
      <c r="G860" s="374">
        <v>9.4284452906695844</v>
      </c>
      <c r="H860" s="374">
        <v>7.3581685524927147</v>
      </c>
      <c r="I860" s="374">
        <v>6.1313633012334314</v>
      </c>
      <c r="J860" s="374">
        <v>4.8375696353055453</v>
      </c>
      <c r="K860" s="374">
        <v>3.6014542489011885</v>
      </c>
      <c r="L860" s="374">
        <v>2.4008659259898577</v>
      </c>
      <c r="M860" s="374">
        <v>1.2174516393312338</v>
      </c>
      <c r="N860" s="374">
        <v>0</v>
      </c>
      <c r="O860" s="405"/>
    </row>
    <row r="861" spans="1:15" s="4" customFormat="1">
      <c r="B861" s="367">
        <v>5</v>
      </c>
      <c r="C861" s="2" t="s">
        <v>50</v>
      </c>
      <c r="D861" s="2"/>
      <c r="E861" s="2"/>
      <c r="F861" s="374">
        <v>0.27079422197510333</v>
      </c>
      <c r="G861" s="374">
        <v>0.17142627801217425</v>
      </c>
      <c r="H861" s="374">
        <v>0.13378488277259482</v>
      </c>
      <c r="I861" s="374">
        <v>0.11147933274969875</v>
      </c>
      <c r="J861" s="374">
        <v>8.7955811551009913E-2</v>
      </c>
      <c r="K861" s="374">
        <v>6.5480986343657968E-2</v>
      </c>
      <c r="L861" s="374">
        <v>4.3652107745270147E-2</v>
      </c>
      <c r="M861" s="374">
        <v>2.2135484351476987E-2</v>
      </c>
      <c r="N861" s="374">
        <v>0</v>
      </c>
      <c r="O861" s="2"/>
    </row>
    <row r="862" spans="1:15" s="4" customFormat="1">
      <c r="B862" s="367">
        <v>6</v>
      </c>
      <c r="C862" s="2" t="s">
        <v>51</v>
      </c>
      <c r="D862" s="2"/>
      <c r="E862" s="2"/>
      <c r="F862" s="374">
        <v>0</v>
      </c>
      <c r="G862" s="374">
        <v>0</v>
      </c>
      <c r="H862" s="374">
        <v>0</v>
      </c>
      <c r="I862" s="374">
        <v>0</v>
      </c>
      <c r="J862" s="374">
        <v>0</v>
      </c>
      <c r="K862" s="374">
        <v>0</v>
      </c>
      <c r="L862" s="374">
        <v>0</v>
      </c>
      <c r="M862" s="374">
        <v>0</v>
      </c>
      <c r="N862" s="374">
        <v>0</v>
      </c>
      <c r="O862" s="2"/>
    </row>
    <row r="863" spans="1:15" s="401" customFormat="1">
      <c r="B863" s="367">
        <v>7</v>
      </c>
      <c r="C863" s="2" t="s">
        <v>52</v>
      </c>
      <c r="D863" s="2"/>
      <c r="E863" s="2"/>
      <c r="F863" s="374">
        <v>0</v>
      </c>
      <c r="G863" s="374">
        <v>0</v>
      </c>
      <c r="H863" s="374">
        <v>0</v>
      </c>
      <c r="I863" s="374">
        <v>0</v>
      </c>
      <c r="J863" s="374">
        <v>0</v>
      </c>
      <c r="K863" s="374">
        <v>0</v>
      </c>
      <c r="L863" s="374">
        <v>0</v>
      </c>
      <c r="M863" s="374">
        <v>0</v>
      </c>
      <c r="N863" s="374">
        <v>0</v>
      </c>
      <c r="O863"/>
    </row>
    <row r="864" spans="1:15" s="4" customFormat="1">
      <c r="B864" s="367">
        <v>8</v>
      </c>
      <c r="C864" s="2" t="s">
        <v>53</v>
      </c>
      <c r="D864" s="2"/>
      <c r="E864" s="2"/>
      <c r="F864" s="374">
        <v>1.8052948131673557E-2</v>
      </c>
      <c r="G864" s="374">
        <v>0</v>
      </c>
      <c r="H864" s="374">
        <v>0</v>
      </c>
      <c r="I864" s="374">
        <v>0</v>
      </c>
      <c r="J864" s="374">
        <v>0</v>
      </c>
      <c r="K864" s="374">
        <v>0</v>
      </c>
      <c r="L864" s="374">
        <v>0</v>
      </c>
      <c r="M864" s="374">
        <v>0</v>
      </c>
      <c r="N864" s="374">
        <v>0</v>
      </c>
      <c r="O864" s="2"/>
    </row>
    <row r="865" spans="2:25" s="4" customFormat="1">
      <c r="B865" s="367">
        <v>9</v>
      </c>
      <c r="C865" s="2" t="s">
        <v>54</v>
      </c>
      <c r="D865" s="2"/>
      <c r="E865" s="2"/>
      <c r="F865" s="374">
        <v>3.6105896263347113E-2</v>
      </c>
      <c r="G865" s="374">
        <v>0.17142627801217425</v>
      </c>
      <c r="H865" s="374">
        <v>0.13378488277259482</v>
      </c>
      <c r="I865" s="374">
        <v>0.11147933274969875</v>
      </c>
      <c r="J865" s="374">
        <v>8.7955811551009913E-2</v>
      </c>
      <c r="K865" s="374">
        <v>6.5480986343657968E-2</v>
      </c>
      <c r="L865" s="374">
        <v>4.3652107745270147E-2</v>
      </c>
      <c r="M865" s="374">
        <v>2.2135484351476987E-2</v>
      </c>
      <c r="N865" s="374">
        <v>0</v>
      </c>
      <c r="O865" s="2"/>
    </row>
    <row r="866" spans="2:25" s="4" customFormat="1">
      <c r="B866" s="367">
        <v>10</v>
      </c>
      <c r="C866" s="2" t="s">
        <v>55</v>
      </c>
      <c r="D866" s="2"/>
      <c r="E866" s="2"/>
      <c r="F866" s="374">
        <v>0</v>
      </c>
      <c r="G866" s="374">
        <v>0</v>
      </c>
      <c r="H866" s="374">
        <v>0</v>
      </c>
      <c r="I866" s="374">
        <v>0</v>
      </c>
      <c r="J866" s="374">
        <v>0</v>
      </c>
      <c r="K866" s="374">
        <v>0</v>
      </c>
      <c r="L866" s="374">
        <v>0</v>
      </c>
      <c r="M866" s="374">
        <v>0</v>
      </c>
      <c r="N866" s="374">
        <v>0</v>
      </c>
      <c r="O866" s="2"/>
    </row>
    <row r="867" spans="2:25" s="4" customFormat="1">
      <c r="B867" s="367">
        <v>11</v>
      </c>
      <c r="C867" s="2" t="s">
        <v>56</v>
      </c>
      <c r="D867" s="2"/>
      <c r="E867" s="2"/>
      <c r="F867" s="374">
        <v>0</v>
      </c>
      <c r="G867" s="374">
        <v>0</v>
      </c>
      <c r="H867" s="374">
        <v>0</v>
      </c>
      <c r="I867" s="374">
        <v>0</v>
      </c>
      <c r="J867" s="374">
        <v>0</v>
      </c>
      <c r="K867" s="374">
        <v>0</v>
      </c>
      <c r="L867" s="374">
        <v>0</v>
      </c>
      <c r="M867" s="374">
        <v>0</v>
      </c>
      <c r="N867" s="374">
        <v>0</v>
      </c>
      <c r="O867" s="2"/>
    </row>
    <row r="868" spans="2:25" s="4" customFormat="1">
      <c r="B868" s="367">
        <v>12</v>
      </c>
      <c r="C868" s="2" t="s">
        <v>57</v>
      </c>
      <c r="D868" s="2"/>
      <c r="E868" s="2"/>
      <c r="F868" s="374">
        <v>0</v>
      </c>
      <c r="G868" s="374">
        <v>0</v>
      </c>
      <c r="H868" s="374">
        <v>0</v>
      </c>
      <c r="I868" s="374">
        <v>0</v>
      </c>
      <c r="J868" s="374">
        <v>0</v>
      </c>
      <c r="K868" s="374">
        <v>0</v>
      </c>
      <c r="L868" s="374">
        <v>0</v>
      </c>
      <c r="M868" s="374">
        <v>0</v>
      </c>
      <c r="N868" s="374">
        <v>0</v>
      </c>
      <c r="O868" s="2"/>
    </row>
    <row r="869" spans="2:25" s="4" customFormat="1">
      <c r="B869" s="367">
        <v>13</v>
      </c>
      <c r="C869" s="2" t="s">
        <v>58</v>
      </c>
      <c r="D869" s="2"/>
      <c r="E869" s="2"/>
      <c r="F869" s="374">
        <v>0</v>
      </c>
      <c r="G869" s="374">
        <v>0</v>
      </c>
      <c r="H869" s="374">
        <v>0</v>
      </c>
      <c r="I869" s="374">
        <v>0</v>
      </c>
      <c r="J869" s="374">
        <v>0</v>
      </c>
      <c r="K869" s="374">
        <v>0</v>
      </c>
      <c r="L869" s="374">
        <v>0</v>
      </c>
      <c r="M869" s="374">
        <v>0</v>
      </c>
      <c r="N869" s="374">
        <v>0</v>
      </c>
      <c r="O869" s="2"/>
    </row>
    <row r="870" spans="2:25" s="4" customFormat="1">
      <c r="B870" s="367"/>
      <c r="C870"/>
      <c r="D870"/>
      <c r="E870" s="3843" t="str">
        <f>Preferences.EnergyUnits</f>
        <v>TWh</v>
      </c>
      <c r="F870" s="380">
        <f>SUM(F857:F869)</f>
        <v>18.034895183541881</v>
      </c>
      <c r="G870" s="380">
        <f t="shared" ref="G870:N870" si="89">SUM(G857:G869)</f>
        <v>16.285496411156554</v>
      </c>
      <c r="H870" s="380">
        <f t="shared" si="89"/>
        <v>14.93931190960642</v>
      </c>
      <c r="I870" s="380">
        <f t="shared" si="89"/>
        <v>15.049709921209329</v>
      </c>
      <c r="J870" s="380">
        <f t="shared" si="89"/>
        <v>14.952487963671686</v>
      </c>
      <c r="K870" s="380">
        <f t="shared" si="89"/>
        <v>14.951491881801902</v>
      </c>
      <c r="L870" s="380">
        <f t="shared" si="89"/>
        <v>15.059977172118195</v>
      </c>
      <c r="M870" s="380">
        <f t="shared" si="89"/>
        <v>15.384161624276492</v>
      </c>
      <c r="N870" s="380">
        <f t="shared" si="89"/>
        <v>15.725948818858505</v>
      </c>
      <c r="O870" s="2"/>
    </row>
    <row r="871" spans="2:25" s="4" customFormat="1">
      <c r="O871" s="2"/>
    </row>
    <row r="872" spans="2:25" s="4" customFormat="1">
      <c r="B872" s="388" t="s">
        <v>245</v>
      </c>
      <c r="C872" s="386" t="s">
        <v>246</v>
      </c>
      <c r="D872" s="2"/>
      <c r="E872" s="364"/>
      <c r="F872" s="365">
        <v>2013</v>
      </c>
      <c r="G872" s="365">
        <v>2015</v>
      </c>
      <c r="H872" s="365">
        <v>2020</v>
      </c>
      <c r="I872" s="365">
        <v>2025</v>
      </c>
      <c r="J872" s="365">
        <v>2030</v>
      </c>
      <c r="K872" s="365">
        <v>2035</v>
      </c>
      <c r="L872" s="365">
        <v>2040</v>
      </c>
      <c r="M872" s="365">
        <v>2045</v>
      </c>
      <c r="N872" s="365">
        <v>2050</v>
      </c>
      <c r="O872" s="2"/>
    </row>
    <row r="873" spans="2:25" s="4" customFormat="1">
      <c r="B873" s="367">
        <v>1</v>
      </c>
      <c r="C873" s="2" t="s">
        <v>46</v>
      </c>
      <c r="D873" s="2"/>
      <c r="E873" s="2"/>
      <c r="F873" s="374">
        <f>F857*(1-(F$44*F$53*0.66))</f>
        <v>3.0690011823845049</v>
      </c>
      <c r="G873" s="374">
        <f t="shared" ref="G873:N874" si="90">G857*(1-(G$44*G$53*0.66))</f>
        <v>4.114230672292182</v>
      </c>
      <c r="H873" s="374">
        <f t="shared" si="90"/>
        <v>3.2108371865422751</v>
      </c>
      <c r="I873" s="374">
        <f t="shared" si="90"/>
        <v>2.6755039859927696</v>
      </c>
      <c r="J873" s="374">
        <f t="shared" si="90"/>
        <v>2.1109394772242376</v>
      </c>
      <c r="K873" s="374">
        <f t="shared" si="90"/>
        <v>1.5715436722477911</v>
      </c>
      <c r="L873" s="374">
        <f t="shared" si="90"/>
        <v>1.0476505858864833</v>
      </c>
      <c r="M873" s="374">
        <f t="shared" si="90"/>
        <v>0.53125162443544749</v>
      </c>
      <c r="N873" s="374">
        <f t="shared" si="90"/>
        <v>0</v>
      </c>
      <c r="O873" s="2"/>
    </row>
    <row r="874" spans="2:25" s="4" customFormat="1">
      <c r="B874" s="367">
        <v>2</v>
      </c>
      <c r="C874" s="2" t="s">
        <v>47</v>
      </c>
      <c r="D874" s="2"/>
      <c r="E874" s="2"/>
      <c r="F874" s="374">
        <f>F858*(1-(F$44*F$53*0.66))</f>
        <v>2.8162599085410749</v>
      </c>
      <c r="G874" s="374">
        <f t="shared" si="90"/>
        <v>1.371410224097394</v>
      </c>
      <c r="H874" s="374">
        <f t="shared" si="90"/>
        <v>3.0770523037696806</v>
      </c>
      <c r="I874" s="374">
        <f t="shared" si="90"/>
        <v>4.9050906409867441</v>
      </c>
      <c r="J874" s="374">
        <f t="shared" si="90"/>
        <v>6.6406637721012478</v>
      </c>
      <c r="K874" s="374">
        <f t="shared" si="90"/>
        <v>8.3815662519882181</v>
      </c>
      <c r="L874" s="374">
        <f t="shared" si="90"/>
        <v>10.170941104647939</v>
      </c>
      <c r="M874" s="374">
        <f t="shared" si="90"/>
        <v>12.130245424609377</v>
      </c>
      <c r="N874" s="374">
        <f t="shared" si="90"/>
        <v>14.153353936972655</v>
      </c>
      <c r="O874" s="2"/>
    </row>
    <row r="875" spans="2:25" s="4" customFormat="1">
      <c r="B875" s="367">
        <v>3</v>
      </c>
      <c r="C875" s="2" t="s">
        <v>48</v>
      </c>
      <c r="D875" s="2"/>
      <c r="E875" s="2"/>
      <c r="F875" s="374">
        <f t="shared" ref="F875:N875" si="91">F859*(1-F$44)</f>
        <v>0.649906132740248</v>
      </c>
      <c r="G875" s="374">
        <f t="shared" si="91"/>
        <v>1.0285576680730455</v>
      </c>
      <c r="H875" s="374">
        <f t="shared" si="91"/>
        <v>1.0256841012565601</v>
      </c>
      <c r="I875" s="374">
        <f t="shared" si="91"/>
        <v>1.1147933274969872</v>
      </c>
      <c r="J875" s="374">
        <f t="shared" si="91"/>
        <v>1.1874034559386335</v>
      </c>
      <c r="K875" s="374">
        <f t="shared" si="91"/>
        <v>1.265965735977387</v>
      </c>
      <c r="L875" s="374">
        <f t="shared" si="91"/>
        <v>1.353215340103374</v>
      </c>
      <c r="M875" s="374">
        <f t="shared" si="91"/>
        <v>1.4609419671974797</v>
      </c>
      <c r="N875" s="374">
        <f t="shared" si="91"/>
        <v>1.5725948818858506</v>
      </c>
      <c r="O875" s="2"/>
    </row>
    <row r="876" spans="2:25" s="4" customFormat="1">
      <c r="B876" s="367">
        <v>4</v>
      </c>
      <c r="C876" s="2" t="s">
        <v>49</v>
      </c>
      <c r="D876" s="2"/>
      <c r="E876" s="2"/>
      <c r="F876" s="374">
        <f t="shared" ref="F876:N885" si="92">F860</f>
        <v>11.174774893505932</v>
      </c>
      <c r="G876" s="374">
        <f t="shared" si="92"/>
        <v>9.4284452906695844</v>
      </c>
      <c r="H876" s="374">
        <f t="shared" si="92"/>
        <v>7.3581685524927147</v>
      </c>
      <c r="I876" s="374">
        <f t="shared" si="92"/>
        <v>6.1313633012334314</v>
      </c>
      <c r="J876" s="374">
        <f t="shared" si="92"/>
        <v>4.8375696353055453</v>
      </c>
      <c r="K876" s="374">
        <f t="shared" si="92"/>
        <v>3.6014542489011885</v>
      </c>
      <c r="L876" s="374">
        <f t="shared" si="92"/>
        <v>2.4008659259898577</v>
      </c>
      <c r="M876" s="374">
        <f t="shared" si="92"/>
        <v>1.2174516393312338</v>
      </c>
      <c r="N876" s="374">
        <f t="shared" si="92"/>
        <v>0</v>
      </c>
      <c r="O876" s="2"/>
    </row>
    <row r="877" spans="2:25" s="4" customFormat="1">
      <c r="B877" s="367">
        <v>5</v>
      </c>
      <c r="C877" s="2" t="s">
        <v>50</v>
      </c>
      <c r="D877" s="2"/>
      <c r="E877" s="2"/>
      <c r="F877" s="374">
        <f t="shared" si="92"/>
        <v>0.27079422197510333</v>
      </c>
      <c r="G877" s="374">
        <f t="shared" si="92"/>
        <v>0.17142627801217425</v>
      </c>
      <c r="H877" s="374">
        <f t="shared" si="92"/>
        <v>0.13378488277259482</v>
      </c>
      <c r="I877" s="374">
        <f t="shared" si="92"/>
        <v>0.11147933274969875</v>
      </c>
      <c r="J877" s="374">
        <f t="shared" si="92"/>
        <v>8.7955811551009913E-2</v>
      </c>
      <c r="K877" s="374">
        <f t="shared" si="92"/>
        <v>6.5480986343657968E-2</v>
      </c>
      <c r="L877" s="374">
        <f t="shared" si="92"/>
        <v>4.3652107745270147E-2</v>
      </c>
      <c r="M877" s="374">
        <f t="shared" si="92"/>
        <v>2.2135484351476987E-2</v>
      </c>
      <c r="N877" s="374">
        <f t="shared" si="92"/>
        <v>0</v>
      </c>
      <c r="O877" s="2"/>
      <c r="Q877" s="374"/>
      <c r="R877" s="374"/>
      <c r="S877" s="374"/>
      <c r="T877" s="374"/>
      <c r="U877" s="374"/>
      <c r="V877" s="374"/>
      <c r="W877" s="374"/>
      <c r="X877" s="374"/>
      <c r="Y877" s="374"/>
    </row>
    <row r="878" spans="2:25" s="4" customFormat="1">
      <c r="B878" s="367">
        <v>6</v>
      </c>
      <c r="C878" s="2" t="s">
        <v>51</v>
      </c>
      <c r="D878" s="2"/>
      <c r="E878" s="2"/>
      <c r="F878" s="374">
        <f t="shared" si="92"/>
        <v>0</v>
      </c>
      <c r="G878" s="374">
        <f t="shared" si="92"/>
        <v>0</v>
      </c>
      <c r="H878" s="374">
        <f t="shared" si="92"/>
        <v>0</v>
      </c>
      <c r="I878" s="374">
        <f t="shared" si="92"/>
        <v>0</v>
      </c>
      <c r="J878" s="374">
        <f t="shared" si="92"/>
        <v>0</v>
      </c>
      <c r="K878" s="374">
        <f t="shared" si="92"/>
        <v>0</v>
      </c>
      <c r="L878" s="374">
        <f t="shared" si="92"/>
        <v>0</v>
      </c>
      <c r="M878" s="374">
        <f t="shared" si="92"/>
        <v>0</v>
      </c>
      <c r="N878" s="374">
        <f t="shared" si="92"/>
        <v>0</v>
      </c>
      <c r="O878" s="2"/>
      <c r="R878" s="374"/>
      <c r="V878" s="374"/>
      <c r="W878" s="374"/>
      <c r="X878" s="374"/>
      <c r="Y878" s="374"/>
    </row>
    <row r="879" spans="2:25" s="4" customFormat="1">
      <c r="B879" s="367">
        <v>7</v>
      </c>
      <c r="C879" s="2" t="s">
        <v>52</v>
      </c>
      <c r="D879" t="s">
        <v>5</v>
      </c>
      <c r="E879" s="2"/>
      <c r="F879" s="374">
        <f t="shared" si="92"/>
        <v>0</v>
      </c>
      <c r="G879" s="374">
        <f t="shared" si="92"/>
        <v>0</v>
      </c>
      <c r="H879" s="374">
        <f t="shared" si="92"/>
        <v>0</v>
      </c>
      <c r="I879" s="374">
        <f t="shared" si="92"/>
        <v>0</v>
      </c>
      <c r="J879" s="374">
        <f t="shared" si="92"/>
        <v>0</v>
      </c>
      <c r="K879" s="374">
        <f t="shared" si="92"/>
        <v>0</v>
      </c>
      <c r="L879" s="374">
        <f t="shared" si="92"/>
        <v>0</v>
      </c>
      <c r="M879" s="374">
        <f t="shared" si="92"/>
        <v>0</v>
      </c>
      <c r="N879" s="374">
        <f t="shared" si="92"/>
        <v>0</v>
      </c>
      <c r="O879" s="2"/>
      <c r="V879" s="374"/>
      <c r="W879" s="374"/>
      <c r="X879" s="374"/>
      <c r="Y879" s="374"/>
    </row>
    <row r="880" spans="2:25" s="4" customFormat="1">
      <c r="B880" s="367">
        <v>8</v>
      </c>
      <c r="C880" s="2" t="s">
        <v>53</v>
      </c>
      <c r="D880" s="2"/>
      <c r="E880" s="2"/>
      <c r="F880" s="374">
        <f t="shared" si="92"/>
        <v>1.8052948131673557E-2</v>
      </c>
      <c r="G880" s="374">
        <f t="shared" si="92"/>
        <v>0</v>
      </c>
      <c r="H880" s="374">
        <f t="shared" si="92"/>
        <v>0</v>
      </c>
      <c r="I880" s="374">
        <f t="shared" si="92"/>
        <v>0</v>
      </c>
      <c r="J880" s="374">
        <f t="shared" si="92"/>
        <v>0</v>
      </c>
      <c r="K880" s="374">
        <f t="shared" si="92"/>
        <v>0</v>
      </c>
      <c r="L880" s="374">
        <f t="shared" si="92"/>
        <v>0</v>
      </c>
      <c r="M880" s="374">
        <f t="shared" si="92"/>
        <v>0</v>
      </c>
      <c r="N880" s="374">
        <f t="shared" si="92"/>
        <v>0</v>
      </c>
      <c r="O880" s="2"/>
      <c r="W880" s="374"/>
      <c r="X880" s="374"/>
      <c r="Y880" s="374"/>
    </row>
    <row r="881" spans="2:25" s="4" customFormat="1">
      <c r="B881" s="367">
        <v>9</v>
      </c>
      <c r="C881" s="2" t="s">
        <v>54</v>
      </c>
      <c r="D881" s="2"/>
      <c r="E881" s="2"/>
      <c r="F881" s="374">
        <f t="shared" si="92"/>
        <v>3.6105896263347113E-2</v>
      </c>
      <c r="G881" s="374">
        <f t="shared" si="92"/>
        <v>0.17142627801217425</v>
      </c>
      <c r="H881" s="374">
        <f t="shared" si="92"/>
        <v>0.13378488277259482</v>
      </c>
      <c r="I881" s="374">
        <f t="shared" si="92"/>
        <v>0.11147933274969875</v>
      </c>
      <c r="J881" s="374">
        <f t="shared" si="92"/>
        <v>8.7955811551009913E-2</v>
      </c>
      <c r="K881" s="374">
        <f t="shared" si="92"/>
        <v>6.5480986343657968E-2</v>
      </c>
      <c r="L881" s="374">
        <f t="shared" si="92"/>
        <v>4.3652107745270147E-2</v>
      </c>
      <c r="M881" s="374">
        <f t="shared" si="92"/>
        <v>2.2135484351476987E-2</v>
      </c>
      <c r="N881" s="374">
        <f t="shared" si="92"/>
        <v>0</v>
      </c>
      <c r="O881" s="2"/>
      <c r="Q881" s="374"/>
      <c r="W881" s="374"/>
      <c r="X881" s="374"/>
      <c r="Y881" s="374"/>
    </row>
    <row r="882" spans="2:25" s="4" customFormat="1">
      <c r="B882" s="367">
        <v>10</v>
      </c>
      <c r="C882" s="2" t="s">
        <v>55</v>
      </c>
      <c r="D882" s="2"/>
      <c r="E882" s="2"/>
      <c r="F882" s="374">
        <f t="shared" si="92"/>
        <v>0</v>
      </c>
      <c r="G882" s="374">
        <f t="shared" si="92"/>
        <v>0</v>
      </c>
      <c r="H882" s="374">
        <f t="shared" si="92"/>
        <v>0</v>
      </c>
      <c r="I882" s="374">
        <f t="shared" si="92"/>
        <v>0</v>
      </c>
      <c r="J882" s="374">
        <f t="shared" si="92"/>
        <v>0</v>
      </c>
      <c r="K882" s="374">
        <f t="shared" si="92"/>
        <v>0</v>
      </c>
      <c r="L882" s="374">
        <f t="shared" si="92"/>
        <v>0</v>
      </c>
      <c r="M882" s="374">
        <f t="shared" si="92"/>
        <v>0</v>
      </c>
      <c r="N882" s="374">
        <f t="shared" si="92"/>
        <v>0</v>
      </c>
      <c r="O882" s="2"/>
      <c r="W882" s="374"/>
      <c r="X882" s="374"/>
      <c r="Y882" s="374"/>
    </row>
    <row r="883" spans="2:25" s="4" customFormat="1">
      <c r="B883" s="367">
        <v>11</v>
      </c>
      <c r="C883" s="2" t="s">
        <v>56</v>
      </c>
      <c r="D883" s="2"/>
      <c r="E883" s="2"/>
      <c r="F883" s="374">
        <f t="shared" si="92"/>
        <v>0</v>
      </c>
      <c r="G883" s="374">
        <f t="shared" si="92"/>
        <v>0</v>
      </c>
      <c r="H883" s="374">
        <f t="shared" si="92"/>
        <v>0</v>
      </c>
      <c r="I883" s="374">
        <f t="shared" si="92"/>
        <v>0</v>
      </c>
      <c r="J883" s="374">
        <f t="shared" si="92"/>
        <v>0</v>
      </c>
      <c r="K883" s="374">
        <f t="shared" si="92"/>
        <v>0</v>
      </c>
      <c r="L883" s="374">
        <f t="shared" si="92"/>
        <v>0</v>
      </c>
      <c r="M883" s="374">
        <f t="shared" si="92"/>
        <v>0</v>
      </c>
      <c r="N883" s="374">
        <f t="shared" si="92"/>
        <v>0</v>
      </c>
      <c r="O883" s="2"/>
      <c r="W883" s="374"/>
      <c r="X883" s="374"/>
      <c r="Y883" s="374"/>
    </row>
    <row r="884" spans="2:25" s="4" customFormat="1">
      <c r="B884" s="367">
        <v>12</v>
      </c>
      <c r="C884" s="2" t="s">
        <v>57</v>
      </c>
      <c r="D884" s="2"/>
      <c r="E884" s="2"/>
      <c r="F884" s="374">
        <f t="shared" si="92"/>
        <v>0</v>
      </c>
      <c r="G884" s="374">
        <f t="shared" si="92"/>
        <v>0</v>
      </c>
      <c r="H884" s="374">
        <f t="shared" si="92"/>
        <v>0</v>
      </c>
      <c r="I884" s="374">
        <f t="shared" si="92"/>
        <v>0</v>
      </c>
      <c r="J884" s="374">
        <f t="shared" si="92"/>
        <v>0</v>
      </c>
      <c r="K884" s="374">
        <f t="shared" si="92"/>
        <v>0</v>
      </c>
      <c r="L884" s="374">
        <f t="shared" si="92"/>
        <v>0</v>
      </c>
      <c r="M884" s="374">
        <f t="shared" si="92"/>
        <v>0</v>
      </c>
      <c r="N884" s="374">
        <f t="shared" si="92"/>
        <v>0</v>
      </c>
      <c r="O884" s="2"/>
      <c r="W884" s="374"/>
      <c r="X884" s="374"/>
      <c r="Y884" s="374"/>
    </row>
    <row r="885" spans="2:25" s="4" customFormat="1">
      <c r="B885" s="367">
        <v>13</v>
      </c>
      <c r="C885" s="2" t="s">
        <v>58</v>
      </c>
      <c r="D885" s="2"/>
      <c r="E885" s="2"/>
      <c r="F885" s="374">
        <f t="shared" si="92"/>
        <v>0</v>
      </c>
      <c r="G885" s="374">
        <f t="shared" si="92"/>
        <v>0</v>
      </c>
      <c r="H885" s="374">
        <f t="shared" si="92"/>
        <v>0</v>
      </c>
      <c r="I885" s="374">
        <f t="shared" si="92"/>
        <v>0</v>
      </c>
      <c r="J885" s="374">
        <f t="shared" si="92"/>
        <v>0</v>
      </c>
      <c r="K885" s="374">
        <f t="shared" si="92"/>
        <v>0</v>
      </c>
      <c r="L885" s="374">
        <f t="shared" si="92"/>
        <v>0</v>
      </c>
      <c r="M885" s="374">
        <f t="shared" si="92"/>
        <v>0</v>
      </c>
      <c r="N885" s="374">
        <f t="shared" si="92"/>
        <v>0</v>
      </c>
      <c r="O885" s="2"/>
      <c r="W885" s="374"/>
      <c r="X885" s="374"/>
      <c r="Y885" s="374"/>
    </row>
    <row r="886" spans="2:25" s="4" customFormat="1">
      <c r="B886" s="367"/>
      <c r="C886"/>
      <c r="D886"/>
      <c r="E886" s="2"/>
      <c r="F886" s="374"/>
      <c r="G886" s="374"/>
      <c r="H886" s="374"/>
      <c r="I886" s="374"/>
      <c r="J886" s="374"/>
      <c r="K886" s="374"/>
      <c r="L886" s="374"/>
      <c r="M886" s="374"/>
      <c r="N886" s="374"/>
      <c r="O886" s="2"/>
      <c r="W886" s="374"/>
      <c r="X886" s="374"/>
      <c r="Y886" s="374"/>
    </row>
    <row r="887" spans="2:25" s="4" customFormat="1">
      <c r="B887" s="2"/>
      <c r="C887" s="2"/>
      <c r="D887" s="2"/>
      <c r="E887" s="3843" t="str">
        <f>Preferences.EnergyUnits</f>
        <v>TWh</v>
      </c>
      <c r="F887" s="380">
        <f t="shared" ref="F887:N887" si="93">SUM(F873:F886)</f>
        <v>18.034895183541881</v>
      </c>
      <c r="G887" s="380">
        <f t="shared" si="93"/>
        <v>16.285496411156554</v>
      </c>
      <c r="H887" s="380">
        <f t="shared" si="93"/>
        <v>14.93931190960642</v>
      </c>
      <c r="I887" s="380">
        <f t="shared" si="93"/>
        <v>15.049709921209329</v>
      </c>
      <c r="J887" s="380">
        <f t="shared" si="93"/>
        <v>14.952487963671686</v>
      </c>
      <c r="K887" s="380">
        <f t="shared" si="93"/>
        <v>14.951491881801902</v>
      </c>
      <c r="L887" s="380">
        <f t="shared" si="93"/>
        <v>15.059977172118195</v>
      </c>
      <c r="M887" s="380">
        <f t="shared" si="93"/>
        <v>15.384161624276492</v>
      </c>
      <c r="N887" s="380">
        <f t="shared" si="93"/>
        <v>15.725948818858505</v>
      </c>
      <c r="O887" s="2"/>
      <c r="W887" s="374"/>
      <c r="X887" s="374"/>
      <c r="Y887" s="374"/>
    </row>
    <row r="888" spans="2:25" s="4" customFormat="1">
      <c r="B888" s="2"/>
      <c r="C888" s="2"/>
      <c r="D888" s="2"/>
      <c r="E888" s="364"/>
      <c r="F888" s="406"/>
      <c r="G888" s="406"/>
      <c r="H888" s="406"/>
      <c r="I888" s="406"/>
      <c r="J888" s="406"/>
      <c r="K888" s="406"/>
      <c r="L888" s="406"/>
      <c r="M888" s="406"/>
      <c r="N888" s="406"/>
      <c r="O888" s="2"/>
      <c r="W888" s="374"/>
      <c r="X888" s="374"/>
      <c r="Y888" s="374"/>
    </row>
    <row r="889" spans="2:25" s="4" customFormat="1">
      <c r="B889" s="367" t="s">
        <v>96</v>
      </c>
      <c r="C889" s="4" t="s">
        <v>86</v>
      </c>
      <c r="D889" s="2"/>
      <c r="E889" s="2"/>
      <c r="F889" s="374">
        <f t="array" ref="F889">SUM(F$873:F$885/$M$131:$M$143*($B889=$F$130:$N$130)*($F$131:$N$143))</f>
        <v>-0.66495025618330927</v>
      </c>
      <c r="G889" s="374">
        <f t="array" ref="G889">SUM(G$873:G$885/$M$131:$M$143*($B889=$F$130:$N$130)*($F$131:$N$143))</f>
        <v>-1.0714142375760891</v>
      </c>
      <c r="H889" s="374">
        <f t="array" ref="H889">SUM(H$873:H$885/$M$131:$M$143*($B889=$F$130:$N$130)*($F$131:$N$143))</f>
        <v>-1.0591303219497088</v>
      </c>
      <c r="I889" s="374">
        <f t="array" ref="I889">SUM(I$873:I$885/$M$131:$M$143*($B889=$F$130:$N$130)*($F$131:$N$143))</f>
        <v>-1.142663160684412</v>
      </c>
      <c r="J889" s="374">
        <f t="array" ref="J889">SUM(J$873:J$885/$M$131:$M$143*($B889=$F$130:$N$130)*($F$131:$N$143))</f>
        <v>-1.2093924088263859</v>
      </c>
      <c r="K889" s="374">
        <f t="array" ref="K889">SUM(K$873:K$885/$M$131:$M$143*($B889=$F$130:$N$130)*($F$131:$N$143))</f>
        <v>-1.2823359825633016</v>
      </c>
      <c r="L889" s="374">
        <f t="array" ref="L889">SUM(L$873:L$885/$M$131:$M$143*($B889=$F$130:$N$130)*($F$131:$N$143))</f>
        <v>-1.3641283670396915</v>
      </c>
      <c r="M889" s="374">
        <f t="array" ref="M889">SUM(M$873:M$885/$M$131:$M$143*($B889=$F$130:$N$130)*($F$131:$N$143))</f>
        <v>-1.4664758382853489</v>
      </c>
      <c r="N889" s="374">
        <f t="array" ref="N889">SUM(N$873:N$885/$M$131:$M$143*($B889=$F$130:$N$130)*($F$131:$N$143))</f>
        <v>-1.5725948818858506</v>
      </c>
      <c r="O889" s="2"/>
      <c r="W889" s="374"/>
      <c r="X889" s="374"/>
      <c r="Y889" s="374"/>
    </row>
    <row r="890" spans="2:25" s="4" customFormat="1">
      <c r="B890" s="367" t="s">
        <v>97</v>
      </c>
      <c r="C890" s="4" t="s">
        <v>87</v>
      </c>
      <c r="D890" s="2"/>
      <c r="E890" s="2"/>
      <c r="F890" s="374">
        <f t="array" ref="F890">SUM(F$873:F$885/$M$131:$M$143*($B890=$F$130:$N$130)*($F$131:$N$143))</f>
        <v>0</v>
      </c>
      <c r="G890" s="374">
        <f t="array" ref="G890">SUM(G$873:G$885/$M$131:$M$143*($B890=$F$130:$N$130)*($F$131:$N$143))</f>
        <v>0</v>
      </c>
      <c r="H890" s="374">
        <f t="array" ref="H890">SUM(H$873:H$885/$M$131:$M$143*($B890=$F$130:$N$130)*($F$131:$N$143))</f>
        <v>0</v>
      </c>
      <c r="I890" s="374">
        <f t="array" ref="I890">SUM(I$873:I$885/$M$131:$M$143*($B890=$F$130:$N$130)*($F$131:$N$143))</f>
        <v>0</v>
      </c>
      <c r="J890" s="374">
        <f t="array" ref="J890">SUM(J$873:J$885/$M$131:$M$143*($B890=$F$130:$N$130)*($F$131:$N$143))</f>
        <v>0</v>
      </c>
      <c r="K890" s="374">
        <f t="array" ref="K890">SUM(K$873:K$885/$M$131:$M$143*($B890=$F$130:$N$130)*($F$131:$N$143))</f>
        <v>0</v>
      </c>
      <c r="L890" s="374">
        <f t="array" ref="L890">SUM(L$873:L$885/$M$131:$M$143*($B890=$F$130:$N$130)*($F$131:$N$143))</f>
        <v>0</v>
      </c>
      <c r="M890" s="374">
        <f t="array" ref="M890">SUM(M$873:M$885/$M$131:$M$143*($B890=$F$130:$N$130)*($F$131:$N$143))</f>
        <v>0</v>
      </c>
      <c r="N890" s="374">
        <f t="array" ref="N890">SUM(N$873:N$885/$M$131:$M$143*($B890=$F$130:$N$130)*($F$131:$N$143))</f>
        <v>0</v>
      </c>
      <c r="O890" s="2"/>
      <c r="W890" s="374"/>
      <c r="X890" s="374"/>
      <c r="Y890" s="374"/>
    </row>
    <row r="891" spans="2:25" s="4" customFormat="1">
      <c r="B891" s="367" t="s">
        <v>98</v>
      </c>
      <c r="C891" s="4" t="s">
        <v>88</v>
      </c>
      <c r="D891" s="2"/>
      <c r="E891" s="2"/>
      <c r="F891" s="374">
        <f t="array" ref="F891">SUM(F$873:F$885/$M$131:$M$143*($B891=$F$130:$N$130)*($F$131:$N$143))</f>
        <v>-0.31125772640816474</v>
      </c>
      <c r="G891" s="374">
        <f t="array" ref="G891">SUM(G$873:G$885/$M$131:$M$143*($B891=$F$130:$N$130)*($F$131:$N$143))</f>
        <v>-0.1970416988645681</v>
      </c>
      <c r="H891" s="374">
        <f t="array" ref="H891">SUM(H$873:H$885/$M$131:$M$143*($B891=$F$130:$N$130)*($F$131:$N$143))</f>
        <v>-0.15377572732482161</v>
      </c>
      <c r="I891" s="374">
        <f t="array" ref="I891">SUM(I$873:I$885/$M$131:$M$143*($B891=$F$130:$N$130)*($F$131:$N$143))</f>
        <v>-0.1281371640801135</v>
      </c>
      <c r="J891" s="374">
        <f t="array" ref="J891">SUM(J$873:J$885/$M$131:$M$143*($B891=$F$130:$N$130)*($F$131:$N$143))</f>
        <v>-0.10109863396667806</v>
      </c>
      <c r="K891" s="374">
        <f t="array" ref="K891">SUM(K$873:K$885/$M$131:$M$143*($B891=$F$130:$N$130)*($F$131:$N$143))</f>
        <v>-7.5265501544434441E-2</v>
      </c>
      <c r="L891" s="374">
        <f t="array" ref="L891">SUM(L$873:L$885/$M$131:$M$143*($B891=$F$130:$N$130)*($F$131:$N$143))</f>
        <v>-5.0174836488816259E-2</v>
      </c>
      <c r="M891" s="374">
        <f t="array" ref="M891">SUM(M$873:M$885/$M$131:$M$143*($B891=$F$130:$N$130)*($F$131:$N$143))</f>
        <v>-2.5443085461467802E-2</v>
      </c>
      <c r="N891" s="374">
        <f t="array" ref="N891">SUM(N$873:N$885/$M$131:$M$143*($B891=$F$130:$N$130)*($F$131:$N$143))</f>
        <v>0</v>
      </c>
      <c r="O891" s="2"/>
      <c r="W891" s="374"/>
      <c r="X891" s="374"/>
      <c r="Y891" s="374"/>
    </row>
    <row r="892" spans="2:25" s="4" customFormat="1">
      <c r="B892" s="367" t="s">
        <v>99</v>
      </c>
      <c r="C892" s="4" t="s">
        <v>89</v>
      </c>
      <c r="D892" s="2"/>
      <c r="E892" s="2"/>
      <c r="F892" s="374">
        <f t="array" ref="F892">SUM(F$873:F$885/$M$131:$M$143*($B892=$F$130:$N$130)*($F$131:$N$143))</f>
        <v>-11.520386488150445</v>
      </c>
      <c r="G892" s="374">
        <f t="array" ref="G892">SUM(G$873:G$885/$M$131:$M$143*($B892=$F$130:$N$130)*($F$131:$N$143))</f>
        <v>-9.7200466914119428</v>
      </c>
      <c r="H892" s="374">
        <f t="array" ref="H892">SUM(H$873:H$885/$M$131:$M$143*($B892=$F$130:$N$130)*($F$131:$N$143))</f>
        <v>-7.5857407757656858</v>
      </c>
      <c r="I892" s="374">
        <f t="array" ref="I892">SUM(I$873:I$885/$M$131:$M$143*($B892=$F$130:$N$130)*($F$131:$N$143))</f>
        <v>-6.3209930940550842</v>
      </c>
      <c r="J892" s="374">
        <f t="array" ref="J892">SUM(J$873:J$885/$M$131:$M$143*($B892=$F$130:$N$130)*($F$131:$N$143))</f>
        <v>-4.9871851910366445</v>
      </c>
      <c r="K892" s="374">
        <f t="array" ref="K892">SUM(K$873:K$885/$M$131:$M$143*($B892=$F$130:$N$130)*($F$131:$N$143))</f>
        <v>-3.7128394318568954</v>
      </c>
      <c r="L892" s="374">
        <f t="array" ref="L892">SUM(L$873:L$885/$M$131:$M$143*($B892=$F$130:$N$130)*($F$131:$N$143))</f>
        <v>-2.4751195113297504</v>
      </c>
      <c r="M892" s="374">
        <f t="array" ref="M892">SUM(M$873:M$885/$M$131:$M$143*($B892=$F$130:$N$130)*($F$131:$N$143))</f>
        <v>-1.2551047828157049</v>
      </c>
      <c r="N892" s="374">
        <f t="array" ref="N892">SUM(N$873:N$885/$M$131:$M$143*($B892=$F$130:$N$130)*($F$131:$N$143))</f>
        <v>0</v>
      </c>
      <c r="O892" s="2"/>
      <c r="W892" s="374"/>
      <c r="X892" s="374"/>
      <c r="Y892" s="374"/>
    </row>
    <row r="893" spans="2:25" s="4" customFormat="1">
      <c r="B893" s="367" t="s">
        <v>100</v>
      </c>
      <c r="C893" s="4" t="s">
        <v>90</v>
      </c>
      <c r="D893" s="2"/>
      <c r="E893" s="2"/>
      <c r="F893" s="374">
        <f t="array" ref="F893">SUM(F$873:F$885/$M$131:$M$143*($B893=$F$130:$N$130)*($F$131:$N$143))</f>
        <v>-7.1329505587928228</v>
      </c>
      <c r="G893" s="374">
        <f t="array" ref="G893">SUM(G$873:G$885/$M$131:$M$143*($B893=$F$130:$N$130)*($F$131:$N$143))</f>
        <v>-6.9205056132155942</v>
      </c>
      <c r="H893" s="374">
        <f t="array" ref="H893">SUM(H$873:H$885/$M$131:$M$143*($B893=$F$130:$N$130)*($F$131:$N$143))</f>
        <v>-7.6061619297548111</v>
      </c>
      <c r="I893" s="374">
        <f t="array" ref="I893">SUM(I$873:I$885/$M$131:$M$143*($B893=$F$130:$N$130)*($F$131:$N$143))</f>
        <v>-8.9106094771592623</v>
      </c>
      <c r="J893" s="374">
        <f t="array" ref="J893">SUM(J$873:J$885/$M$131:$M$143*($B893=$F$130:$N$130)*($F$131:$N$143))</f>
        <v>-10.07498466031088</v>
      </c>
      <c r="K893" s="374">
        <f t="array" ref="K893">SUM(K$873:K$885/$M$131:$M$143*($B893=$F$130:$N$130)*($F$131:$N$143))</f>
        <v>-11.278332986200891</v>
      </c>
      <c r="L893" s="374">
        <f t="array" ref="L893">SUM(L$873:L$885/$M$131:$M$143*($B893=$F$130:$N$130)*($F$131:$N$143))</f>
        <v>-12.555345969764508</v>
      </c>
      <c r="M893" s="374">
        <f t="array" ref="M893">SUM(M$873:M$885/$M$131:$M$143*($B893=$F$130:$N$130)*($F$131:$N$143))</f>
        <v>-14.02895532235307</v>
      </c>
      <c r="N893" s="374">
        <f t="array" ref="N893">SUM(N$873:N$885/$M$131:$M$143*($B893=$F$130:$N$130)*($F$131:$N$143))</f>
        <v>-15.553136194475444</v>
      </c>
      <c r="O893" s="2"/>
      <c r="W893" s="374"/>
      <c r="X893" s="374"/>
      <c r="Y893" s="374"/>
    </row>
    <row r="894" spans="2:25" s="4" customFormat="1">
      <c r="B894" s="367" t="s">
        <v>101</v>
      </c>
      <c r="C894" s="4" t="s">
        <v>91</v>
      </c>
      <c r="D894" s="2"/>
      <c r="E894" s="2"/>
      <c r="F894" s="374">
        <f t="array" ref="F894">SUM(F$873:F$885/$M$131:$M$143*($B894=$F$130:$N$130)*($F$131:$N$143))</f>
        <v>0</v>
      </c>
      <c r="G894" s="374">
        <f t="array" ref="G894">SUM(G$873:G$885/$M$131:$M$143*($B894=$F$130:$N$130)*($F$131:$N$143))</f>
        <v>0</v>
      </c>
      <c r="H894" s="374">
        <f t="array" ref="H894">SUM(H$873:H$885/$M$131:$M$143*($B894=$F$130:$N$130)*($F$131:$N$143))</f>
        <v>0</v>
      </c>
      <c r="I894" s="374">
        <f t="array" ref="I894">SUM(I$873:I$885/$M$131:$M$143*($B894=$F$130:$N$130)*($F$131:$N$143))</f>
        <v>0</v>
      </c>
      <c r="J894" s="374">
        <f t="array" ref="J894">SUM(J$873:J$885/$M$131:$M$143*($B894=$F$130:$N$130)*($F$131:$N$143))</f>
        <v>0</v>
      </c>
      <c r="K894" s="374">
        <f t="array" ref="K894">SUM(K$873:K$885/$M$131:$M$143*($B894=$F$130:$N$130)*($F$131:$N$143))</f>
        <v>0</v>
      </c>
      <c r="L894" s="374">
        <f t="array" ref="L894">SUM(L$873:L$885/$M$131:$M$143*($B894=$F$130:$N$130)*($F$131:$N$143))</f>
        <v>0</v>
      </c>
      <c r="M894" s="374">
        <f t="array" ref="M894">SUM(M$873:M$885/$M$131:$M$143*($B894=$F$130:$N$130)*($F$131:$N$143))</f>
        <v>0</v>
      </c>
      <c r="N894" s="374">
        <f t="array" ref="N894">SUM(N$873:N$885/$M$131:$M$143*($B894=$F$130:$N$130)*($F$131:$N$143))</f>
        <v>0</v>
      </c>
      <c r="O894" s="2"/>
      <c r="W894" s="374"/>
      <c r="X894" s="374"/>
      <c r="Y894" s="374"/>
    </row>
    <row r="895" spans="2:25" s="4" customFormat="1">
      <c r="B895" s="367" t="s">
        <v>102</v>
      </c>
      <c r="C895" s="4" t="s">
        <v>92</v>
      </c>
      <c r="D895" s="2"/>
      <c r="E895" s="2"/>
      <c r="F895" s="374">
        <f t="array" ref="F895">SUM(F$873:F$885/$M$131:$M$143*($B895=$F$130:$N$130)*($F$131:$N$143))</f>
        <v>-3.9114720951959371E-2</v>
      </c>
      <c r="G895" s="374">
        <f t="array" ref="G895">SUM(G$873:G$885/$M$131:$M$143*($B895=$F$130:$N$130)*($F$131:$N$143))</f>
        <v>-0.12856970850913069</v>
      </c>
      <c r="H895" s="374">
        <f t="array" ref="H895">SUM(H$873:H$885/$M$131:$M$143*($B895=$F$130:$N$130)*($F$131:$N$143))</f>
        <v>-0.10033866207944611</v>
      </c>
      <c r="I895" s="374">
        <f t="array" ref="I895">SUM(I$873:I$885/$M$131:$M$143*($B895=$F$130:$N$130)*($F$131:$N$143))</f>
        <v>-8.3609499562274064E-2</v>
      </c>
      <c r="J895" s="374">
        <f t="array" ref="J895">SUM(J$873:J$885/$M$131:$M$143*($B895=$F$130:$N$130)*($F$131:$N$143))</f>
        <v>-6.5966858663257438E-2</v>
      </c>
      <c r="K895" s="374">
        <f t="array" ref="K895">SUM(K$873:K$885/$M$131:$M$143*($B895=$F$130:$N$130)*($F$131:$N$143))</f>
        <v>-4.911073975774348E-2</v>
      </c>
      <c r="L895" s="374">
        <f t="array" ref="L895">SUM(L$873:L$885/$M$131:$M$143*($B895=$F$130:$N$130)*($F$131:$N$143))</f>
        <v>-3.273908080895261E-2</v>
      </c>
      <c r="M895" s="374">
        <f t="array" ref="M895">SUM(M$873:M$885/$M$131:$M$143*($B895=$F$130:$N$130)*($F$131:$N$143))</f>
        <v>-1.6601613263607741E-2</v>
      </c>
      <c r="N895" s="374">
        <f t="array" ref="N895">SUM(N$873:N$885/$M$131:$M$143*($B895=$F$130:$N$130)*($F$131:$N$143))</f>
        <v>0</v>
      </c>
      <c r="O895"/>
      <c r="W895" s="374"/>
      <c r="X895" s="374"/>
      <c r="Y895" s="374"/>
    </row>
    <row r="896" spans="2:25" s="4" customFormat="1">
      <c r="B896" s="367" t="s">
        <v>103</v>
      </c>
      <c r="C896" s="4" t="s">
        <v>93</v>
      </c>
      <c r="D896" s="2"/>
      <c r="E896" s="2"/>
      <c r="F896" s="374">
        <f t="array" ref="F896">SUM(F$873:F$885/$M$131:$M$143*($B896=$F$130:$N$130)*($F$131:$N$143))</f>
        <v>18.034895183541881</v>
      </c>
      <c r="G896" s="374">
        <f t="array" ref="G896">SUM(G$873:G$885/$M$131:$M$143*($B896=$F$130:$N$130)*($F$131:$N$143))</f>
        <v>16.285496411156554</v>
      </c>
      <c r="H896" s="374">
        <f t="array" ref="H896">SUM(H$873:H$885/$M$131:$M$143*($B896=$F$130:$N$130)*($F$131:$N$143))</f>
        <v>14.93931190960642</v>
      </c>
      <c r="I896" s="374">
        <f t="array" ref="I896">SUM(I$873:I$885/$M$131:$M$143*($B896=$F$130:$N$130)*($F$131:$N$143))</f>
        <v>15.049709921209329</v>
      </c>
      <c r="J896" s="374">
        <f t="array" ref="J896">SUM(J$873:J$885/$M$131:$M$143*($B896=$F$130:$N$130)*($F$131:$N$143))</f>
        <v>14.952487963671686</v>
      </c>
      <c r="K896" s="374">
        <f t="array" ref="K896">SUM(K$873:K$885/$M$131:$M$143*($B896=$F$130:$N$130)*($F$131:$N$143))</f>
        <v>14.951491881801902</v>
      </c>
      <c r="L896" s="374">
        <f t="array" ref="L896">SUM(L$873:L$885/$M$131:$M$143*($B896=$F$130:$N$130)*($F$131:$N$143))</f>
        <v>15.059977172118195</v>
      </c>
      <c r="M896" s="374">
        <f t="array" ref="M896">SUM(M$873:M$885/$M$131:$M$143*($B896=$F$130:$N$130)*($F$131:$N$143))</f>
        <v>15.384161624276492</v>
      </c>
      <c r="N896" s="374">
        <f t="array" ref="N896">SUM(N$873:N$885/$M$131:$M$143*($B896=$F$130:$N$130)*($F$131:$N$143))</f>
        <v>15.725948818858505</v>
      </c>
      <c r="O896" s="2"/>
      <c r="W896" s="374"/>
      <c r="X896" s="374"/>
      <c r="Y896" s="374"/>
    </row>
    <row r="897" spans="2:25" s="4" customFormat="1">
      <c r="B897" s="367" t="s">
        <v>104</v>
      </c>
      <c r="C897" s="4" t="s">
        <v>94</v>
      </c>
      <c r="D897" s="2"/>
      <c r="E897" s="2"/>
      <c r="F897" s="374">
        <f t="array" ref="F897">SUM(F$873:F$885/$M$131:$M$143*($B897=$F$130:$N$130)*($F$131:$N$143))</f>
        <v>1.6337645669448178</v>
      </c>
      <c r="G897" s="374">
        <f t="array" ref="G897">SUM(G$873:G$885/$M$131:$M$143*($B897=$F$130:$N$130)*($F$131:$N$143))</f>
        <v>1.7520815384207704</v>
      </c>
      <c r="H897" s="374">
        <f t="array" ref="H897">SUM(H$873:H$885/$M$131:$M$143*($B897=$F$130:$N$130)*($F$131:$N$143))</f>
        <v>1.5658355072680532</v>
      </c>
      <c r="I897" s="374">
        <f t="array" ref="I897">SUM(I$873:I$885/$M$131:$M$143*($B897=$F$130:$N$130)*($F$131:$N$143))</f>
        <v>1.5363024743318159</v>
      </c>
      <c r="J897" s="374">
        <f t="array" ref="J897">SUM(J$873:J$885/$M$131:$M$143*($B897=$F$130:$N$130)*($F$131:$N$143))</f>
        <v>1.4861397891321622</v>
      </c>
      <c r="K897" s="374">
        <f t="array" ref="K897">SUM(K$873:K$885/$M$131:$M$143*($B897=$F$130:$N$130)*($F$131:$N$143))</f>
        <v>1.4463927601213644</v>
      </c>
      <c r="L897" s="374">
        <f t="array" ref="L897">SUM(L$873:L$885/$M$131:$M$143*($B897=$F$130:$N$130)*($F$131:$N$143))</f>
        <v>1.4175305933135238</v>
      </c>
      <c r="M897" s="374">
        <f t="array" ref="M897">SUM(M$873:M$885/$M$131:$M$143*($B897=$F$130:$N$130)*($F$131:$N$143))</f>
        <v>1.4084190179027083</v>
      </c>
      <c r="N897" s="374">
        <f t="array" ref="N897">SUM(N$873:N$885/$M$131:$M$143*($B897=$F$130:$N$130)*($F$131:$N$143))</f>
        <v>1.3997822575027898</v>
      </c>
      <c r="O897" s="2"/>
      <c r="W897" s="374"/>
      <c r="X897" s="374"/>
      <c r="Y897" s="374"/>
    </row>
    <row r="898" spans="2:25" s="4" customFormat="1">
      <c r="E898" s="3843" t="str">
        <f>Preferences.EnergyUnits</f>
        <v>TWh</v>
      </c>
      <c r="F898" s="380">
        <f t="shared" ref="F898:N898" si="94">SUM(F889:F897)</f>
        <v>0</v>
      </c>
      <c r="G898" s="380">
        <f t="shared" si="94"/>
        <v>2.4424906541753444E-15</v>
      </c>
      <c r="H898" s="380">
        <f t="shared" si="94"/>
        <v>1.7763568394002505E-15</v>
      </c>
      <c r="I898" s="380">
        <f t="shared" si="94"/>
        <v>0</v>
      </c>
      <c r="J898" s="380">
        <f t="shared" si="94"/>
        <v>1.9984014443252818E-15</v>
      </c>
      <c r="K898" s="380">
        <f t="shared" si="94"/>
        <v>0</v>
      </c>
      <c r="L898" s="380">
        <f t="shared" si="94"/>
        <v>1.7763568394002505E-15</v>
      </c>
      <c r="M898" s="380">
        <f t="shared" si="94"/>
        <v>0</v>
      </c>
      <c r="N898" s="380">
        <f t="shared" si="94"/>
        <v>0</v>
      </c>
      <c r="O898" s="2"/>
      <c r="W898" s="374"/>
      <c r="X898" s="374"/>
      <c r="Y898" s="374"/>
    </row>
    <row r="899" spans="2:25" s="4" customFormat="1">
      <c r="C899" s="407"/>
      <c r="O899" s="2"/>
      <c r="W899" s="374"/>
      <c r="X899" s="374"/>
      <c r="Y899" s="374"/>
    </row>
    <row r="900" spans="2:25" s="4" customFormat="1">
      <c r="B900" s="2"/>
      <c r="C900" s="2"/>
      <c r="D900" s="2"/>
      <c r="E900" s="2"/>
      <c r="F900" s="374"/>
      <c r="G900" s="2"/>
      <c r="H900" s="2"/>
      <c r="I900" s="2"/>
      <c r="J900" s="2"/>
      <c r="K900" s="2"/>
      <c r="L900" s="2"/>
      <c r="M900" s="2"/>
      <c r="N900" s="2"/>
      <c r="O900" s="2"/>
      <c r="W900" s="374"/>
      <c r="X900" s="374"/>
      <c r="Y900" s="374"/>
    </row>
    <row r="901" spans="2:25" s="4" customFormat="1">
      <c r="B901" s="2"/>
      <c r="C901" s="2"/>
      <c r="D901" s="2"/>
      <c r="E901" s="2"/>
      <c r="F901" s="374"/>
      <c r="G901" s="2"/>
      <c r="H901" s="2"/>
      <c r="I901" s="2"/>
      <c r="J901" s="2"/>
      <c r="K901" s="2"/>
      <c r="L901" s="2"/>
      <c r="M901" s="2"/>
      <c r="N901" s="2"/>
      <c r="O901" s="2"/>
      <c r="W901" s="374"/>
      <c r="X901" s="374"/>
      <c r="Y901" s="374"/>
    </row>
    <row r="902" spans="2:25" s="4" customFormat="1">
      <c r="B902" s="2"/>
      <c r="C902" s="2"/>
      <c r="D902" s="2"/>
      <c r="E902" s="2"/>
      <c r="F902" s="374"/>
      <c r="G902" s="2"/>
      <c r="H902" s="2"/>
      <c r="I902" s="2"/>
      <c r="J902" s="2"/>
      <c r="K902" s="2"/>
      <c r="L902" s="2"/>
      <c r="M902" s="2"/>
      <c r="N902" s="2"/>
      <c r="O902" s="2"/>
      <c r="W902" s="374"/>
      <c r="X902" s="374"/>
      <c r="Y902" s="374"/>
    </row>
    <row r="903" spans="2:25" s="4" customFormat="1">
      <c r="B903" s="408">
        <v>5</v>
      </c>
      <c r="C903" s="408" t="s">
        <v>247</v>
      </c>
      <c r="D903" s="38"/>
      <c r="E903" s="364"/>
      <c r="F903" s="365">
        <v>2013</v>
      </c>
      <c r="G903" s="365">
        <v>2015</v>
      </c>
      <c r="H903" s="365">
        <v>2020</v>
      </c>
      <c r="I903" s="365">
        <v>2025</v>
      </c>
      <c r="J903" s="365">
        <v>2030</v>
      </c>
      <c r="K903" s="365">
        <v>2035</v>
      </c>
      <c r="L903" s="365">
        <v>2040</v>
      </c>
      <c r="M903" s="365">
        <v>2045</v>
      </c>
      <c r="N903" s="365">
        <v>2050</v>
      </c>
      <c r="O903" s="2"/>
      <c r="W903" s="374"/>
      <c r="X903" s="374"/>
      <c r="Y903" s="374"/>
    </row>
    <row r="904" spans="2:25" s="4" customFormat="1" hidden="1">
      <c r="B904" s="2"/>
      <c r="C904" s="2"/>
      <c r="D904" s="2"/>
      <c r="E904" s="2"/>
      <c r="F904" s="374"/>
      <c r="G904" s="2"/>
      <c r="H904" s="2"/>
      <c r="I904" s="2"/>
      <c r="J904" s="2"/>
      <c r="K904" s="2"/>
      <c r="L904" s="2"/>
      <c r="M904" s="2"/>
      <c r="N904" s="2"/>
      <c r="O904" s="2"/>
      <c r="W904" s="374"/>
      <c r="X904" s="374"/>
      <c r="Y904" s="374"/>
    </row>
    <row r="905" spans="2:25" s="4" customFormat="1" hidden="1">
      <c r="B905" s="2"/>
      <c r="C905" s="363" t="s">
        <v>248</v>
      </c>
      <c r="D905" s="2"/>
      <c r="E905" s="364" t="s">
        <v>27</v>
      </c>
      <c r="F905" s="409"/>
      <c r="G905" s="409"/>
      <c r="H905" s="409"/>
      <c r="I905" s="409"/>
      <c r="J905" s="409"/>
      <c r="K905" s="409"/>
      <c r="L905" s="409"/>
      <c r="M905" s="409"/>
      <c r="N905" s="409"/>
      <c r="O905" s="2"/>
      <c r="W905" s="374"/>
      <c r="X905" s="374"/>
      <c r="Y905" s="374"/>
    </row>
    <row r="906" spans="2:25" s="4" customFormat="1" hidden="1">
      <c r="B906" s="2"/>
      <c r="C906" s="2">
        <v>1</v>
      </c>
      <c r="D906" s="2" t="s">
        <v>61</v>
      </c>
      <c r="E906" s="364"/>
      <c r="F906" s="409"/>
      <c r="G906" s="409"/>
      <c r="H906" s="409"/>
      <c r="I906" s="409"/>
      <c r="J906" s="409"/>
      <c r="K906" s="409"/>
      <c r="L906" s="409"/>
      <c r="M906" s="409"/>
      <c r="N906" s="409"/>
      <c r="O906" s="2"/>
      <c r="W906" s="374"/>
      <c r="X906" s="374"/>
      <c r="Y906" s="374"/>
    </row>
    <row r="907" spans="2:25" s="4" customFormat="1" hidden="1">
      <c r="B907" s="2"/>
      <c r="C907" s="2">
        <v>2</v>
      </c>
      <c r="D907" s="2" t="s">
        <v>62</v>
      </c>
      <c r="E907" s="364"/>
      <c r="F907" s="410"/>
      <c r="G907" s="410"/>
      <c r="H907" s="410"/>
      <c r="I907" s="410"/>
      <c r="J907" s="410"/>
      <c r="K907" s="410"/>
      <c r="L907" s="410"/>
      <c r="M907" s="410"/>
      <c r="N907" s="410"/>
      <c r="O907" s="2"/>
      <c r="W907" s="374"/>
      <c r="X907" s="374"/>
      <c r="Y907" s="374"/>
    </row>
    <row r="908" spans="2:25" s="4" customFormat="1" hidden="1">
      <c r="B908" s="2"/>
      <c r="C908" s="2">
        <v>3</v>
      </c>
      <c r="D908" s="2" t="s">
        <v>63</v>
      </c>
      <c r="E908" s="364"/>
      <c r="F908" s="410"/>
      <c r="G908" s="410"/>
      <c r="H908" s="410"/>
      <c r="I908" s="410"/>
      <c r="J908" s="410"/>
      <c r="K908" s="410"/>
      <c r="L908" s="410"/>
      <c r="M908" s="410"/>
      <c r="N908" s="410"/>
      <c r="O908" s="2"/>
      <c r="W908" s="374"/>
      <c r="X908" s="374"/>
      <c r="Y908" s="374"/>
    </row>
    <row r="909" spans="2:25" s="4" customFormat="1" hidden="1">
      <c r="B909" s="2"/>
      <c r="C909" s="2"/>
      <c r="D909" s="2"/>
      <c r="E909" s="364"/>
      <c r="F909" s="410"/>
      <c r="G909" s="410"/>
      <c r="H909" s="410"/>
      <c r="I909" s="410"/>
      <c r="J909" s="410"/>
      <c r="K909" s="410"/>
      <c r="L909" s="410"/>
      <c r="M909" s="410"/>
      <c r="N909" s="410"/>
      <c r="O909" s="2"/>
      <c r="W909" s="374"/>
      <c r="X909" s="374"/>
      <c r="Y909" s="374"/>
    </row>
    <row r="910" spans="2:25" s="4" customFormat="1" hidden="1">
      <c r="B910" s="2"/>
      <c r="C910" s="2"/>
      <c r="D910" s="2"/>
      <c r="E910" s="364"/>
      <c r="F910" s="410"/>
      <c r="G910" s="410"/>
      <c r="H910" s="410"/>
      <c r="I910" s="410"/>
      <c r="J910" s="410"/>
      <c r="K910" s="410"/>
      <c r="L910" s="410"/>
      <c r="M910" s="410" t="s">
        <v>5</v>
      </c>
      <c r="N910" s="410"/>
      <c r="O910" s="2"/>
      <c r="W910" s="374"/>
      <c r="X910" s="374"/>
      <c r="Y910" s="374"/>
    </row>
    <row r="911" spans="2:25" s="4" customFormat="1" hidden="1">
      <c r="B911" s="2"/>
      <c r="C911" s="363" t="s">
        <v>249</v>
      </c>
      <c r="D911" s="2"/>
      <c r="E911" s="364"/>
      <c r="F911" s="409"/>
      <c r="G911" s="409"/>
      <c r="H911" s="409"/>
      <c r="I911" s="409"/>
      <c r="J911" s="409"/>
      <c r="K911" s="409"/>
      <c r="L911" s="409"/>
      <c r="M911" s="409"/>
      <c r="N911" s="409"/>
      <c r="O911" s="2"/>
      <c r="W911" s="374"/>
      <c r="X911" s="374"/>
      <c r="Y911" s="374"/>
    </row>
    <row r="912" spans="2:25" s="4" customFormat="1" hidden="1">
      <c r="B912" s="2"/>
      <c r="C912" s="2"/>
      <c r="D912" s="2"/>
      <c r="E912" s="367"/>
      <c r="F912" s="410"/>
      <c r="G912" s="410"/>
      <c r="H912" s="410"/>
      <c r="I912" s="410"/>
      <c r="J912" s="410"/>
      <c r="K912" s="410"/>
      <c r="L912" s="410"/>
      <c r="M912" s="410"/>
      <c r="N912" s="410"/>
      <c r="O912" s="2"/>
      <c r="W912" s="374"/>
      <c r="X912" s="374"/>
      <c r="Y912" s="374"/>
    </row>
    <row r="913" spans="2:25" s="4" customFormat="1" hidden="1">
      <c r="B913" s="367" t="s">
        <v>96</v>
      </c>
      <c r="C913" s="4" t="s">
        <v>86</v>
      </c>
      <c r="D913" s="2"/>
      <c r="E913" s="367"/>
      <c r="F913" s="374"/>
      <c r="G913" s="374"/>
      <c r="H913" s="374"/>
      <c r="I913" s="374"/>
      <c r="J913" s="374"/>
      <c r="K913" s="374"/>
      <c r="L913" s="374"/>
      <c r="M913" s="374"/>
      <c r="N913" s="374"/>
      <c r="O913" s="2"/>
      <c r="W913" s="374"/>
      <c r="X913" s="374"/>
      <c r="Y913" s="374"/>
    </row>
    <row r="914" spans="2:25" s="4" customFormat="1" hidden="1">
      <c r="B914" s="367" t="s">
        <v>97</v>
      </c>
      <c r="C914" s="4" t="s">
        <v>87</v>
      </c>
      <c r="D914" s="2"/>
      <c r="E914" s="367"/>
      <c r="F914" s="374"/>
      <c r="G914" s="374"/>
      <c r="H914" s="374"/>
      <c r="I914" s="374"/>
      <c r="J914" s="374"/>
      <c r="K914" s="374"/>
      <c r="L914" s="374"/>
      <c r="M914" s="374"/>
      <c r="N914" s="374"/>
      <c r="O914" s="2"/>
      <c r="W914" s="374"/>
      <c r="X914" s="374"/>
      <c r="Y914" s="374"/>
    </row>
    <row r="915" spans="2:25" s="4" customFormat="1" hidden="1">
      <c r="B915" s="367" t="s">
        <v>98</v>
      </c>
      <c r="C915" s="4" t="s">
        <v>88</v>
      </c>
      <c r="D915" s="2"/>
      <c r="E915" s="367"/>
      <c r="F915" s="374"/>
      <c r="G915" s="374"/>
      <c r="H915" s="374"/>
      <c r="I915" s="374"/>
      <c r="J915" s="374"/>
      <c r="K915" s="374"/>
      <c r="L915" s="374"/>
      <c r="M915" s="374"/>
      <c r="N915" s="374"/>
      <c r="O915" s="2"/>
      <c r="W915" s="374"/>
      <c r="X915" s="374"/>
      <c r="Y915" s="374"/>
    </row>
    <row r="916" spans="2:25" s="4" customFormat="1" hidden="1">
      <c r="B916" s="367" t="s">
        <v>99</v>
      </c>
      <c r="C916" s="4" t="s">
        <v>89</v>
      </c>
      <c r="D916" s="2"/>
      <c r="E916" s="367"/>
      <c r="F916" s="374"/>
      <c r="G916" s="374"/>
      <c r="H916" s="374"/>
      <c r="I916" s="374"/>
      <c r="J916" s="374"/>
      <c r="K916" s="374"/>
      <c r="L916" s="374"/>
      <c r="M916" s="374"/>
      <c r="N916" s="374"/>
      <c r="O916" s="2"/>
      <c r="W916" s="374"/>
      <c r="X916" s="374"/>
      <c r="Y916" s="374"/>
    </row>
    <row r="917" spans="2:25" s="4" customFormat="1" hidden="1">
      <c r="B917" s="367" t="s">
        <v>100</v>
      </c>
      <c r="C917" s="4" t="s">
        <v>90</v>
      </c>
      <c r="D917" s="2"/>
      <c r="E917" s="367"/>
      <c r="F917" s="374"/>
      <c r="G917" s="374"/>
      <c r="H917" s="374"/>
      <c r="I917" s="374"/>
      <c r="J917" s="374"/>
      <c r="K917" s="374"/>
      <c r="L917" s="374"/>
      <c r="M917" s="374"/>
      <c r="N917" s="374"/>
      <c r="O917" s="2"/>
      <c r="W917" s="374"/>
      <c r="X917" s="374"/>
      <c r="Y917" s="374"/>
    </row>
    <row r="918" spans="2:25" s="4" customFormat="1" hidden="1">
      <c r="B918" s="367" t="s">
        <v>101</v>
      </c>
      <c r="C918" s="4" t="s">
        <v>91</v>
      </c>
      <c r="D918" s="2"/>
      <c r="E918" s="367"/>
      <c r="F918" s="374"/>
      <c r="G918" s="374"/>
      <c r="H918" s="374"/>
      <c r="I918" s="374"/>
      <c r="J918" s="374"/>
      <c r="K918" s="374"/>
      <c r="L918" s="374"/>
      <c r="M918" s="374"/>
      <c r="N918" s="374"/>
      <c r="O918" s="2"/>
      <c r="W918" s="374"/>
      <c r="X918" s="374"/>
      <c r="Y918" s="374"/>
    </row>
    <row r="919" spans="2:25" s="4" customFormat="1" hidden="1">
      <c r="B919" s="367" t="s">
        <v>102</v>
      </c>
      <c r="C919" s="4" t="s">
        <v>92</v>
      </c>
      <c r="D919" s="2"/>
      <c r="E919" s="367"/>
      <c r="F919" s="374"/>
      <c r="G919" s="374"/>
      <c r="H919" s="374"/>
      <c r="I919" s="374"/>
      <c r="J919" s="374"/>
      <c r="K919" s="374"/>
      <c r="L919" s="374"/>
      <c r="M919" s="374"/>
      <c r="N919" s="374"/>
      <c r="O919" s="2"/>
      <c r="W919" s="374"/>
      <c r="X919" s="374"/>
      <c r="Y919" s="374"/>
    </row>
    <row r="920" spans="2:25" s="4" customFormat="1" hidden="1">
      <c r="B920" s="367" t="s">
        <v>103</v>
      </c>
      <c r="C920" s="4" t="s">
        <v>93</v>
      </c>
      <c r="D920" s="2"/>
      <c r="E920" s="367"/>
      <c r="F920" s="374"/>
      <c r="G920" s="374"/>
      <c r="H920" s="374"/>
      <c r="I920" s="374"/>
      <c r="J920" s="374"/>
      <c r="K920" s="374"/>
      <c r="L920" s="374"/>
      <c r="M920" s="374"/>
      <c r="N920" s="374"/>
      <c r="O920" s="2"/>
      <c r="W920" s="374"/>
      <c r="X920" s="374"/>
      <c r="Y920" s="374"/>
    </row>
    <row r="921" spans="2:25" s="4" customFormat="1" hidden="1">
      <c r="B921" s="367" t="s">
        <v>104</v>
      </c>
      <c r="C921" s="4" t="s">
        <v>94</v>
      </c>
      <c r="D921" s="2"/>
      <c r="E921" s="367"/>
      <c r="F921" s="374"/>
      <c r="G921" s="374"/>
      <c r="H921" s="374"/>
      <c r="I921" s="374"/>
      <c r="J921" s="374"/>
      <c r="K921" s="374"/>
      <c r="L921" s="374"/>
      <c r="M921" s="374"/>
      <c r="N921" s="374"/>
      <c r="O921" s="2"/>
      <c r="W921" s="374"/>
      <c r="X921" s="374"/>
      <c r="Y921" s="374"/>
    </row>
    <row r="922" spans="2:25" s="4" customFormat="1" hidden="1">
      <c r="B922" s="367"/>
      <c r="D922" s="2"/>
      <c r="E922" s="364" t="s">
        <v>27</v>
      </c>
      <c r="F922" s="380">
        <f>SUM(F913:F921)</f>
        <v>0</v>
      </c>
      <c r="G922" s="380">
        <f t="shared" ref="G922:N922" si="95">SUM(G913:G921)</f>
        <v>0</v>
      </c>
      <c r="H922" s="380">
        <f t="shared" si="95"/>
        <v>0</v>
      </c>
      <c r="I922" s="380">
        <f t="shared" si="95"/>
        <v>0</v>
      </c>
      <c r="J922" s="380">
        <f t="shared" si="95"/>
        <v>0</v>
      </c>
      <c r="K922" s="380">
        <f t="shared" si="95"/>
        <v>0</v>
      </c>
      <c r="L922" s="380">
        <f t="shared" si="95"/>
        <v>0</v>
      </c>
      <c r="M922" s="380">
        <f t="shared" si="95"/>
        <v>0</v>
      </c>
      <c r="N922" s="380">
        <f t="shared" si="95"/>
        <v>0</v>
      </c>
      <c r="O922" s="2"/>
      <c r="W922" s="374"/>
      <c r="X922" s="374"/>
      <c r="Y922" s="374"/>
    </row>
    <row r="923" spans="2:25" s="4" customFormat="1" hidden="1">
      <c r="B923" s="367"/>
      <c r="D923" s="2"/>
      <c r="E923" s="367"/>
      <c r="F923" s="410"/>
      <c r="G923" s="410"/>
      <c r="H923" s="410"/>
      <c r="I923" s="410"/>
      <c r="J923" s="410"/>
      <c r="K923" s="410"/>
      <c r="L923" s="410"/>
      <c r="M923" s="410"/>
      <c r="N923" s="410"/>
      <c r="O923" s="2"/>
      <c r="W923" s="374"/>
      <c r="X923" s="374"/>
      <c r="Y923" s="374"/>
    </row>
    <row r="924" spans="2:25" s="4" customFormat="1" hidden="1">
      <c r="B924" s="2"/>
      <c r="C924" s="363" t="s">
        <v>250</v>
      </c>
      <c r="D924" s="2"/>
      <c r="E924" s="364"/>
      <c r="F924" s="409"/>
      <c r="G924" s="409"/>
      <c r="H924" s="409"/>
      <c r="I924" s="409"/>
      <c r="J924" s="409"/>
      <c r="K924" s="409"/>
      <c r="L924" s="409"/>
      <c r="M924" s="409"/>
      <c r="N924" s="409"/>
      <c r="O924" s="2"/>
      <c r="W924" s="374"/>
      <c r="X924" s="374"/>
      <c r="Y924" s="374"/>
    </row>
    <row r="925" spans="2:25" s="4" customFormat="1" hidden="1">
      <c r="B925" s="2"/>
      <c r="C925" s="2"/>
      <c r="D925" s="2"/>
      <c r="E925" s="367"/>
      <c r="F925" s="410"/>
      <c r="G925" s="410"/>
      <c r="H925" s="410"/>
      <c r="I925" s="410"/>
      <c r="J925" s="410"/>
      <c r="K925" s="410"/>
      <c r="L925" s="410"/>
      <c r="M925" s="410"/>
      <c r="N925" s="410"/>
      <c r="O925" s="2"/>
      <c r="W925" s="374"/>
      <c r="X925" s="374"/>
      <c r="Y925" s="374"/>
    </row>
    <row r="926" spans="2:25" s="4" customFormat="1" hidden="1">
      <c r="B926" s="367" t="s">
        <v>96</v>
      </c>
      <c r="C926" s="4" t="s">
        <v>86</v>
      </c>
      <c r="D926" s="2"/>
      <c r="E926" s="367"/>
      <c r="F926" s="374">
        <f>F913</f>
        <v>0</v>
      </c>
      <c r="G926" s="374">
        <f t="shared" ref="G926:N926" si="96">G913</f>
        <v>0</v>
      </c>
      <c r="H926" s="374">
        <f t="shared" si="96"/>
        <v>0</v>
      </c>
      <c r="I926" s="374">
        <f t="shared" si="96"/>
        <v>0</v>
      </c>
      <c r="J926" s="374">
        <f t="shared" si="96"/>
        <v>0</v>
      </c>
      <c r="K926" s="374">
        <f t="shared" si="96"/>
        <v>0</v>
      </c>
      <c r="L926" s="374">
        <f t="shared" si="96"/>
        <v>0</v>
      </c>
      <c r="M926" s="374">
        <f t="shared" si="96"/>
        <v>0</v>
      </c>
      <c r="N926" s="374">
        <f t="shared" si="96"/>
        <v>0</v>
      </c>
      <c r="O926" s="2"/>
      <c r="W926" s="374"/>
      <c r="X926" s="374"/>
      <c r="Y926" s="374"/>
    </row>
    <row r="927" spans="2:25" s="4" customFormat="1" hidden="1">
      <c r="B927" s="367" t="s">
        <v>97</v>
      </c>
      <c r="C927" s="4" t="s">
        <v>87</v>
      </c>
      <c r="D927" s="2"/>
      <c r="E927" s="367"/>
      <c r="F927" s="374">
        <f t="shared" ref="F927:N931" si="97">F914</f>
        <v>0</v>
      </c>
      <c r="G927" s="374">
        <f t="shared" si="97"/>
        <v>0</v>
      </c>
      <c r="H927" s="374">
        <f t="shared" si="97"/>
        <v>0</v>
      </c>
      <c r="I927" s="374">
        <f t="shared" si="97"/>
        <v>0</v>
      </c>
      <c r="J927" s="374">
        <f t="shared" si="97"/>
        <v>0</v>
      </c>
      <c r="K927" s="374">
        <f t="shared" si="97"/>
        <v>0</v>
      </c>
      <c r="L927" s="374">
        <f t="shared" si="97"/>
        <v>0</v>
      </c>
      <c r="M927" s="374">
        <f t="shared" si="97"/>
        <v>0</v>
      </c>
      <c r="N927" s="374">
        <f t="shared" si="97"/>
        <v>0</v>
      </c>
      <c r="O927" s="2"/>
      <c r="W927" s="374"/>
      <c r="X927" s="374"/>
      <c r="Y927" s="374"/>
    </row>
    <row r="928" spans="2:25" s="4" customFormat="1" hidden="1">
      <c r="B928" s="367" t="s">
        <v>98</v>
      </c>
      <c r="C928" s="4" t="s">
        <v>88</v>
      </c>
      <c r="D928" s="2"/>
      <c r="E928" s="367"/>
      <c r="F928" s="374">
        <f t="shared" si="97"/>
        <v>0</v>
      </c>
      <c r="G928" s="374">
        <f t="shared" si="97"/>
        <v>0</v>
      </c>
      <c r="H928" s="374">
        <f t="shared" si="97"/>
        <v>0</v>
      </c>
      <c r="I928" s="374">
        <f t="shared" si="97"/>
        <v>0</v>
      </c>
      <c r="J928" s="374">
        <f t="shared" si="97"/>
        <v>0</v>
      </c>
      <c r="K928" s="374">
        <f t="shared" si="97"/>
        <v>0</v>
      </c>
      <c r="L928" s="374">
        <f t="shared" si="97"/>
        <v>0</v>
      </c>
      <c r="M928" s="374">
        <f t="shared" si="97"/>
        <v>0</v>
      </c>
      <c r="N928" s="374">
        <f t="shared" si="97"/>
        <v>0</v>
      </c>
      <c r="O928" s="2"/>
      <c r="W928" s="374"/>
      <c r="X928" s="374"/>
      <c r="Y928" s="374"/>
    </row>
    <row r="929" spans="1:25" s="4" customFormat="1" hidden="1">
      <c r="B929" s="367" t="s">
        <v>99</v>
      </c>
      <c r="C929" s="4" t="s">
        <v>89</v>
      </c>
      <c r="D929" s="2"/>
      <c r="E929" s="367"/>
      <c r="F929" s="374">
        <f t="shared" si="97"/>
        <v>0</v>
      </c>
      <c r="G929" s="374">
        <f t="shared" si="97"/>
        <v>0</v>
      </c>
      <c r="H929" s="374">
        <f t="shared" si="97"/>
        <v>0</v>
      </c>
      <c r="I929" s="374">
        <f t="shared" si="97"/>
        <v>0</v>
      </c>
      <c r="J929" s="374">
        <f t="shared" si="97"/>
        <v>0</v>
      </c>
      <c r="K929" s="374">
        <f t="shared" si="97"/>
        <v>0</v>
      </c>
      <c r="L929" s="374">
        <f t="shared" si="97"/>
        <v>0</v>
      </c>
      <c r="M929" s="374">
        <f t="shared" si="97"/>
        <v>0</v>
      </c>
      <c r="N929" s="374">
        <f t="shared" si="97"/>
        <v>0</v>
      </c>
      <c r="O929" s="2"/>
      <c r="W929" s="374"/>
      <c r="X929" s="374"/>
      <c r="Y929" s="374"/>
    </row>
    <row r="930" spans="1:25" s="4" customFormat="1" hidden="1">
      <c r="B930" s="367" t="s">
        <v>100</v>
      </c>
      <c r="C930" s="4" t="s">
        <v>90</v>
      </c>
      <c r="D930" s="2"/>
      <c r="E930" s="367"/>
      <c r="F930" s="374">
        <f t="shared" si="97"/>
        <v>0</v>
      </c>
      <c r="G930" s="374">
        <f t="shared" si="97"/>
        <v>0</v>
      </c>
      <c r="H930" s="374">
        <f t="shared" si="97"/>
        <v>0</v>
      </c>
      <c r="I930" s="374">
        <f t="shared" si="97"/>
        <v>0</v>
      </c>
      <c r="J930" s="374">
        <f t="shared" si="97"/>
        <v>0</v>
      </c>
      <c r="K930" s="374">
        <f t="shared" si="97"/>
        <v>0</v>
      </c>
      <c r="L930" s="374">
        <f t="shared" si="97"/>
        <v>0</v>
      </c>
      <c r="M930" s="374">
        <f t="shared" si="97"/>
        <v>0</v>
      </c>
      <c r="N930" s="374">
        <f t="shared" si="97"/>
        <v>0</v>
      </c>
      <c r="O930" s="2"/>
      <c r="W930" s="374"/>
      <c r="X930" s="374"/>
      <c r="Y930" s="374"/>
    </row>
    <row r="931" spans="1:25" s="4" customFormat="1" hidden="1">
      <c r="B931" s="367" t="s">
        <v>101</v>
      </c>
      <c r="C931" s="4" t="s">
        <v>91</v>
      </c>
      <c r="D931" s="2"/>
      <c r="E931" s="367"/>
      <c r="F931" s="374">
        <f t="shared" si="97"/>
        <v>0</v>
      </c>
      <c r="G931" s="374">
        <f t="shared" si="97"/>
        <v>0</v>
      </c>
      <c r="H931" s="374">
        <f t="shared" si="97"/>
        <v>0</v>
      </c>
      <c r="I931" s="374">
        <f t="shared" si="97"/>
        <v>0</v>
      </c>
      <c r="J931" s="374">
        <f t="shared" si="97"/>
        <v>0</v>
      </c>
      <c r="K931" s="374">
        <f t="shared" si="97"/>
        <v>0</v>
      </c>
      <c r="L931" s="374">
        <f t="shared" si="97"/>
        <v>0</v>
      </c>
      <c r="M931" s="374">
        <f t="shared" si="97"/>
        <v>0</v>
      </c>
      <c r="N931" s="374">
        <f t="shared" si="97"/>
        <v>0</v>
      </c>
      <c r="O931" s="2"/>
      <c r="W931" s="374"/>
      <c r="X931" s="374"/>
      <c r="Y931" s="374"/>
    </row>
    <row r="932" spans="1:25" s="4" customFormat="1" hidden="1">
      <c r="B932" s="367" t="s">
        <v>102</v>
      </c>
      <c r="C932" s="4" t="s">
        <v>92</v>
      </c>
      <c r="D932" s="2"/>
      <c r="E932" s="367"/>
      <c r="F932" s="374">
        <v>0</v>
      </c>
      <c r="G932" s="374">
        <v>0</v>
      </c>
      <c r="H932" s="374">
        <v>0</v>
      </c>
      <c r="I932" s="374">
        <v>0</v>
      </c>
      <c r="J932" s="374">
        <v>0</v>
      </c>
      <c r="K932" s="374">
        <v>0</v>
      </c>
      <c r="L932" s="374">
        <v>0</v>
      </c>
      <c r="M932" s="374">
        <v>0</v>
      </c>
      <c r="N932" s="374">
        <v>0</v>
      </c>
      <c r="O932" s="2"/>
      <c r="W932" s="374"/>
      <c r="X932" s="374"/>
      <c r="Y932" s="374"/>
    </row>
    <row r="933" spans="1:25" s="4" customFormat="1" hidden="1">
      <c r="B933" s="367" t="s">
        <v>103</v>
      </c>
      <c r="C933" s="4" t="s">
        <v>93</v>
      </c>
      <c r="D933" s="2"/>
      <c r="E933" s="367"/>
      <c r="F933" s="411">
        <f>-SUM(F926:F932)-F934</f>
        <v>0</v>
      </c>
      <c r="G933" s="411">
        <f t="shared" ref="G933:N933" si="98">-SUM(G926:G932)-G934</f>
        <v>0</v>
      </c>
      <c r="H933" s="411">
        <f t="shared" si="98"/>
        <v>0</v>
      </c>
      <c r="I933" s="411">
        <f t="shared" si="98"/>
        <v>0</v>
      </c>
      <c r="J933" s="411">
        <f t="shared" si="98"/>
        <v>0</v>
      </c>
      <c r="K933" s="411">
        <f t="shared" si="98"/>
        <v>0</v>
      </c>
      <c r="L933" s="411">
        <f t="shared" si="98"/>
        <v>0</v>
      </c>
      <c r="M933" s="411">
        <f t="shared" si="98"/>
        <v>0</v>
      </c>
      <c r="N933" s="411">
        <f t="shared" si="98"/>
        <v>0</v>
      </c>
      <c r="O933" s="2"/>
      <c r="W933" s="374"/>
      <c r="X933" s="374"/>
      <c r="Y933" s="374"/>
    </row>
    <row r="934" spans="1:25" s="4" customFormat="1" hidden="1">
      <c r="B934" s="367" t="s">
        <v>104</v>
      </c>
      <c r="C934" s="4" t="s">
        <v>94</v>
      </c>
      <c r="D934" s="2"/>
      <c r="E934" s="367"/>
      <c r="F934" s="374">
        <f t="shared" ref="F934:N934" si="99">F921</f>
        <v>0</v>
      </c>
      <c r="G934" s="374">
        <f t="shared" si="99"/>
        <v>0</v>
      </c>
      <c r="H934" s="374">
        <f t="shared" si="99"/>
        <v>0</v>
      </c>
      <c r="I934" s="374">
        <f t="shared" si="99"/>
        <v>0</v>
      </c>
      <c r="J934" s="374">
        <f t="shared" si="99"/>
        <v>0</v>
      </c>
      <c r="K934" s="374">
        <f t="shared" si="99"/>
        <v>0</v>
      </c>
      <c r="L934" s="374">
        <f t="shared" si="99"/>
        <v>0</v>
      </c>
      <c r="M934" s="374">
        <f t="shared" si="99"/>
        <v>0</v>
      </c>
      <c r="N934" s="374">
        <f t="shared" si="99"/>
        <v>0</v>
      </c>
      <c r="O934" s="2"/>
      <c r="W934" s="374"/>
      <c r="X934" s="374"/>
      <c r="Y934" s="374"/>
    </row>
    <row r="935" spans="1:25" s="4" customFormat="1" hidden="1">
      <c r="B935" s="367"/>
      <c r="D935" s="2"/>
      <c r="E935" s="364" t="s">
        <v>27</v>
      </c>
      <c r="F935" s="380">
        <f>SUM(F926:F934)</f>
        <v>0</v>
      </c>
      <c r="G935" s="380">
        <f t="shared" ref="G935:N935" si="100">SUM(G926:G934)</f>
        <v>0</v>
      </c>
      <c r="H935" s="380">
        <f t="shared" si="100"/>
        <v>0</v>
      </c>
      <c r="I935" s="380">
        <f t="shared" si="100"/>
        <v>0</v>
      </c>
      <c r="J935" s="380">
        <f t="shared" si="100"/>
        <v>0</v>
      </c>
      <c r="K935" s="380">
        <f t="shared" si="100"/>
        <v>0</v>
      </c>
      <c r="L935" s="380">
        <f t="shared" si="100"/>
        <v>0</v>
      </c>
      <c r="M935" s="380">
        <f t="shared" si="100"/>
        <v>0</v>
      </c>
      <c r="N935" s="380">
        <f t="shared" si="100"/>
        <v>0</v>
      </c>
      <c r="O935" s="2"/>
      <c r="W935" s="374"/>
      <c r="X935" s="374"/>
      <c r="Y935" s="374"/>
    </row>
    <row r="936" spans="1:25" s="4" customFormat="1" hidden="1">
      <c r="B936" s="2"/>
      <c r="C936" s="2"/>
      <c r="D936" s="2"/>
      <c r="E936" s="2"/>
      <c r="F936" s="374"/>
      <c r="G936" s="2"/>
      <c r="H936" s="2"/>
      <c r="I936" s="2"/>
      <c r="J936" s="2"/>
      <c r="K936" s="2"/>
      <c r="L936" s="2"/>
      <c r="M936" s="2"/>
      <c r="N936" s="2"/>
      <c r="O936" s="2"/>
      <c r="W936" s="374"/>
      <c r="X936" s="374"/>
      <c r="Y936" s="374"/>
    </row>
    <row r="937" spans="1:25" s="4" customFormat="1">
      <c r="B937" s="2"/>
      <c r="C937" s="2"/>
      <c r="D937" s="2"/>
      <c r="E937" s="2"/>
      <c r="F937" s="374"/>
      <c r="G937" s="2"/>
      <c r="H937" s="2"/>
      <c r="I937" s="2"/>
      <c r="J937" s="2"/>
      <c r="K937" s="2"/>
      <c r="L937" s="2"/>
      <c r="M937" s="2"/>
      <c r="N937" s="2"/>
      <c r="O937" s="2"/>
      <c r="W937" s="374"/>
      <c r="X937" s="374"/>
      <c r="Y937" s="374"/>
    </row>
    <row r="938" spans="1:25" s="4" customFormat="1">
      <c r="B938" s="363">
        <v>5</v>
      </c>
      <c r="C938" s="363" t="s">
        <v>251</v>
      </c>
      <c r="D938" s="2"/>
      <c r="F938" s="364">
        <v>2013</v>
      </c>
      <c r="G938" s="364">
        <v>2015</v>
      </c>
      <c r="H938" s="364">
        <v>2020</v>
      </c>
      <c r="I938" s="364">
        <v>2025</v>
      </c>
      <c r="J938" s="364">
        <v>2030</v>
      </c>
      <c r="K938" s="364">
        <v>2035</v>
      </c>
      <c r="L938" s="364">
        <v>2040</v>
      </c>
      <c r="M938" s="364">
        <v>2045</v>
      </c>
      <c r="N938" s="364">
        <v>2050</v>
      </c>
      <c r="O938" s="2"/>
      <c r="W938" s="374"/>
      <c r="X938" s="374"/>
      <c r="Y938" s="374"/>
    </row>
    <row r="939" spans="1:25" s="4" customFormat="1">
      <c r="A939"/>
      <c r="B939" s="2"/>
      <c r="C939" s="2"/>
      <c r="D939" s="2"/>
      <c r="E939" s="2"/>
      <c r="F939" s="374"/>
      <c r="G939" s="2"/>
      <c r="H939" s="2"/>
      <c r="I939" s="2"/>
      <c r="J939" s="2"/>
      <c r="K939" s="2"/>
      <c r="L939" s="2"/>
      <c r="M939" s="2"/>
      <c r="N939" s="2"/>
      <c r="O939" s="2"/>
      <c r="W939" s="374"/>
      <c r="X939" s="374"/>
      <c r="Y939" s="374"/>
    </row>
    <row r="940" spans="1:25" s="4" customFormat="1">
      <c r="A940"/>
      <c r="B940" s="367" t="s">
        <v>96</v>
      </c>
      <c r="C940" s="4" t="s">
        <v>86</v>
      </c>
      <c r="D940" s="2"/>
      <c r="E940" s="2"/>
      <c r="F940" s="374">
        <f t="shared" ref="F940:N940" ca="1" si="101">F782+F889+F926</f>
        <v>-0.88256437808531207</v>
      </c>
      <c r="G940" s="374">
        <f t="shared" ca="1" si="101"/>
        <v>-1.4377484699588226</v>
      </c>
      <c r="H940" s="374">
        <f t="shared" ca="1" si="101"/>
        <v>-1.460457822648747</v>
      </c>
      <c r="I940" s="374">
        <f t="shared" ca="1" si="101"/>
        <v>-1.5751825966732684</v>
      </c>
      <c r="J940" s="374">
        <f t="shared" ca="1" si="101"/>
        <v>-1.6558259787752996</v>
      </c>
      <c r="K940" s="374">
        <f t="shared" ca="1" si="101"/>
        <v>-1.7495624120225663</v>
      </c>
      <c r="L940" s="374">
        <f t="shared" ca="1" si="101"/>
        <v>-1.8492049246245645</v>
      </c>
      <c r="M940" s="374">
        <f t="shared" ca="1" si="101"/>
        <v>-1.9266970572248459</v>
      </c>
      <c r="N940" s="374">
        <f t="shared" ca="1" si="101"/>
        <v>-1.9961524440419962</v>
      </c>
      <c r="O940" s="2"/>
      <c r="W940" s="374"/>
      <c r="X940" s="374"/>
      <c r="Y940" s="374"/>
    </row>
    <row r="941" spans="1:25" s="4" customFormat="1">
      <c r="A941"/>
      <c r="B941" s="367" t="s">
        <v>97</v>
      </c>
      <c r="C941" s="4" t="s">
        <v>87</v>
      </c>
      <c r="D941" s="2"/>
      <c r="E941" s="2"/>
      <c r="F941" s="374">
        <f t="shared" ref="F941:N941" ca="1" si="102">F783+F890+F927</f>
        <v>0</v>
      </c>
      <c r="G941" s="374">
        <f t="shared" ca="1" si="102"/>
        <v>0</v>
      </c>
      <c r="H941" s="374">
        <f t="shared" ca="1" si="102"/>
        <v>0</v>
      </c>
      <c r="I941" s="374">
        <f t="shared" ca="1" si="102"/>
        <v>0</v>
      </c>
      <c r="J941" s="374">
        <f t="shared" ca="1" si="102"/>
        <v>0</v>
      </c>
      <c r="K941" s="374">
        <f t="shared" ca="1" si="102"/>
        <v>0</v>
      </c>
      <c r="L941" s="374">
        <f t="shared" ca="1" si="102"/>
        <v>0</v>
      </c>
      <c r="M941" s="374">
        <f t="shared" ca="1" si="102"/>
        <v>0</v>
      </c>
      <c r="N941" s="374">
        <f t="shared" ca="1" si="102"/>
        <v>0</v>
      </c>
      <c r="O941" s="2"/>
      <c r="W941" s="374"/>
      <c r="X941" s="374"/>
      <c r="Y941" s="374"/>
    </row>
    <row r="942" spans="1:25" s="4" customFormat="1">
      <c r="A942"/>
      <c r="B942" s="367" t="s">
        <v>98</v>
      </c>
      <c r="C942" s="4" t="s">
        <v>88</v>
      </c>
      <c r="D942" s="2"/>
      <c r="E942" s="2"/>
      <c r="F942" s="374">
        <f t="shared" ref="F942:N942" ca="1" si="103">F784+F891+F928</f>
        <v>-0.41220752781623782</v>
      </c>
      <c r="G942" s="374">
        <f t="shared" ca="1" si="103"/>
        <v>-0.26352704049482828</v>
      </c>
      <c r="H942" s="374">
        <f t="shared" ca="1" si="103"/>
        <v>-0.21143772455169493</v>
      </c>
      <c r="I942" s="374">
        <f t="shared" ca="1" si="103"/>
        <v>-0.17624833604772824</v>
      </c>
      <c r="J942" s="374">
        <f t="shared" ca="1" si="103"/>
        <v>-0.13819323886480134</v>
      </c>
      <c r="K942" s="374">
        <f t="shared" ca="1" si="103"/>
        <v>-0.10257271542282514</v>
      </c>
      <c r="L942" s="374">
        <f t="shared" ca="1" si="103"/>
        <v>-6.7969281007703761E-2</v>
      </c>
      <c r="M942" s="374">
        <f t="shared" ca="1" si="103"/>
        <v>-3.3417807674940292E-2</v>
      </c>
      <c r="N942" s="374">
        <f t="shared" ca="1" si="103"/>
        <v>0</v>
      </c>
      <c r="O942" s="2"/>
      <c r="W942" s="374"/>
      <c r="X942" s="374"/>
      <c r="Y942" s="374"/>
    </row>
    <row r="943" spans="1:25" s="4" customFormat="1">
      <c r="A943"/>
      <c r="B943" s="367" t="s">
        <v>99</v>
      </c>
      <c r="C943" s="4" t="s">
        <v>89</v>
      </c>
      <c r="D943" s="2"/>
      <c r="E943" s="2"/>
      <c r="F943" s="374">
        <f t="shared" ref="F943:N943" ca="1" si="104">F785+F892+F929</f>
        <v>-15.256778003771721</v>
      </c>
      <c r="G943" s="374">
        <f t="shared" ca="1" si="104"/>
        <v>-12.999761739873746</v>
      </c>
      <c r="H943" s="374">
        <f t="shared" ca="1" si="104"/>
        <v>-10.43020115443155</v>
      </c>
      <c r="I943" s="374">
        <f t="shared" ca="1" si="104"/>
        <v>-8.694312247302884</v>
      </c>
      <c r="J943" s="374">
        <f t="shared" ca="1" si="104"/>
        <v>-6.8170582264749946</v>
      </c>
      <c r="K943" s="374">
        <f t="shared" ca="1" si="104"/>
        <v>-5.0599014773012208</v>
      </c>
      <c r="L943" s="374">
        <f t="shared" ca="1" si="104"/>
        <v>-3.3529176249676542</v>
      </c>
      <c r="M943" s="374">
        <f t="shared" ca="1" si="104"/>
        <v>-1.6484970074699921</v>
      </c>
      <c r="N943" s="374">
        <f t="shared" ca="1" si="104"/>
        <v>0</v>
      </c>
      <c r="O943" s="2"/>
      <c r="W943" s="374"/>
      <c r="X943" s="374"/>
      <c r="Y943" s="374"/>
    </row>
    <row r="944" spans="1:25" s="4" customFormat="1">
      <c r="A944"/>
      <c r="B944" s="367" t="s">
        <v>100</v>
      </c>
      <c r="C944" s="4" t="s">
        <v>90</v>
      </c>
      <c r="D944" s="2"/>
      <c r="E944" s="2"/>
      <c r="F944" s="374">
        <f t="shared" ref="F944:N944" ca="1" si="105">F786+F893+F930</f>
        <v>-9.4463708573767775</v>
      </c>
      <c r="G944" s="374">
        <f t="shared" ca="1" si="105"/>
        <v>-9.2556061660433429</v>
      </c>
      <c r="H944" s="374">
        <f t="shared" ca="1" si="105"/>
        <v>-10.45827972318421</v>
      </c>
      <c r="I944" s="374">
        <f t="shared" ca="1" si="105"/>
        <v>-12.256242010620332</v>
      </c>
      <c r="J944" s="374">
        <f t="shared" ca="1" si="105"/>
        <v>-13.771647618705204</v>
      </c>
      <c r="K944" s="374">
        <f t="shared" ca="1" si="105"/>
        <v>-15.370245545423987</v>
      </c>
      <c r="L944" s="374">
        <f t="shared" ca="1" si="105"/>
        <v>-17.008084093270114</v>
      </c>
      <c r="M944" s="374">
        <f t="shared" ca="1" si="105"/>
        <v>-18.42610368749196</v>
      </c>
      <c r="N944" s="374">
        <f t="shared" ca="1" si="105"/>
        <v>-19.742167028986774</v>
      </c>
      <c r="O944" s="2"/>
      <c r="W944" s="374"/>
      <c r="X944" s="374"/>
      <c r="Y944" s="374"/>
    </row>
    <row r="945" spans="1:25" s="4" customFormat="1">
      <c r="A945"/>
      <c r="B945" s="367" t="s">
        <v>101</v>
      </c>
      <c r="C945" s="4" t="s">
        <v>91</v>
      </c>
      <c r="D945" s="2"/>
      <c r="E945" s="2"/>
      <c r="F945" s="374">
        <f t="shared" ref="F945:N945" ca="1" si="106">F787+F894+F931</f>
        <v>0</v>
      </c>
      <c r="G945" s="374">
        <f t="shared" ca="1" si="106"/>
        <v>0</v>
      </c>
      <c r="H945" s="374">
        <f t="shared" ca="1" si="106"/>
        <v>0</v>
      </c>
      <c r="I945" s="374">
        <f t="shared" ca="1" si="106"/>
        <v>0</v>
      </c>
      <c r="J945" s="374">
        <f t="shared" ca="1" si="106"/>
        <v>0</v>
      </c>
      <c r="K945" s="374">
        <f t="shared" ca="1" si="106"/>
        <v>0</v>
      </c>
      <c r="L945" s="374">
        <f t="shared" ca="1" si="106"/>
        <v>0</v>
      </c>
      <c r="M945" s="374">
        <f t="shared" ca="1" si="106"/>
        <v>0</v>
      </c>
      <c r="N945" s="374">
        <f t="shared" ca="1" si="106"/>
        <v>0</v>
      </c>
      <c r="O945" s="2"/>
      <c r="W945" s="374"/>
      <c r="X945" s="374"/>
      <c r="Y945" s="374"/>
    </row>
    <row r="946" spans="1:25" s="4" customFormat="1">
      <c r="A946"/>
      <c r="B946" s="367" t="s">
        <v>102</v>
      </c>
      <c r="C946" s="4" t="s">
        <v>92</v>
      </c>
      <c r="D946" s="2"/>
      <c r="E946" s="2"/>
      <c r="F946" s="374">
        <f t="shared" ref="F946:N946" ca="1" si="107">F788+F895+F932</f>
        <v>-4.9849049835017811E-2</v>
      </c>
      <c r="G946" s="374">
        <f t="shared" ca="1" si="107"/>
        <v>-0.16713120665468159</v>
      </c>
      <c r="H946" s="374">
        <f t="shared" ca="1" si="107"/>
        <v>-0.13378262047103262</v>
      </c>
      <c r="I946" s="374">
        <f t="shared" ca="1" si="107"/>
        <v>-0.11151397930349062</v>
      </c>
      <c r="J946" s="374">
        <f t="shared" ca="1" si="107"/>
        <v>-8.7481729504168951E-2</v>
      </c>
      <c r="K946" s="374">
        <f t="shared" ca="1" si="107"/>
        <v>-6.4948923807210096E-2</v>
      </c>
      <c r="L946" s="374">
        <f t="shared" ca="1" si="107"/>
        <v>-4.3059858629907362E-2</v>
      </c>
      <c r="M946" s="374">
        <f t="shared" ca="1" si="107"/>
        <v>-2.1226952147421783E-2</v>
      </c>
      <c r="N946" s="374">
        <f t="shared" ca="1" si="107"/>
        <v>0</v>
      </c>
      <c r="O946" s="2"/>
      <c r="W946" s="374"/>
      <c r="X946" s="374"/>
      <c r="Y946" s="374"/>
    </row>
    <row r="947" spans="1:25" s="4" customFormat="1">
      <c r="A947"/>
      <c r="B947" s="367" t="s">
        <v>103</v>
      </c>
      <c r="C947" s="4" t="s">
        <v>93</v>
      </c>
      <c r="D947" s="2"/>
      <c r="E947" s="2"/>
      <c r="F947" s="374">
        <f t="shared" ref="F947:N947" ca="1" si="108">F789+F896+F933</f>
        <v>23.88412857672845</v>
      </c>
      <c r="G947" s="374">
        <f t="shared" ca="1" si="108"/>
        <v>21.780509896897556</v>
      </c>
      <c r="H947" s="374">
        <f t="shared" ca="1" si="108"/>
        <v>20.541174940197163</v>
      </c>
      <c r="I947" s="374">
        <f t="shared" ca="1" si="108"/>
        <v>20.700367068805679</v>
      </c>
      <c r="J947" s="374">
        <f t="shared" ca="1" si="108"/>
        <v>20.438780028104119</v>
      </c>
      <c r="K947" s="374">
        <f t="shared" ca="1" si="108"/>
        <v>20.376069918744214</v>
      </c>
      <c r="L947" s="374">
        <f t="shared" ca="1" si="108"/>
        <v>20.400979694462279</v>
      </c>
      <c r="M947" s="374">
        <f t="shared" ca="1" si="108"/>
        <v>20.206077410652629</v>
      </c>
      <c r="N947" s="374">
        <f t="shared" ca="1" si="108"/>
        <v>19.961524440419961</v>
      </c>
      <c r="O947" s="2"/>
      <c r="W947" s="374"/>
      <c r="X947" s="374"/>
      <c r="Y947" s="374"/>
    </row>
    <row r="948" spans="1:25" s="4" customFormat="1">
      <c r="A948"/>
      <c r="B948" s="367" t="s">
        <v>104</v>
      </c>
      <c r="C948" s="4" t="s">
        <v>94</v>
      </c>
      <c r="D948" s="2"/>
      <c r="E948" s="2"/>
      <c r="F948" s="374">
        <f t="shared" ref="F948:N948" ca="1" si="109">F790+F897+F934</f>
        <v>2.1636412401566139</v>
      </c>
      <c r="G948" s="374">
        <f t="shared" ca="1" si="109"/>
        <v>2.343264726127865</v>
      </c>
      <c r="H948" s="374">
        <f t="shared" ca="1" si="109"/>
        <v>2.1529841050900727</v>
      </c>
      <c r="I948" s="374">
        <f t="shared" ca="1" si="109"/>
        <v>2.1131321011420221</v>
      </c>
      <c r="J948" s="374">
        <f t="shared" ca="1" si="109"/>
        <v>2.0314267642203498</v>
      </c>
      <c r="K948" s="374">
        <f t="shared" ca="1" si="109"/>
        <v>1.9711611552335948</v>
      </c>
      <c r="L948" s="374">
        <f t="shared" ca="1" si="109"/>
        <v>1.9202560880376678</v>
      </c>
      <c r="M948" s="374">
        <f t="shared" ca="1" si="109"/>
        <v>1.8498651013565302</v>
      </c>
      <c r="N948" s="374">
        <f t="shared" ca="1" si="109"/>
        <v>1.7767950326088096</v>
      </c>
      <c r="O948" s="2"/>
      <c r="W948" s="374"/>
      <c r="X948" s="374"/>
      <c r="Y948" s="374"/>
    </row>
    <row r="949" spans="1:25" s="4" customFormat="1">
      <c r="B949" s="2"/>
      <c r="C949" s="2"/>
      <c r="D949" s="2"/>
      <c r="E949" s="3843" t="str">
        <f>Preferences.EnergyUnits</f>
        <v>TWh</v>
      </c>
      <c r="F949" s="380">
        <f t="shared" ref="F949:N949" ca="1" si="110">SUM(F940:F948)</f>
        <v>0</v>
      </c>
      <c r="G949" s="380">
        <f t="shared" ca="1" si="110"/>
        <v>0</v>
      </c>
      <c r="H949" s="380">
        <f t="shared" ca="1" si="110"/>
        <v>0</v>
      </c>
      <c r="I949" s="380">
        <f t="shared" ca="1" si="110"/>
        <v>0</v>
      </c>
      <c r="J949" s="380">
        <f t="shared" ca="1" si="110"/>
        <v>0</v>
      </c>
      <c r="K949" s="380">
        <f t="shared" ca="1" si="110"/>
        <v>-3.9968028886505635E-15</v>
      </c>
      <c r="L949" s="380">
        <f t="shared" ca="1" si="110"/>
        <v>3.3306690738754696E-15</v>
      </c>
      <c r="M949" s="380">
        <f t="shared" ca="1" si="110"/>
        <v>0</v>
      </c>
      <c r="N949" s="380">
        <f t="shared" ca="1" si="110"/>
        <v>0</v>
      </c>
      <c r="O949" s="2"/>
      <c r="W949" s="374"/>
      <c r="X949" s="374"/>
      <c r="Y949" s="374"/>
    </row>
    <row r="950" spans="1:25" s="4" customFormat="1">
      <c r="B950" s="2"/>
      <c r="C950" s="2"/>
      <c r="D950" s="2"/>
      <c r="E950" s="2"/>
      <c r="F950" s="374"/>
      <c r="G950" s="2"/>
      <c r="H950" s="2"/>
      <c r="I950" s="2"/>
      <c r="J950" s="2"/>
      <c r="K950" s="2"/>
      <c r="L950" s="2"/>
      <c r="M950" s="2"/>
      <c r="N950" s="2"/>
      <c r="O950" s="2"/>
    </row>
    <row r="951" spans="1:25" s="4" customFormat="1">
      <c r="B951" s="364">
        <v>6</v>
      </c>
      <c r="C951" s="412" t="s">
        <v>252</v>
      </c>
      <c r="D951" s="2"/>
      <c r="E951" s="2"/>
      <c r="F951" s="364">
        <v>2013</v>
      </c>
      <c r="G951" s="364">
        <v>2015</v>
      </c>
      <c r="H951" s="364">
        <v>2020</v>
      </c>
      <c r="I951" s="364">
        <v>2025</v>
      </c>
      <c r="J951" s="364">
        <v>2030</v>
      </c>
      <c r="K951" s="364">
        <v>2035</v>
      </c>
      <c r="L951" s="364">
        <v>2040</v>
      </c>
      <c r="M951" s="364">
        <v>2045</v>
      </c>
      <c r="N951" s="364">
        <v>2050</v>
      </c>
      <c r="O951" s="2"/>
    </row>
    <row r="952" spans="1:25" s="4" customFormat="1">
      <c r="A952"/>
      <c r="B952" s="2"/>
      <c r="C952" s="2" t="s">
        <v>253</v>
      </c>
      <c r="D952" s="2"/>
      <c r="E952" s="2" t="s">
        <v>254</v>
      </c>
      <c r="F952" s="2167">
        <f t="array" aca="1" ref="F952" ca="1">-SUM(F$940:F$948*SUMIFS(EF[CO2], EF[Vector], $B$940:$B$948))</f>
        <v>6.0990014520418683</v>
      </c>
      <c r="G952" s="2167">
        <f t="array" aca="1" ref="G952" ca="1">-SUM(G$940:G$948*SUMIFS(EF[CO2], EF[Vector], $B$940:$B$948))</f>
        <v>5.4141685608344368</v>
      </c>
      <c r="H952" s="2167">
        <f t="array" aca="1" ref="H952" ca="1">-SUM(H$940:H$948*SUMIFS(EF[CO2], EF[Vector], $B$940:$B$948))</f>
        <v>4.9647391675110182</v>
      </c>
      <c r="I952" s="2167">
        <f t="array" aca="1" ref="I952" ca="1">-SUM(I$940:I$948*SUMIFS(EF[CO2], EF[Vector], $B$940:$B$948))</f>
        <v>4.8628730739353312</v>
      </c>
      <c r="J952" s="2167">
        <f t="array" aca="1" ref="J952" ca="1">-SUM(J$940:J$948*SUMIFS(EF[CO2], EF[Vector], $B$940:$B$948))</f>
        <v>4.6648906842500004</v>
      </c>
      <c r="K952" s="2167">
        <f t="array" aca="1" ref="K952" ca="1">-SUM(K$940:K$948*SUMIFS(EF[CO2], EF[Vector], $B$940:$B$948))</f>
        <v>4.5164527605396705</v>
      </c>
      <c r="L952" s="2167">
        <f t="array" aca="1" ref="L952" ca="1">-SUM(L$940:L$948*SUMIFS(EF[CO2], EF[Vector], $B$940:$B$948))</f>
        <v>4.3896312399317292</v>
      </c>
      <c r="M952" s="2167">
        <f t="array" aca="1" ref="M952" ca="1">-SUM(M$940:M$948*SUMIFS(EF[CO2], EF[Vector], $B$940:$B$948))</f>
        <v>4.2185020489889125</v>
      </c>
      <c r="N952" s="2167">
        <f t="array" aca="1" ref="N952" ca="1">-SUM(N$940:N$948*SUMIFS(EF[CO2], EF[Vector], $B$940:$B$948))</f>
        <v>4.0416401247746068</v>
      </c>
      <c r="O952" s="2"/>
      <c r="Q952" s="374"/>
    </row>
    <row r="953" spans="1:25" s="4" customFormat="1">
      <c r="A953"/>
      <c r="B953" s="2"/>
      <c r="C953" s="2" t="s">
        <v>255</v>
      </c>
      <c r="D953" s="2"/>
      <c r="E953" s="2"/>
      <c r="F953" s="2167">
        <f t="array" aca="1" ref="F953" ca="1">-SUM(F$940:F$948*SUMIFS(EF[CH4], EF[Vector], $B$940:$B$948))</f>
        <v>4.1961969104451465E-3</v>
      </c>
      <c r="G953" s="2167">
        <f t="array" aca="1" ref="G953" ca="1">-SUM(G$940:G$948*SUMIFS(EF[CH4], EF[Vector], $B$940:$B$948))</f>
        <v>3.6620156397392288E-3</v>
      </c>
      <c r="H953" s="2167">
        <f t="array" aca="1" ref="H953" ca="1">-SUM(H$940:H$948*SUMIFS(EF[CH4], EF[Vector], $B$940:$B$948))</f>
        <v>3.1674048532810781E-3</v>
      </c>
      <c r="I953" s="2167">
        <f t="array" aca="1" ref="I953" ca="1">-SUM(I$940:I$948*SUMIFS(EF[CH4], EF[Vector], $B$940:$B$948))</f>
        <v>2.9077689756348371E-3</v>
      </c>
      <c r="J953" s="2167">
        <f t="array" aca="1" ref="J953" ca="1">-SUM(J$940:J$948*SUMIFS(EF[CH4], EF[Vector], $B$940:$B$948))</f>
        <v>2.5945585519393678E-3</v>
      </c>
      <c r="K953" s="2167">
        <f t="array" aca="1" ref="K953" ca="1">-SUM(K$940:K$948*SUMIFS(EF[CH4], EF[Vector], $B$940:$B$948))</f>
        <v>2.3150043663861461E-3</v>
      </c>
      <c r="L953" s="2167">
        <f t="array" aca="1" ref="L953" ca="1">-SUM(L$940:L$948*SUMIFS(EF[CH4], EF[Vector], $B$940:$B$948))</f>
        <v>2.0498498091448122E-3</v>
      </c>
      <c r="M953" s="2167">
        <f t="array" aca="1" ref="M953" ca="1">-SUM(M$940:M$948*SUMIFS(EF[CH4], EF[Vector], $B$940:$B$948))</f>
        <v>1.7686610304507443E-3</v>
      </c>
      <c r="N953" s="2167">
        <f t="array" aca="1" ref="N953" ca="1">-SUM(N$940:N$948*SUMIFS(EF[CH4], EF[Vector], $B$940:$B$948))</f>
        <v>1.4925078273914003E-3</v>
      </c>
      <c r="O953" s="2"/>
    </row>
    <row r="954" spans="1:25" s="4" customFormat="1">
      <c r="A954"/>
      <c r="B954" s="2"/>
      <c r="C954" s="2" t="s">
        <v>256</v>
      </c>
      <c r="D954" s="2"/>
      <c r="E954" s="2"/>
      <c r="F954" s="2167">
        <f t="array" aca="1" ref="F954" ca="1">-SUM(F$940:F$948*SUMIFS(EF[N2O],EF[Vector], $B$940:$B$948))</f>
        <v>4.1018184994661207E-2</v>
      </c>
      <c r="G954" s="2167">
        <f t="array" aca="1" ref="G954" ca="1">-SUM(G$940:G$948*SUMIFS(EF[N2O],EF[Vector], $B$940:$B$948))</f>
        <v>3.8806532345398249E-2</v>
      </c>
      <c r="H954" s="2167">
        <f t="array" aca="1" ref="H954" ca="1">-SUM(H$940:H$948*SUMIFS(EF[N2O],EF[Vector], $B$940:$B$948))</f>
        <v>4.0949221439420591E-2</v>
      </c>
      <c r="I954" s="2167">
        <f t="array" aca="1" ref="I954" ca="1">-SUM(I$940:I$948*SUMIFS(EF[N2O],EF[Vector], $B$940:$B$948))</f>
        <v>4.5586159695480286E-2</v>
      </c>
      <c r="J954" s="2167">
        <f t="array" aca="1" ref="J954" ca="1">-SUM(J$940:J$948*SUMIFS(EF[N2O],EF[Vector], $B$940:$B$948))</f>
        <v>4.9212374368911738E-2</v>
      </c>
      <c r="K954" s="2167">
        <f t="array" aca="1" ref="K954" ca="1">-SUM(K$940:K$948*SUMIFS(EF[N2O],EF[Vector], $B$940:$B$948))</f>
        <v>5.3189608287617027E-2</v>
      </c>
      <c r="L954" s="2167">
        <f t="array" aca="1" ref="L954" ca="1">-SUM(L$940:L$948*SUMIFS(EF[N2O],EF[Vector], $B$940:$B$948))</f>
        <v>5.7328003859940038E-2</v>
      </c>
      <c r="M954" s="2167">
        <f t="array" aca="1" ref="M954" ca="1">-SUM(M$940:M$948*SUMIFS(EF[N2O],EF[Vector], $B$940:$B$948))</f>
        <v>6.0756722707083502E-2</v>
      </c>
      <c r="N954" s="2167">
        <f t="array" aca="1" ref="N954" ca="1">-SUM(N$940:N$948*SUMIFS(EF[N2O],EF[Vector], $B$940:$B$948))</f>
        <v>6.3893549372612796E-2</v>
      </c>
      <c r="O954" s="2"/>
    </row>
    <row r="956" spans="1:25" s="4" customFormat="1">
      <c r="A956" s="401"/>
      <c r="B956" s="414" t="s">
        <v>257</v>
      </c>
      <c r="C956"/>
      <c r="D956" s="2"/>
      <c r="E956" s="2"/>
      <c r="F956" s="365">
        <v>2013</v>
      </c>
      <c r="G956" s="365">
        <v>2015</v>
      </c>
      <c r="H956" s="365">
        <v>2020</v>
      </c>
      <c r="I956" s="365">
        <v>2025</v>
      </c>
      <c r="J956" s="365">
        <v>2030</v>
      </c>
      <c r="K956" s="365">
        <v>2035</v>
      </c>
      <c r="L956" s="365">
        <v>2040</v>
      </c>
      <c r="M956" s="365">
        <v>2045</v>
      </c>
      <c r="N956" s="365">
        <v>2050</v>
      </c>
      <c r="O956" s="2"/>
      <c r="W956" s="374"/>
      <c r="X956" s="374"/>
      <c r="Y956" s="374"/>
    </row>
    <row r="957" spans="1:25">
      <c r="A957"/>
      <c r="C957" s="2" t="s">
        <v>141</v>
      </c>
      <c r="E957" s="2" t="s">
        <v>142</v>
      </c>
      <c r="F957" s="383">
        <f ca="1">(F765/$M149+F873/$M131)*(1-'Intermediate output'!AY$255)</f>
        <v>5.3213510663737518</v>
      </c>
      <c r="G957" s="383">
        <f ca="1">(G765/$M149+G873/$M131)*(1-'Intermediate output'!AZ$255)</f>
        <v>7.1841005479860698</v>
      </c>
      <c r="H957" s="383">
        <f ca="1">(H765/$M149+H873/$M131)*(1-'Intermediate output'!BA$255)</f>
        <v>5.6499636477234647</v>
      </c>
      <c r="I957" s="383">
        <f ca="1">(I765/$M149+I873/$M131)*(1-'Intermediate output'!BB$255)</f>
        <v>4.5258505483350371</v>
      </c>
      <c r="J957" s="383">
        <f ca="1">(J765/$M149+J873/$M131)*(1-'Intermediate output'!BC$255)</f>
        <v>3.0735573104239391</v>
      </c>
      <c r="K957" s="383">
        <f ca="1">(K765/$M149+K873/$M131)*(1-'Intermediate output'!BD$255)</f>
        <v>2.2073731763839723</v>
      </c>
      <c r="L957" s="383">
        <f ca="1">(L765/$M149+L873/$M131)*(1-'Intermediate output'!BE$255)</f>
        <v>1.4206072577090831</v>
      </c>
      <c r="M957" s="383">
        <f ca="1">(M765/$M149+M873/$M131)*(1-'Intermediate output'!BF$255)</f>
        <v>0.69311073747411467</v>
      </c>
      <c r="N957" s="383">
        <f ca="1">(N765/$M149+N873/$M131)*(1-'Intermediate output'!BG$255)</f>
        <v>0</v>
      </c>
    </row>
    <row r="958" spans="1:25">
      <c r="A958"/>
      <c r="C958" s="2" t="s">
        <v>141</v>
      </c>
      <c r="E958" s="2" t="s">
        <v>143</v>
      </c>
      <c r="F958" s="1456">
        <f ca="1">(F765/$M149+F873/$M131)*('Intermediate output'!AY$255)</f>
        <v>2.6499228715859836E-2</v>
      </c>
      <c r="G958" s="1456">
        <f ca="1">(G765/$M149+G873/$M131)*('Intermediate output'!AZ$255)</f>
        <v>5.5958143503422639E-2</v>
      </c>
      <c r="H958" s="1456">
        <f ca="1">(H765/$M149+H873/$M131)*('Intermediate output'!BA$255)</f>
        <v>0.15900962680204747</v>
      </c>
      <c r="I958" s="1456">
        <f ca="1">(I765/$M149+I873/$M131)*('Intermediate output'!BB$255)</f>
        <v>0.31634057887097056</v>
      </c>
      <c r="J958" s="1456">
        <f ca="1">(J765/$M149+J873/$M131)*('Intermediate output'!BC$255)</f>
        <v>0.72312009417744472</v>
      </c>
      <c r="K958" s="1456">
        <f ca="1">(K765/$M149+K873/$M131)*('Intermediate output'!BD$255)</f>
        <v>0.6106772157589081</v>
      </c>
      <c r="L958" s="1456">
        <f ca="1">(L765/$M149+L873/$M131)*('Intermediate output'!BE$255)</f>
        <v>0.44675930471309361</v>
      </c>
      <c r="M958" s="1456">
        <f ca="1">(M765/$M149+M873/$M131)*('Intermediate output'!BF$255)</f>
        <v>0.22499955759529724</v>
      </c>
      <c r="N958" s="1456">
        <f ca="1">(N765/$M149+N873/$M131)*('Intermediate output'!BG$255)</f>
        <v>0</v>
      </c>
    </row>
    <row r="959" spans="1:25">
      <c r="A959"/>
      <c r="C959" s="2" t="s">
        <v>144</v>
      </c>
      <c r="E959" s="2" t="s">
        <v>142</v>
      </c>
      <c r="F959" s="383">
        <f ca="1">(F766/$M150+F874/$M132)*(1-'Intermediate output'!AY$255)</f>
        <v>4.0782119096914808</v>
      </c>
      <c r="G959" s="383">
        <f ca="1">(G766/$M150+G874/$M132)*(1-'Intermediate output'!AZ$255)</f>
        <v>1.999969383322129</v>
      </c>
      <c r="H959" s="383">
        <f ca="1">(H766/$M150+H874/$M132)*(1-'Intermediate output'!BA$255)</f>
        <v>4.5220405019325174</v>
      </c>
      <c r="I959" s="383">
        <f ca="1">(I766/$M150+I874/$M132)*(1-'Intermediate output'!BB$255)</f>
        <v>6.9296905831649998</v>
      </c>
      <c r="J959" s="383">
        <f ca="1">(J766/$M150+J874/$M132)*(1-'Intermediate output'!BC$255)</f>
        <v>8.0751244721669249</v>
      </c>
      <c r="K959" s="383">
        <f ca="1">(K766/$M150+K874/$M132)*(1-'Intermediate output'!BD$255)</f>
        <v>9.832109093343993</v>
      </c>
      <c r="L959" s="383">
        <f ca="1">(L766/$M150+L874/$M132)*(1-'Intermediate output'!BE$255)</f>
        <v>11.518366904538661</v>
      </c>
      <c r="M959" s="383">
        <f ca="1">(M766/$M150+M874/$M132)*(1-'Intermediate output'!BF$255)</f>
        <v>13.217342488242634</v>
      </c>
      <c r="N959" s="383">
        <f ca="1">(N766/$M150+N874/$M132)*(1-'Intermediate output'!BG$255)</f>
        <v>14.929517301996087</v>
      </c>
    </row>
    <row r="960" spans="1:25">
      <c r="A960"/>
      <c r="C960" s="2" t="s">
        <v>144</v>
      </c>
      <c r="E960" s="2" t="s">
        <v>143</v>
      </c>
      <c r="F960" s="1456">
        <f ca="1">(F766/$M150+F874/$M132)*('Intermediate output'!AY$255)</f>
        <v>2.0308652595684179E-2</v>
      </c>
      <c r="G960" s="1456">
        <f ca="1">(G766/$M150+G874/$M132)*('Intermediate output'!AZ$255)</f>
        <v>1.5578091231722052E-2</v>
      </c>
      <c r="H960" s="1456">
        <f ca="1">(H766/$M150+H874/$M132)*('Intermediate output'!BA$255)</f>
        <v>0.12726594672618086</v>
      </c>
      <c r="I960" s="1456">
        <f ca="1">(I766/$M150+I874/$M132)*('Intermediate output'!BB$255)</f>
        <v>0.4843603002493248</v>
      </c>
      <c r="J960" s="1456">
        <f ca="1">(J766/$M150+J874/$M132)*('Intermediate output'!BC$255)</f>
        <v>1.8998457419368948</v>
      </c>
      <c r="K960" s="1456">
        <f ca="1">(K766/$M150+K874/$M132)*('Intermediate output'!BD$255)</f>
        <v>2.7200860599371142</v>
      </c>
      <c r="L960" s="1456">
        <f ca="1">(L766/$M150+L874/$M132)*('Intermediate output'!BE$255)</f>
        <v>3.6223506263092764</v>
      </c>
      <c r="M960" s="1456">
        <f ca="1">(M766/$M150+M874/$M132)*('Intermediate output'!BF$255)</f>
        <v>4.2906509041799152</v>
      </c>
      <c r="N960" s="1456">
        <f ca="1">(N766/$M150+N874/$M132)*('Intermediate output'!BG$255)</f>
        <v>4.8126497269906867</v>
      </c>
    </row>
    <row r="961" spans="1:25">
      <c r="A961"/>
      <c r="C961" s="2" t="s">
        <v>49</v>
      </c>
      <c r="E961" s="2" t="s">
        <v>145</v>
      </c>
      <c r="F961" s="383">
        <f ca="1">(F768/$M152+F876/$M134)*(1-'Intermediate output'!AY$254)</f>
        <v>15.066670134461225</v>
      </c>
      <c r="G961" s="383">
        <f ca="1">(G768/$M152+G876/$M134)*(1-'Intermediate output'!AZ$254)</f>
        <v>12.799537172502072</v>
      </c>
      <c r="H961" s="383">
        <f ca="1">(H768/$M152+H876/$M134)*(1-'Intermediate output'!BA$254)</f>
        <v>10.184521406039067</v>
      </c>
      <c r="I961" s="383">
        <f ca="1">(I768/$M152+I876/$M134)*(1-'Intermediate output'!BB$254)</f>
        <v>8.34104940859077</v>
      </c>
      <c r="J961" s="383">
        <f ca="1">(J768/$M152+J876/$M134)*(1-'Intermediate output'!BC$254)</f>
        <v>6.4087490799746147</v>
      </c>
      <c r="K961" s="383">
        <f ca="1">(K768/$M152+K876/$M134)*(1-'Intermediate output'!BD$254)</f>
        <v>4.6539515422691897</v>
      </c>
      <c r="L961" s="383">
        <f ca="1">(L768/$M152+L876/$M134)*(1-'Intermediate output'!BE$254)</f>
        <v>3.0129205905340317</v>
      </c>
      <c r="M961" s="383">
        <f ca="1">(M768/$M152+M876/$M134)*(1-'Intermediate output'!BF$254)</f>
        <v>1.4448116863598648</v>
      </c>
      <c r="N961" s="383">
        <f ca="1">(N768/$M152+N876/$M134)*(1-'Intermediate output'!BG$254)</f>
        <v>0</v>
      </c>
    </row>
    <row r="962" spans="1:25">
      <c r="A962"/>
      <c r="C962" s="2" t="s">
        <v>49</v>
      </c>
      <c r="E962" s="2" t="s">
        <v>146</v>
      </c>
      <c r="F962" s="383">
        <f ca="1">(F768/$M152+F876/$M134)*('Intermediate output'!AY$254)</f>
        <v>0.19010786931049625</v>
      </c>
      <c r="G962" s="383">
        <f ca="1">(G768/$M152+G876/$M134)*('Intermediate output'!AZ$254)</f>
        <v>0.2002245673716736</v>
      </c>
      <c r="H962" s="383">
        <f ca="1">(H768/$M152+H876/$M134)*('Intermediate output'!BA$254)</f>
        <v>0.24567974839248352</v>
      </c>
      <c r="I962" s="383">
        <f ca="1">(I768/$M152+I876/$M134)*('Intermediate output'!BB$254)</f>
        <v>0.35326283871211445</v>
      </c>
      <c r="J962" s="383">
        <f ca="1">(J768/$M152+J876/$M134)*('Intermediate output'!BC$254)</f>
        <v>0.40830914650038058</v>
      </c>
      <c r="K962" s="383">
        <f ca="1">(K768/$M152+K876/$M134)*('Intermediate output'!BD$254)</f>
        <v>0.40594993503203142</v>
      </c>
      <c r="L962" s="383">
        <f ca="1">(L768/$M152+L876/$M134)*('Intermediate output'!BE$254)</f>
        <v>0.33999703443362272</v>
      </c>
      <c r="M962" s="383">
        <f ca="1">(M768/$M152+M876/$M134)*('Intermediate output'!BF$254)</f>
        <v>0.20368532111012722</v>
      </c>
      <c r="N962" s="383">
        <f ca="1">(N768/$M152+N876/$M134)*('Intermediate output'!BG$254)</f>
        <v>0</v>
      </c>
    </row>
    <row r="963" spans="1:25">
      <c r="A963"/>
      <c r="C963" s="2" t="s">
        <v>50</v>
      </c>
      <c r="E963" s="2" t="s">
        <v>147</v>
      </c>
      <c r="F963" s="383">
        <f ca="1">(F769/$M153+F877/$M135)*(1-'Intermediate output'!AY$253)</f>
        <v>0.39974085293214145</v>
      </c>
      <c r="G963" s="383">
        <f ca="1">(G769/$M153+G877/$M135)*(1-'Intermediate output'!AZ$253)</f>
        <v>0.22174878107166768</v>
      </c>
      <c r="H963" s="383">
        <f ca="1">(H769/$M153+H877/$M135)*(1-'Intermediate output'!BA$253)</f>
        <v>3.4625255904555972E-2</v>
      </c>
      <c r="I963" s="383">
        <f ca="1">(I769/$M153+I877/$M135)*(1-'Intermediate output'!BB$253)</f>
        <v>0</v>
      </c>
      <c r="J963" s="383">
        <f ca="1">(J769/$M153+J877/$M135)*(1-'Intermediate output'!BC$253)</f>
        <v>-3.0685063127045295E-17</v>
      </c>
      <c r="K963" s="383">
        <f ca="1">(K769/$M153+K877/$M135)*(1-'Intermediate output'!BD$253)</f>
        <v>0</v>
      </c>
      <c r="L963" s="383">
        <f ca="1">(L769/$M153+L877/$M135)*(1-'Intermediate output'!BE$253)</f>
        <v>0</v>
      </c>
      <c r="M963" s="383">
        <f ca="1">(M769/$M153+M877/$M135)*(1-'Intermediate output'!BF$253)</f>
        <v>0</v>
      </c>
      <c r="N963" s="383">
        <f ca="1">(N769/$M153+N877/$M135)*(1-'Intermediate output'!BG$253)</f>
        <v>0</v>
      </c>
    </row>
    <row r="964" spans="1:25">
      <c r="A964"/>
      <c r="C964" s="2" t="s">
        <v>50</v>
      </c>
      <c r="E964" s="2" t="s">
        <v>148</v>
      </c>
      <c r="F964" s="383">
        <f ca="1">(F769/$M153+F877/$M135)*('Intermediate output'!AY$253)</f>
        <v>1.2466674884096399E-2</v>
      </c>
      <c r="G964" s="383">
        <f ca="1">(G769/$M153+G877/$M135)*('Intermediate output'!AZ$253)</f>
        <v>4.1778259423160602E-2</v>
      </c>
      <c r="H964" s="383">
        <f ca="1">(H769/$M153+H877/$M135)*('Intermediate output'!BA$253)</f>
        <v>0.17681246864713895</v>
      </c>
      <c r="I964" s="383">
        <f ca="1">(I769/$M153+I877/$M135)*('Intermediate output'!BB$253)</f>
        <v>0.17624833604772824</v>
      </c>
      <c r="J964" s="383">
        <f ca="1">(J769/$M153+J877/$M135)*('Intermediate output'!BC$253)</f>
        <v>0.13819323886480137</v>
      </c>
      <c r="K964" s="383">
        <f ca="1">(K769/$M153+K877/$M135)*('Intermediate output'!BD$253)</f>
        <v>0.10257271542282514</v>
      </c>
      <c r="L964" s="383">
        <f ca="1">(L769/$M153+L877/$M135)*('Intermediate output'!BE$253)</f>
        <v>6.7969281007703761E-2</v>
      </c>
      <c r="M964" s="383">
        <f ca="1">(M769/$M153+M877/$M135)*('Intermediate output'!BF$253)</f>
        <v>3.3417807674940292E-2</v>
      </c>
      <c r="N964" s="383">
        <f ca="1">(N769/$M153+N877/$M135)*('Intermediate output'!BG$253)</f>
        <v>0</v>
      </c>
    </row>
    <row r="965" spans="1:25">
      <c r="A965"/>
      <c r="C965" s="2" t="s">
        <v>51</v>
      </c>
      <c r="E965" s="2" t="s">
        <v>142</v>
      </c>
      <c r="F965" s="383">
        <f ca="1">(F770/$M154+F878/$M136)*(1-'Intermediate output'!AY$255)</f>
        <v>0</v>
      </c>
      <c r="G965" s="383">
        <f ca="1">(G770/$M154+G878/$M136)*(1-'Intermediate output'!AZ$255)</f>
        <v>0</v>
      </c>
      <c r="H965" s="383">
        <f ca="1">(H770/$M154+H878/$M136)*(1-'Intermediate output'!BA$255)</f>
        <v>0</v>
      </c>
      <c r="I965" s="383">
        <f ca="1">(I770/$M154+I878/$M136)*(1-'Intermediate output'!BB$255)</f>
        <v>0</v>
      </c>
      <c r="J965" s="383">
        <f ca="1">(J770/$M154+J878/$M136)*(1-'Intermediate output'!BC$255)</f>
        <v>0</v>
      </c>
      <c r="K965" s="383">
        <f ca="1">(K770/$M154+K878/$M136)*(1-'Intermediate output'!BD$255)</f>
        <v>0</v>
      </c>
      <c r="L965" s="383">
        <f ca="1">(L770/$M154+L878/$M136)*(1-'Intermediate output'!BE$255)</f>
        <v>0</v>
      </c>
      <c r="M965" s="383">
        <f ca="1">(M770/$M154+M878/$M136)*(1-'Intermediate output'!BF$255)</f>
        <v>0</v>
      </c>
      <c r="N965" s="383">
        <f ca="1">(N770/$M154+N878/$M136)*(1-'Intermediate output'!BG$255)</f>
        <v>0</v>
      </c>
    </row>
    <row r="966" spans="1:25">
      <c r="A966"/>
      <c r="C966" s="2" t="s">
        <v>51</v>
      </c>
      <c r="E966" s="2" t="s">
        <v>143</v>
      </c>
      <c r="F966" s="383">
        <f ca="1">(F770/$M154+F878/$M136)*('Intermediate output'!AY$255)</f>
        <v>0</v>
      </c>
      <c r="G966" s="383">
        <f ca="1">(G770/$M154+G878/$M136)*('Intermediate output'!AZ$255)</f>
        <v>0</v>
      </c>
      <c r="H966" s="383">
        <f ca="1">(H770/$M154+H878/$M136)*('Intermediate output'!BA$255)</f>
        <v>0</v>
      </c>
      <c r="I966" s="383">
        <f ca="1">(I770/$M154+I878/$M136)*('Intermediate output'!BB$255)</f>
        <v>0</v>
      </c>
      <c r="J966" s="383">
        <f ca="1">(J770/$M154+J878/$M136)*('Intermediate output'!BC$255)</f>
        <v>0</v>
      </c>
      <c r="K966" s="383">
        <f ca="1">(K770/$M154+K878/$M136)*('Intermediate output'!BD$255)</f>
        <v>0</v>
      </c>
      <c r="L966" s="383">
        <f ca="1">(L770/$M154+L878/$M136)*('Intermediate output'!BE$255)</f>
        <v>0</v>
      </c>
      <c r="M966" s="383">
        <f ca="1">(M770/$M154+M878/$M136)*('Intermediate output'!BF$255)</f>
        <v>0</v>
      </c>
      <c r="N966" s="383">
        <f ca="1">(N770/$M154+N878/$M136)*('Intermediate output'!BG$255)</f>
        <v>0</v>
      </c>
    </row>
    <row r="967" spans="1:25">
      <c r="A967"/>
      <c r="C967" s="2" t="s">
        <v>52</v>
      </c>
      <c r="E967" s="2" t="s">
        <v>142</v>
      </c>
      <c r="F967" s="383">
        <f ca="1">(F771/$M155+F879/$M137)*(1-'Intermediate output'!AY$255)</f>
        <v>0</v>
      </c>
      <c r="G967" s="383">
        <f ca="1">(G771/$M155+G879/$M137)*(1-'Intermediate output'!AZ$255)</f>
        <v>0</v>
      </c>
      <c r="H967" s="383">
        <f ca="1">(H771/$M155+H879/$M137)*(1-'Intermediate output'!BA$255)</f>
        <v>0</v>
      </c>
      <c r="I967" s="383">
        <f ca="1">(I771/$M155+I879/$M137)*(1-'Intermediate output'!BB$255)</f>
        <v>0</v>
      </c>
      <c r="J967" s="383">
        <f ca="1">(J771/$M155+J879/$M137)*(1-'Intermediate output'!BC$255)</f>
        <v>0</v>
      </c>
      <c r="K967" s="383">
        <f ca="1">(K771/$M155+K879/$M137)*(1-'Intermediate output'!BD$255)</f>
        <v>0</v>
      </c>
      <c r="L967" s="383">
        <f ca="1">(L771/$M155+L879/$M137)*(1-'Intermediate output'!BE$255)</f>
        <v>0</v>
      </c>
      <c r="M967" s="383">
        <f ca="1">(M771/$M155+M879/$M137)*(1-'Intermediate output'!BF$255)</f>
        <v>0</v>
      </c>
      <c r="N967" s="383">
        <f ca="1">(N771/$M155+N879/$M137)*(1-'Intermediate output'!BG$255)</f>
        <v>0</v>
      </c>
    </row>
    <row r="968" spans="1:25">
      <c r="A968"/>
      <c r="C968" s="2" t="s">
        <v>52</v>
      </c>
      <c r="E968" s="2" t="s">
        <v>143</v>
      </c>
      <c r="F968" s="383">
        <f ca="1">(F771/$M155+F879/$M137)*('Intermediate output'!AY$255)</f>
        <v>0</v>
      </c>
      <c r="G968" s="383">
        <f ca="1">(G771/$M155+G879/$M137)*('Intermediate output'!AZ$255)</f>
        <v>0</v>
      </c>
      <c r="H968" s="383">
        <f ca="1">(H771/$M155+H879/$M137)*('Intermediate output'!BA$255)</f>
        <v>0</v>
      </c>
      <c r="I968" s="383">
        <f ca="1">(I771/$M155+I879/$M137)*('Intermediate output'!BB$255)</f>
        <v>0</v>
      </c>
      <c r="J968" s="383">
        <f ca="1">(J771/$M155+J879/$M137)*('Intermediate output'!BC$255)</f>
        <v>0</v>
      </c>
      <c r="K968" s="383">
        <f ca="1">(K771/$M155+K879/$M137)*('Intermediate output'!BD$255)</f>
        <v>0</v>
      </c>
      <c r="L968" s="383">
        <f ca="1">(L771/$M155+L879/$M137)*('Intermediate output'!BE$255)</f>
        <v>0</v>
      </c>
      <c r="M968" s="383">
        <f ca="1">(M771/$M155+M879/$M137)*('Intermediate output'!BF$255)</f>
        <v>0</v>
      </c>
      <c r="N968" s="383">
        <f ca="1">(N771/$M155+N879/$M137)*('Intermediate output'!BG$255)</f>
        <v>0</v>
      </c>
    </row>
    <row r="969" spans="1:25">
      <c r="A969"/>
      <c r="C969" s="2" t="s">
        <v>56</v>
      </c>
      <c r="E969" s="2" t="s">
        <v>142</v>
      </c>
      <c r="F969" s="383">
        <f ca="1">(F775/$M159+F883/$M141)*(1-'Intermediate output'!AY$255)</f>
        <v>0</v>
      </c>
      <c r="G969" s="383">
        <f ca="1">(G775/$M159+G883/$M141)*(1-'Intermediate output'!AZ$255)</f>
        <v>0</v>
      </c>
      <c r="H969" s="383">
        <f ca="1">(H775/$M159+H883/$M141)*(1-'Intermediate output'!BA$255)</f>
        <v>0</v>
      </c>
      <c r="I969" s="383">
        <f ca="1">(I775/$M159+I883/$M141)*(1-'Intermediate output'!BB$255)</f>
        <v>0</v>
      </c>
      <c r="J969" s="383">
        <f ca="1">(J775/$M159+J883/$M141)*(1-'Intermediate output'!BC$255)</f>
        <v>0</v>
      </c>
      <c r="K969" s="383">
        <f ca="1">(K775/$M159+K883/$M141)*(1-'Intermediate output'!BD$255)</f>
        <v>0</v>
      </c>
      <c r="L969" s="383">
        <f ca="1">(L775/$M159+L883/$M141)*(1-'Intermediate output'!BE$255)</f>
        <v>0</v>
      </c>
      <c r="M969" s="383">
        <f ca="1">(M775/$M159+M883/$M141)*(1-'Intermediate output'!BF$255)</f>
        <v>0</v>
      </c>
      <c r="N969" s="383">
        <f ca="1">(N775/$M159+N883/$M141)*(1-'Intermediate output'!BG$255)</f>
        <v>0</v>
      </c>
    </row>
    <row r="970" spans="1:25">
      <c r="A970"/>
      <c r="C970" s="2" t="s">
        <v>56</v>
      </c>
      <c r="E970" s="2" t="s">
        <v>143</v>
      </c>
      <c r="F970" s="383">
        <f ca="1">(F775/$M159+F883/$M141)*('Intermediate output'!AY$255)</f>
        <v>0</v>
      </c>
      <c r="G970" s="383">
        <f ca="1">(G775/$M159+G883/$M141)*('Intermediate output'!AZ$255)</f>
        <v>0</v>
      </c>
      <c r="H970" s="383">
        <f ca="1">(H775/$M159+H883/$M141)*('Intermediate output'!BA$255)</f>
        <v>0</v>
      </c>
      <c r="I970" s="383">
        <f ca="1">(I775/$M159+I883/$M141)*('Intermediate output'!BB$255)</f>
        <v>0</v>
      </c>
      <c r="J970" s="383">
        <f ca="1">(J775/$M159+J883/$M141)*('Intermediate output'!BC$255)</f>
        <v>0</v>
      </c>
      <c r="K970" s="383">
        <f ca="1">(K775/$M159+K883/$M141)*('Intermediate output'!BD$255)</f>
        <v>0</v>
      </c>
      <c r="L970" s="383">
        <f ca="1">(L775/$M159+L883/$M141)*('Intermediate output'!BE$255)</f>
        <v>0</v>
      </c>
      <c r="M970" s="383">
        <f ca="1">(M775/$M159+M883/$M141)*('Intermediate output'!BF$255)</f>
        <v>0</v>
      </c>
      <c r="N970" s="383">
        <f ca="1">(N775/$M159+N883/$M141)*('Intermediate output'!BG$255)</f>
        <v>0</v>
      </c>
      <c r="O970" s="383"/>
    </row>
    <row r="971" spans="1:25">
      <c r="A971"/>
      <c r="C971" s="2" t="s">
        <v>57</v>
      </c>
      <c r="E971" s="2" t="s">
        <v>147</v>
      </c>
      <c r="F971" s="383">
        <f ca="1">(F776/$M160+F884/$M142)*(1-'Intermediate output'!AY$253)</f>
        <v>0</v>
      </c>
      <c r="G971" s="383">
        <f ca="1">(G776/$M160+G884/$M142)*(1-'Intermediate output'!AZ$253)</f>
        <v>0</v>
      </c>
      <c r="H971" s="383">
        <f ca="1">(H776/$M160+H884/$M142)*(1-'Intermediate output'!BA$253)</f>
        <v>0</v>
      </c>
      <c r="I971" s="383">
        <f ca="1">(I776/$M160+I884/$M142)*(1-'Intermediate output'!BB$253)</f>
        <v>0</v>
      </c>
      <c r="J971" s="383">
        <f ca="1">(J776/$M160+J884/$M142)*(1-'Intermediate output'!BC$253)</f>
        <v>0</v>
      </c>
      <c r="K971" s="383">
        <f ca="1">(K776/$M160+K884/$M142)*(1-'Intermediate output'!BD$253)</f>
        <v>0</v>
      </c>
      <c r="L971" s="383">
        <f ca="1">(L776/$M160+L884/$M142)*(1-'Intermediate output'!BE$253)</f>
        <v>0</v>
      </c>
      <c r="M971" s="383">
        <f ca="1">(M776/$M160+M884/$M142)*(1-'Intermediate output'!BF$253)</f>
        <v>0</v>
      </c>
      <c r="N971" s="383">
        <f ca="1">(N776/$M160+N884/$M142)*(1-'Intermediate output'!BG$253)</f>
        <v>0</v>
      </c>
    </row>
    <row r="972" spans="1:25">
      <c r="A972"/>
      <c r="C972" s="2" t="s">
        <v>57</v>
      </c>
      <c r="E972" s="2" t="s">
        <v>148</v>
      </c>
      <c r="F972" s="383">
        <f ca="1">(F776/$M160+F884/$M142)*('Intermediate output'!AY$253)</f>
        <v>0</v>
      </c>
      <c r="G972" s="383">
        <f ca="1">(G776/$M160+G884/$M142)*('Intermediate output'!AZ$253)</f>
        <v>0</v>
      </c>
      <c r="H972" s="383">
        <f ca="1">(H776/$M160+H884/$M142)*('Intermediate output'!BA$253)</f>
        <v>0</v>
      </c>
      <c r="I972" s="383">
        <f ca="1">(I776/$M160+I884/$M142)*('Intermediate output'!BB$253)</f>
        <v>0</v>
      </c>
      <c r="J972" s="383">
        <f ca="1">(J776/$M160+J884/$M142)*('Intermediate output'!BC$253)</f>
        <v>0</v>
      </c>
      <c r="K972" s="383">
        <f ca="1">(K776/$M160+K884/$M142)*('Intermediate output'!BD$253)</f>
        <v>0</v>
      </c>
      <c r="L972" s="383">
        <f ca="1">(L776/$M160+L884/$M142)*('Intermediate output'!BE$253)</f>
        <v>0</v>
      </c>
      <c r="M972" s="383">
        <f ca="1">(M776/$M160+M884/$M142)*('Intermediate output'!BF$253)</f>
        <v>0</v>
      </c>
      <c r="N972" s="383">
        <f ca="1">(N776/$M160+N884/$M142)*('Intermediate output'!BG$253)</f>
        <v>0</v>
      </c>
    </row>
    <row r="973" spans="1:25" s="4" customFormat="1">
      <c r="A973"/>
      <c r="B973" s="367"/>
      <c r="C973" t="s">
        <v>258</v>
      </c>
      <c r="D973" s="2"/>
      <c r="E973" s="367"/>
      <c r="F973" s="415">
        <f ca="1">SUM(F957:F972)</f>
        <v>25.115356388964734</v>
      </c>
      <c r="G973" s="415">
        <f t="shared" ref="G973:N973" ca="1" si="111">SUM(G957:G972)</f>
        <v>22.518894946411919</v>
      </c>
      <c r="H973" s="415">
        <f t="shared" ca="1" si="111"/>
        <v>21.099918602167456</v>
      </c>
      <c r="I973" s="415">
        <f t="shared" ca="1" si="111"/>
        <v>21.126802593970947</v>
      </c>
      <c r="J973" s="415">
        <f t="shared" ca="1" si="111"/>
        <v>20.726899084044998</v>
      </c>
      <c r="K973" s="415">
        <f t="shared" ca="1" si="111"/>
        <v>20.532719738148032</v>
      </c>
      <c r="L973" s="415">
        <f t="shared" ca="1" si="111"/>
        <v>20.428970999245468</v>
      </c>
      <c r="M973" s="415">
        <f t="shared" ca="1" si="111"/>
        <v>20.108018502636895</v>
      </c>
      <c r="N973" s="415">
        <f t="shared" ca="1" si="111"/>
        <v>19.742167028986774</v>
      </c>
      <c r="O973" s="2"/>
      <c r="Q973" s="374"/>
      <c r="W973" s="374"/>
      <c r="X973" s="374"/>
      <c r="Y973" s="374"/>
    </row>
    <row r="974" spans="1:25" s="4" customFormat="1">
      <c r="A974"/>
      <c r="B974" s="367"/>
      <c r="C974" s="2" t="s">
        <v>259</v>
      </c>
      <c r="D974" s="2"/>
      <c r="E974" s="364"/>
      <c r="F974" s="416" t="str">
        <f t="shared" ref="F974:N974" ca="1" si="112">IF(SUM(F1231:F1233,F973)=0,"ok",F973+SUM(F1231:F1233))</f>
        <v>ok</v>
      </c>
      <c r="G974" s="416" t="str">
        <f t="shared" ca="1" si="112"/>
        <v>ok</v>
      </c>
      <c r="H974" s="416" t="str">
        <f t="shared" ca="1" si="112"/>
        <v>ok</v>
      </c>
      <c r="I974" s="416" t="str">
        <f t="shared" ca="1" si="112"/>
        <v>ok</v>
      </c>
      <c r="J974" s="416" t="str">
        <f t="shared" ca="1" si="112"/>
        <v>ok</v>
      </c>
      <c r="K974" s="416" t="str">
        <f t="shared" ca="1" si="112"/>
        <v>ok</v>
      </c>
      <c r="L974" s="416" t="str">
        <f t="shared" ca="1" si="112"/>
        <v>ok</v>
      </c>
      <c r="M974" s="416" t="str">
        <f t="shared" ca="1" si="112"/>
        <v>ok</v>
      </c>
      <c r="N974" s="416" t="str">
        <f t="shared" ca="1" si="112"/>
        <v>ok</v>
      </c>
      <c r="O974" s="2"/>
      <c r="Q974" s="374"/>
      <c r="W974" s="374"/>
      <c r="X974" s="374"/>
      <c r="Y974" s="374"/>
    </row>
    <row r="975" spans="1:25" s="4" customFormat="1">
      <c r="B975" s="367"/>
      <c r="C975" s="2"/>
      <c r="D975" s="2"/>
      <c r="E975" s="364"/>
      <c r="F975" s="406"/>
      <c r="G975" s="406"/>
      <c r="H975" s="406"/>
      <c r="I975" s="406"/>
      <c r="J975" s="406"/>
      <c r="K975" s="406"/>
      <c r="L975" s="406"/>
      <c r="M975" s="406"/>
      <c r="N975" s="406"/>
      <c r="O975" s="2"/>
      <c r="Q975" s="374"/>
      <c r="W975" s="374"/>
      <c r="X975" s="374"/>
      <c r="Y975" s="374"/>
    </row>
    <row r="976" spans="1:25" customFormat="1">
      <c r="B976" s="2"/>
      <c r="C976" s="2" t="s">
        <v>28</v>
      </c>
      <c r="D976" s="2" t="s">
        <v>29</v>
      </c>
      <c r="F976" s="364">
        <v>2013</v>
      </c>
      <c r="G976" s="364" t="s">
        <v>133</v>
      </c>
      <c r="H976" s="364" t="s">
        <v>134</v>
      </c>
      <c r="I976" s="364" t="s">
        <v>135</v>
      </c>
      <c r="J976" s="364" t="s">
        <v>136</v>
      </c>
      <c r="K976" s="364" t="s">
        <v>137</v>
      </c>
      <c r="L976" s="364" t="s">
        <v>138</v>
      </c>
      <c r="M976" s="364" t="s">
        <v>139</v>
      </c>
      <c r="N976" s="364" t="s">
        <v>140</v>
      </c>
      <c r="O976" s="2"/>
      <c r="P976" s="2"/>
    </row>
    <row r="977" spans="2:16" customFormat="1">
      <c r="B977" s="2"/>
      <c r="C977" s="2" t="s">
        <v>260</v>
      </c>
      <c r="D977" s="2" t="s">
        <v>261</v>
      </c>
      <c r="F977" s="2510">
        <f t="shared" ref="F977:N977" ca="1" si="113">SUMPRODUCT(F957:F972,F291:F306)</f>
        <v>0.50801731521179694</v>
      </c>
      <c r="G977" s="2510">
        <f t="shared" ca="1" si="113"/>
        <v>0.39137073948305484</v>
      </c>
      <c r="H977" s="2510">
        <f t="shared" ca="1" si="113"/>
        <v>0.46280723723836514</v>
      </c>
      <c r="I977" s="2510">
        <f t="shared" ca="1" si="113"/>
        <v>0.33001110234510866</v>
      </c>
      <c r="J977" s="2510">
        <f t="shared" ca="1" si="113"/>
        <v>0.21410465247679777</v>
      </c>
      <c r="K977" s="2510">
        <f t="shared" ca="1" si="113"/>
        <v>0.1948636035984507</v>
      </c>
      <c r="L977" s="2510">
        <f t="shared" ca="1" si="113"/>
        <v>0.17457732002456444</v>
      </c>
      <c r="M977" s="2510">
        <f t="shared" ca="1" si="113"/>
        <v>0.14635160732340657</v>
      </c>
      <c r="N977" s="2510">
        <f t="shared" ca="1" si="113"/>
        <v>0.11385289981936728</v>
      </c>
      <c r="O977" s="2"/>
      <c r="P977" s="2"/>
    </row>
    <row r="978" spans="2:16" customFormat="1">
      <c r="B978" s="2"/>
      <c r="C978" s="2" t="s">
        <v>262</v>
      </c>
      <c r="D978" s="2" t="s">
        <v>263</v>
      </c>
      <c r="F978" s="2510">
        <f t="shared" ref="F978:N978" ca="1" si="114">SUMPRODUCT(F957:F972,F311:F326)</f>
        <v>4.6110627670461941</v>
      </c>
      <c r="G978" s="2510">
        <f t="shared" ca="1" si="114"/>
        <v>4.025377035519436</v>
      </c>
      <c r="H978" s="2510">
        <f t="shared" ca="1" si="114"/>
        <v>3.4098378381639356</v>
      </c>
      <c r="I978" s="2510">
        <f t="shared" ca="1" si="114"/>
        <v>3.0418854193161029</v>
      </c>
      <c r="J978" s="2510">
        <f t="shared" ca="1" si="114"/>
        <v>2.5884085251625564</v>
      </c>
      <c r="K978" s="2510">
        <f t="shared" ca="1" si="114"/>
        <v>2.2200937102063025</v>
      </c>
      <c r="L978" s="2510">
        <f t="shared" ca="1" si="114"/>
        <v>1.8793028702626857</v>
      </c>
      <c r="M978" s="2510">
        <f t="shared" ca="1" si="114"/>
        <v>1.5463865438963298</v>
      </c>
      <c r="N978" s="2510">
        <f t="shared" ca="1" si="114"/>
        <v>1.2383766816252286</v>
      </c>
      <c r="O978" s="2"/>
      <c r="P978" s="2"/>
    </row>
    <row r="979" spans="2:16" customFormat="1">
      <c r="B979" s="2"/>
      <c r="C979" s="2" t="s">
        <v>264</v>
      </c>
      <c r="D979" s="2" t="s">
        <v>265</v>
      </c>
      <c r="F979" s="2510">
        <f t="shared" ref="F979:N979" ca="1" si="115">SUMPRODUCT(F957:F972,F331:F346)</f>
        <v>1.8922613815219842</v>
      </c>
      <c r="G979" s="2510">
        <f t="shared" ca="1" si="115"/>
        <v>1.2197992189066855</v>
      </c>
      <c r="H979" s="2510">
        <f t="shared" ca="1" si="115"/>
        <v>0.50806414043994441</v>
      </c>
      <c r="I979" s="2510">
        <f t="shared" ca="1" si="115"/>
        <v>0.32378755277229848</v>
      </c>
      <c r="J979" s="2510">
        <f t="shared" ca="1" si="115"/>
        <v>0.24895300554243635</v>
      </c>
      <c r="K979" s="2510">
        <f t="shared" ca="1" si="115"/>
        <v>0.18092606166472727</v>
      </c>
      <c r="L979" s="2510">
        <f t="shared" ca="1" si="115"/>
        <v>0.11722812380452366</v>
      </c>
      <c r="M979" s="2510">
        <f t="shared" ca="1" si="115"/>
        <v>5.6267243935622262E-2</v>
      </c>
      <c r="N979" s="2510">
        <f t="shared" ca="1" si="115"/>
        <v>0</v>
      </c>
      <c r="O979" s="2"/>
      <c r="P979" s="2"/>
    </row>
    <row r="980" spans="2:16" customFormat="1">
      <c r="B980" s="2"/>
      <c r="C980" s="2" t="s">
        <v>266</v>
      </c>
      <c r="D980" s="2" t="s">
        <v>267</v>
      </c>
      <c r="F980" s="2510">
        <f t="shared" ref="F980:N980" ca="1" si="116">SUMPRODUCT(F957:F972,F351:F366)</f>
        <v>0.71372476173452926</v>
      </c>
      <c r="G980" s="2510">
        <f t="shared" ca="1" si="116"/>
        <v>0.95580184802144685</v>
      </c>
      <c r="H980" s="2510">
        <f t="shared" ca="1" si="116"/>
        <v>2.7211052108724938</v>
      </c>
      <c r="I980" s="2510">
        <f t="shared" ca="1" si="116"/>
        <v>2.6929248208328245</v>
      </c>
      <c r="J980" s="2510">
        <f t="shared" ca="1" si="116"/>
        <v>2.1598796208319277</v>
      </c>
      <c r="K980" s="2510">
        <f t="shared" ca="1" si="116"/>
        <v>1.6553136703552236</v>
      </c>
      <c r="L980" s="2510">
        <f t="shared" ca="1" si="116"/>
        <v>1.1636776172198982</v>
      </c>
      <c r="M980" s="2510">
        <f t="shared" ca="1" si="116"/>
        <v>0.66690150445977348</v>
      </c>
      <c r="N980" s="2510">
        <f t="shared" ca="1" si="116"/>
        <v>0.18257739331081715</v>
      </c>
      <c r="O980" s="2"/>
      <c r="P980" s="2"/>
    </row>
    <row r="981" spans="2:16" s="4" customFormat="1">
      <c r="B981" s="2"/>
      <c r="C981" s="2"/>
      <c r="D981" s="2"/>
      <c r="E981" s="2"/>
      <c r="F981" s="413"/>
      <c r="G981" s="413"/>
      <c r="H981" s="413"/>
      <c r="I981" s="413"/>
      <c r="J981" s="413"/>
      <c r="K981" s="413"/>
      <c r="L981" s="413"/>
      <c r="M981" s="413"/>
      <c r="N981" s="413"/>
      <c r="O981" s="2"/>
    </row>
    <row r="982" spans="2:16" s="401" customFormat="1">
      <c r="B982" s="408">
        <v>7</v>
      </c>
      <c r="C982" s="408" t="s">
        <v>268</v>
      </c>
      <c r="D982" s="38"/>
      <c r="E982" s="38"/>
      <c r="F982" s="417"/>
      <c r="G982" s="417"/>
      <c r="H982" s="417"/>
      <c r="I982" s="417"/>
      <c r="J982" s="417"/>
      <c r="K982" s="417"/>
      <c r="L982" s="417"/>
      <c r="M982" s="417"/>
      <c r="N982" s="417"/>
      <c r="O982" s="38"/>
    </row>
    <row r="983" spans="2:16" s="4" customFormat="1">
      <c r="B983" s="2"/>
      <c r="C983" s="2"/>
      <c r="D983" s="2"/>
      <c r="E983" s="2"/>
      <c r="F983" s="413"/>
      <c r="G983" s="413"/>
      <c r="H983" s="413"/>
      <c r="I983" s="413"/>
      <c r="J983" s="413"/>
      <c r="K983" s="413"/>
      <c r="L983" s="413"/>
      <c r="M983" s="413"/>
      <c r="N983" s="413"/>
      <c r="O983" s="2"/>
    </row>
    <row r="984" spans="2:16" s="4" customFormat="1">
      <c r="B984" s="363"/>
      <c r="C984" s="363" t="s">
        <v>269</v>
      </c>
      <c r="D984" s="2"/>
      <c r="E984" s="364"/>
      <c r="F984" s="364">
        <v>2013</v>
      </c>
      <c r="G984" s="364">
        <v>2015</v>
      </c>
      <c r="H984" s="364">
        <v>2020</v>
      </c>
      <c r="I984" s="364">
        <v>2025</v>
      </c>
      <c r="J984" s="364">
        <v>2030</v>
      </c>
      <c r="K984" s="364">
        <v>2035</v>
      </c>
      <c r="L984" s="364">
        <v>2040</v>
      </c>
      <c r="M984" s="364">
        <v>2045</v>
      </c>
      <c r="N984" s="364">
        <v>2050</v>
      </c>
      <c r="O984" s="2"/>
    </row>
    <row r="985" spans="2:16" s="4" customFormat="1">
      <c r="B985" s="2"/>
      <c r="C985" s="2"/>
      <c r="D985" s="2"/>
      <c r="E985" s="2"/>
      <c r="F985" s="367"/>
      <c r="G985" s="367"/>
      <c r="H985" s="367"/>
      <c r="I985" s="367"/>
      <c r="J985" s="367"/>
      <c r="K985" s="367"/>
      <c r="L985" s="367"/>
      <c r="M985" s="367"/>
      <c r="N985" s="367"/>
      <c r="O985" s="2"/>
    </row>
    <row r="986" spans="2:16" s="4" customFormat="1">
      <c r="B986" s="367">
        <v>1</v>
      </c>
      <c r="C986" s="2" t="s">
        <v>46</v>
      </c>
      <c r="D986" s="2"/>
      <c r="E986" s="2"/>
      <c r="F986" s="374"/>
      <c r="G986" s="374"/>
      <c r="H986" s="374"/>
      <c r="I986" s="374"/>
      <c r="J986" s="374"/>
      <c r="K986" s="374"/>
      <c r="L986" s="374"/>
      <c r="M986" s="374"/>
      <c r="N986" s="374"/>
      <c r="O986" s="2"/>
    </row>
    <row r="987" spans="2:16" s="4" customFormat="1">
      <c r="B987" s="367">
        <v>2</v>
      </c>
      <c r="C987" s="2" t="s">
        <v>47</v>
      </c>
      <c r="D987" s="2"/>
      <c r="E987" s="2"/>
      <c r="F987" s="374"/>
      <c r="G987" s="374"/>
      <c r="H987" s="374"/>
      <c r="I987" s="374"/>
      <c r="J987" s="374"/>
      <c r="K987" s="374"/>
      <c r="L987" s="374"/>
      <c r="M987" s="374"/>
      <c r="N987" s="374"/>
      <c r="O987" s="2"/>
    </row>
    <row r="988" spans="2:16" s="4" customFormat="1">
      <c r="B988" s="367">
        <v>3</v>
      </c>
      <c r="C988" s="2" t="s">
        <v>48</v>
      </c>
      <c r="D988" s="2"/>
      <c r="E988" s="2"/>
      <c r="F988" s="374"/>
      <c r="G988" s="374"/>
      <c r="H988" s="374"/>
      <c r="I988" s="374"/>
      <c r="J988" s="374"/>
      <c r="K988" s="374"/>
      <c r="L988" s="374"/>
      <c r="M988" s="374"/>
      <c r="N988" s="374"/>
      <c r="O988" s="2"/>
    </row>
    <row r="989" spans="2:16" s="4" customFormat="1">
      <c r="B989" s="367">
        <v>4</v>
      </c>
      <c r="C989" s="2" t="s">
        <v>49</v>
      </c>
      <c r="D989" s="2"/>
      <c r="E989" s="2"/>
      <c r="F989" s="374"/>
      <c r="G989" s="374"/>
      <c r="H989" s="374"/>
      <c r="I989" s="374"/>
      <c r="J989" s="374"/>
      <c r="K989" s="374"/>
      <c r="L989" s="374"/>
      <c r="M989" s="374"/>
      <c r="N989" s="374"/>
      <c r="O989" s="2"/>
    </row>
    <row r="990" spans="2:16" s="4" customFormat="1">
      <c r="B990" s="367">
        <v>5</v>
      </c>
      <c r="C990" s="2" t="s">
        <v>50</v>
      </c>
      <c r="D990" s="2"/>
      <c r="E990" s="2"/>
      <c r="F990" s="374"/>
      <c r="G990" s="374"/>
      <c r="H990" s="374"/>
      <c r="I990" s="374"/>
      <c r="J990" s="374"/>
      <c r="K990" s="374"/>
      <c r="L990" s="374"/>
      <c r="M990" s="374"/>
      <c r="N990" s="374"/>
      <c r="O990" s="2"/>
    </row>
    <row r="991" spans="2:16" s="4" customFormat="1">
      <c r="B991" s="367">
        <v>6</v>
      </c>
      <c r="C991" s="2" t="s">
        <v>51</v>
      </c>
      <c r="D991" s="2"/>
      <c r="E991" s="2"/>
      <c r="F991" s="374">
        <f t="shared" ref="F991:N991" ca="1" si="117">F770+F878</f>
        <v>0</v>
      </c>
      <c r="G991" s="374">
        <f t="shared" ca="1" si="117"/>
        <v>0</v>
      </c>
      <c r="H991" s="374">
        <f t="shared" ca="1" si="117"/>
        <v>0</v>
      </c>
      <c r="I991" s="374">
        <f t="shared" ca="1" si="117"/>
        <v>0</v>
      </c>
      <c r="J991" s="374">
        <f t="shared" ca="1" si="117"/>
        <v>0</v>
      </c>
      <c r="K991" s="374">
        <f t="shared" ca="1" si="117"/>
        <v>0</v>
      </c>
      <c r="L991" s="374">
        <f t="shared" ca="1" si="117"/>
        <v>0</v>
      </c>
      <c r="M991" s="374">
        <f t="shared" ca="1" si="117"/>
        <v>0</v>
      </c>
      <c r="N991" s="374">
        <f t="shared" ca="1" si="117"/>
        <v>0</v>
      </c>
      <c r="O991" s="2"/>
    </row>
    <row r="992" spans="2:16" s="4" customFormat="1">
      <c r="B992" s="367">
        <v>7</v>
      </c>
      <c r="C992" s="2" t="s">
        <v>52</v>
      </c>
      <c r="D992" s="2"/>
      <c r="E992" s="2"/>
      <c r="F992" s="374">
        <f t="shared" ref="F992:N992" ca="1" si="118">F771+F879</f>
        <v>0</v>
      </c>
      <c r="G992" s="374">
        <f t="shared" ca="1" si="118"/>
        <v>0</v>
      </c>
      <c r="H992" s="374">
        <f t="shared" ca="1" si="118"/>
        <v>0</v>
      </c>
      <c r="I992" s="374">
        <f t="shared" ca="1" si="118"/>
        <v>0</v>
      </c>
      <c r="J992" s="374">
        <f t="shared" ca="1" si="118"/>
        <v>0</v>
      </c>
      <c r="K992" s="374">
        <f t="shared" ca="1" si="118"/>
        <v>0</v>
      </c>
      <c r="L992" s="374">
        <f t="shared" ca="1" si="118"/>
        <v>0</v>
      </c>
      <c r="M992" s="374">
        <f t="shared" ca="1" si="118"/>
        <v>0</v>
      </c>
      <c r="N992" s="374">
        <f t="shared" ca="1" si="118"/>
        <v>0</v>
      </c>
      <c r="O992" s="2"/>
    </row>
    <row r="993" spans="2:25" s="4" customFormat="1">
      <c r="B993" s="367">
        <v>8</v>
      </c>
      <c r="C993" s="2" t="s">
        <v>53</v>
      </c>
      <c r="D993" s="2"/>
      <c r="E993" s="2"/>
      <c r="F993" s="374"/>
      <c r="G993" s="374"/>
      <c r="H993" s="374"/>
      <c r="I993" s="374"/>
      <c r="J993" s="374"/>
      <c r="K993" s="374"/>
      <c r="L993" s="374"/>
      <c r="M993" s="374"/>
      <c r="N993" s="374"/>
      <c r="O993" s="2"/>
    </row>
    <row r="994" spans="2:25" s="4" customFormat="1">
      <c r="B994" s="367">
        <v>9</v>
      </c>
      <c r="C994" s="2" t="s">
        <v>54</v>
      </c>
      <c r="D994" s="2"/>
      <c r="E994" s="2"/>
      <c r="F994" s="374"/>
      <c r="G994" s="374"/>
      <c r="H994" s="374"/>
      <c r="I994" s="374"/>
      <c r="J994" s="374"/>
      <c r="K994" s="374"/>
      <c r="L994" s="374"/>
      <c r="M994" s="374"/>
      <c r="N994" s="374"/>
      <c r="O994" s="2"/>
      <c r="W994" s="374"/>
      <c r="X994" s="374"/>
      <c r="Y994" s="374"/>
    </row>
    <row r="995" spans="2:25" s="4" customFormat="1">
      <c r="B995" s="367">
        <v>10</v>
      </c>
      <c r="C995" s="2" t="s">
        <v>55</v>
      </c>
      <c r="D995" s="2"/>
      <c r="E995" s="2"/>
      <c r="F995" s="374"/>
      <c r="G995" s="374"/>
      <c r="H995" s="374"/>
      <c r="I995" s="374"/>
      <c r="J995" s="374"/>
      <c r="K995" s="374"/>
      <c r="L995" s="374"/>
      <c r="M995" s="374"/>
      <c r="N995" s="374"/>
      <c r="O995" s="2"/>
      <c r="W995" s="374"/>
      <c r="X995" s="374"/>
      <c r="Y995" s="374"/>
    </row>
    <row r="996" spans="2:25" s="4" customFormat="1">
      <c r="B996" s="367">
        <v>11</v>
      </c>
      <c r="C996" s="2" t="s">
        <v>56</v>
      </c>
      <c r="D996" s="2"/>
      <c r="E996" s="2"/>
      <c r="F996" s="374">
        <f t="shared" ref="F996:M997" ca="1" si="119">F775+F883</f>
        <v>0</v>
      </c>
      <c r="G996" s="374">
        <f t="shared" ca="1" si="119"/>
        <v>0</v>
      </c>
      <c r="H996" s="374">
        <f t="shared" ca="1" si="119"/>
        <v>0</v>
      </c>
      <c r="I996" s="374">
        <f t="shared" ca="1" si="119"/>
        <v>0</v>
      </c>
      <c r="J996" s="374">
        <f t="shared" ca="1" si="119"/>
        <v>0</v>
      </c>
      <c r="K996" s="374">
        <f t="shared" ca="1" si="119"/>
        <v>0</v>
      </c>
      <c r="L996" s="374">
        <f t="shared" ca="1" si="119"/>
        <v>0</v>
      </c>
      <c r="M996" s="374">
        <f t="shared" ca="1" si="119"/>
        <v>0</v>
      </c>
      <c r="N996" s="374">
        <f ca="1">N776+N883</f>
        <v>0</v>
      </c>
      <c r="O996" s="2"/>
      <c r="W996" s="374"/>
      <c r="X996" s="374"/>
      <c r="Y996" s="374"/>
    </row>
    <row r="997" spans="2:25" s="4" customFormat="1">
      <c r="B997" s="367">
        <v>12</v>
      </c>
      <c r="C997" s="2" t="s">
        <v>57</v>
      </c>
      <c r="D997" s="2"/>
      <c r="E997" s="2"/>
      <c r="F997" s="374">
        <f t="shared" ca="1" si="119"/>
        <v>0</v>
      </c>
      <c r="G997" s="374">
        <f t="shared" ca="1" si="119"/>
        <v>0</v>
      </c>
      <c r="H997" s="374">
        <f t="shared" ca="1" si="119"/>
        <v>0</v>
      </c>
      <c r="I997" s="374">
        <f t="shared" ca="1" si="119"/>
        <v>0</v>
      </c>
      <c r="J997" s="374">
        <f t="shared" ca="1" si="119"/>
        <v>0</v>
      </c>
      <c r="K997" s="374">
        <f t="shared" ca="1" si="119"/>
        <v>0</v>
      </c>
      <c r="L997" s="374">
        <f t="shared" ca="1" si="119"/>
        <v>0</v>
      </c>
      <c r="M997" s="374">
        <f t="shared" ca="1" si="119"/>
        <v>0</v>
      </c>
      <c r="N997" s="374">
        <f ca="1">N777+N884</f>
        <v>0</v>
      </c>
      <c r="O997" s="2"/>
      <c r="W997" s="374"/>
      <c r="X997" s="374"/>
      <c r="Y997" s="374"/>
    </row>
    <row r="998" spans="2:25" s="4" customFormat="1">
      <c r="B998" s="367">
        <v>13</v>
      </c>
      <c r="C998" s="2" t="s">
        <v>58</v>
      </c>
      <c r="D998" s="2"/>
      <c r="E998" s="2"/>
      <c r="F998" s="374"/>
      <c r="G998" s="374"/>
      <c r="H998" s="374"/>
      <c r="I998" s="374"/>
      <c r="J998" s="374"/>
      <c r="K998" s="374"/>
      <c r="L998" s="374"/>
      <c r="M998" s="374"/>
      <c r="N998" s="374"/>
      <c r="O998" s="2"/>
      <c r="W998" s="374"/>
      <c r="X998" s="374"/>
      <c r="Y998" s="374"/>
    </row>
    <row r="999" spans="2:25" s="4" customFormat="1">
      <c r="B999" s="367"/>
      <c r="C999" s="2"/>
      <c r="D999" s="2"/>
      <c r="E999" s="3843" t="str">
        <f>Preferences.EnergyUnits</f>
        <v>TWh</v>
      </c>
      <c r="F999" s="380">
        <f ca="1">SUM(F986:F998)</f>
        <v>0</v>
      </c>
      <c r="G999" s="380">
        <f t="shared" ref="G999:N999" ca="1" si="120">SUM(G986:G998)</f>
        <v>0</v>
      </c>
      <c r="H999" s="380">
        <f t="shared" ca="1" si="120"/>
        <v>0</v>
      </c>
      <c r="I999" s="380">
        <f t="shared" ca="1" si="120"/>
        <v>0</v>
      </c>
      <c r="J999" s="380">
        <f t="shared" ca="1" si="120"/>
        <v>0</v>
      </c>
      <c r="K999" s="380">
        <f t="shared" ca="1" si="120"/>
        <v>0</v>
      </c>
      <c r="L999" s="380">
        <f t="shared" ca="1" si="120"/>
        <v>0</v>
      </c>
      <c r="M999" s="380">
        <f t="shared" ca="1" si="120"/>
        <v>0</v>
      </c>
      <c r="N999" s="380">
        <f t="shared" ca="1" si="120"/>
        <v>0</v>
      </c>
      <c r="O999" s="2"/>
      <c r="W999" s="374"/>
      <c r="X999" s="374"/>
      <c r="Y999" s="374"/>
    </row>
    <row r="1000" spans="2:25" s="4" customFormat="1">
      <c r="B1000" s="367"/>
      <c r="C1000" s="2"/>
      <c r="D1000" s="2"/>
      <c r="E1000" s="364"/>
      <c r="F1000" s="406"/>
      <c r="G1000" s="406"/>
      <c r="H1000" s="406"/>
      <c r="I1000" s="406"/>
      <c r="J1000" s="406"/>
      <c r="K1000" s="406"/>
      <c r="L1000" s="406"/>
      <c r="M1000" s="406"/>
      <c r="N1000" s="406"/>
      <c r="O1000" s="2"/>
      <c r="W1000" s="374"/>
      <c r="X1000" s="374"/>
      <c r="Y1000" s="374"/>
    </row>
    <row r="1001" spans="2:25" s="4" customFormat="1">
      <c r="B1001" s="367"/>
      <c r="C1001" s="2"/>
      <c r="D1001" s="2"/>
      <c r="E1001" s="364"/>
      <c r="F1001" s="406"/>
      <c r="G1001" s="406"/>
      <c r="H1001" s="406"/>
      <c r="I1001" s="406"/>
      <c r="J1001" s="406"/>
      <c r="K1001" s="406"/>
      <c r="L1001" s="406"/>
      <c r="M1001" s="406"/>
      <c r="N1001" s="406"/>
      <c r="O1001" s="2"/>
      <c r="W1001" s="374"/>
      <c r="X1001" s="374"/>
      <c r="Y1001" s="374"/>
    </row>
    <row r="1002" spans="2:25" s="4" customFormat="1">
      <c r="B1002" s="363"/>
      <c r="C1002" s="408" t="s">
        <v>249</v>
      </c>
      <c r="D1002" s="38"/>
      <c r="F1002" s="365">
        <v>2013</v>
      </c>
      <c r="G1002" s="365">
        <v>2015</v>
      </c>
      <c r="H1002" s="365">
        <v>2020</v>
      </c>
      <c r="I1002" s="365">
        <v>2025</v>
      </c>
      <c r="J1002" s="365">
        <v>2030</v>
      </c>
      <c r="K1002" s="365">
        <v>2035</v>
      </c>
      <c r="L1002" s="365">
        <v>2040</v>
      </c>
      <c r="M1002" s="365">
        <v>2045</v>
      </c>
      <c r="N1002" s="365">
        <v>2050</v>
      </c>
      <c r="O1002" s="2"/>
      <c r="W1002" s="374"/>
      <c r="X1002" s="374"/>
      <c r="Y1002" s="374"/>
    </row>
    <row r="1003" spans="2:25" s="4" customFormat="1">
      <c r="B1003" s="2"/>
      <c r="C1003" s="2"/>
      <c r="D1003" s="2"/>
      <c r="E1003" s="2"/>
      <c r="F1003"/>
      <c r="G1003"/>
      <c r="H1003"/>
      <c r="I1003"/>
      <c r="J1003"/>
      <c r="K1003"/>
      <c r="L1003"/>
      <c r="M1003"/>
      <c r="N1003"/>
      <c r="O1003" s="2"/>
      <c r="W1003" s="374"/>
      <c r="X1003" s="374"/>
      <c r="Y1003" s="374"/>
    </row>
    <row r="1004" spans="2:25" s="4" customFormat="1">
      <c r="B1004" s="367" t="s">
        <v>96</v>
      </c>
      <c r="C1004" s="4" t="s">
        <v>86</v>
      </c>
      <c r="D1004" s="2"/>
      <c r="E1004" s="2"/>
      <c r="F1004" s="3611">
        <f t="array" aca="1" ref="F1004" ca="1">SUM(F$986:F$998/$M$131:$M$143*($B1004=$F$130:$N$130)*($F$131:$N$143))</f>
        <v>0</v>
      </c>
      <c r="G1004">
        <f t="array" aca="1" ref="G1004" ca="1">SUM(G$986:G$998/$M$131:$M$143*($B1004=$F$130:$N$130)*($F$131:$N$143))</f>
        <v>0</v>
      </c>
      <c r="H1004">
        <f t="array" aca="1" ref="H1004" ca="1">SUM(H$986:H$998/$M$131:$M$143*($B1004=$F$130:$N$130)*($F$131:$N$143))</f>
        <v>0</v>
      </c>
      <c r="I1004">
        <f t="array" aca="1" ref="I1004" ca="1">SUM(I$986:I$998/$M$131:$M$143*($B1004=$F$130:$N$130)*($F$131:$N$143))</f>
        <v>0</v>
      </c>
      <c r="J1004">
        <f t="array" aca="1" ref="J1004" ca="1">SUM(J$986:J$998/$M$131:$M$143*($B1004=$F$130:$N$130)*($F$131:$N$143))</f>
        <v>0</v>
      </c>
      <c r="K1004">
        <f t="array" aca="1" ref="K1004" ca="1">SUM(K$986:K$998/$M$131:$M$143*($B1004=$F$130:$N$130)*($F$131:$N$143))</f>
        <v>0</v>
      </c>
      <c r="L1004">
        <f t="array" aca="1" ref="L1004" ca="1">SUM(L$986:L$998/$M$131:$M$143*($B1004=$F$130:$N$130)*($F$131:$N$143))</f>
        <v>0</v>
      </c>
      <c r="M1004">
        <f t="array" aca="1" ref="M1004" ca="1">SUM(M$986:M$998/$M$131:$M$143*($B1004=$F$130:$N$130)*($F$131:$N$143))</f>
        <v>0</v>
      </c>
      <c r="N1004">
        <f t="array" aca="1" ref="N1004" ca="1">SUM(N$986:N$998/$M$131:$M$143*($B1004=$F$130:$N$130)*($F$131:$N$143))</f>
        <v>0</v>
      </c>
      <c r="O1004"/>
      <c r="W1004" s="374"/>
      <c r="X1004" s="374"/>
      <c r="Y1004" s="374"/>
    </row>
    <row r="1005" spans="2:25" s="4" customFormat="1">
      <c r="B1005" s="367" t="s">
        <v>97</v>
      </c>
      <c r="C1005" s="4" t="s">
        <v>87</v>
      </c>
      <c r="D1005" s="2"/>
      <c r="E1005" s="2"/>
      <c r="F1005" s="418">
        <f t="array" aca="1" ref="F1005" ca="1">SUM(F$986:F$998/$M$131:$M$143*($B1005=$F$130:$N$130)*($F$131:$N$143))</f>
        <v>0</v>
      </c>
      <c r="G1005" s="418">
        <f t="array" aca="1" ref="G1005" ca="1">SUM(G$986:G$998/$M$131:$M$143*($B1005=$F$130:$N$130)*($F$131:$N$143))</f>
        <v>0</v>
      </c>
      <c r="H1005" s="418">
        <f t="array" aca="1" ref="H1005" ca="1">SUM(H$986:H$998/$M$131:$M$143*($B1005=$F$130:$N$130)*($F$131:$N$143))</f>
        <v>0</v>
      </c>
      <c r="I1005" s="418">
        <f t="array" aca="1" ref="I1005" ca="1">SUM(I$986:I$998/$M$131:$M$143*($B1005=$F$130:$N$130)*($F$131:$N$143))</f>
        <v>0</v>
      </c>
      <c r="J1005" s="418">
        <f t="array" aca="1" ref="J1005" ca="1">SUM(J$986:J$998/$M$131:$M$143*($B1005=$F$130:$N$130)*($F$131:$N$143))</f>
        <v>0</v>
      </c>
      <c r="K1005" s="418">
        <f t="array" aca="1" ref="K1005" ca="1">SUM(K$986:K$998/$M$131:$M$143*($B1005=$F$130:$N$130)*($F$131:$N$143))</f>
        <v>0</v>
      </c>
      <c r="L1005" s="418">
        <f t="array" aca="1" ref="L1005" ca="1">SUM(L$986:L$998/$M$131:$M$143*($B1005=$F$130:$N$130)*($F$131:$N$143))</f>
        <v>0</v>
      </c>
      <c r="M1005" s="418">
        <f t="array" aca="1" ref="M1005" ca="1">SUM(M$986:M$998/$M$131:$M$143*($B1005=$F$130:$N$130)*($F$131:$N$143))</f>
        <v>0</v>
      </c>
      <c r="N1005" s="418">
        <f t="array" aca="1" ref="N1005" ca="1">SUM(N$986:N$998/$M$131:$M$143*($B1005=$F$130:$N$130)*($F$131:$N$143))</f>
        <v>0</v>
      </c>
      <c r="O1005"/>
      <c r="W1005" s="374"/>
      <c r="X1005" s="374"/>
      <c r="Y1005" s="374"/>
    </row>
    <row r="1006" spans="2:25" s="4" customFormat="1">
      <c r="B1006" s="367" t="s">
        <v>98</v>
      </c>
      <c r="C1006" s="4" t="s">
        <v>88</v>
      </c>
      <c r="D1006" s="2"/>
      <c r="E1006" s="2"/>
      <c r="F1006" s="418">
        <f t="array" aca="1" ref="F1006" ca="1">SUM(F$986:F$998/$M$131:$M$143*($B1006=$F$130:$N$130)*($F$131:$N$143))</f>
        <v>0</v>
      </c>
      <c r="G1006" s="418">
        <f t="array" aca="1" ref="G1006" ca="1">SUM(G$986:G$998/$M$131:$M$143*($B1006=$F$130:$N$130)*($F$131:$N$143))</f>
        <v>0</v>
      </c>
      <c r="H1006" s="418">
        <f t="array" aca="1" ref="H1006" ca="1">SUM(H$986:H$998/$M$131:$M$143*($B1006=$F$130:$N$130)*($F$131:$N$143))</f>
        <v>0</v>
      </c>
      <c r="I1006" s="418">
        <f t="array" aca="1" ref="I1006" ca="1">SUM(I$986:I$998/$M$131:$M$143*($B1006=$F$130:$N$130)*($F$131:$N$143))</f>
        <v>0</v>
      </c>
      <c r="J1006" s="418">
        <f t="array" aca="1" ref="J1006" ca="1">SUM(J$986:J$998/$M$131:$M$143*($B1006=$F$130:$N$130)*($F$131:$N$143))</f>
        <v>0</v>
      </c>
      <c r="K1006" s="418">
        <f t="array" aca="1" ref="K1006" ca="1">SUM(K$986:K$998/$M$131:$M$143*($B1006=$F$130:$N$130)*($F$131:$N$143))</f>
        <v>0</v>
      </c>
      <c r="L1006" s="418">
        <f t="array" aca="1" ref="L1006" ca="1">SUM(L$986:L$998/$M$131:$M$143*($B1006=$F$130:$N$130)*($F$131:$N$143))</f>
        <v>0</v>
      </c>
      <c r="M1006" s="418">
        <f t="array" aca="1" ref="M1006" ca="1">SUM(M$986:M$998/$M$131:$M$143*($B1006=$F$130:$N$130)*($F$131:$N$143))</f>
        <v>0</v>
      </c>
      <c r="N1006" s="418">
        <f t="array" aca="1" ref="N1006" ca="1">SUM(N$986:N$998/$M$131:$M$143*($B1006=$F$130:$N$130)*($F$131:$N$143))</f>
        <v>0</v>
      </c>
      <c r="O1006"/>
      <c r="W1006" s="374"/>
      <c r="X1006" s="374"/>
      <c r="Y1006" s="374"/>
    </row>
    <row r="1007" spans="2:25" s="4" customFormat="1">
      <c r="B1007" s="367" t="s">
        <v>99</v>
      </c>
      <c r="C1007" s="4" t="s">
        <v>89</v>
      </c>
      <c r="D1007" s="2"/>
      <c r="E1007" s="2"/>
      <c r="F1007" s="419">
        <f t="array" aca="1" ref="F1007" ca="1">SUM(F$986:F$998/$M$131:$M$143*($B1007=$F$130:$N$130)*($F$131:$N$143))</f>
        <v>0</v>
      </c>
      <c r="G1007" s="419">
        <f t="array" aca="1" ref="G1007" ca="1">SUM(G$986:G$998/$M$131:$M$143*($B1007=$F$130:$N$130)*($F$131:$N$143))</f>
        <v>0</v>
      </c>
      <c r="H1007" s="419">
        <f t="array" aca="1" ref="H1007" ca="1">SUM(H$986:H$998/$M$131:$M$143*($B1007=$F$130:$N$130)*($F$131:$N$143))</f>
        <v>0</v>
      </c>
      <c r="I1007" s="419">
        <f t="array" aca="1" ref="I1007" ca="1">SUM(I$986:I$998/$M$131:$M$143*($B1007=$F$130:$N$130)*($F$131:$N$143))</f>
        <v>0</v>
      </c>
      <c r="J1007" s="419">
        <f t="array" aca="1" ref="J1007" ca="1">SUM(J$986:J$998/$M$131:$M$143*($B1007=$F$130:$N$130)*($F$131:$N$143))</f>
        <v>0</v>
      </c>
      <c r="K1007" s="419">
        <f t="array" aca="1" ref="K1007" ca="1">SUM(K$986:K$998/$M$131:$M$143*($B1007=$F$130:$N$130)*($F$131:$N$143))</f>
        <v>0</v>
      </c>
      <c r="L1007" s="419">
        <f t="array" aca="1" ref="L1007" ca="1">SUM(L$986:L$998/$M$131:$M$143*($B1007=$F$130:$N$130)*($F$131:$N$143))</f>
        <v>0</v>
      </c>
      <c r="M1007" s="419">
        <f t="array" aca="1" ref="M1007" ca="1">SUM(M$986:M$998/$M$131:$M$143*($B1007=$F$130:$N$130)*($F$131:$N$143))</f>
        <v>0</v>
      </c>
      <c r="N1007" s="419">
        <f t="array" aca="1" ref="N1007" ca="1">SUM(N$986:N$998/$M$131:$M$143*($B1007=$F$130:$N$130)*($F$131:$N$143))</f>
        <v>0</v>
      </c>
      <c r="O1007"/>
      <c r="W1007" s="374"/>
      <c r="X1007" s="374"/>
      <c r="Y1007" s="374"/>
    </row>
    <row r="1008" spans="2:25" s="4" customFormat="1">
      <c r="B1008" s="367" t="s">
        <v>100</v>
      </c>
      <c r="C1008" s="4" t="s">
        <v>90</v>
      </c>
      <c r="D1008" s="2"/>
      <c r="E1008" s="2"/>
      <c r="F1008" s="418">
        <f t="array" aca="1" ref="F1008" ca="1">SUM(F$986:F$998/$M$131:$M$143*($B1008=$F$130:$N$130)*($F$131:$N$143))</f>
        <v>0</v>
      </c>
      <c r="G1008" s="418">
        <f t="array" aca="1" ref="G1008" ca="1">SUM(G$986:G$998/$M$131:$M$143*($B1008=$F$130:$N$130)*($F$131:$N$143))</f>
        <v>0</v>
      </c>
      <c r="H1008" s="418">
        <f t="array" aca="1" ref="H1008" ca="1">SUM(H$986:H$998/$M$131:$M$143*($B1008=$F$130:$N$130)*($F$131:$N$143))</f>
        <v>0</v>
      </c>
      <c r="I1008" s="418">
        <f t="array" aca="1" ref="I1008" ca="1">SUM(I$986:I$998/$M$131:$M$143*($B1008=$F$130:$N$130)*($F$131:$N$143))</f>
        <v>0</v>
      </c>
      <c r="J1008" s="418">
        <f t="array" aca="1" ref="J1008" ca="1">SUM(J$986:J$998/$M$131:$M$143*($B1008=$F$130:$N$130)*($F$131:$N$143))</f>
        <v>0</v>
      </c>
      <c r="K1008" s="418">
        <f t="array" aca="1" ref="K1008" ca="1">SUM(K$986:K$998/$M$131:$M$143*($B1008=$F$130:$N$130)*($F$131:$N$143))</f>
        <v>0</v>
      </c>
      <c r="L1008" s="418">
        <f t="array" aca="1" ref="L1008" ca="1">SUM(L$986:L$998/$M$131:$M$143*($B1008=$F$130:$N$130)*($F$131:$N$143))</f>
        <v>0</v>
      </c>
      <c r="M1008" s="418">
        <f t="array" aca="1" ref="M1008" ca="1">SUM(M$986:M$998/$M$131:$M$143*($B1008=$F$130:$N$130)*($F$131:$N$143))</f>
        <v>0</v>
      </c>
      <c r="N1008" s="418">
        <f t="array" aca="1" ref="N1008" ca="1">SUM(N$986:N$998/$M$131:$M$143*($B1008=$F$130:$N$130)*($F$131:$N$143))</f>
        <v>0</v>
      </c>
      <c r="O1008"/>
      <c r="W1008" s="374"/>
      <c r="X1008" s="374"/>
      <c r="Y1008" s="374"/>
    </row>
    <row r="1009" spans="2:25" s="4" customFormat="1">
      <c r="B1009" s="367" t="s">
        <v>101</v>
      </c>
      <c r="C1009" s="4" t="s">
        <v>91</v>
      </c>
      <c r="D1009" s="2"/>
      <c r="E1009" s="2"/>
      <c r="F1009" s="418">
        <f t="array" aca="1" ref="F1009" ca="1">SUM(F$986:F$998/$M$131:$M$143*($B1009=$F$130:$N$130)*($F$131:$N$143))</f>
        <v>0</v>
      </c>
      <c r="G1009" s="418">
        <f t="array" aca="1" ref="G1009" ca="1">SUM(G$986:G$998/$M$131:$M$143*($B1009=$F$130:$N$130)*($F$131:$N$143))</f>
        <v>0</v>
      </c>
      <c r="H1009" s="418">
        <f t="array" aca="1" ref="H1009" ca="1">SUM(H$986:H$998/$M$131:$M$143*($B1009=$F$130:$N$130)*($F$131:$N$143))</f>
        <v>0</v>
      </c>
      <c r="I1009" s="418">
        <f t="array" aca="1" ref="I1009" ca="1">SUM(I$986:I$998/$M$131:$M$143*($B1009=$F$130:$N$130)*($F$131:$N$143))</f>
        <v>0</v>
      </c>
      <c r="J1009" s="418">
        <f t="array" aca="1" ref="J1009" ca="1">SUM(J$986:J$998/$M$131:$M$143*($B1009=$F$130:$N$130)*($F$131:$N$143))</f>
        <v>0</v>
      </c>
      <c r="K1009" s="418">
        <f t="array" aca="1" ref="K1009" ca="1">SUM(K$986:K$998/$M$131:$M$143*($B1009=$F$130:$N$130)*($F$131:$N$143))</f>
        <v>0</v>
      </c>
      <c r="L1009" s="418">
        <f t="array" aca="1" ref="L1009" ca="1">SUM(L$986:L$998/$M$131:$M$143*($B1009=$F$130:$N$130)*($F$131:$N$143))</f>
        <v>0</v>
      </c>
      <c r="M1009" s="418">
        <f t="array" aca="1" ref="M1009" ca="1">SUM(M$986:M$998/$M$131:$M$143*($B1009=$F$130:$N$130)*($F$131:$N$143))</f>
        <v>0</v>
      </c>
      <c r="N1009" s="418">
        <f t="array" aca="1" ref="N1009" ca="1">SUM(N$986:N$998/$M$131:$M$143*($B1009=$F$130:$N$130)*($F$131:$N$143))</f>
        <v>0</v>
      </c>
      <c r="O1009"/>
      <c r="W1009" s="374"/>
      <c r="X1009" s="374"/>
      <c r="Y1009" s="374"/>
    </row>
    <row r="1010" spans="2:25" s="4" customFormat="1">
      <c r="B1010" s="367" t="s">
        <v>102</v>
      </c>
      <c r="C1010" s="4" t="s">
        <v>92</v>
      </c>
      <c r="D1010" s="2"/>
      <c r="E1010" s="2"/>
      <c r="F1010" s="418">
        <f t="array" aca="1" ref="F1010" ca="1">SUM(F$986:F$998/$M$131:$M$143*($B1010=$F$130:$N$130)*($F$131:$N$143))</f>
        <v>0</v>
      </c>
      <c r="G1010" s="418">
        <f t="array" aca="1" ref="G1010" ca="1">SUM(G$986:G$998/$M$131:$M$143*($B1010=$F$130:$N$130)*($F$131:$N$143))</f>
        <v>0</v>
      </c>
      <c r="H1010" s="418">
        <f t="array" aca="1" ref="H1010" ca="1">SUM(H$986:H$998/$M$131:$M$143*($B1010=$F$130:$N$130)*($F$131:$N$143))</f>
        <v>0</v>
      </c>
      <c r="I1010" s="418">
        <f t="array" aca="1" ref="I1010" ca="1">SUM(I$986:I$998/$M$131:$M$143*($B1010=$F$130:$N$130)*($F$131:$N$143))</f>
        <v>0</v>
      </c>
      <c r="J1010" s="418">
        <f t="array" aca="1" ref="J1010" ca="1">SUM(J$986:J$998/$M$131:$M$143*($B1010=$F$130:$N$130)*($F$131:$N$143))</f>
        <v>0</v>
      </c>
      <c r="K1010" s="418">
        <f t="array" aca="1" ref="K1010" ca="1">SUM(K$986:K$998/$M$131:$M$143*($B1010=$F$130:$N$130)*($F$131:$N$143))</f>
        <v>0</v>
      </c>
      <c r="L1010" s="418">
        <f t="array" aca="1" ref="L1010" ca="1">SUM(L$986:L$998/$M$131:$M$143*($B1010=$F$130:$N$130)*($F$131:$N$143))</f>
        <v>0</v>
      </c>
      <c r="M1010" s="418">
        <f t="array" aca="1" ref="M1010" ca="1">SUM(M$986:M$998/$M$131:$M$143*($B1010=$F$130:$N$130)*($F$131:$N$143))</f>
        <v>0</v>
      </c>
      <c r="N1010" s="418">
        <f t="array" aca="1" ref="N1010" ca="1">SUM(N$986:N$998/$M$131:$M$143*($B1010=$F$130:$N$130)*($F$131:$N$143))</f>
        <v>0</v>
      </c>
      <c r="O1010"/>
      <c r="W1010" s="374"/>
      <c r="X1010" s="374"/>
      <c r="Y1010" s="374"/>
    </row>
    <row r="1011" spans="2:25" s="4" customFormat="1">
      <c r="B1011" s="367" t="s">
        <v>103</v>
      </c>
      <c r="C1011" s="4" t="s">
        <v>93</v>
      </c>
      <c r="D1011" s="2"/>
      <c r="E1011" s="2"/>
      <c r="F1011" s="418">
        <f t="array" aca="1" ref="F1011" ca="1">SUM(F$986:F$998/$M$131:$M$143*($B1011=$F$130:$N$130)*($F$131:$N$143))</f>
        <v>0</v>
      </c>
      <c r="G1011" s="418">
        <f t="array" aca="1" ref="G1011" ca="1">SUM(G$986:G$998/$M$131:$M$143*($B1011=$F$130:$N$130)*($F$131:$N$143))</f>
        <v>0</v>
      </c>
      <c r="H1011" s="418">
        <f t="array" aca="1" ref="H1011" ca="1">SUM(H$986:H$998/$M$131:$M$143*($B1011=$F$130:$N$130)*($F$131:$N$143))</f>
        <v>0</v>
      </c>
      <c r="I1011" s="418">
        <f t="array" aca="1" ref="I1011" ca="1">SUM(I$986:I$998/$M$131:$M$143*($B1011=$F$130:$N$130)*($F$131:$N$143))</f>
        <v>0</v>
      </c>
      <c r="J1011" s="418">
        <f t="array" aca="1" ref="J1011" ca="1">SUM(J$986:J$998/$M$131:$M$143*($B1011=$F$130:$N$130)*($F$131:$N$143))</f>
        <v>0</v>
      </c>
      <c r="K1011" s="418">
        <f t="array" aca="1" ref="K1011" ca="1">SUM(K$986:K$998/$M$131:$M$143*($B1011=$F$130:$N$130)*($F$131:$N$143))</f>
        <v>0</v>
      </c>
      <c r="L1011" s="418">
        <f t="array" aca="1" ref="L1011" ca="1">SUM(L$986:L$998/$M$131:$M$143*($B1011=$F$130:$N$130)*($F$131:$N$143))</f>
        <v>0</v>
      </c>
      <c r="M1011" s="418">
        <f t="array" aca="1" ref="M1011" ca="1">SUM(M$986:M$998/$M$131:$M$143*($B1011=$F$130:$N$130)*($F$131:$N$143))</f>
        <v>0</v>
      </c>
      <c r="N1011" s="418">
        <f t="array" aca="1" ref="N1011" ca="1">SUM(N$986:N$998/$M$131:$M$143*($B1011=$F$130:$N$130)*($F$131:$N$143))</f>
        <v>0</v>
      </c>
      <c r="O1011"/>
      <c r="W1011" s="374"/>
      <c r="X1011" s="374"/>
      <c r="Y1011" s="374"/>
    </row>
    <row r="1012" spans="2:25" s="4" customFormat="1">
      <c r="B1012" s="367" t="s">
        <v>104</v>
      </c>
      <c r="C1012" s="4" t="s">
        <v>94</v>
      </c>
      <c r="D1012" s="2"/>
      <c r="E1012" s="2"/>
      <c r="F1012" s="418">
        <f t="array" aca="1" ref="F1012" ca="1">SUM(F$986:F$998/$M$131:$M$143*($B1012=$F$130:$N$130)*($F$131:$N$143))</f>
        <v>0</v>
      </c>
      <c r="G1012" s="418">
        <f t="array" aca="1" ref="G1012" ca="1">SUM(G$986:G$998/$M$131:$M$143*($B1012=$F$130:$N$130)*($F$131:$N$143))</f>
        <v>0</v>
      </c>
      <c r="H1012" s="418">
        <f t="array" aca="1" ref="H1012" ca="1">SUM(H$986:H$998/$M$131:$M$143*($B1012=$F$130:$N$130)*($F$131:$N$143))</f>
        <v>0</v>
      </c>
      <c r="I1012" s="418">
        <f t="array" aca="1" ref="I1012" ca="1">SUM(I$986:I$998/$M$131:$M$143*($B1012=$F$130:$N$130)*($F$131:$N$143))</f>
        <v>0</v>
      </c>
      <c r="J1012" s="418">
        <f t="array" aca="1" ref="J1012" ca="1">SUM(J$986:J$998/$M$131:$M$143*($B1012=$F$130:$N$130)*($F$131:$N$143))</f>
        <v>0</v>
      </c>
      <c r="K1012" s="418">
        <f t="array" aca="1" ref="K1012" ca="1">SUM(K$986:K$998/$M$131:$M$143*($B1012=$F$130:$N$130)*($F$131:$N$143))</f>
        <v>0</v>
      </c>
      <c r="L1012" s="418">
        <f t="array" aca="1" ref="L1012" ca="1">SUM(L$986:L$998/$M$131:$M$143*($B1012=$F$130:$N$130)*($F$131:$N$143))</f>
        <v>0</v>
      </c>
      <c r="M1012" s="418">
        <f t="array" aca="1" ref="M1012" ca="1">SUM(M$986:M$998/$M$131:$M$143*($B1012=$F$130:$N$130)*($F$131:$N$143))</f>
        <v>0</v>
      </c>
      <c r="N1012" s="418">
        <f t="array" aca="1" ref="N1012" ca="1">SUM(N$986:N$998/$M$131:$M$143*($B1012=$F$130:$N$130)*($F$131:$N$143))</f>
        <v>0</v>
      </c>
      <c r="O1012"/>
      <c r="W1012" s="374"/>
      <c r="X1012" s="374"/>
      <c r="Y1012" s="374"/>
    </row>
    <row r="1013" spans="2:25" s="4" customFormat="1">
      <c r="B1013" s="2"/>
      <c r="C1013" s="2"/>
      <c r="D1013" s="2"/>
      <c r="E1013" s="3843" t="str">
        <f>Preferences.EnergyUnits</f>
        <v>TWh</v>
      </c>
      <c r="F1013" s="380">
        <f ca="1">SUM(F1004:F1012)</f>
        <v>0</v>
      </c>
      <c r="G1013" s="380">
        <f t="shared" ref="G1013:N1013" ca="1" si="121">SUM(G1004:G1012)</f>
        <v>0</v>
      </c>
      <c r="H1013" s="380">
        <f t="shared" ca="1" si="121"/>
        <v>0</v>
      </c>
      <c r="I1013" s="380">
        <f t="shared" ca="1" si="121"/>
        <v>0</v>
      </c>
      <c r="J1013" s="380">
        <f t="shared" ca="1" si="121"/>
        <v>0</v>
      </c>
      <c r="K1013" s="380">
        <f t="shared" ca="1" si="121"/>
        <v>0</v>
      </c>
      <c r="L1013" s="380">
        <f t="shared" ca="1" si="121"/>
        <v>0</v>
      </c>
      <c r="M1013" s="380">
        <f t="shared" ca="1" si="121"/>
        <v>0</v>
      </c>
      <c r="N1013" s="380">
        <f t="shared" ca="1" si="121"/>
        <v>0</v>
      </c>
      <c r="O1013" s="2"/>
      <c r="W1013" s="374"/>
      <c r="X1013" s="374"/>
      <c r="Y1013" s="374"/>
    </row>
    <row r="1014" spans="2:25" s="4" customFormat="1">
      <c r="B1014" s="2"/>
      <c r="C1014" s="2"/>
      <c r="D1014" s="2"/>
      <c r="E1014" s="2"/>
      <c r="F1014" s="413"/>
      <c r="G1014" s="413"/>
      <c r="H1014" s="413"/>
      <c r="I1014" s="413"/>
      <c r="J1014" s="413"/>
      <c r="K1014" s="413"/>
      <c r="L1014" s="413"/>
      <c r="M1014" s="413"/>
      <c r="N1014" s="413"/>
      <c r="O1014" s="2"/>
      <c r="W1014" s="374"/>
      <c r="X1014" s="374"/>
      <c r="Y1014" s="374"/>
    </row>
    <row r="1015" spans="2:25" s="4" customFormat="1">
      <c r="B1015" s="2"/>
      <c r="C1015" s="412" t="s">
        <v>270</v>
      </c>
      <c r="D1015" s="2"/>
      <c r="E1015" s="2"/>
      <c r="F1015" s="364">
        <v>2013</v>
      </c>
      <c r="G1015" s="364">
        <v>2015</v>
      </c>
      <c r="H1015" s="364">
        <v>2020</v>
      </c>
      <c r="I1015" s="364">
        <v>2025</v>
      </c>
      <c r="J1015" s="364">
        <v>2030</v>
      </c>
      <c r="K1015" s="364">
        <v>2035</v>
      </c>
      <c r="L1015" s="364">
        <v>2040</v>
      </c>
      <c r="M1015" s="364">
        <v>2045</v>
      </c>
      <c r="N1015" s="364">
        <v>2050</v>
      </c>
      <c r="O1015" s="2"/>
      <c r="W1015" s="374"/>
      <c r="X1015" s="374"/>
      <c r="Y1015" s="374"/>
    </row>
    <row r="1016" spans="2:25" s="4" customFormat="1">
      <c r="B1016"/>
      <c r="C1016" s="2" t="s">
        <v>253</v>
      </c>
      <c r="D1016" s="2"/>
      <c r="E1016" s="2" t="s">
        <v>254</v>
      </c>
      <c r="F1016" s="2167">
        <f t="array" aca="1" ref="F1016" ca="1">-SUM(F$1004:F$1012*SUMIFS(EF[CO2], EF[Vector], $B$1004:$B$1012))</f>
        <v>0</v>
      </c>
      <c r="G1016" s="2167">
        <f t="array" aca="1" ref="G1016" ca="1">-SUM(G$1004:G$1012*SUMIFS(EF[CO2], EF[Vector], $B$1004:$B$1012))</f>
        <v>0</v>
      </c>
      <c r="H1016" s="2167">
        <f t="array" aca="1" ref="H1016" ca="1">-SUM(H$1004:H$1012*SUMIFS(EF[CO2], EF[Vector], $B$1004:$B$1012))</f>
        <v>0</v>
      </c>
      <c r="I1016" s="2167">
        <f t="array" aca="1" ref="I1016" ca="1">-SUM(I$1004:I$1012*SUMIFS(EF[CO2], EF[Vector], $B$1004:$B$1012))</f>
        <v>0</v>
      </c>
      <c r="J1016" s="2167">
        <f t="array" aca="1" ref="J1016" ca="1">-SUM(J$1004:J$1012*SUMIFS(EF[CO2], EF[Vector], $B$1004:$B$1012))</f>
        <v>0</v>
      </c>
      <c r="K1016" s="2167">
        <f t="array" aca="1" ref="K1016" ca="1">-SUM(K$1004:K$1012*SUMIFS(EF[CO2], EF[Vector], $B$1004:$B$1012))</f>
        <v>0</v>
      </c>
      <c r="L1016" s="2167">
        <f t="array" aca="1" ref="L1016" ca="1">-SUM(L$1004:L$1012*SUMIFS(EF[CO2], EF[Vector], $B$1004:$B$1012))</f>
        <v>0</v>
      </c>
      <c r="M1016" s="2167">
        <f t="array" aca="1" ref="M1016" ca="1">-SUM(M$1004:M$1012*SUMIFS(EF[CO2], EF[Vector], $B$1004:$B$1012))</f>
        <v>0</v>
      </c>
      <c r="N1016" s="2167">
        <f t="array" aca="1" ref="N1016" ca="1">-SUM(N$1004:N$1012*SUMIFS(EF[CO2], EF[Vector], $B$1004:$B$1012))</f>
        <v>0</v>
      </c>
      <c r="O1016" s="3084" t="s">
        <v>5</v>
      </c>
      <c r="W1016" s="374"/>
      <c r="X1016" s="374"/>
      <c r="Y1016" s="374"/>
    </row>
    <row r="1017" spans="2:25" s="4" customFormat="1">
      <c r="B1017"/>
      <c r="C1017" s="2" t="s">
        <v>255</v>
      </c>
      <c r="D1017" s="2"/>
      <c r="E1017" s="2"/>
      <c r="F1017" s="2167">
        <f t="array" aca="1" ref="F1017" ca="1">-SUM(F$1004:F$1012*SUMIFS(EF[CH4], EF[Vector], $B$1004:$B$1012))</f>
        <v>0</v>
      </c>
      <c r="G1017" s="2167">
        <f t="array" aca="1" ref="G1017" ca="1">-SUM(G$1004:G$1012*SUMIFS(EF[CH4], EF[Vector], $B$1004:$B$1012))</f>
        <v>0</v>
      </c>
      <c r="H1017" s="2167">
        <f t="array" aca="1" ref="H1017" ca="1">-SUM(H$1004:H$1012*SUMIFS(EF[CH4], EF[Vector], $B$1004:$B$1012))</f>
        <v>0</v>
      </c>
      <c r="I1017" s="2167">
        <f t="array" aca="1" ref="I1017" ca="1">-SUM(I$1004:I$1012*SUMIFS(EF[CH4], EF[Vector], $B$1004:$B$1012))</f>
        <v>0</v>
      </c>
      <c r="J1017" s="2167">
        <f t="array" aca="1" ref="J1017" ca="1">-SUM(J$1004:J$1012*SUMIFS(EF[CH4], EF[Vector], $B$1004:$B$1012))</f>
        <v>0</v>
      </c>
      <c r="K1017" s="2167">
        <f t="array" aca="1" ref="K1017" ca="1">-SUM(K$1004:K$1012*SUMIFS(EF[CH4], EF[Vector], $B$1004:$B$1012))</f>
        <v>0</v>
      </c>
      <c r="L1017" s="2167">
        <f t="array" aca="1" ref="L1017" ca="1">-SUM(L$1004:L$1012*SUMIFS(EF[CH4], EF[Vector], $B$1004:$B$1012))</f>
        <v>0</v>
      </c>
      <c r="M1017" s="2167">
        <f t="array" aca="1" ref="M1017" ca="1">-SUM(M$1004:M$1012*SUMIFS(EF[CH4], EF[Vector], $B$1004:$B$1012))</f>
        <v>0</v>
      </c>
      <c r="N1017" s="2167">
        <f t="array" aca="1" ref="N1017" ca="1">-SUM(N$1004:N$1012*SUMIFS(EF[CH4], EF[Vector], $B$1004:$B$1012))</f>
        <v>0</v>
      </c>
      <c r="O1017" t="s">
        <v>5</v>
      </c>
      <c r="W1017" s="374"/>
      <c r="X1017" s="374"/>
      <c r="Y1017" s="374"/>
    </row>
    <row r="1018" spans="2:25" s="4" customFormat="1">
      <c r="B1018"/>
      <c r="C1018" s="2" t="s">
        <v>256</v>
      </c>
      <c r="D1018" s="2"/>
      <c r="E1018" s="2"/>
      <c r="F1018" s="2167">
        <f t="array" aca="1" ref="F1018" ca="1">-SUM(F$1004:F$1012*SUMIFS(EF[N2O], EF[Vector], $B$1004:$B$1012))</f>
        <v>0</v>
      </c>
      <c r="G1018" s="2167">
        <f t="array" aca="1" ref="G1018" ca="1">-SUM(G$1004:G$1012*SUMIFS(EF[N2O], EF[Vector], $B$1004:$B$1012))</f>
        <v>0</v>
      </c>
      <c r="H1018" s="2167">
        <f t="array" aca="1" ref="H1018" ca="1">-SUM(H$1004:H$1012*SUMIFS(EF[N2O], EF[Vector], $B$1004:$B$1012))</f>
        <v>0</v>
      </c>
      <c r="I1018" s="2167">
        <f t="array" aca="1" ref="I1018" ca="1">-SUM(I$1004:I$1012*SUMIFS(EF[N2O], EF[Vector], $B$1004:$B$1012))</f>
        <v>0</v>
      </c>
      <c r="J1018" s="2167">
        <f t="array" aca="1" ref="J1018" ca="1">-SUM(J$1004:J$1012*SUMIFS(EF[N2O], EF[Vector], $B$1004:$B$1012))</f>
        <v>0</v>
      </c>
      <c r="K1018" s="2167">
        <f t="array" aca="1" ref="K1018" ca="1">-SUM(K$1004:K$1012*SUMIFS(EF[N2O], EF[Vector], $B$1004:$B$1012))</f>
        <v>0</v>
      </c>
      <c r="L1018" s="2167">
        <f t="array" aca="1" ref="L1018" ca="1">-SUM(L$1004:L$1012*SUMIFS(EF[N2O], EF[Vector], $B$1004:$B$1012))</f>
        <v>0</v>
      </c>
      <c r="M1018" s="2167">
        <f t="array" aca="1" ref="M1018" ca="1">-SUM(M$1004:M$1012*SUMIFS(EF[N2O], EF[Vector], $B$1004:$B$1012))</f>
        <v>0</v>
      </c>
      <c r="N1018" s="2167">
        <f t="array" aca="1" ref="N1018" ca="1">-SUM(N$1004:N$1012*SUMIFS(EF[N2O], EF[Vector], $B$1004:$B$1012))</f>
        <v>0</v>
      </c>
      <c r="O1018" s="2167"/>
      <c r="W1018" s="374"/>
      <c r="X1018" s="374"/>
      <c r="Y1018" s="374"/>
    </row>
    <row r="1019" spans="2:25" s="4" customFormat="1">
      <c r="B1019" s="2"/>
      <c r="C1019" s="2"/>
      <c r="D1019" s="2"/>
      <c r="E1019" s="2"/>
      <c r="F1019" s="374"/>
      <c r="G1019" s="2"/>
      <c r="H1019" s="2"/>
      <c r="I1019" s="2"/>
      <c r="J1019" s="2"/>
      <c r="K1019" s="2"/>
      <c r="L1019" s="2"/>
      <c r="M1019" s="2"/>
      <c r="N1019" s="2167"/>
      <c r="O1019" s="2"/>
      <c r="W1019" s="374"/>
      <c r="X1019" s="374"/>
      <c r="Y1019" s="374"/>
    </row>
    <row r="1020" spans="2:25" s="4" customFormat="1">
      <c r="B1020" s="363">
        <v>8</v>
      </c>
      <c r="C1020" s="363" t="s">
        <v>271</v>
      </c>
      <c r="D1020" s="2"/>
      <c r="E1020" s="2"/>
      <c r="F1020" s="374"/>
      <c r="G1020" s="2"/>
      <c r="H1020" s="2"/>
      <c r="I1020" s="2"/>
      <c r="J1020" s="2"/>
      <c r="K1020" s="2"/>
      <c r="L1020" s="2"/>
      <c r="M1020" s="2"/>
      <c r="N1020" s="2"/>
      <c r="O1020" s="2"/>
      <c r="W1020" s="374"/>
      <c r="X1020" s="374"/>
      <c r="Y1020" s="374"/>
    </row>
    <row r="1021" spans="2:25" s="4" customFormat="1">
      <c r="B1021" s="2"/>
      <c r="C1021" s="2"/>
      <c r="D1021" s="2"/>
      <c r="E1021" s="2"/>
      <c r="F1021" s="374"/>
      <c r="G1021" s="2"/>
      <c r="H1021" s="2"/>
      <c r="I1021" s="2"/>
      <c r="J1021" s="2"/>
      <c r="K1021" s="2"/>
      <c r="L1021" s="2"/>
      <c r="M1021" s="2"/>
      <c r="N1021" s="2"/>
      <c r="O1021" s="2"/>
      <c r="W1021" s="374"/>
      <c r="X1021" s="374"/>
      <c r="Y1021" s="374"/>
    </row>
    <row r="1022" spans="2:25" s="4" customFormat="1">
      <c r="B1022" s="363" t="s">
        <v>272</v>
      </c>
      <c r="C1022" s="363" t="s">
        <v>273</v>
      </c>
      <c r="D1022" s="2"/>
      <c r="E1022" s="2"/>
      <c r="F1022" s="374"/>
      <c r="G1022" s="2"/>
      <c r="H1022" s="2"/>
      <c r="I1022" s="2"/>
      <c r="J1022" s="2"/>
      <c r="K1022" s="2"/>
      <c r="L1022" s="2"/>
      <c r="M1022" s="2"/>
      <c r="N1022" s="2"/>
      <c r="O1022" s="2"/>
      <c r="W1022" s="374"/>
      <c r="X1022" s="374"/>
      <c r="Y1022" s="374"/>
    </row>
    <row r="1023" spans="2:25" s="4" customFormat="1">
      <c r="B1023" s="2"/>
      <c r="C1023" s="363"/>
      <c r="D1023" s="2"/>
      <c r="E1023" s="2"/>
      <c r="F1023" s="374"/>
      <c r="G1023" s="2"/>
      <c r="H1023" s="2"/>
      <c r="I1023" s="2"/>
      <c r="J1023" s="2"/>
      <c r="K1023" s="2"/>
      <c r="L1023" s="2"/>
      <c r="M1023" s="2"/>
      <c r="N1023" s="2"/>
      <c r="O1023" s="2"/>
      <c r="W1023" s="374"/>
      <c r="X1023" s="374"/>
      <c r="Y1023" s="374"/>
    </row>
    <row r="1024" spans="2:25" s="4" customFormat="1">
      <c r="B1024" s="2"/>
      <c r="C1024" s="381" t="s">
        <v>274</v>
      </c>
      <c r="D1024" s="2"/>
      <c r="F1024" s="364">
        <v>2013</v>
      </c>
      <c r="G1024" s="364">
        <v>2015</v>
      </c>
      <c r="H1024" s="364">
        <v>2020</v>
      </c>
      <c r="I1024" s="364">
        <v>2025</v>
      </c>
      <c r="J1024" s="364">
        <v>2030</v>
      </c>
      <c r="K1024" s="364">
        <v>2035</v>
      </c>
      <c r="L1024" s="364">
        <v>2040</v>
      </c>
      <c r="M1024" s="364">
        <v>2045</v>
      </c>
      <c r="N1024" s="364">
        <v>2050</v>
      </c>
      <c r="O1024" s="2"/>
      <c r="W1024" s="374"/>
      <c r="X1024" s="374"/>
      <c r="Y1024" s="374"/>
    </row>
    <row r="1025" spans="2:25" s="4" customFormat="1">
      <c r="B1025" s="2"/>
      <c r="C1025" s="2" t="s">
        <v>275</v>
      </c>
      <c r="D1025" s="2"/>
      <c r="E1025" s="420" t="str">
        <f>Preferences.PowerUnits&amp;"e"</f>
        <v>GWe</v>
      </c>
      <c r="F1025" s="374">
        <f t="shared" ref="F1025:N1025" si="122">F926*Conversion.to.average.power</f>
        <v>0</v>
      </c>
      <c r="G1025" s="374">
        <f t="shared" si="122"/>
        <v>0</v>
      </c>
      <c r="H1025" s="374">
        <f t="shared" si="122"/>
        <v>0</v>
      </c>
      <c r="I1025" s="374">
        <f t="shared" si="122"/>
        <v>0</v>
      </c>
      <c r="J1025" s="374">
        <f t="shared" si="122"/>
        <v>0</v>
      </c>
      <c r="K1025" s="374">
        <f t="shared" si="122"/>
        <v>0</v>
      </c>
      <c r="L1025" s="374">
        <f t="shared" si="122"/>
        <v>0</v>
      </c>
      <c r="M1025" s="374">
        <f t="shared" si="122"/>
        <v>0</v>
      </c>
      <c r="N1025" s="374">
        <f t="shared" si="122"/>
        <v>0</v>
      </c>
      <c r="O1025" s="2"/>
      <c r="W1025" s="374"/>
      <c r="X1025" s="374"/>
      <c r="Y1025" s="374"/>
    </row>
    <row r="1026" spans="2:25" s="4" customFormat="1">
      <c r="B1026" s="2"/>
      <c r="D1026" s="2"/>
      <c r="E1026" s="2"/>
      <c r="F1026" s="374"/>
      <c r="G1026" s="2"/>
      <c r="H1026" s="2"/>
      <c r="I1026" s="2"/>
      <c r="J1026" s="2"/>
      <c r="K1026" s="2"/>
      <c r="L1026" s="2"/>
      <c r="M1026" s="2"/>
      <c r="N1026" s="2"/>
      <c r="O1026" s="2"/>
      <c r="W1026" s="374"/>
      <c r="X1026" s="374"/>
      <c r="Y1026" s="374"/>
    </row>
    <row r="1027" spans="2:25" s="4" customFormat="1">
      <c r="B1027" s="2"/>
      <c r="C1027" s="381" t="s">
        <v>276</v>
      </c>
      <c r="D1027" s="2"/>
      <c r="E1027" s="2"/>
      <c r="F1027" s="364">
        <v>2013</v>
      </c>
      <c r="G1027" s="364">
        <v>2015</v>
      </c>
      <c r="H1027" s="364">
        <v>2020</v>
      </c>
      <c r="I1027" s="364">
        <v>2025</v>
      </c>
      <c r="J1027" s="364">
        <v>2030</v>
      </c>
      <c r="K1027" s="364">
        <v>2035</v>
      </c>
      <c r="L1027" s="364">
        <v>2040</v>
      </c>
      <c r="M1027" s="364">
        <v>2045</v>
      </c>
      <c r="N1027" s="364">
        <v>2050</v>
      </c>
      <c r="O1027" s="2"/>
      <c r="W1027" s="374"/>
      <c r="X1027" s="374"/>
      <c r="Y1027" s="374"/>
    </row>
    <row r="1028" spans="2:25" s="4" customFormat="1">
      <c r="B1028" s="2"/>
      <c r="C1028" s="4" t="s">
        <v>277</v>
      </c>
      <c r="D1028" s="2"/>
      <c r="E1028" s="2" t="str">
        <f>Preferences.PowerUnits&amp;"th"</f>
        <v>GWth</v>
      </c>
      <c r="F1028" s="374">
        <f>F757*Conversion.to.average.power</f>
        <v>0.67261503183860649</v>
      </c>
      <c r="G1028" s="374">
        <f t="shared" ref="G1028:N1028" si="123">G757*Conversion.to.average.power</f>
        <v>0.69353919818191656</v>
      </c>
      <c r="H1028" s="374">
        <f t="shared" si="123"/>
        <v>0.7313097424335343</v>
      </c>
      <c r="I1028" s="374">
        <f t="shared" si="123"/>
        <v>0.76886542869825059</v>
      </c>
      <c r="J1028" s="374">
        <f t="shared" si="123"/>
        <v>0.80427245574897555</v>
      </c>
      <c r="K1028" s="374">
        <f t="shared" si="123"/>
        <v>0.84167869054705258</v>
      </c>
      <c r="L1028" s="374">
        <f t="shared" si="123"/>
        <v>0.88102800585074537</v>
      </c>
      <c r="M1028" s="374">
        <f t="shared" si="123"/>
        <v>0.92013753392669528</v>
      </c>
      <c r="N1028" s="374">
        <f t="shared" si="123"/>
        <v>0.96128438791762683</v>
      </c>
      <c r="O1028" s="2"/>
      <c r="W1028" s="374"/>
      <c r="X1028" s="374"/>
      <c r="Y1028" s="374"/>
    </row>
    <row r="1029" spans="2:25" s="4" customFormat="1">
      <c r="B1029" s="2"/>
      <c r="C1029" s="2"/>
      <c r="D1029" s="2"/>
      <c r="E1029" s="2"/>
      <c r="F1029" s="374"/>
      <c r="G1029" s="2"/>
      <c r="H1029" s="2"/>
      <c r="I1029" s="2"/>
      <c r="J1029" s="2"/>
      <c r="K1029" s="2"/>
      <c r="L1029" s="2"/>
      <c r="M1029" s="2"/>
      <c r="N1029" s="2"/>
      <c r="O1029" s="2"/>
      <c r="W1029" s="374"/>
      <c r="X1029" s="374"/>
      <c r="Y1029" s="374"/>
    </row>
    <row r="1030" spans="2:25" s="4" customFormat="1">
      <c r="B1030" s="2"/>
      <c r="C1030" s="363" t="s">
        <v>278</v>
      </c>
      <c r="D1030" s="2"/>
      <c r="E1030" s="2"/>
      <c r="F1030" s="364">
        <v>2013</v>
      </c>
      <c r="G1030" s="364">
        <v>2015</v>
      </c>
      <c r="H1030" s="364">
        <v>2020</v>
      </c>
      <c r="I1030" s="364">
        <v>2025</v>
      </c>
      <c r="J1030" s="364">
        <v>2030</v>
      </c>
      <c r="K1030" s="364">
        <v>2035</v>
      </c>
      <c r="L1030" s="364">
        <v>2040</v>
      </c>
      <c r="M1030" s="364">
        <v>2045</v>
      </c>
      <c r="N1030" s="364">
        <v>2050</v>
      </c>
      <c r="O1030" s="2"/>
      <c r="W1030" s="374"/>
      <c r="X1030" s="374"/>
      <c r="Y1030" s="374"/>
    </row>
    <row r="1031" spans="2:25" s="4" customFormat="1">
      <c r="B1031" s="367">
        <v>1</v>
      </c>
      <c r="C1031" s="2" t="s">
        <v>46</v>
      </c>
      <c r="D1031" s="2"/>
      <c r="E1031" s="2"/>
      <c r="F1031" s="374">
        <f t="array" ref="F1031:F1043">F$1028*F$626:F$638</f>
        <v>0.11434455541256311</v>
      </c>
      <c r="G1031" s="374">
        <f t="array" ref="G1031:G1043">G$1028*G$626:G$638</f>
        <v>0.16644940756365997</v>
      </c>
      <c r="H1031" s="374">
        <f t="array" ref="H1031:H1043">H$1028*H$626:H$638</f>
        <v>0.15044086130061277</v>
      </c>
      <c r="I1031" s="374">
        <f t="array" ref="I1031:I1043">I$1028*I$626:I$638</f>
        <v>0.13180550206255726</v>
      </c>
      <c r="J1031" s="374">
        <f t="array" ref="J1031:J1043">J$1028*J$626:J$638</f>
        <v>0.11030022250271665</v>
      </c>
      <c r="K1031" s="374">
        <f t="array" ref="K1031:K1043">K$1028*K$626:K$638</f>
        <v>8.6572665313411137E-2</v>
      </c>
      <c r="L1031" s="374">
        <f t="array" ref="L1031:L1043">L$1028*L$626:L$638</f>
        <v>6.0413348972622558E-2</v>
      </c>
      <c r="M1031" s="374">
        <f t="array" ref="M1031:M1043">M$1028*M$626:M$638</f>
        <v>3.1547572591772426E-2</v>
      </c>
      <c r="N1031" s="374">
        <f t="array" ref="N1031:N1043">N$1028*N$626:N$638</f>
        <v>0</v>
      </c>
      <c r="O1031" s="2"/>
      <c r="W1031" s="374"/>
      <c r="X1031" s="374"/>
      <c r="Y1031" s="374"/>
    </row>
    <row r="1032" spans="2:25" s="4" customFormat="1">
      <c r="B1032" s="367">
        <v>2</v>
      </c>
      <c r="C1032" s="2" t="s">
        <v>47</v>
      </c>
      <c r="D1032" s="2"/>
      <c r="E1032" s="2"/>
      <c r="F1032" s="374">
        <v>0.10492794496682262</v>
      </c>
      <c r="G1032" s="374">
        <v>5.5483135854553327E-2</v>
      </c>
      <c r="H1032" s="374">
        <v>0.14417249207975391</v>
      </c>
      <c r="I1032" s="374">
        <v>0.24164342044802162</v>
      </c>
      <c r="J1032" s="374">
        <v>0.34698611662312945</v>
      </c>
      <c r="K1032" s="374">
        <v>0.46172088167152603</v>
      </c>
      <c r="L1032" s="374">
        <v>0.58651292960921053</v>
      </c>
      <c r="M1032" s="374">
        <v>0.72033624084546999</v>
      </c>
      <c r="N1032" s="374">
        <v>0.86515594912586413</v>
      </c>
      <c r="O1032" s="2"/>
      <c r="W1032" s="374"/>
      <c r="X1032" s="374"/>
      <c r="Y1032" s="374"/>
    </row>
    <row r="1033" spans="2:25" s="4" customFormat="1">
      <c r="B1033" s="367">
        <v>3</v>
      </c>
      <c r="C1033" s="2" t="s">
        <v>48</v>
      </c>
      <c r="D1033" s="2"/>
      <c r="E1033" s="2"/>
      <c r="F1033" s="374">
        <v>2.4214141146189833E-2</v>
      </c>
      <c r="G1033" s="374">
        <v>4.1612351890914993E-2</v>
      </c>
      <c r="H1033" s="374">
        <v>4.8057497359917968E-2</v>
      </c>
      <c r="I1033" s="374">
        <v>5.4918959192732181E-2</v>
      </c>
      <c r="J1033" s="374">
        <v>6.2043875157778108E-2</v>
      </c>
      <c r="K1033" s="374">
        <v>6.9739091502470069E-2</v>
      </c>
      <c r="L1033" s="374">
        <v>7.8033909089637435E-2</v>
      </c>
      <c r="M1033" s="374">
        <v>8.675582462737412E-2</v>
      </c>
      <c r="N1033" s="374">
        <v>9.6128438791762694E-2</v>
      </c>
      <c r="O1033" s="2"/>
      <c r="W1033" s="374"/>
      <c r="X1033" s="374"/>
      <c r="Y1033" s="374"/>
    </row>
    <row r="1034" spans="2:25" s="4" customFormat="1">
      <c r="B1034" s="367">
        <v>4</v>
      </c>
      <c r="C1034" s="2" t="s">
        <v>49</v>
      </c>
      <c r="D1034" s="2"/>
      <c r="E1034" s="2"/>
      <c r="F1034" s="374">
        <v>0.41634870470809743</v>
      </c>
      <c r="G1034" s="374">
        <v>0.38144655900005414</v>
      </c>
      <c r="H1034" s="374">
        <v>0.34476030714723765</v>
      </c>
      <c r="I1034" s="374">
        <v>0.30205427556002706</v>
      </c>
      <c r="J1034" s="374">
        <v>0.25277134323539235</v>
      </c>
      <c r="K1034" s="374">
        <v>0.19839569134323387</v>
      </c>
      <c r="L1034" s="374">
        <v>0.13844725806226002</v>
      </c>
      <c r="M1034" s="374">
        <v>7.2296520522811811E-2</v>
      </c>
      <c r="N1034" s="374">
        <v>0</v>
      </c>
      <c r="O1034" s="2"/>
      <c r="W1034" s="374"/>
      <c r="X1034" s="374"/>
      <c r="Y1034" s="374"/>
    </row>
    <row r="1035" spans="2:25" s="4" customFormat="1">
      <c r="B1035" s="367">
        <v>5</v>
      </c>
      <c r="C1035" s="2" t="s">
        <v>50</v>
      </c>
      <c r="D1035" s="2"/>
      <c r="E1035" s="2"/>
      <c r="F1035" s="374">
        <v>1.0089225477579096E-2</v>
      </c>
      <c r="G1035" s="374">
        <v>6.9353919818191659E-3</v>
      </c>
      <c r="H1035" s="374">
        <v>6.2683692208588661E-3</v>
      </c>
      <c r="I1035" s="374">
        <v>5.4918959192732193E-3</v>
      </c>
      <c r="J1035" s="374">
        <v>4.5958426042798607E-3</v>
      </c>
      <c r="K1035" s="374">
        <v>3.6071943880587975E-3</v>
      </c>
      <c r="L1035" s="374">
        <v>2.5172228738592735E-3</v>
      </c>
      <c r="M1035" s="374">
        <v>1.3144821913238516E-3</v>
      </c>
      <c r="N1035" s="374">
        <v>0</v>
      </c>
      <c r="O1035" s="2"/>
      <c r="W1035" s="374"/>
      <c r="X1035" s="374"/>
      <c r="Y1035" s="374"/>
    </row>
    <row r="1036" spans="2:25" s="4" customFormat="1">
      <c r="B1036" s="367">
        <v>6</v>
      </c>
      <c r="C1036" s="2" t="s">
        <v>51</v>
      </c>
      <c r="D1036" s="2"/>
      <c r="E1036" s="2"/>
      <c r="F1036" s="374">
        <v>0</v>
      </c>
      <c r="G1036" s="374">
        <v>0</v>
      </c>
      <c r="H1036" s="374">
        <v>0</v>
      </c>
      <c r="I1036" s="374">
        <v>0</v>
      </c>
      <c r="J1036" s="374">
        <v>0</v>
      </c>
      <c r="K1036" s="374">
        <v>0</v>
      </c>
      <c r="L1036" s="374">
        <v>0</v>
      </c>
      <c r="M1036" s="374">
        <v>0</v>
      </c>
      <c r="N1036" s="374">
        <v>0</v>
      </c>
      <c r="O1036" s="2"/>
      <c r="W1036" s="374"/>
      <c r="X1036" s="374"/>
      <c r="Y1036" s="374"/>
    </row>
    <row r="1037" spans="2:25" s="4" customFormat="1">
      <c r="B1037" s="367">
        <v>7</v>
      </c>
      <c r="C1037" s="2" t="s">
        <v>52</v>
      </c>
      <c r="D1037" s="2"/>
      <c r="E1037" s="2"/>
      <c r="F1037" s="374">
        <v>0</v>
      </c>
      <c r="G1037" s="374">
        <v>0</v>
      </c>
      <c r="H1037" s="374">
        <v>0</v>
      </c>
      <c r="I1037" s="374">
        <v>0</v>
      </c>
      <c r="J1037" s="374">
        <v>0</v>
      </c>
      <c r="K1037" s="374">
        <v>0</v>
      </c>
      <c r="L1037" s="374">
        <v>0</v>
      </c>
      <c r="M1037" s="374">
        <v>0</v>
      </c>
      <c r="N1037" s="374">
        <v>0</v>
      </c>
      <c r="O1037" s="2"/>
      <c r="W1037" s="374"/>
      <c r="X1037" s="374"/>
      <c r="Y1037" s="374"/>
    </row>
    <row r="1038" spans="2:25" s="4" customFormat="1">
      <c r="B1038" s="367">
        <v>8</v>
      </c>
      <c r="C1038" s="2" t="s">
        <v>53</v>
      </c>
      <c r="D1038" s="2"/>
      <c r="E1038" s="2"/>
      <c r="F1038" s="374">
        <v>6.7261503183860651E-4</v>
      </c>
      <c r="G1038" s="374">
        <v>0</v>
      </c>
      <c r="H1038" s="374">
        <v>0</v>
      </c>
      <c r="I1038" s="374">
        <v>0</v>
      </c>
      <c r="J1038" s="374">
        <v>0</v>
      </c>
      <c r="K1038" s="374">
        <v>0</v>
      </c>
      <c r="L1038" s="374">
        <v>0</v>
      </c>
      <c r="M1038" s="374">
        <v>0</v>
      </c>
      <c r="N1038" s="374">
        <v>0</v>
      </c>
      <c r="O1038" s="2"/>
      <c r="W1038" s="374"/>
      <c r="X1038" s="374"/>
      <c r="Y1038" s="374"/>
    </row>
    <row r="1039" spans="2:25" s="4" customFormat="1">
      <c r="B1039" s="367">
        <v>9</v>
      </c>
      <c r="C1039" s="2" t="s">
        <v>54</v>
      </c>
      <c r="D1039" s="2"/>
      <c r="E1039" s="2"/>
      <c r="F1039" s="374">
        <v>1.345230063677213E-3</v>
      </c>
      <c r="G1039" s="374">
        <v>6.9353919818191659E-3</v>
      </c>
      <c r="H1039" s="374">
        <v>6.2683692208588661E-3</v>
      </c>
      <c r="I1039" s="374">
        <v>5.4918959192732193E-3</v>
      </c>
      <c r="J1039" s="374">
        <v>4.5958426042798607E-3</v>
      </c>
      <c r="K1039" s="374">
        <v>3.6071943880587975E-3</v>
      </c>
      <c r="L1039" s="374">
        <v>2.5172228738592735E-3</v>
      </c>
      <c r="M1039" s="374">
        <v>1.3144821913238516E-3</v>
      </c>
      <c r="N1039" s="374">
        <v>0</v>
      </c>
      <c r="O1039" s="2"/>
      <c r="W1039" s="374"/>
      <c r="X1039" s="374"/>
      <c r="Y1039" s="374"/>
    </row>
    <row r="1040" spans="2:25" s="4" customFormat="1">
      <c r="B1040" s="367">
        <v>10</v>
      </c>
      <c r="C1040" s="2" t="s">
        <v>55</v>
      </c>
      <c r="D1040" s="2"/>
      <c r="E1040" s="2"/>
      <c r="F1040" s="374">
        <v>0</v>
      </c>
      <c r="G1040" s="374">
        <v>0</v>
      </c>
      <c r="H1040" s="374">
        <v>0</v>
      </c>
      <c r="I1040" s="374">
        <v>0</v>
      </c>
      <c r="J1040" s="374">
        <v>0</v>
      </c>
      <c r="K1040" s="374">
        <v>0</v>
      </c>
      <c r="L1040" s="374">
        <v>0</v>
      </c>
      <c r="M1040" s="374">
        <v>0</v>
      </c>
      <c r="N1040" s="374">
        <v>0</v>
      </c>
      <c r="O1040" s="2"/>
      <c r="W1040" s="374"/>
      <c r="X1040" s="374"/>
      <c r="Y1040" s="374"/>
    </row>
    <row r="1041" spans="2:25" s="4" customFormat="1">
      <c r="B1041" s="367">
        <v>11</v>
      </c>
      <c r="C1041" s="2" t="s">
        <v>56</v>
      </c>
      <c r="D1041" s="2"/>
      <c r="E1041" s="2"/>
      <c r="F1041" s="374">
        <v>0</v>
      </c>
      <c r="G1041" s="374">
        <v>0</v>
      </c>
      <c r="H1041" s="374">
        <v>0</v>
      </c>
      <c r="I1041" s="374">
        <v>0</v>
      </c>
      <c r="J1041" s="374">
        <v>0</v>
      </c>
      <c r="K1041" s="374">
        <v>0</v>
      </c>
      <c r="L1041" s="374">
        <v>0</v>
      </c>
      <c r="M1041" s="374">
        <v>0</v>
      </c>
      <c r="N1041" s="374">
        <v>0</v>
      </c>
      <c r="O1041" s="2"/>
      <c r="W1041" s="374"/>
      <c r="X1041" s="374"/>
      <c r="Y1041" s="374"/>
    </row>
    <row r="1042" spans="2:25" s="4" customFormat="1">
      <c r="B1042" s="367">
        <v>12</v>
      </c>
      <c r="C1042" s="2" t="s">
        <v>57</v>
      </c>
      <c r="D1042" s="2"/>
      <c r="E1042" s="2"/>
      <c r="F1042" s="374">
        <v>0</v>
      </c>
      <c r="G1042" s="374">
        <v>0</v>
      </c>
      <c r="H1042" s="374">
        <v>0</v>
      </c>
      <c r="I1042" s="374">
        <v>0</v>
      </c>
      <c r="J1042" s="374">
        <v>0</v>
      </c>
      <c r="K1042" s="374">
        <v>0</v>
      </c>
      <c r="L1042" s="374">
        <v>0</v>
      </c>
      <c r="M1042" s="374">
        <v>0</v>
      </c>
      <c r="N1042" s="374">
        <v>0</v>
      </c>
      <c r="O1042" s="2"/>
      <c r="W1042" s="374"/>
      <c r="X1042" s="374"/>
      <c r="Y1042" s="374"/>
    </row>
    <row r="1043" spans="2:25" s="4" customFormat="1">
      <c r="B1043" s="367">
        <v>13</v>
      </c>
      <c r="C1043" s="2" t="s">
        <v>58</v>
      </c>
      <c r="D1043" s="2"/>
      <c r="E1043" s="2"/>
      <c r="F1043" s="374">
        <v>0</v>
      </c>
      <c r="G1043" s="374">
        <v>0</v>
      </c>
      <c r="H1043" s="374">
        <v>0</v>
      </c>
      <c r="I1043" s="374">
        <v>0</v>
      </c>
      <c r="J1043" s="374">
        <v>0</v>
      </c>
      <c r="K1043" s="374">
        <v>0</v>
      </c>
      <c r="L1043" s="374">
        <v>0</v>
      </c>
      <c r="M1043" s="374">
        <v>0</v>
      </c>
      <c r="N1043" s="374">
        <v>0</v>
      </c>
      <c r="O1043" s="2"/>
      <c r="W1043" s="374"/>
      <c r="X1043" s="374"/>
      <c r="Y1043" s="374"/>
    </row>
    <row r="1044" spans="2:25" s="4" customFormat="1">
      <c r="B1044" s="367"/>
      <c r="C1044" s="2"/>
      <c r="D1044" s="2"/>
      <c r="E1044" s="2" t="str">
        <f>Preferences.PowerUnits&amp;"th"</f>
        <v>GWth</v>
      </c>
      <c r="F1044" s="421">
        <f t="shared" ref="F1044:N1044" si="124">SUM(F1031:F1043)</f>
        <v>0.67194241680676792</v>
      </c>
      <c r="G1044" s="421">
        <f t="shared" si="124"/>
        <v>0.65886223827282064</v>
      </c>
      <c r="H1044" s="421">
        <f t="shared" si="124"/>
        <v>0.69996789632923995</v>
      </c>
      <c r="I1044" s="421">
        <f t="shared" si="124"/>
        <v>0.74140594910188462</v>
      </c>
      <c r="J1044" s="421">
        <f t="shared" si="124"/>
        <v>0.78129324272757628</v>
      </c>
      <c r="K1044" s="421">
        <f t="shared" si="124"/>
        <v>0.82364271860675864</v>
      </c>
      <c r="L1044" s="421">
        <f t="shared" si="124"/>
        <v>0.86844189148144901</v>
      </c>
      <c r="M1044" s="421">
        <f t="shared" si="124"/>
        <v>0.91356512297007608</v>
      </c>
      <c r="N1044" s="421">
        <f t="shared" si="124"/>
        <v>0.96128438791762683</v>
      </c>
      <c r="O1044" s="2"/>
      <c r="W1044" s="374"/>
      <c r="X1044" s="374"/>
      <c r="Y1044" s="374"/>
    </row>
    <row r="1045" spans="2:25" s="4" customFormat="1">
      <c r="B1045" s="2"/>
      <c r="C1045" s="2"/>
      <c r="D1045" s="2"/>
      <c r="E1045" s="2"/>
      <c r="F1045" s="2"/>
      <c r="G1045" s="2"/>
      <c r="H1045" s="2"/>
      <c r="I1045" s="2"/>
      <c r="J1045" s="2"/>
      <c r="K1045" s="2"/>
      <c r="L1045" s="2"/>
      <c r="M1045" s="2"/>
      <c r="N1045" s="2"/>
      <c r="O1045" s="2"/>
      <c r="W1045" s="374"/>
      <c r="X1045" s="374"/>
      <c r="Y1045" s="374"/>
    </row>
    <row r="1046" spans="2:25" s="4" customFormat="1">
      <c r="B1046" s="363"/>
      <c r="C1046" s="363" t="s">
        <v>279</v>
      </c>
      <c r="D1046" s="2"/>
      <c r="E1046" s="364"/>
      <c r="F1046" s="364">
        <v>2013</v>
      </c>
      <c r="G1046" s="364">
        <v>2015</v>
      </c>
      <c r="H1046" s="364">
        <v>2020</v>
      </c>
      <c r="I1046" s="364">
        <v>2025</v>
      </c>
      <c r="J1046" s="364">
        <v>2030</v>
      </c>
      <c r="K1046" s="364">
        <v>2035</v>
      </c>
      <c r="L1046" s="364">
        <v>2040</v>
      </c>
      <c r="M1046" s="364">
        <v>2045</v>
      </c>
      <c r="N1046" s="364">
        <v>2050</v>
      </c>
      <c r="O1046" s="2"/>
      <c r="W1046" s="374"/>
      <c r="X1046" s="374"/>
      <c r="Y1046" s="374"/>
    </row>
    <row r="1047" spans="2:25" s="4" customFormat="1">
      <c r="B1047" s="367" t="s">
        <v>96</v>
      </c>
      <c r="C1047" s="4" t="s">
        <v>86</v>
      </c>
      <c r="D1047" s="2"/>
      <c r="E1047" s="3834" t="s">
        <v>5</v>
      </c>
      <c r="F1047" s="374">
        <f t="array" ref="F1047">SUM(F$1031:F$1043/$M$185:$M$197*($B1047=$F$184:$N$184)*($F$185:$N$197))</f>
        <v>-2.504075557925748E-2</v>
      </c>
      <c r="G1047" s="374">
        <f t="array" ref="G1047">SUM(G$1031:G$1043/$M$185:$M$197*($B1047=$F$184:$N$184)*($F$185:$N$197))</f>
        <v>-4.3947500706342325E-2</v>
      </c>
      <c r="H1047" s="374">
        <f t="array" ref="H1047">SUM(H$1031:H$1043/$M$185:$M$197*($B1047=$F$184:$N$184)*($F$185:$N$197))</f>
        <v>-5.0168059387143173E-2</v>
      </c>
      <c r="I1047" s="374">
        <f t="array" ref="I1047">SUM(I$1031:I$1043/$M$185:$M$197*($B1047=$F$184:$N$184)*($F$185:$N$197))</f>
        <v>-5.6768082397874682E-2</v>
      </c>
      <c r="J1047" s="374">
        <f t="array" ref="J1047">SUM(J$1031:J$1043/$M$185:$M$197*($B1047=$F$184:$N$184)*($F$185:$N$197))</f>
        <v>-6.3591296910060893E-2</v>
      </c>
      <c r="K1047" s="374">
        <f t="array" ref="K1047">SUM(K$1031:K$1043/$M$185:$M$197*($B1047=$F$184:$N$184)*($F$185:$N$197))</f>
        <v>-7.0953635067473028E-2</v>
      </c>
      <c r="L1047" s="374">
        <f t="array" ref="L1047">SUM(L$1031:L$1043/$M$185:$M$197*($B1047=$F$184:$N$184)*($F$185:$N$197))</f>
        <v>-7.8881458878815647E-2</v>
      </c>
      <c r="M1047" s="374">
        <f t="array" ref="M1047">SUM(M$1031:M$1043/$M$185:$M$197*($B1047=$F$184:$N$184)*($F$185:$N$197))</f>
        <v>-8.7198411223779457E-2</v>
      </c>
      <c r="N1047" s="374">
        <f t="array" ref="N1047">SUM(N$1031:N$1043/$M$185:$M$197*($B1047=$F$184:$N$184)*($F$185:$N$197))</f>
        <v>-9.6128438791762694E-2</v>
      </c>
      <c r="O1047" s="2"/>
      <c r="W1047" s="374"/>
      <c r="X1047" s="374"/>
      <c r="Y1047" s="374"/>
    </row>
    <row r="1048" spans="2:25" s="4" customFormat="1">
      <c r="B1048" s="367" t="s">
        <v>97</v>
      </c>
      <c r="C1048" s="4" t="s">
        <v>87</v>
      </c>
      <c r="D1048" s="2"/>
      <c r="E1048" s="2"/>
      <c r="F1048" s="374">
        <f t="array" ref="F1048">SUM(F$1031:F$1043/$M$185:$M$197*($B1048=$F$184:$N$184)*($F$185:$N$197))</f>
        <v>0</v>
      </c>
      <c r="G1048" s="374">
        <f t="array" ref="G1048">SUM(G$1031:G$1043/$M$185:$M$197*($B1048=$F$184:$N$184)*($F$185:$N$197))</f>
        <v>0</v>
      </c>
      <c r="H1048" s="374">
        <f t="array" ref="H1048">SUM(H$1031:H$1043/$M$185:$M$197*($B1048=$F$184:$N$184)*($F$185:$N$197))</f>
        <v>0</v>
      </c>
      <c r="I1048" s="374">
        <f t="array" ref="I1048">SUM(I$1031:I$1043/$M$185:$M$197*($B1048=$F$184:$N$184)*($F$185:$N$197))</f>
        <v>0</v>
      </c>
      <c r="J1048" s="374">
        <f t="array" ref="J1048">SUM(J$1031:J$1043/$M$185:$M$197*($B1048=$F$184:$N$184)*($F$185:$N$197))</f>
        <v>0</v>
      </c>
      <c r="K1048" s="374">
        <f t="array" ref="K1048">SUM(K$1031:K$1043/$M$185:$M$197*($B1048=$F$184:$N$184)*($F$185:$N$197))</f>
        <v>0</v>
      </c>
      <c r="L1048" s="374">
        <f t="array" ref="L1048">SUM(L$1031:L$1043/$M$185:$M$197*($B1048=$F$184:$N$184)*($F$185:$N$197))</f>
        <v>0</v>
      </c>
      <c r="M1048" s="374">
        <f t="array" ref="M1048">SUM(M$1031:M$1043/$M$185:$M$197*($B1048=$F$184:$N$184)*($F$185:$N$197))</f>
        <v>0</v>
      </c>
      <c r="N1048" s="374">
        <f t="array" ref="N1048">SUM(N$1031:N$1043/$M$185:$M$197*($B1048=$F$184:$N$184)*($F$185:$N$197))</f>
        <v>0</v>
      </c>
      <c r="O1048" s="2"/>
      <c r="W1048" s="374"/>
      <c r="X1048" s="374"/>
      <c r="Y1048" s="374"/>
    </row>
    <row r="1049" spans="2:25" s="4" customFormat="1">
      <c r="B1049" s="367" t="s">
        <v>98</v>
      </c>
      <c r="C1049" s="4" t="s">
        <v>88</v>
      </c>
      <c r="D1049" s="2"/>
      <c r="E1049" s="2"/>
      <c r="F1049" s="374">
        <f t="array" ref="F1049">SUM(F$1031:F$1043/$M$185:$M$197*($B1049=$F$184:$N$184)*($F$185:$N$197))</f>
        <v>-1.1596810893769077E-2</v>
      </c>
      <c r="G1049" s="374">
        <f t="array" ref="G1049">SUM(G$1031:G$1043/$M$185:$M$197*($B1049=$F$184:$N$184)*($F$185:$N$197))</f>
        <v>-7.9717149216312257E-3</v>
      </c>
      <c r="H1049" s="374">
        <f t="array" ref="H1049">SUM(H$1031:H$1043/$M$185:$M$197*($B1049=$F$184:$N$184)*($F$185:$N$197))</f>
        <v>-7.2050220929412252E-3</v>
      </c>
      <c r="I1049" s="374">
        <f t="array" ref="I1049">SUM(I$1031:I$1043/$M$185:$M$197*($B1049=$F$184:$N$184)*($F$185:$N$197))</f>
        <v>-6.3125240451416317E-3</v>
      </c>
      <c r="J1049" s="374">
        <f t="array" ref="J1049">SUM(J$1031:J$1043/$M$185:$M$197*($B1049=$F$184:$N$184)*($F$185:$N$197))</f>
        <v>-5.2825777060688051E-3</v>
      </c>
      <c r="K1049" s="374">
        <f t="array" ref="K1049">SUM(K$1031:K$1043/$M$185:$M$197*($B1049=$F$184:$N$184)*($F$185:$N$197))</f>
        <v>-4.1462004460445945E-3</v>
      </c>
      <c r="L1049" s="374">
        <f t="array" ref="L1049">SUM(L$1031:L$1043/$M$185:$M$197*($B1049=$F$184:$N$184)*($F$185:$N$197))</f>
        <v>-2.8933596251256018E-3</v>
      </c>
      <c r="M1049" s="374">
        <f t="array" ref="M1049">SUM(M$1031:M$1043/$M$185:$M$197*($B1049=$F$184:$N$184)*($F$185:$N$197))</f>
        <v>-1.5108990704871858E-3</v>
      </c>
      <c r="N1049" s="374">
        <f t="array" ref="N1049">SUM(N$1031:N$1043/$M$185:$M$197*($B1049=$F$184:$N$184)*($F$185:$N$197))</f>
        <v>0</v>
      </c>
      <c r="O1049" s="2"/>
      <c r="W1049" s="374"/>
      <c r="X1049" s="374"/>
      <c r="Y1049" s="374"/>
    </row>
    <row r="1050" spans="2:25" s="4" customFormat="1">
      <c r="B1050" s="367" t="s">
        <v>99</v>
      </c>
      <c r="C1050" s="4" t="s">
        <v>89</v>
      </c>
      <c r="D1050" s="2"/>
      <c r="E1050" s="2"/>
      <c r="F1050" s="374">
        <f t="array" ref="F1050">SUM(F$1031:F$1043/$M$185:$M$197*($B1050=$F$184:$N$184)*($F$185:$N$197))</f>
        <v>-0.42922546877123446</v>
      </c>
      <c r="G1050" s="374">
        <f t="array" ref="G1050">SUM(G$1031:G$1043/$M$185:$M$197*($B1050=$F$184:$N$184)*($F$185:$N$197))</f>
        <v>-0.39324387525778781</v>
      </c>
      <c r="H1050" s="374">
        <f t="array" ref="H1050">SUM(H$1031:H$1043/$M$185:$M$197*($B1050=$F$184:$N$184)*($F$185:$N$197))</f>
        <v>-0.35542299705900793</v>
      </c>
      <c r="I1050" s="374">
        <f t="array" ref="I1050">SUM(I$1031:I$1043/$M$185:$M$197*($B1050=$F$184:$N$184)*($F$185:$N$197))</f>
        <v>-0.31139616037116191</v>
      </c>
      <c r="J1050" s="374">
        <f t="array" ref="J1050">SUM(J$1031:J$1043/$M$185:$M$197*($B1050=$F$184:$N$184)*($F$185:$N$197))</f>
        <v>-0.26058901364473441</v>
      </c>
      <c r="K1050" s="374">
        <f t="array" ref="K1050">SUM(K$1031:K$1043/$M$185:$M$197*($B1050=$F$184:$N$184)*($F$185:$N$197))</f>
        <v>-0.20453164056003492</v>
      </c>
      <c r="L1050" s="374">
        <f t="array" ref="L1050">SUM(L$1031:L$1043/$M$185:$M$197*($B1050=$F$184:$N$184)*($F$185:$N$197))</f>
        <v>-0.14272913202294849</v>
      </c>
      <c r="M1050" s="374">
        <f t="array" ref="M1050">SUM(M$1031:M$1043/$M$185:$M$197*($B1050=$F$184:$N$184)*($F$185:$N$197))</f>
        <v>-7.4532495384342076E-2</v>
      </c>
      <c r="N1050" s="374">
        <f t="array" ref="N1050">SUM(N$1031:N$1043/$M$185:$M$197*($B1050=$F$184:$N$184)*($F$185:$N$197))</f>
        <v>0</v>
      </c>
      <c r="O1050" s="2"/>
      <c r="W1050" s="374"/>
      <c r="X1050" s="374"/>
      <c r="Y1050" s="374"/>
    </row>
    <row r="1051" spans="2:25" s="4" customFormat="1">
      <c r="B1051" s="367" t="s">
        <v>100</v>
      </c>
      <c r="C1051" s="4" t="s">
        <v>90</v>
      </c>
      <c r="D1051" s="2"/>
      <c r="E1051" s="2"/>
      <c r="F1051" s="374">
        <f t="array" ref="F1051">SUM(F$1031:F$1043/$M$185:$M$197*($B1051=$F$184:$N$184)*($F$185:$N$197))</f>
        <v>-0.26575879641442685</v>
      </c>
      <c r="G1051" s="374">
        <f t="array" ref="G1051">SUM(G$1031:G$1043/$M$185:$M$197*($B1051=$F$184:$N$184)*($F$185:$N$197))</f>
        <v>-0.27998285733428441</v>
      </c>
      <c r="H1051" s="374">
        <f t="array" ref="H1051">SUM(H$1031:H$1043/$M$185:$M$197*($B1051=$F$184:$N$184)*($F$185:$N$197))</f>
        <v>-0.35637981168908411</v>
      </c>
      <c r="I1051" s="374">
        <f t="array" ref="I1051">SUM(I$1031:I$1043/$M$185:$M$197*($B1051=$F$184:$N$184)*($F$185:$N$197))</f>
        <v>-0.43897051246012653</v>
      </c>
      <c r="J1051" s="374">
        <f t="array" ref="J1051">SUM(J$1031:J$1043/$M$185:$M$197*($B1051=$F$184:$N$184)*($F$185:$N$197))</f>
        <v>-0.52643529657468258</v>
      </c>
      <c r="K1051" s="374">
        <f t="array" ref="K1051">SUM(K$1031:K$1043/$M$185:$M$197*($B1051=$F$184:$N$184)*($F$185:$N$197))</f>
        <v>-0.62129698598259675</v>
      </c>
      <c r="L1051" s="374">
        <f t="array" ref="L1051">SUM(L$1031:L$1043/$M$185:$M$197*($B1051=$F$184:$N$184)*($F$185:$N$197))</f>
        <v>-0.72401095151545192</v>
      </c>
      <c r="M1051" s="374">
        <f t="array" ref="M1051">SUM(M$1031:M$1043/$M$185:$M$197*($B1051=$F$184:$N$184)*($F$185:$N$197))</f>
        <v>-0.83308825057991631</v>
      </c>
      <c r="N1051" s="374">
        <f t="array" ref="N1051">SUM(N$1031:N$1043/$M$185:$M$197*($B1051=$F$184:$N$184)*($F$185:$N$197))</f>
        <v>-0.95072082321523532</v>
      </c>
      <c r="O1051" s="2"/>
      <c r="W1051" s="374"/>
      <c r="X1051" s="374"/>
      <c r="Y1051" s="374"/>
    </row>
    <row r="1052" spans="2:25" s="4" customFormat="1">
      <c r="B1052" s="367" t="s">
        <v>101</v>
      </c>
      <c r="C1052" s="4" t="s">
        <v>91</v>
      </c>
      <c r="D1052" s="2"/>
      <c r="E1052" s="2"/>
      <c r="F1052" s="374">
        <f t="array" ref="F1052">SUM(F$1031:F$1043/$M$185:$M$197*($B1052=$F$184:$N$184)*($F$185:$N$197))</f>
        <v>0</v>
      </c>
      <c r="G1052" s="374">
        <f t="array" ref="G1052">SUM(G$1031:G$1043/$M$185:$M$197*($B1052=$F$184:$N$184)*($F$185:$N$197))</f>
        <v>0</v>
      </c>
      <c r="H1052" s="374">
        <f t="array" ref="H1052">SUM(H$1031:H$1043/$M$185:$M$197*($B1052=$F$184:$N$184)*($F$185:$N$197))</f>
        <v>0</v>
      </c>
      <c r="I1052" s="374">
        <f t="array" ref="I1052">SUM(I$1031:I$1043/$M$185:$M$197*($B1052=$F$184:$N$184)*($F$185:$N$197))</f>
        <v>0</v>
      </c>
      <c r="J1052" s="374">
        <f t="array" ref="J1052">SUM(J$1031:J$1043/$M$185:$M$197*($B1052=$F$184:$N$184)*($F$185:$N$197))</f>
        <v>0</v>
      </c>
      <c r="K1052" s="374">
        <f t="array" ref="K1052">SUM(K$1031:K$1043/$M$185:$M$197*($B1052=$F$184:$N$184)*($F$185:$N$197))</f>
        <v>0</v>
      </c>
      <c r="L1052" s="374">
        <f t="array" ref="L1052">SUM(L$1031:L$1043/$M$185:$M$197*($B1052=$F$184:$N$184)*($F$185:$N$197))</f>
        <v>0</v>
      </c>
      <c r="M1052" s="374">
        <f t="array" ref="M1052">SUM(M$1031:M$1043/$M$185:$M$197*($B1052=$F$184:$N$184)*($F$185:$N$197))</f>
        <v>0</v>
      </c>
      <c r="N1052" s="374">
        <f t="array" ref="N1052">SUM(N$1031:N$1043/$M$185:$M$197*($B1052=$F$184:$N$184)*($F$185:$N$197))</f>
        <v>0</v>
      </c>
      <c r="O1052" s="2"/>
      <c r="W1052" s="374"/>
      <c r="X1052" s="374"/>
      <c r="Y1052" s="374"/>
    </row>
    <row r="1053" spans="2:25" s="4" customFormat="1">
      <c r="B1053" s="367" t="s">
        <v>102</v>
      </c>
      <c r="C1053" s="4" t="s">
        <v>92</v>
      </c>
      <c r="D1053" s="2"/>
      <c r="E1053" s="2"/>
      <c r="F1053" s="374">
        <f t="array" ref="F1053">SUM(F$1031:F$1043/$M$185:$M$197*($B1053=$F$184:$N$184)*($F$185:$N$197))</f>
        <v>-1.1912306624481718E-3</v>
      </c>
      <c r="G1053" s="374">
        <f t="array" ref="G1053">SUM(G$1031:G$1043/$M$185:$M$197*($B1053=$F$184:$N$184)*($F$185:$N$197))</f>
        <v>-4.6002431663918373E-3</v>
      </c>
      <c r="H1053" s="374">
        <f t="array" ref="H1053">SUM(H$1031:H$1043/$M$185:$M$197*($B1053=$F$184:$N$184)*($F$185:$N$197))</f>
        <v>-4.1578071936336581E-3</v>
      </c>
      <c r="I1053" s="374">
        <f t="array" ref="I1053">SUM(I$1031:I$1043/$M$185:$M$197*($B1053=$F$184:$N$184)*($F$185:$N$197))</f>
        <v>-3.642772714130721E-3</v>
      </c>
      <c r="J1053" s="374">
        <f t="array" ref="J1053">SUM(J$1031:J$1043/$M$185:$M$197*($B1053=$F$184:$N$184)*($F$185:$N$197))</f>
        <v>-3.0484208519970788E-3</v>
      </c>
      <c r="K1053" s="374">
        <f t="array" ref="K1053">SUM(K$1031:K$1043/$M$185:$M$197*($B1053=$F$184:$N$184)*($F$185:$N$197))</f>
        <v>-2.3926508230558354E-3</v>
      </c>
      <c r="L1053" s="374">
        <f t="array" ref="L1053">SUM(L$1031:L$1043/$M$185:$M$197*($B1053=$F$184:$N$184)*($F$185:$N$197))</f>
        <v>-1.6696730846810671E-3</v>
      </c>
      <c r="M1053" s="374">
        <f t="array" ref="M1053">SUM(M$1031:M$1043/$M$185:$M$197*($B1053=$F$184:$N$184)*($F$185:$N$197))</f>
        <v>-8.7189559491851422E-4</v>
      </c>
      <c r="N1053" s="374">
        <f t="array" ref="N1053">SUM(N$1031:N$1043/$M$185:$M$197*($B1053=$F$184:$N$184)*($F$185:$N$197))</f>
        <v>0</v>
      </c>
      <c r="O1053" s="2"/>
      <c r="W1053" s="374"/>
      <c r="X1053" s="374"/>
      <c r="Y1053" s="374"/>
    </row>
    <row r="1054" spans="2:25" s="4" customFormat="1">
      <c r="B1054" s="367" t="s">
        <v>103</v>
      </c>
      <c r="C1054" s="4" t="s">
        <v>93</v>
      </c>
      <c r="D1054" s="2"/>
      <c r="E1054" s="2"/>
      <c r="F1054" s="374">
        <f t="array" ref="F1054">SUM(F$1031:F$1043/$M$185:$M$197*($B1054=$F$184:$N$184)*($F$185:$N$197))</f>
        <v>0.67194241680676792</v>
      </c>
      <c r="G1054" s="374">
        <f t="array" ref="G1054">SUM(G$1031:G$1043/$M$185:$M$197*($B1054=$F$184:$N$184)*($F$185:$N$197))</f>
        <v>0.65886223827282064</v>
      </c>
      <c r="H1054" s="374">
        <f t="array" ref="H1054">SUM(H$1031:H$1043/$M$185:$M$197*($B1054=$F$184:$N$184)*($F$185:$N$197))</f>
        <v>0.69996789632923995</v>
      </c>
      <c r="I1054" s="374">
        <f t="array" ref="I1054">SUM(I$1031:I$1043/$M$185:$M$197*($B1054=$F$184:$N$184)*($F$185:$N$197))</f>
        <v>0.74140594910188451</v>
      </c>
      <c r="J1054" s="374">
        <f t="array" ref="J1054">SUM(J$1031:J$1043/$M$185:$M$197*($B1054=$F$184:$N$184)*($F$185:$N$197))</f>
        <v>0.78129324272757628</v>
      </c>
      <c r="K1054" s="374">
        <f t="array" ref="K1054">SUM(K$1031:K$1043/$M$185:$M$197*($B1054=$F$184:$N$184)*($F$185:$N$197))</f>
        <v>0.82364271860675864</v>
      </c>
      <c r="L1054" s="374">
        <f t="array" ref="L1054">SUM(L$1031:L$1043/$M$185:$M$197*($B1054=$F$184:$N$184)*($F$185:$N$197))</f>
        <v>0.86844189148144901</v>
      </c>
      <c r="M1054" s="374">
        <f t="array" ref="M1054">SUM(M$1031:M$1043/$M$185:$M$197*($B1054=$F$184:$N$184)*($F$185:$N$197))</f>
        <v>0.91356512297007608</v>
      </c>
      <c r="N1054" s="374">
        <f t="array" ref="N1054">SUM(N$1031:N$1043/$M$185:$M$197*($B1054=$F$184:$N$184)*($F$185:$N$197))</f>
        <v>0.96128438791762683</v>
      </c>
      <c r="O1054" s="2"/>
      <c r="W1054" s="374"/>
      <c r="X1054" s="374"/>
      <c r="Y1054" s="374"/>
    </row>
    <row r="1055" spans="2:25" s="4" customFormat="1">
      <c r="B1055" s="367" t="s">
        <v>104</v>
      </c>
      <c r="C1055" s="4" t="s">
        <v>94</v>
      </c>
      <c r="D1055" s="2"/>
      <c r="E1055" s="2"/>
      <c r="F1055" s="374">
        <f t="array" ref="F1055">SUM(F$1031:F$1043/$M$185:$M$197*($B1055=$F$184:$N$184)*($F$185:$N$197))</f>
        <v>6.0870645514368146E-2</v>
      </c>
      <c r="G1055" s="374">
        <f t="array" ref="G1055">SUM(G$1031:G$1043/$M$185:$M$197*($B1055=$F$184:$N$184)*($F$185:$N$197))</f>
        <v>7.0883953113616796E-2</v>
      </c>
      <c r="H1055" s="374">
        <f t="array" ref="H1055">SUM(H$1031:H$1043/$M$185:$M$197*($B1055=$F$184:$N$184)*($F$185:$N$197))</f>
        <v>7.3365801092570043E-2</v>
      </c>
      <c r="I1055" s="374">
        <f t="array" ref="I1055">SUM(I$1031:I$1043/$M$185:$M$197*($B1055=$F$184:$N$184)*($F$185:$N$197))</f>
        <v>7.5684102886550961E-2</v>
      </c>
      <c r="J1055" s="374">
        <f t="array" ref="J1055">SUM(J$1031:J$1043/$M$185:$M$197*($B1055=$F$184:$N$184)*($F$185:$N$197))</f>
        <v>7.765336295996754E-2</v>
      </c>
      <c r="K1055" s="374">
        <f t="array" ref="K1055">SUM(K$1031:K$1043/$M$185:$M$197*($B1055=$F$184:$N$184)*($F$185:$N$197))</f>
        <v>7.9678394272446426E-2</v>
      </c>
      <c r="L1055" s="374">
        <f t="array" ref="L1055">SUM(L$1031:L$1043/$M$185:$M$197*($B1055=$F$184:$N$184)*($F$185:$N$197))</f>
        <v>8.1742683645573591E-2</v>
      </c>
      <c r="M1055" s="374">
        <f t="array" ref="M1055">SUM(M$1031:M$1043/$M$185:$M$197*($B1055=$F$184:$N$184)*($F$185:$N$197))</f>
        <v>8.3636828883367459E-2</v>
      </c>
      <c r="N1055" s="374">
        <f t="array" ref="N1055">SUM(N$1031:N$1043/$M$185:$M$197*($B1055=$F$184:$N$184)*($F$185:$N$197))</f>
        <v>8.5564874089371176E-2</v>
      </c>
      <c r="O1055" s="2"/>
      <c r="W1055" s="374"/>
      <c r="X1055" s="374"/>
      <c r="Y1055" s="374"/>
    </row>
    <row r="1056" spans="2:25" s="4" customFormat="1">
      <c r="B1056" s="367"/>
      <c r="D1056" s="2"/>
      <c r="E1056" s="2" t="str">
        <f>Preferences.PowerUnits</f>
        <v>GW</v>
      </c>
      <c r="F1056" s="421">
        <f t="shared" ref="F1056:N1056" si="125">SUM(F1047:F1055)</f>
        <v>0</v>
      </c>
      <c r="G1056" s="421">
        <f t="shared" si="125"/>
        <v>-1.5265566588595902E-16</v>
      </c>
      <c r="H1056" s="421">
        <f t="shared" si="125"/>
        <v>-1.3877787807814457E-16</v>
      </c>
      <c r="I1056" s="421">
        <f t="shared" si="125"/>
        <v>0</v>
      </c>
      <c r="J1056" s="421">
        <f t="shared" si="125"/>
        <v>0</v>
      </c>
      <c r="K1056" s="421">
        <f t="shared" si="125"/>
        <v>0</v>
      </c>
      <c r="L1056" s="421">
        <f t="shared" si="125"/>
        <v>0</v>
      </c>
      <c r="M1056" s="421">
        <f t="shared" si="125"/>
        <v>0</v>
      </c>
      <c r="N1056" s="421">
        <f t="shared" si="125"/>
        <v>0</v>
      </c>
      <c r="O1056" s="2"/>
      <c r="W1056" s="374"/>
      <c r="X1056" s="374"/>
      <c r="Y1056" s="374"/>
    </row>
    <row r="1057" spans="2:25" s="4" customFormat="1">
      <c r="B1057" s="2"/>
      <c r="C1057" s="2"/>
      <c r="D1057" s="2"/>
      <c r="E1057" s="2"/>
      <c r="F1057" s="2"/>
      <c r="G1057" s="2"/>
      <c r="H1057" s="2"/>
      <c r="I1057" s="2"/>
      <c r="J1057" s="2"/>
      <c r="K1057" s="2"/>
      <c r="L1057" s="2"/>
      <c r="M1057" s="2"/>
      <c r="N1057" s="2"/>
      <c r="O1057" s="2"/>
      <c r="W1057" s="374"/>
      <c r="X1057" s="374"/>
      <c r="Y1057" s="374"/>
    </row>
    <row r="1058" spans="2:25" s="4" customFormat="1">
      <c r="B1058" s="363"/>
      <c r="C1058" s="363" t="s">
        <v>281</v>
      </c>
      <c r="D1058" s="2"/>
      <c r="E1058" s="364"/>
      <c r="F1058" s="364">
        <v>2013</v>
      </c>
      <c r="G1058" s="364">
        <v>2015</v>
      </c>
      <c r="H1058" s="364">
        <v>2020</v>
      </c>
      <c r="I1058" s="364">
        <v>2025</v>
      </c>
      <c r="J1058" s="364">
        <v>2030</v>
      </c>
      <c r="K1058" s="364">
        <v>2035</v>
      </c>
      <c r="L1058" s="364">
        <v>2040</v>
      </c>
      <c r="M1058" s="364">
        <v>2045</v>
      </c>
      <c r="N1058" s="364">
        <v>2050</v>
      </c>
      <c r="O1058" s="2"/>
      <c r="W1058" s="374"/>
      <c r="X1058" s="374"/>
      <c r="Y1058" s="374"/>
    </row>
    <row r="1059" spans="2:25" s="4" customFormat="1">
      <c r="B1059" s="367" t="s">
        <v>96</v>
      </c>
      <c r="C1059" s="4" t="s">
        <v>86</v>
      </c>
      <c r="D1059" s="2"/>
      <c r="E1059" s="2"/>
      <c r="F1059" s="374">
        <f t="shared" ref="F1059:N1059" ca="1" si="126">F1047-(F782*Conversion.to.average.power)</f>
        <v>-2.1596412340500748E-4</v>
      </c>
      <c r="G1059" s="374">
        <f t="shared" ca="1" si="126"/>
        <v>-2.1571479362381268E-3</v>
      </c>
      <c r="H1059" s="374">
        <f t="shared" ca="1" si="126"/>
        <v>-4.3857754835339852E-3</v>
      </c>
      <c r="I1059" s="374">
        <f t="shared" ca="1" si="126"/>
        <v>-7.4275124698737205E-3</v>
      </c>
      <c r="J1059" s="374">
        <f t="shared" ca="1" si="126"/>
        <v>-1.2663442706443102E-2</v>
      </c>
      <c r="K1059" s="374">
        <f t="shared" ca="1" si="126"/>
        <v>-1.7653791414807642E-2</v>
      </c>
      <c r="L1059" s="374">
        <f t="shared" ca="1" si="126"/>
        <v>-2.3545324087020876E-2</v>
      </c>
      <c r="M1059" s="374">
        <f t="shared" ca="1" si="126"/>
        <v>-3.469770178509627E-2</v>
      </c>
      <c r="N1059" s="374">
        <f t="shared" ca="1" si="126"/>
        <v>-4.7810213585722822E-2</v>
      </c>
      <c r="O1059" s="2"/>
      <c r="W1059" s="374"/>
      <c r="X1059" s="374"/>
      <c r="Y1059" s="374"/>
    </row>
    <row r="1060" spans="2:25" s="4" customFormat="1">
      <c r="B1060" s="367" t="s">
        <v>97</v>
      </c>
      <c r="C1060" s="4" t="s">
        <v>87</v>
      </c>
      <c r="D1060" s="2"/>
      <c r="E1060" s="2"/>
      <c r="F1060" s="374">
        <f t="shared" ref="F1060:N1060" ca="1" si="127">F1048-(F783*Conversion.to.average.power)</f>
        <v>0</v>
      </c>
      <c r="G1060" s="374">
        <f t="shared" ca="1" si="127"/>
        <v>0</v>
      </c>
      <c r="H1060" s="374">
        <f t="shared" ca="1" si="127"/>
        <v>0</v>
      </c>
      <c r="I1060" s="374">
        <f t="shared" ca="1" si="127"/>
        <v>0</v>
      </c>
      <c r="J1060" s="374">
        <f t="shared" ca="1" si="127"/>
        <v>0</v>
      </c>
      <c r="K1060" s="374">
        <f t="shared" ca="1" si="127"/>
        <v>0</v>
      </c>
      <c r="L1060" s="374">
        <f t="shared" ca="1" si="127"/>
        <v>0</v>
      </c>
      <c r="M1060" s="374">
        <f t="shared" ca="1" si="127"/>
        <v>0</v>
      </c>
      <c r="N1060" s="374">
        <f t="shared" ca="1" si="127"/>
        <v>0</v>
      </c>
      <c r="O1060" s="2"/>
      <c r="W1060" s="374"/>
      <c r="X1060" s="374"/>
      <c r="Y1060" s="374"/>
    </row>
    <row r="1061" spans="2:25" s="4" customFormat="1">
      <c r="B1061" s="367" t="s">
        <v>98</v>
      </c>
      <c r="C1061" s="4" t="s">
        <v>88</v>
      </c>
      <c r="D1061" s="2"/>
      <c r="E1061" s="2"/>
      <c r="F1061" s="374">
        <f t="shared" ref="F1061:N1061" ca="1" si="128">F1049-(F784*Conversion.to.average.power)</f>
        <v>-8.0748675188990066E-5</v>
      </c>
      <c r="G1061" s="374">
        <f t="shared" ca="1" si="128"/>
        <v>-3.8725888349979126E-4</v>
      </c>
      <c r="H1061" s="374">
        <f t="shared" ca="1" si="128"/>
        <v>-6.271077389743869E-4</v>
      </c>
      <c r="I1061" s="374">
        <f t="shared" ca="1" si="128"/>
        <v>-8.2414029341738599E-4</v>
      </c>
      <c r="J1061" s="374">
        <f t="shared" ca="1" si="128"/>
        <v>-1.0509321552904247E-3</v>
      </c>
      <c r="K1061" s="374">
        <f t="shared" ca="1" si="128"/>
        <v>-1.0310722372389018E-3</v>
      </c>
      <c r="L1061" s="374">
        <f t="shared" ca="1" si="128"/>
        <v>-8.6342071126665814E-4</v>
      </c>
      <c r="M1061" s="374">
        <f t="shared" ca="1" si="128"/>
        <v>-6.0116575843237308E-4</v>
      </c>
      <c r="N1061" s="374">
        <f t="shared" ca="1" si="128"/>
        <v>0</v>
      </c>
      <c r="O1061" s="2"/>
      <c r="W1061" s="374"/>
      <c r="X1061" s="374"/>
      <c r="Y1061" s="374"/>
    </row>
    <row r="1062" spans="2:25" s="4" customFormat="1">
      <c r="B1062" s="367" t="s">
        <v>99</v>
      </c>
      <c r="C1062" s="4" t="s">
        <v>89</v>
      </c>
      <c r="D1062" s="2"/>
      <c r="E1062" s="2"/>
      <c r="F1062" s="374">
        <f t="shared" ref="F1062:N1062" ca="1" si="129">F1050-(F785*Conversion.to.average.power)</f>
        <v>-2.9886999346754317E-3</v>
      </c>
      <c r="G1062" s="374">
        <f t="shared" ca="1" si="129"/>
        <v>-1.9103440799448479E-2</v>
      </c>
      <c r="H1062" s="374">
        <f t="shared" ca="1" si="129"/>
        <v>-3.09351601133242E-2</v>
      </c>
      <c r="I1062" s="374">
        <f t="shared" ca="1" si="129"/>
        <v>-4.0654755711362789E-2</v>
      </c>
      <c r="J1062" s="374">
        <f t="shared" ca="1" si="129"/>
        <v>-5.1842374876955588E-2</v>
      </c>
      <c r="K1062" s="374">
        <f t="shared" ca="1" si="129"/>
        <v>-5.0862687166888104E-2</v>
      </c>
      <c r="L1062" s="374">
        <f t="shared" ca="1" si="129"/>
        <v>-4.259245467433978E-2</v>
      </c>
      <c r="M1062" s="374">
        <f t="shared" ca="1" si="129"/>
        <v>-2.9655444887617566E-2</v>
      </c>
      <c r="N1062" s="374">
        <f t="shared" ca="1" si="129"/>
        <v>0</v>
      </c>
      <c r="O1062" s="2"/>
      <c r="W1062" s="374"/>
      <c r="X1062" s="374"/>
      <c r="Y1062" s="374"/>
    </row>
    <row r="1063" spans="2:25" s="4" customFormat="1">
      <c r="B1063" s="367" t="s">
        <v>100</v>
      </c>
      <c r="C1063" s="4" t="s">
        <v>90</v>
      </c>
      <c r="D1063" s="2"/>
      <c r="E1063" s="2"/>
      <c r="F1063" s="374">
        <f t="shared" ref="F1063:N1063" ca="1" si="130">F1051-(F786*Conversion.to.average.power)</f>
        <v>-1.8504803541994352E-3</v>
      </c>
      <c r="G1063" s="374">
        <f t="shared" ca="1" si="130"/>
        <v>-1.3601320392948646E-2</v>
      </c>
      <c r="H1063" s="374">
        <f t="shared" ca="1" si="130"/>
        <v>-3.1018438950161153E-2</v>
      </c>
      <c r="I1063" s="374">
        <f t="shared" ca="1" si="130"/>
        <v>-5.7310401410495093E-2</v>
      </c>
      <c r="J1063" s="374">
        <f t="shared" ca="1" si="130"/>
        <v>-0.10473064697460016</v>
      </c>
      <c r="K1063" s="374">
        <f t="shared" ca="1" si="130"/>
        <v>-0.15450340176823502</v>
      </c>
      <c r="L1063" s="374">
        <f t="shared" ca="1" si="130"/>
        <v>-0.21605542750157958</v>
      </c>
      <c r="M1063" s="374">
        <f t="shared" ca="1" si="130"/>
        <v>-0.33147424588691077</v>
      </c>
      <c r="N1063" s="374">
        <f t="shared" ca="1" si="130"/>
        <v>-0.47284826623242343</v>
      </c>
      <c r="O1063" s="2"/>
      <c r="W1063" s="374"/>
      <c r="X1063" s="374"/>
      <c r="Y1063" s="374"/>
    </row>
    <row r="1064" spans="2:25" s="4" customFormat="1">
      <c r="B1064" s="367" t="s">
        <v>101</v>
      </c>
      <c r="C1064" s="4" t="s">
        <v>91</v>
      </c>
      <c r="D1064" s="2"/>
      <c r="E1064" s="2"/>
      <c r="F1064" s="374">
        <f t="shared" ref="F1064:N1064" ca="1" si="131">F1052-(F787*Conversion.to.average.power)</f>
        <v>0</v>
      </c>
      <c r="G1064" s="374">
        <f t="shared" ca="1" si="131"/>
        <v>0</v>
      </c>
      <c r="H1064" s="374">
        <f t="shared" ca="1" si="131"/>
        <v>0</v>
      </c>
      <c r="I1064" s="374">
        <f t="shared" ca="1" si="131"/>
        <v>0</v>
      </c>
      <c r="J1064" s="374">
        <f t="shared" ca="1" si="131"/>
        <v>0</v>
      </c>
      <c r="K1064" s="374">
        <f t="shared" ca="1" si="131"/>
        <v>0</v>
      </c>
      <c r="L1064" s="374">
        <f t="shared" ca="1" si="131"/>
        <v>0</v>
      </c>
      <c r="M1064" s="374">
        <f t="shared" ca="1" si="131"/>
        <v>0</v>
      </c>
      <c r="N1064" s="374">
        <f t="shared" ca="1" si="131"/>
        <v>0</v>
      </c>
      <c r="O1064" s="2"/>
      <c r="W1064" s="374"/>
      <c r="X1064" s="374"/>
      <c r="Y1064" s="374"/>
    </row>
    <row r="1065" spans="2:25" s="4" customFormat="1">
      <c r="B1065" s="367" t="s">
        <v>102</v>
      </c>
      <c r="C1065" s="4" t="s">
        <v>92</v>
      </c>
      <c r="D1065" s="2"/>
      <c r="E1065" s="2"/>
      <c r="F1065" s="374">
        <f t="shared" ref="F1065:N1065" ca="1" si="132">F1053-(F788*Conversion.to.average.power)</f>
        <v>3.3310620127510911E-5</v>
      </c>
      <c r="G1065" s="374">
        <f t="shared" ca="1" si="132"/>
        <v>-2.0125866427560517E-4</v>
      </c>
      <c r="H1065" s="374">
        <f t="shared" ca="1" si="132"/>
        <v>-3.4261686833289172E-4</v>
      </c>
      <c r="I1065" s="374">
        <f t="shared" ca="1" si="132"/>
        <v>-4.595101381306586E-4</v>
      </c>
      <c r="J1065" s="374">
        <f t="shared" ca="1" si="132"/>
        <v>-5.9406643254561811E-4</v>
      </c>
      <c r="K1065" s="374">
        <f t="shared" ca="1" si="132"/>
        <v>-5.8587646194853361E-4</v>
      </c>
      <c r="L1065" s="374">
        <f t="shared" ca="1" si="132"/>
        <v>-4.9230851464287986E-4</v>
      </c>
      <c r="M1065" s="374">
        <f t="shared" ca="1" si="132"/>
        <v>-3.4425027392672282E-4</v>
      </c>
      <c r="N1065" s="374">
        <f t="shared" ca="1" si="132"/>
        <v>0</v>
      </c>
      <c r="O1065" s="2"/>
      <c r="W1065" s="374"/>
      <c r="X1065" s="374"/>
      <c r="Y1065" s="374"/>
    </row>
    <row r="1066" spans="2:25" s="4" customFormat="1">
      <c r="B1066" s="367" t="s">
        <v>103</v>
      </c>
      <c r="C1066" s="4" t="s">
        <v>93</v>
      </c>
      <c r="D1066" s="2"/>
      <c r="E1066" s="2"/>
      <c r="F1066" s="374">
        <f t="shared" ref="F1066:N1066" ca="1" si="133">F1054-(F789*Conversion.to.average.power)</f>
        <v>4.6787397378004192E-3</v>
      </c>
      <c r="G1066" s="374">
        <f t="shared" ca="1" si="133"/>
        <v>3.200694672125759E-2</v>
      </c>
      <c r="H1066" s="374">
        <f t="shared" ca="1" si="133"/>
        <v>6.0923516841361547E-2</v>
      </c>
      <c r="I1066" s="374">
        <f t="shared" ca="1" si="133"/>
        <v>9.6795277461872109E-2</v>
      </c>
      <c r="J1066" s="374">
        <f t="shared" ca="1" si="133"/>
        <v>0.15543286576745396</v>
      </c>
      <c r="K1066" s="374">
        <f t="shared" ca="1" si="133"/>
        <v>0.20482249992750801</v>
      </c>
      <c r="L1066" s="374">
        <f t="shared" ca="1" si="133"/>
        <v>0.25915572648668717</v>
      </c>
      <c r="M1066" s="374">
        <f t="shared" ca="1" si="133"/>
        <v>0.36349487583613405</v>
      </c>
      <c r="N1066" s="374">
        <f t="shared" ca="1" si="133"/>
        <v>0.47810213585722805</v>
      </c>
      <c r="O1066" s="2"/>
      <c r="W1066" s="374"/>
      <c r="X1066" s="374"/>
      <c r="Y1066" s="374"/>
    </row>
    <row r="1067" spans="2:25" s="4" customFormat="1">
      <c r="B1067" s="367" t="s">
        <v>104</v>
      </c>
      <c r="C1067" s="4" t="s">
        <v>94</v>
      </c>
      <c r="D1067" s="2"/>
      <c r="E1067" s="2"/>
      <c r="F1067" s="374">
        <f t="shared" ref="F1067:N1067" ca="1" si="134">F1055-(F790*Conversion.to.average.power)</f>
        <v>4.2384272954083813E-4</v>
      </c>
      <c r="G1067" s="374">
        <f t="shared" ca="1" si="134"/>
        <v>3.4434799551529421E-3</v>
      </c>
      <c r="H1067" s="374">
        <f t="shared" ca="1" si="134"/>
        <v>6.3855823129648076E-3</v>
      </c>
      <c r="I1067" s="374">
        <f t="shared" ca="1" si="134"/>
        <v>9.8810425614076769E-3</v>
      </c>
      <c r="J1067" s="374">
        <f t="shared" ca="1" si="134"/>
        <v>1.5448597378380995E-2</v>
      </c>
      <c r="K1067" s="374">
        <f t="shared" ca="1" si="134"/>
        <v>1.9814329121610207E-2</v>
      </c>
      <c r="L1067" s="374">
        <f t="shared" ca="1" si="134"/>
        <v>2.4393209002162249E-2</v>
      </c>
      <c r="M1067" s="374">
        <f t="shared" ca="1" si="134"/>
        <v>3.3277932755849574E-2</v>
      </c>
      <c r="N1067" s="374">
        <f t="shared" ca="1" si="134"/>
        <v>4.2556343960918105E-2</v>
      </c>
      <c r="O1067" s="2"/>
      <c r="W1067" s="374"/>
      <c r="X1067" s="374"/>
      <c r="Y1067" s="374"/>
    </row>
    <row r="1068" spans="2:25" s="4" customFormat="1">
      <c r="B1068" s="367"/>
      <c r="D1068" s="2"/>
      <c r="E1068" s="2" t="str">
        <f>Preferences.PowerUnits</f>
        <v>GW</v>
      </c>
      <c r="F1068" s="421">
        <f t="shared" ref="F1068:N1068" ca="1" si="135">SUM(F1059:F1067)</f>
        <v>-9.6277152916712794E-17</v>
      </c>
      <c r="G1068" s="421">
        <f t="shared" ca="1" si="135"/>
        <v>-1.1102230246251565E-16</v>
      </c>
      <c r="H1068" s="421">
        <f t="shared" ca="1" si="135"/>
        <v>-2.6367796834847468E-16</v>
      </c>
      <c r="I1068" s="421">
        <f t="shared" ca="1" si="135"/>
        <v>1.3877787807814457E-16</v>
      </c>
      <c r="J1068" s="421">
        <f t="shared" ca="1" si="135"/>
        <v>7.6327832942979512E-17</v>
      </c>
      <c r="K1068" s="421">
        <f t="shared" ca="1" si="135"/>
        <v>0</v>
      </c>
      <c r="L1068" s="421">
        <f t="shared" ca="1" si="135"/>
        <v>-3.2612801348363973E-16</v>
      </c>
      <c r="M1068" s="421">
        <f t="shared" ca="1" si="135"/>
        <v>-9.7144514654701197E-17</v>
      </c>
      <c r="N1068" s="421">
        <f t="shared" ca="1" si="135"/>
        <v>-1.2490009027033011E-16</v>
      </c>
      <c r="O1068" s="2"/>
      <c r="W1068" s="374"/>
      <c r="X1068" s="374"/>
      <c r="Y1068" s="374"/>
    </row>
    <row r="1069" spans="2:25" s="4" customFormat="1">
      <c r="B1069" s="2"/>
      <c r="C1069" s="2"/>
      <c r="D1069" s="2"/>
      <c r="E1069" s="2"/>
      <c r="F1069" s="374"/>
      <c r="G1069" s="2"/>
      <c r="H1069" s="2"/>
      <c r="I1069" s="2"/>
      <c r="J1069" s="2"/>
      <c r="K1069" s="2"/>
      <c r="L1069" s="2"/>
      <c r="M1069" s="2"/>
      <c r="N1069" s="2"/>
      <c r="O1069" s="2"/>
      <c r="W1069" s="374"/>
      <c r="X1069" s="374"/>
      <c r="Y1069" s="374"/>
    </row>
    <row r="1070" spans="2:25" s="4" customFormat="1">
      <c r="B1070" s="2"/>
      <c r="C1070" s="363" t="s">
        <v>282</v>
      </c>
      <c r="D1070" s="2"/>
      <c r="F1070" s="364">
        <v>2013</v>
      </c>
      <c r="G1070" s="364">
        <v>2015</v>
      </c>
      <c r="H1070" s="364">
        <v>2020</v>
      </c>
      <c r="I1070" s="364">
        <v>2025</v>
      </c>
      <c r="J1070" s="364">
        <v>2030</v>
      </c>
      <c r="K1070" s="364">
        <v>2035</v>
      </c>
      <c r="L1070" s="364">
        <v>2040</v>
      </c>
      <c r="M1070" s="364">
        <v>2045</v>
      </c>
      <c r="N1070" s="364">
        <v>2050</v>
      </c>
      <c r="O1070" s="2"/>
      <c r="W1070" s="374"/>
      <c r="X1070" s="374"/>
      <c r="Y1070" s="374"/>
    </row>
    <row r="1071" spans="2:25" s="4" customFormat="1">
      <c r="B1071" s="367" t="s">
        <v>96</v>
      </c>
      <c r="C1071" s="4" t="s">
        <v>86</v>
      </c>
      <c r="D1071" s="2"/>
      <c r="E1071" s="2"/>
      <c r="F1071" s="374">
        <f t="array" ref="F1071">SUM(F$857:F$869/$M$167:$M$179*($B1071=$F$166:$N$166)*($F$167:$N$179))</f>
        <v>-0.66571006039760539</v>
      </c>
      <c r="G1071" s="374">
        <f t="array" ref="G1071">SUM(G$857:G$869/$M$167:$M$179*($B1071=$F$166:$N$166)*($F$167:$N$179))</f>
        <v>-1.071847132217534</v>
      </c>
      <c r="H1071" s="374">
        <f t="array" ref="H1071">SUM(H$857:H$869/$M$167:$M$179*($B1071=$F$166:$N$166)*($F$167:$N$179))</f>
        <v>-1.0594681625627709</v>
      </c>
      <c r="I1071" s="374">
        <f t="array" ref="I1071">SUM(I$857:I$869/$M$167:$M$179*($B1071=$F$166:$N$166)*($F$167:$N$179))</f>
        <v>-1.1429446741509515</v>
      </c>
      <c r="J1071" s="374">
        <f t="array" ref="J1071">SUM(J$857:J$869/$M$167:$M$179*($B1071=$F$166:$N$166)*($F$167:$N$179))</f>
        <v>-1.2096145194616159</v>
      </c>
      <c r="K1071" s="374">
        <f t="array" ref="K1071">SUM(K$857:K$869/$M$167:$M$179*($B1071=$F$166:$N$166)*($F$167:$N$179))</f>
        <v>-1.2825013385894219</v>
      </c>
      <c r="L1071" s="374">
        <f t="array" ref="L1071">SUM(L$857:L$869/$M$167:$M$179*($B1071=$F$166:$N$166)*($F$167:$N$179))</f>
        <v>-1.3642385996350079</v>
      </c>
      <c r="M1071" s="374">
        <f t="array" ref="M1071">SUM(M$857:M$869/$M$167:$M$179*($B1071=$F$166:$N$166)*($F$167:$N$179))</f>
        <v>-1.4665317359731052</v>
      </c>
      <c r="N1071" s="374">
        <f t="array" ref="N1071">SUM(N$857:N$869/$M$167:$M$179*($B1071=$F$166:$N$166)*($F$167:$N$179))</f>
        <v>-1.5725948818858506</v>
      </c>
      <c r="O1071" s="2"/>
      <c r="W1071" s="374"/>
      <c r="X1071" s="374"/>
      <c r="Y1071" s="374"/>
    </row>
    <row r="1072" spans="2:25" s="4" customFormat="1">
      <c r="B1072" s="367" t="s">
        <v>97</v>
      </c>
      <c r="C1072" s="4" t="s">
        <v>87</v>
      </c>
      <c r="D1072" s="2"/>
      <c r="E1072" s="2"/>
      <c r="F1072" s="374">
        <f t="array" ref="F1072">SUM(F$857:F$869/$M$167:$M$179*($B1072=$F$166:$N$166)*($F$167:$N$179))</f>
        <v>0</v>
      </c>
      <c r="G1072" s="374">
        <f t="array" ref="G1072">SUM(G$857:G$869/$M$167:$M$179*($B1072=$F$166:$N$166)*($F$167:$N$179))</f>
        <v>0</v>
      </c>
      <c r="H1072" s="374">
        <f t="array" ref="H1072">SUM(H$857:H$869/$M$167:$M$179*($B1072=$F$166:$N$166)*($F$167:$N$179))</f>
        <v>0</v>
      </c>
      <c r="I1072" s="374">
        <f t="array" ref="I1072">SUM(I$857:I$869/$M$167:$M$179*($B1072=$F$166:$N$166)*($F$167:$N$179))</f>
        <v>0</v>
      </c>
      <c r="J1072" s="374">
        <f t="array" ref="J1072">SUM(J$857:J$869/$M$167:$M$179*($B1072=$F$166:$N$166)*($F$167:$N$179))</f>
        <v>0</v>
      </c>
      <c r="K1072" s="374">
        <f t="array" ref="K1072">SUM(K$857:K$869/$M$167:$M$179*($B1072=$F$166:$N$166)*($F$167:$N$179))</f>
        <v>0</v>
      </c>
      <c r="L1072" s="374">
        <f t="array" ref="L1072">SUM(L$857:L$869/$M$167:$M$179*($B1072=$F$166:$N$166)*($F$167:$N$179))</f>
        <v>0</v>
      </c>
      <c r="M1072" s="374">
        <f t="array" ref="M1072">SUM(M$857:M$869/$M$167:$M$179*($B1072=$F$166:$N$166)*($F$167:$N$179))</f>
        <v>0</v>
      </c>
      <c r="N1072" s="374">
        <f t="array" ref="N1072">SUM(N$857:N$869/$M$167:$M$179*($B1072=$F$166:$N$166)*($F$167:$N$179))</f>
        <v>0</v>
      </c>
      <c r="O1072" s="2"/>
      <c r="W1072" s="374"/>
      <c r="X1072" s="374"/>
      <c r="Y1072" s="374"/>
    </row>
    <row r="1073" spans="2:25" s="4" customFormat="1">
      <c r="B1073" s="367" t="s">
        <v>98</v>
      </c>
      <c r="C1073" s="4" t="s">
        <v>88</v>
      </c>
      <c r="D1073" s="2"/>
      <c r="E1073" s="2"/>
      <c r="F1073" s="374">
        <f t="array" ref="F1073">SUM(F$857:F$869/$M$167:$M$179*($B1073=$F$166:$N$166)*($F$167:$N$179))</f>
        <v>-0.31125772640816474</v>
      </c>
      <c r="G1073" s="374">
        <f t="array" ref="G1073">SUM(G$857:G$869/$M$167:$M$179*($B1073=$F$166:$N$166)*($F$167:$N$179))</f>
        <v>-0.1970416988645681</v>
      </c>
      <c r="H1073" s="374">
        <f t="array" ref="H1073">SUM(H$857:H$869/$M$167:$M$179*($B1073=$F$166:$N$166)*($F$167:$N$179))</f>
        <v>-0.15377572732482161</v>
      </c>
      <c r="I1073" s="374">
        <f t="array" ref="I1073">SUM(I$857:I$869/$M$167:$M$179*($B1073=$F$166:$N$166)*($F$167:$N$179))</f>
        <v>-0.1281371640801135</v>
      </c>
      <c r="J1073" s="374">
        <f t="array" ref="J1073">SUM(J$857:J$869/$M$167:$M$179*($B1073=$F$166:$N$166)*($F$167:$N$179))</f>
        <v>-0.10109863396667806</v>
      </c>
      <c r="K1073" s="374">
        <f t="array" ref="K1073">SUM(K$857:K$869/$M$167:$M$179*($B1073=$F$166:$N$166)*($F$167:$N$179))</f>
        <v>-7.5265501544434441E-2</v>
      </c>
      <c r="L1073" s="374">
        <f t="array" ref="L1073">SUM(L$857:L$869/$M$167:$M$179*($B1073=$F$166:$N$166)*($F$167:$N$179))</f>
        <v>-5.0174836488816259E-2</v>
      </c>
      <c r="M1073" s="374">
        <f t="array" ref="M1073">SUM(M$857:M$869/$M$167:$M$179*($B1073=$F$166:$N$166)*($F$167:$N$179))</f>
        <v>-2.5443085461467802E-2</v>
      </c>
      <c r="N1073" s="374">
        <f t="array" ref="N1073">SUM(N$857:N$869/$M$167:$M$179*($B1073=$F$166:$N$166)*($F$167:$N$179))</f>
        <v>0</v>
      </c>
      <c r="O1073" s="2"/>
      <c r="W1073" s="374"/>
      <c r="X1073" s="374"/>
      <c r="Y1073" s="374"/>
    </row>
    <row r="1074" spans="2:25" s="4" customFormat="1">
      <c r="B1074" s="367" t="s">
        <v>99</v>
      </c>
      <c r="C1074" s="4" t="s">
        <v>89</v>
      </c>
      <c r="D1074" s="2"/>
      <c r="E1074" s="2"/>
      <c r="F1074" s="374">
        <f t="array" ref="F1074">SUM(F$857:F$869/$M$167:$M$179*($B1074=$F$166:$N$166)*($F$167:$N$179))</f>
        <v>-11.520386488150445</v>
      </c>
      <c r="G1074" s="374">
        <f t="array" ref="G1074">SUM(G$857:G$869/$M$167:$M$179*($B1074=$F$166:$N$166)*($F$167:$N$179))</f>
        <v>-9.7200466914119428</v>
      </c>
      <c r="H1074" s="374">
        <f t="array" ref="H1074">SUM(H$857:H$869/$M$167:$M$179*($B1074=$F$166:$N$166)*($F$167:$N$179))</f>
        <v>-7.5857407757656858</v>
      </c>
      <c r="I1074" s="374">
        <f t="array" ref="I1074">SUM(I$857:I$869/$M$167:$M$179*($B1074=$F$166:$N$166)*($F$167:$N$179))</f>
        <v>-6.3209930940550842</v>
      </c>
      <c r="J1074" s="374">
        <f t="array" ref="J1074">SUM(J$857:J$869/$M$167:$M$179*($B1074=$F$166:$N$166)*($F$167:$N$179))</f>
        <v>-4.9871851910366445</v>
      </c>
      <c r="K1074" s="374">
        <f t="array" ref="K1074">SUM(K$857:K$869/$M$167:$M$179*($B1074=$F$166:$N$166)*($F$167:$N$179))</f>
        <v>-3.7128394318568954</v>
      </c>
      <c r="L1074" s="374">
        <f t="array" ref="L1074">SUM(L$857:L$869/$M$167:$M$179*($B1074=$F$166:$N$166)*($F$167:$N$179))</f>
        <v>-2.4751195113297504</v>
      </c>
      <c r="M1074" s="374">
        <f t="array" ref="M1074">SUM(M$857:M$869/$M$167:$M$179*($B1074=$F$166:$N$166)*($F$167:$N$179))</f>
        <v>-1.2551047828157049</v>
      </c>
      <c r="N1074" s="374">
        <f t="array" ref="N1074">SUM(N$857:N$869/$M$167:$M$179*($B1074=$F$166:$N$166)*($F$167:$N$179))</f>
        <v>0</v>
      </c>
      <c r="O1074" s="2"/>
      <c r="W1074" s="374"/>
      <c r="X1074" s="374"/>
      <c r="Y1074" s="374"/>
    </row>
    <row r="1075" spans="2:25" s="4" customFormat="1">
      <c r="B1075" s="367" t="s">
        <v>100</v>
      </c>
      <c r="C1075" s="4" t="s">
        <v>90</v>
      </c>
      <c r="D1075" s="2"/>
      <c r="E1075" s="2"/>
      <c r="F1075" s="374">
        <f t="array" ref="F1075">SUM(F$857:F$869/$M$167:$M$179*($B1075=$F$166:$N$166)*($F$167:$N$179))</f>
        <v>-7.1329505587928228</v>
      </c>
      <c r="G1075" s="374">
        <f t="array" ref="G1075">SUM(G$857:G$869/$M$167:$M$179*($B1075=$F$166:$N$166)*($F$167:$N$179))</f>
        <v>-6.9205056132155942</v>
      </c>
      <c r="H1075" s="374">
        <f t="array" ref="H1075">SUM(H$857:H$869/$M$167:$M$179*($B1075=$F$166:$N$166)*($F$167:$N$179))</f>
        <v>-7.6061619297548111</v>
      </c>
      <c r="I1075" s="374">
        <f t="array" ref="I1075">SUM(I$857:I$869/$M$167:$M$179*($B1075=$F$166:$N$166)*($F$167:$N$179))</f>
        <v>-8.9106094771592623</v>
      </c>
      <c r="J1075" s="374">
        <f t="array" ref="J1075">SUM(J$857:J$869/$M$167:$M$179*($B1075=$F$166:$N$166)*($F$167:$N$179))</f>
        <v>-10.07498466031088</v>
      </c>
      <c r="K1075" s="374">
        <f t="array" ref="K1075">SUM(K$857:K$869/$M$167:$M$179*($B1075=$F$166:$N$166)*($F$167:$N$179))</f>
        <v>-11.278332986200891</v>
      </c>
      <c r="L1075" s="374">
        <f t="array" ref="L1075">SUM(L$857:L$869/$M$167:$M$179*($B1075=$F$166:$N$166)*($F$167:$N$179))</f>
        <v>-12.555345969764508</v>
      </c>
      <c r="M1075" s="374">
        <f t="array" ref="M1075">SUM(M$857:M$869/$M$167:$M$179*($B1075=$F$166:$N$166)*($F$167:$N$179))</f>
        <v>-14.02895532235307</v>
      </c>
      <c r="N1075" s="374">
        <f t="array" ref="N1075">SUM(N$857:N$869/$M$167:$M$179*($B1075=$F$166:$N$166)*($F$167:$N$179))</f>
        <v>-15.553136194475444</v>
      </c>
      <c r="O1075" s="2"/>
      <c r="W1075" s="374"/>
      <c r="X1075" s="374"/>
      <c r="Y1075" s="374"/>
    </row>
    <row r="1076" spans="2:25" s="4" customFormat="1">
      <c r="B1076" s="367" t="s">
        <v>101</v>
      </c>
      <c r="C1076" s="4" t="s">
        <v>91</v>
      </c>
      <c r="D1076" s="2"/>
      <c r="E1076" s="2"/>
      <c r="F1076" s="374">
        <f t="array" ref="F1076">SUM(F$857:F$869/$M$167:$M$179*($B1076=$F$166:$N$166)*($F$167:$N$179))</f>
        <v>0</v>
      </c>
      <c r="G1076" s="374">
        <f t="array" ref="G1076">SUM(G$857:G$869/$M$167:$M$179*($B1076=$F$166:$N$166)*($F$167:$N$179))</f>
        <v>0</v>
      </c>
      <c r="H1076" s="374">
        <f t="array" ref="H1076">SUM(H$857:H$869/$M$167:$M$179*($B1076=$F$166:$N$166)*($F$167:$N$179))</f>
        <v>0</v>
      </c>
      <c r="I1076" s="374">
        <f t="array" ref="I1076">SUM(I$857:I$869/$M$167:$M$179*($B1076=$F$166:$N$166)*($F$167:$N$179))</f>
        <v>0</v>
      </c>
      <c r="J1076" s="374">
        <f t="array" ref="J1076">SUM(J$857:J$869/$M$167:$M$179*($B1076=$F$166:$N$166)*($F$167:$N$179))</f>
        <v>0</v>
      </c>
      <c r="K1076" s="374">
        <f t="array" ref="K1076">SUM(K$857:K$869/$M$167:$M$179*($B1076=$F$166:$N$166)*($F$167:$N$179))</f>
        <v>0</v>
      </c>
      <c r="L1076" s="374">
        <f t="array" ref="L1076">SUM(L$857:L$869/$M$167:$M$179*($B1076=$F$166:$N$166)*($F$167:$N$179))</f>
        <v>0</v>
      </c>
      <c r="M1076" s="374">
        <f t="array" ref="M1076">SUM(M$857:M$869/$M$167:$M$179*($B1076=$F$166:$N$166)*($F$167:$N$179))</f>
        <v>0</v>
      </c>
      <c r="N1076" s="374">
        <f t="array" ref="N1076">SUM(N$857:N$869/$M$167:$M$179*($B1076=$F$166:$N$166)*($F$167:$N$179))</f>
        <v>0</v>
      </c>
      <c r="O1076" s="2"/>
      <c r="W1076" s="374"/>
      <c r="X1076" s="374"/>
      <c r="Y1076" s="374"/>
    </row>
    <row r="1077" spans="2:25" s="4" customFormat="1">
      <c r="B1077" s="367" t="s">
        <v>102</v>
      </c>
      <c r="C1077" s="4" t="s">
        <v>92</v>
      </c>
      <c r="D1077" s="2"/>
      <c r="E1077" s="2"/>
      <c r="F1077" s="374">
        <f t="array" ref="F1077">SUM(F$857:F$869/$M$167:$M$179*($B1077=$F$166:$N$166)*($F$167:$N$179))</f>
        <v>-3.835491673766335E-2</v>
      </c>
      <c r="G1077" s="374">
        <f t="array" ref="G1077">SUM(G$857:G$869/$M$167:$M$179*($B1077=$F$166:$N$166)*($F$167:$N$179))</f>
        <v>-0.1281368138676858</v>
      </c>
      <c r="H1077" s="374">
        <f t="array" ref="H1077">SUM(H$857:H$869/$M$167:$M$179*($B1077=$F$166:$N$166)*($F$167:$N$179))</f>
        <v>-0.100000821466384</v>
      </c>
      <c r="I1077" s="374">
        <f t="array" ref="I1077">SUM(I$857:I$869/$M$167:$M$179*($B1077=$F$166:$N$166)*($F$167:$N$179))</f>
        <v>-8.3327986095734413E-2</v>
      </c>
      <c r="J1077" s="374">
        <f t="array" ref="J1077">SUM(J$857:J$869/$M$167:$M$179*($B1077=$F$166:$N$166)*($F$167:$N$179))</f>
        <v>-6.5744748028027614E-2</v>
      </c>
      <c r="K1077" s="374">
        <f t="array" ref="K1077">SUM(K$857:K$869/$M$167:$M$179*($B1077=$F$166:$N$166)*($F$167:$N$179))</f>
        <v>-4.8945383731623125E-2</v>
      </c>
      <c r="L1077" s="374">
        <f t="array" ref="L1077">SUM(L$857:L$869/$M$167:$M$179*($B1077=$F$166:$N$166)*($F$167:$N$179))</f>
        <v>-3.262884821363627E-2</v>
      </c>
      <c r="M1077" s="374">
        <f t="array" ref="M1077">SUM(M$857:M$869/$M$167:$M$179*($B1077=$F$166:$N$166)*($F$167:$N$179))</f>
        <v>-1.6545715575851484E-2</v>
      </c>
      <c r="N1077" s="374">
        <f t="array" ref="N1077">SUM(N$857:N$869/$M$167:$M$179*($B1077=$F$166:$N$166)*($F$167:$N$179))</f>
        <v>0</v>
      </c>
      <c r="O1077" s="2"/>
      <c r="W1077" s="374"/>
      <c r="X1077" s="374"/>
      <c r="Y1077" s="374"/>
    </row>
    <row r="1078" spans="2:25" s="4" customFormat="1">
      <c r="B1078" s="367" t="s">
        <v>103</v>
      </c>
      <c r="C1078" s="4" t="s">
        <v>93</v>
      </c>
      <c r="D1078" s="2"/>
      <c r="E1078" s="2"/>
      <c r="F1078" s="374">
        <f t="array" ref="F1078">SUM(F$857:F$869/$M$167:$M$179*($B1078=$F$166:$N$166)*($F$167:$N$179))</f>
        <v>18.034895183541881</v>
      </c>
      <c r="G1078" s="374">
        <f t="array" ref="G1078">SUM(G$857:G$869/$M$167:$M$179*($B1078=$F$166:$N$166)*($F$167:$N$179))</f>
        <v>16.285496411156554</v>
      </c>
      <c r="H1078" s="374">
        <f t="array" ref="H1078">SUM(H$857:H$869/$M$167:$M$179*($B1078=$F$166:$N$166)*($F$167:$N$179))</f>
        <v>14.93931190960642</v>
      </c>
      <c r="I1078" s="374">
        <f t="array" ref="I1078">SUM(I$857:I$869/$M$167:$M$179*($B1078=$F$166:$N$166)*($F$167:$N$179))</f>
        <v>15.049709921209329</v>
      </c>
      <c r="J1078" s="374">
        <f t="array" ref="J1078">SUM(J$857:J$869/$M$167:$M$179*($B1078=$F$166:$N$166)*($F$167:$N$179))</f>
        <v>14.952487963671686</v>
      </c>
      <c r="K1078" s="374">
        <f t="array" ref="K1078">SUM(K$857:K$869/$M$167:$M$179*($B1078=$F$166:$N$166)*($F$167:$N$179))</f>
        <v>14.951491881801902</v>
      </c>
      <c r="L1078" s="374">
        <f t="array" ref="L1078">SUM(L$857:L$869/$M$167:$M$179*($B1078=$F$166:$N$166)*($F$167:$N$179))</f>
        <v>15.059977172118195</v>
      </c>
      <c r="M1078" s="374">
        <f t="array" ref="M1078">SUM(M$857:M$869/$M$167:$M$179*($B1078=$F$166:$N$166)*($F$167:$N$179))</f>
        <v>15.384161624276492</v>
      </c>
      <c r="N1078" s="374">
        <f t="array" ref="N1078">SUM(N$857:N$869/$M$167:$M$179*($B1078=$F$166:$N$166)*($F$167:$N$179))</f>
        <v>15.725948818858505</v>
      </c>
      <c r="O1078" s="2"/>
      <c r="W1078" s="374"/>
      <c r="X1078" s="374"/>
      <c r="Y1078" s="374"/>
    </row>
    <row r="1079" spans="2:25" s="4" customFormat="1">
      <c r="B1079" s="367" t="s">
        <v>104</v>
      </c>
      <c r="C1079" s="4" t="s">
        <v>94</v>
      </c>
      <c r="D1079" s="2"/>
      <c r="E1079" s="2"/>
      <c r="F1079" s="374">
        <f t="array" ref="F1079">SUM(F$857:F$869/$M$167:$M$179*($B1079=$F$166:$N$166)*($F$167:$N$179))</f>
        <v>1.6337645669448178</v>
      </c>
      <c r="G1079" s="374">
        <f t="array" ref="G1079">SUM(G$857:G$869/$M$167:$M$179*($B1079=$F$166:$N$166)*($F$167:$N$179))</f>
        <v>1.7520815384207704</v>
      </c>
      <c r="H1079" s="374">
        <f t="array" ref="H1079">SUM(H$857:H$869/$M$167:$M$179*($B1079=$F$166:$N$166)*($F$167:$N$179))</f>
        <v>1.5658355072680532</v>
      </c>
      <c r="I1079" s="374">
        <f t="array" ref="I1079">SUM(I$857:I$869/$M$167:$M$179*($B1079=$F$166:$N$166)*($F$167:$N$179))</f>
        <v>1.5363024743318159</v>
      </c>
      <c r="J1079" s="374">
        <f t="array" ref="J1079">SUM(J$857:J$869/$M$167:$M$179*($B1079=$F$166:$N$166)*($F$167:$N$179))</f>
        <v>1.4861397891321622</v>
      </c>
      <c r="K1079" s="374">
        <f t="array" ref="K1079">SUM(K$857:K$869/$M$167:$M$179*($B1079=$F$166:$N$166)*($F$167:$N$179))</f>
        <v>1.4463927601213644</v>
      </c>
      <c r="L1079" s="374">
        <f t="array" ref="L1079">SUM(L$857:L$869/$M$167:$M$179*($B1079=$F$166:$N$166)*($F$167:$N$179))</f>
        <v>1.4175305933135238</v>
      </c>
      <c r="M1079" s="374">
        <f t="array" ref="M1079">SUM(M$857:M$869/$M$167:$M$179*($B1079=$F$166:$N$166)*($F$167:$N$179))</f>
        <v>1.4084190179027083</v>
      </c>
      <c r="N1079" s="374">
        <f t="array" ref="N1079">SUM(N$857:N$869/$M$167:$M$179*($B1079=$F$166:$N$166)*($F$167:$N$179))</f>
        <v>1.3997822575027898</v>
      </c>
      <c r="O1079" s="2"/>
      <c r="W1079" s="374"/>
      <c r="X1079" s="374"/>
      <c r="Y1079" s="374"/>
    </row>
    <row r="1080" spans="2:25" s="4" customFormat="1">
      <c r="B1080" s="367"/>
      <c r="D1080" s="2"/>
      <c r="E1080" s="2" t="str">
        <f>Preferences.EnergyUnits</f>
        <v>TWh</v>
      </c>
      <c r="F1080" s="421">
        <f t="shared" ref="F1080:N1080" si="136">SUM(F1071:F1079)</f>
        <v>0</v>
      </c>
      <c r="G1080" s="421">
        <f t="shared" si="136"/>
        <v>0</v>
      </c>
      <c r="H1080" s="421">
        <f t="shared" si="136"/>
        <v>-1.7763568394002505E-15</v>
      </c>
      <c r="I1080" s="421">
        <f t="shared" si="136"/>
        <v>0</v>
      </c>
      <c r="J1080" s="421">
        <f t="shared" si="136"/>
        <v>1.9984014443252818E-15</v>
      </c>
      <c r="K1080" s="421">
        <f t="shared" si="136"/>
        <v>0</v>
      </c>
      <c r="L1080" s="421">
        <f t="shared" si="136"/>
        <v>-1.7763568394002505E-15</v>
      </c>
      <c r="M1080" s="421">
        <f t="shared" si="136"/>
        <v>0</v>
      </c>
      <c r="N1080" s="421">
        <f t="shared" si="136"/>
        <v>0</v>
      </c>
      <c r="O1080" s="2"/>
      <c r="W1080" s="374"/>
      <c r="X1080" s="374"/>
      <c r="Y1080" s="374"/>
    </row>
    <row r="1081" spans="2:25" s="4" customFormat="1">
      <c r="B1081" s="2"/>
      <c r="C1081" s="2"/>
      <c r="D1081" s="2"/>
      <c r="E1081" s="2"/>
      <c r="F1081" s="374"/>
      <c r="G1081" s="2"/>
      <c r="H1081" s="2"/>
      <c r="I1081" s="2"/>
      <c r="J1081" s="2"/>
      <c r="K1081" s="2"/>
      <c r="L1081" s="2"/>
      <c r="M1081" s="2"/>
      <c r="N1081" s="2"/>
      <c r="O1081" s="2"/>
      <c r="W1081" s="374"/>
      <c r="X1081" s="374"/>
      <c r="Y1081" s="374"/>
    </row>
    <row r="1082" spans="2:25" s="4" customFormat="1">
      <c r="B1082" s="2"/>
      <c r="C1082" s="363" t="s">
        <v>283</v>
      </c>
      <c r="D1082" s="2"/>
      <c r="F1082" s="364">
        <v>2013</v>
      </c>
      <c r="G1082" s="364">
        <v>2015</v>
      </c>
      <c r="H1082" s="364">
        <v>2020</v>
      </c>
      <c r="I1082" s="364">
        <v>2025</v>
      </c>
      <c r="J1082" s="364">
        <v>2030</v>
      </c>
      <c r="K1082" s="364">
        <v>2035</v>
      </c>
      <c r="L1082" s="364">
        <v>2040</v>
      </c>
      <c r="M1082" s="364">
        <v>2045</v>
      </c>
      <c r="N1082" s="364">
        <v>2050</v>
      </c>
      <c r="O1082" s="2"/>
      <c r="W1082" s="374"/>
      <c r="X1082" s="374"/>
      <c r="Y1082" s="374"/>
    </row>
    <row r="1083" spans="2:25" s="4" customFormat="1">
      <c r="B1083" s="367" t="s">
        <v>96</v>
      </c>
      <c r="C1083" s="4" t="s">
        <v>86</v>
      </c>
      <c r="D1083" s="2"/>
      <c r="E1083" s="2"/>
      <c r="F1083" s="374">
        <f t="shared" ref="F1083:N1083" si="137">(F1071-F889)*Conversion.to.average.power</f>
        <v>-8.6676273590704001E-5</v>
      </c>
      <c r="G1083" s="374">
        <f t="shared" si="137"/>
        <v>-4.938337228438445E-5</v>
      </c>
      <c r="H1083" s="374">
        <f t="shared" si="137"/>
        <v>-3.8539882849883549E-5</v>
      </c>
      <c r="I1083" s="374">
        <f t="shared" si="137"/>
        <v>-3.2114244414725605E-5</v>
      </c>
      <c r="J1083" s="374">
        <f t="shared" si="137"/>
        <v>-2.5337740728956513E-5</v>
      </c>
      <c r="K1083" s="374">
        <f t="shared" si="137"/>
        <v>-1.8863338594607971E-5</v>
      </c>
      <c r="L1083" s="374">
        <f t="shared" si="137"/>
        <v>-1.2575016577275286E-5</v>
      </c>
      <c r="M1083" s="374">
        <f t="shared" si="137"/>
        <v>-6.3766470175984244E-6</v>
      </c>
      <c r="N1083" s="374">
        <f t="shared" si="137"/>
        <v>0</v>
      </c>
      <c r="O1083" s="2"/>
      <c r="W1083" s="374"/>
      <c r="X1083" s="374"/>
      <c r="Y1083" s="374"/>
    </row>
    <row r="1084" spans="2:25" s="4" customFormat="1">
      <c r="B1084" s="367" t="s">
        <v>97</v>
      </c>
      <c r="C1084" s="4" t="s">
        <v>87</v>
      </c>
      <c r="D1084" s="2"/>
      <c r="E1084" s="2"/>
      <c r="F1084" s="374">
        <f t="shared" ref="F1084:N1084" si="138">(F1072-F890)*Conversion.to.average.power</f>
        <v>0</v>
      </c>
      <c r="G1084" s="374">
        <f t="shared" si="138"/>
        <v>0</v>
      </c>
      <c r="H1084" s="374">
        <f t="shared" si="138"/>
        <v>0</v>
      </c>
      <c r="I1084" s="374">
        <f t="shared" si="138"/>
        <v>0</v>
      </c>
      <c r="J1084" s="374">
        <f t="shared" si="138"/>
        <v>0</v>
      </c>
      <c r="K1084" s="374">
        <f t="shared" si="138"/>
        <v>0</v>
      </c>
      <c r="L1084" s="374">
        <f t="shared" si="138"/>
        <v>0</v>
      </c>
      <c r="M1084" s="374">
        <f t="shared" si="138"/>
        <v>0</v>
      </c>
      <c r="N1084" s="374">
        <f t="shared" si="138"/>
        <v>0</v>
      </c>
      <c r="O1084" s="2"/>
      <c r="W1084" s="374"/>
      <c r="X1084" s="374"/>
      <c r="Y1084" s="374"/>
    </row>
    <row r="1085" spans="2:25" s="4" customFormat="1">
      <c r="B1085" s="367" t="s">
        <v>98</v>
      </c>
      <c r="C1085" s="4" t="s">
        <v>88</v>
      </c>
      <c r="D1085" s="2"/>
      <c r="E1085" s="2"/>
      <c r="F1085" s="374">
        <f t="shared" ref="F1085:N1085" si="139">(F1073-F891)*Conversion.to.average.power</f>
        <v>0</v>
      </c>
      <c r="G1085" s="374">
        <f t="shared" si="139"/>
        <v>0</v>
      </c>
      <c r="H1085" s="374">
        <f t="shared" si="139"/>
        <v>0</v>
      </c>
      <c r="I1085" s="374">
        <f t="shared" si="139"/>
        <v>0</v>
      </c>
      <c r="J1085" s="374">
        <f t="shared" si="139"/>
        <v>0</v>
      </c>
      <c r="K1085" s="374">
        <f t="shared" si="139"/>
        <v>0</v>
      </c>
      <c r="L1085" s="374">
        <f t="shared" si="139"/>
        <v>0</v>
      </c>
      <c r="M1085" s="374">
        <f t="shared" si="139"/>
        <v>0</v>
      </c>
      <c r="N1085" s="374">
        <f t="shared" si="139"/>
        <v>0</v>
      </c>
      <c r="O1085" s="2"/>
      <c r="W1085" s="374"/>
      <c r="X1085" s="374"/>
      <c r="Y1085" s="374"/>
    </row>
    <row r="1086" spans="2:25" s="4" customFormat="1">
      <c r="B1086" s="367" t="s">
        <v>99</v>
      </c>
      <c r="C1086" s="4" t="s">
        <v>89</v>
      </c>
      <c r="D1086" s="2"/>
      <c r="E1086" s="2"/>
      <c r="F1086" s="374">
        <f t="shared" ref="F1086:N1086" si="140">(F1074-F892)*Conversion.to.average.power</f>
        <v>0</v>
      </c>
      <c r="G1086" s="374">
        <f t="shared" si="140"/>
        <v>0</v>
      </c>
      <c r="H1086" s="374">
        <f t="shared" si="140"/>
        <v>0</v>
      </c>
      <c r="I1086" s="374">
        <f t="shared" si="140"/>
        <v>0</v>
      </c>
      <c r="J1086" s="374">
        <f t="shared" si="140"/>
        <v>0</v>
      </c>
      <c r="K1086" s="374">
        <f t="shared" si="140"/>
        <v>0</v>
      </c>
      <c r="L1086" s="374">
        <f t="shared" si="140"/>
        <v>0</v>
      </c>
      <c r="M1086" s="374">
        <f t="shared" si="140"/>
        <v>0</v>
      </c>
      <c r="N1086" s="374">
        <f t="shared" si="140"/>
        <v>0</v>
      </c>
      <c r="O1086" s="2"/>
      <c r="W1086" s="374"/>
      <c r="X1086" s="374"/>
      <c r="Y1086" s="374"/>
    </row>
    <row r="1087" spans="2:25" s="4" customFormat="1">
      <c r="B1087" s="367" t="s">
        <v>100</v>
      </c>
      <c r="C1087" s="4" t="s">
        <v>90</v>
      </c>
      <c r="D1087" s="2"/>
      <c r="E1087" s="2"/>
      <c r="F1087" s="374">
        <f t="shared" ref="F1087:N1087" si="141">(F1075-F893)*Conversion.to.average.power</f>
        <v>0</v>
      </c>
      <c r="G1087" s="374">
        <f t="shared" si="141"/>
        <v>0</v>
      </c>
      <c r="H1087" s="374">
        <f t="shared" si="141"/>
        <v>0</v>
      </c>
      <c r="I1087" s="374">
        <f t="shared" si="141"/>
        <v>0</v>
      </c>
      <c r="J1087" s="374">
        <f t="shared" si="141"/>
        <v>0</v>
      </c>
      <c r="K1087" s="374">
        <f t="shared" si="141"/>
        <v>0</v>
      </c>
      <c r="L1087" s="374">
        <f t="shared" si="141"/>
        <v>0</v>
      </c>
      <c r="M1087" s="374">
        <f t="shared" si="141"/>
        <v>0</v>
      </c>
      <c r="N1087" s="374">
        <f t="shared" si="141"/>
        <v>0</v>
      </c>
      <c r="O1087" s="2"/>
      <c r="W1087" s="374"/>
      <c r="X1087" s="374"/>
      <c r="Y1087" s="374"/>
    </row>
    <row r="1088" spans="2:25" s="4" customFormat="1">
      <c r="B1088" s="367" t="s">
        <v>101</v>
      </c>
      <c r="C1088" s="4" t="s">
        <v>91</v>
      </c>
      <c r="D1088" s="2"/>
      <c r="E1088" s="2"/>
      <c r="F1088" s="374">
        <f t="shared" ref="F1088:N1088" si="142">(F1076-F894)*Conversion.to.average.power</f>
        <v>0</v>
      </c>
      <c r="G1088" s="374">
        <f t="shared" si="142"/>
        <v>0</v>
      </c>
      <c r="H1088" s="374">
        <f t="shared" si="142"/>
        <v>0</v>
      </c>
      <c r="I1088" s="374">
        <f t="shared" si="142"/>
        <v>0</v>
      </c>
      <c r="J1088" s="374">
        <f t="shared" si="142"/>
        <v>0</v>
      </c>
      <c r="K1088" s="374">
        <f t="shared" si="142"/>
        <v>0</v>
      </c>
      <c r="L1088" s="374">
        <f t="shared" si="142"/>
        <v>0</v>
      </c>
      <c r="M1088" s="374">
        <f t="shared" si="142"/>
        <v>0</v>
      </c>
      <c r="N1088" s="374">
        <f t="shared" si="142"/>
        <v>0</v>
      </c>
      <c r="O1088" s="2"/>
      <c r="W1088" s="374"/>
      <c r="X1088" s="374"/>
      <c r="Y1088" s="374"/>
    </row>
    <row r="1089" spans="2:25" s="4" customFormat="1">
      <c r="B1089" s="367" t="s">
        <v>102</v>
      </c>
      <c r="C1089" s="4" t="s">
        <v>92</v>
      </c>
      <c r="D1089" s="2"/>
      <c r="E1089" s="2"/>
      <c r="F1089" s="374">
        <f t="shared" ref="F1089:N1089" si="143">(F1077-F895)*Conversion.to.average.power</f>
        <v>8.6676273590693715E-5</v>
      </c>
      <c r="G1089" s="374">
        <f t="shared" si="143"/>
        <v>4.9383372284381285E-5</v>
      </c>
      <c r="H1089" s="374">
        <f t="shared" si="143"/>
        <v>3.8539882849886714E-5</v>
      </c>
      <c r="I1089" s="374">
        <f t="shared" si="143"/>
        <v>3.2114244414744606E-5</v>
      </c>
      <c r="J1089" s="374">
        <f t="shared" si="143"/>
        <v>2.5337740728932765E-5</v>
      </c>
      <c r="K1089" s="374">
        <f t="shared" si="143"/>
        <v>1.8863338594610346E-5</v>
      </c>
      <c r="L1089" s="374">
        <f t="shared" si="143"/>
        <v>1.2575016577268953E-5</v>
      </c>
      <c r="M1089" s="374">
        <f t="shared" si="143"/>
        <v>6.3766470175972368E-6</v>
      </c>
      <c r="N1089" s="374">
        <f t="shared" si="143"/>
        <v>0</v>
      </c>
      <c r="O1089" s="2"/>
      <c r="W1089" s="374"/>
      <c r="X1089" s="374"/>
      <c r="Y1089" s="374"/>
    </row>
    <row r="1090" spans="2:25" s="4" customFormat="1">
      <c r="B1090" s="367" t="s">
        <v>103</v>
      </c>
      <c r="C1090" s="4" t="s">
        <v>93</v>
      </c>
      <c r="D1090" s="2"/>
      <c r="E1090" s="2"/>
      <c r="F1090" s="374">
        <f t="shared" ref="F1090:N1090" si="144">(F1078-F896)*Conversion.to.average.power</f>
        <v>0</v>
      </c>
      <c r="G1090" s="374">
        <f t="shared" si="144"/>
        <v>0</v>
      </c>
      <c r="H1090" s="374">
        <f t="shared" si="144"/>
        <v>0</v>
      </c>
      <c r="I1090" s="374">
        <f t="shared" si="144"/>
        <v>0</v>
      </c>
      <c r="J1090" s="374">
        <f t="shared" si="144"/>
        <v>0</v>
      </c>
      <c r="K1090" s="374">
        <f t="shared" si="144"/>
        <v>0</v>
      </c>
      <c r="L1090" s="374">
        <f t="shared" si="144"/>
        <v>0</v>
      </c>
      <c r="M1090" s="374">
        <f t="shared" si="144"/>
        <v>0</v>
      </c>
      <c r="N1090" s="374">
        <f t="shared" si="144"/>
        <v>0</v>
      </c>
      <c r="O1090" s="2"/>
      <c r="Q1090" s="422"/>
      <c r="W1090" s="374"/>
      <c r="X1090" s="374"/>
      <c r="Y1090" s="374"/>
    </row>
    <row r="1091" spans="2:25" s="4" customFormat="1">
      <c r="B1091" s="367" t="s">
        <v>104</v>
      </c>
      <c r="C1091" s="4" t="s">
        <v>94</v>
      </c>
      <c r="D1091" s="2"/>
      <c r="E1091" s="2"/>
      <c r="F1091" s="374">
        <f t="shared" ref="F1091:N1091" si="145">(F1079-F897)*Conversion.to.average.power</f>
        <v>0</v>
      </c>
      <c r="G1091" s="374">
        <f t="shared" si="145"/>
        <v>0</v>
      </c>
      <c r="H1091" s="374">
        <f t="shared" si="145"/>
        <v>0</v>
      </c>
      <c r="I1091" s="374">
        <f t="shared" si="145"/>
        <v>0</v>
      </c>
      <c r="J1091" s="374">
        <f t="shared" si="145"/>
        <v>0</v>
      </c>
      <c r="K1091" s="374">
        <f t="shared" si="145"/>
        <v>0</v>
      </c>
      <c r="L1091" s="374">
        <f t="shared" si="145"/>
        <v>0</v>
      </c>
      <c r="M1091" s="374">
        <f t="shared" si="145"/>
        <v>0</v>
      </c>
      <c r="N1091" s="374">
        <f t="shared" si="145"/>
        <v>0</v>
      </c>
      <c r="O1091" s="2"/>
      <c r="W1091" s="374"/>
      <c r="X1091" s="374"/>
      <c r="Y1091" s="374"/>
    </row>
    <row r="1092" spans="2:25" s="4" customFormat="1">
      <c r="B1092" s="367"/>
      <c r="D1092" s="2"/>
      <c r="E1092" s="2" t="str">
        <f>Preferences.PowerUnits</f>
        <v>GW</v>
      </c>
      <c r="F1092" s="421">
        <f t="shared" ref="F1092:N1092" si="146">SUM(F1083:F1091)</f>
        <v>-1.0286368111456223E-17</v>
      </c>
      <c r="G1092" s="421">
        <f t="shared" si="146"/>
        <v>-3.1645150909420661E-18</v>
      </c>
      <c r="H1092" s="421">
        <f t="shared" si="146"/>
        <v>3.1645150909420661E-18</v>
      </c>
      <c r="I1092" s="421">
        <f t="shared" si="146"/>
        <v>1.9000643072808465E-17</v>
      </c>
      <c r="J1092" s="421">
        <f t="shared" si="146"/>
        <v>-2.3747415709221564E-17</v>
      </c>
      <c r="K1092" s="421">
        <f t="shared" si="146"/>
        <v>2.3750803841010582E-18</v>
      </c>
      <c r="L1092" s="421">
        <f t="shared" si="146"/>
        <v>-6.3324183136731493E-18</v>
      </c>
      <c r="M1092" s="421">
        <f t="shared" si="146"/>
        <v>-1.1875401920505291E-18</v>
      </c>
      <c r="N1092" s="421">
        <f t="shared" si="146"/>
        <v>0</v>
      </c>
      <c r="O1092" s="2"/>
      <c r="W1092" s="374"/>
      <c r="X1092" s="374"/>
      <c r="Y1092" s="374"/>
    </row>
    <row r="1093" spans="2:25" s="4" customFormat="1">
      <c r="B1093" s="2"/>
      <c r="C1093" s="2"/>
      <c r="D1093" s="2"/>
      <c r="E1093" s="2"/>
      <c r="F1093" s="374"/>
      <c r="G1093" s="2"/>
      <c r="H1093" s="2"/>
      <c r="I1093" s="2"/>
      <c r="J1093" s="2"/>
      <c r="K1093" s="2"/>
      <c r="L1093" s="2"/>
      <c r="M1093" s="2"/>
      <c r="N1093" s="2"/>
      <c r="O1093" s="2"/>
      <c r="W1093" s="374"/>
      <c r="X1093" s="374"/>
      <c r="Y1093" s="374"/>
    </row>
    <row r="1094" spans="2:25" s="4" customFormat="1">
      <c r="B1094" s="2"/>
      <c r="C1094" s="2" t="s">
        <v>284</v>
      </c>
      <c r="D1094" s="2"/>
      <c r="E1094" s="420" t="str">
        <f>Preferences.PowerUnits&amp;"e"</f>
        <v>GWe</v>
      </c>
      <c r="F1094" s="374">
        <f t="shared" ref="F1094:N1094" ca="1" si="147">-SUM(F1059:F1060)-SUM(F1083:F1084)+F1025</f>
        <v>3.0264039699571149E-4</v>
      </c>
      <c r="G1094" s="374">
        <f t="shared" ca="1" si="147"/>
        <v>2.2065313085225112E-3</v>
      </c>
      <c r="H1094" s="374">
        <f t="shared" ca="1" si="147"/>
        <v>4.4243153663838684E-3</v>
      </c>
      <c r="I1094" s="374">
        <f t="shared" ca="1" si="147"/>
        <v>7.4596267142884457E-3</v>
      </c>
      <c r="J1094" s="374">
        <f t="shared" ca="1" si="147"/>
        <v>1.2688780447172058E-2</v>
      </c>
      <c r="K1094" s="374">
        <f t="shared" ca="1" si="147"/>
        <v>1.767265475340225E-2</v>
      </c>
      <c r="L1094" s="374">
        <f t="shared" ca="1" si="147"/>
        <v>2.3557899103598151E-2</v>
      </c>
      <c r="M1094" s="374">
        <f t="shared" ca="1" si="147"/>
        <v>3.4704078432113872E-2</v>
      </c>
      <c r="N1094" s="374">
        <f t="shared" ca="1" si="147"/>
        <v>4.7810213585722822E-2</v>
      </c>
      <c r="O1094" s="2"/>
      <c r="W1094" s="374"/>
      <c r="X1094" s="374"/>
      <c r="Y1094" s="374"/>
    </row>
    <row r="1095" spans="2:25" s="4" customFormat="1">
      <c r="B1095" s="2"/>
      <c r="C1095" s="2"/>
      <c r="D1095" s="2"/>
      <c r="E1095" s="2"/>
      <c r="F1095" s="374"/>
      <c r="G1095" s="2"/>
      <c r="H1095" s="2"/>
      <c r="I1095" s="2"/>
      <c r="J1095" s="2"/>
      <c r="K1095" s="2"/>
      <c r="L1095" s="2"/>
      <c r="M1095" s="2"/>
      <c r="N1095" s="2"/>
      <c r="O1095" s="2"/>
      <c r="W1095" s="374"/>
      <c r="X1095" s="374"/>
      <c r="Y1095" s="374"/>
    </row>
    <row r="1096" spans="2:25" s="4" customFormat="1">
      <c r="B1096" s="363"/>
      <c r="C1096" s="363"/>
      <c r="D1096" s="2897" t="s">
        <v>5</v>
      </c>
      <c r="E1096" s="2"/>
      <c r="F1096" s="374"/>
      <c r="G1096" s="2"/>
      <c r="H1096" s="2"/>
      <c r="I1096" s="2"/>
      <c r="J1096" s="2"/>
      <c r="K1096" s="2"/>
      <c r="L1096" s="2"/>
      <c r="M1096" s="2"/>
      <c r="N1096" s="2"/>
      <c r="O1096" s="2"/>
      <c r="W1096" s="374"/>
      <c r="X1096" s="374"/>
      <c r="Y1096" s="374"/>
    </row>
    <row r="1097" spans="2:25" s="4" customFormat="1">
      <c r="B1097" s="363" t="s">
        <v>272</v>
      </c>
      <c r="C1097" s="363" t="s">
        <v>986</v>
      </c>
      <c r="D1097" s="2"/>
      <c r="E1097" s="2"/>
      <c r="F1097" s="374"/>
      <c r="G1097" s="2"/>
      <c r="H1097" s="2"/>
      <c r="I1097" s="2"/>
      <c r="J1097" s="2"/>
      <c r="K1097" s="2"/>
      <c r="L1097" s="2"/>
      <c r="M1097" s="2"/>
      <c r="N1097" s="2"/>
      <c r="O1097" s="2"/>
      <c r="W1097" s="374"/>
      <c r="X1097" s="374"/>
      <c r="Y1097" s="374"/>
    </row>
    <row r="1098" spans="2:25" s="4" customFormat="1">
      <c r="B1098" s="2"/>
      <c r="C1098" s="2"/>
      <c r="D1098" s="2"/>
      <c r="E1098" s="2"/>
      <c r="F1098" s="364">
        <v>2013</v>
      </c>
      <c r="G1098" s="364">
        <v>2015</v>
      </c>
      <c r="H1098" s="364">
        <v>2020</v>
      </c>
      <c r="I1098" s="364">
        <v>2025</v>
      </c>
      <c r="J1098" s="364">
        <v>2030</v>
      </c>
      <c r="K1098" s="364">
        <v>2035</v>
      </c>
      <c r="L1098" s="364">
        <v>2040</v>
      </c>
      <c r="M1098" s="364">
        <v>2045</v>
      </c>
      <c r="N1098" s="364">
        <v>2050</v>
      </c>
      <c r="O1098" s="2"/>
      <c r="W1098" s="374"/>
      <c r="X1098" s="374"/>
      <c r="Y1098" s="374"/>
    </row>
    <row r="1099" spans="2:25" s="4" customFormat="1">
      <c r="B1099" s="2"/>
      <c r="C1099" s="2" t="s">
        <v>285</v>
      </c>
      <c r="D1099" s="2"/>
      <c r="E1099" s="2" t="str">
        <f>Preferences.PowerUnits&amp;"th/degree"</f>
        <v>GWth/degree</v>
      </c>
      <c r="F1099" s="374">
        <f t="shared" ref="F1099:N1099" si="148">F804*F836*Unit.W</f>
        <v>0.41281029861616902</v>
      </c>
      <c r="G1099" s="374">
        <f t="shared" si="148"/>
        <v>0.40171272973587407</v>
      </c>
      <c r="H1099" s="374">
        <f t="shared" si="148"/>
        <v>0.40589352959986297</v>
      </c>
      <c r="I1099" s="374">
        <f t="shared" si="148"/>
        <v>0.41529272606787188</v>
      </c>
      <c r="J1099" s="374">
        <f t="shared" si="148"/>
        <v>0.42282234536299246</v>
      </c>
      <c r="K1099" s="374">
        <f t="shared" si="148"/>
        <v>0.43077408460361288</v>
      </c>
      <c r="L1099" s="374">
        <f t="shared" si="148"/>
        <v>0.43911531989932534</v>
      </c>
      <c r="M1099" s="374">
        <f t="shared" si="148"/>
        <v>0.44678892184346364</v>
      </c>
      <c r="N1099" s="374">
        <f t="shared" si="148"/>
        <v>0.45534613201812107</v>
      </c>
      <c r="O1099" s="374"/>
      <c r="W1099" s="374"/>
      <c r="X1099" s="374"/>
      <c r="Y1099" s="374"/>
    </row>
    <row r="1100" spans="2:25" s="4" customFormat="1">
      <c r="B1100" s="2"/>
      <c r="C1100" s="2"/>
      <c r="D1100" s="2"/>
      <c r="E1100" s="2"/>
      <c r="F1100" s="374"/>
      <c r="G1100" s="2"/>
      <c r="H1100" s="2"/>
      <c r="I1100" s="2"/>
      <c r="J1100" s="2"/>
      <c r="K1100" s="2"/>
      <c r="L1100" s="2"/>
      <c r="M1100" s="2"/>
      <c r="N1100" s="2"/>
      <c r="O1100" s="2"/>
      <c r="W1100" s="374"/>
      <c r="X1100" s="374"/>
      <c r="Y1100" s="374"/>
    </row>
    <row r="1101" spans="2:25" s="4" customFormat="1">
      <c r="B1101" s="2"/>
      <c r="C1101" s="363" t="s">
        <v>286</v>
      </c>
      <c r="D1101" s="2"/>
      <c r="E1101" s="2"/>
      <c r="F1101" s="364">
        <v>2013</v>
      </c>
      <c r="G1101" s="364">
        <v>2015</v>
      </c>
      <c r="H1101" s="364">
        <v>2020</v>
      </c>
      <c r="I1101" s="364">
        <v>2025</v>
      </c>
      <c r="J1101" s="364">
        <v>2030</v>
      </c>
      <c r="K1101" s="364">
        <v>2035</v>
      </c>
      <c r="L1101" s="364">
        <v>2040</v>
      </c>
      <c r="M1101" s="364">
        <v>2045</v>
      </c>
      <c r="N1101" s="364">
        <v>2050</v>
      </c>
      <c r="O1101" s="2"/>
      <c r="W1101" s="374"/>
      <c r="X1101" s="374"/>
      <c r="Y1101" s="374"/>
    </row>
    <row r="1102" spans="2:25" s="4" customFormat="1">
      <c r="B1102" s="367">
        <v>1</v>
      </c>
      <c r="C1102" s="2" t="s">
        <v>46</v>
      </c>
      <c r="D1102" s="2"/>
      <c r="E1102" s="2"/>
      <c r="F1102" s="2510">
        <f t="array" ref="F1102:F1114">F$1099*F$626:F$638</f>
        <v>7.0177750764748734E-2</v>
      </c>
      <c r="G1102" s="2510">
        <f t="array" ref="G1102:G1114">G$1099*G$626:G$638</f>
        <v>9.6411055136609775E-2</v>
      </c>
      <c r="H1102" s="2510">
        <f t="array" ref="H1102:H1114">H$1099*H$626:H$638</f>
        <v>8.3498097517686096E-2</v>
      </c>
      <c r="I1102" s="2510">
        <f t="array" ref="I1102:I1114">I$1099*I$626:I$638</f>
        <v>7.1193038754492316E-2</v>
      </c>
      <c r="J1102" s="2510">
        <f t="array" ref="J1102:J1114">J$1099*J$626:J$638</f>
        <v>5.7987064506924681E-2</v>
      </c>
      <c r="K1102" s="2510">
        <f t="array" ref="K1102:K1114">K$1099*K$626:K$638</f>
        <v>4.4308191559228757E-2</v>
      </c>
      <c r="L1102" s="2510">
        <f t="array" ref="L1102:L1114">L$1099*L$626:L$638</f>
        <v>3.0110764793096604E-2</v>
      </c>
      <c r="M1102" s="2510">
        <f t="array" ref="M1102:M1114">M$1099*M$626:M$638</f>
        <v>1.5318477320347332E-2</v>
      </c>
      <c r="N1102" s="2510">
        <f t="array" ref="N1102:N1114">N$1099*N$626:N$638</f>
        <v>0</v>
      </c>
      <c r="O1102" s="2"/>
      <c r="W1102" s="374"/>
      <c r="X1102" s="374"/>
      <c r="Y1102" s="374"/>
    </row>
    <row r="1103" spans="2:25" s="4" customFormat="1">
      <c r="B1103" s="367">
        <v>2</v>
      </c>
      <c r="C1103" s="2" t="s">
        <v>47</v>
      </c>
      <c r="D1103" s="2"/>
      <c r="E1103" s="2"/>
      <c r="F1103" s="2510">
        <v>6.4398406584122367E-2</v>
      </c>
      <c r="G1103" s="2510">
        <v>3.2137018378869925E-2</v>
      </c>
      <c r="H1103" s="2510">
        <v>8.0019010121115841E-2</v>
      </c>
      <c r="I1103" s="2510">
        <v>0.13052057104990258</v>
      </c>
      <c r="J1103" s="2510">
        <v>0.18241764042803391</v>
      </c>
      <c r="K1103" s="2510">
        <v>0.23631035498255337</v>
      </c>
      <c r="L1103" s="2510">
        <v>0.29232534153297945</v>
      </c>
      <c r="M1103" s="2510">
        <v>0.34977189881459725</v>
      </c>
      <c r="N1103" s="2510">
        <v>0.40981151881630895</v>
      </c>
      <c r="O1103" s="2"/>
      <c r="W1103" s="374"/>
      <c r="X1103" s="374"/>
      <c r="Y1103" s="374"/>
    </row>
    <row r="1104" spans="2:25" s="4" customFormat="1">
      <c r="B1104" s="367">
        <v>3</v>
      </c>
      <c r="C1104" s="2" t="s">
        <v>48</v>
      </c>
      <c r="D1104" s="2"/>
      <c r="E1104" s="2"/>
      <c r="F1104" s="2510">
        <v>1.4861170750182083E-2</v>
      </c>
      <c r="G1104" s="2510">
        <v>2.4102763784152444E-2</v>
      </c>
      <c r="H1104" s="2510">
        <v>2.6673003373705279E-2</v>
      </c>
      <c r="I1104" s="2510">
        <v>2.9663766147705134E-2</v>
      </c>
      <c r="J1104" s="2510">
        <v>3.2617723785145131E-2</v>
      </c>
      <c r="K1104" s="2510">
        <v>3.5692709867156495E-2</v>
      </c>
      <c r="L1104" s="2510">
        <v>3.8893071191083102E-2</v>
      </c>
      <c r="M1104" s="2510">
        <v>4.2125812630955141E-2</v>
      </c>
      <c r="N1104" s="2510">
        <v>4.553461320181211E-2</v>
      </c>
      <c r="O1104" s="2"/>
      <c r="W1104" s="374"/>
      <c r="X1104" s="374"/>
      <c r="Y1104" s="374"/>
    </row>
    <row r="1105" spans="2:25" s="4" customFormat="1">
      <c r="B1105" s="367">
        <v>4</v>
      </c>
      <c r="C1105" s="2" t="s">
        <v>49</v>
      </c>
      <c r="D1105" s="2"/>
      <c r="E1105" s="2"/>
      <c r="F1105" s="2510">
        <v>0.2555295748434086</v>
      </c>
      <c r="G1105" s="2510">
        <v>0.22094200135473077</v>
      </c>
      <c r="H1105" s="2510">
        <v>0.19134980681136399</v>
      </c>
      <c r="I1105" s="2510">
        <v>0.16315071381237825</v>
      </c>
      <c r="J1105" s="2510">
        <v>0.13288702282836909</v>
      </c>
      <c r="K1105" s="2510">
        <v>0.10153960565656592</v>
      </c>
      <c r="L1105" s="2510">
        <v>6.9003835984179723E-2</v>
      </c>
      <c r="M1105" s="2510">
        <v>3.5104843859129306E-2</v>
      </c>
      <c r="N1105" s="2510">
        <v>0</v>
      </c>
      <c r="O1105" s="2"/>
      <c r="W1105" s="374"/>
      <c r="X1105" s="374"/>
      <c r="Y1105" s="374"/>
    </row>
    <row r="1106" spans="2:25" s="4" customFormat="1">
      <c r="B1106" s="367">
        <v>5</v>
      </c>
      <c r="C1106" s="2" t="s">
        <v>50</v>
      </c>
      <c r="D1106" s="2"/>
      <c r="E1106" s="2"/>
      <c r="F1106" s="2510">
        <v>6.1921544792425355E-3</v>
      </c>
      <c r="G1106" s="2510">
        <v>4.0171272973587406E-3</v>
      </c>
      <c r="H1106" s="2510">
        <v>3.4790873965702541E-3</v>
      </c>
      <c r="I1106" s="2510">
        <v>2.9663766147705137E-3</v>
      </c>
      <c r="J1106" s="2510">
        <v>2.4161276877885285E-3</v>
      </c>
      <c r="K1106" s="2510">
        <v>1.8461746483011984E-3</v>
      </c>
      <c r="L1106" s="2510">
        <v>1.2546151997123588E-3</v>
      </c>
      <c r="M1106" s="2510">
        <v>6.3826988834780581E-4</v>
      </c>
      <c r="N1106" s="2510">
        <v>0</v>
      </c>
      <c r="O1106" s="2"/>
      <c r="W1106" s="374"/>
      <c r="X1106" s="374"/>
      <c r="Y1106" s="374"/>
    </row>
    <row r="1107" spans="2:25" s="4" customFormat="1">
      <c r="B1107" s="367">
        <v>6</v>
      </c>
      <c r="C1107" s="2" t="s">
        <v>51</v>
      </c>
      <c r="D1107" s="2"/>
      <c r="E1107" s="2"/>
      <c r="F1107" s="2510">
        <v>0</v>
      </c>
      <c r="G1107" s="2510">
        <v>0</v>
      </c>
      <c r="H1107" s="2510">
        <v>0</v>
      </c>
      <c r="I1107" s="2510">
        <v>0</v>
      </c>
      <c r="J1107" s="2510">
        <v>0</v>
      </c>
      <c r="K1107" s="2510">
        <v>0</v>
      </c>
      <c r="L1107" s="2510">
        <v>0</v>
      </c>
      <c r="M1107" s="2510">
        <v>0</v>
      </c>
      <c r="N1107" s="2510">
        <v>0</v>
      </c>
      <c r="O1107" s="2"/>
      <c r="W1107" s="374"/>
      <c r="X1107" s="374"/>
      <c r="Y1107" s="374"/>
    </row>
    <row r="1108" spans="2:25" s="4" customFormat="1">
      <c r="B1108" s="367">
        <v>7</v>
      </c>
      <c r="C1108" s="2" t="s">
        <v>52</v>
      </c>
      <c r="D1108" s="2"/>
      <c r="E1108" s="2"/>
      <c r="F1108" s="2510">
        <v>0</v>
      </c>
      <c r="G1108" s="2510">
        <v>0</v>
      </c>
      <c r="H1108" s="2510">
        <v>0</v>
      </c>
      <c r="I1108" s="2510">
        <v>0</v>
      </c>
      <c r="J1108" s="2510">
        <v>0</v>
      </c>
      <c r="K1108" s="2510">
        <v>0</v>
      </c>
      <c r="L1108" s="2510">
        <v>0</v>
      </c>
      <c r="M1108" s="2510">
        <v>0</v>
      </c>
      <c r="N1108" s="2510">
        <v>0</v>
      </c>
      <c r="O1108" s="2"/>
      <c r="W1108" s="374"/>
      <c r="X1108" s="374"/>
      <c r="Y1108" s="374"/>
    </row>
    <row r="1109" spans="2:25" s="4" customFormat="1">
      <c r="B1109" s="367">
        <v>8</v>
      </c>
      <c r="C1109" s="2" t="s">
        <v>53</v>
      </c>
      <c r="D1109" s="2"/>
      <c r="E1109" s="2"/>
      <c r="F1109" s="2510">
        <v>4.1281029861616901E-4</v>
      </c>
      <c r="G1109" s="2510">
        <v>0</v>
      </c>
      <c r="H1109" s="2510">
        <v>0</v>
      </c>
      <c r="I1109" s="2510">
        <v>0</v>
      </c>
      <c r="J1109" s="2510">
        <v>0</v>
      </c>
      <c r="K1109" s="2510">
        <v>0</v>
      </c>
      <c r="L1109" s="2510">
        <v>0</v>
      </c>
      <c r="M1109" s="2510">
        <v>0</v>
      </c>
      <c r="N1109" s="2510">
        <v>0</v>
      </c>
      <c r="O1109" s="2"/>
      <c r="W1109" s="374"/>
      <c r="X1109" s="374"/>
      <c r="Y1109" s="374"/>
    </row>
    <row r="1110" spans="2:25" s="4" customFormat="1">
      <c r="B1110" s="367">
        <v>9</v>
      </c>
      <c r="C1110" s="2" t="s">
        <v>54</v>
      </c>
      <c r="D1110" s="2"/>
      <c r="E1110" s="2"/>
      <c r="F1110" s="2510">
        <v>8.2562059723233802E-4</v>
      </c>
      <c r="G1110" s="2510">
        <v>4.0171272973587406E-3</v>
      </c>
      <c r="H1110" s="2510">
        <v>3.4790873965702541E-3</v>
      </c>
      <c r="I1110" s="2510">
        <v>2.9663766147705137E-3</v>
      </c>
      <c r="J1110" s="2510">
        <v>2.4161276877885285E-3</v>
      </c>
      <c r="K1110" s="2510">
        <v>1.8461746483011984E-3</v>
      </c>
      <c r="L1110" s="2510">
        <v>1.2546151997123588E-3</v>
      </c>
      <c r="M1110" s="2510">
        <v>6.3826988834780581E-4</v>
      </c>
      <c r="N1110" s="2510">
        <v>0</v>
      </c>
      <c r="O1110" s="2"/>
      <c r="W1110" s="374"/>
      <c r="X1110" s="374"/>
      <c r="Y1110" s="374"/>
    </row>
    <row r="1111" spans="2:25" s="4" customFormat="1">
      <c r="B1111" s="367">
        <v>10</v>
      </c>
      <c r="C1111" s="2" t="s">
        <v>55</v>
      </c>
      <c r="D1111" s="2"/>
      <c r="E1111" s="2"/>
      <c r="F1111" s="2510">
        <v>0</v>
      </c>
      <c r="G1111" s="2510">
        <v>0</v>
      </c>
      <c r="H1111" s="2510">
        <v>0</v>
      </c>
      <c r="I1111" s="2510">
        <v>0</v>
      </c>
      <c r="J1111" s="2510">
        <v>0</v>
      </c>
      <c r="K1111" s="2510">
        <v>0</v>
      </c>
      <c r="L1111" s="2510">
        <v>0</v>
      </c>
      <c r="M1111" s="2510">
        <v>0</v>
      </c>
      <c r="N1111" s="2510">
        <v>0</v>
      </c>
      <c r="O1111" s="2"/>
      <c r="W1111" s="374"/>
      <c r="X1111" s="374"/>
      <c r="Y1111" s="374"/>
    </row>
    <row r="1112" spans="2:25" s="4" customFormat="1">
      <c r="B1112" s="367">
        <v>11</v>
      </c>
      <c r="C1112" s="2" t="s">
        <v>56</v>
      </c>
      <c r="D1112" s="2"/>
      <c r="E1112" s="2"/>
      <c r="F1112" s="2510">
        <v>0</v>
      </c>
      <c r="G1112" s="2510">
        <v>0</v>
      </c>
      <c r="H1112" s="2510">
        <v>0</v>
      </c>
      <c r="I1112" s="2510">
        <v>0</v>
      </c>
      <c r="J1112" s="2510">
        <v>0</v>
      </c>
      <c r="K1112" s="2510">
        <v>0</v>
      </c>
      <c r="L1112" s="2510">
        <v>0</v>
      </c>
      <c r="M1112" s="2510">
        <v>0</v>
      </c>
      <c r="N1112" s="2510">
        <v>0</v>
      </c>
      <c r="O1112" s="2"/>
      <c r="W1112" s="374"/>
      <c r="X1112" s="374"/>
      <c r="Y1112" s="374"/>
    </row>
    <row r="1113" spans="2:25" s="4" customFormat="1">
      <c r="B1113" s="367">
        <v>12</v>
      </c>
      <c r="C1113" s="2" t="s">
        <v>57</v>
      </c>
      <c r="D1113" s="2"/>
      <c r="E1113" s="2"/>
      <c r="F1113" s="2510">
        <v>0</v>
      </c>
      <c r="G1113" s="2510">
        <v>0</v>
      </c>
      <c r="H1113" s="2510">
        <v>0</v>
      </c>
      <c r="I1113" s="2510">
        <v>0</v>
      </c>
      <c r="J1113" s="2510">
        <v>0</v>
      </c>
      <c r="K1113" s="2510">
        <v>0</v>
      </c>
      <c r="L1113" s="2510">
        <v>0</v>
      </c>
      <c r="M1113" s="2510">
        <v>0</v>
      </c>
      <c r="N1113" s="2510">
        <v>0</v>
      </c>
      <c r="O1113" s="2"/>
      <c r="W1113" s="374"/>
      <c r="X1113" s="374"/>
      <c r="Y1113" s="374"/>
    </row>
    <row r="1114" spans="2:25" s="4" customFormat="1">
      <c r="B1114" s="367">
        <v>13</v>
      </c>
      <c r="C1114" s="2" t="s">
        <v>58</v>
      </c>
      <c r="D1114" s="2"/>
      <c r="E1114" s="2"/>
      <c r="F1114" s="2510">
        <v>0</v>
      </c>
      <c r="G1114" s="2510">
        <v>0</v>
      </c>
      <c r="H1114" s="2510">
        <v>0</v>
      </c>
      <c r="I1114" s="2510">
        <v>0</v>
      </c>
      <c r="J1114" s="2510">
        <v>0</v>
      </c>
      <c r="K1114" s="2510">
        <v>0</v>
      </c>
      <c r="L1114" s="2510">
        <v>0</v>
      </c>
      <c r="M1114" s="2510">
        <v>0</v>
      </c>
      <c r="N1114" s="2510">
        <v>0</v>
      </c>
      <c r="O1114" s="2"/>
      <c r="W1114" s="374"/>
      <c r="X1114" s="374"/>
      <c r="Y1114" s="374"/>
    </row>
    <row r="1115" spans="2:25" s="4" customFormat="1">
      <c r="B1115" s="367"/>
      <c r="C1115" s="2"/>
      <c r="D1115" s="2"/>
      <c r="E1115" s="2" t="str">
        <f>Preferences.PowerUnits&amp;"th/degree"</f>
        <v>GWth/degree</v>
      </c>
      <c r="F1115" s="421">
        <f>SUM(F1102:F1114)</f>
        <v>0.41239748831755285</v>
      </c>
      <c r="G1115" s="421">
        <f t="shared" ref="G1115:N1115" si="149">SUM(G1102:G1114)</f>
        <v>0.3816270932490804</v>
      </c>
      <c r="H1115" s="421">
        <f t="shared" si="149"/>
        <v>0.38849809261701174</v>
      </c>
      <c r="I1115" s="421">
        <f t="shared" si="149"/>
        <v>0.40046084299401929</v>
      </c>
      <c r="J1115" s="421">
        <f t="shared" si="149"/>
        <v>0.41074170692404988</v>
      </c>
      <c r="K1115" s="421">
        <f t="shared" si="149"/>
        <v>0.42154321136210704</v>
      </c>
      <c r="L1115" s="421">
        <f t="shared" si="149"/>
        <v>0.43284224390076365</v>
      </c>
      <c r="M1115" s="421">
        <f t="shared" si="149"/>
        <v>0.4435975724017247</v>
      </c>
      <c r="N1115" s="421">
        <f t="shared" si="149"/>
        <v>0.45534613201812107</v>
      </c>
      <c r="O1115" s="2"/>
      <c r="W1115" s="374"/>
      <c r="X1115" s="374"/>
      <c r="Y1115" s="374"/>
    </row>
    <row r="1116" spans="2:25" s="4" customFormat="1">
      <c r="B1116" s="2"/>
      <c r="C1116" s="2"/>
      <c r="D1116" s="2"/>
      <c r="E1116" s="2"/>
      <c r="F1116" s="2"/>
      <c r="G1116" s="2"/>
      <c r="H1116" s="2"/>
      <c r="I1116" s="2"/>
      <c r="J1116" s="2"/>
      <c r="K1116" s="2"/>
      <c r="L1116" s="2"/>
      <c r="M1116" s="2"/>
      <c r="N1116" s="2"/>
      <c r="O1116" s="3611" t="s">
        <v>5</v>
      </c>
      <c r="W1116" s="374"/>
      <c r="X1116" s="374"/>
      <c r="Y1116" s="374"/>
    </row>
    <row r="1117" spans="2:25" s="4" customFormat="1">
      <c r="B1117" s="363"/>
      <c r="C1117" s="363" t="s">
        <v>279</v>
      </c>
      <c r="D1117" s="2"/>
      <c r="E1117" s="364"/>
      <c r="F1117" s="364">
        <v>2013</v>
      </c>
      <c r="G1117" s="364">
        <v>2015</v>
      </c>
      <c r="H1117" s="364">
        <v>2020</v>
      </c>
      <c r="I1117" s="364">
        <v>2025</v>
      </c>
      <c r="J1117" s="364">
        <v>2030</v>
      </c>
      <c r="K1117" s="364">
        <v>2035</v>
      </c>
      <c r="L1117" s="364">
        <v>2040</v>
      </c>
      <c r="M1117" s="364">
        <v>2045</v>
      </c>
      <c r="N1117" s="364">
        <v>2050</v>
      </c>
      <c r="O1117" s="2"/>
      <c r="W1117" s="374"/>
      <c r="X1117" s="374"/>
      <c r="Y1117" s="374"/>
    </row>
    <row r="1118" spans="2:25" s="4" customFormat="1">
      <c r="B1118" s="367" t="s">
        <v>96</v>
      </c>
      <c r="C1118" s="4" t="s">
        <v>86</v>
      </c>
      <c r="D1118" s="2"/>
      <c r="E1118" s="2"/>
      <c r="F1118" s="2437">
        <f t="array" ref="F1118">SUM(F$1102:F$1114/$M$167:$M$179*($B1118=$F$166:$N$166)*($F$167:$N$179))</f>
        <v>-1.5222553503179402E-2</v>
      </c>
      <c r="G1118" s="2437">
        <f t="array" ref="G1118">SUM(G$1102:G$1114/$M$167:$M$179*($B1118=$F$166:$N$166)*($F$167:$N$179))</f>
        <v>-2.5117189869344046E-2</v>
      </c>
      <c r="H1118" s="2437">
        <f t="array" ref="H1118">SUM(H$1102:H$1114/$M$167:$M$179*($B1118=$F$166:$N$166)*($F$167:$N$179))</f>
        <v>-2.7551560797081605E-2</v>
      </c>
      <c r="I1118" s="2437">
        <f t="array" ref="I1118">SUM(I$1102:I$1114/$M$167:$M$179*($B1118=$F$166:$N$166)*($F$167:$N$179))</f>
        <v>-3.041285115143506E-2</v>
      </c>
      <c r="J1118" s="2437">
        <f t="array" ref="J1118">SUM(J$1102:J$1114/$M$167:$M$179*($B1118=$F$166:$N$166)*($F$167:$N$179))</f>
        <v>-3.3227857039637182E-2</v>
      </c>
      <c r="K1118" s="2437">
        <f t="array" ref="K1118">SUM(K$1102:K$1114/$M$167:$M$179*($B1118=$F$166:$N$166)*($F$167:$N$179))</f>
        <v>-3.6158915586424478E-2</v>
      </c>
      <c r="L1118" s="2437">
        <f t="array" ref="L1118">SUM(L$1102:L$1114/$M$167:$M$179*($B1118=$F$166:$N$166)*($F$167:$N$179))</f>
        <v>-3.9209893211212488E-2</v>
      </c>
      <c r="M1118" s="2437">
        <f t="array" ref="M1118">SUM(M$1102:M$1114/$M$167:$M$179*($B1118=$F$166:$N$166)*($F$167:$N$179))</f>
        <v>-4.2286991895689435E-2</v>
      </c>
      <c r="N1118" s="2437">
        <f t="array" ref="N1118">SUM(N$1102:N$1114/$M$167:$M$179*($B1118=$F$166:$N$166)*($F$167:$N$179))</f>
        <v>-4.553461320181211E-2</v>
      </c>
      <c r="O1118" s="2"/>
      <c r="P1118" s="2510">
        <f t="array" ref="P1118">SUM(P$1102:P$1114/$M$167:$M$179*($B1119=$F$166:$N$166)*($F$167:$N$179))</f>
        <v>0</v>
      </c>
      <c r="W1118" s="374"/>
      <c r="X1118" s="374"/>
      <c r="Y1118" s="374"/>
    </row>
    <row r="1119" spans="2:25" s="4" customFormat="1">
      <c r="B1119" s="367" t="s">
        <v>97</v>
      </c>
      <c r="C1119" s="4" t="s">
        <v>87</v>
      </c>
      <c r="D1119" s="2"/>
      <c r="E1119" s="2"/>
      <c r="F1119" s="2510">
        <f t="array" ref="F1119">SUM(F$1102:F$1114/$M$167:$M$179*($B1119=$F$166:$N$166)*($F$167:$N$179))</f>
        <v>0</v>
      </c>
      <c r="G1119" s="2510">
        <f t="array" ref="G1119">SUM(G$1102:G$1114/$M$167:$M$179*($B1119=$F$166:$N$166)*($F$167:$N$179))</f>
        <v>0</v>
      </c>
      <c r="H1119" s="2510">
        <f t="array" ref="H1119">SUM(H$1102:H$1114/$M$167:$M$179*($B1119=$F$166:$N$166)*($F$167:$N$179))</f>
        <v>0</v>
      </c>
      <c r="I1119" s="2510">
        <f t="array" ref="I1119">SUM(I$1102:I$1114/$M$167:$M$179*($B1119=$F$166:$N$166)*($F$167:$N$179))</f>
        <v>0</v>
      </c>
      <c r="J1119" s="2510">
        <f t="array" ref="J1119">SUM(J$1102:J$1114/$M$167:$M$179*($B1119=$F$166:$N$166)*($F$167:$N$179))</f>
        <v>0</v>
      </c>
      <c r="K1119" s="2510">
        <f t="array" ref="K1119">SUM(K$1102:K$1114/$M$167:$M$179*($B1119=$F$166:$N$166)*($F$167:$N$179))</f>
        <v>0</v>
      </c>
      <c r="L1119" s="2510">
        <f t="array" ref="L1119">SUM(L$1102:L$1114/$M$167:$M$179*($B1119=$F$166:$N$166)*($F$167:$N$179))</f>
        <v>0</v>
      </c>
      <c r="M1119" s="2510">
        <f t="array" ref="M1119">SUM(M$1102:M$1114/$M$167:$M$179*($B1119=$F$166:$N$166)*($F$167:$N$179))</f>
        <v>0</v>
      </c>
      <c r="N1119" s="2510">
        <f t="array" ref="N1119">SUM(N$1102:N$1114/$M$167:$M$179*($B1119=$F$166:$N$166)*($F$167:$N$179))</f>
        <v>0</v>
      </c>
      <c r="O1119" s="2"/>
      <c r="W1119" s="374"/>
      <c r="X1119" s="374"/>
      <c r="Y1119" s="374"/>
    </row>
    <row r="1120" spans="2:25" s="4" customFormat="1">
      <c r="B1120" s="367" t="s">
        <v>98</v>
      </c>
      <c r="C1120" s="4" t="s">
        <v>88</v>
      </c>
      <c r="D1120" s="2"/>
      <c r="E1120" s="2"/>
      <c r="F1120" s="2510">
        <f t="array" ref="F1120">SUM(F$1102:F$1114/$M$167:$M$179*($B1120=$F$166:$N$166)*($F$167:$N$179))</f>
        <v>-7.1174189416580869E-3</v>
      </c>
      <c r="G1120" s="2510">
        <f t="array" ref="G1120">SUM(G$1102:G$1114/$M$167:$M$179*($B1120=$F$166:$N$166)*($F$167:$N$179))</f>
        <v>-4.6173876981134947E-3</v>
      </c>
      <c r="H1120" s="2510">
        <f t="array" ref="H1120">SUM(H$1102:H$1114/$M$167:$M$179*($B1120=$F$166:$N$166)*($F$167:$N$179))</f>
        <v>-3.9989510305405221E-3</v>
      </c>
      <c r="I1120" s="2510">
        <f t="array" ref="I1120">SUM(I$1102:I$1114/$M$167:$M$179*($B1120=$F$166:$N$166)*($F$167:$N$179))</f>
        <v>-3.409628292839671E-3</v>
      </c>
      <c r="J1120" s="2510">
        <f t="array" ref="J1120">SUM(J$1102:J$1114/$M$167:$M$179*($B1120=$F$166:$N$166)*($F$167:$N$179))</f>
        <v>-2.7771582618258948E-3</v>
      </c>
      <c r="K1120" s="2510">
        <f t="array" ref="K1120">SUM(K$1102:K$1114/$M$167:$M$179*($B1120=$F$166:$N$166)*($F$167:$N$179))</f>
        <v>-2.1220398256335616E-3</v>
      </c>
      <c r="L1120" s="2510">
        <f t="array" ref="L1120">SUM(L$1102:L$1114/$M$167:$M$179*($B1120=$F$166:$N$166)*($F$167:$N$179))</f>
        <v>-1.4420864364509871E-3</v>
      </c>
      <c r="M1120" s="2510">
        <f t="array" ref="M1120">SUM(M$1102:M$1114/$M$167:$M$179*($B1120=$F$166:$N$166)*($F$167:$N$179))</f>
        <v>-7.3364354982506414E-4</v>
      </c>
      <c r="N1120" s="2510">
        <f t="array" ref="N1120">SUM(N$1102:N$1114/$M$167:$M$179*($B1120=$F$166:$N$166)*($F$167:$N$179))</f>
        <v>0</v>
      </c>
      <c r="O1120" s="2"/>
      <c r="W1120" s="374"/>
      <c r="X1120" s="374"/>
      <c r="Y1120" s="374"/>
    </row>
    <row r="1121" spans="2:25" s="4" customFormat="1">
      <c r="B1121" s="367" t="s">
        <v>99</v>
      </c>
      <c r="C1121" s="4" t="s">
        <v>89</v>
      </c>
      <c r="D1121" s="2"/>
      <c r="E1121" s="2"/>
      <c r="F1121" s="2510">
        <f t="array" ref="F1121">SUM(F$1102:F$1114/$M$167:$M$179*($B1121=$F$166:$N$166)*($F$167:$N$179))</f>
        <v>-0.2634325513849573</v>
      </c>
      <c r="G1121" s="2510">
        <f t="array" ref="G1121">SUM(G$1102:G$1114/$M$167:$M$179*($B1121=$F$166:$N$166)*($F$167:$N$179))</f>
        <v>-0.22777525912858843</v>
      </c>
      <c r="H1121" s="2510">
        <f t="array" ref="H1121">SUM(H$1102:H$1114/$M$167:$M$179*($B1121=$F$166:$N$166)*($F$167:$N$179))</f>
        <v>-0.19726784207357112</v>
      </c>
      <c r="I1121" s="2510">
        <f t="array" ref="I1121">SUM(I$1102:I$1114/$M$167:$M$179*($B1121=$F$166:$N$166)*($F$167:$N$179))</f>
        <v>-0.16819661217770954</v>
      </c>
      <c r="J1121" s="2510">
        <f t="array" ref="J1121">SUM(J$1102:J$1114/$M$167:$M$179*($B1121=$F$166:$N$166)*($F$167:$N$179))</f>
        <v>-0.13699693075089597</v>
      </c>
      <c r="K1121" s="2510">
        <f t="array" ref="K1121">SUM(K$1102:K$1114/$M$167:$M$179*($B1121=$F$166:$N$166)*($F$167:$N$179))</f>
        <v>-0.10468000583151126</v>
      </c>
      <c r="L1121" s="2510">
        <f t="array" ref="L1121">SUM(L$1102:L$1114/$M$167:$M$179*($B1121=$F$166:$N$166)*($F$167:$N$179))</f>
        <v>-7.1137975241422402E-2</v>
      </c>
      <c r="M1121" s="2510">
        <f t="array" ref="M1121">SUM(M$1102:M$1114/$M$167:$M$179*($B1121=$F$166:$N$166)*($F$167:$N$179))</f>
        <v>-3.6190560679514747E-2</v>
      </c>
      <c r="N1121" s="2510">
        <f t="array" ref="N1121">SUM(N$1102:N$1114/$M$167:$M$179*($B1121=$F$166:$N$166)*($F$167:$N$179))</f>
        <v>0</v>
      </c>
      <c r="O1121" s="2"/>
      <c r="W1121" s="374"/>
      <c r="X1121" s="374"/>
      <c r="Y1121" s="374"/>
    </row>
    <row r="1122" spans="2:25" s="4" customFormat="1">
      <c r="B1122" s="367" t="s">
        <v>100</v>
      </c>
      <c r="C1122" s="4" t="s">
        <v>90</v>
      </c>
      <c r="D1122" s="2"/>
      <c r="E1122" s="2"/>
      <c r="F1122" s="2510">
        <f t="array" ref="F1122">SUM(F$1102:F$1114/$M$167:$M$179*($B1122=$F$166:$N$166)*($F$167:$N$179))</f>
        <v>-0.16310662550586225</v>
      </c>
      <c r="G1122" s="2510">
        <f t="array" ref="G1122">SUM(G$1102:G$1114/$M$167:$M$179*($B1122=$F$166:$N$166)*($F$167:$N$179))</f>
        <v>-0.16217205630748416</v>
      </c>
      <c r="H1122" s="2510">
        <f t="array" ref="H1122">SUM(H$1102:H$1114/$M$167:$M$179*($B1122=$F$166:$N$166)*($F$167:$N$179))</f>
        <v>-0.19779889594150141</v>
      </c>
      <c r="I1122" s="2510">
        <f t="array" ref="I1122">SUM(I$1102:I$1114/$M$167:$M$179*($B1122=$F$166:$N$166)*($F$167:$N$179))</f>
        <v>-0.23710424994868995</v>
      </c>
      <c r="J1122" s="2510">
        <f t="array" ref="J1122">SUM(J$1102:J$1114/$M$167:$M$179*($B1122=$F$166:$N$166)*($F$167:$N$179))</f>
        <v>-0.27675771461337079</v>
      </c>
      <c r="K1122" s="2510">
        <f t="array" ref="K1122">SUM(K$1102:K$1114/$M$167:$M$179*($B1122=$F$166:$N$166)*($F$167:$N$179))</f>
        <v>-0.31798196082365343</v>
      </c>
      <c r="L1122" s="2510">
        <f t="array" ref="L1122">SUM(L$1102:L$1114/$M$167:$M$179*($B1122=$F$166:$N$166)*($F$167:$N$179))</f>
        <v>-0.36085606640656781</v>
      </c>
      <c r="M1122" s="2510">
        <f t="array" ref="M1122">SUM(M$1102:M$1114/$M$167:$M$179*($B1122=$F$166:$N$166)*($F$167:$N$179))</f>
        <v>-0.4045206151830682</v>
      </c>
      <c r="N1122" s="2510">
        <f t="array" ref="N1122">SUM(N$1102:N$1114/$M$167:$M$179*($B1122=$F$166:$N$166)*($F$167:$N$179))</f>
        <v>-0.45034232836957028</v>
      </c>
      <c r="O1122" s="2"/>
      <c r="W1122" s="374"/>
      <c r="X1122" s="374"/>
      <c r="Y1122" s="374"/>
    </row>
    <row r="1123" spans="2:25" s="4" customFormat="1">
      <c r="B1123" s="367" t="s">
        <v>101</v>
      </c>
      <c r="C1123" s="4" t="s">
        <v>91</v>
      </c>
      <c r="D1123" s="2"/>
      <c r="E1123" s="2"/>
      <c r="F1123" s="2510">
        <f t="array" ref="F1123">SUM(F$1102:F$1114/$M$167:$M$179*($B1123=$F$166:$N$166)*($F$167:$N$179))</f>
        <v>0</v>
      </c>
      <c r="G1123" s="2510">
        <f t="array" ref="G1123">SUM(G$1102:G$1114/$M$167:$M$179*($B1123=$F$166:$N$166)*($F$167:$N$179))</f>
        <v>0</v>
      </c>
      <c r="H1123" s="2510">
        <f t="array" ref="H1123">SUM(H$1102:H$1114/$M$167:$M$179*($B1123=$F$166:$N$166)*($F$167:$N$179))</f>
        <v>0</v>
      </c>
      <c r="I1123" s="2510">
        <f t="array" ref="I1123">SUM(I$1102:I$1114/$M$167:$M$179*($B1123=$F$166:$N$166)*($F$167:$N$179))</f>
        <v>0</v>
      </c>
      <c r="J1123" s="2510">
        <f t="array" ref="J1123">SUM(J$1102:J$1114/$M$167:$M$179*($B1123=$F$166:$N$166)*($F$167:$N$179))</f>
        <v>0</v>
      </c>
      <c r="K1123" s="2510">
        <f t="array" ref="K1123">SUM(K$1102:K$1114/$M$167:$M$179*($B1123=$F$166:$N$166)*($F$167:$N$179))</f>
        <v>0</v>
      </c>
      <c r="L1123" s="2510">
        <f t="array" ref="L1123">SUM(L$1102:L$1114/$M$167:$M$179*($B1123=$F$166:$N$166)*($F$167:$N$179))</f>
        <v>0</v>
      </c>
      <c r="M1123" s="2510">
        <f t="array" ref="M1123">SUM(M$1102:M$1114/$M$167:$M$179*($B1123=$F$166:$N$166)*($F$167:$N$179))</f>
        <v>0</v>
      </c>
      <c r="N1123" s="2510">
        <f t="array" ref="N1123">SUM(N$1102:N$1114/$M$167:$M$179*($B1123=$F$166:$N$166)*($F$167:$N$179))</f>
        <v>0</v>
      </c>
      <c r="O1123" s="2"/>
      <c r="W1123" s="374"/>
      <c r="X1123" s="374"/>
      <c r="Y1123" s="374"/>
    </row>
    <row r="1124" spans="2:25" s="4" customFormat="1">
      <c r="B1124" s="367" t="s">
        <v>102</v>
      </c>
      <c r="C1124" s="4" t="s">
        <v>92</v>
      </c>
      <c r="D1124" s="2"/>
      <c r="E1124" s="2"/>
      <c r="F1124" s="2510">
        <f t="array" ref="F1124">SUM(F$1102:F$1114/$M$167:$M$179*($B1124=$F$166:$N$166)*($F$167:$N$179))</f>
        <v>-8.7704814285118732E-4</v>
      </c>
      <c r="G1124" s="2510">
        <f t="array" ref="G1124">SUM(G$1102:G$1114/$M$167:$M$179*($B1124=$F$166:$N$166)*($F$167:$N$179))</f>
        <v>-3.0027012121671393E-3</v>
      </c>
      <c r="H1124" s="2510">
        <f t="array" ref="H1124">SUM(H$1102:H$1114/$M$167:$M$179*($B1124=$F$166:$N$166)*($F$167:$N$179))</f>
        <v>-2.6005299731939272E-3</v>
      </c>
      <c r="I1124" s="2510">
        <f t="array" ref="I1124">SUM(I$1102:I$1114/$M$167:$M$179*($B1124=$F$166:$N$166)*($F$167:$N$179))</f>
        <v>-2.2172916110405859E-3</v>
      </c>
      <c r="J1124" s="2510">
        <f t="array" ref="J1124">SUM(J$1102:J$1114/$M$167:$M$179*($B1124=$F$166:$N$166)*($F$167:$N$179))</f>
        <v>-1.8059944332964757E-3</v>
      </c>
      <c r="K1124" s="2510">
        <f t="array" ref="K1124">SUM(K$1102:K$1114/$M$167:$M$179*($B1124=$F$166:$N$166)*($F$167:$N$179))</f>
        <v>-1.3799689290332189E-3</v>
      </c>
      <c r="L1124" s="2510">
        <f t="array" ref="L1124">SUM(L$1102:L$1114/$M$167:$M$179*($B1124=$F$166:$N$166)*($F$167:$N$179))</f>
        <v>-9.3779317958297525E-4</v>
      </c>
      <c r="M1124" s="2510">
        <f t="array" ref="M1124">SUM(M$1102:M$1114/$M$167:$M$179*($B1124=$F$166:$N$166)*($F$167:$N$179))</f>
        <v>-4.7709062361351142E-4</v>
      </c>
      <c r="N1124" s="2510">
        <f t="array" ref="N1124">SUM(N$1102:N$1114/$M$167:$M$179*($B1124=$F$166:$N$166)*($F$167:$N$179))</f>
        <v>0</v>
      </c>
      <c r="O1124" s="2"/>
      <c r="W1124" s="374"/>
      <c r="X1124" s="374"/>
      <c r="Y1124" s="374"/>
    </row>
    <row r="1125" spans="2:25" s="4" customFormat="1">
      <c r="B1125" s="367" t="s">
        <v>103</v>
      </c>
      <c r="C1125" s="4" t="s">
        <v>93</v>
      </c>
      <c r="D1125" s="2"/>
      <c r="E1125" s="3834" t="s">
        <v>5</v>
      </c>
      <c r="F1125" s="2510">
        <f t="array" ref="F1125">SUM(F$1102:F$1114/$M$167:$M$179*($B1125=$F$166:$N$166)*($F$167:$N$179))</f>
        <v>0.41239748831755285</v>
      </c>
      <c r="G1125" s="2510">
        <f t="array" ref="G1125">SUM(G$1102:G$1114/$M$167:$M$179*($B1125=$F$166:$N$166)*($F$167:$N$179))</f>
        <v>0.3816270932490804</v>
      </c>
      <c r="H1125" s="2510">
        <f t="array" ref="H1125">SUM(H$1102:H$1114/$M$167:$M$179*($B1125=$F$166:$N$166)*($F$167:$N$179))</f>
        <v>0.38849809261701174</v>
      </c>
      <c r="I1125" s="2510">
        <f t="array" ref="I1125">SUM(I$1102:I$1114/$M$167:$M$179*($B1125=$F$166:$N$166)*($F$167:$N$179))</f>
        <v>0.40046084299401929</v>
      </c>
      <c r="J1125" s="2510">
        <f t="array" ref="J1125">SUM(J$1102:J$1114/$M$167:$M$179*($B1125=$F$166:$N$166)*($F$167:$N$179))</f>
        <v>0.41074170692404988</v>
      </c>
      <c r="K1125" s="2510">
        <f t="array" ref="K1125">SUM(K$1102:K$1114/$M$167:$M$179*($B1125=$F$166:$N$166)*($F$167:$N$179))</f>
        <v>0.42154321136210704</v>
      </c>
      <c r="L1125" s="2510">
        <f t="array" ref="L1125">SUM(L$1102:L$1114/$M$167:$M$179*($B1125=$F$166:$N$166)*($F$167:$N$179))</f>
        <v>0.43284224390076365</v>
      </c>
      <c r="M1125" s="2510">
        <f t="array" ref="M1125">SUM(M$1102:M$1114/$M$167:$M$179*($B1125=$F$166:$N$166)*($F$167:$N$179))</f>
        <v>0.4435975724017247</v>
      </c>
      <c r="N1125" s="2510">
        <f t="array" ref="N1125">SUM(N$1102:N$1114/$M$167:$M$179*($B1125=$F$166:$N$166)*($F$167:$N$179))</f>
        <v>0.45534613201812107</v>
      </c>
      <c r="O1125" s="2"/>
      <c r="W1125" s="374"/>
      <c r="X1125" s="374"/>
      <c r="Y1125" s="374"/>
    </row>
    <row r="1126" spans="2:25" s="4" customFormat="1">
      <c r="B1126" s="367" t="s">
        <v>104</v>
      </c>
      <c r="C1126" s="4" t="s">
        <v>94</v>
      </c>
      <c r="D1126" s="2"/>
      <c r="E1126" s="2"/>
      <c r="F1126" s="2510">
        <f t="array" ref="F1126">SUM(F$1102:F$1114/$M$167:$M$179*($B1126=$F$166:$N$166)*($F$167:$N$179))</f>
        <v>3.735870916095544E-2</v>
      </c>
      <c r="G1126" s="2510">
        <f t="array" ref="G1126">SUM(G$1102:G$1114/$M$167:$M$179*($B1126=$F$166:$N$166)*($F$167:$N$179))</f>
        <v>4.105750096661686E-2</v>
      </c>
      <c r="H1126" s="2510">
        <f t="array" ref="H1126">SUM(H$1102:H$1114/$M$167:$M$179*($B1126=$F$166:$N$166)*($F$167:$N$179))</f>
        <v>4.0719687198876885E-2</v>
      </c>
      <c r="I1126" s="2510">
        <f t="array" ref="I1126">SUM(I$1102:I$1114/$M$167:$M$179*($B1126=$F$166:$N$166)*($F$167:$N$179))</f>
        <v>4.087979018769549E-2</v>
      </c>
      <c r="J1126" s="2510">
        <f t="array" ref="J1126">SUM(J$1102:J$1114/$M$167:$M$179*($B1126=$F$166:$N$166)*($F$167:$N$179))</f>
        <v>4.0823948174976428E-2</v>
      </c>
      <c r="K1126" s="2510">
        <f t="array" ref="K1126">SUM(K$1102:K$1114/$M$167:$M$179*($B1126=$F$166:$N$166)*($F$167:$N$179))</f>
        <v>4.0779679634149031E-2</v>
      </c>
      <c r="L1126" s="2510">
        <f t="array" ref="L1126">SUM(L$1102:L$1114/$M$167:$M$179*($B1126=$F$166:$N$166)*($F$167:$N$179))</f>
        <v>4.074157057447305E-2</v>
      </c>
      <c r="M1126" s="2510">
        <f t="array" ref="M1126">SUM(M$1102:M$1114/$M$167:$M$179*($B1126=$F$166:$N$166)*($F$167:$N$179))</f>
        <v>4.0611329529986334E-2</v>
      </c>
      <c r="N1126" s="2510">
        <f t="array" ref="N1126">SUM(N$1102:N$1114/$M$167:$M$179*($B1126=$F$166:$N$166)*($F$167:$N$179))</f>
        <v>4.0530809553261327E-2</v>
      </c>
      <c r="O1126" s="2510"/>
      <c r="W1126" s="374"/>
      <c r="X1126" s="374"/>
      <c r="Y1126" s="374"/>
    </row>
    <row r="1127" spans="2:25" s="4" customFormat="1">
      <c r="B1127" s="367"/>
      <c r="D1127" s="2"/>
      <c r="E1127" s="2" t="str">
        <f>Preferences.PowerUnits&amp;"/degree"</f>
        <v>GW/degree</v>
      </c>
      <c r="F1127" s="4127">
        <f>SUM(F1118:F1126)</f>
        <v>9.0205620750793969E-17</v>
      </c>
      <c r="G1127" s="421">
        <f t="shared" ref="G1127:N1127" si="150">SUM(G1118:G1126)</f>
        <v>0</v>
      </c>
      <c r="H1127" s="421">
        <f t="shared" si="150"/>
        <v>0</v>
      </c>
      <c r="I1127" s="421">
        <f t="shared" si="150"/>
        <v>0</v>
      </c>
      <c r="J1127" s="421">
        <f t="shared" si="150"/>
        <v>0</v>
      </c>
      <c r="K1127" s="421">
        <f t="shared" si="150"/>
        <v>1.1796119636642288E-16</v>
      </c>
      <c r="L1127" s="421">
        <f t="shared" si="150"/>
        <v>0</v>
      </c>
      <c r="M1127" s="421">
        <f t="shared" si="150"/>
        <v>8.3266726846886741E-17</v>
      </c>
      <c r="N1127" s="421">
        <f t="shared" si="150"/>
        <v>0</v>
      </c>
      <c r="O1127" s="2"/>
      <c r="W1127" s="374"/>
      <c r="X1127" s="374"/>
      <c r="Y1127" s="374"/>
    </row>
    <row r="1128" spans="2:25" s="4" customFormat="1">
      <c r="B1128" s="2"/>
      <c r="C1128" s="2"/>
      <c r="D1128" s="2"/>
      <c r="E1128" s="2"/>
      <c r="F1128" s="374"/>
      <c r="G1128" s="2"/>
      <c r="H1128" s="2"/>
      <c r="I1128" s="2"/>
      <c r="J1128" s="2"/>
      <c r="K1128" s="2"/>
      <c r="L1128" s="2"/>
      <c r="M1128" s="2"/>
      <c r="N1128" s="2"/>
      <c r="O1128" s="2"/>
      <c r="W1128" s="374"/>
      <c r="X1128" s="374"/>
      <c r="Y1128" s="374"/>
    </row>
    <row r="1129" spans="2:25" s="4" customFormat="1">
      <c r="B1129" s="2"/>
      <c r="C1129" s="2" t="s">
        <v>287</v>
      </c>
      <c r="D1129" s="2"/>
      <c r="E1129" s="420" t="str">
        <f>Preferences.PowerUnits&amp;"e/degree"</f>
        <v>GWe/degree</v>
      </c>
      <c r="F1129" s="1188">
        <f>-SUM(F1118:F1119)</f>
        <v>1.5222553503179402E-2</v>
      </c>
      <c r="G1129" s="374">
        <f t="shared" ref="G1129:N1129" si="151">-SUM(G1118:G1119)</f>
        <v>2.5117189869344046E-2</v>
      </c>
      <c r="H1129" s="374">
        <f t="shared" si="151"/>
        <v>2.7551560797081605E-2</v>
      </c>
      <c r="I1129" s="374">
        <f t="shared" si="151"/>
        <v>3.041285115143506E-2</v>
      </c>
      <c r="J1129" s="374">
        <f t="shared" si="151"/>
        <v>3.3227857039637182E-2</v>
      </c>
      <c r="K1129" s="374">
        <f t="shared" si="151"/>
        <v>3.6158915586424478E-2</v>
      </c>
      <c r="L1129" s="374">
        <f t="shared" si="151"/>
        <v>3.9209893211212488E-2</v>
      </c>
      <c r="M1129" s="374">
        <f t="shared" si="151"/>
        <v>4.2286991895689435E-2</v>
      </c>
      <c r="N1129" s="374">
        <f t="shared" si="151"/>
        <v>4.553461320181211E-2</v>
      </c>
      <c r="O1129" s="2"/>
      <c r="W1129" s="374"/>
      <c r="X1129" s="374"/>
      <c r="Y1129" s="374"/>
    </row>
    <row r="1130" spans="2:25" s="4" customFormat="1">
      <c r="B1130" s="2"/>
      <c r="C1130" s="2"/>
      <c r="D1130" s="2"/>
      <c r="E1130" s="2"/>
      <c r="F1130" s="374"/>
      <c r="G1130" s="2"/>
      <c r="H1130" s="2"/>
      <c r="I1130" s="2"/>
      <c r="J1130" s="2"/>
      <c r="K1130" s="2"/>
      <c r="L1130" s="2"/>
      <c r="M1130" s="2"/>
      <c r="N1130" s="2"/>
      <c r="O1130" s="2"/>
      <c r="W1130" s="374"/>
      <c r="X1130" s="374"/>
      <c r="Y1130" s="374"/>
    </row>
    <row r="1131" spans="2:25" s="4" customFormat="1">
      <c r="B1131" s="363">
        <v>9</v>
      </c>
      <c r="C1131" s="363" t="s">
        <v>2791</v>
      </c>
      <c r="D1131" s="2"/>
      <c r="E1131" s="2"/>
      <c r="F1131" s="413"/>
      <c r="G1131" s="413"/>
      <c r="H1131" s="413"/>
      <c r="I1131" s="413"/>
      <c r="J1131" s="413"/>
      <c r="K1131" s="413"/>
      <c r="L1131" s="413"/>
      <c r="M1131" s="413"/>
      <c r="N1131" s="423"/>
      <c r="O1131" s="2"/>
      <c r="W1131" s="374"/>
      <c r="X1131" s="374"/>
      <c r="Y1131" s="374"/>
    </row>
    <row r="1132" spans="2:25" s="4" customFormat="1" hidden="1">
      <c r="B1132" s="363"/>
      <c r="D1132" s="2"/>
      <c r="E1132" s="2"/>
      <c r="F1132" s="413"/>
      <c r="G1132" s="413"/>
      <c r="H1132" s="413"/>
      <c r="I1132" s="413"/>
      <c r="J1132" s="413"/>
      <c r="K1132" s="413"/>
      <c r="L1132" s="413"/>
      <c r="M1132" s="413"/>
      <c r="O1132" s="2"/>
      <c r="W1132" s="374"/>
      <c r="X1132" s="374"/>
      <c r="Y1132" s="374"/>
    </row>
    <row r="1133" spans="2:25" s="4" customFormat="1" hidden="1">
      <c r="B1133" s="363"/>
      <c r="C1133" s="363" t="s">
        <v>288</v>
      </c>
      <c r="D1133" s="2"/>
      <c r="E1133" s="2"/>
      <c r="F1133" s="364"/>
      <c r="G1133" s="364">
        <v>2015</v>
      </c>
      <c r="H1133" s="364">
        <v>2020</v>
      </c>
      <c r="I1133" s="364">
        <v>2025</v>
      </c>
      <c r="J1133" s="364">
        <v>2030</v>
      </c>
      <c r="K1133" s="364">
        <v>2035</v>
      </c>
      <c r="L1133" s="364">
        <v>2040</v>
      </c>
      <c r="M1133" s="364">
        <v>2045</v>
      </c>
      <c r="N1133" s="364">
        <v>2050</v>
      </c>
      <c r="O1133" s="2"/>
    </row>
    <row r="1134" spans="2:25" s="4" customFormat="1" hidden="1">
      <c r="B1134" s="363"/>
      <c r="C1134" s="206" t="s">
        <v>122</v>
      </c>
      <c r="D1134" s="2"/>
      <c r="E1134" s="2" t="s">
        <v>2812</v>
      </c>
      <c r="F1134" s="413"/>
      <c r="G1134" s="424">
        <v>192.44233600000007</v>
      </c>
      <c r="H1134" s="424">
        <v>148.20000000000005</v>
      </c>
      <c r="I1134" s="424">
        <v>148.20000000000007</v>
      </c>
      <c r="J1134" s="424">
        <v>148.19999999999999</v>
      </c>
      <c r="K1134" s="424">
        <v>148.19999999999999</v>
      </c>
      <c r="L1134" s="424">
        <v>148.20000000000016</v>
      </c>
      <c r="M1134" s="424">
        <v>148.19999999999999</v>
      </c>
      <c r="N1134" s="424">
        <v>148.19999999999999</v>
      </c>
      <c r="O1134" s="2"/>
    </row>
    <row r="1135" spans="2:25" s="4" customFormat="1" hidden="1">
      <c r="B1135" s="363"/>
      <c r="C1135" s="425" t="s">
        <v>123</v>
      </c>
      <c r="D1135" s="2"/>
      <c r="E1135" s="2" t="s">
        <v>2812</v>
      </c>
      <c r="F1135" s="413"/>
      <c r="G1135" s="424">
        <v>425.69387999999998</v>
      </c>
      <c r="H1135" s="424">
        <v>0</v>
      </c>
      <c r="I1135" s="424">
        <v>0</v>
      </c>
      <c r="J1135" s="424">
        <v>0</v>
      </c>
      <c r="K1135" s="424">
        <v>0</v>
      </c>
      <c r="L1135" s="424">
        <v>0</v>
      </c>
      <c r="M1135" s="424">
        <v>0</v>
      </c>
      <c r="N1135" s="424">
        <v>0</v>
      </c>
      <c r="O1135" s="2"/>
    </row>
    <row r="1136" spans="2:25" s="4" customFormat="1" hidden="1">
      <c r="B1136" s="363"/>
      <c r="C1136" s="425" t="s">
        <v>124</v>
      </c>
      <c r="D1136" s="2"/>
      <c r="E1136" s="2" t="s">
        <v>2812</v>
      </c>
      <c r="F1136" s="413"/>
      <c r="G1136" s="424">
        <v>107.51511627906976</v>
      </c>
      <c r="H1136" s="424">
        <v>107.51511627906977</v>
      </c>
      <c r="I1136" s="424">
        <v>107.51511627906979</v>
      </c>
      <c r="J1136" s="424">
        <v>107.51511627906973</v>
      </c>
      <c r="K1136" s="424">
        <v>107.51511627906973</v>
      </c>
      <c r="L1136" s="424">
        <v>107.51511627906984</v>
      </c>
      <c r="M1136" s="424">
        <v>107.51511627906973</v>
      </c>
      <c r="N1136" s="424">
        <v>107.51511627906973</v>
      </c>
      <c r="O1136" s="2"/>
    </row>
    <row r="1137" spans="2:25" s="4" customFormat="1" hidden="1">
      <c r="B1137" s="363"/>
      <c r="C1137" s="425" t="s">
        <v>125</v>
      </c>
      <c r="D1137" s="2"/>
      <c r="E1137" s="2" t="s">
        <v>2812</v>
      </c>
      <c r="F1137" s="413"/>
      <c r="G1137" s="424">
        <v>285.02046511627907</v>
      </c>
      <c r="H1137" s="424">
        <v>285.02046511627901</v>
      </c>
      <c r="I1137" s="424">
        <v>285.02046511627907</v>
      </c>
      <c r="J1137" s="424">
        <v>285.02046511627907</v>
      </c>
      <c r="K1137" s="424">
        <v>285.02046511627918</v>
      </c>
      <c r="L1137" s="424">
        <v>285.02046511627896</v>
      </c>
      <c r="M1137" s="424">
        <v>285.02046511627918</v>
      </c>
      <c r="N1137" s="424">
        <v>285.02046511627896</v>
      </c>
      <c r="O1137" s="2"/>
    </row>
    <row r="1138" spans="2:25" s="4" customFormat="1" hidden="1">
      <c r="B1138" s="363"/>
      <c r="C1138" s="425" t="s">
        <v>126</v>
      </c>
      <c r="D1138" s="2"/>
      <c r="E1138" s="2" t="s">
        <v>2812</v>
      </c>
      <c r="F1138" s="413"/>
      <c r="G1138" s="424">
        <v>158.36770559999999</v>
      </c>
      <c r="H1138" s="424">
        <v>12.389999999999999</v>
      </c>
      <c r="I1138" s="424">
        <v>12.389999999999999</v>
      </c>
      <c r="J1138" s="424">
        <v>12.389999999999999</v>
      </c>
      <c r="K1138" s="424">
        <v>12.389999999999999</v>
      </c>
      <c r="L1138" s="424">
        <v>12.389999999999999</v>
      </c>
      <c r="M1138" s="424">
        <v>12.389999999999999</v>
      </c>
      <c r="N1138" s="424">
        <v>12.389999999999999</v>
      </c>
      <c r="O1138" s="2"/>
    </row>
    <row r="1139" spans="2:25" s="4" customFormat="1" hidden="1">
      <c r="B1139" s="363"/>
      <c r="C1139" s="425" t="s">
        <v>127</v>
      </c>
      <c r="D1139" s="302"/>
      <c r="E1139" s="2" t="s">
        <v>2812</v>
      </c>
      <c r="F1139" s="426"/>
      <c r="G1139" s="424">
        <v>116.89663864791514</v>
      </c>
      <c r="H1139" s="424">
        <v>116.89663864791517</v>
      </c>
      <c r="I1139" s="424">
        <v>116.89663864791514</v>
      </c>
      <c r="J1139" s="424">
        <v>116.89663864791514</v>
      </c>
      <c r="K1139" s="424">
        <v>116.89663864791514</v>
      </c>
      <c r="L1139" s="424">
        <v>116.89663864791514</v>
      </c>
      <c r="M1139" s="424">
        <v>116.89663864791505</v>
      </c>
      <c r="N1139" s="424">
        <v>116.89663864791524</v>
      </c>
      <c r="O1139" s="2"/>
    </row>
    <row r="1140" spans="2:25" s="4" customFormat="1" hidden="1">
      <c r="B1140" s="363"/>
      <c r="C1140" s="427" t="s">
        <v>59</v>
      </c>
      <c r="D1140" s="428"/>
      <c r="E1140" s="428" t="s">
        <v>2812</v>
      </c>
      <c r="F1140" s="429"/>
      <c r="G1140" s="430">
        <v>1285.9361416432639</v>
      </c>
      <c r="H1140" s="430">
        <v>670.02222004326404</v>
      </c>
      <c r="I1140" s="430">
        <v>670.02222004326404</v>
      </c>
      <c r="J1140" s="430">
        <v>670.02222004326393</v>
      </c>
      <c r="K1140" s="430">
        <v>670.02222004326393</v>
      </c>
      <c r="L1140" s="430">
        <v>670.02222004326404</v>
      </c>
      <c r="M1140" s="430">
        <v>670.02222004326393</v>
      </c>
      <c r="N1140" s="430">
        <v>670.02222004326381</v>
      </c>
      <c r="O1140" s="2"/>
    </row>
    <row r="1141" spans="2:25" s="4" customFormat="1" hidden="1">
      <c r="B1141" s="363"/>
      <c r="C1141" s="425"/>
      <c r="D1141" s="302"/>
      <c r="E1141" s="302"/>
      <c r="F1141" s="426"/>
      <c r="G1141" s="431"/>
      <c r="H1141" s="431"/>
      <c r="I1141" s="431"/>
      <c r="J1141" s="431"/>
      <c r="K1141" s="431"/>
      <c r="L1141" s="431"/>
      <c r="M1141" s="431"/>
      <c r="N1141" s="431"/>
      <c r="O1141" s="2"/>
    </row>
    <row r="1142" spans="2:25" s="4" customFormat="1" hidden="1">
      <c r="B1142" s="363"/>
      <c r="C1142" s="432" t="s">
        <v>289</v>
      </c>
      <c r="D1142" s="302"/>
      <c r="E1142" s="302"/>
      <c r="F1142" s="433">
        <v>2013</v>
      </c>
      <c r="G1142" s="433">
        <v>2015</v>
      </c>
      <c r="H1142" s="433">
        <v>2020</v>
      </c>
      <c r="I1142" s="433">
        <v>2025</v>
      </c>
      <c r="J1142" s="433">
        <v>2030</v>
      </c>
      <c r="K1142" s="433">
        <v>2035</v>
      </c>
      <c r="L1142" s="433">
        <v>2040</v>
      </c>
      <c r="M1142" s="433">
        <v>2045</v>
      </c>
      <c r="N1142" s="433">
        <v>2050</v>
      </c>
      <c r="O1142" s="2"/>
    </row>
    <row r="1143" spans="2:25" s="4" customFormat="1" hidden="1">
      <c r="B1143" s="363"/>
      <c r="C1143" s="206" t="s">
        <v>122</v>
      </c>
      <c r="D1143" s="302"/>
      <c r="E1143" s="302" t="s">
        <v>2812</v>
      </c>
      <c r="F1143" s="426"/>
      <c r="G1143" s="431">
        <v>75.136301626774454</v>
      </c>
      <c r="H1143" s="431">
        <v>57.862527199253989</v>
      </c>
      <c r="I1143" s="431">
        <v>57.862527199254004</v>
      </c>
      <c r="J1143" s="431">
        <v>57.862527199253968</v>
      </c>
      <c r="K1143" s="431">
        <v>57.862527199253968</v>
      </c>
      <c r="L1143" s="431">
        <v>57.862527199254032</v>
      </c>
      <c r="M1143" s="431">
        <v>57.862527199253968</v>
      </c>
      <c r="N1143" s="431">
        <v>57.862527199253968</v>
      </c>
      <c r="O1143" s="2"/>
    </row>
    <row r="1144" spans="2:25" s="4" customFormat="1" hidden="1">
      <c r="B1144" s="363"/>
      <c r="C1144" s="425" t="s">
        <v>123</v>
      </c>
      <c r="D1144" s="302"/>
      <c r="E1144" s="302" t="s">
        <v>2812</v>
      </c>
      <c r="F1144" s="426"/>
      <c r="G1144" s="431">
        <v>106.52816029427001</v>
      </c>
      <c r="H1144" s="431">
        <v>0</v>
      </c>
      <c r="I1144" s="431">
        <v>0</v>
      </c>
      <c r="J1144" s="431">
        <v>0</v>
      </c>
      <c r="K1144" s="431">
        <v>0</v>
      </c>
      <c r="L1144" s="431">
        <v>0</v>
      </c>
      <c r="M1144" s="431">
        <v>0</v>
      </c>
      <c r="N1144" s="431">
        <v>0</v>
      </c>
      <c r="O1144" s="2"/>
    </row>
    <row r="1145" spans="2:25" s="4" customFormat="1" hidden="1">
      <c r="B1145" s="363"/>
      <c r="C1145" s="425" t="s">
        <v>124</v>
      </c>
      <c r="D1145" s="302"/>
      <c r="E1145" s="302" t="s">
        <v>2812</v>
      </c>
      <c r="F1145" s="426"/>
      <c r="G1145" s="431">
        <v>56.454265493634821</v>
      </c>
      <c r="H1145" s="431">
        <v>56.454265493634836</v>
      </c>
      <c r="I1145" s="431">
        <v>56.454265493634843</v>
      </c>
      <c r="J1145" s="431">
        <v>56.454265493634814</v>
      </c>
      <c r="K1145" s="431">
        <v>56.454265493634814</v>
      </c>
      <c r="L1145" s="431">
        <v>56.454265493634871</v>
      </c>
      <c r="M1145" s="431">
        <v>56.454265493634814</v>
      </c>
      <c r="N1145" s="431">
        <v>56.454265493634814</v>
      </c>
      <c r="O1145" s="2"/>
    </row>
    <row r="1146" spans="2:25" s="4" customFormat="1" hidden="1">
      <c r="B1146" s="363"/>
      <c r="C1146" s="425" t="s">
        <v>125</v>
      </c>
      <c r="D1146" s="302"/>
      <c r="E1146" s="302" t="s">
        <v>2812</v>
      </c>
      <c r="F1146" s="426"/>
      <c r="G1146" s="431">
        <v>142.53252464499403</v>
      </c>
      <c r="H1146" s="431">
        <v>142.532524644994</v>
      </c>
      <c r="I1146" s="431">
        <v>142.53252464499403</v>
      </c>
      <c r="J1146" s="431">
        <v>142.53252464499403</v>
      </c>
      <c r="K1146" s="431">
        <v>142.53252464499408</v>
      </c>
      <c r="L1146" s="431">
        <v>142.53252464499397</v>
      </c>
      <c r="M1146" s="431">
        <v>142.53252464499408</v>
      </c>
      <c r="N1146" s="431">
        <v>142.53252464499397</v>
      </c>
      <c r="O1146" s="2"/>
    </row>
    <row r="1147" spans="2:25" s="4" customFormat="1" hidden="1">
      <c r="B1147" s="363"/>
      <c r="C1147" s="425" t="s">
        <v>126</v>
      </c>
      <c r="D1147" s="302"/>
      <c r="E1147" s="302" t="s">
        <v>2812</v>
      </c>
      <c r="F1147" s="426"/>
      <c r="G1147" s="431">
        <v>158.36770559999999</v>
      </c>
      <c r="H1147" s="431">
        <v>12.389999999999999</v>
      </c>
      <c r="I1147" s="431">
        <v>12.389999999999999</v>
      </c>
      <c r="J1147" s="431">
        <v>12.389999999999999</v>
      </c>
      <c r="K1147" s="431">
        <v>12.389999999999999</v>
      </c>
      <c r="L1147" s="431">
        <v>12.389999999999999</v>
      </c>
      <c r="M1147" s="431">
        <v>12.389999999999999</v>
      </c>
      <c r="N1147" s="431">
        <v>12.389999999999999</v>
      </c>
      <c r="O1147" s="2"/>
    </row>
    <row r="1148" spans="2:25" s="4" customFormat="1" hidden="1">
      <c r="B1148" s="363"/>
      <c r="C1148" s="434" t="s">
        <v>127</v>
      </c>
      <c r="D1148" s="435"/>
      <c r="E1148" s="435" t="s">
        <v>2812</v>
      </c>
      <c r="F1148" s="436"/>
      <c r="G1148" s="437">
        <v>42.433479829193196</v>
      </c>
      <c r="H1148" s="437">
        <v>42.433479829193203</v>
      </c>
      <c r="I1148" s="437">
        <v>42.433479829193196</v>
      </c>
      <c r="J1148" s="437">
        <v>42.433479829193196</v>
      </c>
      <c r="K1148" s="437">
        <v>42.433479829193196</v>
      </c>
      <c r="L1148" s="437">
        <v>42.433479829193196</v>
      </c>
      <c r="M1148" s="437">
        <v>42.433479829193161</v>
      </c>
      <c r="N1148" s="437">
        <v>42.433479829193232</v>
      </c>
      <c r="O1148" s="2"/>
    </row>
    <row r="1149" spans="2:25" s="4" customFormat="1" hidden="1">
      <c r="B1149" s="363"/>
      <c r="C1149" s="427" t="s">
        <v>59</v>
      </c>
      <c r="D1149" s="428"/>
      <c r="E1149" s="428" t="s">
        <v>2812</v>
      </c>
      <c r="F1149" s="429"/>
      <c r="G1149" s="430">
        <v>581.45243748886651</v>
      </c>
      <c r="H1149" s="430">
        <v>311.67279716707606</v>
      </c>
      <c r="I1149" s="430">
        <v>311.67279716707606</v>
      </c>
      <c r="J1149" s="430">
        <v>311.67279716707594</v>
      </c>
      <c r="K1149" s="430">
        <v>311.67279716707606</v>
      </c>
      <c r="L1149" s="430">
        <v>311.67279716707606</v>
      </c>
      <c r="M1149" s="430">
        <v>311.67279716707606</v>
      </c>
      <c r="N1149" s="430">
        <v>311.672797167076</v>
      </c>
      <c r="O1149" s="2"/>
      <c r="W1149" s="374"/>
      <c r="X1149" s="374"/>
      <c r="Y1149" s="374"/>
    </row>
    <row r="1150" spans="2:25" s="4" customFormat="1" hidden="1">
      <c r="B1150" s="363"/>
      <c r="C1150" s="425"/>
      <c r="D1150" s="302"/>
      <c r="E1150" s="302"/>
      <c r="F1150" s="426"/>
      <c r="G1150" s="431"/>
      <c r="H1150" s="431"/>
      <c r="I1150" s="431"/>
      <c r="J1150" s="431"/>
      <c r="K1150" s="431"/>
      <c r="L1150" s="431"/>
      <c r="M1150" s="431"/>
      <c r="N1150" s="431"/>
      <c r="O1150" s="2"/>
      <c r="W1150" s="374"/>
      <c r="X1150" s="374"/>
      <c r="Y1150" s="374"/>
    </row>
    <row r="1151" spans="2:25" s="4" customFormat="1" hidden="1">
      <c r="B1151" s="363"/>
      <c r="C1151" s="432" t="s">
        <v>290</v>
      </c>
      <c r="D1151" s="302"/>
      <c r="E1151" s="302"/>
      <c r="F1151" s="433">
        <v>2013</v>
      </c>
      <c r="G1151" s="433">
        <v>2015</v>
      </c>
      <c r="H1151" s="433">
        <v>2020</v>
      </c>
      <c r="I1151" s="433">
        <v>2025</v>
      </c>
      <c r="J1151" s="433">
        <v>2030</v>
      </c>
      <c r="K1151" s="433">
        <v>2035</v>
      </c>
      <c r="L1151" s="433">
        <v>2040</v>
      </c>
      <c r="M1151" s="433">
        <v>2045</v>
      </c>
      <c r="N1151" s="433">
        <v>2050</v>
      </c>
      <c r="O1151" s="2"/>
      <c r="W1151" s="374"/>
      <c r="X1151" s="374"/>
      <c r="Y1151" s="374"/>
    </row>
    <row r="1152" spans="2:25" s="4" customFormat="1" hidden="1">
      <c r="B1152" s="363"/>
      <c r="C1152" s="206" t="s">
        <v>122</v>
      </c>
      <c r="D1152" s="302"/>
      <c r="E1152" s="302" t="s">
        <v>2812</v>
      </c>
      <c r="F1152" s="426"/>
      <c r="G1152" s="431">
        <v>42.930344316651016</v>
      </c>
      <c r="H1152" s="431">
        <v>33.060693192415215</v>
      </c>
      <c r="I1152" s="431">
        <v>33.060693192415215</v>
      </c>
      <c r="J1152" s="431">
        <v>33.060693192415201</v>
      </c>
      <c r="K1152" s="431">
        <v>33.060693192415201</v>
      </c>
      <c r="L1152" s="431">
        <v>33.060693192415236</v>
      </c>
      <c r="M1152" s="431">
        <v>33.060693192415201</v>
      </c>
      <c r="N1152" s="431">
        <v>33.060693192415201</v>
      </c>
      <c r="O1152" s="2"/>
    </row>
    <row r="1153" spans="2:19" s="4" customFormat="1" hidden="1">
      <c r="B1153" s="363"/>
      <c r="C1153" s="425" t="s">
        <v>123</v>
      </c>
      <c r="D1153" s="302"/>
      <c r="E1153" s="302" t="s">
        <v>2812</v>
      </c>
      <c r="F1153" s="426"/>
      <c r="G1153" s="431">
        <v>93.637872562499993</v>
      </c>
      <c r="H1153" s="431">
        <v>0</v>
      </c>
      <c r="I1153" s="431">
        <v>0</v>
      </c>
      <c r="J1153" s="431">
        <v>0</v>
      </c>
      <c r="K1153" s="431">
        <v>0</v>
      </c>
      <c r="L1153" s="431">
        <v>0</v>
      </c>
      <c r="M1153" s="431">
        <v>0</v>
      </c>
      <c r="N1153" s="431">
        <v>0</v>
      </c>
      <c r="O1153" s="2"/>
    </row>
    <row r="1154" spans="2:19" s="4" customFormat="1" hidden="1">
      <c r="B1154" s="363"/>
      <c r="C1154" s="425" t="s">
        <v>124</v>
      </c>
      <c r="D1154" s="302"/>
      <c r="E1154" s="302" t="s">
        <v>2812</v>
      </c>
      <c r="F1154" s="426"/>
      <c r="G1154" s="431">
        <v>5.3765967136795068</v>
      </c>
      <c r="H1154" s="431">
        <v>5.3765967136795076</v>
      </c>
      <c r="I1154" s="431">
        <v>5.3765967136795085</v>
      </c>
      <c r="J1154" s="431">
        <v>5.3765967136795059</v>
      </c>
      <c r="K1154" s="431">
        <v>5.3765967136795059</v>
      </c>
      <c r="L1154" s="431">
        <v>5.3765967136795112</v>
      </c>
      <c r="M1154" s="431">
        <v>5.3765967136795059</v>
      </c>
      <c r="N1154" s="431">
        <v>5.3765967136795059</v>
      </c>
      <c r="O1154" s="2"/>
    </row>
    <row r="1155" spans="2:19" s="4" customFormat="1" hidden="1">
      <c r="B1155" s="363"/>
      <c r="C1155" s="425" t="s">
        <v>125</v>
      </c>
      <c r="D1155" s="302"/>
      <c r="E1155" s="302" t="s">
        <v>2812</v>
      </c>
      <c r="F1155" s="426"/>
      <c r="G1155" s="431">
        <v>0</v>
      </c>
      <c r="H1155" s="431">
        <v>0</v>
      </c>
      <c r="I1155" s="431">
        <v>0</v>
      </c>
      <c r="J1155" s="431">
        <v>0</v>
      </c>
      <c r="K1155" s="431">
        <v>0</v>
      </c>
      <c r="L1155" s="431">
        <v>0</v>
      </c>
      <c r="M1155" s="431">
        <v>0</v>
      </c>
      <c r="N1155" s="431">
        <v>0</v>
      </c>
      <c r="O1155" s="2"/>
    </row>
    <row r="1156" spans="2:19" s="4" customFormat="1" hidden="1">
      <c r="B1156" s="363"/>
      <c r="C1156" s="425" t="s">
        <v>126</v>
      </c>
      <c r="D1156" s="302"/>
      <c r="E1156" s="302" t="s">
        <v>2812</v>
      </c>
      <c r="F1156" s="426"/>
      <c r="G1156" s="431">
        <v>57.2628992</v>
      </c>
      <c r="H1156" s="431">
        <v>4.4799999999999995</v>
      </c>
      <c r="I1156" s="431">
        <v>4.4799999999999995</v>
      </c>
      <c r="J1156" s="431">
        <v>4.4799999999999995</v>
      </c>
      <c r="K1156" s="431">
        <v>4.4799999999999995</v>
      </c>
      <c r="L1156" s="431">
        <v>4.4799999999999995</v>
      </c>
      <c r="M1156" s="431">
        <v>4.4799999999999995</v>
      </c>
      <c r="N1156" s="431">
        <v>4.4799999999999995</v>
      </c>
      <c r="O1156" s="2"/>
    </row>
    <row r="1157" spans="2:19" s="4" customFormat="1" hidden="1">
      <c r="B1157" s="363"/>
      <c r="C1157" s="434" t="s">
        <v>127</v>
      </c>
      <c r="D1157" s="435"/>
      <c r="E1157" s="435" t="s">
        <v>2812</v>
      </c>
      <c r="F1157" s="436"/>
      <c r="G1157" s="437">
        <v>2.3379327729583026</v>
      </c>
      <c r="H1157" s="437">
        <v>2.337932772958303</v>
      </c>
      <c r="I1157" s="437">
        <v>2.3379327729583026</v>
      </c>
      <c r="J1157" s="437">
        <v>2.3379327729583026</v>
      </c>
      <c r="K1157" s="437">
        <v>2.3379327729583026</v>
      </c>
      <c r="L1157" s="437">
        <v>2.3379327729583026</v>
      </c>
      <c r="M1157" s="437">
        <v>2.3379327729583008</v>
      </c>
      <c r="N1157" s="437">
        <v>2.3379327729583048</v>
      </c>
      <c r="O1157" s="2"/>
    </row>
    <row r="1158" spans="2:19" hidden="1">
      <c r="B1158" s="363"/>
      <c r="C1158" s="425" t="s">
        <v>59</v>
      </c>
      <c r="E1158" s="2" t="s">
        <v>2812</v>
      </c>
      <c r="F1158" s="413"/>
      <c r="G1158" s="424">
        <v>201.54564556578882</v>
      </c>
      <c r="H1158" s="424">
        <v>45.25522267905302</v>
      </c>
      <c r="I1158" s="424">
        <v>45.255222679053027</v>
      </c>
      <c r="J1158" s="424">
        <v>45.255222679053006</v>
      </c>
      <c r="K1158" s="424">
        <v>45.255222679053006</v>
      </c>
      <c r="L1158" s="424">
        <v>45.255222679053048</v>
      </c>
      <c r="M1158" s="424">
        <v>45.255222679053006</v>
      </c>
      <c r="N1158" s="424">
        <v>45.255222679053006</v>
      </c>
    </row>
    <row r="1159" spans="2:19" hidden="1">
      <c r="B1159" s="363"/>
      <c r="C1159" s="425"/>
      <c r="F1159" s="413"/>
      <c r="G1159" s="424"/>
      <c r="H1159" s="424"/>
      <c r="I1159" s="424"/>
      <c r="J1159" s="424"/>
      <c r="K1159" s="424"/>
      <c r="L1159" s="424"/>
      <c r="M1159" s="424"/>
      <c r="N1159" s="424"/>
    </row>
    <row r="1160" spans="2:19" hidden="1">
      <c r="B1160" s="363"/>
      <c r="C1160" s="438" t="s">
        <v>291</v>
      </c>
      <c r="F1160" s="413"/>
      <c r="G1160" s="424"/>
      <c r="H1160" s="424"/>
      <c r="I1160" s="424"/>
      <c r="J1160" s="424"/>
      <c r="K1160" s="424"/>
      <c r="L1160" s="424"/>
      <c r="M1160" s="424"/>
      <c r="N1160" s="424"/>
      <c r="Q1160" s="439"/>
    </row>
    <row r="1161" spans="2:19" hidden="1">
      <c r="B1161" s="363"/>
      <c r="C1161" s="425" t="s">
        <v>22</v>
      </c>
      <c r="E1161" s="2" t="s">
        <v>2812</v>
      </c>
      <c r="F1161" s="424">
        <v>0</v>
      </c>
      <c r="G1161" s="424">
        <v>0</v>
      </c>
      <c r="H1161" s="424">
        <v>0</v>
      </c>
      <c r="I1161" s="424">
        <v>0</v>
      </c>
      <c r="J1161" s="424">
        <v>0</v>
      </c>
      <c r="K1161" s="424">
        <v>0</v>
      </c>
      <c r="L1161" s="424">
        <v>0</v>
      </c>
      <c r="M1161" s="424">
        <v>0</v>
      </c>
      <c r="N1161" s="424">
        <v>0</v>
      </c>
      <c r="Q1161" s="439"/>
    </row>
    <row r="1162" spans="2:19" hidden="1">
      <c r="B1162" s="363"/>
      <c r="C1162" s="425" t="s">
        <v>161</v>
      </c>
      <c r="F1162" s="424"/>
      <c r="G1162" s="440">
        <v>0</v>
      </c>
      <c r="H1162" s="440">
        <v>0</v>
      </c>
      <c r="I1162" s="440">
        <v>0</v>
      </c>
      <c r="J1162" s="440">
        <v>0</v>
      </c>
      <c r="K1162" s="440">
        <v>0</v>
      </c>
      <c r="L1162" s="440">
        <v>0</v>
      </c>
      <c r="M1162" s="440">
        <v>0</v>
      </c>
      <c r="N1162" s="440">
        <v>0</v>
      </c>
      <c r="O1162" s="39"/>
      <c r="Q1162" s="441"/>
    </row>
    <row r="1163" spans="2:19" hidden="1">
      <c r="B1163" s="363"/>
      <c r="C1163" s="425" t="s">
        <v>20</v>
      </c>
      <c r="E1163" s="2" t="s">
        <v>2812</v>
      </c>
      <c r="F1163" s="424">
        <v>0</v>
      </c>
      <c r="G1163" s="424">
        <v>0</v>
      </c>
      <c r="H1163" s="424">
        <v>0</v>
      </c>
      <c r="I1163" s="424">
        <v>0</v>
      </c>
      <c r="J1163" s="424">
        <v>0</v>
      </c>
      <c r="K1163" s="424">
        <v>0</v>
      </c>
      <c r="L1163" s="424">
        <v>0</v>
      </c>
      <c r="M1163" s="424">
        <v>0</v>
      </c>
      <c r="N1163" s="424">
        <v>0</v>
      </c>
      <c r="Q1163" s="439"/>
      <c r="S1163"/>
    </row>
    <row r="1164" spans="2:19" hidden="1">
      <c r="B1164" s="363"/>
      <c r="C1164" s="425"/>
      <c r="F1164" s="424"/>
      <c r="G1164" s="424"/>
      <c r="H1164" s="424"/>
      <c r="I1164" s="424"/>
      <c r="J1164" s="424"/>
      <c r="K1164" s="424"/>
      <c r="L1164" s="424"/>
      <c r="M1164" s="424"/>
      <c r="N1164" s="424"/>
      <c r="Q1164" s="439"/>
    </row>
    <row r="1165" spans="2:19" hidden="1">
      <c r="B1165" s="363"/>
      <c r="C1165" s="438" t="s">
        <v>292</v>
      </c>
      <c r="F1165" s="424"/>
      <c r="G1165" s="424"/>
      <c r="H1165" s="424"/>
      <c r="I1165" s="424"/>
      <c r="J1165" s="424"/>
      <c r="K1165" s="424"/>
      <c r="L1165" s="424"/>
      <c r="M1165" s="424"/>
      <c r="N1165" s="424"/>
      <c r="Q1165" s="439"/>
    </row>
    <row r="1166" spans="2:19" hidden="1">
      <c r="B1166" s="363"/>
      <c r="C1166" s="425"/>
      <c r="F1166" s="424"/>
      <c r="G1166" s="424"/>
      <c r="H1166" s="424"/>
      <c r="I1166" s="424"/>
      <c r="J1166" s="424"/>
      <c r="K1166" s="424"/>
      <c r="L1166" s="424"/>
      <c r="M1166" s="424"/>
      <c r="N1166" s="424"/>
      <c r="Q1166" s="439"/>
    </row>
    <row r="1167" spans="2:19" hidden="1">
      <c r="B1167" s="2" t="s">
        <v>293</v>
      </c>
      <c r="F1167" s="383"/>
      <c r="G1167" s="383"/>
      <c r="H1167" s="383"/>
      <c r="I1167" s="383"/>
      <c r="J1167" s="383"/>
      <c r="K1167" s="383"/>
      <c r="L1167" s="383"/>
      <c r="M1167" s="383"/>
      <c r="N1167" s="383"/>
      <c r="O1167" s="383"/>
    </row>
    <row r="1168" spans="2:19" hidden="1">
      <c r="C1168" s="2" t="s">
        <v>169</v>
      </c>
      <c r="E1168" s="2" t="s">
        <v>2812</v>
      </c>
      <c r="F1168" s="383">
        <v>0</v>
      </c>
      <c r="G1168" s="383">
        <v>6807.8135979346498</v>
      </c>
      <c r="H1168" s="383">
        <v>7344.8465794510748</v>
      </c>
      <c r="I1168" s="383">
        <v>7526.0368988371656</v>
      </c>
      <c r="J1168" s="383">
        <v>7668.7848456542488</v>
      </c>
      <c r="K1168" s="383">
        <v>8098.7664792009136</v>
      </c>
      <c r="L1168" s="383">
        <v>8412.6224944498244</v>
      </c>
      <c r="M1168" s="383">
        <v>9302.7821283153498</v>
      </c>
      <c r="N1168" s="383">
        <v>10451.069836514764</v>
      </c>
      <c r="O1168" s="383"/>
    </row>
    <row r="1169" spans="1:30" hidden="1">
      <c r="C1169" s="2" t="s">
        <v>173</v>
      </c>
      <c r="E1169" s="2" t="s">
        <v>2812</v>
      </c>
      <c r="F1169" s="383">
        <v>5354.3585599999988</v>
      </c>
      <c r="G1169" s="383">
        <v>5600.1308904657362</v>
      </c>
      <c r="H1169" s="383">
        <v>5837.471193786715</v>
      </c>
      <c r="I1169" s="383">
        <v>6047.8261750269785</v>
      </c>
      <c r="J1169" s="383">
        <v>6229.179629924527</v>
      </c>
      <c r="K1169" s="383">
        <v>6472.6439667352133</v>
      </c>
      <c r="L1169" s="383">
        <v>6724.7380771402695</v>
      </c>
      <c r="M1169" s="383">
        <v>6985.7088711640799</v>
      </c>
      <c r="N1169" s="383">
        <v>7255.8059937280113</v>
      </c>
      <c r="O1169" s="383"/>
    </row>
    <row r="1170" spans="1:30" hidden="1">
      <c r="C1170" s="2" t="s">
        <v>294</v>
      </c>
      <c r="E1170" s="2" t="s">
        <v>2812</v>
      </c>
      <c r="F1170" s="383">
        <v>5354.3585599999988</v>
      </c>
      <c r="G1170" s="383">
        <v>12407.944488400386</v>
      </c>
      <c r="H1170" s="383">
        <v>13182.31777323779</v>
      </c>
      <c r="I1170" s="383">
        <v>13573.863073864144</v>
      </c>
      <c r="J1170" s="383">
        <v>13897.964475578776</v>
      </c>
      <c r="K1170" s="383">
        <v>14571.410445936126</v>
      </c>
      <c r="L1170" s="383">
        <v>15137.360571590094</v>
      </c>
      <c r="M1170" s="383">
        <v>16288.490999479429</v>
      </c>
      <c r="N1170" s="383">
        <v>17706.875830242774</v>
      </c>
      <c r="O1170" s="383"/>
    </row>
    <row r="1171" spans="1:30" hidden="1">
      <c r="F1171" s="383"/>
      <c r="G1171" s="383"/>
      <c r="H1171" s="383"/>
      <c r="I1171" s="383"/>
      <c r="J1171" s="383"/>
      <c r="K1171" s="383"/>
      <c r="L1171" s="383"/>
      <c r="M1171" s="383"/>
      <c r="N1171" s="383"/>
      <c r="O1171" s="442"/>
      <c r="Q1171" s="38"/>
      <c r="R1171" s="38"/>
    </row>
    <row r="1172" spans="1:30" hidden="1">
      <c r="B1172" t="s">
        <v>295</v>
      </c>
      <c r="F1172" s="383"/>
      <c r="G1172" s="383"/>
      <c r="H1172" s="383"/>
      <c r="I1172" s="383"/>
      <c r="J1172" s="383"/>
      <c r="K1172" s="383"/>
      <c r="L1172" s="383"/>
      <c r="M1172" s="383"/>
      <c r="N1172" s="383"/>
      <c r="O1172" s="442"/>
      <c r="Q1172" s="38"/>
      <c r="R1172" s="38"/>
      <c r="U1172" s="383"/>
      <c r="V1172" s="383"/>
      <c r="W1172" s="383"/>
      <c r="X1172" s="383"/>
      <c r="Y1172" s="383"/>
      <c r="Z1172" s="383"/>
      <c r="AA1172" s="383"/>
      <c r="AB1172" s="383"/>
      <c r="AC1172" s="383"/>
      <c r="AD1172" s="383"/>
    </row>
    <row r="1173" spans="1:30" hidden="1">
      <c r="C1173" s="2" t="s">
        <v>169</v>
      </c>
      <c r="E1173" s="2" t="s">
        <v>2812</v>
      </c>
      <c r="F1173" s="383">
        <v>0</v>
      </c>
      <c r="G1173" s="383">
        <v>5943.7802346040316</v>
      </c>
      <c r="H1173" s="383">
        <v>6337.1973939658064</v>
      </c>
      <c r="I1173" s="383">
        <v>6519.1859165735577</v>
      </c>
      <c r="J1173" s="383">
        <v>6669.5871259522683</v>
      </c>
      <c r="K1173" s="383">
        <v>7070.4045339208587</v>
      </c>
      <c r="L1173" s="383">
        <v>7374.2717003705493</v>
      </c>
      <c r="M1173" s="383">
        <v>8164.8579430814189</v>
      </c>
      <c r="N1173" s="383">
        <v>9175.5805607265174</v>
      </c>
      <c r="O1173" s="442"/>
      <c r="Q1173" s="442"/>
      <c r="R1173" s="441"/>
      <c r="U1173" s="383"/>
      <c r="V1173" s="383"/>
      <c r="W1173" s="383"/>
      <c r="X1173" s="383"/>
      <c r="Y1173" s="383"/>
      <c r="Z1173" s="383"/>
      <c r="AA1173" s="383"/>
      <c r="AB1173" s="383"/>
      <c r="AC1173" s="383"/>
      <c r="AD1173" s="383"/>
    </row>
    <row r="1174" spans="1:30" hidden="1">
      <c r="C1174" s="2" t="s">
        <v>173</v>
      </c>
      <c r="E1174" s="2" t="s">
        <v>2812</v>
      </c>
      <c r="F1174" s="383">
        <v>4880.3832399999992</v>
      </c>
      <c r="G1174" s="383">
        <v>5261.6723587404285</v>
      </c>
      <c r="H1174" s="383">
        <v>5531.7136363620011</v>
      </c>
      <c r="I1174" s="383">
        <v>5780.8847838125066</v>
      </c>
      <c r="J1174" s="383">
        <v>6006.7269986486262</v>
      </c>
      <c r="K1174" s="383">
        <v>6297.2940033785926</v>
      </c>
      <c r="L1174" s="383">
        <v>6601.8750279586184</v>
      </c>
      <c r="M1174" s="383">
        <v>6921.1437214261578</v>
      </c>
      <c r="N1174" s="383">
        <v>7255.8059937280113</v>
      </c>
      <c r="O1174" s="39"/>
      <c r="Q1174" s="38"/>
      <c r="R1174" s="38"/>
      <c r="U1174" s="383"/>
      <c r="V1174" s="383"/>
      <c r="W1174" s="383"/>
      <c r="X1174" s="383"/>
      <c r="Y1174" s="383"/>
      <c r="Z1174" s="383"/>
      <c r="AA1174" s="383"/>
      <c r="AB1174" s="383"/>
      <c r="AC1174" s="383"/>
      <c r="AD1174" s="383"/>
    </row>
    <row r="1175" spans="1:30" hidden="1">
      <c r="C1175" s="2" t="s">
        <v>294</v>
      </c>
      <c r="E1175" s="2" t="s">
        <v>2812</v>
      </c>
      <c r="F1175" s="383">
        <v>4880.3832399999992</v>
      </c>
      <c r="G1175" s="383">
        <v>11205.45259334446</v>
      </c>
      <c r="H1175" s="383">
        <v>11868.911030327807</v>
      </c>
      <c r="I1175" s="383">
        <v>12300.070700386064</v>
      </c>
      <c r="J1175" s="383">
        <v>12676.314124600895</v>
      </c>
      <c r="K1175" s="383">
        <v>13367.698537299451</v>
      </c>
      <c r="L1175" s="383">
        <v>13976.146728329168</v>
      </c>
      <c r="M1175" s="383">
        <v>15086.001664507578</v>
      </c>
      <c r="N1175" s="383">
        <v>16431.38655445453</v>
      </c>
      <c r="O1175" s="442"/>
      <c r="Q1175" s="38"/>
      <c r="R1175" s="38"/>
      <c r="U1175" s="383"/>
      <c r="V1175" s="383"/>
      <c r="W1175" s="383"/>
      <c r="X1175" s="383"/>
      <c r="Y1175" s="383"/>
      <c r="Z1175" s="383"/>
      <c r="AA1175" s="383"/>
      <c r="AB1175" s="383"/>
      <c r="AC1175" s="383"/>
      <c r="AD1175" s="383"/>
    </row>
    <row r="1176" spans="1:30" hidden="1">
      <c r="F1176" s="383"/>
      <c r="G1176" s="383"/>
      <c r="H1176" s="383"/>
      <c r="I1176" s="383"/>
      <c r="J1176" s="383"/>
      <c r="K1176" s="383"/>
      <c r="L1176" s="383"/>
      <c r="M1176" s="383"/>
      <c r="N1176" s="383"/>
      <c r="O1176" s="383"/>
      <c r="U1176" s="383"/>
      <c r="V1176" s="383"/>
      <c r="W1176" s="383"/>
      <c r="X1176" s="383"/>
      <c r="Y1176" s="383"/>
      <c r="Z1176" s="383"/>
      <c r="AA1176" s="383"/>
      <c r="AB1176" s="383"/>
      <c r="AC1176" s="383"/>
      <c r="AD1176" s="383"/>
    </row>
    <row r="1177" spans="1:30" s="4" customFormat="1" hidden="1">
      <c r="B1177" s="2" t="s">
        <v>296</v>
      </c>
      <c r="C1177" s="2"/>
      <c r="D1177" s="2"/>
      <c r="E1177" s="2"/>
      <c r="F1177" s="383"/>
      <c r="G1177" s="383"/>
      <c r="H1177" s="383"/>
      <c r="I1177" s="383"/>
      <c r="J1177" s="383"/>
      <c r="K1177" s="383"/>
      <c r="L1177" s="383"/>
      <c r="M1177" s="383"/>
      <c r="N1177" s="383"/>
      <c r="O1177" s="383"/>
      <c r="W1177" s="374"/>
      <c r="X1177" s="374"/>
      <c r="Y1177" s="374"/>
    </row>
    <row r="1178" spans="1:30" s="4" customFormat="1" hidden="1">
      <c r="B1178" s="2"/>
      <c r="C1178" s="2" t="s">
        <v>169</v>
      </c>
      <c r="D1178" s="2"/>
      <c r="E1178" s="2" t="s">
        <v>2812</v>
      </c>
      <c r="F1178" s="383">
        <v>0</v>
      </c>
      <c r="G1178" s="383">
        <v>5478.5315005029288</v>
      </c>
      <c r="H1178" s="383">
        <v>5794.6170633198935</v>
      </c>
      <c r="I1178" s="383">
        <v>5977.035387662384</v>
      </c>
      <c r="J1178" s="383">
        <v>6131.5575845742769</v>
      </c>
      <c r="K1178" s="383">
        <v>6516.6711787700615</v>
      </c>
      <c r="L1178" s="383">
        <v>6815.1597343278627</v>
      </c>
      <c r="M1178" s="383">
        <v>7552.1295356477658</v>
      </c>
      <c r="N1178" s="383">
        <v>8488.7786429943862</v>
      </c>
      <c r="O1178" s="383"/>
      <c r="W1178" s="374"/>
      <c r="X1178" s="374"/>
      <c r="Y1178" s="374"/>
    </row>
    <row r="1179" spans="1:30" s="4" customFormat="1" hidden="1">
      <c r="B1179" s="2"/>
      <c r="C1179" s="2" t="s">
        <v>173</v>
      </c>
      <c r="D1179" s="2"/>
      <c r="E1179" s="2" t="s">
        <v>2812</v>
      </c>
      <c r="F1179" s="383">
        <v>4625.165759999999</v>
      </c>
      <c r="G1179" s="383">
        <v>5079.4254570421845</v>
      </c>
      <c r="H1179" s="383">
        <v>5367.0749515948473</v>
      </c>
      <c r="I1179" s="383">
        <v>5637.1471116200983</v>
      </c>
      <c r="J1179" s="383">
        <v>5886.9448125769859</v>
      </c>
      <c r="K1179" s="383">
        <v>6202.8747923404107</v>
      </c>
      <c r="L1179" s="383">
        <v>6535.7180014761916</v>
      </c>
      <c r="M1179" s="383">
        <v>6886.3778715672761</v>
      </c>
      <c r="N1179" s="383">
        <v>7255.8059937280113</v>
      </c>
      <c r="O1179" s="383"/>
      <c r="W1179" s="374"/>
      <c r="X1179" s="374"/>
      <c r="Y1179" s="374"/>
    </row>
    <row r="1180" spans="1:30" s="4" customFormat="1" hidden="1">
      <c r="B1180" s="2"/>
      <c r="C1180" s="2" t="s">
        <v>294</v>
      </c>
      <c r="D1180" s="2"/>
      <c r="E1180" s="2" t="s">
        <v>2812</v>
      </c>
      <c r="F1180" s="383">
        <v>4625.165759999999</v>
      </c>
      <c r="G1180" s="383">
        <v>10557.956957545113</v>
      </c>
      <c r="H1180" s="383">
        <v>11161.692014914741</v>
      </c>
      <c r="I1180" s="383">
        <v>11614.182499282482</v>
      </c>
      <c r="J1180" s="383">
        <v>12018.502397151264</v>
      </c>
      <c r="K1180" s="383">
        <v>12719.545971110472</v>
      </c>
      <c r="L1180" s="383">
        <v>13350.877735804053</v>
      </c>
      <c r="M1180" s="383">
        <v>14438.507407215042</v>
      </c>
      <c r="N1180" s="383">
        <v>15744.584636722397</v>
      </c>
      <c r="O1180" s="2"/>
      <c r="W1180" s="374"/>
      <c r="X1180" s="374"/>
      <c r="Y1180" s="374"/>
    </row>
    <row r="1181" spans="1:30" s="4" customFormat="1" hidden="1">
      <c r="B1181" s="2"/>
      <c r="C1181" s="2"/>
      <c r="D1181" s="2"/>
      <c r="E1181" s="2"/>
      <c r="F1181" s="383"/>
      <c r="G1181" s="383"/>
      <c r="H1181" s="383"/>
      <c r="I1181" s="383"/>
      <c r="J1181" s="383"/>
      <c r="K1181" s="383"/>
      <c r="L1181" s="383"/>
      <c r="M1181" s="383"/>
      <c r="N1181" s="383"/>
      <c r="O1181" s="2"/>
      <c r="W1181" s="374"/>
      <c r="X1181" s="374"/>
      <c r="Y1181" s="374"/>
    </row>
    <row r="1182" spans="1:30" s="4" customFormat="1" hidden="1">
      <c r="B1182" s="2"/>
      <c r="C1182" s="363" t="s">
        <v>297</v>
      </c>
      <c r="D1182" s="2"/>
      <c r="E1182" s="2"/>
      <c r="F1182" s="383"/>
      <c r="G1182" s="383"/>
      <c r="H1182" s="383"/>
      <c r="I1182" s="383"/>
      <c r="J1182" s="383"/>
      <c r="K1182" s="383"/>
      <c r="L1182" s="383"/>
      <c r="M1182" s="383"/>
      <c r="N1182" s="383"/>
      <c r="O1182" s="2"/>
      <c r="W1182" s="374"/>
      <c r="X1182" s="374"/>
      <c r="Y1182" s="374"/>
    </row>
    <row r="1183" spans="1:30" s="4" customFormat="1" hidden="1">
      <c r="B1183" s="2"/>
      <c r="C1183" s="425" t="s">
        <v>22</v>
      </c>
      <c r="D1183" s="2" t="s">
        <v>169</v>
      </c>
      <c r="E1183" s="2" t="s">
        <v>2812</v>
      </c>
      <c r="F1183" s="383"/>
      <c r="G1183" s="383">
        <v>2960.3827921576944</v>
      </c>
      <c r="H1183" s="383">
        <v>2960.3827921576944</v>
      </c>
      <c r="I1183" s="383">
        <v>5920.765584315388</v>
      </c>
      <c r="J1183" s="383">
        <v>8881.1483764730838</v>
      </c>
      <c r="K1183" s="383">
        <v>11841.531168630778</v>
      </c>
      <c r="L1183" s="383">
        <v>14801.913960788472</v>
      </c>
      <c r="M1183" s="383">
        <v>17762.296752946168</v>
      </c>
      <c r="N1183" s="383">
        <v>20722.679545103856</v>
      </c>
      <c r="O1183" s="2"/>
      <c r="W1183" s="374"/>
      <c r="X1183" s="374"/>
      <c r="Y1183" s="374"/>
    </row>
    <row r="1184" spans="1:30" ht="23.25" hidden="1">
      <c r="A1184" s="7"/>
      <c r="C1184" s="425"/>
      <c r="D1184" s="2" t="s">
        <v>173</v>
      </c>
      <c r="E1184" s="2" t="s">
        <v>2812</v>
      </c>
      <c r="F1184" s="383">
        <v>0</v>
      </c>
      <c r="G1184" s="383">
        <v>898.98477345198376</v>
      </c>
      <c r="H1184" s="383">
        <v>1797.9695469039675</v>
      </c>
      <c r="I1184" s="383">
        <v>2696.954320355951</v>
      </c>
      <c r="J1184" s="383">
        <v>3595.939093807935</v>
      </c>
      <c r="K1184" s="383">
        <v>4494.9238672599186</v>
      </c>
      <c r="L1184" s="383">
        <v>5393.908640711903</v>
      </c>
      <c r="M1184" s="383">
        <v>6292.8934141638865</v>
      </c>
      <c r="N1184" s="383">
        <v>7191.87818761587</v>
      </c>
      <c r="Q1184" s="382"/>
      <c r="R1184"/>
      <c r="W1184" s="374"/>
      <c r="X1184" s="374"/>
      <c r="Y1184" s="374"/>
    </row>
    <row r="1185" spans="1:25" ht="23.25" hidden="1">
      <c r="A1185" s="7"/>
      <c r="C1185" s="425" t="s">
        <v>161</v>
      </c>
      <c r="D1185" s="2" t="s">
        <v>169</v>
      </c>
      <c r="E1185" s="2" t="s">
        <v>2812</v>
      </c>
      <c r="F1185" s="383"/>
      <c r="G1185" s="383">
        <v>1685.4007580816258</v>
      </c>
      <c r="H1185" s="383">
        <v>1685.4007580816258</v>
      </c>
      <c r="I1185" s="383">
        <v>3370.8015161632511</v>
      </c>
      <c r="J1185" s="383">
        <v>5056.202274244878</v>
      </c>
      <c r="K1185" s="383">
        <v>6741.6030323265031</v>
      </c>
      <c r="L1185" s="383">
        <v>8427.0037904081291</v>
      </c>
      <c r="M1185" s="383">
        <v>10112.404548489756</v>
      </c>
      <c r="N1185" s="442">
        <v>11797.805306571379</v>
      </c>
      <c r="O1185" s="39"/>
      <c r="Q1185" s="442"/>
      <c r="R1185" s="439"/>
      <c r="W1185" s="374"/>
      <c r="X1185" s="374"/>
      <c r="Y1185" s="374"/>
    </row>
    <row r="1186" spans="1:25" ht="23.25" hidden="1">
      <c r="A1186" s="7"/>
      <c r="C1186" s="425"/>
      <c r="D1186" s="2" t="s">
        <v>173</v>
      </c>
      <c r="E1186" s="2" t="s">
        <v>2812</v>
      </c>
      <c r="F1186" s="383">
        <v>0</v>
      </c>
      <c r="G1186" s="383">
        <v>509.42470495612412</v>
      </c>
      <c r="H1186" s="383">
        <v>1018.8494099122482</v>
      </c>
      <c r="I1186" s="383">
        <v>1528.2741148683722</v>
      </c>
      <c r="J1186" s="383">
        <v>2037.6988198244965</v>
      </c>
      <c r="K1186" s="383">
        <v>2547.1235247806208</v>
      </c>
      <c r="L1186" s="383">
        <v>3056.5482297367448</v>
      </c>
      <c r="M1186" s="383">
        <v>3565.9729346928689</v>
      </c>
      <c r="N1186" s="383">
        <v>4075.3976396489929</v>
      </c>
      <c r="W1186" s="374"/>
      <c r="X1186" s="374"/>
      <c r="Y1186" s="374"/>
    </row>
    <row r="1187" spans="1:25" hidden="1">
      <c r="B1187" s="363"/>
      <c r="C1187" s="425" t="s">
        <v>20</v>
      </c>
      <c r="D1187" s="2" t="s">
        <v>169</v>
      </c>
      <c r="E1187" s="2" t="s">
        <v>2812</v>
      </c>
      <c r="F1187" s="383"/>
      <c r="G1187" s="383">
        <v>998.87197050220425</v>
      </c>
      <c r="H1187" s="383">
        <v>998.87197050220425</v>
      </c>
      <c r="I1187" s="383">
        <v>1997.743941004408</v>
      </c>
      <c r="J1187" s="383">
        <v>2996.615911506613</v>
      </c>
      <c r="K1187" s="383">
        <v>3995.487882008817</v>
      </c>
      <c r="L1187" s="383">
        <v>4994.3598525110219</v>
      </c>
      <c r="M1187" s="383">
        <v>5993.2318230132259</v>
      </c>
      <c r="N1187" s="383">
        <v>6992.1037935154291</v>
      </c>
      <c r="W1187" s="374"/>
      <c r="X1187" s="374"/>
      <c r="Y1187" s="374"/>
    </row>
    <row r="1188" spans="1:25" hidden="1">
      <c r="B1188" s="363"/>
      <c r="C1188" s="425"/>
      <c r="D1188" s="2" t="s">
        <v>173</v>
      </c>
      <c r="E1188" s="2" t="s">
        <v>2812</v>
      </c>
      <c r="F1188" s="383">
        <v>0</v>
      </c>
      <c r="G1188" s="383">
        <v>299.66159115066125</v>
      </c>
      <c r="H1188" s="383">
        <v>599.3231823013225</v>
      </c>
      <c r="I1188" s="383">
        <v>898.98477345198376</v>
      </c>
      <c r="J1188" s="383">
        <v>1198.646364602645</v>
      </c>
      <c r="K1188" s="383">
        <v>1498.3079557533063</v>
      </c>
      <c r="L1188" s="383">
        <v>1797.9695469039675</v>
      </c>
      <c r="M1188" s="383">
        <v>2097.631138054629</v>
      </c>
      <c r="N1188" s="383">
        <v>2397.29272920529</v>
      </c>
      <c r="R1188" s="363"/>
      <c r="W1188" s="374"/>
      <c r="X1188" s="374"/>
      <c r="Y1188" s="374"/>
    </row>
    <row r="1189" spans="1:25" hidden="1">
      <c r="B1189" s="363"/>
      <c r="C1189" s="425"/>
      <c r="F1189" s="383"/>
      <c r="G1189" s="383"/>
      <c r="H1189" s="383"/>
      <c r="I1189" s="383"/>
      <c r="J1189" s="383"/>
      <c r="K1189" s="383"/>
      <c r="L1189" s="383"/>
      <c r="M1189" s="383"/>
      <c r="N1189" s="383"/>
      <c r="W1189" s="374"/>
      <c r="X1189" s="374"/>
      <c r="Y1189" s="374"/>
    </row>
    <row r="1190" spans="1:25" ht="15.75" hidden="1">
      <c r="A1190" s="443"/>
      <c r="B1190" s="363"/>
      <c r="C1190" s="438" t="s">
        <v>298</v>
      </c>
      <c r="F1190" s="383"/>
      <c r="G1190" s="383"/>
      <c r="H1190" s="383"/>
      <c r="I1190" s="383"/>
      <c r="J1190" s="383"/>
      <c r="K1190" s="383"/>
      <c r="L1190" s="383"/>
      <c r="M1190" s="383"/>
      <c r="N1190" s="383"/>
    </row>
    <row r="1191" spans="1:25" ht="15.75" hidden="1">
      <c r="A1191" s="443"/>
      <c r="B1191" s="363"/>
      <c r="C1191" s="425" t="s">
        <v>22</v>
      </c>
      <c r="E1191" s="2" t="s">
        <v>2812</v>
      </c>
      <c r="F1191" s="383"/>
      <c r="G1191" s="383">
        <v>0</v>
      </c>
      <c r="H1191" s="383">
        <v>0</v>
      </c>
      <c r="I1191" s="383">
        <v>0</v>
      </c>
      <c r="J1191" s="383">
        <v>0</v>
      </c>
      <c r="K1191" s="383">
        <v>0</v>
      </c>
      <c r="L1191" s="383">
        <v>0</v>
      </c>
      <c r="M1191" s="383">
        <v>0</v>
      </c>
      <c r="N1191" s="383">
        <v>0</v>
      </c>
      <c r="O1191" s="39"/>
    </row>
    <row r="1192" spans="1:25" ht="15.75" hidden="1">
      <c r="A1192" s="443"/>
      <c r="B1192" s="363"/>
      <c r="C1192" s="425" t="s">
        <v>161</v>
      </c>
      <c r="F1192" s="383"/>
      <c r="G1192" s="444">
        <v>0</v>
      </c>
      <c r="H1192" s="444">
        <v>0</v>
      </c>
      <c r="I1192" s="444">
        <v>0</v>
      </c>
      <c r="J1192" s="444">
        <v>0</v>
      </c>
      <c r="K1192" s="444">
        <v>0</v>
      </c>
      <c r="L1192" s="444">
        <v>0</v>
      </c>
      <c r="M1192" s="444">
        <v>0</v>
      </c>
      <c r="N1192" s="444">
        <v>0</v>
      </c>
      <c r="O1192" s="39"/>
    </row>
    <row r="1193" spans="1:25" ht="15.75" hidden="1">
      <c r="A1193" s="443"/>
      <c r="B1193" s="363"/>
      <c r="C1193" s="425" t="s">
        <v>20</v>
      </c>
      <c r="E1193" s="2" t="s">
        <v>2812</v>
      </c>
      <c r="F1193" s="383"/>
      <c r="G1193" s="383">
        <v>0</v>
      </c>
      <c r="H1193" s="383">
        <v>0</v>
      </c>
      <c r="I1193" s="383">
        <v>0</v>
      </c>
      <c r="J1193" s="383">
        <v>0</v>
      </c>
      <c r="K1193" s="383">
        <v>0</v>
      </c>
      <c r="L1193" s="383">
        <v>0</v>
      </c>
      <c r="M1193" s="383">
        <v>0</v>
      </c>
      <c r="N1193" s="383">
        <v>0</v>
      </c>
      <c r="O1193" s="38"/>
    </row>
    <row r="1194" spans="1:25" ht="15.75">
      <c r="A1194" s="443"/>
      <c r="B1194" s="4"/>
      <c r="C1194" s="4"/>
      <c r="D1194" s="4"/>
      <c r="E1194" s="4"/>
      <c r="F1194" s="374"/>
      <c r="G1194" s="4"/>
      <c r="H1194" s="4"/>
      <c r="I1194" s="4"/>
      <c r="J1194" s="4"/>
      <c r="K1194" s="4"/>
      <c r="L1194" s="4"/>
      <c r="M1194" s="4"/>
      <c r="N1194" s="4"/>
      <c r="O1194" s="4"/>
    </row>
    <row r="1195" spans="1:25" ht="15.75">
      <c r="A1195" s="443"/>
      <c r="B1195" s="8" t="s">
        <v>299</v>
      </c>
      <c r="C1195" s="445"/>
      <c r="D1195" s="9"/>
      <c r="E1195" s="9"/>
      <c r="F1195" s="9"/>
      <c r="G1195" s="9"/>
      <c r="H1195" s="9"/>
      <c r="I1195" s="9"/>
      <c r="J1195" s="9"/>
      <c r="K1195" s="9"/>
      <c r="L1195" s="9"/>
      <c r="M1195" s="9"/>
      <c r="N1195" s="9"/>
      <c r="O1195" s="10"/>
    </row>
    <row r="1196" spans="1:25" ht="15.75">
      <c r="A1196" s="443"/>
      <c r="B1196" s="446"/>
      <c r="C1196" s="447"/>
      <c r="D1196" s="447"/>
      <c r="E1196" s="447"/>
      <c r="F1196" s="447"/>
      <c r="G1196" s="447"/>
      <c r="H1196" s="447"/>
      <c r="I1196" s="447"/>
      <c r="J1196" s="447"/>
      <c r="K1196" s="447"/>
      <c r="L1196" s="447"/>
      <c r="M1196" s="447"/>
      <c r="N1196" s="447"/>
      <c r="O1196" s="448"/>
    </row>
    <row r="1197" spans="1:25" ht="15.75">
      <c r="A1197" s="443"/>
      <c r="B1197" s="11"/>
      <c r="C1197" s="34" t="s">
        <v>300</v>
      </c>
      <c r="D1197" s="12"/>
      <c r="E1197" s="14"/>
      <c r="F1197" s="12"/>
      <c r="G1197" s="12"/>
      <c r="H1197" s="12"/>
      <c r="I1197" s="12"/>
      <c r="J1197" s="12"/>
      <c r="K1197" s="12"/>
      <c r="L1197" s="12"/>
      <c r="M1197" s="12"/>
      <c r="N1197" s="14" t="str">
        <f>Preferences.EnergyUnits</f>
        <v>TWh</v>
      </c>
      <c r="O1197" s="13"/>
    </row>
    <row r="1198" spans="1:25" ht="15.75">
      <c r="A1198" s="443"/>
      <c r="B1198" s="11"/>
      <c r="C1198" s="12"/>
      <c r="D1198" s="12"/>
      <c r="E1198" s="12"/>
      <c r="F1198" s="12"/>
      <c r="G1198" s="12"/>
      <c r="H1198" s="12"/>
      <c r="I1198" s="12"/>
      <c r="J1198" s="12"/>
      <c r="K1198" s="12"/>
      <c r="L1198" s="12"/>
      <c r="M1198" s="12"/>
      <c r="N1198" s="12"/>
      <c r="O1198" s="13"/>
    </row>
    <row r="1199" spans="1:25" ht="15.75">
      <c r="A1199" s="443"/>
      <c r="B1199" s="15"/>
      <c r="C1199" s="725" t="s">
        <v>28</v>
      </c>
      <c r="D1199" s="725" t="s">
        <v>29</v>
      </c>
      <c r="E1199" s="725" t="s">
        <v>30</v>
      </c>
      <c r="F1199" s="725" t="s">
        <v>597</v>
      </c>
      <c r="G1199" s="725" t="s">
        <v>133</v>
      </c>
      <c r="H1199" s="725" t="s">
        <v>134</v>
      </c>
      <c r="I1199" s="725" t="s">
        <v>135</v>
      </c>
      <c r="J1199" s="725" t="s">
        <v>136</v>
      </c>
      <c r="K1199" s="725" t="s">
        <v>137</v>
      </c>
      <c r="L1199" s="725" t="s">
        <v>138</v>
      </c>
      <c r="M1199" s="725" t="s">
        <v>139</v>
      </c>
      <c r="N1199" s="725" t="s">
        <v>140</v>
      </c>
      <c r="O1199" s="13"/>
    </row>
    <row r="1200" spans="1:25" ht="15.75">
      <c r="A1200" s="443"/>
      <c r="B1200" s="15"/>
      <c r="C1200" s="725" t="s">
        <v>96</v>
      </c>
      <c r="D1200" s="1746" t="str">
        <f>INDEX(Vectors[Description], MATCH([Vector], Vectors[Code], 0))</f>
        <v>Electricity (delivered to end user)</v>
      </c>
      <c r="E1200" s="725"/>
      <c r="F1200" s="726">
        <f t="shared" ref="F1200:F1208" ca="1" si="152">F1229-F1214-F1215</f>
        <v>-0.88256437808531207</v>
      </c>
      <c r="G1200" s="726">
        <f t="shared" ref="G1200:N1207" ca="1" si="153">G1229-G1214</f>
        <v>-1.4377484699588226</v>
      </c>
      <c r="H1200" s="726">
        <f t="shared" ca="1" si="153"/>
        <v>-1.460457822648747</v>
      </c>
      <c r="I1200" s="726">
        <f t="shared" ca="1" si="153"/>
        <v>-1.5751825966732684</v>
      </c>
      <c r="J1200" s="726">
        <f t="shared" ca="1" si="153"/>
        <v>-1.6558259787752996</v>
      </c>
      <c r="K1200" s="726">
        <f t="shared" ca="1" si="153"/>
        <v>-1.7495624120225663</v>
      </c>
      <c r="L1200" s="726">
        <f t="shared" ca="1" si="153"/>
        <v>-1.8492049246245645</v>
      </c>
      <c r="M1200" s="726">
        <f t="shared" ca="1" si="153"/>
        <v>-1.9266970572248459</v>
      </c>
      <c r="N1200" s="726">
        <f t="shared" ca="1" si="153"/>
        <v>-1.9961524440419962</v>
      </c>
      <c r="O1200" s="13"/>
    </row>
    <row r="1201" spans="1:25" ht="15.75">
      <c r="A1201" s="443"/>
      <c r="B1201" s="15"/>
      <c r="C1201" s="725" t="s">
        <v>97</v>
      </c>
      <c r="D1201" s="1746" t="str">
        <f>INDEX(Vectors[Description], MATCH([Vector], Vectors[Code], 0))</f>
        <v>Electricity (supplied to grid)</v>
      </c>
      <c r="E1201" s="725"/>
      <c r="F1201" s="726">
        <f t="shared" ca="1" si="152"/>
        <v>0</v>
      </c>
      <c r="G1201" s="726">
        <f t="shared" ca="1" si="153"/>
        <v>0</v>
      </c>
      <c r="H1201" s="726">
        <f t="shared" ca="1" si="153"/>
        <v>0</v>
      </c>
      <c r="I1201" s="726">
        <f t="shared" ca="1" si="153"/>
        <v>0</v>
      </c>
      <c r="J1201" s="726">
        <f t="shared" ca="1" si="153"/>
        <v>0</v>
      </c>
      <c r="K1201" s="726">
        <f t="shared" ca="1" si="153"/>
        <v>0</v>
      </c>
      <c r="L1201" s="726">
        <f t="shared" ca="1" si="153"/>
        <v>0</v>
      </c>
      <c r="M1201" s="726">
        <f t="shared" ca="1" si="153"/>
        <v>0</v>
      </c>
      <c r="N1201" s="726">
        <f t="shared" ca="1" si="153"/>
        <v>0</v>
      </c>
      <c r="O1201" s="13"/>
    </row>
    <row r="1202" spans="1:25" ht="15.75">
      <c r="A1202" s="443"/>
      <c r="B1202" s="15"/>
      <c r="C1202" s="725" t="s">
        <v>98</v>
      </c>
      <c r="D1202" s="1746" t="str">
        <f>INDEX(Vectors[Description], MATCH([Vector], Vectors[Code], 0))</f>
        <v>Solid hydrocarbons</v>
      </c>
      <c r="E1202" s="725"/>
      <c r="F1202" s="726">
        <f t="shared" ca="1" si="152"/>
        <v>-0.41220752781623782</v>
      </c>
      <c r="G1202" s="726">
        <f t="shared" ca="1" si="153"/>
        <v>-0.26352704049482828</v>
      </c>
      <c r="H1202" s="726">
        <f t="shared" ca="1" si="153"/>
        <v>-0.21143772455169493</v>
      </c>
      <c r="I1202" s="726">
        <f t="shared" ca="1" si="153"/>
        <v>-0.17624833604772824</v>
      </c>
      <c r="J1202" s="726">
        <f t="shared" ca="1" si="153"/>
        <v>-0.13819323886480134</v>
      </c>
      <c r="K1202" s="726">
        <f t="shared" ca="1" si="153"/>
        <v>-0.10257271542282514</v>
      </c>
      <c r="L1202" s="726">
        <f t="shared" ca="1" si="153"/>
        <v>-6.7969281007703761E-2</v>
      </c>
      <c r="M1202" s="726">
        <f t="shared" ca="1" si="153"/>
        <v>-3.3417807674940292E-2</v>
      </c>
      <c r="N1202" s="726">
        <f t="shared" ca="1" si="153"/>
        <v>0</v>
      </c>
      <c r="O1202" s="13"/>
    </row>
    <row r="1203" spans="1:25" ht="15.75">
      <c r="B1203" s="15"/>
      <c r="C1203" s="725" t="s">
        <v>99</v>
      </c>
      <c r="D1203" s="1746" t="str">
        <f>INDEX(Vectors[Description], MATCH([Vector], Vectors[Code], 0))</f>
        <v>Liquid hydrocarbons</v>
      </c>
      <c r="E1203" s="725"/>
      <c r="F1203" s="726">
        <f t="shared" ca="1" si="152"/>
        <v>-15.256778003771721</v>
      </c>
      <c r="G1203" s="726">
        <f t="shared" ca="1" si="153"/>
        <v>-12.999761739873746</v>
      </c>
      <c r="H1203" s="726">
        <f t="shared" ca="1" si="153"/>
        <v>-10.43020115443155</v>
      </c>
      <c r="I1203" s="726">
        <f t="shared" ca="1" si="153"/>
        <v>-8.694312247302884</v>
      </c>
      <c r="J1203" s="726">
        <f t="shared" ca="1" si="153"/>
        <v>-6.8170582264749946</v>
      </c>
      <c r="K1203" s="726">
        <f t="shared" ca="1" si="153"/>
        <v>-5.0599014773012208</v>
      </c>
      <c r="L1203" s="726">
        <f t="shared" ca="1" si="153"/>
        <v>-3.3529176249676542</v>
      </c>
      <c r="M1203" s="726">
        <f t="shared" ca="1" si="153"/>
        <v>-1.6484970074699921</v>
      </c>
      <c r="N1203" s="726">
        <f t="shared" ca="1" si="153"/>
        <v>0</v>
      </c>
      <c r="O1203" s="13"/>
      <c r="W1203" s="374"/>
      <c r="X1203" s="374"/>
      <c r="Y1203" s="374"/>
    </row>
    <row r="1204" spans="1:25" ht="15.75">
      <c r="B1204" s="15"/>
      <c r="C1204" s="725" t="s">
        <v>100</v>
      </c>
      <c r="D1204" s="1746" t="str">
        <f>INDEX(Vectors[Description], MATCH([Vector], Vectors[Code], 0))</f>
        <v>Gaseous hydrocarbons</v>
      </c>
      <c r="E1204" s="725"/>
      <c r="F1204" s="726">
        <f t="shared" ca="1" si="152"/>
        <v>-9.4463708573767775</v>
      </c>
      <c r="G1204" s="726">
        <f t="shared" ca="1" si="153"/>
        <v>-9.2556061660433429</v>
      </c>
      <c r="H1204" s="726">
        <f t="shared" ca="1" si="153"/>
        <v>-10.45827972318421</v>
      </c>
      <c r="I1204" s="726">
        <f t="shared" ca="1" si="153"/>
        <v>-12.256242010620332</v>
      </c>
      <c r="J1204" s="726">
        <f t="shared" ca="1" si="153"/>
        <v>-13.771647618705204</v>
      </c>
      <c r="K1204" s="726">
        <f t="shared" ca="1" si="153"/>
        <v>-15.370245545423987</v>
      </c>
      <c r="L1204" s="726">
        <f t="shared" ca="1" si="153"/>
        <v>-17.008084093270114</v>
      </c>
      <c r="M1204" s="726">
        <f t="shared" ca="1" si="153"/>
        <v>-18.42610368749196</v>
      </c>
      <c r="N1204" s="726">
        <f t="shared" ca="1" si="153"/>
        <v>-19.742167028986774</v>
      </c>
      <c r="O1204" s="13"/>
      <c r="W1204" s="374"/>
      <c r="X1204" s="374"/>
      <c r="Y1204" s="374"/>
    </row>
    <row r="1205" spans="1:25" ht="15.75">
      <c r="A1205" s="443"/>
      <c r="B1205" s="15"/>
      <c r="C1205" s="725" t="s">
        <v>101</v>
      </c>
      <c r="D1205" s="1746" t="str">
        <f>INDEX(Vectors[Description], MATCH([Vector], Vectors[Code], 0))</f>
        <v>Heat transport</v>
      </c>
      <c r="E1205" s="725"/>
      <c r="F1205" s="726">
        <f t="shared" ca="1" si="152"/>
        <v>0</v>
      </c>
      <c r="G1205" s="726">
        <f t="shared" ca="1" si="153"/>
        <v>0</v>
      </c>
      <c r="H1205" s="726">
        <f t="shared" ca="1" si="153"/>
        <v>0</v>
      </c>
      <c r="I1205" s="726">
        <f t="shared" ca="1" si="153"/>
        <v>0</v>
      </c>
      <c r="J1205" s="726">
        <f t="shared" ca="1" si="153"/>
        <v>0</v>
      </c>
      <c r="K1205" s="726">
        <f t="shared" ca="1" si="153"/>
        <v>0</v>
      </c>
      <c r="L1205" s="726">
        <f t="shared" ca="1" si="153"/>
        <v>0</v>
      </c>
      <c r="M1205" s="726">
        <f t="shared" ca="1" si="153"/>
        <v>0</v>
      </c>
      <c r="N1205" s="726">
        <f t="shared" ca="1" si="153"/>
        <v>0</v>
      </c>
      <c r="O1205" s="13"/>
    </row>
    <row r="1206" spans="1:25" ht="15.75">
      <c r="A1206" s="443"/>
      <c r="B1206" s="15"/>
      <c r="C1206" s="725" t="s">
        <v>31</v>
      </c>
      <c r="D1206" s="1746" t="str">
        <f>INDEX(Vectors[Description], MATCH([Vector], Vectors[Code], 0))</f>
        <v>Domestic solar thermal</v>
      </c>
      <c r="E1206" s="725"/>
      <c r="F1206" s="726">
        <f t="shared" ca="1" si="152"/>
        <v>-4.1054887428987621E-2</v>
      </c>
      <c r="G1206" s="726">
        <f t="shared" ca="1" si="153"/>
        <v>-0.29533988943004724</v>
      </c>
      <c r="H1206" s="726">
        <f t="shared" ca="1" si="153"/>
        <v>-0.55796848364472162</v>
      </c>
      <c r="I1206" s="726">
        <f t="shared" ca="1" si="153"/>
        <v>-0.87993360231339046</v>
      </c>
      <c r="J1206" s="726">
        <f t="shared" ca="1" si="153"/>
        <v>-1.4025987513562512</v>
      </c>
      <c r="K1206" s="726">
        <f t="shared" ca="1" si="153"/>
        <v>-1.8347909840221523</v>
      </c>
      <c r="L1206" s="726">
        <f t="shared" ca="1" si="153"/>
        <v>-2.3046831432863932</v>
      </c>
      <c r="M1206" s="726">
        <f t="shared" ca="1" si="153"/>
        <v>-3.2093197943966696</v>
      </c>
      <c r="N1206" s="726">
        <f t="shared" ca="1" si="153"/>
        <v>-4.1910433229244628</v>
      </c>
      <c r="O1206" s="13"/>
    </row>
    <row r="1207" spans="1:25" ht="15.75">
      <c r="A1207" s="443"/>
      <c r="B1207" s="15"/>
      <c r="C1207" s="725" t="s">
        <v>102</v>
      </c>
      <c r="D1207" s="1746" t="str">
        <f>INDEX(Vectors[Description], MATCH([Vector], Vectors[Code], 0))</f>
        <v>Environmental heat</v>
      </c>
      <c r="E1207" s="725"/>
      <c r="F1207" s="726">
        <f t="shared" ca="1" si="152"/>
        <v>-4.9849049835017811E-2</v>
      </c>
      <c r="G1207" s="726">
        <f t="shared" ca="1" si="153"/>
        <v>-0.16713120665468159</v>
      </c>
      <c r="H1207" s="726">
        <f t="shared" ca="1" si="153"/>
        <v>-0.13378262047103262</v>
      </c>
      <c r="I1207" s="726">
        <f t="shared" ca="1" si="153"/>
        <v>-0.11151397930349062</v>
      </c>
      <c r="J1207" s="726">
        <f t="shared" ca="1" si="153"/>
        <v>-8.7481729504168951E-2</v>
      </c>
      <c r="K1207" s="726">
        <f t="shared" ca="1" si="153"/>
        <v>-6.4948923807210096E-2</v>
      </c>
      <c r="L1207" s="726">
        <f t="shared" ca="1" si="153"/>
        <v>-4.3059858629907362E-2</v>
      </c>
      <c r="M1207" s="726">
        <f t="shared" ca="1" si="153"/>
        <v>-2.1226952147421783E-2</v>
      </c>
      <c r="N1207" s="726">
        <f t="shared" ca="1" si="153"/>
        <v>0</v>
      </c>
      <c r="O1207" s="13"/>
    </row>
    <row r="1208" spans="1:25" ht="15.75">
      <c r="A1208" s="443"/>
      <c r="B1208" s="15"/>
      <c r="C1208" s="725" t="s">
        <v>103</v>
      </c>
      <c r="D1208" s="1746" t="str">
        <f>INDEX(Vectors[Description], MATCH([Vector], Vectors[Code], 0))</f>
        <v>Heating and cooling</v>
      </c>
      <c r="E1208" s="725"/>
      <c r="F1208" s="726">
        <f t="shared" ca="1" si="152"/>
        <v>26.088824704314053</v>
      </c>
      <c r="G1208" s="726">
        <f t="shared" ref="G1208:N1208" ca="1" si="154">G1237-G1222-G1223</f>
        <v>24.419114512455465</v>
      </c>
      <c r="H1208" s="726">
        <f t="shared" ca="1" si="154"/>
        <v>23.252127528931958</v>
      </c>
      <c r="I1208" s="726">
        <f t="shared" ca="1" si="154"/>
        <v>23.69343277226109</v>
      </c>
      <c r="J1208" s="726">
        <f t="shared" ca="1" si="154"/>
        <v>23.87280554368072</v>
      </c>
      <c r="K1208" s="726">
        <f t="shared" ca="1" si="154"/>
        <v>24.182022057999962</v>
      </c>
      <c r="L1208" s="726">
        <f t="shared" ca="1" si="154"/>
        <v>24.62591892578634</v>
      </c>
      <c r="M1208" s="726">
        <f t="shared" ca="1" si="154"/>
        <v>25.26526230640583</v>
      </c>
      <c r="N1208" s="726">
        <f t="shared" ca="1" si="154"/>
        <v>25.929362795953232</v>
      </c>
      <c r="O1208" s="13"/>
    </row>
    <row r="1209" spans="1:25" ht="15.75">
      <c r="A1209" s="443"/>
      <c r="B1209" s="15"/>
      <c r="C1209" s="2463" t="s">
        <v>59</v>
      </c>
      <c r="D1209" s="2463"/>
      <c r="E1209" s="2463"/>
      <c r="F1209" s="2464">
        <f ca="1">SUBTOTAL(109,[2013])</f>
        <v>0</v>
      </c>
      <c r="G1209" s="2464">
        <f ca="1">SUBTOTAL(109,[2015])</f>
        <v>0</v>
      </c>
      <c r="H1209" s="2464">
        <f ca="1">SUBTOTAL(109,[2020])</f>
        <v>0</v>
      </c>
      <c r="I1209" s="2464">
        <f ca="1">SUBTOTAL(109,[2025])</f>
        <v>0</v>
      </c>
      <c r="J1209" s="2464">
        <f ca="1">SUBTOTAL(109,[2030])</f>
        <v>0</v>
      </c>
      <c r="K1209" s="2464">
        <f ca="1">SUBTOTAL(109,[2035])</f>
        <v>0</v>
      </c>
      <c r="L1209" s="2464">
        <f ca="1">SUBTOTAL(109,[2040])</f>
        <v>0</v>
      </c>
      <c r="M1209" s="2464">
        <f ca="1">SUBTOTAL(109,[2045])</f>
        <v>0</v>
      </c>
      <c r="N1209" s="2464">
        <f ca="1">SUBTOTAL(109,[2050])</f>
        <v>0</v>
      </c>
      <c r="O1209" s="13"/>
    </row>
    <row r="1210" spans="1:25" ht="15.75">
      <c r="A1210" s="443"/>
      <c r="B1210" s="11"/>
      <c r="C1210" s="18"/>
      <c r="D1210" s="18"/>
      <c r="E1210" s="18"/>
      <c r="F1210" s="449"/>
      <c r="G1210" s="449"/>
      <c r="H1210" s="449"/>
      <c r="I1210" s="449"/>
      <c r="J1210" s="449"/>
      <c r="K1210" s="449"/>
      <c r="L1210" s="449"/>
      <c r="M1210" s="449"/>
      <c r="N1210" s="449"/>
      <c r="O1210" s="13"/>
    </row>
    <row r="1211" spans="1:25" ht="15.75">
      <c r="A1211" s="443"/>
      <c r="B1211" s="11"/>
      <c r="C1211" s="34" t="s">
        <v>301</v>
      </c>
      <c r="D1211" s="12"/>
      <c r="E1211" s="14"/>
      <c r="F1211" s="12"/>
      <c r="G1211" s="12"/>
      <c r="H1211" s="12"/>
      <c r="I1211" s="12"/>
      <c r="J1211" s="12"/>
      <c r="K1211" s="12"/>
      <c r="L1211" s="12"/>
      <c r="M1211" s="12"/>
      <c r="N1211" s="14" t="str">
        <f>Preferences.EnergyUnits</f>
        <v>TWh</v>
      </c>
      <c r="O1211" s="13"/>
    </row>
    <row r="1212" spans="1:25" ht="15.75">
      <c r="A1212" s="443"/>
      <c r="B1212" s="15"/>
      <c r="C1212" s="12"/>
      <c r="D1212" s="12"/>
      <c r="E1212" s="12"/>
      <c r="F1212" s="12"/>
      <c r="G1212" s="12"/>
      <c r="H1212" s="12"/>
      <c r="I1212" s="12"/>
      <c r="J1212" s="12"/>
      <c r="K1212" s="12"/>
      <c r="L1212" s="12"/>
      <c r="M1212" s="12"/>
      <c r="N1212" s="12"/>
      <c r="O1212" s="13"/>
    </row>
    <row r="1213" spans="1:25" ht="15.75">
      <c r="A1213" s="443"/>
      <c r="B1213" s="15"/>
      <c r="C1213" s="725" t="s">
        <v>28</v>
      </c>
      <c r="D1213" s="725" t="s">
        <v>29</v>
      </c>
      <c r="E1213" s="725" t="s">
        <v>30</v>
      </c>
      <c r="F1213" s="725" t="s">
        <v>597</v>
      </c>
      <c r="G1213" s="725" t="s">
        <v>133</v>
      </c>
      <c r="H1213" s="725" t="s">
        <v>134</v>
      </c>
      <c r="I1213" s="725" t="s">
        <v>135</v>
      </c>
      <c r="J1213" s="725" t="s">
        <v>136</v>
      </c>
      <c r="K1213" s="725" t="s">
        <v>137</v>
      </c>
      <c r="L1213" s="725" t="s">
        <v>138</v>
      </c>
      <c r="M1213" s="725" t="s">
        <v>139</v>
      </c>
      <c r="N1213" s="725" t="s">
        <v>140</v>
      </c>
      <c r="O1213" s="13"/>
    </row>
    <row r="1214" spans="1:25" ht="15.75">
      <c r="A1214" s="443"/>
      <c r="B1214" s="15"/>
      <c r="C1214" s="725" t="s">
        <v>96</v>
      </c>
      <c r="D1214" s="1746" t="str">
        <f>INDEX(Vectors[Description], MATCH([Vector], Vectors[Code], 0))</f>
        <v>Electricity (delivered to end user)</v>
      </c>
      <c r="E1214" s="725"/>
      <c r="F1214" s="726">
        <f ca="1">INDEX(F$1004:F$1012, MATCH([Vector], $B$1004:$B$1012, 0))</f>
        <v>0</v>
      </c>
      <c r="G1214" s="726">
        <f ca="1">INDEX(G$1004:G$1012, MATCH([Vector], $B$1004:$B$1012, 0))</f>
        <v>0</v>
      </c>
      <c r="H1214" s="726">
        <f ca="1">INDEX(H$1004:H$1012, MATCH([Vector], $B$1004:$B$1012, 0))</f>
        <v>0</v>
      </c>
      <c r="I1214" s="726">
        <f ca="1">INDEX(I$1004:I$1012, MATCH([Vector], $B$1004:$B$1012, 0))</f>
        <v>0</v>
      </c>
      <c r="J1214" s="726">
        <f ca="1">INDEX(J$1004:J$1012, MATCH([Vector], $B$1004:$B$1012, 0))</f>
        <v>0</v>
      </c>
      <c r="K1214" s="726">
        <f ca="1">INDEX(K$1004:K$1012, MATCH([Vector], $B$1004:$B$1012, 0))</f>
        <v>0</v>
      </c>
      <c r="L1214" s="726">
        <f ca="1">INDEX(L$1004:L$1012, MATCH([Vector], $B$1004:$B$1012, 0))</f>
        <v>0</v>
      </c>
      <c r="M1214" s="726">
        <f ca="1">INDEX(M$1004:M$1012, MATCH([Vector], $B$1004:$B$1012, 0))</f>
        <v>0</v>
      </c>
      <c r="N1214" s="726">
        <f ca="1">INDEX(N$1004:N$1012, MATCH([Vector], $B$1004:$B$1012, 0))</f>
        <v>0</v>
      </c>
      <c r="O1214" s="13"/>
    </row>
    <row r="1215" spans="1:25" ht="15.75">
      <c r="A1215" s="443"/>
      <c r="B1215" s="15"/>
      <c r="C1215" s="725" t="s">
        <v>97</v>
      </c>
      <c r="D1215" s="1746" t="str">
        <f>INDEX(Vectors[Description], MATCH([Vector], Vectors[Code], 0))</f>
        <v>Electricity (supplied to grid)</v>
      </c>
      <c r="E1215" s="725"/>
      <c r="F1215" s="726">
        <f ca="1">INDEX(F$1004:F$1012, MATCH([Vector], $B$1004:$B$1012, 0))</f>
        <v>0</v>
      </c>
      <c r="G1215" s="726">
        <f ca="1">INDEX(G$1004:G$1012, MATCH([Vector], $B$1004:$B$1012, 0))</f>
        <v>0</v>
      </c>
      <c r="H1215" s="726">
        <f ca="1">INDEX(H$1004:H$1012, MATCH([Vector], $B$1004:$B$1012, 0))</f>
        <v>0</v>
      </c>
      <c r="I1215" s="726">
        <f ca="1">INDEX(I$1004:I$1012, MATCH([Vector], $B$1004:$B$1012, 0))</f>
        <v>0</v>
      </c>
      <c r="J1215" s="726">
        <f ca="1">INDEX(J$1004:J$1012, MATCH([Vector], $B$1004:$B$1012, 0))</f>
        <v>0</v>
      </c>
      <c r="K1215" s="726">
        <f ca="1">INDEX(K$1004:K$1012, MATCH([Vector], $B$1004:$B$1012, 0))</f>
        <v>0</v>
      </c>
      <c r="L1215" s="726">
        <f ca="1">INDEX(L$1004:L$1012, MATCH([Vector], $B$1004:$B$1012, 0))</f>
        <v>0</v>
      </c>
      <c r="M1215" s="726">
        <f ca="1">INDEX(M$1004:M$1012, MATCH([Vector], $B$1004:$B$1012, 0))</f>
        <v>0</v>
      </c>
      <c r="N1215" s="726">
        <f ca="1">INDEX(N$1004:N$1012, MATCH([Vector], $B$1004:$B$1012, 0))</f>
        <v>0</v>
      </c>
      <c r="O1215" s="13"/>
    </row>
    <row r="1216" spans="1:25" ht="15.75">
      <c r="A1216" s="443"/>
      <c r="B1216" s="15"/>
      <c r="C1216" s="725" t="s">
        <v>98</v>
      </c>
      <c r="D1216" s="1746" t="str">
        <f>INDEX(Vectors[Description], MATCH([Vector], Vectors[Code], 0))</f>
        <v>Solid hydrocarbons</v>
      </c>
      <c r="E1216" s="725"/>
      <c r="F1216" s="726">
        <f ca="1">INDEX(F$1004:F$1012, MATCH([Vector], $B$1004:$B$1012, 0))</f>
        <v>0</v>
      </c>
      <c r="G1216" s="726">
        <f ca="1">INDEX(G$1004:G$1012, MATCH([Vector], $B$1004:$B$1012, 0))</f>
        <v>0</v>
      </c>
      <c r="H1216" s="726">
        <f ca="1">INDEX(H$1004:H$1012, MATCH([Vector], $B$1004:$B$1012, 0))</f>
        <v>0</v>
      </c>
      <c r="I1216" s="726">
        <f ca="1">INDEX(I$1004:I$1012, MATCH([Vector], $B$1004:$B$1012, 0))</f>
        <v>0</v>
      </c>
      <c r="J1216" s="726">
        <f ca="1">INDEX(J$1004:J$1012, MATCH([Vector], $B$1004:$B$1012, 0))</f>
        <v>0</v>
      </c>
      <c r="K1216" s="726">
        <f ca="1">INDEX(K$1004:K$1012, MATCH([Vector], $B$1004:$B$1012, 0))</f>
        <v>0</v>
      </c>
      <c r="L1216" s="726">
        <f ca="1">INDEX(L$1004:L$1012, MATCH([Vector], $B$1004:$B$1012, 0))</f>
        <v>0</v>
      </c>
      <c r="M1216" s="726">
        <f ca="1">INDEX(M$1004:M$1012, MATCH([Vector], $B$1004:$B$1012, 0))</f>
        <v>0</v>
      </c>
      <c r="N1216" s="726">
        <f ca="1">INDEX(N$1004:N$1012, MATCH([Vector], $B$1004:$B$1012, 0))</f>
        <v>0</v>
      </c>
      <c r="O1216" s="13"/>
    </row>
    <row r="1217" spans="1:25" ht="15.75">
      <c r="B1217" s="15"/>
      <c r="C1217" s="725" t="s">
        <v>99</v>
      </c>
      <c r="D1217" s="1746" t="str">
        <f>INDEX(Vectors[Description], MATCH([Vector], Vectors[Code], 0))</f>
        <v>Liquid hydrocarbons</v>
      </c>
      <c r="E1217" s="725"/>
      <c r="F1217" s="726">
        <f ca="1">INDEX(F$1004:F$1012, MATCH([Vector], $B$1004:$B$1012, 0))</f>
        <v>0</v>
      </c>
      <c r="G1217" s="726">
        <f ca="1">INDEX(G$1004:G$1012, MATCH([Vector], $B$1004:$B$1012, 0))</f>
        <v>0</v>
      </c>
      <c r="H1217" s="726">
        <f ca="1">INDEX(H$1004:H$1012, MATCH([Vector], $B$1004:$B$1012, 0))</f>
        <v>0</v>
      </c>
      <c r="I1217" s="726">
        <f ca="1">INDEX(I$1004:I$1012, MATCH([Vector], $B$1004:$B$1012, 0))</f>
        <v>0</v>
      </c>
      <c r="J1217" s="726">
        <f ca="1">INDEX(J$1004:J$1012, MATCH([Vector], $B$1004:$B$1012, 0))</f>
        <v>0</v>
      </c>
      <c r="K1217" s="726">
        <f ca="1">INDEX(K$1004:K$1012, MATCH([Vector], $B$1004:$B$1012, 0))</f>
        <v>0</v>
      </c>
      <c r="L1217" s="726">
        <f ca="1">INDEX(L$1004:L$1012, MATCH([Vector], $B$1004:$B$1012, 0))</f>
        <v>0</v>
      </c>
      <c r="M1217" s="726">
        <f ca="1">INDEX(M$1004:M$1012, MATCH([Vector], $B$1004:$B$1012, 0))</f>
        <v>0</v>
      </c>
      <c r="N1217" s="726">
        <f ca="1">INDEX(N$1004:N$1012, MATCH([Vector], $B$1004:$B$1012, 0))</f>
        <v>0</v>
      </c>
      <c r="O1217" s="13"/>
      <c r="W1217" s="374"/>
      <c r="X1217" s="374"/>
      <c r="Y1217" s="374"/>
    </row>
    <row r="1218" spans="1:25" ht="15.75">
      <c r="B1218" s="15"/>
      <c r="C1218" s="725" t="s">
        <v>100</v>
      </c>
      <c r="D1218" s="1746" t="str">
        <f>INDEX(Vectors[Description], MATCH([Vector], Vectors[Code], 0))</f>
        <v>Gaseous hydrocarbons</v>
      </c>
      <c r="E1218" s="725"/>
      <c r="F1218" s="726">
        <f ca="1">INDEX(F$1004:F$1012, MATCH([Vector], $B$1004:$B$1012, 0))</f>
        <v>0</v>
      </c>
      <c r="G1218" s="726">
        <f ca="1">INDEX(G$1004:G$1012, MATCH([Vector], $B$1004:$B$1012, 0))</f>
        <v>0</v>
      </c>
      <c r="H1218" s="726">
        <f ca="1">INDEX(H$1004:H$1012, MATCH([Vector], $B$1004:$B$1012, 0))</f>
        <v>0</v>
      </c>
      <c r="I1218" s="726">
        <f ca="1">INDEX(I$1004:I$1012, MATCH([Vector], $B$1004:$B$1012, 0))</f>
        <v>0</v>
      </c>
      <c r="J1218" s="726">
        <f ca="1">INDEX(J$1004:J$1012, MATCH([Vector], $B$1004:$B$1012, 0))</f>
        <v>0</v>
      </c>
      <c r="K1218" s="726">
        <f ca="1">INDEX(K$1004:K$1012, MATCH([Vector], $B$1004:$B$1012, 0))</f>
        <v>0</v>
      </c>
      <c r="L1218" s="726">
        <f ca="1">INDEX(L$1004:L$1012, MATCH([Vector], $B$1004:$B$1012, 0))</f>
        <v>0</v>
      </c>
      <c r="M1218" s="726">
        <f ca="1">INDEX(M$1004:M$1012, MATCH([Vector], $B$1004:$B$1012, 0))</f>
        <v>0</v>
      </c>
      <c r="N1218" s="726">
        <f ca="1">INDEX(N$1004:N$1012, MATCH([Vector], $B$1004:$B$1012, 0))</f>
        <v>0</v>
      </c>
      <c r="O1218" s="13"/>
      <c r="W1218" s="374"/>
      <c r="X1218" s="374"/>
      <c r="Y1218" s="374"/>
    </row>
    <row r="1219" spans="1:25" ht="15.75">
      <c r="A1219" s="443"/>
      <c r="B1219" s="15"/>
      <c r="C1219" s="725" t="s">
        <v>101</v>
      </c>
      <c r="D1219" s="1746" t="str">
        <f>INDEX(Vectors[Description], MATCH([Vector], Vectors[Code], 0))</f>
        <v>Heat transport</v>
      </c>
      <c r="E1219" s="725"/>
      <c r="F1219" s="726">
        <f ca="1">INDEX(F$1004:F$1012, MATCH([Vector], $B$1004:$B$1012, 0))</f>
        <v>0</v>
      </c>
      <c r="G1219" s="726">
        <f ca="1">INDEX(G$1004:G$1012, MATCH([Vector], $B$1004:$B$1012, 0))</f>
        <v>0</v>
      </c>
      <c r="H1219" s="726">
        <f ca="1">INDEX(H$1004:H$1012, MATCH([Vector], $B$1004:$B$1012, 0))</f>
        <v>0</v>
      </c>
      <c r="I1219" s="726">
        <f ca="1">INDEX(I$1004:I$1012, MATCH([Vector], $B$1004:$B$1012, 0))</f>
        <v>0</v>
      </c>
      <c r="J1219" s="726">
        <f ca="1">INDEX(J$1004:J$1012, MATCH([Vector], $B$1004:$B$1012, 0))</f>
        <v>0</v>
      </c>
      <c r="K1219" s="726">
        <f ca="1">INDEX(K$1004:K$1012, MATCH([Vector], $B$1004:$B$1012, 0))</f>
        <v>0</v>
      </c>
      <c r="L1219" s="726">
        <f ca="1">INDEX(L$1004:L$1012, MATCH([Vector], $B$1004:$B$1012, 0))</f>
        <v>0</v>
      </c>
      <c r="M1219" s="726">
        <f ca="1">INDEX(M$1004:M$1012, MATCH([Vector], $B$1004:$B$1012, 0))</f>
        <v>0</v>
      </c>
      <c r="N1219" s="726">
        <f ca="1">INDEX(N$1004:N$1012, MATCH([Vector], $B$1004:$B$1012, 0))</f>
        <v>0</v>
      </c>
      <c r="O1219" s="13"/>
    </row>
    <row r="1220" spans="1:25" ht="15.75">
      <c r="A1220" s="443"/>
      <c r="B1220" s="15"/>
      <c r="C1220" s="725" t="s">
        <v>31</v>
      </c>
      <c r="D1220" s="1746" t="str">
        <f>INDEX(Vectors[Description], MATCH([Vector], Vectors[Code], 0))</f>
        <v>Domestic solar thermal</v>
      </c>
      <c r="E1220" s="725"/>
      <c r="F1220" s="726"/>
      <c r="G1220" s="726"/>
      <c r="H1220" s="726"/>
      <c r="I1220" s="726"/>
      <c r="J1220" s="726"/>
      <c r="K1220" s="726"/>
      <c r="L1220" s="726"/>
      <c r="M1220" s="726"/>
      <c r="N1220" s="726"/>
      <c r="O1220" s="13"/>
    </row>
    <row r="1221" spans="1:25" ht="15.75">
      <c r="A1221" s="443"/>
      <c r="B1221" s="15"/>
      <c r="C1221" s="725" t="s">
        <v>102</v>
      </c>
      <c r="D1221" s="1746" t="str">
        <f>INDEX(Vectors[Description], MATCH([Vector], Vectors[Code], 0))</f>
        <v>Environmental heat</v>
      </c>
      <c r="E1221" s="725"/>
      <c r="F1221" s="726">
        <f ca="1">INDEX(F$1004:F$1012, MATCH([Vector], $B$1004:$B$1012, 0))</f>
        <v>0</v>
      </c>
      <c r="G1221" s="726">
        <f ca="1">INDEX(G$1004:G$1012, MATCH([Vector], $B$1004:$B$1012, 0))</f>
        <v>0</v>
      </c>
      <c r="H1221" s="726">
        <f ca="1">INDEX(H$1004:H$1012, MATCH([Vector], $B$1004:$B$1012, 0))</f>
        <v>0</v>
      </c>
      <c r="I1221" s="726">
        <f ca="1">INDEX(I$1004:I$1012, MATCH([Vector], $B$1004:$B$1012, 0))</f>
        <v>0</v>
      </c>
      <c r="J1221" s="726">
        <f ca="1">INDEX(J$1004:J$1012, MATCH([Vector], $B$1004:$B$1012, 0))</f>
        <v>0</v>
      </c>
      <c r="K1221" s="726">
        <f ca="1">INDEX(K$1004:K$1012, MATCH([Vector], $B$1004:$B$1012, 0))</f>
        <v>0</v>
      </c>
      <c r="L1221" s="726">
        <f ca="1">INDEX(L$1004:L$1012, MATCH([Vector], $B$1004:$B$1012, 0))</f>
        <v>0</v>
      </c>
      <c r="M1221" s="726">
        <f ca="1">INDEX(M$1004:M$1012, MATCH([Vector], $B$1004:$B$1012, 0))</f>
        <v>0</v>
      </c>
      <c r="N1221" s="726">
        <f ca="1">INDEX(N$1004:N$1012, MATCH([Vector], $B$1004:$B$1012, 0))</f>
        <v>0</v>
      </c>
      <c r="O1221" s="13"/>
    </row>
    <row r="1222" spans="1:25" ht="15.75">
      <c r="A1222" s="443"/>
      <c r="B1222" s="15"/>
      <c r="C1222" s="725" t="s">
        <v>103</v>
      </c>
      <c r="D1222" s="1746" t="str">
        <f>INDEX(Vectors[Description], MATCH([Vector], Vectors[Code], 0))</f>
        <v>Heating and cooling</v>
      </c>
      <c r="E1222" s="725"/>
      <c r="F1222" s="726">
        <f ca="1">INDEX(F$1004:F$1012, MATCH([Vector], $B$1004:$B$1012, 0))</f>
        <v>0</v>
      </c>
      <c r="G1222" s="726">
        <f ca="1">INDEX(G$1004:G$1012, MATCH([Vector], $B$1004:$B$1012, 0))</f>
        <v>0</v>
      </c>
      <c r="H1222" s="726">
        <f ca="1">INDEX(H$1004:H$1012, MATCH([Vector], $B$1004:$B$1012, 0))</f>
        <v>0</v>
      </c>
      <c r="I1222" s="726">
        <f ca="1">INDEX(I$1004:I$1012, MATCH([Vector], $B$1004:$B$1012, 0))</f>
        <v>0</v>
      </c>
      <c r="J1222" s="726">
        <f ca="1">INDEX(J$1004:J$1012, MATCH([Vector], $B$1004:$B$1012, 0))</f>
        <v>0</v>
      </c>
      <c r="K1222" s="726">
        <f ca="1">INDEX(K$1004:K$1012, MATCH([Vector], $B$1004:$B$1012, 0))</f>
        <v>0</v>
      </c>
      <c r="L1222" s="726">
        <f ca="1">INDEX(L$1004:L$1012, MATCH([Vector], $B$1004:$B$1012, 0))</f>
        <v>0</v>
      </c>
      <c r="M1222" s="726">
        <f ca="1">INDEX(M$1004:M$1012, MATCH([Vector], $B$1004:$B$1012, 0))</f>
        <v>0</v>
      </c>
      <c r="N1222" s="726">
        <f ca="1">INDEX(N$1004:N$1012, MATCH([Vector], $B$1004:$B$1012, 0))</f>
        <v>0</v>
      </c>
      <c r="O1222" s="13"/>
    </row>
    <row r="1223" spans="1:25" ht="15.75">
      <c r="A1223" s="443"/>
      <c r="B1223" s="15"/>
      <c r="C1223" s="725" t="s">
        <v>104</v>
      </c>
      <c r="D1223" s="1746" t="str">
        <f>INDEX(Vectors[Description], MATCH([Vector], Vectors[Code], 0))</f>
        <v>Conversion losses</v>
      </c>
      <c r="E1223" s="725"/>
      <c r="F1223" s="726">
        <f ca="1">INDEX(F$1004:F$1012, MATCH([Vector], $B$1004:$B$1012, 0))</f>
        <v>0</v>
      </c>
      <c r="G1223" s="726">
        <f ca="1">INDEX(G$1004:G$1012, MATCH([Vector], $B$1004:$B$1012, 0))</f>
        <v>0</v>
      </c>
      <c r="H1223" s="726">
        <f ca="1">INDEX(H$1004:H$1012, MATCH([Vector], $B$1004:$B$1012, 0))</f>
        <v>0</v>
      </c>
      <c r="I1223" s="726">
        <f ca="1">INDEX(I$1004:I$1012, MATCH([Vector], $B$1004:$B$1012, 0))</f>
        <v>0</v>
      </c>
      <c r="J1223" s="726">
        <f ca="1">INDEX(J$1004:J$1012, MATCH([Vector], $B$1004:$B$1012, 0))</f>
        <v>0</v>
      </c>
      <c r="K1223" s="726">
        <f ca="1">INDEX(K$1004:K$1012, MATCH([Vector], $B$1004:$B$1012, 0))</f>
        <v>0</v>
      </c>
      <c r="L1223" s="726">
        <f ca="1">INDEX(L$1004:L$1012, MATCH([Vector], $B$1004:$B$1012, 0))</f>
        <v>0</v>
      </c>
      <c r="M1223" s="726">
        <f ca="1">INDEX(M$1004:M$1012, MATCH([Vector], $B$1004:$B$1012, 0))</f>
        <v>0</v>
      </c>
      <c r="N1223" s="726">
        <f ca="1">INDEX(N$1004:N$1012, MATCH([Vector], $B$1004:$B$1012, 0))</f>
        <v>0</v>
      </c>
      <c r="O1223" s="13"/>
    </row>
    <row r="1224" spans="1:25" ht="15.75">
      <c r="A1224" s="443"/>
      <c r="B1224" s="15"/>
      <c r="C1224" s="3967" t="s">
        <v>59</v>
      </c>
      <c r="D1224" s="3967"/>
      <c r="E1224" s="3967"/>
      <c r="F1224" s="3968">
        <f ca="1">SUBTOTAL(109,[2013])</f>
        <v>0</v>
      </c>
      <c r="G1224" s="3968">
        <f ca="1">SUBTOTAL(109,[2015])</f>
        <v>0</v>
      </c>
      <c r="H1224" s="3968">
        <f ca="1">SUBTOTAL(109,[2020])</f>
        <v>0</v>
      </c>
      <c r="I1224" s="3968">
        <f ca="1">SUBTOTAL(109,[2025])</f>
        <v>0</v>
      </c>
      <c r="J1224" s="3968">
        <f ca="1">SUBTOTAL(109,[2030])</f>
        <v>0</v>
      </c>
      <c r="K1224" s="3968">
        <f ca="1">SUBTOTAL(109,[2035])</f>
        <v>0</v>
      </c>
      <c r="L1224" s="3968">
        <f ca="1">SUBTOTAL(109,[2040])</f>
        <v>0</v>
      </c>
      <c r="M1224" s="3968">
        <f ca="1">SUBTOTAL(109,[2045])</f>
        <v>0</v>
      </c>
      <c r="N1224" s="3968">
        <f ca="1">SUBTOTAL(109,[2050])</f>
        <v>0</v>
      </c>
      <c r="O1224" s="13"/>
    </row>
    <row r="1225" spans="1:25" ht="15.75">
      <c r="A1225" s="443"/>
      <c r="B1225" s="11"/>
      <c r="C1225" s="18"/>
      <c r="D1225" s="18"/>
      <c r="E1225" s="18"/>
      <c r="F1225" s="449"/>
      <c r="G1225" s="449"/>
      <c r="H1225" s="449"/>
      <c r="I1225" s="449"/>
      <c r="J1225" s="449"/>
      <c r="K1225" s="449"/>
      <c r="L1225" s="449"/>
      <c r="M1225" s="449"/>
      <c r="N1225" s="449"/>
      <c r="O1225" s="13"/>
    </row>
    <row r="1226" spans="1:25" ht="15.75">
      <c r="A1226" s="443"/>
      <c r="B1226" s="15"/>
      <c r="C1226" s="34" t="s">
        <v>302</v>
      </c>
      <c r="D1226" s="12"/>
      <c r="E1226" s="14"/>
      <c r="F1226" s="12"/>
      <c r="G1226" s="12"/>
      <c r="H1226" s="12"/>
      <c r="I1226" s="12"/>
      <c r="J1226" s="12"/>
      <c r="K1226" s="12"/>
      <c r="L1226" s="12"/>
      <c r="M1226" s="12"/>
      <c r="N1226" s="14" t="str">
        <f>Preferences.EnergyUnits</f>
        <v>TWh</v>
      </c>
      <c r="O1226" s="13"/>
    </row>
    <row r="1227" spans="1:25" ht="15.75">
      <c r="A1227" s="443"/>
      <c r="B1227" s="15"/>
      <c r="C1227" s="12"/>
      <c r="D1227" s="12"/>
      <c r="E1227" s="12"/>
      <c r="F1227" s="12"/>
      <c r="G1227" s="12"/>
      <c r="H1227" s="12"/>
      <c r="I1227" s="12"/>
      <c r="J1227" s="12"/>
      <c r="K1227" s="12"/>
      <c r="L1227" s="12"/>
      <c r="M1227" s="12"/>
      <c r="N1227" s="12"/>
      <c r="O1227" s="13"/>
    </row>
    <row r="1228" spans="1:25" ht="15.75">
      <c r="A1228" s="443"/>
      <c r="B1228" s="15"/>
      <c r="C1228" s="725" t="s">
        <v>28</v>
      </c>
      <c r="D1228" s="725" t="s">
        <v>29</v>
      </c>
      <c r="E1228" s="725" t="s">
        <v>30</v>
      </c>
      <c r="F1228" s="725" t="s">
        <v>597</v>
      </c>
      <c r="G1228" s="725" t="s">
        <v>133</v>
      </c>
      <c r="H1228" s="725" t="s">
        <v>134</v>
      </c>
      <c r="I1228" s="725" t="s">
        <v>135</v>
      </c>
      <c r="J1228" s="725" t="s">
        <v>136</v>
      </c>
      <c r="K1228" s="725" t="s">
        <v>137</v>
      </c>
      <c r="L1228" s="725" t="s">
        <v>138</v>
      </c>
      <c r="M1228" s="725" t="s">
        <v>139</v>
      </c>
      <c r="N1228" s="725" t="s">
        <v>140</v>
      </c>
      <c r="O1228" s="13"/>
    </row>
    <row r="1229" spans="1:25" ht="15.75">
      <c r="A1229" s="443"/>
      <c r="B1229" s="15"/>
      <c r="C1229" s="725" t="s">
        <v>96</v>
      </c>
      <c r="D1229" s="1746" t="str">
        <f>INDEX(Vectors[Description], MATCH([Vector], Vectors[Code], 0))</f>
        <v>Electricity (delivered to end user)</v>
      </c>
      <c r="E1229" s="725"/>
      <c r="F1229" s="726">
        <f ca="1">INDEX(F$940:F$948, MATCH([Vector], $B$940:$B$948, 0))</f>
        <v>-0.88256437808531207</v>
      </c>
      <c r="G1229" s="726">
        <f ca="1">INDEX(G$940:G$948, MATCH([Vector], $B$940:$B$948, 0))</f>
        <v>-1.4377484699588226</v>
      </c>
      <c r="H1229" s="726">
        <f ca="1">INDEX(H$940:H$948, MATCH([Vector], $B$940:$B$948, 0))</f>
        <v>-1.460457822648747</v>
      </c>
      <c r="I1229" s="726">
        <f ca="1">INDEX(I$940:I$948, MATCH([Vector], $B$940:$B$948, 0))</f>
        <v>-1.5751825966732684</v>
      </c>
      <c r="J1229" s="726">
        <f ca="1">INDEX(J$940:J$948, MATCH([Vector], $B$940:$B$948, 0))</f>
        <v>-1.6558259787752996</v>
      </c>
      <c r="K1229" s="726">
        <f ca="1">INDEX(K$940:K$948, MATCH([Vector], $B$940:$B$948, 0))</f>
        <v>-1.7495624120225663</v>
      </c>
      <c r="L1229" s="726">
        <f ca="1">INDEX(L$940:L$948, MATCH([Vector], $B$940:$B$948, 0))</f>
        <v>-1.8492049246245645</v>
      </c>
      <c r="M1229" s="726">
        <f ca="1">INDEX(M$940:M$948, MATCH([Vector], $B$940:$B$948, 0))</f>
        <v>-1.9266970572248459</v>
      </c>
      <c r="N1229" s="726">
        <f ca="1">INDEX(N$940:N$948, MATCH([Vector], $B$940:$B$948, 0))</f>
        <v>-1.9961524440419962</v>
      </c>
      <c r="O1229" s="867" t="s">
        <v>5</v>
      </c>
    </row>
    <row r="1230" spans="1:25" ht="15.75">
      <c r="A1230" s="443"/>
      <c r="B1230" s="15"/>
      <c r="C1230" s="725" t="s">
        <v>97</v>
      </c>
      <c r="D1230" s="1746" t="str">
        <f>INDEX(Vectors[Description], MATCH([Vector], Vectors[Code], 0))</f>
        <v>Electricity (supplied to grid)</v>
      </c>
      <c r="E1230" s="725"/>
      <c r="F1230" s="726">
        <f ca="1">INDEX(F$940:F$948, MATCH([Vector], $B$940:$B$948, 0))</f>
        <v>0</v>
      </c>
      <c r="G1230" s="726">
        <f ca="1">INDEX(G$940:G$948, MATCH([Vector], $B$940:$B$948, 0))</f>
        <v>0</v>
      </c>
      <c r="H1230" s="726">
        <f ca="1">INDEX(H$940:H$948, MATCH([Vector], $B$940:$B$948, 0))</f>
        <v>0</v>
      </c>
      <c r="I1230" s="726">
        <f ca="1">INDEX(I$940:I$948, MATCH([Vector], $B$940:$B$948, 0))</f>
        <v>0</v>
      </c>
      <c r="J1230" s="726">
        <f ca="1">INDEX(J$940:J$948, MATCH([Vector], $B$940:$B$948, 0))</f>
        <v>0</v>
      </c>
      <c r="K1230" s="726">
        <f ca="1">INDEX(K$940:K$948, MATCH([Vector], $B$940:$B$948, 0))</f>
        <v>0</v>
      </c>
      <c r="L1230" s="726">
        <f ca="1">INDEX(L$940:L$948, MATCH([Vector], $B$940:$B$948, 0))</f>
        <v>0</v>
      </c>
      <c r="M1230" s="726">
        <f ca="1">INDEX(M$940:M$948, MATCH([Vector], $B$940:$B$948, 0))</f>
        <v>0</v>
      </c>
      <c r="N1230" s="726">
        <f ca="1">INDEX(N$940:N$948, MATCH([Vector], $B$940:$B$948, 0))</f>
        <v>0</v>
      </c>
      <c r="O1230" s="13"/>
    </row>
    <row r="1231" spans="1:25" ht="23.25">
      <c r="A1231" s="7"/>
      <c r="B1231" s="15"/>
      <c r="C1231" s="725" t="s">
        <v>98</v>
      </c>
      <c r="D1231" s="1746" t="str">
        <f>INDEX(Vectors[Description], MATCH([Vector], Vectors[Code], 0))</f>
        <v>Solid hydrocarbons</v>
      </c>
      <c r="E1231" s="725"/>
      <c r="F1231" s="726">
        <f ca="1">INDEX(F$940:F$948, MATCH([Vector], $B$940:$B$948, 0))</f>
        <v>-0.41220752781623782</v>
      </c>
      <c r="G1231" s="726">
        <f ca="1">INDEX(G$940:G$948, MATCH([Vector], $B$940:$B$948, 0))</f>
        <v>-0.26352704049482828</v>
      </c>
      <c r="H1231" s="726">
        <f ca="1">INDEX(H$940:H$948, MATCH([Vector], $B$940:$B$948, 0))</f>
        <v>-0.21143772455169493</v>
      </c>
      <c r="I1231" s="726">
        <f ca="1">INDEX(I$940:I$948, MATCH([Vector], $B$940:$B$948, 0))</f>
        <v>-0.17624833604772824</v>
      </c>
      <c r="J1231" s="726">
        <f ca="1">INDEX(J$940:J$948, MATCH([Vector], $B$940:$B$948, 0))</f>
        <v>-0.13819323886480134</v>
      </c>
      <c r="K1231" s="726">
        <f ca="1">INDEX(K$940:K$948, MATCH([Vector], $B$940:$B$948, 0))</f>
        <v>-0.10257271542282514</v>
      </c>
      <c r="L1231" s="726">
        <f ca="1">INDEX(L$940:L$948, MATCH([Vector], $B$940:$B$948, 0))</f>
        <v>-6.7969281007703761E-2</v>
      </c>
      <c r="M1231" s="726">
        <f ca="1">INDEX(M$940:M$948, MATCH([Vector], $B$940:$B$948, 0))</f>
        <v>-3.3417807674940292E-2</v>
      </c>
      <c r="N1231" s="726">
        <f ca="1">INDEX(N$940:N$948, MATCH([Vector], $B$940:$B$948, 0))</f>
        <v>0</v>
      </c>
      <c r="O1231" s="13"/>
    </row>
    <row r="1232" spans="1:25" ht="23.25">
      <c r="A1232" s="7"/>
      <c r="B1232" s="15"/>
      <c r="C1232" s="725" t="s">
        <v>99</v>
      </c>
      <c r="D1232" s="1746" t="str">
        <f>INDEX(Vectors[Description], MATCH([Vector], Vectors[Code], 0))</f>
        <v>Liquid hydrocarbons</v>
      </c>
      <c r="E1232" s="725"/>
      <c r="F1232" s="726">
        <f ca="1">INDEX(F$940:F$948, MATCH([Vector], $B$940:$B$948, 0))</f>
        <v>-15.256778003771721</v>
      </c>
      <c r="G1232" s="726">
        <f ca="1">INDEX(G$940:G$948, MATCH([Vector], $B$940:$B$948, 0))</f>
        <v>-12.999761739873746</v>
      </c>
      <c r="H1232" s="726">
        <f ca="1">INDEX(H$940:H$948, MATCH([Vector], $B$940:$B$948, 0))</f>
        <v>-10.43020115443155</v>
      </c>
      <c r="I1232" s="726">
        <f ca="1">INDEX(I$940:I$948, MATCH([Vector], $B$940:$B$948, 0))</f>
        <v>-8.694312247302884</v>
      </c>
      <c r="J1232" s="726">
        <f ca="1">INDEX(J$940:J$948, MATCH([Vector], $B$940:$B$948, 0))</f>
        <v>-6.8170582264749946</v>
      </c>
      <c r="K1232" s="726">
        <f ca="1">INDEX(K$940:K$948, MATCH([Vector], $B$940:$B$948, 0))</f>
        <v>-5.0599014773012208</v>
      </c>
      <c r="L1232" s="726">
        <f ca="1">INDEX(L$940:L$948, MATCH([Vector], $B$940:$B$948, 0))</f>
        <v>-3.3529176249676542</v>
      </c>
      <c r="M1232" s="726">
        <f ca="1">INDEX(M$940:M$948, MATCH([Vector], $B$940:$B$948, 0))</f>
        <v>-1.6484970074699921</v>
      </c>
      <c r="N1232" s="726">
        <f ca="1">INDEX(N$940:N$948, MATCH([Vector], $B$940:$B$948, 0))</f>
        <v>0</v>
      </c>
      <c r="O1232" s="13"/>
    </row>
    <row r="1233" spans="2:15" ht="15.75">
      <c r="B1233" s="15"/>
      <c r="C1233" s="725" t="s">
        <v>100</v>
      </c>
      <c r="D1233" s="1746" t="str">
        <f>INDEX(Vectors[Description], MATCH([Vector], Vectors[Code], 0))</f>
        <v>Gaseous hydrocarbons</v>
      </c>
      <c r="E1233" s="725"/>
      <c r="F1233" s="726">
        <f ca="1">INDEX(F$940:F$948, MATCH([Vector], $B$940:$B$948, 0))</f>
        <v>-9.4463708573767775</v>
      </c>
      <c r="G1233" s="726">
        <f ca="1">INDEX(G$940:G$948, MATCH([Vector], $B$940:$B$948, 0))</f>
        <v>-9.2556061660433429</v>
      </c>
      <c r="H1233" s="726">
        <f ca="1">INDEX(H$940:H$948, MATCH([Vector], $B$940:$B$948, 0))</f>
        <v>-10.45827972318421</v>
      </c>
      <c r="I1233" s="726">
        <f ca="1">INDEX(I$940:I$948, MATCH([Vector], $B$940:$B$948, 0))</f>
        <v>-12.256242010620332</v>
      </c>
      <c r="J1233" s="726">
        <f ca="1">INDEX(J$940:J$948, MATCH([Vector], $B$940:$B$948, 0))</f>
        <v>-13.771647618705204</v>
      </c>
      <c r="K1233" s="726">
        <f ca="1">INDEX(K$940:K$948, MATCH([Vector], $B$940:$B$948, 0))</f>
        <v>-15.370245545423987</v>
      </c>
      <c r="L1233" s="726">
        <f ca="1">INDEX(L$940:L$948, MATCH([Vector], $B$940:$B$948, 0))</f>
        <v>-17.008084093270114</v>
      </c>
      <c r="M1233" s="726">
        <f ca="1">INDEX(M$940:M$948, MATCH([Vector], $B$940:$B$948, 0))</f>
        <v>-18.42610368749196</v>
      </c>
      <c r="N1233" s="726">
        <f ca="1">INDEX(N$940:N$948, MATCH([Vector], $B$940:$B$948, 0))</f>
        <v>-19.742167028986774</v>
      </c>
      <c r="O1233" s="13"/>
    </row>
    <row r="1234" spans="2:15" ht="15.75">
      <c r="B1234" s="15"/>
      <c r="C1234" s="725" t="s">
        <v>101</v>
      </c>
      <c r="D1234" s="1746" t="str">
        <f>INDEX(Vectors[Description], MATCH([Vector], Vectors[Code], 0))</f>
        <v>Heat transport</v>
      </c>
      <c r="E1234" s="725"/>
      <c r="F1234" s="726">
        <f ca="1">INDEX(F$940:F$948, MATCH([Vector], $B$940:$B$948, 0))</f>
        <v>0</v>
      </c>
      <c r="G1234" s="726">
        <f ca="1">INDEX(G$940:G$948, MATCH([Vector], $B$940:$B$948, 0))</f>
        <v>0</v>
      </c>
      <c r="H1234" s="726">
        <f ca="1">INDEX(H$940:H$948, MATCH([Vector], $B$940:$B$948, 0))</f>
        <v>0</v>
      </c>
      <c r="I1234" s="726">
        <f ca="1">INDEX(I$940:I$948, MATCH([Vector], $B$940:$B$948, 0))</f>
        <v>0</v>
      </c>
      <c r="J1234" s="726">
        <f ca="1">INDEX(J$940:J$948, MATCH([Vector], $B$940:$B$948, 0))</f>
        <v>0</v>
      </c>
      <c r="K1234" s="726">
        <f ca="1">INDEX(K$940:K$948, MATCH([Vector], $B$940:$B$948, 0))</f>
        <v>0</v>
      </c>
      <c r="L1234" s="726">
        <f ca="1">INDEX(L$940:L$948, MATCH([Vector], $B$940:$B$948, 0))</f>
        <v>0</v>
      </c>
      <c r="M1234" s="726">
        <f ca="1">INDEX(M$940:M$948, MATCH([Vector], $B$940:$B$948, 0))</f>
        <v>0</v>
      </c>
      <c r="N1234" s="726">
        <f ca="1">INDEX(N$940:N$948, MATCH([Vector], $B$940:$B$948, 0))</f>
        <v>0</v>
      </c>
      <c r="O1234" s="13"/>
    </row>
    <row r="1235" spans="2:15" ht="15.75">
      <c r="B1235" s="15"/>
      <c r="C1235" s="725" t="s">
        <v>31</v>
      </c>
      <c r="D1235" s="1746" t="str">
        <f>INDEX(Vectors[Description], MATCH([Vector], Vectors[Code], 0))</f>
        <v>Domestic solar thermal</v>
      </c>
      <c r="E1235" s="725"/>
      <c r="F1235" s="726">
        <f t="shared" ref="F1235:N1235" ca="1" si="155">-F$758</f>
        <v>-4.1054887428987621E-2</v>
      </c>
      <c r="G1235" s="726">
        <f t="shared" ca="1" si="155"/>
        <v>-0.29533988943004724</v>
      </c>
      <c r="H1235" s="726">
        <f t="shared" ca="1" si="155"/>
        <v>-0.55796848364472162</v>
      </c>
      <c r="I1235" s="726">
        <f t="shared" ca="1" si="155"/>
        <v>-0.87993360231339046</v>
      </c>
      <c r="J1235" s="726">
        <f t="shared" ca="1" si="155"/>
        <v>-1.4025987513562512</v>
      </c>
      <c r="K1235" s="726">
        <f t="shared" ca="1" si="155"/>
        <v>-1.8347909840221523</v>
      </c>
      <c r="L1235" s="726">
        <f t="shared" ca="1" si="155"/>
        <v>-2.3046831432863932</v>
      </c>
      <c r="M1235" s="726">
        <f t="shared" ca="1" si="155"/>
        <v>-3.2093197943966696</v>
      </c>
      <c r="N1235" s="726">
        <f t="shared" ca="1" si="155"/>
        <v>-4.1910433229244628</v>
      </c>
      <c r="O1235" s="13"/>
    </row>
    <row r="1236" spans="2:15" ht="15.75">
      <c r="B1236" s="15"/>
      <c r="C1236" s="725" t="s">
        <v>102</v>
      </c>
      <c r="D1236" s="1746" t="str">
        <f>INDEX(Vectors[Description], MATCH([Vector], Vectors[Code], 0))</f>
        <v>Environmental heat</v>
      </c>
      <c r="E1236" s="725"/>
      <c r="F1236" s="726">
        <f ca="1">INDEX(F$940:F$948, MATCH([Vector], $B$940:$B$948, 0))</f>
        <v>-4.9849049835017811E-2</v>
      </c>
      <c r="G1236" s="726">
        <f ca="1">INDEX(G$940:G$948, MATCH([Vector], $B$940:$B$948, 0))</f>
        <v>-0.16713120665468159</v>
      </c>
      <c r="H1236" s="726">
        <f ca="1">INDEX(H$940:H$948, MATCH([Vector], $B$940:$B$948, 0))</f>
        <v>-0.13378262047103262</v>
      </c>
      <c r="I1236" s="726">
        <f ca="1">INDEX(I$940:I$948, MATCH([Vector], $B$940:$B$948, 0))</f>
        <v>-0.11151397930349062</v>
      </c>
      <c r="J1236" s="726">
        <f ca="1">INDEX(J$940:J$948, MATCH([Vector], $B$940:$B$948, 0))</f>
        <v>-8.7481729504168951E-2</v>
      </c>
      <c r="K1236" s="726">
        <f ca="1">INDEX(K$940:K$948, MATCH([Vector], $B$940:$B$948, 0))</f>
        <v>-6.4948923807210096E-2</v>
      </c>
      <c r="L1236" s="726">
        <f ca="1">INDEX(L$940:L$948, MATCH([Vector], $B$940:$B$948, 0))</f>
        <v>-4.3059858629907362E-2</v>
      </c>
      <c r="M1236" s="726">
        <f ca="1">INDEX(M$940:M$948, MATCH([Vector], $B$940:$B$948, 0))</f>
        <v>-2.1226952147421783E-2</v>
      </c>
      <c r="N1236" s="726">
        <f ca="1">INDEX(N$940:N$948, MATCH([Vector], $B$940:$B$948, 0))</f>
        <v>0</v>
      </c>
      <c r="O1236" s="13"/>
    </row>
    <row r="1237" spans="2:15" ht="15.75">
      <c r="B1237" s="15"/>
      <c r="C1237" s="725" t="s">
        <v>103</v>
      </c>
      <c r="D1237" s="1746" t="str">
        <f>INDEX(Vectors[Description], MATCH([Vector], Vectors[Code], 0))</f>
        <v>Heating and cooling</v>
      </c>
      <c r="E1237" s="1747"/>
      <c r="F1237" s="726">
        <f t="shared" ref="F1237:N1237" ca="1" si="156">F$947+F$948+F$758</f>
        <v>26.088824704314053</v>
      </c>
      <c r="G1237" s="726">
        <f t="shared" ca="1" si="156"/>
        <v>24.419114512455465</v>
      </c>
      <c r="H1237" s="726">
        <f t="shared" ca="1" si="156"/>
        <v>23.252127528931958</v>
      </c>
      <c r="I1237" s="726">
        <f t="shared" ca="1" si="156"/>
        <v>23.69343277226109</v>
      </c>
      <c r="J1237" s="726">
        <f t="shared" ca="1" si="156"/>
        <v>23.87280554368072</v>
      </c>
      <c r="K1237" s="726">
        <f t="shared" ca="1" si="156"/>
        <v>24.182022057999962</v>
      </c>
      <c r="L1237" s="726">
        <f t="shared" ca="1" si="156"/>
        <v>24.62591892578634</v>
      </c>
      <c r="M1237" s="726">
        <f t="shared" ca="1" si="156"/>
        <v>25.26526230640583</v>
      </c>
      <c r="N1237" s="726">
        <f t="shared" ca="1" si="156"/>
        <v>25.929362795953232</v>
      </c>
      <c r="O1237" s="13"/>
    </row>
    <row r="1238" spans="2:15" ht="15.75">
      <c r="B1238" s="35"/>
      <c r="C1238" s="2463" t="s">
        <v>59</v>
      </c>
      <c r="D1238" s="2463"/>
      <c r="E1238" s="2463"/>
      <c r="F1238" s="2464">
        <f ca="1">SUBTOTAL(109,[2013])</f>
        <v>0</v>
      </c>
      <c r="G1238" s="2464">
        <f ca="1">SUBTOTAL(109,[2015])</f>
        <v>0</v>
      </c>
      <c r="H1238" s="2464">
        <f ca="1">SUBTOTAL(109,[2020])</f>
        <v>0</v>
      </c>
      <c r="I1238" s="2464">
        <f ca="1">SUBTOTAL(109,[2025])</f>
        <v>0</v>
      </c>
      <c r="J1238" s="2464">
        <f ca="1">SUBTOTAL(109,[2030])</f>
        <v>0</v>
      </c>
      <c r="K1238" s="2464">
        <f ca="1">SUBTOTAL(109,[2035])</f>
        <v>0</v>
      </c>
      <c r="L1238" s="2464">
        <f ca="1">SUBTOTAL(109,[2040])</f>
        <v>0</v>
      </c>
      <c r="M1238" s="2464">
        <f ca="1">SUBTOTAL(109,[2045])</f>
        <v>0</v>
      </c>
      <c r="N1238" s="2464">
        <f ca="1">SUBTOTAL(109,[2050])</f>
        <v>0</v>
      </c>
      <c r="O1238" s="35"/>
    </row>
    <row r="1239" spans="2:15" ht="15.75">
      <c r="B1239" s="35"/>
      <c r="C1239" s="451"/>
      <c r="D1239" s="452" t="s">
        <v>5</v>
      </c>
      <c r="E1239" s="451"/>
      <c r="F1239" s="451"/>
      <c r="G1239" s="451"/>
      <c r="H1239" s="451"/>
      <c r="I1239" s="451"/>
      <c r="J1239" s="451"/>
      <c r="K1239" s="451"/>
      <c r="L1239" s="451"/>
      <c r="M1239" s="451"/>
      <c r="N1239" s="451"/>
      <c r="O1239" s="35"/>
    </row>
    <row r="1240" spans="2:15">
      <c r="E1240" s="3084" t="s">
        <v>5</v>
      </c>
    </row>
    <row r="1241" spans="2:15" ht="15.75">
      <c r="B1241" s="454" t="s">
        <v>303</v>
      </c>
      <c r="C1241" s="455"/>
      <c r="D1241" s="456"/>
      <c r="E1241" s="456"/>
      <c r="F1241" s="456"/>
      <c r="G1241" s="456"/>
      <c r="H1241" s="456"/>
      <c r="I1241" s="456"/>
      <c r="J1241" s="456"/>
      <c r="K1241" s="456"/>
      <c r="L1241" s="456"/>
      <c r="M1241" s="456"/>
      <c r="N1241" s="456"/>
      <c r="O1241" s="457"/>
    </row>
    <row r="1242" spans="2:15">
      <c r="B1242" s="458"/>
      <c r="C1242" s="459"/>
      <c r="D1242" s="459"/>
      <c r="E1242" s="459"/>
      <c r="F1242" s="459"/>
      <c r="G1242" s="459"/>
      <c r="H1242" s="459"/>
      <c r="I1242" s="459"/>
      <c r="J1242" s="459"/>
      <c r="K1242" s="459"/>
      <c r="L1242" s="459"/>
      <c r="M1242" s="459"/>
      <c r="N1242" s="459"/>
      <c r="O1242" s="460"/>
    </row>
    <row r="1243" spans="2:15">
      <c r="B1243" s="461"/>
      <c r="C1243" s="462" t="s">
        <v>304</v>
      </c>
      <c r="D1243" s="463"/>
      <c r="E1243" s="464"/>
      <c r="F1243" s="463"/>
      <c r="G1243" s="463"/>
      <c r="H1243" s="463"/>
      <c r="I1243" s="463"/>
      <c r="J1243" s="463"/>
      <c r="K1243" s="463"/>
      <c r="L1243" s="463"/>
      <c r="M1243" s="463"/>
      <c r="N1243" s="464" t="s">
        <v>254</v>
      </c>
      <c r="O1243" s="465"/>
    </row>
    <row r="1244" spans="2:15">
      <c r="B1244" s="461"/>
      <c r="C1244" s="463"/>
      <c r="D1244" s="463"/>
      <c r="E1244" s="463"/>
      <c r="F1244" s="463"/>
      <c r="G1244" s="463"/>
      <c r="H1244" s="463"/>
      <c r="I1244" s="463"/>
      <c r="J1244" s="463"/>
      <c r="K1244" s="463"/>
      <c r="L1244" s="463"/>
      <c r="M1244" s="463"/>
      <c r="N1244" s="463"/>
      <c r="O1244" s="465"/>
    </row>
    <row r="1245" spans="2:15">
      <c r="B1245" s="461"/>
      <c r="C1245" s="466" t="s">
        <v>305</v>
      </c>
      <c r="D1245" s="466" t="s">
        <v>306</v>
      </c>
      <c r="E1245" s="466" t="s">
        <v>30</v>
      </c>
      <c r="F1245" s="466" t="s">
        <v>597</v>
      </c>
      <c r="G1245" s="466" t="s">
        <v>133</v>
      </c>
      <c r="H1245" s="466" t="s">
        <v>134</v>
      </c>
      <c r="I1245" s="466" t="s">
        <v>135</v>
      </c>
      <c r="J1245" s="466" t="s">
        <v>136</v>
      </c>
      <c r="K1245" s="466" t="s">
        <v>137</v>
      </c>
      <c r="L1245" s="466" t="s">
        <v>138</v>
      </c>
      <c r="M1245" s="466" t="s">
        <v>139</v>
      </c>
      <c r="N1245" s="466" t="s">
        <v>140</v>
      </c>
      <c r="O1245" s="465"/>
    </row>
    <row r="1246" spans="2:15" ht="15.75">
      <c r="B1246" s="467"/>
      <c r="C1246" s="468" t="s">
        <v>253</v>
      </c>
      <c r="D1246" s="469" t="s">
        <v>307</v>
      </c>
      <c r="E1246" s="469" t="str">
        <f>INDEX(IPCC[Sector_description], MATCH([IPCC Sector], IPCC[Sector_code], 0))</f>
        <v>Fuel Combustion</v>
      </c>
      <c r="F1246" s="470">
        <f t="shared" ref="F1246:N1246" ca="1" si="157">F1262-F1254</f>
        <v>6.0990014520418683</v>
      </c>
      <c r="G1246" s="470">
        <f t="shared" ca="1" si="157"/>
        <v>5.4141685608344368</v>
      </c>
      <c r="H1246" s="470">
        <f t="shared" ca="1" si="157"/>
        <v>4.9647391675110182</v>
      </c>
      <c r="I1246" s="470">
        <f t="shared" ca="1" si="157"/>
        <v>4.8628730739353312</v>
      </c>
      <c r="J1246" s="470">
        <f t="shared" ca="1" si="157"/>
        <v>4.6648906842500004</v>
      </c>
      <c r="K1246" s="470">
        <f t="shared" ca="1" si="157"/>
        <v>4.5164527605396705</v>
      </c>
      <c r="L1246" s="470">
        <f t="shared" ca="1" si="157"/>
        <v>4.3896312399317292</v>
      </c>
      <c r="M1246" s="470">
        <f t="shared" ca="1" si="157"/>
        <v>4.2185020489889125</v>
      </c>
      <c r="N1246" s="470">
        <f t="shared" ca="1" si="157"/>
        <v>4.0416401247746068</v>
      </c>
      <c r="O1246" s="465"/>
    </row>
    <row r="1247" spans="2:15" ht="15.75">
      <c r="B1247" s="467"/>
      <c r="C1247" s="468" t="s">
        <v>255</v>
      </c>
      <c r="D1247" s="469" t="s">
        <v>307</v>
      </c>
      <c r="E1247" s="469" t="str">
        <f>INDEX(IPCC[Sector_description], MATCH([IPCC Sector], IPCC[Sector_code], 0))</f>
        <v>Fuel Combustion</v>
      </c>
      <c r="F1247" s="470">
        <f t="shared" ref="F1247:N1247" ca="1" si="158">F1263-F1255</f>
        <v>4.1961969104451465E-3</v>
      </c>
      <c r="G1247" s="470">
        <f t="shared" ca="1" si="158"/>
        <v>3.6620156397392288E-3</v>
      </c>
      <c r="H1247" s="470">
        <f t="shared" ca="1" si="158"/>
        <v>3.1674048532810781E-3</v>
      </c>
      <c r="I1247" s="470">
        <f t="shared" ca="1" si="158"/>
        <v>2.9077689756348371E-3</v>
      </c>
      <c r="J1247" s="470">
        <f t="shared" ca="1" si="158"/>
        <v>2.5945585519393678E-3</v>
      </c>
      <c r="K1247" s="470">
        <f t="shared" ca="1" si="158"/>
        <v>2.3150043663861461E-3</v>
      </c>
      <c r="L1247" s="470">
        <f t="shared" ca="1" si="158"/>
        <v>2.0498498091448122E-3</v>
      </c>
      <c r="M1247" s="470">
        <f t="shared" ca="1" si="158"/>
        <v>1.7686610304507443E-3</v>
      </c>
      <c r="N1247" s="470">
        <f t="shared" ca="1" si="158"/>
        <v>1.4925078273914003E-3</v>
      </c>
      <c r="O1247" s="465"/>
    </row>
    <row r="1248" spans="2:15" ht="15.75">
      <c r="B1248" s="467"/>
      <c r="C1248" s="468" t="s">
        <v>256</v>
      </c>
      <c r="D1248" s="469" t="s">
        <v>307</v>
      </c>
      <c r="E1248" s="469" t="str">
        <f>INDEX(IPCC[Sector_description], MATCH([IPCC Sector], IPCC[Sector_code], 0))</f>
        <v>Fuel Combustion</v>
      </c>
      <c r="F1248" s="470">
        <f t="shared" ref="F1248:N1248" ca="1" si="159">F1264-F1256</f>
        <v>4.1018184994661207E-2</v>
      </c>
      <c r="G1248" s="470">
        <f t="shared" ca="1" si="159"/>
        <v>3.8806532345398249E-2</v>
      </c>
      <c r="H1248" s="470">
        <f t="shared" ca="1" si="159"/>
        <v>4.0949221439420591E-2</v>
      </c>
      <c r="I1248" s="470">
        <f t="shared" ca="1" si="159"/>
        <v>4.5586159695480286E-2</v>
      </c>
      <c r="J1248" s="470">
        <f t="shared" ca="1" si="159"/>
        <v>4.9212374368911738E-2</v>
      </c>
      <c r="K1248" s="470">
        <f t="shared" ca="1" si="159"/>
        <v>5.3189608287617027E-2</v>
      </c>
      <c r="L1248" s="470">
        <f t="shared" ca="1" si="159"/>
        <v>5.7328003859940038E-2</v>
      </c>
      <c r="M1248" s="470">
        <f t="shared" ca="1" si="159"/>
        <v>6.0756722707083502E-2</v>
      </c>
      <c r="N1248" s="470">
        <f t="shared" ca="1" si="159"/>
        <v>6.3893549372612796E-2</v>
      </c>
      <c r="O1248" s="465"/>
    </row>
    <row r="1249" spans="2:22" ht="15.75">
      <c r="B1249" s="467"/>
      <c r="C1249" s="3085" t="s">
        <v>59</v>
      </c>
      <c r="D1249" s="3085"/>
      <c r="E1249" s="3085"/>
      <c r="F1249" s="2467">
        <f ca="1">SUBTOTAL(109,[2013])</f>
        <v>6.1442158339469746</v>
      </c>
      <c r="G1249" s="2467">
        <f ca="1">SUBTOTAL(109,[2015])</f>
        <v>5.4566371088195744</v>
      </c>
      <c r="H1249" s="2467">
        <f ca="1">SUBTOTAL(109,[2020])</f>
        <v>5.0088557938037201</v>
      </c>
      <c r="I1249" s="2467">
        <f ca="1">SUBTOTAL(109,[2025])</f>
        <v>4.911367002606446</v>
      </c>
      <c r="J1249" s="2467">
        <f ca="1">SUBTOTAL(109,[2030])</f>
        <v>4.7166976171708512</v>
      </c>
      <c r="K1249" s="2467">
        <f ca="1">SUBTOTAL(109,[2035])</f>
        <v>4.5719573731936736</v>
      </c>
      <c r="L1249" s="2467">
        <f ca="1">SUBTOTAL(109,[2040])</f>
        <v>4.4490090936008144</v>
      </c>
      <c r="M1249" s="2467">
        <f ca="1">SUBTOTAL(109,[2045])</f>
        <v>4.2810274327264466</v>
      </c>
      <c r="N1249" s="2467">
        <f ca="1">SUBTOTAL(109,[2050])</f>
        <v>4.1070261819746108</v>
      </c>
      <c r="O1249" s="465"/>
    </row>
    <row r="1250" spans="2:22">
      <c r="B1250" s="461"/>
      <c r="C1250" s="468"/>
      <c r="D1250" s="468"/>
      <c r="E1250" s="468"/>
      <c r="F1250" s="471"/>
      <c r="G1250" s="471"/>
      <c r="H1250" s="471"/>
      <c r="I1250" s="471"/>
      <c r="J1250" s="471"/>
      <c r="K1250" s="471"/>
      <c r="L1250" s="471"/>
      <c r="M1250" s="471"/>
      <c r="N1250" s="471"/>
      <c r="O1250" s="465"/>
    </row>
    <row r="1251" spans="2:22">
      <c r="B1251" s="461"/>
      <c r="C1251" s="462" t="s">
        <v>309</v>
      </c>
      <c r="D1251" s="463"/>
      <c r="E1251" s="464"/>
      <c r="F1251" s="463"/>
      <c r="G1251" s="463"/>
      <c r="H1251" s="463"/>
      <c r="I1251" s="463"/>
      <c r="J1251" s="463"/>
      <c r="K1251" s="463"/>
      <c r="L1251" s="463"/>
      <c r="M1251" s="463"/>
      <c r="N1251" s="464" t="s">
        <v>254</v>
      </c>
      <c r="O1251" s="465"/>
    </row>
    <row r="1252" spans="2:22">
      <c r="B1252" s="461"/>
      <c r="C1252" s="463"/>
      <c r="D1252" s="463"/>
      <c r="E1252" s="463"/>
      <c r="F1252" s="463"/>
      <c r="G1252" s="463"/>
      <c r="H1252" s="463"/>
      <c r="I1252" s="463"/>
      <c r="J1252" s="463"/>
      <c r="K1252" s="463"/>
      <c r="L1252" s="463"/>
      <c r="M1252" s="463"/>
      <c r="N1252" s="463"/>
      <c r="O1252" s="465"/>
    </row>
    <row r="1253" spans="2:22" ht="15.75">
      <c r="B1253" s="467"/>
      <c r="C1253" s="466" t="s">
        <v>305</v>
      </c>
      <c r="D1253" s="466" t="s">
        <v>306</v>
      </c>
      <c r="E1253" s="466" t="s">
        <v>30</v>
      </c>
      <c r="F1253" s="466" t="s">
        <v>597</v>
      </c>
      <c r="G1253" s="466" t="s">
        <v>133</v>
      </c>
      <c r="H1253" s="466" t="s">
        <v>134</v>
      </c>
      <c r="I1253" s="466" t="s">
        <v>135</v>
      </c>
      <c r="J1253" s="466" t="s">
        <v>136</v>
      </c>
      <c r="K1253" s="466" t="s">
        <v>137</v>
      </c>
      <c r="L1253" s="466" t="s">
        <v>138</v>
      </c>
      <c r="M1253" s="466" t="s">
        <v>139</v>
      </c>
      <c r="N1253" s="466" t="s">
        <v>140</v>
      </c>
      <c r="O1253" s="465"/>
    </row>
    <row r="1254" spans="2:22" ht="15.75">
      <c r="B1254" s="467"/>
      <c r="C1254" s="468" t="s">
        <v>253</v>
      </c>
      <c r="D1254" s="469" t="s">
        <v>307</v>
      </c>
      <c r="E1254" s="469" t="str">
        <f>INDEX(IPCC[Sector_description], MATCH([IPCC Sector], IPCC[Sector_code], 0))</f>
        <v>Fuel Combustion</v>
      </c>
      <c r="F1254" s="470">
        <v>0</v>
      </c>
      <c r="G1254" s="470">
        <v>0</v>
      </c>
      <c r="H1254" s="470">
        <v>0</v>
      </c>
      <c r="I1254" s="470">
        <v>0</v>
      </c>
      <c r="J1254" s="470">
        <v>0</v>
      </c>
      <c r="K1254" s="470">
        <v>0</v>
      </c>
      <c r="L1254" s="470">
        <v>0</v>
      </c>
      <c r="M1254" s="470">
        <v>0</v>
      </c>
      <c r="N1254" s="470">
        <v>0</v>
      </c>
      <c r="O1254" s="465"/>
    </row>
    <row r="1255" spans="2:22" ht="15.75">
      <c r="B1255" s="467"/>
      <c r="C1255" s="468" t="s">
        <v>255</v>
      </c>
      <c r="D1255" s="469" t="s">
        <v>307</v>
      </c>
      <c r="E1255" s="469" t="str">
        <f>INDEX(IPCC[Sector_description], MATCH([IPCC Sector], IPCC[Sector_code], 0))</f>
        <v>Fuel Combustion</v>
      </c>
      <c r="F1255" s="470">
        <v>0</v>
      </c>
      <c r="G1255" s="470">
        <v>0</v>
      </c>
      <c r="H1255" s="470">
        <v>0</v>
      </c>
      <c r="I1255" s="470">
        <v>0</v>
      </c>
      <c r="J1255" s="470">
        <v>0</v>
      </c>
      <c r="K1255" s="470">
        <v>0</v>
      </c>
      <c r="L1255" s="470">
        <v>0</v>
      </c>
      <c r="M1255" s="470">
        <v>0</v>
      </c>
      <c r="N1255" s="470">
        <v>0</v>
      </c>
      <c r="O1255" s="465"/>
    </row>
    <row r="1256" spans="2:22" ht="15.75">
      <c r="B1256" s="467"/>
      <c r="C1256" s="468" t="s">
        <v>256</v>
      </c>
      <c r="D1256" s="469" t="s">
        <v>307</v>
      </c>
      <c r="E1256" s="469" t="str">
        <f>INDEX(IPCC[Sector_description], MATCH([IPCC Sector], IPCC[Sector_code], 0))</f>
        <v>Fuel Combustion</v>
      </c>
      <c r="F1256" s="470">
        <v>0</v>
      </c>
      <c r="G1256" s="470">
        <v>0</v>
      </c>
      <c r="H1256" s="470">
        <v>0</v>
      </c>
      <c r="I1256" s="470">
        <v>0</v>
      </c>
      <c r="J1256" s="470">
        <v>0</v>
      </c>
      <c r="K1256" s="470">
        <v>0</v>
      </c>
      <c r="L1256" s="470">
        <v>0</v>
      </c>
      <c r="M1256" s="470">
        <v>0</v>
      </c>
      <c r="N1256" s="470">
        <v>0</v>
      </c>
      <c r="O1256" s="465"/>
    </row>
    <row r="1257" spans="2:22" ht="15.75">
      <c r="B1257" s="467"/>
      <c r="C1257" s="3085" t="s">
        <v>59</v>
      </c>
      <c r="D1257" s="3085"/>
      <c r="E1257" s="3085"/>
      <c r="F1257" s="2467">
        <f>SUBTOTAL(109,[2013])</f>
        <v>0</v>
      </c>
      <c r="G1257" s="2467">
        <f>SUBTOTAL(109,[2015])</f>
        <v>0</v>
      </c>
      <c r="H1257" s="2467">
        <f>SUBTOTAL(109,[2020])</f>
        <v>0</v>
      </c>
      <c r="I1257" s="2467">
        <f>SUBTOTAL(109,[2025])</f>
        <v>0</v>
      </c>
      <c r="J1257" s="2467">
        <f>SUBTOTAL(109,[2030])</f>
        <v>0</v>
      </c>
      <c r="K1257" s="2467">
        <f>SUBTOTAL(109,[2035])</f>
        <v>0</v>
      </c>
      <c r="L1257" s="2467">
        <f>SUBTOTAL(109,[2040])</f>
        <v>0</v>
      </c>
      <c r="M1257" s="2467">
        <f>SUBTOTAL(109,[2045])</f>
        <v>0</v>
      </c>
      <c r="N1257" s="2467">
        <f>SUBTOTAL(109,[2050])</f>
        <v>0</v>
      </c>
      <c r="O1257" s="465"/>
      <c r="S1257" s="472"/>
      <c r="T1257" s="473"/>
      <c r="U1257" s="472"/>
      <c r="V1257" s="472"/>
    </row>
    <row r="1258" spans="2:22">
      <c r="B1258" s="461"/>
      <c r="C1258" s="468"/>
      <c r="D1258" s="468"/>
      <c r="E1258" s="468"/>
      <c r="F1258" s="471"/>
      <c r="G1258" s="471"/>
      <c r="H1258" s="471"/>
      <c r="I1258" s="471"/>
      <c r="J1258" s="471"/>
      <c r="K1258" s="471"/>
      <c r="L1258" s="471"/>
      <c r="M1258" s="471"/>
      <c r="N1258" s="471"/>
      <c r="O1258" s="465"/>
      <c r="T1258" s="4"/>
    </row>
    <row r="1259" spans="2:22">
      <c r="B1259" s="461"/>
      <c r="C1259" s="462" t="s">
        <v>310</v>
      </c>
      <c r="D1259" s="463"/>
      <c r="E1259" s="464"/>
      <c r="F1259" s="463"/>
      <c r="G1259" s="463"/>
      <c r="H1259" s="463"/>
      <c r="I1259" s="463"/>
      <c r="J1259" s="463"/>
      <c r="K1259" s="463"/>
      <c r="L1259" s="463"/>
      <c r="M1259" s="463"/>
      <c r="N1259" s="464" t="s">
        <v>254</v>
      </c>
      <c r="O1259" s="465"/>
      <c r="T1259" s="4"/>
    </row>
    <row r="1260" spans="2:22" ht="15.75">
      <c r="B1260" s="467"/>
      <c r="C1260" s="463"/>
      <c r="D1260" s="463"/>
      <c r="E1260" s="463"/>
      <c r="F1260" s="463"/>
      <c r="G1260" s="463"/>
      <c r="H1260" s="463"/>
      <c r="I1260" s="463"/>
      <c r="J1260" s="463"/>
      <c r="K1260" s="463"/>
      <c r="L1260" s="463"/>
      <c r="M1260" s="463"/>
      <c r="N1260" s="463"/>
      <c r="O1260" s="465"/>
    </row>
    <row r="1261" spans="2:22" ht="15.75">
      <c r="B1261" s="467"/>
      <c r="C1261" s="466" t="s">
        <v>305</v>
      </c>
      <c r="D1261" s="466" t="s">
        <v>306</v>
      </c>
      <c r="E1261" s="466" t="s">
        <v>30</v>
      </c>
      <c r="F1261" s="466" t="s">
        <v>597</v>
      </c>
      <c r="G1261" s="466" t="s">
        <v>133</v>
      </c>
      <c r="H1261" s="466" t="s">
        <v>134</v>
      </c>
      <c r="I1261" s="466" t="s">
        <v>135</v>
      </c>
      <c r="J1261" s="466" t="s">
        <v>136</v>
      </c>
      <c r="K1261" s="466" t="s">
        <v>137</v>
      </c>
      <c r="L1261" s="466" t="s">
        <v>138</v>
      </c>
      <c r="M1261" s="466" t="s">
        <v>139</v>
      </c>
      <c r="N1261" s="466" t="s">
        <v>140</v>
      </c>
      <c r="O1261" s="465"/>
    </row>
    <row r="1262" spans="2:22" ht="15.75">
      <c r="B1262" s="467"/>
      <c r="C1262" s="468" t="s">
        <v>253</v>
      </c>
      <c r="D1262" s="469" t="s">
        <v>307</v>
      </c>
      <c r="E1262" s="469" t="str">
        <f>INDEX(IPCC[Sector_description], MATCH([IPCC Sector], IPCC[Sector_code], 0))</f>
        <v>Fuel Combustion</v>
      </c>
      <c r="F1262" s="470">
        <f t="shared" ref="F1262:N1262" ca="1" si="160">F$952</f>
        <v>6.0990014520418683</v>
      </c>
      <c r="G1262" s="470">
        <f t="shared" ca="1" si="160"/>
        <v>5.4141685608344368</v>
      </c>
      <c r="H1262" s="470">
        <f t="shared" ca="1" si="160"/>
        <v>4.9647391675110182</v>
      </c>
      <c r="I1262" s="470">
        <f t="shared" ca="1" si="160"/>
        <v>4.8628730739353312</v>
      </c>
      <c r="J1262" s="470">
        <f t="shared" ca="1" si="160"/>
        <v>4.6648906842500004</v>
      </c>
      <c r="K1262" s="470">
        <f t="shared" ca="1" si="160"/>
        <v>4.5164527605396705</v>
      </c>
      <c r="L1262" s="470">
        <f t="shared" ca="1" si="160"/>
        <v>4.3896312399317292</v>
      </c>
      <c r="M1262" s="470">
        <f t="shared" ca="1" si="160"/>
        <v>4.2185020489889125</v>
      </c>
      <c r="N1262" s="470">
        <f t="shared" ca="1" si="160"/>
        <v>4.0416401247746068</v>
      </c>
      <c r="O1262" s="465"/>
    </row>
    <row r="1263" spans="2:22" ht="15.75">
      <c r="B1263" s="467"/>
      <c r="C1263" s="468" t="s">
        <v>255</v>
      </c>
      <c r="D1263" s="469" t="s">
        <v>307</v>
      </c>
      <c r="E1263" s="469" t="str">
        <f>INDEX(IPCC[Sector_description], MATCH([IPCC Sector], IPCC[Sector_code], 0))</f>
        <v>Fuel Combustion</v>
      </c>
      <c r="F1263" s="470">
        <f t="shared" ref="F1263:N1263" ca="1" si="161">F$953</f>
        <v>4.1961969104451465E-3</v>
      </c>
      <c r="G1263" s="470">
        <f t="shared" ca="1" si="161"/>
        <v>3.6620156397392288E-3</v>
      </c>
      <c r="H1263" s="470">
        <f t="shared" ca="1" si="161"/>
        <v>3.1674048532810781E-3</v>
      </c>
      <c r="I1263" s="470">
        <f t="shared" ca="1" si="161"/>
        <v>2.9077689756348371E-3</v>
      </c>
      <c r="J1263" s="470">
        <f t="shared" ca="1" si="161"/>
        <v>2.5945585519393678E-3</v>
      </c>
      <c r="K1263" s="470">
        <f t="shared" ca="1" si="161"/>
        <v>2.3150043663861461E-3</v>
      </c>
      <c r="L1263" s="470">
        <f t="shared" ca="1" si="161"/>
        <v>2.0498498091448122E-3</v>
      </c>
      <c r="M1263" s="470">
        <f t="shared" ca="1" si="161"/>
        <v>1.7686610304507443E-3</v>
      </c>
      <c r="N1263" s="470">
        <f t="shared" ca="1" si="161"/>
        <v>1.4925078273914003E-3</v>
      </c>
      <c r="O1263" s="465"/>
    </row>
    <row r="1264" spans="2:22" ht="15.75">
      <c r="B1264" s="474"/>
      <c r="C1264" s="468" t="s">
        <v>256</v>
      </c>
      <c r="D1264" s="469" t="s">
        <v>307</v>
      </c>
      <c r="E1264" s="469" t="str">
        <f>INDEX(IPCC[Sector_description], MATCH([IPCC Sector], IPCC[Sector_code], 0))</f>
        <v>Fuel Combustion</v>
      </c>
      <c r="F1264" s="470">
        <f t="shared" ref="F1264:N1264" ca="1" si="162">F$954</f>
        <v>4.1018184994661207E-2</v>
      </c>
      <c r="G1264" s="470">
        <f t="shared" ca="1" si="162"/>
        <v>3.8806532345398249E-2</v>
      </c>
      <c r="H1264" s="470">
        <f t="shared" ca="1" si="162"/>
        <v>4.0949221439420591E-2</v>
      </c>
      <c r="I1264" s="470">
        <f t="shared" ca="1" si="162"/>
        <v>4.5586159695480286E-2</v>
      </c>
      <c r="J1264" s="470">
        <f t="shared" ca="1" si="162"/>
        <v>4.9212374368911738E-2</v>
      </c>
      <c r="K1264" s="470">
        <f t="shared" ca="1" si="162"/>
        <v>5.3189608287617027E-2</v>
      </c>
      <c r="L1264" s="470">
        <f t="shared" ca="1" si="162"/>
        <v>5.7328003859940038E-2</v>
      </c>
      <c r="M1264" s="470">
        <f t="shared" ca="1" si="162"/>
        <v>6.0756722707083502E-2</v>
      </c>
      <c r="N1264" s="470">
        <f t="shared" ca="1" si="162"/>
        <v>6.3893549372612796E-2</v>
      </c>
      <c r="O1264" s="463"/>
    </row>
    <row r="1265" spans="2:15" ht="15.75">
      <c r="B1265" s="474"/>
      <c r="C1265" s="3085" t="s">
        <v>59</v>
      </c>
      <c r="D1265" s="3085"/>
      <c r="E1265" s="3085"/>
      <c r="F1265" s="2467">
        <f ca="1">SUBTOTAL(109,[2013])</f>
        <v>6.1442158339469746</v>
      </c>
      <c r="G1265" s="2467">
        <f ca="1">SUBTOTAL(109,[2015])</f>
        <v>5.4566371088195744</v>
      </c>
      <c r="H1265" s="2467">
        <f ca="1">SUBTOTAL(109,[2020])</f>
        <v>5.0088557938037201</v>
      </c>
      <c r="I1265" s="2467">
        <f ca="1">SUBTOTAL(109,[2025])</f>
        <v>4.911367002606446</v>
      </c>
      <c r="J1265" s="2467">
        <f ca="1">SUBTOTAL(109,[2030])</f>
        <v>4.7166976171708512</v>
      </c>
      <c r="K1265" s="2467">
        <f ca="1">SUBTOTAL(109,[2035])</f>
        <v>4.5719573731936736</v>
      </c>
      <c r="L1265" s="2467">
        <f ca="1">SUBTOTAL(109,[2040])</f>
        <v>4.4490090936008144</v>
      </c>
      <c r="M1265" s="2467">
        <f ca="1">SUBTOTAL(109,[2045])</f>
        <v>4.2810274327264466</v>
      </c>
      <c r="N1265" s="2467">
        <f ca="1">SUBTOTAL(109,[2050])</f>
        <v>4.1070261819746108</v>
      </c>
      <c r="O1265" s="463"/>
    </row>
    <row r="1266" spans="2:15">
      <c r="B1266" s="477"/>
      <c r="C1266" s="468"/>
      <c r="D1266" s="468"/>
      <c r="E1266" s="468"/>
      <c r="F1266" s="471"/>
      <c r="G1266" s="471"/>
      <c r="H1266" s="471"/>
      <c r="I1266" s="471"/>
      <c r="J1266" s="471"/>
      <c r="K1266" s="471"/>
      <c r="L1266" s="471"/>
      <c r="M1266" s="471"/>
      <c r="N1266" s="471"/>
      <c r="O1266" s="477"/>
    </row>
    <row r="1267" spans="2:15">
      <c r="B1267" s="477"/>
      <c r="C1267" s="475" t="s">
        <v>311</v>
      </c>
      <c r="D1267" s="468"/>
      <c r="E1267" s="468"/>
      <c r="F1267" s="471"/>
      <c r="G1267" s="471"/>
      <c r="H1267" s="471"/>
      <c r="I1267" s="471"/>
      <c r="J1267" s="471"/>
      <c r="K1267" s="471"/>
      <c r="L1267" s="471"/>
      <c r="M1267" s="471"/>
      <c r="N1267" s="476" t="s">
        <v>312</v>
      </c>
      <c r="O1267" s="477"/>
    </row>
    <row r="1268" spans="2:15">
      <c r="B1268" s="477"/>
      <c r="C1268" s="468"/>
      <c r="D1268" s="468"/>
      <c r="E1268" s="468"/>
      <c r="F1268" s="471"/>
      <c r="G1268" s="471"/>
      <c r="H1268" s="471"/>
      <c r="I1268" s="471"/>
      <c r="J1268" s="471"/>
      <c r="K1268" s="471"/>
      <c r="L1268" s="471"/>
      <c r="M1268" s="471"/>
      <c r="N1268" s="471"/>
      <c r="O1268" s="477"/>
    </row>
    <row r="1269" spans="2:15">
      <c r="B1269" s="477"/>
      <c r="C1269" s="3086" t="s">
        <v>28</v>
      </c>
      <c r="D1269" s="3086" t="s">
        <v>29</v>
      </c>
      <c r="E1269" s="3086" t="s">
        <v>30</v>
      </c>
      <c r="F1269" s="3086" t="s">
        <v>597</v>
      </c>
      <c r="G1269" s="3086" t="s">
        <v>133</v>
      </c>
      <c r="H1269" s="3086" t="s">
        <v>134</v>
      </c>
      <c r="I1269" s="3086" t="s">
        <v>135</v>
      </c>
      <c r="J1269" s="3086" t="s">
        <v>136</v>
      </c>
      <c r="K1269" s="3086" t="s">
        <v>137</v>
      </c>
      <c r="L1269" s="3086" t="s">
        <v>138</v>
      </c>
      <c r="M1269" s="3086" t="s">
        <v>139</v>
      </c>
      <c r="N1269" s="3086" t="s">
        <v>140</v>
      </c>
      <c r="O1269" s="477"/>
    </row>
    <row r="1270" spans="2:15">
      <c r="B1270" s="477"/>
      <c r="C1270" s="3341" t="str">
        <f>INDEX(AirQualityVectors[Code],MATCH(D1270,AirQualityVectors[Description],0))</f>
        <v>AQ.01</v>
      </c>
      <c r="D1270" s="3087" t="s">
        <v>261</v>
      </c>
      <c r="E1270" s="1135"/>
      <c r="F1270" s="3088">
        <f ca="1">F977</f>
        <v>0.50801731521179694</v>
      </c>
      <c r="G1270" s="3088">
        <f t="shared" ref="G1270:N1270" ca="1" si="163">G977</f>
        <v>0.39137073948305484</v>
      </c>
      <c r="H1270" s="3088">
        <f t="shared" ca="1" si="163"/>
        <v>0.46280723723836514</v>
      </c>
      <c r="I1270" s="3088">
        <f t="shared" ca="1" si="163"/>
        <v>0.33001110234510866</v>
      </c>
      <c r="J1270" s="3088">
        <f t="shared" ca="1" si="163"/>
        <v>0.21410465247679777</v>
      </c>
      <c r="K1270" s="3088">
        <f t="shared" ca="1" si="163"/>
        <v>0.1948636035984507</v>
      </c>
      <c r="L1270" s="3088">
        <f t="shared" ca="1" si="163"/>
        <v>0.17457732002456444</v>
      </c>
      <c r="M1270" s="3088">
        <f t="shared" ca="1" si="163"/>
        <v>0.14635160732340657</v>
      </c>
      <c r="N1270" s="3088">
        <f t="shared" ca="1" si="163"/>
        <v>0.11385289981936728</v>
      </c>
      <c r="O1270" s="477"/>
    </row>
    <row r="1271" spans="2:15" ht="15.75">
      <c r="B1271" s="467"/>
      <c r="C1271" s="3342" t="str">
        <f>INDEX(AirQualityVectors[Code],MATCH(D1271,AirQualityVectors[Description],0))</f>
        <v>AQ.02</v>
      </c>
      <c r="D1271" s="3087" t="s">
        <v>263</v>
      </c>
      <c r="E1271" s="1135"/>
      <c r="F1271" s="3088">
        <f ca="1">F978</f>
        <v>4.6110627670461941</v>
      </c>
      <c r="G1271" s="3088">
        <f t="shared" ref="G1271:N1271" ca="1" si="164">G978</f>
        <v>4.025377035519436</v>
      </c>
      <c r="H1271" s="3088">
        <f t="shared" ca="1" si="164"/>
        <v>3.4098378381639356</v>
      </c>
      <c r="I1271" s="3088">
        <f t="shared" ca="1" si="164"/>
        <v>3.0418854193161029</v>
      </c>
      <c r="J1271" s="3088">
        <f t="shared" ca="1" si="164"/>
        <v>2.5884085251625564</v>
      </c>
      <c r="K1271" s="3088">
        <f t="shared" ca="1" si="164"/>
        <v>2.2200937102063025</v>
      </c>
      <c r="L1271" s="3088">
        <f t="shared" ca="1" si="164"/>
        <v>1.8793028702626857</v>
      </c>
      <c r="M1271" s="3088">
        <f t="shared" ca="1" si="164"/>
        <v>1.5463865438963298</v>
      </c>
      <c r="N1271" s="3088">
        <f t="shared" ca="1" si="164"/>
        <v>1.2383766816252286</v>
      </c>
      <c r="O1271" s="463"/>
    </row>
    <row r="1272" spans="2:15" ht="15.75">
      <c r="B1272" s="474"/>
      <c r="C1272" s="3342" t="str">
        <f>INDEX(AirQualityVectors[Code],MATCH(D1272,AirQualityVectors[Description],0))</f>
        <v>AQ.03</v>
      </c>
      <c r="D1272" s="3087" t="s">
        <v>265</v>
      </c>
      <c r="E1272" s="1135"/>
      <c r="F1272" s="3088">
        <f ca="1">F979</f>
        <v>1.8922613815219842</v>
      </c>
      <c r="G1272" s="3088">
        <f t="shared" ref="G1272:N1272" ca="1" si="165">G979</f>
        <v>1.2197992189066855</v>
      </c>
      <c r="H1272" s="3088">
        <f t="shared" ca="1" si="165"/>
        <v>0.50806414043994441</v>
      </c>
      <c r="I1272" s="3088">
        <f t="shared" ca="1" si="165"/>
        <v>0.32378755277229848</v>
      </c>
      <c r="J1272" s="3088">
        <f t="shared" ca="1" si="165"/>
        <v>0.24895300554243635</v>
      </c>
      <c r="K1272" s="3088">
        <f t="shared" ca="1" si="165"/>
        <v>0.18092606166472727</v>
      </c>
      <c r="L1272" s="3088">
        <f t="shared" ca="1" si="165"/>
        <v>0.11722812380452366</v>
      </c>
      <c r="M1272" s="3088">
        <f t="shared" ca="1" si="165"/>
        <v>5.6267243935622262E-2</v>
      </c>
      <c r="N1272" s="3088">
        <f t="shared" ca="1" si="165"/>
        <v>0</v>
      </c>
      <c r="O1272" s="463"/>
    </row>
    <row r="1273" spans="2:15" ht="15.75">
      <c r="B1273" s="474"/>
      <c r="C1273" s="3343" t="str">
        <f>INDEX(AirQualityVectors[Code],MATCH(D1273,AirQualityVectors[Description],0))</f>
        <v>AQ.04</v>
      </c>
      <c r="D1273" s="3087" t="s">
        <v>267</v>
      </c>
      <c r="E1273" s="1135"/>
      <c r="F1273" s="3088">
        <f ca="1">F980</f>
        <v>0.71372476173452926</v>
      </c>
      <c r="G1273" s="3088">
        <f t="shared" ref="G1273:N1273" ca="1" si="166">G980</f>
        <v>0.95580184802144685</v>
      </c>
      <c r="H1273" s="3088">
        <f t="shared" ca="1" si="166"/>
        <v>2.7211052108724938</v>
      </c>
      <c r="I1273" s="3088">
        <f t="shared" ca="1" si="166"/>
        <v>2.6929248208328245</v>
      </c>
      <c r="J1273" s="3088">
        <f t="shared" ca="1" si="166"/>
        <v>2.1598796208319277</v>
      </c>
      <c r="K1273" s="3088">
        <f t="shared" ca="1" si="166"/>
        <v>1.6553136703552236</v>
      </c>
      <c r="L1273" s="3088">
        <f t="shared" ca="1" si="166"/>
        <v>1.1636776172198982</v>
      </c>
      <c r="M1273" s="3088">
        <f t="shared" ca="1" si="166"/>
        <v>0.66690150445977348</v>
      </c>
      <c r="N1273" s="3088">
        <f t="shared" ca="1" si="166"/>
        <v>0.18257739331081715</v>
      </c>
      <c r="O1273" s="463"/>
    </row>
    <row r="1274" spans="2:15" ht="15.75">
      <c r="B1274" s="474"/>
      <c r="C1274" s="479"/>
      <c r="D1274" s="479"/>
      <c r="E1274" s="479"/>
      <c r="F1274" s="479"/>
      <c r="G1274" s="479"/>
      <c r="H1274" s="479"/>
      <c r="I1274" s="479"/>
      <c r="J1274" s="479"/>
      <c r="K1274" s="479"/>
      <c r="L1274" s="479"/>
      <c r="M1274" s="479"/>
      <c r="N1274" s="479"/>
      <c r="O1274" s="463"/>
    </row>
    <row r="1276" spans="2:15" ht="15.75">
      <c r="B1276" s="480" t="s">
        <v>313</v>
      </c>
      <c r="C1276" s="481"/>
      <c r="D1276" s="482"/>
      <c r="E1276" s="482"/>
      <c r="F1276" s="482"/>
      <c r="G1276" s="482"/>
      <c r="H1276" s="482"/>
      <c r="I1276" s="482"/>
      <c r="J1276" s="482"/>
      <c r="K1276" s="482"/>
      <c r="L1276" s="482"/>
      <c r="M1276" s="482"/>
      <c r="N1276" s="482"/>
      <c r="O1276" s="483"/>
    </row>
    <row r="1277" spans="2:15">
      <c r="B1277" s="484"/>
      <c r="C1277" s="485"/>
      <c r="D1277" s="485"/>
      <c r="E1277" s="485"/>
      <c r="F1277" s="485"/>
      <c r="G1277" s="485"/>
      <c r="H1277" s="485"/>
      <c r="I1277" s="485"/>
      <c r="J1277" s="485"/>
      <c r="K1277" s="485"/>
      <c r="L1277" s="485"/>
      <c r="M1277" s="485"/>
      <c r="N1277" s="485"/>
      <c r="O1277" s="486"/>
    </row>
    <row r="1278" spans="2:15">
      <c r="B1278" s="487"/>
      <c r="C1278" s="488" t="s">
        <v>314</v>
      </c>
      <c r="D1278" s="489"/>
      <c r="E1278" s="490"/>
      <c r="F1278" s="489"/>
      <c r="G1278" s="489"/>
      <c r="H1278" s="489"/>
      <c r="I1278" s="489"/>
      <c r="J1278" s="489"/>
      <c r="K1278" s="489"/>
      <c r="L1278" s="489"/>
      <c r="M1278" s="489"/>
      <c r="N1278" s="490"/>
      <c r="O1278" s="491"/>
    </row>
    <row r="1279" spans="2:15">
      <c r="B1279" s="487"/>
      <c r="C1279" s="489"/>
      <c r="D1279" s="489"/>
      <c r="E1279" s="489"/>
      <c r="F1279" s="489"/>
      <c r="G1279" s="489"/>
      <c r="H1279" s="489"/>
      <c r="I1279" s="489"/>
      <c r="J1279" s="489"/>
      <c r="K1279" s="489"/>
      <c r="L1279" s="489"/>
      <c r="M1279" s="489"/>
      <c r="N1279" s="489"/>
      <c r="O1279" s="491"/>
    </row>
    <row r="1280" spans="2:15">
      <c r="B1280" s="487"/>
      <c r="C1280" s="493" t="s">
        <v>28</v>
      </c>
      <c r="D1280" s="493" t="s">
        <v>315</v>
      </c>
      <c r="E1280" s="493" t="s">
        <v>30</v>
      </c>
      <c r="F1280" s="493" t="s">
        <v>597</v>
      </c>
      <c r="G1280" s="493" t="s">
        <v>133</v>
      </c>
      <c r="H1280" s="493" t="s">
        <v>134</v>
      </c>
      <c r="I1280" s="493" t="s">
        <v>135</v>
      </c>
      <c r="J1280" s="493" t="s">
        <v>136</v>
      </c>
      <c r="K1280" s="493" t="s">
        <v>137</v>
      </c>
      <c r="L1280" s="493" t="s">
        <v>138</v>
      </c>
      <c r="M1280" s="493" t="s">
        <v>139</v>
      </c>
      <c r="N1280" s="493" t="s">
        <v>140</v>
      </c>
      <c r="O1280" s="491"/>
    </row>
    <row r="1281" spans="1:15">
      <c r="B1281" s="487"/>
      <c r="C1281" s="494" t="s">
        <v>316</v>
      </c>
      <c r="D1281" s="3064" t="str">
        <f>INDEX(Vectors[Description], MATCH([Vector], Vectors[Code], 0))</f>
        <v>Number of thermal power stations</v>
      </c>
      <c r="E1281" s="494"/>
      <c r="F1281" s="495">
        <f>F667</f>
        <v>1672651.1289147851</v>
      </c>
      <c r="G1281" s="495">
        <f t="shared" ref="G1281:N1281" si="167">G667</f>
        <v>1724685.0990151383</v>
      </c>
      <c r="H1281" s="495">
        <f t="shared" si="167"/>
        <v>1818612.4430257217</v>
      </c>
      <c r="I1281" s="495">
        <f t="shared" si="167"/>
        <v>1912005.4807283345</v>
      </c>
      <c r="J1281" s="495">
        <f t="shared" si="167"/>
        <v>2000055.258037091</v>
      </c>
      <c r="K1281" s="495">
        <f t="shared" si="167"/>
        <v>2093076.6415949718</v>
      </c>
      <c r="L1281" s="495">
        <f t="shared" si="167"/>
        <v>2190930.0548391445</v>
      </c>
      <c r="M1281" s="495">
        <f t="shared" si="167"/>
        <v>2288187.1680332171</v>
      </c>
      <c r="N1281" s="495">
        <f t="shared" si="167"/>
        <v>2390510.6792861409</v>
      </c>
      <c r="O1281" s="491"/>
    </row>
    <row r="1282" spans="1:15">
      <c r="B1282" s="487"/>
      <c r="C1282" s="494" t="s">
        <v>318</v>
      </c>
      <c r="D1282" s="3064" t="str">
        <f>INDEX(Vectors[Description], MATCH([Vector], Vectors[Code], 0))</f>
        <v>Additional electricity at peak</v>
      </c>
      <c r="E1282" s="494" t="str">
        <f>Preferences.PowerUnits</f>
        <v>GW</v>
      </c>
      <c r="F1282" s="4125">
        <f ca="1">F1094</f>
        <v>3.0264039699571149E-4</v>
      </c>
      <c r="G1282" s="1008">
        <f t="shared" ref="G1282:N1282" ca="1" si="168">G1094</f>
        <v>2.2065313085225112E-3</v>
      </c>
      <c r="H1282" s="1008">
        <f t="shared" ca="1" si="168"/>
        <v>4.4243153663838684E-3</v>
      </c>
      <c r="I1282" s="1008">
        <f t="shared" ca="1" si="168"/>
        <v>7.4596267142884457E-3</v>
      </c>
      <c r="J1282" s="1008">
        <f t="shared" ca="1" si="168"/>
        <v>1.2688780447172058E-2</v>
      </c>
      <c r="K1282" s="1008">
        <f t="shared" ca="1" si="168"/>
        <v>1.767265475340225E-2</v>
      </c>
      <c r="L1282" s="1008">
        <f t="shared" ca="1" si="168"/>
        <v>2.3557899103598151E-2</v>
      </c>
      <c r="M1282" s="1008">
        <f t="shared" ca="1" si="168"/>
        <v>3.4704078432113872E-2</v>
      </c>
      <c r="N1282" s="1008">
        <f t="shared" ca="1" si="168"/>
        <v>4.7810213585722822E-2</v>
      </c>
      <c r="O1282" s="491"/>
    </row>
    <row r="1283" spans="1:15">
      <c r="B1283" s="487"/>
      <c r="C1283" s="494" t="s">
        <v>320</v>
      </c>
      <c r="D1283" s="3064" t="str">
        <f>INDEX(Vectors[Description], MATCH([Vector], Vectors[Code], 0))</f>
        <v>Temperature related additional electricity demand</v>
      </c>
      <c r="E1283" s="494" t="str">
        <f>Preferences.PowerUnits</f>
        <v>GW</v>
      </c>
      <c r="F1283" s="4126">
        <f>F1129</f>
        <v>1.5222553503179402E-2</v>
      </c>
      <c r="G1283" s="1193">
        <f t="shared" ref="G1283:N1283" si="169">G1129</f>
        <v>2.5117189869344046E-2</v>
      </c>
      <c r="H1283" s="1193">
        <f t="shared" si="169"/>
        <v>2.7551560797081605E-2</v>
      </c>
      <c r="I1283" s="1193">
        <f t="shared" si="169"/>
        <v>3.041285115143506E-2</v>
      </c>
      <c r="J1283" s="1193">
        <f t="shared" si="169"/>
        <v>3.3227857039637182E-2</v>
      </c>
      <c r="K1283" s="1193">
        <f t="shared" si="169"/>
        <v>3.6158915586424478E-2</v>
      </c>
      <c r="L1283" s="1193">
        <f t="shared" si="169"/>
        <v>3.9209893211212488E-2</v>
      </c>
      <c r="M1283" s="1193">
        <f t="shared" si="169"/>
        <v>4.2286991895689435E-2</v>
      </c>
      <c r="N1283" s="1193">
        <f t="shared" si="169"/>
        <v>4.553461320181211E-2</v>
      </c>
      <c r="O1283" s="491"/>
    </row>
    <row r="1284" spans="1:15">
      <c r="B1284" s="487"/>
      <c r="C1284" s="498"/>
      <c r="D1284" s="498"/>
      <c r="E1284" s="498"/>
      <c r="F1284" s="498"/>
      <c r="G1284" s="498"/>
      <c r="H1284" s="498"/>
      <c r="I1284" s="498"/>
      <c r="J1284" s="498"/>
      <c r="K1284" s="498"/>
      <c r="L1284" s="498"/>
      <c r="M1284" s="498"/>
      <c r="N1284" s="498"/>
      <c r="O1284" s="491"/>
    </row>
    <row r="1285" spans="1:15">
      <c r="B1285"/>
      <c r="O1285"/>
    </row>
    <row r="1286" spans="1:15" ht="15.75">
      <c r="B1286" s="480" t="s">
        <v>2795</v>
      </c>
      <c r="C1286" s="482"/>
      <c r="D1286" s="482"/>
      <c r="E1286" s="482"/>
      <c r="F1286" s="482"/>
      <c r="G1286" s="482"/>
      <c r="H1286" s="482"/>
      <c r="I1286" s="482"/>
      <c r="J1286" s="482"/>
      <c r="K1286" s="482"/>
      <c r="L1286" s="482"/>
      <c r="M1286" s="482"/>
      <c r="N1286" s="482"/>
      <c r="O1286" s="483"/>
    </row>
    <row r="1287" spans="1:15" hidden="1">
      <c r="A1287"/>
      <c r="B1287" s="484"/>
      <c r="C1287" s="489"/>
      <c r="D1287" s="489"/>
      <c r="E1287" s="489"/>
      <c r="F1287" s="489"/>
      <c r="G1287" s="489"/>
      <c r="H1287" s="489"/>
      <c r="I1287" s="489"/>
      <c r="J1287" s="489"/>
      <c r="K1287" s="489"/>
      <c r="L1287" s="489"/>
      <c r="M1287" s="489"/>
      <c r="N1287" s="489"/>
      <c r="O1287" s="486"/>
    </row>
    <row r="1288" spans="1:15" hidden="1">
      <c r="B1288" s="487"/>
      <c r="C1288" s="500" t="s">
        <v>323</v>
      </c>
      <c r="D1288" s="501"/>
      <c r="E1288" s="501"/>
      <c r="F1288" s="501"/>
      <c r="G1288" s="501"/>
      <c r="H1288" s="501"/>
      <c r="I1288" s="501"/>
      <c r="J1288" s="501"/>
      <c r="K1288" s="501"/>
      <c r="L1288" s="501"/>
      <c r="M1288" s="501"/>
      <c r="N1288" s="501"/>
      <c r="O1288" s="491"/>
    </row>
    <row r="1289" spans="1:15" hidden="1">
      <c r="B1289" s="487"/>
      <c r="C1289" s="489"/>
      <c r="D1289" s="489"/>
      <c r="E1289" s="489"/>
      <c r="F1289" s="489"/>
      <c r="G1289" s="489"/>
      <c r="H1289" s="489"/>
      <c r="I1289" s="489"/>
      <c r="J1289" s="489"/>
      <c r="K1289" s="489"/>
      <c r="L1289" s="489"/>
      <c r="M1289" s="489"/>
      <c r="N1289" s="489"/>
      <c r="O1289" s="491"/>
    </row>
    <row r="1290" spans="1:15" hidden="1">
      <c r="B1290" s="487"/>
      <c r="C1290" s="493" t="s">
        <v>28</v>
      </c>
      <c r="D1290" s="493" t="s">
        <v>29</v>
      </c>
      <c r="E1290" s="493" t="s">
        <v>30</v>
      </c>
      <c r="F1290" s="493">
        <v>2013</v>
      </c>
      <c r="G1290" s="493" t="s">
        <v>133</v>
      </c>
      <c r="H1290" s="493" t="s">
        <v>134</v>
      </c>
      <c r="I1290" s="493" t="s">
        <v>135</v>
      </c>
      <c r="J1290" s="493" t="s">
        <v>136</v>
      </c>
      <c r="K1290" s="493" t="s">
        <v>137</v>
      </c>
      <c r="L1290" s="493" t="s">
        <v>138</v>
      </c>
      <c r="M1290" s="493" t="s">
        <v>139</v>
      </c>
      <c r="N1290" s="493" t="s">
        <v>140</v>
      </c>
      <c r="O1290" s="491"/>
    </row>
    <row r="1291" spans="1:15" hidden="1">
      <c r="B1291" s="487"/>
      <c r="C1291" s="494" t="s">
        <v>324</v>
      </c>
      <c r="D1291" s="494" t="s">
        <v>325</v>
      </c>
      <c r="E1291" s="494"/>
      <c r="F1291" s="502"/>
      <c r="G1291" s="495"/>
      <c r="H1291" s="495"/>
      <c r="I1291" s="495"/>
      <c r="J1291" s="495"/>
      <c r="K1291" s="495"/>
      <c r="L1291" s="495"/>
      <c r="M1291" s="495"/>
      <c r="N1291" s="495"/>
      <c r="O1291" s="491"/>
    </row>
    <row r="1292" spans="1:15" hidden="1">
      <c r="B1292" s="487"/>
      <c r="C1292" s="504" t="s">
        <v>326</v>
      </c>
      <c r="D1292" s="494" t="s">
        <v>327</v>
      </c>
      <c r="E1292" s="504"/>
      <c r="F1292" s="505"/>
      <c r="G1292" s="506"/>
      <c r="H1292" s="506"/>
      <c r="I1292" s="506"/>
      <c r="J1292" s="506"/>
      <c r="K1292" s="506"/>
      <c r="L1292" s="506"/>
      <c r="M1292" s="506"/>
      <c r="N1292" s="506"/>
      <c r="O1292" s="491"/>
    </row>
    <row r="1293" spans="1:15" hidden="1">
      <c r="B1293" s="487"/>
      <c r="C1293" s="494" t="s">
        <v>328</v>
      </c>
      <c r="D1293" s="494" t="s">
        <v>329</v>
      </c>
      <c r="E1293" s="494"/>
      <c r="F1293" s="502"/>
      <c r="G1293" s="495"/>
      <c r="H1293" s="495"/>
      <c r="I1293" s="495"/>
      <c r="J1293" s="495"/>
      <c r="K1293" s="495"/>
      <c r="L1293" s="495"/>
      <c r="M1293" s="495"/>
      <c r="N1293" s="495"/>
      <c r="O1293" s="491"/>
    </row>
    <row r="1294" spans="1:15" hidden="1">
      <c r="B1294" s="487"/>
      <c r="C1294" s="489"/>
      <c r="D1294" s="489"/>
      <c r="E1294" s="489"/>
      <c r="F1294" s="489"/>
      <c r="G1294" s="489"/>
      <c r="H1294" s="489"/>
      <c r="I1294" s="489"/>
      <c r="J1294" s="489"/>
      <c r="K1294" s="489"/>
      <c r="L1294" s="489"/>
      <c r="M1294" s="489"/>
      <c r="N1294" s="489"/>
      <c r="O1294" s="491"/>
    </row>
    <row r="1295" spans="1:15" hidden="1">
      <c r="B1295" s="487"/>
      <c r="C1295" s="500" t="s">
        <v>330</v>
      </c>
      <c r="D1295" s="501"/>
      <c r="E1295" s="501"/>
      <c r="F1295" s="501"/>
      <c r="G1295" s="501"/>
      <c r="H1295" s="501"/>
      <c r="I1295" s="501"/>
      <c r="J1295" s="501"/>
      <c r="K1295" s="501"/>
      <c r="L1295" s="501"/>
      <c r="M1295" s="501"/>
      <c r="N1295" s="501"/>
      <c r="O1295" s="491"/>
    </row>
    <row r="1296" spans="1:15" hidden="1">
      <c r="B1296" s="487"/>
      <c r="C1296" s="489"/>
      <c r="D1296" s="489"/>
      <c r="E1296" s="489"/>
      <c r="F1296" s="489"/>
      <c r="G1296" s="489"/>
      <c r="H1296" s="489"/>
      <c r="I1296" s="489"/>
      <c r="J1296" s="489"/>
      <c r="K1296" s="489"/>
      <c r="L1296" s="489"/>
      <c r="M1296" s="489"/>
      <c r="N1296" s="489"/>
      <c r="O1296" s="491"/>
    </row>
    <row r="1297" spans="2:15" hidden="1">
      <c r="B1297" s="487"/>
      <c r="C1297" s="493" t="s">
        <v>28</v>
      </c>
      <c r="D1297" s="493" t="s">
        <v>29</v>
      </c>
      <c r="E1297" s="493" t="s">
        <v>30</v>
      </c>
      <c r="F1297" s="493">
        <v>2013</v>
      </c>
      <c r="G1297" s="493" t="s">
        <v>133</v>
      </c>
      <c r="H1297" s="493" t="s">
        <v>134</v>
      </c>
      <c r="I1297" s="493" t="s">
        <v>135</v>
      </c>
      <c r="J1297" s="493" t="s">
        <v>136</v>
      </c>
      <c r="K1297" s="493" t="s">
        <v>137</v>
      </c>
      <c r="L1297" s="493" t="s">
        <v>138</v>
      </c>
      <c r="M1297" s="493" t="s">
        <v>139</v>
      </c>
      <c r="N1297" s="493" t="s">
        <v>140</v>
      </c>
      <c r="O1297" s="491"/>
    </row>
    <row r="1298" spans="2:15" hidden="1">
      <c r="B1298" s="487"/>
      <c r="C1298" s="494" t="s">
        <v>324</v>
      </c>
      <c r="D1298" s="494" t="s">
        <v>325</v>
      </c>
      <c r="E1298" s="494"/>
      <c r="F1298" s="495"/>
      <c r="G1298" s="495"/>
      <c r="H1298" s="495"/>
      <c r="I1298" s="495"/>
      <c r="J1298" s="495"/>
      <c r="K1298" s="495"/>
      <c r="L1298" s="495"/>
      <c r="M1298" s="495"/>
      <c r="N1298" s="495"/>
      <c r="O1298" s="491"/>
    </row>
    <row r="1299" spans="2:15" hidden="1">
      <c r="B1299" s="487"/>
      <c r="C1299" s="494" t="s">
        <v>331</v>
      </c>
      <c r="D1299" s="494" t="s">
        <v>332</v>
      </c>
      <c r="E1299" s="494"/>
      <c r="F1299" s="495"/>
      <c r="G1299" s="495"/>
      <c r="H1299" s="495"/>
      <c r="I1299" s="495"/>
      <c r="J1299" s="495"/>
      <c r="K1299" s="495"/>
      <c r="L1299" s="495"/>
      <c r="M1299" s="495"/>
      <c r="N1299" s="495"/>
      <c r="O1299" s="491"/>
    </row>
    <row r="1300" spans="2:15" hidden="1">
      <c r="B1300" s="487"/>
      <c r="C1300" s="504" t="s">
        <v>326</v>
      </c>
      <c r="D1300" s="494" t="s">
        <v>327</v>
      </c>
      <c r="E1300" s="504"/>
      <c r="F1300" s="495"/>
      <c r="G1300" s="495"/>
      <c r="H1300" s="495"/>
      <c r="I1300" s="495"/>
      <c r="J1300" s="495"/>
      <c r="K1300" s="495"/>
      <c r="L1300" s="495"/>
      <c r="M1300" s="495"/>
      <c r="N1300" s="495"/>
      <c r="O1300" s="491"/>
    </row>
    <row r="1301" spans="2:15" hidden="1">
      <c r="B1301" s="487"/>
      <c r="C1301" s="504" t="s">
        <v>333</v>
      </c>
      <c r="D1301" s="494" t="s">
        <v>334</v>
      </c>
      <c r="E1301" s="504"/>
      <c r="F1301" s="495"/>
      <c r="G1301" s="495"/>
      <c r="H1301" s="495"/>
      <c r="I1301" s="495"/>
      <c r="J1301" s="495"/>
      <c r="K1301" s="495"/>
      <c r="L1301" s="495"/>
      <c r="M1301" s="495"/>
      <c r="N1301" s="495"/>
      <c r="O1301" s="491"/>
    </row>
    <row r="1302" spans="2:15" hidden="1">
      <c r="B1302" s="487"/>
      <c r="C1302" s="494" t="s">
        <v>328</v>
      </c>
      <c r="D1302" s="494" t="s">
        <v>329</v>
      </c>
      <c r="E1302" s="494"/>
      <c r="F1302" s="495"/>
      <c r="G1302" s="495"/>
      <c r="H1302" s="495"/>
      <c r="I1302" s="495"/>
      <c r="J1302" s="495"/>
      <c r="K1302" s="495"/>
      <c r="L1302" s="495"/>
      <c r="M1302" s="495"/>
      <c r="N1302" s="495"/>
      <c r="O1302" s="491"/>
    </row>
    <row r="1303" spans="2:15" hidden="1">
      <c r="B1303" s="487"/>
      <c r="C1303" s="494" t="s">
        <v>335</v>
      </c>
      <c r="D1303" s="494" t="s">
        <v>336</v>
      </c>
      <c r="E1303" s="494"/>
      <c r="F1303" s="495"/>
      <c r="G1303" s="495"/>
      <c r="H1303" s="495"/>
      <c r="I1303" s="495"/>
      <c r="J1303" s="495"/>
      <c r="K1303" s="495"/>
      <c r="L1303" s="495"/>
      <c r="M1303" s="495"/>
      <c r="N1303" s="495"/>
      <c r="O1303" s="491"/>
    </row>
    <row r="1304" spans="2:15" hidden="1">
      <c r="B1304" s="487"/>
      <c r="C1304" s="498"/>
      <c r="D1304" s="498"/>
      <c r="E1304" s="498"/>
      <c r="F1304" s="498"/>
      <c r="G1304" s="498"/>
      <c r="H1304" s="498"/>
      <c r="I1304" s="498"/>
      <c r="J1304" s="498"/>
      <c r="K1304" s="498"/>
      <c r="L1304" s="498"/>
      <c r="M1304" s="498"/>
      <c r="N1304" s="498"/>
      <c r="O1304" s="491"/>
    </row>
  </sheetData>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xl/worksheets/sheet34.xml><?xml version="1.0" encoding="utf-8"?>
<worksheet xmlns="http://schemas.openxmlformats.org/spreadsheetml/2006/main" xmlns:r="http://schemas.openxmlformats.org/officeDocument/2006/relationships">
  <sheetPr codeName="Sheet16">
    <tabColor theme="9"/>
  </sheetPr>
  <dimension ref="A1:AJ1054"/>
  <sheetViews>
    <sheetView showGridLines="0" topLeftCell="A85" zoomScale="80" zoomScaleNormal="80" workbookViewId="0">
      <selection activeCell="F609" sqref="F609"/>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5" width="17.7109375" customWidth="1"/>
    <col min="16" max="16" width="9.140625" customWidth="1"/>
    <col min="17" max="17" width="10.85546875" customWidth="1"/>
    <col min="20" max="20" width="16.42578125" customWidth="1"/>
    <col min="21" max="21" width="2.140625" customWidth="1"/>
    <col min="39" max="39" width="37.7109375" customWidth="1"/>
    <col min="50" max="50" width="22.42578125" customWidth="1"/>
    <col min="52" max="55" width="9.28515625" bestFit="1" customWidth="1"/>
    <col min="56" max="56" width="10.42578125" bestFit="1" customWidth="1"/>
    <col min="57" max="57" width="9.28515625" bestFit="1" customWidth="1"/>
    <col min="58" max="58" width="12.42578125" bestFit="1" customWidth="1"/>
    <col min="59" max="59" width="9.28515625" bestFit="1" customWidth="1"/>
    <col min="60" max="60" width="14.85546875" bestFit="1" customWidth="1"/>
    <col min="61" max="61" width="9.28515625" bestFit="1" customWidth="1"/>
    <col min="62" max="62" width="17.7109375" bestFit="1" customWidth="1"/>
    <col min="63" max="63" width="9.28515625" bestFit="1" customWidth="1"/>
    <col min="64" max="64" width="20.140625" bestFit="1" customWidth="1"/>
  </cols>
  <sheetData>
    <row r="1" spans="1:16" ht="20.25">
      <c r="A1" s="1016" t="s">
        <v>0</v>
      </c>
      <c r="B1" s="1016" t="s">
        <v>1</v>
      </c>
      <c r="C1" s="1016"/>
      <c r="D1" s="1243"/>
    </row>
    <row r="2" spans="1:16" s="6" customFormat="1" ht="15.75">
      <c r="A2" s="864" t="s">
        <v>465</v>
      </c>
      <c r="B2" s="864" t="s">
        <v>466</v>
      </c>
      <c r="C2" s="864"/>
      <c r="E2" s="5"/>
    </row>
    <row r="3" spans="1:16">
      <c r="H3" s="3834" t="s">
        <v>5</v>
      </c>
    </row>
    <row r="4" spans="1:16" ht="23.25">
      <c r="A4" s="7"/>
      <c r="B4" s="511" t="s">
        <v>6</v>
      </c>
      <c r="C4" s="512"/>
      <c r="D4" s="512"/>
      <c r="E4" s="512"/>
      <c r="F4" s="512"/>
      <c r="G4" s="512"/>
      <c r="H4" s="512"/>
      <c r="I4" s="512"/>
      <c r="J4" s="512"/>
      <c r="K4" s="512"/>
      <c r="L4" s="512"/>
      <c r="M4" s="512"/>
      <c r="N4" s="512"/>
      <c r="O4" s="512"/>
      <c r="P4" s="866"/>
    </row>
    <row r="5" spans="1:16">
      <c r="B5" s="514"/>
      <c r="C5" s="515"/>
      <c r="D5" s="515"/>
      <c r="E5" s="515"/>
      <c r="F5" s="515"/>
      <c r="G5" s="515"/>
      <c r="H5" s="515"/>
      <c r="I5" s="515"/>
      <c r="J5" s="515"/>
      <c r="K5" s="515"/>
      <c r="L5" s="515"/>
      <c r="M5" s="515"/>
      <c r="N5" s="515"/>
      <c r="O5" s="515"/>
      <c r="P5" s="867"/>
    </row>
    <row r="6" spans="1:16">
      <c r="B6" s="514"/>
      <c r="C6" s="12"/>
      <c r="D6" s="515"/>
      <c r="E6" s="516"/>
      <c r="F6" s="515"/>
      <c r="G6" s="515"/>
      <c r="H6" s="515"/>
      <c r="I6" s="515"/>
      <c r="J6" s="515"/>
      <c r="K6" s="515"/>
      <c r="L6" s="515"/>
      <c r="M6" s="515"/>
      <c r="N6" s="515"/>
      <c r="O6" s="515"/>
      <c r="P6" s="867"/>
    </row>
    <row r="7" spans="1:16" ht="15.75">
      <c r="B7" s="15"/>
      <c r="C7" s="515"/>
      <c r="D7" s="16" t="s">
        <v>7</v>
      </c>
      <c r="E7" s="16" t="s">
        <v>8</v>
      </c>
      <c r="F7" s="515"/>
      <c r="G7" s="515"/>
      <c r="H7" s="515"/>
      <c r="I7" s="515"/>
      <c r="J7" s="515"/>
      <c r="K7" s="515"/>
      <c r="L7" s="515"/>
      <c r="M7" s="515"/>
      <c r="N7" s="515"/>
      <c r="O7" s="515"/>
      <c r="P7" s="867"/>
    </row>
    <row r="8" spans="1:16" ht="15.75">
      <c r="B8" s="15"/>
      <c r="C8" s="515"/>
      <c r="D8" s="1018" t="s">
        <v>946</v>
      </c>
      <c r="E8" s="1018">
        <f>IX.c.1.Scenario</f>
        <v>1</v>
      </c>
      <c r="F8" s="515"/>
      <c r="G8" s="515"/>
      <c r="H8" s="515"/>
      <c r="I8" s="515"/>
      <c r="J8" s="515"/>
      <c r="K8" s="515"/>
      <c r="L8" s="515"/>
      <c r="M8" s="515"/>
      <c r="N8" s="515"/>
      <c r="O8" s="515"/>
      <c r="P8" s="867"/>
    </row>
    <row r="9" spans="1:16" ht="15.75">
      <c r="B9" s="15"/>
      <c r="C9" s="515"/>
      <c r="D9" s="17" t="s">
        <v>947</v>
      </c>
      <c r="E9" s="17">
        <f>MAX(IX.c.2.Scenario,2)</f>
        <v>2</v>
      </c>
      <c r="F9" s="515"/>
      <c r="G9" s="515"/>
      <c r="H9" s="515"/>
      <c r="I9" s="515"/>
      <c r="J9" s="515"/>
      <c r="K9" s="515"/>
      <c r="L9" s="515"/>
      <c r="M9" s="515"/>
      <c r="N9" s="515"/>
      <c r="O9" s="515"/>
      <c r="P9" s="867"/>
    </row>
    <row r="10" spans="1:16" ht="15.75">
      <c r="B10" s="15"/>
      <c r="C10" s="515"/>
      <c r="D10" s="517" t="s">
        <v>948</v>
      </c>
      <c r="E10" s="517">
        <f>IX.c.3.Scenario</f>
        <v>1</v>
      </c>
      <c r="F10" s="515"/>
      <c r="G10" s="515"/>
      <c r="H10" s="515"/>
      <c r="I10" s="515"/>
      <c r="J10" s="515"/>
      <c r="K10" s="515"/>
      <c r="L10" s="515"/>
      <c r="M10" s="515"/>
      <c r="N10" s="515"/>
      <c r="O10" s="515"/>
      <c r="P10" s="867"/>
    </row>
    <row r="11" spans="1:16" ht="15.75">
      <c r="B11" s="15"/>
      <c r="C11" s="515"/>
      <c r="D11" s="17"/>
      <c r="E11" s="17"/>
      <c r="F11" s="515"/>
      <c r="G11" s="515"/>
      <c r="H11" s="515"/>
      <c r="I11" s="515"/>
      <c r="J11" s="515"/>
      <c r="K11" s="515"/>
      <c r="L11" s="515"/>
      <c r="M11" s="515"/>
      <c r="N11" s="515"/>
      <c r="O11" s="515"/>
      <c r="P11" s="867"/>
    </row>
    <row r="12" spans="1:16" ht="15.75">
      <c r="B12" s="15"/>
      <c r="C12" s="23" t="s">
        <v>949</v>
      </c>
      <c r="D12" s="17"/>
      <c r="E12" s="17"/>
      <c r="F12" s="22"/>
      <c r="G12" s="17"/>
      <c r="H12" s="17"/>
      <c r="I12" s="515"/>
      <c r="J12" s="515"/>
      <c r="K12" s="515"/>
      <c r="L12" s="515"/>
      <c r="M12" s="515"/>
      <c r="N12" s="515"/>
      <c r="O12" s="515"/>
      <c r="P12" s="867"/>
    </row>
    <row r="13" spans="1:16" ht="15.75">
      <c r="B13" s="15"/>
      <c r="C13" s="17"/>
      <c r="D13" s="17"/>
      <c r="E13" s="17"/>
      <c r="F13" s="22"/>
      <c r="G13" s="17"/>
      <c r="H13" s="17"/>
      <c r="I13" s="515"/>
      <c r="J13" s="515"/>
      <c r="K13" s="515"/>
      <c r="L13" s="515"/>
      <c r="M13" s="515"/>
      <c r="N13" s="515"/>
      <c r="O13" s="515"/>
      <c r="P13" s="867"/>
    </row>
    <row r="14" spans="1:16" ht="15.75">
      <c r="B14" s="15"/>
      <c r="C14" s="1244"/>
      <c r="D14" s="1244"/>
      <c r="E14" s="1245" t="s">
        <v>14</v>
      </c>
      <c r="F14" s="26"/>
      <c r="G14" s="1245"/>
      <c r="H14" s="1245"/>
      <c r="I14" s="515"/>
      <c r="J14" s="515"/>
      <c r="K14" s="515"/>
      <c r="L14" s="515"/>
      <c r="M14" s="515"/>
      <c r="N14" s="515"/>
      <c r="O14" s="515"/>
      <c r="P14" s="867"/>
    </row>
    <row r="15" spans="1:16" ht="15.75">
      <c r="B15" s="15"/>
      <c r="C15" s="17"/>
      <c r="D15" s="17"/>
      <c r="E15" s="27">
        <v>1</v>
      </c>
      <c r="F15" s="27">
        <v>2</v>
      </c>
      <c r="G15" s="27">
        <v>3</v>
      </c>
      <c r="H15" s="27">
        <v>4</v>
      </c>
      <c r="I15" s="515"/>
      <c r="J15" s="515"/>
      <c r="K15" s="515"/>
      <c r="L15" s="515"/>
      <c r="M15" s="515"/>
      <c r="N15" s="515"/>
      <c r="O15" s="515"/>
      <c r="P15" s="867"/>
    </row>
    <row r="16" spans="1:16" ht="15.75">
      <c r="B16" s="15"/>
      <c r="C16" s="1246" t="s">
        <v>11</v>
      </c>
      <c r="D16" s="1246"/>
      <c r="E16" s="1247" t="s">
        <v>15</v>
      </c>
      <c r="F16" s="30" t="s">
        <v>16</v>
      </c>
      <c r="G16" s="1247" t="s">
        <v>17</v>
      </c>
      <c r="H16" s="1247" t="s">
        <v>18</v>
      </c>
      <c r="I16" s="515"/>
      <c r="J16" s="515"/>
      <c r="K16" s="515"/>
      <c r="L16" s="515"/>
      <c r="M16" s="515"/>
      <c r="N16" s="515"/>
      <c r="O16" s="515"/>
      <c r="P16" s="867"/>
    </row>
    <row r="17" spans="1:21" ht="15.75">
      <c r="B17" s="15"/>
      <c r="C17" s="17"/>
      <c r="D17" s="1248" t="s">
        <v>950</v>
      </c>
      <c r="E17" s="1249">
        <v>9</v>
      </c>
      <c r="F17" s="1249">
        <v>6</v>
      </c>
      <c r="G17" s="1249">
        <v>15</v>
      </c>
      <c r="H17" s="1249">
        <v>7</v>
      </c>
      <c r="I17" s="515"/>
      <c r="J17" s="515"/>
      <c r="K17" s="515"/>
      <c r="L17" s="515"/>
      <c r="M17" s="515"/>
      <c r="N17" s="515"/>
      <c r="O17" s="515"/>
      <c r="P17" s="867"/>
    </row>
    <row r="18" spans="1:21" ht="15.75">
      <c r="B18" s="15"/>
      <c r="C18" s="17">
        <v>2</v>
      </c>
      <c r="D18" s="18" t="s">
        <v>20</v>
      </c>
      <c r="E18" s="31">
        <v>11</v>
      </c>
      <c r="F18" s="31">
        <v>5</v>
      </c>
      <c r="G18" s="31">
        <v>14</v>
      </c>
      <c r="H18" s="31">
        <v>12</v>
      </c>
      <c r="I18" s="515"/>
      <c r="J18" s="515"/>
      <c r="K18" s="515"/>
      <c r="L18" s="515"/>
      <c r="M18" s="515"/>
      <c r="N18" s="515"/>
      <c r="O18" s="515"/>
      <c r="P18" s="867"/>
    </row>
    <row r="19" spans="1:21" ht="15.75">
      <c r="B19" s="15"/>
      <c r="C19" s="17">
        <v>3</v>
      </c>
      <c r="D19" s="17" t="s">
        <v>21</v>
      </c>
      <c r="E19" s="1250">
        <v>10</v>
      </c>
      <c r="F19" s="1250">
        <v>8</v>
      </c>
      <c r="G19" s="1250">
        <v>13</v>
      </c>
      <c r="H19" s="1250">
        <v>16</v>
      </c>
      <c r="I19" s="515"/>
      <c r="J19" s="515"/>
      <c r="K19" s="515"/>
      <c r="L19" s="515"/>
      <c r="M19" s="515"/>
      <c r="N19" s="515"/>
      <c r="O19" s="515"/>
      <c r="P19" s="867"/>
    </row>
    <row r="20" spans="1:21" ht="15.75">
      <c r="B20" s="15"/>
      <c r="C20" s="517">
        <v>4</v>
      </c>
      <c r="D20" s="517" t="s">
        <v>22</v>
      </c>
      <c r="E20" s="1251">
        <v>3</v>
      </c>
      <c r="F20" s="1251">
        <v>2</v>
      </c>
      <c r="G20" s="1251">
        <v>4</v>
      </c>
      <c r="H20" s="1251">
        <v>1</v>
      </c>
      <c r="I20" s="515"/>
      <c r="J20" s="515"/>
      <c r="K20" s="515"/>
      <c r="L20" s="515"/>
      <c r="M20" s="515"/>
      <c r="N20" s="515"/>
      <c r="O20" s="515"/>
      <c r="P20" s="867"/>
    </row>
    <row r="21" spans="1:21" ht="15.75">
      <c r="B21" s="15"/>
      <c r="C21" s="17"/>
      <c r="D21" s="17"/>
      <c r="E21" s="17"/>
      <c r="F21" s="22"/>
      <c r="G21" s="17"/>
      <c r="H21" s="17"/>
      <c r="I21" s="515"/>
      <c r="J21" s="515"/>
      <c r="K21" s="515"/>
      <c r="L21" s="515"/>
      <c r="M21" s="515"/>
      <c r="N21" s="515"/>
      <c r="O21" s="515"/>
      <c r="P21" s="867"/>
    </row>
    <row r="22" spans="1:21" ht="15.75">
      <c r="B22" s="15"/>
      <c r="C22" s="17"/>
      <c r="D22" s="17" t="s">
        <v>951</v>
      </c>
      <c r="E22" s="17">
        <f>INDEX($E$17:$H$20, MATCH($E$9, $C$17:$C$20, 0), MATCH($E$10, $E$15:$H$15, 0))</f>
        <v>11</v>
      </c>
      <c r="F22" s="22"/>
      <c r="G22" s="17"/>
      <c r="H22" s="17"/>
      <c r="I22" s="515"/>
      <c r="J22" s="515"/>
      <c r="K22" s="515"/>
      <c r="L22" s="515"/>
      <c r="M22" s="515"/>
      <c r="N22" s="515"/>
      <c r="O22" s="515"/>
      <c r="P22" s="867"/>
    </row>
    <row r="23" spans="1:21" ht="15.75">
      <c r="B23" s="15"/>
      <c r="C23" s="515"/>
      <c r="D23" s="17"/>
      <c r="E23" s="17"/>
      <c r="F23" s="515"/>
      <c r="G23" s="515"/>
      <c r="H23" s="515"/>
      <c r="I23" s="515"/>
      <c r="J23" s="515"/>
      <c r="K23" s="515"/>
      <c r="L23" s="515"/>
      <c r="M23" s="515"/>
      <c r="N23" s="515"/>
      <c r="O23" s="515"/>
      <c r="P23" s="867"/>
    </row>
    <row r="24" spans="1:21">
      <c r="B24" s="1252"/>
      <c r="C24" s="869"/>
      <c r="D24" s="869"/>
      <c r="E24" s="869"/>
      <c r="F24" s="869"/>
      <c r="G24" s="869"/>
      <c r="H24" s="869"/>
      <c r="I24" s="869"/>
      <c r="J24" s="869"/>
      <c r="K24" s="869"/>
      <c r="L24" s="869"/>
      <c r="M24" s="869"/>
      <c r="N24" s="869"/>
      <c r="O24" s="869"/>
      <c r="P24" s="870"/>
    </row>
    <row r="26" spans="1:21" s="6" customFormat="1" ht="23.25">
      <c r="A26" s="40"/>
      <c r="B26" s="878" t="s">
        <v>33</v>
      </c>
      <c r="C26" s="879"/>
      <c r="D26" s="879"/>
      <c r="E26" s="879"/>
      <c r="F26" s="879"/>
      <c r="G26" s="879"/>
      <c r="H26" s="879"/>
      <c r="I26" s="879"/>
      <c r="J26" s="879"/>
      <c r="K26" s="879"/>
      <c r="L26" s="879"/>
      <c r="M26" s="879"/>
      <c r="N26" s="879"/>
      <c r="O26" s="879"/>
      <c r="P26" s="879"/>
      <c r="Q26" s="879"/>
      <c r="R26" s="879"/>
      <c r="S26" s="879"/>
      <c r="T26" s="879"/>
      <c r="U26" s="880"/>
    </row>
    <row r="27" spans="1:21">
      <c r="B27" s="110"/>
      <c r="C27" s="67"/>
      <c r="D27" s="67"/>
      <c r="E27" s="67"/>
      <c r="F27" s="67"/>
      <c r="G27" s="67"/>
      <c r="H27" s="67"/>
      <c r="I27" s="67"/>
      <c r="J27" s="67"/>
      <c r="K27" s="67"/>
      <c r="L27" s="67"/>
      <c r="M27" s="67"/>
      <c r="N27" s="67"/>
      <c r="O27" s="67"/>
      <c r="P27" s="67"/>
      <c r="Q27" s="67"/>
      <c r="R27" s="67"/>
      <c r="S27" s="67"/>
      <c r="T27" s="67"/>
      <c r="U27" s="885"/>
    </row>
    <row r="28" spans="1:21">
      <c r="B28" s="110"/>
      <c r="C28" s="49" t="s">
        <v>3126</v>
      </c>
      <c r="D28" s="67"/>
      <c r="E28" s="50"/>
      <c r="F28" s="67"/>
      <c r="G28" s="67"/>
      <c r="H28" s="67"/>
      <c r="I28" s="67"/>
      <c r="J28" s="67"/>
      <c r="K28" s="67"/>
      <c r="L28" s="67"/>
      <c r="M28" s="67"/>
      <c r="N28" s="50" t="str">
        <f>Preferences.EnergyUnits</f>
        <v>TWh</v>
      </c>
      <c r="O28" s="50"/>
      <c r="P28" s="67"/>
      <c r="Q28" s="67"/>
      <c r="R28" s="67"/>
      <c r="S28" s="67"/>
      <c r="T28" s="67"/>
      <c r="U28" s="885"/>
    </row>
    <row r="29" spans="1:21">
      <c r="B29" s="110"/>
      <c r="C29" s="67"/>
      <c r="D29" s="67"/>
      <c r="E29" s="67"/>
      <c r="F29" s="67"/>
      <c r="G29" s="67"/>
      <c r="H29" s="67"/>
      <c r="I29" s="67"/>
      <c r="J29" s="67"/>
      <c r="K29" s="67"/>
      <c r="L29" s="67"/>
      <c r="M29" s="67"/>
      <c r="N29" s="67"/>
      <c r="O29" s="67"/>
      <c r="P29" s="67"/>
      <c r="Q29" s="67"/>
      <c r="R29" s="67"/>
      <c r="S29" s="67"/>
      <c r="T29" s="67"/>
      <c r="U29" s="885"/>
    </row>
    <row r="30" spans="1:21">
      <c r="B30" s="110"/>
      <c r="C30" s="887" t="s">
        <v>8</v>
      </c>
      <c r="D30" s="887" t="s">
        <v>34</v>
      </c>
      <c r="E30" s="1196" t="s">
        <v>30</v>
      </c>
      <c r="F30" s="92">
        <v>2013</v>
      </c>
      <c r="G30" s="92">
        <v>2015</v>
      </c>
      <c r="H30" s="92">
        <v>2020</v>
      </c>
      <c r="I30" s="92">
        <v>2025</v>
      </c>
      <c r="J30" s="92">
        <v>2030</v>
      </c>
      <c r="K30" s="92">
        <v>2035</v>
      </c>
      <c r="L30" s="92">
        <v>2040</v>
      </c>
      <c r="M30" s="92">
        <v>2045</v>
      </c>
      <c r="N30" s="92">
        <v>2050</v>
      </c>
      <c r="O30" s="67"/>
      <c r="P30" s="67"/>
      <c r="Q30" s="67"/>
      <c r="R30" s="67"/>
      <c r="S30" s="67"/>
      <c r="T30" s="67"/>
      <c r="U30" s="885"/>
    </row>
    <row r="31" spans="1:21" ht="15.75">
      <c r="B31" s="55"/>
      <c r="C31" s="65">
        <v>1</v>
      </c>
      <c r="D31" s="108" t="s">
        <v>952</v>
      </c>
      <c r="E31" s="1253"/>
      <c r="F31" s="1254">
        <f>(Unit.TWh)*8.13</f>
        <v>8.1300000000000008</v>
      </c>
      <c r="G31" s="1254">
        <f>(Unit.TWh)*8.35</f>
        <v>8.35</v>
      </c>
      <c r="H31" s="1254">
        <f>(Unit.TWh)*9.0225</f>
        <v>9.0225000000000009</v>
      </c>
      <c r="I31" s="1254">
        <f>(Unit.TWh)*9.46875</f>
        <v>9.46875</v>
      </c>
      <c r="J31" s="1254">
        <f>(Unit.TWh)*9.915</f>
        <v>9.9149999999999991</v>
      </c>
      <c r="K31" s="1254">
        <f>(Unit.TWh)*10.36125</f>
        <v>10.36125</v>
      </c>
      <c r="L31" s="1254">
        <f>(Unit.TWh)*10.8075</f>
        <v>10.807499999999999</v>
      </c>
      <c r="M31" s="1254">
        <f>(Unit.TWh)*11.25375</f>
        <v>11.25375</v>
      </c>
      <c r="N31" s="1254">
        <f>(Unit.TWh)*11.7</f>
        <v>11.7</v>
      </c>
      <c r="O31" s="77"/>
      <c r="P31" s="67"/>
      <c r="Q31" s="67"/>
      <c r="R31" s="67"/>
      <c r="S31" s="67"/>
      <c r="T31" s="67"/>
      <c r="U31" s="885"/>
    </row>
    <row r="32" spans="1:21" ht="15.75">
      <c r="B32" s="55"/>
      <c r="C32" s="65">
        <v>2</v>
      </c>
      <c r="D32" s="108" t="s">
        <v>952</v>
      </c>
      <c r="E32" s="1253"/>
      <c r="F32" s="1254">
        <f>(Unit.TWh)*8.13</f>
        <v>8.1300000000000008</v>
      </c>
      <c r="G32" s="1254">
        <f>(Unit.TWh)*8.2</f>
        <v>8.1999999999999993</v>
      </c>
      <c r="H32" s="1254">
        <f>(Unit.TWh)*8.4475</f>
        <v>8.4474999999999998</v>
      </c>
      <c r="I32" s="1254">
        <f>(Unit.TWh)*8.60625</f>
        <v>8.6062499999999993</v>
      </c>
      <c r="J32" s="1254">
        <f>(Unit.TWh)*8.765</f>
        <v>8.7650000000000006</v>
      </c>
      <c r="K32" s="1254">
        <f>(Unit.TWh)*8.92375</f>
        <v>8.9237500000000001</v>
      </c>
      <c r="L32" s="1254">
        <f>(Unit.TWh)*9.0825</f>
        <v>9.0824999999999996</v>
      </c>
      <c r="M32" s="1254">
        <f>(Unit.TWh)*9.24125</f>
        <v>9.2412500000000009</v>
      </c>
      <c r="N32" s="1254">
        <f>(Unit.TWh)*9.4</f>
        <v>9.4</v>
      </c>
      <c r="O32" s="77"/>
      <c r="P32" s="67"/>
      <c r="Q32" s="67"/>
      <c r="R32" s="67"/>
      <c r="S32" s="67"/>
      <c r="T32" s="67"/>
      <c r="U32" s="885"/>
    </row>
    <row r="33" spans="2:21" ht="15.75">
      <c r="B33" s="55"/>
      <c r="C33" s="65">
        <v>3</v>
      </c>
      <c r="D33" s="108" t="s">
        <v>952</v>
      </c>
      <c r="E33" s="1253"/>
      <c r="F33" s="1254">
        <f>(Unit.TWh)*8.13</f>
        <v>8.1300000000000008</v>
      </c>
      <c r="G33" s="1254">
        <f>(Unit.TWh)*8.13</f>
        <v>8.1300000000000008</v>
      </c>
      <c r="H33" s="1254">
        <f t="shared" ref="H33:N33" si="0">(Unit.TWh)*8.13</f>
        <v>8.1300000000000008</v>
      </c>
      <c r="I33" s="1254">
        <f t="shared" si="0"/>
        <v>8.1300000000000008</v>
      </c>
      <c r="J33" s="1254">
        <f t="shared" si="0"/>
        <v>8.1300000000000008</v>
      </c>
      <c r="K33" s="1254">
        <f t="shared" si="0"/>
        <v>8.1300000000000008</v>
      </c>
      <c r="L33" s="1254">
        <f t="shared" si="0"/>
        <v>8.1300000000000008</v>
      </c>
      <c r="M33" s="1254">
        <f t="shared" si="0"/>
        <v>8.1300000000000008</v>
      </c>
      <c r="N33" s="1254">
        <f t="shared" si="0"/>
        <v>8.1300000000000008</v>
      </c>
      <c r="O33" s="77"/>
      <c r="P33" s="67"/>
      <c r="Q33" s="67"/>
      <c r="R33" s="67"/>
      <c r="S33" s="67"/>
      <c r="T33" s="67"/>
      <c r="U33" s="885"/>
    </row>
    <row r="34" spans="2:21" ht="15.75">
      <c r="B34" s="55"/>
      <c r="C34" s="896">
        <v>4</v>
      </c>
      <c r="D34" s="897" t="s">
        <v>952</v>
      </c>
      <c r="E34" s="1255"/>
      <c r="F34" s="1256">
        <f>(Unit.TWh)*8.13</f>
        <v>8.1300000000000008</v>
      </c>
      <c r="G34" s="1256">
        <f>(Unit.TWh)*8</f>
        <v>8</v>
      </c>
      <c r="H34" s="1256">
        <f>(Unit.TWh)*7.8475</f>
        <v>7.8475000000000001</v>
      </c>
      <c r="I34" s="1256">
        <f>(Unit.TWh)*7.70625</f>
        <v>7.7062499999999998</v>
      </c>
      <c r="J34" s="1256">
        <f>(Unit.TWh)*7.565</f>
        <v>7.5650000000000004</v>
      </c>
      <c r="K34" s="1256">
        <f>(Unit.TWh)*7.42375</f>
        <v>7.4237500000000001</v>
      </c>
      <c r="L34" s="1256">
        <f>(Unit.TWh)*7.2825</f>
        <v>7.2824999999999998</v>
      </c>
      <c r="M34" s="1256">
        <f>(Unit.TWh)*7.14125</f>
        <v>7.1412500000000003</v>
      </c>
      <c r="N34" s="1256">
        <f>(Unit.TWh)*7</f>
        <v>7</v>
      </c>
      <c r="O34" s="77"/>
      <c r="P34" s="67"/>
      <c r="Q34" s="67"/>
      <c r="R34" s="47"/>
      <c r="S34" s="67"/>
      <c r="T34" s="47"/>
      <c r="U34" s="885"/>
    </row>
    <row r="35" spans="2:21">
      <c r="B35" s="110"/>
      <c r="C35" s="67"/>
      <c r="D35" s="67"/>
      <c r="E35" s="943"/>
      <c r="F35" s="67"/>
      <c r="G35" s="67"/>
      <c r="H35" s="67"/>
      <c r="I35" s="67"/>
      <c r="J35" s="67"/>
      <c r="K35" s="67"/>
      <c r="L35" s="67"/>
      <c r="M35" s="67"/>
      <c r="N35" s="67"/>
      <c r="O35" s="67"/>
      <c r="P35" s="67"/>
      <c r="Q35" s="67"/>
      <c r="R35" s="47"/>
      <c r="S35" s="67"/>
      <c r="T35" s="47"/>
      <c r="U35" s="885"/>
    </row>
    <row r="36" spans="2:21">
      <c r="B36" s="110"/>
      <c r="C36" s="49" t="s">
        <v>3127</v>
      </c>
      <c r="D36" s="67"/>
      <c r="E36" s="1257"/>
      <c r="F36" s="67"/>
      <c r="G36" s="67"/>
      <c r="H36" s="67"/>
      <c r="I36" s="67"/>
      <c r="J36" s="67"/>
      <c r="K36" s="67"/>
      <c r="L36" s="67"/>
      <c r="M36" s="67"/>
      <c r="N36" s="50" t="str">
        <f>Preferences.EnergyUnits</f>
        <v>TWh</v>
      </c>
      <c r="O36" s="67"/>
      <c r="P36" s="67"/>
      <c r="Q36" s="67"/>
      <c r="R36" s="67"/>
      <c r="S36" s="47"/>
      <c r="T36" s="67"/>
      <c r="U36" s="885"/>
    </row>
    <row r="37" spans="2:21">
      <c r="B37" s="110"/>
      <c r="C37" s="67"/>
      <c r="D37" s="67"/>
      <c r="E37" s="943"/>
      <c r="F37" s="67"/>
      <c r="G37" s="67"/>
      <c r="H37" s="67"/>
      <c r="I37" s="67"/>
      <c r="J37" s="67"/>
      <c r="K37" s="67"/>
      <c r="L37" s="67"/>
      <c r="M37" s="67"/>
      <c r="N37" s="67"/>
      <c r="O37" s="67"/>
      <c r="P37" s="67"/>
      <c r="Q37" s="67"/>
      <c r="R37" s="67"/>
      <c r="S37" s="47"/>
      <c r="T37" s="67"/>
      <c r="U37" s="885"/>
    </row>
    <row r="38" spans="2:21">
      <c r="B38" s="110"/>
      <c r="C38" s="887" t="s">
        <v>8</v>
      </c>
      <c r="D38" s="887" t="s">
        <v>34</v>
      </c>
      <c r="E38" s="1196" t="s">
        <v>30</v>
      </c>
      <c r="F38" s="92">
        <v>2013</v>
      </c>
      <c r="G38" s="92">
        <v>2015</v>
      </c>
      <c r="H38" s="92">
        <v>2020</v>
      </c>
      <c r="I38" s="92">
        <v>2025</v>
      </c>
      <c r="J38" s="92">
        <v>2030</v>
      </c>
      <c r="K38" s="92">
        <v>2035</v>
      </c>
      <c r="L38" s="92">
        <v>2040</v>
      </c>
      <c r="M38" s="92">
        <v>2045</v>
      </c>
      <c r="N38" s="92">
        <v>2050</v>
      </c>
      <c r="O38" s="67"/>
      <c r="P38" s="67"/>
      <c r="Q38" s="67"/>
      <c r="R38" s="67"/>
      <c r="S38" s="67"/>
      <c r="T38" s="67"/>
      <c r="U38" s="885"/>
    </row>
    <row r="39" spans="2:21" ht="15.75">
      <c r="B39" s="55"/>
      <c r="C39" s="65">
        <v>1</v>
      </c>
      <c r="D39" s="108" t="s">
        <v>953</v>
      </c>
      <c r="E39" s="1253"/>
      <c r="F39" s="1254">
        <f>(Unit.TWh)*1.43</f>
        <v>1.43</v>
      </c>
      <c r="G39" s="1254">
        <f>(Unit.TWh)*1.49</f>
        <v>1.49</v>
      </c>
      <c r="H39" s="1254">
        <f>(Unit.TWh)*1.59</f>
        <v>1.59</v>
      </c>
      <c r="I39" s="1254">
        <f>(Unit.TWh)*1.67</f>
        <v>1.67</v>
      </c>
      <c r="J39" s="1254">
        <f>(Unit.TWh)*1.75</f>
        <v>1.75</v>
      </c>
      <c r="K39" s="1254">
        <f>(Unit.TWh)*1.83</f>
        <v>1.83</v>
      </c>
      <c r="L39" s="1254">
        <f>(Unit.TWh)*1.91</f>
        <v>1.91</v>
      </c>
      <c r="M39" s="1254">
        <f>(Unit.TWh)*1.99</f>
        <v>1.99</v>
      </c>
      <c r="N39" s="1254">
        <f>(Unit.TWh)*2.07</f>
        <v>2.0699999999999998</v>
      </c>
      <c r="O39" s="77"/>
      <c r="P39" s="67"/>
      <c r="Q39" s="67"/>
      <c r="R39" s="67"/>
      <c r="S39" s="67"/>
      <c r="T39" s="67"/>
      <c r="U39" s="885"/>
    </row>
    <row r="40" spans="2:21" ht="15.75">
      <c r="B40" s="55"/>
      <c r="C40" s="65">
        <v>2</v>
      </c>
      <c r="D40" s="108" t="s">
        <v>953</v>
      </c>
      <c r="E40" s="1253"/>
      <c r="F40" s="1254">
        <f>(Unit.TWh)*1.43</f>
        <v>1.43</v>
      </c>
      <c r="G40" s="1254">
        <f>(Unit.TWh)*1.45</f>
        <v>1.45</v>
      </c>
      <c r="H40" s="1254">
        <f>(Unit.TWh)*1.5475</f>
        <v>1.5475000000000001</v>
      </c>
      <c r="I40" s="1254">
        <f>(Unit.TWh)*1.60625</f>
        <v>1.60625</v>
      </c>
      <c r="J40" s="1254">
        <f>(Unit.TWh)*1.665</f>
        <v>1.665</v>
      </c>
      <c r="K40" s="1254">
        <f>(Unit.TWh)*1.72375</f>
        <v>1.7237499999999999</v>
      </c>
      <c r="L40" s="1254">
        <f>(Unit.TWh)*1.7825</f>
        <v>1.7825</v>
      </c>
      <c r="M40" s="1254">
        <f>(Unit.TWh)*1.84125</f>
        <v>1.8412500000000001</v>
      </c>
      <c r="N40" s="1254">
        <f>(Unit.TWh)*1.9</f>
        <v>1.9</v>
      </c>
      <c r="O40" s="77"/>
      <c r="P40" s="67" t="s">
        <v>5</v>
      </c>
      <c r="Q40" s="67"/>
      <c r="R40" s="67"/>
      <c r="S40" s="67"/>
      <c r="T40" s="67"/>
      <c r="U40" s="885"/>
    </row>
    <row r="41" spans="2:21" ht="15.75">
      <c r="B41" s="55"/>
      <c r="C41" s="65">
        <v>3</v>
      </c>
      <c r="D41" s="108" t="s">
        <v>953</v>
      </c>
      <c r="E41" s="1253"/>
      <c r="F41" s="1254">
        <f>(Unit.TWh)*1.43</f>
        <v>1.43</v>
      </c>
      <c r="G41" s="1254">
        <f t="shared" ref="G41:N41" si="1">(Unit.TWh)*1.43</f>
        <v>1.43</v>
      </c>
      <c r="H41" s="1254">
        <f t="shared" si="1"/>
        <v>1.43</v>
      </c>
      <c r="I41" s="1254">
        <f t="shared" si="1"/>
        <v>1.43</v>
      </c>
      <c r="J41" s="1254">
        <f t="shared" si="1"/>
        <v>1.43</v>
      </c>
      <c r="K41" s="1254">
        <f t="shared" si="1"/>
        <v>1.43</v>
      </c>
      <c r="L41" s="1254">
        <f t="shared" si="1"/>
        <v>1.43</v>
      </c>
      <c r="M41" s="1254">
        <f t="shared" si="1"/>
        <v>1.43</v>
      </c>
      <c r="N41" s="1254">
        <f t="shared" si="1"/>
        <v>1.43</v>
      </c>
      <c r="O41" s="77"/>
      <c r="P41" s="67"/>
      <c r="Q41" s="67"/>
      <c r="R41" s="67"/>
      <c r="S41" s="67"/>
      <c r="T41" s="67"/>
      <c r="U41" s="885"/>
    </row>
    <row r="42" spans="2:21" ht="15.75">
      <c r="B42" s="55"/>
      <c r="C42" s="896">
        <v>4</v>
      </c>
      <c r="D42" s="897" t="s">
        <v>953</v>
      </c>
      <c r="E42" s="1255"/>
      <c r="F42" s="1256">
        <f>(Unit.TWh)*1.43</f>
        <v>1.43</v>
      </c>
      <c r="G42" s="1256">
        <f>(Unit.TWh)*1.431</f>
        <v>1.431</v>
      </c>
      <c r="H42" s="1256">
        <f>(Unit.TWh)*1.435</f>
        <v>1.4350000000000001</v>
      </c>
      <c r="I42" s="1256">
        <f>(Unit.TWh)*1.4375</f>
        <v>1.4375</v>
      </c>
      <c r="J42" s="1256">
        <f>(Unit.TWh)*1.44</f>
        <v>1.44</v>
      </c>
      <c r="K42" s="1256">
        <f>(Unit.TWh)*1.4425</f>
        <v>1.4424999999999999</v>
      </c>
      <c r="L42" s="1256">
        <f>(Unit.TWh)*1.445</f>
        <v>1.4450000000000001</v>
      </c>
      <c r="M42" s="1256">
        <f>(Unit.TWh)*1.4475</f>
        <v>1.4475</v>
      </c>
      <c r="N42" s="1256">
        <f>(Unit.TWh)*1.45</f>
        <v>1.45</v>
      </c>
      <c r="O42" s="77"/>
      <c r="P42" s="67"/>
      <c r="Q42" s="67"/>
      <c r="R42" s="67"/>
      <c r="S42" s="67"/>
      <c r="T42" s="67"/>
      <c r="U42" s="885"/>
    </row>
    <row r="43" spans="2:21">
      <c r="B43" s="110"/>
      <c r="C43" s="67"/>
      <c r="D43" s="67"/>
      <c r="E43" s="943"/>
      <c r="F43" s="67"/>
      <c r="G43" s="67"/>
      <c r="H43" s="67"/>
      <c r="I43" s="67"/>
      <c r="J43" s="67"/>
      <c r="K43" s="67"/>
      <c r="L43" s="67"/>
      <c r="M43" s="67"/>
      <c r="N43" s="67"/>
      <c r="O43" s="67"/>
      <c r="P43" s="67"/>
      <c r="Q43" s="67"/>
      <c r="R43" s="67"/>
      <c r="S43" s="67"/>
      <c r="T43" s="67"/>
      <c r="U43" s="885"/>
    </row>
    <row r="44" spans="2:21">
      <c r="B44" s="110"/>
      <c r="C44" s="49" t="s">
        <v>3128</v>
      </c>
      <c r="D44" s="67"/>
      <c r="E44" s="1257"/>
      <c r="F44" s="67"/>
      <c r="G44" s="67"/>
      <c r="H44" s="67"/>
      <c r="I44" s="67"/>
      <c r="J44" s="67"/>
      <c r="K44" s="67"/>
      <c r="L44" s="67"/>
      <c r="M44" s="67"/>
      <c r="N44" s="50" t="str">
        <f>Preferences.EnergyUnits</f>
        <v>TWh</v>
      </c>
      <c r="O44" s="67"/>
      <c r="P44" s="67"/>
      <c r="Q44" s="67"/>
      <c r="R44" s="67"/>
      <c r="S44" s="67"/>
      <c r="T44" s="67"/>
      <c r="U44" s="885"/>
    </row>
    <row r="45" spans="2:21">
      <c r="B45" s="110"/>
      <c r="C45" s="67"/>
      <c r="D45" s="67"/>
      <c r="E45" s="943"/>
      <c r="F45" s="67"/>
      <c r="G45" s="67"/>
      <c r="H45" s="67"/>
      <c r="I45" s="67"/>
      <c r="J45" s="67"/>
      <c r="K45" s="67"/>
      <c r="L45" s="67"/>
      <c r="M45" s="67"/>
      <c r="N45" s="67"/>
      <c r="O45" s="67"/>
      <c r="P45" s="67"/>
      <c r="Q45" s="67"/>
      <c r="R45" s="67"/>
      <c r="S45" s="67"/>
      <c r="T45" s="67"/>
      <c r="U45" s="885"/>
    </row>
    <row r="46" spans="2:21">
      <c r="B46" s="110"/>
      <c r="C46" s="887" t="s">
        <v>8</v>
      </c>
      <c r="D46" s="887" t="s">
        <v>34</v>
      </c>
      <c r="E46" s="1196" t="s">
        <v>30</v>
      </c>
      <c r="F46" s="92">
        <v>2013</v>
      </c>
      <c r="G46" s="92">
        <v>2015</v>
      </c>
      <c r="H46" s="92">
        <v>2020</v>
      </c>
      <c r="I46" s="92">
        <v>2025</v>
      </c>
      <c r="J46" s="92">
        <v>2030</v>
      </c>
      <c r="K46" s="92">
        <v>2035</v>
      </c>
      <c r="L46" s="92">
        <v>2040</v>
      </c>
      <c r="M46" s="92">
        <v>2045</v>
      </c>
      <c r="N46" s="92">
        <v>2050</v>
      </c>
      <c r="O46" s="67"/>
      <c r="P46" s="67"/>
      <c r="Q46" s="67"/>
      <c r="R46" s="67"/>
      <c r="S46" s="67"/>
      <c r="T46" s="67"/>
      <c r="U46" s="885"/>
    </row>
    <row r="47" spans="2:21" ht="15.75">
      <c r="B47" s="55"/>
      <c r="C47" s="65">
        <v>1</v>
      </c>
      <c r="D47" s="108" t="s">
        <v>954</v>
      </c>
      <c r="E47" s="301"/>
      <c r="F47" s="1034">
        <f>(Unit.TWh)*1</f>
        <v>1</v>
      </c>
      <c r="G47" s="1034">
        <f>(Unit.TWh)*1.2</f>
        <v>1.2</v>
      </c>
      <c r="H47" s="1034">
        <f>(Unit.TWh)*1.5</f>
        <v>1.5</v>
      </c>
      <c r="I47" s="1034">
        <f>(Unit.TWh)*1.75</f>
        <v>1.75</v>
      </c>
      <c r="J47" s="1034">
        <f>(Unit.TWh)*2</f>
        <v>2</v>
      </c>
      <c r="K47" s="1034">
        <f>(Unit.TWh)*2.25</f>
        <v>2.25</v>
      </c>
      <c r="L47" s="1034">
        <f>(Unit.TWh)*2.5</f>
        <v>2.5</v>
      </c>
      <c r="M47" s="1034">
        <f>(Unit.TWh)*2.75</f>
        <v>2.75</v>
      </c>
      <c r="N47" s="1034">
        <f>(Unit.TWh)*3</f>
        <v>3</v>
      </c>
      <c r="O47" s="77"/>
      <c r="P47" s="67"/>
      <c r="Q47" s="67"/>
      <c r="R47" s="67"/>
      <c r="S47" s="67"/>
      <c r="T47" s="67"/>
      <c r="U47" s="885"/>
    </row>
    <row r="48" spans="2:21" ht="15.75">
      <c r="B48" s="55"/>
      <c r="C48" s="65">
        <v>2</v>
      </c>
      <c r="D48" s="108" t="s">
        <v>954</v>
      </c>
      <c r="E48" s="301"/>
      <c r="F48" s="59">
        <f>(Unit.TWh)*1</f>
        <v>1</v>
      </c>
      <c r="G48" s="59">
        <f>(Unit.TWh)*1.03</f>
        <v>1.03</v>
      </c>
      <c r="H48" s="59">
        <f>(Unit.TWh)*1.1</f>
        <v>1.1000000000000001</v>
      </c>
      <c r="I48" s="59">
        <f>(Unit.TWh)*1.15</f>
        <v>1.1499999999999999</v>
      </c>
      <c r="J48" s="59">
        <f>(Unit.TWh)*1.2</f>
        <v>1.2</v>
      </c>
      <c r="K48" s="59">
        <f>(Unit.TWh)*1.25</f>
        <v>1.25</v>
      </c>
      <c r="L48" s="59">
        <f>(Unit.TWh)*1.3</f>
        <v>1.3</v>
      </c>
      <c r="M48" s="59">
        <f>(Unit.TWh)*1.35</f>
        <v>1.35</v>
      </c>
      <c r="N48" s="59">
        <f>(Unit.TWh)*1.4</f>
        <v>1.4</v>
      </c>
      <c r="O48" s="77"/>
      <c r="P48" s="67"/>
      <c r="Q48" s="67"/>
      <c r="R48" s="67"/>
      <c r="S48" s="67"/>
      <c r="T48" s="67"/>
      <c r="U48" s="885"/>
    </row>
    <row r="49" spans="2:21" ht="15.75">
      <c r="B49" s="55"/>
      <c r="C49" s="65">
        <v>3</v>
      </c>
      <c r="D49" s="108" t="s">
        <v>954</v>
      </c>
      <c r="E49" s="301"/>
      <c r="F49" s="59">
        <f>(Unit.TWh)*1</f>
        <v>1</v>
      </c>
      <c r="G49" s="59">
        <f t="shared" ref="G49:N49" si="2">(Unit.TWh)*1</f>
        <v>1</v>
      </c>
      <c r="H49" s="59">
        <f t="shared" si="2"/>
        <v>1</v>
      </c>
      <c r="I49" s="59">
        <f t="shared" si="2"/>
        <v>1</v>
      </c>
      <c r="J49" s="59">
        <f t="shared" si="2"/>
        <v>1</v>
      </c>
      <c r="K49" s="59">
        <f t="shared" si="2"/>
        <v>1</v>
      </c>
      <c r="L49" s="59">
        <f t="shared" si="2"/>
        <v>1</v>
      </c>
      <c r="M49" s="59">
        <f t="shared" si="2"/>
        <v>1</v>
      </c>
      <c r="N49" s="59">
        <f t="shared" si="2"/>
        <v>1</v>
      </c>
      <c r="O49" s="77"/>
      <c r="P49" s="67"/>
      <c r="Q49" s="67"/>
      <c r="R49" s="67"/>
      <c r="S49" s="67"/>
      <c r="T49" s="67"/>
      <c r="U49" s="885"/>
    </row>
    <row r="50" spans="2:21" ht="15.75">
      <c r="B50" s="55"/>
      <c r="C50" s="896">
        <v>4</v>
      </c>
      <c r="D50" s="897" t="s">
        <v>954</v>
      </c>
      <c r="E50" s="1037"/>
      <c r="F50" s="1023">
        <f>(Unit.TWh)*1</f>
        <v>1</v>
      </c>
      <c r="G50" s="1023">
        <f>(Unit.TWh)*0.95</f>
        <v>0.95</v>
      </c>
      <c r="H50" s="1023">
        <f>(Unit.TWh)*0.8875</f>
        <v>0.88749999999999996</v>
      </c>
      <c r="I50" s="1023">
        <f>(Unit.TWh)*0.83125</f>
        <v>0.83125000000000004</v>
      </c>
      <c r="J50" s="1023">
        <f>(Unit.TWh)*0.775</f>
        <v>0.77500000000000002</v>
      </c>
      <c r="K50" s="1023">
        <f>(Unit.TWh)*0.71875</f>
        <v>0.71875</v>
      </c>
      <c r="L50" s="1023">
        <f>(Unit.TWh)*0.6625</f>
        <v>0.66249999999999998</v>
      </c>
      <c r="M50" s="1023">
        <f>(Unit.TWh)*0.60625</f>
        <v>0.60624999999999996</v>
      </c>
      <c r="N50" s="1023">
        <f>(Unit.TWh)*0.55</f>
        <v>0.55000000000000004</v>
      </c>
      <c r="O50" s="77"/>
      <c r="P50" s="67"/>
      <c r="Q50" s="67"/>
      <c r="R50" s="67"/>
      <c r="S50" s="67"/>
      <c r="T50" s="67"/>
      <c r="U50" s="885"/>
    </row>
    <row r="51" spans="2:21">
      <c r="B51" s="110"/>
      <c r="C51" s="67"/>
      <c r="D51" s="67"/>
      <c r="E51" s="67"/>
      <c r="F51" s="67"/>
      <c r="G51" s="67"/>
      <c r="H51" s="67"/>
      <c r="I51" s="67"/>
      <c r="J51" s="67"/>
      <c r="K51" s="67"/>
      <c r="L51" s="67"/>
      <c r="M51" s="67"/>
      <c r="N51" s="67"/>
      <c r="O51" s="67"/>
      <c r="P51" s="67"/>
      <c r="Q51" s="1259"/>
      <c r="R51" s="1259"/>
      <c r="S51" s="1259"/>
      <c r="T51" s="1259"/>
      <c r="U51" s="1258"/>
    </row>
    <row r="52" spans="2:21" ht="15.75">
      <c r="B52" s="55"/>
      <c r="C52" s="89" t="s">
        <v>3129</v>
      </c>
      <c r="D52" s="108"/>
      <c r="E52" s="1259"/>
      <c r="F52" s="59"/>
      <c r="G52" s="1226"/>
      <c r="H52" s="1226"/>
      <c r="I52" s="1226"/>
      <c r="J52" s="1226"/>
      <c r="K52" s="1226"/>
      <c r="L52" s="1226"/>
      <c r="M52" s="1226"/>
      <c r="N52" s="1226"/>
      <c r="O52" s="1259"/>
      <c r="P52" s="1259"/>
      <c r="Q52" s="1259"/>
      <c r="R52" s="1259"/>
      <c r="S52" s="1259"/>
      <c r="T52" s="1259" t="s">
        <v>43</v>
      </c>
      <c r="U52" s="1260"/>
    </row>
    <row r="53" spans="2:21" ht="15.75">
      <c r="B53" s="55"/>
      <c r="C53" s="65" t="s">
        <v>5</v>
      </c>
      <c r="D53" s="108"/>
      <c r="E53" s="108"/>
      <c r="F53" s="59"/>
      <c r="G53" s="1226"/>
      <c r="H53" s="1226"/>
      <c r="I53" s="1226"/>
      <c r="J53" s="1226"/>
      <c r="K53" s="1226"/>
      <c r="L53" s="1226"/>
      <c r="M53" s="1226"/>
      <c r="N53" s="1226"/>
      <c r="O53" s="1226"/>
      <c r="P53" s="1226"/>
      <c r="Q53" s="1226"/>
      <c r="R53" s="1226"/>
      <c r="S53" s="1226"/>
      <c r="T53" s="1226"/>
      <c r="U53" s="1261"/>
    </row>
    <row r="54" spans="2:21" ht="15.75">
      <c r="B54" s="55"/>
      <c r="C54" s="887" t="s">
        <v>44</v>
      </c>
      <c r="D54" s="887" t="s">
        <v>45</v>
      </c>
      <c r="E54" s="1262">
        <v>9</v>
      </c>
      <c r="F54" s="92">
        <v>1</v>
      </c>
      <c r="G54" s="92">
        <v>3</v>
      </c>
      <c r="H54" s="887">
        <v>11</v>
      </c>
      <c r="I54" s="92">
        <v>2</v>
      </c>
      <c r="J54" s="887">
        <v>5</v>
      </c>
      <c r="K54" s="92">
        <v>4</v>
      </c>
      <c r="L54" s="92">
        <v>13</v>
      </c>
      <c r="M54" s="92">
        <v>10</v>
      </c>
      <c r="N54" s="92">
        <v>8</v>
      </c>
      <c r="O54" s="92">
        <v>16</v>
      </c>
      <c r="P54" s="1262">
        <v>7</v>
      </c>
      <c r="Q54" s="1262">
        <v>15</v>
      </c>
      <c r="R54" s="1262">
        <v>6</v>
      </c>
      <c r="S54" s="887">
        <v>14</v>
      </c>
      <c r="T54" s="887">
        <v>12</v>
      </c>
      <c r="U54" s="1263"/>
    </row>
    <row r="55" spans="2:21" ht="15.75">
      <c r="B55" s="55"/>
      <c r="C55" s="65">
        <v>1</v>
      </c>
      <c r="D55" s="1264" t="s">
        <v>46</v>
      </c>
      <c r="E55" s="1265"/>
      <c r="F55" s="94"/>
      <c r="G55" s="94"/>
      <c r="H55" s="93"/>
      <c r="I55" s="94"/>
      <c r="J55" s="93"/>
      <c r="K55" s="94"/>
      <c r="L55" s="94"/>
      <c r="M55" s="94"/>
      <c r="N55" s="94"/>
      <c r="O55" s="94"/>
      <c r="P55" s="1265"/>
      <c r="Q55" s="1265"/>
      <c r="R55" s="1265"/>
      <c r="S55" s="93"/>
      <c r="T55" s="93"/>
      <c r="U55" s="95"/>
    </row>
    <row r="56" spans="2:21" ht="15.75">
      <c r="B56" s="55"/>
      <c r="C56" s="65">
        <v>2</v>
      </c>
      <c r="D56" s="108" t="s">
        <v>47</v>
      </c>
      <c r="E56" s="1265">
        <v>0.9</v>
      </c>
      <c r="F56" s="94">
        <v>1E-3</v>
      </c>
      <c r="G56" s="94">
        <v>0.2</v>
      </c>
      <c r="H56" s="93">
        <v>1E-3</v>
      </c>
      <c r="I56" s="94">
        <v>1E-3</v>
      </c>
      <c r="J56" s="93">
        <v>1E-3</v>
      </c>
      <c r="K56" s="94">
        <v>1E-3</v>
      </c>
      <c r="L56" s="94">
        <v>1E-3</v>
      </c>
      <c r="M56" s="94">
        <v>1E-3</v>
      </c>
      <c r="N56" s="94">
        <v>1E-3</v>
      </c>
      <c r="O56" s="94">
        <v>1E-3</v>
      </c>
      <c r="P56" s="1265">
        <v>1E-3</v>
      </c>
      <c r="Q56" s="1265">
        <v>1E-3</v>
      </c>
      <c r="R56" s="1265">
        <v>1E-3</v>
      </c>
      <c r="S56" s="93">
        <v>1E-3</v>
      </c>
      <c r="T56" s="93">
        <v>1E-3</v>
      </c>
      <c r="U56" s="95"/>
    </row>
    <row r="57" spans="2:21" ht="15.75">
      <c r="B57" s="55"/>
      <c r="C57" s="65">
        <v>3</v>
      </c>
      <c r="D57" s="108" t="s">
        <v>48</v>
      </c>
      <c r="E57" s="1265">
        <v>0.1</v>
      </c>
      <c r="F57" s="94">
        <v>0.1</v>
      </c>
      <c r="G57" s="94"/>
      <c r="H57" s="93">
        <v>0.1</v>
      </c>
      <c r="I57" s="94"/>
      <c r="J57" s="93"/>
      <c r="K57" s="94">
        <v>7.0000000000000007E-2</v>
      </c>
      <c r="L57" s="94"/>
      <c r="M57" s="94">
        <v>0.1</v>
      </c>
      <c r="N57" s="94"/>
      <c r="O57" s="94"/>
      <c r="P57" s="1265"/>
      <c r="Q57" s="1265"/>
      <c r="R57" s="1265"/>
      <c r="S57" s="93"/>
      <c r="T57" s="93"/>
      <c r="U57" s="95"/>
    </row>
    <row r="58" spans="2:21" ht="15.75">
      <c r="B58" s="55"/>
      <c r="C58" s="65">
        <v>4</v>
      </c>
      <c r="D58" s="108" t="s">
        <v>49</v>
      </c>
      <c r="E58" s="1265"/>
      <c r="F58" s="94"/>
      <c r="G58" s="94"/>
      <c r="H58" s="93"/>
      <c r="I58" s="94"/>
      <c r="J58" s="93"/>
      <c r="K58" s="94"/>
      <c r="L58" s="94"/>
      <c r="M58" s="94"/>
      <c r="N58" s="94"/>
      <c r="O58" s="94"/>
      <c r="P58" s="1265"/>
      <c r="Q58" s="1265"/>
      <c r="R58" s="1265"/>
      <c r="S58" s="93"/>
      <c r="T58" s="93"/>
      <c r="U58" s="95"/>
    </row>
    <row r="59" spans="2:21" ht="15.75">
      <c r="B59" s="55"/>
      <c r="C59" s="65">
        <v>5</v>
      </c>
      <c r="D59" s="108" t="s">
        <v>50</v>
      </c>
      <c r="E59" s="1265" t="s">
        <v>5</v>
      </c>
      <c r="F59" s="94"/>
      <c r="G59" s="94"/>
      <c r="H59" s="93"/>
      <c r="I59" s="94">
        <v>0.2</v>
      </c>
      <c r="J59" s="93">
        <v>0.1</v>
      </c>
      <c r="K59" s="94"/>
      <c r="L59" s="94"/>
      <c r="M59" s="94"/>
      <c r="N59" s="94">
        <v>0.2</v>
      </c>
      <c r="O59" s="94">
        <v>0.1</v>
      </c>
      <c r="P59" s="1265">
        <v>0.1</v>
      </c>
      <c r="Q59" s="1265">
        <v>0.1</v>
      </c>
      <c r="R59" s="1265">
        <v>0.05</v>
      </c>
      <c r="S59" s="93">
        <v>0.15</v>
      </c>
      <c r="T59" s="93">
        <v>0.05</v>
      </c>
      <c r="U59" s="95"/>
    </row>
    <row r="60" spans="2:21" ht="15.75">
      <c r="B60" s="55"/>
      <c r="C60" s="65">
        <v>6</v>
      </c>
      <c r="D60" s="1264" t="s">
        <v>51</v>
      </c>
      <c r="E60" s="1265"/>
      <c r="F60" s="94"/>
      <c r="G60" s="96"/>
      <c r="H60" s="93"/>
      <c r="I60" s="96"/>
      <c r="J60" s="93"/>
      <c r="K60" s="96"/>
      <c r="L60" s="96"/>
      <c r="M60" s="96"/>
      <c r="N60" s="96"/>
      <c r="O60" s="96"/>
      <c r="P60" s="1265">
        <v>0.19</v>
      </c>
      <c r="Q60" s="1265">
        <v>0.19</v>
      </c>
      <c r="R60" s="1265">
        <v>0.24</v>
      </c>
      <c r="S60" s="93"/>
      <c r="T60" s="93"/>
      <c r="U60" s="97"/>
    </row>
    <row r="61" spans="2:21" ht="15.75">
      <c r="B61" s="55"/>
      <c r="C61" s="65">
        <v>7</v>
      </c>
      <c r="D61" s="1264" t="s">
        <v>52</v>
      </c>
      <c r="E61" s="1265"/>
      <c r="F61" s="94"/>
      <c r="G61" s="96"/>
      <c r="H61" s="93">
        <v>0.9</v>
      </c>
      <c r="I61" s="96"/>
      <c r="J61" s="93"/>
      <c r="K61" s="96"/>
      <c r="L61" s="96"/>
      <c r="M61" s="96">
        <v>0.2</v>
      </c>
      <c r="N61" s="96"/>
      <c r="O61" s="96"/>
      <c r="P61" s="1265"/>
      <c r="Q61" s="1265"/>
      <c r="R61" s="1265"/>
      <c r="S61" s="93"/>
      <c r="T61" s="93">
        <v>0.16</v>
      </c>
      <c r="U61" s="97"/>
    </row>
    <row r="62" spans="2:21" ht="15.75">
      <c r="B62" s="55"/>
      <c r="C62" s="65">
        <v>8</v>
      </c>
      <c r="D62" s="108" t="s">
        <v>53</v>
      </c>
      <c r="E62" s="1265"/>
      <c r="F62" s="94">
        <v>0.6</v>
      </c>
      <c r="G62" s="96">
        <v>0.6</v>
      </c>
      <c r="H62" s="93"/>
      <c r="I62" s="96">
        <v>0.5</v>
      </c>
      <c r="J62" s="93"/>
      <c r="K62" s="96">
        <v>0.6</v>
      </c>
      <c r="L62" s="96">
        <v>0.57999999999999996</v>
      </c>
      <c r="M62" s="96"/>
      <c r="N62" s="96">
        <v>0.18</v>
      </c>
      <c r="O62" s="96">
        <v>0.25</v>
      </c>
      <c r="P62" s="1265"/>
      <c r="Q62" s="1265"/>
      <c r="R62" s="1265"/>
      <c r="S62" s="93">
        <v>0.14000000000000001</v>
      </c>
      <c r="T62" s="93"/>
      <c r="U62" s="97"/>
    </row>
    <row r="63" spans="2:21" ht="15.75">
      <c r="B63" s="55"/>
      <c r="C63" s="65">
        <v>9</v>
      </c>
      <c r="D63" s="108" t="s">
        <v>54</v>
      </c>
      <c r="E63" s="1265"/>
      <c r="F63" s="94">
        <v>0.3</v>
      </c>
      <c r="G63" s="96">
        <v>0.2</v>
      </c>
      <c r="H63" s="93">
        <v>0</v>
      </c>
      <c r="I63" s="96">
        <v>0.3</v>
      </c>
      <c r="J63" s="93">
        <v>0.2</v>
      </c>
      <c r="K63" s="96">
        <v>0.3</v>
      </c>
      <c r="L63" s="96">
        <v>0.3</v>
      </c>
      <c r="M63" s="96">
        <v>0.3</v>
      </c>
      <c r="N63" s="96">
        <v>0.3</v>
      </c>
      <c r="O63" s="96">
        <v>0.25</v>
      </c>
      <c r="P63" s="1265"/>
      <c r="Q63" s="1265"/>
      <c r="R63" s="1265"/>
      <c r="S63" s="93">
        <v>0.2</v>
      </c>
      <c r="T63" s="93">
        <v>0.25</v>
      </c>
      <c r="U63" s="97"/>
    </row>
    <row r="64" spans="2:21" ht="15.75">
      <c r="B64" s="55"/>
      <c r="C64" s="65">
        <v>10</v>
      </c>
      <c r="D64" s="1264" t="s">
        <v>55</v>
      </c>
      <c r="E64" s="1265"/>
      <c r="F64" s="94"/>
      <c r="G64" s="96"/>
      <c r="H64" s="93"/>
      <c r="I64" s="73"/>
      <c r="J64" s="93"/>
      <c r="K64" s="96"/>
      <c r="L64" s="96"/>
      <c r="M64" s="96"/>
      <c r="N64" s="96"/>
      <c r="O64" s="96"/>
      <c r="P64" s="1265">
        <v>0.01</v>
      </c>
      <c r="Q64" s="1265">
        <v>0.01</v>
      </c>
      <c r="R64" s="1265">
        <v>0.01</v>
      </c>
      <c r="S64" s="93"/>
      <c r="T64" s="93">
        <v>0.01</v>
      </c>
      <c r="U64" s="97"/>
    </row>
    <row r="65" spans="2:25" ht="15.75">
      <c r="B65" s="55"/>
      <c r="C65" s="65">
        <v>11</v>
      </c>
      <c r="D65" s="108" t="s">
        <v>56</v>
      </c>
      <c r="E65" s="1265"/>
      <c r="F65" s="94"/>
      <c r="G65" s="96"/>
      <c r="H65" s="93"/>
      <c r="I65" s="96"/>
      <c r="J65" s="93"/>
      <c r="K65" s="96"/>
      <c r="L65" s="96"/>
      <c r="M65" s="96">
        <v>0.33</v>
      </c>
      <c r="N65" s="96"/>
      <c r="O65" s="96">
        <v>0.13</v>
      </c>
      <c r="P65" s="1265">
        <v>0.3</v>
      </c>
      <c r="Q65" s="1265">
        <v>0.24</v>
      </c>
      <c r="R65" s="1265"/>
      <c r="S65" s="93">
        <v>0.15</v>
      </c>
      <c r="T65" s="93">
        <v>0.23</v>
      </c>
      <c r="U65" s="97"/>
    </row>
    <row r="66" spans="2:25" ht="15.75">
      <c r="B66" s="55"/>
      <c r="C66" s="65">
        <v>12</v>
      </c>
      <c r="D66" s="108" t="s">
        <v>57</v>
      </c>
      <c r="E66" s="1265"/>
      <c r="F66" s="94"/>
      <c r="G66" s="96"/>
      <c r="H66" s="93"/>
      <c r="I66" s="96"/>
      <c r="J66" s="93">
        <v>0.7</v>
      </c>
      <c r="K66" s="96"/>
      <c r="L66" s="96"/>
      <c r="M66" s="96"/>
      <c r="N66" s="96">
        <v>0.25</v>
      </c>
      <c r="O66" s="96">
        <v>0.2</v>
      </c>
      <c r="P66" s="1265">
        <v>0.33</v>
      </c>
      <c r="Q66" s="1265">
        <v>0.35</v>
      </c>
      <c r="R66" s="1265">
        <v>0.63</v>
      </c>
      <c r="S66" s="93">
        <v>0.25</v>
      </c>
      <c r="T66" s="93">
        <v>0.23</v>
      </c>
      <c r="U66" s="97"/>
    </row>
    <row r="67" spans="2:25" ht="15.75">
      <c r="B67" s="55"/>
      <c r="C67" s="896">
        <v>13</v>
      </c>
      <c r="D67" s="897" t="s">
        <v>58</v>
      </c>
      <c r="E67" s="1266"/>
      <c r="F67" s="99"/>
      <c r="G67" s="100"/>
      <c r="H67" s="98"/>
      <c r="I67" s="100"/>
      <c r="J67" s="98"/>
      <c r="K67" s="100">
        <v>0.03</v>
      </c>
      <c r="L67" s="100">
        <v>0.12</v>
      </c>
      <c r="M67" s="100">
        <v>7.0000000000000007E-2</v>
      </c>
      <c r="N67" s="100">
        <v>7.0000000000000007E-2</v>
      </c>
      <c r="O67" s="100">
        <v>7.0000000000000007E-2</v>
      </c>
      <c r="P67" s="1266">
        <v>7.0000000000000007E-2</v>
      </c>
      <c r="Q67" s="1266">
        <v>0.11</v>
      </c>
      <c r="R67" s="1266">
        <v>7.0000000000000007E-2</v>
      </c>
      <c r="S67" s="98">
        <v>0.11</v>
      </c>
      <c r="T67" s="98">
        <v>7.0000000000000007E-2</v>
      </c>
      <c r="U67" s="97"/>
    </row>
    <row r="68" spans="2:25" ht="15.75">
      <c r="B68" s="55"/>
      <c r="C68" s="65"/>
      <c r="D68" s="108" t="s">
        <v>59</v>
      </c>
      <c r="E68" s="1267">
        <v>1</v>
      </c>
      <c r="F68" s="93">
        <v>1.0009999999999999</v>
      </c>
      <c r="G68" s="93">
        <v>1</v>
      </c>
      <c r="H68" s="93">
        <v>1.0010000000000001</v>
      </c>
      <c r="I68" s="93">
        <v>1.0009999999999999</v>
      </c>
      <c r="J68" s="93">
        <v>1.0009999999999999</v>
      </c>
      <c r="K68" s="93">
        <v>1.0010000000000001</v>
      </c>
      <c r="L68" s="93">
        <v>1.0010000000000001</v>
      </c>
      <c r="M68" s="93">
        <v>1.0010000000000001</v>
      </c>
      <c r="N68" s="93">
        <v>1.0010000000000001</v>
      </c>
      <c r="O68" s="93">
        <v>1.0010000000000001</v>
      </c>
      <c r="P68" s="93">
        <v>1.0010000000000001</v>
      </c>
      <c r="Q68" s="93">
        <v>1.0010000000000001</v>
      </c>
      <c r="R68" s="93">
        <v>1.0010000000000001</v>
      </c>
      <c r="S68" s="93">
        <v>1.0010000000000001</v>
      </c>
      <c r="T68" s="93">
        <v>1.0010000000000001</v>
      </c>
      <c r="U68" s="103"/>
    </row>
    <row r="69" spans="2:25" ht="15.75">
      <c r="B69" s="55"/>
      <c r="C69" s="65"/>
      <c r="D69" s="108"/>
      <c r="E69" s="108"/>
      <c r="F69" s="93"/>
      <c r="G69" s="93"/>
      <c r="H69" s="93"/>
      <c r="I69" s="93"/>
      <c r="J69" s="93"/>
      <c r="K69" s="93"/>
      <c r="L69" s="93"/>
      <c r="M69" s="93"/>
      <c r="N69" s="93"/>
      <c r="O69" s="93"/>
      <c r="P69" s="93"/>
      <c r="Q69" s="93"/>
      <c r="R69" s="93"/>
      <c r="S69" s="93"/>
      <c r="T69" s="93"/>
      <c r="U69" s="103"/>
    </row>
    <row r="70" spans="2:25" ht="15.75">
      <c r="B70" s="55"/>
      <c r="C70" s="89" t="s">
        <v>60</v>
      </c>
      <c r="D70" s="108"/>
      <c r="E70" s="108"/>
      <c r="F70" s="93"/>
      <c r="G70" s="93"/>
      <c r="H70" s="93"/>
      <c r="I70" s="93"/>
      <c r="J70" s="93"/>
      <c r="K70" s="93"/>
      <c r="L70" s="93"/>
      <c r="M70" s="93"/>
      <c r="N70" s="93"/>
      <c r="O70" s="93"/>
      <c r="P70" s="67"/>
      <c r="Q70" s="67"/>
      <c r="R70" s="67"/>
      <c r="S70" s="67"/>
      <c r="T70" s="51" t="s">
        <v>43</v>
      </c>
      <c r="U70" s="885"/>
    </row>
    <row r="71" spans="2:25" ht="15.75">
      <c r="B71" s="55"/>
      <c r="C71" s="65"/>
      <c r="D71" s="108"/>
      <c r="E71" s="108"/>
      <c r="F71" s="93"/>
      <c r="G71" s="93"/>
      <c r="H71" s="93"/>
      <c r="I71" s="93"/>
      <c r="J71" s="93"/>
      <c r="K71" s="93"/>
      <c r="L71" s="93"/>
      <c r="M71" s="93"/>
      <c r="N71" s="93"/>
      <c r="O71" s="93"/>
      <c r="P71" s="67"/>
      <c r="Q71" s="67"/>
      <c r="R71" s="67"/>
      <c r="S71" s="67"/>
      <c r="T71" s="67"/>
      <c r="U71" s="885"/>
    </row>
    <row r="72" spans="2:25" ht="15.75">
      <c r="B72" s="55"/>
      <c r="C72" s="887" t="s">
        <v>44</v>
      </c>
      <c r="D72" s="887" t="s">
        <v>45</v>
      </c>
      <c r="E72" s="887">
        <v>9</v>
      </c>
      <c r="F72" s="92">
        <v>1</v>
      </c>
      <c r="G72" s="92">
        <v>3</v>
      </c>
      <c r="H72" s="92">
        <v>11</v>
      </c>
      <c r="I72" s="92">
        <v>2</v>
      </c>
      <c r="J72" s="92">
        <v>5</v>
      </c>
      <c r="K72" s="92">
        <v>4</v>
      </c>
      <c r="L72" s="92">
        <v>13</v>
      </c>
      <c r="M72" s="92">
        <v>10</v>
      </c>
      <c r="N72" s="92">
        <v>8</v>
      </c>
      <c r="O72" s="92">
        <v>16</v>
      </c>
      <c r="P72" s="92">
        <v>7</v>
      </c>
      <c r="Q72" s="92">
        <v>15</v>
      </c>
      <c r="R72" s="92">
        <v>6</v>
      </c>
      <c r="S72" s="92">
        <v>14</v>
      </c>
      <c r="T72" s="92">
        <v>12</v>
      </c>
      <c r="U72" s="885"/>
      <c r="X72" s="1077"/>
      <c r="Y72" s="1077"/>
    </row>
    <row r="73" spans="2:25" ht="15.75">
      <c r="B73" s="55"/>
      <c r="C73" s="65">
        <v>1</v>
      </c>
      <c r="D73" s="108" t="s">
        <v>61</v>
      </c>
      <c r="E73" s="93"/>
      <c r="F73" s="94"/>
      <c r="G73" s="94"/>
      <c r="H73" s="94"/>
      <c r="I73" s="94"/>
      <c r="J73" s="94"/>
      <c r="K73" s="94"/>
      <c r="L73" s="94"/>
      <c r="M73" s="94"/>
      <c r="N73" s="94"/>
      <c r="O73" s="94"/>
      <c r="P73" s="94"/>
      <c r="Q73" s="94"/>
      <c r="R73" s="94"/>
      <c r="S73" s="94"/>
      <c r="T73" s="94"/>
      <c r="U73" s="885"/>
    </row>
    <row r="74" spans="2:25" ht="15.75">
      <c r="B74" s="55"/>
      <c r="C74" s="65">
        <v>2</v>
      </c>
      <c r="D74" s="108" t="s">
        <v>62</v>
      </c>
      <c r="E74" s="93">
        <v>1</v>
      </c>
      <c r="F74" s="94">
        <v>1</v>
      </c>
      <c r="G74" s="94">
        <v>1</v>
      </c>
      <c r="H74" s="94">
        <v>1</v>
      </c>
      <c r="I74" s="94">
        <v>1</v>
      </c>
      <c r="J74" s="94">
        <v>1</v>
      </c>
      <c r="K74" s="94">
        <v>0.97</v>
      </c>
      <c r="L74" s="94">
        <v>0.88</v>
      </c>
      <c r="M74" s="94">
        <v>0.93</v>
      </c>
      <c r="N74" s="94">
        <v>0.93</v>
      </c>
      <c r="O74" s="94">
        <v>0.93</v>
      </c>
      <c r="P74" s="94">
        <v>0.92</v>
      </c>
      <c r="Q74" s="94">
        <v>0.88</v>
      </c>
      <c r="R74" s="94">
        <v>0.92</v>
      </c>
      <c r="S74" s="94">
        <v>0.89</v>
      </c>
      <c r="T74" s="94">
        <v>0.92</v>
      </c>
      <c r="U74" s="885"/>
    </row>
    <row r="75" spans="2:25" ht="15.75">
      <c r="B75" s="55"/>
      <c r="C75" s="65">
        <v>3</v>
      </c>
      <c r="D75" s="108" t="s">
        <v>63</v>
      </c>
      <c r="E75" s="93"/>
      <c r="F75" s="94"/>
      <c r="G75" s="94"/>
      <c r="H75" s="93"/>
      <c r="I75" s="94"/>
      <c r="J75" s="93"/>
      <c r="K75" s="94">
        <v>0.03</v>
      </c>
      <c r="L75" s="94">
        <v>0.12</v>
      </c>
      <c r="M75" s="93">
        <v>7.0000000000000007E-2</v>
      </c>
      <c r="N75" s="93">
        <v>7.0000000000000007E-2</v>
      </c>
      <c r="O75" s="94">
        <v>7.0000000000000007E-2</v>
      </c>
      <c r="P75" s="94">
        <v>0.08</v>
      </c>
      <c r="Q75" s="94">
        <v>0.12</v>
      </c>
      <c r="R75" s="94">
        <v>0.08</v>
      </c>
      <c r="S75" s="94">
        <v>0.11</v>
      </c>
      <c r="T75" s="94">
        <v>0.08</v>
      </c>
      <c r="U75" s="885"/>
    </row>
    <row r="76" spans="2:25" ht="15.75">
      <c r="B76" s="55"/>
      <c r="C76" s="1179"/>
      <c r="D76" s="977" t="s">
        <v>59</v>
      </c>
      <c r="E76" s="1268">
        <v>1</v>
      </c>
      <c r="F76" s="1268">
        <v>1</v>
      </c>
      <c r="G76" s="1268">
        <v>1</v>
      </c>
      <c r="H76" s="1268">
        <v>1</v>
      </c>
      <c r="I76" s="1268">
        <v>1</v>
      </c>
      <c r="J76" s="1268">
        <v>1</v>
      </c>
      <c r="K76" s="1268">
        <v>1</v>
      </c>
      <c r="L76" s="1268">
        <v>1</v>
      </c>
      <c r="M76" s="1268">
        <v>1</v>
      </c>
      <c r="N76" s="1268">
        <v>1</v>
      </c>
      <c r="O76" s="1268">
        <v>1</v>
      </c>
      <c r="P76" s="1268">
        <v>1</v>
      </c>
      <c r="Q76" s="1268">
        <v>1</v>
      </c>
      <c r="R76" s="1268">
        <v>1</v>
      </c>
      <c r="S76" s="1268">
        <v>1</v>
      </c>
      <c r="T76" s="1268">
        <v>1</v>
      </c>
      <c r="U76" s="885"/>
    </row>
    <row r="77" spans="2:25" ht="15.75">
      <c r="B77" s="55"/>
      <c r="C77" s="65"/>
      <c r="D77" s="108"/>
      <c r="E77" s="108"/>
      <c r="F77" s="93"/>
      <c r="G77" s="93"/>
      <c r="H77" s="93"/>
      <c r="I77" s="93"/>
      <c r="J77" s="93"/>
      <c r="K77" s="93"/>
      <c r="L77" s="93"/>
      <c r="M77" s="93"/>
      <c r="N77" s="93"/>
      <c r="O77" s="93"/>
      <c r="P77" s="67"/>
      <c r="Q77" s="1074"/>
      <c r="R77" s="1074"/>
      <c r="S77" s="1074"/>
      <c r="T77" s="1074"/>
      <c r="U77" s="1109"/>
    </row>
    <row r="78" spans="2:25">
      <c r="B78" s="110"/>
      <c r="C78" s="3886" t="s">
        <v>64</v>
      </c>
      <c r="D78" s="67"/>
      <c r="E78" s="67"/>
      <c r="F78" s="67"/>
      <c r="G78" s="67"/>
      <c r="H78" s="67"/>
      <c r="I78" s="67"/>
      <c r="J78" s="67"/>
      <c r="K78" s="67"/>
      <c r="L78" s="67"/>
      <c r="M78" s="67"/>
      <c r="N78" s="67"/>
      <c r="O78" s="67"/>
      <c r="P78" s="67"/>
      <c r="Q78" s="67"/>
      <c r="R78" s="67"/>
      <c r="S78" s="67"/>
      <c r="T78" s="67"/>
      <c r="U78" s="885"/>
    </row>
    <row r="79" spans="2:25">
      <c r="B79" s="45"/>
      <c r="C79" s="929" t="s">
        <v>65</v>
      </c>
      <c r="D79" s="3884" t="s">
        <v>3135</v>
      </c>
      <c r="E79" s="67"/>
      <c r="F79" s="67"/>
      <c r="G79" s="67"/>
      <c r="H79" s="67"/>
      <c r="I79" s="67"/>
      <c r="J79" s="67"/>
      <c r="K79" s="67"/>
      <c r="L79" s="67"/>
      <c r="M79" s="67"/>
      <c r="N79" s="67"/>
      <c r="O79" s="67"/>
      <c r="P79" s="67"/>
      <c r="Q79" s="67"/>
      <c r="R79" s="67"/>
      <c r="S79" s="67"/>
      <c r="T79" s="67"/>
      <c r="U79" s="885"/>
    </row>
    <row r="80" spans="2:25">
      <c r="B80" s="45"/>
      <c r="C80" s="929" t="s">
        <v>67</v>
      </c>
      <c r="D80" s="3884" t="s">
        <v>3134</v>
      </c>
      <c r="E80" s="67"/>
      <c r="F80" s="67"/>
      <c r="G80" s="67"/>
      <c r="H80" s="67"/>
      <c r="I80" s="67"/>
      <c r="J80" s="67"/>
      <c r="K80" s="67"/>
      <c r="L80" s="67"/>
      <c r="M80" s="67"/>
      <c r="N80" s="67"/>
      <c r="O80" s="67"/>
      <c r="P80" s="67"/>
      <c r="Q80" s="67"/>
      <c r="R80" s="67"/>
      <c r="S80" s="67"/>
      <c r="T80" s="67"/>
      <c r="U80" s="885"/>
    </row>
    <row r="81" spans="1:21">
      <c r="B81" s="45"/>
      <c r="C81" s="929"/>
      <c r="D81" s="3884" t="s">
        <v>3133</v>
      </c>
      <c r="E81" s="67"/>
      <c r="F81" s="67"/>
      <c r="G81" s="67"/>
      <c r="H81" s="67"/>
      <c r="I81" s="67"/>
      <c r="J81" s="67"/>
      <c r="K81" s="67"/>
      <c r="L81" s="67"/>
      <c r="M81" s="67"/>
      <c r="N81" s="67"/>
      <c r="O81" s="67"/>
      <c r="P81" s="67"/>
      <c r="Q81" s="67"/>
      <c r="R81" s="67"/>
      <c r="S81" s="67"/>
      <c r="T81" s="67"/>
      <c r="U81" s="885"/>
    </row>
    <row r="82" spans="1:21" ht="15.75">
      <c r="B82" s="1106"/>
      <c r="C82" s="1107"/>
      <c r="D82" s="1269"/>
      <c r="E82" s="1269"/>
      <c r="F82" s="113"/>
      <c r="G82" s="1270"/>
      <c r="H82" s="1270"/>
      <c r="I82" s="1270"/>
      <c r="J82" s="1270"/>
      <c r="K82" s="1270"/>
      <c r="L82" s="1270"/>
      <c r="M82" s="1270"/>
      <c r="N82" s="1270"/>
      <c r="O82" s="1270"/>
      <c r="P82" s="1270"/>
      <c r="Q82" s="1270"/>
      <c r="R82" s="1270"/>
      <c r="S82" s="1270"/>
      <c r="T82" s="1270"/>
      <c r="U82" s="1109"/>
    </row>
    <row r="84" spans="1:21" s="6" customFormat="1" ht="23.25">
      <c r="A84" s="40"/>
      <c r="B84" s="878" t="s">
        <v>70</v>
      </c>
      <c r="C84" s="879"/>
      <c r="D84" s="879"/>
      <c r="E84" s="879"/>
      <c r="F84" s="879"/>
      <c r="G84" s="879"/>
      <c r="H84" s="879"/>
      <c r="I84" s="879"/>
      <c r="J84" s="879"/>
      <c r="K84" s="879"/>
      <c r="L84" s="879"/>
      <c r="M84" s="879"/>
      <c r="N84" s="879"/>
      <c r="O84" s="879"/>
      <c r="P84" s="880"/>
    </row>
    <row r="85" spans="1:21">
      <c r="B85" s="110"/>
      <c r="C85" s="67"/>
      <c r="D85" s="67"/>
      <c r="E85" s="67"/>
      <c r="F85" s="67"/>
      <c r="G85" s="67"/>
      <c r="H85" s="67"/>
      <c r="I85" s="67"/>
      <c r="J85" s="67"/>
      <c r="K85" s="67"/>
      <c r="L85" s="67"/>
      <c r="M85" s="67"/>
      <c r="N85" s="67"/>
      <c r="O85" s="67"/>
      <c r="P85" s="885"/>
    </row>
    <row r="86" spans="1:21">
      <c r="B86" s="110"/>
      <c r="C86" s="49" t="s">
        <v>955</v>
      </c>
      <c r="D86" s="67"/>
      <c r="E86" s="67">
        <f>1*Unit.GW</f>
        <v>1</v>
      </c>
      <c r="F86" s="67" t="str">
        <f>Preferences.PowerUnits&amp;"/degree temperature drop assuming no change in insulation"</f>
        <v>GW/degree temperature drop assuming no change in insulation</v>
      </c>
      <c r="G86" s="67"/>
      <c r="H86" s="67"/>
      <c r="I86" s="67"/>
      <c r="J86" s="67"/>
      <c r="K86" s="67"/>
      <c r="L86" s="67"/>
      <c r="M86" s="67"/>
      <c r="N86" s="67"/>
      <c r="O86" s="67"/>
      <c r="P86" s="885"/>
    </row>
    <row r="87" spans="1:21">
      <c r="B87" s="110"/>
      <c r="C87" s="67"/>
      <c r="D87" s="67"/>
      <c r="E87" s="67"/>
      <c r="F87" s="67"/>
      <c r="G87" s="67"/>
      <c r="H87" s="67"/>
      <c r="I87" s="67"/>
      <c r="J87" s="67"/>
      <c r="K87" s="67"/>
      <c r="L87" s="67"/>
      <c r="M87" s="67"/>
      <c r="N87" s="67"/>
      <c r="O87" s="67"/>
      <c r="P87" s="885"/>
    </row>
    <row r="88" spans="1:21">
      <c r="B88" s="110"/>
      <c r="C88" s="49" t="s">
        <v>956</v>
      </c>
      <c r="D88" s="67"/>
      <c r="E88" s="67"/>
      <c r="F88" s="67"/>
      <c r="G88" s="67"/>
      <c r="H88" s="67"/>
      <c r="I88" s="67"/>
      <c r="J88" s="67"/>
      <c r="K88" s="67"/>
      <c r="L88" s="67"/>
      <c r="M88" s="67"/>
      <c r="N88" s="51" t="s">
        <v>957</v>
      </c>
      <c r="O88" s="67"/>
      <c r="P88" s="885"/>
    </row>
    <row r="89" spans="1:21">
      <c r="B89" s="110"/>
      <c r="C89" s="67"/>
      <c r="D89" s="67"/>
      <c r="E89" s="67"/>
      <c r="F89" s="67"/>
      <c r="G89" s="67"/>
      <c r="H89" s="67"/>
      <c r="I89" s="67"/>
      <c r="J89" s="67"/>
      <c r="K89" s="67"/>
      <c r="L89" s="67"/>
      <c r="M89" s="67"/>
      <c r="N89" s="67"/>
      <c r="O89" s="67"/>
      <c r="P89" s="885"/>
    </row>
    <row r="90" spans="1:21" ht="15.75">
      <c r="B90" s="55"/>
      <c r="C90" s="887"/>
      <c r="D90" s="887" t="s">
        <v>72</v>
      </c>
      <c r="E90" s="909"/>
      <c r="F90" s="92">
        <v>2013</v>
      </c>
      <c r="G90" s="92">
        <v>2015</v>
      </c>
      <c r="H90" s="92">
        <v>2020</v>
      </c>
      <c r="I90" s="92">
        <v>2025</v>
      </c>
      <c r="J90" s="92">
        <v>2030</v>
      </c>
      <c r="K90" s="92">
        <v>2035</v>
      </c>
      <c r="L90" s="92">
        <v>2040</v>
      </c>
      <c r="M90" s="92">
        <v>2045</v>
      </c>
      <c r="N90" s="92">
        <v>2050</v>
      </c>
      <c r="O90" s="67"/>
      <c r="P90" s="885"/>
    </row>
    <row r="91" spans="1:21" ht="15.75">
      <c r="B91" s="55"/>
      <c r="C91" s="926"/>
      <c r="D91" s="199" t="s">
        <v>958</v>
      </c>
      <c r="E91" s="1160"/>
      <c r="F91" s="147">
        <v>0</v>
      </c>
      <c r="G91" s="147">
        <v>0.04</v>
      </c>
      <c r="H91" s="147">
        <v>0.08</v>
      </c>
      <c r="I91" s="147">
        <v>0.08</v>
      </c>
      <c r="J91" s="147">
        <v>0.08</v>
      </c>
      <c r="K91" s="147">
        <v>0.08</v>
      </c>
      <c r="L91" s="147">
        <v>0.08</v>
      </c>
      <c r="M91" s="147">
        <v>0.08</v>
      </c>
      <c r="N91" s="147">
        <v>0.08</v>
      </c>
      <c r="O91" s="67"/>
      <c r="P91" s="885"/>
    </row>
    <row r="92" spans="1:21">
      <c r="B92" s="110"/>
      <c r="C92" s="67"/>
      <c r="D92" s="67"/>
      <c r="E92" s="67"/>
      <c r="F92" s="67"/>
      <c r="G92" s="67"/>
      <c r="H92" s="67"/>
      <c r="I92" s="67"/>
      <c r="J92" s="67"/>
      <c r="K92" s="67"/>
      <c r="L92" s="67"/>
      <c r="M92" s="67"/>
      <c r="N92" s="67"/>
      <c r="O92" s="67"/>
      <c r="P92" s="885"/>
    </row>
    <row r="93" spans="1:21">
      <c r="B93" s="110"/>
      <c r="C93" s="49" t="s">
        <v>959</v>
      </c>
      <c r="D93" s="67"/>
      <c r="E93" s="67"/>
      <c r="F93" s="67"/>
      <c r="G93" s="51"/>
      <c r="H93" s="67"/>
      <c r="I93" s="67"/>
      <c r="J93" s="67"/>
      <c r="K93" s="67"/>
      <c r="L93" s="67"/>
      <c r="M93" s="67"/>
      <c r="N93" s="67"/>
      <c r="O93" s="51" t="s">
        <v>85</v>
      </c>
      <c r="P93" s="885"/>
    </row>
    <row r="94" spans="1:21">
      <c r="B94" s="110"/>
      <c r="C94" s="67"/>
      <c r="D94" s="67"/>
      <c r="E94" s="67"/>
      <c r="F94" s="67"/>
      <c r="G94" s="67"/>
      <c r="H94" s="67"/>
      <c r="I94" s="67"/>
      <c r="J94" s="67"/>
      <c r="K94" s="67"/>
      <c r="L94" s="67"/>
      <c r="M94" s="67"/>
      <c r="N94" s="67"/>
      <c r="O94" s="67"/>
      <c r="P94" s="885"/>
    </row>
    <row r="95" spans="1:21" ht="21">
      <c r="B95" s="110"/>
      <c r="C95" s="1271"/>
      <c r="D95" s="1271"/>
      <c r="E95" s="1271"/>
      <c r="F95" s="1272" t="s">
        <v>86</v>
      </c>
      <c r="G95" s="1272" t="s">
        <v>87</v>
      </c>
      <c r="H95" s="1272" t="s">
        <v>88</v>
      </c>
      <c r="I95" s="1272" t="s">
        <v>89</v>
      </c>
      <c r="J95" s="1272" t="s">
        <v>90</v>
      </c>
      <c r="K95" s="1272" t="s">
        <v>91</v>
      </c>
      <c r="L95" s="1272" t="s">
        <v>92</v>
      </c>
      <c r="M95" s="1272" t="s">
        <v>93</v>
      </c>
      <c r="N95" s="1272" t="s">
        <v>94</v>
      </c>
      <c r="O95" s="1273" t="s">
        <v>95</v>
      </c>
      <c r="P95" s="885"/>
    </row>
    <row r="96" spans="1:21" ht="15.75">
      <c r="B96" s="55"/>
      <c r="C96" s="1028" t="s">
        <v>44</v>
      </c>
      <c r="D96" s="1028" t="s">
        <v>45</v>
      </c>
      <c r="E96" s="1028" t="s">
        <v>30</v>
      </c>
      <c r="F96" s="1274" t="s">
        <v>96</v>
      </c>
      <c r="G96" s="1274" t="s">
        <v>97</v>
      </c>
      <c r="H96" s="1274" t="s">
        <v>98</v>
      </c>
      <c r="I96" s="1274" t="s">
        <v>99</v>
      </c>
      <c r="J96" s="1274" t="s">
        <v>100</v>
      </c>
      <c r="K96" s="1274" t="s">
        <v>101</v>
      </c>
      <c r="L96" s="1274" t="s">
        <v>102</v>
      </c>
      <c r="M96" s="1274" t="s">
        <v>103</v>
      </c>
      <c r="N96" s="1274" t="s">
        <v>104</v>
      </c>
      <c r="O96" s="1275"/>
      <c r="P96" s="885"/>
    </row>
    <row r="97" spans="2:16" ht="15.75">
      <c r="B97" s="55"/>
      <c r="C97" s="65">
        <v>1</v>
      </c>
      <c r="D97" s="108" t="s">
        <v>46</v>
      </c>
      <c r="E97" s="108"/>
      <c r="F97" s="93"/>
      <c r="G97" s="93"/>
      <c r="H97" s="93"/>
      <c r="I97" s="93"/>
      <c r="J97" s="93">
        <v>-1</v>
      </c>
      <c r="K97" s="93"/>
      <c r="L97" s="93"/>
      <c r="M97" s="93">
        <v>0.76</v>
      </c>
      <c r="N97" s="93">
        <v>0.24</v>
      </c>
      <c r="O97" s="143">
        <v>0</v>
      </c>
      <c r="P97" s="885"/>
    </row>
    <row r="98" spans="2:16" ht="15.75">
      <c r="B98" s="55"/>
      <c r="C98" s="65">
        <v>2</v>
      </c>
      <c r="D98" s="108" t="s">
        <v>47</v>
      </c>
      <c r="E98" s="108"/>
      <c r="F98" s="93"/>
      <c r="G98" s="93"/>
      <c r="H98" s="93"/>
      <c r="I98" s="93"/>
      <c r="J98" s="93">
        <v>-1</v>
      </c>
      <c r="K98" s="93"/>
      <c r="L98" s="93"/>
      <c r="M98" s="93">
        <v>0.91</v>
      </c>
      <c r="N98" s="93">
        <v>0.09</v>
      </c>
      <c r="O98" s="143">
        <v>0</v>
      </c>
      <c r="P98" s="885"/>
    </row>
    <row r="99" spans="2:16" ht="15.75">
      <c r="B99" s="55"/>
      <c r="C99" s="65">
        <v>3</v>
      </c>
      <c r="D99" s="108" t="s">
        <v>48</v>
      </c>
      <c r="E99" s="108"/>
      <c r="F99" s="93">
        <v>-1</v>
      </c>
      <c r="G99" s="93"/>
      <c r="H99" s="93"/>
      <c r="I99" s="93"/>
      <c r="J99" s="93"/>
      <c r="K99" s="93"/>
      <c r="L99" s="93"/>
      <c r="M99" s="93">
        <v>1</v>
      </c>
      <c r="N99" s="93">
        <v>0</v>
      </c>
      <c r="O99" s="143">
        <v>0</v>
      </c>
      <c r="P99" s="885"/>
    </row>
    <row r="100" spans="2:16" ht="15.75">
      <c r="B100" s="55"/>
      <c r="C100" s="65">
        <v>4</v>
      </c>
      <c r="D100" s="108" t="s">
        <v>49</v>
      </c>
      <c r="E100" s="108"/>
      <c r="F100" s="93"/>
      <c r="G100" s="93"/>
      <c r="H100" s="93"/>
      <c r="I100" s="93">
        <v>-1</v>
      </c>
      <c r="J100" s="93"/>
      <c r="K100" s="93"/>
      <c r="L100" s="93"/>
      <c r="M100" s="93">
        <v>0.97</v>
      </c>
      <c r="N100" s="93">
        <v>0.03</v>
      </c>
      <c r="O100" s="143">
        <v>-2.7755575615628914E-17</v>
      </c>
      <c r="P100" s="885"/>
    </row>
    <row r="101" spans="2:16" ht="15.75">
      <c r="B101" s="55"/>
      <c r="C101" s="65">
        <v>5</v>
      </c>
      <c r="D101" s="108" t="s">
        <v>50</v>
      </c>
      <c r="E101" s="108"/>
      <c r="F101" s="93"/>
      <c r="G101" s="93"/>
      <c r="H101" s="93">
        <v>-1</v>
      </c>
      <c r="I101" s="93"/>
      <c r="J101" s="93"/>
      <c r="K101" s="93"/>
      <c r="L101" s="93"/>
      <c r="M101" s="93">
        <v>0.87</v>
      </c>
      <c r="N101" s="93">
        <v>0.13</v>
      </c>
      <c r="O101" s="143">
        <v>0</v>
      </c>
      <c r="P101" s="885"/>
    </row>
    <row r="102" spans="2:16" ht="15.75">
      <c r="B102" s="55"/>
      <c r="C102" s="65">
        <v>6</v>
      </c>
      <c r="D102" s="108" t="s">
        <v>51</v>
      </c>
      <c r="E102" s="108"/>
      <c r="F102" s="93"/>
      <c r="G102" s="93">
        <v>0.22500000000000001</v>
      </c>
      <c r="H102" s="93"/>
      <c r="I102" s="93"/>
      <c r="J102" s="93">
        <v>-1</v>
      </c>
      <c r="K102" s="93"/>
      <c r="L102" s="93"/>
      <c r="M102" s="93">
        <v>0.63</v>
      </c>
      <c r="N102" s="93">
        <v>0.14499999999999999</v>
      </c>
      <c r="O102" s="143">
        <v>0</v>
      </c>
      <c r="P102" s="885"/>
    </row>
    <row r="103" spans="2:16" ht="15.75">
      <c r="B103" s="55"/>
      <c r="C103" s="65">
        <v>7</v>
      </c>
      <c r="D103" s="108" t="s">
        <v>52</v>
      </c>
      <c r="E103" s="108"/>
      <c r="F103" s="93"/>
      <c r="G103" s="93">
        <v>0.45</v>
      </c>
      <c r="H103" s="93"/>
      <c r="I103" s="93"/>
      <c r="J103" s="93">
        <v>-1</v>
      </c>
      <c r="K103" s="93"/>
      <c r="L103" s="93"/>
      <c r="M103" s="93">
        <v>0.45</v>
      </c>
      <c r="N103" s="93">
        <v>0.1</v>
      </c>
      <c r="O103" s="143">
        <v>0</v>
      </c>
      <c r="P103" s="885"/>
    </row>
    <row r="104" spans="2:16" ht="15.75">
      <c r="B104" s="55"/>
      <c r="C104" s="65">
        <v>8</v>
      </c>
      <c r="D104" s="108" t="s">
        <v>53</v>
      </c>
      <c r="E104" s="108"/>
      <c r="F104" s="93">
        <v>-1</v>
      </c>
      <c r="G104" s="93"/>
      <c r="H104" s="93"/>
      <c r="I104" s="93"/>
      <c r="J104" s="93"/>
      <c r="K104" s="93"/>
      <c r="L104" s="93">
        <v>-2</v>
      </c>
      <c r="M104" s="93">
        <v>3</v>
      </c>
      <c r="N104" s="93"/>
      <c r="O104" s="143">
        <v>0</v>
      </c>
      <c r="P104" s="885"/>
    </row>
    <row r="105" spans="2:16" ht="15.75">
      <c r="B105" s="55"/>
      <c r="C105" s="65">
        <v>9</v>
      </c>
      <c r="D105" s="108" t="s">
        <v>54</v>
      </c>
      <c r="E105" s="108"/>
      <c r="F105" s="93">
        <v>-1</v>
      </c>
      <c r="G105" s="93"/>
      <c r="H105" s="93"/>
      <c r="I105" s="93"/>
      <c r="J105" s="93"/>
      <c r="K105" s="93"/>
      <c r="L105" s="93">
        <v>-3</v>
      </c>
      <c r="M105" s="93">
        <v>4</v>
      </c>
      <c r="N105" s="93"/>
      <c r="O105" s="143">
        <v>0</v>
      </c>
      <c r="P105" s="885"/>
    </row>
    <row r="106" spans="2:16" ht="15.75">
      <c r="B106" s="55"/>
      <c r="C106" s="65">
        <v>10</v>
      </c>
      <c r="D106" s="108" t="s">
        <v>55</v>
      </c>
      <c r="E106" s="108"/>
      <c r="F106" s="93"/>
      <c r="G106" s="93"/>
      <c r="H106" s="93"/>
      <c r="I106" s="93"/>
      <c r="J106" s="93"/>
      <c r="K106" s="93"/>
      <c r="L106" s="93">
        <v>-1</v>
      </c>
      <c r="M106" s="93">
        <v>0.85</v>
      </c>
      <c r="N106" s="93">
        <v>0.15</v>
      </c>
      <c r="O106" s="143">
        <v>0</v>
      </c>
      <c r="P106" s="885"/>
    </row>
    <row r="107" spans="2:16" ht="15.75">
      <c r="B107" s="55"/>
      <c r="C107" s="65">
        <v>11</v>
      </c>
      <c r="D107" s="108" t="s">
        <v>56</v>
      </c>
      <c r="E107" s="108"/>
      <c r="F107" s="93"/>
      <c r="G107" s="93">
        <v>0.38</v>
      </c>
      <c r="H107" s="93"/>
      <c r="I107" s="93"/>
      <c r="J107" s="93">
        <v>-1</v>
      </c>
      <c r="K107" s="93"/>
      <c r="L107" s="93"/>
      <c r="M107" s="93">
        <v>0.38</v>
      </c>
      <c r="N107" s="93">
        <v>0.24</v>
      </c>
      <c r="O107" s="143">
        <v>0</v>
      </c>
      <c r="P107" s="885"/>
    </row>
    <row r="108" spans="2:16" ht="15.75">
      <c r="B108" s="55"/>
      <c r="C108" s="65">
        <v>12</v>
      </c>
      <c r="D108" s="108" t="s">
        <v>57</v>
      </c>
      <c r="E108" s="108"/>
      <c r="F108" s="93"/>
      <c r="G108" s="93">
        <v>0.17</v>
      </c>
      <c r="H108" s="93">
        <v>-1</v>
      </c>
      <c r="I108" s="93"/>
      <c r="J108" s="93"/>
      <c r="K108" s="93"/>
      <c r="L108" s="93"/>
      <c r="M108" s="93">
        <v>0.56999999999999995</v>
      </c>
      <c r="N108" s="93">
        <v>0.26</v>
      </c>
      <c r="O108" s="143">
        <v>0</v>
      </c>
      <c r="P108" s="885"/>
    </row>
    <row r="109" spans="2:16" ht="15.75">
      <c r="B109" s="55"/>
      <c r="C109" s="896">
        <v>13</v>
      </c>
      <c r="D109" s="897" t="s">
        <v>58</v>
      </c>
      <c r="E109" s="897"/>
      <c r="F109" s="98"/>
      <c r="G109" s="144"/>
      <c r="H109" s="144"/>
      <c r="I109" s="144"/>
      <c r="J109" s="144"/>
      <c r="K109" s="144">
        <v>-1</v>
      </c>
      <c r="L109" s="144"/>
      <c r="M109" s="144">
        <v>0.9</v>
      </c>
      <c r="N109" s="144">
        <v>0.1</v>
      </c>
      <c r="O109" s="145">
        <v>0</v>
      </c>
      <c r="P109" s="885"/>
    </row>
    <row r="110" spans="2:16">
      <c r="B110" s="110"/>
      <c r="C110" s="67"/>
      <c r="D110" s="67"/>
      <c r="E110" s="67"/>
      <c r="F110" s="67"/>
      <c r="G110" s="67"/>
      <c r="H110" s="67"/>
      <c r="I110" s="67"/>
      <c r="J110" s="67"/>
      <c r="K110" s="67"/>
      <c r="L110" s="67"/>
      <c r="M110" s="67"/>
      <c r="N110" s="67"/>
      <c r="O110" s="67"/>
      <c r="P110" s="885"/>
    </row>
    <row r="111" spans="2:16">
      <c r="B111" s="110"/>
      <c r="C111" s="49" t="s">
        <v>960</v>
      </c>
      <c r="D111" s="67"/>
      <c r="E111" s="67"/>
      <c r="F111" s="67"/>
      <c r="G111" s="51"/>
      <c r="H111" s="67"/>
      <c r="I111" s="67"/>
      <c r="J111" s="67"/>
      <c r="K111" s="67"/>
      <c r="L111" s="67"/>
      <c r="M111" s="67"/>
      <c r="N111" s="67"/>
      <c r="O111" s="51" t="s">
        <v>85</v>
      </c>
      <c r="P111" s="885"/>
    </row>
    <row r="112" spans="2:16">
      <c r="B112" s="110"/>
      <c r="C112" s="67"/>
      <c r="D112" s="67"/>
      <c r="E112" s="67"/>
      <c r="F112" s="67"/>
      <c r="G112" s="67"/>
      <c r="H112" s="67"/>
      <c r="I112" s="67"/>
      <c r="J112" s="67"/>
      <c r="K112" s="67"/>
      <c r="L112" s="67"/>
      <c r="M112" s="67"/>
      <c r="N112" s="67"/>
      <c r="O112" s="67"/>
      <c r="P112" s="885"/>
    </row>
    <row r="113" spans="2:16" ht="21">
      <c r="B113" s="110"/>
      <c r="C113" s="1271"/>
      <c r="D113" s="1271"/>
      <c r="E113" s="1271"/>
      <c r="F113" s="1272" t="s">
        <v>86</v>
      </c>
      <c r="G113" s="1272" t="s">
        <v>87</v>
      </c>
      <c r="H113" s="1272" t="s">
        <v>88</v>
      </c>
      <c r="I113" s="1272" t="s">
        <v>89</v>
      </c>
      <c r="J113" s="1272" t="s">
        <v>90</v>
      </c>
      <c r="K113" s="1272" t="s">
        <v>91</v>
      </c>
      <c r="L113" s="1272" t="s">
        <v>92</v>
      </c>
      <c r="M113" s="1272" t="s">
        <v>93</v>
      </c>
      <c r="N113" s="1272" t="s">
        <v>94</v>
      </c>
      <c r="O113" s="1273" t="s">
        <v>95</v>
      </c>
      <c r="P113" s="885"/>
    </row>
    <row r="114" spans="2:16" ht="15.75">
      <c r="B114" s="55"/>
      <c r="C114" s="1028" t="s">
        <v>44</v>
      </c>
      <c r="D114" s="1028" t="s">
        <v>45</v>
      </c>
      <c r="E114" s="1028" t="s">
        <v>30</v>
      </c>
      <c r="F114" s="1274" t="s">
        <v>96</v>
      </c>
      <c r="G114" s="1274" t="s">
        <v>97</v>
      </c>
      <c r="H114" s="1274" t="s">
        <v>98</v>
      </c>
      <c r="I114" s="1274" t="s">
        <v>99</v>
      </c>
      <c r="J114" s="1274" t="s">
        <v>100</v>
      </c>
      <c r="K114" s="1274" t="s">
        <v>101</v>
      </c>
      <c r="L114" s="1274" t="s">
        <v>102</v>
      </c>
      <c r="M114" s="1274" t="s">
        <v>103</v>
      </c>
      <c r="N114" s="1274" t="s">
        <v>104</v>
      </c>
      <c r="O114" s="1275"/>
      <c r="P114" s="885"/>
    </row>
    <row r="115" spans="2:16" ht="15.75">
      <c r="B115" s="55"/>
      <c r="C115" s="65">
        <v>1</v>
      </c>
      <c r="D115" s="108" t="s">
        <v>46</v>
      </c>
      <c r="E115" s="108"/>
      <c r="F115" s="93"/>
      <c r="G115" s="93"/>
      <c r="H115" s="93"/>
      <c r="I115" s="93"/>
      <c r="J115" s="93">
        <v>-1</v>
      </c>
      <c r="K115" s="93"/>
      <c r="L115" s="93"/>
      <c r="M115" s="93">
        <v>0.76</v>
      </c>
      <c r="N115" s="93">
        <v>0.24</v>
      </c>
      <c r="O115" s="143">
        <v>0</v>
      </c>
      <c r="P115" s="885"/>
    </row>
    <row r="116" spans="2:16" ht="15.75">
      <c r="B116" s="55"/>
      <c r="C116" s="65">
        <v>2</v>
      </c>
      <c r="D116" s="108" t="s">
        <v>47</v>
      </c>
      <c r="E116" s="108"/>
      <c r="F116" s="93"/>
      <c r="G116" s="93"/>
      <c r="H116" s="93"/>
      <c r="I116" s="93"/>
      <c r="J116" s="93">
        <v>-1</v>
      </c>
      <c r="K116" s="93"/>
      <c r="L116" s="93"/>
      <c r="M116" s="93">
        <v>0.91</v>
      </c>
      <c r="N116" s="93">
        <v>0.09</v>
      </c>
      <c r="O116" s="143">
        <v>0</v>
      </c>
      <c r="P116" s="885"/>
    </row>
    <row r="117" spans="2:16" ht="15.75">
      <c r="B117" s="55"/>
      <c r="C117" s="65">
        <v>3</v>
      </c>
      <c r="D117" s="108" t="s">
        <v>48</v>
      </c>
      <c r="E117" s="108"/>
      <c r="F117" s="93">
        <v>-1</v>
      </c>
      <c r="G117" s="93"/>
      <c r="H117" s="93"/>
      <c r="I117" s="93"/>
      <c r="J117" s="93"/>
      <c r="K117" s="93"/>
      <c r="L117" s="93"/>
      <c r="M117" s="93">
        <v>1</v>
      </c>
      <c r="N117" s="93">
        <v>0</v>
      </c>
      <c r="O117" s="143">
        <v>0</v>
      </c>
      <c r="P117" s="885"/>
    </row>
    <row r="118" spans="2:16" ht="15.75">
      <c r="B118" s="55"/>
      <c r="C118" s="65">
        <v>4</v>
      </c>
      <c r="D118" s="108" t="s">
        <v>49</v>
      </c>
      <c r="E118" s="108"/>
      <c r="F118" s="93"/>
      <c r="G118" s="93"/>
      <c r="H118" s="93"/>
      <c r="I118" s="93">
        <v>-1</v>
      </c>
      <c r="J118" s="93"/>
      <c r="K118" s="93"/>
      <c r="L118" s="93"/>
      <c r="M118" s="93">
        <v>0.97</v>
      </c>
      <c r="N118" s="93">
        <v>0.03</v>
      </c>
      <c r="O118" s="143">
        <v>-2.7755575615628914E-17</v>
      </c>
      <c r="P118" s="885"/>
    </row>
    <row r="119" spans="2:16" ht="15.75">
      <c r="B119" s="55"/>
      <c r="C119" s="65">
        <v>5</v>
      </c>
      <c r="D119" s="108" t="s">
        <v>50</v>
      </c>
      <c r="E119" s="108"/>
      <c r="F119" s="93"/>
      <c r="G119" s="93"/>
      <c r="H119" s="93">
        <v>-1</v>
      </c>
      <c r="I119" s="93"/>
      <c r="J119" s="93"/>
      <c r="K119" s="93"/>
      <c r="L119" s="93"/>
      <c r="M119" s="93">
        <v>0.87</v>
      </c>
      <c r="N119" s="93">
        <v>0.13</v>
      </c>
      <c r="O119" s="143">
        <v>0</v>
      </c>
      <c r="P119" s="885"/>
    </row>
    <row r="120" spans="2:16" ht="15.75">
      <c r="B120" s="55"/>
      <c r="C120" s="65">
        <v>6</v>
      </c>
      <c r="D120" s="108" t="s">
        <v>51</v>
      </c>
      <c r="E120" s="108"/>
      <c r="F120" s="93"/>
      <c r="G120" s="93">
        <v>0.22500000000000001</v>
      </c>
      <c r="H120" s="93"/>
      <c r="I120" s="93"/>
      <c r="J120" s="93">
        <v>-1</v>
      </c>
      <c r="K120" s="93"/>
      <c r="L120" s="93"/>
      <c r="M120" s="93">
        <v>0.63</v>
      </c>
      <c r="N120" s="93">
        <v>0.14499999999999999</v>
      </c>
      <c r="O120" s="143">
        <v>0</v>
      </c>
      <c r="P120" s="885"/>
    </row>
    <row r="121" spans="2:16" ht="15.75">
      <c r="B121" s="55"/>
      <c r="C121" s="65">
        <v>7</v>
      </c>
      <c r="D121" s="57" t="s">
        <v>52</v>
      </c>
      <c r="E121" s="108"/>
      <c r="F121" s="93"/>
      <c r="G121" s="93">
        <v>0.45</v>
      </c>
      <c r="H121" s="93"/>
      <c r="I121" s="93"/>
      <c r="J121" s="93">
        <v>-1</v>
      </c>
      <c r="K121" s="93"/>
      <c r="L121" s="93"/>
      <c r="M121" s="93">
        <v>0.45</v>
      </c>
      <c r="N121" s="93">
        <v>0.1</v>
      </c>
      <c r="O121" s="143">
        <v>0</v>
      </c>
      <c r="P121" s="885"/>
    </row>
    <row r="122" spans="2:16" ht="15.75">
      <c r="B122" s="55"/>
      <c r="C122" s="65">
        <v>8</v>
      </c>
      <c r="D122" s="108" t="s">
        <v>53</v>
      </c>
      <c r="E122" s="108"/>
      <c r="F122" s="93">
        <v>-1</v>
      </c>
      <c r="G122" s="93"/>
      <c r="H122" s="93"/>
      <c r="I122" s="93"/>
      <c r="J122" s="93"/>
      <c r="K122" s="93"/>
      <c r="L122" s="93">
        <v>-1</v>
      </c>
      <c r="M122" s="93">
        <v>2</v>
      </c>
      <c r="N122" s="93"/>
      <c r="O122" s="143">
        <v>0</v>
      </c>
      <c r="P122" s="885"/>
    </row>
    <row r="123" spans="2:16" ht="15.75">
      <c r="B123" s="55"/>
      <c r="C123" s="65">
        <v>9</v>
      </c>
      <c r="D123" s="108" t="s">
        <v>54</v>
      </c>
      <c r="E123" s="108"/>
      <c r="F123" s="93">
        <v>-1</v>
      </c>
      <c r="G123" s="93"/>
      <c r="H123" s="93"/>
      <c r="I123" s="93"/>
      <c r="J123" s="93"/>
      <c r="K123" s="93"/>
      <c r="L123" s="93">
        <v>-2</v>
      </c>
      <c r="M123" s="93">
        <v>3</v>
      </c>
      <c r="N123" s="93"/>
      <c r="O123" s="143">
        <v>0</v>
      </c>
      <c r="P123" s="885"/>
    </row>
    <row r="124" spans="2:16" ht="15.75">
      <c r="B124" s="55"/>
      <c r="C124" s="65">
        <v>10</v>
      </c>
      <c r="D124" s="108" t="s">
        <v>55</v>
      </c>
      <c r="E124" s="108"/>
      <c r="F124" s="93"/>
      <c r="G124" s="93"/>
      <c r="H124" s="93"/>
      <c r="I124" s="93"/>
      <c r="J124" s="93"/>
      <c r="K124" s="93"/>
      <c r="L124" s="93">
        <v>-1</v>
      </c>
      <c r="M124" s="93">
        <v>0.85</v>
      </c>
      <c r="N124" s="93">
        <v>0.15</v>
      </c>
      <c r="O124" s="143">
        <v>0</v>
      </c>
      <c r="P124" s="885"/>
    </row>
    <row r="125" spans="2:16" ht="15.75">
      <c r="B125" s="55"/>
      <c r="C125" s="65">
        <v>11</v>
      </c>
      <c r="D125" s="108" t="s">
        <v>56</v>
      </c>
      <c r="E125" s="108"/>
      <c r="F125" s="93"/>
      <c r="G125" s="93">
        <v>0.38</v>
      </c>
      <c r="H125" s="93"/>
      <c r="I125" s="93"/>
      <c r="J125" s="93">
        <v>-1</v>
      </c>
      <c r="K125" s="93"/>
      <c r="L125" s="93"/>
      <c r="M125" s="93">
        <v>0.38</v>
      </c>
      <c r="N125" s="93">
        <v>0.24</v>
      </c>
      <c r="O125" s="143">
        <v>0</v>
      </c>
      <c r="P125" s="885"/>
    </row>
    <row r="126" spans="2:16" ht="15.75">
      <c r="B126" s="55"/>
      <c r="C126" s="65">
        <v>12</v>
      </c>
      <c r="D126" s="108" t="s">
        <v>57</v>
      </c>
      <c r="E126" s="108"/>
      <c r="F126" s="93"/>
      <c r="G126" s="93">
        <v>0.17</v>
      </c>
      <c r="H126" s="93">
        <v>-1</v>
      </c>
      <c r="I126" s="93"/>
      <c r="J126" s="93"/>
      <c r="K126" s="93"/>
      <c r="L126" s="93"/>
      <c r="M126" s="93">
        <v>0.56999999999999995</v>
      </c>
      <c r="N126" s="93">
        <v>0.26</v>
      </c>
      <c r="O126" s="143">
        <v>0</v>
      </c>
      <c r="P126" s="885"/>
    </row>
    <row r="127" spans="2:16" ht="15.75">
      <c r="B127" s="55"/>
      <c r="C127" s="896">
        <v>13</v>
      </c>
      <c r="D127" s="897" t="s">
        <v>58</v>
      </c>
      <c r="E127" s="897"/>
      <c r="F127" s="98"/>
      <c r="G127" s="144"/>
      <c r="H127" s="144"/>
      <c r="I127" s="144"/>
      <c r="J127" s="144"/>
      <c r="K127" s="144">
        <v>-1</v>
      </c>
      <c r="L127" s="144"/>
      <c r="M127" s="144">
        <v>0.9</v>
      </c>
      <c r="N127" s="144">
        <v>0.1</v>
      </c>
      <c r="O127" s="145">
        <v>0</v>
      </c>
      <c r="P127" s="885"/>
    </row>
    <row r="128" spans="2:16" ht="15.75">
      <c r="B128" s="55"/>
      <c r="C128" s="67"/>
      <c r="D128" s="67"/>
      <c r="E128" s="67"/>
      <c r="F128" s="67"/>
      <c r="G128" s="67"/>
      <c r="H128" s="67"/>
      <c r="I128" s="67"/>
      <c r="J128" s="67"/>
      <c r="K128" s="67"/>
      <c r="L128" s="67"/>
      <c r="M128" s="67"/>
      <c r="N128" s="67"/>
      <c r="O128" s="67"/>
      <c r="P128" s="885"/>
    </row>
    <row r="129" spans="2:16">
      <c r="B129" s="135"/>
      <c r="C129" s="49" t="s">
        <v>107</v>
      </c>
      <c r="D129" s="67"/>
      <c r="E129" s="67"/>
      <c r="F129" s="67"/>
      <c r="G129" s="51"/>
      <c r="H129" s="67"/>
      <c r="I129" s="67"/>
      <c r="J129" s="67"/>
      <c r="K129" s="67"/>
      <c r="L129" s="67"/>
      <c r="M129" s="67"/>
      <c r="N129" s="67"/>
      <c r="O129" s="51" t="s">
        <v>85</v>
      </c>
      <c r="P129" s="885"/>
    </row>
    <row r="130" spans="2:16">
      <c r="B130" s="110"/>
      <c r="C130" s="67"/>
      <c r="D130" s="67"/>
      <c r="E130" s="67"/>
      <c r="F130" s="67"/>
      <c r="G130" s="67"/>
      <c r="H130" s="67"/>
      <c r="I130" s="67"/>
      <c r="J130" s="67"/>
      <c r="K130" s="67"/>
      <c r="L130" s="67"/>
      <c r="M130" s="67"/>
      <c r="N130" s="67"/>
      <c r="O130" s="67"/>
      <c r="P130" s="885"/>
    </row>
    <row r="131" spans="2:16" ht="21">
      <c r="B131" s="55"/>
      <c r="C131" s="1271"/>
      <c r="D131" s="1271"/>
      <c r="E131" s="1271"/>
      <c r="F131" s="1272" t="s">
        <v>86</v>
      </c>
      <c r="G131" s="1272" t="s">
        <v>87</v>
      </c>
      <c r="H131" s="1272" t="s">
        <v>88</v>
      </c>
      <c r="I131" s="1272" t="s">
        <v>89</v>
      </c>
      <c r="J131" s="1272" t="s">
        <v>90</v>
      </c>
      <c r="K131" s="1272" t="s">
        <v>91</v>
      </c>
      <c r="L131" s="1272" t="s">
        <v>92</v>
      </c>
      <c r="M131" s="1272" t="s">
        <v>93</v>
      </c>
      <c r="N131" s="1272" t="s">
        <v>94</v>
      </c>
      <c r="O131" s="1273" t="s">
        <v>95</v>
      </c>
      <c r="P131" s="885"/>
    </row>
    <row r="132" spans="2:16" ht="15.75">
      <c r="B132" s="55"/>
      <c r="C132" s="1028" t="s">
        <v>44</v>
      </c>
      <c r="D132" s="1028" t="s">
        <v>45</v>
      </c>
      <c r="E132" s="1028" t="s">
        <v>30</v>
      </c>
      <c r="F132" s="1274" t="s">
        <v>96</v>
      </c>
      <c r="G132" s="1274" t="s">
        <v>97</v>
      </c>
      <c r="H132" s="1274" t="s">
        <v>98</v>
      </c>
      <c r="I132" s="1274" t="s">
        <v>99</v>
      </c>
      <c r="J132" s="1274" t="s">
        <v>100</v>
      </c>
      <c r="K132" s="1274" t="s">
        <v>101</v>
      </c>
      <c r="L132" s="1274" t="s">
        <v>102</v>
      </c>
      <c r="M132" s="1274" t="s">
        <v>103</v>
      </c>
      <c r="N132" s="1274" t="s">
        <v>104</v>
      </c>
      <c r="O132" s="1275"/>
      <c r="P132" s="885"/>
    </row>
    <row r="133" spans="2:16" ht="15.75">
      <c r="B133" s="55"/>
      <c r="C133" s="65">
        <v>1</v>
      </c>
      <c r="D133" s="108" t="s">
        <v>46</v>
      </c>
      <c r="E133" s="108"/>
      <c r="F133" s="93">
        <v>0</v>
      </c>
      <c r="G133" s="93">
        <v>0</v>
      </c>
      <c r="H133" s="93">
        <v>0</v>
      </c>
      <c r="I133" s="93">
        <v>0</v>
      </c>
      <c r="J133" s="93">
        <v>-1</v>
      </c>
      <c r="K133" s="93">
        <v>0</v>
      </c>
      <c r="L133" s="93">
        <v>0</v>
      </c>
      <c r="M133" s="93">
        <v>0.76</v>
      </c>
      <c r="N133" s="93">
        <v>0.24</v>
      </c>
      <c r="O133" s="143">
        <v>0</v>
      </c>
      <c r="P133" s="885"/>
    </row>
    <row r="134" spans="2:16" ht="15.75">
      <c r="B134" s="55"/>
      <c r="C134" s="65">
        <v>2</v>
      </c>
      <c r="D134" s="108" t="s">
        <v>47</v>
      </c>
      <c r="E134" s="108"/>
      <c r="F134" s="93">
        <v>0</v>
      </c>
      <c r="G134" s="93">
        <v>0</v>
      </c>
      <c r="H134" s="93">
        <v>0</v>
      </c>
      <c r="I134" s="93">
        <v>0</v>
      </c>
      <c r="J134" s="93">
        <v>-1</v>
      </c>
      <c r="K134" s="93">
        <v>0</v>
      </c>
      <c r="L134" s="93">
        <v>0</v>
      </c>
      <c r="M134" s="93">
        <v>0.91</v>
      </c>
      <c r="N134" s="93">
        <v>0.09</v>
      </c>
      <c r="O134" s="143">
        <v>0</v>
      </c>
      <c r="P134" s="885"/>
    </row>
    <row r="135" spans="2:16" ht="15.75">
      <c r="B135" s="55"/>
      <c r="C135" s="65">
        <v>3</v>
      </c>
      <c r="D135" s="108" t="s">
        <v>48</v>
      </c>
      <c r="E135" s="108"/>
      <c r="F135" s="93">
        <v>-1</v>
      </c>
      <c r="G135" s="93">
        <v>0</v>
      </c>
      <c r="H135" s="93">
        <v>0</v>
      </c>
      <c r="I135" s="93">
        <v>0</v>
      </c>
      <c r="J135" s="93">
        <v>0</v>
      </c>
      <c r="K135" s="93">
        <v>0</v>
      </c>
      <c r="L135" s="93">
        <v>0</v>
      </c>
      <c r="M135" s="93">
        <v>1</v>
      </c>
      <c r="N135" s="93">
        <v>0</v>
      </c>
      <c r="O135" s="143">
        <v>0</v>
      </c>
      <c r="P135" s="885"/>
    </row>
    <row r="136" spans="2:16" ht="15.75">
      <c r="B136" s="55"/>
      <c r="C136" s="65">
        <v>4</v>
      </c>
      <c r="D136" s="108" t="s">
        <v>49</v>
      </c>
      <c r="E136" s="108"/>
      <c r="F136" s="93">
        <v>0</v>
      </c>
      <c r="G136" s="93">
        <v>0</v>
      </c>
      <c r="H136" s="93">
        <v>0</v>
      </c>
      <c r="I136" s="93">
        <v>-1</v>
      </c>
      <c r="J136" s="93">
        <v>0</v>
      </c>
      <c r="K136" s="93">
        <v>0</v>
      </c>
      <c r="L136" s="93">
        <v>0</v>
      </c>
      <c r="M136" s="93">
        <v>0.97</v>
      </c>
      <c r="N136" s="93">
        <v>0.03</v>
      </c>
      <c r="O136" s="143">
        <v>-2.7755575615628914E-17</v>
      </c>
      <c r="P136" s="885"/>
    </row>
    <row r="137" spans="2:16" ht="15.75">
      <c r="B137" s="55"/>
      <c r="C137" s="65">
        <v>5</v>
      </c>
      <c r="D137" s="108" t="s">
        <v>50</v>
      </c>
      <c r="E137" s="108" t="s">
        <v>67</v>
      </c>
      <c r="F137" s="93">
        <v>0</v>
      </c>
      <c r="G137" s="93">
        <v>0</v>
      </c>
      <c r="H137" s="93">
        <v>-1</v>
      </c>
      <c r="I137" s="93">
        <v>0</v>
      </c>
      <c r="J137" s="93">
        <v>0</v>
      </c>
      <c r="K137" s="93">
        <v>0</v>
      </c>
      <c r="L137" s="93">
        <v>0</v>
      </c>
      <c r="M137" s="93">
        <v>0.87</v>
      </c>
      <c r="N137" s="93">
        <v>0.13</v>
      </c>
      <c r="O137" s="143">
        <v>0</v>
      </c>
      <c r="P137" s="885"/>
    </row>
    <row r="138" spans="2:16" ht="15.75">
      <c r="B138" s="55"/>
      <c r="C138" s="65">
        <v>6</v>
      </c>
      <c r="D138" s="108" t="s">
        <v>51</v>
      </c>
      <c r="E138" s="108"/>
      <c r="F138" s="93">
        <v>0</v>
      </c>
      <c r="G138" s="93">
        <v>0.22500000000000001</v>
      </c>
      <c r="H138" s="93">
        <v>0</v>
      </c>
      <c r="I138" s="93">
        <v>0</v>
      </c>
      <c r="J138" s="93">
        <v>-1</v>
      </c>
      <c r="K138" s="93">
        <v>0</v>
      </c>
      <c r="L138" s="93">
        <v>0</v>
      </c>
      <c r="M138" s="93">
        <v>0.63</v>
      </c>
      <c r="N138" s="93">
        <v>0.14499999999999999</v>
      </c>
      <c r="O138" s="143">
        <v>0</v>
      </c>
      <c r="P138" s="885"/>
    </row>
    <row r="139" spans="2:16" ht="15.75">
      <c r="B139" s="55"/>
      <c r="C139" s="65">
        <v>7</v>
      </c>
      <c r="D139" s="57" t="s">
        <v>52</v>
      </c>
      <c r="E139" s="108"/>
      <c r="F139" s="93">
        <v>0</v>
      </c>
      <c r="G139" s="93">
        <v>0.45</v>
      </c>
      <c r="H139" s="93">
        <v>0</v>
      </c>
      <c r="I139" s="93">
        <v>0</v>
      </c>
      <c r="J139" s="93">
        <v>-1</v>
      </c>
      <c r="K139" s="93">
        <v>0</v>
      </c>
      <c r="L139" s="93">
        <v>0</v>
      </c>
      <c r="M139" s="93">
        <v>0.45</v>
      </c>
      <c r="N139" s="93">
        <v>0.1</v>
      </c>
      <c r="O139" s="143">
        <v>0</v>
      </c>
      <c r="P139" s="885"/>
    </row>
    <row r="140" spans="2:16" ht="15.75">
      <c r="B140" s="55"/>
      <c r="C140" s="65">
        <v>8</v>
      </c>
      <c r="D140" s="108" t="s">
        <v>53</v>
      </c>
      <c r="E140" s="108"/>
      <c r="F140" s="93">
        <v>-1</v>
      </c>
      <c r="G140" s="93">
        <v>0</v>
      </c>
      <c r="H140" s="93">
        <v>0</v>
      </c>
      <c r="I140" s="93">
        <v>0</v>
      </c>
      <c r="J140" s="93">
        <v>0</v>
      </c>
      <c r="K140" s="93">
        <v>0</v>
      </c>
      <c r="L140" s="93">
        <v>-1.7000000000000002</v>
      </c>
      <c r="M140" s="93">
        <v>2.7</v>
      </c>
      <c r="N140" s="93">
        <v>0</v>
      </c>
      <c r="O140" s="143">
        <v>0</v>
      </c>
      <c r="P140" s="885"/>
    </row>
    <row r="141" spans="2:16" ht="15.75">
      <c r="B141" s="55"/>
      <c r="C141" s="65">
        <v>9</v>
      </c>
      <c r="D141" s="108" t="s">
        <v>54</v>
      </c>
      <c r="E141" s="108"/>
      <c r="F141" s="93">
        <v>-1</v>
      </c>
      <c r="G141" s="93">
        <v>0</v>
      </c>
      <c r="H141" s="93">
        <v>0</v>
      </c>
      <c r="I141" s="93">
        <v>0</v>
      </c>
      <c r="J141" s="93">
        <v>0</v>
      </c>
      <c r="K141" s="93">
        <v>0</v>
      </c>
      <c r="L141" s="93">
        <v>-2.96</v>
      </c>
      <c r="M141" s="93">
        <v>3.96</v>
      </c>
      <c r="N141" s="93">
        <v>0</v>
      </c>
      <c r="O141" s="143">
        <v>0</v>
      </c>
      <c r="P141" s="885"/>
    </row>
    <row r="142" spans="2:16" ht="15.75">
      <c r="B142" s="55"/>
      <c r="C142" s="65">
        <v>10</v>
      </c>
      <c r="D142" s="108" t="s">
        <v>55</v>
      </c>
      <c r="E142" s="108"/>
      <c r="F142" s="93">
        <v>0</v>
      </c>
      <c r="G142" s="93">
        <v>0</v>
      </c>
      <c r="H142" s="93">
        <v>0</v>
      </c>
      <c r="I142" s="93">
        <v>0</v>
      </c>
      <c r="J142" s="93">
        <v>0</v>
      </c>
      <c r="K142" s="93">
        <v>0</v>
      </c>
      <c r="L142" s="93">
        <v>-1</v>
      </c>
      <c r="M142" s="93">
        <v>0.85</v>
      </c>
      <c r="N142" s="93">
        <v>0.15</v>
      </c>
      <c r="O142" s="143">
        <v>0</v>
      </c>
      <c r="P142" s="885"/>
    </row>
    <row r="143" spans="2:16" ht="15.75">
      <c r="B143" s="55"/>
      <c r="C143" s="65">
        <v>11</v>
      </c>
      <c r="D143" s="108" t="s">
        <v>56</v>
      </c>
      <c r="E143" s="108"/>
      <c r="F143" s="93">
        <v>0</v>
      </c>
      <c r="G143" s="93">
        <v>0.38</v>
      </c>
      <c r="H143" s="93">
        <v>0</v>
      </c>
      <c r="I143" s="93">
        <v>0</v>
      </c>
      <c r="J143" s="93">
        <v>-1</v>
      </c>
      <c r="K143" s="93">
        <v>0</v>
      </c>
      <c r="L143" s="93">
        <v>0</v>
      </c>
      <c r="M143" s="93">
        <v>0.38</v>
      </c>
      <c r="N143" s="93">
        <v>0.24</v>
      </c>
      <c r="O143" s="143">
        <v>0</v>
      </c>
      <c r="P143" s="885"/>
    </row>
    <row r="144" spans="2:16" ht="15.75">
      <c r="B144" s="55"/>
      <c r="C144" s="65">
        <v>12</v>
      </c>
      <c r="D144" s="108" t="s">
        <v>57</v>
      </c>
      <c r="E144" s="108"/>
      <c r="F144" s="93">
        <v>0</v>
      </c>
      <c r="G144" s="93">
        <v>0.17</v>
      </c>
      <c r="H144" s="93">
        <v>-1</v>
      </c>
      <c r="I144" s="93">
        <v>0</v>
      </c>
      <c r="J144" s="93">
        <v>0</v>
      </c>
      <c r="K144" s="93">
        <v>0</v>
      </c>
      <c r="L144" s="93">
        <v>0</v>
      </c>
      <c r="M144" s="93">
        <v>0.56999999999999995</v>
      </c>
      <c r="N144" s="93">
        <v>0.26</v>
      </c>
      <c r="O144" s="143">
        <v>0</v>
      </c>
      <c r="P144" s="885"/>
    </row>
    <row r="145" spans="2:16" ht="15.75">
      <c r="B145" s="55"/>
      <c r="C145" s="896">
        <v>13</v>
      </c>
      <c r="D145" s="897" t="s">
        <v>58</v>
      </c>
      <c r="E145" s="897" t="s">
        <v>105</v>
      </c>
      <c r="F145" s="98">
        <v>0</v>
      </c>
      <c r="G145" s="144">
        <v>0</v>
      </c>
      <c r="H145" s="144">
        <v>0</v>
      </c>
      <c r="I145" s="144">
        <v>0</v>
      </c>
      <c r="J145" s="144">
        <v>0</v>
      </c>
      <c r="K145" s="144">
        <v>-1</v>
      </c>
      <c r="L145" s="144">
        <v>0</v>
      </c>
      <c r="M145" s="144">
        <v>0.9</v>
      </c>
      <c r="N145" s="144">
        <v>0.1</v>
      </c>
      <c r="O145" s="145">
        <v>0</v>
      </c>
      <c r="P145" s="885"/>
    </row>
    <row r="146" spans="2:16">
      <c r="B146" s="110"/>
      <c r="C146" s="67"/>
      <c r="D146" s="67"/>
      <c r="E146" s="67"/>
      <c r="F146" s="67"/>
      <c r="G146" s="67"/>
      <c r="H146" s="67"/>
      <c r="I146" s="67"/>
      <c r="J146" s="67"/>
      <c r="K146" s="67"/>
      <c r="L146" s="67"/>
      <c r="M146" s="67"/>
      <c r="N146" s="67"/>
      <c r="O146" s="67"/>
      <c r="P146" s="885"/>
    </row>
    <row r="147" spans="2:16">
      <c r="B147" s="110"/>
      <c r="C147" s="49" t="s">
        <v>108</v>
      </c>
      <c r="D147" s="67"/>
      <c r="E147" s="67"/>
      <c r="F147" s="67"/>
      <c r="G147" s="51"/>
      <c r="H147" s="67"/>
      <c r="I147" s="67"/>
      <c r="J147" s="67"/>
      <c r="K147" s="67"/>
      <c r="L147" s="67"/>
      <c r="M147" s="67"/>
      <c r="N147" s="67"/>
      <c r="O147" s="51" t="s">
        <v>85</v>
      </c>
      <c r="P147" s="885"/>
    </row>
    <row r="148" spans="2:16">
      <c r="B148" s="110"/>
      <c r="C148" s="67"/>
      <c r="D148" s="67"/>
      <c r="E148" s="67"/>
      <c r="F148" s="67"/>
      <c r="G148" s="67"/>
      <c r="H148" s="67"/>
      <c r="I148" s="67"/>
      <c r="J148" s="67"/>
      <c r="K148" s="67"/>
      <c r="L148" s="67"/>
      <c r="M148" s="67"/>
      <c r="N148" s="67"/>
      <c r="O148" s="67"/>
      <c r="P148" s="885"/>
    </row>
    <row r="149" spans="2:16" ht="21">
      <c r="B149" s="110"/>
      <c r="C149" s="1271"/>
      <c r="D149" s="1271"/>
      <c r="E149" s="1271"/>
      <c r="F149" s="1272" t="s">
        <v>86</v>
      </c>
      <c r="G149" s="1272" t="s">
        <v>87</v>
      </c>
      <c r="H149" s="1272" t="s">
        <v>88</v>
      </c>
      <c r="I149" s="1272" t="s">
        <v>89</v>
      </c>
      <c r="J149" s="1272" t="s">
        <v>90</v>
      </c>
      <c r="K149" s="1272" t="s">
        <v>91</v>
      </c>
      <c r="L149" s="1272" t="s">
        <v>92</v>
      </c>
      <c r="M149" s="1272" t="s">
        <v>93</v>
      </c>
      <c r="N149" s="1272" t="s">
        <v>94</v>
      </c>
      <c r="O149" s="1273" t="s">
        <v>95</v>
      </c>
      <c r="P149" s="885"/>
    </row>
    <row r="150" spans="2:16">
      <c r="B150" s="110"/>
      <c r="C150" s="1028" t="s">
        <v>44</v>
      </c>
      <c r="D150" s="1028" t="s">
        <v>45</v>
      </c>
      <c r="E150" s="1028" t="s">
        <v>30</v>
      </c>
      <c r="F150" s="1274" t="s">
        <v>96</v>
      </c>
      <c r="G150" s="1274" t="s">
        <v>97</v>
      </c>
      <c r="H150" s="1274" t="s">
        <v>98</v>
      </c>
      <c r="I150" s="1274" t="s">
        <v>99</v>
      </c>
      <c r="J150" s="1274" t="s">
        <v>100</v>
      </c>
      <c r="K150" s="1274" t="s">
        <v>101</v>
      </c>
      <c r="L150" s="1274" t="s">
        <v>102</v>
      </c>
      <c r="M150" s="1274" t="s">
        <v>103</v>
      </c>
      <c r="N150" s="1274" t="s">
        <v>104</v>
      </c>
      <c r="O150" s="1275"/>
      <c r="P150" s="885"/>
    </row>
    <row r="151" spans="2:16" ht="15.75">
      <c r="B151" s="55"/>
      <c r="C151" s="65">
        <v>1</v>
      </c>
      <c r="D151" s="108" t="s">
        <v>46</v>
      </c>
      <c r="E151" s="108"/>
      <c r="F151" s="93">
        <v>0</v>
      </c>
      <c r="G151" s="93">
        <v>0</v>
      </c>
      <c r="H151" s="93">
        <v>0</v>
      </c>
      <c r="I151" s="93">
        <v>0</v>
      </c>
      <c r="J151" s="93">
        <v>-1</v>
      </c>
      <c r="K151" s="93">
        <v>0</v>
      </c>
      <c r="L151" s="93">
        <v>0</v>
      </c>
      <c r="M151" s="93">
        <v>0.76</v>
      </c>
      <c r="N151" s="93">
        <v>0.24</v>
      </c>
      <c r="O151" s="143">
        <v>0</v>
      </c>
      <c r="P151" s="885"/>
    </row>
    <row r="152" spans="2:16" ht="15.75">
      <c r="B152" s="55"/>
      <c r="C152" s="65">
        <v>2</v>
      </c>
      <c r="D152" s="108" t="s">
        <v>47</v>
      </c>
      <c r="E152" s="108"/>
      <c r="F152" s="93">
        <v>0</v>
      </c>
      <c r="G152" s="93">
        <v>0</v>
      </c>
      <c r="H152" s="93">
        <v>0</v>
      </c>
      <c r="I152" s="93">
        <v>0</v>
      </c>
      <c r="J152" s="93">
        <v>-1</v>
      </c>
      <c r="K152" s="93">
        <v>0</v>
      </c>
      <c r="L152" s="93">
        <v>0</v>
      </c>
      <c r="M152" s="93">
        <v>0.91</v>
      </c>
      <c r="N152" s="93">
        <v>0.09</v>
      </c>
      <c r="O152" s="143">
        <v>0</v>
      </c>
      <c r="P152" s="885"/>
    </row>
    <row r="153" spans="2:16" ht="15.75">
      <c r="B153" s="55"/>
      <c r="C153" s="65">
        <v>3</v>
      </c>
      <c r="D153" s="108" t="s">
        <v>48</v>
      </c>
      <c r="E153" s="108"/>
      <c r="F153" s="93">
        <v>-1</v>
      </c>
      <c r="G153" s="93">
        <v>0</v>
      </c>
      <c r="H153" s="93">
        <v>0</v>
      </c>
      <c r="I153" s="93">
        <v>0</v>
      </c>
      <c r="J153" s="93">
        <v>0</v>
      </c>
      <c r="K153" s="93">
        <v>0</v>
      </c>
      <c r="L153" s="93">
        <v>0</v>
      </c>
      <c r="M153" s="93">
        <v>1</v>
      </c>
      <c r="N153" s="93">
        <v>0</v>
      </c>
      <c r="O153" s="143">
        <v>0</v>
      </c>
      <c r="P153" s="885"/>
    </row>
    <row r="154" spans="2:16" ht="15.75">
      <c r="B154" s="55"/>
      <c r="C154" s="65">
        <v>4</v>
      </c>
      <c r="D154" s="108" t="s">
        <v>49</v>
      </c>
      <c r="E154" s="108"/>
      <c r="F154" s="93">
        <v>0</v>
      </c>
      <c r="G154" s="93">
        <v>0</v>
      </c>
      <c r="H154" s="93">
        <v>0</v>
      </c>
      <c r="I154" s="93">
        <v>-1</v>
      </c>
      <c r="J154" s="93">
        <v>0</v>
      </c>
      <c r="K154" s="93">
        <v>0</v>
      </c>
      <c r="L154" s="93">
        <v>0</v>
      </c>
      <c r="M154" s="93">
        <v>0.97</v>
      </c>
      <c r="N154" s="93">
        <v>0.03</v>
      </c>
      <c r="O154" s="143">
        <v>-2.7755575615628914E-17</v>
      </c>
      <c r="P154" s="885"/>
    </row>
    <row r="155" spans="2:16" ht="15.75">
      <c r="B155" s="55"/>
      <c r="C155" s="65">
        <v>5</v>
      </c>
      <c r="D155" s="108" t="s">
        <v>50</v>
      </c>
      <c r="E155" s="108" t="s">
        <v>67</v>
      </c>
      <c r="F155" s="93">
        <v>0</v>
      </c>
      <c r="G155" s="93">
        <v>0</v>
      </c>
      <c r="H155" s="93">
        <v>-1</v>
      </c>
      <c r="I155" s="93">
        <v>0</v>
      </c>
      <c r="J155" s="93">
        <v>0</v>
      </c>
      <c r="K155" s="93">
        <v>0</v>
      </c>
      <c r="L155" s="93">
        <v>0</v>
      </c>
      <c r="M155" s="93">
        <v>0.87</v>
      </c>
      <c r="N155" s="93">
        <v>0.13</v>
      </c>
      <c r="O155" s="143">
        <v>0</v>
      </c>
      <c r="P155" s="885"/>
    </row>
    <row r="156" spans="2:16" ht="15.75">
      <c r="B156" s="55"/>
      <c r="C156" s="65">
        <v>6</v>
      </c>
      <c r="D156" s="108" t="s">
        <v>51</v>
      </c>
      <c r="E156" s="108" t="s">
        <v>106</v>
      </c>
      <c r="F156" s="93">
        <v>0</v>
      </c>
      <c r="G156" s="93">
        <v>0.22500000000000001</v>
      </c>
      <c r="H156" s="93">
        <v>0</v>
      </c>
      <c r="I156" s="93">
        <v>0</v>
      </c>
      <c r="J156" s="93">
        <v>-1</v>
      </c>
      <c r="K156" s="93">
        <v>0</v>
      </c>
      <c r="L156" s="93">
        <v>0</v>
      </c>
      <c r="M156" s="93">
        <v>0.63</v>
      </c>
      <c r="N156" s="93">
        <v>0.14499999999999999</v>
      </c>
      <c r="O156" s="143">
        <v>0</v>
      </c>
      <c r="P156" s="885"/>
    </row>
    <row r="157" spans="2:16" ht="15.75">
      <c r="B157" s="55"/>
      <c r="C157" s="65">
        <v>7</v>
      </c>
      <c r="D157" s="57" t="s">
        <v>52</v>
      </c>
      <c r="E157" s="108" t="s">
        <v>106</v>
      </c>
      <c r="F157" s="93">
        <v>0</v>
      </c>
      <c r="G157" s="93">
        <v>0.45</v>
      </c>
      <c r="H157" s="93">
        <v>0</v>
      </c>
      <c r="I157" s="93">
        <v>0</v>
      </c>
      <c r="J157" s="93">
        <v>-1</v>
      </c>
      <c r="K157" s="93">
        <v>0</v>
      </c>
      <c r="L157" s="93">
        <v>0</v>
      </c>
      <c r="M157" s="93">
        <v>0.45</v>
      </c>
      <c r="N157" s="93">
        <v>0.1</v>
      </c>
      <c r="O157" s="143">
        <v>0</v>
      </c>
      <c r="P157" s="885"/>
    </row>
    <row r="158" spans="2:16" ht="15.75">
      <c r="B158" s="55"/>
      <c r="C158" s="65">
        <v>8</v>
      </c>
      <c r="D158" s="108" t="s">
        <v>53</v>
      </c>
      <c r="E158" s="108"/>
      <c r="F158" s="93">
        <v>-1</v>
      </c>
      <c r="G158" s="93">
        <v>0</v>
      </c>
      <c r="H158" s="93">
        <v>0</v>
      </c>
      <c r="I158" s="93">
        <v>0</v>
      </c>
      <c r="J158" s="93">
        <v>0</v>
      </c>
      <c r="K158" s="93">
        <v>0</v>
      </c>
      <c r="L158" s="93">
        <v>-0.8</v>
      </c>
      <c r="M158" s="93">
        <v>1.8</v>
      </c>
      <c r="N158" s="93">
        <v>0</v>
      </c>
      <c r="O158" s="143">
        <v>0</v>
      </c>
      <c r="P158" s="885"/>
    </row>
    <row r="159" spans="2:16" ht="15.75">
      <c r="B159" s="55"/>
      <c r="C159" s="65">
        <v>9</v>
      </c>
      <c r="D159" s="108" t="s">
        <v>54</v>
      </c>
      <c r="E159" s="108"/>
      <c r="F159" s="93">
        <v>-1</v>
      </c>
      <c r="G159" s="93">
        <v>0</v>
      </c>
      <c r="H159" s="93">
        <v>0</v>
      </c>
      <c r="I159" s="93">
        <v>0</v>
      </c>
      <c r="J159" s="93">
        <v>0</v>
      </c>
      <c r="K159" s="93">
        <v>0</v>
      </c>
      <c r="L159" s="93">
        <v>-1.9699999999999998</v>
      </c>
      <c r="M159" s="93">
        <v>2.9699999999999998</v>
      </c>
      <c r="N159" s="93">
        <v>0</v>
      </c>
      <c r="O159" s="143">
        <v>0</v>
      </c>
      <c r="P159" s="885"/>
    </row>
    <row r="160" spans="2:16" ht="15.75">
      <c r="B160" s="55"/>
      <c r="C160" s="65">
        <v>10</v>
      </c>
      <c r="D160" s="108" t="s">
        <v>55</v>
      </c>
      <c r="E160" s="108"/>
      <c r="F160" s="93">
        <v>0</v>
      </c>
      <c r="G160" s="93">
        <v>0</v>
      </c>
      <c r="H160" s="93">
        <v>0</v>
      </c>
      <c r="I160" s="93">
        <v>0</v>
      </c>
      <c r="J160" s="93">
        <v>0</v>
      </c>
      <c r="K160" s="93">
        <v>0</v>
      </c>
      <c r="L160" s="93">
        <v>-1</v>
      </c>
      <c r="M160" s="93">
        <v>0.85</v>
      </c>
      <c r="N160" s="93">
        <v>0.15</v>
      </c>
      <c r="O160" s="143">
        <v>0</v>
      </c>
      <c r="P160" s="885"/>
    </row>
    <row r="161" spans="2:16" ht="15.75">
      <c r="B161" s="55"/>
      <c r="C161" s="65">
        <v>11</v>
      </c>
      <c r="D161" s="108" t="s">
        <v>56</v>
      </c>
      <c r="E161" s="108"/>
      <c r="F161" s="93">
        <v>0</v>
      </c>
      <c r="G161" s="93">
        <v>0.38</v>
      </c>
      <c r="H161" s="93">
        <v>0</v>
      </c>
      <c r="I161" s="93">
        <v>0</v>
      </c>
      <c r="J161" s="93">
        <v>-1</v>
      </c>
      <c r="K161" s="93">
        <v>0</v>
      </c>
      <c r="L161" s="93">
        <v>0</v>
      </c>
      <c r="M161" s="93">
        <v>0.38</v>
      </c>
      <c r="N161" s="93">
        <v>0.24</v>
      </c>
      <c r="O161" s="143">
        <v>0</v>
      </c>
      <c r="P161" s="885"/>
    </row>
    <row r="162" spans="2:16" ht="15.75">
      <c r="B162" s="55"/>
      <c r="C162" s="65">
        <v>12</v>
      </c>
      <c r="D162" s="108" t="s">
        <v>57</v>
      </c>
      <c r="E162" s="108"/>
      <c r="F162" s="93">
        <v>0</v>
      </c>
      <c r="G162" s="93">
        <v>0.17</v>
      </c>
      <c r="H162" s="93">
        <v>-1</v>
      </c>
      <c r="I162" s="93">
        <v>0</v>
      </c>
      <c r="J162" s="93">
        <v>0</v>
      </c>
      <c r="K162" s="93">
        <v>0</v>
      </c>
      <c r="L162" s="93">
        <v>0</v>
      </c>
      <c r="M162" s="93">
        <v>0.56999999999999995</v>
      </c>
      <c r="N162" s="93">
        <v>0.26</v>
      </c>
      <c r="O162" s="143">
        <v>0</v>
      </c>
      <c r="P162" s="885"/>
    </row>
    <row r="163" spans="2:16" ht="15.75">
      <c r="B163" s="55"/>
      <c r="C163" s="896">
        <v>13</v>
      </c>
      <c r="D163" s="897" t="s">
        <v>58</v>
      </c>
      <c r="E163" s="897" t="s">
        <v>105</v>
      </c>
      <c r="F163" s="98">
        <v>0</v>
      </c>
      <c r="G163" s="144">
        <v>0</v>
      </c>
      <c r="H163" s="144">
        <v>0</v>
      </c>
      <c r="I163" s="144">
        <v>0</v>
      </c>
      <c r="J163" s="144">
        <v>0</v>
      </c>
      <c r="K163" s="144">
        <v>-1</v>
      </c>
      <c r="L163" s="144">
        <v>0</v>
      </c>
      <c r="M163" s="144">
        <v>0.9</v>
      </c>
      <c r="N163" s="144">
        <v>0.1</v>
      </c>
      <c r="O163" s="145">
        <v>0</v>
      </c>
      <c r="P163" s="885"/>
    </row>
    <row r="164" spans="2:16">
      <c r="B164" s="110"/>
      <c r="C164" s="67"/>
      <c r="D164" s="67"/>
      <c r="E164" s="67"/>
      <c r="F164" s="67"/>
      <c r="G164" s="67"/>
      <c r="H164" s="67"/>
      <c r="I164" s="67"/>
      <c r="J164" s="67"/>
      <c r="K164" s="67"/>
      <c r="L164" s="67"/>
      <c r="M164" s="67"/>
      <c r="N164" s="67"/>
      <c r="O164" s="67"/>
      <c r="P164" s="885"/>
    </row>
    <row r="165" spans="2:16">
      <c r="B165" s="110"/>
      <c r="C165" s="49" t="s">
        <v>109</v>
      </c>
      <c r="D165" s="67"/>
      <c r="E165" s="67"/>
      <c r="F165" s="67"/>
      <c r="G165" s="51"/>
      <c r="H165" s="67"/>
      <c r="I165" s="67"/>
      <c r="J165" s="67"/>
      <c r="K165" s="67"/>
      <c r="L165" s="67"/>
      <c r="M165" s="67"/>
      <c r="N165" s="67"/>
      <c r="O165" s="51" t="s">
        <v>85</v>
      </c>
      <c r="P165" s="885"/>
    </row>
    <row r="166" spans="2:16">
      <c r="B166" s="110"/>
      <c r="C166" s="67"/>
      <c r="D166" s="67"/>
      <c r="E166" s="67"/>
      <c r="F166" s="67"/>
      <c r="G166" s="67"/>
      <c r="H166" s="67"/>
      <c r="I166" s="67"/>
      <c r="J166" s="67"/>
      <c r="K166" s="67"/>
      <c r="L166" s="67"/>
      <c r="M166" s="67"/>
      <c r="N166" s="67"/>
      <c r="O166" s="67"/>
      <c r="P166" s="885"/>
    </row>
    <row r="167" spans="2:16" ht="21">
      <c r="B167" s="110"/>
      <c r="C167" s="1271"/>
      <c r="D167" s="1271"/>
      <c r="E167" s="1271"/>
      <c r="F167" s="1272" t="s">
        <v>86</v>
      </c>
      <c r="G167" s="1272" t="s">
        <v>87</v>
      </c>
      <c r="H167" s="1272" t="s">
        <v>88</v>
      </c>
      <c r="I167" s="1272" t="s">
        <v>89</v>
      </c>
      <c r="J167" s="1272" t="s">
        <v>90</v>
      </c>
      <c r="K167" s="1272" t="s">
        <v>91</v>
      </c>
      <c r="L167" s="1272" t="s">
        <v>92</v>
      </c>
      <c r="M167" s="1272" t="s">
        <v>93</v>
      </c>
      <c r="N167" s="1272" t="s">
        <v>94</v>
      </c>
      <c r="O167" s="1273" t="s">
        <v>95</v>
      </c>
      <c r="P167" s="885"/>
    </row>
    <row r="168" spans="2:16">
      <c r="B168" s="110"/>
      <c r="C168" s="1028" t="s">
        <v>44</v>
      </c>
      <c r="D168" s="1028" t="s">
        <v>45</v>
      </c>
      <c r="E168" s="1028" t="s">
        <v>30</v>
      </c>
      <c r="F168" s="1274" t="s">
        <v>96</v>
      </c>
      <c r="G168" s="1274" t="s">
        <v>97</v>
      </c>
      <c r="H168" s="1274" t="s">
        <v>98</v>
      </c>
      <c r="I168" s="1274" t="s">
        <v>99</v>
      </c>
      <c r="J168" s="1274" t="s">
        <v>100</v>
      </c>
      <c r="K168" s="1274" t="s">
        <v>101</v>
      </c>
      <c r="L168" s="1274" t="s">
        <v>102</v>
      </c>
      <c r="M168" s="1274" t="s">
        <v>103</v>
      </c>
      <c r="N168" s="1274" t="s">
        <v>104</v>
      </c>
      <c r="O168" s="1275"/>
      <c r="P168" s="885"/>
    </row>
    <row r="169" spans="2:16" ht="15.75">
      <c r="B169" s="55"/>
      <c r="C169" s="65">
        <v>1</v>
      </c>
      <c r="D169" s="108" t="s">
        <v>61</v>
      </c>
      <c r="E169" s="108"/>
      <c r="F169" s="93">
        <v>-1</v>
      </c>
      <c r="G169" s="93"/>
      <c r="H169" s="93"/>
      <c r="I169" s="93"/>
      <c r="J169" s="93"/>
      <c r="K169" s="93"/>
      <c r="L169" s="93">
        <v>-1.5</v>
      </c>
      <c r="M169" s="93">
        <v>2.5</v>
      </c>
      <c r="N169" s="93"/>
      <c r="O169" s="143">
        <v>0</v>
      </c>
      <c r="P169" s="885"/>
    </row>
    <row r="170" spans="2:16" ht="15.75">
      <c r="B170" s="55"/>
      <c r="C170" s="65">
        <v>2</v>
      </c>
      <c r="D170" s="108" t="s">
        <v>62</v>
      </c>
      <c r="E170" s="108"/>
      <c r="F170" s="93">
        <v>-1</v>
      </c>
      <c r="G170" s="93"/>
      <c r="H170" s="93"/>
      <c r="I170" s="93"/>
      <c r="J170" s="93"/>
      <c r="K170" s="93"/>
      <c r="L170" s="93">
        <v>-5</v>
      </c>
      <c r="M170" s="93">
        <v>6</v>
      </c>
      <c r="N170" s="93"/>
      <c r="O170" s="143">
        <v>0</v>
      </c>
      <c r="P170" s="885"/>
    </row>
    <row r="171" spans="2:16" ht="15.75">
      <c r="B171" s="55"/>
      <c r="C171" s="926">
        <v>3</v>
      </c>
      <c r="D171" s="199" t="s">
        <v>63</v>
      </c>
      <c r="E171" s="199"/>
      <c r="F171" s="147"/>
      <c r="G171" s="147"/>
      <c r="H171" s="147"/>
      <c r="I171" s="147"/>
      <c r="J171" s="147"/>
      <c r="K171" s="147">
        <v>-1</v>
      </c>
      <c r="L171" s="147">
        <v>0.3</v>
      </c>
      <c r="M171" s="147">
        <v>0.7</v>
      </c>
      <c r="N171" s="147"/>
      <c r="O171" s="148">
        <v>0</v>
      </c>
      <c r="P171" s="885"/>
    </row>
    <row r="172" spans="2:16">
      <c r="B172" s="110"/>
      <c r="C172" s="67"/>
      <c r="D172" s="67"/>
      <c r="E172" s="67"/>
      <c r="F172" s="67"/>
      <c r="G172" s="67"/>
      <c r="H172" s="67"/>
      <c r="I172" s="67"/>
      <c r="J172" s="67"/>
      <c r="K172" s="67"/>
      <c r="L172" s="67"/>
      <c r="M172" s="67"/>
      <c r="N172" s="67"/>
      <c r="O172" s="67"/>
      <c r="P172" s="885"/>
    </row>
    <row r="173" spans="2:16">
      <c r="B173" s="110"/>
      <c r="C173" s="89" t="s">
        <v>961</v>
      </c>
      <c r="D173" s="108"/>
      <c r="E173" s="1259"/>
      <c r="F173" s="59"/>
      <c r="G173" s="1226"/>
      <c r="H173" s="67"/>
      <c r="I173" s="67"/>
      <c r="J173" s="67"/>
      <c r="K173" s="67"/>
      <c r="L173" s="67"/>
      <c r="M173" s="67"/>
      <c r="N173" s="67"/>
      <c r="O173" s="67"/>
      <c r="P173" s="885"/>
    </row>
    <row r="174" spans="2:16">
      <c r="B174" s="110"/>
      <c r="C174" s="65"/>
      <c r="D174" s="108"/>
      <c r="E174" s="108"/>
      <c r="F174" s="59"/>
      <c r="G174" s="1226"/>
      <c r="H174" s="67"/>
      <c r="I174" s="67"/>
      <c r="J174" s="3862" t="s">
        <v>64</v>
      </c>
      <c r="K174" s="67"/>
      <c r="L174" s="67"/>
      <c r="M174" s="67"/>
      <c r="N174" s="67"/>
      <c r="O174" s="67"/>
      <c r="P174" s="885"/>
    </row>
    <row r="175" spans="2:16" ht="15.75">
      <c r="B175" s="55"/>
      <c r="C175" s="887" t="s">
        <v>44</v>
      </c>
      <c r="D175" s="887" t="s">
        <v>110</v>
      </c>
      <c r="E175" s="887" t="s">
        <v>30</v>
      </c>
      <c r="F175" s="92">
        <v>2013</v>
      </c>
      <c r="G175" s="1276" t="s">
        <v>111</v>
      </c>
      <c r="H175" s="1277" t="s">
        <v>112</v>
      </c>
      <c r="I175" s="1224"/>
      <c r="J175" s="3863" t="s">
        <v>65</v>
      </c>
      <c r="K175" s="3864" t="s">
        <v>3130</v>
      </c>
      <c r="L175" s="67"/>
      <c r="M175" s="67"/>
      <c r="N175" s="67"/>
      <c r="O175" s="67"/>
      <c r="P175" s="885"/>
    </row>
    <row r="176" spans="2:16" ht="15.75">
      <c r="B176" s="55"/>
      <c r="C176" s="65">
        <v>1</v>
      </c>
      <c r="D176" s="108" t="s">
        <v>46</v>
      </c>
      <c r="E176" s="108"/>
      <c r="F176" s="94">
        <v>0.2</v>
      </c>
      <c r="G176" s="152">
        <v>0.9</v>
      </c>
      <c r="H176" s="153">
        <v>2013</v>
      </c>
      <c r="I176" s="59"/>
      <c r="J176" s="3864"/>
      <c r="K176" s="3864" t="s">
        <v>3132</v>
      </c>
      <c r="L176" s="67"/>
      <c r="M176" s="67"/>
      <c r="N176" s="67"/>
      <c r="O176" s="67"/>
      <c r="P176" s="885"/>
    </row>
    <row r="177" spans="2:16" ht="15.75">
      <c r="B177" s="55"/>
      <c r="C177" s="65">
        <v>2</v>
      </c>
      <c r="D177" s="108" t="s">
        <v>47</v>
      </c>
      <c r="E177" s="108"/>
      <c r="F177" s="94">
        <v>0.23</v>
      </c>
      <c r="G177" s="152">
        <v>0.9</v>
      </c>
      <c r="H177" s="153">
        <v>2013</v>
      </c>
      <c r="I177" s="59"/>
      <c r="J177" s="3864"/>
      <c r="K177" s="3864" t="s">
        <v>3131</v>
      </c>
      <c r="L177" s="67"/>
      <c r="M177" s="67"/>
      <c r="N177" s="67"/>
      <c r="O177" s="67"/>
      <c r="P177" s="885"/>
    </row>
    <row r="178" spans="2:16" ht="15.75">
      <c r="B178" s="55"/>
      <c r="C178" s="65">
        <v>3</v>
      </c>
      <c r="D178" s="108" t="s">
        <v>48</v>
      </c>
      <c r="E178" s="108"/>
      <c r="F178" s="94">
        <v>0.3</v>
      </c>
      <c r="G178" s="152">
        <v>1</v>
      </c>
      <c r="H178" s="153">
        <v>2015</v>
      </c>
      <c r="I178" s="59"/>
      <c r="J178" s="67"/>
      <c r="K178" s="3864"/>
      <c r="L178" s="67"/>
      <c r="M178" s="67"/>
      <c r="N178" s="67"/>
      <c r="O178" s="67"/>
      <c r="P178" s="885"/>
    </row>
    <row r="179" spans="2:16" ht="15.75">
      <c r="B179" s="55"/>
      <c r="C179" s="65">
        <v>4</v>
      </c>
      <c r="D179" s="108" t="s">
        <v>49</v>
      </c>
      <c r="E179" s="108"/>
      <c r="F179" s="94">
        <v>0.23</v>
      </c>
      <c r="G179" s="152">
        <v>0.74</v>
      </c>
      <c r="H179" s="153">
        <v>2013</v>
      </c>
      <c r="I179" s="59"/>
      <c r="J179" s="67"/>
      <c r="K179" s="3864"/>
      <c r="L179" s="67"/>
      <c r="M179" s="67"/>
      <c r="N179" s="67"/>
      <c r="O179" s="67"/>
      <c r="P179" s="885"/>
    </row>
    <row r="180" spans="2:16" ht="15.75">
      <c r="B180" s="55"/>
      <c r="C180" s="65">
        <v>5</v>
      </c>
      <c r="D180" s="108" t="s">
        <v>50</v>
      </c>
      <c r="E180" s="108"/>
      <c r="F180" s="94">
        <v>0.03</v>
      </c>
      <c r="G180" s="152">
        <v>0.74</v>
      </c>
      <c r="H180" s="153">
        <v>2013</v>
      </c>
      <c r="I180" s="59"/>
      <c r="J180" s="67"/>
      <c r="K180" s="67"/>
      <c r="L180" s="67"/>
      <c r="M180" s="67"/>
      <c r="N180" s="67"/>
      <c r="O180" s="67"/>
      <c r="P180" s="885"/>
    </row>
    <row r="181" spans="2:16" ht="15.75">
      <c r="B181" s="55"/>
      <c r="C181" s="65">
        <v>6</v>
      </c>
      <c r="D181" s="108" t="s">
        <v>51</v>
      </c>
      <c r="E181" s="108"/>
      <c r="F181" s="94">
        <v>0</v>
      </c>
      <c r="G181" s="155">
        <v>0.9</v>
      </c>
      <c r="H181" s="153">
        <v>2025</v>
      </c>
      <c r="I181" s="60"/>
      <c r="J181" s="67"/>
      <c r="K181" s="67"/>
      <c r="L181" s="67"/>
      <c r="M181" s="67"/>
      <c r="N181" s="67"/>
      <c r="O181" s="67"/>
      <c r="P181" s="885"/>
    </row>
    <row r="182" spans="2:16" ht="15.75">
      <c r="B182" s="55"/>
      <c r="C182" s="65">
        <v>7</v>
      </c>
      <c r="D182" s="57" t="s">
        <v>52</v>
      </c>
      <c r="E182" s="108"/>
      <c r="F182" s="94">
        <v>0</v>
      </c>
      <c r="G182" s="155">
        <v>0.9</v>
      </c>
      <c r="H182" s="153">
        <v>2025</v>
      </c>
      <c r="I182" s="60"/>
      <c r="J182" s="67"/>
      <c r="K182" s="67"/>
      <c r="L182" s="67"/>
      <c r="M182" s="67"/>
      <c r="N182" s="67"/>
      <c r="O182" s="67"/>
      <c r="P182" s="885"/>
    </row>
    <row r="183" spans="2:16" ht="15.75">
      <c r="B183" s="55"/>
      <c r="C183" s="65">
        <v>8</v>
      </c>
      <c r="D183" s="108" t="s">
        <v>53</v>
      </c>
      <c r="E183" s="108"/>
      <c r="F183" s="94">
        <v>0.01</v>
      </c>
      <c r="G183" s="155">
        <v>1</v>
      </c>
      <c r="H183" s="153">
        <v>2013</v>
      </c>
      <c r="I183" s="60"/>
      <c r="J183" s="67"/>
      <c r="K183" s="67"/>
      <c r="L183" s="67"/>
      <c r="M183" s="67"/>
      <c r="N183" s="67"/>
      <c r="O183" s="67"/>
      <c r="P183" s="885"/>
    </row>
    <row r="184" spans="2:16" ht="15.75">
      <c r="B184" s="55"/>
      <c r="C184" s="65">
        <v>9</v>
      </c>
      <c r="D184" s="108" t="s">
        <v>54</v>
      </c>
      <c r="E184" s="108"/>
      <c r="F184" s="94">
        <v>0</v>
      </c>
      <c r="G184" s="155">
        <v>0.28999999999999998</v>
      </c>
      <c r="H184" s="153">
        <v>2013</v>
      </c>
      <c r="I184" s="60"/>
      <c r="J184" s="67"/>
      <c r="K184" s="67"/>
      <c r="L184" s="67"/>
      <c r="M184" s="67"/>
      <c r="N184" s="67"/>
      <c r="O184" s="67"/>
      <c r="P184" s="885"/>
    </row>
    <row r="185" spans="2:16" ht="15.75">
      <c r="B185" s="55"/>
      <c r="C185" s="65">
        <v>10</v>
      </c>
      <c r="D185" s="108" t="s">
        <v>55</v>
      </c>
      <c r="E185" s="108"/>
      <c r="F185" s="94">
        <v>0</v>
      </c>
      <c r="G185" s="155">
        <v>0.01</v>
      </c>
      <c r="H185" s="153">
        <v>2015</v>
      </c>
      <c r="I185" s="60"/>
      <c r="J185" s="67"/>
      <c r="K185" s="67"/>
      <c r="L185" s="67"/>
      <c r="M185" s="67"/>
      <c r="N185" s="67"/>
      <c r="O185" s="67"/>
      <c r="P185" s="885"/>
    </row>
    <row r="186" spans="2:16" ht="15.75">
      <c r="B186" s="55"/>
      <c r="C186" s="65">
        <v>11</v>
      </c>
      <c r="D186" s="108" t="s">
        <v>56</v>
      </c>
      <c r="E186" s="108"/>
      <c r="F186" s="94">
        <v>0</v>
      </c>
      <c r="G186" s="155">
        <v>0.68</v>
      </c>
      <c r="H186" s="153">
        <v>2020</v>
      </c>
      <c r="I186" s="60"/>
      <c r="J186" s="67"/>
      <c r="K186" s="67"/>
      <c r="L186" s="67"/>
      <c r="M186" s="67"/>
      <c r="N186" s="67"/>
      <c r="O186" s="67"/>
      <c r="P186" s="885"/>
    </row>
    <row r="187" spans="2:16" ht="15.75">
      <c r="B187" s="55"/>
      <c r="C187" s="65">
        <v>12</v>
      </c>
      <c r="D187" s="108" t="s">
        <v>57</v>
      </c>
      <c r="E187" s="108"/>
      <c r="F187" s="94">
        <v>0</v>
      </c>
      <c r="G187" s="155">
        <v>0.68</v>
      </c>
      <c r="H187" s="153">
        <v>2020</v>
      </c>
      <c r="I187" s="60"/>
      <c r="J187" s="67"/>
      <c r="K187" s="67"/>
      <c r="L187" s="67"/>
      <c r="M187" s="67"/>
      <c r="N187" s="67"/>
      <c r="O187" s="67"/>
      <c r="P187" s="885"/>
    </row>
    <row r="188" spans="2:16" ht="15.75">
      <c r="B188" s="55"/>
      <c r="C188" s="896">
        <v>13</v>
      </c>
      <c r="D188" s="897" t="s">
        <v>58</v>
      </c>
      <c r="E188" s="897"/>
      <c r="F188" s="99">
        <v>0</v>
      </c>
      <c r="G188" s="156">
        <v>0.4</v>
      </c>
      <c r="H188" s="157">
        <v>2015</v>
      </c>
      <c r="I188" s="60"/>
      <c r="J188" s="67"/>
      <c r="K188" s="67"/>
      <c r="L188" s="67"/>
      <c r="M188" s="67"/>
      <c r="N188" s="67"/>
      <c r="O188" s="67"/>
      <c r="P188" s="885"/>
    </row>
    <row r="189" spans="2:16" ht="15.75">
      <c r="B189" s="55"/>
      <c r="C189" s="65"/>
      <c r="D189" s="108" t="s">
        <v>59</v>
      </c>
      <c r="E189" s="108"/>
      <c r="F189" s="93">
        <v>1.0000000000000002</v>
      </c>
      <c r="G189" s="93"/>
      <c r="H189" s="67"/>
      <c r="I189" s="67"/>
      <c r="J189" s="67"/>
      <c r="K189" s="67"/>
      <c r="L189" s="67"/>
      <c r="M189" s="67"/>
      <c r="N189" s="67"/>
      <c r="O189" s="67"/>
      <c r="P189" s="885"/>
    </row>
    <row r="190" spans="2:16">
      <c r="B190" s="110"/>
      <c r="C190" s="67"/>
      <c r="D190" s="67"/>
      <c r="E190" s="67"/>
      <c r="F190" s="67"/>
      <c r="G190" s="67"/>
      <c r="H190" s="67"/>
      <c r="I190" s="67"/>
      <c r="J190" s="67"/>
      <c r="K190" s="67"/>
      <c r="L190" s="67"/>
      <c r="M190" s="67"/>
      <c r="N190" s="67"/>
      <c r="O190" s="67"/>
      <c r="P190" s="885"/>
    </row>
    <row r="191" spans="2:16" ht="15.75">
      <c r="B191" s="55"/>
      <c r="C191" s="887" t="s">
        <v>44</v>
      </c>
      <c r="D191" s="887" t="s">
        <v>110</v>
      </c>
      <c r="E191" s="887" t="s">
        <v>30</v>
      </c>
      <c r="F191" s="92">
        <v>2013</v>
      </c>
      <c r="G191" s="1276" t="s">
        <v>111</v>
      </c>
      <c r="H191" s="1277" t="s">
        <v>112</v>
      </c>
      <c r="I191" s="67"/>
      <c r="J191" s="67"/>
      <c r="K191" s="67"/>
      <c r="L191" s="67"/>
      <c r="M191" s="67"/>
      <c r="N191" s="67"/>
      <c r="O191" s="67"/>
      <c r="P191" s="885"/>
    </row>
    <row r="192" spans="2:16" ht="15.75">
      <c r="B192" s="55"/>
      <c r="C192" s="65">
        <v>1</v>
      </c>
      <c r="D192" s="108" t="s">
        <v>61</v>
      </c>
      <c r="E192" s="108"/>
      <c r="F192" s="94">
        <v>1</v>
      </c>
      <c r="G192" s="152">
        <v>1</v>
      </c>
      <c r="H192" s="153">
        <v>2013</v>
      </c>
      <c r="I192" s="67"/>
      <c r="J192" s="67"/>
      <c r="K192" s="67"/>
      <c r="L192" s="67"/>
      <c r="M192" s="67"/>
      <c r="N192" s="67"/>
      <c r="O192" s="67"/>
      <c r="P192" s="885"/>
    </row>
    <row r="193" spans="2:17" ht="15.75">
      <c r="B193" s="55"/>
      <c r="C193" s="65">
        <v>2</v>
      </c>
      <c r="D193" s="108" t="s">
        <v>62</v>
      </c>
      <c r="E193" s="108"/>
      <c r="F193" s="94">
        <v>0</v>
      </c>
      <c r="G193" s="152">
        <v>1</v>
      </c>
      <c r="H193" s="153">
        <v>2010</v>
      </c>
      <c r="I193" s="67"/>
      <c r="J193" s="67"/>
      <c r="K193" s="67"/>
      <c r="L193" s="67"/>
      <c r="M193" s="67"/>
      <c r="N193" s="67"/>
      <c r="O193" s="67"/>
      <c r="P193" s="885"/>
    </row>
    <row r="194" spans="2:17" ht="15.75">
      <c r="B194" s="55"/>
      <c r="C194" s="926">
        <v>3</v>
      </c>
      <c r="D194" s="199" t="s">
        <v>63</v>
      </c>
      <c r="E194" s="199"/>
      <c r="F194" s="158">
        <v>0</v>
      </c>
      <c r="G194" s="159">
        <v>1</v>
      </c>
      <c r="H194" s="157">
        <v>2015</v>
      </c>
      <c r="I194" s="67"/>
      <c r="J194" s="67"/>
      <c r="K194" s="67"/>
      <c r="L194" s="67"/>
      <c r="M194" s="67"/>
      <c r="N194" s="67"/>
      <c r="O194" s="67"/>
      <c r="P194" s="885"/>
    </row>
    <row r="195" spans="2:17">
      <c r="B195" s="110"/>
      <c r="C195" s="67"/>
      <c r="D195" s="67" t="s">
        <v>59</v>
      </c>
      <c r="E195" s="67"/>
      <c r="F195" s="1278">
        <v>1</v>
      </c>
      <c r="G195" s="67"/>
      <c r="H195" s="67"/>
      <c r="I195" s="67"/>
      <c r="J195" s="67"/>
      <c r="K195" s="67"/>
      <c r="L195" s="67"/>
      <c r="M195" s="67"/>
      <c r="N195" s="67"/>
      <c r="O195" s="67"/>
      <c r="P195" s="885"/>
    </row>
    <row r="196" spans="2:17">
      <c r="B196" s="110"/>
      <c r="C196" s="51"/>
      <c r="D196" s="67"/>
      <c r="E196" s="67"/>
      <c r="F196" s="67"/>
      <c r="G196" s="67"/>
      <c r="H196" s="67"/>
      <c r="I196" s="67"/>
      <c r="J196" s="67"/>
      <c r="K196" s="67"/>
      <c r="L196" s="67"/>
      <c r="M196" s="67"/>
      <c r="N196" s="67"/>
      <c r="O196" s="67"/>
      <c r="P196" s="885"/>
    </row>
    <row r="197" spans="2:17" s="2" customFormat="1" ht="15.75">
      <c r="B197" s="55"/>
      <c r="C197" s="191" t="s">
        <v>130</v>
      </c>
      <c r="D197" s="171"/>
      <c r="E197" s="57"/>
      <c r="F197" s="3408"/>
      <c r="G197" s="189"/>
      <c r="H197" s="189"/>
      <c r="I197" s="189"/>
      <c r="J197" s="189"/>
      <c r="K197" s="189"/>
      <c r="L197" s="189"/>
      <c r="M197" s="189"/>
      <c r="N197" s="192" t="str">
        <f>"kt/"&amp;Preferences.EnergyUnits</f>
        <v>kt/TWh</v>
      </c>
      <c r="O197" s="67"/>
      <c r="P197" s="190"/>
      <c r="Q197"/>
    </row>
    <row r="198" spans="2:17" s="2" customFormat="1" ht="15.75">
      <c r="B198" s="55"/>
      <c r="C198" s="191"/>
      <c r="D198" s="171"/>
      <c r="E198" s="57"/>
      <c r="F198" s="3408"/>
      <c r="G198" s="189"/>
      <c r="H198" s="189"/>
      <c r="I198" s="189"/>
      <c r="J198" s="189"/>
      <c r="K198" s="189"/>
      <c r="L198" s="189"/>
      <c r="M198" s="189"/>
      <c r="N198" s="189"/>
      <c r="O198" s="67"/>
      <c r="P198" s="190"/>
      <c r="Q198"/>
    </row>
    <row r="199" spans="2:17" s="2" customFormat="1" ht="15.75">
      <c r="B199" s="55"/>
      <c r="C199" s="52" t="s">
        <v>44</v>
      </c>
      <c r="D199" s="52" t="s">
        <v>131</v>
      </c>
      <c r="E199" s="52" t="s">
        <v>132</v>
      </c>
      <c r="F199" s="149">
        <v>2013</v>
      </c>
      <c r="G199" s="53" t="s">
        <v>133</v>
      </c>
      <c r="H199" s="53" t="s">
        <v>134</v>
      </c>
      <c r="I199" s="53" t="s">
        <v>135</v>
      </c>
      <c r="J199" s="53" t="s">
        <v>136</v>
      </c>
      <c r="K199" s="53" t="s">
        <v>137</v>
      </c>
      <c r="L199" s="53" t="s">
        <v>138</v>
      </c>
      <c r="M199" s="53" t="s">
        <v>139</v>
      </c>
      <c r="N199" s="53" t="s">
        <v>140</v>
      </c>
      <c r="O199" s="67"/>
      <c r="P199" s="190"/>
      <c r="Q199"/>
    </row>
    <row r="200" spans="2:17" s="2" customFormat="1" ht="15.75">
      <c r="B200" s="55"/>
      <c r="C200" s="193">
        <v>1</v>
      </c>
      <c r="D200" s="194" t="s">
        <v>141</v>
      </c>
      <c r="E200" s="108" t="s">
        <v>142</v>
      </c>
      <c r="F200" s="2460">
        <f t="shared" ref="F200:N200" si="3">0.00319820625663352*(1/Unit.TWh)</f>
        <v>3.1982062566335199E-3</v>
      </c>
      <c r="G200" s="2460">
        <f t="shared" si="3"/>
        <v>3.1982062566335199E-3</v>
      </c>
      <c r="H200" s="2460">
        <f t="shared" si="3"/>
        <v>3.1982062566335199E-3</v>
      </c>
      <c r="I200" s="2460">
        <f t="shared" si="3"/>
        <v>3.1982062566335199E-3</v>
      </c>
      <c r="J200" s="2460">
        <f t="shared" si="3"/>
        <v>3.1982062566335199E-3</v>
      </c>
      <c r="K200" s="2460">
        <f t="shared" si="3"/>
        <v>3.1982062566335199E-3</v>
      </c>
      <c r="L200" s="2460">
        <f t="shared" si="3"/>
        <v>3.1982062566335199E-3</v>
      </c>
      <c r="M200" s="2460">
        <f t="shared" si="3"/>
        <v>3.1982062566335199E-3</v>
      </c>
      <c r="N200" s="2460">
        <f t="shared" si="3"/>
        <v>3.1982062566335199E-3</v>
      </c>
      <c r="O200" s="67"/>
      <c r="P200" s="190"/>
      <c r="Q200"/>
    </row>
    <row r="201" spans="2:17" s="2" customFormat="1" ht="15.75">
      <c r="B201" s="55"/>
      <c r="C201" s="193">
        <v>1</v>
      </c>
      <c r="D201" s="194" t="s">
        <v>141</v>
      </c>
      <c r="E201" s="108" t="s">
        <v>143</v>
      </c>
      <c r="F201" s="2460">
        <f>F200*Constants!$F$37</f>
        <v>3.210959993376606E-2</v>
      </c>
      <c r="G201" s="2460">
        <f>G200*Constants!$F$37</f>
        <v>3.210959993376606E-2</v>
      </c>
      <c r="H201" s="2460">
        <f>H200*Constants!$F$37</f>
        <v>3.210959993376606E-2</v>
      </c>
      <c r="I201" s="2460">
        <f>I200*Constants!$F$37</f>
        <v>3.210959993376606E-2</v>
      </c>
      <c r="J201" s="2460">
        <f>J200*Constants!$F$37</f>
        <v>3.210959993376606E-2</v>
      </c>
      <c r="K201" s="2460">
        <f>K200*Constants!$F$37</f>
        <v>3.210959993376606E-2</v>
      </c>
      <c r="L201" s="2460">
        <f>L200*Constants!$F$37</f>
        <v>3.210959993376606E-2</v>
      </c>
      <c r="M201" s="2460">
        <f>M200*Constants!$F$37</f>
        <v>3.210959993376606E-2</v>
      </c>
      <c r="N201" s="2460">
        <f>N200*Constants!$F$37</f>
        <v>3.210959993376606E-2</v>
      </c>
      <c r="O201" s="67"/>
      <c r="P201" s="190"/>
      <c r="Q201"/>
    </row>
    <row r="202" spans="2:17" s="2" customFormat="1" ht="15.75">
      <c r="B202" s="55"/>
      <c r="C202" s="193">
        <v>2</v>
      </c>
      <c r="D202" s="194" t="s">
        <v>144</v>
      </c>
      <c r="E202" s="108" t="s">
        <v>142</v>
      </c>
      <c r="F202" s="2460">
        <f t="shared" ref="F202:N202" si="4">0.00319820625663352*(1/Unit.TWh)</f>
        <v>3.1982062566335199E-3</v>
      </c>
      <c r="G202" s="2460">
        <f t="shared" si="4"/>
        <v>3.1982062566335199E-3</v>
      </c>
      <c r="H202" s="2460">
        <f t="shared" si="4"/>
        <v>3.1982062566335199E-3</v>
      </c>
      <c r="I202" s="2460">
        <f t="shared" si="4"/>
        <v>3.1982062566335199E-3</v>
      </c>
      <c r="J202" s="2460">
        <f t="shared" si="4"/>
        <v>3.1982062566335199E-3</v>
      </c>
      <c r="K202" s="2460">
        <f t="shared" si="4"/>
        <v>3.1982062566335199E-3</v>
      </c>
      <c r="L202" s="2460">
        <f t="shared" si="4"/>
        <v>3.1982062566335199E-3</v>
      </c>
      <c r="M202" s="2460">
        <f t="shared" si="4"/>
        <v>3.1982062566335199E-3</v>
      </c>
      <c r="N202" s="2460">
        <f t="shared" si="4"/>
        <v>3.1982062566335199E-3</v>
      </c>
      <c r="O202" s="67"/>
      <c r="P202" s="190"/>
      <c r="Q202"/>
    </row>
    <row r="203" spans="2:17" s="2" customFormat="1" ht="15.75">
      <c r="B203" s="55"/>
      <c r="C203" s="193">
        <v>2</v>
      </c>
      <c r="D203" s="194" t="s">
        <v>144</v>
      </c>
      <c r="E203" s="108" t="s">
        <v>143</v>
      </c>
      <c r="F203" s="2460">
        <f>F202*Constants!$F$37</f>
        <v>3.210959993376606E-2</v>
      </c>
      <c r="G203" s="2460">
        <f>G202*Constants!$F$37</f>
        <v>3.210959993376606E-2</v>
      </c>
      <c r="H203" s="2460">
        <f>H202*Constants!$F$37</f>
        <v>3.210959993376606E-2</v>
      </c>
      <c r="I203" s="2460">
        <f>I202*Constants!$F$37</f>
        <v>3.210959993376606E-2</v>
      </c>
      <c r="J203" s="2460">
        <f>J202*Constants!$F$37</f>
        <v>3.210959993376606E-2</v>
      </c>
      <c r="K203" s="2460">
        <f>K202*Constants!$F$37</f>
        <v>3.210959993376606E-2</v>
      </c>
      <c r="L203" s="2460">
        <f>L202*Constants!$F$37</f>
        <v>3.210959993376606E-2</v>
      </c>
      <c r="M203" s="2460">
        <f>M202*Constants!$F$37</f>
        <v>3.210959993376606E-2</v>
      </c>
      <c r="N203" s="2460">
        <f>N202*Constants!$F$37</f>
        <v>3.210959993376606E-2</v>
      </c>
      <c r="O203" s="67"/>
      <c r="P203" s="190"/>
      <c r="Q203"/>
    </row>
    <row r="204" spans="2:17" s="2" customFormat="1" ht="15.75">
      <c r="B204" s="55"/>
      <c r="C204" s="193">
        <v>4</v>
      </c>
      <c r="D204" s="194" t="s">
        <v>49</v>
      </c>
      <c r="E204" s="108" t="s">
        <v>145</v>
      </c>
      <c r="F204" s="2460">
        <f t="shared" ref="F204:N204" si="5">0.0257261207244135*(1/Unit.TWh)</f>
        <v>2.57261207244135E-2</v>
      </c>
      <c r="G204" s="2460">
        <f t="shared" si="5"/>
        <v>2.57261207244135E-2</v>
      </c>
      <c r="H204" s="2460">
        <f t="shared" si="5"/>
        <v>2.57261207244135E-2</v>
      </c>
      <c r="I204" s="2460">
        <f t="shared" si="5"/>
        <v>2.57261207244135E-2</v>
      </c>
      <c r="J204" s="2460">
        <f t="shared" si="5"/>
        <v>2.57261207244135E-2</v>
      </c>
      <c r="K204" s="2460">
        <f t="shared" si="5"/>
        <v>2.57261207244135E-2</v>
      </c>
      <c r="L204" s="2460">
        <f t="shared" si="5"/>
        <v>2.57261207244135E-2</v>
      </c>
      <c r="M204" s="2460">
        <f t="shared" si="5"/>
        <v>2.57261207244135E-2</v>
      </c>
      <c r="N204" s="2460">
        <f t="shared" si="5"/>
        <v>2.57261207244135E-2</v>
      </c>
      <c r="O204" s="67"/>
      <c r="P204" s="190"/>
      <c r="Q204"/>
    </row>
    <row r="205" spans="2:17" s="2" customFormat="1" ht="15.75">
      <c r="B205" s="55"/>
      <c r="C205" s="193">
        <v>4</v>
      </c>
      <c r="D205" s="194" t="s">
        <v>49</v>
      </c>
      <c r="E205" s="108" t="s">
        <v>146</v>
      </c>
      <c r="F205" s="2460">
        <f>F204*Constants!$F$36</f>
        <v>0.12051356951983901</v>
      </c>
      <c r="G205" s="2460">
        <f>G204*Constants!$F$36</f>
        <v>0.12051356951983901</v>
      </c>
      <c r="H205" s="2460">
        <f>H204*Constants!$F$36</f>
        <v>0.12051356951983901</v>
      </c>
      <c r="I205" s="2460">
        <f>I204*Constants!$F$36</f>
        <v>0.12051356951983901</v>
      </c>
      <c r="J205" s="2460">
        <f>J204*Constants!$F$36</f>
        <v>0.12051356951983901</v>
      </c>
      <c r="K205" s="2460">
        <f>K204*Constants!$F$36</f>
        <v>0.12051356951983901</v>
      </c>
      <c r="L205" s="2460">
        <f>L204*Constants!$F$36</f>
        <v>0.12051356951983901</v>
      </c>
      <c r="M205" s="2460">
        <f>M204*Constants!$F$36</f>
        <v>0.12051356951983901</v>
      </c>
      <c r="N205" s="2460">
        <f>N204*Constants!$F$36</f>
        <v>0.12051356951983901</v>
      </c>
      <c r="O205" s="67"/>
      <c r="P205" s="190"/>
      <c r="Q205"/>
    </row>
    <row r="206" spans="2:17" s="2" customFormat="1" ht="15.75">
      <c r="B206" s="55"/>
      <c r="C206" s="193">
        <v>5</v>
      </c>
      <c r="D206" s="194" t="s">
        <v>50</v>
      </c>
      <c r="E206" s="108" t="s">
        <v>147</v>
      </c>
      <c r="F206" s="2460">
        <f t="shared" ref="F206:N206" si="6">0.356249246094979*(1/Unit.TWh)</f>
        <v>0.35624924609497899</v>
      </c>
      <c r="G206" s="2460">
        <f t="shared" si="6"/>
        <v>0.35624924609497899</v>
      </c>
      <c r="H206" s="2460">
        <f t="shared" si="6"/>
        <v>0.35624924609497899</v>
      </c>
      <c r="I206" s="2460">
        <f t="shared" si="6"/>
        <v>0.35624924609497899</v>
      </c>
      <c r="J206" s="2460">
        <f t="shared" si="6"/>
        <v>0.35624924609497899</v>
      </c>
      <c r="K206" s="2460">
        <f t="shared" si="6"/>
        <v>0.35624924609497899</v>
      </c>
      <c r="L206" s="2460">
        <f t="shared" si="6"/>
        <v>0.35624924609497899</v>
      </c>
      <c r="M206" s="2460">
        <f t="shared" si="6"/>
        <v>0.35624924609497899</v>
      </c>
      <c r="N206" s="2460">
        <f t="shared" si="6"/>
        <v>0.35624924609497899</v>
      </c>
      <c r="O206" s="67"/>
      <c r="P206" s="190"/>
      <c r="Q206"/>
    </row>
    <row r="207" spans="2:17" s="2" customFormat="1" ht="15.75">
      <c r="B207" s="55"/>
      <c r="C207" s="193">
        <v>5</v>
      </c>
      <c r="D207" s="194" t="s">
        <v>50</v>
      </c>
      <c r="E207" s="108" t="s">
        <v>148</v>
      </c>
      <c r="F207" s="2460">
        <f>F206*Constants!$F$35</f>
        <v>1.4920942289889192</v>
      </c>
      <c r="G207" s="2460">
        <f>G206*Constants!$F$35</f>
        <v>1.4920942289889192</v>
      </c>
      <c r="H207" s="2460">
        <f>H206*Constants!$F$35</f>
        <v>1.4920942289889192</v>
      </c>
      <c r="I207" s="2460">
        <f>I206*Constants!$F$35</f>
        <v>1.4920942289889192</v>
      </c>
      <c r="J207" s="2460">
        <f>J206*Constants!$F$35</f>
        <v>1.4920942289889192</v>
      </c>
      <c r="K207" s="2460">
        <f>K206*Constants!$F$35</f>
        <v>1.4920942289889192</v>
      </c>
      <c r="L207" s="2460">
        <f>L206*Constants!$F$35</f>
        <v>1.4920942289889192</v>
      </c>
      <c r="M207" s="2460">
        <f>M206*Constants!$F$35</f>
        <v>1.4920942289889192</v>
      </c>
      <c r="N207" s="2460">
        <f>N206*Constants!$F$35</f>
        <v>1.4920942289889192</v>
      </c>
      <c r="O207" s="67"/>
      <c r="P207" s="190"/>
      <c r="Q207"/>
    </row>
    <row r="208" spans="2:17" s="2" customFormat="1" ht="15.75">
      <c r="B208" s="55"/>
      <c r="C208" s="193">
        <v>6</v>
      </c>
      <c r="D208" s="194" t="s">
        <v>51</v>
      </c>
      <c r="E208" s="108" t="s">
        <v>142</v>
      </c>
      <c r="F208" s="2460">
        <f t="shared" ref="F208:N208" si="7">0.00319820625663352*(1/Unit.TWh)</f>
        <v>3.1982062566335199E-3</v>
      </c>
      <c r="G208" s="2460">
        <f t="shared" si="7"/>
        <v>3.1982062566335199E-3</v>
      </c>
      <c r="H208" s="2460">
        <f t="shared" si="7"/>
        <v>3.1982062566335199E-3</v>
      </c>
      <c r="I208" s="2460">
        <f t="shared" si="7"/>
        <v>3.1982062566335199E-3</v>
      </c>
      <c r="J208" s="2460">
        <f t="shared" si="7"/>
        <v>3.1982062566335199E-3</v>
      </c>
      <c r="K208" s="2460">
        <f t="shared" si="7"/>
        <v>3.1982062566335199E-3</v>
      </c>
      <c r="L208" s="2460">
        <f t="shared" si="7"/>
        <v>3.1982062566335199E-3</v>
      </c>
      <c r="M208" s="2460">
        <f t="shared" si="7"/>
        <v>3.1982062566335199E-3</v>
      </c>
      <c r="N208" s="2460">
        <f t="shared" si="7"/>
        <v>3.1982062566335199E-3</v>
      </c>
      <c r="O208" s="67"/>
      <c r="P208" s="190"/>
      <c r="Q208"/>
    </row>
    <row r="209" spans="2:17" s="2" customFormat="1" ht="15.75">
      <c r="B209" s="55"/>
      <c r="C209" s="193">
        <v>6</v>
      </c>
      <c r="D209" s="194" t="s">
        <v>51</v>
      </c>
      <c r="E209" s="108" t="s">
        <v>143</v>
      </c>
      <c r="F209" s="2460">
        <f>F208*Constants!$F$37</f>
        <v>3.210959993376606E-2</v>
      </c>
      <c r="G209" s="2460">
        <f>G208*Constants!$F$37</f>
        <v>3.210959993376606E-2</v>
      </c>
      <c r="H209" s="2460">
        <f>H208*Constants!$F$37</f>
        <v>3.210959993376606E-2</v>
      </c>
      <c r="I209" s="2460">
        <f>I208*Constants!$F$37</f>
        <v>3.210959993376606E-2</v>
      </c>
      <c r="J209" s="2460">
        <f>J208*Constants!$F$37</f>
        <v>3.210959993376606E-2</v>
      </c>
      <c r="K209" s="2460">
        <f>K208*Constants!$F$37</f>
        <v>3.210959993376606E-2</v>
      </c>
      <c r="L209" s="2460">
        <f>L208*Constants!$F$37</f>
        <v>3.210959993376606E-2</v>
      </c>
      <c r="M209" s="2460">
        <f>M208*Constants!$F$37</f>
        <v>3.210959993376606E-2</v>
      </c>
      <c r="N209" s="2460">
        <f>N208*Constants!$F$37</f>
        <v>3.210959993376606E-2</v>
      </c>
      <c r="O209" s="67"/>
      <c r="P209" s="190"/>
      <c r="Q209"/>
    </row>
    <row r="210" spans="2:17" s="2" customFormat="1" ht="15.75">
      <c r="B210" s="55"/>
      <c r="C210" s="193">
        <v>7</v>
      </c>
      <c r="D210" s="194" t="s">
        <v>52</v>
      </c>
      <c r="E210" s="108" t="s">
        <v>142</v>
      </c>
      <c r="F210" s="2460">
        <f t="shared" ref="F210:N210" si="8">0*(1/Unit.GWh)</f>
        <v>0</v>
      </c>
      <c r="G210" s="2460">
        <f t="shared" si="8"/>
        <v>0</v>
      </c>
      <c r="H210" s="2460">
        <f t="shared" si="8"/>
        <v>0</v>
      </c>
      <c r="I210" s="2460">
        <f t="shared" si="8"/>
        <v>0</v>
      </c>
      <c r="J210" s="2460">
        <f t="shared" si="8"/>
        <v>0</v>
      </c>
      <c r="K210" s="2460">
        <f t="shared" si="8"/>
        <v>0</v>
      </c>
      <c r="L210" s="2460">
        <f t="shared" si="8"/>
        <v>0</v>
      </c>
      <c r="M210" s="2460">
        <f t="shared" si="8"/>
        <v>0</v>
      </c>
      <c r="N210" s="2460">
        <f t="shared" si="8"/>
        <v>0</v>
      </c>
      <c r="O210" s="67"/>
      <c r="P210" s="67"/>
      <c r="Q210"/>
    </row>
    <row r="211" spans="2:17" s="2" customFormat="1" ht="15.75">
      <c r="B211" s="55"/>
      <c r="C211" s="193">
        <v>7</v>
      </c>
      <c r="D211" s="194" t="s">
        <v>52</v>
      </c>
      <c r="E211" s="108" t="s">
        <v>143</v>
      </c>
      <c r="F211" s="2460">
        <f>F210*Constants!$F$37</f>
        <v>0</v>
      </c>
      <c r="G211" s="2460">
        <f>G210*Constants!$F$37</f>
        <v>0</v>
      </c>
      <c r="H211" s="2460">
        <f>H210*Constants!$F$37</f>
        <v>0</v>
      </c>
      <c r="I211" s="2460">
        <f>I210*Constants!$F$37</f>
        <v>0</v>
      </c>
      <c r="J211" s="2460">
        <f>J210*Constants!$F$37</f>
        <v>0</v>
      </c>
      <c r="K211" s="2460">
        <f>K210*Constants!$F$37</f>
        <v>0</v>
      </c>
      <c r="L211" s="2460">
        <f>L210*Constants!$F$37</f>
        <v>0</v>
      </c>
      <c r="M211" s="2460">
        <f>M210*Constants!$F$37</f>
        <v>0</v>
      </c>
      <c r="N211" s="2460">
        <f>N210*Constants!$F$37</f>
        <v>0</v>
      </c>
      <c r="O211" s="67"/>
      <c r="P211" s="190"/>
      <c r="Q211"/>
    </row>
    <row r="212" spans="2:17" s="2" customFormat="1" ht="15.75">
      <c r="B212" s="55"/>
      <c r="C212" s="193">
        <v>11</v>
      </c>
      <c r="D212" s="194" t="s">
        <v>56</v>
      </c>
      <c r="E212" s="108" t="s">
        <v>142</v>
      </c>
      <c r="F212" s="2460">
        <f t="shared" ref="F212:N212" si="9">0.00319820625663352*(1/Unit.TWh)</f>
        <v>3.1982062566335199E-3</v>
      </c>
      <c r="G212" s="2460">
        <f t="shared" si="9"/>
        <v>3.1982062566335199E-3</v>
      </c>
      <c r="H212" s="2460">
        <f t="shared" si="9"/>
        <v>3.1982062566335199E-3</v>
      </c>
      <c r="I212" s="2460">
        <f t="shared" si="9"/>
        <v>3.1982062566335199E-3</v>
      </c>
      <c r="J212" s="2460">
        <f t="shared" si="9"/>
        <v>3.1982062566335199E-3</v>
      </c>
      <c r="K212" s="2460">
        <f t="shared" si="9"/>
        <v>3.1982062566335199E-3</v>
      </c>
      <c r="L212" s="2460">
        <f t="shared" si="9"/>
        <v>3.1982062566335199E-3</v>
      </c>
      <c r="M212" s="2460">
        <f t="shared" si="9"/>
        <v>3.1982062566335199E-3</v>
      </c>
      <c r="N212" s="2460">
        <f t="shared" si="9"/>
        <v>3.1982062566335199E-3</v>
      </c>
      <c r="O212" s="67"/>
      <c r="P212" s="190"/>
      <c r="Q212"/>
    </row>
    <row r="213" spans="2:17" s="2" customFormat="1" ht="15.75">
      <c r="B213" s="55"/>
      <c r="C213" s="193">
        <v>11</v>
      </c>
      <c r="D213" s="194" t="s">
        <v>56</v>
      </c>
      <c r="E213" s="108" t="s">
        <v>143</v>
      </c>
      <c r="F213" s="2460">
        <f>F212*Constants!$F$37</f>
        <v>3.210959993376606E-2</v>
      </c>
      <c r="G213" s="2460">
        <f>G212*Constants!$F$37</f>
        <v>3.210959993376606E-2</v>
      </c>
      <c r="H213" s="2460">
        <f>H212*Constants!$F$37</f>
        <v>3.210959993376606E-2</v>
      </c>
      <c r="I213" s="2460">
        <f>I212*Constants!$F$37</f>
        <v>3.210959993376606E-2</v>
      </c>
      <c r="J213" s="2460">
        <f>J212*Constants!$F$37</f>
        <v>3.210959993376606E-2</v>
      </c>
      <c r="K213" s="2460">
        <f>K212*Constants!$F$37</f>
        <v>3.210959993376606E-2</v>
      </c>
      <c r="L213" s="2460">
        <f>L212*Constants!$F$37</f>
        <v>3.210959993376606E-2</v>
      </c>
      <c r="M213" s="2460">
        <f>M212*Constants!$F$37</f>
        <v>3.210959993376606E-2</v>
      </c>
      <c r="N213" s="2460">
        <f>N212*Constants!$F$37</f>
        <v>3.210959993376606E-2</v>
      </c>
      <c r="O213" s="67"/>
      <c r="P213" s="190"/>
      <c r="Q213"/>
    </row>
    <row r="214" spans="2:17" s="2" customFormat="1" ht="15.75">
      <c r="B214" s="55"/>
      <c r="C214" s="193">
        <v>12</v>
      </c>
      <c r="D214" s="194" t="s">
        <v>57</v>
      </c>
      <c r="E214" s="108" t="s">
        <v>147</v>
      </c>
      <c r="F214" s="2460">
        <f t="shared" ref="F214:N214" si="10">0.356249246094979*(1/Unit.TWh)</f>
        <v>0.35624924609497899</v>
      </c>
      <c r="G214" s="2460">
        <f t="shared" si="10"/>
        <v>0.35624924609497899</v>
      </c>
      <c r="H214" s="2460">
        <f t="shared" si="10"/>
        <v>0.35624924609497899</v>
      </c>
      <c r="I214" s="2460">
        <f t="shared" si="10"/>
        <v>0.35624924609497899</v>
      </c>
      <c r="J214" s="2460">
        <f t="shared" si="10"/>
        <v>0.35624924609497899</v>
      </c>
      <c r="K214" s="2460">
        <f t="shared" si="10"/>
        <v>0.35624924609497899</v>
      </c>
      <c r="L214" s="2460">
        <f t="shared" si="10"/>
        <v>0.35624924609497899</v>
      </c>
      <c r="M214" s="2460">
        <f t="shared" si="10"/>
        <v>0.35624924609497899</v>
      </c>
      <c r="N214" s="2460">
        <f t="shared" si="10"/>
        <v>0.35624924609497899</v>
      </c>
      <c r="O214" s="67"/>
      <c r="P214" s="190"/>
      <c r="Q214"/>
    </row>
    <row r="215" spans="2:17" s="2" customFormat="1" ht="15.75">
      <c r="B215" s="55"/>
      <c r="C215" s="197">
        <v>12</v>
      </c>
      <c r="D215" s="198" t="s">
        <v>57</v>
      </c>
      <c r="E215" s="199" t="s">
        <v>148</v>
      </c>
      <c r="F215" s="3842">
        <f>F214*Constants!$F$35</f>
        <v>1.4920942289889192</v>
      </c>
      <c r="G215" s="3842">
        <f>G214*Constants!$F$35</f>
        <v>1.4920942289889192</v>
      </c>
      <c r="H215" s="3842">
        <f>H214*Constants!$F$35</f>
        <v>1.4920942289889192</v>
      </c>
      <c r="I215" s="3842">
        <f>I214*Constants!$F$35</f>
        <v>1.4920942289889192</v>
      </c>
      <c r="J215" s="3842">
        <f>J214*Constants!$F$35</f>
        <v>1.4920942289889192</v>
      </c>
      <c r="K215" s="3842">
        <f>K214*Constants!$F$35</f>
        <v>1.4920942289889192</v>
      </c>
      <c r="L215" s="3842">
        <f>L214*Constants!$F$35</f>
        <v>1.4920942289889192</v>
      </c>
      <c r="M215" s="3842">
        <f>M214*Constants!$F$35</f>
        <v>1.4920942289889192</v>
      </c>
      <c r="N215" s="3842">
        <f>N214*Constants!$F$35</f>
        <v>1.4920942289889192</v>
      </c>
      <c r="O215" s="67"/>
      <c r="P215" s="190"/>
      <c r="Q215"/>
    </row>
    <row r="216" spans="2:17" s="2" customFormat="1" ht="15.75">
      <c r="B216" s="55"/>
      <c r="C216" s="193"/>
      <c r="D216" s="194"/>
      <c r="E216" s="108"/>
      <c r="F216" s="2460"/>
      <c r="G216" s="2460"/>
      <c r="H216" s="2460"/>
      <c r="I216" s="2460"/>
      <c r="J216" s="2460"/>
      <c r="K216" s="2460"/>
      <c r="L216" s="2460"/>
      <c r="M216" s="2460"/>
      <c r="N216" s="2460"/>
      <c r="O216" s="67"/>
      <c r="P216" s="190"/>
      <c r="Q216"/>
    </row>
    <row r="217" spans="2:17" s="2" customFormat="1" ht="15.75">
      <c r="B217" s="55"/>
      <c r="C217" s="191" t="s">
        <v>149</v>
      </c>
      <c r="D217" s="171"/>
      <c r="E217" s="57"/>
      <c r="F217" s="3408"/>
      <c r="G217" s="189"/>
      <c r="H217" s="189"/>
      <c r="I217" s="189"/>
      <c r="J217" s="189"/>
      <c r="K217" s="189"/>
      <c r="L217" s="189"/>
      <c r="M217" s="189"/>
      <c r="N217" s="192" t="str">
        <f>"kt/"&amp;Preferences.EnergyUnits</f>
        <v>kt/TWh</v>
      </c>
      <c r="O217" s="67"/>
      <c r="P217" s="190"/>
      <c r="Q217"/>
    </row>
    <row r="218" spans="2:17" s="2" customFormat="1" ht="15.75">
      <c r="B218" s="55"/>
      <c r="C218" s="191"/>
      <c r="D218" s="171"/>
      <c r="E218" s="57"/>
      <c r="F218" s="3408"/>
      <c r="G218" s="189"/>
      <c r="H218" s="189"/>
      <c r="I218" s="189"/>
      <c r="J218" s="189"/>
      <c r="K218" s="189"/>
      <c r="L218" s="189"/>
      <c r="M218" s="189"/>
      <c r="N218" s="189"/>
      <c r="O218" s="67"/>
      <c r="P218" s="190"/>
      <c r="Q218"/>
    </row>
    <row r="219" spans="2:17" s="2" customFormat="1" ht="15.75">
      <c r="B219" s="55"/>
      <c r="C219" s="52" t="s">
        <v>44</v>
      </c>
      <c r="D219" s="52" t="s">
        <v>131</v>
      </c>
      <c r="E219" s="52" t="s">
        <v>132</v>
      </c>
      <c r="F219" s="149">
        <v>2013</v>
      </c>
      <c r="G219" s="53" t="s">
        <v>133</v>
      </c>
      <c r="H219" s="53" t="s">
        <v>134</v>
      </c>
      <c r="I219" s="53" t="s">
        <v>135</v>
      </c>
      <c r="J219" s="53" t="s">
        <v>136</v>
      </c>
      <c r="K219" s="53" t="s">
        <v>137</v>
      </c>
      <c r="L219" s="53" t="s">
        <v>138</v>
      </c>
      <c r="M219" s="53" t="s">
        <v>139</v>
      </c>
      <c r="N219" s="53" t="s">
        <v>140</v>
      </c>
      <c r="O219" s="67"/>
      <c r="P219" s="190"/>
      <c r="Q219"/>
    </row>
    <row r="220" spans="2:17" s="2" customFormat="1" ht="15.75">
      <c r="B220" s="55"/>
      <c r="C220" s="193">
        <v>1</v>
      </c>
      <c r="D220" s="194" t="s">
        <v>141</v>
      </c>
      <c r="E220" s="108" t="s">
        <v>142</v>
      </c>
      <c r="F220" s="2460">
        <f t="shared" ref="F220:N220" si="11">0.200281814193719*(1/Unit.TWh)</f>
        <v>0.20028181419371899</v>
      </c>
      <c r="G220" s="2460">
        <f t="shared" si="11"/>
        <v>0.20028181419371899</v>
      </c>
      <c r="H220" s="2460">
        <f t="shared" si="11"/>
        <v>0.20028181419371899</v>
      </c>
      <c r="I220" s="2460">
        <f t="shared" si="11"/>
        <v>0.20028181419371899</v>
      </c>
      <c r="J220" s="2460">
        <f t="shared" si="11"/>
        <v>0.20028181419371899</v>
      </c>
      <c r="K220" s="2460">
        <f t="shared" si="11"/>
        <v>0.20028181419371899</v>
      </c>
      <c r="L220" s="2460">
        <f t="shared" si="11"/>
        <v>0.20028181419371899</v>
      </c>
      <c r="M220" s="2460">
        <f t="shared" si="11"/>
        <v>0.20028181419371899</v>
      </c>
      <c r="N220" s="2460">
        <f t="shared" si="11"/>
        <v>0.20028181419371899</v>
      </c>
      <c r="O220" s="67"/>
      <c r="P220" s="190"/>
      <c r="Q220"/>
    </row>
    <row r="221" spans="2:17" s="2" customFormat="1" ht="15.75">
      <c r="B221" s="55"/>
      <c r="C221" s="193">
        <v>1</v>
      </c>
      <c r="D221" s="194" t="s">
        <v>141</v>
      </c>
      <c r="E221" s="108" t="s">
        <v>143</v>
      </c>
      <c r="F221" s="2460">
        <f>F220*Constants!$G$37</f>
        <v>0.11492502327280311</v>
      </c>
      <c r="G221" s="2460">
        <f>G220*Constants!$G$37</f>
        <v>0.11492502327280311</v>
      </c>
      <c r="H221" s="2460">
        <f>H220*Constants!$G$37</f>
        <v>0.11492502327280311</v>
      </c>
      <c r="I221" s="2460">
        <f>I220*Constants!$G$37</f>
        <v>0.11492502327280311</v>
      </c>
      <c r="J221" s="2460">
        <f>J220*Constants!$G$37</f>
        <v>0.11492502327280311</v>
      </c>
      <c r="K221" s="2460">
        <f>K220*Constants!$G$37</f>
        <v>0.11492502327280311</v>
      </c>
      <c r="L221" s="2460">
        <f>L220*Constants!$G$37</f>
        <v>0.11492502327280311</v>
      </c>
      <c r="M221" s="2460">
        <f>M220*Constants!$G$37</f>
        <v>0.11492502327280311</v>
      </c>
      <c r="N221" s="2460">
        <f>N220*Constants!$G$37</f>
        <v>0.11492502327280311</v>
      </c>
      <c r="O221" s="67"/>
      <c r="P221" s="190"/>
      <c r="Q221"/>
    </row>
    <row r="222" spans="2:17" s="2" customFormat="1" ht="15.75">
      <c r="B222" s="55"/>
      <c r="C222" s="193">
        <v>2</v>
      </c>
      <c r="D222" s="194" t="s">
        <v>144</v>
      </c>
      <c r="E222" s="108" t="s">
        <v>142</v>
      </c>
      <c r="F222" s="2460">
        <f t="shared" ref="F222:N222" si="12">0.200281814193719*(1/Unit.TWh)</f>
        <v>0.20028181419371899</v>
      </c>
      <c r="G222" s="2460">
        <f t="shared" si="12"/>
        <v>0.20028181419371899</v>
      </c>
      <c r="H222" s="2460">
        <f t="shared" si="12"/>
        <v>0.20028181419371899</v>
      </c>
      <c r="I222" s="2460">
        <f t="shared" si="12"/>
        <v>0.20028181419371899</v>
      </c>
      <c r="J222" s="2460">
        <f t="shared" si="12"/>
        <v>0.20028181419371899</v>
      </c>
      <c r="K222" s="2460">
        <f t="shared" si="12"/>
        <v>0.20028181419371899</v>
      </c>
      <c r="L222" s="2460">
        <f t="shared" si="12"/>
        <v>0.20028181419371899</v>
      </c>
      <c r="M222" s="2460">
        <f t="shared" si="12"/>
        <v>0.20028181419371899</v>
      </c>
      <c r="N222" s="2460">
        <f t="shared" si="12"/>
        <v>0.20028181419371899</v>
      </c>
      <c r="O222" s="67"/>
      <c r="P222" s="190"/>
      <c r="Q222"/>
    </row>
    <row r="223" spans="2:17" s="2" customFormat="1" ht="15.75">
      <c r="B223" s="55"/>
      <c r="C223" s="193">
        <v>2</v>
      </c>
      <c r="D223" s="194" t="s">
        <v>144</v>
      </c>
      <c r="E223" s="108" t="s">
        <v>143</v>
      </c>
      <c r="F223" s="2460">
        <f>F222*Constants!$G$37</f>
        <v>0.11492502327280311</v>
      </c>
      <c r="G223" s="2460">
        <f>G222*Constants!$G$37</f>
        <v>0.11492502327280311</v>
      </c>
      <c r="H223" s="2460">
        <f>H222*Constants!$G$37</f>
        <v>0.11492502327280311</v>
      </c>
      <c r="I223" s="2460">
        <f>I222*Constants!$G$37</f>
        <v>0.11492502327280311</v>
      </c>
      <c r="J223" s="2460">
        <f>J222*Constants!$G$37</f>
        <v>0.11492502327280311</v>
      </c>
      <c r="K223" s="2460">
        <f>K222*Constants!$G$37</f>
        <v>0.11492502327280311</v>
      </c>
      <c r="L223" s="2460">
        <f>L222*Constants!$G$37</f>
        <v>0.11492502327280311</v>
      </c>
      <c r="M223" s="2460">
        <f>M222*Constants!$G$37</f>
        <v>0.11492502327280311</v>
      </c>
      <c r="N223" s="2460">
        <f>N222*Constants!$G$37</f>
        <v>0.11492502327280311</v>
      </c>
      <c r="O223" s="67"/>
      <c r="P223" s="190"/>
      <c r="Q223"/>
    </row>
    <row r="224" spans="2:17" s="2" customFormat="1" ht="15.75">
      <c r="B224" s="55"/>
      <c r="C224" s="193">
        <v>4</v>
      </c>
      <c r="D224" s="194" t="s">
        <v>49</v>
      </c>
      <c r="E224" s="108" t="s">
        <v>145</v>
      </c>
      <c r="F224" s="2460">
        <f t="shared" ref="F224:N224" si="13">0.216692935914172*(1/Unit.TWh)</f>
        <v>0.21669293591417199</v>
      </c>
      <c r="G224" s="2460">
        <f t="shared" si="13"/>
        <v>0.21669293591417199</v>
      </c>
      <c r="H224" s="2460">
        <f t="shared" si="13"/>
        <v>0.21669293591417199</v>
      </c>
      <c r="I224" s="2460">
        <f t="shared" si="13"/>
        <v>0.21669293591417199</v>
      </c>
      <c r="J224" s="2460">
        <f t="shared" si="13"/>
        <v>0.21669293591417199</v>
      </c>
      <c r="K224" s="2460">
        <f t="shared" si="13"/>
        <v>0.21669293591417199</v>
      </c>
      <c r="L224" s="2460">
        <f t="shared" si="13"/>
        <v>0.21669293591417199</v>
      </c>
      <c r="M224" s="2460">
        <f t="shared" si="13"/>
        <v>0.21669293591417199</v>
      </c>
      <c r="N224" s="2460">
        <f t="shared" si="13"/>
        <v>0.21669293591417199</v>
      </c>
      <c r="O224" s="67"/>
      <c r="P224" s="190"/>
      <c r="Q224"/>
    </row>
    <row r="225" spans="2:17" s="2" customFormat="1" ht="15.75">
      <c r="B225" s="55"/>
      <c r="C225" s="193">
        <v>4</v>
      </c>
      <c r="D225" s="194" t="s">
        <v>49</v>
      </c>
      <c r="E225" s="108" t="s">
        <v>146</v>
      </c>
      <c r="F225" s="2460">
        <f>F224*Constants!$G$36</f>
        <v>4.994275673516943E-2</v>
      </c>
      <c r="G225" s="2460">
        <f>G224*Constants!$G$36</f>
        <v>4.994275673516943E-2</v>
      </c>
      <c r="H225" s="2460">
        <f>H224*Constants!$G$36</f>
        <v>4.994275673516943E-2</v>
      </c>
      <c r="I225" s="2460">
        <f>I224*Constants!$G$36</f>
        <v>4.994275673516943E-2</v>
      </c>
      <c r="J225" s="2460">
        <f>J224*Constants!$G$36</f>
        <v>4.994275673516943E-2</v>
      </c>
      <c r="K225" s="2460">
        <f>K224*Constants!$G$36</f>
        <v>4.994275673516943E-2</v>
      </c>
      <c r="L225" s="2460">
        <f>L224*Constants!$G$36</f>
        <v>4.994275673516943E-2</v>
      </c>
      <c r="M225" s="2460">
        <f>M224*Constants!$G$36</f>
        <v>4.994275673516943E-2</v>
      </c>
      <c r="N225" s="2460">
        <f>N224*Constants!$G$36</f>
        <v>4.994275673516943E-2</v>
      </c>
      <c r="O225" s="67"/>
      <c r="P225" s="190"/>
      <c r="Q225"/>
    </row>
    <row r="226" spans="2:17" s="2" customFormat="1" ht="15.75">
      <c r="B226" s="55"/>
      <c r="C226" s="193">
        <v>5</v>
      </c>
      <c r="D226" s="194" t="s">
        <v>50</v>
      </c>
      <c r="E226" s="108" t="s">
        <v>147</v>
      </c>
      <c r="F226" s="2460">
        <f t="shared" ref="F226:N226" si="14">0.641348621453717*(1/Unit.TWh)</f>
        <v>0.64134862145371696</v>
      </c>
      <c r="G226" s="2460">
        <f t="shared" si="14"/>
        <v>0.64134862145371696</v>
      </c>
      <c r="H226" s="2460">
        <f t="shared" si="14"/>
        <v>0.64134862145371696</v>
      </c>
      <c r="I226" s="2460">
        <f t="shared" si="14"/>
        <v>0.64134862145371696</v>
      </c>
      <c r="J226" s="2460">
        <f t="shared" si="14"/>
        <v>0.64134862145371696</v>
      </c>
      <c r="K226" s="2460">
        <f t="shared" si="14"/>
        <v>0.64134862145371696</v>
      </c>
      <c r="L226" s="2460">
        <f t="shared" si="14"/>
        <v>0.64134862145371696</v>
      </c>
      <c r="M226" s="2460">
        <f t="shared" si="14"/>
        <v>0.64134862145371696</v>
      </c>
      <c r="N226" s="2460">
        <f t="shared" si="14"/>
        <v>0.64134862145371696</v>
      </c>
      <c r="O226" s="67"/>
      <c r="P226" s="190"/>
      <c r="Q226"/>
    </row>
    <row r="227" spans="2:17" s="2" customFormat="1" ht="15.75">
      <c r="B227" s="55"/>
      <c r="C227" s="193">
        <v>5</v>
      </c>
      <c r="D227" s="194" t="s">
        <v>50</v>
      </c>
      <c r="E227" s="108" t="s">
        <v>148</v>
      </c>
      <c r="F227" s="2460">
        <f>F226*Constants!$G$35</f>
        <v>0.49310010891867129</v>
      </c>
      <c r="G227" s="2460">
        <f>G226*Constants!$G$35</f>
        <v>0.49310010891867129</v>
      </c>
      <c r="H227" s="2460">
        <f>H226*Constants!$G$35</f>
        <v>0.49310010891867129</v>
      </c>
      <c r="I227" s="2460">
        <f>I226*Constants!$G$35</f>
        <v>0.49310010891867129</v>
      </c>
      <c r="J227" s="2460">
        <f>J226*Constants!$G$35</f>
        <v>0.49310010891867129</v>
      </c>
      <c r="K227" s="2460">
        <f>K226*Constants!$G$35</f>
        <v>0.49310010891867129</v>
      </c>
      <c r="L227" s="2460">
        <f>L226*Constants!$G$35</f>
        <v>0.49310010891867129</v>
      </c>
      <c r="M227" s="2460">
        <f>M226*Constants!$G$35</f>
        <v>0.49310010891867129</v>
      </c>
      <c r="N227" s="2460">
        <f>N226*Constants!$G$35</f>
        <v>0.49310010891867129</v>
      </c>
      <c r="O227" s="67"/>
      <c r="P227" s="190"/>
      <c r="Q227"/>
    </row>
    <row r="228" spans="2:17" s="2" customFormat="1" ht="15.75">
      <c r="B228" s="55"/>
      <c r="C228" s="193">
        <v>6</v>
      </c>
      <c r="D228" s="194" t="s">
        <v>51</v>
      </c>
      <c r="E228" s="108" t="s">
        <v>142</v>
      </c>
      <c r="F228" s="2460">
        <f t="shared" ref="F228:N228" si="15">0.200281814193719*(1/Unit.TWh)</f>
        <v>0.20028181419371899</v>
      </c>
      <c r="G228" s="2460">
        <f t="shared" si="15"/>
        <v>0.20028181419371899</v>
      </c>
      <c r="H228" s="2460">
        <f t="shared" si="15"/>
        <v>0.20028181419371899</v>
      </c>
      <c r="I228" s="2460">
        <f t="shared" si="15"/>
        <v>0.20028181419371899</v>
      </c>
      <c r="J228" s="2460">
        <f t="shared" si="15"/>
        <v>0.20028181419371899</v>
      </c>
      <c r="K228" s="2460">
        <f t="shared" si="15"/>
        <v>0.20028181419371899</v>
      </c>
      <c r="L228" s="2460">
        <f t="shared" si="15"/>
        <v>0.20028181419371899</v>
      </c>
      <c r="M228" s="2460">
        <f t="shared" si="15"/>
        <v>0.20028181419371899</v>
      </c>
      <c r="N228" s="2460">
        <f t="shared" si="15"/>
        <v>0.20028181419371899</v>
      </c>
      <c r="O228" s="67"/>
      <c r="P228" s="190"/>
      <c r="Q228"/>
    </row>
    <row r="229" spans="2:17" s="2" customFormat="1" ht="15.75">
      <c r="B229" s="55"/>
      <c r="C229" s="193">
        <v>6</v>
      </c>
      <c r="D229" s="194" t="s">
        <v>51</v>
      </c>
      <c r="E229" s="108" t="s">
        <v>143</v>
      </c>
      <c r="F229" s="2460">
        <f>F228*Constants!$G$37</f>
        <v>0.11492502327280311</v>
      </c>
      <c r="G229" s="2460">
        <f>G228*Constants!$G$37</f>
        <v>0.11492502327280311</v>
      </c>
      <c r="H229" s="2460">
        <f>H228*Constants!$G$37</f>
        <v>0.11492502327280311</v>
      </c>
      <c r="I229" s="2460">
        <f>I228*Constants!$G$37</f>
        <v>0.11492502327280311</v>
      </c>
      <c r="J229" s="2460">
        <f>J228*Constants!$G$37</f>
        <v>0.11492502327280311</v>
      </c>
      <c r="K229" s="2460">
        <f>K228*Constants!$G$37</f>
        <v>0.11492502327280311</v>
      </c>
      <c r="L229" s="2460">
        <f>L228*Constants!$G$37</f>
        <v>0.11492502327280311</v>
      </c>
      <c r="M229" s="2460">
        <f>M228*Constants!$G$37</f>
        <v>0.11492502327280311</v>
      </c>
      <c r="N229" s="2460">
        <f>N228*Constants!$G$37</f>
        <v>0.11492502327280311</v>
      </c>
      <c r="O229" s="67"/>
      <c r="P229" s="190"/>
      <c r="Q229"/>
    </row>
    <row r="230" spans="2:17" s="2" customFormat="1" ht="15.75">
      <c r="B230" s="55"/>
      <c r="C230" s="193">
        <v>7</v>
      </c>
      <c r="D230" s="194" t="s">
        <v>52</v>
      </c>
      <c r="E230" s="108" t="s">
        <v>142</v>
      </c>
      <c r="F230" s="2460">
        <f t="shared" ref="F230:N230" si="16">0*(1/Unit.GWh)</f>
        <v>0</v>
      </c>
      <c r="G230" s="2460">
        <f t="shared" si="16"/>
        <v>0</v>
      </c>
      <c r="H230" s="2460">
        <f t="shared" si="16"/>
        <v>0</v>
      </c>
      <c r="I230" s="2460">
        <f t="shared" si="16"/>
        <v>0</v>
      </c>
      <c r="J230" s="2460">
        <f t="shared" si="16"/>
        <v>0</v>
      </c>
      <c r="K230" s="2460">
        <f t="shared" si="16"/>
        <v>0</v>
      </c>
      <c r="L230" s="2460">
        <f t="shared" si="16"/>
        <v>0</v>
      </c>
      <c r="M230" s="2460">
        <f t="shared" si="16"/>
        <v>0</v>
      </c>
      <c r="N230" s="2460">
        <f t="shared" si="16"/>
        <v>0</v>
      </c>
      <c r="O230" s="67"/>
      <c r="P230" s="190"/>
      <c r="Q230"/>
    </row>
    <row r="231" spans="2:17" s="2" customFormat="1" ht="15.75">
      <c r="B231" s="55"/>
      <c r="C231" s="193">
        <v>7</v>
      </c>
      <c r="D231" s="194" t="s">
        <v>52</v>
      </c>
      <c r="E231" s="108" t="s">
        <v>143</v>
      </c>
      <c r="F231" s="2460">
        <f>F230*Constants!$G$37</f>
        <v>0</v>
      </c>
      <c r="G231" s="2460">
        <f>G230*Constants!$G$37</f>
        <v>0</v>
      </c>
      <c r="H231" s="2460">
        <f>H230*Constants!$G$37</f>
        <v>0</v>
      </c>
      <c r="I231" s="2460">
        <f>I230*Constants!$G$37</f>
        <v>0</v>
      </c>
      <c r="J231" s="2460">
        <f>J230*Constants!$G$37</f>
        <v>0</v>
      </c>
      <c r="K231" s="2460">
        <f>K230*Constants!$G$37</f>
        <v>0</v>
      </c>
      <c r="L231" s="2460">
        <f>L230*Constants!$G$37</f>
        <v>0</v>
      </c>
      <c r="M231" s="2460">
        <f>M230*Constants!$G$37</f>
        <v>0</v>
      </c>
      <c r="N231" s="2460">
        <f>N230*Constants!$G$37</f>
        <v>0</v>
      </c>
      <c r="O231" s="67"/>
      <c r="P231" s="190"/>
      <c r="Q231"/>
    </row>
    <row r="232" spans="2:17" s="2" customFormat="1" ht="15.75">
      <c r="B232" s="55"/>
      <c r="C232" s="193">
        <v>11</v>
      </c>
      <c r="D232" s="194" t="s">
        <v>56</v>
      </c>
      <c r="E232" s="108" t="s">
        <v>142</v>
      </c>
      <c r="F232" s="2460">
        <f t="shared" ref="F232:N232" si="17">0.183142935153584*(1/Unit.TWh)</f>
        <v>0.18314293515358401</v>
      </c>
      <c r="G232" s="2460">
        <f t="shared" si="17"/>
        <v>0.18314293515358401</v>
      </c>
      <c r="H232" s="2460">
        <f t="shared" si="17"/>
        <v>0.18314293515358401</v>
      </c>
      <c r="I232" s="2460">
        <f t="shared" si="17"/>
        <v>0.18314293515358401</v>
      </c>
      <c r="J232" s="2460">
        <f t="shared" si="17"/>
        <v>0.18314293515358401</v>
      </c>
      <c r="K232" s="2460">
        <f t="shared" si="17"/>
        <v>0.18314293515358401</v>
      </c>
      <c r="L232" s="2460">
        <f t="shared" si="17"/>
        <v>0.18314293515358401</v>
      </c>
      <c r="M232" s="2460">
        <f t="shared" si="17"/>
        <v>0.18314293515358401</v>
      </c>
      <c r="N232" s="2460">
        <f t="shared" si="17"/>
        <v>0.18314293515358401</v>
      </c>
      <c r="O232" s="67"/>
      <c r="P232" s="190"/>
      <c r="Q232"/>
    </row>
    <row r="233" spans="2:17" s="2" customFormat="1" ht="15.75">
      <c r="B233" s="55"/>
      <c r="C233" s="193">
        <v>11</v>
      </c>
      <c r="D233" s="194" t="s">
        <v>56</v>
      </c>
      <c r="E233" s="108" t="s">
        <v>143</v>
      </c>
      <c r="F233" s="2460">
        <f>F232*Constants!$G$37</f>
        <v>0.10509045052096991</v>
      </c>
      <c r="G233" s="2460">
        <f>G232*Constants!$G$37</f>
        <v>0.10509045052096991</v>
      </c>
      <c r="H233" s="2460">
        <f>H232*Constants!$G$37</f>
        <v>0.10509045052096991</v>
      </c>
      <c r="I233" s="2460">
        <f>I232*Constants!$G$37</f>
        <v>0.10509045052096991</v>
      </c>
      <c r="J233" s="2460">
        <f>J232*Constants!$G$37</f>
        <v>0.10509045052096991</v>
      </c>
      <c r="K233" s="2460">
        <f>K232*Constants!$G$37</f>
        <v>0.10509045052096991</v>
      </c>
      <c r="L233" s="2460">
        <f>L232*Constants!$G$37</f>
        <v>0.10509045052096991</v>
      </c>
      <c r="M233" s="2460">
        <f>M232*Constants!$G$37</f>
        <v>0.10509045052096991</v>
      </c>
      <c r="N233" s="2460">
        <f>N232*Constants!$G$37</f>
        <v>0.10509045052096991</v>
      </c>
      <c r="O233" s="67"/>
      <c r="P233" s="190"/>
      <c r="Q233"/>
    </row>
    <row r="234" spans="2:17" s="2" customFormat="1" ht="15.75">
      <c r="B234" s="55"/>
      <c r="C234" s="193">
        <v>12</v>
      </c>
      <c r="D234" s="194" t="s">
        <v>57</v>
      </c>
      <c r="E234" s="108" t="s">
        <v>147</v>
      </c>
      <c r="F234" s="2460">
        <f t="shared" ref="F234:N234" si="18">0.714407232434977*(1/Unit.TWh)</f>
        <v>0.71440723243497695</v>
      </c>
      <c r="G234" s="2460">
        <f t="shared" si="18"/>
        <v>0.71440723243497695</v>
      </c>
      <c r="H234" s="2460">
        <f t="shared" si="18"/>
        <v>0.71440723243497695</v>
      </c>
      <c r="I234" s="2460">
        <f t="shared" si="18"/>
        <v>0.71440723243497695</v>
      </c>
      <c r="J234" s="2460">
        <f t="shared" si="18"/>
        <v>0.71440723243497695</v>
      </c>
      <c r="K234" s="2460">
        <f t="shared" si="18"/>
        <v>0.71440723243497695</v>
      </c>
      <c r="L234" s="2460">
        <f t="shared" si="18"/>
        <v>0.71440723243497695</v>
      </c>
      <c r="M234" s="2460">
        <f t="shared" si="18"/>
        <v>0.71440723243497695</v>
      </c>
      <c r="N234" s="2460">
        <f t="shared" si="18"/>
        <v>0.71440723243497695</v>
      </c>
      <c r="O234" s="67"/>
      <c r="P234" s="190"/>
      <c r="Q234"/>
    </row>
    <row r="235" spans="2:17" s="2" customFormat="1" ht="15.75">
      <c r="B235" s="55"/>
      <c r="C235" s="197">
        <v>12</v>
      </c>
      <c r="D235" s="198" t="s">
        <v>57</v>
      </c>
      <c r="E235" s="199" t="s">
        <v>148</v>
      </c>
      <c r="F235" s="3842">
        <f>F234*Constants!$G$35</f>
        <v>0.54927113326834454</v>
      </c>
      <c r="G235" s="3842">
        <f>G234*Constants!$G$35</f>
        <v>0.54927113326834454</v>
      </c>
      <c r="H235" s="3842">
        <f>H234*Constants!$G$35</f>
        <v>0.54927113326834454</v>
      </c>
      <c r="I235" s="3842">
        <f>I234*Constants!$G$35</f>
        <v>0.54927113326834454</v>
      </c>
      <c r="J235" s="3842">
        <f>J234*Constants!$G$35</f>
        <v>0.54927113326834454</v>
      </c>
      <c r="K235" s="3842">
        <f>K234*Constants!$G$35</f>
        <v>0.54927113326834454</v>
      </c>
      <c r="L235" s="3842">
        <f>L234*Constants!$G$35</f>
        <v>0.54927113326834454</v>
      </c>
      <c r="M235" s="3842">
        <f>M234*Constants!$G$35</f>
        <v>0.54927113326834454</v>
      </c>
      <c r="N235" s="3842">
        <f>N234*Constants!$G$35</f>
        <v>0.54927113326834454</v>
      </c>
      <c r="O235" s="67"/>
      <c r="P235" s="190"/>
      <c r="Q235"/>
    </row>
    <row r="236" spans="2:17" s="2" customFormat="1" ht="15.75">
      <c r="B236" s="55"/>
      <c r="C236" s="171"/>
      <c r="D236" s="171"/>
      <c r="E236" s="57"/>
      <c r="F236" s="3408"/>
      <c r="G236" s="189"/>
      <c r="H236" s="189"/>
      <c r="I236" s="189"/>
      <c r="J236" s="189"/>
      <c r="K236" s="189"/>
      <c r="L236" s="189"/>
      <c r="M236" s="189"/>
      <c r="N236" s="189"/>
      <c r="O236" s="67"/>
      <c r="P236" s="190"/>
      <c r="Q236"/>
    </row>
    <row r="237" spans="2:17" s="2" customFormat="1" ht="15.75">
      <c r="B237" s="55"/>
      <c r="C237" s="191" t="s">
        <v>150</v>
      </c>
      <c r="D237" s="171"/>
      <c r="E237" s="57"/>
      <c r="F237" s="3408"/>
      <c r="G237" s="189"/>
      <c r="H237" s="189"/>
      <c r="I237" s="189"/>
      <c r="J237" s="189"/>
      <c r="K237" s="189"/>
      <c r="L237" s="189"/>
      <c r="M237" s="189"/>
      <c r="N237" s="192" t="str">
        <f>"kt/"&amp;Preferences.EnergyUnits</f>
        <v>kt/TWh</v>
      </c>
      <c r="O237" s="67"/>
      <c r="P237" s="190"/>
      <c r="Q237"/>
    </row>
    <row r="238" spans="2:17" s="2" customFormat="1" ht="15.75">
      <c r="B238" s="55"/>
      <c r="C238" s="191"/>
      <c r="D238" s="171"/>
      <c r="E238" s="57"/>
      <c r="F238" s="3408"/>
      <c r="G238" s="189"/>
      <c r="H238" s="189"/>
      <c r="I238" s="189"/>
      <c r="J238" s="189"/>
      <c r="K238" s="189"/>
      <c r="L238" s="189"/>
      <c r="M238" s="189"/>
      <c r="N238" s="189"/>
      <c r="O238" s="67"/>
      <c r="P238" s="190"/>
      <c r="Q238"/>
    </row>
    <row r="239" spans="2:17" s="2" customFormat="1" ht="15.75">
      <c r="B239" s="55"/>
      <c r="C239" s="52" t="s">
        <v>44</v>
      </c>
      <c r="D239" s="52" t="s">
        <v>131</v>
      </c>
      <c r="E239" s="52" t="s">
        <v>132</v>
      </c>
      <c r="F239" s="149">
        <v>2013</v>
      </c>
      <c r="G239" s="53" t="s">
        <v>133</v>
      </c>
      <c r="H239" s="53" t="s">
        <v>134</v>
      </c>
      <c r="I239" s="53" t="s">
        <v>135</v>
      </c>
      <c r="J239" s="53" t="s">
        <v>136</v>
      </c>
      <c r="K239" s="53" t="s">
        <v>137</v>
      </c>
      <c r="L239" s="53" t="s">
        <v>138</v>
      </c>
      <c r="M239" s="53" t="s">
        <v>139</v>
      </c>
      <c r="N239" s="53" t="s">
        <v>140</v>
      </c>
      <c r="O239" s="67"/>
      <c r="P239" s="190"/>
      <c r="Q239"/>
    </row>
    <row r="240" spans="2:17" s="2" customFormat="1" ht="15.75">
      <c r="B240" s="55"/>
      <c r="C240" s="193">
        <v>1</v>
      </c>
      <c r="D240" s="194" t="s">
        <v>141</v>
      </c>
      <c r="E240" s="108" t="s">
        <v>142</v>
      </c>
      <c r="F240" s="2460">
        <f t="shared" ref="F240:N242" si="19">0*(1/Unit.GWh)</f>
        <v>0</v>
      </c>
      <c r="G240" s="2460">
        <f t="shared" si="19"/>
        <v>0</v>
      </c>
      <c r="H240" s="2460">
        <f t="shared" si="19"/>
        <v>0</v>
      </c>
      <c r="I240" s="2460">
        <f t="shared" si="19"/>
        <v>0</v>
      </c>
      <c r="J240" s="2460">
        <f t="shared" si="19"/>
        <v>0</v>
      </c>
      <c r="K240" s="2460">
        <f t="shared" si="19"/>
        <v>0</v>
      </c>
      <c r="L240" s="2460">
        <f t="shared" si="19"/>
        <v>0</v>
      </c>
      <c r="M240" s="2460">
        <f t="shared" si="19"/>
        <v>0</v>
      </c>
      <c r="N240" s="2460">
        <f t="shared" si="19"/>
        <v>0</v>
      </c>
      <c r="O240" s="67"/>
      <c r="P240" s="190"/>
      <c r="Q240"/>
    </row>
    <row r="241" spans="2:17" s="2" customFormat="1" ht="15.75">
      <c r="B241" s="55"/>
      <c r="C241" s="193">
        <v>1</v>
      </c>
      <c r="D241" s="194" t="s">
        <v>141</v>
      </c>
      <c r="E241" s="108" t="s">
        <v>143</v>
      </c>
      <c r="F241" s="2460">
        <f>F240*Constants!$H$37</f>
        <v>0</v>
      </c>
      <c r="G241" s="2460">
        <f>G240*Constants!$H$37</f>
        <v>0</v>
      </c>
      <c r="H241" s="2460">
        <f>H240*Constants!$H$37</f>
        <v>0</v>
      </c>
      <c r="I241" s="2460">
        <f>I240*Constants!$H$37</f>
        <v>0</v>
      </c>
      <c r="J241" s="2460">
        <f>J240*Constants!$H$37</f>
        <v>0</v>
      </c>
      <c r="K241" s="2460">
        <f>K240*Constants!$H$37</f>
        <v>0</v>
      </c>
      <c r="L241" s="2460">
        <f>L240*Constants!$H$37</f>
        <v>0</v>
      </c>
      <c r="M241" s="2460">
        <f>M240*Constants!$H$37</f>
        <v>0</v>
      </c>
      <c r="N241" s="2460">
        <f>N240*Constants!$H$37</f>
        <v>0</v>
      </c>
      <c r="O241" s="67"/>
      <c r="P241" s="190"/>
      <c r="Q241"/>
    </row>
    <row r="242" spans="2:17" s="2" customFormat="1" ht="15.75">
      <c r="B242" s="55"/>
      <c r="C242" s="193">
        <v>2</v>
      </c>
      <c r="D242" s="194" t="s">
        <v>144</v>
      </c>
      <c r="E242" s="108" t="s">
        <v>142</v>
      </c>
      <c r="F242" s="2460">
        <f t="shared" si="19"/>
        <v>0</v>
      </c>
      <c r="G242" s="2460">
        <f t="shared" si="19"/>
        <v>0</v>
      </c>
      <c r="H242" s="2460">
        <f t="shared" si="19"/>
        <v>0</v>
      </c>
      <c r="I242" s="2460">
        <f t="shared" si="19"/>
        <v>0</v>
      </c>
      <c r="J242" s="2460">
        <f t="shared" si="19"/>
        <v>0</v>
      </c>
      <c r="K242" s="2460">
        <f t="shared" si="19"/>
        <v>0</v>
      </c>
      <c r="L242" s="2460">
        <f t="shared" si="19"/>
        <v>0</v>
      </c>
      <c r="M242" s="2460">
        <f t="shared" si="19"/>
        <v>0</v>
      </c>
      <c r="N242" s="2460">
        <f t="shared" si="19"/>
        <v>0</v>
      </c>
      <c r="O242" s="67"/>
      <c r="P242" s="190"/>
      <c r="Q242"/>
    </row>
    <row r="243" spans="2:17" s="2" customFormat="1" ht="15.75">
      <c r="B243" s="55"/>
      <c r="C243" s="193">
        <v>2</v>
      </c>
      <c r="D243" s="194" t="s">
        <v>144</v>
      </c>
      <c r="E243" s="108" t="s">
        <v>143</v>
      </c>
      <c r="F243" s="2460">
        <f>F242*Constants!$H$37</f>
        <v>0</v>
      </c>
      <c r="G243" s="2460">
        <f>G242*Constants!$H$37</f>
        <v>0</v>
      </c>
      <c r="H243" s="2460">
        <f>H242*Constants!$H$37</f>
        <v>0</v>
      </c>
      <c r="I243" s="2460">
        <f>I242*Constants!$H$37</f>
        <v>0</v>
      </c>
      <c r="J243" s="2460">
        <f>J242*Constants!$H$37</f>
        <v>0</v>
      </c>
      <c r="K243" s="2460">
        <f>K242*Constants!$H$37</f>
        <v>0</v>
      </c>
      <c r="L243" s="2460">
        <f>L242*Constants!$H$37</f>
        <v>0</v>
      </c>
      <c r="M243" s="2460">
        <f>M242*Constants!$H$37</f>
        <v>0</v>
      </c>
      <c r="N243" s="2460">
        <f>N242*Constants!$H$37</f>
        <v>0</v>
      </c>
      <c r="O243" s="67"/>
      <c r="P243" s="190"/>
      <c r="Q243"/>
    </row>
    <row r="244" spans="2:17" s="2" customFormat="1" ht="15.75">
      <c r="B244" s="55"/>
      <c r="C244" s="193">
        <v>4</v>
      </c>
      <c r="D244" s="194" t="s">
        <v>49</v>
      </c>
      <c r="E244" s="108" t="s">
        <v>145</v>
      </c>
      <c r="F244" s="2460">
        <f t="shared" ref="F244:N244" si="20">0.808362521107038*(1/Unit.TWh)</f>
        <v>0.80836252110703799</v>
      </c>
      <c r="G244" s="2460">
        <f t="shared" si="20"/>
        <v>0.80836252110703799</v>
      </c>
      <c r="H244" s="2460">
        <f t="shared" si="20"/>
        <v>0.80836252110703799</v>
      </c>
      <c r="I244" s="2460">
        <f t="shared" si="20"/>
        <v>0.80836252110703799</v>
      </c>
      <c r="J244" s="2460">
        <f t="shared" si="20"/>
        <v>0.80836252110703799</v>
      </c>
      <c r="K244" s="2460">
        <f t="shared" si="20"/>
        <v>0.80836252110703799</v>
      </c>
      <c r="L244" s="2460">
        <f t="shared" si="20"/>
        <v>0.80836252110703799</v>
      </c>
      <c r="M244" s="2460">
        <f t="shared" si="20"/>
        <v>0.80836252110703799</v>
      </c>
      <c r="N244" s="2460">
        <f t="shared" si="20"/>
        <v>0.80836252110703799</v>
      </c>
      <c r="O244" s="67"/>
      <c r="P244" s="190"/>
      <c r="Q244"/>
    </row>
    <row r="245" spans="2:17" s="2" customFormat="1" ht="15.75">
      <c r="B245" s="55"/>
      <c r="C245" s="193">
        <v>4</v>
      </c>
      <c r="D245" s="194" t="s">
        <v>49</v>
      </c>
      <c r="E245" s="108" t="s">
        <v>146</v>
      </c>
      <c r="F245" s="2460">
        <f>F244*Constants!$H$36</f>
        <v>1.0561376649987171E-2</v>
      </c>
      <c r="G245" s="2460">
        <f>G244*Constants!$H$36</f>
        <v>1.0561376649987171E-2</v>
      </c>
      <c r="H245" s="2460">
        <f>H244*Constants!$H$36</f>
        <v>1.0561376649987171E-2</v>
      </c>
      <c r="I245" s="2460">
        <f>I244*Constants!$H$36</f>
        <v>1.0561376649987171E-2</v>
      </c>
      <c r="J245" s="2460">
        <f>J244*Constants!$H$36</f>
        <v>1.0561376649987171E-2</v>
      </c>
      <c r="K245" s="2460">
        <f>K244*Constants!$H$36</f>
        <v>1.0561376649987171E-2</v>
      </c>
      <c r="L245" s="2460">
        <f>L244*Constants!$H$36</f>
        <v>1.0561376649987171E-2</v>
      </c>
      <c r="M245" s="2460">
        <f>M244*Constants!$H$36</f>
        <v>1.0561376649987171E-2</v>
      </c>
      <c r="N245" s="2460">
        <f>N244*Constants!$H$36</f>
        <v>1.0561376649987171E-2</v>
      </c>
      <c r="O245" s="67"/>
      <c r="P245" s="190"/>
      <c r="Q245"/>
    </row>
    <row r="246" spans="2:17" s="2" customFormat="1" ht="15.75">
      <c r="B246" s="55"/>
      <c r="C246" s="193">
        <v>5</v>
      </c>
      <c r="D246" s="194" t="s">
        <v>50</v>
      </c>
      <c r="E246" s="108" t="s">
        <v>147</v>
      </c>
      <c r="F246" s="2460">
        <f t="shared" ref="F246:N246" si="21">2.40023223873546*(1/Unit.TWh)</f>
        <v>2.4002322387354602</v>
      </c>
      <c r="G246" s="2460">
        <f t="shared" si="21"/>
        <v>2.4002322387354602</v>
      </c>
      <c r="H246" s="2460">
        <f t="shared" si="21"/>
        <v>2.4002322387354602</v>
      </c>
      <c r="I246" s="2460">
        <f t="shared" si="21"/>
        <v>2.4002322387354602</v>
      </c>
      <c r="J246" s="2460">
        <f t="shared" si="21"/>
        <v>2.4002322387354602</v>
      </c>
      <c r="K246" s="2460">
        <f t="shared" si="21"/>
        <v>2.4002322387354602</v>
      </c>
      <c r="L246" s="2460">
        <f t="shared" si="21"/>
        <v>2.4002322387354602</v>
      </c>
      <c r="M246" s="2460">
        <f t="shared" si="21"/>
        <v>2.4002322387354602</v>
      </c>
      <c r="N246" s="2460">
        <f t="shared" si="21"/>
        <v>2.4002322387354602</v>
      </c>
      <c r="O246" s="67"/>
      <c r="P246" s="190"/>
      <c r="Q246"/>
    </row>
    <row r="247" spans="2:17" s="2" customFormat="1" ht="15.75">
      <c r="B247" s="55"/>
      <c r="C247" s="193">
        <v>5</v>
      </c>
      <c r="D247" s="194" t="s">
        <v>50</v>
      </c>
      <c r="E247" s="108" t="s">
        <v>148</v>
      </c>
      <c r="F247" s="2460">
        <f>F246*Constants!$H$35</f>
        <v>2.7947883198018216E-2</v>
      </c>
      <c r="G247" s="2460">
        <f>G246*Constants!$H$35</f>
        <v>2.7947883198018216E-2</v>
      </c>
      <c r="H247" s="2460">
        <f>H246*Constants!$H$35</f>
        <v>2.7947883198018216E-2</v>
      </c>
      <c r="I247" s="2460">
        <f>I246*Constants!$H$35</f>
        <v>2.7947883198018216E-2</v>
      </c>
      <c r="J247" s="2460">
        <f>J246*Constants!$H$35</f>
        <v>2.7947883198018216E-2</v>
      </c>
      <c r="K247" s="2460">
        <f>K246*Constants!$H$35</f>
        <v>2.7947883198018216E-2</v>
      </c>
      <c r="L247" s="2460">
        <f>L246*Constants!$H$35</f>
        <v>2.7947883198018216E-2</v>
      </c>
      <c r="M247" s="2460">
        <f>M246*Constants!$H$35</f>
        <v>2.7947883198018216E-2</v>
      </c>
      <c r="N247" s="2460">
        <f>N246*Constants!$H$35</f>
        <v>2.7947883198018216E-2</v>
      </c>
      <c r="O247" s="67"/>
      <c r="P247" s="190"/>
      <c r="Q247"/>
    </row>
    <row r="248" spans="2:17" s="2" customFormat="1" ht="15.75">
      <c r="B248" s="55"/>
      <c r="C248" s="193">
        <v>6</v>
      </c>
      <c r="D248" s="194" t="s">
        <v>51</v>
      </c>
      <c r="E248" s="108" t="s">
        <v>142</v>
      </c>
      <c r="F248" s="2460">
        <f t="shared" ref="F248:N252" si="22">0*(1/Unit.GWh)</f>
        <v>0</v>
      </c>
      <c r="G248" s="2460">
        <f t="shared" si="22"/>
        <v>0</v>
      </c>
      <c r="H248" s="2460">
        <f t="shared" si="22"/>
        <v>0</v>
      </c>
      <c r="I248" s="2460">
        <f t="shared" si="22"/>
        <v>0</v>
      </c>
      <c r="J248" s="2460">
        <f t="shared" si="22"/>
        <v>0</v>
      </c>
      <c r="K248" s="2460">
        <f t="shared" si="22"/>
        <v>0</v>
      </c>
      <c r="L248" s="2460">
        <f t="shared" si="22"/>
        <v>0</v>
      </c>
      <c r="M248" s="2460">
        <f t="shared" si="22"/>
        <v>0</v>
      </c>
      <c r="N248" s="2460">
        <f t="shared" si="22"/>
        <v>0</v>
      </c>
      <c r="O248" s="67"/>
      <c r="P248" s="190"/>
      <c r="Q248"/>
    </row>
    <row r="249" spans="2:17" s="2" customFormat="1" ht="15.75">
      <c r="B249" s="55"/>
      <c r="C249" s="193">
        <v>6</v>
      </c>
      <c r="D249" s="194" t="s">
        <v>51</v>
      </c>
      <c r="E249" s="108" t="s">
        <v>143</v>
      </c>
      <c r="F249" s="2460">
        <f>F248*Constants!$H$37</f>
        <v>0</v>
      </c>
      <c r="G249" s="2460">
        <f>G248*Constants!$H$37</f>
        <v>0</v>
      </c>
      <c r="H249" s="2460">
        <f>H248*Constants!$H$37</f>
        <v>0</v>
      </c>
      <c r="I249" s="2460">
        <f>I248*Constants!$H$37</f>
        <v>0</v>
      </c>
      <c r="J249" s="2460">
        <f>J248*Constants!$H$37</f>
        <v>0</v>
      </c>
      <c r="K249" s="2460">
        <f>K248*Constants!$H$37</f>
        <v>0</v>
      </c>
      <c r="L249" s="2460">
        <f>L248*Constants!$H$37</f>
        <v>0</v>
      </c>
      <c r="M249" s="2460">
        <f>M248*Constants!$H$37</f>
        <v>0</v>
      </c>
      <c r="N249" s="2460">
        <f>N248*Constants!$H$37</f>
        <v>0</v>
      </c>
      <c r="O249" s="67"/>
      <c r="P249" s="190"/>
      <c r="Q249"/>
    </row>
    <row r="250" spans="2:17" s="2" customFormat="1" ht="15.75">
      <c r="B250" s="55"/>
      <c r="C250" s="193">
        <v>7</v>
      </c>
      <c r="D250" s="194" t="s">
        <v>52</v>
      </c>
      <c r="E250" s="108" t="s">
        <v>142</v>
      </c>
      <c r="F250" s="2460">
        <f t="shared" si="22"/>
        <v>0</v>
      </c>
      <c r="G250" s="2460">
        <f t="shared" si="22"/>
        <v>0</v>
      </c>
      <c r="H250" s="2460">
        <f t="shared" si="22"/>
        <v>0</v>
      </c>
      <c r="I250" s="2460">
        <f t="shared" si="22"/>
        <v>0</v>
      </c>
      <c r="J250" s="2460">
        <f t="shared" si="22"/>
        <v>0</v>
      </c>
      <c r="K250" s="2460">
        <f t="shared" si="22"/>
        <v>0</v>
      </c>
      <c r="L250" s="2460">
        <f t="shared" si="22"/>
        <v>0</v>
      </c>
      <c r="M250" s="2460">
        <f t="shared" si="22"/>
        <v>0</v>
      </c>
      <c r="N250" s="2460">
        <f t="shared" si="22"/>
        <v>0</v>
      </c>
      <c r="O250" s="67"/>
      <c r="P250" s="190"/>
      <c r="Q250"/>
    </row>
    <row r="251" spans="2:17" s="2" customFormat="1" ht="15.75">
      <c r="B251" s="55"/>
      <c r="C251" s="193">
        <v>7</v>
      </c>
      <c r="D251" s="194" t="s">
        <v>52</v>
      </c>
      <c r="E251" s="108" t="s">
        <v>143</v>
      </c>
      <c r="F251" s="2460">
        <f>F250*Constants!$H$37</f>
        <v>0</v>
      </c>
      <c r="G251" s="2460">
        <f>G250*Constants!$H$37</f>
        <v>0</v>
      </c>
      <c r="H251" s="2460">
        <f>H250*Constants!$H$37</f>
        <v>0</v>
      </c>
      <c r="I251" s="2460">
        <f>I250*Constants!$H$37</f>
        <v>0</v>
      </c>
      <c r="J251" s="2460">
        <f>J250*Constants!$H$37</f>
        <v>0</v>
      </c>
      <c r="K251" s="2460">
        <f>K250*Constants!$H$37</f>
        <v>0</v>
      </c>
      <c r="L251" s="2460">
        <f>L250*Constants!$H$37</f>
        <v>0</v>
      </c>
      <c r="M251" s="2460">
        <f>M250*Constants!$H$37</f>
        <v>0</v>
      </c>
      <c r="N251" s="2460">
        <f>N250*Constants!$H$37</f>
        <v>0</v>
      </c>
      <c r="O251" s="67"/>
      <c r="P251" s="190"/>
      <c r="Q251"/>
    </row>
    <row r="252" spans="2:17" s="2" customFormat="1" ht="15.75">
      <c r="B252" s="55"/>
      <c r="C252" s="193">
        <v>11</v>
      </c>
      <c r="D252" s="194" t="s">
        <v>56</v>
      </c>
      <c r="E252" s="108" t="s">
        <v>142</v>
      </c>
      <c r="F252" s="2460">
        <f t="shared" si="22"/>
        <v>0</v>
      </c>
      <c r="G252" s="2460">
        <f t="shared" si="22"/>
        <v>0</v>
      </c>
      <c r="H252" s="2460">
        <f t="shared" si="22"/>
        <v>0</v>
      </c>
      <c r="I252" s="2460">
        <f t="shared" si="22"/>
        <v>0</v>
      </c>
      <c r="J252" s="2460">
        <f t="shared" si="22"/>
        <v>0</v>
      </c>
      <c r="K252" s="2460">
        <f t="shared" si="22"/>
        <v>0</v>
      </c>
      <c r="L252" s="2460">
        <f t="shared" si="22"/>
        <v>0</v>
      </c>
      <c r="M252" s="2460">
        <f t="shared" si="22"/>
        <v>0</v>
      </c>
      <c r="N252" s="2460">
        <f t="shared" si="22"/>
        <v>0</v>
      </c>
      <c r="O252" s="67"/>
      <c r="P252" s="190"/>
      <c r="Q252"/>
    </row>
    <row r="253" spans="2:17" s="2" customFormat="1" ht="15.75">
      <c r="B253" s="55"/>
      <c r="C253" s="193">
        <v>11</v>
      </c>
      <c r="D253" s="194" t="s">
        <v>56</v>
      </c>
      <c r="E253" s="108" t="s">
        <v>143</v>
      </c>
      <c r="F253" s="2460">
        <f>F252*Constants!$H$37</f>
        <v>0</v>
      </c>
      <c r="G253" s="2460">
        <f>G252*Constants!$H$37</f>
        <v>0</v>
      </c>
      <c r="H253" s="2460">
        <f>H252*Constants!$H$37</f>
        <v>0</v>
      </c>
      <c r="I253" s="2460">
        <f>I252*Constants!$H$37</f>
        <v>0</v>
      </c>
      <c r="J253" s="2460">
        <f>J252*Constants!$H$37</f>
        <v>0</v>
      </c>
      <c r="K253" s="2460">
        <f>K252*Constants!$H$37</f>
        <v>0</v>
      </c>
      <c r="L253" s="2460">
        <f>L252*Constants!$H$37</f>
        <v>0</v>
      </c>
      <c r="M253" s="2460">
        <f>M252*Constants!$H$37</f>
        <v>0</v>
      </c>
      <c r="N253" s="2460">
        <f>N252*Constants!$H$37</f>
        <v>0</v>
      </c>
      <c r="O253" s="67"/>
      <c r="P253" s="190"/>
      <c r="Q253"/>
    </row>
    <row r="254" spans="2:17" s="2" customFormat="1" ht="15.75">
      <c r="B254" s="55"/>
      <c r="C254" s="193">
        <v>12</v>
      </c>
      <c r="D254" s="194" t="s">
        <v>57</v>
      </c>
      <c r="E254" s="108" t="s">
        <v>147</v>
      </c>
      <c r="F254" s="2460">
        <f t="shared" ref="F254:N254" si="23">2.40023223873546*(1/Unit.TWh)</f>
        <v>2.4002322387354602</v>
      </c>
      <c r="G254" s="2460">
        <f t="shared" si="23"/>
        <v>2.4002322387354602</v>
      </c>
      <c r="H254" s="2460">
        <f t="shared" si="23"/>
        <v>2.4002322387354602</v>
      </c>
      <c r="I254" s="2460">
        <f t="shared" si="23"/>
        <v>2.4002322387354602</v>
      </c>
      <c r="J254" s="2460">
        <f t="shared" si="23"/>
        <v>2.4002322387354602</v>
      </c>
      <c r="K254" s="2460">
        <f t="shared" si="23"/>
        <v>2.4002322387354602</v>
      </c>
      <c r="L254" s="2460">
        <f t="shared" si="23"/>
        <v>2.4002322387354602</v>
      </c>
      <c r="M254" s="2460">
        <f t="shared" si="23"/>
        <v>2.4002322387354602</v>
      </c>
      <c r="N254" s="2460">
        <f t="shared" si="23"/>
        <v>2.4002322387354602</v>
      </c>
      <c r="O254" s="67"/>
      <c r="P254" s="190"/>
      <c r="Q254"/>
    </row>
    <row r="255" spans="2:17" s="2" customFormat="1" ht="15.75">
      <c r="B255" s="55"/>
      <c r="C255" s="197">
        <v>12</v>
      </c>
      <c r="D255" s="198" t="s">
        <v>57</v>
      </c>
      <c r="E255" s="199" t="s">
        <v>148</v>
      </c>
      <c r="F255" s="3842">
        <f>F254*Constants!$H$35</f>
        <v>2.7947883198018216E-2</v>
      </c>
      <c r="G255" s="3842">
        <f>G254*Constants!$H$35</f>
        <v>2.7947883198018216E-2</v>
      </c>
      <c r="H255" s="3842">
        <f>H254*Constants!$H$35</f>
        <v>2.7947883198018216E-2</v>
      </c>
      <c r="I255" s="3842">
        <f>I254*Constants!$H$35</f>
        <v>2.7947883198018216E-2</v>
      </c>
      <c r="J255" s="3842">
        <f>J254*Constants!$H$35</f>
        <v>2.7947883198018216E-2</v>
      </c>
      <c r="K255" s="3842">
        <f>K254*Constants!$H$35</f>
        <v>2.7947883198018216E-2</v>
      </c>
      <c r="L255" s="3842">
        <f>L254*Constants!$H$35</f>
        <v>2.7947883198018216E-2</v>
      </c>
      <c r="M255" s="3842">
        <f>M254*Constants!$H$35</f>
        <v>2.7947883198018216E-2</v>
      </c>
      <c r="N255" s="3842">
        <f>N254*Constants!$H$35</f>
        <v>2.7947883198018216E-2</v>
      </c>
      <c r="O255" s="67"/>
      <c r="P255" s="190"/>
      <c r="Q255"/>
    </row>
    <row r="256" spans="2:17" s="2" customFormat="1" ht="15.75">
      <c r="B256" s="55"/>
      <c r="C256" s="171"/>
      <c r="D256" s="171"/>
      <c r="E256" s="57"/>
      <c r="F256" s="3408"/>
      <c r="G256" s="189"/>
      <c r="H256" s="189"/>
      <c r="I256" s="189"/>
      <c r="J256" s="189"/>
      <c r="K256" s="189"/>
      <c r="L256" s="189"/>
      <c r="M256" s="189"/>
      <c r="N256" s="189"/>
      <c r="O256" s="67"/>
      <c r="P256" s="190"/>
      <c r="Q256"/>
    </row>
    <row r="257" spans="2:17" s="2" customFormat="1" ht="15.75">
      <c r="B257" s="55"/>
      <c r="C257" s="191" t="s">
        <v>151</v>
      </c>
      <c r="D257" s="171"/>
      <c r="E257" s="57"/>
      <c r="F257" s="3408"/>
      <c r="G257" s="189"/>
      <c r="H257" s="189"/>
      <c r="I257" s="189"/>
      <c r="J257" s="189"/>
      <c r="K257" s="189"/>
      <c r="L257" s="189"/>
      <c r="M257" s="189"/>
      <c r="N257" s="192" t="str">
        <f>"kt/"&amp;Preferences.EnergyUnits</f>
        <v>kt/TWh</v>
      </c>
      <c r="O257" s="67"/>
      <c r="P257" s="190"/>
      <c r="Q257"/>
    </row>
    <row r="258" spans="2:17" s="2" customFormat="1" ht="15.75">
      <c r="B258" s="55"/>
      <c r="C258" s="191"/>
      <c r="D258" s="171"/>
      <c r="E258" s="57"/>
      <c r="F258" s="3408"/>
      <c r="G258" s="189"/>
      <c r="H258" s="189"/>
      <c r="I258" s="189"/>
      <c r="J258" s="189"/>
      <c r="K258" s="189"/>
      <c r="L258" s="189"/>
      <c r="M258" s="189"/>
      <c r="N258" s="189"/>
      <c r="O258" s="67"/>
      <c r="P258" s="190"/>
      <c r="Q258"/>
    </row>
    <row r="259" spans="2:17" s="2" customFormat="1" ht="15.75">
      <c r="B259" s="55"/>
      <c r="C259" s="52" t="s">
        <v>44</v>
      </c>
      <c r="D259" s="52" t="s">
        <v>131</v>
      </c>
      <c r="E259" s="52" t="s">
        <v>132</v>
      </c>
      <c r="F259" s="149">
        <v>2013</v>
      </c>
      <c r="G259" s="53" t="s">
        <v>133</v>
      </c>
      <c r="H259" s="53" t="s">
        <v>134</v>
      </c>
      <c r="I259" s="53" t="s">
        <v>135</v>
      </c>
      <c r="J259" s="53" t="s">
        <v>136</v>
      </c>
      <c r="K259" s="53" t="s">
        <v>137</v>
      </c>
      <c r="L259" s="53" t="s">
        <v>138</v>
      </c>
      <c r="M259" s="53" t="s">
        <v>139</v>
      </c>
      <c r="N259" s="53" t="s">
        <v>140</v>
      </c>
      <c r="O259" s="67"/>
      <c r="P259" s="190"/>
      <c r="Q259"/>
    </row>
    <row r="260" spans="2:17" s="2" customFormat="1" ht="15.75">
      <c r="B260" s="55"/>
      <c r="C260" s="193">
        <v>1</v>
      </c>
      <c r="D260" s="194" t="s">
        <v>141</v>
      </c>
      <c r="E260" s="108" t="s">
        <v>142</v>
      </c>
      <c r="F260" s="2460">
        <f t="shared" ref="F260:N260" si="24">0.00802071964139672*(1/Unit.TWh)</f>
        <v>8.0207196413967195E-3</v>
      </c>
      <c r="G260" s="2460">
        <f t="shared" si="24"/>
        <v>8.0207196413967195E-3</v>
      </c>
      <c r="H260" s="2460">
        <f t="shared" si="24"/>
        <v>8.0207196413967195E-3</v>
      </c>
      <c r="I260" s="2460">
        <f t="shared" si="24"/>
        <v>8.0207196413967195E-3</v>
      </c>
      <c r="J260" s="2460">
        <f t="shared" si="24"/>
        <v>8.0207196413967195E-3</v>
      </c>
      <c r="K260" s="2460">
        <f t="shared" si="24"/>
        <v>8.0207196413967195E-3</v>
      </c>
      <c r="L260" s="2460">
        <f t="shared" si="24"/>
        <v>8.0207196413967195E-3</v>
      </c>
      <c r="M260" s="2460">
        <f t="shared" si="24"/>
        <v>8.0207196413967195E-3</v>
      </c>
      <c r="N260" s="2460">
        <f t="shared" si="24"/>
        <v>8.0207196413967195E-3</v>
      </c>
      <c r="O260" s="67"/>
      <c r="P260" s="190"/>
      <c r="Q260"/>
    </row>
    <row r="261" spans="2:17" s="2" customFormat="1" ht="15.75">
      <c r="B261" s="55"/>
      <c r="C261" s="193">
        <v>1</v>
      </c>
      <c r="D261" s="194" t="s">
        <v>141</v>
      </c>
      <c r="E261" s="108" t="s">
        <v>143</v>
      </c>
      <c r="F261" s="2460">
        <f>F260*Constants!$I$37</f>
        <v>1.3055577325261421E-2</v>
      </c>
      <c r="G261" s="2460">
        <f>G260*Constants!$I$37</f>
        <v>1.3055577325261421E-2</v>
      </c>
      <c r="H261" s="2460">
        <f>H260*Constants!$I$37</f>
        <v>1.3055577325261421E-2</v>
      </c>
      <c r="I261" s="2460">
        <f>I260*Constants!$I$37</f>
        <v>1.3055577325261421E-2</v>
      </c>
      <c r="J261" s="2460">
        <f>J260*Constants!$I$37</f>
        <v>1.3055577325261421E-2</v>
      </c>
      <c r="K261" s="2460">
        <f>K260*Constants!$I$37</f>
        <v>1.3055577325261421E-2</v>
      </c>
      <c r="L261" s="2460">
        <f>L260*Constants!$I$37</f>
        <v>1.3055577325261421E-2</v>
      </c>
      <c r="M261" s="2460">
        <f>M260*Constants!$I$37</f>
        <v>1.3055577325261421E-2</v>
      </c>
      <c r="N261" s="2460">
        <f>N260*Constants!$I$37</f>
        <v>1.3055577325261421E-2</v>
      </c>
      <c r="O261" s="67"/>
      <c r="P261" s="190"/>
      <c r="Q261"/>
    </row>
    <row r="262" spans="2:17" s="2" customFormat="1" ht="15.75">
      <c r="B262" s="55"/>
      <c r="C262" s="193">
        <v>2</v>
      </c>
      <c r="D262" s="194" t="s">
        <v>144</v>
      </c>
      <c r="E262" s="108" t="s">
        <v>142</v>
      </c>
      <c r="F262" s="2460">
        <f t="shared" ref="F262:N262" si="25">0.00802071964139672*(1/Unit.TWh)</f>
        <v>8.0207196413967195E-3</v>
      </c>
      <c r="G262" s="2460">
        <f t="shared" si="25"/>
        <v>8.0207196413967195E-3</v>
      </c>
      <c r="H262" s="2460">
        <f t="shared" si="25"/>
        <v>8.0207196413967195E-3</v>
      </c>
      <c r="I262" s="2460">
        <f t="shared" si="25"/>
        <v>8.0207196413967195E-3</v>
      </c>
      <c r="J262" s="2460">
        <f t="shared" si="25"/>
        <v>8.0207196413967195E-3</v>
      </c>
      <c r="K262" s="2460">
        <f t="shared" si="25"/>
        <v>8.0207196413967195E-3</v>
      </c>
      <c r="L262" s="2460">
        <f t="shared" si="25"/>
        <v>8.0207196413967195E-3</v>
      </c>
      <c r="M262" s="2460">
        <f t="shared" si="25"/>
        <v>8.0207196413967195E-3</v>
      </c>
      <c r="N262" s="2460">
        <f t="shared" si="25"/>
        <v>8.0207196413967195E-3</v>
      </c>
      <c r="O262" s="67"/>
      <c r="P262" s="190"/>
      <c r="Q262"/>
    </row>
    <row r="263" spans="2:17" s="2" customFormat="1" ht="15.75">
      <c r="B263" s="55"/>
      <c r="C263" s="193">
        <v>2</v>
      </c>
      <c r="D263" s="194" t="s">
        <v>144</v>
      </c>
      <c r="E263" s="108" t="s">
        <v>143</v>
      </c>
      <c r="F263" s="2460">
        <f>F262*Constants!$I$37</f>
        <v>1.3055577325261421E-2</v>
      </c>
      <c r="G263" s="2460">
        <f>G262*Constants!$I$37</f>
        <v>1.3055577325261421E-2</v>
      </c>
      <c r="H263" s="2460">
        <f>H262*Constants!$I$37</f>
        <v>1.3055577325261421E-2</v>
      </c>
      <c r="I263" s="2460">
        <f>I262*Constants!$I$37</f>
        <v>1.3055577325261421E-2</v>
      </c>
      <c r="J263" s="2460">
        <f>J262*Constants!$I$37</f>
        <v>1.3055577325261421E-2</v>
      </c>
      <c r="K263" s="2460">
        <f>K262*Constants!$I$37</f>
        <v>1.3055577325261421E-2</v>
      </c>
      <c r="L263" s="2460">
        <f>L262*Constants!$I$37</f>
        <v>1.3055577325261421E-2</v>
      </c>
      <c r="M263" s="2460">
        <f>M262*Constants!$I$37</f>
        <v>1.3055577325261421E-2</v>
      </c>
      <c r="N263" s="2460">
        <f>N262*Constants!$I$37</f>
        <v>1.3055577325261421E-2</v>
      </c>
      <c r="O263" s="67"/>
      <c r="P263" s="190"/>
      <c r="Q263"/>
    </row>
    <row r="264" spans="2:17" s="2" customFormat="1" ht="15.75">
      <c r="B264" s="55"/>
      <c r="C264" s="193">
        <v>4</v>
      </c>
      <c r="D264" s="194" t="s">
        <v>49</v>
      </c>
      <c r="E264" s="108" t="s">
        <v>145</v>
      </c>
      <c r="F264" s="2460">
        <f t="shared" ref="F264:N264" si="26">0.00851823394100547*(1/Unit.TWh)</f>
        <v>8.5182339410054698E-3</v>
      </c>
      <c r="G264" s="2460">
        <f t="shared" si="26"/>
        <v>8.5182339410054698E-3</v>
      </c>
      <c r="H264" s="2460">
        <f t="shared" si="26"/>
        <v>8.5182339410054698E-3</v>
      </c>
      <c r="I264" s="2460">
        <f t="shared" si="26"/>
        <v>8.5182339410054698E-3</v>
      </c>
      <c r="J264" s="2460">
        <f t="shared" si="26"/>
        <v>8.5182339410054698E-3</v>
      </c>
      <c r="K264" s="2460">
        <f t="shared" si="26"/>
        <v>8.5182339410054698E-3</v>
      </c>
      <c r="L264" s="2460">
        <f t="shared" si="26"/>
        <v>8.5182339410054698E-3</v>
      </c>
      <c r="M264" s="2460">
        <f t="shared" si="26"/>
        <v>8.5182339410054698E-3</v>
      </c>
      <c r="N264" s="2460">
        <f t="shared" si="26"/>
        <v>8.5182339410054698E-3</v>
      </c>
      <c r="O264" s="67"/>
      <c r="P264" s="190"/>
      <c r="Q264"/>
    </row>
    <row r="265" spans="2:17" s="2" customFormat="1" ht="15.75">
      <c r="B265" s="55"/>
      <c r="C265" s="193">
        <v>4</v>
      </c>
      <c r="D265" s="194" t="s">
        <v>49</v>
      </c>
      <c r="E265" s="108" t="s">
        <v>146</v>
      </c>
      <c r="F265" s="2460">
        <f>F264*Constants!$I$36</f>
        <v>7.3177210805694115E-2</v>
      </c>
      <c r="G265" s="2460">
        <f>G264*Constants!$I$36</f>
        <v>7.3177210805694115E-2</v>
      </c>
      <c r="H265" s="2460">
        <f>H264*Constants!$I$36</f>
        <v>7.3177210805694115E-2</v>
      </c>
      <c r="I265" s="2460">
        <f>I264*Constants!$I$36</f>
        <v>7.3177210805694115E-2</v>
      </c>
      <c r="J265" s="2460">
        <f>J264*Constants!$I$36</f>
        <v>7.3177210805694115E-2</v>
      </c>
      <c r="K265" s="2460">
        <f>K264*Constants!$I$36</f>
        <v>7.3177210805694115E-2</v>
      </c>
      <c r="L265" s="2460">
        <f>L264*Constants!$I$36</f>
        <v>7.3177210805694115E-2</v>
      </c>
      <c r="M265" s="2460">
        <f>M264*Constants!$I$36</f>
        <v>7.3177210805694115E-2</v>
      </c>
      <c r="N265" s="2460">
        <f>N264*Constants!$I$36</f>
        <v>7.3177210805694115E-2</v>
      </c>
      <c r="O265" s="67"/>
      <c r="P265" s="190"/>
      <c r="Q265"/>
    </row>
    <row r="266" spans="2:17" s="2" customFormat="1" ht="15.75">
      <c r="B266" s="55"/>
      <c r="C266" s="193">
        <v>5</v>
      </c>
      <c r="D266" s="194" t="s">
        <v>50</v>
      </c>
      <c r="E266" s="108" t="s">
        <v>147</v>
      </c>
      <c r="F266" s="2460">
        <f t="shared" ref="F266:N266" si="27">0.00705882352941176*(1/Unit.TWh)</f>
        <v>7.0588235294117598E-3</v>
      </c>
      <c r="G266" s="2460">
        <f t="shared" si="27"/>
        <v>7.0588235294117598E-3</v>
      </c>
      <c r="H266" s="2460">
        <f t="shared" si="27"/>
        <v>7.0588235294117598E-3</v>
      </c>
      <c r="I266" s="2460">
        <f t="shared" si="27"/>
        <v>7.0588235294117598E-3</v>
      </c>
      <c r="J266" s="2460">
        <f t="shared" si="27"/>
        <v>7.0588235294117598E-3</v>
      </c>
      <c r="K266" s="2460">
        <f t="shared" si="27"/>
        <v>7.0588235294117598E-3</v>
      </c>
      <c r="L266" s="2460">
        <f t="shared" si="27"/>
        <v>7.0588235294117598E-3</v>
      </c>
      <c r="M266" s="2460">
        <f t="shared" si="27"/>
        <v>7.0588235294117598E-3</v>
      </c>
      <c r="N266" s="2460">
        <f t="shared" si="27"/>
        <v>7.0588235294117598E-3</v>
      </c>
      <c r="O266" s="67"/>
      <c r="P266" s="190"/>
      <c r="Q266"/>
    </row>
    <row r="267" spans="2:17" s="2" customFormat="1" ht="15.75">
      <c r="B267" s="55"/>
      <c r="C267" s="193">
        <v>5</v>
      </c>
      <c r="D267" s="194" t="s">
        <v>50</v>
      </c>
      <c r="E267" s="108" t="s">
        <v>148</v>
      </c>
      <c r="F267" s="2460">
        <f>F266*Constants!$I$35</f>
        <v>0.10814832499774214</v>
      </c>
      <c r="G267" s="2460">
        <f>G266*Constants!$I$35</f>
        <v>0.10814832499774214</v>
      </c>
      <c r="H267" s="2460">
        <f>H266*Constants!$I$35</f>
        <v>0.10814832499774214</v>
      </c>
      <c r="I267" s="2460">
        <f>I266*Constants!$I$35</f>
        <v>0.10814832499774214</v>
      </c>
      <c r="J267" s="2460">
        <f>J266*Constants!$I$35</f>
        <v>0.10814832499774214</v>
      </c>
      <c r="K267" s="2460">
        <f>K266*Constants!$I$35</f>
        <v>0.10814832499774214</v>
      </c>
      <c r="L267" s="2460">
        <f>L266*Constants!$I$35</f>
        <v>0.10814832499774214</v>
      </c>
      <c r="M267" s="2460">
        <f>M266*Constants!$I$35</f>
        <v>0.10814832499774214</v>
      </c>
      <c r="N267" s="2460">
        <f>N266*Constants!$I$35</f>
        <v>0.10814832499774214</v>
      </c>
      <c r="O267" s="67"/>
      <c r="P267" s="190"/>
      <c r="Q267"/>
    </row>
    <row r="268" spans="2:17" s="2" customFormat="1" ht="15.75">
      <c r="B268" s="55"/>
      <c r="C268" s="193">
        <v>6</v>
      </c>
      <c r="D268" s="194" t="s">
        <v>51</v>
      </c>
      <c r="E268" s="108" t="s">
        <v>142</v>
      </c>
      <c r="F268" s="2460">
        <f t="shared" ref="F268:N268" si="28">0.00802071964139672*(1/Unit.TWh)</f>
        <v>8.0207196413967195E-3</v>
      </c>
      <c r="G268" s="2460">
        <f t="shared" si="28"/>
        <v>8.0207196413967195E-3</v>
      </c>
      <c r="H268" s="2460">
        <f t="shared" si="28"/>
        <v>8.0207196413967195E-3</v>
      </c>
      <c r="I268" s="2460">
        <f t="shared" si="28"/>
        <v>8.0207196413967195E-3</v>
      </c>
      <c r="J268" s="2460">
        <f t="shared" si="28"/>
        <v>8.0207196413967195E-3</v>
      </c>
      <c r="K268" s="2460">
        <f t="shared" si="28"/>
        <v>8.0207196413967195E-3</v>
      </c>
      <c r="L268" s="2460">
        <f t="shared" si="28"/>
        <v>8.0207196413967195E-3</v>
      </c>
      <c r="M268" s="2460">
        <f t="shared" si="28"/>
        <v>8.0207196413967195E-3</v>
      </c>
      <c r="N268" s="2460">
        <f t="shared" si="28"/>
        <v>8.0207196413967195E-3</v>
      </c>
      <c r="O268" s="67"/>
      <c r="P268" s="190"/>
      <c r="Q268"/>
    </row>
    <row r="269" spans="2:17" s="2" customFormat="1" ht="15.75">
      <c r="B269" s="55"/>
      <c r="C269" s="193">
        <v>6</v>
      </c>
      <c r="D269" s="194" t="s">
        <v>51</v>
      </c>
      <c r="E269" s="108" t="s">
        <v>143</v>
      </c>
      <c r="F269" s="2460">
        <f>F268*Constants!$I$37</f>
        <v>1.3055577325261421E-2</v>
      </c>
      <c r="G269" s="2460">
        <f>G268*Constants!$I$37</f>
        <v>1.3055577325261421E-2</v>
      </c>
      <c r="H269" s="2460">
        <f>H268*Constants!$I$37</f>
        <v>1.3055577325261421E-2</v>
      </c>
      <c r="I269" s="2460">
        <f>I268*Constants!$I$37</f>
        <v>1.3055577325261421E-2</v>
      </c>
      <c r="J269" s="2460">
        <f>J268*Constants!$I$37</f>
        <v>1.3055577325261421E-2</v>
      </c>
      <c r="K269" s="2460">
        <f>K268*Constants!$I$37</f>
        <v>1.3055577325261421E-2</v>
      </c>
      <c r="L269" s="2460">
        <f>L268*Constants!$I$37</f>
        <v>1.3055577325261421E-2</v>
      </c>
      <c r="M269" s="2460">
        <f>M268*Constants!$I$37</f>
        <v>1.3055577325261421E-2</v>
      </c>
      <c r="N269" s="2460">
        <f>N268*Constants!$I$37</f>
        <v>1.3055577325261421E-2</v>
      </c>
      <c r="O269" s="67"/>
      <c r="P269" s="190"/>
      <c r="Q269"/>
    </row>
    <row r="270" spans="2:17" s="2" customFormat="1" ht="15.75">
      <c r="B270" s="55"/>
      <c r="C270" s="193">
        <v>7</v>
      </c>
      <c r="D270" s="194" t="s">
        <v>52</v>
      </c>
      <c r="E270" s="108" t="s">
        <v>142</v>
      </c>
      <c r="F270" s="2460">
        <f t="shared" ref="F270:N270" si="29">0*(1/Unit.GWh)</f>
        <v>0</v>
      </c>
      <c r="G270" s="2460">
        <f t="shared" si="29"/>
        <v>0</v>
      </c>
      <c r="H270" s="2460">
        <f t="shared" si="29"/>
        <v>0</v>
      </c>
      <c r="I270" s="2460">
        <f t="shared" si="29"/>
        <v>0</v>
      </c>
      <c r="J270" s="2460">
        <f t="shared" si="29"/>
        <v>0</v>
      </c>
      <c r="K270" s="2460">
        <f t="shared" si="29"/>
        <v>0</v>
      </c>
      <c r="L270" s="2460">
        <f t="shared" si="29"/>
        <v>0</v>
      </c>
      <c r="M270" s="2460">
        <f t="shared" si="29"/>
        <v>0</v>
      </c>
      <c r="N270" s="2460">
        <f t="shared" si="29"/>
        <v>0</v>
      </c>
      <c r="O270" s="67"/>
      <c r="P270" s="190"/>
      <c r="Q270"/>
    </row>
    <row r="271" spans="2:17" s="2" customFormat="1" ht="15.75">
      <c r="B271" s="55"/>
      <c r="C271" s="193">
        <v>7</v>
      </c>
      <c r="D271" s="194" t="s">
        <v>52</v>
      </c>
      <c r="E271" s="108" t="s">
        <v>143</v>
      </c>
      <c r="F271" s="2460">
        <f>F270*Constants!$I$37</f>
        <v>0</v>
      </c>
      <c r="G271" s="2460">
        <f>G270*Constants!$I$37</f>
        <v>0</v>
      </c>
      <c r="H271" s="2460">
        <f>H270*Constants!$I$37</f>
        <v>0</v>
      </c>
      <c r="I271" s="2460">
        <f>I270*Constants!$I$37</f>
        <v>0</v>
      </c>
      <c r="J271" s="2460">
        <f>J270*Constants!$I$37</f>
        <v>0</v>
      </c>
      <c r="K271" s="2460">
        <f>K270*Constants!$I$37</f>
        <v>0</v>
      </c>
      <c r="L271" s="2460">
        <f>L270*Constants!$I$37</f>
        <v>0</v>
      </c>
      <c r="M271" s="2460">
        <f>M270*Constants!$I$37</f>
        <v>0</v>
      </c>
      <c r="N271" s="2460">
        <f>N270*Constants!$I$37</f>
        <v>0</v>
      </c>
      <c r="O271" s="67"/>
      <c r="P271" s="190"/>
      <c r="Q271"/>
    </row>
    <row r="272" spans="2:17" s="2" customFormat="1" ht="15.75">
      <c r="B272" s="55"/>
      <c r="C272" s="193">
        <v>11</v>
      </c>
      <c r="D272" s="194" t="s">
        <v>56</v>
      </c>
      <c r="E272" s="108" t="s">
        <v>142</v>
      </c>
      <c r="F272" s="2460">
        <f t="shared" ref="F272:N272" si="30">0.00802071964139672*(1/Unit.TWh)</f>
        <v>8.0207196413967195E-3</v>
      </c>
      <c r="G272" s="2460">
        <f t="shared" si="30"/>
        <v>8.0207196413967195E-3</v>
      </c>
      <c r="H272" s="2460">
        <f t="shared" si="30"/>
        <v>8.0207196413967195E-3</v>
      </c>
      <c r="I272" s="2460">
        <f t="shared" si="30"/>
        <v>8.0207196413967195E-3</v>
      </c>
      <c r="J272" s="2460">
        <f t="shared" si="30"/>
        <v>8.0207196413967195E-3</v>
      </c>
      <c r="K272" s="2460">
        <f t="shared" si="30"/>
        <v>8.0207196413967195E-3</v>
      </c>
      <c r="L272" s="2460">
        <f t="shared" si="30"/>
        <v>8.0207196413967195E-3</v>
      </c>
      <c r="M272" s="2460">
        <f t="shared" si="30"/>
        <v>8.0207196413967195E-3</v>
      </c>
      <c r="N272" s="2460">
        <f t="shared" si="30"/>
        <v>8.0207196413967195E-3</v>
      </c>
      <c r="O272" s="67"/>
      <c r="P272" s="190"/>
      <c r="Q272"/>
    </row>
    <row r="273" spans="1:18" s="2" customFormat="1" ht="15.75">
      <c r="B273" s="55"/>
      <c r="C273" s="193">
        <v>11</v>
      </c>
      <c r="D273" s="194" t="s">
        <v>56</v>
      </c>
      <c r="E273" s="108" t="s">
        <v>143</v>
      </c>
      <c r="F273" s="2460">
        <f>F272*Constants!$I$37</f>
        <v>1.3055577325261421E-2</v>
      </c>
      <c r="G273" s="2460">
        <f>G272*Constants!$I$37</f>
        <v>1.3055577325261421E-2</v>
      </c>
      <c r="H273" s="2460">
        <f>H272*Constants!$I$37</f>
        <v>1.3055577325261421E-2</v>
      </c>
      <c r="I273" s="2460">
        <f>I272*Constants!$I$37</f>
        <v>1.3055577325261421E-2</v>
      </c>
      <c r="J273" s="2460">
        <f>J272*Constants!$I$37</f>
        <v>1.3055577325261421E-2</v>
      </c>
      <c r="K273" s="2460">
        <f>K272*Constants!$I$37</f>
        <v>1.3055577325261421E-2</v>
      </c>
      <c r="L273" s="2460">
        <f>L272*Constants!$I$37</f>
        <v>1.3055577325261421E-2</v>
      </c>
      <c r="M273" s="2460">
        <f>M272*Constants!$I$37</f>
        <v>1.3055577325261421E-2</v>
      </c>
      <c r="N273" s="2460">
        <f>N272*Constants!$I$37</f>
        <v>1.3055577325261421E-2</v>
      </c>
      <c r="O273" s="67"/>
      <c r="P273" s="190"/>
      <c r="Q273"/>
    </row>
    <row r="274" spans="1:18" s="2" customFormat="1" ht="15.75">
      <c r="B274" s="55"/>
      <c r="C274" s="193">
        <v>12</v>
      </c>
      <c r="D274" s="194" t="s">
        <v>57</v>
      </c>
      <c r="E274" s="108" t="s">
        <v>147</v>
      </c>
      <c r="F274" s="2460">
        <f t="shared" ref="F274:N274" si="31">0.00705882352941176*(1/Unit.TWh)</f>
        <v>7.0588235294117598E-3</v>
      </c>
      <c r="G274" s="2460">
        <f t="shared" si="31"/>
        <v>7.0588235294117598E-3</v>
      </c>
      <c r="H274" s="2460">
        <f t="shared" si="31"/>
        <v>7.0588235294117598E-3</v>
      </c>
      <c r="I274" s="2460">
        <f t="shared" si="31"/>
        <v>7.0588235294117598E-3</v>
      </c>
      <c r="J274" s="2460">
        <f t="shared" si="31"/>
        <v>7.0588235294117598E-3</v>
      </c>
      <c r="K274" s="2460">
        <f t="shared" si="31"/>
        <v>7.0588235294117598E-3</v>
      </c>
      <c r="L274" s="2460">
        <f t="shared" si="31"/>
        <v>7.0588235294117598E-3</v>
      </c>
      <c r="M274" s="2460">
        <f t="shared" si="31"/>
        <v>7.0588235294117598E-3</v>
      </c>
      <c r="N274" s="2460">
        <f t="shared" si="31"/>
        <v>7.0588235294117598E-3</v>
      </c>
      <c r="O274" s="67"/>
      <c r="P274" s="190"/>
      <c r="Q274"/>
    </row>
    <row r="275" spans="1:18" s="2" customFormat="1" ht="15.75">
      <c r="B275" s="55"/>
      <c r="C275" s="197">
        <v>12</v>
      </c>
      <c r="D275" s="198" t="s">
        <v>57</v>
      </c>
      <c r="E275" s="199" t="s">
        <v>148</v>
      </c>
      <c r="F275" s="3842">
        <f>F274*Constants!$I$35</f>
        <v>0.10814832499774214</v>
      </c>
      <c r="G275" s="3842">
        <f>G274*Constants!$I$35</f>
        <v>0.10814832499774214</v>
      </c>
      <c r="H275" s="3842">
        <f>H274*Constants!$I$35</f>
        <v>0.10814832499774214</v>
      </c>
      <c r="I275" s="3842">
        <f>I274*Constants!$I$35</f>
        <v>0.10814832499774214</v>
      </c>
      <c r="J275" s="3842">
        <f>J274*Constants!$I$35</f>
        <v>0.10814832499774214</v>
      </c>
      <c r="K275" s="3842">
        <f>K274*Constants!$I$35</f>
        <v>0.10814832499774214</v>
      </c>
      <c r="L275" s="3842">
        <f>L274*Constants!$I$35</f>
        <v>0.10814832499774214</v>
      </c>
      <c r="M275" s="3842">
        <f>M274*Constants!$I$35</f>
        <v>0.10814832499774214</v>
      </c>
      <c r="N275" s="3842">
        <f>N274*Constants!$I$35</f>
        <v>0.10814832499774214</v>
      </c>
      <c r="O275" s="67"/>
      <c r="P275" s="190"/>
      <c r="Q275"/>
    </row>
    <row r="276" spans="1:18">
      <c r="B276" s="110"/>
      <c r="C276" s="67"/>
      <c r="D276" s="67"/>
      <c r="E276" s="67"/>
      <c r="F276" s="67"/>
      <c r="G276" s="67"/>
      <c r="H276" s="67"/>
      <c r="I276" s="67"/>
      <c r="J276" s="67"/>
      <c r="K276" s="67"/>
      <c r="L276" s="67"/>
      <c r="M276" s="67"/>
      <c r="N276" s="67"/>
      <c r="O276" s="67"/>
      <c r="P276" s="885"/>
    </row>
    <row r="277" spans="1:18">
      <c r="B277" s="110"/>
      <c r="C277" s="3862" t="s">
        <v>64</v>
      </c>
      <c r="D277" s="3864" t="s">
        <v>962</v>
      </c>
      <c r="E277" s="67"/>
      <c r="F277" s="67"/>
      <c r="G277" s="67"/>
      <c r="H277" s="67"/>
      <c r="I277" s="67"/>
      <c r="J277" s="67"/>
      <c r="K277" s="67"/>
      <c r="L277" s="67"/>
      <c r="M277" s="67"/>
      <c r="N277" s="67"/>
      <c r="O277" s="67"/>
      <c r="P277" s="885"/>
    </row>
    <row r="278" spans="1:18">
      <c r="B278" s="110"/>
      <c r="C278" s="51"/>
      <c r="D278" s="3864"/>
      <c r="E278" s="67"/>
      <c r="F278" s="67"/>
      <c r="G278" s="67"/>
      <c r="H278" s="67"/>
      <c r="I278" s="67"/>
      <c r="J278" s="67"/>
      <c r="K278" s="67"/>
      <c r="L278" s="67"/>
      <c r="M278" s="67"/>
      <c r="N278" s="67"/>
      <c r="O278" s="67"/>
      <c r="P278" s="885"/>
    </row>
    <row r="279" spans="1:18" s="927" customFormat="1">
      <c r="B279" s="1279"/>
      <c r="C279" s="1280"/>
      <c r="D279" s="3887"/>
      <c r="E279" s="1281"/>
      <c r="F279" s="1281"/>
      <c r="G279" s="1281"/>
      <c r="H279" s="1281"/>
      <c r="I279" s="1281"/>
      <c r="J279" s="1281"/>
      <c r="K279" s="1281"/>
      <c r="L279" s="1281"/>
      <c r="M279" s="1281"/>
      <c r="N279" s="1281"/>
      <c r="O279" s="1281"/>
      <c r="P279" s="1282"/>
      <c r="Q279"/>
    </row>
    <row r="280" spans="1:18">
      <c r="E280" t="s">
        <v>5</v>
      </c>
    </row>
    <row r="281" spans="1:18" ht="23.25">
      <c r="A281" s="7"/>
      <c r="B281" s="878" t="s">
        <v>2794</v>
      </c>
      <c r="C281" s="1283"/>
      <c r="D281" s="1283"/>
      <c r="E281" s="1283"/>
      <c r="F281" s="1283"/>
      <c r="G281" s="1283"/>
      <c r="H281" s="1283"/>
      <c r="I281" s="1283"/>
      <c r="J281" s="1283"/>
      <c r="K281" s="1283"/>
      <c r="L281" s="1283"/>
      <c r="M281" s="1283"/>
      <c r="N281" s="1283"/>
      <c r="O281" s="1283"/>
      <c r="P281" s="1284"/>
      <c r="Q281" s="1284"/>
      <c r="R281" s="1284"/>
    </row>
    <row r="282" spans="1:18" s="39" customFormat="1" hidden="1">
      <c r="B282" s="85"/>
      <c r="C282" s="1285"/>
      <c r="D282" s="194"/>
      <c r="E282" s="1286"/>
      <c r="F282" s="1286"/>
      <c r="G282" s="1286"/>
      <c r="H282" s="1286"/>
      <c r="I282" s="1286"/>
      <c r="J282" s="1286"/>
      <c r="K282" s="85"/>
      <c r="L282" s="85"/>
      <c r="M282" s="85"/>
      <c r="N282" s="85"/>
      <c r="O282" s="85"/>
      <c r="P282" s="85"/>
      <c r="Q282" s="47"/>
      <c r="R282" s="47"/>
    </row>
    <row r="283" spans="1:18" s="39" customFormat="1" hidden="1">
      <c r="B283" s="85"/>
      <c r="C283" s="1287"/>
      <c r="D283" s="194"/>
      <c r="E283" s="1286"/>
      <c r="F283" s="1286"/>
      <c r="G283" s="1286"/>
      <c r="H283" s="1286"/>
      <c r="I283" s="1286"/>
      <c r="J283" s="1286"/>
      <c r="K283" s="1288"/>
      <c r="L283" s="85"/>
      <c r="M283" s="85"/>
      <c r="N283" s="85"/>
      <c r="O283" s="85"/>
      <c r="P283" s="85"/>
      <c r="Q283" s="47"/>
      <c r="R283" s="47"/>
    </row>
    <row r="284" spans="1:18" s="39" customFormat="1" hidden="1">
      <c r="B284" s="85"/>
      <c r="C284" s="1287" t="s">
        <v>963</v>
      </c>
      <c r="D284" s="194"/>
      <c r="E284" s="1286"/>
      <c r="F284" s="1286"/>
      <c r="G284" s="1286"/>
      <c r="H284" s="1286"/>
      <c r="I284" s="1286"/>
      <c r="J284" s="1286"/>
      <c r="K284" s="1288" t="s">
        <v>964</v>
      </c>
      <c r="L284" s="85"/>
      <c r="M284" s="85"/>
      <c r="N284" s="85"/>
      <c r="O284" s="85"/>
      <c r="P284" s="85"/>
      <c r="Q284" s="47"/>
      <c r="R284" s="47"/>
    </row>
    <row r="285" spans="1:18" s="39" customFormat="1" hidden="1">
      <c r="B285" s="85"/>
      <c r="C285" s="1285"/>
      <c r="D285" s="194"/>
      <c r="E285" s="1286"/>
      <c r="F285" s="1286"/>
      <c r="G285" s="1286"/>
      <c r="H285" s="1286"/>
      <c r="I285" s="1286"/>
      <c r="J285" s="1286"/>
      <c r="K285" s="85"/>
      <c r="L285" s="85" t="s">
        <v>2818</v>
      </c>
      <c r="M285" s="85"/>
      <c r="N285" s="85"/>
      <c r="O285" s="85"/>
      <c r="P285" s="85"/>
      <c r="Q285" s="47"/>
      <c r="R285" s="47"/>
    </row>
    <row r="286" spans="1:18" s="39" customFormat="1" hidden="1">
      <c r="B286" s="85"/>
      <c r="C286" s="1285"/>
      <c r="D286" s="194" t="s">
        <v>2833</v>
      </c>
      <c r="E286" s="1286"/>
      <c r="F286" s="4163" t="s">
        <v>965</v>
      </c>
      <c r="G286" s="4164"/>
      <c r="H286" s="4164"/>
      <c r="I286" s="4163" t="s">
        <v>966</v>
      </c>
      <c r="J286" s="4164"/>
      <c r="K286" s="4164"/>
      <c r="L286" s="4163" t="s">
        <v>965</v>
      </c>
      <c r="M286" s="4164"/>
      <c r="N286" s="4164"/>
      <c r="O286" s="4163" t="s">
        <v>966</v>
      </c>
      <c r="P286" s="4164"/>
      <c r="Q286" s="4164"/>
      <c r="R286" s="47"/>
    </row>
    <row r="287" spans="1:18" s="39" customFormat="1" hidden="1">
      <c r="B287" s="85"/>
      <c r="C287" s="85"/>
      <c r="D287" s="85"/>
      <c r="E287" s="85"/>
      <c r="F287" s="1289" t="s">
        <v>175</v>
      </c>
      <c r="G287" s="1290" t="s">
        <v>161</v>
      </c>
      <c r="H287" s="1289" t="s">
        <v>20</v>
      </c>
      <c r="I287" s="1291" t="s">
        <v>175</v>
      </c>
      <c r="J287" s="1291" t="s">
        <v>161</v>
      </c>
      <c r="K287" s="1289" t="s">
        <v>20</v>
      </c>
      <c r="L287" s="1292" t="s">
        <v>175</v>
      </c>
      <c r="M287" s="1289" t="s">
        <v>161</v>
      </c>
      <c r="N287" s="1292" t="s">
        <v>20</v>
      </c>
      <c r="O287" s="1293" t="s">
        <v>175</v>
      </c>
      <c r="P287" s="1293" t="s">
        <v>161</v>
      </c>
      <c r="Q287" s="1292" t="s">
        <v>20</v>
      </c>
      <c r="R287" s="47"/>
    </row>
    <row r="288" spans="1:18" s="39" customFormat="1" hidden="1">
      <c r="B288" s="1294"/>
      <c r="C288" s="1295">
        <v>1</v>
      </c>
      <c r="D288" s="1296" t="s">
        <v>46</v>
      </c>
      <c r="E288" s="1297"/>
      <c r="F288" s="1298">
        <v>55</v>
      </c>
      <c r="G288" s="1290">
        <v>43.95</v>
      </c>
      <c r="H288" s="1298">
        <v>38</v>
      </c>
      <c r="I288" s="1298">
        <v>12</v>
      </c>
      <c r="J288" s="1290">
        <v>6.15</v>
      </c>
      <c r="K288" s="1298">
        <v>3</v>
      </c>
      <c r="L288" s="1299">
        <v>110</v>
      </c>
      <c r="M288" s="1290">
        <v>87.9</v>
      </c>
      <c r="N288" s="1299">
        <v>76</v>
      </c>
      <c r="O288" s="1299">
        <v>24</v>
      </c>
      <c r="P288" s="1290">
        <v>12.3</v>
      </c>
      <c r="Q288" s="1299">
        <v>6</v>
      </c>
      <c r="R288" s="47"/>
    </row>
    <row r="289" spans="2:18" s="39" customFormat="1" hidden="1">
      <c r="B289" s="1294"/>
      <c r="C289" s="1300">
        <v>2</v>
      </c>
      <c r="D289" s="194" t="s">
        <v>47</v>
      </c>
      <c r="E289" s="57"/>
      <c r="F289" s="1298">
        <v>55</v>
      </c>
      <c r="G289" s="1290">
        <v>43.95</v>
      </c>
      <c r="H289" s="1298">
        <v>38</v>
      </c>
      <c r="I289" s="1298">
        <v>12</v>
      </c>
      <c r="J289" s="1290">
        <v>6.15</v>
      </c>
      <c r="K289" s="1298">
        <v>3</v>
      </c>
      <c r="L289" s="1299">
        <v>110</v>
      </c>
      <c r="M289" s="1290">
        <v>87.9</v>
      </c>
      <c r="N289" s="1299">
        <v>76</v>
      </c>
      <c r="O289" s="1299">
        <v>24</v>
      </c>
      <c r="P289" s="1290">
        <v>12.3</v>
      </c>
      <c r="Q289" s="1299">
        <v>6</v>
      </c>
      <c r="R289" s="47"/>
    </row>
    <row r="290" spans="2:18" s="39" customFormat="1" hidden="1">
      <c r="B290" s="1294"/>
      <c r="C290" s="1300">
        <v>3</v>
      </c>
      <c r="D290" s="194" t="s">
        <v>48</v>
      </c>
      <c r="E290" s="57"/>
      <c r="F290" s="1298">
        <v>195</v>
      </c>
      <c r="G290" s="1290">
        <v>110.5</v>
      </c>
      <c r="H290" s="1298">
        <v>65</v>
      </c>
      <c r="I290" s="1298">
        <v>1.5</v>
      </c>
      <c r="J290" s="1290">
        <v>0.85</v>
      </c>
      <c r="K290" s="1298">
        <v>0.5</v>
      </c>
      <c r="L290" s="1299">
        <v>390</v>
      </c>
      <c r="M290" s="1290">
        <v>221</v>
      </c>
      <c r="N290" s="1299">
        <v>130</v>
      </c>
      <c r="O290" s="1299">
        <v>3</v>
      </c>
      <c r="P290" s="1290">
        <v>1.7</v>
      </c>
      <c r="Q290" s="1299">
        <v>1</v>
      </c>
      <c r="R290" s="47"/>
    </row>
    <row r="291" spans="2:18" s="39" customFormat="1" hidden="1">
      <c r="B291" s="1294"/>
      <c r="C291" s="1300">
        <v>4</v>
      </c>
      <c r="D291" s="194" t="s">
        <v>49</v>
      </c>
      <c r="E291" s="57"/>
      <c r="F291" s="1298">
        <v>55.5</v>
      </c>
      <c r="G291" s="1290">
        <v>31.45</v>
      </c>
      <c r="H291" s="1298">
        <v>18.5</v>
      </c>
      <c r="I291" s="1298">
        <v>4.5</v>
      </c>
      <c r="J291" s="1290">
        <v>2.5499999999999998</v>
      </c>
      <c r="K291" s="1298">
        <v>1.5</v>
      </c>
      <c r="L291" s="1299">
        <v>111</v>
      </c>
      <c r="M291" s="1290">
        <v>62.9</v>
      </c>
      <c r="N291" s="1299">
        <v>37</v>
      </c>
      <c r="O291" s="1299">
        <v>9</v>
      </c>
      <c r="P291" s="1290">
        <v>5.0999999999999996</v>
      </c>
      <c r="Q291" s="1299">
        <v>3</v>
      </c>
      <c r="R291" s="47"/>
    </row>
    <row r="292" spans="2:18" s="39" customFormat="1" hidden="1">
      <c r="B292" s="1294"/>
      <c r="C292" s="1300">
        <v>5</v>
      </c>
      <c r="D292" s="194" t="s">
        <v>50</v>
      </c>
      <c r="E292" s="57"/>
      <c r="F292" s="1298">
        <v>384</v>
      </c>
      <c r="G292" s="1290">
        <v>154.55000000000001</v>
      </c>
      <c r="H292" s="1298">
        <v>31</v>
      </c>
      <c r="I292" s="1298">
        <v>5</v>
      </c>
      <c r="J292" s="1290">
        <v>3.7</v>
      </c>
      <c r="K292" s="1298">
        <v>3</v>
      </c>
      <c r="L292" s="1299">
        <v>768</v>
      </c>
      <c r="M292" s="1290">
        <v>309.10000000000002</v>
      </c>
      <c r="N292" s="1299">
        <v>62</v>
      </c>
      <c r="O292" s="1299">
        <v>10</v>
      </c>
      <c r="P292" s="1290">
        <v>7.4</v>
      </c>
      <c r="Q292" s="1299">
        <v>6</v>
      </c>
      <c r="R292" s="47"/>
    </row>
    <row r="293" spans="2:18" s="39" customFormat="1" hidden="1">
      <c r="B293" s="1294"/>
      <c r="C293" s="1300">
        <v>6</v>
      </c>
      <c r="D293" s="194" t="s">
        <v>51</v>
      </c>
      <c r="E293" s="57"/>
      <c r="F293" s="1298">
        <v>196</v>
      </c>
      <c r="G293" s="1290">
        <v>183</v>
      </c>
      <c r="H293" s="1298">
        <v>176</v>
      </c>
      <c r="I293" s="1298">
        <v>12</v>
      </c>
      <c r="J293" s="1290">
        <v>6.15</v>
      </c>
      <c r="K293" s="1298">
        <v>3</v>
      </c>
      <c r="L293" s="1299">
        <v>392</v>
      </c>
      <c r="M293" s="1290">
        <v>366</v>
      </c>
      <c r="N293" s="1299">
        <v>352</v>
      </c>
      <c r="O293" s="1299">
        <v>24</v>
      </c>
      <c r="P293" s="1290">
        <v>12.3</v>
      </c>
      <c r="Q293" s="1299">
        <v>6</v>
      </c>
      <c r="R293" s="47"/>
    </row>
    <row r="294" spans="2:18" s="39" customFormat="1" hidden="1">
      <c r="B294" s="1294"/>
      <c r="C294" s="1300">
        <v>7</v>
      </c>
      <c r="D294" s="194" t="s">
        <v>52</v>
      </c>
      <c r="E294" s="57"/>
      <c r="F294" s="1298">
        <v>276</v>
      </c>
      <c r="G294" s="1290">
        <v>237.65</v>
      </c>
      <c r="H294" s="1298">
        <v>217</v>
      </c>
      <c r="I294" s="1298">
        <v>12</v>
      </c>
      <c r="J294" s="1290">
        <v>6.15</v>
      </c>
      <c r="K294" s="1298">
        <v>3</v>
      </c>
      <c r="L294" s="1299">
        <v>552</v>
      </c>
      <c r="M294" s="1290">
        <v>475.3</v>
      </c>
      <c r="N294" s="1299">
        <v>434</v>
      </c>
      <c r="O294" s="1299">
        <v>24</v>
      </c>
      <c r="P294" s="1290">
        <v>12.3</v>
      </c>
      <c r="Q294" s="1299">
        <v>6</v>
      </c>
      <c r="R294" s="67"/>
    </row>
    <row r="295" spans="2:18" s="39" customFormat="1" hidden="1">
      <c r="B295" s="1294"/>
      <c r="C295" s="1300">
        <v>8</v>
      </c>
      <c r="D295" s="194" t="s">
        <v>53</v>
      </c>
      <c r="E295" s="57"/>
      <c r="F295" s="1301">
        <v>205</v>
      </c>
      <c r="G295" s="1290">
        <v>163.4</v>
      </c>
      <c r="H295" s="1301">
        <v>141</v>
      </c>
      <c r="I295" s="1302">
        <v>2</v>
      </c>
      <c r="J295" s="1290">
        <v>0.83000000000000007</v>
      </c>
      <c r="K295" s="1301">
        <v>0.2</v>
      </c>
      <c r="L295" s="1299">
        <v>410</v>
      </c>
      <c r="M295" s="1290">
        <v>326.8</v>
      </c>
      <c r="N295" s="1299">
        <v>282</v>
      </c>
      <c r="O295" s="1299">
        <v>4</v>
      </c>
      <c r="P295" s="1290">
        <v>1.6600000000000001</v>
      </c>
      <c r="Q295" s="1299">
        <v>0.4</v>
      </c>
      <c r="R295" s="47"/>
    </row>
    <row r="296" spans="2:18" s="39" customFormat="1" hidden="1">
      <c r="B296" s="1294"/>
      <c r="C296" s="1300">
        <v>9</v>
      </c>
      <c r="D296" s="194" t="s">
        <v>54</v>
      </c>
      <c r="E296" s="57"/>
      <c r="F296" s="1301">
        <v>183</v>
      </c>
      <c r="G296" s="1290">
        <v>147.25</v>
      </c>
      <c r="H296" s="1301">
        <v>128</v>
      </c>
      <c r="I296" s="1302">
        <v>0.6</v>
      </c>
      <c r="J296" s="1290">
        <v>0.27500000000000002</v>
      </c>
      <c r="K296" s="1301">
        <v>0.1</v>
      </c>
      <c r="L296" s="1299">
        <v>366</v>
      </c>
      <c r="M296" s="1290">
        <v>294.5</v>
      </c>
      <c r="N296" s="1299">
        <v>256</v>
      </c>
      <c r="O296" s="1299">
        <v>1.2</v>
      </c>
      <c r="P296" s="1290">
        <v>0.55000000000000004</v>
      </c>
      <c r="Q296" s="1299">
        <v>0.2</v>
      </c>
      <c r="R296" s="47"/>
    </row>
    <row r="297" spans="2:18" s="39" customFormat="1" hidden="1">
      <c r="B297" s="1294"/>
      <c r="C297" s="1300">
        <v>10</v>
      </c>
      <c r="D297" s="194" t="s">
        <v>55</v>
      </c>
      <c r="E297" s="57"/>
      <c r="F297" s="1298">
        <v>733</v>
      </c>
      <c r="G297" s="1290">
        <v>415.15</v>
      </c>
      <c r="H297" s="1301">
        <v>244</v>
      </c>
      <c r="I297" s="1301">
        <v>15</v>
      </c>
      <c r="J297" s="1290">
        <v>8.5</v>
      </c>
      <c r="K297" s="1301">
        <v>5</v>
      </c>
      <c r="L297" s="1299">
        <v>1530.8</v>
      </c>
      <c r="M297" s="1290">
        <v>711.54</v>
      </c>
      <c r="N297" s="1299">
        <v>270.39999999999998</v>
      </c>
      <c r="O297" s="1299">
        <v>15</v>
      </c>
      <c r="P297" s="1290">
        <v>8.5</v>
      </c>
      <c r="Q297" s="1299">
        <v>5</v>
      </c>
      <c r="R297" s="47"/>
    </row>
    <row r="298" spans="2:18" s="39" customFormat="1" hidden="1">
      <c r="B298" s="1294"/>
      <c r="C298" s="1300">
        <v>11</v>
      </c>
      <c r="D298" s="194" t="s">
        <v>56</v>
      </c>
      <c r="E298" s="57"/>
      <c r="F298" s="1298">
        <v>134</v>
      </c>
      <c r="G298" s="1290">
        <v>109.3</v>
      </c>
      <c r="H298" s="1301">
        <v>96</v>
      </c>
      <c r="I298" s="1301">
        <v>10</v>
      </c>
      <c r="J298" s="1290">
        <v>6.75</v>
      </c>
      <c r="K298" s="1301">
        <v>5</v>
      </c>
      <c r="L298" s="1299">
        <v>332.8</v>
      </c>
      <c r="M298" s="1290">
        <v>196.04000000000002</v>
      </c>
      <c r="N298" s="1299">
        <v>122.4</v>
      </c>
      <c r="O298" s="1299">
        <v>10</v>
      </c>
      <c r="P298" s="1290">
        <v>6.75</v>
      </c>
      <c r="Q298" s="1299">
        <v>5</v>
      </c>
      <c r="R298" s="47"/>
    </row>
    <row r="299" spans="2:18" s="39" customFormat="1" hidden="1">
      <c r="B299" s="1294"/>
      <c r="C299" s="1300">
        <v>12</v>
      </c>
      <c r="D299" s="194" t="s">
        <v>57</v>
      </c>
      <c r="E299" s="57"/>
      <c r="F299" s="1298">
        <v>194</v>
      </c>
      <c r="G299" s="1290">
        <v>147.85</v>
      </c>
      <c r="H299" s="1301">
        <v>123</v>
      </c>
      <c r="I299" s="1298">
        <v>11</v>
      </c>
      <c r="J299" s="1290">
        <v>5.8</v>
      </c>
      <c r="K299" s="1301">
        <v>3</v>
      </c>
      <c r="L299" s="1299">
        <v>452.8</v>
      </c>
      <c r="M299" s="1290">
        <v>255.58999999999997</v>
      </c>
      <c r="N299" s="1299">
        <v>149.4</v>
      </c>
      <c r="O299" s="1299">
        <v>11</v>
      </c>
      <c r="P299" s="1290">
        <v>5.8</v>
      </c>
      <c r="Q299" s="1299">
        <v>3</v>
      </c>
      <c r="R299" s="47"/>
    </row>
    <row r="300" spans="2:18" s="39" customFormat="1" hidden="1">
      <c r="B300" s="1294"/>
      <c r="C300" s="1300">
        <v>13</v>
      </c>
      <c r="D300" s="194" t="s">
        <v>58</v>
      </c>
      <c r="E300" s="57"/>
      <c r="F300" s="1303"/>
      <c r="G300" s="1290">
        <v>0</v>
      </c>
      <c r="H300" s="1298"/>
      <c r="I300" s="1298"/>
      <c r="J300" s="1290">
        <v>0</v>
      </c>
      <c r="K300" s="1303"/>
      <c r="L300" s="1299">
        <v>64.8</v>
      </c>
      <c r="M300" s="1290">
        <v>39.839999999999996</v>
      </c>
      <c r="N300" s="1299">
        <v>26.4</v>
      </c>
      <c r="O300" s="1299">
        <v>0</v>
      </c>
      <c r="P300" s="1290">
        <v>0</v>
      </c>
      <c r="Q300" s="1299">
        <v>0</v>
      </c>
      <c r="R300" s="47"/>
    </row>
    <row r="301" spans="2:18" hidden="1">
      <c r="B301" s="46"/>
      <c r="C301" s="1304"/>
      <c r="D301" s="181" t="s">
        <v>967</v>
      </c>
      <c r="E301" s="181"/>
      <c r="F301" s="1302">
        <v>671</v>
      </c>
      <c r="G301" s="1290">
        <v>545.54999999999995</v>
      </c>
      <c r="H301" s="1302">
        <v>478</v>
      </c>
      <c r="I301" s="1302">
        <v>4</v>
      </c>
      <c r="J301" s="1290">
        <v>3.35</v>
      </c>
      <c r="K301" s="1302">
        <v>3</v>
      </c>
      <c r="L301" s="1299">
        <v>671</v>
      </c>
      <c r="M301" s="1290">
        <v>545.54999999999995</v>
      </c>
      <c r="N301" s="1299">
        <v>478</v>
      </c>
      <c r="O301" s="1299">
        <v>3.9999999999999998E-6</v>
      </c>
      <c r="P301" s="1290">
        <v>3.3500000000000001E-6</v>
      </c>
      <c r="Q301" s="1299">
        <v>3.0000000000000001E-6</v>
      </c>
      <c r="R301" s="67"/>
    </row>
    <row r="302" spans="2:18" hidden="1">
      <c r="B302" s="46"/>
      <c r="C302" s="46"/>
      <c r="D302" s="46"/>
      <c r="E302" s="46"/>
      <c r="F302" s="46"/>
      <c r="G302" s="46"/>
      <c r="H302" s="46"/>
      <c r="I302" s="46"/>
      <c r="J302" s="46"/>
      <c r="K302" s="46"/>
      <c r="L302" s="1305"/>
      <c r="M302" s="1305"/>
      <c r="N302" s="46"/>
      <c r="O302" s="46"/>
      <c r="P302" s="67"/>
      <c r="Q302" s="47"/>
      <c r="R302" s="47"/>
    </row>
    <row r="303" spans="2:18" hidden="1">
      <c r="B303" s="46"/>
      <c r="C303" s="46"/>
      <c r="D303" s="250" t="s">
        <v>968</v>
      </c>
      <c r="E303" s="250"/>
      <c r="F303" s="250">
        <v>64.8</v>
      </c>
      <c r="G303" s="250">
        <v>26.4</v>
      </c>
      <c r="H303" s="46"/>
      <c r="I303" s="46"/>
      <c r="J303" s="46"/>
      <c r="K303" s="46"/>
      <c r="L303" s="1305"/>
      <c r="M303" s="1305"/>
      <c r="N303" s="46"/>
      <c r="O303" s="46"/>
      <c r="P303" s="67"/>
      <c r="Q303" s="47"/>
      <c r="R303" s="47"/>
    </row>
    <row r="304" spans="2:18" hidden="1">
      <c r="B304" s="46"/>
      <c r="C304" s="46"/>
      <c r="D304" s="46"/>
      <c r="E304" s="46"/>
      <c r="F304" s="46"/>
      <c r="G304" s="46"/>
      <c r="H304" s="46"/>
      <c r="I304" s="46"/>
      <c r="J304" s="46"/>
      <c r="K304" s="46"/>
      <c r="L304" s="1305"/>
      <c r="M304" s="1305"/>
      <c r="N304" s="46"/>
      <c r="O304" s="46"/>
      <c r="P304" s="67"/>
      <c r="Q304" s="47"/>
      <c r="R304" s="47"/>
    </row>
    <row r="305" spans="1:21" hidden="1">
      <c r="B305" s="46"/>
      <c r="C305" s="46"/>
      <c r="D305" s="46"/>
      <c r="E305" s="46"/>
      <c r="F305" s="46"/>
      <c r="G305" s="46"/>
      <c r="H305" s="46"/>
      <c r="I305" s="46"/>
      <c r="J305" s="46"/>
      <c r="K305" s="46"/>
      <c r="L305" s="1305"/>
      <c r="M305" s="1305"/>
      <c r="N305" s="46"/>
      <c r="O305" s="46"/>
      <c r="P305" s="67"/>
      <c r="Q305" s="47"/>
      <c r="R305" s="47"/>
    </row>
    <row r="306" spans="1:21" hidden="1">
      <c r="B306" s="46"/>
      <c r="C306" s="49" t="s">
        <v>969</v>
      </c>
      <c r="D306" s="46"/>
      <c r="E306" s="46"/>
      <c r="F306" s="46"/>
      <c r="G306" s="46"/>
      <c r="H306" s="46"/>
      <c r="I306" s="46"/>
      <c r="J306" s="46"/>
      <c r="K306" s="46"/>
      <c r="L306" s="1305"/>
      <c r="M306" s="1305"/>
      <c r="N306" s="46"/>
      <c r="O306" s="46"/>
      <c r="P306" s="67"/>
      <c r="Q306" s="47"/>
      <c r="R306" s="47"/>
    </row>
    <row r="307" spans="1:21" hidden="1">
      <c r="B307" s="46"/>
      <c r="C307" s="67"/>
      <c r="D307" s="46"/>
      <c r="E307" s="46"/>
      <c r="F307" s="46"/>
      <c r="G307" s="46"/>
      <c r="H307" s="46"/>
      <c r="I307" s="46"/>
      <c r="J307" s="46"/>
      <c r="K307" s="46"/>
      <c r="L307" s="1305"/>
      <c r="M307" s="1305"/>
      <c r="N307" s="46"/>
      <c r="O307" s="46"/>
      <c r="P307" s="67"/>
      <c r="Q307" s="47"/>
      <c r="R307" s="47"/>
    </row>
    <row r="308" spans="1:21" hidden="1">
      <c r="B308" s="46"/>
      <c r="C308" s="46"/>
      <c r="D308" s="46" t="s">
        <v>970</v>
      </c>
      <c r="E308" s="46">
        <v>2</v>
      </c>
      <c r="F308" s="46"/>
      <c r="G308" s="46"/>
      <c r="H308" s="46"/>
      <c r="I308" s="46"/>
      <c r="J308" s="46"/>
      <c r="K308" s="46"/>
      <c r="L308" s="1305"/>
      <c r="M308" s="1305"/>
      <c r="N308" s="46"/>
      <c r="O308" s="46"/>
      <c r="P308" s="67"/>
      <c r="Q308" s="47"/>
      <c r="R308" s="47"/>
    </row>
    <row r="309" spans="1:21" hidden="1">
      <c r="B309" s="46"/>
      <c r="C309" s="46"/>
      <c r="D309" s="46" t="s">
        <v>971</v>
      </c>
      <c r="E309" s="46">
        <v>20</v>
      </c>
      <c r="F309" s="46" t="s">
        <v>972</v>
      </c>
      <c r="G309" s="46"/>
      <c r="H309" s="46"/>
      <c r="I309" s="46"/>
      <c r="J309" s="46"/>
      <c r="K309" s="46"/>
      <c r="L309" s="1305"/>
      <c r="M309" s="1305"/>
      <c r="N309" s="46"/>
      <c r="O309" s="46"/>
      <c r="P309" s="67"/>
      <c r="Q309" s="47"/>
      <c r="R309" s="47"/>
    </row>
    <row r="310" spans="1:21" s="39" customFormat="1" hidden="1">
      <c r="B310" s="85"/>
      <c r="C310" s="1306"/>
      <c r="D310" s="1307"/>
      <c r="E310" s="85"/>
      <c r="F310" s="1308"/>
      <c r="G310" s="1308"/>
      <c r="H310" s="1306"/>
      <c r="I310" s="85"/>
      <c r="J310" s="85"/>
      <c r="K310" s="85"/>
      <c r="L310" s="85"/>
      <c r="M310" s="85"/>
      <c r="N310" s="85"/>
      <c r="O310" s="85"/>
      <c r="P310" s="85"/>
      <c r="Q310" s="67"/>
      <c r="R310" s="67"/>
      <c r="S310" s="1171"/>
      <c r="T310" s="1309"/>
      <c r="U310" s="1309"/>
    </row>
    <row r="311" spans="1:21">
      <c r="S311" s="927"/>
      <c r="T311" s="927"/>
      <c r="U311" s="927"/>
    </row>
    <row r="312" spans="1:21" ht="23.25">
      <c r="A312" s="7"/>
      <c r="B312" s="878" t="s">
        <v>178</v>
      </c>
      <c r="C312" s="1283"/>
      <c r="D312" s="1283"/>
      <c r="E312" s="1283"/>
      <c r="F312" s="1283"/>
      <c r="G312" s="1283"/>
      <c r="H312" s="1283"/>
      <c r="I312" s="1283"/>
      <c r="J312" s="1283"/>
      <c r="K312" s="1283"/>
      <c r="L312" s="1283"/>
      <c r="M312" s="1283"/>
      <c r="N312" s="1283"/>
      <c r="O312" s="1284"/>
      <c r="S312" s="927"/>
      <c r="T312" s="927"/>
    </row>
    <row r="313" spans="1:21">
      <c r="B313" s="110"/>
      <c r="C313" s="67"/>
      <c r="D313" s="67"/>
      <c r="E313" s="67"/>
      <c r="F313" s="67"/>
      <c r="G313" s="67"/>
      <c r="H313" s="67"/>
      <c r="I313" s="67"/>
      <c r="J313" s="67"/>
      <c r="K313" s="67"/>
      <c r="L313" s="67"/>
      <c r="M313" s="67"/>
      <c r="N313" s="67"/>
      <c r="O313" s="885"/>
    </row>
    <row r="314" spans="1:21">
      <c r="B314" s="110"/>
      <c r="C314" s="151" t="s">
        <v>973</v>
      </c>
      <c r="D314" s="108"/>
      <c r="E314" s="1267"/>
      <c r="F314" s="1310"/>
      <c r="G314" s="1311"/>
      <c r="H314" s="1311"/>
      <c r="I314" s="1311"/>
      <c r="J314" s="80"/>
      <c r="K314" s="80"/>
      <c r="L314" s="80"/>
      <c r="M314" s="80"/>
      <c r="N314" s="80"/>
      <c r="O314" s="80" t="s">
        <v>974</v>
      </c>
    </row>
    <row r="315" spans="1:21">
      <c r="B315" s="110"/>
      <c r="C315" s="952"/>
      <c r="D315" s="108"/>
      <c r="E315" s="1267"/>
      <c r="F315" s="1310"/>
      <c r="G315" s="1311"/>
      <c r="H315" s="1311"/>
      <c r="I315" s="1311"/>
      <c r="J315" s="80"/>
      <c r="K315" s="80"/>
      <c r="L315" s="80"/>
      <c r="M315" s="80"/>
      <c r="N315" s="80"/>
      <c r="O315" s="885"/>
    </row>
    <row r="316" spans="1:21" ht="15.75">
      <c r="B316" s="55"/>
      <c r="C316" s="887" t="s">
        <v>44</v>
      </c>
      <c r="D316" s="887" t="s">
        <v>110</v>
      </c>
      <c r="E316" s="92">
        <v>2013</v>
      </c>
      <c r="F316" s="1276">
        <v>2015</v>
      </c>
      <c r="G316" s="92">
        <v>2020</v>
      </c>
      <c r="H316" s="92">
        <v>2025</v>
      </c>
      <c r="I316" s="92">
        <v>2030</v>
      </c>
      <c r="J316" s="92">
        <v>2035</v>
      </c>
      <c r="K316" s="92">
        <v>2040</v>
      </c>
      <c r="L316" s="92">
        <v>2045</v>
      </c>
      <c r="M316" s="92">
        <v>2050</v>
      </c>
      <c r="N316" s="80"/>
      <c r="O316" s="1312" t="s">
        <v>160</v>
      </c>
    </row>
    <row r="317" spans="1:21" ht="15.75">
      <c r="B317" s="55"/>
      <c r="C317" s="65">
        <v>1</v>
      </c>
      <c r="D317" s="108" t="s">
        <v>46</v>
      </c>
      <c r="E317" s="1313">
        <f t="array" ref="E317:E329">$F$176:$F$188</f>
        <v>0.2</v>
      </c>
      <c r="F317" s="1315">
        <f>E317</f>
        <v>0.2</v>
      </c>
      <c r="G317" s="1316">
        <f t="shared" ref="G317:L329" si="32">F317+$O317</f>
        <v>0.17142857142857143</v>
      </c>
      <c r="H317" s="1316">
        <f t="shared" si="32"/>
        <v>0.14285714285714285</v>
      </c>
      <c r="I317" s="1316">
        <f t="shared" si="32"/>
        <v>0.11428571428571427</v>
      </c>
      <c r="J317" s="1316">
        <f t="shared" si="32"/>
        <v>8.5714285714285687E-2</v>
      </c>
      <c r="K317" s="1316">
        <f t="shared" si="32"/>
        <v>5.7142857142857113E-2</v>
      </c>
      <c r="L317" s="1316">
        <f t="shared" si="32"/>
        <v>2.8571428571428539E-2</v>
      </c>
      <c r="M317" s="1317">
        <f>INDEX($E55:$T55, MATCH($E$22, $E$54:$T$54, 0))</f>
        <v>0</v>
      </c>
      <c r="N317" s="80"/>
      <c r="O317" s="1318">
        <f>(M317-F317)/7</f>
        <v>-2.8571428571428574E-2</v>
      </c>
    </row>
    <row r="318" spans="1:21" ht="15.75">
      <c r="B318" s="55"/>
      <c r="C318" s="65">
        <v>2</v>
      </c>
      <c r="D318" s="108" t="s">
        <v>47</v>
      </c>
      <c r="E318" s="1069">
        <v>0.23</v>
      </c>
      <c r="F318" s="1319">
        <f t="shared" ref="F318:F329" si="33">E318</f>
        <v>0.23</v>
      </c>
      <c r="G318" s="1069">
        <f t="shared" si="32"/>
        <v>0.19728571428571429</v>
      </c>
      <c r="H318" s="1069">
        <f t="shared" si="32"/>
        <v>0.16457142857142856</v>
      </c>
      <c r="I318" s="1069">
        <f t="shared" si="32"/>
        <v>0.13185714285714284</v>
      </c>
      <c r="J318" s="1069">
        <f t="shared" si="32"/>
        <v>9.9142857142857116E-2</v>
      </c>
      <c r="K318" s="1069">
        <f t="shared" si="32"/>
        <v>6.6428571428571392E-2</v>
      </c>
      <c r="L318" s="1069">
        <f t="shared" si="32"/>
        <v>3.3714285714285676E-2</v>
      </c>
      <c r="M318" s="1267">
        <f t="shared" ref="M318:M329" si="34">INDEX($E56:$T56, MATCH($E$22, $E$54:$T$54, 0))</f>
        <v>1E-3</v>
      </c>
      <c r="N318" s="80"/>
      <c r="O318" s="1320">
        <f t="shared" ref="O318:O329" si="35">(M318-F318)/7</f>
        <v>-3.2714285714285717E-2</v>
      </c>
    </row>
    <row r="319" spans="1:21" ht="15.75">
      <c r="B319" s="55"/>
      <c r="C319" s="65">
        <v>3</v>
      </c>
      <c r="D319" s="108" t="s">
        <v>48</v>
      </c>
      <c r="E319" s="1069">
        <v>0.3</v>
      </c>
      <c r="F319" s="1319">
        <f t="shared" si="33"/>
        <v>0.3</v>
      </c>
      <c r="G319" s="1069">
        <f t="shared" si="32"/>
        <v>0.27142857142857141</v>
      </c>
      <c r="H319" s="1069">
        <f t="shared" si="32"/>
        <v>0.24285714285714283</v>
      </c>
      <c r="I319" s="1069">
        <f t="shared" si="32"/>
        <v>0.21428571428571425</v>
      </c>
      <c r="J319" s="1069">
        <f t="shared" si="32"/>
        <v>0.18571428571428567</v>
      </c>
      <c r="K319" s="1069">
        <f t="shared" si="32"/>
        <v>0.15714285714285708</v>
      </c>
      <c r="L319" s="1069">
        <f t="shared" si="32"/>
        <v>0.1285714285714285</v>
      </c>
      <c r="M319" s="1267">
        <f t="shared" si="34"/>
        <v>0.1</v>
      </c>
      <c r="N319" s="80"/>
      <c r="O319" s="1320">
        <f t="shared" si="35"/>
        <v>-2.8571428571428571E-2</v>
      </c>
    </row>
    <row r="320" spans="1:21" ht="15.75">
      <c r="B320" s="55"/>
      <c r="C320" s="65">
        <v>4</v>
      </c>
      <c r="D320" s="108" t="s">
        <v>49</v>
      </c>
      <c r="E320" s="1069">
        <v>0.23</v>
      </c>
      <c r="F320" s="1319">
        <f t="shared" si="33"/>
        <v>0.23</v>
      </c>
      <c r="G320" s="1069">
        <f t="shared" si="32"/>
        <v>0.19714285714285715</v>
      </c>
      <c r="H320" s="1069">
        <f t="shared" si="32"/>
        <v>0.16428571428571428</v>
      </c>
      <c r="I320" s="1069">
        <f t="shared" si="32"/>
        <v>0.13142857142857142</v>
      </c>
      <c r="J320" s="1069">
        <f t="shared" si="32"/>
        <v>9.857142857142856E-2</v>
      </c>
      <c r="K320" s="1069">
        <f t="shared" si="32"/>
        <v>6.5714285714285697E-2</v>
      </c>
      <c r="L320" s="1069">
        <f t="shared" si="32"/>
        <v>3.2857142857142842E-2</v>
      </c>
      <c r="M320" s="1267">
        <f t="shared" si="34"/>
        <v>0</v>
      </c>
      <c r="N320" s="80"/>
      <c r="O320" s="1320">
        <f t="shared" si="35"/>
        <v>-3.2857142857142856E-2</v>
      </c>
    </row>
    <row r="321" spans="2:15" ht="15.75">
      <c r="B321" s="55"/>
      <c r="C321" s="65">
        <v>5</v>
      </c>
      <c r="D321" s="108" t="s">
        <v>50</v>
      </c>
      <c r="E321" s="1069">
        <v>0.03</v>
      </c>
      <c r="F321" s="1319">
        <f t="shared" si="33"/>
        <v>0.03</v>
      </c>
      <c r="G321" s="1069">
        <f t="shared" si="32"/>
        <v>2.5714285714285714E-2</v>
      </c>
      <c r="H321" s="1069">
        <f t="shared" si="32"/>
        <v>2.1428571428571429E-2</v>
      </c>
      <c r="I321" s="1069">
        <f t="shared" si="32"/>
        <v>1.7142857142857144E-2</v>
      </c>
      <c r="J321" s="1069">
        <f t="shared" si="32"/>
        <v>1.2857142857142859E-2</v>
      </c>
      <c r="K321" s="1069">
        <f t="shared" si="32"/>
        <v>8.5714285714285736E-3</v>
      </c>
      <c r="L321" s="1069">
        <f t="shared" si="32"/>
        <v>4.2857142857142877E-3</v>
      </c>
      <c r="M321" s="1267">
        <f t="shared" si="34"/>
        <v>0</v>
      </c>
      <c r="N321" s="80"/>
      <c r="O321" s="1320">
        <f t="shared" si="35"/>
        <v>-4.2857142857142859E-3</v>
      </c>
    </row>
    <row r="322" spans="2:15" ht="15.75">
      <c r="B322" s="55"/>
      <c r="C322" s="65">
        <v>6</v>
      </c>
      <c r="D322" s="108" t="s">
        <v>51</v>
      </c>
      <c r="E322" s="1069">
        <v>0</v>
      </c>
      <c r="F322" s="1319">
        <f t="shared" si="33"/>
        <v>0</v>
      </c>
      <c r="G322" s="1069">
        <f t="shared" si="32"/>
        <v>0</v>
      </c>
      <c r="H322" s="1069">
        <f t="shared" si="32"/>
        <v>0</v>
      </c>
      <c r="I322" s="1069">
        <f t="shared" si="32"/>
        <v>0</v>
      </c>
      <c r="J322" s="1069">
        <f t="shared" si="32"/>
        <v>0</v>
      </c>
      <c r="K322" s="1069">
        <f t="shared" si="32"/>
        <v>0</v>
      </c>
      <c r="L322" s="1069">
        <f t="shared" si="32"/>
        <v>0</v>
      </c>
      <c r="M322" s="1267">
        <f t="shared" si="34"/>
        <v>0</v>
      </c>
      <c r="N322" s="80"/>
      <c r="O322" s="1320">
        <f t="shared" si="35"/>
        <v>0</v>
      </c>
    </row>
    <row r="323" spans="2:15" ht="15.75">
      <c r="B323" s="55"/>
      <c r="C323" s="65">
        <v>7</v>
      </c>
      <c r="D323" s="57" t="s">
        <v>52</v>
      </c>
      <c r="E323" s="1069">
        <v>0</v>
      </c>
      <c r="F323" s="1319">
        <f t="shared" si="33"/>
        <v>0</v>
      </c>
      <c r="G323" s="1069">
        <f t="shared" si="32"/>
        <v>0.12857142857142859</v>
      </c>
      <c r="H323" s="1069">
        <f t="shared" si="32"/>
        <v>0.25714285714285717</v>
      </c>
      <c r="I323" s="1069">
        <f t="shared" si="32"/>
        <v>0.38571428571428579</v>
      </c>
      <c r="J323" s="1069">
        <f t="shared" si="32"/>
        <v>0.51428571428571435</v>
      </c>
      <c r="K323" s="1069">
        <f t="shared" si="32"/>
        <v>0.6428571428571429</v>
      </c>
      <c r="L323" s="1069">
        <f t="shared" si="32"/>
        <v>0.77142857142857146</v>
      </c>
      <c r="M323" s="1267">
        <f t="shared" si="34"/>
        <v>0.9</v>
      </c>
      <c r="N323" s="80"/>
      <c r="O323" s="1320">
        <f t="shared" si="35"/>
        <v>0.12857142857142859</v>
      </c>
    </row>
    <row r="324" spans="2:15" ht="15.75">
      <c r="B324" s="55"/>
      <c r="C324" s="65">
        <v>8</v>
      </c>
      <c r="D324" s="108" t="s">
        <v>53</v>
      </c>
      <c r="E324" s="1069">
        <v>0.01</v>
      </c>
      <c r="F324" s="1319">
        <f t="shared" si="33"/>
        <v>0.01</v>
      </c>
      <c r="G324" s="1069">
        <f t="shared" si="32"/>
        <v>8.5714285714285719E-3</v>
      </c>
      <c r="H324" s="1069">
        <f t="shared" si="32"/>
        <v>7.1428571428571435E-3</v>
      </c>
      <c r="I324" s="1069">
        <f t="shared" si="32"/>
        <v>5.7142857142857151E-3</v>
      </c>
      <c r="J324" s="1069">
        <f t="shared" si="32"/>
        <v>4.2857142857142868E-3</v>
      </c>
      <c r="K324" s="1069">
        <f t="shared" si="32"/>
        <v>2.8571428571428584E-3</v>
      </c>
      <c r="L324" s="1069">
        <f t="shared" si="32"/>
        <v>1.4285714285714299E-3</v>
      </c>
      <c r="M324" s="1267">
        <f t="shared" si="34"/>
        <v>0</v>
      </c>
      <c r="N324" s="80"/>
      <c r="O324" s="1320">
        <f t="shared" si="35"/>
        <v>-1.4285714285714286E-3</v>
      </c>
    </row>
    <row r="325" spans="2:15" ht="15.75">
      <c r="B325" s="55"/>
      <c r="C325" s="65">
        <v>9</v>
      </c>
      <c r="D325" s="108" t="s">
        <v>54</v>
      </c>
      <c r="E325" s="1069">
        <v>0</v>
      </c>
      <c r="F325" s="1319">
        <f t="shared" si="33"/>
        <v>0</v>
      </c>
      <c r="G325" s="1069">
        <f t="shared" si="32"/>
        <v>0</v>
      </c>
      <c r="H325" s="1069">
        <f t="shared" si="32"/>
        <v>0</v>
      </c>
      <c r="I325" s="1069">
        <f t="shared" si="32"/>
        <v>0</v>
      </c>
      <c r="J325" s="1069">
        <f t="shared" si="32"/>
        <v>0</v>
      </c>
      <c r="K325" s="1069">
        <f t="shared" si="32"/>
        <v>0</v>
      </c>
      <c r="L325" s="1069">
        <f t="shared" si="32"/>
        <v>0</v>
      </c>
      <c r="M325" s="1267">
        <f t="shared" si="34"/>
        <v>0</v>
      </c>
      <c r="N325" s="80"/>
      <c r="O325" s="1320">
        <f t="shared" si="35"/>
        <v>0</v>
      </c>
    </row>
    <row r="326" spans="2:15" ht="15.75">
      <c r="B326" s="55"/>
      <c r="C326" s="65">
        <v>10</v>
      </c>
      <c r="D326" s="108" t="s">
        <v>55</v>
      </c>
      <c r="E326" s="1069">
        <v>0</v>
      </c>
      <c r="F326" s="1319">
        <f t="shared" si="33"/>
        <v>0</v>
      </c>
      <c r="G326" s="1069">
        <f t="shared" si="32"/>
        <v>0</v>
      </c>
      <c r="H326" s="1069">
        <f t="shared" si="32"/>
        <v>0</v>
      </c>
      <c r="I326" s="1069">
        <f t="shared" si="32"/>
        <v>0</v>
      </c>
      <c r="J326" s="1069">
        <f t="shared" si="32"/>
        <v>0</v>
      </c>
      <c r="K326" s="1069">
        <f t="shared" si="32"/>
        <v>0</v>
      </c>
      <c r="L326" s="1069">
        <f t="shared" si="32"/>
        <v>0</v>
      </c>
      <c r="M326" s="1267">
        <f t="shared" si="34"/>
        <v>0</v>
      </c>
      <c r="N326" s="80"/>
      <c r="O326" s="1320">
        <f t="shared" si="35"/>
        <v>0</v>
      </c>
    </row>
    <row r="327" spans="2:15" ht="15.75">
      <c r="B327" s="55"/>
      <c r="C327" s="65">
        <v>11</v>
      </c>
      <c r="D327" s="108" t="s">
        <v>56</v>
      </c>
      <c r="E327" s="1069">
        <v>0</v>
      </c>
      <c r="F327" s="1319">
        <f t="shared" si="33"/>
        <v>0</v>
      </c>
      <c r="G327" s="1069">
        <f t="shared" si="32"/>
        <v>0</v>
      </c>
      <c r="H327" s="1069">
        <f t="shared" si="32"/>
        <v>0</v>
      </c>
      <c r="I327" s="1069">
        <f t="shared" si="32"/>
        <v>0</v>
      </c>
      <c r="J327" s="1069">
        <f t="shared" si="32"/>
        <v>0</v>
      </c>
      <c r="K327" s="1069">
        <f t="shared" si="32"/>
        <v>0</v>
      </c>
      <c r="L327" s="1069">
        <f t="shared" si="32"/>
        <v>0</v>
      </c>
      <c r="M327" s="1267">
        <f t="shared" si="34"/>
        <v>0</v>
      </c>
      <c r="N327" s="80"/>
      <c r="O327" s="1320">
        <f t="shared" si="35"/>
        <v>0</v>
      </c>
    </row>
    <row r="328" spans="2:15" ht="15.75">
      <c r="B328" s="55"/>
      <c r="C328" s="65">
        <v>12</v>
      </c>
      <c r="D328" s="108" t="s">
        <v>57</v>
      </c>
      <c r="E328" s="1069">
        <v>0</v>
      </c>
      <c r="F328" s="1319">
        <f t="shared" si="33"/>
        <v>0</v>
      </c>
      <c r="G328" s="1069">
        <f t="shared" si="32"/>
        <v>0</v>
      </c>
      <c r="H328" s="1069">
        <f t="shared" si="32"/>
        <v>0</v>
      </c>
      <c r="I328" s="1069">
        <f t="shared" si="32"/>
        <v>0</v>
      </c>
      <c r="J328" s="1069">
        <f t="shared" si="32"/>
        <v>0</v>
      </c>
      <c r="K328" s="1069">
        <f t="shared" si="32"/>
        <v>0</v>
      </c>
      <c r="L328" s="1069">
        <f t="shared" si="32"/>
        <v>0</v>
      </c>
      <c r="M328" s="1267">
        <f t="shared" si="34"/>
        <v>0</v>
      </c>
      <c r="N328" s="80"/>
      <c r="O328" s="1320">
        <f t="shared" si="35"/>
        <v>0</v>
      </c>
    </row>
    <row r="329" spans="2:15" ht="15.75">
      <c r="B329" s="55"/>
      <c r="C329" s="896">
        <v>13</v>
      </c>
      <c r="D329" s="897" t="s">
        <v>58</v>
      </c>
      <c r="E329" s="1314">
        <v>0</v>
      </c>
      <c r="F329" s="1321">
        <f t="shared" si="33"/>
        <v>0</v>
      </c>
      <c r="G329" s="1314">
        <f t="shared" si="32"/>
        <v>0</v>
      </c>
      <c r="H329" s="1314">
        <f t="shared" si="32"/>
        <v>0</v>
      </c>
      <c r="I329" s="1314">
        <f t="shared" si="32"/>
        <v>0</v>
      </c>
      <c r="J329" s="1314">
        <f t="shared" si="32"/>
        <v>0</v>
      </c>
      <c r="K329" s="1314">
        <f t="shared" si="32"/>
        <v>0</v>
      </c>
      <c r="L329" s="1314">
        <f t="shared" si="32"/>
        <v>0</v>
      </c>
      <c r="M329" s="1322">
        <f t="shared" si="34"/>
        <v>0</v>
      </c>
      <c r="N329" s="80"/>
      <c r="O329" s="1323">
        <f t="shared" si="35"/>
        <v>0</v>
      </c>
    </row>
    <row r="330" spans="2:15">
      <c r="B330" s="110"/>
      <c r="C330" s="67"/>
      <c r="D330" s="67"/>
      <c r="E330" s="67"/>
      <c r="F330" s="67"/>
      <c r="G330" s="67"/>
      <c r="H330" s="67"/>
      <c r="I330" s="67"/>
      <c r="J330" s="67"/>
      <c r="K330" s="67"/>
      <c r="L330" s="67"/>
      <c r="M330" s="67"/>
      <c r="N330" s="80"/>
      <c r="O330" s="885"/>
    </row>
    <row r="331" spans="2:15">
      <c r="B331" s="110"/>
      <c r="C331" s="151" t="s">
        <v>975</v>
      </c>
      <c r="D331" s="108"/>
      <c r="E331" s="1310"/>
      <c r="F331" s="1310"/>
      <c r="G331" s="1311"/>
      <c r="H331" s="1311"/>
      <c r="I331" s="80"/>
      <c r="J331" s="80"/>
      <c r="K331" s="80"/>
      <c r="L331" s="80"/>
      <c r="M331" s="80"/>
      <c r="N331" s="80"/>
      <c r="O331" s="80" t="s">
        <v>976</v>
      </c>
    </row>
    <row r="332" spans="2:15">
      <c r="B332" s="110"/>
      <c r="C332" s="952"/>
      <c r="D332" s="108"/>
      <c r="E332" s="1310"/>
      <c r="F332" s="1311"/>
      <c r="G332" s="1311"/>
      <c r="H332" s="1311"/>
      <c r="I332" s="80"/>
      <c r="J332" s="80"/>
      <c r="K332" s="80"/>
      <c r="L332" s="80"/>
      <c r="M332" s="80"/>
      <c r="N332" s="80"/>
      <c r="O332" s="885"/>
    </row>
    <row r="333" spans="2:15" ht="15.75">
      <c r="B333" s="55"/>
      <c r="C333" s="887" t="s">
        <v>44</v>
      </c>
      <c r="D333" s="887" t="s">
        <v>110</v>
      </c>
      <c r="E333" s="92">
        <v>2013</v>
      </c>
      <c r="F333" s="1276">
        <v>2015</v>
      </c>
      <c r="G333" s="92">
        <v>2020</v>
      </c>
      <c r="H333" s="92">
        <v>2025</v>
      </c>
      <c r="I333" s="92">
        <v>2030</v>
      </c>
      <c r="J333" s="92">
        <v>2035</v>
      </c>
      <c r="K333" s="92">
        <v>2040</v>
      </c>
      <c r="L333" s="92">
        <v>2045</v>
      </c>
      <c r="M333" s="92">
        <v>2050</v>
      </c>
      <c r="N333" s="80"/>
      <c r="O333" s="1312" t="s">
        <v>160</v>
      </c>
    </row>
    <row r="334" spans="2:15" ht="15.75">
      <c r="B334" s="55"/>
      <c r="C334" s="65">
        <v>1</v>
      </c>
      <c r="D334" s="108" t="s">
        <v>61</v>
      </c>
      <c r="E334" s="1313">
        <f t="array" ref="E334:E336">$F$192:$F$194</f>
        <v>1</v>
      </c>
      <c r="F334" s="1324">
        <v>1</v>
      </c>
      <c r="G334" s="1316">
        <f t="shared" ref="G334:L336" si="36">F334+$O334</f>
        <v>0.85714285714285721</v>
      </c>
      <c r="H334" s="1316">
        <f t="shared" si="36"/>
        <v>0.71428571428571441</v>
      </c>
      <c r="I334" s="1316">
        <f t="shared" si="36"/>
        <v>0.57142857142857162</v>
      </c>
      <c r="J334" s="1316">
        <f t="shared" si="36"/>
        <v>0.42857142857142877</v>
      </c>
      <c r="K334" s="1316">
        <f t="shared" si="36"/>
        <v>0.28571428571428592</v>
      </c>
      <c r="L334" s="1316">
        <f t="shared" si="36"/>
        <v>0.14285714285714307</v>
      </c>
      <c r="M334" s="1316">
        <f>INDEX($E73:$T73, MATCH($E$22, $E$72:$T$72, 0))</f>
        <v>0</v>
      </c>
      <c r="N334" s="80"/>
      <c r="O334" s="1320">
        <f>(M334-F334)/7</f>
        <v>-0.14285714285714285</v>
      </c>
    </row>
    <row r="335" spans="2:15" ht="15.75">
      <c r="B335" s="55"/>
      <c r="C335" s="65">
        <v>2</v>
      </c>
      <c r="D335" s="108" t="s">
        <v>62</v>
      </c>
      <c r="E335" s="1069">
        <v>0</v>
      </c>
      <c r="F335" s="1319">
        <v>0</v>
      </c>
      <c r="G335" s="1069">
        <f t="shared" si="36"/>
        <v>0.14285714285714285</v>
      </c>
      <c r="H335" s="1069">
        <f t="shared" si="36"/>
        <v>0.2857142857142857</v>
      </c>
      <c r="I335" s="1069">
        <f t="shared" si="36"/>
        <v>0.42857142857142855</v>
      </c>
      <c r="J335" s="1069">
        <f t="shared" si="36"/>
        <v>0.5714285714285714</v>
      </c>
      <c r="K335" s="1069">
        <f t="shared" si="36"/>
        <v>0.71428571428571419</v>
      </c>
      <c r="L335" s="1069">
        <f t="shared" si="36"/>
        <v>0.85714285714285698</v>
      </c>
      <c r="M335" s="1069">
        <f>INDEX($E74:$T74, MATCH($E$22, $E$72:$T$72, 0))</f>
        <v>1</v>
      </c>
      <c r="N335" s="80"/>
      <c r="O335" s="1320">
        <f>(M335-F335)/7</f>
        <v>0.14285714285714285</v>
      </c>
    </row>
    <row r="336" spans="2:15" ht="15.75">
      <c r="B336" s="55"/>
      <c r="C336" s="926">
        <v>3</v>
      </c>
      <c r="D336" s="199" t="s">
        <v>63</v>
      </c>
      <c r="E336" s="1314">
        <v>0</v>
      </c>
      <c r="F336" s="1321">
        <v>0</v>
      </c>
      <c r="G336" s="1314">
        <f t="shared" si="36"/>
        <v>0</v>
      </c>
      <c r="H336" s="1314">
        <f t="shared" si="36"/>
        <v>0</v>
      </c>
      <c r="I336" s="1314">
        <f t="shared" si="36"/>
        <v>0</v>
      </c>
      <c r="J336" s="1314">
        <f t="shared" si="36"/>
        <v>0</v>
      </c>
      <c r="K336" s="1314">
        <f t="shared" si="36"/>
        <v>0</v>
      </c>
      <c r="L336" s="1314">
        <f t="shared" si="36"/>
        <v>0</v>
      </c>
      <c r="M336" s="1314">
        <f>INDEX($E75:$T75, MATCH($E$22, $E$72:$T$72, 0))</f>
        <v>0</v>
      </c>
      <c r="N336" s="80"/>
      <c r="O336" s="1323">
        <f>(M336-F336)/7</f>
        <v>0</v>
      </c>
    </row>
    <row r="337" spans="1:20">
      <c r="B337" s="1172"/>
      <c r="C337" s="1074"/>
      <c r="D337" s="1074"/>
      <c r="E337" s="1074"/>
      <c r="F337" s="1074"/>
      <c r="G337" s="1074"/>
      <c r="H337" s="1074"/>
      <c r="I337" s="1074"/>
      <c r="J337" s="1074"/>
      <c r="K337" s="1074"/>
      <c r="L337" s="1074"/>
      <c r="M337" s="1074"/>
      <c r="N337" s="1074"/>
      <c r="O337" s="1109"/>
    </row>
    <row r="338" spans="1:20">
      <c r="T338" s="927"/>
    </row>
    <row r="339" spans="1:20" ht="18.75">
      <c r="A339" s="355"/>
      <c r="B339" s="1110" t="s">
        <v>207</v>
      </c>
    </row>
    <row r="340" spans="1:20" s="2" customFormat="1">
      <c r="B340" s="363">
        <v>1</v>
      </c>
      <c r="C340" t="s">
        <v>977</v>
      </c>
    </row>
    <row r="341" spans="1:20" s="2" customFormat="1">
      <c r="B341" s="363">
        <v>2</v>
      </c>
      <c r="C341" t="s">
        <v>978</v>
      </c>
    </row>
    <row r="342" spans="1:20" s="2" customFormat="1">
      <c r="B342" s="363">
        <v>3</v>
      </c>
      <c r="C342" t="s">
        <v>212</v>
      </c>
    </row>
    <row r="343" spans="1:20" s="2" customFormat="1">
      <c r="B343" s="363">
        <v>4</v>
      </c>
      <c r="C343" t="s">
        <v>979</v>
      </c>
    </row>
    <row r="344" spans="1:20" s="2" customFormat="1">
      <c r="B344" s="363">
        <v>5</v>
      </c>
      <c r="C344" t="s">
        <v>214</v>
      </c>
    </row>
    <row r="346" spans="1:20">
      <c r="B346" s="363">
        <v>1</v>
      </c>
      <c r="C346" s="363" t="s">
        <v>217</v>
      </c>
    </row>
    <row r="347" spans="1:20">
      <c r="F347" s="1325">
        <v>2013</v>
      </c>
      <c r="G347" s="1325">
        <v>2015</v>
      </c>
      <c r="H347" s="1325">
        <v>2020</v>
      </c>
      <c r="I347" s="1325">
        <v>2025</v>
      </c>
      <c r="J347" s="1325">
        <v>2030</v>
      </c>
      <c r="K347" s="1325">
        <v>2035</v>
      </c>
      <c r="L347" s="1325">
        <v>2040</v>
      </c>
      <c r="M347" s="1325">
        <v>2045</v>
      </c>
      <c r="N347" s="1325">
        <v>2050</v>
      </c>
    </row>
    <row r="348" spans="1:20">
      <c r="B348" s="382"/>
      <c r="F348" s="1326"/>
      <c r="G348" s="1326"/>
      <c r="H348" s="1326"/>
      <c r="I348" s="1326"/>
      <c r="J348" s="1326"/>
      <c r="K348" s="1326"/>
      <c r="L348" s="1326"/>
      <c r="M348" s="1326"/>
      <c r="N348" s="1326"/>
    </row>
    <row r="349" spans="1:20">
      <c r="B349" s="382"/>
      <c r="C349" s="363" t="s">
        <v>980</v>
      </c>
      <c r="E349" s="363" t="str">
        <f>Preferences.EnergyUnits</f>
        <v>TWh</v>
      </c>
      <c r="F349" s="1327">
        <f>INDEX(F$39:F$42, MATCH($E$8, $C$39:$C$42, 0))</f>
        <v>1.43</v>
      </c>
      <c r="G349" s="1327">
        <f t="shared" ref="G349:N349" si="37">INDEX(G$39:G$42, MATCH($E$8, $C$39:$C$42, 0))</f>
        <v>1.49</v>
      </c>
      <c r="H349" s="1327">
        <f t="shared" si="37"/>
        <v>1.59</v>
      </c>
      <c r="I349" s="1327">
        <f t="shared" si="37"/>
        <v>1.67</v>
      </c>
      <c r="J349" s="1327">
        <f t="shared" si="37"/>
        <v>1.75</v>
      </c>
      <c r="K349" s="1327">
        <f t="shared" si="37"/>
        <v>1.83</v>
      </c>
      <c r="L349" s="1327">
        <f t="shared" si="37"/>
        <v>1.91</v>
      </c>
      <c r="M349" s="1327">
        <f t="shared" si="37"/>
        <v>1.99</v>
      </c>
      <c r="N349" s="1327">
        <f t="shared" si="37"/>
        <v>2.0699999999999998</v>
      </c>
    </row>
    <row r="350" spans="1:20">
      <c r="B350">
        <v>1</v>
      </c>
      <c r="C350" t="s">
        <v>46</v>
      </c>
      <c r="F350" s="1326">
        <f t="array" ref="F350:F362">F$349*E$317:E$329</f>
        <v>0.28599999999999998</v>
      </c>
      <c r="G350" s="1326">
        <f t="array" ref="G350:G362">G$349*F$317:F$329</f>
        <v>0.29799999999999999</v>
      </c>
      <c r="H350" s="1326">
        <f t="array" ref="H350:H362">H$349*G$317:G$329</f>
        <v>0.27257142857142858</v>
      </c>
      <c r="I350" s="1326">
        <f t="array" ref="I350:I362">I$349*H$317:H$329</f>
        <v>0.23857142857142855</v>
      </c>
      <c r="J350" s="1326">
        <f t="array" ref="J350:J362">J$349*I$317:I$329</f>
        <v>0.19999999999999996</v>
      </c>
      <c r="K350" s="1326">
        <f t="array" ref="K350:K362">K$349*J$317:J$329</f>
        <v>0.15685714285714281</v>
      </c>
      <c r="L350" s="1326">
        <f t="array" ref="L350:L362">L$349*K$317:K$329</f>
        <v>0.10914285714285708</v>
      </c>
      <c r="M350" s="1326">
        <f t="array" ref="M350:M362">M$349*L$317:L$329</f>
        <v>5.6857142857142794E-2</v>
      </c>
      <c r="N350" s="1326">
        <f t="array" ref="N350:N362">N$349*M$317:M$329</f>
        <v>0</v>
      </c>
      <c r="O350" s="1326"/>
    </row>
    <row r="351" spans="1:20">
      <c r="B351">
        <v>2</v>
      </c>
      <c r="C351" t="s">
        <v>47</v>
      </c>
      <c r="D351" s="382"/>
      <c r="F351" s="1326">
        <v>0.32890000000000003</v>
      </c>
      <c r="G351" s="1326">
        <v>0.3427</v>
      </c>
      <c r="H351" s="1326">
        <v>0.31368428571428575</v>
      </c>
      <c r="I351" s="1326">
        <v>0.2748342857142857</v>
      </c>
      <c r="J351" s="1326">
        <v>0.23074999999999996</v>
      </c>
      <c r="K351" s="1326">
        <v>0.18143142857142852</v>
      </c>
      <c r="L351" s="1326">
        <v>0.12687857142857134</v>
      </c>
      <c r="M351" s="1326">
        <v>6.7091428571428496E-2</v>
      </c>
      <c r="N351" s="1326">
        <v>2.0699999999999998E-3</v>
      </c>
    </row>
    <row r="352" spans="1:20">
      <c r="B352">
        <v>3</v>
      </c>
      <c r="C352" t="s">
        <v>48</v>
      </c>
      <c r="D352" s="382"/>
      <c r="F352" s="1326">
        <v>0.42899999999999999</v>
      </c>
      <c r="G352" s="1326">
        <v>0.44700000000000001</v>
      </c>
      <c r="H352" s="1326">
        <v>0.43157142857142855</v>
      </c>
      <c r="I352" s="1326">
        <v>0.40557142857142853</v>
      </c>
      <c r="J352" s="1326">
        <v>0.37499999999999994</v>
      </c>
      <c r="K352" s="1326">
        <v>0.3398571428571428</v>
      </c>
      <c r="L352" s="1326">
        <v>0.30014285714285704</v>
      </c>
      <c r="M352" s="1326">
        <v>0.25585714285714273</v>
      </c>
      <c r="N352" s="1326">
        <v>0.20699999999999999</v>
      </c>
    </row>
    <row r="353" spans="2:17">
      <c r="B353">
        <v>4</v>
      </c>
      <c r="C353" t="s">
        <v>49</v>
      </c>
      <c r="D353" s="382"/>
      <c r="F353" s="1326">
        <v>0.32890000000000003</v>
      </c>
      <c r="G353" s="1326">
        <v>0.3427</v>
      </c>
      <c r="H353" s="1326">
        <v>0.31345714285714288</v>
      </c>
      <c r="I353" s="1326">
        <v>0.27435714285714285</v>
      </c>
      <c r="J353" s="1326">
        <v>0.22999999999999998</v>
      </c>
      <c r="K353" s="1326">
        <v>0.18038571428571426</v>
      </c>
      <c r="L353" s="1326">
        <v>0.12551428571428569</v>
      </c>
      <c r="M353" s="1326">
        <v>6.5385714285714255E-2</v>
      </c>
      <c r="N353" s="1326">
        <v>0</v>
      </c>
    </row>
    <row r="354" spans="2:17">
      <c r="B354">
        <v>5</v>
      </c>
      <c r="C354" t="s">
        <v>50</v>
      </c>
      <c r="D354" s="382"/>
      <c r="F354" s="1326">
        <v>4.2899999999999994E-2</v>
      </c>
      <c r="G354" s="1326">
        <v>4.4699999999999997E-2</v>
      </c>
      <c r="H354" s="1326">
        <v>4.0885714285714289E-2</v>
      </c>
      <c r="I354" s="1326">
        <v>3.5785714285714282E-2</v>
      </c>
      <c r="J354" s="1326">
        <v>3.0000000000000002E-2</v>
      </c>
      <c r="K354" s="1326">
        <v>2.3528571428571433E-2</v>
      </c>
      <c r="L354" s="1326">
        <v>1.6371428571428575E-2</v>
      </c>
      <c r="M354" s="1326">
        <v>8.5285714285714322E-3</v>
      </c>
      <c r="N354" s="1326">
        <v>0</v>
      </c>
    </row>
    <row r="355" spans="2:17">
      <c r="B355">
        <v>6</v>
      </c>
      <c r="C355" t="s">
        <v>51</v>
      </c>
      <c r="D355" s="382"/>
      <c r="F355" s="1326">
        <v>0</v>
      </c>
      <c r="G355" s="1326">
        <v>0</v>
      </c>
      <c r="H355" s="1326">
        <v>0</v>
      </c>
      <c r="I355" s="1326">
        <v>0</v>
      </c>
      <c r="J355" s="1326">
        <v>0</v>
      </c>
      <c r="K355" s="1326">
        <v>0</v>
      </c>
      <c r="L355" s="1326">
        <v>0</v>
      </c>
      <c r="M355" s="1326">
        <v>0</v>
      </c>
      <c r="N355" s="1326">
        <v>0</v>
      </c>
    </row>
    <row r="356" spans="2:17">
      <c r="B356">
        <v>7</v>
      </c>
      <c r="C356" t="s">
        <v>52</v>
      </c>
      <c r="D356" s="382"/>
      <c r="F356" s="1326">
        <v>0</v>
      </c>
      <c r="G356" s="1326">
        <v>0</v>
      </c>
      <c r="H356" s="1326">
        <v>0.20442857142857146</v>
      </c>
      <c r="I356" s="1326">
        <v>0.42942857142857144</v>
      </c>
      <c r="J356" s="1326">
        <v>0.67500000000000016</v>
      </c>
      <c r="K356" s="1326">
        <v>0.94114285714285728</v>
      </c>
      <c r="L356" s="1326">
        <v>1.227857142857143</v>
      </c>
      <c r="M356" s="1326">
        <v>1.5351428571428571</v>
      </c>
      <c r="N356" s="1326">
        <v>1.863</v>
      </c>
    </row>
    <row r="357" spans="2:17">
      <c r="B357">
        <v>8</v>
      </c>
      <c r="C357" t="s">
        <v>53</v>
      </c>
      <c r="D357" s="382"/>
      <c r="F357" s="1326">
        <v>1.43E-2</v>
      </c>
      <c r="G357" s="1326">
        <v>1.49E-2</v>
      </c>
      <c r="H357" s="1326">
        <v>1.3628571428571429E-2</v>
      </c>
      <c r="I357" s="1326">
        <v>1.1928571428571429E-2</v>
      </c>
      <c r="J357" s="1326">
        <v>1.0000000000000002E-2</v>
      </c>
      <c r="K357" s="1326">
        <v>7.8428571428571445E-3</v>
      </c>
      <c r="L357" s="1326">
        <v>5.4571428571428592E-3</v>
      </c>
      <c r="M357" s="1326">
        <v>2.8428571428571452E-3</v>
      </c>
      <c r="N357" s="1326">
        <v>0</v>
      </c>
    </row>
    <row r="358" spans="2:17">
      <c r="B358">
        <v>9</v>
      </c>
      <c r="C358" t="s">
        <v>54</v>
      </c>
      <c r="D358" s="382"/>
      <c r="F358" s="1326">
        <v>0</v>
      </c>
      <c r="G358" s="1326">
        <v>0</v>
      </c>
      <c r="H358" s="1326">
        <v>0</v>
      </c>
      <c r="I358" s="1326">
        <v>0</v>
      </c>
      <c r="J358" s="1326">
        <v>0</v>
      </c>
      <c r="K358" s="1326">
        <v>0</v>
      </c>
      <c r="L358" s="1326">
        <v>0</v>
      </c>
      <c r="M358" s="1326">
        <v>0</v>
      </c>
      <c r="N358" s="1326">
        <v>0</v>
      </c>
    </row>
    <row r="359" spans="2:17">
      <c r="B359">
        <v>10</v>
      </c>
      <c r="C359" t="s">
        <v>55</v>
      </c>
      <c r="D359" s="382"/>
      <c r="F359" s="1326">
        <v>0</v>
      </c>
      <c r="G359" s="1326">
        <v>0</v>
      </c>
      <c r="H359" s="1326">
        <v>0</v>
      </c>
      <c r="I359" s="1326">
        <v>0</v>
      </c>
      <c r="J359" s="1326">
        <v>0</v>
      </c>
      <c r="K359" s="1326">
        <v>0</v>
      </c>
      <c r="L359" s="1326">
        <v>0</v>
      </c>
      <c r="M359" s="1326">
        <v>0</v>
      </c>
      <c r="N359" s="1326">
        <v>0</v>
      </c>
    </row>
    <row r="360" spans="2:17">
      <c r="B360">
        <v>11</v>
      </c>
      <c r="C360" t="s">
        <v>56</v>
      </c>
      <c r="D360" s="382"/>
      <c r="F360" s="1326">
        <v>0</v>
      </c>
      <c r="G360" s="1326">
        <v>0</v>
      </c>
      <c r="H360" s="1326">
        <v>0</v>
      </c>
      <c r="I360" s="1326">
        <v>0</v>
      </c>
      <c r="J360" s="1326">
        <v>0</v>
      </c>
      <c r="K360" s="1326">
        <v>0</v>
      </c>
      <c r="L360" s="1326">
        <v>0</v>
      </c>
      <c r="M360" s="1326">
        <v>0</v>
      </c>
      <c r="N360" s="1326">
        <v>0</v>
      </c>
    </row>
    <row r="361" spans="2:17">
      <c r="B361">
        <v>12</v>
      </c>
      <c r="C361" t="s">
        <v>57</v>
      </c>
      <c r="D361" s="382"/>
      <c r="F361" s="1326">
        <v>0</v>
      </c>
      <c r="G361" s="1326">
        <v>0</v>
      </c>
      <c r="H361" s="1326">
        <v>0</v>
      </c>
      <c r="I361" s="1326">
        <v>0</v>
      </c>
      <c r="J361" s="1326">
        <v>0</v>
      </c>
      <c r="K361" s="1326">
        <v>0</v>
      </c>
      <c r="L361" s="1326">
        <v>0</v>
      </c>
      <c r="M361" s="1326">
        <v>0</v>
      </c>
      <c r="N361" s="1326">
        <v>0</v>
      </c>
    </row>
    <row r="362" spans="2:17">
      <c r="B362">
        <v>13</v>
      </c>
      <c r="C362" t="s">
        <v>58</v>
      </c>
      <c r="D362" s="382"/>
      <c r="F362" s="1326">
        <v>0</v>
      </c>
      <c r="G362" s="1326">
        <v>0</v>
      </c>
      <c r="H362" s="1326">
        <v>0</v>
      </c>
      <c r="I362" s="1326">
        <v>0</v>
      </c>
      <c r="J362" s="1326">
        <v>0</v>
      </c>
      <c r="K362" s="1326">
        <v>0</v>
      </c>
      <c r="L362" s="1326">
        <v>0</v>
      </c>
      <c r="M362" s="1326">
        <v>0</v>
      </c>
      <c r="N362" s="1326">
        <v>0</v>
      </c>
    </row>
    <row r="363" spans="2:17">
      <c r="E363" s="382"/>
      <c r="F363" s="1328">
        <f>SUM(F350:F362)</f>
        <v>1.43</v>
      </c>
      <c r="G363" s="1328">
        <f t="shared" ref="G363:N363" si="38">SUM(G350:G362)</f>
        <v>1.49</v>
      </c>
      <c r="H363" s="1328">
        <f t="shared" si="38"/>
        <v>1.5902271428571426</v>
      </c>
      <c r="I363" s="1328">
        <f t="shared" si="38"/>
        <v>1.670477142857143</v>
      </c>
      <c r="J363" s="1328">
        <f t="shared" si="38"/>
        <v>1.7507499999999998</v>
      </c>
      <c r="K363" s="1328">
        <f t="shared" si="38"/>
        <v>1.8310457142857142</v>
      </c>
      <c r="L363" s="1328">
        <f t="shared" si="38"/>
        <v>1.9113642857142854</v>
      </c>
      <c r="M363" s="1328">
        <f t="shared" si="38"/>
        <v>1.991705714285714</v>
      </c>
      <c r="N363" s="1328">
        <f t="shared" si="38"/>
        <v>2.0720700000000001</v>
      </c>
      <c r="O363" s="1329"/>
    </row>
    <row r="364" spans="2:17">
      <c r="E364" s="382"/>
      <c r="F364" s="1326"/>
      <c r="G364" s="1326"/>
      <c r="H364" s="1326"/>
      <c r="I364" s="1326"/>
      <c r="J364" s="1326"/>
      <c r="K364" s="1326"/>
      <c r="L364" s="1326"/>
      <c r="M364" s="1326"/>
      <c r="N364" s="1326"/>
    </row>
    <row r="365" spans="2:17">
      <c r="B365" s="363"/>
      <c r="C365" s="363" t="s">
        <v>227</v>
      </c>
      <c r="E365" s="364"/>
    </row>
    <row r="366" spans="2:17">
      <c r="F366" s="374"/>
    </row>
    <row r="367" spans="2:17">
      <c r="B367" s="382" t="s">
        <v>96</v>
      </c>
      <c r="C367" s="6" t="s">
        <v>86</v>
      </c>
      <c r="F367" s="374">
        <f t="array" ref="F367">SUM(F$350:F$362/$M$115:$M$127*($B367=$F$114:$N$114)*($F$115:$N$127))</f>
        <v>-0.43614999999999998</v>
      </c>
      <c r="G367" s="374">
        <f t="array" ref="G367">SUM(G$350:G$362/$M$115:$M$127*($B367=$F$114:$N$114)*($F$115:$N$127))</f>
        <v>-0.45445000000000002</v>
      </c>
      <c r="H367" s="374">
        <f t="array" ref="H367">SUM(H$350:H$362/$M$115:$M$127*($B367=$F$114:$N$114)*($F$115:$N$127))</f>
        <v>-0.43838571428571427</v>
      </c>
      <c r="I367" s="374">
        <f t="array" ref="I367">SUM(I$350:I$362/$M$115:$M$127*($B367=$F$114:$N$114)*($F$115:$N$127))</f>
        <v>-0.41153571428571423</v>
      </c>
      <c r="J367" s="374">
        <f t="array" ref="J367">SUM(J$350:J$362/$M$115:$M$127*($B367=$F$114:$N$114)*($F$115:$N$127))</f>
        <v>-0.37999999999999995</v>
      </c>
      <c r="K367" s="374">
        <f t="array" ref="K367">SUM(K$350:K$362/$M$115:$M$127*($B367=$F$114:$N$114)*($F$115:$N$127))</f>
        <v>-0.34377857142857138</v>
      </c>
      <c r="L367" s="374">
        <f t="array" ref="L367">SUM(L$350:L$362/$M$115:$M$127*($B367=$F$114:$N$114)*($F$115:$N$127))</f>
        <v>-0.30287142857142846</v>
      </c>
      <c r="M367" s="374">
        <f t="array" ref="M367">SUM(M$350:M$362/$M$115:$M$127*($B367=$F$114:$N$114)*($F$115:$N$127))</f>
        <v>-0.2572785714285713</v>
      </c>
      <c r="N367" s="374">
        <f t="array" ref="N367">SUM(N$350:N$362/$M$115:$M$127*($B367=$F$114:$N$114)*($F$115:$N$127))</f>
        <v>-0.20699999999999999</v>
      </c>
      <c r="Q367" s="374"/>
    </row>
    <row r="368" spans="2:17">
      <c r="B368" s="382" t="s">
        <v>97</v>
      </c>
      <c r="C368" s="6" t="s">
        <v>87</v>
      </c>
      <c r="F368" s="374">
        <f t="array" ref="F368">SUM(F$350:F$362/$M$115:$M$127*($B368=$F$114:$N$114)*($F$115:$N$127))</f>
        <v>0</v>
      </c>
      <c r="G368" s="374">
        <f t="array" ref="G368">SUM(G$350:G$362/$M$115:$M$127*($B368=$F$114:$N$114)*($F$115:$N$127))</f>
        <v>0</v>
      </c>
      <c r="H368" s="374">
        <f t="array" ref="H368">SUM(H$350:H$362/$M$115:$M$127*($B368=$F$114:$N$114)*($F$115:$N$127))</f>
        <v>0.20442857142857146</v>
      </c>
      <c r="I368" s="374">
        <f t="array" ref="I368">SUM(I$350:I$362/$M$115:$M$127*($B368=$F$114:$N$114)*($F$115:$N$127))</f>
        <v>0.42942857142857144</v>
      </c>
      <c r="J368" s="374">
        <f t="array" ref="J368">SUM(J$350:J$362/$M$115:$M$127*($B368=$F$114:$N$114)*($F$115:$N$127))</f>
        <v>0.67500000000000016</v>
      </c>
      <c r="K368" s="374">
        <f t="array" ref="K368">SUM(K$350:K$362/$M$115:$M$127*($B368=$F$114:$N$114)*($F$115:$N$127))</f>
        <v>0.94114285714285728</v>
      </c>
      <c r="L368" s="374">
        <f t="array" ref="L368">SUM(L$350:L$362/$M$115:$M$127*($B368=$F$114:$N$114)*($F$115:$N$127))</f>
        <v>1.227857142857143</v>
      </c>
      <c r="M368" s="374">
        <f t="array" ref="M368">SUM(M$350:M$362/$M$115:$M$127*($B368=$F$114:$N$114)*($F$115:$N$127))</f>
        <v>1.5351428571428571</v>
      </c>
      <c r="N368" s="374">
        <f t="array" ref="N368">SUM(N$350:N$362/$M$115:$M$127*($B368=$F$114:$N$114)*($F$115:$N$127))</f>
        <v>1.863</v>
      </c>
    </row>
    <row r="369" spans="2:14">
      <c r="B369" s="382" t="s">
        <v>98</v>
      </c>
      <c r="C369" s="6" t="s">
        <v>88</v>
      </c>
      <c r="F369" s="374">
        <f t="array" ref="F369">SUM(F$350:F$362/$M$115:$M$127*($B369=$F$114:$N$114)*($F$115:$N$127))</f>
        <v>-4.93103448275862E-2</v>
      </c>
      <c r="G369" s="374">
        <f t="array" ref="G369">SUM(G$350:G$362/$M$115:$M$127*($B369=$F$114:$N$114)*($F$115:$N$127))</f>
        <v>-5.1379310344827581E-2</v>
      </c>
      <c r="H369" s="374">
        <f t="array" ref="H369">SUM(H$350:H$362/$M$115:$M$127*($B369=$F$114:$N$114)*($F$115:$N$127))</f>
        <v>-4.6995073891625619E-2</v>
      </c>
      <c r="I369" s="374">
        <f t="array" ref="I369">SUM(I$350:I$362/$M$115:$M$127*($B369=$F$114:$N$114)*($F$115:$N$127))</f>
        <v>-4.1133004926108371E-2</v>
      </c>
      <c r="J369" s="374">
        <f t="array" ref="J369">SUM(J$350:J$362/$M$115:$M$127*($B369=$F$114:$N$114)*($F$115:$N$127))</f>
        <v>-3.4482758620689655E-2</v>
      </c>
      <c r="K369" s="374">
        <f t="array" ref="K369">SUM(K$350:K$362/$M$115:$M$127*($B369=$F$114:$N$114)*($F$115:$N$127))</f>
        <v>-2.7044334975369465E-2</v>
      </c>
      <c r="L369" s="374">
        <f t="array" ref="L369">SUM(L$350:L$362/$M$115:$M$127*($B369=$F$114:$N$114)*($F$115:$N$127))</f>
        <v>-1.8817733990147786E-2</v>
      </c>
      <c r="M369" s="374">
        <f t="array" ref="M369">SUM(M$350:M$362/$M$115:$M$127*($B369=$F$114:$N$114)*($F$115:$N$127))</f>
        <v>-9.8029556650246347E-3</v>
      </c>
      <c r="N369" s="374">
        <f t="array" ref="N369">SUM(N$350:N$362/$M$115:$M$127*($B369=$F$114:$N$114)*($F$115:$N$127))</f>
        <v>0</v>
      </c>
    </row>
    <row r="370" spans="2:14">
      <c r="B370" s="382" t="s">
        <v>99</v>
      </c>
      <c r="C370" s="6" t="s">
        <v>89</v>
      </c>
      <c r="F370" s="374">
        <f t="array" ref="F370">SUM(F$350:F$362/$M$115:$M$127*($B370=$F$114:$N$114)*($F$115:$N$127))</f>
        <v>-0.33907216494845366</v>
      </c>
      <c r="G370" s="374">
        <f t="array" ref="G370">SUM(G$350:G$362/$M$115:$M$127*($B370=$F$114:$N$114)*($F$115:$N$127))</f>
        <v>-0.35329896907216496</v>
      </c>
      <c r="H370" s="374">
        <f t="array" ref="H370">SUM(H$350:H$362/$M$115:$M$127*($B370=$F$114:$N$114)*($F$115:$N$127))</f>
        <v>-0.32315169366715762</v>
      </c>
      <c r="I370" s="374">
        <f t="array" ref="I370">SUM(I$350:I$362/$M$115:$M$127*($B370=$F$114:$N$114)*($F$115:$N$127))</f>
        <v>-0.28284241531664212</v>
      </c>
      <c r="J370" s="374">
        <f t="array" ref="J370">SUM(J$350:J$362/$M$115:$M$127*($B370=$F$114:$N$114)*($F$115:$N$127))</f>
        <v>-0.23711340206185566</v>
      </c>
      <c r="K370" s="374">
        <f t="array" ref="K370">SUM(K$350:K$362/$M$115:$M$127*($B370=$F$114:$N$114)*($F$115:$N$127))</f>
        <v>-0.1859646539027982</v>
      </c>
      <c r="L370" s="374">
        <f t="array" ref="L370">SUM(L$350:L$362/$M$115:$M$127*($B370=$F$114:$N$114)*($F$115:$N$127))</f>
        <v>-0.12939617083946978</v>
      </c>
      <c r="M370" s="374">
        <f t="array" ref="M370">SUM(M$350:M$362/$M$115:$M$127*($B370=$F$114:$N$114)*($F$115:$N$127))</f>
        <v>-6.7407952871870375E-2</v>
      </c>
      <c r="N370" s="374">
        <f t="array" ref="N370">SUM(N$350:N$362/$M$115:$M$127*($B370=$F$114:$N$114)*($F$115:$N$127))</f>
        <v>0</v>
      </c>
    </row>
    <row r="371" spans="2:14">
      <c r="B371" s="382" t="s">
        <v>100</v>
      </c>
      <c r="C371" s="6" t="s">
        <v>90</v>
      </c>
      <c r="F371" s="374">
        <f t="array" ref="F371">SUM(F$350:F$362/$M$115:$M$127*($B371=$F$114:$N$114)*($F$115:$N$127))</f>
        <v>-0.73774436090225559</v>
      </c>
      <c r="G371" s="374">
        <f t="array" ref="G371">SUM(G$350:G$362/$M$115:$M$127*($B371=$F$114:$N$114)*($F$115:$N$127))</f>
        <v>-0.7686986697513013</v>
      </c>
      <c r="H371" s="374">
        <f t="array" ref="H371">SUM(H$350:H$362/$M$115:$M$127*($B371=$F$114:$N$114)*($F$115:$N$127))</f>
        <v>-1.1576403371065027</v>
      </c>
      <c r="I371" s="374">
        <f t="array" ref="I371">SUM(I$350:I$362/$M$115:$M$127*($B371=$F$114:$N$114)*($F$115:$N$127))</f>
        <v>-1.5702111873089315</v>
      </c>
      <c r="J371" s="374">
        <f t="array" ref="J371">SUM(J$350:J$362/$M$115:$M$127*($B371=$F$114:$N$114)*($F$115:$N$127))</f>
        <v>-2.0167293233082706</v>
      </c>
      <c r="K371" s="374">
        <f t="array" ref="K371">SUM(K$350:K$362/$M$115:$M$127*($B371=$F$114:$N$114)*($F$115:$N$127))</f>
        <v>-2.4971947451045198</v>
      </c>
      <c r="L371" s="374">
        <f t="array" ref="L371">SUM(L$350:L$362/$M$115:$M$127*($B371=$F$114:$N$114)*($F$115:$N$127))</f>
        <v>-3.0116074526976782</v>
      </c>
      <c r="M371" s="374">
        <f t="array" ref="M371">SUM(M$350:M$362/$M$115:$M$127*($B371=$F$114:$N$114)*($F$115:$N$127))</f>
        <v>-3.5599674460877466</v>
      </c>
      <c r="N371" s="374">
        <f t="array" ref="N371">SUM(N$350:N$362/$M$115:$M$127*($B371=$F$114:$N$114)*($F$115:$N$127))</f>
        <v>-4.1422747252747252</v>
      </c>
    </row>
    <row r="372" spans="2:14">
      <c r="B372" s="382" t="s">
        <v>101</v>
      </c>
      <c r="C372" s="6" t="s">
        <v>91</v>
      </c>
      <c r="F372" s="374">
        <f t="array" ref="F372">SUM(F$350:F$362/$M$115:$M$127*($B372=$F$114:$N$114)*($F$115:$N$127))</f>
        <v>0</v>
      </c>
      <c r="G372" s="374">
        <f t="array" ref="G372">SUM(G$350:G$362/$M$115:$M$127*($B372=$F$114:$N$114)*($F$115:$N$127))</f>
        <v>0</v>
      </c>
      <c r="H372" s="374">
        <f t="array" ref="H372">SUM(H$350:H$362/$M$115:$M$127*($B372=$F$114:$N$114)*($F$115:$N$127))</f>
        <v>0</v>
      </c>
      <c r="I372" s="374">
        <f t="array" ref="I372">SUM(I$350:I$362/$M$115:$M$127*($B372=$F$114:$N$114)*($F$115:$N$127))</f>
        <v>0</v>
      </c>
      <c r="J372" s="374">
        <f t="array" ref="J372">SUM(J$350:J$362/$M$115:$M$127*($B372=$F$114:$N$114)*($F$115:$N$127))</f>
        <v>0</v>
      </c>
      <c r="K372" s="374">
        <f t="array" ref="K372">SUM(K$350:K$362/$M$115:$M$127*($B372=$F$114:$N$114)*($F$115:$N$127))</f>
        <v>0</v>
      </c>
      <c r="L372" s="374">
        <f t="array" ref="L372">SUM(L$350:L$362/$M$115:$M$127*($B372=$F$114:$N$114)*($F$115:$N$127))</f>
        <v>0</v>
      </c>
      <c r="M372" s="374">
        <f t="array" ref="M372">SUM(M$350:M$362/$M$115:$M$127*($B372=$F$114:$N$114)*($F$115:$N$127))</f>
        <v>0</v>
      </c>
      <c r="N372" s="374">
        <f t="array" ref="N372">SUM(N$350:N$362/$M$115:$M$127*($B372=$F$114:$N$114)*($F$115:$N$127))</f>
        <v>0</v>
      </c>
    </row>
    <row r="373" spans="2:14">
      <c r="B373" s="382" t="s">
        <v>102</v>
      </c>
      <c r="C373" s="6" t="s">
        <v>92</v>
      </c>
      <c r="F373" s="374">
        <f t="array" ref="F373">SUM(F$350:F$362/$M$115:$M$127*($B373=$F$114:$N$114)*($F$115:$N$127))</f>
        <v>-7.1500000000000001E-3</v>
      </c>
      <c r="G373" s="374">
        <f t="array" ref="G373">SUM(G$350:G$362/$M$115:$M$127*($B373=$F$114:$N$114)*($F$115:$N$127))</f>
        <v>-7.45E-3</v>
      </c>
      <c r="H373" s="374">
        <f t="array" ref="H373">SUM(H$350:H$362/$M$115:$M$127*($B373=$F$114:$N$114)*($F$115:$N$127))</f>
        <v>-6.8142857142857146E-3</v>
      </c>
      <c r="I373" s="374">
        <f t="array" ref="I373">SUM(I$350:I$362/$M$115:$M$127*($B373=$F$114:$N$114)*($F$115:$N$127))</f>
        <v>-5.9642857142857145E-3</v>
      </c>
      <c r="J373" s="374">
        <f t="array" ref="J373">SUM(J$350:J$362/$M$115:$M$127*($B373=$F$114:$N$114)*($F$115:$N$127))</f>
        <v>-5.000000000000001E-3</v>
      </c>
      <c r="K373" s="374">
        <f t="array" ref="K373">SUM(K$350:K$362/$M$115:$M$127*($B373=$F$114:$N$114)*($F$115:$N$127))</f>
        <v>-3.9214285714285722E-3</v>
      </c>
      <c r="L373" s="374">
        <f t="array" ref="L373">SUM(L$350:L$362/$M$115:$M$127*($B373=$F$114:$N$114)*($F$115:$N$127))</f>
        <v>-2.7285714285714296E-3</v>
      </c>
      <c r="M373" s="374">
        <f t="array" ref="M373">SUM(M$350:M$362/$M$115:$M$127*($B373=$F$114:$N$114)*($F$115:$N$127))</f>
        <v>-1.4214285714285726E-3</v>
      </c>
      <c r="N373" s="374">
        <f t="array" ref="N373">SUM(N$350:N$362/$M$115:$M$127*($B373=$F$114:$N$114)*($F$115:$N$127))</f>
        <v>0</v>
      </c>
    </row>
    <row r="374" spans="2:14">
      <c r="B374" s="382" t="s">
        <v>103</v>
      </c>
      <c r="C374" s="6" t="s">
        <v>93</v>
      </c>
      <c r="F374" s="374">
        <f t="array" ref="F374">SUM(F$350:F$362/$M$115:$M$127*($B374=$F$114:$N$114)*($F$115:$N$127))</f>
        <v>1.43</v>
      </c>
      <c r="G374" s="374">
        <f t="array" ref="G374">SUM(G$350:G$362/$M$115:$M$127*($B374=$F$114:$N$114)*($F$115:$N$127))</f>
        <v>1.49</v>
      </c>
      <c r="H374" s="374">
        <f t="array" ref="H374">SUM(H$350:H$362/$M$115:$M$127*($B374=$F$114:$N$114)*($F$115:$N$127))</f>
        <v>1.5902271428571426</v>
      </c>
      <c r="I374" s="374">
        <f t="array" ref="I374">SUM(I$350:I$362/$M$115:$M$127*($B374=$F$114:$N$114)*($F$115:$N$127))</f>
        <v>1.670477142857143</v>
      </c>
      <c r="J374" s="374">
        <f t="array" ref="J374">SUM(J$350:J$362/$M$115:$M$127*($B374=$F$114:$N$114)*($F$115:$N$127))</f>
        <v>1.7507499999999998</v>
      </c>
      <c r="K374" s="374">
        <f t="array" ref="K374">SUM(K$350:K$362/$M$115:$M$127*($B374=$F$114:$N$114)*($F$115:$N$127))</f>
        <v>1.8310457142857142</v>
      </c>
      <c r="L374" s="374">
        <f t="array" ref="L374">SUM(L$350:L$362/$M$115:$M$127*($B374=$F$114:$N$114)*($F$115:$N$127))</f>
        <v>1.9113642857142854</v>
      </c>
      <c r="M374" s="374">
        <f t="array" ref="M374">SUM(M$350:M$362/$M$115:$M$127*($B374=$F$114:$N$114)*($F$115:$N$127))</f>
        <v>1.991705714285714</v>
      </c>
      <c r="N374" s="374">
        <f t="array" ref="N374">SUM(N$350:N$362/$M$115:$M$127*($B374=$F$114:$N$114)*($F$115:$N$127))</f>
        <v>2.0720700000000001</v>
      </c>
    </row>
    <row r="375" spans="2:14">
      <c r="B375" s="382" t="s">
        <v>104</v>
      </c>
      <c r="C375" s="6" t="s">
        <v>94</v>
      </c>
      <c r="F375" s="374">
        <f t="array" ref="F375">SUM(F$350:F$362/$M$115:$M$127*($B375=$F$114:$N$114)*($F$115:$N$127))</f>
        <v>0.13942687067829543</v>
      </c>
      <c r="G375" s="374">
        <f t="array" ref="G375">SUM(G$350:G$362/$M$115:$M$127*($B375=$F$114:$N$114)*($F$115:$N$127))</f>
        <v>0.14527694916829384</v>
      </c>
      <c r="H375" s="374">
        <f t="array" ref="H375">SUM(H$350:H$362/$M$115:$M$127*($B375=$F$114:$N$114)*($F$115:$N$127))</f>
        <v>0.17833139037957144</v>
      </c>
      <c r="I375" s="374">
        <f t="array" ref="I375">SUM(I$350:I$362/$M$115:$M$127*($B375=$F$114:$N$114)*($F$115:$N$127))</f>
        <v>0.21178089326596788</v>
      </c>
      <c r="J375" s="374">
        <f t="array" ref="J375">SUM(J$350:J$362/$M$115:$M$127*($B375=$F$114:$N$114)*($F$115:$N$127))</f>
        <v>0.24757548399081597</v>
      </c>
      <c r="K375" s="374">
        <f t="array" ref="K375">SUM(K$350:K$362/$M$115:$M$127*($B375=$F$114:$N$114)*($F$115:$N$127))</f>
        <v>0.28571516255411583</v>
      </c>
      <c r="L375" s="374">
        <f t="array" ref="L375">SUM(L$350:L$362/$M$115:$M$127*($B375=$F$114:$N$114)*($F$115:$N$127))</f>
        <v>0.32619992895586725</v>
      </c>
      <c r="M375" s="374">
        <f t="array" ref="M375">SUM(M$350:M$362/$M$115:$M$127*($B375=$F$114:$N$114)*($F$115:$N$127))</f>
        <v>0.36902978319607044</v>
      </c>
      <c r="N375" s="374">
        <f t="array" ref="N375">SUM(N$350:N$362/$M$115:$M$127*($B375=$F$114:$N$114)*($F$115:$N$127))</f>
        <v>0.41420472527472524</v>
      </c>
    </row>
    <row r="376" spans="2:14">
      <c r="B376" s="382"/>
      <c r="C376" s="6"/>
      <c r="E376" s="364" t="str">
        <f>Preferences.EnergyUnits</f>
        <v>TWh</v>
      </c>
      <c r="F376" s="380">
        <f>SUM(F367:F375)</f>
        <v>0</v>
      </c>
      <c r="G376" s="380">
        <f t="shared" ref="G376:N376" si="39">SUM(G367:G375)</f>
        <v>0</v>
      </c>
      <c r="H376" s="380">
        <f t="shared" si="39"/>
        <v>-3.6082248300317588E-16</v>
      </c>
      <c r="I376" s="380">
        <f t="shared" si="39"/>
        <v>3.8857805861880479E-16</v>
      </c>
      <c r="J376" s="380">
        <f t="shared" si="39"/>
        <v>2.2204460492503131E-16</v>
      </c>
      <c r="K376" s="380">
        <f t="shared" si="39"/>
        <v>0</v>
      </c>
      <c r="L376" s="380">
        <f t="shared" si="39"/>
        <v>0</v>
      </c>
      <c r="M376" s="380">
        <f t="shared" si="39"/>
        <v>0</v>
      </c>
      <c r="N376" s="380">
        <f t="shared" si="39"/>
        <v>0</v>
      </c>
    </row>
    <row r="377" spans="2:14">
      <c r="E377" s="382"/>
      <c r="F377" s="1326"/>
      <c r="G377" s="1326"/>
      <c r="H377" s="1326"/>
      <c r="I377" s="1326"/>
      <c r="J377" s="1326"/>
      <c r="K377" s="1326"/>
      <c r="L377" s="1326"/>
      <c r="M377" s="1326"/>
      <c r="N377" s="1326"/>
    </row>
    <row r="378" spans="2:14">
      <c r="B378" s="363">
        <v>2</v>
      </c>
      <c r="C378" s="363" t="s">
        <v>228</v>
      </c>
      <c r="E378" s="3834"/>
    </row>
    <row r="379" spans="2:14">
      <c r="E379" s="3834"/>
      <c r="F379" s="1325">
        <v>2013</v>
      </c>
      <c r="G379" s="1325">
        <v>2015</v>
      </c>
      <c r="H379" s="1325">
        <v>2020</v>
      </c>
      <c r="I379" s="1325">
        <v>2025</v>
      </c>
      <c r="J379" s="1325">
        <v>2030</v>
      </c>
      <c r="K379" s="1325">
        <v>2035</v>
      </c>
      <c r="L379" s="1325">
        <v>2040</v>
      </c>
      <c r="M379" s="1325">
        <v>2045</v>
      </c>
      <c r="N379" s="1325">
        <v>2050</v>
      </c>
    </row>
    <row r="380" spans="2:14">
      <c r="B380" s="382"/>
      <c r="E380" s="3834"/>
      <c r="F380" s="1326"/>
      <c r="G380" s="1326"/>
      <c r="H380" s="1326"/>
      <c r="I380" s="1326"/>
      <c r="J380" s="1326"/>
      <c r="K380" s="1326"/>
      <c r="L380" s="1326"/>
      <c r="M380" s="1326"/>
      <c r="N380" s="1326"/>
    </row>
    <row r="381" spans="2:14">
      <c r="B381" s="382"/>
      <c r="C381" s="363" t="s">
        <v>981</v>
      </c>
      <c r="E381" s="364" t="str">
        <f>Preferences.EnergyUnits</f>
        <v>TWh</v>
      </c>
      <c r="F381" s="1327">
        <f>INDEX(F$31:F$34, MATCH($E$8, $C$31:$C$34, 0))</f>
        <v>8.1300000000000008</v>
      </c>
      <c r="G381" s="1327">
        <f t="shared" ref="G381:N381" si="40">INDEX(G$31:G$34, MATCH($E$8, $C$31:$C$34, 0))</f>
        <v>8.35</v>
      </c>
      <c r="H381" s="1327">
        <f t="shared" si="40"/>
        <v>9.0225000000000009</v>
      </c>
      <c r="I381" s="1327">
        <f t="shared" si="40"/>
        <v>9.46875</v>
      </c>
      <c r="J381" s="1327">
        <f t="shared" si="40"/>
        <v>9.9149999999999991</v>
      </c>
      <c r="K381" s="1327">
        <f t="shared" si="40"/>
        <v>10.36125</v>
      </c>
      <c r="L381" s="1327">
        <f t="shared" si="40"/>
        <v>10.807499999999999</v>
      </c>
      <c r="M381" s="1327">
        <f t="shared" si="40"/>
        <v>11.25375</v>
      </c>
      <c r="N381" s="1327">
        <f t="shared" si="40"/>
        <v>11.7</v>
      </c>
    </row>
    <row r="382" spans="2:14">
      <c r="B382">
        <v>1</v>
      </c>
      <c r="C382" t="s">
        <v>46</v>
      </c>
      <c r="D382" s="382"/>
      <c r="E382" s="3834"/>
      <c r="F382" s="1326">
        <f t="array" ref="F382:F394">F$381*E317:E329</f>
        <v>1.6260000000000003</v>
      </c>
      <c r="G382" s="1326">
        <f t="array" ref="G382:G394">G$381*F317:F329</f>
        <v>1.67</v>
      </c>
      <c r="H382" s="1326">
        <f t="array" ref="H382:H394">H$381*G317:G329</f>
        <v>1.5467142857142859</v>
      </c>
      <c r="I382" s="1326">
        <f t="array" ref="I382:I394">I$381*H317:H329</f>
        <v>1.3526785714285714</v>
      </c>
      <c r="J382" s="1326">
        <f t="array" ref="J382:J394">J$381*I317:I329</f>
        <v>1.1331428571428568</v>
      </c>
      <c r="K382" s="1326">
        <f t="array" ref="K382:K394">K$381*J317:J329</f>
        <v>0.88810714285714254</v>
      </c>
      <c r="L382" s="1326">
        <f t="array" ref="L382:L394">L$381*K317:K329</f>
        <v>0.61757142857142822</v>
      </c>
      <c r="M382" s="1326">
        <f t="array" ref="M382:M394">M$381*L317:L329</f>
        <v>0.32153571428571392</v>
      </c>
      <c r="N382" s="1326">
        <f t="array" ref="N382:N394">N$381*M317:M329</f>
        <v>0</v>
      </c>
    </row>
    <row r="383" spans="2:14">
      <c r="B383">
        <v>2</v>
      </c>
      <c r="C383" t="s">
        <v>47</v>
      </c>
      <c r="D383" s="382"/>
      <c r="E383" s="3834"/>
      <c r="F383" s="1326">
        <v>1.8699000000000003</v>
      </c>
      <c r="G383" s="1326">
        <v>1.9205000000000001</v>
      </c>
      <c r="H383" s="1326">
        <v>1.7800103571428574</v>
      </c>
      <c r="I383" s="1326">
        <v>1.5582857142857143</v>
      </c>
      <c r="J383" s="1326">
        <v>1.3073635714285712</v>
      </c>
      <c r="K383" s="1326">
        <v>1.0272439285714283</v>
      </c>
      <c r="L383" s="1326">
        <v>0.71792678571428525</v>
      </c>
      <c r="M383" s="1326">
        <v>0.37941214285714242</v>
      </c>
      <c r="N383" s="1326">
        <v>1.17E-2</v>
      </c>
    </row>
    <row r="384" spans="2:14">
      <c r="B384" s="363">
        <v>3</v>
      </c>
      <c r="C384" t="s">
        <v>48</v>
      </c>
      <c r="D384" s="382"/>
      <c r="E384" s="3834"/>
      <c r="F384" s="1326">
        <v>2.4390000000000001</v>
      </c>
      <c r="G384" s="1326">
        <v>2.5049999999999999</v>
      </c>
      <c r="H384" s="1326">
        <v>2.4489642857142857</v>
      </c>
      <c r="I384" s="1326">
        <v>2.2995535714285711</v>
      </c>
      <c r="J384" s="1326">
        <v>2.1246428571428564</v>
      </c>
      <c r="K384" s="1326">
        <v>1.9242321428571423</v>
      </c>
      <c r="L384" s="1326">
        <v>1.6983214285714279</v>
      </c>
      <c r="M384" s="1326">
        <v>1.4469107142857136</v>
      </c>
      <c r="N384" s="1326">
        <v>1.17</v>
      </c>
    </row>
    <row r="385" spans="2:14">
      <c r="B385">
        <v>4</v>
      </c>
      <c r="C385" t="s">
        <v>49</v>
      </c>
      <c r="D385" s="382"/>
      <c r="E385" s="3834"/>
      <c r="F385" s="1326">
        <v>1.8699000000000003</v>
      </c>
      <c r="G385" s="1326">
        <v>1.9205000000000001</v>
      </c>
      <c r="H385" s="1326">
        <v>1.7787214285714288</v>
      </c>
      <c r="I385" s="1326">
        <v>1.555580357142857</v>
      </c>
      <c r="J385" s="1326">
        <v>1.3031142857142854</v>
      </c>
      <c r="K385" s="1326">
        <v>1.0213232142857143</v>
      </c>
      <c r="L385" s="1326">
        <v>0.71020714285714259</v>
      </c>
      <c r="M385" s="1326">
        <v>0.36976607142857126</v>
      </c>
      <c r="N385" s="1326">
        <v>0</v>
      </c>
    </row>
    <row r="386" spans="2:14">
      <c r="B386">
        <v>5</v>
      </c>
      <c r="C386" t="s">
        <v>50</v>
      </c>
      <c r="D386" s="382"/>
      <c r="E386" s="3834"/>
      <c r="F386" s="1326">
        <v>0.24390000000000001</v>
      </c>
      <c r="G386" s="1326">
        <v>0.2505</v>
      </c>
      <c r="H386" s="1326">
        <v>0.23200714285714288</v>
      </c>
      <c r="I386" s="1326">
        <v>0.20290178571428572</v>
      </c>
      <c r="J386" s="1326">
        <v>0.16997142857142858</v>
      </c>
      <c r="K386" s="1326">
        <v>0.13321607142857145</v>
      </c>
      <c r="L386" s="1326">
        <v>9.2635714285714307E-2</v>
      </c>
      <c r="M386" s="1326">
        <v>4.8230357142857165E-2</v>
      </c>
      <c r="N386" s="1326">
        <v>0</v>
      </c>
    </row>
    <row r="387" spans="2:14">
      <c r="B387">
        <v>6</v>
      </c>
      <c r="C387" t="s">
        <v>51</v>
      </c>
      <c r="D387" s="382"/>
      <c r="E387" s="3834"/>
      <c r="F387" s="1326">
        <v>0</v>
      </c>
      <c r="G387" s="1326">
        <v>0</v>
      </c>
      <c r="H387" s="1326">
        <v>0</v>
      </c>
      <c r="I387" s="1326">
        <v>0</v>
      </c>
      <c r="J387" s="1326">
        <v>0</v>
      </c>
      <c r="K387" s="1326">
        <v>0</v>
      </c>
      <c r="L387" s="1326">
        <v>0</v>
      </c>
      <c r="M387" s="1326">
        <v>0</v>
      </c>
      <c r="N387" s="1326">
        <v>0</v>
      </c>
    </row>
    <row r="388" spans="2:14">
      <c r="B388">
        <v>7</v>
      </c>
      <c r="C388" t="s">
        <v>52</v>
      </c>
      <c r="D388" s="382"/>
      <c r="E388" s="3834"/>
      <c r="F388" s="1326">
        <v>0</v>
      </c>
      <c r="G388" s="1326">
        <v>0</v>
      </c>
      <c r="H388" s="1326">
        <v>1.1600357142857145</v>
      </c>
      <c r="I388" s="1326">
        <v>2.4348214285714289</v>
      </c>
      <c r="J388" s="1326">
        <v>3.8243571428571435</v>
      </c>
      <c r="K388" s="1326">
        <v>5.3286428571428575</v>
      </c>
      <c r="L388" s="1326">
        <v>6.9476785714285718</v>
      </c>
      <c r="M388" s="1326">
        <v>8.6814642857142861</v>
      </c>
      <c r="N388" s="1326">
        <v>10.53</v>
      </c>
    </row>
    <row r="389" spans="2:14">
      <c r="B389">
        <v>8</v>
      </c>
      <c r="C389" t="s">
        <v>53</v>
      </c>
      <c r="D389" s="382"/>
      <c r="E389" s="3834"/>
      <c r="F389" s="1326">
        <v>8.1300000000000011E-2</v>
      </c>
      <c r="G389" s="1326">
        <v>8.3500000000000005E-2</v>
      </c>
      <c r="H389" s="1326">
        <v>7.7335714285714299E-2</v>
      </c>
      <c r="I389" s="1326">
        <v>6.7633928571428581E-2</v>
      </c>
      <c r="J389" s="1326">
        <v>5.6657142857142864E-2</v>
      </c>
      <c r="K389" s="1326">
        <v>4.4405357142857156E-2</v>
      </c>
      <c r="L389" s="1326">
        <v>3.0878571428571439E-2</v>
      </c>
      <c r="M389" s="1326">
        <v>1.6076785714285727E-2</v>
      </c>
      <c r="N389" s="1326">
        <v>0</v>
      </c>
    </row>
    <row r="390" spans="2:14">
      <c r="B390">
        <v>9</v>
      </c>
      <c r="C390" t="s">
        <v>54</v>
      </c>
      <c r="D390" s="382"/>
      <c r="E390" s="3834"/>
      <c r="F390" s="1326">
        <v>0</v>
      </c>
      <c r="G390" s="1326">
        <v>0</v>
      </c>
      <c r="H390" s="1326">
        <v>0</v>
      </c>
      <c r="I390" s="1326">
        <v>0</v>
      </c>
      <c r="J390" s="1326">
        <v>0</v>
      </c>
      <c r="K390" s="1326">
        <v>0</v>
      </c>
      <c r="L390" s="1326">
        <v>0</v>
      </c>
      <c r="M390" s="1326">
        <v>0</v>
      </c>
      <c r="N390" s="1326">
        <v>0</v>
      </c>
    </row>
    <row r="391" spans="2:14">
      <c r="B391">
        <v>10</v>
      </c>
      <c r="C391" t="s">
        <v>55</v>
      </c>
      <c r="D391" s="382"/>
      <c r="E391" s="3834"/>
      <c r="F391" s="1326">
        <v>0</v>
      </c>
      <c r="G391" s="1326">
        <v>0</v>
      </c>
      <c r="H391" s="1326">
        <v>0</v>
      </c>
      <c r="I391" s="1326">
        <v>0</v>
      </c>
      <c r="J391" s="1326">
        <v>0</v>
      </c>
      <c r="K391" s="1326">
        <v>0</v>
      </c>
      <c r="L391" s="1326">
        <v>0</v>
      </c>
      <c r="M391" s="1326">
        <v>0</v>
      </c>
      <c r="N391" s="1326">
        <v>0</v>
      </c>
    </row>
    <row r="392" spans="2:14">
      <c r="B392">
        <v>11</v>
      </c>
      <c r="C392" t="s">
        <v>56</v>
      </c>
      <c r="D392" s="382"/>
      <c r="E392" s="3834"/>
      <c r="F392" s="1326">
        <v>0</v>
      </c>
      <c r="G392" s="1326">
        <v>0</v>
      </c>
      <c r="H392" s="1326">
        <v>0</v>
      </c>
      <c r="I392" s="1326">
        <v>0</v>
      </c>
      <c r="J392" s="1326">
        <v>0</v>
      </c>
      <c r="K392" s="1326">
        <v>0</v>
      </c>
      <c r="L392" s="1326">
        <v>0</v>
      </c>
      <c r="M392" s="1326">
        <v>0</v>
      </c>
      <c r="N392" s="1326">
        <v>0</v>
      </c>
    </row>
    <row r="393" spans="2:14">
      <c r="B393">
        <v>12</v>
      </c>
      <c r="C393" t="s">
        <v>57</v>
      </c>
      <c r="D393" s="382"/>
      <c r="E393" s="3834"/>
      <c r="F393" s="1326">
        <v>0</v>
      </c>
      <c r="G393" s="1326">
        <v>0</v>
      </c>
      <c r="H393" s="1326">
        <v>0</v>
      </c>
      <c r="I393" s="1326">
        <v>0</v>
      </c>
      <c r="J393" s="1326">
        <v>0</v>
      </c>
      <c r="K393" s="1326">
        <v>0</v>
      </c>
      <c r="L393" s="1326">
        <v>0</v>
      </c>
      <c r="M393" s="1326">
        <v>0</v>
      </c>
      <c r="N393" s="1326">
        <v>0</v>
      </c>
    </row>
    <row r="394" spans="2:14">
      <c r="B394">
        <v>13</v>
      </c>
      <c r="C394" t="s">
        <v>58</v>
      </c>
      <c r="D394" s="382"/>
      <c r="E394" s="3834"/>
      <c r="F394" s="1326">
        <v>0</v>
      </c>
      <c r="G394" s="1326">
        <v>0</v>
      </c>
      <c r="H394" s="1326">
        <v>0</v>
      </c>
      <c r="I394" s="1326">
        <v>0</v>
      </c>
      <c r="J394" s="1326">
        <v>0</v>
      </c>
      <c r="K394" s="1326">
        <v>0</v>
      </c>
      <c r="L394" s="1326">
        <v>0</v>
      </c>
      <c r="M394" s="1326">
        <v>0</v>
      </c>
      <c r="N394" s="1326">
        <v>0</v>
      </c>
    </row>
    <row r="395" spans="2:14">
      <c r="E395" s="382"/>
      <c r="F395" s="1328">
        <f>SUM(F382:F394)</f>
        <v>8.1300000000000008</v>
      </c>
      <c r="G395" s="1328">
        <f>SUM(G382:G394)</f>
        <v>8.3500000000000014</v>
      </c>
      <c r="H395" s="1328">
        <f t="shared" ref="H395:N395" si="41">SUM(H382:H394)</f>
        <v>9.0237889285714292</v>
      </c>
      <c r="I395" s="1328">
        <f t="shared" si="41"/>
        <v>9.4714553571428564</v>
      </c>
      <c r="J395" s="1328">
        <f t="shared" si="41"/>
        <v>9.9192492857142831</v>
      </c>
      <c r="K395" s="1328">
        <f t="shared" si="41"/>
        <v>10.367170714285713</v>
      </c>
      <c r="L395" s="1328">
        <f t="shared" si="41"/>
        <v>10.815219642857141</v>
      </c>
      <c r="M395" s="1328">
        <f t="shared" si="41"/>
        <v>11.263396071428572</v>
      </c>
      <c r="N395" s="1328">
        <f t="shared" si="41"/>
        <v>11.711699999999999</v>
      </c>
    </row>
    <row r="396" spans="2:14">
      <c r="E396" s="382"/>
      <c r="F396" s="1326"/>
      <c r="G396" s="1326"/>
      <c r="H396" s="1326"/>
      <c r="I396" s="1326"/>
      <c r="J396" s="1326"/>
      <c r="K396" s="1326"/>
      <c r="L396" s="1326"/>
      <c r="M396" s="1326"/>
      <c r="N396" s="1326"/>
    </row>
    <row r="397" spans="2:14">
      <c r="B397" s="363"/>
      <c r="C397" s="363" t="s">
        <v>227</v>
      </c>
      <c r="E397" s="364"/>
    </row>
    <row r="398" spans="2:14">
      <c r="E398" s="382"/>
      <c r="F398" s="374"/>
    </row>
    <row r="399" spans="2:14">
      <c r="B399" s="382" t="s">
        <v>96</v>
      </c>
      <c r="C399" s="6" t="s">
        <v>86</v>
      </c>
      <c r="E399" s="382"/>
      <c r="F399" s="374">
        <f t="array" ref="F399">SUM(F$382:F$394/$M$97:$M$109*($B399=$F$96:$N$96)*($F$97:$N$109))</f>
        <v>-2.4661</v>
      </c>
      <c r="G399" s="374">
        <f t="array" ref="G399">SUM(G$382:G$394/$M$97:$M$109*($B399=$F$96:$N$96)*($F$97:$N$109))</f>
        <v>-2.532833333333333</v>
      </c>
      <c r="H399" s="374">
        <f t="array" ref="H399">SUM(H$382:H$394/$M$97:$M$109*($B399=$F$96:$N$96)*($F$97:$N$109))</f>
        <v>-2.4747428571428571</v>
      </c>
      <c r="I399" s="374">
        <f t="array" ref="I399">SUM(I$382:I$394/$M$97:$M$109*($B399=$F$96:$N$96)*($F$97:$N$109))</f>
        <v>-2.3220982142857141</v>
      </c>
      <c r="J399" s="374">
        <f t="array" ref="J399">SUM(J$382:J$394/$M$97:$M$109*($B399=$F$96:$N$96)*($F$97:$N$109))</f>
        <v>-2.1435285714285706</v>
      </c>
      <c r="K399" s="374">
        <f t="array" ref="K399">SUM(K$382:K$394/$M$97:$M$109*($B399=$F$96:$N$96)*($F$97:$N$109))</f>
        <v>-1.939033928571428</v>
      </c>
      <c r="L399" s="374">
        <f t="array" ref="L399">SUM(L$382:L$394/$M$97:$M$109*($B399=$F$96:$N$96)*($F$97:$N$109))</f>
        <v>-1.708614285714285</v>
      </c>
      <c r="M399" s="374">
        <f t="array" ref="M399">SUM(M$382:M$394/$M$97:$M$109*($B399=$F$96:$N$96)*($F$97:$N$109))</f>
        <v>-1.4522696428571422</v>
      </c>
      <c r="N399" s="374">
        <f t="array" ref="N399">SUM(N$382:N$394/$M$97:$M$109*($B399=$F$96:$N$96)*($F$97:$N$109))</f>
        <v>-1.17</v>
      </c>
    </row>
    <row r="400" spans="2:14">
      <c r="B400" s="382" t="s">
        <v>97</v>
      </c>
      <c r="C400" s="6" t="s">
        <v>87</v>
      </c>
      <c r="E400" s="382"/>
      <c r="F400" s="374">
        <f t="array" ref="F400">SUM(F$382:F$394/$M$97:$M$109*($B400=$F$96:$N$96)*($F$97:$N$109))</f>
        <v>0</v>
      </c>
      <c r="G400" s="374">
        <f t="array" ref="G400">SUM(G$382:G$394/$M$97:$M$109*($B400=$F$96:$N$96)*($F$97:$N$109))</f>
        <v>0</v>
      </c>
      <c r="H400" s="374">
        <f t="array" ref="H400">SUM(H$382:H$394/$M$97:$M$109*($B400=$F$96:$N$96)*($F$97:$N$109))</f>
        <v>1.1600357142857145</v>
      </c>
      <c r="I400" s="374">
        <f t="array" ref="I400">SUM(I$382:I$394/$M$97:$M$109*($B400=$F$96:$N$96)*($F$97:$N$109))</f>
        <v>2.4348214285714289</v>
      </c>
      <c r="J400" s="374">
        <f t="array" ref="J400">SUM(J$382:J$394/$M$97:$M$109*($B400=$F$96:$N$96)*($F$97:$N$109))</f>
        <v>3.824357142857143</v>
      </c>
      <c r="K400" s="374">
        <f t="array" ref="K400">SUM(K$382:K$394/$M$97:$M$109*($B400=$F$96:$N$96)*($F$97:$N$109))</f>
        <v>5.3286428571428575</v>
      </c>
      <c r="L400" s="374">
        <f t="array" ref="L400">SUM(L$382:L$394/$M$97:$M$109*($B400=$F$96:$N$96)*($F$97:$N$109))</f>
        <v>6.9476785714285718</v>
      </c>
      <c r="M400" s="374">
        <f t="array" ref="M400">SUM(M$382:M$394/$M$97:$M$109*($B400=$F$96:$N$96)*($F$97:$N$109))</f>
        <v>8.6814642857142861</v>
      </c>
      <c r="N400" s="374">
        <f t="array" ref="N400">SUM(N$382:N$394/$M$97:$M$109*($B400=$F$96:$N$96)*($F$97:$N$109))</f>
        <v>10.53</v>
      </c>
    </row>
    <row r="401" spans="2:14">
      <c r="B401" s="382" t="s">
        <v>98</v>
      </c>
      <c r="C401" s="6" t="s">
        <v>88</v>
      </c>
      <c r="E401" s="382"/>
      <c r="F401" s="374">
        <f t="array" ref="F401">SUM(F$382:F$394/$M$97:$M$109*($B401=$F$96:$N$96)*($F$97:$N$109))</f>
        <v>-0.28034482758620688</v>
      </c>
      <c r="G401" s="374">
        <f t="array" ref="G401">SUM(G$382:G$394/$M$97:$M$109*($B401=$F$96:$N$96)*($F$97:$N$109))</f>
        <v>-0.28793103448275864</v>
      </c>
      <c r="H401" s="374">
        <f t="array" ref="H401">SUM(H$382:H$394/$M$97:$M$109*($B401=$F$96:$N$96)*($F$97:$N$109))</f>
        <v>-0.26667487684729069</v>
      </c>
      <c r="I401" s="374">
        <f t="array" ref="I401">SUM(I$382:I$394/$M$97:$M$109*($B401=$F$96:$N$96)*($F$97:$N$109))</f>
        <v>-0.2332204433497537</v>
      </c>
      <c r="J401" s="374">
        <f t="array" ref="J401">SUM(J$382:J$394/$M$97:$M$109*($B401=$F$96:$N$96)*($F$97:$N$109))</f>
        <v>-0.19536945812807882</v>
      </c>
      <c r="K401" s="374">
        <f t="array" ref="K401">SUM(K$382:K$394/$M$97:$M$109*($B401=$F$96:$N$96)*($F$97:$N$109))</f>
        <v>-0.15312192118226603</v>
      </c>
      <c r="L401" s="374">
        <f t="array" ref="L401">SUM(L$382:L$394/$M$97:$M$109*($B401=$F$96:$N$96)*($F$97:$N$109))</f>
        <v>-0.1064778325123153</v>
      </c>
      <c r="M401" s="374">
        <f t="array" ref="M401">SUM(M$382:M$394/$M$97:$M$109*($B401=$F$96:$N$96)*($F$97:$N$109))</f>
        <v>-5.5437192118226626E-2</v>
      </c>
      <c r="N401" s="374">
        <f t="array" ref="N401">SUM(N$382:N$394/$M$97:$M$109*($B401=$F$96:$N$96)*($F$97:$N$109))</f>
        <v>0</v>
      </c>
    </row>
    <row r="402" spans="2:14">
      <c r="B402" s="382" t="s">
        <v>99</v>
      </c>
      <c r="C402" s="6" t="s">
        <v>89</v>
      </c>
      <c r="E402" s="382"/>
      <c r="F402" s="374">
        <f t="array" ref="F402">SUM(F$382:F$394/$M$97:$M$109*($B402=$F$96:$N$96)*($F$97:$N$109))</f>
        <v>-1.9277319587628869</v>
      </c>
      <c r="G402" s="374">
        <f t="array" ref="G402">SUM(G$382:G$394/$M$97:$M$109*($B402=$F$96:$N$96)*($F$97:$N$109))</f>
        <v>-1.9798969072164949</v>
      </c>
      <c r="H402" s="374">
        <f t="array" ref="H402">SUM(H$382:H$394/$M$97:$M$109*($B402=$F$96:$N$96)*($F$97:$N$109))</f>
        <v>-1.8337334315169369</v>
      </c>
      <c r="I402" s="374">
        <f t="array" ref="I402">SUM(I$382:I$394/$M$97:$M$109*($B402=$F$96:$N$96)*($F$97:$N$109))</f>
        <v>-1.603691089837997</v>
      </c>
      <c r="J402" s="374">
        <f t="array" ref="J402">SUM(J$382:J$394/$M$97:$M$109*($B402=$F$96:$N$96)*($F$97:$N$109))</f>
        <v>-1.3434167893961706</v>
      </c>
      <c r="K402" s="374">
        <f t="array" ref="K402">SUM(K$382:K$394/$M$97:$M$109*($B402=$F$96:$N$96)*($F$97:$N$109))</f>
        <v>-1.0529105301914581</v>
      </c>
      <c r="L402" s="374">
        <f t="array" ref="L402">SUM(L$382:L$394/$M$97:$M$109*($B402=$F$96:$N$96)*($F$97:$N$109))</f>
        <v>-0.73217231222385837</v>
      </c>
      <c r="M402" s="374">
        <f t="array" ref="M402">SUM(M$382:M$394/$M$97:$M$109*($B402=$F$96:$N$96)*($F$97:$N$109))</f>
        <v>-0.38120213549337245</v>
      </c>
      <c r="N402" s="374">
        <f t="array" ref="N402">SUM(N$382:N$394/$M$97:$M$109*($B402=$F$96:$N$96)*($F$97:$N$109))</f>
        <v>0</v>
      </c>
    </row>
    <row r="403" spans="2:14">
      <c r="B403" s="382" t="s">
        <v>100</v>
      </c>
      <c r="C403" s="6" t="s">
        <v>90</v>
      </c>
      <c r="E403" s="382"/>
      <c r="F403" s="374">
        <f t="array" ref="F403">SUM(F$382:F$394/$M$97:$M$109*($B403=$F$96:$N$96)*($F$97:$N$109))</f>
        <v>-4.1943088490456919</v>
      </c>
      <c r="G403" s="374">
        <f t="array" ref="G403">SUM(G$382:G$394/$M$97:$M$109*($B403=$F$96:$N$96)*($F$97:$N$109))</f>
        <v>-4.3078079814921919</v>
      </c>
      <c r="H403" s="374">
        <f t="array" ref="H403">SUM(H$382:H$394/$M$97:$M$109*($B403=$F$96:$N$96)*($F$97:$N$109))</f>
        <v>-6.5690628563166165</v>
      </c>
      <c r="I403" s="374">
        <f t="array" ref="I403">SUM(I$382:I$394/$M$97:$M$109*($B403=$F$96:$N$96)*($F$97:$N$109))</f>
        <v>-8.9029563951086512</v>
      </c>
      <c r="J403" s="374">
        <f t="array" ref="J403">SUM(J$382:J$394/$M$97:$M$109*($B403=$F$96:$N$96)*($F$97:$N$109))</f>
        <v>-11.426212137486573</v>
      </c>
      <c r="K403" s="374">
        <f t="array" ref="K403">SUM(K$382:K$394/$M$97:$M$109*($B403=$F$96:$N$96)*($F$97:$N$109))</f>
        <v>-14.138830083450385</v>
      </c>
      <c r="L403" s="374">
        <f t="array" ref="L403">SUM(L$382:L$394/$M$97:$M$109*($B403=$F$96:$N$96)*($F$97:$N$109))</f>
        <v>-17.040810233000084</v>
      </c>
      <c r="M403" s="374">
        <f t="array" ref="M403">SUM(M$382:M$394/$M$97:$M$109*($B403=$F$96:$N$96)*($F$97:$N$109))</f>
        <v>-20.132152586135668</v>
      </c>
      <c r="N403" s="374">
        <f t="array" ref="N403">SUM(N$382:N$394/$M$97:$M$109*($B403=$F$96:$N$96)*($F$97:$N$109))</f>
        <v>-23.412857142857142</v>
      </c>
    </row>
    <row r="404" spans="2:14">
      <c r="B404" s="382" t="s">
        <v>101</v>
      </c>
      <c r="C404" s="6" t="s">
        <v>91</v>
      </c>
      <c r="E404" s="382"/>
      <c r="F404" s="374">
        <f t="array" ref="F404">SUM(F$382:F$394/$M$97:$M$109*($B404=$F$96:$N$96)*($F$97:$N$109))</f>
        <v>0</v>
      </c>
      <c r="G404" s="374">
        <f t="array" ref="G404">SUM(G$382:G$394/$M$97:$M$109*($B404=$F$96:$N$96)*($F$97:$N$109))</f>
        <v>0</v>
      </c>
      <c r="H404" s="374">
        <f t="array" ref="H404">SUM(H$382:H$394/$M$97:$M$109*($B404=$F$96:$N$96)*($F$97:$N$109))</f>
        <v>0</v>
      </c>
      <c r="I404" s="374">
        <f t="array" ref="I404">SUM(I$382:I$394/$M$97:$M$109*($B404=$F$96:$N$96)*($F$97:$N$109))</f>
        <v>0</v>
      </c>
      <c r="J404" s="374">
        <f t="array" ref="J404">SUM(J$382:J$394/$M$97:$M$109*($B404=$F$96:$N$96)*($F$97:$N$109))</f>
        <v>0</v>
      </c>
      <c r="K404" s="374">
        <f t="array" ref="K404">SUM(K$382:K$394/$M$97:$M$109*($B404=$F$96:$N$96)*($F$97:$N$109))</f>
        <v>0</v>
      </c>
      <c r="L404" s="374">
        <f t="array" ref="L404">SUM(L$382:L$394/$M$97:$M$109*($B404=$F$96:$N$96)*($F$97:$N$109))</f>
        <v>0</v>
      </c>
      <c r="M404" s="374">
        <f t="array" ref="M404">SUM(M$382:M$394/$M$97:$M$109*($B404=$F$96:$N$96)*($F$97:$N$109))</f>
        <v>0</v>
      </c>
      <c r="N404" s="374">
        <f t="array" ref="N404">SUM(N$382:N$394/$M$97:$M$109*($B404=$F$96:$N$96)*($F$97:$N$109))</f>
        <v>0</v>
      </c>
    </row>
    <row r="405" spans="2:14">
      <c r="B405" s="382" t="s">
        <v>102</v>
      </c>
      <c r="C405" s="6" t="s">
        <v>92</v>
      </c>
      <c r="E405" s="382"/>
      <c r="F405" s="374">
        <f t="array" ref="F405">SUM(F$382:F$394/$M$97:$M$109*($B405=$F$96:$N$96)*($F$97:$N$109))</f>
        <v>-5.4200000000000005E-2</v>
      </c>
      <c r="G405" s="374">
        <f t="array" ref="G405">SUM(G$382:G$394/$M$97:$M$109*($B405=$F$96:$N$96)*($F$97:$N$109))</f>
        <v>-5.566666666666667E-2</v>
      </c>
      <c r="H405" s="374">
        <f t="array" ref="H405">SUM(H$382:H$394/$M$97:$M$109*($B405=$F$96:$N$96)*($F$97:$N$109))</f>
        <v>-5.1557142857142864E-2</v>
      </c>
      <c r="I405" s="374">
        <f t="array" ref="I405">SUM(I$382:I$394/$M$97:$M$109*($B405=$F$96:$N$96)*($F$97:$N$109))</f>
        <v>-4.5089285714285721E-2</v>
      </c>
      <c r="J405" s="374">
        <f t="array" ref="J405">SUM(J$382:J$394/$M$97:$M$109*($B405=$F$96:$N$96)*($F$97:$N$109))</f>
        <v>-3.7771428571428574E-2</v>
      </c>
      <c r="K405" s="374">
        <f t="array" ref="K405">SUM(K$382:K$394/$M$97:$M$109*($B405=$F$96:$N$96)*($F$97:$N$109))</f>
        <v>-2.9603571428571437E-2</v>
      </c>
      <c r="L405" s="374">
        <f t="array" ref="L405">SUM(L$382:L$394/$M$97:$M$109*($B405=$F$96:$N$96)*($F$97:$N$109))</f>
        <v>-2.0585714285714294E-2</v>
      </c>
      <c r="M405" s="374">
        <f t="array" ref="M405">SUM(M$382:M$394/$M$97:$M$109*($B405=$F$96:$N$96)*($F$97:$N$109))</f>
        <v>-1.0717857142857152E-2</v>
      </c>
      <c r="N405" s="374">
        <f t="array" ref="N405">SUM(N$382:N$394/$M$97:$M$109*($B405=$F$96:$N$96)*($F$97:$N$109))</f>
        <v>0</v>
      </c>
    </row>
    <row r="406" spans="2:14">
      <c r="B406" s="382" t="s">
        <v>103</v>
      </c>
      <c r="C406" s="6" t="s">
        <v>93</v>
      </c>
      <c r="E406" s="382"/>
      <c r="F406" s="374">
        <f t="array" ref="F406">SUM(F$382:F$394/$M$97:$M$109*($B406=$F$96:$N$96)*($F$97:$N$109))</f>
        <v>8.1300000000000008</v>
      </c>
      <c r="G406" s="374">
        <f t="array" ref="G406">SUM(G$382:G$394/$M$97:$M$109*($B406=$F$96:$N$96)*($F$97:$N$109))</f>
        <v>8.3500000000000014</v>
      </c>
      <c r="H406" s="374">
        <f t="array" ref="H406">SUM(H$382:H$394/$M$97:$M$109*($B406=$F$96:$N$96)*($F$97:$N$109))</f>
        <v>9.0237889285714292</v>
      </c>
      <c r="I406" s="374">
        <f t="array" ref="I406">SUM(I$382:I$394/$M$97:$M$109*($B406=$F$96:$N$96)*($F$97:$N$109))</f>
        <v>9.4714553571428564</v>
      </c>
      <c r="J406" s="374">
        <f t="array" ref="J406">SUM(J$382:J$394/$M$97:$M$109*($B406=$F$96:$N$96)*($F$97:$N$109))</f>
        <v>9.9192492857142831</v>
      </c>
      <c r="K406" s="374">
        <f t="array" ref="K406">SUM(K$382:K$394/$M$97:$M$109*($B406=$F$96:$N$96)*($F$97:$N$109))</f>
        <v>10.367170714285713</v>
      </c>
      <c r="L406" s="374">
        <f t="array" ref="L406">SUM(L$382:L$394/$M$97:$M$109*($B406=$F$96:$N$96)*($F$97:$N$109))</f>
        <v>10.815219642857141</v>
      </c>
      <c r="M406" s="374">
        <f t="array" ref="M406">SUM(M$382:M$394/$M$97:$M$109*($B406=$F$96:$N$96)*($F$97:$N$109))</f>
        <v>11.263396071428572</v>
      </c>
      <c r="N406" s="374">
        <f t="array" ref="N406">SUM(N$382:N$394/$M$97:$M$109*($B406=$F$96:$N$96)*($F$97:$N$109))</f>
        <v>11.711699999999999</v>
      </c>
    </row>
    <row r="407" spans="2:14">
      <c r="B407" s="382" t="s">
        <v>104</v>
      </c>
      <c r="C407" s="6" t="s">
        <v>94</v>
      </c>
      <c r="E407" s="382"/>
      <c r="F407" s="374">
        <f t="array" ref="F407">SUM(F$382:F$394/$M$97:$M$109*($B407=$F$96:$N$96)*($F$97:$N$109))</f>
        <v>0.79268563539478476</v>
      </c>
      <c r="G407" s="374">
        <f t="array" ref="G407">SUM(G$382:G$394/$M$97:$M$109*($B407=$F$96:$N$96)*($F$97:$N$109))</f>
        <v>0.81413592319144534</v>
      </c>
      <c r="H407" s="374">
        <f t="array" ref="H407">SUM(H$382:H$394/$M$97:$M$109*($B407=$F$96:$N$96)*($F$97:$N$109))</f>
        <v>1.0119465218237003</v>
      </c>
      <c r="I407" s="374">
        <f t="array" ref="I407">SUM(I$382:I$394/$M$97:$M$109*($B407=$F$96:$N$96)*($F$97:$N$109))</f>
        <v>1.2007786425821159</v>
      </c>
      <c r="J407" s="374">
        <f t="array" ref="J407">SUM(J$382:J$394/$M$97:$M$109*($B407=$F$96:$N$96)*($F$97:$N$109))</f>
        <v>1.4026919564393947</v>
      </c>
      <c r="K407" s="374">
        <f t="array" ref="K407">SUM(K$382:K$394/$M$97:$M$109*($B407=$F$96:$N$96)*($F$97:$N$109))</f>
        <v>1.617686463395537</v>
      </c>
      <c r="L407" s="374">
        <f t="array" ref="L407">SUM(L$382:L$394/$M$97:$M$109*($B407=$F$96:$N$96)*($F$97:$N$109))</f>
        <v>1.8457621634505421</v>
      </c>
      <c r="M407" s="374">
        <f t="array" ref="M407">SUM(M$382:M$394/$M$97:$M$109*($B407=$F$96:$N$96)*($F$97:$N$109))</f>
        <v>2.0869190566044109</v>
      </c>
      <c r="N407" s="374">
        <f t="array" ref="N407">SUM(N$382:N$394/$M$97:$M$109*($B407=$F$96:$N$96)*($F$97:$N$109))</f>
        <v>2.3411571428571429</v>
      </c>
    </row>
    <row r="408" spans="2:14">
      <c r="B408" s="382"/>
      <c r="C408" s="6"/>
      <c r="E408" s="364" t="str">
        <f>Preferences.EnergyUnits</f>
        <v>TWh</v>
      </c>
      <c r="F408" s="380">
        <f>SUM(F399:F407)</f>
        <v>0</v>
      </c>
      <c r="G408" s="380">
        <f t="shared" ref="G408:N408" si="42">SUM(G399:G407)</f>
        <v>1.7763568394002505E-15</v>
      </c>
      <c r="H408" s="380">
        <f t="shared" si="42"/>
        <v>0</v>
      </c>
      <c r="I408" s="380">
        <f t="shared" si="42"/>
        <v>0</v>
      </c>
      <c r="J408" s="380">
        <f t="shared" si="42"/>
        <v>0</v>
      </c>
      <c r="K408" s="380">
        <f t="shared" si="42"/>
        <v>0</v>
      </c>
      <c r="L408" s="380">
        <f t="shared" si="42"/>
        <v>0</v>
      </c>
      <c r="M408" s="380">
        <f t="shared" si="42"/>
        <v>0</v>
      </c>
      <c r="N408" s="380">
        <f t="shared" si="42"/>
        <v>0</v>
      </c>
    </row>
    <row r="409" spans="2:14">
      <c r="E409" s="382"/>
      <c r="F409" s="1326"/>
      <c r="G409" s="1326"/>
      <c r="H409" s="1326"/>
      <c r="I409" s="1326"/>
      <c r="J409" s="1326"/>
      <c r="K409" s="1326"/>
      <c r="L409" s="1326"/>
      <c r="M409" s="1326"/>
      <c r="N409" s="1326"/>
    </row>
    <row r="410" spans="2:14">
      <c r="E410" s="382"/>
      <c r="F410" s="1326"/>
      <c r="G410" s="1326"/>
      <c r="H410" s="1326"/>
      <c r="I410" s="1326"/>
      <c r="J410" s="1326"/>
      <c r="K410" s="1326"/>
      <c r="L410" s="1326"/>
      <c r="M410" s="1326"/>
      <c r="N410" s="1326"/>
    </row>
    <row r="411" spans="2:14">
      <c r="B411" s="363">
        <v>3</v>
      </c>
      <c r="C411" s="363" t="s">
        <v>982</v>
      </c>
      <c r="E411" s="382"/>
    </row>
    <row r="412" spans="2:14">
      <c r="E412" s="382"/>
      <c r="F412" s="1325">
        <v>2013</v>
      </c>
      <c r="G412" s="1325">
        <v>2015</v>
      </c>
      <c r="H412" s="1325">
        <v>2020</v>
      </c>
      <c r="I412" s="1325">
        <v>2025</v>
      </c>
      <c r="J412" s="1325">
        <v>2030</v>
      </c>
      <c r="K412" s="1325">
        <v>2035</v>
      </c>
      <c r="L412" s="1325">
        <v>2040</v>
      </c>
      <c r="M412" s="1325">
        <v>2045</v>
      </c>
      <c r="N412" s="1325">
        <v>2050</v>
      </c>
    </row>
    <row r="413" spans="2:14">
      <c r="E413" s="382"/>
      <c r="F413" s="1326"/>
      <c r="G413" s="1326"/>
      <c r="H413" s="1326"/>
      <c r="I413" s="1326"/>
      <c r="J413" s="1326"/>
      <c r="K413" s="1326"/>
      <c r="L413" s="1326"/>
      <c r="M413" s="1326"/>
      <c r="N413" s="1326"/>
    </row>
    <row r="414" spans="2:14">
      <c r="C414" s="363" t="s">
        <v>248</v>
      </c>
      <c r="E414" s="364" t="str">
        <f>Preferences.EnergyUnits</f>
        <v>TWh</v>
      </c>
      <c r="F414" s="1327">
        <f>INDEX(F$47:F$50, MATCH($E$8, $C$47:$C$50, 0))</f>
        <v>1</v>
      </c>
      <c r="G414" s="1327">
        <f t="shared" ref="G414:N414" si="43">INDEX(G$47:G$50, MATCH($E$8, $C$47:$C$50, 0))</f>
        <v>1.2</v>
      </c>
      <c r="H414" s="1327">
        <f t="shared" si="43"/>
        <v>1.5</v>
      </c>
      <c r="I414" s="1327">
        <f t="shared" si="43"/>
        <v>1.75</v>
      </c>
      <c r="J414" s="1327">
        <f t="shared" si="43"/>
        <v>2</v>
      </c>
      <c r="K414" s="1327">
        <f t="shared" si="43"/>
        <v>2.25</v>
      </c>
      <c r="L414" s="1327">
        <f t="shared" si="43"/>
        <v>2.5</v>
      </c>
      <c r="M414" s="1327">
        <f t="shared" si="43"/>
        <v>2.75</v>
      </c>
      <c r="N414" s="1327">
        <f t="shared" si="43"/>
        <v>3</v>
      </c>
    </row>
    <row r="415" spans="2:14">
      <c r="C415">
        <v>1</v>
      </c>
      <c r="D415" t="s">
        <v>61</v>
      </c>
      <c r="E415" s="364"/>
      <c r="F415" s="1326">
        <f t="array" ref="F415:F417">F$414*E$334:E$336</f>
        <v>1</v>
      </c>
      <c r="G415" s="1326">
        <f t="array" ref="G415:G417">G$414*F$334:F$336</f>
        <v>1.2</v>
      </c>
      <c r="H415" s="1326">
        <f t="array" ref="H415:H417">H$414*G$334:G$336</f>
        <v>1.2857142857142858</v>
      </c>
      <c r="I415" s="1326">
        <f t="array" ref="I415:I417">I$414*H$334:H$336</f>
        <v>1.2500000000000002</v>
      </c>
      <c r="J415" s="1326">
        <f t="array" ref="J415:J417">J$414*I$334:I$336</f>
        <v>1.1428571428571432</v>
      </c>
      <c r="K415" s="1326">
        <f t="array" ref="K415:K417">K$414*J$334:J$336</f>
        <v>0.96428571428571475</v>
      </c>
      <c r="L415" s="1326">
        <f t="array" ref="L415:L417">L$414*K$334:K$336</f>
        <v>0.71428571428571486</v>
      </c>
      <c r="M415" s="1326">
        <f t="array" ref="M415:M417">M$414*L$334:L$336</f>
        <v>0.39285714285714346</v>
      </c>
      <c r="N415" s="1326">
        <f t="array" ref="N415:N417">N$414*M$334:M$336</f>
        <v>0</v>
      </c>
    </row>
    <row r="416" spans="2:14">
      <c r="C416">
        <v>2</v>
      </c>
      <c r="D416" t="s">
        <v>62</v>
      </c>
      <c r="E416" s="364"/>
      <c r="F416" s="1326">
        <v>0</v>
      </c>
      <c r="G416" s="1326">
        <v>0</v>
      </c>
      <c r="H416" s="1326">
        <v>0.21428571428571427</v>
      </c>
      <c r="I416" s="1326">
        <v>0.5</v>
      </c>
      <c r="J416" s="1326">
        <v>0.8571428571428571</v>
      </c>
      <c r="K416" s="1326">
        <v>1.2857142857142856</v>
      </c>
      <c r="L416" s="1326">
        <v>1.7857142857142856</v>
      </c>
      <c r="M416" s="1326">
        <v>2.3571428571428568</v>
      </c>
      <c r="N416" s="1326">
        <v>3</v>
      </c>
    </row>
    <row r="417" spans="2:14">
      <c r="C417">
        <v>3</v>
      </c>
      <c r="D417" t="s">
        <v>63</v>
      </c>
      <c r="E417" s="364"/>
      <c r="F417" s="1326">
        <v>0</v>
      </c>
      <c r="G417" s="1326">
        <v>0</v>
      </c>
      <c r="H417" s="1326">
        <v>0</v>
      </c>
      <c r="I417" s="1326">
        <v>0</v>
      </c>
      <c r="J417" s="1326">
        <v>0</v>
      </c>
      <c r="K417" s="1326">
        <v>0</v>
      </c>
      <c r="L417" s="1326">
        <v>0</v>
      </c>
      <c r="M417" s="1326">
        <v>0</v>
      </c>
      <c r="N417" s="1326">
        <v>0</v>
      </c>
    </row>
    <row r="418" spans="2:14">
      <c r="E418" s="364"/>
      <c r="F418" s="1328">
        <f>SUM(F415:F417)</f>
        <v>1</v>
      </c>
      <c r="G418" s="1328">
        <f>SUM(G415:G417)</f>
        <v>1.2</v>
      </c>
      <c r="H418" s="1328">
        <f t="shared" ref="H418:N418" si="44">SUM(H415:H417)</f>
        <v>1.5</v>
      </c>
      <c r="I418" s="1328">
        <f t="shared" si="44"/>
        <v>1.7500000000000002</v>
      </c>
      <c r="J418" s="1328">
        <f t="shared" si="44"/>
        <v>2.0000000000000004</v>
      </c>
      <c r="K418" s="1328">
        <f t="shared" si="44"/>
        <v>2.2500000000000004</v>
      </c>
      <c r="L418" s="1328">
        <f t="shared" si="44"/>
        <v>2.5000000000000004</v>
      </c>
      <c r="M418" s="1328">
        <f t="shared" si="44"/>
        <v>2.75</v>
      </c>
      <c r="N418" s="1328">
        <f t="shared" si="44"/>
        <v>3</v>
      </c>
    </row>
    <row r="419" spans="2:14">
      <c r="E419" s="364"/>
      <c r="F419" s="1326"/>
      <c r="G419" s="1326"/>
      <c r="H419" s="1326"/>
      <c r="I419" s="1326"/>
      <c r="J419" s="1326"/>
      <c r="K419" s="1326"/>
      <c r="L419" s="1326"/>
      <c r="M419" s="1326"/>
      <c r="N419" s="1326"/>
    </row>
    <row r="420" spans="2:14">
      <c r="C420" s="363" t="s">
        <v>249</v>
      </c>
      <c r="E420" s="364"/>
      <c r="F420" s="1327"/>
      <c r="G420" s="1327"/>
      <c r="H420" s="1327"/>
      <c r="I420" s="1327"/>
      <c r="J420" s="1327"/>
      <c r="K420" s="1327"/>
      <c r="L420" s="1327"/>
      <c r="M420" s="1327"/>
      <c r="N420" s="1327"/>
    </row>
    <row r="421" spans="2:14">
      <c r="E421" s="382"/>
      <c r="F421" s="1326"/>
      <c r="G421" s="1326"/>
      <c r="H421" s="1326"/>
      <c r="I421" s="1326"/>
      <c r="J421" s="1326"/>
      <c r="K421" s="1326"/>
      <c r="L421" s="1326"/>
      <c r="M421" s="1326"/>
      <c r="N421" s="1326"/>
    </row>
    <row r="422" spans="2:14">
      <c r="B422" s="382" t="s">
        <v>96</v>
      </c>
      <c r="C422" s="6" t="s">
        <v>86</v>
      </c>
      <c r="E422" s="382"/>
      <c r="F422" s="374">
        <f t="array" ref="F422">SUM(F$415:F$417/$M$169:$M$171*($B422=$F$168:$N$168)*($F$169:$N$171))</f>
        <v>-0.4</v>
      </c>
      <c r="G422" s="374">
        <f t="array" ref="G422">SUM(G$415:G$417/$M$169:$M$171*($B422=$F$168:$N$168)*($F$169:$N$171))</f>
        <v>-0.48</v>
      </c>
      <c r="H422" s="374">
        <f t="array" ref="H422">SUM(H$415:H$417/$M$169:$M$171*($B422=$F$168:$N$168)*($F$169:$N$171))</f>
        <v>-0.55000000000000004</v>
      </c>
      <c r="I422" s="374">
        <f t="array" ref="I422">SUM(I$415:I$417/$M$169:$M$171*($B422=$F$168:$N$168)*($F$169:$N$171))</f>
        <v>-0.58333333333333348</v>
      </c>
      <c r="J422" s="374">
        <f t="array" ref="J422">SUM(J$415:J$417/$M$169:$M$171*($B422=$F$168:$N$168)*($F$169:$N$171))</f>
        <v>-0.60000000000000009</v>
      </c>
      <c r="K422" s="374">
        <f t="array" ref="K422">SUM(K$415:K$417/$M$169:$M$171*($B422=$F$168:$N$168)*($F$169:$N$171))</f>
        <v>-0.6000000000000002</v>
      </c>
      <c r="L422" s="374">
        <f t="array" ref="L422">SUM(L$415:L$417/$M$169:$M$171*($B422=$F$168:$N$168)*($F$169:$N$171))</f>
        <v>-0.58333333333333348</v>
      </c>
      <c r="M422" s="374">
        <f t="array" ref="M422">SUM(M$415:M$417/$M$169:$M$171*($B422=$F$168:$N$168)*($F$169:$N$171))</f>
        <v>-0.55000000000000016</v>
      </c>
      <c r="N422" s="374">
        <f t="array" ref="N422">SUM(N$415:N$417/$M$169:$M$171*($B422=$F$168:$N$168)*($F$169:$N$171))</f>
        <v>-0.5</v>
      </c>
    </row>
    <row r="423" spans="2:14">
      <c r="B423" s="382" t="s">
        <v>97</v>
      </c>
      <c r="C423" s="6" t="s">
        <v>87</v>
      </c>
      <c r="E423" s="382"/>
      <c r="F423" s="374">
        <f t="array" ref="F423">SUM(F$415:F$417/$M$169:$M$171*($B423=$F$168:$N$168)*($F$169:$N$171))</f>
        <v>0</v>
      </c>
      <c r="G423" s="374">
        <f t="array" ref="G423">SUM(G$415:G$417/$M$169:$M$171*($B423=$F$168:$N$168)*($F$169:$N$171))</f>
        <v>0</v>
      </c>
      <c r="H423" s="374">
        <f t="array" ref="H423">SUM(H$415:H$417/$M$169:$M$171*($B423=$F$168:$N$168)*($F$169:$N$171))</f>
        <v>0</v>
      </c>
      <c r="I423" s="374">
        <f t="array" ref="I423">SUM(I$415:I$417/$M$169:$M$171*($B423=$F$168:$N$168)*($F$169:$N$171))</f>
        <v>0</v>
      </c>
      <c r="J423" s="374">
        <f t="array" ref="J423">SUM(J$415:J$417/$M$169:$M$171*($B423=$F$168:$N$168)*($F$169:$N$171))</f>
        <v>0</v>
      </c>
      <c r="K423" s="374">
        <f t="array" ref="K423">SUM(K$415:K$417/$M$169:$M$171*($B423=$F$168:$N$168)*($F$169:$N$171))</f>
        <v>0</v>
      </c>
      <c r="L423" s="374">
        <f t="array" ref="L423">SUM(L$415:L$417/$M$169:$M$171*($B423=$F$168:$N$168)*($F$169:$N$171))</f>
        <v>0</v>
      </c>
      <c r="M423" s="374">
        <f t="array" ref="M423">SUM(M$415:M$417/$M$169:$M$171*($B423=$F$168:$N$168)*($F$169:$N$171))</f>
        <v>0</v>
      </c>
      <c r="N423" s="374">
        <f t="array" ref="N423">SUM(N$415:N$417/$M$169:$M$171*($B423=$F$168:$N$168)*($F$169:$N$171))</f>
        <v>0</v>
      </c>
    </row>
    <row r="424" spans="2:14">
      <c r="B424" s="382" t="s">
        <v>98</v>
      </c>
      <c r="C424" s="6" t="s">
        <v>88</v>
      </c>
      <c r="E424" s="382"/>
      <c r="F424" s="374">
        <f t="array" ref="F424">SUM(F$415:F$417/$M$169:$M$171*($B424=$F$168:$N$168)*($F$169:$N$171))</f>
        <v>0</v>
      </c>
      <c r="G424" s="374">
        <f t="array" ref="G424">SUM(G$415:G$417/$M$169:$M$171*($B424=$F$168:$N$168)*($F$169:$N$171))</f>
        <v>0</v>
      </c>
      <c r="H424" s="374">
        <f t="array" ref="H424">SUM(H$415:H$417/$M$169:$M$171*($B424=$F$168:$N$168)*($F$169:$N$171))</f>
        <v>0</v>
      </c>
      <c r="I424" s="374">
        <f t="array" ref="I424">SUM(I$415:I$417/$M$169:$M$171*($B424=$F$168:$N$168)*($F$169:$N$171))</f>
        <v>0</v>
      </c>
      <c r="J424" s="374">
        <f t="array" ref="J424">SUM(J$415:J$417/$M$169:$M$171*($B424=$F$168:$N$168)*($F$169:$N$171))</f>
        <v>0</v>
      </c>
      <c r="K424" s="374">
        <f t="array" ref="K424">SUM(K$415:K$417/$M$169:$M$171*($B424=$F$168:$N$168)*($F$169:$N$171))</f>
        <v>0</v>
      </c>
      <c r="L424" s="374">
        <f t="array" ref="L424">SUM(L$415:L$417/$M$169:$M$171*($B424=$F$168:$N$168)*($F$169:$N$171))</f>
        <v>0</v>
      </c>
      <c r="M424" s="374">
        <f t="array" ref="M424">SUM(M$415:M$417/$M$169:$M$171*($B424=$F$168:$N$168)*($F$169:$N$171))</f>
        <v>0</v>
      </c>
      <c r="N424" s="374">
        <f t="array" ref="N424">SUM(N$415:N$417/$M$169:$M$171*($B424=$F$168:$N$168)*($F$169:$N$171))</f>
        <v>0</v>
      </c>
    </row>
    <row r="425" spans="2:14">
      <c r="B425" s="382" t="s">
        <v>99</v>
      </c>
      <c r="C425" s="6" t="s">
        <v>89</v>
      </c>
      <c r="E425" s="382"/>
      <c r="F425" s="374">
        <f t="array" ref="F425">SUM(F$415:F$417/$M$169:$M$171*($B425=$F$168:$N$168)*($F$169:$N$171))</f>
        <v>0</v>
      </c>
      <c r="G425" s="374">
        <f t="array" ref="G425">SUM(G$415:G$417/$M$169:$M$171*($B425=$F$168:$N$168)*($F$169:$N$171))</f>
        <v>0</v>
      </c>
      <c r="H425" s="374">
        <f t="array" ref="H425">SUM(H$415:H$417/$M$169:$M$171*($B425=$F$168:$N$168)*($F$169:$N$171))</f>
        <v>0</v>
      </c>
      <c r="I425" s="374">
        <f t="array" ref="I425">SUM(I$415:I$417/$M$169:$M$171*($B425=$F$168:$N$168)*($F$169:$N$171))</f>
        <v>0</v>
      </c>
      <c r="J425" s="374">
        <f t="array" ref="J425">SUM(J$415:J$417/$M$169:$M$171*($B425=$F$168:$N$168)*($F$169:$N$171))</f>
        <v>0</v>
      </c>
      <c r="K425" s="374">
        <f t="array" ref="K425">SUM(K$415:K$417/$M$169:$M$171*($B425=$F$168:$N$168)*($F$169:$N$171))</f>
        <v>0</v>
      </c>
      <c r="L425" s="374">
        <f t="array" ref="L425">SUM(L$415:L$417/$M$169:$M$171*($B425=$F$168:$N$168)*($F$169:$N$171))</f>
        <v>0</v>
      </c>
      <c r="M425" s="374">
        <f t="array" ref="M425">SUM(M$415:M$417/$M$169:$M$171*($B425=$F$168:$N$168)*($F$169:$N$171))</f>
        <v>0</v>
      </c>
      <c r="N425" s="374">
        <f t="array" ref="N425">SUM(N$415:N$417/$M$169:$M$171*($B425=$F$168:$N$168)*($F$169:$N$171))</f>
        <v>0</v>
      </c>
    </row>
    <row r="426" spans="2:14">
      <c r="B426" s="382" t="s">
        <v>100</v>
      </c>
      <c r="C426" s="6" t="s">
        <v>90</v>
      </c>
      <c r="E426" s="382"/>
      <c r="F426" s="374">
        <f t="array" ref="F426">SUM(F$415:F$417/$M$169:$M$171*($B426=$F$168:$N$168)*($F$169:$N$171))</f>
        <v>0</v>
      </c>
      <c r="G426" s="374">
        <f t="array" ref="G426">SUM(G$415:G$417/$M$169:$M$171*($B426=$F$168:$N$168)*($F$169:$N$171))</f>
        <v>0</v>
      </c>
      <c r="H426" s="374">
        <f t="array" ref="H426">SUM(H$415:H$417/$M$169:$M$171*($B426=$F$168:$N$168)*($F$169:$N$171))</f>
        <v>0</v>
      </c>
      <c r="I426" s="374">
        <f t="array" ref="I426">SUM(I$415:I$417/$M$169:$M$171*($B426=$F$168:$N$168)*($F$169:$N$171))</f>
        <v>0</v>
      </c>
      <c r="J426" s="374">
        <f t="array" ref="J426">SUM(J$415:J$417/$M$169:$M$171*($B426=$F$168:$N$168)*($F$169:$N$171))</f>
        <v>0</v>
      </c>
      <c r="K426" s="374">
        <f t="array" ref="K426">SUM(K$415:K$417/$M$169:$M$171*($B426=$F$168:$N$168)*($F$169:$N$171))</f>
        <v>0</v>
      </c>
      <c r="L426" s="374">
        <f t="array" ref="L426">SUM(L$415:L$417/$M$169:$M$171*($B426=$F$168:$N$168)*($F$169:$N$171))</f>
        <v>0</v>
      </c>
      <c r="M426" s="374">
        <f t="array" ref="M426">SUM(M$415:M$417/$M$169:$M$171*($B426=$F$168:$N$168)*($F$169:$N$171))</f>
        <v>0</v>
      </c>
      <c r="N426" s="374">
        <f t="array" ref="N426">SUM(N$415:N$417/$M$169:$M$171*($B426=$F$168:$N$168)*($F$169:$N$171))</f>
        <v>0</v>
      </c>
    </row>
    <row r="427" spans="2:14">
      <c r="B427" s="382" t="s">
        <v>101</v>
      </c>
      <c r="C427" s="6" t="s">
        <v>91</v>
      </c>
      <c r="E427" s="382"/>
      <c r="F427" s="374">
        <f t="array" ref="F427">SUM(F$415:F$417/$M$169:$M$171*($B427=$F$168:$N$168)*($F$169:$N$171))</f>
        <v>0</v>
      </c>
      <c r="G427" s="374">
        <f t="array" ref="G427">SUM(G$415:G$417/$M$169:$M$171*($B427=$F$168:$N$168)*($F$169:$N$171))</f>
        <v>0</v>
      </c>
      <c r="H427" s="374">
        <f t="array" ref="H427">SUM(H$415:H$417/$M$169:$M$171*($B427=$F$168:$N$168)*($F$169:$N$171))</f>
        <v>0</v>
      </c>
      <c r="I427" s="374">
        <f t="array" ref="I427">SUM(I$415:I$417/$M$169:$M$171*($B427=$F$168:$N$168)*($F$169:$N$171))</f>
        <v>0</v>
      </c>
      <c r="J427" s="374">
        <f t="array" ref="J427">SUM(J$415:J$417/$M$169:$M$171*($B427=$F$168:$N$168)*($F$169:$N$171))</f>
        <v>0</v>
      </c>
      <c r="K427" s="374">
        <f t="array" ref="K427">SUM(K$415:K$417/$M$169:$M$171*($B427=$F$168:$N$168)*($F$169:$N$171))</f>
        <v>0</v>
      </c>
      <c r="L427" s="374">
        <f t="array" ref="L427">SUM(L$415:L$417/$M$169:$M$171*($B427=$F$168:$N$168)*($F$169:$N$171))</f>
        <v>0</v>
      </c>
      <c r="M427" s="374">
        <f t="array" ref="M427">SUM(M$415:M$417/$M$169:$M$171*($B427=$F$168:$N$168)*($F$169:$N$171))</f>
        <v>0</v>
      </c>
      <c r="N427" s="374">
        <f t="array" ref="N427">SUM(N$415:N$417/$M$169:$M$171*($B427=$F$168:$N$168)*($F$169:$N$171))</f>
        <v>0</v>
      </c>
    </row>
    <row r="428" spans="2:14">
      <c r="B428" s="382" t="s">
        <v>102</v>
      </c>
      <c r="C428" s="6" t="s">
        <v>92</v>
      </c>
      <c r="E428" s="382"/>
      <c r="F428" s="374">
        <f t="array" ref="F428">SUM(F$415:F$417/$M$169:$M$171*($B428=$F$168:$N$168)*($F$169:$N$171))</f>
        <v>-0.60000000000000009</v>
      </c>
      <c r="G428" s="374">
        <f t="array" ref="G428">SUM(G$415:G$417/$M$169:$M$171*($B428=$F$168:$N$168)*($F$169:$N$171))</f>
        <v>-0.72</v>
      </c>
      <c r="H428" s="374">
        <f t="array" ref="H428">SUM(H$415:H$417/$M$169:$M$171*($B428=$F$168:$N$168)*($F$169:$N$171))</f>
        <v>-0.95000000000000018</v>
      </c>
      <c r="I428" s="374">
        <f t="array" ref="I428">SUM(I$415:I$417/$M$169:$M$171*($B428=$F$168:$N$168)*($F$169:$N$171))</f>
        <v>-1.166666666666667</v>
      </c>
      <c r="J428" s="374">
        <f t="array" ref="J428">SUM(J$415:J$417/$M$169:$M$171*($B428=$F$168:$N$168)*($F$169:$N$171))</f>
        <v>-1.4000000000000001</v>
      </c>
      <c r="K428" s="374">
        <f t="array" ref="K428">SUM(K$415:K$417/$M$169:$M$171*($B428=$F$168:$N$168)*($F$169:$N$171))</f>
        <v>-1.6500000000000004</v>
      </c>
      <c r="L428" s="374">
        <f t="array" ref="L428">SUM(L$415:L$417/$M$169:$M$171*($B428=$F$168:$N$168)*($F$169:$N$171))</f>
        <v>-1.916666666666667</v>
      </c>
      <c r="M428" s="374">
        <f t="array" ref="M428">SUM(M$415:M$417/$M$169:$M$171*($B428=$F$168:$N$168)*($F$169:$N$171))</f>
        <v>-2.2000000000000002</v>
      </c>
      <c r="N428" s="374">
        <f t="array" ref="N428">SUM(N$415:N$417/$M$169:$M$171*($B428=$F$168:$N$168)*($F$169:$N$171))</f>
        <v>-2.5</v>
      </c>
    </row>
    <row r="429" spans="2:14">
      <c r="B429" s="382" t="s">
        <v>103</v>
      </c>
      <c r="C429" s="6" t="s">
        <v>93</v>
      </c>
      <c r="E429" s="382"/>
      <c r="F429" s="374">
        <f t="array" ref="F429">SUM(F$415:F$417/$M$169:$M$171*($B429=$F$168:$N$168)*($F$169:$N$171))</f>
        <v>1</v>
      </c>
      <c r="G429" s="374">
        <f t="array" ref="G429">SUM(G$415:G$417/$M$169:$M$171*($B429=$F$168:$N$168)*($F$169:$N$171))</f>
        <v>1.2</v>
      </c>
      <c r="H429" s="374">
        <f t="array" ref="H429">SUM(H$415:H$417/$M$169:$M$171*($B429=$F$168:$N$168)*($F$169:$N$171))</f>
        <v>1.5</v>
      </c>
      <c r="I429" s="374">
        <f t="array" ref="I429">SUM(I$415:I$417/$M$169:$M$171*($B429=$F$168:$N$168)*($F$169:$N$171))</f>
        <v>1.7500000000000002</v>
      </c>
      <c r="J429" s="374">
        <f t="array" ref="J429">SUM(J$415:J$417/$M$169:$M$171*($B429=$F$168:$N$168)*($F$169:$N$171))</f>
        <v>2.0000000000000004</v>
      </c>
      <c r="K429" s="374">
        <f t="array" ref="K429">SUM(K$415:K$417/$M$169:$M$171*($B429=$F$168:$N$168)*($F$169:$N$171))</f>
        <v>2.2500000000000004</v>
      </c>
      <c r="L429" s="374">
        <f t="array" ref="L429">SUM(L$415:L$417/$M$169:$M$171*($B429=$F$168:$N$168)*($F$169:$N$171))</f>
        <v>2.5000000000000004</v>
      </c>
      <c r="M429" s="374">
        <f t="array" ref="M429">SUM(M$415:M$417/$M$169:$M$171*($B429=$F$168:$N$168)*($F$169:$N$171))</f>
        <v>2.75</v>
      </c>
      <c r="N429" s="374">
        <f t="array" ref="N429">SUM(N$415:N$417/$M$169:$M$171*($B429=$F$168:$N$168)*($F$169:$N$171))</f>
        <v>3</v>
      </c>
    </row>
    <row r="430" spans="2:14">
      <c r="B430" s="382" t="s">
        <v>104</v>
      </c>
      <c r="C430" s="6" t="s">
        <v>94</v>
      </c>
      <c r="E430" s="382"/>
      <c r="F430" s="374">
        <f t="array" ref="F430">SUM(F$415:F$417/$M$169:$M$171*($B430=$F$168:$N$168)*($F$169:$N$171))</f>
        <v>0</v>
      </c>
      <c r="G430" s="374">
        <f t="array" ref="G430">SUM(G$415:G$417/$M$169:$M$171*($B430=$F$168:$N$168)*($F$169:$N$171))</f>
        <v>0</v>
      </c>
      <c r="H430" s="374">
        <f t="array" ref="H430">SUM(H$415:H$417/$M$169:$M$171*($B430=$F$168:$N$168)*($F$169:$N$171))</f>
        <v>0</v>
      </c>
      <c r="I430" s="374">
        <f t="array" ref="I430">SUM(I$415:I$417/$M$169:$M$171*($B430=$F$168:$N$168)*($F$169:$N$171))</f>
        <v>0</v>
      </c>
      <c r="J430" s="374">
        <f t="array" ref="J430">SUM(J$415:J$417/$M$169:$M$171*($B430=$F$168:$N$168)*($F$169:$N$171))</f>
        <v>0</v>
      </c>
      <c r="K430" s="374">
        <f t="array" ref="K430">SUM(K$415:K$417/$M$169:$M$171*($B430=$F$168:$N$168)*($F$169:$N$171))</f>
        <v>0</v>
      </c>
      <c r="L430" s="374">
        <f t="array" ref="L430">SUM(L$415:L$417/$M$169:$M$171*($B430=$F$168:$N$168)*($F$169:$N$171))</f>
        <v>0</v>
      </c>
      <c r="M430" s="374">
        <f t="array" ref="M430">SUM(M$415:M$417/$M$169:$M$171*($B430=$F$168:$N$168)*($F$169:$N$171))</f>
        <v>0</v>
      </c>
      <c r="N430" s="374">
        <f t="array" ref="N430">SUM(N$415:N$417/$M$169:$M$171*($B430=$F$168:$N$168)*($F$169:$N$171))</f>
        <v>0</v>
      </c>
    </row>
    <row r="431" spans="2:14">
      <c r="B431" s="382"/>
      <c r="C431" s="6"/>
      <c r="E431" s="364" t="str">
        <f>Preferences.EnergyUnits</f>
        <v>TWh</v>
      </c>
      <c r="F431" s="380">
        <f>SUM(F422:F430)</f>
        <v>0</v>
      </c>
      <c r="G431" s="380">
        <f t="shared" ref="G431:N431" si="45">SUM(G422:G430)</f>
        <v>0</v>
      </c>
      <c r="H431" s="380">
        <f t="shared" si="45"/>
        <v>-2.2204460492503131E-16</v>
      </c>
      <c r="I431" s="380">
        <f t="shared" si="45"/>
        <v>-2.2204460492503131E-16</v>
      </c>
      <c r="J431" s="380">
        <f t="shared" si="45"/>
        <v>4.4408920985006262E-16</v>
      </c>
      <c r="K431" s="380">
        <f t="shared" si="45"/>
        <v>0</v>
      </c>
      <c r="L431" s="380">
        <f t="shared" si="45"/>
        <v>0</v>
      </c>
      <c r="M431" s="380">
        <f t="shared" si="45"/>
        <v>-4.4408920985006262E-16</v>
      </c>
      <c r="N431" s="380">
        <f t="shared" si="45"/>
        <v>0</v>
      </c>
    </row>
    <row r="432" spans="2:14">
      <c r="B432" s="382"/>
      <c r="C432" s="6"/>
      <c r="E432" s="382"/>
      <c r="F432" s="1326"/>
      <c r="G432" s="1326"/>
      <c r="H432" s="1326"/>
      <c r="I432" s="1326"/>
      <c r="J432" s="1326"/>
      <c r="K432" s="1326"/>
      <c r="L432" s="1326"/>
      <c r="M432" s="1326"/>
      <c r="N432" s="1326"/>
    </row>
    <row r="433" spans="2:20">
      <c r="C433" s="363" t="s">
        <v>250</v>
      </c>
      <c r="E433" s="364"/>
      <c r="F433" s="1327"/>
      <c r="G433" s="1327"/>
      <c r="H433" s="1327"/>
      <c r="I433" s="1327"/>
      <c r="J433" s="1327"/>
      <c r="K433" s="1327"/>
      <c r="L433" s="1327"/>
      <c r="M433" s="1327"/>
      <c r="N433" s="1327"/>
    </row>
    <row r="434" spans="2:20">
      <c r="E434" s="382"/>
      <c r="F434" s="1326"/>
      <c r="G434" s="1326"/>
      <c r="H434" s="1326"/>
      <c r="I434" s="1326"/>
      <c r="J434" s="1326"/>
      <c r="K434" s="1326"/>
      <c r="L434" s="1326"/>
      <c r="M434" s="1326"/>
      <c r="N434" s="1326"/>
    </row>
    <row r="435" spans="2:20">
      <c r="B435" s="382" t="s">
        <v>96</v>
      </c>
      <c r="C435" s="6" t="s">
        <v>86</v>
      </c>
      <c r="E435" s="382"/>
      <c r="F435" s="374">
        <f>F422</f>
        <v>-0.4</v>
      </c>
      <c r="G435" s="374">
        <f t="shared" ref="G435:N435" si="46">G422</f>
        <v>-0.48</v>
      </c>
      <c r="H435" s="374">
        <f t="shared" si="46"/>
        <v>-0.55000000000000004</v>
      </c>
      <c r="I435" s="374">
        <f t="shared" si="46"/>
        <v>-0.58333333333333348</v>
      </c>
      <c r="J435" s="374">
        <f t="shared" si="46"/>
        <v>-0.60000000000000009</v>
      </c>
      <c r="K435" s="374">
        <f t="shared" si="46"/>
        <v>-0.6000000000000002</v>
      </c>
      <c r="L435" s="374">
        <f t="shared" si="46"/>
        <v>-0.58333333333333348</v>
      </c>
      <c r="M435" s="374">
        <f t="shared" si="46"/>
        <v>-0.55000000000000016</v>
      </c>
      <c r="N435" s="374">
        <f t="shared" si="46"/>
        <v>-0.5</v>
      </c>
    </row>
    <row r="436" spans="2:20">
      <c r="B436" s="382" t="s">
        <v>97</v>
      </c>
      <c r="C436" s="6" t="s">
        <v>87</v>
      </c>
      <c r="E436" s="382"/>
      <c r="F436" s="374">
        <f t="shared" ref="F436:N440" si="47">F423</f>
        <v>0</v>
      </c>
      <c r="G436" s="374">
        <f t="shared" si="47"/>
        <v>0</v>
      </c>
      <c r="H436" s="374">
        <f t="shared" si="47"/>
        <v>0</v>
      </c>
      <c r="I436" s="374">
        <f t="shared" si="47"/>
        <v>0</v>
      </c>
      <c r="J436" s="374">
        <f t="shared" si="47"/>
        <v>0</v>
      </c>
      <c r="K436" s="374">
        <f t="shared" si="47"/>
        <v>0</v>
      </c>
      <c r="L436" s="374">
        <f t="shared" si="47"/>
        <v>0</v>
      </c>
      <c r="M436" s="374">
        <f t="shared" si="47"/>
        <v>0</v>
      </c>
      <c r="N436" s="374">
        <f t="shared" si="47"/>
        <v>0</v>
      </c>
    </row>
    <row r="437" spans="2:20">
      <c r="B437" s="382" t="s">
        <v>98</v>
      </c>
      <c r="C437" s="6" t="s">
        <v>88</v>
      </c>
      <c r="E437" s="382"/>
      <c r="F437" s="374">
        <f t="shared" si="47"/>
        <v>0</v>
      </c>
      <c r="G437" s="374">
        <f t="shared" si="47"/>
        <v>0</v>
      </c>
      <c r="H437" s="374">
        <f t="shared" si="47"/>
        <v>0</v>
      </c>
      <c r="I437" s="374">
        <f t="shared" si="47"/>
        <v>0</v>
      </c>
      <c r="J437" s="374">
        <f t="shared" si="47"/>
        <v>0</v>
      </c>
      <c r="K437" s="374">
        <f t="shared" si="47"/>
        <v>0</v>
      </c>
      <c r="L437" s="374">
        <f t="shared" si="47"/>
        <v>0</v>
      </c>
      <c r="M437" s="374">
        <f t="shared" si="47"/>
        <v>0</v>
      </c>
      <c r="N437" s="374">
        <f t="shared" si="47"/>
        <v>0</v>
      </c>
    </row>
    <row r="438" spans="2:20">
      <c r="B438" s="382" t="s">
        <v>99</v>
      </c>
      <c r="C438" s="6" t="s">
        <v>89</v>
      </c>
      <c r="E438" s="382"/>
      <c r="F438" s="374">
        <f t="shared" si="47"/>
        <v>0</v>
      </c>
      <c r="G438" s="374">
        <f t="shared" si="47"/>
        <v>0</v>
      </c>
      <c r="H438" s="374">
        <f t="shared" si="47"/>
        <v>0</v>
      </c>
      <c r="I438" s="374">
        <f t="shared" si="47"/>
        <v>0</v>
      </c>
      <c r="J438" s="374">
        <f t="shared" si="47"/>
        <v>0</v>
      </c>
      <c r="K438" s="374">
        <f t="shared" si="47"/>
        <v>0</v>
      </c>
      <c r="L438" s="374">
        <f t="shared" si="47"/>
        <v>0</v>
      </c>
      <c r="M438" s="374">
        <f t="shared" si="47"/>
        <v>0</v>
      </c>
      <c r="N438" s="374">
        <f t="shared" si="47"/>
        <v>0</v>
      </c>
    </row>
    <row r="439" spans="2:20">
      <c r="B439" s="382" t="s">
        <v>100</v>
      </c>
      <c r="C439" s="6" t="s">
        <v>90</v>
      </c>
      <c r="E439" s="382"/>
      <c r="F439" s="374">
        <f t="shared" si="47"/>
        <v>0</v>
      </c>
      <c r="G439" s="374">
        <f t="shared" si="47"/>
        <v>0</v>
      </c>
      <c r="H439" s="374">
        <f t="shared" si="47"/>
        <v>0</v>
      </c>
      <c r="I439" s="374">
        <f t="shared" si="47"/>
        <v>0</v>
      </c>
      <c r="J439" s="374">
        <f t="shared" si="47"/>
        <v>0</v>
      </c>
      <c r="K439" s="374">
        <f t="shared" si="47"/>
        <v>0</v>
      </c>
      <c r="L439" s="374">
        <f t="shared" si="47"/>
        <v>0</v>
      </c>
      <c r="M439" s="374">
        <f t="shared" si="47"/>
        <v>0</v>
      </c>
      <c r="N439" s="374">
        <f t="shared" si="47"/>
        <v>0</v>
      </c>
    </row>
    <row r="440" spans="2:20">
      <c r="B440" s="382" t="s">
        <v>101</v>
      </c>
      <c r="C440" s="6" t="s">
        <v>91</v>
      </c>
      <c r="E440" s="382"/>
      <c r="F440" s="374">
        <f t="shared" si="47"/>
        <v>0</v>
      </c>
      <c r="G440" s="374">
        <f t="shared" si="47"/>
        <v>0</v>
      </c>
      <c r="H440" s="374">
        <f t="shared" si="47"/>
        <v>0</v>
      </c>
      <c r="I440" s="374">
        <f t="shared" si="47"/>
        <v>0</v>
      </c>
      <c r="J440" s="374">
        <f t="shared" si="47"/>
        <v>0</v>
      </c>
      <c r="K440" s="374">
        <f t="shared" si="47"/>
        <v>0</v>
      </c>
      <c r="L440" s="374">
        <f t="shared" si="47"/>
        <v>0</v>
      </c>
      <c r="M440" s="374">
        <f t="shared" si="47"/>
        <v>0</v>
      </c>
      <c r="N440" s="374">
        <f t="shared" si="47"/>
        <v>0</v>
      </c>
    </row>
    <row r="441" spans="2:20">
      <c r="B441" s="382" t="s">
        <v>102</v>
      </c>
      <c r="C441" s="6" t="s">
        <v>92</v>
      </c>
      <c r="E441" s="382"/>
      <c r="F441" s="374">
        <v>0</v>
      </c>
      <c r="G441" s="374">
        <v>0</v>
      </c>
      <c r="H441" s="374">
        <v>0</v>
      </c>
      <c r="I441" s="374">
        <v>0</v>
      </c>
      <c r="J441" s="374">
        <v>0</v>
      </c>
      <c r="K441" s="374">
        <v>0</v>
      </c>
      <c r="L441" s="374">
        <v>0</v>
      </c>
      <c r="M441" s="374">
        <v>0</v>
      </c>
      <c r="N441" s="374">
        <v>0</v>
      </c>
    </row>
    <row r="442" spans="2:20">
      <c r="B442" s="382" t="s">
        <v>103</v>
      </c>
      <c r="C442" s="6" t="s">
        <v>93</v>
      </c>
      <c r="E442" s="382"/>
      <c r="F442" s="411">
        <f>-SUM(F$435:F$441)-F443</f>
        <v>0.4</v>
      </c>
      <c r="G442" s="411">
        <f t="shared" ref="G442:N442" si="48">-SUM(G$435:G$441)-G443</f>
        <v>0.48</v>
      </c>
      <c r="H442" s="411">
        <f t="shared" si="48"/>
        <v>0.55000000000000004</v>
      </c>
      <c r="I442" s="411">
        <f t="shared" si="48"/>
        <v>0.58333333333333348</v>
      </c>
      <c r="J442" s="411">
        <f t="shared" si="48"/>
        <v>0.60000000000000009</v>
      </c>
      <c r="K442" s="411">
        <f t="shared" si="48"/>
        <v>0.6000000000000002</v>
      </c>
      <c r="L442" s="411">
        <f t="shared" si="48"/>
        <v>0.58333333333333348</v>
      </c>
      <c r="M442" s="411">
        <f t="shared" si="48"/>
        <v>0.55000000000000016</v>
      </c>
      <c r="N442" s="411">
        <f t="shared" si="48"/>
        <v>0.5</v>
      </c>
    </row>
    <row r="443" spans="2:20">
      <c r="B443" s="382" t="s">
        <v>104</v>
      </c>
      <c r="C443" s="6" t="s">
        <v>94</v>
      </c>
      <c r="E443" s="382"/>
      <c r="F443" s="374">
        <f t="shared" ref="F443:N443" si="49">F430</f>
        <v>0</v>
      </c>
      <c r="G443" s="374">
        <f t="shared" si="49"/>
        <v>0</v>
      </c>
      <c r="H443" s="374">
        <f t="shared" si="49"/>
        <v>0</v>
      </c>
      <c r="I443" s="374">
        <f t="shared" si="49"/>
        <v>0</v>
      </c>
      <c r="J443" s="374">
        <f t="shared" si="49"/>
        <v>0</v>
      </c>
      <c r="K443" s="374">
        <f t="shared" si="49"/>
        <v>0</v>
      </c>
      <c r="L443" s="374">
        <f t="shared" si="49"/>
        <v>0</v>
      </c>
      <c r="M443" s="374">
        <f t="shared" si="49"/>
        <v>0</v>
      </c>
      <c r="N443" s="374">
        <f t="shared" si="49"/>
        <v>0</v>
      </c>
    </row>
    <row r="444" spans="2:20">
      <c r="B444" s="382"/>
      <c r="C444" s="6"/>
      <c r="E444" s="364" t="str">
        <f>Preferences.EnergyUnits</f>
        <v>TWh</v>
      </c>
      <c r="F444" s="380">
        <f>SUM(F435:F443)</f>
        <v>0</v>
      </c>
      <c r="G444" s="380">
        <f t="shared" ref="G444:N444" si="50">SUM(G435:G443)</f>
        <v>0</v>
      </c>
      <c r="H444" s="380">
        <f t="shared" si="50"/>
        <v>0</v>
      </c>
      <c r="I444" s="380">
        <f t="shared" si="50"/>
        <v>0</v>
      </c>
      <c r="J444" s="380">
        <f t="shared" si="50"/>
        <v>0</v>
      </c>
      <c r="K444" s="380">
        <f t="shared" si="50"/>
        <v>0</v>
      </c>
      <c r="L444" s="380">
        <f t="shared" si="50"/>
        <v>0</v>
      </c>
      <c r="M444" s="380">
        <f t="shared" si="50"/>
        <v>0</v>
      </c>
      <c r="N444" s="380">
        <f t="shared" si="50"/>
        <v>0</v>
      </c>
    </row>
    <row r="445" spans="2:20">
      <c r="B445" s="382"/>
      <c r="C445" s="6"/>
      <c r="E445" s="382"/>
      <c r="F445" s="1326"/>
      <c r="G445" s="1326"/>
      <c r="H445" s="1326"/>
      <c r="I445" s="1326"/>
      <c r="J445" s="1326"/>
      <c r="K445" s="1326"/>
      <c r="L445" s="1326"/>
      <c r="M445" s="1326"/>
      <c r="N445" s="1326"/>
    </row>
    <row r="446" spans="2:20">
      <c r="B446" s="363">
        <v>4</v>
      </c>
      <c r="C446" s="363" t="s">
        <v>251</v>
      </c>
      <c r="E446" s="364"/>
      <c r="F446" s="1326"/>
      <c r="G446" s="1326"/>
      <c r="H446" s="1326"/>
      <c r="I446" s="1326"/>
      <c r="J446" s="1326"/>
      <c r="K446" s="1326"/>
      <c r="L446" s="1326"/>
      <c r="M446" s="1326"/>
      <c r="N446" s="1326"/>
    </row>
    <row r="447" spans="2:20">
      <c r="E447" s="382"/>
      <c r="F447" s="1326"/>
      <c r="G447" s="1326"/>
      <c r="H447" s="1326"/>
      <c r="I447" s="1326"/>
      <c r="J447" s="1326"/>
      <c r="K447" s="1326"/>
      <c r="L447" s="1326"/>
      <c r="M447" s="1326"/>
      <c r="N447" s="1326"/>
    </row>
    <row r="448" spans="2:20">
      <c r="B448" s="382" t="s">
        <v>96</v>
      </c>
      <c r="C448" s="6" t="s">
        <v>86</v>
      </c>
      <c r="E448" s="382"/>
      <c r="F448" s="1326">
        <f t="shared" ref="F448:N456" si="51">SUMIFS(F$367:F$375, $B$367:$B$375, $B448)+SUMIFS(F$399:F$407, $B$399:$B$407, $B448)+SUMIFS(F$435:F$443, $B$435:$B$443, $B448)</f>
        <v>-3.3022499999999999</v>
      </c>
      <c r="G448" s="1326">
        <f t="shared" si="51"/>
        <v>-3.4672833333333331</v>
      </c>
      <c r="H448" s="1326">
        <f t="shared" si="51"/>
        <v>-3.4631285714285713</v>
      </c>
      <c r="I448" s="1326">
        <f t="shared" si="51"/>
        <v>-3.3169672619047619</v>
      </c>
      <c r="J448" s="1326">
        <f t="shared" si="51"/>
        <v>-3.1235285714285705</v>
      </c>
      <c r="K448" s="1326">
        <f t="shared" si="51"/>
        <v>-2.8828124999999996</v>
      </c>
      <c r="L448" s="1326">
        <f t="shared" si="51"/>
        <v>-2.5948190476190471</v>
      </c>
      <c r="M448" s="1326">
        <f t="shared" si="51"/>
        <v>-2.2595482142857137</v>
      </c>
      <c r="N448" s="1326">
        <f t="shared" si="51"/>
        <v>-1.877</v>
      </c>
      <c r="T448" s="382"/>
    </row>
    <row r="449" spans="2:20">
      <c r="B449" s="382" t="s">
        <v>97</v>
      </c>
      <c r="C449" s="6" t="s">
        <v>87</v>
      </c>
      <c r="E449" s="382"/>
      <c r="F449" s="1326">
        <f t="shared" si="51"/>
        <v>0</v>
      </c>
      <c r="G449" s="1326">
        <f t="shared" si="51"/>
        <v>0</v>
      </c>
      <c r="H449" s="1326">
        <f>SUMIFS(H$367:H$375, $B$367:$B$375, $B449)+SUMIFS(H$399:H$407, $B$399:$B$407, $B449)+SUMIFS(H$435:H$443, $B$435:$B$443, $B449)</f>
        <v>1.3644642857142859</v>
      </c>
      <c r="I449" s="1326">
        <f t="shared" si="51"/>
        <v>2.8642500000000002</v>
      </c>
      <c r="J449" s="1326">
        <f t="shared" si="51"/>
        <v>4.4993571428571428</v>
      </c>
      <c r="K449" s="1326">
        <f t="shared" si="51"/>
        <v>6.2697857142857147</v>
      </c>
      <c r="L449" s="1326">
        <f t="shared" si="51"/>
        <v>8.175535714285715</v>
      </c>
      <c r="M449" s="1326">
        <f t="shared" si="51"/>
        <v>10.216607142857143</v>
      </c>
      <c r="N449" s="1326">
        <f t="shared" si="51"/>
        <v>12.392999999999999</v>
      </c>
      <c r="T449" s="382"/>
    </row>
    <row r="450" spans="2:20">
      <c r="B450" s="382" t="s">
        <v>98</v>
      </c>
      <c r="C450" s="6" t="s">
        <v>88</v>
      </c>
      <c r="E450" s="382"/>
      <c r="F450" s="1326">
        <f t="shared" si="51"/>
        <v>-0.32965517241379305</v>
      </c>
      <c r="G450" s="1326">
        <f t="shared" si="51"/>
        <v>-0.33931034482758621</v>
      </c>
      <c r="H450" s="1326">
        <f t="shared" si="51"/>
        <v>-0.31366995073891629</v>
      </c>
      <c r="I450" s="1326">
        <f t="shared" si="51"/>
        <v>-0.27435344827586206</v>
      </c>
      <c r="J450" s="1326">
        <f t="shared" si="51"/>
        <v>-0.22985221674876849</v>
      </c>
      <c r="K450" s="1326">
        <f t="shared" si="51"/>
        <v>-0.18016625615763548</v>
      </c>
      <c r="L450" s="1326">
        <f t="shared" si="51"/>
        <v>-0.1252955665024631</v>
      </c>
      <c r="M450" s="1326">
        <f t="shared" si="51"/>
        <v>-6.5240147783251268E-2</v>
      </c>
      <c r="N450" s="1326">
        <f t="shared" si="51"/>
        <v>0</v>
      </c>
      <c r="T450" s="382"/>
    </row>
    <row r="451" spans="2:20">
      <c r="B451" s="382" t="s">
        <v>99</v>
      </c>
      <c r="C451" s="6" t="s">
        <v>89</v>
      </c>
      <c r="E451" s="382"/>
      <c r="F451" s="1326">
        <f t="shared" si="51"/>
        <v>-2.2668041237113408</v>
      </c>
      <c r="G451" s="1326">
        <f t="shared" si="51"/>
        <v>-2.3331958762886598</v>
      </c>
      <c r="H451" s="1326">
        <f t="shared" si="51"/>
        <v>-2.1568851251840946</v>
      </c>
      <c r="I451" s="1326">
        <f t="shared" si="51"/>
        <v>-1.886533505154639</v>
      </c>
      <c r="J451" s="1326">
        <f t="shared" si="51"/>
        <v>-1.5805301914580263</v>
      </c>
      <c r="K451" s="1326">
        <f t="shared" si="51"/>
        <v>-1.2388751840942562</v>
      </c>
      <c r="L451" s="1326">
        <f t="shared" si="51"/>
        <v>-0.86156848306332812</v>
      </c>
      <c r="M451" s="1326">
        <f t="shared" si="51"/>
        <v>-0.44861008836524285</v>
      </c>
      <c r="N451" s="1326">
        <f t="shared" si="51"/>
        <v>0</v>
      </c>
      <c r="T451" s="382"/>
    </row>
    <row r="452" spans="2:20">
      <c r="B452" s="382" t="s">
        <v>100</v>
      </c>
      <c r="C452" s="6" t="s">
        <v>90</v>
      </c>
      <c r="E452" s="382"/>
      <c r="F452" s="1326">
        <f t="shared" si="51"/>
        <v>-4.9320532099479477</v>
      </c>
      <c r="G452" s="1326">
        <f t="shared" si="51"/>
        <v>-5.0765066512434931</v>
      </c>
      <c r="H452" s="1326">
        <f t="shared" si="51"/>
        <v>-7.726703193423119</v>
      </c>
      <c r="I452" s="1326">
        <f t="shared" si="51"/>
        <v>-10.473167582417583</v>
      </c>
      <c r="J452" s="1326">
        <f t="shared" si="51"/>
        <v>-13.442941460794843</v>
      </c>
      <c r="K452" s="1326">
        <f t="shared" si="51"/>
        <v>-16.636024828554905</v>
      </c>
      <c r="L452" s="1326">
        <f t="shared" si="51"/>
        <v>-20.052417685697762</v>
      </c>
      <c r="M452" s="1326">
        <f t="shared" si="51"/>
        <v>-23.692120032223414</v>
      </c>
      <c r="N452" s="1326">
        <f t="shared" si="51"/>
        <v>-27.555131868131866</v>
      </c>
      <c r="T452" s="382"/>
    </row>
    <row r="453" spans="2:20">
      <c r="B453" s="382" t="s">
        <v>101</v>
      </c>
      <c r="C453" s="6" t="s">
        <v>91</v>
      </c>
      <c r="E453" s="382"/>
      <c r="F453" s="1326">
        <f t="shared" si="51"/>
        <v>0</v>
      </c>
      <c r="G453" s="1326">
        <f t="shared" si="51"/>
        <v>0</v>
      </c>
      <c r="H453" s="1326">
        <f t="shared" si="51"/>
        <v>0</v>
      </c>
      <c r="I453" s="1326">
        <f t="shared" si="51"/>
        <v>0</v>
      </c>
      <c r="J453" s="1326">
        <f t="shared" si="51"/>
        <v>0</v>
      </c>
      <c r="K453" s="1326">
        <f t="shared" si="51"/>
        <v>0</v>
      </c>
      <c r="L453" s="1326">
        <f t="shared" si="51"/>
        <v>0</v>
      </c>
      <c r="M453" s="1326">
        <f t="shared" si="51"/>
        <v>0</v>
      </c>
      <c r="N453" s="1326">
        <f t="shared" si="51"/>
        <v>0</v>
      </c>
      <c r="T453" s="382"/>
    </row>
    <row r="454" spans="2:20">
      <c r="B454" s="382" t="s">
        <v>102</v>
      </c>
      <c r="C454" s="6" t="s">
        <v>92</v>
      </c>
      <c r="E454" s="382"/>
      <c r="F454" s="1326">
        <f>SUMIFS(F$367:F$375, $B$367:$B$375, $B454)+SUMIFS(F$399:F$407, $B$399:$B$407, $B454)+SUMIFS(F$435:F$443, $B$435:$B$443, $B454)</f>
        <v>-6.1350000000000002E-2</v>
      </c>
      <c r="G454" s="1326">
        <f t="shared" si="51"/>
        <v>-6.3116666666666668E-2</v>
      </c>
      <c r="H454" s="1326">
        <f t="shared" si="51"/>
        <v>-5.8371428571428581E-2</v>
      </c>
      <c r="I454" s="1326">
        <f t="shared" si="51"/>
        <v>-5.1053571428571434E-2</v>
      </c>
      <c r="J454" s="1326">
        <f t="shared" si="51"/>
        <v>-4.2771428571428571E-2</v>
      </c>
      <c r="K454" s="1326">
        <f t="shared" si="51"/>
        <v>-3.3525000000000013E-2</v>
      </c>
      <c r="L454" s="1326">
        <f t="shared" si="51"/>
        <v>-2.3314285714285725E-2</v>
      </c>
      <c r="M454" s="1326">
        <f t="shared" si="51"/>
        <v>-1.2139285714285724E-2</v>
      </c>
      <c r="N454" s="1326">
        <f t="shared" si="51"/>
        <v>0</v>
      </c>
      <c r="T454" s="382"/>
    </row>
    <row r="455" spans="2:20">
      <c r="B455" s="382" t="s">
        <v>103</v>
      </c>
      <c r="C455" s="6" t="s">
        <v>93</v>
      </c>
      <c r="E455" s="382"/>
      <c r="F455" s="1326">
        <f t="shared" si="51"/>
        <v>9.9600000000000009</v>
      </c>
      <c r="G455" s="1326">
        <f t="shared" si="51"/>
        <v>10.320000000000002</v>
      </c>
      <c r="H455" s="1326">
        <f t="shared" si="51"/>
        <v>11.164016071428573</v>
      </c>
      <c r="I455" s="1326">
        <f t="shared" si="51"/>
        <v>11.725265833333333</v>
      </c>
      <c r="J455" s="1326">
        <f t="shared" si="51"/>
        <v>12.269999285714283</v>
      </c>
      <c r="K455" s="1326">
        <f t="shared" si="51"/>
        <v>12.798216428571427</v>
      </c>
      <c r="L455" s="1326">
        <f t="shared" si="51"/>
        <v>13.30991726190476</v>
      </c>
      <c r="M455" s="1326">
        <f t="shared" si="51"/>
        <v>13.805101785714287</v>
      </c>
      <c r="N455" s="1326">
        <f t="shared" si="51"/>
        <v>14.283769999999999</v>
      </c>
      <c r="T455" s="382"/>
    </row>
    <row r="456" spans="2:20">
      <c r="B456" s="382" t="s">
        <v>104</v>
      </c>
      <c r="C456" s="6" t="s">
        <v>94</v>
      </c>
      <c r="E456" s="382"/>
      <c r="F456" s="1326">
        <f t="shared" si="51"/>
        <v>0.93211250607308016</v>
      </c>
      <c r="G456" s="1326">
        <f t="shared" si="51"/>
        <v>0.95941287235973916</v>
      </c>
      <c r="H456" s="1326">
        <f t="shared" si="51"/>
        <v>1.1902779122032716</v>
      </c>
      <c r="I456" s="1326">
        <f t="shared" si="51"/>
        <v>1.4125595358480838</v>
      </c>
      <c r="J456" s="1326">
        <f t="shared" si="51"/>
        <v>1.6502674404302107</v>
      </c>
      <c r="K456" s="1326">
        <f t="shared" si="51"/>
        <v>1.9034016259496529</v>
      </c>
      <c r="L456" s="1326">
        <f t="shared" si="51"/>
        <v>2.1719620924064094</v>
      </c>
      <c r="M456" s="1326">
        <f t="shared" si="51"/>
        <v>2.4559488398004814</v>
      </c>
      <c r="N456" s="1326">
        <f>SUMIFS(N$367:N$375, $B$367:$B$375, $B456)+SUMIFS(N$399:N$407, $B$399:$B$407, $B456)+SUMIFS(N$435:N$443, $B$435:$B$443, $B456)</f>
        <v>2.7553618681318683</v>
      </c>
      <c r="T456" s="382"/>
    </row>
    <row r="457" spans="2:20">
      <c r="B457" s="382"/>
      <c r="C457" s="6"/>
      <c r="E457" s="364" t="str">
        <f>Preferences.EnergyUnits</f>
        <v>TWh</v>
      </c>
      <c r="F457" s="1330">
        <f t="shared" ref="F457:N457" si="52">SUM(F448:F456)</f>
        <v>0</v>
      </c>
      <c r="G457" s="1330">
        <f t="shared" si="52"/>
        <v>2.3314683517128287E-15</v>
      </c>
      <c r="H457" s="1330">
        <f t="shared" si="52"/>
        <v>2.2204460492503131E-15</v>
      </c>
      <c r="I457" s="1330">
        <f t="shared" si="52"/>
        <v>0</v>
      </c>
      <c r="J457" s="1330">
        <f t="shared" si="52"/>
        <v>-1.9984014443252818E-15</v>
      </c>
      <c r="K457" s="1330">
        <f t="shared" si="52"/>
        <v>0</v>
      </c>
      <c r="L457" s="1330">
        <f t="shared" si="52"/>
        <v>0</v>
      </c>
      <c r="M457" s="1330">
        <f t="shared" si="52"/>
        <v>0</v>
      </c>
      <c r="N457" s="1330">
        <f t="shared" si="52"/>
        <v>0</v>
      </c>
    </row>
    <row r="458" spans="2:20">
      <c r="E458" s="382"/>
      <c r="F458" s="1326"/>
      <c r="G458" s="1326"/>
      <c r="H458" s="1326"/>
      <c r="I458" s="1326"/>
      <c r="J458" s="1326"/>
      <c r="K458" s="1326"/>
      <c r="L458" s="1326"/>
      <c r="M458" s="1326"/>
      <c r="N458" s="1326"/>
    </row>
    <row r="459" spans="2:20">
      <c r="B459" s="363">
        <v>5</v>
      </c>
      <c r="C459" s="363" t="s">
        <v>252</v>
      </c>
      <c r="E459" s="382"/>
      <c r="F459" s="1326"/>
      <c r="G459" s="1326"/>
      <c r="H459" s="1326"/>
      <c r="I459" s="1326"/>
      <c r="J459" s="1326"/>
      <c r="K459" s="1326"/>
      <c r="L459" s="1326"/>
      <c r="M459" s="1326"/>
      <c r="N459" s="1326"/>
    </row>
    <row r="460" spans="2:20">
      <c r="E460" s="382"/>
      <c r="F460" s="1326"/>
      <c r="G460" s="1326"/>
      <c r="H460" s="1326"/>
      <c r="I460" s="1326"/>
      <c r="J460" s="1326"/>
      <c r="K460" s="1326"/>
      <c r="L460" s="1326"/>
      <c r="M460" s="1326"/>
      <c r="N460" s="1326"/>
    </row>
    <row r="461" spans="2:20">
      <c r="B461" t="s">
        <v>303</v>
      </c>
      <c r="E461" s="382"/>
      <c r="F461" s="1326"/>
      <c r="G461" s="1326"/>
      <c r="H461" s="1326"/>
      <c r="I461" s="1326"/>
      <c r="J461" s="1326"/>
      <c r="K461" s="1326"/>
      <c r="L461" s="1326"/>
      <c r="M461" s="1326"/>
      <c r="N461" s="1326"/>
    </row>
    <row r="462" spans="2:20">
      <c r="C462" t="s">
        <v>253</v>
      </c>
      <c r="E462" s="382" t="s">
        <v>254</v>
      </c>
      <c r="F462" s="2167">
        <f t="array" ref="F462">-SUM(F$448:F$456*SUMIFS(EF[CO2], EF[Vector], $B$448:$B$456))</f>
        <v>1.7191590942521029</v>
      </c>
      <c r="G462" s="2167">
        <f t="array" ref="G462">-SUM(G$448:G$456*SUMIFS(EF[CO2], EF[Vector], $B$448:$B$456))</f>
        <v>1.769511034251118</v>
      </c>
      <c r="H462" s="2167">
        <f t="array" ref="H462">-SUM(H$448:H$456*SUMIFS(EF[CO2], EF[Vector], $B$448:$B$456))</f>
        <v>2.2568807982113466</v>
      </c>
      <c r="I462" s="2167">
        <f t="array" ref="I462">-SUM(I$448:I$456*SUMIFS(EF[CO2], EF[Vector], $B$448:$B$456))</f>
        <v>2.7345257662690052</v>
      </c>
      <c r="J462" s="2167">
        <f t="array" ref="J462">-SUM(J$448:J$456*SUMIFS(EF[CO2], EF[Vector], $B$448:$B$456))</f>
        <v>3.2467286713696564</v>
      </c>
      <c r="K462" s="2167">
        <f t="array" ref="K462">-SUM(K$448:K$456*SUMIFS(EF[CO2], EF[Vector], $B$448:$B$456))</f>
        <v>3.7934895135133022</v>
      </c>
      <c r="L462" s="2167">
        <f t="array" ref="L462">-SUM(L$448:L$456*SUMIFS(EF[CO2], EF[Vector], $B$448:$B$456))</f>
        <v>4.3748082926999405</v>
      </c>
      <c r="M462" s="2167">
        <f t="array" ref="M462">-SUM(M$448:M$456*SUMIFS(EF[CO2], EF[Vector], $B$448:$B$456))</f>
        <v>4.9906850089295718</v>
      </c>
      <c r="N462" s="2167">
        <f t="array" ref="N462">-SUM(N$448:N$456*SUMIFS(EF[CO2], EF[Vector], $B$448:$B$456))</f>
        <v>5.6411196622021968</v>
      </c>
    </row>
    <row r="463" spans="2:20">
      <c r="C463" t="s">
        <v>255</v>
      </c>
      <c r="E463" s="382"/>
      <c r="F463" s="2167">
        <f t="array" ref="F463">-SUM(F$448:F$456*SUMIFS(EF[CH4], EF[Vector], $B$448:$B$456))</f>
        <v>9.044197496539349E-4</v>
      </c>
      <c r="G463" s="2167">
        <f t="array" ref="G463">-SUM(G$448:G$456*SUMIFS(EF[CH4], EF[Vector], $B$448:$B$456))</f>
        <v>9.3090903102455212E-4</v>
      </c>
      <c r="H463" s="2167">
        <f t="array" ref="H463">-SUM(H$448:H$456*SUMIFS(EF[CH4], EF[Vector], $B$448:$B$456))</f>
        <v>1.089919721607644E-3</v>
      </c>
      <c r="I463" s="2167">
        <f t="array" ref="I463">-SUM(I$448:I$456*SUMIFS(EF[CH4], EF[Vector], $B$448:$B$456))</f>
        <v>1.2341560526826002E-3</v>
      </c>
      <c r="J463" s="2167">
        <f t="array" ref="J463">-SUM(J$448:J$456*SUMIFS(EF[CH4], EF[Vector], $B$448:$B$456))</f>
        <v>1.3869144011691157E-3</v>
      </c>
      <c r="K463" s="2167">
        <f t="array" ref="K463">-SUM(K$448:K$456*SUMIFS(EF[CH4], EF[Vector], $B$448:$B$456))</f>
        <v>1.5481947670671905E-3</v>
      </c>
      <c r="L463" s="2167">
        <f t="array" ref="L463">-SUM(L$448:L$456*SUMIFS(EF[CH4], EF[Vector], $B$448:$B$456))</f>
        <v>1.717997150376824E-3</v>
      </c>
      <c r="M463" s="2167">
        <f t="array" ref="M463">-SUM(M$448:M$456*SUMIFS(EF[CH4], EF[Vector], $B$448:$B$456))</f>
        <v>1.8963215510980169E-3</v>
      </c>
      <c r="N463" s="2167">
        <f t="array" ref="N463">-SUM(N$448:N$456*SUMIFS(EF[CH4], EF[Vector], $B$448:$B$456))</f>
        <v>2.0831679692307693E-3</v>
      </c>
    </row>
    <row r="464" spans="2:20">
      <c r="C464" t="s">
        <v>256</v>
      </c>
      <c r="E464" s="382"/>
      <c r="F464" s="2167">
        <f t="array" ref="F464">-SUM(F$448:F$456*SUMIFS(EF[N2O], EF[Vector], $B$448:$B$456))</f>
        <v>1.7663896636119548E-2</v>
      </c>
      <c r="G464" s="2167">
        <f t="array" ref="G464">-SUM(G$448:G$456*SUMIFS(EF[N2O], EF[Vector], $B$448:$B$456))</f>
        <v>1.8181249257261119E-2</v>
      </c>
      <c r="H464" s="2167">
        <f t="array" ref="H464">-SUM(H$448:H$456*SUMIFS(EF[N2O], EF[Vector], $B$448:$B$456))</f>
        <v>2.6625980327530167E-2</v>
      </c>
      <c r="I464" s="2167">
        <f t="array" ref="I464">-SUM(I$448:I$456*SUMIFS(EF[N2O], EF[Vector], $B$448:$B$456))</f>
        <v>3.5311671622925742E-2</v>
      </c>
      <c r="J464" s="2167">
        <f t="array" ref="J464">-SUM(J$448:J$456*SUMIFS(EF[N2O], EF[Vector], $B$448:$B$456))</f>
        <v>4.4693316296862538E-2</v>
      </c>
      <c r="K464" s="2167">
        <f t="array" ref="K464">-SUM(K$448:K$456*SUMIFS(EF[N2O], EF[Vector], $B$448:$B$456))</f>
        <v>5.4770914349340567E-2</v>
      </c>
      <c r="L464" s="2167">
        <f t="array" ref="L464">-SUM(L$448:L$456*SUMIFS(EF[N2O], EF[Vector], $B$448:$B$456))</f>
        <v>6.5544465780359815E-2</v>
      </c>
      <c r="M464" s="2167">
        <f t="array" ref="M464">-SUM(M$448:M$456*SUMIFS(EF[N2O], EF[Vector], $B$448:$B$456))</f>
        <v>7.701397058992028E-2</v>
      </c>
      <c r="N464" s="2167">
        <f t="array" ref="N464">-SUM(N$448:N$456*SUMIFS(EF[N2O], EF[Vector], $B$448:$B$456))</f>
        <v>8.9179428778021971E-2</v>
      </c>
    </row>
    <row r="465" spans="2:25">
      <c r="I465" s="363"/>
      <c r="J465" s="363"/>
      <c r="K465" s="363"/>
      <c r="L465" s="363"/>
      <c r="M465" s="363"/>
      <c r="N465" s="363"/>
      <c r="O465" s="2"/>
    </row>
    <row r="466" spans="2:25" s="4" customFormat="1">
      <c r="B466" s="414" t="s">
        <v>257</v>
      </c>
      <c r="C466"/>
      <c r="D466" s="2"/>
      <c r="E466" s="2"/>
      <c r="F466" s="365">
        <v>2013</v>
      </c>
      <c r="G466" s="365">
        <v>2015</v>
      </c>
      <c r="H466" s="365">
        <v>2020</v>
      </c>
      <c r="I466" s="365">
        <v>2025</v>
      </c>
      <c r="J466" s="365">
        <v>2030</v>
      </c>
      <c r="K466" s="365">
        <v>2035</v>
      </c>
      <c r="L466" s="365">
        <v>2040</v>
      </c>
      <c r="M466" s="365">
        <v>2045</v>
      </c>
      <c r="N466" s="365">
        <v>2050</v>
      </c>
      <c r="O466" s="2"/>
      <c r="W466" s="374"/>
      <c r="X466" s="374"/>
      <c r="Y466" s="374"/>
    </row>
    <row r="467" spans="2:25">
      <c r="B467" s="2"/>
      <c r="C467" s="2" t="s">
        <v>141</v>
      </c>
      <c r="D467" s="2"/>
      <c r="E467" s="2" t="s">
        <v>142</v>
      </c>
      <c r="F467" s="2121">
        <f ca="1">(F382/$M97+F350/$M115)*(1-'Intermediate output'!AY255)</f>
        <v>2.5033234402342237</v>
      </c>
      <c r="G467" s="2121">
        <f ca="1">(G382/$M97+G350/$M115)*(1-'Intermediate output'!AZ255)</f>
        <v>2.5694597387172782</v>
      </c>
      <c r="H467" s="2121">
        <f ca="1">(H382/$M97+H350/$M115)*(1-'Intermediate output'!BA255)</f>
        <v>2.3282713395945676</v>
      </c>
      <c r="I467" s="2121">
        <f ca="1">(I382/$M97+I350/$M115)*(1-'Intermediate output'!BB255)</f>
        <v>1.9569652119544132</v>
      </c>
      <c r="J467" s="2121">
        <f ca="1">(J382/$M97+J350/$M115)*(1-'Intermediate output'!BC255)</f>
        <v>1.4200404506613467</v>
      </c>
      <c r="K467" s="2121">
        <f ca="1">(K382/$M97+K350/$M115)*(1-'Intermediate output'!BD255)</f>
        <v>1.0769979117646595</v>
      </c>
      <c r="L467" s="2121">
        <f ca="1">(L382/$M97+L350/$M115)*(1-'Intermediate output'!BE255)</f>
        <v>0.72743560887289183</v>
      </c>
      <c r="M467" s="2121">
        <f ca="1">(M382/$M97+M350/$M115)*(1-'Intermediate output'!BF255)</f>
        <v>0.37586951795629425</v>
      </c>
      <c r="N467" s="2121">
        <f ca="1">(N382/$M97+N350/$M115)*(1-'Intermediate output'!BG255)</f>
        <v>0</v>
      </c>
      <c r="O467" s="2"/>
    </row>
    <row r="468" spans="2:25">
      <c r="B468" s="2"/>
      <c r="C468" s="2" t="s">
        <v>141</v>
      </c>
      <c r="D468" s="2"/>
      <c r="E468" s="2" t="s">
        <v>143</v>
      </c>
      <c r="F468" s="2121">
        <f ca="1">(F382/$M97+F350/$M115)*('Intermediate output'!AY255)</f>
        <v>1.2466033449987111E-2</v>
      </c>
      <c r="G468" s="2121">
        <f ca="1">(G382/$M97+G350/$M115)*('Intermediate output'!AZ255)</f>
        <v>2.0013945493248277E-2</v>
      </c>
      <c r="H468" s="2121">
        <f ca="1">(H382/$M97+H350/$M115)*('Intermediate output'!BA255)</f>
        <v>6.5525652886635269E-2</v>
      </c>
      <c r="I468" s="2121">
        <f ca="1">(I382/$M97+I350/$M115)*('Intermediate output'!BB255)</f>
        <v>0.13678478804558677</v>
      </c>
      <c r="J468" s="2121">
        <f ca="1">(J382/$M97+J350/$M115)*('Intermediate output'!BC255)</f>
        <v>0.33409488768451762</v>
      </c>
      <c r="K468" s="2121">
        <f ca="1">(K382/$M97+K350/$M115)*('Intermediate output'!BD255)</f>
        <v>0.29795509575413714</v>
      </c>
      <c r="L468" s="2121">
        <f ca="1">(L382/$M97+L350/$M115)*('Intermediate output'!BE255)</f>
        <v>0.22876739864590456</v>
      </c>
      <c r="M468" s="2121">
        <f ca="1">(M382/$M97+M350/$M115)*('Intermediate output'!BF255)</f>
        <v>0.1220158203895698</v>
      </c>
      <c r="N468" s="2121">
        <f ca="1">(N382/$M97+N350/$M115)*('Intermediate output'!BG255)</f>
        <v>0</v>
      </c>
      <c r="O468" s="2"/>
    </row>
    <row r="469" spans="2:25">
      <c r="B469" s="2"/>
      <c r="C469" s="2" t="s">
        <v>144</v>
      </c>
      <c r="D469" s="2"/>
      <c r="E469" s="2" t="s">
        <v>142</v>
      </c>
      <c r="F469" s="2121">
        <f ca="1">(F383/$M98+F351/$M116)*(1-'Intermediate output'!AY255)</f>
        <v>2.4042908645766063</v>
      </c>
      <c r="G469" s="2121">
        <f ca="1">(G383/$M98+G351/$M116)*(1-'Intermediate output'!AZ255)</f>
        <v>2.4678107820207704</v>
      </c>
      <c r="H469" s="2121">
        <f ca="1">(H383/$M98+H351/$M116)*(1-'Intermediate output'!BA255)</f>
        <v>2.23778431060886</v>
      </c>
      <c r="I469" s="2121">
        <f ca="1">(I383/$M98+I351/$M116)*(1-'Intermediate output'!BB255)</f>
        <v>1.882815585022338</v>
      </c>
      <c r="J469" s="2121">
        <f ca="1">(J383/$M98+J351/$M116)*(1-'Intermediate output'!BC255)</f>
        <v>1.3683104056729691</v>
      </c>
      <c r="K469" s="2121">
        <f ca="1">(K383/$M98+K351/$M116)*(1-'Intermediate output'!BD255)</f>
        <v>1.0403878728592528</v>
      </c>
      <c r="L469" s="2121">
        <f ca="1">(L383/$M98+L351/$M116)*(1-'Intermediate output'!BE255)</f>
        <v>0.70625204443868117</v>
      </c>
      <c r="M469" s="2121">
        <f ca="1">(M383/$M98+M351/$M116)*(1-'Intermediate output'!BF255)</f>
        <v>0.37041734472879639</v>
      </c>
      <c r="N469" s="2121">
        <f ca="1">(N383/$M98+N351/$M116)*(1-'Intermediate output'!BG255)</f>
        <v>1.1443094709641048E-2</v>
      </c>
      <c r="O469" s="2"/>
    </row>
    <row r="470" spans="2:25">
      <c r="B470" s="2"/>
      <c r="C470" s="2" t="s">
        <v>144</v>
      </c>
      <c r="D470" s="2"/>
      <c r="E470" s="2" t="s">
        <v>143</v>
      </c>
      <c r="F470" s="2121">
        <f ca="1">(F383/$M98+F351/$M116)*('Intermediate output'!AY255)</f>
        <v>1.1972871687130481E-2</v>
      </c>
      <c r="G470" s="2121">
        <f ca="1">(G383/$M98+G351/$M116)*('Intermediate output'!AZ255)</f>
        <v>1.9222185012196698E-2</v>
      </c>
      <c r="H470" s="2121">
        <f ca="1">(H383/$M98+H351/$M116)*('Intermediate output'!BA255)</f>
        <v>6.2979033190198638E-2</v>
      </c>
      <c r="I470" s="2121">
        <f ca="1">(I383/$M98+I351/$M116)*('Intermediate output'!BB255)</f>
        <v>0.13160199739524409</v>
      </c>
      <c r="J470" s="2121">
        <f ca="1">(J383/$M98+J351/$M116)*('Intermediate output'!BC255)</f>
        <v>0.32192428820458169</v>
      </c>
      <c r="K470" s="2121">
        <f ca="1">(K383/$M98+K351/$M116)*('Intermediate output'!BD255)</f>
        <v>0.28782680531971083</v>
      </c>
      <c r="L470" s="2121">
        <f ca="1">(L383/$M98+L351/$M116)*('Intermediate output'!BE255)</f>
        <v>0.22210549088313916</v>
      </c>
      <c r="M470" s="2121">
        <f ca="1">(M383/$M98+M351/$M116)*('Intermediate output'!BF255)</f>
        <v>0.12024592057732549</v>
      </c>
      <c r="N470" s="2121">
        <f ca="1">(N383/$M98+N351/$M116)*('Intermediate output'!BG255)</f>
        <v>3.6887734222270834E-3</v>
      </c>
      <c r="O470" s="2"/>
    </row>
    <row r="471" spans="2:25">
      <c r="B471" s="2"/>
      <c r="C471" s="2" t="s">
        <v>49</v>
      </c>
      <c r="D471" s="2"/>
      <c r="E471" s="2" t="s">
        <v>145</v>
      </c>
      <c r="F471" s="2121">
        <f ca="1">(F385/$M100+F353/$M118)*(1-'Intermediate output'!AY254)</f>
        <v>2.2385584939986667</v>
      </c>
      <c r="G471" s="2121">
        <f ca="1">(G385/$M100+G353/$M118)*(1-'Intermediate output'!AZ254)</f>
        <v>2.2972595918958194</v>
      </c>
      <c r="H471" s="2121">
        <f ca="1">(H385/$M100+H353/$M118)*(1-'Intermediate output'!BA254)</f>
        <v>2.1060804487429721</v>
      </c>
      <c r="I471" s="2121">
        <f ca="1">(I385/$M100+I353/$M118)*(1-'Intermediate output'!BB254)</f>
        <v>1.8098808427703101</v>
      </c>
      <c r="J471" s="2121">
        <f ca="1">(J385/$M100+J353/$M118)*(1-'Intermediate output'!BC254)</f>
        <v>1.4858640008443065</v>
      </c>
      <c r="K471" s="2121">
        <f ca="1">(K385/$M100+K353/$M118)*(1-'Intermediate output'!BD254)</f>
        <v>1.1394816874516891</v>
      </c>
      <c r="L471" s="2121">
        <f ca="1">(L385/$M100+L353/$M118)*(1-'Intermediate output'!BE254)</f>
        <v>0.77420256419264533</v>
      </c>
      <c r="M471" s="2121">
        <f ca="1">(M385/$M100+M353/$M118)*(1-'Intermediate output'!BF254)</f>
        <v>0.39318063384524105</v>
      </c>
      <c r="N471" s="2121">
        <f ca="1">(N385/$M100+N353/$M118)*(1-'Intermediate output'!BG254)</f>
        <v>0</v>
      </c>
      <c r="O471" s="2"/>
    </row>
    <row r="472" spans="2:25">
      <c r="B472" s="2"/>
      <c r="C472" s="2" t="s">
        <v>49</v>
      </c>
      <c r="D472" s="2"/>
      <c r="E472" s="2" t="s">
        <v>146</v>
      </c>
      <c r="F472" s="2121">
        <f ca="1">(F385/$M100+F353/$M118)*('Intermediate output'!AY254)</f>
        <v>2.8245629712674254E-2</v>
      </c>
      <c r="G472" s="2121">
        <f ca="1">(G385/$M100+G353/$M118)*('Intermediate output'!AZ254)</f>
        <v>3.5936284392840488E-2</v>
      </c>
      <c r="H472" s="2121">
        <f ca="1">(H385/$M100+H353/$M118)*('Intermediate output'!BA254)</f>
        <v>5.0804676441122631E-2</v>
      </c>
      <c r="I472" s="2121">
        <f ca="1">(I385/$M100+I353/$M118)*('Intermediate output'!BB254)</f>
        <v>7.6652662384328829E-2</v>
      </c>
      <c r="J472" s="2121">
        <f ca="1">(J385/$M100+J353/$M118)*('Intermediate output'!BC254)</f>
        <v>9.4666190613720003E-2</v>
      </c>
      <c r="K472" s="2121">
        <f ca="1">(K385/$M100+K353/$M118)*('Intermediate output'!BD254)</f>
        <v>9.9393496642567108E-2</v>
      </c>
      <c r="L472" s="2121">
        <f ca="1">(L385/$M100+L353/$M118)*('Intermediate output'!BE254)</f>
        <v>8.7365918870682777E-2</v>
      </c>
      <c r="M472" s="2121">
        <f ca="1">(M385/$M100+M353/$M118)*('Intermediate output'!BF254)</f>
        <v>5.5429454520001829E-2</v>
      </c>
      <c r="N472" s="2121">
        <f ca="1">(N385/$M100+N353/$M118)*('Intermediate output'!BG254)</f>
        <v>0</v>
      </c>
      <c r="O472" s="2"/>
    </row>
    <row r="473" spans="2:25">
      <c r="B473" s="2"/>
      <c r="C473" s="2" t="s">
        <v>50</v>
      </c>
      <c r="D473" s="2"/>
      <c r="E473" s="2" t="s">
        <v>147</v>
      </c>
      <c r="F473" s="2121">
        <f ca="1">(F386/$M101+F354/$M119)*(1-'Intermediate output'!AY253)</f>
        <v>0.31968518501420434</v>
      </c>
      <c r="G473" s="2121">
        <f ca="1">(G386/$M101+G354/$M119)*(1-'Intermediate output'!AZ253)</f>
        <v>0.28551777923526256</v>
      </c>
      <c r="H473" s="2121">
        <f ca="1">(H386/$M101+H354/$M119)*(1-'Intermediate output'!BA253)</f>
        <v>5.1366908799895993E-2</v>
      </c>
      <c r="I473" s="2121">
        <f ca="1">(I386/$M101+I354/$M119)*(1-'Intermediate output'!BB253)</f>
        <v>0</v>
      </c>
      <c r="J473" s="2121">
        <f ca="1">(J386/$M101+J354/$M119)*(1-'Intermediate output'!BC253)</f>
        <v>-5.1037444659122964E-17</v>
      </c>
      <c r="K473" s="2121">
        <f ca="1">(K386/$M101+K354/$M119)*(1-'Intermediate output'!BD253)</f>
        <v>0</v>
      </c>
      <c r="L473" s="2121">
        <f ca="1">(L386/$M101+L354/$M119)*(1-'Intermediate output'!BE253)</f>
        <v>0</v>
      </c>
      <c r="M473" s="2121">
        <f ca="1">(M386/$M101+M354/$M119)*(1-'Intermediate output'!BF253)</f>
        <v>0</v>
      </c>
      <c r="N473" s="2121">
        <f ca="1">(N386/$M101+N354/$M119)*(1-'Intermediate output'!BG253)</f>
        <v>0</v>
      </c>
      <c r="O473" s="2"/>
    </row>
    <row r="474" spans="2:25">
      <c r="B474" s="2"/>
      <c r="C474" s="2" t="s">
        <v>50</v>
      </c>
      <c r="D474" s="2"/>
      <c r="E474" s="2" t="s">
        <v>148</v>
      </c>
      <c r="F474" s="2121">
        <f ca="1">(F386/$M101+F354/$M119)*('Intermediate output'!AY253)</f>
        <v>9.9699873995887055E-3</v>
      </c>
      <c r="G474" s="2121">
        <f ca="1">(G386/$M101+G354/$M119)*('Intermediate output'!AZ253)</f>
        <v>5.3792565592323635E-2</v>
      </c>
      <c r="H474" s="2121">
        <f ca="1">(H386/$M101+H354/$M119)*('Intermediate output'!BA253)</f>
        <v>0.26230304193902032</v>
      </c>
      <c r="I474" s="2121">
        <f ca="1">(I386/$M101+I354/$M119)*('Intermediate output'!BB253)</f>
        <v>0.27435344827586206</v>
      </c>
      <c r="J474" s="2121">
        <f ca="1">(J386/$M101+J354/$M119)*('Intermediate output'!BC253)</f>
        <v>0.22985221674876855</v>
      </c>
      <c r="K474" s="2121">
        <f ca="1">(K386/$M101+K354/$M119)*('Intermediate output'!BD253)</f>
        <v>0.18016625615763548</v>
      </c>
      <c r="L474" s="2121">
        <f ca="1">(L386/$M101+L354/$M119)*('Intermediate output'!BE253)</f>
        <v>0.1252955665024631</v>
      </c>
      <c r="M474" s="2121">
        <f ca="1">(M386/$M101+M354/$M119)*('Intermediate output'!BF253)</f>
        <v>6.5240147783251268E-2</v>
      </c>
      <c r="N474" s="2121">
        <f ca="1">(N386/$M101+N354/$M119)*('Intermediate output'!BG253)</f>
        <v>0</v>
      </c>
      <c r="O474" s="2"/>
    </row>
    <row r="475" spans="2:25">
      <c r="B475" s="2"/>
      <c r="C475" s="2" t="s">
        <v>51</v>
      </c>
      <c r="D475" s="2"/>
      <c r="E475" s="2" t="s">
        <v>142</v>
      </c>
      <c r="F475" s="2121">
        <f ca="1">(F387/$M102+F355/$M120)*(1-'Intermediate output'!AY255)</f>
        <v>0</v>
      </c>
      <c r="G475" s="2121">
        <f ca="1">(G387/$M102+G355/$M120)*(1-'Intermediate output'!AZ255)</f>
        <v>0</v>
      </c>
      <c r="H475" s="2121">
        <f ca="1">(H387/$M102+H355/$M120)*(1-'Intermediate output'!BA255)</f>
        <v>0</v>
      </c>
      <c r="I475" s="2121">
        <f ca="1">(I387/$M102+I355/$M120)*(1-'Intermediate output'!BB255)</f>
        <v>0</v>
      </c>
      <c r="J475" s="2121">
        <f ca="1">(J387/$M102+J355/$M120)*(1-'Intermediate output'!BC255)</f>
        <v>0</v>
      </c>
      <c r="K475" s="2121">
        <f ca="1">(K387/$M102+K355/$M120)*(1-'Intermediate output'!BD255)</f>
        <v>0</v>
      </c>
      <c r="L475" s="2121">
        <f ca="1">(L387/$M102+L355/$M120)*(1-'Intermediate output'!BE255)</f>
        <v>0</v>
      </c>
      <c r="M475" s="2121">
        <f ca="1">(M387/$M102+M355/$M120)*(1-'Intermediate output'!BF255)</f>
        <v>0</v>
      </c>
      <c r="N475" s="2121">
        <f ca="1">(N387/$M102+N355/$M120)*(1-'Intermediate output'!BG255)</f>
        <v>0</v>
      </c>
      <c r="O475" s="2"/>
    </row>
    <row r="476" spans="2:25">
      <c r="B476" s="2"/>
      <c r="C476" s="2" t="s">
        <v>51</v>
      </c>
      <c r="D476" s="2"/>
      <c r="E476" s="2" t="s">
        <v>143</v>
      </c>
      <c r="F476" s="2121">
        <f ca="1">(F387/$M102+F355/$M120)*(1-'Intermediate output'!AY255)</f>
        <v>0</v>
      </c>
      <c r="G476" s="2121">
        <f ca="1">(G387/$M102+G355/$M120)*(1-'Intermediate output'!AZ255)</f>
        <v>0</v>
      </c>
      <c r="H476" s="2121">
        <f ca="1">(H387/$M102+H355/$M120)*(1-'Intermediate output'!BA255)</f>
        <v>0</v>
      </c>
      <c r="I476" s="2121">
        <f ca="1">(I387/$M102+I355/$M120)*(1-'Intermediate output'!BB255)</f>
        <v>0</v>
      </c>
      <c r="J476" s="2121">
        <f ca="1">(J387/$M102+J355/$M120)*(1-'Intermediate output'!BC255)</f>
        <v>0</v>
      </c>
      <c r="K476" s="2121">
        <f ca="1">(K387/$M102+K355/$M120)*(1-'Intermediate output'!BD255)</f>
        <v>0</v>
      </c>
      <c r="L476" s="2121">
        <f ca="1">(L387/$M102+L355/$M120)*(1-'Intermediate output'!BE255)</f>
        <v>0</v>
      </c>
      <c r="M476" s="2121">
        <f ca="1">(M387/$M102+M355/$M120)*(1-'Intermediate output'!BF255)</f>
        <v>0</v>
      </c>
      <c r="N476" s="2121">
        <f ca="1">(N387/$M102+N355/$M120)*(1-'Intermediate output'!BG255)</f>
        <v>0</v>
      </c>
      <c r="O476" s="2"/>
    </row>
    <row r="477" spans="2:25">
      <c r="B477" s="2"/>
      <c r="C477" s="2" t="s">
        <v>52</v>
      </c>
      <c r="D477" s="2"/>
      <c r="E477" s="2" t="s">
        <v>142</v>
      </c>
      <c r="F477" s="2121">
        <f ca="1">(F388/$M103+F356/$M121)*(1-'Intermediate output'!AY255)</f>
        <v>0</v>
      </c>
      <c r="G477" s="2121">
        <f ca="1">(G388/$M103+G356/$M121)*(1-'Intermediate output'!AZ255)</f>
        <v>0</v>
      </c>
      <c r="H477" s="2121">
        <f ca="1">(H388/$M103+H356/$M121)*(1-'Intermediate output'!BA255)</f>
        <v>2.9491436968197862</v>
      </c>
      <c r="I477" s="2121">
        <f ca="1">(I388/$M103+I356/$M121)*(1-'Intermediate output'!BB255)</f>
        <v>5.9491742443414175</v>
      </c>
      <c r="J477" s="2121">
        <f ca="1">(J388/$M103+J356/$M121)*(1-'Intermediate output'!BC255)</f>
        <v>8.0942305687696781</v>
      </c>
      <c r="K477" s="2121">
        <f ca="1">(K388/$M103+K356/$M121)*(1-'Intermediate output'!BD255)</f>
        <v>10.913578839215221</v>
      </c>
      <c r="L477" s="2121">
        <f ca="1">(L388/$M103+L356/$M121)*(1-'Intermediate output'!BE255)</f>
        <v>13.821276568584956</v>
      </c>
      <c r="M477" s="2121">
        <f ca="1">(M388/$M103+M356/$M121)*(1-'Intermediate output'!BF255)</f>
        <v>17.139650018807039</v>
      </c>
      <c r="N477" s="2121">
        <f ca="1">(N388/$M103+N356/$M121)*(1-'Intermediate output'!BG255)</f>
        <v>20.826432371546709</v>
      </c>
      <c r="O477" s="2"/>
    </row>
    <row r="478" spans="2:25">
      <c r="B478" s="2"/>
      <c r="C478" s="2" t="s">
        <v>52</v>
      </c>
      <c r="D478" s="2"/>
      <c r="E478" s="2" t="s">
        <v>143</v>
      </c>
      <c r="F478" s="2121">
        <f ca="1">(F388/$M103+F356/$M121)*('Intermediate output'!AY255)</f>
        <v>0</v>
      </c>
      <c r="G478" s="2121">
        <f ca="1">(G388/$M103+G356/$M121)*('Intermediate output'!AZ255)</f>
        <v>0</v>
      </c>
      <c r="H478" s="2121">
        <f ca="1">(H388/$M103+H356/$M121)*('Intermediate output'!BA255)</f>
        <v>8.299916032307135E-2</v>
      </c>
      <c r="I478" s="2121">
        <f ca="1">(I388/$M103+I356/$M121)*('Intermediate output'!BB255)</f>
        <v>0.41582575565858393</v>
      </c>
      <c r="J478" s="2121">
        <f ca="1">(J388/$M103+J356/$M121)*('Intermediate output'!BC255)</f>
        <v>1.9043408598017511</v>
      </c>
      <c r="K478" s="2121">
        <f ca="1">(K388/$M103+K356/$M121)*('Intermediate output'!BD255)</f>
        <v>3.0192783036419248</v>
      </c>
      <c r="L478" s="2121">
        <f ca="1">(L388/$M103+L356/$M121)*('Intermediate output'!BE255)</f>
        <v>4.3465805742721892</v>
      </c>
      <c r="M478" s="2121">
        <f ca="1">(M388/$M103+M356/$M121)*('Intermediate output'!BF255)</f>
        <v>5.5639214097643901</v>
      </c>
      <c r="N478" s="2121">
        <f ca="1">(N388/$M103+N356/$M121)*('Intermediate output'!BG255)</f>
        <v>6.7135676284532924</v>
      </c>
      <c r="O478" s="2"/>
    </row>
    <row r="479" spans="2:25">
      <c r="B479" s="2"/>
      <c r="C479" s="2" t="s">
        <v>56</v>
      </c>
      <c r="D479" s="2"/>
      <c r="E479" s="2" t="s">
        <v>142</v>
      </c>
      <c r="F479" s="2121">
        <f ca="1">(F392/$M107+F360/$M125)*(1-'Intermediate output'!AY255)</f>
        <v>0</v>
      </c>
      <c r="G479" s="2121">
        <f ca="1">(G392/$M107+G360/$M125)*(1-'Intermediate output'!AZ255)</f>
        <v>0</v>
      </c>
      <c r="H479" s="2121">
        <f ca="1">(H392/$M107+H360/$M125)*(1-'Intermediate output'!BA255)</f>
        <v>0</v>
      </c>
      <c r="I479" s="2121">
        <f ca="1">(I392/$M107+I360/$M125)*(1-'Intermediate output'!BB255)</f>
        <v>0</v>
      </c>
      <c r="J479" s="2121">
        <f ca="1">(J392/$M107+J360/$M125)*(1-'Intermediate output'!BC255)</f>
        <v>0</v>
      </c>
      <c r="K479" s="2121">
        <f ca="1">(K392/$M107+K360/$M125)*(1-'Intermediate output'!BD255)</f>
        <v>0</v>
      </c>
      <c r="L479" s="2121">
        <f ca="1">(L392/$M107+L360/$M125)*(1-'Intermediate output'!BE255)</f>
        <v>0</v>
      </c>
      <c r="M479" s="2121">
        <f ca="1">(M392/$M107+M360/$M125)*(1-'Intermediate output'!BF255)</f>
        <v>0</v>
      </c>
      <c r="N479" s="2121">
        <f ca="1">(N392/$M107+N360/$M125)*(1-'Intermediate output'!BG255)</f>
        <v>0</v>
      </c>
      <c r="O479" s="2"/>
    </row>
    <row r="480" spans="2:25">
      <c r="B480" s="2"/>
      <c r="C480" s="2" t="s">
        <v>56</v>
      </c>
      <c r="D480" s="2"/>
      <c r="E480" s="2" t="s">
        <v>143</v>
      </c>
      <c r="F480" s="2121">
        <f ca="1">(F392/$M107+F360/$M125)*('Intermediate output'!AY255)</f>
        <v>0</v>
      </c>
      <c r="G480" s="2121">
        <f ca="1">(G392/$M107+G360/$M125)*('Intermediate output'!AZ255)</f>
        <v>0</v>
      </c>
      <c r="H480" s="2121">
        <f ca="1">(H392/$M107+H360/$M125)*('Intermediate output'!BA255)</f>
        <v>0</v>
      </c>
      <c r="I480" s="2121">
        <f ca="1">(I392/$M107+I360/$M125)*('Intermediate output'!BB255)</f>
        <v>0</v>
      </c>
      <c r="J480" s="2121">
        <f ca="1">(J392/$M107+J360/$M125)*('Intermediate output'!BC255)</f>
        <v>0</v>
      </c>
      <c r="K480" s="2121">
        <f ca="1">(K392/$M107+K360/$M125)*('Intermediate output'!BD255)</f>
        <v>0</v>
      </c>
      <c r="L480" s="2121">
        <f ca="1">(L392/$M107+L360/$M125)*('Intermediate output'!BE255)</f>
        <v>0</v>
      </c>
      <c r="M480" s="2121">
        <f ca="1">(M392/$M107+M360/$M125)*('Intermediate output'!BF255)</f>
        <v>0</v>
      </c>
      <c r="N480" s="2121">
        <f ca="1">(N392/$M107+N360/$M125)*('Intermediate output'!BG255)</f>
        <v>0</v>
      </c>
      <c r="O480" s="2"/>
    </row>
    <row r="481" spans="2:26">
      <c r="B481" s="2"/>
      <c r="C481" s="2" t="s">
        <v>57</v>
      </c>
      <c r="D481" s="2"/>
      <c r="E481" s="2" t="s">
        <v>147</v>
      </c>
      <c r="F481" s="2121">
        <f ca="1">(F393/$M108+F361/$M126)*(1-'Intermediate output'!AY253)</f>
        <v>0</v>
      </c>
      <c r="G481" s="2121">
        <f ca="1">(G393/$M108+G361/$M126)*(1-'Intermediate output'!AZ253)</f>
        <v>0</v>
      </c>
      <c r="H481" s="2121">
        <f ca="1">(H393/$M108+H361/$M126)*(1-'Intermediate output'!BA253)</f>
        <v>0</v>
      </c>
      <c r="I481" s="2121">
        <f ca="1">(I393/$M108+I361/$M126)*(1-'Intermediate output'!BB253)</f>
        <v>0</v>
      </c>
      <c r="J481" s="2121">
        <f ca="1">(J393/$M108+J361/$M126)*(1-'Intermediate output'!BC253)</f>
        <v>0</v>
      </c>
      <c r="K481" s="2121">
        <f ca="1">(K393/$M108+K361/$M126)*(1-'Intermediate output'!BD253)</f>
        <v>0</v>
      </c>
      <c r="L481" s="2121">
        <f ca="1">(L393/$M108+L361/$M126)*(1-'Intermediate output'!BE253)</f>
        <v>0</v>
      </c>
      <c r="M481" s="2121">
        <f ca="1">(M393/$M108+M361/$M126)*(1-'Intermediate output'!BF253)</f>
        <v>0</v>
      </c>
      <c r="N481" s="2121">
        <f ca="1">(N393/$M108+N361/$M126)*(1-'Intermediate output'!BG253)</f>
        <v>0</v>
      </c>
      <c r="O481" s="2"/>
    </row>
    <row r="482" spans="2:26">
      <c r="B482" s="2"/>
      <c r="C482" s="2" t="s">
        <v>57</v>
      </c>
      <c r="D482" s="2"/>
      <c r="E482" s="2" t="s">
        <v>148</v>
      </c>
      <c r="F482" s="2">
        <f ca="1">(F393/$M108+F361/$M126)*('Intermediate output'!AY253)</f>
        <v>0</v>
      </c>
      <c r="G482" s="2">
        <f ca="1">(G393/$M108+G361/$M126)*('Intermediate output'!AZ253)</f>
        <v>0</v>
      </c>
      <c r="H482" s="2">
        <f ca="1">(H393/$M108+H361/$M126)*('Intermediate output'!BA253)</f>
        <v>0</v>
      </c>
      <c r="I482" s="2">
        <f ca="1">(I393/$M108+I361/$M126)*('Intermediate output'!BB253)</f>
        <v>0</v>
      </c>
      <c r="J482" s="2">
        <f ca="1">(J393/$M108+J361/$M126)*('Intermediate output'!BC253)</f>
        <v>0</v>
      </c>
      <c r="K482" s="2">
        <f ca="1">(K393/$M108+K361/$M126)*('Intermediate output'!BD253)</f>
        <v>0</v>
      </c>
      <c r="L482" s="2">
        <f ca="1">(L393/$M108+L361/$M126)*('Intermediate output'!BE253)</f>
        <v>0</v>
      </c>
      <c r="M482" s="2">
        <f ca="1">(M393/$M108+M361/$M126)*('Intermediate output'!BF253)</f>
        <v>0</v>
      </c>
      <c r="N482" s="2">
        <f ca="1">(N393/$M108+N361/$M126)*('Intermediate output'!BG253)</f>
        <v>0</v>
      </c>
      <c r="O482" s="2"/>
    </row>
    <row r="483" spans="2:26" s="4" customFormat="1">
      <c r="B483" s="367"/>
      <c r="C483" t="s">
        <v>258</v>
      </c>
      <c r="D483" s="2"/>
      <c r="E483" s="367"/>
      <c r="F483" s="415">
        <f ca="1">SUM(F467:F482)</f>
        <v>7.5285125060730813</v>
      </c>
      <c r="G483" s="415">
        <f t="shared" ref="G483:N483" ca="1" si="53">SUM(G467:G482)</f>
        <v>7.7490128723597396</v>
      </c>
      <c r="H483" s="415">
        <f t="shared" ca="1" si="53"/>
        <v>10.197258269346131</v>
      </c>
      <c r="I483" s="415">
        <f t="shared" ca="1" si="53"/>
        <v>12.634054535848087</v>
      </c>
      <c r="J483" s="415">
        <f t="shared" ca="1" si="53"/>
        <v>15.253323869001639</v>
      </c>
      <c r="K483" s="415">
        <f t="shared" ca="1" si="53"/>
        <v>18.055066268806797</v>
      </c>
      <c r="L483" s="415">
        <f t="shared" ca="1" si="53"/>
        <v>21.03928173526355</v>
      </c>
      <c r="M483" s="415">
        <f t="shared" ca="1" si="53"/>
        <v>24.20597026837191</v>
      </c>
      <c r="N483" s="415">
        <f t="shared" ca="1" si="53"/>
        <v>27.555131868131866</v>
      </c>
      <c r="O483" s="2"/>
      <c r="Q483" s="374"/>
      <c r="W483" s="374"/>
      <c r="X483" s="374"/>
      <c r="Y483" s="374"/>
    </row>
    <row r="484" spans="2:26" s="4" customFormat="1">
      <c r="B484" s="367"/>
      <c r="C484" s="2" t="s">
        <v>259</v>
      </c>
      <c r="D484" s="2"/>
      <c r="E484" s="364"/>
      <c r="F484" s="416" t="str">
        <f ca="1">IF(SUM(F735:F737,F483)=0,"ok",F483+SUM(F735:F737))</f>
        <v>ok</v>
      </c>
      <c r="G484" s="416" t="str">
        <f t="shared" ref="G484:N484" ca="1" si="54">IF(SUM(G735:G737,G483)=0,"ok",G483+SUM(G735:G737))</f>
        <v>ok</v>
      </c>
      <c r="H484" s="416" t="str">
        <f t="shared" ca="1" si="54"/>
        <v>ok</v>
      </c>
      <c r="I484" s="416" t="str">
        <f t="shared" ca="1" si="54"/>
        <v>ok</v>
      </c>
      <c r="J484" s="416" t="str">
        <f t="shared" ca="1" si="54"/>
        <v>ok</v>
      </c>
      <c r="K484" s="416" t="str">
        <f t="shared" ca="1" si="54"/>
        <v>ok</v>
      </c>
      <c r="L484" s="416" t="str">
        <f t="shared" ca="1" si="54"/>
        <v>ok</v>
      </c>
      <c r="M484" s="416" t="str">
        <f t="shared" ca="1" si="54"/>
        <v>ok</v>
      </c>
      <c r="N484" s="416" t="str">
        <f t="shared" ca="1" si="54"/>
        <v>ok</v>
      </c>
      <c r="O484" s="2"/>
      <c r="Q484" s="374"/>
      <c r="W484" s="374"/>
      <c r="X484" s="374"/>
      <c r="Y484" s="374"/>
    </row>
    <row r="485" spans="2:26" s="2" customFormat="1">
      <c r="C485" s="363"/>
      <c r="D485" s="363"/>
      <c r="E485"/>
    </row>
    <row r="486" spans="2:26" s="2" customFormat="1">
      <c r="C486" s="363"/>
      <c r="D486" s="363"/>
      <c r="E486"/>
    </row>
    <row r="487" spans="2:26" s="2" customFormat="1">
      <c r="C487" s="2" t="s">
        <v>28</v>
      </c>
      <c r="D487" s="2" t="s">
        <v>29</v>
      </c>
      <c r="E487"/>
      <c r="F487" s="365">
        <v>2013</v>
      </c>
      <c r="G487" s="365" t="s">
        <v>133</v>
      </c>
      <c r="H487" s="365" t="s">
        <v>134</v>
      </c>
      <c r="I487" s="365" t="s">
        <v>135</v>
      </c>
      <c r="J487" s="365" t="s">
        <v>136</v>
      </c>
      <c r="K487" s="365" t="s">
        <v>137</v>
      </c>
      <c r="L487" s="365" t="s">
        <v>138</v>
      </c>
      <c r="M487" s="365" t="s">
        <v>139</v>
      </c>
      <c r="N487" s="365" t="s">
        <v>140</v>
      </c>
    </row>
    <row r="488" spans="2:26" s="2" customFormat="1">
      <c r="C488" s="2" t="s">
        <v>260</v>
      </c>
      <c r="D488" s="2" t="s">
        <v>261</v>
      </c>
      <c r="E488"/>
      <c r="F488" s="1331">
        <f ca="1">SUMPRODUCT(F$467:F$482,F200:F215)</f>
        <v>0.20623746077790597</v>
      </c>
      <c r="G488" s="1331">
        <f t="shared" ref="G488:N488" ca="1" si="55">SUMPRODUCT(G$467:G$482,G200:G215)</f>
        <v>0.26277954433523787</v>
      </c>
      <c r="H488" s="1331">
        <f t="shared" ca="1" si="55"/>
        <v>0.48871363225171072</v>
      </c>
      <c r="I488" s="1331">
        <f t="shared" ca="1" si="55"/>
        <v>0.4860582991676774</v>
      </c>
      <c r="J488" s="1331">
        <f t="shared" ca="1" si="55"/>
        <v>0.42257747778172899</v>
      </c>
      <c r="K488" s="1331">
        <f t="shared" ca="1" si="55"/>
        <v>0.33569879854945495</v>
      </c>
      <c r="L488" s="1331">
        <f t="shared" ca="1" si="55"/>
        <v>0.23646137599191766</v>
      </c>
      <c r="M488" s="1331">
        <f t="shared" ca="1" si="55"/>
        <v>0.12430516877450806</v>
      </c>
      <c r="N488" s="1331">
        <f t="shared" ca="1" si="55"/>
        <v>1.5504241592964471E-4</v>
      </c>
      <c r="Q488" s="1332"/>
      <c r="R488" s="1332"/>
      <c r="S488" s="1332"/>
      <c r="T488" s="1332"/>
      <c r="U488" s="1332"/>
      <c r="V488" s="1332"/>
      <c r="W488" s="1332"/>
      <c r="X488" s="1332"/>
      <c r="Y488" s="1332"/>
      <c r="Z488" s="1332"/>
    </row>
    <row r="489" spans="2:26" s="2" customFormat="1">
      <c r="C489" s="2" t="s">
        <v>262</v>
      </c>
      <c r="D489" s="2" t="s">
        <v>263</v>
      </c>
      <c r="E489"/>
      <c r="F489" s="1331">
        <f ca="1">SUMPRODUCT(F$467:F$482,F220:F235)</f>
        <v>1.6821508695466467</v>
      </c>
      <c r="G489" s="1331">
        <f t="shared" ref="G489:N489" ca="1" si="56">SUMPRODUCT(G$467:G$482,G220:G235)</f>
        <v>1.7226191283893759</v>
      </c>
      <c r="H489" s="1331">
        <f t="shared" ca="1" si="56"/>
        <v>1.5504621493733093</v>
      </c>
      <c r="I489" s="1331">
        <f t="shared" ca="1" si="56"/>
        <v>1.3311829756599267</v>
      </c>
      <c r="J489" s="1331">
        <f t="shared" ca="1" si="56"/>
        <v>1.0738932635267191</v>
      </c>
      <c r="K489" s="1331">
        <f t="shared" ca="1" si="56"/>
        <v>0.83211648293918561</v>
      </c>
      <c r="L489" s="1331">
        <f t="shared" ca="1" si="56"/>
        <v>0.57286892046425764</v>
      </c>
      <c r="M489" s="1331">
        <f t="shared" ca="1" si="56"/>
        <v>0.29744731261960633</v>
      </c>
      <c r="N489" s="1331">
        <f t="shared" ca="1" si="56"/>
        <v>2.7157761398350026E-3</v>
      </c>
      <c r="Q489" s="1332"/>
      <c r="R489" s="1332"/>
      <c r="S489" s="1332"/>
      <c r="T489" s="1332"/>
      <c r="U489" s="1332"/>
      <c r="V489" s="1332"/>
      <c r="W489" s="1332"/>
      <c r="X489" s="1332"/>
      <c r="Y489" s="1332"/>
      <c r="Z489" s="1332"/>
    </row>
    <row r="490" spans="2:26" s="2" customFormat="1">
      <c r="C490" s="2" t="s">
        <v>264</v>
      </c>
      <c r="D490" s="2" t="s">
        <v>265</v>
      </c>
      <c r="E490"/>
      <c r="F490" s="1331">
        <f ca="1">SUMPRODUCT(F$467:F$482,F240:F255)</f>
        <v>2.5774624279489808</v>
      </c>
      <c r="G490" s="1331">
        <f t="shared" ref="G490:N490" ca="1" si="57">SUMPRODUCT(G$467:G$482,G240:G255)</f>
        <v>2.5442104587698311</v>
      </c>
      <c r="H490" s="1331">
        <f t="shared" ca="1" si="57"/>
        <v>1.8336363938078775</v>
      </c>
      <c r="I490" s="1331">
        <f t="shared" ca="1" si="57"/>
        <v>1.4715169967311912</v>
      </c>
      <c r="J490" s="1331">
        <f t="shared" ca="1" si="57"/>
        <v>1.2085404579462846</v>
      </c>
      <c r="K490" s="1331">
        <f t="shared" ca="1" si="57"/>
        <v>0.92719928726166845</v>
      </c>
      <c r="L490" s="1331">
        <f t="shared" ca="1" si="57"/>
        <v>0.63026078687170606</v>
      </c>
      <c r="M490" s="1331">
        <f t="shared" ca="1" si="57"/>
        <v>0.32024122380235903</v>
      </c>
      <c r="N490" s="1331">
        <f t="shared" ca="1" si="57"/>
        <v>0</v>
      </c>
      <c r="Q490" s="1332"/>
      <c r="R490" s="1332"/>
      <c r="S490" s="1332"/>
      <c r="T490" s="1332"/>
      <c r="U490" s="1332"/>
      <c r="V490" s="1332"/>
      <c r="W490" s="1332"/>
      <c r="X490" s="1332"/>
      <c r="Y490" s="1332"/>
      <c r="Z490" s="1332"/>
    </row>
    <row r="491" spans="2:26" s="2" customFormat="1">
      <c r="C491" s="2" t="s">
        <v>266</v>
      </c>
      <c r="D491" s="2" t="s">
        <v>267</v>
      </c>
      <c r="E491"/>
      <c r="F491" s="1331">
        <f ca="1">SUMPRODUCT(F$467:F$482,F260:F275)</f>
        <v>6.4152002548584303E-2</v>
      </c>
      <c r="G491" s="1331">
        <f t="shared" ref="G491:N491" ca="1" si="58">SUMPRODUCT(G$467:G$482,G260:G275)</f>
        <v>7.0946092110318076E-2</v>
      </c>
      <c r="H491" s="1331">
        <f t="shared" ca="1" si="58"/>
        <v>8.8688810153836589E-2</v>
      </c>
      <c r="I491" s="1331">
        <f t="shared" ca="1" si="58"/>
        <v>8.499883203393703E-2</v>
      </c>
      <c r="J491" s="1331">
        <f t="shared" ca="1" si="58"/>
        <v>7.537176674700008E-2</v>
      </c>
      <c r="K491" s="1331">
        <f t="shared" ca="1" si="58"/>
        <v>6.109506792265125E-2</v>
      </c>
      <c r="L491" s="1331">
        <f t="shared" ca="1" si="58"/>
        <v>4.3924151062491555E-2</v>
      </c>
      <c r="M491" s="1331">
        <f t="shared" ca="1" si="58"/>
        <v>2.3609614793585566E-2</v>
      </c>
      <c r="N491" s="1331">
        <f t="shared" ca="1" si="58"/>
        <v>1.3994092114523574E-4</v>
      </c>
      <c r="Q491" s="1332"/>
      <c r="R491" s="1332"/>
      <c r="S491" s="1332"/>
      <c r="T491" s="1332"/>
      <c r="U491" s="1332"/>
      <c r="V491" s="1332"/>
      <c r="W491" s="1332"/>
      <c r="X491" s="1332"/>
      <c r="Y491" s="1332"/>
      <c r="Z491" s="1332"/>
    </row>
    <row r="492" spans="2:26">
      <c r="E492" s="382"/>
      <c r="F492" s="413"/>
      <c r="G492" s="413"/>
      <c r="H492" s="413"/>
      <c r="I492" s="413"/>
      <c r="J492" s="413"/>
      <c r="K492" s="413"/>
      <c r="L492" s="413"/>
      <c r="M492" s="413"/>
      <c r="N492" s="413"/>
    </row>
    <row r="493" spans="2:26">
      <c r="B493" s="363">
        <v>6</v>
      </c>
      <c r="C493" s="363" t="s">
        <v>983</v>
      </c>
      <c r="E493" s="382"/>
      <c r="F493" s="413"/>
      <c r="G493" s="413"/>
      <c r="H493" s="413"/>
      <c r="I493" s="413"/>
      <c r="J493" s="413"/>
      <c r="K493" s="413"/>
      <c r="L493" s="413"/>
      <c r="M493" s="413"/>
      <c r="N493" s="413"/>
    </row>
    <row r="494" spans="2:26">
      <c r="B494" s="363"/>
      <c r="C494" s="363"/>
      <c r="E494" s="382"/>
      <c r="F494" s="413"/>
      <c r="G494" s="413"/>
      <c r="H494" s="413"/>
      <c r="I494" s="413"/>
      <c r="J494" s="413"/>
      <c r="K494" s="413"/>
      <c r="L494" s="413"/>
      <c r="M494" s="413"/>
      <c r="N494" s="413"/>
    </row>
    <row r="495" spans="2:26">
      <c r="C495" s="363" t="s">
        <v>269</v>
      </c>
      <c r="E495" s="364"/>
      <c r="F495" s="1333">
        <v>2013</v>
      </c>
      <c r="G495" s="1333">
        <v>2015</v>
      </c>
      <c r="H495" s="1333">
        <v>2020</v>
      </c>
      <c r="I495" s="1333">
        <v>2025</v>
      </c>
      <c r="J495" s="1333">
        <v>2030</v>
      </c>
      <c r="K495" s="1333">
        <v>2035</v>
      </c>
      <c r="L495" s="1333">
        <v>2040</v>
      </c>
      <c r="M495" s="1333">
        <v>2045</v>
      </c>
      <c r="N495" s="1333">
        <v>2050</v>
      </c>
    </row>
    <row r="496" spans="2:26">
      <c r="B496" s="382"/>
      <c r="F496" s="382"/>
      <c r="G496" s="382"/>
      <c r="H496" s="382"/>
      <c r="I496" s="382"/>
      <c r="J496" s="382"/>
      <c r="K496" s="382"/>
      <c r="L496" s="382"/>
      <c r="M496" s="382"/>
      <c r="N496" s="382"/>
    </row>
    <row r="497" spans="2:36">
      <c r="B497">
        <v>1</v>
      </c>
      <c r="C497" t="s">
        <v>46</v>
      </c>
      <c r="F497" s="1326"/>
      <c r="G497" s="1326"/>
      <c r="H497" s="1326"/>
      <c r="I497" s="1326"/>
      <c r="J497" s="1326"/>
      <c r="K497" s="1326"/>
      <c r="L497" s="1326"/>
      <c r="M497" s="1326"/>
      <c r="N497" s="1326"/>
    </row>
    <row r="498" spans="2:36">
      <c r="B498">
        <v>2</v>
      </c>
      <c r="C498" t="s">
        <v>47</v>
      </c>
      <c r="D498" s="382"/>
      <c r="F498" s="1326"/>
      <c r="G498" s="1326"/>
      <c r="H498" s="1326"/>
      <c r="I498" s="1326"/>
      <c r="J498" s="1326"/>
      <c r="K498" s="1326"/>
      <c r="L498" s="1326"/>
      <c r="M498" s="1326"/>
      <c r="N498" s="1326"/>
    </row>
    <row r="499" spans="2:36">
      <c r="B499">
        <v>3</v>
      </c>
      <c r="C499" t="s">
        <v>48</v>
      </c>
      <c r="D499" s="382"/>
      <c r="F499" s="1326"/>
      <c r="G499" s="1326"/>
      <c r="H499" s="1326"/>
      <c r="I499" s="1326"/>
      <c r="J499" s="1326"/>
      <c r="K499" s="1326"/>
      <c r="L499" s="1326"/>
      <c r="M499" s="1326"/>
      <c r="N499" s="1326"/>
    </row>
    <row r="500" spans="2:36">
      <c r="B500">
        <v>4</v>
      </c>
      <c r="C500" t="s">
        <v>49</v>
      </c>
      <c r="D500" s="382"/>
      <c r="F500" s="1326"/>
      <c r="G500" s="1326"/>
      <c r="H500" s="1326"/>
      <c r="I500" s="1326"/>
      <c r="J500" s="1326"/>
      <c r="K500" s="1326"/>
      <c r="L500" s="1326"/>
      <c r="M500" s="1326"/>
      <c r="N500" s="1326"/>
    </row>
    <row r="501" spans="2:36">
      <c r="B501">
        <v>5</v>
      </c>
      <c r="C501" t="s">
        <v>50</v>
      </c>
      <c r="D501" s="382"/>
      <c r="F501" s="1326"/>
      <c r="G501" s="1326"/>
      <c r="H501" s="1326"/>
      <c r="I501" s="1326"/>
      <c r="J501" s="1326"/>
      <c r="K501" s="1326"/>
      <c r="L501" s="1326"/>
      <c r="M501" s="1326"/>
      <c r="N501" s="1326"/>
    </row>
    <row r="502" spans="2:36">
      <c r="B502">
        <v>6</v>
      </c>
      <c r="C502" t="s">
        <v>51</v>
      </c>
      <c r="D502" s="382"/>
      <c r="F502" s="2379">
        <f>F355+F387</f>
        <v>0</v>
      </c>
      <c r="G502" s="2379">
        <f t="shared" ref="G502:N503" si="59">G355+G387</f>
        <v>0</v>
      </c>
      <c r="H502" s="2379">
        <f t="shared" si="59"/>
        <v>0</v>
      </c>
      <c r="I502" s="2379">
        <f t="shared" si="59"/>
        <v>0</v>
      </c>
      <c r="J502" s="2379">
        <f t="shared" si="59"/>
        <v>0</v>
      </c>
      <c r="K502" s="2379">
        <f t="shared" si="59"/>
        <v>0</v>
      </c>
      <c r="L502" s="2379">
        <f t="shared" si="59"/>
        <v>0</v>
      </c>
      <c r="M502" s="2379">
        <f t="shared" si="59"/>
        <v>0</v>
      </c>
      <c r="N502" s="2379">
        <f t="shared" si="59"/>
        <v>0</v>
      </c>
    </row>
    <row r="503" spans="2:36">
      <c r="B503">
        <v>7</v>
      </c>
      <c r="C503" t="s">
        <v>52</v>
      </c>
      <c r="D503" s="382"/>
      <c r="F503" s="2379">
        <f>F356+F388</f>
        <v>0</v>
      </c>
      <c r="G503" s="2379">
        <f t="shared" si="59"/>
        <v>0</v>
      </c>
      <c r="H503" s="2379">
        <f t="shared" si="59"/>
        <v>1.3644642857142859</v>
      </c>
      <c r="I503" s="2379">
        <f t="shared" si="59"/>
        <v>2.8642500000000002</v>
      </c>
      <c r="J503" s="2379">
        <f t="shared" si="59"/>
        <v>4.4993571428571437</v>
      </c>
      <c r="K503" s="2379">
        <f t="shared" si="59"/>
        <v>6.2697857142857147</v>
      </c>
      <c r="L503" s="2379">
        <f t="shared" si="59"/>
        <v>8.175535714285715</v>
      </c>
      <c r="M503" s="2379">
        <f t="shared" si="59"/>
        <v>10.216607142857143</v>
      </c>
      <c r="N503" s="2379">
        <f t="shared" si="59"/>
        <v>12.392999999999999</v>
      </c>
    </row>
    <row r="504" spans="2:36">
      <c r="B504">
        <v>8</v>
      </c>
      <c r="C504" t="s">
        <v>53</v>
      </c>
      <c r="D504" s="382"/>
      <c r="F504" s="2379"/>
      <c r="G504" s="2379"/>
      <c r="H504" s="2379"/>
      <c r="I504" s="2379"/>
      <c r="J504" s="2379"/>
      <c r="K504" s="2379"/>
      <c r="L504" s="2379"/>
      <c r="M504" s="2379"/>
      <c r="N504" s="2379"/>
    </row>
    <row r="505" spans="2:36">
      <c r="B505">
        <v>9</v>
      </c>
      <c r="C505" t="s">
        <v>54</v>
      </c>
      <c r="D505" s="382"/>
      <c r="F505" s="2379"/>
      <c r="G505" s="2379"/>
      <c r="H505" s="2379"/>
      <c r="I505" s="2379"/>
      <c r="J505" s="2379"/>
      <c r="K505" s="2379"/>
      <c r="L505" s="2379"/>
      <c r="M505" s="2379"/>
      <c r="N505" s="2379"/>
    </row>
    <row r="506" spans="2:36">
      <c r="B506">
        <v>10</v>
      </c>
      <c r="C506" t="s">
        <v>55</v>
      </c>
      <c r="D506" s="382"/>
      <c r="F506" s="2379"/>
      <c r="G506" s="2379"/>
      <c r="H506" s="2379"/>
      <c r="I506" s="2379"/>
      <c r="J506" s="2379"/>
      <c r="K506" s="2379"/>
      <c r="L506" s="2379"/>
      <c r="M506" s="2379"/>
      <c r="N506" s="2379"/>
    </row>
    <row r="507" spans="2:36">
      <c r="B507">
        <v>11</v>
      </c>
      <c r="C507" t="s">
        <v>56</v>
      </c>
      <c r="D507" s="382"/>
      <c r="F507" s="2379">
        <f>F360+F392</f>
        <v>0</v>
      </c>
      <c r="G507" s="2379">
        <f t="shared" ref="G507:N508" si="60">G360+G392</f>
        <v>0</v>
      </c>
      <c r="H507" s="2379">
        <f t="shared" si="60"/>
        <v>0</v>
      </c>
      <c r="I507" s="2379">
        <f t="shared" si="60"/>
        <v>0</v>
      </c>
      <c r="J507" s="2379">
        <f t="shared" si="60"/>
        <v>0</v>
      </c>
      <c r="K507" s="2379">
        <f t="shared" si="60"/>
        <v>0</v>
      </c>
      <c r="L507" s="2379">
        <f t="shared" si="60"/>
        <v>0</v>
      </c>
      <c r="M507" s="2379">
        <f t="shared" si="60"/>
        <v>0</v>
      </c>
      <c r="N507" s="2379">
        <f t="shared" si="60"/>
        <v>0</v>
      </c>
    </row>
    <row r="508" spans="2:36">
      <c r="B508">
        <v>12</v>
      </c>
      <c r="C508" t="s">
        <v>57</v>
      </c>
      <c r="D508" s="382"/>
      <c r="F508" s="2379">
        <f>F361+F393</f>
        <v>0</v>
      </c>
      <c r="G508" s="2379">
        <f t="shared" si="60"/>
        <v>0</v>
      </c>
      <c r="H508" s="2379">
        <f t="shared" si="60"/>
        <v>0</v>
      </c>
      <c r="I508" s="2379">
        <f t="shared" si="60"/>
        <v>0</v>
      </c>
      <c r="J508" s="2379">
        <f t="shared" si="60"/>
        <v>0</v>
      </c>
      <c r="K508" s="2379">
        <f t="shared" si="60"/>
        <v>0</v>
      </c>
      <c r="L508" s="2379">
        <f t="shared" si="60"/>
        <v>0</v>
      </c>
      <c r="M508" s="2379">
        <f t="shared" si="60"/>
        <v>0</v>
      </c>
      <c r="N508" s="2379">
        <f t="shared" si="60"/>
        <v>0</v>
      </c>
    </row>
    <row r="509" spans="2:36">
      <c r="B509">
        <v>13</v>
      </c>
      <c r="C509" t="s">
        <v>58</v>
      </c>
      <c r="D509" s="382"/>
      <c r="F509" s="2379"/>
      <c r="G509" s="2379"/>
      <c r="H509" s="2379"/>
      <c r="I509" s="2379"/>
      <c r="J509" s="2379"/>
      <c r="K509" s="2379"/>
      <c r="L509" s="2379"/>
      <c r="M509" s="2379"/>
      <c r="N509" s="2379"/>
    </row>
    <row r="510" spans="2:36">
      <c r="B510" s="382"/>
      <c r="E510" s="364" t="str">
        <f>Preferences.EnergyUnits</f>
        <v>TWh</v>
      </c>
      <c r="F510" s="3616">
        <f>SUM(F497:F509)</f>
        <v>0</v>
      </c>
      <c r="G510" s="3616">
        <f t="shared" ref="G510:N510" si="61">SUM(G497:G509)</f>
        <v>0</v>
      </c>
      <c r="H510" s="3616">
        <f t="shared" si="61"/>
        <v>1.3644642857142859</v>
      </c>
      <c r="I510" s="3616">
        <f t="shared" si="61"/>
        <v>2.8642500000000002</v>
      </c>
      <c r="J510" s="3616">
        <f t="shared" si="61"/>
        <v>4.4993571428571437</v>
      </c>
      <c r="K510" s="3616">
        <f t="shared" si="61"/>
        <v>6.2697857142857147</v>
      </c>
      <c r="L510" s="3616">
        <f t="shared" si="61"/>
        <v>8.175535714285715</v>
      </c>
      <c r="M510" s="3616">
        <f t="shared" si="61"/>
        <v>10.216607142857143</v>
      </c>
      <c r="N510" s="3616">
        <f t="shared" si="61"/>
        <v>12.392999999999999</v>
      </c>
      <c r="AJ510" s="3611" t="s">
        <v>2834</v>
      </c>
    </row>
    <row r="511" spans="2:36">
      <c r="B511" s="382"/>
      <c r="E511" s="364"/>
      <c r="F511" s="406"/>
      <c r="G511" s="406"/>
      <c r="H511" s="406"/>
      <c r="I511" s="406"/>
      <c r="J511" s="406"/>
      <c r="K511" s="406"/>
      <c r="L511" s="406"/>
      <c r="M511" s="406"/>
      <c r="N511" s="406"/>
    </row>
    <row r="512" spans="2:36">
      <c r="B512" s="382"/>
      <c r="E512" s="364"/>
      <c r="F512" s="406"/>
      <c r="G512" s="406"/>
      <c r="H512" s="406"/>
      <c r="I512" s="406"/>
      <c r="J512" s="406"/>
      <c r="K512" s="406"/>
      <c r="L512" s="406"/>
      <c r="M512" s="406"/>
      <c r="N512" s="406"/>
    </row>
    <row r="513" spans="2:15">
      <c r="B513" s="363"/>
      <c r="C513" s="363" t="s">
        <v>984</v>
      </c>
      <c r="E513" s="6"/>
      <c r="F513" s="1333">
        <v>2013</v>
      </c>
      <c r="G513" s="1333">
        <v>2015</v>
      </c>
      <c r="H513" s="1333">
        <v>2020</v>
      </c>
      <c r="I513" s="1333">
        <v>2025</v>
      </c>
      <c r="J513" s="1333">
        <v>2030</v>
      </c>
      <c r="K513" s="1333">
        <v>2035</v>
      </c>
      <c r="L513" s="1333">
        <v>2040</v>
      </c>
      <c r="M513" s="1333">
        <v>2045</v>
      </c>
      <c r="N513" s="1333">
        <v>2050</v>
      </c>
    </row>
    <row r="514" spans="2:15">
      <c r="E514" s="3834"/>
      <c r="F514" s="374"/>
    </row>
    <row r="515" spans="2:15">
      <c r="B515" s="382" t="s">
        <v>96</v>
      </c>
      <c r="C515" s="6" t="s">
        <v>86</v>
      </c>
      <c r="E515" s="3834"/>
      <c r="F515" s="374">
        <f t="array" ref="F515">SUM(F$497:F$509/$M$97:$M$109*($B515=$F$96:$N$96)*($F$97:$N$109))</f>
        <v>0</v>
      </c>
      <c r="G515" s="374">
        <f t="array" ref="G515">SUM(G$497:G$509/$M$97:$M$109*($B515=$F$96:$N$96)*($F$97:$N$109))</f>
        <v>0</v>
      </c>
      <c r="H515" s="374">
        <f t="array" ref="H515">SUM(H$497:H$509/$M$97:$M$109*($B515=$F$96:$N$96)*($F$97:$N$109))</f>
        <v>0</v>
      </c>
      <c r="I515" s="374">
        <f t="array" ref="I515">SUM(I$497:I$509/$M$97:$M$109*($B515=$F$96:$N$96)*($F$97:$N$109))</f>
        <v>0</v>
      </c>
      <c r="J515" s="374">
        <f t="array" ref="J515">SUM(J$497:J$509/$M$97:$M$109*($B515=$F$96:$N$96)*($F$97:$N$109))</f>
        <v>0</v>
      </c>
      <c r="K515" s="374">
        <f t="array" ref="K515">SUM(K$497:K$509/$M$97:$M$109*($B515=$F$96:$N$96)*($F$97:$N$109))</f>
        <v>0</v>
      </c>
      <c r="L515" s="374">
        <f t="array" ref="L515">SUM(L$497:L$509/$M$97:$M$109*($B515=$F$96:$N$96)*($F$97:$N$109))</f>
        <v>0</v>
      </c>
      <c r="M515" s="374">
        <f t="array" ref="M515">SUM(M$497:M$509/$M$97:$M$109*($B515=$F$96:$N$96)*($F$97:$N$109))</f>
        <v>0</v>
      </c>
      <c r="N515" s="374">
        <f t="array" ref="N515">SUM(N$497:N$509/$M$97:$M$109*($B515=$F$96:$N$96)*($F$97:$N$109))</f>
        <v>0</v>
      </c>
    </row>
    <row r="516" spans="2:15">
      <c r="B516" s="382" t="s">
        <v>97</v>
      </c>
      <c r="C516" s="6" t="s">
        <v>87</v>
      </c>
      <c r="E516" s="3834"/>
      <c r="F516" s="374">
        <f t="array" ref="F516">SUM(F$497:F$509/$M$97:$M$109*($B516=$F$96:$N$96)*($F$97:$N$109))</f>
        <v>0</v>
      </c>
      <c r="G516" s="374">
        <f t="array" ref="G516">SUM(G$497:G$509/$M$97:$M$109*($B516=$F$96:$N$96)*($F$97:$N$109))</f>
        <v>0</v>
      </c>
      <c r="H516" s="374">
        <f t="array" ref="H516">SUM(H$497:H$509/$M$97:$M$109*($B516=$F$96:$N$96)*($F$97:$N$109))</f>
        <v>1.3644642857142859</v>
      </c>
      <c r="I516" s="374">
        <f t="array" ref="I516">SUM(I$497:I$509/$M$97:$M$109*($B516=$F$96:$N$96)*($F$97:$N$109))</f>
        <v>2.8642500000000002</v>
      </c>
      <c r="J516" s="374">
        <f t="array" ref="J516">SUM(J$497:J$509/$M$97:$M$109*($B516=$F$96:$N$96)*($F$97:$N$109))</f>
        <v>4.4993571428571437</v>
      </c>
      <c r="K516" s="374">
        <f t="array" ref="K516">SUM(K$497:K$509/$M$97:$M$109*($B516=$F$96:$N$96)*($F$97:$N$109))</f>
        <v>6.2697857142857147</v>
      </c>
      <c r="L516" s="374">
        <f t="array" ref="L516">SUM(L$497:L$509/$M$97:$M$109*($B516=$F$96:$N$96)*($F$97:$N$109))</f>
        <v>8.175535714285715</v>
      </c>
      <c r="M516" s="374">
        <f t="array" ref="M516">SUM(M$497:M$509/$M$97:$M$109*($B516=$F$96:$N$96)*($F$97:$N$109))</f>
        <v>10.216607142857143</v>
      </c>
      <c r="N516" s="374">
        <f t="array" ref="N516">SUM(N$497:N$509/$M$97:$M$109*($B516=$F$96:$N$96)*($F$97:$N$109))</f>
        <v>12.392999999999999</v>
      </c>
    </row>
    <row r="517" spans="2:15">
      <c r="B517" s="382" t="s">
        <v>98</v>
      </c>
      <c r="C517" s="6" t="s">
        <v>88</v>
      </c>
      <c r="E517" s="3834"/>
      <c r="F517" s="374">
        <f t="array" ref="F517">SUM(F$497:F$509/$M$97:$M$109*($B517=$F$96:$N$96)*($F$97:$N$109))</f>
        <v>0</v>
      </c>
      <c r="G517" s="374">
        <f t="array" ref="G517">SUM(G$497:G$509/$M$97:$M$109*($B517=$F$96:$N$96)*($F$97:$N$109))</f>
        <v>0</v>
      </c>
      <c r="H517" s="374">
        <f t="array" ref="H517">SUM(H$497:H$509/$M$97:$M$109*($B517=$F$96:$N$96)*($F$97:$N$109))</f>
        <v>0</v>
      </c>
      <c r="I517" s="374">
        <f t="array" ref="I517">SUM(I$497:I$509/$M$97:$M$109*($B517=$F$96:$N$96)*($F$97:$N$109))</f>
        <v>0</v>
      </c>
      <c r="J517" s="374">
        <f t="array" ref="J517">SUM(J$497:J$509/$M$97:$M$109*($B517=$F$96:$N$96)*($F$97:$N$109))</f>
        <v>0</v>
      </c>
      <c r="K517" s="374">
        <f t="array" ref="K517">SUM(K$497:K$509/$M$97:$M$109*($B517=$F$96:$N$96)*($F$97:$N$109))</f>
        <v>0</v>
      </c>
      <c r="L517" s="374">
        <f t="array" ref="L517">SUM(L$497:L$509/$M$97:$M$109*($B517=$F$96:$N$96)*($F$97:$N$109))</f>
        <v>0</v>
      </c>
      <c r="M517" s="374">
        <f t="array" ref="M517">SUM(M$497:M$509/$M$97:$M$109*($B517=$F$96:$N$96)*($F$97:$N$109))</f>
        <v>0</v>
      </c>
      <c r="N517" s="374">
        <f t="array" ref="N517">SUM(N$497:N$509/$M$97:$M$109*($B517=$F$96:$N$96)*($F$97:$N$109))</f>
        <v>0</v>
      </c>
    </row>
    <row r="518" spans="2:15">
      <c r="B518" s="382" t="s">
        <v>99</v>
      </c>
      <c r="C518" s="6" t="s">
        <v>89</v>
      </c>
      <c r="E518" s="3834"/>
      <c r="F518" s="374">
        <f t="array" ref="F518">SUM(F$497:F$509/$M$97:$M$109*($B518=$F$96:$N$96)*($F$97:$N$109))</f>
        <v>0</v>
      </c>
      <c r="G518" s="374">
        <f t="array" ref="G518">SUM(G$497:G$509/$M$97:$M$109*($B518=$F$96:$N$96)*($F$97:$N$109))</f>
        <v>0</v>
      </c>
      <c r="H518" s="374">
        <f t="array" ref="H518">SUM(H$497:H$509/$M$97:$M$109*($B518=$F$96:$N$96)*($F$97:$N$109))</f>
        <v>0</v>
      </c>
      <c r="I518" s="374">
        <f t="array" ref="I518">SUM(I$497:I$509/$M$97:$M$109*($B518=$F$96:$N$96)*($F$97:$N$109))</f>
        <v>0</v>
      </c>
      <c r="J518" s="374">
        <f t="array" ref="J518">SUM(J$497:J$509/$M$97:$M$109*($B518=$F$96:$N$96)*($F$97:$N$109))</f>
        <v>0</v>
      </c>
      <c r="K518" s="374">
        <f t="array" ref="K518">SUM(K$497:K$509/$M$97:$M$109*($B518=$F$96:$N$96)*($F$97:$N$109))</f>
        <v>0</v>
      </c>
      <c r="L518" s="374">
        <f t="array" ref="L518">SUM(L$497:L$509/$M$97:$M$109*($B518=$F$96:$N$96)*($F$97:$N$109))</f>
        <v>0</v>
      </c>
      <c r="M518" s="374">
        <f t="array" ref="M518">SUM(M$497:M$509/$M$97:$M$109*($B518=$F$96:$N$96)*($F$97:$N$109))</f>
        <v>0</v>
      </c>
      <c r="N518" s="374">
        <f t="array" ref="N518">SUM(N$497:N$509/$M$97:$M$109*($B518=$F$96:$N$96)*($F$97:$N$109))</f>
        <v>0</v>
      </c>
    </row>
    <row r="519" spans="2:15">
      <c r="B519" s="382" t="s">
        <v>100</v>
      </c>
      <c r="C519" s="6" t="s">
        <v>90</v>
      </c>
      <c r="E519" s="3834"/>
      <c r="F519" s="374">
        <f t="array" ref="F519">SUM(F$497:F$509/$M$97:$M$109*($B519=$F$96:$N$96)*($F$97:$N$109))</f>
        <v>0</v>
      </c>
      <c r="G519" s="374">
        <f t="array" ref="G519">SUM(G$497:G$509/$M$97:$M$109*($B519=$F$96:$N$96)*($F$97:$N$109))</f>
        <v>0</v>
      </c>
      <c r="H519" s="374">
        <f t="array" ref="H519">SUM(H$497:H$509/$M$97:$M$109*($B519=$F$96:$N$96)*($F$97:$N$109))</f>
        <v>-3.0321428571428575</v>
      </c>
      <c r="I519" s="374">
        <f t="array" ref="I519">SUM(I$497:I$509/$M$97:$M$109*($B519=$F$96:$N$96)*($F$97:$N$109))</f>
        <v>-6.3650000000000002</v>
      </c>
      <c r="J519" s="374">
        <f t="array" ref="J519">SUM(J$497:J$509/$M$97:$M$109*($B519=$F$96:$N$96)*($F$97:$N$109))</f>
        <v>-9.9985714285714309</v>
      </c>
      <c r="K519" s="374">
        <f t="array" ref="K519">SUM(K$497:K$509/$M$97:$M$109*($B519=$F$96:$N$96)*($F$97:$N$109))</f>
        <v>-13.932857142857143</v>
      </c>
      <c r="L519" s="374">
        <f t="array" ref="L519">SUM(L$497:L$509/$M$97:$M$109*($B519=$F$96:$N$96)*($F$97:$N$109))</f>
        <v>-18.167857142857144</v>
      </c>
      <c r="M519" s="374">
        <f t="array" ref="M519">SUM(M$497:M$509/$M$97:$M$109*($B519=$F$96:$N$96)*($F$97:$N$109))</f>
        <v>-22.703571428571429</v>
      </c>
      <c r="N519" s="374">
        <f t="array" ref="N519">SUM(N$497:N$509/$M$97:$M$109*($B519=$F$96:$N$96)*($F$97:$N$109))</f>
        <v>-27.539999999999996</v>
      </c>
    </row>
    <row r="520" spans="2:15">
      <c r="B520" s="382" t="s">
        <v>101</v>
      </c>
      <c r="C520" s="6" t="s">
        <v>91</v>
      </c>
      <c r="E520" s="3834"/>
      <c r="F520" s="374">
        <f t="array" ref="F520">SUM(F$497:F$509/$M$97:$M$109*($B520=$F$96:$N$96)*($F$97:$N$109))</f>
        <v>0</v>
      </c>
      <c r="G520" s="374">
        <f t="array" ref="G520">SUM(G$497:G$509/$M$97:$M$109*($B520=$F$96:$N$96)*($F$97:$N$109))</f>
        <v>0</v>
      </c>
      <c r="H520" s="374">
        <f t="array" ref="H520">SUM(H$497:H$509/$M$97:$M$109*($B520=$F$96:$N$96)*($F$97:$N$109))</f>
        <v>0</v>
      </c>
      <c r="I520" s="374">
        <f t="array" ref="I520">SUM(I$497:I$509/$M$97:$M$109*($B520=$F$96:$N$96)*($F$97:$N$109))</f>
        <v>0</v>
      </c>
      <c r="J520" s="374">
        <f t="array" ref="J520">SUM(J$497:J$509/$M$97:$M$109*($B520=$F$96:$N$96)*($F$97:$N$109))</f>
        <v>0</v>
      </c>
      <c r="K520" s="374">
        <f t="array" ref="K520">SUM(K$497:K$509/$M$97:$M$109*($B520=$F$96:$N$96)*($F$97:$N$109))</f>
        <v>0</v>
      </c>
      <c r="L520" s="374">
        <f t="array" ref="L520">SUM(L$497:L$509/$M$97:$M$109*($B520=$F$96:$N$96)*($F$97:$N$109))</f>
        <v>0</v>
      </c>
      <c r="M520" s="374">
        <f t="array" ref="M520">SUM(M$497:M$509/$M$97:$M$109*($B520=$F$96:$N$96)*($F$97:$N$109))</f>
        <v>0</v>
      </c>
      <c r="N520" s="374">
        <f t="array" ref="N520">SUM(N$497:N$509/$M$97:$M$109*($B520=$F$96:$N$96)*($F$97:$N$109))</f>
        <v>0</v>
      </c>
    </row>
    <row r="521" spans="2:15">
      <c r="B521" s="382" t="s">
        <v>102</v>
      </c>
      <c r="C521" s="6" t="s">
        <v>92</v>
      </c>
      <c r="E521" s="3834"/>
      <c r="F521" s="374">
        <f t="array" ref="F521">SUM(F$497:F$509/$M$97:$M$109*($B521=$F$96:$N$96)*($F$97:$N$109))</f>
        <v>0</v>
      </c>
      <c r="G521" s="374">
        <f t="array" ref="G521">SUM(G$497:G$509/$M$97:$M$109*($B521=$F$96:$N$96)*($F$97:$N$109))</f>
        <v>0</v>
      </c>
      <c r="H521" s="374">
        <f t="array" ref="H521">SUM(H$497:H$509/$M$97:$M$109*($B521=$F$96:$N$96)*($F$97:$N$109))</f>
        <v>0</v>
      </c>
      <c r="I521" s="374">
        <f t="array" ref="I521">SUM(I$497:I$509/$M$97:$M$109*($B521=$F$96:$N$96)*($F$97:$N$109))</f>
        <v>0</v>
      </c>
      <c r="J521" s="374">
        <f t="array" ref="J521">SUM(J$497:J$509/$M$97:$M$109*($B521=$F$96:$N$96)*($F$97:$N$109))</f>
        <v>0</v>
      </c>
      <c r="K521" s="374">
        <f t="array" ref="K521">SUM(K$497:K$509/$M$97:$M$109*($B521=$F$96:$N$96)*($F$97:$N$109))</f>
        <v>0</v>
      </c>
      <c r="L521" s="374">
        <f t="array" ref="L521">SUM(L$497:L$509/$M$97:$M$109*($B521=$F$96:$N$96)*($F$97:$N$109))</f>
        <v>0</v>
      </c>
      <c r="M521" s="374">
        <f t="array" ref="M521">SUM(M$497:M$509/$M$97:$M$109*($B521=$F$96:$N$96)*($F$97:$N$109))</f>
        <v>0</v>
      </c>
      <c r="N521" s="374">
        <f t="array" ref="N521">SUM(N$497:N$509/$M$97:$M$109*($B521=$F$96:$N$96)*($F$97:$N$109))</f>
        <v>0</v>
      </c>
    </row>
    <row r="522" spans="2:15">
      <c r="B522" s="382" t="s">
        <v>103</v>
      </c>
      <c r="C522" s="6" t="s">
        <v>93</v>
      </c>
      <c r="E522" s="3834"/>
      <c r="F522" s="374">
        <f t="array" ref="F522">SUM(F$497:F$509/$M$97:$M$109*($B522=$F$96:$N$96)*($F$97:$N$109))</f>
        <v>0</v>
      </c>
      <c r="G522" s="374">
        <f t="array" ref="G522">SUM(G$497:G$509/$M$97:$M$109*($B522=$F$96:$N$96)*($F$97:$N$109))</f>
        <v>0</v>
      </c>
      <c r="H522" s="374">
        <f t="array" ref="H522">SUM(H$497:H$509/$M$97:$M$109*($B522=$F$96:$N$96)*($F$97:$N$109))</f>
        <v>1.3644642857142859</v>
      </c>
      <c r="I522" s="374">
        <f t="array" ref="I522">SUM(I$497:I$509/$M$97:$M$109*($B522=$F$96:$N$96)*($F$97:$N$109))</f>
        <v>2.8642500000000002</v>
      </c>
      <c r="J522" s="374">
        <f t="array" ref="J522">SUM(J$497:J$509/$M$97:$M$109*($B522=$F$96:$N$96)*($F$97:$N$109))</f>
        <v>4.4993571428571437</v>
      </c>
      <c r="K522" s="374">
        <f t="array" ref="K522">SUM(K$497:K$509/$M$97:$M$109*($B522=$F$96:$N$96)*($F$97:$N$109))</f>
        <v>6.2697857142857147</v>
      </c>
      <c r="L522" s="374">
        <f t="array" ref="L522">SUM(L$497:L$509/$M$97:$M$109*($B522=$F$96:$N$96)*($F$97:$N$109))</f>
        <v>8.175535714285715</v>
      </c>
      <c r="M522" s="374">
        <f t="array" ref="M522">SUM(M$497:M$509/$M$97:$M$109*($B522=$F$96:$N$96)*($F$97:$N$109))</f>
        <v>10.216607142857143</v>
      </c>
      <c r="N522" s="374">
        <f t="array" ref="N522">SUM(N$497:N$509/$M$97:$M$109*($B522=$F$96:$N$96)*($F$97:$N$109))</f>
        <v>12.392999999999999</v>
      </c>
    </row>
    <row r="523" spans="2:15">
      <c r="B523" s="382" t="s">
        <v>104</v>
      </c>
      <c r="C523" s="6" t="s">
        <v>94</v>
      </c>
      <c r="E523" s="3834"/>
      <c r="F523" s="374">
        <f t="array" ref="F523">SUM(F$497:F$509/$M$97:$M$109*($B523=$F$96:$N$96)*($F$97:$N$109))</f>
        <v>0</v>
      </c>
      <c r="G523" s="374">
        <f t="array" ref="G523">SUM(G$497:G$509/$M$97:$M$109*($B523=$F$96:$N$96)*($F$97:$N$109))</f>
        <v>0</v>
      </c>
      <c r="H523" s="374">
        <f t="array" ref="H523">SUM(H$497:H$509/$M$97:$M$109*($B523=$F$96:$N$96)*($F$97:$N$109))</f>
        <v>0.30321428571428577</v>
      </c>
      <c r="I523" s="374">
        <f t="array" ref="I523">SUM(I$497:I$509/$M$97:$M$109*($B523=$F$96:$N$96)*($F$97:$N$109))</f>
        <v>0.63650000000000007</v>
      </c>
      <c r="J523" s="374">
        <f t="array" ref="J523">SUM(J$497:J$509/$M$97:$M$109*($B523=$F$96:$N$96)*($F$97:$N$109))</f>
        <v>0.99985714285714311</v>
      </c>
      <c r="K523" s="374">
        <f t="array" ref="K523">SUM(K$497:K$509/$M$97:$M$109*($B523=$F$96:$N$96)*($F$97:$N$109))</f>
        <v>1.3932857142857145</v>
      </c>
      <c r="L523" s="374">
        <f t="array" ref="L523">SUM(L$497:L$509/$M$97:$M$109*($B523=$F$96:$N$96)*($F$97:$N$109))</f>
        <v>1.8167857142857144</v>
      </c>
      <c r="M523" s="374">
        <f t="array" ref="M523">SUM(M$497:M$509/$M$97:$M$109*($B523=$F$96:$N$96)*($F$97:$N$109))</f>
        <v>2.2703571428571432</v>
      </c>
      <c r="N523" s="374">
        <f t="array" ref="N523">SUM(N$497:N$509/$M$97:$M$109*($B523=$F$96:$N$96)*($F$97:$N$109))</f>
        <v>2.7539999999999996</v>
      </c>
      <c r="O523" s="3611" t="s">
        <v>5</v>
      </c>
    </row>
    <row r="524" spans="2:15">
      <c r="E524" s="364" t="str">
        <f>Preferences.EnergyUnits</f>
        <v>TWh</v>
      </c>
      <c r="F524" s="3616">
        <f t="shared" ref="F524:N524" si="62">SUM(F515:F523)</f>
        <v>0</v>
      </c>
      <c r="G524" s="3616">
        <f t="shared" si="62"/>
        <v>0</v>
      </c>
      <c r="H524" s="3616">
        <f t="shared" si="62"/>
        <v>0</v>
      </c>
      <c r="I524" s="3616">
        <f t="shared" si="62"/>
        <v>0</v>
      </c>
      <c r="J524" s="3616">
        <f t="shared" si="62"/>
        <v>0</v>
      </c>
      <c r="K524" s="3616">
        <f t="shared" si="62"/>
        <v>0</v>
      </c>
      <c r="L524" s="3616">
        <f t="shared" si="62"/>
        <v>0</v>
      </c>
      <c r="M524" s="3616">
        <f t="shared" si="62"/>
        <v>0</v>
      </c>
      <c r="N524" s="3616">
        <f t="shared" si="62"/>
        <v>0</v>
      </c>
    </row>
    <row r="525" spans="2:15">
      <c r="E525" s="3834"/>
      <c r="F525" s="413"/>
      <c r="G525" s="413"/>
      <c r="H525" s="413"/>
      <c r="I525" s="413"/>
      <c r="J525" s="413"/>
      <c r="K525" s="413"/>
      <c r="L525" s="413"/>
      <c r="M525" s="413"/>
      <c r="N525" s="413"/>
    </row>
    <row r="526" spans="2:15">
      <c r="C526" s="412" t="s">
        <v>270</v>
      </c>
      <c r="E526" s="3834"/>
      <c r="F526" s="1333">
        <v>2013</v>
      </c>
      <c r="G526" s="1333">
        <v>2015</v>
      </c>
      <c r="H526" s="1333">
        <v>2020</v>
      </c>
      <c r="I526" s="1333">
        <v>2025</v>
      </c>
      <c r="J526" s="1333">
        <v>2030</v>
      </c>
      <c r="K526" s="1333">
        <v>2035</v>
      </c>
      <c r="L526" s="1333">
        <v>2040</v>
      </c>
      <c r="M526" s="1333">
        <v>2045</v>
      </c>
      <c r="N526" s="1333">
        <v>2050</v>
      </c>
    </row>
    <row r="527" spans="2:15">
      <c r="C527" t="s">
        <v>253</v>
      </c>
      <c r="E527" s="3834" t="s">
        <v>254</v>
      </c>
      <c r="F527" s="2167">
        <f t="array" ref="F527">-SUM(F$515:F$523*SUMIFS(EF[CO2], EF[Vector], $B$515:$B$523))</f>
        <v>0</v>
      </c>
      <c r="G527" s="2167">
        <f t="array" ref="G527">-SUM(G$515:G$523*SUMIFS(EF[CO2], EF[Vector], $B$515:$B$523))</f>
        <v>0</v>
      </c>
      <c r="H527" s="2167">
        <f t="array" ref="H527">-SUM(H$515:H$523*SUMIFS(EF[CO2], EF[Vector], $B$515:$B$523))</f>
        <v>0.62074392428571434</v>
      </c>
      <c r="I527" s="2167">
        <f t="array" ref="I527">-SUM(I$515:I$523*SUMIFS(EF[CO2], EF[Vector], $B$515:$B$523))</f>
        <v>1.3030504380000001</v>
      </c>
      <c r="J527" s="2167">
        <f t="array" ref="J527">-SUM(J$515:J$523*SUMIFS(EF[CO2], EF[Vector], $B$515:$B$523))</f>
        <v>2.0469195411428576</v>
      </c>
      <c r="K527" s="2167">
        <f t="array" ref="K527">-SUM(K$515:K$523*SUMIFS(EF[CO2], EF[Vector], $B$515:$B$523))</f>
        <v>2.8523512337142858</v>
      </c>
      <c r="L527" s="2167">
        <f t="array" ref="L527">-SUM(L$515:L$523*SUMIFS(EF[CO2], EF[Vector], $B$515:$B$523))</f>
        <v>3.7193455157142861</v>
      </c>
      <c r="M527" s="2167">
        <f t="array" ref="M527">-SUM(M$515:M$523*SUMIFS(EF[CO2], EF[Vector], $B$515:$B$523))</f>
        <v>4.6479023871428575</v>
      </c>
      <c r="N527" s="2167">
        <f t="array" ref="N527">-SUM(N$515:N$523*SUMIFS(EF[CO2], EF[Vector], $B$515:$B$523))</f>
        <v>5.6380218479999993</v>
      </c>
      <c r="O527" s="2167"/>
    </row>
    <row r="528" spans="2:15">
      <c r="C528" t="s">
        <v>255</v>
      </c>
      <c r="E528" s="3834"/>
      <c r="F528" s="2167">
        <f t="array" ref="F528">-SUM(F$515:F$523*SUMIFS(EF[CH4], EF[Vector], $B$515:$B$523))</f>
        <v>0</v>
      </c>
      <c r="G528" s="2167">
        <f t="array" ref="G528">-SUM(G$515:G$523*SUMIFS(EF[CH4], EF[Vector], $B$515:$B$523))</f>
        <v>0</v>
      </c>
      <c r="H528" s="2167">
        <f t="array" ref="H528">-SUM(H$515:H$523*SUMIFS(EF[CH4], EF[Vector], $B$515:$B$523))</f>
        <v>2.2923000000000005E-4</v>
      </c>
      <c r="I528" s="2167">
        <f t="array" ref="I528">-SUM(I$515:I$523*SUMIFS(EF[CH4], EF[Vector], $B$515:$B$523))</f>
        <v>4.8119400000000006E-4</v>
      </c>
      <c r="J528" s="2167">
        <f t="array" ref="J528">-SUM(J$515:J$523*SUMIFS(EF[CH4], EF[Vector], $B$515:$B$523))</f>
        <v>7.558920000000003E-4</v>
      </c>
      <c r="K528" s="2167">
        <f t="array" ref="K528">-SUM(K$515:K$523*SUMIFS(EF[CH4], EF[Vector], $B$515:$B$523))</f>
        <v>1.0533240000000002E-3</v>
      </c>
      <c r="L528" s="2167">
        <f t="array" ref="L528">-SUM(L$515:L$523*SUMIFS(EF[CH4], EF[Vector], $B$515:$B$523))</f>
        <v>1.3734900000000002E-3</v>
      </c>
      <c r="M528" s="2167">
        <f t="array" ref="M528">-SUM(M$515:M$523*SUMIFS(EF[CH4], EF[Vector], $B$515:$B$523))</f>
        <v>1.7163900000000001E-3</v>
      </c>
      <c r="N528" s="2167">
        <f t="array" ref="N528">-SUM(N$515:N$523*SUMIFS(EF[CH4], EF[Vector], $B$515:$B$523))</f>
        <v>2.082024E-3</v>
      </c>
      <c r="O528" s="2167"/>
    </row>
    <row r="529" spans="2:25">
      <c r="C529" t="s">
        <v>256</v>
      </c>
      <c r="E529" s="3834"/>
      <c r="F529" s="2167">
        <f t="array" ref="F529">-SUM(F$515:F$523*SUMIFS(EF[N2O], EF[Vector], $B$515:$B$523))</f>
        <v>0</v>
      </c>
      <c r="G529" s="2167">
        <f t="array" ref="G529">-SUM(G$515:G$523*SUMIFS(EF[N2O], EF[Vector], $B$515:$B$523))</f>
        <v>0</v>
      </c>
      <c r="H529" s="2167">
        <f t="array" ref="H529">-SUM(H$515:H$523*SUMIFS(EF[N2O], EF[Vector], $B$515:$B$523))</f>
        <v>9.8132271428571435E-3</v>
      </c>
      <c r="I529" s="2167">
        <f t="array" ref="I529">-SUM(I$515:I$523*SUMIFS(EF[N2O], EF[Vector], $B$515:$B$523))</f>
        <v>2.0599685999999999E-2</v>
      </c>
      <c r="J529" s="2167">
        <f t="array" ref="J529">-SUM(J$515:J$523*SUMIFS(EF[N2O], EF[Vector], $B$515:$B$523))</f>
        <v>3.235937657142858E-2</v>
      </c>
      <c r="K529" s="2167">
        <f t="array" ref="K529">-SUM(K$515:K$523*SUMIFS(EF[N2O], EF[Vector], $B$515:$B$523))</f>
        <v>4.509229885714286E-2</v>
      </c>
      <c r="L529" s="2167">
        <f t="array" ref="L529">-SUM(L$515:L$523*SUMIFS(EF[N2O], EF[Vector], $B$515:$B$523))</f>
        <v>5.8798452857142865E-2</v>
      </c>
      <c r="M529" s="2167">
        <f t="array" ref="M529">-SUM(M$515:M$523*SUMIFS(EF[N2O], EF[Vector], $B$515:$B$523))</f>
        <v>7.3477838571428575E-2</v>
      </c>
      <c r="N529" s="2167">
        <f t="array" ref="N529">-SUM(N$515:N$523*SUMIFS(EF[N2O], EF[Vector], $B$515:$B$523))</f>
        <v>8.9130455999999983E-2</v>
      </c>
      <c r="O529" s="2167"/>
    </row>
    <row r="530" spans="2:25" s="6" customFormat="1">
      <c r="B530"/>
      <c r="C530"/>
      <c r="D530"/>
      <c r="E530" s="3834"/>
      <c r="F530" s="374"/>
      <c r="G530"/>
      <c r="H530"/>
      <c r="I530"/>
      <c r="J530"/>
      <c r="K530"/>
      <c r="L530"/>
      <c r="M530"/>
      <c r="N530"/>
      <c r="O530"/>
      <c r="W530" s="374"/>
      <c r="X530" s="374"/>
      <c r="Y530" s="374"/>
    </row>
    <row r="531" spans="2:25" s="6" customFormat="1">
      <c r="B531" s="363">
        <v>8</v>
      </c>
      <c r="C531" s="363" t="s">
        <v>271</v>
      </c>
      <c r="D531"/>
      <c r="E531" s="3834"/>
      <c r="F531" s="374"/>
      <c r="G531"/>
      <c r="H531"/>
      <c r="I531"/>
      <c r="J531"/>
      <c r="K531"/>
      <c r="L531"/>
      <c r="M531"/>
      <c r="N531"/>
      <c r="O531"/>
      <c r="W531" s="374"/>
      <c r="X531" s="374"/>
      <c r="Y531" s="374"/>
    </row>
    <row r="532" spans="2:25" s="6" customFormat="1">
      <c r="B532"/>
      <c r="C532"/>
      <c r="D532"/>
      <c r="E532" s="3834"/>
      <c r="F532" s="374"/>
      <c r="G532"/>
      <c r="H532"/>
      <c r="I532"/>
      <c r="J532"/>
      <c r="K532"/>
      <c r="L532"/>
      <c r="M532"/>
      <c r="N532"/>
      <c r="O532"/>
      <c r="W532" s="374"/>
      <c r="X532" s="374"/>
      <c r="Y532" s="374"/>
    </row>
    <row r="533" spans="2:25" s="6" customFormat="1">
      <c r="B533" s="363" t="s">
        <v>272</v>
      </c>
      <c r="C533" s="363" t="s">
        <v>273</v>
      </c>
      <c r="D533"/>
      <c r="E533" s="3834"/>
      <c r="F533" s="374"/>
      <c r="G533"/>
      <c r="H533"/>
      <c r="I533"/>
      <c r="J533"/>
      <c r="K533"/>
      <c r="L533"/>
      <c r="M533"/>
      <c r="N533"/>
      <c r="O533"/>
      <c r="W533" s="374"/>
      <c r="X533" s="374"/>
      <c r="Y533" s="374"/>
    </row>
    <row r="534" spans="2:25" s="6" customFormat="1">
      <c r="B534"/>
      <c r="C534" s="363"/>
      <c r="D534"/>
      <c r="E534" s="3834"/>
      <c r="F534" s="374"/>
      <c r="G534"/>
      <c r="H534"/>
      <c r="I534"/>
      <c r="J534"/>
      <c r="K534"/>
      <c r="L534"/>
      <c r="M534"/>
      <c r="N534"/>
      <c r="O534"/>
      <c r="W534" s="374"/>
      <c r="X534" s="374"/>
      <c r="Y534" s="374"/>
    </row>
    <row r="535" spans="2:25" s="6" customFormat="1">
      <c r="B535"/>
      <c r="C535" s="381" t="s">
        <v>274</v>
      </c>
      <c r="D535"/>
      <c r="F535" s="1333">
        <v>2013</v>
      </c>
      <c r="G535" s="1333">
        <v>2015</v>
      </c>
      <c r="H535" s="1333">
        <v>2020</v>
      </c>
      <c r="I535" s="1333">
        <v>2025</v>
      </c>
      <c r="J535" s="1333">
        <v>2030</v>
      </c>
      <c r="K535" s="1333">
        <v>2035</v>
      </c>
      <c r="L535" s="1333">
        <v>2040</v>
      </c>
      <c r="M535" s="1333">
        <v>2045</v>
      </c>
      <c r="N535" s="1333">
        <v>2050</v>
      </c>
      <c r="O535"/>
      <c r="W535" s="374"/>
      <c r="X535" s="374"/>
      <c r="Y535" s="374"/>
    </row>
    <row r="536" spans="2:25" s="6" customFormat="1">
      <c r="B536"/>
      <c r="C536" t="s">
        <v>275</v>
      </c>
      <c r="D536"/>
      <c r="E536" s="1334" t="str">
        <f>Preferences.PowerUnits&amp;"e"</f>
        <v>GWe</v>
      </c>
      <c r="F536" s="2510">
        <f t="shared" ref="F536:N536" si="63">F435*Conversion.to.average.power</f>
        <v>-4.5630846452201682E-2</v>
      </c>
      <c r="G536" s="2510">
        <f t="shared" si="63"/>
        <v>-5.475701574264201E-2</v>
      </c>
      <c r="H536" s="2510">
        <f t="shared" si="63"/>
        <v>-6.2742413871777314E-2</v>
      </c>
      <c r="I536" s="2510">
        <f t="shared" si="63"/>
        <v>-6.65449844094608E-2</v>
      </c>
      <c r="J536" s="2510">
        <f t="shared" si="63"/>
        <v>-6.8446269678302529E-2</v>
      </c>
      <c r="K536" s="2510">
        <f t="shared" si="63"/>
        <v>-6.8446269678302543E-2</v>
      </c>
      <c r="L536" s="2510">
        <f t="shared" si="63"/>
        <v>-6.65449844094608E-2</v>
      </c>
      <c r="M536" s="2510">
        <f t="shared" si="63"/>
        <v>-6.2742413871777328E-2</v>
      </c>
      <c r="N536" s="2510">
        <f t="shared" si="63"/>
        <v>-5.7038558065252098E-2</v>
      </c>
      <c r="O536"/>
      <c r="W536" s="374"/>
      <c r="X536" s="374"/>
      <c r="Y536" s="374"/>
    </row>
    <row r="537" spans="2:25" s="6" customFormat="1">
      <c r="B537"/>
      <c r="D537"/>
      <c r="E537" s="3834"/>
      <c r="F537" s="374"/>
      <c r="G537"/>
      <c r="H537"/>
      <c r="I537"/>
      <c r="J537"/>
      <c r="K537"/>
      <c r="L537"/>
      <c r="M537"/>
      <c r="N537"/>
      <c r="O537"/>
      <c r="W537" s="374"/>
      <c r="X537" s="374"/>
      <c r="Y537" s="374"/>
    </row>
    <row r="538" spans="2:25" s="6" customFormat="1">
      <c r="B538" s="363"/>
      <c r="C538" s="363" t="s">
        <v>985</v>
      </c>
      <c r="D538"/>
      <c r="E538" s="364"/>
      <c r="F538" s="1333">
        <v>2013</v>
      </c>
      <c r="G538" s="1333">
        <v>2015</v>
      </c>
      <c r="H538" s="1333">
        <v>2020</v>
      </c>
      <c r="I538" s="1333">
        <v>2025</v>
      </c>
      <c r="J538" s="1333">
        <v>2030</v>
      </c>
      <c r="K538" s="1333">
        <v>2035</v>
      </c>
      <c r="L538" s="1333">
        <v>2040</v>
      </c>
      <c r="M538" s="1333">
        <v>2045</v>
      </c>
      <c r="N538" s="1333">
        <v>2050</v>
      </c>
      <c r="O538"/>
      <c r="W538" s="374"/>
      <c r="X538" s="374"/>
      <c r="Y538" s="374"/>
    </row>
    <row r="539" spans="2:25" s="6" customFormat="1">
      <c r="B539" s="382" t="s">
        <v>96</v>
      </c>
      <c r="C539" s="6" t="s">
        <v>86</v>
      </c>
      <c r="D539"/>
      <c r="E539" s="3834"/>
      <c r="F539" s="374">
        <f t="array" ref="F539">SUM(F$350:F$362/$M$151:$M$163*($B539=$F$150:$N$150)*($F$151:$N$163))</f>
        <v>-0.43694444444444441</v>
      </c>
      <c r="G539" s="374">
        <f t="array" ref="G539">SUM(G$350:G$362/$M$151:$M$163*($B539=$F$150:$N$150)*($F$151:$N$163))</f>
        <v>-0.45527777777777778</v>
      </c>
      <c r="H539" s="374">
        <f t="array" ref="H539">SUM(H$350:H$362/$M$151:$M$163*($B539=$F$150:$N$150)*($F$151:$N$163))</f>
        <v>-0.43914285714285711</v>
      </c>
      <c r="I539" s="374">
        <f t="array" ref="I539">SUM(I$350:I$362/$M$151:$M$163*($B539=$F$150:$N$150)*($F$151:$N$163))</f>
        <v>-0.41219841269841268</v>
      </c>
      <c r="J539" s="374">
        <f t="array" ref="J539">SUM(J$350:J$362/$M$151:$M$163*($B539=$F$150:$N$150)*($F$151:$N$163))</f>
        <v>-0.38055555555555548</v>
      </c>
      <c r="K539" s="374">
        <f t="array" ref="K539">SUM(K$350:K$362/$M$151:$M$163*($B539=$F$150:$N$150)*($F$151:$N$163))</f>
        <v>-0.34421428571428564</v>
      </c>
      <c r="L539" s="374">
        <f t="array" ref="L539">SUM(L$350:L$362/$M$151:$M$163*($B539=$F$150:$N$150)*($F$151:$N$163))</f>
        <v>-0.3031746031746031</v>
      </c>
      <c r="M539" s="374">
        <f t="array" ref="M539">SUM(M$350:M$362/$M$151:$M$163*($B539=$F$150:$N$150)*($F$151:$N$163))</f>
        <v>-0.2574365079365078</v>
      </c>
      <c r="N539" s="374">
        <f t="array" ref="N539">SUM(N$350:N$362/$M$151:$M$163*($B539=$F$150:$N$150)*($F$151:$N$163))</f>
        <v>-0.20699999999999999</v>
      </c>
      <c r="O539"/>
      <c r="W539" s="374"/>
      <c r="X539" s="374"/>
      <c r="Y539" s="374"/>
    </row>
    <row r="540" spans="2:25" s="6" customFormat="1">
      <c r="B540" s="382" t="s">
        <v>97</v>
      </c>
      <c r="C540" s="6" t="s">
        <v>87</v>
      </c>
      <c r="D540"/>
      <c r="E540" s="3834"/>
      <c r="F540" s="374">
        <f t="array" ref="F540">SUM(F$350:F$362/$M$151:$M$163*($B540=$F$150:$N$150)*($F$151:$N$163))</f>
        <v>0</v>
      </c>
      <c r="G540" s="374">
        <f t="array" ref="G540">SUM(G$350:G$362/$M$151:$M$163*($B540=$F$150:$N$150)*($F$151:$N$163))</f>
        <v>0</v>
      </c>
      <c r="H540" s="374">
        <f t="array" ref="H540">SUM(H$350:H$362/$M$151:$M$163*($B540=$F$150:$N$150)*($F$151:$N$163))</f>
        <v>0.20442857142857146</v>
      </c>
      <c r="I540" s="374">
        <f t="array" ref="I540">SUM(I$350:I$362/$M$151:$M$163*($B540=$F$150:$N$150)*($F$151:$N$163))</f>
        <v>0.42942857142857144</v>
      </c>
      <c r="J540" s="374">
        <f t="array" ref="J540">SUM(J$350:J$362/$M$151:$M$163*($B540=$F$150:$N$150)*($F$151:$N$163))</f>
        <v>0.67500000000000016</v>
      </c>
      <c r="K540" s="374">
        <f t="array" ref="K540">SUM(K$350:K$362/$M$151:$M$163*($B540=$F$150:$N$150)*($F$151:$N$163))</f>
        <v>0.94114285714285728</v>
      </c>
      <c r="L540" s="374">
        <f t="array" ref="L540">SUM(L$350:L$362/$M$151:$M$163*($B540=$F$150:$N$150)*($F$151:$N$163))</f>
        <v>1.227857142857143</v>
      </c>
      <c r="M540" s="374">
        <f t="array" ref="M540">SUM(M$350:M$362/$M$151:$M$163*($B540=$F$150:$N$150)*($F$151:$N$163))</f>
        <v>1.5351428571428571</v>
      </c>
      <c r="N540" s="374">
        <f t="array" ref="N540">SUM(N$350:N$362/$M$151:$M$163*($B540=$F$150:$N$150)*($F$151:$N$163))</f>
        <v>1.863</v>
      </c>
      <c r="O540"/>
      <c r="W540" s="374"/>
      <c r="X540" s="374"/>
      <c r="Y540" s="374"/>
    </row>
    <row r="541" spans="2:25" s="6" customFormat="1">
      <c r="B541" s="382" t="s">
        <v>98</v>
      </c>
      <c r="C541" s="6" t="s">
        <v>88</v>
      </c>
      <c r="D541"/>
      <c r="E541" s="3834"/>
      <c r="F541" s="374">
        <f t="array" ref="F541">SUM(F$350:F$362/$M$151:$M$163*($B541=$F$150:$N$150)*($F$151:$N$163))</f>
        <v>-4.93103448275862E-2</v>
      </c>
      <c r="G541" s="374">
        <f t="array" ref="G541">SUM(G$350:G$362/$M$151:$M$163*($B541=$F$150:$N$150)*($F$151:$N$163))</f>
        <v>-5.1379310344827581E-2</v>
      </c>
      <c r="H541" s="374">
        <f t="array" ref="H541">SUM(H$350:H$362/$M$151:$M$163*($B541=$F$150:$N$150)*($F$151:$N$163))</f>
        <v>-4.6995073891625619E-2</v>
      </c>
      <c r="I541" s="374">
        <f t="array" ref="I541">SUM(I$350:I$362/$M$151:$M$163*($B541=$F$150:$N$150)*($F$151:$N$163))</f>
        <v>-4.1133004926108371E-2</v>
      </c>
      <c r="J541" s="374">
        <f t="array" ref="J541">SUM(J$350:J$362/$M$151:$M$163*($B541=$F$150:$N$150)*($F$151:$N$163))</f>
        <v>-3.4482758620689655E-2</v>
      </c>
      <c r="K541" s="374">
        <f t="array" ref="K541">SUM(K$350:K$362/$M$151:$M$163*($B541=$F$150:$N$150)*($F$151:$N$163))</f>
        <v>-2.7044334975369465E-2</v>
      </c>
      <c r="L541" s="374">
        <f t="array" ref="L541">SUM(L$350:L$362/$M$151:$M$163*($B541=$F$150:$N$150)*($F$151:$N$163))</f>
        <v>-1.8817733990147786E-2</v>
      </c>
      <c r="M541" s="374">
        <f t="array" ref="M541">SUM(M$350:M$362/$M$151:$M$163*($B541=$F$150:$N$150)*($F$151:$N$163))</f>
        <v>-9.8029556650246347E-3</v>
      </c>
      <c r="N541" s="374">
        <f t="array" ref="N541">SUM(N$350:N$362/$M$151:$M$163*($B541=$F$150:$N$150)*($F$151:$N$163))</f>
        <v>0</v>
      </c>
      <c r="O541"/>
      <c r="W541" s="374"/>
      <c r="X541" s="374"/>
      <c r="Y541" s="374"/>
    </row>
    <row r="542" spans="2:25" s="6" customFormat="1">
      <c r="B542" s="382" t="s">
        <v>99</v>
      </c>
      <c r="C542" s="6" t="s">
        <v>89</v>
      </c>
      <c r="D542"/>
      <c r="E542" s="3834"/>
      <c r="F542" s="374">
        <f t="array" ref="F542">SUM(F$350:F$362/$M$151:$M$163*($B542=$F$150:$N$150)*($F$151:$N$163))</f>
        <v>-0.33907216494845366</v>
      </c>
      <c r="G542" s="374">
        <f t="array" ref="G542">SUM(G$350:G$362/$M$151:$M$163*($B542=$F$150:$N$150)*($F$151:$N$163))</f>
        <v>-0.35329896907216496</v>
      </c>
      <c r="H542" s="374">
        <f t="array" ref="H542">SUM(H$350:H$362/$M$151:$M$163*($B542=$F$150:$N$150)*($F$151:$N$163))</f>
        <v>-0.32315169366715762</v>
      </c>
      <c r="I542" s="374">
        <f t="array" ref="I542">SUM(I$350:I$362/$M$151:$M$163*($B542=$F$150:$N$150)*($F$151:$N$163))</f>
        <v>-0.28284241531664212</v>
      </c>
      <c r="J542" s="374">
        <f t="array" ref="J542">SUM(J$350:J$362/$M$151:$M$163*($B542=$F$150:$N$150)*($F$151:$N$163))</f>
        <v>-0.23711340206185566</v>
      </c>
      <c r="K542" s="374">
        <f t="array" ref="K542">SUM(K$350:K$362/$M$151:$M$163*($B542=$F$150:$N$150)*($F$151:$N$163))</f>
        <v>-0.1859646539027982</v>
      </c>
      <c r="L542" s="374">
        <f t="array" ref="L542">SUM(L$350:L$362/$M$151:$M$163*($B542=$F$150:$N$150)*($F$151:$N$163))</f>
        <v>-0.12939617083946978</v>
      </c>
      <c r="M542" s="374">
        <f t="array" ref="M542">SUM(M$350:M$362/$M$151:$M$163*($B542=$F$150:$N$150)*($F$151:$N$163))</f>
        <v>-6.7407952871870375E-2</v>
      </c>
      <c r="N542" s="374">
        <f t="array" ref="N542">SUM(N$350:N$362/$M$151:$M$163*($B542=$F$150:$N$150)*($F$151:$N$163))</f>
        <v>0</v>
      </c>
      <c r="O542"/>
      <c r="W542" s="374"/>
      <c r="X542" s="374"/>
      <c r="Y542" s="374"/>
    </row>
    <row r="543" spans="2:25" s="6" customFormat="1">
      <c r="B543" s="382" t="s">
        <v>100</v>
      </c>
      <c r="C543" s="6" t="s">
        <v>90</v>
      </c>
      <c r="D543"/>
      <c r="E543" s="3834"/>
      <c r="F543" s="374">
        <f t="array" ref="F543">SUM(F$350:F$362/$M$151:$M$163*($B543=$F$150:$N$150)*($F$151:$N$163))</f>
        <v>-0.73774436090225559</v>
      </c>
      <c r="G543" s="374">
        <f t="array" ref="G543">SUM(G$350:G$362/$M$151:$M$163*($B543=$F$150:$N$150)*($F$151:$N$163))</f>
        <v>-0.7686986697513013</v>
      </c>
      <c r="H543" s="374">
        <f t="array" ref="H543">SUM(H$350:H$362/$M$151:$M$163*($B543=$F$150:$N$150)*($F$151:$N$163))</f>
        <v>-1.1576403371065027</v>
      </c>
      <c r="I543" s="374">
        <f t="array" ref="I543">SUM(I$350:I$362/$M$151:$M$163*($B543=$F$150:$N$150)*($F$151:$N$163))</f>
        <v>-1.5702111873089315</v>
      </c>
      <c r="J543" s="374">
        <f t="array" ref="J543">SUM(J$350:J$362/$M$151:$M$163*($B543=$F$150:$N$150)*($F$151:$N$163))</f>
        <v>-2.0167293233082706</v>
      </c>
      <c r="K543" s="374">
        <f t="array" ref="K543">SUM(K$350:K$362/$M$151:$M$163*($B543=$F$150:$N$150)*($F$151:$N$163))</f>
        <v>-2.4971947451045198</v>
      </c>
      <c r="L543" s="374">
        <f t="array" ref="L543">SUM(L$350:L$362/$M$151:$M$163*($B543=$F$150:$N$150)*($F$151:$N$163))</f>
        <v>-3.0116074526976782</v>
      </c>
      <c r="M543" s="374">
        <f t="array" ref="M543">SUM(M$350:M$362/$M$151:$M$163*($B543=$F$150:$N$150)*($F$151:$N$163))</f>
        <v>-3.5599674460877466</v>
      </c>
      <c r="N543" s="374">
        <f t="array" ref="N543">SUM(N$350:N$362/$M$151:$M$163*($B543=$F$150:$N$150)*($F$151:$N$163))</f>
        <v>-4.1422747252747252</v>
      </c>
      <c r="O543"/>
      <c r="W543" s="374"/>
      <c r="X543" s="374"/>
      <c r="Y543" s="374"/>
    </row>
    <row r="544" spans="2:25" s="6" customFormat="1">
      <c r="B544" s="382" t="s">
        <v>101</v>
      </c>
      <c r="C544" s="6" t="s">
        <v>91</v>
      </c>
      <c r="D544"/>
      <c r="E544" s="3834"/>
      <c r="F544" s="374">
        <f t="array" ref="F544">SUM(F$350:F$362/$M$151:$M$163*($B544=$F$150:$N$150)*($F$151:$N$163))</f>
        <v>0</v>
      </c>
      <c r="G544" s="374">
        <f t="array" ref="G544">SUM(G$350:G$362/$M$151:$M$163*($B544=$F$150:$N$150)*($F$151:$N$163))</f>
        <v>0</v>
      </c>
      <c r="H544" s="374">
        <f t="array" ref="H544">SUM(H$350:H$362/$M$151:$M$163*($B544=$F$150:$N$150)*($F$151:$N$163))</f>
        <v>0</v>
      </c>
      <c r="I544" s="374">
        <f t="array" ref="I544">SUM(I$350:I$362/$M$151:$M$163*($B544=$F$150:$N$150)*($F$151:$N$163))</f>
        <v>0</v>
      </c>
      <c r="J544" s="374">
        <f t="array" ref="J544">SUM(J$350:J$362/$M$151:$M$163*($B544=$F$150:$N$150)*($F$151:$N$163))</f>
        <v>0</v>
      </c>
      <c r="K544" s="374">
        <f t="array" ref="K544">SUM(K$350:K$362/$M$151:$M$163*($B544=$F$150:$N$150)*($F$151:$N$163))</f>
        <v>0</v>
      </c>
      <c r="L544" s="374">
        <f t="array" ref="L544">SUM(L$350:L$362/$M$151:$M$163*($B544=$F$150:$N$150)*($F$151:$N$163))</f>
        <v>0</v>
      </c>
      <c r="M544" s="374">
        <f t="array" ref="M544">SUM(M$350:M$362/$M$151:$M$163*($B544=$F$150:$N$150)*($F$151:$N$163))</f>
        <v>0</v>
      </c>
      <c r="N544" s="374">
        <f t="array" ref="N544">SUM(N$350:N$362/$M$151:$M$163*($B544=$F$150:$N$150)*($F$151:$N$163))</f>
        <v>0</v>
      </c>
      <c r="O544"/>
      <c r="W544" s="374"/>
      <c r="X544" s="374"/>
      <c r="Y544" s="374"/>
    </row>
    <row r="545" spans="2:25" s="6" customFormat="1">
      <c r="B545" s="382" t="s">
        <v>102</v>
      </c>
      <c r="C545" s="6" t="s">
        <v>92</v>
      </c>
      <c r="D545"/>
      <c r="E545" s="3834"/>
      <c r="F545" s="374">
        <f t="array" ref="F545">SUM(F$350:F$362/$M$151:$M$163*($B545=$F$150:$N$150)*($F$151:$N$163))</f>
        <v>-6.3555555555555561E-3</v>
      </c>
      <c r="G545" s="374">
        <f t="array" ref="G545">SUM(G$350:G$362/$M$151:$M$163*($B545=$F$150:$N$150)*($F$151:$N$163))</f>
        <v>-6.6222222222222229E-3</v>
      </c>
      <c r="H545" s="374">
        <f t="array" ref="H545">SUM(H$350:H$362/$M$151:$M$163*($B545=$F$150:$N$150)*($F$151:$N$163))</f>
        <v>-6.0571428571428582E-3</v>
      </c>
      <c r="I545" s="374">
        <f t="array" ref="I545">SUM(I$350:I$362/$M$151:$M$163*($B545=$F$150:$N$150)*($F$151:$N$163))</f>
        <v>-5.301587301587302E-3</v>
      </c>
      <c r="J545" s="374">
        <f t="array" ref="J545">SUM(J$350:J$362/$M$151:$M$163*($B545=$F$150:$N$150)*($F$151:$N$163))</f>
        <v>-4.4444444444444453E-3</v>
      </c>
      <c r="K545" s="374">
        <f t="array" ref="K545">SUM(K$350:K$362/$M$151:$M$163*($B545=$F$150:$N$150)*($F$151:$N$163))</f>
        <v>-3.4857142857142864E-3</v>
      </c>
      <c r="L545" s="374">
        <f t="array" ref="L545">SUM(L$350:L$362/$M$151:$M$163*($B545=$F$150:$N$150)*($F$151:$N$163))</f>
        <v>-2.4253968253968266E-3</v>
      </c>
      <c r="M545" s="374">
        <f t="array" ref="M545">SUM(M$350:M$362/$M$151:$M$163*($B545=$F$150:$N$150)*($F$151:$N$163))</f>
        <v>-1.2634920634920646E-3</v>
      </c>
      <c r="N545" s="374">
        <f t="array" ref="N545">SUM(N$350:N$362/$M$151:$M$163*($B545=$F$150:$N$150)*($F$151:$N$163))</f>
        <v>0</v>
      </c>
      <c r="O545"/>
      <c r="W545" s="374"/>
      <c r="X545" s="374"/>
      <c r="Y545" s="374"/>
    </row>
    <row r="546" spans="2:25" s="6" customFormat="1">
      <c r="B546" s="382" t="s">
        <v>103</v>
      </c>
      <c r="C546" s="6" t="s">
        <v>93</v>
      </c>
      <c r="D546"/>
      <c r="E546" s="3834"/>
      <c r="F546" s="374">
        <f t="array" ref="F546">SUM(F$350:F$362/$M$151:$M$163*($B546=$F$150:$N$150)*($F$151:$N$163))</f>
        <v>1.43</v>
      </c>
      <c r="G546" s="374">
        <f t="array" ref="G546">SUM(G$350:G$362/$M$151:$M$163*($B546=$F$150:$N$150)*($F$151:$N$163))</f>
        <v>1.49</v>
      </c>
      <c r="H546" s="374">
        <f t="array" ref="H546">SUM(H$350:H$362/$M$151:$M$163*($B546=$F$150:$N$150)*($F$151:$N$163))</f>
        <v>1.5902271428571426</v>
      </c>
      <c r="I546" s="374">
        <f t="array" ref="I546">SUM(I$350:I$362/$M$151:$M$163*($B546=$F$150:$N$150)*($F$151:$N$163))</f>
        <v>1.670477142857143</v>
      </c>
      <c r="J546" s="374">
        <f t="array" ref="J546">SUM(J$350:J$362/$M$151:$M$163*($B546=$F$150:$N$150)*($F$151:$N$163))</f>
        <v>1.7507499999999998</v>
      </c>
      <c r="K546" s="374">
        <f t="array" ref="K546">SUM(K$350:K$362/$M$151:$M$163*($B546=$F$150:$N$150)*($F$151:$N$163))</f>
        <v>1.8310457142857142</v>
      </c>
      <c r="L546" s="374">
        <f t="array" ref="L546">SUM(L$350:L$362/$M$151:$M$163*($B546=$F$150:$N$150)*($F$151:$N$163))</f>
        <v>1.9113642857142854</v>
      </c>
      <c r="M546" s="374">
        <f t="array" ref="M546">SUM(M$350:M$362/$M$151:$M$163*($B546=$F$150:$N$150)*($F$151:$N$163))</f>
        <v>1.991705714285714</v>
      </c>
      <c r="N546" s="374">
        <f t="array" ref="N546">SUM(N$350:N$362/$M$151:$M$163*($B546=$F$150:$N$150)*($F$151:$N$163))</f>
        <v>2.0720700000000001</v>
      </c>
      <c r="O546"/>
      <c r="W546" s="374"/>
      <c r="X546" s="374"/>
      <c r="Y546" s="374"/>
    </row>
    <row r="547" spans="2:25" s="6" customFormat="1">
      <c r="B547" s="382" t="s">
        <v>104</v>
      </c>
      <c r="C547" s="6" t="s">
        <v>94</v>
      </c>
      <c r="D547"/>
      <c r="E547" s="3834"/>
      <c r="F547" s="374">
        <f t="array" ref="F547">SUM(F$350:F$362/$M$151:$M$163*($B547=$F$150:$N$150)*($F$151:$N$163))</f>
        <v>0.13942687067829543</v>
      </c>
      <c r="G547" s="374">
        <f t="array" ref="G547">SUM(G$350:G$362/$M$151:$M$163*($B547=$F$150:$N$150)*($F$151:$N$163))</f>
        <v>0.14527694916829384</v>
      </c>
      <c r="H547" s="374">
        <f t="array" ref="H547">SUM(H$350:H$362/$M$151:$M$163*($B547=$F$150:$N$150)*($F$151:$N$163))</f>
        <v>0.17833139037957144</v>
      </c>
      <c r="I547" s="374">
        <f t="array" ref="I547">SUM(I$350:I$362/$M$151:$M$163*($B547=$F$150:$N$150)*($F$151:$N$163))</f>
        <v>0.21178089326596788</v>
      </c>
      <c r="J547" s="374">
        <f t="array" ref="J547">SUM(J$350:J$362/$M$151:$M$163*($B547=$F$150:$N$150)*($F$151:$N$163))</f>
        <v>0.24757548399081597</v>
      </c>
      <c r="K547" s="374">
        <f t="array" ref="K547">SUM(K$350:K$362/$M$151:$M$163*($B547=$F$150:$N$150)*($F$151:$N$163))</f>
        <v>0.28571516255411583</v>
      </c>
      <c r="L547" s="374">
        <f t="array" ref="L547">SUM(L$350:L$362/$M$151:$M$163*($B547=$F$150:$N$150)*($F$151:$N$163))</f>
        <v>0.32619992895586725</v>
      </c>
      <c r="M547" s="374">
        <f t="array" ref="M547">SUM(M$350:M$362/$M$151:$M$163*($B547=$F$150:$N$150)*($F$151:$N$163))</f>
        <v>0.36902978319607044</v>
      </c>
      <c r="N547" s="374">
        <f t="array" ref="N547">SUM(N$350:N$362/$M$151:$M$163*($B547=$F$150:$N$150)*($F$151:$N$163))</f>
        <v>0.41420472527472524</v>
      </c>
      <c r="O547" s="3611" t="s">
        <v>5</v>
      </c>
      <c r="W547" s="374"/>
      <c r="X547" s="374"/>
      <c r="Y547" s="374"/>
    </row>
    <row r="548" spans="2:25" s="6" customFormat="1">
      <c r="B548" s="382"/>
      <c r="D548"/>
      <c r="E548" s="3834" t="str">
        <f>Preferences.EnergyUnits</f>
        <v>TWh</v>
      </c>
      <c r="F548" s="3617">
        <f t="shared" ref="F548:N548" si="64">SUM(F539:F547)</f>
        <v>0</v>
      </c>
      <c r="G548" s="3617">
        <f t="shared" si="64"/>
        <v>0</v>
      </c>
      <c r="H548" s="3617">
        <f t="shared" si="64"/>
        <v>-3.6082248300317588E-16</v>
      </c>
      <c r="I548" s="3617">
        <f t="shared" si="64"/>
        <v>0</v>
      </c>
      <c r="J548" s="3617">
        <f t="shared" si="64"/>
        <v>0</v>
      </c>
      <c r="K548" s="3617">
        <f t="shared" si="64"/>
        <v>0</v>
      </c>
      <c r="L548" s="3617">
        <f t="shared" si="64"/>
        <v>4.4408920985006262E-16</v>
      </c>
      <c r="M548" s="3617">
        <f t="shared" si="64"/>
        <v>6.106226635438361E-16</v>
      </c>
      <c r="N548" s="3617">
        <f t="shared" si="64"/>
        <v>0</v>
      </c>
      <c r="O548"/>
      <c r="W548" s="374"/>
      <c r="X548" s="374"/>
      <c r="Y548" s="374"/>
    </row>
    <row r="549" spans="2:25" s="6" customFormat="1">
      <c r="B549"/>
      <c r="C549"/>
      <c r="D549"/>
      <c r="E549" s="3834"/>
      <c r="F549"/>
      <c r="G549"/>
      <c r="H549"/>
      <c r="I549"/>
      <c r="J549"/>
      <c r="K549"/>
      <c r="L549"/>
      <c r="M549"/>
      <c r="N549"/>
      <c r="O549"/>
      <c r="W549" s="374"/>
      <c r="X549" s="374"/>
      <c r="Y549" s="374"/>
    </row>
    <row r="550" spans="2:25" s="6" customFormat="1">
      <c r="B550" s="363"/>
      <c r="C550" s="363" t="s">
        <v>281</v>
      </c>
      <c r="D550"/>
      <c r="E550" s="364"/>
      <c r="F550" s="1333">
        <v>2013</v>
      </c>
      <c r="G550" s="1333">
        <v>2015</v>
      </c>
      <c r="H550" s="1333">
        <v>2020</v>
      </c>
      <c r="I550" s="1333">
        <v>2025</v>
      </c>
      <c r="J550" s="1333">
        <v>2030</v>
      </c>
      <c r="K550" s="1333">
        <v>2035</v>
      </c>
      <c r="L550" s="1333">
        <v>2040</v>
      </c>
      <c r="M550" s="1333">
        <v>2045</v>
      </c>
      <c r="N550" s="1333">
        <v>2050</v>
      </c>
      <c r="O550"/>
      <c r="W550" s="374"/>
      <c r="X550" s="374"/>
      <c r="Y550" s="374"/>
    </row>
    <row r="551" spans="2:25" s="6" customFormat="1">
      <c r="B551" s="382" t="s">
        <v>96</v>
      </c>
      <c r="C551" s="6" t="s">
        <v>86</v>
      </c>
      <c r="D551"/>
      <c r="E551" s="3834"/>
      <c r="F551" s="2510">
        <f t="shared" ref="F551:N551" si="65">(F539-F367)*Conversion.to.average.power</f>
        <v>-9.0627931148121239E-5</v>
      </c>
      <c r="G551" s="2510">
        <f t="shared" si="65"/>
        <v>-9.4430501685804298E-5</v>
      </c>
      <c r="H551" s="2510">
        <f t="shared" si="65"/>
        <v>-8.6372673641666096E-5</v>
      </c>
      <c r="I551" s="2510">
        <f t="shared" si="65"/>
        <v>-7.5598723784901659E-5</v>
      </c>
      <c r="J551" s="2510">
        <f t="shared" si="65"/>
        <v>-6.3376175628055133E-5</v>
      </c>
      <c r="K551" s="2510">
        <f t="shared" si="65"/>
        <v>-4.9705029171145499E-5</v>
      </c>
      <c r="L551" s="2510">
        <f t="shared" si="65"/>
        <v>-3.4585284414172764E-5</v>
      </c>
      <c r="M551" s="2510">
        <f t="shared" si="65"/>
        <v>-1.8016941357117933E-5</v>
      </c>
      <c r="N551" s="2510">
        <f t="shared" si="65"/>
        <v>0</v>
      </c>
      <c r="O551"/>
      <c r="W551" s="374"/>
      <c r="X551" s="374"/>
      <c r="Y551" s="374"/>
    </row>
    <row r="552" spans="2:25" s="6" customFormat="1">
      <c r="B552" s="382" t="s">
        <v>97</v>
      </c>
      <c r="C552" s="6" t="s">
        <v>87</v>
      </c>
      <c r="D552"/>
      <c r="E552" s="3834"/>
      <c r="F552" s="2510">
        <f t="shared" ref="F552:N552" si="66">(F540-F368)*Conversion.to.average.power</f>
        <v>0</v>
      </c>
      <c r="G552" s="2510">
        <f t="shared" si="66"/>
        <v>0</v>
      </c>
      <c r="H552" s="2510">
        <f t="shared" si="66"/>
        <v>0</v>
      </c>
      <c r="I552" s="2510">
        <f t="shared" si="66"/>
        <v>0</v>
      </c>
      <c r="J552" s="2510">
        <f t="shared" si="66"/>
        <v>0</v>
      </c>
      <c r="K552" s="2510">
        <f t="shared" si="66"/>
        <v>0</v>
      </c>
      <c r="L552" s="2510">
        <f t="shared" si="66"/>
        <v>0</v>
      </c>
      <c r="M552" s="2510">
        <f t="shared" si="66"/>
        <v>0</v>
      </c>
      <c r="N552" s="2510">
        <f t="shared" si="66"/>
        <v>0</v>
      </c>
      <c r="O552"/>
      <c r="W552" s="374"/>
      <c r="X552" s="374"/>
      <c r="Y552" s="374"/>
    </row>
    <row r="553" spans="2:25" s="6" customFormat="1">
      <c r="B553" s="382" t="s">
        <v>98</v>
      </c>
      <c r="C553" s="6" t="s">
        <v>88</v>
      </c>
      <c r="D553"/>
      <c r="E553" s="3834"/>
      <c r="F553" s="2510">
        <f t="shared" ref="F553:N553" si="67">(F541-F369)*Conversion.to.average.power</f>
        <v>0</v>
      </c>
      <c r="G553" s="2510">
        <f t="shared" si="67"/>
        <v>0</v>
      </c>
      <c r="H553" s="2510">
        <f t="shared" si="67"/>
        <v>0</v>
      </c>
      <c r="I553" s="2510">
        <f t="shared" si="67"/>
        <v>0</v>
      </c>
      <c r="J553" s="2510">
        <f t="shared" si="67"/>
        <v>0</v>
      </c>
      <c r="K553" s="2510">
        <f t="shared" si="67"/>
        <v>0</v>
      </c>
      <c r="L553" s="2510">
        <f t="shared" si="67"/>
        <v>0</v>
      </c>
      <c r="M553" s="2510">
        <f t="shared" si="67"/>
        <v>0</v>
      </c>
      <c r="N553" s="2510">
        <f t="shared" si="67"/>
        <v>0</v>
      </c>
      <c r="O553"/>
      <c r="W553" s="374"/>
      <c r="X553" s="374"/>
      <c r="Y553" s="374"/>
    </row>
    <row r="554" spans="2:25" s="6" customFormat="1">
      <c r="B554" s="382" t="s">
        <v>99</v>
      </c>
      <c r="C554" s="6" t="s">
        <v>89</v>
      </c>
      <c r="D554"/>
      <c r="E554" s="3834"/>
      <c r="F554" s="2510">
        <f t="shared" ref="F554:N554" si="68">(F542-F370)*Conversion.to.average.power</f>
        <v>0</v>
      </c>
      <c r="G554" s="2510">
        <f t="shared" si="68"/>
        <v>0</v>
      </c>
      <c r="H554" s="2510">
        <f t="shared" si="68"/>
        <v>0</v>
      </c>
      <c r="I554" s="2510">
        <f t="shared" si="68"/>
        <v>0</v>
      </c>
      <c r="J554" s="2510">
        <f t="shared" si="68"/>
        <v>0</v>
      </c>
      <c r="K554" s="2510">
        <f t="shared" si="68"/>
        <v>0</v>
      </c>
      <c r="L554" s="2510">
        <f t="shared" si="68"/>
        <v>0</v>
      </c>
      <c r="M554" s="2510">
        <f t="shared" si="68"/>
        <v>0</v>
      </c>
      <c r="N554" s="2510">
        <f t="shared" si="68"/>
        <v>0</v>
      </c>
      <c r="O554"/>
      <c r="W554" s="374"/>
      <c r="X554" s="374"/>
      <c r="Y554" s="374"/>
    </row>
    <row r="555" spans="2:25" s="6" customFormat="1">
      <c r="B555" s="382" t="s">
        <v>100</v>
      </c>
      <c r="C555" s="6" t="s">
        <v>90</v>
      </c>
      <c r="D555"/>
      <c r="E555" s="3834"/>
      <c r="F555" s="2510">
        <f t="shared" ref="F555:N555" si="69">(F543-F371)*Conversion.to.average.power</f>
        <v>0</v>
      </c>
      <c r="G555" s="2510">
        <f t="shared" si="69"/>
        <v>0</v>
      </c>
      <c r="H555" s="2510">
        <f t="shared" si="69"/>
        <v>0</v>
      </c>
      <c r="I555" s="2510">
        <f t="shared" si="69"/>
        <v>0</v>
      </c>
      <c r="J555" s="2510">
        <f t="shared" si="69"/>
        <v>0</v>
      </c>
      <c r="K555" s="2510">
        <f t="shared" si="69"/>
        <v>0</v>
      </c>
      <c r="L555" s="2510">
        <f t="shared" si="69"/>
        <v>0</v>
      </c>
      <c r="M555" s="2510">
        <f t="shared" si="69"/>
        <v>0</v>
      </c>
      <c r="N555" s="2510">
        <f t="shared" si="69"/>
        <v>0</v>
      </c>
      <c r="O555"/>
      <c r="W555" s="374"/>
      <c r="X555" s="374"/>
      <c r="Y555" s="374"/>
    </row>
    <row r="556" spans="2:25" s="6" customFormat="1">
      <c r="B556" s="382" t="s">
        <v>101</v>
      </c>
      <c r="C556" s="6" t="s">
        <v>91</v>
      </c>
      <c r="D556"/>
      <c r="E556" s="3834"/>
      <c r="F556" s="2510">
        <f t="shared" ref="F556:N556" si="70">(F544-F372)*Conversion.to.average.power</f>
        <v>0</v>
      </c>
      <c r="G556" s="2510">
        <f t="shared" si="70"/>
        <v>0</v>
      </c>
      <c r="H556" s="2510">
        <f t="shared" si="70"/>
        <v>0</v>
      </c>
      <c r="I556" s="2510">
        <f t="shared" si="70"/>
        <v>0</v>
      </c>
      <c r="J556" s="2510">
        <f t="shared" si="70"/>
        <v>0</v>
      </c>
      <c r="K556" s="2510">
        <f t="shared" si="70"/>
        <v>0</v>
      </c>
      <c r="L556" s="2510">
        <f t="shared" si="70"/>
        <v>0</v>
      </c>
      <c r="M556" s="2510">
        <f t="shared" si="70"/>
        <v>0</v>
      </c>
      <c r="N556" s="2510">
        <f t="shared" si="70"/>
        <v>0</v>
      </c>
      <c r="O556"/>
      <c r="W556" s="374"/>
      <c r="X556" s="374"/>
      <c r="Y556" s="374"/>
    </row>
    <row r="557" spans="2:25" s="6" customFormat="1">
      <c r="B557" s="382" t="s">
        <v>102</v>
      </c>
      <c r="C557" s="6" t="s">
        <v>92</v>
      </c>
      <c r="D557"/>
      <c r="E557" s="3834"/>
      <c r="F557" s="2510">
        <f t="shared" ref="F557:N557" si="71">(F545-F373)*Conversion.to.average.power</f>
        <v>9.062793114812273E-5</v>
      </c>
      <c r="G557" s="2510">
        <f t="shared" si="71"/>
        <v>9.4430501685806181E-5</v>
      </c>
      <c r="H557" s="2510">
        <f t="shared" si="71"/>
        <v>8.6372673641667383E-5</v>
      </c>
      <c r="I557" s="2510">
        <f t="shared" si="71"/>
        <v>7.5598723784897607E-5</v>
      </c>
      <c r="J557" s="2510">
        <f t="shared" si="71"/>
        <v>6.3376175628057898E-5</v>
      </c>
      <c r="K557" s="2510">
        <f t="shared" si="71"/>
        <v>4.9705029171148271E-5</v>
      </c>
      <c r="L557" s="2510">
        <f t="shared" si="71"/>
        <v>3.4585284414168705E-5</v>
      </c>
      <c r="M557" s="2510">
        <f t="shared" si="71"/>
        <v>1.8016941357119318E-5</v>
      </c>
      <c r="N557" s="2510">
        <f t="shared" si="71"/>
        <v>0</v>
      </c>
      <c r="O557"/>
      <c r="W557" s="374"/>
      <c r="X557" s="374"/>
      <c r="Y557" s="374"/>
    </row>
    <row r="558" spans="2:25" s="6" customFormat="1">
      <c r="B558" s="382" t="s">
        <v>103</v>
      </c>
      <c r="C558" s="6" t="s">
        <v>93</v>
      </c>
      <c r="D558"/>
      <c r="E558" s="3834"/>
      <c r="F558" s="2510">
        <f t="shared" ref="F558:N558" si="72">(F546-F374)*Conversion.to.average.power</f>
        <v>0</v>
      </c>
      <c r="G558" s="2510">
        <f t="shared" si="72"/>
        <v>0</v>
      </c>
      <c r="H558" s="2510">
        <f t="shared" si="72"/>
        <v>0</v>
      </c>
      <c r="I558" s="2510">
        <f t="shared" si="72"/>
        <v>0</v>
      </c>
      <c r="J558" s="2510">
        <f t="shared" si="72"/>
        <v>0</v>
      </c>
      <c r="K558" s="2510">
        <f t="shared" si="72"/>
        <v>0</v>
      </c>
      <c r="L558" s="2510">
        <f t="shared" si="72"/>
        <v>0</v>
      </c>
      <c r="M558" s="2510">
        <f t="shared" si="72"/>
        <v>0</v>
      </c>
      <c r="N558" s="2510">
        <f t="shared" si="72"/>
        <v>0</v>
      </c>
      <c r="O558"/>
      <c r="W558" s="374"/>
      <c r="X558" s="374"/>
      <c r="Y558" s="374"/>
    </row>
    <row r="559" spans="2:25" s="6" customFormat="1">
      <c r="B559" s="382" t="s">
        <v>104</v>
      </c>
      <c r="C559" s="6" t="s">
        <v>94</v>
      </c>
      <c r="D559"/>
      <c r="E559" s="3834"/>
      <c r="F559" s="2510">
        <f t="shared" ref="F559:N559" si="73">(F547-F375)*Conversion.to.average.power</f>
        <v>0</v>
      </c>
      <c r="G559" s="2510">
        <f t="shared" si="73"/>
        <v>0</v>
      </c>
      <c r="H559" s="2510">
        <f t="shared" si="73"/>
        <v>0</v>
      </c>
      <c r="I559" s="2510">
        <f t="shared" si="73"/>
        <v>0</v>
      </c>
      <c r="J559" s="2510">
        <f t="shared" si="73"/>
        <v>0</v>
      </c>
      <c r="K559" s="2510">
        <f t="shared" si="73"/>
        <v>0</v>
      </c>
      <c r="L559" s="2510">
        <f t="shared" si="73"/>
        <v>0</v>
      </c>
      <c r="M559" s="2510">
        <f t="shared" si="73"/>
        <v>0</v>
      </c>
      <c r="N559" s="2510">
        <f t="shared" si="73"/>
        <v>0</v>
      </c>
      <c r="O559"/>
      <c r="W559" s="374"/>
      <c r="X559" s="374"/>
      <c r="Y559" s="374"/>
    </row>
    <row r="560" spans="2:25" s="6" customFormat="1">
      <c r="B560" s="382"/>
      <c r="D560"/>
      <c r="E560" s="3834" t="str">
        <f>Preferences.PowerUnits</f>
        <v>GW</v>
      </c>
      <c r="F560" s="3617">
        <f t="shared" ref="F560:N560" si="74">SUM(F551:F559)</f>
        <v>1.4907779871675686E-18</v>
      </c>
      <c r="G560" s="3617">
        <f t="shared" si="74"/>
        <v>1.883801274693564E-18</v>
      </c>
      <c r="H560" s="3617">
        <f t="shared" si="74"/>
        <v>1.2874900798265365E-18</v>
      </c>
      <c r="I560" s="3617">
        <f t="shared" si="74"/>
        <v>-4.0522056196645728E-18</v>
      </c>
      <c r="J560" s="3617">
        <f t="shared" si="74"/>
        <v>2.7647155398380363E-18</v>
      </c>
      <c r="K560" s="3617">
        <f t="shared" si="74"/>
        <v>2.7714918034160707E-18</v>
      </c>
      <c r="L560" s="3617">
        <f t="shared" si="74"/>
        <v>-4.0589818832426072E-18</v>
      </c>
      <c r="M560" s="3617">
        <f t="shared" si="74"/>
        <v>1.3857459017080354E-18</v>
      </c>
      <c r="N560" s="3617">
        <f t="shared" si="74"/>
        <v>0</v>
      </c>
      <c r="O560"/>
      <c r="W560" s="374"/>
      <c r="X560" s="374"/>
      <c r="Y560" s="374"/>
    </row>
    <row r="561" spans="2:25" s="6" customFormat="1">
      <c r="B561"/>
      <c r="C561"/>
      <c r="D561"/>
      <c r="E561" s="3834"/>
      <c r="F561" s="374"/>
      <c r="G561"/>
      <c r="H561"/>
      <c r="I561"/>
      <c r="J561"/>
      <c r="K561"/>
      <c r="L561"/>
      <c r="M561"/>
      <c r="N561"/>
      <c r="O561"/>
      <c r="W561" s="374"/>
      <c r="X561" s="374"/>
      <c r="Y561" s="374"/>
    </row>
    <row r="562" spans="2:25" s="6" customFormat="1">
      <c r="B562"/>
      <c r="C562" s="363" t="s">
        <v>282</v>
      </c>
      <c r="D562"/>
      <c r="F562" s="1333">
        <v>2013</v>
      </c>
      <c r="G562" s="1333">
        <v>2015</v>
      </c>
      <c r="H562" s="1333">
        <v>2020</v>
      </c>
      <c r="I562" s="1333">
        <v>2025</v>
      </c>
      <c r="J562" s="1333">
        <v>2030</v>
      </c>
      <c r="K562" s="1333">
        <v>2035</v>
      </c>
      <c r="L562" s="1333">
        <v>2040</v>
      </c>
      <c r="M562" s="1333">
        <v>2045</v>
      </c>
      <c r="N562" s="1333">
        <v>2050</v>
      </c>
      <c r="O562"/>
      <c r="W562" s="374"/>
      <c r="X562" s="374"/>
      <c r="Y562" s="374"/>
    </row>
    <row r="563" spans="2:25" s="6" customFormat="1">
      <c r="B563" s="382" t="s">
        <v>96</v>
      </c>
      <c r="C563" s="6" t="s">
        <v>86</v>
      </c>
      <c r="D563"/>
      <c r="E563" s="3834"/>
      <c r="F563" s="2510">
        <f t="array" ref="F563">SUM(F$382:F$394/$M$133:$M$145*($B563=$F$132:$N$132)*($F$133:$N$145))</f>
        <v>-2.4691111111111113</v>
      </c>
      <c r="G563" s="2510">
        <f t="array" ref="G563">SUM(G$382:G$394/$M$133:$M$145*($B563=$F$132:$N$132)*($F$133:$N$145))</f>
        <v>-2.5359259259259259</v>
      </c>
      <c r="H563" s="2510">
        <f t="array" ref="H563">SUM(H$382:H$394/$M$133:$M$145*($B563=$F$132:$N$132)*($F$133:$N$145))</f>
        <v>-2.4776071428571429</v>
      </c>
      <c r="I563" s="2510">
        <f t="array" ref="I563">SUM(I$382:I$394/$M$133:$M$145*($B563=$F$132:$N$132)*($F$133:$N$145))</f>
        <v>-2.3246031746031743</v>
      </c>
      <c r="J563" s="2510">
        <f t="array" ref="J563">SUM(J$382:J$394/$M$133:$M$145*($B563=$F$132:$N$132)*($F$133:$N$145))</f>
        <v>-2.1456269841269835</v>
      </c>
      <c r="K563" s="2510">
        <f t="array" ref="K563">SUM(K$382:K$394/$M$133:$M$145*($B563=$F$132:$N$132)*($F$133:$N$145))</f>
        <v>-1.9406785714285708</v>
      </c>
      <c r="L563" s="2510">
        <f t="array" ref="L563">SUM(L$382:L$394/$M$133:$M$145*($B563=$F$132:$N$132)*($F$133:$N$145))</f>
        <v>-1.7097579365079358</v>
      </c>
      <c r="M563" s="2510">
        <f t="array" ref="M563">SUM(M$382:M$394/$M$133:$M$145*($B563=$F$132:$N$132)*($F$133:$N$145))</f>
        <v>-1.4528650793650786</v>
      </c>
      <c r="N563" s="2510">
        <f t="array" ref="N563">SUM(N$382:N$394/$M$133:$M$145*($B563=$F$132:$N$132)*($F$133:$N$145))</f>
        <v>-1.17</v>
      </c>
      <c r="O563"/>
      <c r="W563" s="374"/>
      <c r="X563" s="374"/>
      <c r="Y563" s="374"/>
    </row>
    <row r="564" spans="2:25" s="6" customFormat="1">
      <c r="B564" s="382" t="s">
        <v>97</v>
      </c>
      <c r="C564" s="6" t="s">
        <v>87</v>
      </c>
      <c r="D564"/>
      <c r="E564" s="3834"/>
      <c r="F564" s="2510">
        <f t="array" ref="F564">SUM(F$382:F$394/$M$133:$M$145*($B564=$F$132:$N$132)*($F$133:$N$145))</f>
        <v>0</v>
      </c>
      <c r="G564" s="2510">
        <f t="array" ref="G564">SUM(G$382:G$394/$M$133:$M$145*($B564=$F$132:$N$132)*($F$133:$N$145))</f>
        <v>0</v>
      </c>
      <c r="H564" s="2510">
        <f t="array" ref="H564">SUM(H$382:H$394/$M$133:$M$145*($B564=$F$132:$N$132)*($F$133:$N$145))</f>
        <v>1.1600357142857145</v>
      </c>
      <c r="I564" s="2510">
        <f t="array" ref="I564">SUM(I$382:I$394/$M$133:$M$145*($B564=$F$132:$N$132)*($F$133:$N$145))</f>
        <v>2.4348214285714289</v>
      </c>
      <c r="J564" s="2510">
        <f t="array" ref="J564">SUM(J$382:J$394/$M$133:$M$145*($B564=$F$132:$N$132)*($F$133:$N$145))</f>
        <v>3.824357142857143</v>
      </c>
      <c r="K564" s="2510">
        <f t="array" ref="K564">SUM(K$382:K$394/$M$133:$M$145*($B564=$F$132:$N$132)*($F$133:$N$145))</f>
        <v>5.3286428571428575</v>
      </c>
      <c r="L564" s="2510">
        <f t="array" ref="L564">SUM(L$382:L$394/$M$133:$M$145*($B564=$F$132:$N$132)*($F$133:$N$145))</f>
        <v>6.9476785714285718</v>
      </c>
      <c r="M564" s="2510">
        <f t="array" ref="M564">SUM(M$382:M$394/$M$133:$M$145*($B564=$F$132:$N$132)*($F$133:$N$145))</f>
        <v>8.6814642857142861</v>
      </c>
      <c r="N564" s="2510">
        <f t="array" ref="N564">SUM(N$382:N$394/$M$133:$M$145*($B564=$F$132:$N$132)*($F$133:$N$145))</f>
        <v>10.53</v>
      </c>
      <c r="O564" s="3611" t="s">
        <v>5</v>
      </c>
      <c r="W564" s="374"/>
      <c r="X564" s="374"/>
      <c r="Y564" s="374"/>
    </row>
    <row r="565" spans="2:25" s="6" customFormat="1">
      <c r="B565" s="382" t="s">
        <v>98</v>
      </c>
      <c r="C565" s="6" t="s">
        <v>88</v>
      </c>
      <c r="D565"/>
      <c r="E565" s="3834"/>
      <c r="F565" s="2510">
        <f t="array" ref="F565">SUM(F$382:F$394/$M$133:$M$145*($B565=$F$132:$N$132)*($F$133:$N$145))</f>
        <v>-0.28034482758620688</v>
      </c>
      <c r="G565" s="2510">
        <f t="array" ref="G565">SUM(G$382:G$394/$M$133:$M$145*($B565=$F$132:$N$132)*($F$133:$N$145))</f>
        <v>-0.28793103448275864</v>
      </c>
      <c r="H565" s="2510">
        <f t="array" ref="H565">SUM(H$382:H$394/$M$133:$M$145*($B565=$F$132:$N$132)*($F$133:$N$145))</f>
        <v>-0.26667487684729069</v>
      </c>
      <c r="I565" s="2510">
        <f t="array" ref="I565">SUM(I$382:I$394/$M$133:$M$145*($B565=$F$132:$N$132)*($F$133:$N$145))</f>
        <v>-0.2332204433497537</v>
      </c>
      <c r="J565" s="2510">
        <f t="array" ref="J565">SUM(J$382:J$394/$M$133:$M$145*($B565=$F$132:$N$132)*($F$133:$N$145))</f>
        <v>-0.19536945812807882</v>
      </c>
      <c r="K565" s="2510">
        <f t="array" ref="K565">SUM(K$382:K$394/$M$133:$M$145*($B565=$F$132:$N$132)*($F$133:$N$145))</f>
        <v>-0.15312192118226603</v>
      </c>
      <c r="L565" s="2510">
        <f t="array" ref="L565">SUM(L$382:L$394/$M$133:$M$145*($B565=$F$132:$N$132)*($F$133:$N$145))</f>
        <v>-0.1064778325123153</v>
      </c>
      <c r="M565" s="2510">
        <f t="array" ref="M565">SUM(M$382:M$394/$M$133:$M$145*($B565=$F$132:$N$132)*($F$133:$N$145))</f>
        <v>-5.5437192118226626E-2</v>
      </c>
      <c r="N565" s="2510">
        <f t="array" ref="N565">SUM(N$382:N$394/$M$133:$M$145*($B565=$F$132:$N$132)*($F$133:$N$145))</f>
        <v>0</v>
      </c>
      <c r="O565"/>
      <c r="W565" s="374"/>
      <c r="X565" s="374"/>
      <c r="Y565" s="374"/>
    </row>
    <row r="566" spans="2:25" s="6" customFormat="1">
      <c r="B566" s="382" t="s">
        <v>99</v>
      </c>
      <c r="C566" s="6" t="s">
        <v>89</v>
      </c>
      <c r="D566"/>
      <c r="E566" s="3834"/>
      <c r="F566" s="2510">
        <f t="array" ref="F566">SUM(F$382:F$394/$M$133:$M$145*($B566=$F$132:$N$132)*($F$133:$N$145))</f>
        <v>-1.9277319587628869</v>
      </c>
      <c r="G566" s="2510">
        <f t="array" ref="G566">SUM(G$382:G$394/$M$133:$M$145*($B566=$F$132:$N$132)*($F$133:$N$145))</f>
        <v>-1.9798969072164949</v>
      </c>
      <c r="H566" s="2510">
        <f t="array" ref="H566">SUM(H$382:H$394/$M$133:$M$145*($B566=$F$132:$N$132)*($F$133:$N$145))</f>
        <v>-1.8337334315169369</v>
      </c>
      <c r="I566" s="2510">
        <f t="array" ref="I566">SUM(I$382:I$394/$M$133:$M$145*($B566=$F$132:$N$132)*($F$133:$N$145))</f>
        <v>-1.603691089837997</v>
      </c>
      <c r="J566" s="2510">
        <f t="array" ref="J566">SUM(J$382:J$394/$M$133:$M$145*($B566=$F$132:$N$132)*($F$133:$N$145))</f>
        <v>-1.3434167893961706</v>
      </c>
      <c r="K566" s="2510">
        <f t="array" ref="K566">SUM(K$382:K$394/$M$133:$M$145*($B566=$F$132:$N$132)*($F$133:$N$145))</f>
        <v>-1.0529105301914581</v>
      </c>
      <c r="L566" s="2510">
        <f t="array" ref="L566">SUM(L$382:L$394/$M$133:$M$145*($B566=$F$132:$N$132)*($F$133:$N$145))</f>
        <v>-0.73217231222385837</v>
      </c>
      <c r="M566" s="2510">
        <f t="array" ref="M566">SUM(M$382:M$394/$M$133:$M$145*($B566=$F$132:$N$132)*($F$133:$N$145))</f>
        <v>-0.38120213549337245</v>
      </c>
      <c r="N566" s="2510">
        <f t="array" ref="N566">SUM(N$382:N$394/$M$133:$M$145*($B566=$F$132:$N$132)*($F$133:$N$145))</f>
        <v>0</v>
      </c>
      <c r="O566"/>
      <c r="W566" s="374"/>
      <c r="X566" s="374"/>
      <c r="Y566" s="374"/>
    </row>
    <row r="567" spans="2:25" s="6" customFormat="1">
      <c r="B567" s="382" t="s">
        <v>100</v>
      </c>
      <c r="C567" s="6" t="s">
        <v>90</v>
      </c>
      <c r="D567"/>
      <c r="E567" s="3834"/>
      <c r="F567" s="2510">
        <f t="array" ref="F567">SUM(F$382:F$394/$M$133:$M$145*($B567=$F$132:$N$132)*($F$133:$N$145))</f>
        <v>-4.1943088490456919</v>
      </c>
      <c r="G567" s="2510">
        <f t="array" ref="G567">SUM(G$382:G$394/$M$133:$M$145*($B567=$F$132:$N$132)*($F$133:$N$145))</f>
        <v>-4.3078079814921919</v>
      </c>
      <c r="H567" s="2510">
        <f t="array" ref="H567">SUM(H$382:H$394/$M$133:$M$145*($B567=$F$132:$N$132)*($F$133:$N$145))</f>
        <v>-6.5690628563166165</v>
      </c>
      <c r="I567" s="2510">
        <f t="array" ref="I567">SUM(I$382:I$394/$M$133:$M$145*($B567=$F$132:$N$132)*($F$133:$N$145))</f>
        <v>-8.9029563951086512</v>
      </c>
      <c r="J567" s="2510">
        <f t="array" ref="J567">SUM(J$382:J$394/$M$133:$M$145*($B567=$F$132:$N$132)*($F$133:$N$145))</f>
        <v>-11.426212137486573</v>
      </c>
      <c r="K567" s="2510">
        <f t="array" ref="K567">SUM(K$382:K$394/$M$133:$M$145*($B567=$F$132:$N$132)*($F$133:$N$145))</f>
        <v>-14.138830083450385</v>
      </c>
      <c r="L567" s="2510">
        <f t="array" ref="L567">SUM(L$382:L$394/$M$133:$M$145*($B567=$F$132:$N$132)*($F$133:$N$145))</f>
        <v>-17.040810233000084</v>
      </c>
      <c r="M567" s="2510">
        <f t="array" ref="M567">SUM(M$382:M$394/$M$133:$M$145*($B567=$F$132:$N$132)*($F$133:$N$145))</f>
        <v>-20.132152586135668</v>
      </c>
      <c r="N567" s="2510">
        <f t="array" ref="N567">SUM(N$382:N$394/$M$133:$M$145*($B567=$F$132:$N$132)*($F$133:$N$145))</f>
        <v>-23.412857142857142</v>
      </c>
      <c r="O567"/>
      <c r="W567" s="374"/>
      <c r="X567" s="374"/>
      <c r="Y567" s="374"/>
    </row>
    <row r="568" spans="2:25" s="6" customFormat="1">
      <c r="B568" s="382" t="s">
        <v>101</v>
      </c>
      <c r="C568" s="6" t="s">
        <v>91</v>
      </c>
      <c r="D568"/>
      <c r="E568" s="3834"/>
      <c r="F568" s="2510">
        <f t="array" ref="F568">SUM(F$382:F$394/$M$133:$M$145*($B568=$F$132:$N$132)*($F$133:$N$145))</f>
        <v>0</v>
      </c>
      <c r="G568" s="2510">
        <f t="array" ref="G568">SUM(G$382:G$394/$M$133:$M$145*($B568=$F$132:$N$132)*($F$133:$N$145))</f>
        <v>0</v>
      </c>
      <c r="H568" s="2510">
        <f t="array" ref="H568">SUM(H$382:H$394/$M$133:$M$145*($B568=$F$132:$N$132)*($F$133:$N$145))</f>
        <v>0</v>
      </c>
      <c r="I568" s="2510">
        <f t="array" ref="I568">SUM(I$382:I$394/$M$133:$M$145*($B568=$F$132:$N$132)*($F$133:$N$145))</f>
        <v>0</v>
      </c>
      <c r="J568" s="2510">
        <f t="array" ref="J568">SUM(J$382:J$394/$M$133:$M$145*($B568=$F$132:$N$132)*($F$133:$N$145))</f>
        <v>0</v>
      </c>
      <c r="K568" s="2510">
        <f t="array" ref="K568">SUM(K$382:K$394/$M$133:$M$145*($B568=$F$132:$N$132)*($F$133:$N$145))</f>
        <v>0</v>
      </c>
      <c r="L568" s="2510">
        <f t="array" ref="L568">SUM(L$382:L$394/$M$133:$M$145*($B568=$F$132:$N$132)*($F$133:$N$145))</f>
        <v>0</v>
      </c>
      <c r="M568" s="2510">
        <f t="array" ref="M568">SUM(M$382:M$394/$M$133:$M$145*($B568=$F$132:$N$132)*($F$133:$N$145))</f>
        <v>0</v>
      </c>
      <c r="N568" s="2510">
        <f t="array" ref="N568">SUM(N$382:N$394/$M$133:$M$145*($B568=$F$132:$N$132)*($F$133:$N$145))</f>
        <v>0</v>
      </c>
      <c r="O568"/>
      <c r="W568" s="374"/>
      <c r="X568" s="374"/>
      <c r="Y568" s="374"/>
    </row>
    <row r="569" spans="2:25" s="6" customFormat="1">
      <c r="B569" s="382" t="s">
        <v>102</v>
      </c>
      <c r="C569" s="6" t="s">
        <v>92</v>
      </c>
      <c r="D569"/>
      <c r="E569" s="3834"/>
      <c r="F569" s="2510">
        <f t="array" ref="F569">SUM(F$382:F$394/$M$133:$M$145*($B569=$F$132:$N$132)*($F$133:$N$145))</f>
        <v>-5.1188888888888895E-2</v>
      </c>
      <c r="G569" s="2510">
        <f t="array" ref="G569">SUM(G$382:G$394/$M$133:$M$145*($B569=$F$132:$N$132)*($F$133:$N$145))</f>
        <v>-5.2574074074074079E-2</v>
      </c>
      <c r="H569" s="2510">
        <f t="array" ref="H569">SUM(H$382:H$394/$M$133:$M$145*($B569=$F$132:$N$132)*($F$133:$N$145))</f>
        <v>-4.8692857142857156E-2</v>
      </c>
      <c r="I569" s="2510">
        <f t="array" ref="I569">SUM(I$382:I$394/$M$133:$M$145*($B569=$F$132:$N$132)*($F$133:$N$145))</f>
        <v>-4.2584325396825405E-2</v>
      </c>
      <c r="J569" s="2510">
        <f t="array" ref="J569">SUM(J$382:J$394/$M$133:$M$145*($B569=$F$132:$N$132)*($F$133:$N$145))</f>
        <v>-3.5673015873015884E-2</v>
      </c>
      <c r="K569" s="2510">
        <f t="array" ref="K569">SUM(K$382:K$394/$M$133:$M$145*($B569=$F$132:$N$132)*($F$133:$N$145))</f>
        <v>-2.7958928571428579E-2</v>
      </c>
      <c r="L569" s="2510">
        <f t="array" ref="L569">SUM(L$382:L$394/$M$133:$M$145*($B569=$F$132:$N$132)*($F$133:$N$145))</f>
        <v>-1.94420634920635E-2</v>
      </c>
      <c r="M569" s="2510">
        <f t="array" ref="M569">SUM(M$382:M$394/$M$133:$M$145*($B569=$F$132:$N$132)*($F$133:$N$145))</f>
        <v>-1.0122420634920644E-2</v>
      </c>
      <c r="N569" s="2510">
        <f t="array" ref="N569">SUM(N$382:N$394/$M$133:$M$145*($B569=$F$132:$N$132)*($F$133:$N$145))</f>
        <v>0</v>
      </c>
      <c r="O569"/>
      <c r="W569" s="374"/>
      <c r="X569" s="374"/>
      <c r="Y569" s="374"/>
    </row>
    <row r="570" spans="2:25" s="6" customFormat="1">
      <c r="B570" s="382" t="s">
        <v>103</v>
      </c>
      <c r="C570" s="6" t="s">
        <v>93</v>
      </c>
      <c r="D570"/>
      <c r="E570" s="3834"/>
      <c r="F570" s="2510">
        <f t="array" ref="F570">SUM(F$382:F$394/$M$133:$M$145*($B570=$F$132:$N$132)*($F$133:$N$145))</f>
        <v>8.1300000000000008</v>
      </c>
      <c r="G570" s="2510">
        <f t="array" ref="G570">SUM(G$382:G$394/$M$133:$M$145*($B570=$F$132:$N$132)*($F$133:$N$145))</f>
        <v>8.3500000000000014</v>
      </c>
      <c r="H570" s="2510">
        <f t="array" ref="H570">SUM(H$382:H$394/$M$133:$M$145*($B570=$F$132:$N$132)*($F$133:$N$145))</f>
        <v>9.0237889285714292</v>
      </c>
      <c r="I570" s="2510">
        <f t="array" ref="I570">SUM(I$382:I$394/$M$133:$M$145*($B570=$F$132:$N$132)*($F$133:$N$145))</f>
        <v>9.4714553571428564</v>
      </c>
      <c r="J570" s="2510">
        <f t="array" ref="J570">SUM(J$382:J$394/$M$133:$M$145*($B570=$F$132:$N$132)*($F$133:$N$145))</f>
        <v>9.9192492857142831</v>
      </c>
      <c r="K570" s="2510">
        <f t="array" ref="K570">SUM(K$382:K$394/$M$133:$M$145*($B570=$F$132:$N$132)*($F$133:$N$145))</f>
        <v>10.367170714285713</v>
      </c>
      <c r="L570" s="2510">
        <f t="array" ref="L570">SUM(L$382:L$394/$M$133:$M$145*($B570=$F$132:$N$132)*($F$133:$N$145))</f>
        <v>10.815219642857141</v>
      </c>
      <c r="M570" s="2510">
        <f t="array" ref="M570">SUM(M$382:M$394/$M$133:$M$145*($B570=$F$132:$N$132)*($F$133:$N$145))</f>
        <v>11.263396071428572</v>
      </c>
      <c r="N570" s="2510">
        <f t="array" ref="N570">SUM(N$382:N$394/$M$133:$M$145*($B570=$F$132:$N$132)*($F$133:$N$145))</f>
        <v>11.711699999999999</v>
      </c>
      <c r="O570"/>
      <c r="W570" s="374"/>
      <c r="X570" s="374"/>
      <c r="Y570" s="374"/>
    </row>
    <row r="571" spans="2:25" s="6" customFormat="1">
      <c r="B571" s="382" t="s">
        <v>104</v>
      </c>
      <c r="C571" s="6" t="s">
        <v>94</v>
      </c>
      <c r="D571"/>
      <c r="E571" s="3834"/>
      <c r="F571" s="2510">
        <f t="array" ref="F571">SUM(F$382:F$394/$M$133:$M$145*($B571=$F$132:$N$132)*($F$133:$N$145))</f>
        <v>0.79268563539478476</v>
      </c>
      <c r="G571" s="2510">
        <f t="array" ref="G571">SUM(G$382:G$394/$M$133:$M$145*($B571=$F$132:$N$132)*($F$133:$N$145))</f>
        <v>0.81413592319144534</v>
      </c>
      <c r="H571" s="2510">
        <f t="array" ref="H571">SUM(H$382:H$394/$M$133:$M$145*($B571=$F$132:$N$132)*($F$133:$N$145))</f>
        <v>1.0119465218237003</v>
      </c>
      <c r="I571" s="2510">
        <f t="array" ref="I571">SUM(I$382:I$394/$M$133:$M$145*($B571=$F$132:$N$132)*($F$133:$N$145))</f>
        <v>1.2007786425821159</v>
      </c>
      <c r="J571" s="2510">
        <f t="array" ref="J571">SUM(J$382:J$394/$M$133:$M$145*($B571=$F$132:$N$132)*($F$133:$N$145))</f>
        <v>1.4026919564393947</v>
      </c>
      <c r="K571" s="2510">
        <f t="array" ref="K571">SUM(K$382:K$394/$M$133:$M$145*($B571=$F$132:$N$132)*($F$133:$N$145))</f>
        <v>1.617686463395537</v>
      </c>
      <c r="L571" s="2510">
        <f t="array" ref="L571">SUM(L$382:L$394/$M$133:$M$145*($B571=$F$132:$N$132)*($F$133:$N$145))</f>
        <v>1.8457621634505421</v>
      </c>
      <c r="M571" s="2510">
        <f t="array" ref="M571">SUM(M$382:M$394/$M$133:$M$145*($B571=$F$132:$N$132)*($F$133:$N$145))</f>
        <v>2.0869190566044109</v>
      </c>
      <c r="N571" s="2510">
        <f t="array" ref="N571">SUM(N$382:N$394/$M$133:$M$145*($B571=$F$132:$N$132)*($F$133:$N$145))</f>
        <v>2.3411571428571429</v>
      </c>
      <c r="O571"/>
      <c r="W571" s="374"/>
      <c r="X571" s="374"/>
      <c r="Y571" s="374"/>
    </row>
    <row r="572" spans="2:25" s="6" customFormat="1">
      <c r="B572" s="382"/>
      <c r="D572"/>
      <c r="E572" s="3834" t="str">
        <f>Preferences.EnergyUnits</f>
        <v>TWh</v>
      </c>
      <c r="F572" s="3617">
        <f t="shared" ref="F572:N572" si="75">SUM(F563:F571)</f>
        <v>-1.4432899320127035E-15</v>
      </c>
      <c r="G572" s="3617">
        <f t="shared" si="75"/>
        <v>0</v>
      </c>
      <c r="H572" s="3617">
        <f t="shared" si="75"/>
        <v>0</v>
      </c>
      <c r="I572" s="3617">
        <f t="shared" si="75"/>
        <v>0</v>
      </c>
      <c r="J572" s="3617">
        <f t="shared" si="75"/>
        <v>0</v>
      </c>
      <c r="K572" s="3617">
        <f t="shared" si="75"/>
        <v>-2.6645352591003757E-15</v>
      </c>
      <c r="L572" s="3617">
        <f t="shared" si="75"/>
        <v>0</v>
      </c>
      <c r="M572" s="3617">
        <f t="shared" si="75"/>
        <v>0</v>
      </c>
      <c r="N572" s="3617">
        <f t="shared" si="75"/>
        <v>0</v>
      </c>
      <c r="O572"/>
      <c r="W572" s="374"/>
      <c r="X572" s="374"/>
      <c r="Y572" s="374"/>
    </row>
    <row r="573" spans="2:25" s="6" customFormat="1">
      <c r="B573"/>
      <c r="C573"/>
      <c r="D573"/>
      <c r="E573" s="3834"/>
      <c r="F573" s="374"/>
      <c r="G573"/>
      <c r="H573"/>
      <c r="I573"/>
      <c r="J573"/>
      <c r="K573"/>
      <c r="L573"/>
      <c r="M573"/>
      <c r="N573"/>
      <c r="O573"/>
      <c r="W573" s="374"/>
      <c r="X573" s="374"/>
      <c r="Y573" s="374"/>
    </row>
    <row r="574" spans="2:25" s="6" customFormat="1">
      <c r="B574"/>
      <c r="C574" s="363" t="s">
        <v>283</v>
      </c>
      <c r="D574"/>
      <c r="F574" s="1333">
        <v>2013</v>
      </c>
      <c r="G574" s="1333">
        <v>2015</v>
      </c>
      <c r="H574" s="1333">
        <v>2020</v>
      </c>
      <c r="I574" s="1333">
        <v>2025</v>
      </c>
      <c r="J574" s="1333">
        <v>2030</v>
      </c>
      <c r="K574" s="1333">
        <v>2035</v>
      </c>
      <c r="L574" s="1333">
        <v>2040</v>
      </c>
      <c r="M574" s="1333">
        <v>2045</v>
      </c>
      <c r="N574" s="1333">
        <v>2050</v>
      </c>
      <c r="O574"/>
      <c r="W574" s="374"/>
      <c r="X574" s="374"/>
      <c r="Y574" s="374"/>
    </row>
    <row r="575" spans="2:25" s="6" customFormat="1">
      <c r="B575" s="382" t="s">
        <v>96</v>
      </c>
      <c r="C575" s="6" t="s">
        <v>86</v>
      </c>
      <c r="D575"/>
      <c r="E575" s="3834"/>
      <c r="F575" s="2510">
        <f t="shared" ref="F575:N575" si="76">(F563-F399)*Conversion.to.average.power</f>
        <v>-3.4349887190409501E-4</v>
      </c>
      <c r="G575" s="2510">
        <f t="shared" si="76"/>
        <v>-3.5279404432955372E-4</v>
      </c>
      <c r="H575" s="2510">
        <f t="shared" si="76"/>
        <v>-3.267494540595212E-4</v>
      </c>
      <c r="I575" s="2510">
        <f t="shared" si="76"/>
        <v>-2.857586490372211E-4</v>
      </c>
      <c r="J575" s="2510">
        <f t="shared" si="76"/>
        <v>-2.393808690865768E-4</v>
      </c>
      <c r="K575" s="2510">
        <f t="shared" si="76"/>
        <v>-1.8761611420748691E-4</v>
      </c>
      <c r="L575" s="2510">
        <f t="shared" si="76"/>
        <v>-1.3046438440005283E-4</v>
      </c>
      <c r="M575" s="2510">
        <f t="shared" si="76"/>
        <v>-6.7925679664198522E-5</v>
      </c>
      <c r="N575" s="2510">
        <f t="shared" si="76"/>
        <v>0</v>
      </c>
      <c r="O575"/>
      <c r="W575" s="374"/>
      <c r="X575" s="374"/>
      <c r="Y575" s="374"/>
    </row>
    <row r="576" spans="2:25" s="6" customFormat="1">
      <c r="B576" s="382" t="s">
        <v>97</v>
      </c>
      <c r="C576" s="6" t="s">
        <v>87</v>
      </c>
      <c r="D576"/>
      <c r="E576" s="3834"/>
      <c r="F576" s="2510">
        <f t="shared" ref="F576:N576" si="77">(F564-F400)*Conversion.to.average.power</f>
        <v>0</v>
      </c>
      <c r="G576" s="2510">
        <f t="shared" si="77"/>
        <v>0</v>
      </c>
      <c r="H576" s="2510">
        <f t="shared" si="77"/>
        <v>0</v>
      </c>
      <c r="I576" s="2510">
        <f t="shared" si="77"/>
        <v>0</v>
      </c>
      <c r="J576" s="2510">
        <f t="shared" si="77"/>
        <v>0</v>
      </c>
      <c r="K576" s="2510">
        <f t="shared" si="77"/>
        <v>0</v>
      </c>
      <c r="L576" s="2510">
        <f t="shared" si="77"/>
        <v>0</v>
      </c>
      <c r="M576" s="2510">
        <f t="shared" si="77"/>
        <v>0</v>
      </c>
      <c r="N576" s="2510">
        <f t="shared" si="77"/>
        <v>0</v>
      </c>
      <c r="O576"/>
      <c r="W576" s="374"/>
      <c r="X576" s="374"/>
      <c r="Y576" s="374"/>
    </row>
    <row r="577" spans="2:25" s="6" customFormat="1">
      <c r="B577" s="382" t="s">
        <v>98</v>
      </c>
      <c r="C577" s="6" t="s">
        <v>88</v>
      </c>
      <c r="D577"/>
      <c r="E577" s="3834"/>
      <c r="F577" s="2510">
        <f t="shared" ref="F577:N577" si="78">(F565-F401)*Conversion.to.average.power</f>
        <v>0</v>
      </c>
      <c r="G577" s="2510">
        <f t="shared" si="78"/>
        <v>0</v>
      </c>
      <c r="H577" s="2510">
        <f t="shared" si="78"/>
        <v>0</v>
      </c>
      <c r="I577" s="2510">
        <f t="shared" si="78"/>
        <v>0</v>
      </c>
      <c r="J577" s="2510">
        <f t="shared" si="78"/>
        <v>0</v>
      </c>
      <c r="K577" s="2510">
        <f t="shared" si="78"/>
        <v>0</v>
      </c>
      <c r="L577" s="2510">
        <f t="shared" si="78"/>
        <v>0</v>
      </c>
      <c r="M577" s="2510">
        <f t="shared" si="78"/>
        <v>0</v>
      </c>
      <c r="N577" s="2510">
        <f t="shared" si="78"/>
        <v>0</v>
      </c>
      <c r="O577"/>
      <c r="W577" s="374"/>
      <c r="X577" s="374"/>
      <c r="Y577" s="374"/>
    </row>
    <row r="578" spans="2:25" s="6" customFormat="1">
      <c r="B578" s="382" t="s">
        <v>99</v>
      </c>
      <c r="C578" s="6" t="s">
        <v>89</v>
      </c>
      <c r="D578"/>
      <c r="E578" s="3834"/>
      <c r="F578" s="2510">
        <f t="shared" ref="F578:N578" si="79">(F566-F402)*Conversion.to.average.power</f>
        <v>0</v>
      </c>
      <c r="G578" s="2510">
        <f t="shared" si="79"/>
        <v>0</v>
      </c>
      <c r="H578" s="2510">
        <f t="shared" si="79"/>
        <v>0</v>
      </c>
      <c r="I578" s="2510">
        <f t="shared" si="79"/>
        <v>0</v>
      </c>
      <c r="J578" s="2510">
        <f t="shared" si="79"/>
        <v>0</v>
      </c>
      <c r="K578" s="2510">
        <f t="shared" si="79"/>
        <v>0</v>
      </c>
      <c r="L578" s="2510">
        <f t="shared" si="79"/>
        <v>0</v>
      </c>
      <c r="M578" s="2510">
        <f t="shared" si="79"/>
        <v>0</v>
      </c>
      <c r="N578" s="2510">
        <f t="shared" si="79"/>
        <v>0</v>
      </c>
      <c r="O578"/>
      <c r="W578" s="374"/>
      <c r="X578" s="374"/>
      <c r="Y578" s="374"/>
    </row>
    <row r="579" spans="2:25" s="6" customFormat="1">
      <c r="B579" s="382" t="s">
        <v>100</v>
      </c>
      <c r="C579" s="6" t="s">
        <v>90</v>
      </c>
      <c r="D579"/>
      <c r="E579" s="3834"/>
      <c r="F579" s="2510">
        <f t="shared" ref="F579:N579" si="80">(F567-F403)*Conversion.to.average.power</f>
        <v>0</v>
      </c>
      <c r="G579" s="2510">
        <f t="shared" si="80"/>
        <v>0</v>
      </c>
      <c r="H579" s="2510">
        <f t="shared" si="80"/>
        <v>0</v>
      </c>
      <c r="I579" s="2510">
        <f t="shared" si="80"/>
        <v>0</v>
      </c>
      <c r="J579" s="2510">
        <f t="shared" si="80"/>
        <v>0</v>
      </c>
      <c r="K579" s="2510">
        <f t="shared" si="80"/>
        <v>0</v>
      </c>
      <c r="L579" s="2510">
        <f t="shared" si="80"/>
        <v>0</v>
      </c>
      <c r="M579" s="2510">
        <f t="shared" si="80"/>
        <v>0</v>
      </c>
      <c r="N579" s="2510">
        <f t="shared" si="80"/>
        <v>0</v>
      </c>
      <c r="O579"/>
      <c r="W579" s="374"/>
      <c r="X579" s="374"/>
      <c r="Y579" s="374"/>
    </row>
    <row r="580" spans="2:25" s="6" customFormat="1">
      <c r="B580" s="382" t="s">
        <v>101</v>
      </c>
      <c r="C580" s="6" t="s">
        <v>91</v>
      </c>
      <c r="D580"/>
      <c r="E580" s="3834"/>
      <c r="F580" s="2510">
        <f t="shared" ref="F580:N580" si="81">(F568-F404)*Conversion.to.average.power</f>
        <v>0</v>
      </c>
      <c r="G580" s="2510">
        <f t="shared" si="81"/>
        <v>0</v>
      </c>
      <c r="H580" s="2510">
        <f t="shared" si="81"/>
        <v>0</v>
      </c>
      <c r="I580" s="2510">
        <f t="shared" si="81"/>
        <v>0</v>
      </c>
      <c r="J580" s="2510">
        <f t="shared" si="81"/>
        <v>0</v>
      </c>
      <c r="K580" s="2510">
        <f t="shared" si="81"/>
        <v>0</v>
      </c>
      <c r="L580" s="2510">
        <f t="shared" si="81"/>
        <v>0</v>
      </c>
      <c r="M580" s="2510">
        <f t="shared" si="81"/>
        <v>0</v>
      </c>
      <c r="N580" s="2510">
        <f t="shared" si="81"/>
        <v>0</v>
      </c>
      <c r="O580"/>
      <c r="W580" s="374"/>
      <c r="X580" s="374"/>
      <c r="Y580" s="374"/>
    </row>
    <row r="581" spans="2:25" s="6" customFormat="1">
      <c r="B581" s="382" t="s">
        <v>102</v>
      </c>
      <c r="C581" s="6" t="s">
        <v>92</v>
      </c>
      <c r="D581"/>
      <c r="E581" s="3834"/>
      <c r="F581" s="2510">
        <f t="shared" ref="F581:N581" si="82">(F569-F405)*Conversion.to.average.power</f>
        <v>3.4349887190407365E-4</v>
      </c>
      <c r="G581" s="2510">
        <f t="shared" si="82"/>
        <v>3.5279404432952207E-4</v>
      </c>
      <c r="H581" s="2510">
        <f t="shared" si="82"/>
        <v>3.2674945405951491E-4</v>
      </c>
      <c r="I581" s="2510">
        <f t="shared" si="82"/>
        <v>2.8575864903722506E-4</v>
      </c>
      <c r="J581" s="2510">
        <f t="shared" si="82"/>
        <v>2.3938086908654909E-4</v>
      </c>
      <c r="K581" s="2510">
        <f t="shared" si="82"/>
        <v>1.8761611420749008E-4</v>
      </c>
      <c r="L581" s="2510">
        <f t="shared" si="82"/>
        <v>1.3046438440004492E-4</v>
      </c>
      <c r="M581" s="2510">
        <f t="shared" si="82"/>
        <v>6.7925679664214948E-5</v>
      </c>
      <c r="N581" s="2510">
        <f t="shared" si="82"/>
        <v>0</v>
      </c>
      <c r="O581"/>
      <c r="W581" s="374"/>
      <c r="X581" s="374"/>
      <c r="Y581" s="374"/>
    </row>
    <row r="582" spans="2:25" s="6" customFormat="1">
      <c r="B582" s="382" t="s">
        <v>103</v>
      </c>
      <c r="C582" s="6" t="s">
        <v>93</v>
      </c>
      <c r="D582"/>
      <c r="E582" s="3834"/>
      <c r="F582" s="2510">
        <f t="shared" ref="F582:N582" si="83">(F570-F406)*Conversion.to.average.power</f>
        <v>0</v>
      </c>
      <c r="G582" s="2510">
        <f t="shared" si="83"/>
        <v>0</v>
      </c>
      <c r="H582" s="2510">
        <f t="shared" si="83"/>
        <v>0</v>
      </c>
      <c r="I582" s="2510">
        <f t="shared" si="83"/>
        <v>0</v>
      </c>
      <c r="J582" s="2510">
        <f t="shared" si="83"/>
        <v>0</v>
      </c>
      <c r="K582" s="2510">
        <f t="shared" si="83"/>
        <v>0</v>
      </c>
      <c r="L582" s="2510">
        <f t="shared" si="83"/>
        <v>0</v>
      </c>
      <c r="M582" s="2510">
        <f t="shared" si="83"/>
        <v>0</v>
      </c>
      <c r="N582" s="2510">
        <f t="shared" si="83"/>
        <v>0</v>
      </c>
      <c r="O582"/>
      <c r="W582" s="374"/>
      <c r="X582" s="374"/>
      <c r="Y582" s="374"/>
    </row>
    <row r="583" spans="2:25" s="6" customFormat="1">
      <c r="B583" s="382" t="s">
        <v>104</v>
      </c>
      <c r="C583" s="6" t="s">
        <v>94</v>
      </c>
      <c r="D583"/>
      <c r="E583" s="3834"/>
      <c r="F583" s="2510">
        <f t="shared" ref="F583:N583" si="84">(F571-F407)*Conversion.to.average.power</f>
        <v>0</v>
      </c>
      <c r="G583" s="2510">
        <f t="shared" si="84"/>
        <v>0</v>
      </c>
      <c r="H583" s="2510">
        <f t="shared" si="84"/>
        <v>0</v>
      </c>
      <c r="I583" s="2510">
        <f t="shared" si="84"/>
        <v>0</v>
      </c>
      <c r="J583" s="2510">
        <f t="shared" si="84"/>
        <v>0</v>
      </c>
      <c r="K583" s="2510">
        <f t="shared" si="84"/>
        <v>0</v>
      </c>
      <c r="L583" s="2510">
        <f t="shared" si="84"/>
        <v>0</v>
      </c>
      <c r="M583" s="2510">
        <f t="shared" si="84"/>
        <v>0</v>
      </c>
      <c r="N583" s="2510">
        <f t="shared" si="84"/>
        <v>0</v>
      </c>
      <c r="O583"/>
      <c r="W583" s="374"/>
      <c r="X583" s="374"/>
      <c r="Y583" s="374"/>
    </row>
    <row r="584" spans="2:25" s="6" customFormat="1">
      <c r="B584" s="382"/>
      <c r="D584"/>
      <c r="E584" s="3834" t="str">
        <f>Preferences.PowerUnits</f>
        <v>GW</v>
      </c>
      <c r="F584" s="3617">
        <f t="shared" ref="F584:N584" si="85">SUM(F575:F583)</f>
        <v>-2.1358782797964437E-17</v>
      </c>
      <c r="G584" s="3617">
        <f t="shared" si="85"/>
        <v>-3.1658703436576729E-17</v>
      </c>
      <c r="H584" s="3617">
        <f t="shared" si="85"/>
        <v>-6.2883726004159257E-18</v>
      </c>
      <c r="I584" s="3617">
        <f t="shared" si="85"/>
        <v>3.9573379295720912E-18</v>
      </c>
      <c r="J584" s="3617">
        <f t="shared" si="85"/>
        <v>-2.7701365507004638E-17</v>
      </c>
      <c r="K584" s="3617">
        <f t="shared" si="85"/>
        <v>3.1712913545201005E-18</v>
      </c>
      <c r="L584" s="3617">
        <f t="shared" si="85"/>
        <v>-7.9146758591441824E-18</v>
      </c>
      <c r="M584" s="3617">
        <f t="shared" si="85"/>
        <v>1.6425662913155392E-17</v>
      </c>
      <c r="N584" s="3617">
        <f t="shared" si="85"/>
        <v>0</v>
      </c>
      <c r="O584"/>
      <c r="W584" s="374"/>
      <c r="X584" s="374"/>
      <c r="Y584" s="374"/>
    </row>
    <row r="585" spans="2:25" s="6" customFormat="1">
      <c r="B585"/>
      <c r="C585"/>
      <c r="D585"/>
      <c r="E585" s="3834"/>
      <c r="F585" s="374"/>
      <c r="G585"/>
      <c r="H585"/>
      <c r="I585"/>
      <c r="J585"/>
      <c r="K585"/>
      <c r="L585"/>
      <c r="M585"/>
      <c r="N585"/>
      <c r="O585"/>
      <c r="W585" s="374"/>
      <c r="X585" s="374"/>
      <c r="Y585" s="374"/>
    </row>
    <row r="586" spans="2:25" s="6" customFormat="1">
      <c r="B586"/>
      <c r="C586" t="s">
        <v>284</v>
      </c>
      <c r="D586"/>
      <c r="E586" s="1334" t="str">
        <f>Preferences.PowerUnits&amp;"e"</f>
        <v>GWe</v>
      </c>
      <c r="F586" s="2510">
        <f t="shared" ref="F586:N586" si="86">-SUM(F551:F552)-SUM(F575:F576)+F536</f>
        <v>-4.5196719649149467E-2</v>
      </c>
      <c r="G586" s="2510">
        <f t="shared" si="86"/>
        <v>-5.4309791196626649E-2</v>
      </c>
      <c r="H586" s="2510">
        <f t="shared" si="86"/>
        <v>-6.2329291744076129E-2</v>
      </c>
      <c r="I586" s="2510">
        <f t="shared" si="86"/>
        <v>-6.6183627036638673E-2</v>
      </c>
      <c r="J586" s="2510">
        <f t="shared" si="86"/>
        <v>-6.8143512633587894E-2</v>
      </c>
      <c r="K586" s="2510">
        <f t="shared" si="86"/>
        <v>-6.8208948534923916E-2</v>
      </c>
      <c r="L586" s="2510">
        <f t="shared" si="86"/>
        <v>-6.6379934740646573E-2</v>
      </c>
      <c r="M586" s="2510">
        <f t="shared" si="86"/>
        <v>-6.2656471250756005E-2</v>
      </c>
      <c r="N586" s="2510">
        <f t="shared" si="86"/>
        <v>-5.7038558065252098E-2</v>
      </c>
      <c r="O586"/>
      <c r="W586" s="374"/>
      <c r="X586" s="374"/>
      <c r="Y586" s="374"/>
    </row>
    <row r="587" spans="2:25" s="6" customFormat="1">
      <c r="B587"/>
      <c r="C587"/>
      <c r="D587"/>
      <c r="E587" s="3834"/>
      <c r="F587" s="374"/>
      <c r="G587"/>
      <c r="H587"/>
      <c r="I587"/>
      <c r="J587"/>
      <c r="K587"/>
      <c r="L587"/>
      <c r="M587"/>
      <c r="N587"/>
      <c r="O587"/>
      <c r="W587" s="374"/>
      <c r="X587" s="374"/>
      <c r="Y587" s="374"/>
    </row>
    <row r="588" spans="2:25" s="6" customFormat="1">
      <c r="B588" s="363" t="s">
        <v>272</v>
      </c>
      <c r="C588" s="363" t="s">
        <v>986</v>
      </c>
      <c r="D588"/>
      <c r="E588" s="3834"/>
      <c r="F588" s="374"/>
      <c r="G588"/>
      <c r="H588"/>
      <c r="I588"/>
      <c r="J588"/>
      <c r="K588"/>
      <c r="L588"/>
      <c r="M588"/>
      <c r="N588"/>
      <c r="O588"/>
      <c r="W588" s="374"/>
      <c r="X588" s="374"/>
      <c r="Y588" s="374"/>
    </row>
    <row r="589" spans="2:25" s="6" customFormat="1">
      <c r="B589"/>
      <c r="C589"/>
      <c r="D589"/>
      <c r="E589" s="3834"/>
      <c r="F589" s="1333">
        <v>2013</v>
      </c>
      <c r="G589" s="1333">
        <v>2015</v>
      </c>
      <c r="H589" s="1333">
        <v>2020</v>
      </c>
      <c r="I589" s="1333">
        <v>2025</v>
      </c>
      <c r="J589" s="1333">
        <v>2030</v>
      </c>
      <c r="K589" s="1333">
        <v>2035</v>
      </c>
      <c r="L589" s="1333">
        <v>2040</v>
      </c>
      <c r="M589" s="1333">
        <v>2045</v>
      </c>
      <c r="N589" s="1333">
        <v>2050</v>
      </c>
      <c r="O589"/>
      <c r="W589" s="374"/>
      <c r="X589" s="374"/>
      <c r="Y589" s="374"/>
    </row>
    <row r="590" spans="2:25" s="6" customFormat="1">
      <c r="B590"/>
      <c r="C590" t="s">
        <v>285</v>
      </c>
      <c r="D590"/>
      <c r="E590" s="3834" t="str">
        <f>Preferences.PowerUnits&amp;"th/degree"</f>
        <v>GWth/degree</v>
      </c>
      <c r="F590" s="2510">
        <f t="shared" ref="F590:N590" si="87">$E$86*(F381/F31)</f>
        <v>1</v>
      </c>
      <c r="G590" s="2510">
        <f t="shared" si="87"/>
        <v>1</v>
      </c>
      <c r="H590" s="2510">
        <f t="shared" si="87"/>
        <v>1</v>
      </c>
      <c r="I590" s="2510">
        <f t="shared" si="87"/>
        <v>1</v>
      </c>
      <c r="J590" s="2510">
        <f t="shared" si="87"/>
        <v>1</v>
      </c>
      <c r="K590" s="2510">
        <f t="shared" si="87"/>
        <v>1</v>
      </c>
      <c r="L590" s="2510">
        <f t="shared" si="87"/>
        <v>1</v>
      </c>
      <c r="M590" s="2510">
        <f t="shared" si="87"/>
        <v>1</v>
      </c>
      <c r="N590" s="2510">
        <f t="shared" si="87"/>
        <v>1</v>
      </c>
      <c r="O590"/>
      <c r="W590" s="374"/>
      <c r="X590" s="374"/>
      <c r="Y590" s="374"/>
    </row>
    <row r="591" spans="2:25" s="6" customFormat="1">
      <c r="B591"/>
      <c r="C591"/>
      <c r="D591"/>
      <c r="E591" s="3834"/>
      <c r="F591" s="374"/>
      <c r="G591"/>
      <c r="H591"/>
      <c r="I591"/>
      <c r="J591"/>
      <c r="K591"/>
      <c r="L591"/>
      <c r="M591"/>
      <c r="N591"/>
      <c r="O591"/>
      <c r="W591" s="374"/>
      <c r="X591" s="374"/>
      <c r="Y591" s="374"/>
    </row>
    <row r="592" spans="2:25" s="6" customFormat="1">
      <c r="B592"/>
      <c r="C592" s="363" t="s">
        <v>278</v>
      </c>
      <c r="D592"/>
      <c r="E592" s="3834"/>
      <c r="F592" s="1333">
        <v>2013</v>
      </c>
      <c r="G592" s="1333">
        <v>2015</v>
      </c>
      <c r="H592" s="1333">
        <v>2020</v>
      </c>
      <c r="I592" s="1333">
        <v>2025</v>
      </c>
      <c r="J592" s="1333">
        <v>2030</v>
      </c>
      <c r="K592" s="1333">
        <v>2035</v>
      </c>
      <c r="L592" s="1333">
        <v>2040</v>
      </c>
      <c r="M592" s="1333">
        <v>2045</v>
      </c>
      <c r="N592" s="1333">
        <v>2050</v>
      </c>
      <c r="O592"/>
      <c r="W592" s="374"/>
      <c r="X592" s="374"/>
      <c r="Y592" s="374"/>
    </row>
    <row r="593" spans="2:25" s="6" customFormat="1">
      <c r="B593">
        <v>1</v>
      </c>
      <c r="C593" t="s">
        <v>46</v>
      </c>
      <c r="D593" s="382"/>
      <c r="E593" s="3834"/>
      <c r="F593" s="2379">
        <f t="array" ref="F593:F605">F$590*E$317:E$329</f>
        <v>0.2</v>
      </c>
      <c r="G593" s="2379">
        <f t="array" ref="G593:G605">G$590*F$317:F$329</f>
        <v>0.2</v>
      </c>
      <c r="H593" s="2379">
        <f t="array" ref="H593:H605">H$590*G$317:G$329</f>
        <v>0.17142857142857143</v>
      </c>
      <c r="I593" s="2379">
        <f t="array" ref="I593:I605">I$590*H$317:H$329</f>
        <v>0.14285714285714285</v>
      </c>
      <c r="J593" s="2379">
        <f t="array" ref="J593:J605">J$590*I$317:I$329</f>
        <v>0.11428571428571427</v>
      </c>
      <c r="K593" s="2379">
        <f t="array" ref="K593:K605">K$590*J$317:J$329</f>
        <v>8.5714285714285687E-2</v>
      </c>
      <c r="L593" s="2379">
        <f t="array" ref="L593:L605">L$590*K$317:K$329</f>
        <v>5.7142857142857113E-2</v>
      </c>
      <c r="M593" s="2379">
        <f t="array" ref="M593:M605">M$590*L$317:L$329</f>
        <v>2.8571428571428539E-2</v>
      </c>
      <c r="N593" s="2379">
        <f t="array" ref="N593:N605">N$590*M$317:M$329</f>
        <v>0</v>
      </c>
      <c r="O593"/>
      <c r="W593" s="374"/>
      <c r="X593" s="374"/>
      <c r="Y593" s="374"/>
    </row>
    <row r="594" spans="2:25" s="6" customFormat="1">
      <c r="B594">
        <v>2</v>
      </c>
      <c r="C594" t="s">
        <v>47</v>
      </c>
      <c r="D594" s="382"/>
      <c r="E594" s="3834"/>
      <c r="F594" s="2379">
        <v>0.23</v>
      </c>
      <c r="G594" s="2379">
        <v>0.23</v>
      </c>
      <c r="H594" s="2379">
        <v>0.19728571428571429</v>
      </c>
      <c r="I594" s="2379">
        <v>0.16457142857142856</v>
      </c>
      <c r="J594" s="2379">
        <v>0.13185714285714284</v>
      </c>
      <c r="K594" s="2379">
        <v>9.9142857142857116E-2</v>
      </c>
      <c r="L594" s="2379">
        <v>6.6428571428571392E-2</v>
      </c>
      <c r="M594" s="2379">
        <v>3.3714285714285676E-2</v>
      </c>
      <c r="N594" s="2379">
        <v>1E-3</v>
      </c>
      <c r="O594"/>
      <c r="W594" s="374"/>
      <c r="X594" s="374"/>
      <c r="Y594" s="374"/>
    </row>
    <row r="595" spans="2:25" s="6" customFormat="1">
      <c r="B595" s="363">
        <v>3</v>
      </c>
      <c r="C595" t="s">
        <v>48</v>
      </c>
      <c r="D595" s="382"/>
      <c r="E595" s="3834"/>
      <c r="F595" s="2379">
        <v>0.3</v>
      </c>
      <c r="G595" s="2379">
        <v>0.3</v>
      </c>
      <c r="H595" s="2379">
        <v>0.27142857142857141</v>
      </c>
      <c r="I595" s="2379">
        <v>0.24285714285714283</v>
      </c>
      <c r="J595" s="2379">
        <v>0.21428571428571425</v>
      </c>
      <c r="K595" s="2379">
        <v>0.18571428571428567</v>
      </c>
      <c r="L595" s="2379">
        <v>0.15714285714285708</v>
      </c>
      <c r="M595" s="2379">
        <v>0.1285714285714285</v>
      </c>
      <c r="N595" s="2379">
        <v>0.1</v>
      </c>
      <c r="O595"/>
      <c r="W595" s="374"/>
      <c r="X595" s="374"/>
      <c r="Y595" s="374"/>
    </row>
    <row r="596" spans="2:25" s="6" customFormat="1">
      <c r="B596">
        <v>4</v>
      </c>
      <c r="C596" t="s">
        <v>49</v>
      </c>
      <c r="D596" s="382"/>
      <c r="E596" s="3834"/>
      <c r="F596" s="2379">
        <v>0.23</v>
      </c>
      <c r="G596" s="2379">
        <v>0.23</v>
      </c>
      <c r="H596" s="2379">
        <v>0.19714285714285715</v>
      </c>
      <c r="I596" s="2379">
        <v>0.16428571428571428</v>
      </c>
      <c r="J596" s="2379">
        <v>0.13142857142857142</v>
      </c>
      <c r="K596" s="2379">
        <v>9.857142857142856E-2</v>
      </c>
      <c r="L596" s="2379">
        <v>6.5714285714285697E-2</v>
      </c>
      <c r="M596" s="2379">
        <v>3.2857142857142842E-2</v>
      </c>
      <c r="N596" s="2379">
        <v>0</v>
      </c>
      <c r="O596"/>
      <c r="W596" s="374"/>
      <c r="X596" s="374"/>
      <c r="Y596" s="374"/>
    </row>
    <row r="597" spans="2:25" s="6" customFormat="1">
      <c r="B597">
        <v>5</v>
      </c>
      <c r="C597" t="s">
        <v>50</v>
      </c>
      <c r="D597" s="382"/>
      <c r="E597" s="3834"/>
      <c r="F597" s="2379">
        <v>0.03</v>
      </c>
      <c r="G597" s="2379">
        <v>0.03</v>
      </c>
      <c r="H597" s="2379">
        <v>2.5714285714285714E-2</v>
      </c>
      <c r="I597" s="2379">
        <v>2.1428571428571429E-2</v>
      </c>
      <c r="J597" s="2379">
        <v>1.7142857142857144E-2</v>
      </c>
      <c r="K597" s="2379">
        <v>1.2857142857142859E-2</v>
      </c>
      <c r="L597" s="2379">
        <v>8.5714285714285736E-3</v>
      </c>
      <c r="M597" s="2379">
        <v>4.2857142857142877E-3</v>
      </c>
      <c r="N597" s="2379">
        <v>0</v>
      </c>
      <c r="O597"/>
      <c r="W597" s="374"/>
      <c r="X597" s="374"/>
      <c r="Y597" s="374"/>
    </row>
    <row r="598" spans="2:25" s="6" customFormat="1">
      <c r="B598">
        <v>6</v>
      </c>
      <c r="C598" t="s">
        <v>51</v>
      </c>
      <c r="D598" s="382"/>
      <c r="E598" s="3834"/>
      <c r="F598" s="2379">
        <v>0</v>
      </c>
      <c r="G598" s="2379">
        <v>0</v>
      </c>
      <c r="H598" s="2379">
        <v>0</v>
      </c>
      <c r="I598" s="2379">
        <v>0</v>
      </c>
      <c r="J598" s="2379">
        <v>0</v>
      </c>
      <c r="K598" s="2379">
        <v>0</v>
      </c>
      <c r="L598" s="2379">
        <v>0</v>
      </c>
      <c r="M598" s="2379">
        <v>0</v>
      </c>
      <c r="N598" s="2379">
        <v>0</v>
      </c>
      <c r="O598"/>
      <c r="W598" s="374"/>
      <c r="X598" s="374"/>
      <c r="Y598" s="374"/>
    </row>
    <row r="599" spans="2:25" s="6" customFormat="1">
      <c r="B599">
        <v>7</v>
      </c>
      <c r="C599" t="s">
        <v>52</v>
      </c>
      <c r="D599" s="382"/>
      <c r="E599" s="3834"/>
      <c r="F599" s="2379">
        <v>0</v>
      </c>
      <c r="G599" s="2379">
        <v>0</v>
      </c>
      <c r="H599" s="2379">
        <v>0.12857142857142859</v>
      </c>
      <c r="I599" s="2379">
        <v>0.25714285714285717</v>
      </c>
      <c r="J599" s="2379">
        <v>0.38571428571428579</v>
      </c>
      <c r="K599" s="2379">
        <v>0.51428571428571435</v>
      </c>
      <c r="L599" s="2379">
        <v>0.6428571428571429</v>
      </c>
      <c r="M599" s="2379">
        <v>0.77142857142857146</v>
      </c>
      <c r="N599" s="2379">
        <v>0.9</v>
      </c>
      <c r="O599"/>
      <c r="W599" s="374"/>
      <c r="X599" s="374"/>
      <c r="Y599" s="374"/>
    </row>
    <row r="600" spans="2:25" s="6" customFormat="1">
      <c r="B600">
        <v>8</v>
      </c>
      <c r="C600" t="s">
        <v>53</v>
      </c>
      <c r="D600" s="382"/>
      <c r="E600" s="3834"/>
      <c r="F600" s="2379">
        <v>0.01</v>
      </c>
      <c r="G600" s="2379">
        <v>0.01</v>
      </c>
      <c r="H600" s="2379">
        <v>8.5714285714285719E-3</v>
      </c>
      <c r="I600" s="2379">
        <v>7.1428571428571435E-3</v>
      </c>
      <c r="J600" s="2379">
        <v>5.7142857142857151E-3</v>
      </c>
      <c r="K600" s="2379">
        <v>4.2857142857142868E-3</v>
      </c>
      <c r="L600" s="2379">
        <v>2.8571428571428584E-3</v>
      </c>
      <c r="M600" s="2379">
        <v>1.4285714285714299E-3</v>
      </c>
      <c r="N600" s="2379">
        <v>0</v>
      </c>
      <c r="O600"/>
      <c r="W600" s="374"/>
      <c r="X600" s="374"/>
      <c r="Y600" s="374"/>
    </row>
    <row r="601" spans="2:25" s="6" customFormat="1">
      <c r="B601">
        <v>9</v>
      </c>
      <c r="C601" t="s">
        <v>54</v>
      </c>
      <c r="D601" s="382"/>
      <c r="E601" s="3834"/>
      <c r="F601" s="2379">
        <v>0</v>
      </c>
      <c r="G601" s="2379">
        <v>0</v>
      </c>
      <c r="H601" s="2379">
        <v>0</v>
      </c>
      <c r="I601" s="2379">
        <v>0</v>
      </c>
      <c r="J601" s="2379">
        <v>0</v>
      </c>
      <c r="K601" s="2379">
        <v>0</v>
      </c>
      <c r="L601" s="2379">
        <v>0</v>
      </c>
      <c r="M601" s="2379">
        <v>0</v>
      </c>
      <c r="N601" s="2379">
        <v>0</v>
      </c>
      <c r="O601"/>
      <c r="W601" s="374"/>
      <c r="X601" s="374"/>
      <c r="Y601" s="374"/>
    </row>
    <row r="602" spans="2:25" s="6" customFormat="1">
      <c r="B602">
        <v>10</v>
      </c>
      <c r="C602" t="s">
        <v>55</v>
      </c>
      <c r="D602" s="382"/>
      <c r="E602" s="3834"/>
      <c r="F602" s="2379">
        <v>0</v>
      </c>
      <c r="G602" s="2379">
        <v>0</v>
      </c>
      <c r="H602" s="2379">
        <v>0</v>
      </c>
      <c r="I602" s="2379">
        <v>0</v>
      </c>
      <c r="J602" s="2379">
        <v>0</v>
      </c>
      <c r="K602" s="2379">
        <v>0</v>
      </c>
      <c r="L602" s="2379">
        <v>0</v>
      </c>
      <c r="M602" s="2379">
        <v>0</v>
      </c>
      <c r="N602" s="2379">
        <v>0</v>
      </c>
      <c r="O602"/>
      <c r="W602" s="374"/>
      <c r="X602" s="374"/>
      <c r="Y602" s="374"/>
    </row>
    <row r="603" spans="2:25" s="6" customFormat="1">
      <c r="B603">
        <v>11</v>
      </c>
      <c r="C603" t="s">
        <v>56</v>
      </c>
      <c r="D603" s="382"/>
      <c r="E603" s="3834"/>
      <c r="F603" s="2379">
        <v>0</v>
      </c>
      <c r="G603" s="2379">
        <v>0</v>
      </c>
      <c r="H603" s="2379">
        <v>0</v>
      </c>
      <c r="I603" s="2379">
        <v>0</v>
      </c>
      <c r="J603" s="2379">
        <v>0</v>
      </c>
      <c r="K603" s="2379">
        <v>0</v>
      </c>
      <c r="L603" s="2379">
        <v>0</v>
      </c>
      <c r="M603" s="2379">
        <v>0</v>
      </c>
      <c r="N603" s="2379">
        <v>0</v>
      </c>
      <c r="O603"/>
      <c r="W603" s="374"/>
      <c r="X603" s="374"/>
      <c r="Y603" s="374"/>
    </row>
    <row r="604" spans="2:25" s="6" customFormat="1">
      <c r="B604">
        <v>12</v>
      </c>
      <c r="C604" t="s">
        <v>57</v>
      </c>
      <c r="D604" s="382"/>
      <c r="E604" s="3834"/>
      <c r="F604" s="2379">
        <v>0</v>
      </c>
      <c r="G604" s="2379">
        <v>0</v>
      </c>
      <c r="H604" s="2379">
        <v>0</v>
      </c>
      <c r="I604" s="2379">
        <v>0</v>
      </c>
      <c r="J604" s="2379">
        <v>0</v>
      </c>
      <c r="K604" s="2379">
        <v>0</v>
      </c>
      <c r="L604" s="2379">
        <v>0</v>
      </c>
      <c r="M604" s="2379">
        <v>0</v>
      </c>
      <c r="N604" s="2379">
        <v>0</v>
      </c>
      <c r="O604"/>
      <c r="W604" s="374"/>
      <c r="X604" s="374"/>
      <c r="Y604" s="374"/>
    </row>
    <row r="605" spans="2:25" s="6" customFormat="1">
      <c r="B605">
        <v>13</v>
      </c>
      <c r="C605" t="s">
        <v>58</v>
      </c>
      <c r="D605" s="382"/>
      <c r="E605" s="3834"/>
      <c r="F605" s="2379">
        <v>0</v>
      </c>
      <c r="G605" s="2379">
        <v>0</v>
      </c>
      <c r="H605" s="2379">
        <v>0</v>
      </c>
      <c r="I605" s="2379">
        <v>0</v>
      </c>
      <c r="J605" s="2379">
        <v>0</v>
      </c>
      <c r="K605" s="2379">
        <v>0</v>
      </c>
      <c r="L605" s="2379">
        <v>0</v>
      </c>
      <c r="M605" s="2379">
        <v>0</v>
      </c>
      <c r="N605" s="2379">
        <v>0</v>
      </c>
      <c r="O605"/>
      <c r="W605" s="374"/>
      <c r="X605" s="374"/>
      <c r="Y605" s="374"/>
    </row>
    <row r="606" spans="2:25" s="6" customFormat="1">
      <c r="B606" s="382"/>
      <c r="C606"/>
      <c r="D606"/>
      <c r="E606" s="3834" t="str">
        <f>Preferences.PowerUnits&amp;"th/degree"</f>
        <v>GWth/degree</v>
      </c>
      <c r="F606" s="3617">
        <f t="shared" ref="F606:N606" si="88">SUM(F593:F605)</f>
        <v>1</v>
      </c>
      <c r="G606" s="3617">
        <f t="shared" si="88"/>
        <v>1</v>
      </c>
      <c r="H606" s="3617">
        <f t="shared" si="88"/>
        <v>1.0001428571428572</v>
      </c>
      <c r="I606" s="3617">
        <f t="shared" si="88"/>
        <v>1.0002857142857142</v>
      </c>
      <c r="J606" s="3617">
        <f t="shared" si="88"/>
        <v>1.0004285714285714</v>
      </c>
      <c r="K606" s="3617">
        <f t="shared" si="88"/>
        <v>1.0005714285714284</v>
      </c>
      <c r="L606" s="3617">
        <f t="shared" si="88"/>
        <v>1.0007142857142857</v>
      </c>
      <c r="M606" s="3617">
        <f t="shared" si="88"/>
        <v>1.0008571428571427</v>
      </c>
      <c r="N606" s="3617">
        <f t="shared" si="88"/>
        <v>1.0010000000000001</v>
      </c>
      <c r="O606"/>
      <c r="W606" s="374"/>
      <c r="X606" s="374"/>
      <c r="Y606" s="374"/>
    </row>
    <row r="607" spans="2:25" s="6" customFormat="1">
      <c r="B607"/>
      <c r="C607"/>
      <c r="D607"/>
      <c r="E607" s="3834"/>
      <c r="F607"/>
      <c r="G607"/>
      <c r="H607"/>
      <c r="I607"/>
      <c r="J607"/>
      <c r="K607"/>
      <c r="L607"/>
      <c r="M607"/>
      <c r="N607"/>
      <c r="O607"/>
      <c r="W607" s="374"/>
      <c r="X607" s="374"/>
      <c r="Y607" s="374"/>
    </row>
    <row r="608" spans="2:25" s="6" customFormat="1">
      <c r="B608" s="363"/>
      <c r="C608" s="363" t="s">
        <v>279</v>
      </c>
      <c r="D608"/>
      <c r="E608" s="364"/>
      <c r="F608" s="1333">
        <v>2013</v>
      </c>
      <c r="G608" s="1333">
        <v>2015</v>
      </c>
      <c r="H608" s="1333">
        <v>2020</v>
      </c>
      <c r="I608" s="1333">
        <v>2025</v>
      </c>
      <c r="J608" s="1333">
        <v>2030</v>
      </c>
      <c r="K608" s="1333">
        <v>2035</v>
      </c>
      <c r="L608" s="1333">
        <v>2040</v>
      </c>
      <c r="M608" s="1333">
        <v>2045</v>
      </c>
      <c r="N608" s="1333">
        <v>2050</v>
      </c>
      <c r="O608"/>
      <c r="W608" s="374"/>
      <c r="X608" s="374"/>
      <c r="Y608" s="374"/>
    </row>
    <row r="609" spans="2:25" s="6" customFormat="1">
      <c r="B609" s="382" t="s">
        <v>96</v>
      </c>
      <c r="C609" s="6" t="s">
        <v>86</v>
      </c>
      <c r="D609"/>
      <c r="E609" s="3834"/>
      <c r="F609" s="2510">
        <f t="array" ref="F609">SUM(F$593:F$605/$M$133:$M$145*($B609=$F$132:$N$132)*($F$133:$N$145))</f>
        <v>-0.3037037037037037</v>
      </c>
      <c r="G609" s="2510">
        <f t="array" ref="G609">SUM(G$593:G$605/$M$133:$M$145*($B609=$F$132:$N$132)*($F$133:$N$145))</f>
        <v>-0.3037037037037037</v>
      </c>
      <c r="H609" s="2510">
        <f t="array" ref="H609">SUM(H$593:H$605/$M$133:$M$145*($B609=$F$132:$N$132)*($F$133:$N$145))</f>
        <v>-0.27460317460317457</v>
      </c>
      <c r="I609" s="2510">
        <f t="array" ref="I609">SUM(I$593:I$605/$M$133:$M$145*($B609=$F$132:$N$132)*($F$133:$N$145))</f>
        <v>-0.24550264550264547</v>
      </c>
      <c r="J609" s="2510">
        <f t="array" ref="J609">SUM(J$593:J$605/$M$133:$M$145*($B609=$F$132:$N$132)*($F$133:$N$145))</f>
        <v>-0.21640211640211637</v>
      </c>
      <c r="K609" s="2510">
        <f t="array" ref="K609">SUM(K$593:K$605/$M$133:$M$145*($B609=$F$132:$N$132)*($F$133:$N$145))</f>
        <v>-0.18730158730158725</v>
      </c>
      <c r="L609" s="2510">
        <f t="array" ref="L609">SUM(L$593:L$605/$M$133:$M$145*($B609=$F$132:$N$132)*($F$133:$N$145))</f>
        <v>-0.15820105820105815</v>
      </c>
      <c r="M609" s="2510">
        <f t="array" ref="M609">SUM(M$593:M$605/$M$133:$M$145*($B609=$F$132:$N$132)*($F$133:$N$145))</f>
        <v>-0.12910052910052902</v>
      </c>
      <c r="N609" s="2510">
        <f t="array" ref="N609">SUM(N$593:N$605/$M$133:$M$145*($B609=$F$132:$N$132)*($F$133:$N$145))</f>
        <v>-0.1</v>
      </c>
      <c r="O609"/>
      <c r="W609" s="374"/>
      <c r="X609" s="374"/>
      <c r="Y609" s="374"/>
    </row>
    <row r="610" spans="2:25" s="6" customFormat="1">
      <c r="B610" s="382" t="s">
        <v>97</v>
      </c>
      <c r="C610" s="6" t="s">
        <v>87</v>
      </c>
      <c r="D610"/>
      <c r="E610" s="3834"/>
      <c r="F610" s="2510">
        <f t="array" ref="F610">SUM(F$593:F$605/$M$133:$M$145*($B610=$F$132:$N$132)*($F$133:$N$145))</f>
        <v>0</v>
      </c>
      <c r="G610" s="2510">
        <f t="array" ref="G610">SUM(G$593:G$605/$M$133:$M$145*($B610=$F$132:$N$132)*($F$133:$N$145))</f>
        <v>0</v>
      </c>
      <c r="H610" s="2510">
        <f t="array" ref="H610">SUM(H$593:H$605/$M$133:$M$145*($B610=$F$132:$N$132)*($F$133:$N$145))</f>
        <v>0.12857142857142859</v>
      </c>
      <c r="I610" s="2510">
        <f t="array" ref="I610">SUM(I$593:I$605/$M$133:$M$145*($B610=$F$132:$N$132)*($F$133:$N$145))</f>
        <v>0.25714285714285717</v>
      </c>
      <c r="J610" s="2510">
        <f t="array" ref="J610">SUM(J$593:J$605/$M$133:$M$145*($B610=$F$132:$N$132)*($F$133:$N$145))</f>
        <v>0.38571428571428579</v>
      </c>
      <c r="K610" s="2510">
        <f t="array" ref="K610">SUM(K$593:K$605/$M$133:$M$145*($B610=$F$132:$N$132)*($F$133:$N$145))</f>
        <v>0.51428571428571435</v>
      </c>
      <c r="L610" s="2510">
        <f t="array" ref="L610">SUM(L$593:L$605/$M$133:$M$145*($B610=$F$132:$N$132)*($F$133:$N$145))</f>
        <v>0.6428571428571429</v>
      </c>
      <c r="M610" s="2510">
        <f t="array" ref="M610">SUM(M$593:M$605/$M$133:$M$145*($B610=$F$132:$N$132)*($F$133:$N$145))</f>
        <v>0.77142857142857146</v>
      </c>
      <c r="N610" s="2510">
        <f t="array" ref="N610">SUM(N$593:N$605/$M$133:$M$145*($B610=$F$132:$N$132)*($F$133:$N$145))</f>
        <v>0.9</v>
      </c>
      <c r="O610"/>
      <c r="W610" s="374"/>
      <c r="X610" s="374"/>
      <c r="Y610" s="374"/>
    </row>
    <row r="611" spans="2:25" s="6" customFormat="1">
      <c r="B611" s="382" t="s">
        <v>98</v>
      </c>
      <c r="C611" s="6" t="s">
        <v>88</v>
      </c>
      <c r="D611"/>
      <c r="E611" s="3834"/>
      <c r="F611" s="2510">
        <f t="array" ref="F611">SUM(F$593:F$605/$M$133:$M$145*($B611=$F$132:$N$132)*($F$133:$N$145))</f>
        <v>-3.4482758620689655E-2</v>
      </c>
      <c r="G611" s="2510">
        <f t="array" ref="G611">SUM(G$593:G$605/$M$133:$M$145*($B611=$F$132:$N$132)*($F$133:$N$145))</f>
        <v>-3.4482758620689655E-2</v>
      </c>
      <c r="H611" s="2510">
        <f t="array" ref="H611">SUM(H$593:H$605/$M$133:$M$145*($B611=$F$132:$N$132)*($F$133:$N$145))</f>
        <v>-2.9556650246305417E-2</v>
      </c>
      <c r="I611" s="2510">
        <f t="array" ref="I611">SUM(I$593:I$605/$M$133:$M$145*($B611=$F$132:$N$132)*($F$133:$N$145))</f>
        <v>-2.4630541871921183E-2</v>
      </c>
      <c r="J611" s="2510">
        <f t="array" ref="J611">SUM(J$593:J$605/$M$133:$M$145*($B611=$F$132:$N$132)*($F$133:$N$145))</f>
        <v>-1.9704433497536946E-2</v>
      </c>
      <c r="K611" s="2510">
        <f t="array" ref="K611">SUM(K$593:K$605/$M$133:$M$145*($B611=$F$132:$N$132)*($F$133:$N$145))</f>
        <v>-1.477832512315271E-2</v>
      </c>
      <c r="L611" s="2510">
        <f t="array" ref="L611">SUM(L$593:L$605/$M$133:$M$145*($B611=$F$132:$N$132)*($F$133:$N$145))</f>
        <v>-9.8522167487684748E-3</v>
      </c>
      <c r="M611" s="2510">
        <f t="array" ref="M611">SUM(M$593:M$605/$M$133:$M$145*($B611=$F$132:$N$132)*($F$133:$N$145))</f>
        <v>-4.9261083743842391E-3</v>
      </c>
      <c r="N611" s="2510">
        <f t="array" ref="N611">SUM(N$593:N$605/$M$133:$M$145*($B611=$F$132:$N$132)*($F$133:$N$145))</f>
        <v>0</v>
      </c>
      <c r="O611"/>
      <c r="W611" s="374"/>
      <c r="X611" s="374"/>
      <c r="Y611" s="374"/>
    </row>
    <row r="612" spans="2:25" s="6" customFormat="1">
      <c r="B612" s="382" t="s">
        <v>99</v>
      </c>
      <c r="C612" s="6" t="s">
        <v>89</v>
      </c>
      <c r="D612"/>
      <c r="E612" s="3834"/>
      <c r="F612" s="2510">
        <f t="array" ref="F612">SUM(F$593:F$605/$M$133:$M$145*($B612=$F$132:$N$132)*($F$133:$N$145))</f>
        <v>-0.23711340206185569</v>
      </c>
      <c r="G612" s="2510">
        <f t="array" ref="G612">SUM(G$593:G$605/$M$133:$M$145*($B612=$F$132:$N$132)*($F$133:$N$145))</f>
        <v>-0.23711340206185569</v>
      </c>
      <c r="H612" s="2510">
        <f t="array" ref="H612">SUM(H$593:H$605/$M$133:$M$145*($B612=$F$132:$N$132)*($F$133:$N$145))</f>
        <v>-0.203240058910162</v>
      </c>
      <c r="I612" s="2510">
        <f t="array" ref="I612">SUM(I$593:I$605/$M$133:$M$145*($B612=$F$132:$N$132)*($F$133:$N$145))</f>
        <v>-0.16936671575846834</v>
      </c>
      <c r="J612" s="2510">
        <f t="array" ref="J612">SUM(J$593:J$605/$M$133:$M$145*($B612=$F$132:$N$132)*($F$133:$N$145))</f>
        <v>-0.13549337260677466</v>
      </c>
      <c r="K612" s="2510">
        <f t="array" ref="K612">SUM(K$593:K$605/$M$133:$M$145*($B612=$F$132:$N$132)*($F$133:$N$145))</f>
        <v>-0.10162002945508099</v>
      </c>
      <c r="L612" s="2510">
        <f t="array" ref="L612">SUM(L$593:L$605/$M$133:$M$145*($B612=$F$132:$N$132)*($F$133:$N$145))</f>
        <v>-6.7746686303387316E-2</v>
      </c>
      <c r="M612" s="2510">
        <f t="array" ref="M612">SUM(M$593:M$605/$M$133:$M$145*($B612=$F$132:$N$132)*($F$133:$N$145))</f>
        <v>-3.3873343151693651E-2</v>
      </c>
      <c r="N612" s="2510">
        <f t="array" ref="N612">SUM(N$593:N$605/$M$133:$M$145*($B612=$F$132:$N$132)*($F$133:$N$145))</f>
        <v>0</v>
      </c>
      <c r="O612"/>
      <c r="W612" s="374"/>
      <c r="X612" s="374"/>
      <c r="Y612" s="374"/>
    </row>
    <row r="613" spans="2:25" s="6" customFormat="1">
      <c r="B613" s="382" t="s">
        <v>100</v>
      </c>
      <c r="C613" s="6" t="s">
        <v>90</v>
      </c>
      <c r="D613"/>
      <c r="E613" s="3834"/>
      <c r="F613" s="2510">
        <f t="array" ref="F613">SUM(F$593:F$605/$M$133:$M$145*($B613=$F$132:$N$132)*($F$133:$N$145))</f>
        <v>-0.51590514748409477</v>
      </c>
      <c r="G613" s="2510">
        <f t="array" ref="G613">SUM(G$593:G$605/$M$133:$M$145*($B613=$F$132:$N$132)*($F$133:$N$145))</f>
        <v>-0.51590514748409477</v>
      </c>
      <c r="H613" s="2510">
        <f t="array" ref="H613">SUM(H$593:H$605/$M$133:$M$145*($B613=$F$132:$N$132)*($F$133:$N$145))</f>
        <v>-0.72807568371478149</v>
      </c>
      <c r="I613" s="2510">
        <f t="array" ref="I613">SUM(I$593:I$605/$M$133:$M$145*($B613=$F$132:$N$132)*($F$133:$N$145))</f>
        <v>-0.94024621994546809</v>
      </c>
      <c r="J613" s="2510">
        <f t="array" ref="J613">SUM(J$593:J$605/$M$133:$M$145*($B613=$F$132:$N$132)*($F$133:$N$145))</f>
        <v>-1.1524167561761547</v>
      </c>
      <c r="K613" s="2510">
        <f t="array" ref="K613">SUM(K$593:K$605/$M$133:$M$145*($B613=$F$132:$N$132)*($F$133:$N$145))</f>
        <v>-1.3645872924068414</v>
      </c>
      <c r="L613" s="2510">
        <f t="array" ref="L613">SUM(L$593:L$605/$M$133:$M$145*($B613=$F$132:$N$132)*($F$133:$N$145))</f>
        <v>-1.5767578286375279</v>
      </c>
      <c r="M613" s="2510">
        <f t="array" ref="M613">SUM(M$593:M$605/$M$133:$M$145*($B613=$F$132:$N$132)*($F$133:$N$145))</f>
        <v>-1.7889283648682146</v>
      </c>
      <c r="N613" s="2510">
        <f t="array" ref="N613">SUM(N$593:N$605/$M$133:$M$145*($B613=$F$132:$N$132)*($F$133:$N$145))</f>
        <v>-2.0010989010989011</v>
      </c>
      <c r="O613"/>
      <c r="W613" s="374"/>
      <c r="X613" s="374"/>
      <c r="Y613" s="374"/>
    </row>
    <row r="614" spans="2:25" s="6" customFormat="1">
      <c r="B614" s="382" t="s">
        <v>101</v>
      </c>
      <c r="C614" s="6" t="s">
        <v>91</v>
      </c>
      <c r="D614"/>
      <c r="E614" s="3834"/>
      <c r="F614" s="2510">
        <f t="array" ref="F614">SUM(F$593:F$605/$M$133:$M$145*($B614=$F$132:$N$132)*($F$133:$N$145))</f>
        <v>0</v>
      </c>
      <c r="G614" s="2510">
        <f t="array" ref="G614">SUM(G$593:G$605/$M$133:$M$145*($B614=$F$132:$N$132)*($F$133:$N$145))</f>
        <v>0</v>
      </c>
      <c r="H614" s="2510">
        <f t="array" ref="H614">SUM(H$593:H$605/$M$133:$M$145*($B614=$F$132:$N$132)*($F$133:$N$145))</f>
        <v>0</v>
      </c>
      <c r="I614" s="2510">
        <f t="array" ref="I614">SUM(I$593:I$605/$M$133:$M$145*($B614=$F$132:$N$132)*($F$133:$N$145))</f>
        <v>0</v>
      </c>
      <c r="J614" s="2510">
        <f t="array" ref="J614">SUM(J$593:J$605/$M$133:$M$145*($B614=$F$132:$N$132)*($F$133:$N$145))</f>
        <v>0</v>
      </c>
      <c r="K614" s="2510">
        <f t="array" ref="K614">SUM(K$593:K$605/$M$133:$M$145*($B614=$F$132:$N$132)*($F$133:$N$145))</f>
        <v>0</v>
      </c>
      <c r="L614" s="2510">
        <f t="array" ref="L614">SUM(L$593:L$605/$M$133:$M$145*($B614=$F$132:$N$132)*($F$133:$N$145))</f>
        <v>0</v>
      </c>
      <c r="M614" s="2510">
        <f t="array" ref="M614">SUM(M$593:M$605/$M$133:$M$145*($B614=$F$132:$N$132)*($F$133:$N$145))</f>
        <v>0</v>
      </c>
      <c r="N614" s="2510">
        <f t="array" ref="N614">SUM(N$593:N$605/$M$133:$M$145*($B614=$F$132:$N$132)*($F$133:$N$145))</f>
        <v>0</v>
      </c>
      <c r="O614"/>
      <c r="W614" s="374"/>
      <c r="X614" s="374"/>
      <c r="Y614" s="374"/>
    </row>
    <row r="615" spans="2:25" s="6" customFormat="1">
      <c r="B615" s="382" t="s">
        <v>102</v>
      </c>
      <c r="C615" s="6" t="s">
        <v>92</v>
      </c>
      <c r="D615"/>
      <c r="E615" s="3834"/>
      <c r="F615" s="2510">
        <f t="array" ref="F615">SUM(F$593:F$605/$M$133:$M$145*($B615=$F$132:$N$132)*($F$133:$N$145))</f>
        <v>-6.2962962962962964E-3</v>
      </c>
      <c r="G615" s="2510">
        <f t="array" ref="G615">SUM(G$593:G$605/$M$133:$M$145*($B615=$F$132:$N$132)*($F$133:$N$145))</f>
        <v>-6.2962962962962964E-3</v>
      </c>
      <c r="H615" s="2510">
        <f t="array" ref="H615">SUM(H$593:H$605/$M$133:$M$145*($B615=$F$132:$N$132)*($F$133:$N$145))</f>
        <v>-5.3968253968253973E-3</v>
      </c>
      <c r="I615" s="2510">
        <f t="array" ref="I615">SUM(I$593:I$605/$M$133:$M$145*($B615=$F$132:$N$132)*($F$133:$N$145))</f>
        <v>-4.4973544973544973E-3</v>
      </c>
      <c r="J615" s="2510">
        <f t="array" ref="J615">SUM(J$593:J$605/$M$133:$M$145*($B615=$F$132:$N$132)*($F$133:$N$145))</f>
        <v>-3.5978835978835986E-3</v>
      </c>
      <c r="K615" s="2510">
        <f t="array" ref="K615">SUM(K$593:K$605/$M$133:$M$145*($B615=$F$132:$N$132)*($F$133:$N$145))</f>
        <v>-2.6984126984126991E-3</v>
      </c>
      <c r="L615" s="2510">
        <f t="array" ref="L615">SUM(L$593:L$605/$M$133:$M$145*($B615=$F$132:$N$132)*($F$133:$N$145))</f>
        <v>-1.7989417989418E-3</v>
      </c>
      <c r="M615" s="2510">
        <f t="array" ref="M615">SUM(M$593:M$605/$M$133:$M$145*($B615=$F$132:$N$132)*($F$133:$N$145))</f>
        <v>-8.9947089947090041E-4</v>
      </c>
      <c r="N615" s="2510">
        <f t="array" ref="N615">SUM(N$593:N$605/$M$133:$M$145*($B615=$F$132:$N$132)*($F$133:$N$145))</f>
        <v>0</v>
      </c>
      <c r="O615"/>
      <c r="W615" s="374"/>
      <c r="X615" s="374"/>
      <c r="Y615" s="374"/>
    </row>
    <row r="616" spans="2:25" s="6" customFormat="1">
      <c r="B616" s="382" t="s">
        <v>103</v>
      </c>
      <c r="C616" s="6" t="s">
        <v>93</v>
      </c>
      <c r="D616"/>
      <c r="E616" s="3834"/>
      <c r="F616" s="2510">
        <f t="array" ref="F616">SUM(F$593:F$605/$M$133:$M$145*($B616=$F$132:$N$132)*($F$133:$N$145))</f>
        <v>1</v>
      </c>
      <c r="G616" s="2510">
        <f t="array" ref="G616">SUM(G$593:G$605/$M$133:$M$145*($B616=$F$132:$N$132)*($F$133:$N$145))</f>
        <v>1</v>
      </c>
      <c r="H616" s="2510">
        <f t="array" ref="H616">SUM(H$593:H$605/$M$133:$M$145*($B616=$F$132:$N$132)*($F$133:$N$145))</f>
        <v>1.0001428571428572</v>
      </c>
      <c r="I616" s="2510">
        <f t="array" ref="I616">SUM(I$593:I$605/$M$133:$M$145*($B616=$F$132:$N$132)*($F$133:$N$145))</f>
        <v>1.0002857142857142</v>
      </c>
      <c r="J616" s="2510">
        <f t="array" ref="J616">SUM(J$593:J$605/$M$133:$M$145*($B616=$F$132:$N$132)*($F$133:$N$145))</f>
        <v>1.0004285714285714</v>
      </c>
      <c r="K616" s="2510">
        <f t="array" ref="K616">SUM(K$593:K$605/$M$133:$M$145*($B616=$F$132:$N$132)*($F$133:$N$145))</f>
        <v>1.0005714285714284</v>
      </c>
      <c r="L616" s="2510">
        <f t="array" ref="L616">SUM(L$593:L$605/$M$133:$M$145*($B616=$F$132:$N$132)*($F$133:$N$145))</f>
        <v>1.0007142857142857</v>
      </c>
      <c r="M616" s="2510">
        <f t="array" ref="M616">SUM(M$593:M$605/$M$133:$M$145*($B616=$F$132:$N$132)*($F$133:$N$145))</f>
        <v>1.0008571428571427</v>
      </c>
      <c r="N616" s="2510">
        <f t="array" ref="N616">SUM(N$593:N$605/$M$133:$M$145*($B616=$F$132:$N$132)*($F$133:$N$145))</f>
        <v>1.0010000000000001</v>
      </c>
      <c r="O616"/>
      <c r="W616" s="374"/>
      <c r="X616" s="374"/>
      <c r="Y616" s="374"/>
    </row>
    <row r="617" spans="2:25" s="6" customFormat="1">
      <c r="B617" s="382" t="s">
        <v>104</v>
      </c>
      <c r="C617" s="6" t="s">
        <v>94</v>
      </c>
      <c r="D617"/>
      <c r="E617" s="3834"/>
      <c r="F617" s="2510">
        <f t="array" ref="F617">SUM(F$593:F$605/$M$133:$M$145*($B617=$F$132:$N$132)*($F$133:$N$145))</f>
        <v>9.7501308166640155E-2</v>
      </c>
      <c r="G617" s="2510">
        <f t="array" ref="G617">SUM(G$593:G$605/$M$133:$M$145*($B617=$F$132:$N$132)*($F$133:$N$145))</f>
        <v>9.7501308166640155E-2</v>
      </c>
      <c r="H617" s="2510">
        <f t="array" ref="H617">SUM(H$593:H$605/$M$133:$M$145*($B617=$F$132:$N$132)*($F$133:$N$145))</f>
        <v>0.11215810715696316</v>
      </c>
      <c r="I617" s="2510">
        <f t="array" ref="I617">SUM(I$593:I$605/$M$133:$M$145*($B617=$F$132:$N$132)*($F$133:$N$145))</f>
        <v>0.12681490614728616</v>
      </c>
      <c r="J617" s="2510">
        <f t="array" ref="J617">SUM(J$593:J$605/$M$133:$M$145*($B617=$F$132:$N$132)*($F$133:$N$145))</f>
        <v>0.14147170513760915</v>
      </c>
      <c r="K617" s="2510">
        <f t="array" ref="K617">SUM(K$593:K$605/$M$133:$M$145*($B617=$F$132:$N$132)*($F$133:$N$145))</f>
        <v>0.15612850412793214</v>
      </c>
      <c r="L617" s="2510">
        <f t="array" ref="L617">SUM(L$593:L$605/$M$133:$M$145*($B617=$F$132:$N$132)*($F$133:$N$145))</f>
        <v>0.17078530311825513</v>
      </c>
      <c r="M617" s="2510">
        <f t="array" ref="M617">SUM(M$593:M$605/$M$133:$M$145*($B617=$F$132:$N$132)*($F$133:$N$145))</f>
        <v>0.18544210210857812</v>
      </c>
      <c r="N617" s="2510">
        <f t="array" ref="N617">SUM(N$593:N$605/$M$133:$M$145*($B617=$F$132:$N$132)*($F$133:$N$145))</f>
        <v>0.20009890109890111</v>
      </c>
      <c r="O617"/>
      <c r="W617" s="374"/>
      <c r="X617" s="374"/>
      <c r="Y617" s="374"/>
    </row>
    <row r="618" spans="2:25" s="6" customFormat="1">
      <c r="B618" s="382"/>
      <c r="D618"/>
      <c r="E618" s="3834" t="str">
        <f>Preferences.PowerUnits&amp;"/degree"</f>
        <v>GW/degree</v>
      </c>
      <c r="F618" s="3617">
        <f t="shared" ref="F618:N618" si="89">SUM(F609:F617)</f>
        <v>1.1102230246251565E-16</v>
      </c>
      <c r="G618" s="3617">
        <f t="shared" si="89"/>
        <v>1.1102230246251565E-16</v>
      </c>
      <c r="H618" s="3617">
        <f t="shared" si="89"/>
        <v>0</v>
      </c>
      <c r="I618" s="3617">
        <f t="shared" si="89"/>
        <v>0</v>
      </c>
      <c r="J618" s="3617">
        <f t="shared" si="89"/>
        <v>0</v>
      </c>
      <c r="K618" s="3617">
        <f t="shared" si="89"/>
        <v>0</v>
      </c>
      <c r="L618" s="3617">
        <f t="shared" si="89"/>
        <v>0</v>
      </c>
      <c r="M618" s="3617">
        <f t="shared" si="89"/>
        <v>-2.4980018054066022E-16</v>
      </c>
      <c r="N618" s="3617">
        <f t="shared" si="89"/>
        <v>0</v>
      </c>
      <c r="O618"/>
      <c r="W618" s="374"/>
      <c r="X618" s="374"/>
      <c r="Y618" s="374"/>
    </row>
    <row r="619" spans="2:25" s="6" customFormat="1">
      <c r="B619"/>
      <c r="C619"/>
      <c r="D619"/>
      <c r="E619" s="3834"/>
      <c r="F619" s="374"/>
      <c r="G619"/>
      <c r="H619"/>
      <c r="I619"/>
      <c r="J619"/>
      <c r="K619"/>
      <c r="L619"/>
      <c r="M619"/>
      <c r="N619"/>
      <c r="O619"/>
      <c r="W619" s="374"/>
      <c r="X619" s="374"/>
      <c r="Y619" s="374"/>
    </row>
    <row r="620" spans="2:25" s="6" customFormat="1">
      <c r="B620"/>
      <c r="C620" t="s">
        <v>287</v>
      </c>
      <c r="D620"/>
      <c r="E620" s="1334" t="str">
        <f>Preferences.PowerUnits&amp;"e/degree"</f>
        <v>GWe/degree</v>
      </c>
      <c r="F620" s="2510">
        <f>-SUM(F609:F610)</f>
        <v>0.3037037037037037</v>
      </c>
      <c r="G620" s="2510">
        <f t="shared" ref="G620:N620" si="90">-SUM(G609:G610)</f>
        <v>0.3037037037037037</v>
      </c>
      <c r="H620" s="2510">
        <f t="shared" si="90"/>
        <v>0.14603174603174598</v>
      </c>
      <c r="I620" s="2510">
        <f t="shared" si="90"/>
        <v>-1.1640211640211701E-2</v>
      </c>
      <c r="J620" s="2510">
        <f t="shared" si="90"/>
        <v>-0.16931216931216941</v>
      </c>
      <c r="K620" s="2510">
        <f t="shared" si="90"/>
        <v>-0.3269841269841271</v>
      </c>
      <c r="L620" s="2510">
        <f t="shared" si="90"/>
        <v>-0.48465608465608478</v>
      </c>
      <c r="M620" s="2510">
        <f t="shared" si="90"/>
        <v>-0.64232804232804241</v>
      </c>
      <c r="N620" s="2510">
        <f t="shared" si="90"/>
        <v>-0.8</v>
      </c>
      <c r="O620"/>
      <c r="W620" s="374"/>
      <c r="X620" s="374"/>
      <c r="Y620" s="374"/>
    </row>
    <row r="621" spans="2:25" s="6" customFormat="1">
      <c r="B621"/>
      <c r="C621"/>
      <c r="D621"/>
      <c r="E621"/>
      <c r="F621" s="374"/>
      <c r="G621"/>
      <c r="H621"/>
      <c r="I621"/>
      <c r="J621"/>
      <c r="K621"/>
      <c r="L621"/>
      <c r="M621"/>
      <c r="N621"/>
      <c r="O621"/>
      <c r="W621" s="374"/>
      <c r="X621" s="374"/>
      <c r="Y621" s="374"/>
    </row>
    <row r="622" spans="2:25" s="6" customFormat="1">
      <c r="B622" s="363">
        <v>9</v>
      </c>
      <c r="C622" s="363" t="s">
        <v>987</v>
      </c>
      <c r="D622"/>
      <c r="E622"/>
      <c r="F622" s="413"/>
      <c r="G622" s="413"/>
      <c r="H622" s="413"/>
      <c r="I622" s="413"/>
      <c r="J622" s="413"/>
      <c r="K622" s="413"/>
      <c r="L622" s="413"/>
      <c r="M622" s="413"/>
      <c r="N622" s="423" t="s">
        <v>2835</v>
      </c>
      <c r="O622"/>
      <c r="W622" s="374"/>
      <c r="X622" s="374"/>
      <c r="Y622" s="374"/>
    </row>
    <row r="623" spans="2:25">
      <c r="B623" t="s">
        <v>757</v>
      </c>
      <c r="E623" s="382"/>
      <c r="F623" s="413"/>
      <c r="G623" s="413"/>
      <c r="H623" s="413"/>
      <c r="I623" s="413"/>
      <c r="J623" s="413"/>
      <c r="K623" s="413"/>
      <c r="L623" s="413"/>
      <c r="M623" s="413"/>
      <c r="N623" s="413"/>
    </row>
    <row r="624" spans="2:25">
      <c r="F624" s="1325">
        <v>2013</v>
      </c>
      <c r="G624" s="1325">
        <v>2015</v>
      </c>
      <c r="H624" s="1325">
        <v>2020</v>
      </c>
      <c r="I624" s="1325">
        <v>2025</v>
      </c>
      <c r="J624" s="1325">
        <v>2030</v>
      </c>
      <c r="K624" s="1325">
        <v>2035</v>
      </c>
      <c r="L624" s="1325">
        <v>2040</v>
      </c>
      <c r="M624" s="1325">
        <v>2045</v>
      </c>
      <c r="N624" s="1325">
        <v>2050</v>
      </c>
    </row>
    <row r="625" spans="2:14">
      <c r="B625" s="382"/>
      <c r="F625" s="1326"/>
      <c r="G625" s="1326"/>
      <c r="H625" s="1326"/>
      <c r="I625" s="1326"/>
      <c r="J625" s="1326"/>
      <c r="K625" s="1326"/>
      <c r="L625" s="1326"/>
      <c r="M625" s="1326"/>
      <c r="N625" s="1326"/>
    </row>
    <row r="626" spans="2:14">
      <c r="B626" s="382"/>
      <c r="C626" s="363" t="s">
        <v>988</v>
      </c>
      <c r="E626" s="364" t="str">
        <f>Preferences.EnergyUnits</f>
        <v>TWh</v>
      </c>
      <c r="F626" s="1327"/>
      <c r="G626" s="1327"/>
      <c r="H626" s="1327"/>
      <c r="I626" s="1327"/>
      <c r="J626" s="1327"/>
      <c r="K626" s="1327"/>
      <c r="L626" s="1327"/>
      <c r="M626" s="1327"/>
      <c r="N626" s="1327"/>
    </row>
    <row r="627" spans="2:14">
      <c r="B627">
        <v>1</v>
      </c>
      <c r="C627" t="s">
        <v>46</v>
      </c>
      <c r="D627" s="382"/>
      <c r="E627" s="3834"/>
      <c r="F627" s="3618">
        <f>F382+F350</f>
        <v>1.9120000000000004</v>
      </c>
      <c r="G627" s="3618">
        <f t="shared" ref="G627:N627" si="91">G382+G350</f>
        <v>1.968</v>
      </c>
      <c r="H627" s="3618">
        <f t="shared" si="91"/>
        <v>1.8192857142857144</v>
      </c>
      <c r="I627" s="3618">
        <f t="shared" si="91"/>
        <v>1.5912500000000001</v>
      </c>
      <c r="J627" s="3618">
        <f t="shared" si="91"/>
        <v>1.3331428571428567</v>
      </c>
      <c r="K627" s="3618">
        <f t="shared" si="91"/>
        <v>1.0449642857142853</v>
      </c>
      <c r="L627" s="3618">
        <f t="shared" si="91"/>
        <v>0.72671428571428531</v>
      </c>
      <c r="M627" s="3618">
        <f t="shared" si="91"/>
        <v>0.3783928571428567</v>
      </c>
      <c r="N627" s="3618">
        <f t="shared" si="91"/>
        <v>0</v>
      </c>
    </row>
    <row r="628" spans="2:14">
      <c r="B628">
        <v>2</v>
      </c>
      <c r="C628" t="s">
        <v>47</v>
      </c>
      <c r="D628" s="382"/>
      <c r="E628" s="3834"/>
      <c r="F628" s="3618">
        <f t="shared" ref="F628:N640" si="92">F383+F351</f>
        <v>2.1988000000000003</v>
      </c>
      <c r="G628" s="3618">
        <f t="shared" si="92"/>
        <v>2.2632000000000003</v>
      </c>
      <c r="H628" s="3618">
        <f t="shared" si="92"/>
        <v>2.0936946428571432</v>
      </c>
      <c r="I628" s="3618">
        <f t="shared" si="92"/>
        <v>1.8331200000000001</v>
      </c>
      <c r="J628" s="3618">
        <f t="shared" si="92"/>
        <v>1.5381135714285712</v>
      </c>
      <c r="K628" s="3618">
        <f t="shared" si="92"/>
        <v>1.2086753571428568</v>
      </c>
      <c r="L628" s="3618">
        <f t="shared" si="92"/>
        <v>0.84480535714285665</v>
      </c>
      <c r="M628" s="3618">
        <f t="shared" si="92"/>
        <v>0.44650357142857089</v>
      </c>
      <c r="N628" s="3618">
        <f t="shared" si="92"/>
        <v>1.3770000000000001E-2</v>
      </c>
    </row>
    <row r="629" spans="2:14">
      <c r="B629" s="363">
        <v>3</v>
      </c>
      <c r="C629" t="s">
        <v>48</v>
      </c>
      <c r="D629" s="382"/>
      <c r="E629" s="3834"/>
      <c r="F629" s="3618">
        <f t="shared" si="92"/>
        <v>2.8679999999999999</v>
      </c>
      <c r="G629" s="3618">
        <f t="shared" si="92"/>
        <v>2.952</v>
      </c>
      <c r="H629" s="3618">
        <f t="shared" si="92"/>
        <v>2.8805357142857142</v>
      </c>
      <c r="I629" s="3618">
        <f t="shared" si="92"/>
        <v>2.7051249999999998</v>
      </c>
      <c r="J629" s="3618">
        <f t="shared" si="92"/>
        <v>2.4996428571428564</v>
      </c>
      <c r="K629" s="3618">
        <f t="shared" si="92"/>
        <v>2.2640892857142849</v>
      </c>
      <c r="L629" s="3618">
        <f t="shared" si="92"/>
        <v>1.9984642857142849</v>
      </c>
      <c r="M629" s="3618">
        <f t="shared" si="92"/>
        <v>1.7027678571428564</v>
      </c>
      <c r="N629" s="3618">
        <f t="shared" si="92"/>
        <v>1.377</v>
      </c>
    </row>
    <row r="630" spans="2:14">
      <c r="B630">
        <v>4</v>
      </c>
      <c r="C630" t="s">
        <v>49</v>
      </c>
      <c r="D630" s="382"/>
      <c r="E630" s="3834"/>
      <c r="F630" s="3618">
        <f t="shared" si="92"/>
        <v>2.1988000000000003</v>
      </c>
      <c r="G630" s="3618">
        <f t="shared" si="92"/>
        <v>2.2632000000000003</v>
      </c>
      <c r="H630" s="3618">
        <f t="shared" si="92"/>
        <v>2.0921785714285717</v>
      </c>
      <c r="I630" s="3618">
        <f t="shared" si="92"/>
        <v>1.8299374999999998</v>
      </c>
      <c r="J630" s="3618">
        <f t="shared" si="92"/>
        <v>1.5331142857142854</v>
      </c>
      <c r="K630" s="3618">
        <f t="shared" si="92"/>
        <v>1.2017089285714286</v>
      </c>
      <c r="L630" s="3618">
        <f t="shared" si="92"/>
        <v>0.83572142857142828</v>
      </c>
      <c r="M630" s="3618">
        <f t="shared" si="92"/>
        <v>0.43515178571428553</v>
      </c>
      <c r="N630" s="3618">
        <f t="shared" si="92"/>
        <v>0</v>
      </c>
    </row>
    <row r="631" spans="2:14">
      <c r="B631">
        <v>5</v>
      </c>
      <c r="C631" t="s">
        <v>50</v>
      </c>
      <c r="D631" s="382"/>
      <c r="E631" s="3834"/>
      <c r="F631" s="3618">
        <f t="shared" si="92"/>
        <v>0.2868</v>
      </c>
      <c r="G631" s="3618">
        <f t="shared" si="92"/>
        <v>0.29520000000000002</v>
      </c>
      <c r="H631" s="3618">
        <f t="shared" si="92"/>
        <v>0.27289285714285716</v>
      </c>
      <c r="I631" s="3618">
        <f t="shared" si="92"/>
        <v>0.2386875</v>
      </c>
      <c r="J631" s="3618">
        <f t="shared" si="92"/>
        <v>0.19997142857142858</v>
      </c>
      <c r="K631" s="3618">
        <f t="shared" si="92"/>
        <v>0.15674464285714287</v>
      </c>
      <c r="L631" s="3618">
        <f t="shared" si="92"/>
        <v>0.10900714285714289</v>
      </c>
      <c r="M631" s="3618">
        <f t="shared" si="92"/>
        <v>5.6758928571428599E-2</v>
      </c>
      <c r="N631" s="3618">
        <f t="shared" si="92"/>
        <v>0</v>
      </c>
    </row>
    <row r="632" spans="2:14">
      <c r="B632">
        <v>6</v>
      </c>
      <c r="C632" t="s">
        <v>51</v>
      </c>
      <c r="D632" s="382"/>
      <c r="E632" s="3834"/>
      <c r="F632" s="3618">
        <f t="shared" si="92"/>
        <v>0</v>
      </c>
      <c r="G632" s="3618">
        <f t="shared" si="92"/>
        <v>0</v>
      </c>
      <c r="H632" s="3618">
        <f t="shared" si="92"/>
        <v>0</v>
      </c>
      <c r="I632" s="3618">
        <f t="shared" si="92"/>
        <v>0</v>
      </c>
      <c r="J632" s="3618">
        <f t="shared" si="92"/>
        <v>0</v>
      </c>
      <c r="K632" s="3618">
        <f t="shared" si="92"/>
        <v>0</v>
      </c>
      <c r="L632" s="3618">
        <f t="shared" si="92"/>
        <v>0</v>
      </c>
      <c r="M632" s="3618">
        <f t="shared" si="92"/>
        <v>0</v>
      </c>
      <c r="N632" s="3618">
        <f t="shared" si="92"/>
        <v>0</v>
      </c>
    </row>
    <row r="633" spans="2:14">
      <c r="B633">
        <v>7</v>
      </c>
      <c r="C633" t="s">
        <v>52</v>
      </c>
      <c r="D633" s="382"/>
      <c r="E633" s="3834"/>
      <c r="F633" s="3618">
        <f t="shared" si="92"/>
        <v>0</v>
      </c>
      <c r="G633" s="3618">
        <f t="shared" si="92"/>
        <v>0</v>
      </c>
      <c r="H633" s="3618">
        <f t="shared" si="92"/>
        <v>1.3644642857142859</v>
      </c>
      <c r="I633" s="3618">
        <f t="shared" si="92"/>
        <v>2.8642500000000002</v>
      </c>
      <c r="J633" s="3618">
        <f t="shared" si="92"/>
        <v>4.4993571428571437</v>
      </c>
      <c r="K633" s="3618">
        <f t="shared" si="92"/>
        <v>6.2697857142857147</v>
      </c>
      <c r="L633" s="3618">
        <f t="shared" si="92"/>
        <v>8.175535714285715</v>
      </c>
      <c r="M633" s="3618">
        <f t="shared" si="92"/>
        <v>10.216607142857143</v>
      </c>
      <c r="N633" s="3618">
        <f t="shared" si="92"/>
        <v>12.392999999999999</v>
      </c>
    </row>
    <row r="634" spans="2:14">
      <c r="B634">
        <v>8</v>
      </c>
      <c r="C634" t="s">
        <v>53</v>
      </c>
      <c r="D634" s="382"/>
      <c r="E634" s="3834"/>
      <c r="F634" s="3618">
        <f t="shared" si="92"/>
        <v>9.5600000000000018E-2</v>
      </c>
      <c r="G634" s="3618">
        <f t="shared" si="92"/>
        <v>9.8400000000000001E-2</v>
      </c>
      <c r="H634" s="3618">
        <f t="shared" si="92"/>
        <v>9.0964285714285734E-2</v>
      </c>
      <c r="I634" s="3618">
        <f t="shared" si="92"/>
        <v>7.9562500000000008E-2</v>
      </c>
      <c r="J634" s="3618">
        <f t="shared" si="92"/>
        <v>6.6657142857142859E-2</v>
      </c>
      <c r="K634" s="3618">
        <f t="shared" si="92"/>
        <v>5.2248214285714301E-2</v>
      </c>
      <c r="L634" s="3618">
        <f t="shared" si="92"/>
        <v>3.6335714285714298E-2</v>
      </c>
      <c r="M634" s="3618">
        <f t="shared" si="92"/>
        <v>1.8919642857142871E-2</v>
      </c>
      <c r="N634" s="3618">
        <f t="shared" si="92"/>
        <v>0</v>
      </c>
    </row>
    <row r="635" spans="2:14">
      <c r="B635">
        <v>9</v>
      </c>
      <c r="C635" t="s">
        <v>54</v>
      </c>
      <c r="D635" s="382"/>
      <c r="E635" s="3834"/>
      <c r="F635" s="3618">
        <f t="shared" si="92"/>
        <v>0</v>
      </c>
      <c r="G635" s="3618">
        <f t="shared" si="92"/>
        <v>0</v>
      </c>
      <c r="H635" s="3618">
        <f t="shared" si="92"/>
        <v>0</v>
      </c>
      <c r="I635" s="3618">
        <f t="shared" si="92"/>
        <v>0</v>
      </c>
      <c r="J635" s="3618">
        <f t="shared" si="92"/>
        <v>0</v>
      </c>
      <c r="K635" s="3618">
        <f t="shared" si="92"/>
        <v>0</v>
      </c>
      <c r="L635" s="3618">
        <f t="shared" si="92"/>
        <v>0</v>
      </c>
      <c r="M635" s="3618">
        <f t="shared" si="92"/>
        <v>0</v>
      </c>
      <c r="N635" s="3618">
        <f t="shared" si="92"/>
        <v>0</v>
      </c>
    </row>
    <row r="636" spans="2:14">
      <c r="B636">
        <v>10</v>
      </c>
      <c r="C636" t="s">
        <v>55</v>
      </c>
      <c r="D636" s="382"/>
      <c r="E636" s="3834"/>
      <c r="F636" s="3618">
        <f t="shared" si="92"/>
        <v>0</v>
      </c>
      <c r="G636" s="3618">
        <f t="shared" si="92"/>
        <v>0</v>
      </c>
      <c r="H636" s="3618">
        <f t="shared" si="92"/>
        <v>0</v>
      </c>
      <c r="I636" s="3618">
        <f t="shared" si="92"/>
        <v>0</v>
      </c>
      <c r="J636" s="3618">
        <f t="shared" si="92"/>
        <v>0</v>
      </c>
      <c r="K636" s="3618">
        <f t="shared" si="92"/>
        <v>0</v>
      </c>
      <c r="L636" s="3618">
        <f t="shared" si="92"/>
        <v>0</v>
      </c>
      <c r="M636" s="3618">
        <f t="shared" si="92"/>
        <v>0</v>
      </c>
      <c r="N636" s="3618">
        <f t="shared" si="92"/>
        <v>0</v>
      </c>
    </row>
    <row r="637" spans="2:14">
      <c r="B637">
        <v>11</v>
      </c>
      <c r="C637" t="s">
        <v>56</v>
      </c>
      <c r="D637" s="382"/>
      <c r="E637" s="3834"/>
      <c r="F637" s="3618">
        <f t="shared" si="92"/>
        <v>0</v>
      </c>
      <c r="G637" s="3618">
        <f t="shared" si="92"/>
        <v>0</v>
      </c>
      <c r="H637" s="3618">
        <f t="shared" si="92"/>
        <v>0</v>
      </c>
      <c r="I637" s="3618">
        <f t="shared" si="92"/>
        <v>0</v>
      </c>
      <c r="J637" s="3618">
        <f t="shared" si="92"/>
        <v>0</v>
      </c>
      <c r="K637" s="3618">
        <f t="shared" si="92"/>
        <v>0</v>
      </c>
      <c r="L637" s="3618">
        <f t="shared" si="92"/>
        <v>0</v>
      </c>
      <c r="M637" s="3618">
        <f t="shared" si="92"/>
        <v>0</v>
      </c>
      <c r="N637" s="3618">
        <f t="shared" si="92"/>
        <v>0</v>
      </c>
    </row>
    <row r="638" spans="2:14">
      <c r="B638">
        <v>12</v>
      </c>
      <c r="C638" t="s">
        <v>57</v>
      </c>
      <c r="D638" s="382"/>
      <c r="E638" s="3834"/>
      <c r="F638" s="3618">
        <f t="shared" si="92"/>
        <v>0</v>
      </c>
      <c r="G638" s="3618">
        <f t="shared" si="92"/>
        <v>0</v>
      </c>
      <c r="H638" s="3618">
        <f t="shared" si="92"/>
        <v>0</v>
      </c>
      <c r="I638" s="3618">
        <f t="shared" si="92"/>
        <v>0</v>
      </c>
      <c r="J638" s="3618">
        <f t="shared" si="92"/>
        <v>0</v>
      </c>
      <c r="K638" s="3618">
        <f t="shared" si="92"/>
        <v>0</v>
      </c>
      <c r="L638" s="3618">
        <f t="shared" si="92"/>
        <v>0</v>
      </c>
      <c r="M638" s="3618">
        <f t="shared" si="92"/>
        <v>0</v>
      </c>
      <c r="N638" s="3618">
        <f t="shared" si="92"/>
        <v>0</v>
      </c>
    </row>
    <row r="639" spans="2:14">
      <c r="B639">
        <v>13</v>
      </c>
      <c r="C639" t="s">
        <v>58</v>
      </c>
      <c r="D639" s="382"/>
      <c r="E639" s="3834"/>
      <c r="F639" s="3618">
        <f t="shared" si="92"/>
        <v>0</v>
      </c>
      <c r="G639" s="3618">
        <f t="shared" si="92"/>
        <v>0</v>
      </c>
      <c r="H639" s="3618">
        <f t="shared" si="92"/>
        <v>0</v>
      </c>
      <c r="I639" s="3618">
        <f t="shared" si="92"/>
        <v>0</v>
      </c>
      <c r="J639" s="3618">
        <f t="shared" si="92"/>
        <v>0</v>
      </c>
      <c r="K639" s="3618">
        <f t="shared" si="92"/>
        <v>0</v>
      </c>
      <c r="L639" s="3618">
        <f t="shared" si="92"/>
        <v>0</v>
      </c>
      <c r="M639" s="3618">
        <f t="shared" si="92"/>
        <v>0</v>
      </c>
      <c r="N639" s="3618">
        <f t="shared" si="92"/>
        <v>0</v>
      </c>
    </row>
    <row r="640" spans="2:14">
      <c r="E640" s="382"/>
      <c r="F640" s="3618">
        <f t="shared" si="92"/>
        <v>9.56</v>
      </c>
      <c r="G640" s="3618">
        <f t="shared" si="92"/>
        <v>9.8400000000000016</v>
      </c>
      <c r="H640" s="3618">
        <f t="shared" si="92"/>
        <v>10.614016071428573</v>
      </c>
      <c r="I640" s="3618">
        <f t="shared" si="92"/>
        <v>11.141932499999999</v>
      </c>
      <c r="J640" s="3618">
        <f t="shared" si="92"/>
        <v>11.669999285714283</v>
      </c>
      <c r="K640" s="3618">
        <f t="shared" si="92"/>
        <v>12.198216428571428</v>
      </c>
      <c r="L640" s="3618">
        <f t="shared" si="92"/>
        <v>12.726583928571426</v>
      </c>
      <c r="M640" s="3618">
        <f t="shared" si="92"/>
        <v>13.255101785714286</v>
      </c>
      <c r="N640" s="3618">
        <f t="shared" si="92"/>
        <v>13.783769999999999</v>
      </c>
    </row>
    <row r="641" spans="2:14">
      <c r="E641" s="382"/>
      <c r="F641" s="3619">
        <f t="shared" ref="F641:N641" si="93">SUM(F628:F640)</f>
        <v>17.208000000000002</v>
      </c>
      <c r="G641" s="3619">
        <f t="shared" si="93"/>
        <v>17.712000000000003</v>
      </c>
      <c r="H641" s="3619">
        <f t="shared" si="93"/>
        <v>19.40874642857143</v>
      </c>
      <c r="I641" s="3619">
        <f t="shared" si="93"/>
        <v>20.692614999999996</v>
      </c>
      <c r="J641" s="3619">
        <f t="shared" si="93"/>
        <v>22.00685571428571</v>
      </c>
      <c r="K641" s="3619">
        <f t="shared" si="93"/>
        <v>23.351468571428569</v>
      </c>
      <c r="L641" s="3619">
        <f t="shared" si="93"/>
        <v>24.726453571428568</v>
      </c>
      <c r="M641" s="3619">
        <f t="shared" si="93"/>
        <v>26.131810714285713</v>
      </c>
      <c r="N641" s="3619">
        <f t="shared" si="93"/>
        <v>27.567539999999997</v>
      </c>
    </row>
    <row r="642" spans="2:14">
      <c r="B642" s="382"/>
      <c r="C642" s="363" t="s">
        <v>989</v>
      </c>
      <c r="E642" s="364" t="str">
        <f>Preferences.EnergyUnits</f>
        <v>TWh</v>
      </c>
      <c r="F642" s="2379"/>
      <c r="G642" s="2379"/>
      <c r="H642" s="2379"/>
      <c r="I642" s="2379"/>
      <c r="J642" s="2379"/>
      <c r="K642" s="2379"/>
      <c r="L642" s="2379"/>
      <c r="M642" s="2379"/>
      <c r="N642" s="2379"/>
    </row>
    <row r="643" spans="2:14">
      <c r="B643">
        <v>1</v>
      </c>
      <c r="C643" t="s">
        <v>46</v>
      </c>
      <c r="D643" s="382"/>
      <c r="E643" s="3834"/>
      <c r="F643" s="3618"/>
      <c r="G643" s="3618"/>
      <c r="H643" s="3618"/>
      <c r="I643" s="3618"/>
      <c r="J643" s="3618"/>
      <c r="K643" s="3618"/>
      <c r="L643" s="3618"/>
      <c r="M643" s="3618"/>
      <c r="N643" s="3618"/>
    </row>
    <row r="644" spans="2:14">
      <c r="B644">
        <v>2</v>
      </c>
      <c r="C644" t="s">
        <v>47</v>
      </c>
      <c r="D644" s="382"/>
      <c r="E644" s="3834"/>
      <c r="F644" s="3618">
        <v>0</v>
      </c>
      <c r="G644" s="3618">
        <f t="shared" ref="G644:N656" si="94">MAX(G628-F628+((G$624-F$624)/$E$309*F628),0)</f>
        <v>0.28428000000000009</v>
      </c>
      <c r="H644" s="3618">
        <f t="shared" si="94"/>
        <v>0.396294642857143</v>
      </c>
      <c r="I644" s="3618">
        <f t="shared" si="94"/>
        <v>0.26284901785714265</v>
      </c>
      <c r="J644" s="3618">
        <f t="shared" si="94"/>
        <v>0.16327357142857113</v>
      </c>
      <c r="K644" s="3618">
        <f t="shared" si="94"/>
        <v>5.5090178571428394E-2</v>
      </c>
      <c r="L644" s="3618">
        <f t="shared" si="94"/>
        <v>0</v>
      </c>
      <c r="M644" s="3618">
        <f t="shared" si="94"/>
        <v>0</v>
      </c>
      <c r="N644" s="3618">
        <f t="shared" si="94"/>
        <v>0</v>
      </c>
    </row>
    <row r="645" spans="2:14">
      <c r="B645" s="363">
        <v>3</v>
      </c>
      <c r="C645" t="s">
        <v>48</v>
      </c>
      <c r="D645" s="382"/>
      <c r="E645" s="3834"/>
      <c r="F645" s="3618">
        <v>0</v>
      </c>
      <c r="G645" s="3618">
        <f t="shared" si="94"/>
        <v>0.37080000000000007</v>
      </c>
      <c r="H645" s="3618">
        <f t="shared" si="94"/>
        <v>0.66653571428571423</v>
      </c>
      <c r="I645" s="3618">
        <f t="shared" si="94"/>
        <v>0.54472321428571413</v>
      </c>
      <c r="J645" s="3618">
        <f t="shared" si="94"/>
        <v>0.47079910714285655</v>
      </c>
      <c r="K645" s="3618">
        <f t="shared" si="94"/>
        <v>0.38935714285714262</v>
      </c>
      <c r="L645" s="3618">
        <f t="shared" si="94"/>
        <v>0.30039732142857123</v>
      </c>
      <c r="M645" s="3618">
        <f t="shared" si="94"/>
        <v>0.2039196428571427</v>
      </c>
      <c r="N645" s="3618">
        <f t="shared" si="94"/>
        <v>9.992410714285771E-2</v>
      </c>
    </row>
    <row r="646" spans="2:14">
      <c r="B646">
        <v>4</v>
      </c>
      <c r="C646" t="s">
        <v>49</v>
      </c>
      <c r="D646" s="382"/>
      <c r="E646" s="3834"/>
      <c r="F646" s="3618">
        <v>0</v>
      </c>
      <c r="G646" s="3618">
        <f t="shared" si="94"/>
        <v>0.28428000000000009</v>
      </c>
      <c r="H646" s="3618">
        <f t="shared" si="94"/>
        <v>0.39477857142857142</v>
      </c>
      <c r="I646" s="3618">
        <f t="shared" si="94"/>
        <v>0.26080357142857102</v>
      </c>
      <c r="J646" s="3618">
        <f t="shared" si="94"/>
        <v>0.1606611607142856</v>
      </c>
      <c r="K646" s="3618">
        <f t="shared" si="94"/>
        <v>5.1873214285714564E-2</v>
      </c>
      <c r="L646" s="3618">
        <f t="shared" si="94"/>
        <v>0</v>
      </c>
      <c r="M646" s="3618">
        <f t="shared" si="94"/>
        <v>0</v>
      </c>
      <c r="N646" s="3618">
        <f t="shared" si="94"/>
        <v>0</v>
      </c>
    </row>
    <row r="647" spans="2:14">
      <c r="B647">
        <v>5</v>
      </c>
      <c r="C647" t="s">
        <v>50</v>
      </c>
      <c r="D647" s="382"/>
      <c r="E647" s="3834"/>
      <c r="F647" s="3618">
        <v>0</v>
      </c>
      <c r="G647" s="3618">
        <f t="shared" si="94"/>
        <v>3.7080000000000016E-2</v>
      </c>
      <c r="H647" s="3618">
        <f t="shared" si="94"/>
        <v>5.1492857142857146E-2</v>
      </c>
      <c r="I647" s="3618">
        <f t="shared" si="94"/>
        <v>3.4017857142857127E-2</v>
      </c>
      <c r="J647" s="3618">
        <f t="shared" si="94"/>
        <v>2.095580357142858E-2</v>
      </c>
      <c r="K647" s="3618">
        <f t="shared" si="94"/>
        <v>6.7660714285714407E-3</v>
      </c>
      <c r="L647" s="3618">
        <f t="shared" si="94"/>
        <v>0</v>
      </c>
      <c r="M647" s="3618">
        <f t="shared" si="94"/>
        <v>0</v>
      </c>
      <c r="N647" s="3618">
        <f t="shared" si="94"/>
        <v>0</v>
      </c>
    </row>
    <row r="648" spans="2:14">
      <c r="B648">
        <v>6</v>
      </c>
      <c r="C648" t="s">
        <v>51</v>
      </c>
      <c r="D648" s="382"/>
      <c r="E648" s="3834"/>
      <c r="F648" s="3618">
        <v>0</v>
      </c>
      <c r="G648" s="3618">
        <f t="shared" si="94"/>
        <v>0</v>
      </c>
      <c r="H648" s="3618">
        <f t="shared" si="94"/>
        <v>0</v>
      </c>
      <c r="I648" s="3618">
        <f t="shared" si="94"/>
        <v>0</v>
      </c>
      <c r="J648" s="3618">
        <f t="shared" si="94"/>
        <v>0</v>
      </c>
      <c r="K648" s="3618">
        <f t="shared" si="94"/>
        <v>0</v>
      </c>
      <c r="L648" s="3618">
        <f t="shared" si="94"/>
        <v>0</v>
      </c>
      <c r="M648" s="3618">
        <f t="shared" si="94"/>
        <v>0</v>
      </c>
      <c r="N648" s="3618">
        <f t="shared" si="94"/>
        <v>0</v>
      </c>
    </row>
    <row r="649" spans="2:14">
      <c r="B649">
        <v>7</v>
      </c>
      <c r="C649" t="s">
        <v>52</v>
      </c>
      <c r="D649" s="382"/>
      <c r="E649" s="3834"/>
      <c r="F649" s="3618">
        <v>0</v>
      </c>
      <c r="G649" s="3618">
        <f t="shared" si="94"/>
        <v>0</v>
      </c>
      <c r="H649" s="3618">
        <f t="shared" si="94"/>
        <v>1.3644642857142859</v>
      </c>
      <c r="I649" s="3618">
        <f t="shared" si="94"/>
        <v>1.8409017857142858</v>
      </c>
      <c r="J649" s="3618">
        <f t="shared" si="94"/>
        <v>2.3511696428571436</v>
      </c>
      <c r="K649" s="3618">
        <f t="shared" si="94"/>
        <v>2.8952678571428567</v>
      </c>
      <c r="L649" s="3618">
        <f t="shared" si="94"/>
        <v>3.4731964285714287</v>
      </c>
      <c r="M649" s="3618">
        <f t="shared" si="94"/>
        <v>4.0849553571428565</v>
      </c>
      <c r="N649" s="3618">
        <f t="shared" si="94"/>
        <v>4.7305446428571418</v>
      </c>
    </row>
    <row r="650" spans="2:14">
      <c r="B650">
        <v>8</v>
      </c>
      <c r="C650" t="s">
        <v>53</v>
      </c>
      <c r="D650" s="382"/>
      <c r="E650" s="3834"/>
      <c r="F650" s="3618">
        <v>0</v>
      </c>
      <c r="G650" s="3618">
        <f t="shared" si="94"/>
        <v>1.2359999999999986E-2</v>
      </c>
      <c r="H650" s="3618">
        <f t="shared" si="94"/>
        <v>1.7164285714285733E-2</v>
      </c>
      <c r="I650" s="3618">
        <f t="shared" si="94"/>
        <v>1.1339285714285708E-2</v>
      </c>
      <c r="J650" s="3618">
        <f t="shared" si="94"/>
        <v>6.9852678571428531E-3</v>
      </c>
      <c r="K650" s="3618">
        <f t="shared" si="94"/>
        <v>2.2553571428571562E-3</v>
      </c>
      <c r="L650" s="3618">
        <f t="shared" si="94"/>
        <v>0</v>
      </c>
      <c r="M650" s="3618">
        <f t="shared" si="94"/>
        <v>0</v>
      </c>
      <c r="N650" s="3618">
        <f t="shared" si="94"/>
        <v>0</v>
      </c>
    </row>
    <row r="651" spans="2:14">
      <c r="B651">
        <v>9</v>
      </c>
      <c r="C651" t="s">
        <v>54</v>
      </c>
      <c r="D651" s="382"/>
      <c r="E651" s="3834"/>
      <c r="F651" s="3618">
        <v>0</v>
      </c>
      <c r="G651" s="3618">
        <f t="shared" si="94"/>
        <v>0</v>
      </c>
      <c r="H651" s="3618">
        <f t="shared" si="94"/>
        <v>0</v>
      </c>
      <c r="I651" s="3618">
        <f t="shared" si="94"/>
        <v>0</v>
      </c>
      <c r="J651" s="3618">
        <f t="shared" si="94"/>
        <v>0</v>
      </c>
      <c r="K651" s="3618">
        <f t="shared" si="94"/>
        <v>0</v>
      </c>
      <c r="L651" s="3618">
        <f t="shared" si="94"/>
        <v>0</v>
      </c>
      <c r="M651" s="3618">
        <f t="shared" si="94"/>
        <v>0</v>
      </c>
      <c r="N651" s="3618">
        <f t="shared" si="94"/>
        <v>0</v>
      </c>
    </row>
    <row r="652" spans="2:14">
      <c r="B652">
        <v>10</v>
      </c>
      <c r="C652" t="s">
        <v>55</v>
      </c>
      <c r="D652" s="382"/>
      <c r="E652" s="3834"/>
      <c r="F652" s="3618">
        <v>0</v>
      </c>
      <c r="G652" s="3618">
        <f t="shared" si="94"/>
        <v>0</v>
      </c>
      <c r="H652" s="3618">
        <f t="shared" si="94"/>
        <v>0</v>
      </c>
      <c r="I652" s="3618">
        <f t="shared" si="94"/>
        <v>0</v>
      </c>
      <c r="J652" s="3618">
        <f t="shared" si="94"/>
        <v>0</v>
      </c>
      <c r="K652" s="3618">
        <f t="shared" si="94"/>
        <v>0</v>
      </c>
      <c r="L652" s="3618">
        <f t="shared" si="94"/>
        <v>0</v>
      </c>
      <c r="M652" s="3618">
        <f t="shared" si="94"/>
        <v>0</v>
      </c>
      <c r="N652" s="3618">
        <f t="shared" si="94"/>
        <v>0</v>
      </c>
    </row>
    <row r="653" spans="2:14">
      <c r="B653">
        <v>11</v>
      </c>
      <c r="C653" t="s">
        <v>56</v>
      </c>
      <c r="D653" s="382"/>
      <c r="E653" s="3834"/>
      <c r="F653" s="3618">
        <v>0</v>
      </c>
      <c r="G653" s="3618">
        <f t="shared" si="94"/>
        <v>0</v>
      </c>
      <c r="H653" s="3618">
        <f t="shared" si="94"/>
        <v>0</v>
      </c>
      <c r="I653" s="3618">
        <f t="shared" si="94"/>
        <v>0</v>
      </c>
      <c r="J653" s="3618">
        <f t="shared" si="94"/>
        <v>0</v>
      </c>
      <c r="K653" s="3618">
        <f t="shared" si="94"/>
        <v>0</v>
      </c>
      <c r="L653" s="3618">
        <f t="shared" si="94"/>
        <v>0</v>
      </c>
      <c r="M653" s="3618">
        <f t="shared" si="94"/>
        <v>0</v>
      </c>
      <c r="N653" s="3618">
        <f t="shared" si="94"/>
        <v>0</v>
      </c>
    </row>
    <row r="654" spans="2:14">
      <c r="B654">
        <v>12</v>
      </c>
      <c r="C654" t="s">
        <v>57</v>
      </c>
      <c r="D654" s="382"/>
      <c r="E654" s="3834"/>
      <c r="F654" s="3618">
        <v>0</v>
      </c>
      <c r="G654" s="3618">
        <f t="shared" si="94"/>
        <v>0</v>
      </c>
      <c r="H654" s="3618">
        <f t="shared" si="94"/>
        <v>0</v>
      </c>
      <c r="I654" s="3618">
        <f t="shared" si="94"/>
        <v>0</v>
      </c>
      <c r="J654" s="3618">
        <f t="shared" si="94"/>
        <v>0</v>
      </c>
      <c r="K654" s="3618">
        <f t="shared" si="94"/>
        <v>0</v>
      </c>
      <c r="L654" s="3618">
        <f t="shared" si="94"/>
        <v>0</v>
      </c>
      <c r="M654" s="3618">
        <f t="shared" si="94"/>
        <v>0</v>
      </c>
      <c r="N654" s="3618">
        <f t="shared" si="94"/>
        <v>0</v>
      </c>
    </row>
    <row r="655" spans="2:14">
      <c r="B655">
        <v>13</v>
      </c>
      <c r="C655" t="s">
        <v>58</v>
      </c>
      <c r="D655" s="382"/>
      <c r="E655" s="3834"/>
      <c r="F655" s="3618">
        <v>0</v>
      </c>
      <c r="G655" s="3618">
        <f t="shared" si="94"/>
        <v>0</v>
      </c>
      <c r="H655" s="3618">
        <f t="shared" si="94"/>
        <v>0</v>
      </c>
      <c r="I655" s="3618">
        <f t="shared" si="94"/>
        <v>0</v>
      </c>
      <c r="J655" s="3618">
        <f t="shared" si="94"/>
        <v>0</v>
      </c>
      <c r="K655" s="3618">
        <f t="shared" si="94"/>
        <v>0</v>
      </c>
      <c r="L655" s="3618">
        <f t="shared" si="94"/>
        <v>0</v>
      </c>
      <c r="M655" s="3618">
        <f t="shared" si="94"/>
        <v>0</v>
      </c>
      <c r="N655" s="3618">
        <f t="shared" si="94"/>
        <v>0</v>
      </c>
    </row>
    <row r="656" spans="2:14">
      <c r="E656" s="382"/>
      <c r="F656" s="3618">
        <v>0</v>
      </c>
      <c r="G656" s="3618">
        <f t="shared" si="94"/>
        <v>1.2360000000000011</v>
      </c>
      <c r="H656" s="3618">
        <f t="shared" si="94"/>
        <v>3.2340160714285715</v>
      </c>
      <c r="I656" s="3618">
        <f t="shared" si="94"/>
        <v>3.1814204464285698</v>
      </c>
      <c r="J656" s="3618">
        <f t="shared" si="94"/>
        <v>3.3135499107142836</v>
      </c>
      <c r="K656" s="3618">
        <f t="shared" si="94"/>
        <v>3.4457169642857153</v>
      </c>
      <c r="L656" s="3618">
        <f t="shared" si="94"/>
        <v>3.577921607142855</v>
      </c>
      <c r="M656" s="3618">
        <f t="shared" si="94"/>
        <v>3.710163839285717</v>
      </c>
      <c r="N656" s="3618">
        <f t="shared" si="94"/>
        <v>3.842443660714284</v>
      </c>
    </row>
    <row r="657" spans="2:30">
      <c r="E657" s="382"/>
      <c r="F657" s="3619">
        <f t="shared" ref="F657:N657" si="95">SUM(F644:F656)</f>
        <v>0</v>
      </c>
      <c r="G657" s="3619">
        <f t="shared" si="95"/>
        <v>2.2248000000000014</v>
      </c>
      <c r="H657" s="3619">
        <f t="shared" si="95"/>
        <v>6.124746428571429</v>
      </c>
      <c r="I657" s="3619">
        <f t="shared" si="95"/>
        <v>6.1360551785714259</v>
      </c>
      <c r="J657" s="3619">
        <f t="shared" si="95"/>
        <v>6.4873944642857122</v>
      </c>
      <c r="K657" s="3619">
        <f t="shared" si="95"/>
        <v>6.846326785714286</v>
      </c>
      <c r="L657" s="3619">
        <f t="shared" si="95"/>
        <v>7.3515153571428549</v>
      </c>
      <c r="M657" s="3619">
        <f t="shared" si="95"/>
        <v>7.9990388392857161</v>
      </c>
      <c r="N657" s="3619">
        <f t="shared" si="95"/>
        <v>8.6729124107142841</v>
      </c>
    </row>
    <row r="658" spans="2:30">
      <c r="C658" s="363" t="s">
        <v>990</v>
      </c>
      <c r="E658" s="364" t="str">
        <f>Preferences.EnergyUnits</f>
        <v>TWh</v>
      </c>
      <c r="F658" s="3620"/>
      <c r="G658" s="3620"/>
      <c r="H658" s="3620"/>
      <c r="I658" s="3620"/>
      <c r="J658" s="3620"/>
      <c r="K658" s="3620"/>
      <c r="L658" s="3620"/>
      <c r="M658" s="3620"/>
      <c r="N658" s="3620"/>
    </row>
    <row r="659" spans="2:30">
      <c r="C659" s="363" t="s">
        <v>991</v>
      </c>
      <c r="E659" s="382"/>
      <c r="F659" s="3620">
        <f>F415</f>
        <v>1</v>
      </c>
      <c r="G659" s="3620">
        <f t="shared" ref="G659:N659" si="96">G415</f>
        <v>1.2</v>
      </c>
      <c r="H659" s="3620">
        <f t="shared" si="96"/>
        <v>1.2857142857142858</v>
      </c>
      <c r="I659" s="3620">
        <f t="shared" si="96"/>
        <v>1.2500000000000002</v>
      </c>
      <c r="J659" s="3620">
        <f t="shared" si="96"/>
        <v>1.1428571428571432</v>
      </c>
      <c r="K659" s="3620">
        <f t="shared" si="96"/>
        <v>0.96428571428571475</v>
      </c>
      <c r="L659" s="3620">
        <f t="shared" si="96"/>
        <v>0.71428571428571486</v>
      </c>
      <c r="M659" s="3620">
        <f t="shared" si="96"/>
        <v>0.39285714285714346</v>
      </c>
      <c r="N659" s="3620">
        <f t="shared" si="96"/>
        <v>0</v>
      </c>
    </row>
    <row r="660" spans="2:30">
      <c r="E660" s="382"/>
      <c r="F660" s="3620"/>
      <c r="G660" s="3618">
        <f t="shared" ref="G660:N660" si="97">MAX(G659-F659+((G$624-F$624)/$E$309*F659),0)</f>
        <v>0.29999999999999993</v>
      </c>
      <c r="H660" s="3618">
        <f t="shared" si="97"/>
        <v>0.38571428571428584</v>
      </c>
      <c r="I660" s="3618">
        <f t="shared" si="97"/>
        <v>0.28571428571428586</v>
      </c>
      <c r="J660" s="3618">
        <f t="shared" si="97"/>
        <v>0.20535714285714307</v>
      </c>
      <c r="K660" s="3618">
        <f t="shared" si="97"/>
        <v>0.10714285714285732</v>
      </c>
      <c r="L660" s="3618">
        <f t="shared" si="97"/>
        <v>0</v>
      </c>
      <c r="M660" s="3618">
        <f t="shared" si="97"/>
        <v>0</v>
      </c>
      <c r="N660" s="3618">
        <f t="shared" si="97"/>
        <v>0</v>
      </c>
    </row>
    <row r="661" spans="2:30">
      <c r="C661" s="363" t="s">
        <v>2844</v>
      </c>
      <c r="E661" s="382"/>
      <c r="F661" s="2379"/>
      <c r="G661" s="2379"/>
      <c r="H661" s="2379"/>
      <c r="I661" s="2379"/>
      <c r="J661" s="2379"/>
      <c r="K661" s="2379"/>
      <c r="L661" s="2379"/>
      <c r="M661" s="2379"/>
      <c r="N661" s="2379"/>
    </row>
    <row r="662" spans="2:30" hidden="1">
      <c r="E662" s="382"/>
      <c r="F662" s="413"/>
      <c r="G662" s="413"/>
      <c r="H662" s="413"/>
      <c r="I662" s="413"/>
      <c r="J662" s="413"/>
      <c r="K662" s="413"/>
      <c r="L662" s="413"/>
      <c r="M662" s="413"/>
      <c r="N662" s="413"/>
    </row>
    <row r="663" spans="2:30" hidden="1">
      <c r="B663" t="s">
        <v>293</v>
      </c>
      <c r="E663" s="382"/>
      <c r="F663" s="413"/>
      <c r="G663" s="413"/>
      <c r="H663" s="413"/>
      <c r="I663" s="413"/>
      <c r="J663" s="413"/>
      <c r="K663" s="413"/>
      <c r="L663" s="413"/>
      <c r="M663" s="413"/>
      <c r="N663" s="413"/>
    </row>
    <row r="664" spans="2:30" hidden="1">
      <c r="C664" t="s">
        <v>169</v>
      </c>
      <c r="E664" s="382" t="s">
        <v>2812</v>
      </c>
      <c r="F664" s="413"/>
      <c r="G664" s="413"/>
      <c r="H664" s="413"/>
      <c r="I664" s="413"/>
      <c r="J664" s="413"/>
      <c r="K664" s="413"/>
      <c r="L664" s="413"/>
      <c r="M664" s="413"/>
      <c r="N664" s="413"/>
    </row>
    <row r="665" spans="2:30" hidden="1">
      <c r="C665" t="s">
        <v>173</v>
      </c>
      <c r="E665" s="382" t="s">
        <v>2812</v>
      </c>
      <c r="F665" s="424"/>
      <c r="G665" s="424"/>
      <c r="H665" s="424"/>
      <c r="I665" s="424"/>
      <c r="J665" s="424"/>
      <c r="K665" s="424"/>
      <c r="L665" s="424"/>
      <c r="M665" s="424"/>
      <c r="N665" s="424"/>
    </row>
    <row r="666" spans="2:30" hidden="1">
      <c r="C666" t="s">
        <v>294</v>
      </c>
      <c r="E666" s="382" t="s">
        <v>2812</v>
      </c>
      <c r="F666" s="413"/>
      <c r="G666" s="413"/>
      <c r="H666" s="413"/>
      <c r="I666" s="413"/>
      <c r="J666" s="413"/>
      <c r="K666" s="413"/>
      <c r="L666" s="413"/>
      <c r="M666" s="413"/>
      <c r="N666" s="413"/>
    </row>
    <row r="667" spans="2:30" hidden="1">
      <c r="E667" s="382"/>
      <c r="F667" s="413"/>
      <c r="G667" s="413"/>
      <c r="H667" s="413"/>
      <c r="I667" s="413"/>
      <c r="J667" s="413"/>
      <c r="K667" s="413"/>
      <c r="L667" s="413"/>
      <c r="M667" s="413"/>
      <c r="N667" s="413"/>
    </row>
    <row r="668" spans="2:30" hidden="1">
      <c r="B668" t="s">
        <v>295</v>
      </c>
      <c r="E668" s="382"/>
      <c r="F668" s="413"/>
      <c r="G668" s="413"/>
      <c r="H668" s="413"/>
      <c r="I668" s="413"/>
      <c r="J668" s="413"/>
      <c r="K668" s="413"/>
      <c r="L668" s="413"/>
      <c r="M668" s="413"/>
      <c r="N668" s="413"/>
      <c r="U668" s="723"/>
      <c r="V668" s="723"/>
      <c r="W668" s="723"/>
      <c r="X668" s="723"/>
      <c r="Y668" s="723"/>
      <c r="Z668" s="723"/>
      <c r="AA668" s="723"/>
      <c r="AB668" s="723"/>
      <c r="AC668" s="723"/>
      <c r="AD668" s="723"/>
    </row>
    <row r="669" spans="2:30" hidden="1">
      <c r="C669" t="s">
        <v>169</v>
      </c>
      <c r="E669" s="382" t="s">
        <v>2812</v>
      </c>
      <c r="F669" s="413"/>
      <c r="G669" s="413"/>
      <c r="H669" s="413"/>
      <c r="I669" s="413"/>
      <c r="J669" s="413"/>
      <c r="K669" s="413"/>
      <c r="L669" s="413"/>
      <c r="M669" s="413"/>
      <c r="N669" s="413"/>
      <c r="U669" s="723"/>
      <c r="V669" s="723"/>
      <c r="W669" s="723"/>
      <c r="X669" s="723"/>
      <c r="Y669" s="723"/>
      <c r="Z669" s="723"/>
      <c r="AA669" s="723"/>
      <c r="AB669" s="723"/>
      <c r="AC669" s="723"/>
      <c r="AD669" s="723"/>
    </row>
    <row r="670" spans="2:30" hidden="1">
      <c r="C670" t="s">
        <v>173</v>
      </c>
      <c r="E670" s="382" t="s">
        <v>2812</v>
      </c>
      <c r="F670" s="424"/>
      <c r="G670" s="424"/>
      <c r="H670" s="424"/>
      <c r="I670" s="424"/>
      <c r="J670" s="424"/>
      <c r="K670" s="424"/>
      <c r="L670" s="424"/>
      <c r="M670" s="424"/>
      <c r="N670" s="424"/>
      <c r="U670" s="723"/>
      <c r="V670" s="723"/>
      <c r="W670" s="723"/>
      <c r="X670" s="723"/>
      <c r="Y670" s="723"/>
      <c r="Z670" s="723"/>
      <c r="AA670" s="723"/>
      <c r="AB670" s="723"/>
      <c r="AC670" s="723"/>
      <c r="AD670" s="723"/>
    </row>
    <row r="671" spans="2:30" hidden="1">
      <c r="C671" t="s">
        <v>294</v>
      </c>
      <c r="E671" s="382" t="s">
        <v>2812</v>
      </c>
      <c r="F671" s="413"/>
      <c r="G671" s="413"/>
      <c r="H671" s="413"/>
      <c r="I671" s="413"/>
      <c r="J671" s="413"/>
      <c r="K671" s="413"/>
      <c r="L671" s="413"/>
      <c r="M671" s="413"/>
      <c r="N671" s="413"/>
      <c r="U671" s="994"/>
      <c r="V671" s="994"/>
      <c r="W671" s="994"/>
      <c r="X671" s="994"/>
      <c r="Y671" s="994"/>
      <c r="Z671" s="994"/>
      <c r="AA671" s="994"/>
      <c r="AB671" s="994"/>
      <c r="AC671" s="994"/>
      <c r="AD671" s="994"/>
    </row>
    <row r="672" spans="2:30" hidden="1">
      <c r="U672" s="723"/>
      <c r="V672" s="723"/>
      <c r="W672" s="723"/>
      <c r="X672" s="723"/>
      <c r="Y672" s="723"/>
      <c r="Z672" s="723"/>
      <c r="AA672" s="723"/>
      <c r="AB672" s="723"/>
      <c r="AC672" s="723"/>
      <c r="AD672" s="723"/>
    </row>
    <row r="673" spans="2:30" hidden="1">
      <c r="B673" t="s">
        <v>296</v>
      </c>
      <c r="E673" s="382"/>
      <c r="F673" s="413"/>
      <c r="G673" s="413"/>
      <c r="H673" s="413"/>
      <c r="I673" s="413"/>
      <c r="J673" s="413"/>
      <c r="K673" s="413"/>
      <c r="L673" s="413"/>
      <c r="M673" s="413"/>
      <c r="N673" s="413"/>
      <c r="T673" s="382"/>
      <c r="U673" s="413"/>
      <c r="V673" s="413"/>
      <c r="W673" s="413"/>
      <c r="X673" s="413"/>
      <c r="Y673" s="413"/>
      <c r="Z673" s="413"/>
      <c r="AA673" s="413"/>
      <c r="AB673" s="413"/>
      <c r="AC673" s="413"/>
      <c r="AD673" s="413"/>
    </row>
    <row r="674" spans="2:30" hidden="1">
      <c r="C674" t="s">
        <v>169</v>
      </c>
      <c r="E674" s="382" t="s">
        <v>2812</v>
      </c>
      <c r="F674" s="413"/>
      <c r="G674" s="413"/>
      <c r="H674" s="413"/>
      <c r="I674" s="413"/>
      <c r="J674" s="413"/>
      <c r="K674" s="413"/>
      <c r="L674" s="413"/>
      <c r="M674" s="413"/>
      <c r="N674" s="413"/>
    </row>
    <row r="675" spans="2:30" hidden="1">
      <c r="C675" t="s">
        <v>173</v>
      </c>
      <c r="E675" s="382" t="s">
        <v>2812</v>
      </c>
      <c r="F675" s="424"/>
      <c r="G675" s="424"/>
      <c r="H675" s="424"/>
      <c r="I675" s="424"/>
      <c r="J675" s="424"/>
      <c r="K675" s="424"/>
      <c r="L675" s="424"/>
      <c r="M675" s="424"/>
      <c r="N675" s="424"/>
    </row>
    <row r="676" spans="2:30" hidden="1">
      <c r="C676" t="s">
        <v>294</v>
      </c>
      <c r="E676" s="382" t="s">
        <v>2812</v>
      </c>
      <c r="F676" s="413"/>
      <c r="G676" s="413"/>
      <c r="H676" s="413"/>
      <c r="I676" s="413"/>
      <c r="J676" s="413"/>
      <c r="K676" s="413"/>
      <c r="L676" s="413"/>
      <c r="M676" s="413"/>
      <c r="N676" s="413"/>
    </row>
    <row r="677" spans="2:30" hidden="1">
      <c r="E677" s="382"/>
      <c r="F677" s="413"/>
      <c r="G677" s="413"/>
      <c r="H677" s="413"/>
      <c r="I677" s="413"/>
      <c r="J677" s="413"/>
      <c r="K677" s="413"/>
      <c r="L677" s="413"/>
      <c r="M677" s="413"/>
      <c r="N677" s="413"/>
    </row>
    <row r="678" spans="2:30" hidden="1">
      <c r="B678" t="s">
        <v>992</v>
      </c>
      <c r="E678" s="382"/>
      <c r="F678" s="413"/>
      <c r="G678" s="413"/>
      <c r="H678" s="413"/>
      <c r="I678" s="413"/>
      <c r="J678" s="413"/>
      <c r="K678" s="413"/>
      <c r="L678" s="413"/>
      <c r="M678" s="413"/>
      <c r="N678" s="413"/>
    </row>
    <row r="679" spans="2:30" hidden="1">
      <c r="C679" t="s">
        <v>20</v>
      </c>
      <c r="E679" s="382" t="s">
        <v>2812</v>
      </c>
      <c r="G679" s="413"/>
      <c r="H679" s="413"/>
      <c r="I679" s="413"/>
      <c r="J679" s="413"/>
      <c r="K679" s="413"/>
      <c r="L679" s="413"/>
      <c r="M679" s="413"/>
      <c r="N679" s="413"/>
    </row>
    <row r="680" spans="2:30" hidden="1">
      <c r="C680" t="s">
        <v>161</v>
      </c>
      <c r="E680" s="382"/>
      <c r="G680" s="39"/>
      <c r="H680" s="39"/>
      <c r="I680" s="39"/>
      <c r="J680" s="39"/>
      <c r="K680" s="39"/>
      <c r="L680" s="39"/>
      <c r="M680" s="39"/>
      <c r="N680" s="39"/>
      <c r="O680" s="39"/>
    </row>
    <row r="681" spans="2:30" hidden="1">
      <c r="C681" t="s">
        <v>22</v>
      </c>
      <c r="E681" s="382" t="s">
        <v>2812</v>
      </c>
      <c r="F681" s="413"/>
      <c r="G681" s="413"/>
      <c r="H681" s="413"/>
      <c r="I681" s="413"/>
      <c r="J681" s="413"/>
      <c r="K681" s="413"/>
      <c r="L681" s="413"/>
      <c r="M681" s="413"/>
      <c r="N681" s="413"/>
    </row>
    <row r="682" spans="2:30" hidden="1">
      <c r="E682" s="382"/>
      <c r="F682" s="413"/>
      <c r="G682" s="413"/>
      <c r="H682" s="413"/>
      <c r="I682" s="413"/>
      <c r="J682" s="413"/>
      <c r="K682" s="413"/>
      <c r="L682" s="413"/>
      <c r="M682" s="413"/>
      <c r="N682" s="413"/>
    </row>
    <row r="683" spans="2:30" hidden="1">
      <c r="C683" s="363" t="s">
        <v>993</v>
      </c>
      <c r="E683" s="382"/>
      <c r="F683" s="413"/>
      <c r="G683" s="413"/>
      <c r="H683" s="413"/>
      <c r="I683" s="413"/>
      <c r="J683" s="413"/>
      <c r="K683" s="413"/>
      <c r="L683" s="413"/>
      <c r="M683" s="413"/>
      <c r="N683" s="413"/>
    </row>
    <row r="684" spans="2:30" hidden="1">
      <c r="E684" s="382"/>
      <c r="F684" s="413"/>
      <c r="G684" s="413"/>
      <c r="H684" s="413"/>
      <c r="I684" s="413"/>
      <c r="J684" s="413"/>
      <c r="K684" s="413"/>
      <c r="L684" s="413"/>
      <c r="M684" s="413"/>
      <c r="N684" s="413"/>
    </row>
    <row r="685" spans="2:30" hidden="1">
      <c r="B685" t="s">
        <v>293</v>
      </c>
      <c r="E685" s="382"/>
      <c r="F685" s="413"/>
      <c r="G685" s="413"/>
      <c r="H685" s="413"/>
      <c r="I685" s="413"/>
      <c r="J685" s="413"/>
      <c r="K685" s="413"/>
      <c r="L685" s="413"/>
      <c r="M685" s="413"/>
      <c r="N685" s="413"/>
    </row>
    <row r="686" spans="2:30" hidden="1">
      <c r="C686" t="s">
        <v>169</v>
      </c>
      <c r="E686" s="382" t="s">
        <v>2812</v>
      </c>
      <c r="F686" s="413"/>
      <c r="G686" s="424"/>
      <c r="H686" s="424"/>
      <c r="I686" s="424"/>
      <c r="J686" s="424"/>
      <c r="K686" s="424"/>
      <c r="L686" s="424"/>
      <c r="M686" s="424"/>
      <c r="N686" s="424"/>
    </row>
    <row r="687" spans="2:30" hidden="1">
      <c r="C687" t="s">
        <v>173</v>
      </c>
      <c r="E687" s="382" t="s">
        <v>2812</v>
      </c>
      <c r="F687" s="424"/>
      <c r="G687" s="424"/>
      <c r="H687" s="424"/>
      <c r="I687" s="424"/>
      <c r="J687" s="424"/>
      <c r="K687" s="424"/>
      <c r="L687" s="424"/>
      <c r="M687" s="424"/>
      <c r="N687" s="424"/>
    </row>
    <row r="688" spans="2:30" hidden="1">
      <c r="C688" t="s">
        <v>294</v>
      </c>
      <c r="E688" s="382" t="s">
        <v>2812</v>
      </c>
      <c r="F688" s="413"/>
      <c r="G688" s="413"/>
      <c r="H688" s="413"/>
      <c r="I688" s="413"/>
      <c r="J688" s="413"/>
      <c r="K688" s="413"/>
      <c r="L688" s="413"/>
      <c r="M688" s="413"/>
      <c r="N688" s="413"/>
    </row>
    <row r="689" spans="1:21" hidden="1">
      <c r="E689" s="382"/>
      <c r="F689" s="413"/>
      <c r="G689" s="413"/>
      <c r="H689" s="413"/>
      <c r="I689" s="413"/>
      <c r="J689" s="413"/>
      <c r="K689" s="413"/>
      <c r="L689" s="413"/>
      <c r="M689" s="413"/>
      <c r="N689" s="413"/>
    </row>
    <row r="690" spans="1:21" hidden="1">
      <c r="B690" t="s">
        <v>295</v>
      </c>
      <c r="E690" s="382"/>
      <c r="F690" s="413"/>
      <c r="G690" s="413"/>
      <c r="H690" s="413"/>
      <c r="I690" s="413"/>
      <c r="J690" s="413"/>
      <c r="K690" s="413"/>
      <c r="L690" s="413"/>
      <c r="M690" s="413"/>
      <c r="N690" s="413"/>
    </row>
    <row r="691" spans="1:21" hidden="1">
      <c r="C691" t="s">
        <v>169</v>
      </c>
      <c r="E691" s="382" t="s">
        <v>2812</v>
      </c>
      <c r="F691" s="413"/>
      <c r="G691" s="424"/>
      <c r="H691" s="424"/>
      <c r="I691" s="424"/>
      <c r="J691" s="424"/>
      <c r="K691" s="424"/>
      <c r="L691" s="424"/>
      <c r="M691" s="424"/>
      <c r="N691" s="424"/>
    </row>
    <row r="692" spans="1:21" hidden="1">
      <c r="C692" t="s">
        <v>173</v>
      </c>
      <c r="E692" s="382" t="s">
        <v>2812</v>
      </c>
      <c r="F692" s="424"/>
      <c r="G692" s="424"/>
      <c r="H692" s="424"/>
      <c r="I692" s="424"/>
      <c r="J692" s="424"/>
      <c r="K692" s="424"/>
      <c r="L692" s="424"/>
      <c r="M692" s="424"/>
      <c r="N692" s="424"/>
    </row>
    <row r="693" spans="1:21" hidden="1">
      <c r="C693" t="s">
        <v>294</v>
      </c>
      <c r="E693" s="382" t="s">
        <v>2812</v>
      </c>
      <c r="F693" s="413"/>
      <c r="G693" s="413"/>
      <c r="H693" s="413"/>
      <c r="I693" s="413"/>
      <c r="J693" s="413"/>
      <c r="K693" s="413"/>
      <c r="L693" s="413"/>
      <c r="M693" s="413"/>
      <c r="N693" s="413"/>
    </row>
    <row r="694" spans="1:21" hidden="1">
      <c r="E694" s="382"/>
      <c r="F694" s="413"/>
      <c r="G694" s="413"/>
      <c r="H694" s="413"/>
      <c r="I694" s="413"/>
      <c r="J694" s="413"/>
      <c r="K694" s="413"/>
      <c r="L694" s="413"/>
      <c r="M694" s="413"/>
      <c r="N694" s="413"/>
    </row>
    <row r="695" spans="1:21" hidden="1">
      <c r="B695" t="s">
        <v>296</v>
      </c>
      <c r="E695" s="382"/>
      <c r="F695" s="413"/>
      <c r="G695" s="413"/>
      <c r="H695" s="413"/>
      <c r="I695" s="413"/>
      <c r="J695" s="413"/>
      <c r="K695" s="413"/>
      <c r="L695" s="413"/>
      <c r="M695" s="413"/>
      <c r="N695" s="413"/>
    </row>
    <row r="696" spans="1:21" hidden="1">
      <c r="C696" t="s">
        <v>169</v>
      </c>
      <c r="E696" s="382" t="s">
        <v>2812</v>
      </c>
      <c r="F696" s="413"/>
      <c r="G696" s="424"/>
      <c r="H696" s="424"/>
      <c r="I696" s="424"/>
      <c r="J696" s="424"/>
      <c r="K696" s="424"/>
      <c r="L696" s="424"/>
      <c r="M696" s="424"/>
      <c r="N696" s="424"/>
    </row>
    <row r="697" spans="1:21" hidden="1">
      <c r="C697" t="s">
        <v>173</v>
      </c>
      <c r="E697" s="382" t="s">
        <v>2812</v>
      </c>
      <c r="F697" s="424"/>
      <c r="G697" s="424"/>
      <c r="H697" s="424"/>
      <c r="I697" s="424"/>
      <c r="J697" s="424"/>
      <c r="K697" s="424"/>
      <c r="L697" s="424"/>
      <c r="M697" s="424"/>
      <c r="N697" s="424"/>
    </row>
    <row r="698" spans="1:21" hidden="1">
      <c r="C698" t="s">
        <v>294</v>
      </c>
      <c r="E698" s="382" t="s">
        <v>2812</v>
      </c>
      <c r="F698" s="413"/>
      <c r="G698" s="413"/>
      <c r="H698" s="413"/>
      <c r="I698" s="413"/>
      <c r="J698" s="413"/>
      <c r="K698" s="413"/>
      <c r="L698" s="413"/>
      <c r="M698" s="413"/>
      <c r="N698" s="413"/>
    </row>
    <row r="699" spans="1:21">
      <c r="F699" s="413"/>
      <c r="G699" s="413"/>
      <c r="H699" s="413"/>
      <c r="I699" s="413"/>
      <c r="J699" s="413"/>
      <c r="K699" s="413"/>
      <c r="L699" s="413"/>
      <c r="M699" s="413"/>
      <c r="N699" s="413"/>
    </row>
    <row r="700" spans="1:21" ht="23.25">
      <c r="A700" s="7"/>
      <c r="B700" s="511" t="s">
        <v>299</v>
      </c>
      <c r="C700" s="512"/>
      <c r="D700" s="512"/>
      <c r="E700" s="512"/>
      <c r="F700" s="512"/>
      <c r="G700" s="512"/>
      <c r="H700" s="512"/>
      <c r="I700" s="512"/>
      <c r="J700" s="512"/>
      <c r="K700" s="512"/>
      <c r="L700" s="512"/>
      <c r="M700" s="512"/>
      <c r="N700" s="512"/>
      <c r="O700" s="866"/>
      <c r="S700" s="374"/>
      <c r="T700" s="374"/>
      <c r="U700" s="374"/>
    </row>
    <row r="701" spans="1:21">
      <c r="B701" s="514"/>
      <c r="C701" s="515"/>
      <c r="D701" s="515"/>
      <c r="E701" s="515"/>
      <c r="F701" s="515"/>
      <c r="G701" s="515"/>
      <c r="H701" s="515"/>
      <c r="I701" s="515"/>
      <c r="J701" s="515"/>
      <c r="K701" s="515"/>
      <c r="L701" s="515"/>
      <c r="M701" s="515"/>
      <c r="N701" s="515"/>
      <c r="O701" s="867"/>
      <c r="S701" s="374"/>
      <c r="T701" s="374"/>
      <c r="U701" s="374"/>
    </row>
    <row r="702" spans="1:21">
      <c r="B702" s="514"/>
      <c r="C702" s="34" t="s">
        <v>300</v>
      </c>
      <c r="D702" s="515"/>
      <c r="E702" s="516"/>
      <c r="F702" s="515"/>
      <c r="G702" s="515"/>
      <c r="H702" s="515"/>
      <c r="I702" s="515"/>
      <c r="J702" s="515"/>
      <c r="K702" s="515"/>
      <c r="L702" s="515"/>
      <c r="M702" s="515"/>
      <c r="N702" s="516" t="str">
        <f>Preferences.EnergyUnits</f>
        <v>TWh</v>
      </c>
      <c r="O702" s="867"/>
      <c r="S702" s="374"/>
      <c r="T702" s="374"/>
      <c r="U702" s="374"/>
    </row>
    <row r="703" spans="1:21">
      <c r="B703" s="514"/>
      <c r="C703" s="515"/>
      <c r="D703" s="515"/>
      <c r="E703" s="515"/>
      <c r="F703" s="515"/>
      <c r="G703" s="515"/>
      <c r="H703" s="515"/>
      <c r="I703" s="515"/>
      <c r="J703" s="515"/>
      <c r="K703" s="515"/>
      <c r="L703" s="515"/>
      <c r="M703" s="515"/>
      <c r="N703" s="515"/>
      <c r="O703" s="867"/>
      <c r="S703" s="374"/>
      <c r="T703" s="374"/>
      <c r="U703" s="374"/>
    </row>
    <row r="704" spans="1:21">
      <c r="B704" s="514"/>
      <c r="C704" s="1741" t="s">
        <v>28</v>
      </c>
      <c r="D704" s="1741" t="s">
        <v>29</v>
      </c>
      <c r="E704" s="1741" t="s">
        <v>30</v>
      </c>
      <c r="F704" s="1741" t="s">
        <v>597</v>
      </c>
      <c r="G704" s="1741" t="s">
        <v>133</v>
      </c>
      <c r="H704" s="1741" t="s">
        <v>134</v>
      </c>
      <c r="I704" s="1741" t="s">
        <v>135</v>
      </c>
      <c r="J704" s="1741" t="s">
        <v>136</v>
      </c>
      <c r="K704" s="1741" t="s">
        <v>137</v>
      </c>
      <c r="L704" s="1741" t="s">
        <v>138</v>
      </c>
      <c r="M704" s="1741" t="s">
        <v>139</v>
      </c>
      <c r="N704" s="1741" t="s">
        <v>140</v>
      </c>
      <c r="O704" s="867"/>
      <c r="R704" s="363"/>
      <c r="S704" s="374"/>
      <c r="T704" s="374"/>
      <c r="U704" s="374"/>
    </row>
    <row r="705" spans="2:21">
      <c r="B705" s="514"/>
      <c r="C705" s="1741" t="s">
        <v>96</v>
      </c>
      <c r="D705" s="3079" t="str">
        <f>INDEX(Vectors[Description], MATCH([Vector], Vectors[Code], 0))</f>
        <v>Electricity (delivered to end user)</v>
      </c>
      <c r="E705" s="1741"/>
      <c r="F705" s="1744">
        <f t="shared" ref="F705:N705" si="98">F733-F719</f>
        <v>-3.3022499999999999</v>
      </c>
      <c r="G705" s="1744">
        <f t="shared" si="98"/>
        <v>-3.4672833333333331</v>
      </c>
      <c r="H705" s="1744">
        <f t="shared" si="98"/>
        <v>-3.4631285714285713</v>
      </c>
      <c r="I705" s="1744">
        <f t="shared" si="98"/>
        <v>-3.3169672619047619</v>
      </c>
      <c r="J705" s="1744">
        <f t="shared" si="98"/>
        <v>-3.1235285714285705</v>
      </c>
      <c r="K705" s="1744">
        <f t="shared" si="98"/>
        <v>-2.8828124999999996</v>
      </c>
      <c r="L705" s="1744">
        <f t="shared" si="98"/>
        <v>-2.5948190476190471</v>
      </c>
      <c r="M705" s="1744">
        <f t="shared" si="98"/>
        <v>-2.2595482142857137</v>
      </c>
      <c r="N705" s="1744">
        <f t="shared" si="98"/>
        <v>-1.877</v>
      </c>
      <c r="O705" s="867"/>
      <c r="S705" s="374"/>
      <c r="T705" s="374"/>
      <c r="U705" s="374"/>
    </row>
    <row r="706" spans="2:21">
      <c r="B706" s="514"/>
      <c r="C706" s="1741" t="s">
        <v>97</v>
      </c>
      <c r="D706" s="3079" t="str">
        <f>INDEX(Vectors[Description], MATCH([Vector], Vectors[Code], 0))</f>
        <v>Electricity (supplied to grid)</v>
      </c>
      <c r="E706" s="1741"/>
      <c r="F706" s="1744">
        <f t="shared" ref="F706:N706" si="99">F734-F720</f>
        <v>0</v>
      </c>
      <c r="G706" s="1744">
        <f t="shared" si="99"/>
        <v>0</v>
      </c>
      <c r="H706" s="1744">
        <f>H734-H720</f>
        <v>0</v>
      </c>
      <c r="I706" s="1744">
        <f t="shared" si="99"/>
        <v>0</v>
      </c>
      <c r="J706" s="1744">
        <f t="shared" si="99"/>
        <v>0</v>
      </c>
      <c r="K706" s="1744">
        <f t="shared" si="99"/>
        <v>0</v>
      </c>
      <c r="L706" s="1744">
        <f t="shared" si="99"/>
        <v>0</v>
      </c>
      <c r="M706" s="1744">
        <f t="shared" si="99"/>
        <v>0</v>
      </c>
      <c r="N706" s="1744">
        <f t="shared" si="99"/>
        <v>0</v>
      </c>
      <c r="O706" s="867"/>
      <c r="S706" s="374"/>
      <c r="T706" s="374"/>
      <c r="U706" s="374"/>
    </row>
    <row r="707" spans="2:21">
      <c r="B707" s="514"/>
      <c r="C707" s="1741" t="s">
        <v>98</v>
      </c>
      <c r="D707" s="3079" t="str">
        <f>INDEX(Vectors[Description], MATCH([Vector], Vectors[Code], 0))</f>
        <v>Solid hydrocarbons</v>
      </c>
      <c r="E707" s="1741"/>
      <c r="F707" s="1744">
        <f t="shared" ref="F707:N707" si="100">F735-F721</f>
        <v>-0.32965517241379305</v>
      </c>
      <c r="G707" s="1744">
        <f t="shared" si="100"/>
        <v>-0.33931034482758621</v>
      </c>
      <c r="H707" s="1744">
        <f t="shared" si="100"/>
        <v>-0.31366995073891629</v>
      </c>
      <c r="I707" s="1744">
        <f t="shared" si="100"/>
        <v>-0.27435344827586206</v>
      </c>
      <c r="J707" s="1744">
        <f t="shared" si="100"/>
        <v>-0.22985221674876849</v>
      </c>
      <c r="K707" s="1744">
        <f t="shared" si="100"/>
        <v>-0.18016625615763548</v>
      </c>
      <c r="L707" s="1744">
        <f t="shared" si="100"/>
        <v>-0.1252955665024631</v>
      </c>
      <c r="M707" s="1744">
        <f t="shared" si="100"/>
        <v>-6.5240147783251268E-2</v>
      </c>
      <c r="N707" s="1744">
        <f t="shared" si="100"/>
        <v>0</v>
      </c>
      <c r="O707" s="867"/>
      <c r="S707" s="374"/>
      <c r="T707" s="374"/>
      <c r="U707" s="374"/>
    </row>
    <row r="708" spans="2:21">
      <c r="B708" s="514"/>
      <c r="C708" s="725" t="s">
        <v>99</v>
      </c>
      <c r="D708" s="1746" t="str">
        <f>INDEX(Vectors[Description], MATCH([Vector], Vectors[Code], 0))</f>
        <v>Liquid hydrocarbons</v>
      </c>
      <c r="E708" s="725"/>
      <c r="F708" s="1744">
        <f t="shared" ref="F708:N708" si="101">F736-F722</f>
        <v>-2.2668041237113408</v>
      </c>
      <c r="G708" s="1744">
        <f t="shared" si="101"/>
        <v>-2.3331958762886598</v>
      </c>
      <c r="H708" s="1744">
        <f t="shared" si="101"/>
        <v>-2.1568851251840946</v>
      </c>
      <c r="I708" s="1744">
        <f t="shared" si="101"/>
        <v>-1.886533505154639</v>
      </c>
      <c r="J708" s="1744">
        <f t="shared" si="101"/>
        <v>-1.5805301914580263</v>
      </c>
      <c r="K708" s="1744">
        <f t="shared" si="101"/>
        <v>-1.2388751840942562</v>
      </c>
      <c r="L708" s="1744">
        <f t="shared" si="101"/>
        <v>-0.86156848306332812</v>
      </c>
      <c r="M708" s="1744">
        <f t="shared" si="101"/>
        <v>-0.44861008836524285</v>
      </c>
      <c r="N708" s="1744">
        <f t="shared" si="101"/>
        <v>0</v>
      </c>
      <c r="O708" s="867"/>
      <c r="S708" s="374"/>
      <c r="T708" s="374"/>
      <c r="U708" s="374"/>
    </row>
    <row r="709" spans="2:21">
      <c r="B709" s="514"/>
      <c r="C709" s="725" t="s">
        <v>100</v>
      </c>
      <c r="D709" s="1746" t="str">
        <f>INDEX(Vectors[Description], MATCH([Vector], Vectors[Code], 0))</f>
        <v>Gaseous hydrocarbons</v>
      </c>
      <c r="E709" s="725"/>
      <c r="F709" s="1744">
        <f t="shared" ref="F709:N709" si="102">F737-F723</f>
        <v>-4.9320532099479477</v>
      </c>
      <c r="G709" s="1744">
        <f t="shared" si="102"/>
        <v>-5.0765066512434931</v>
      </c>
      <c r="H709" s="1744">
        <f t="shared" si="102"/>
        <v>-4.6945603362802615</v>
      </c>
      <c r="I709" s="1744">
        <f t="shared" si="102"/>
        <v>-4.1081675824175825</v>
      </c>
      <c r="J709" s="1744">
        <f t="shared" si="102"/>
        <v>-3.4443700322234125</v>
      </c>
      <c r="K709" s="1744">
        <f t="shared" si="102"/>
        <v>-2.7031676856977622</v>
      </c>
      <c r="L709" s="1744">
        <f t="shared" si="102"/>
        <v>-1.8845605428406174</v>
      </c>
      <c r="M709" s="1744">
        <f t="shared" si="102"/>
        <v>-0.98854860365198505</v>
      </c>
      <c r="N709" s="1744">
        <f t="shared" si="102"/>
        <v>-1.5131868131870618E-2</v>
      </c>
      <c r="O709" s="867"/>
      <c r="S709" s="374"/>
      <c r="T709" s="374"/>
      <c r="U709" s="374"/>
    </row>
    <row r="710" spans="2:21">
      <c r="B710" s="514"/>
      <c r="C710" s="725" t="s">
        <v>101</v>
      </c>
      <c r="D710" s="1746" t="str">
        <f>INDEX(Vectors[Description], MATCH([Vector], Vectors[Code], 0))</f>
        <v>Heat transport</v>
      </c>
      <c r="E710" s="725"/>
      <c r="F710" s="1744">
        <f t="shared" ref="F710:N710" si="103">F738-F724</f>
        <v>0</v>
      </c>
      <c r="G710" s="1744">
        <f t="shared" si="103"/>
        <v>0</v>
      </c>
      <c r="H710" s="1744">
        <f t="shared" si="103"/>
        <v>0</v>
      </c>
      <c r="I710" s="1744">
        <f t="shared" si="103"/>
        <v>0</v>
      </c>
      <c r="J710" s="1744">
        <f t="shared" si="103"/>
        <v>0</v>
      </c>
      <c r="K710" s="1744">
        <f t="shared" si="103"/>
        <v>0</v>
      </c>
      <c r="L710" s="1744">
        <f t="shared" si="103"/>
        <v>0</v>
      </c>
      <c r="M710" s="1744">
        <f t="shared" si="103"/>
        <v>0</v>
      </c>
      <c r="N710" s="1744">
        <f t="shared" si="103"/>
        <v>0</v>
      </c>
      <c r="O710" s="867"/>
      <c r="S710" s="374"/>
      <c r="T710" s="374"/>
      <c r="U710" s="374"/>
    </row>
    <row r="711" spans="2:21">
      <c r="B711" s="514"/>
      <c r="C711" s="725" t="s">
        <v>102</v>
      </c>
      <c r="D711" s="1746" t="str">
        <f>INDEX(Vectors[Description], MATCH([Vector], Vectors[Code], 0))</f>
        <v>Environmental heat</v>
      </c>
      <c r="E711" s="725"/>
      <c r="F711" s="1744">
        <f>F739-F725</f>
        <v>-6.1350000000000002E-2</v>
      </c>
      <c r="G711" s="1744">
        <f t="shared" ref="G711:N711" si="104">G739-G725</f>
        <v>-6.3116666666666668E-2</v>
      </c>
      <c r="H711" s="1744">
        <f t="shared" si="104"/>
        <v>-5.8371428571428581E-2</v>
      </c>
      <c r="I711" s="1744">
        <f t="shared" si="104"/>
        <v>-5.1053571428571434E-2</v>
      </c>
      <c r="J711" s="1744">
        <f t="shared" si="104"/>
        <v>-4.2771428571428571E-2</v>
      </c>
      <c r="K711" s="1744">
        <f t="shared" si="104"/>
        <v>-3.3525000000000013E-2</v>
      </c>
      <c r="L711" s="1744">
        <f t="shared" si="104"/>
        <v>-2.3314285714285725E-2</v>
      </c>
      <c r="M711" s="1744">
        <f t="shared" si="104"/>
        <v>-1.2139285714285724E-2</v>
      </c>
      <c r="N711" s="1744">
        <f t="shared" si="104"/>
        <v>0</v>
      </c>
      <c r="O711" s="867"/>
      <c r="S711" s="374"/>
      <c r="T711" s="374"/>
      <c r="U711" s="374"/>
    </row>
    <row r="712" spans="2:21">
      <c r="B712" s="514"/>
      <c r="C712" s="725" t="s">
        <v>103</v>
      </c>
      <c r="D712" s="1746" t="str">
        <f>INDEX(Vectors[Description], MATCH([Vector], Vectors[Code], 0))</f>
        <v>Heating and cooling</v>
      </c>
      <c r="E712" s="725"/>
      <c r="F712" s="1745">
        <f>F740-F726-F727</f>
        <v>10.892112506073081</v>
      </c>
      <c r="G712" s="1744">
        <f t="shared" ref="G712:N712" si="105">G740-G726-G727</f>
        <v>11.279412872359741</v>
      </c>
      <c r="H712" s="1744">
        <f t="shared" si="105"/>
        <v>10.686615412203272</v>
      </c>
      <c r="I712" s="1744">
        <f t="shared" si="105"/>
        <v>9.6370753691814173</v>
      </c>
      <c r="J712" s="1744">
        <f t="shared" si="105"/>
        <v>8.4210524404302074</v>
      </c>
      <c r="K712" s="1744">
        <f t="shared" si="105"/>
        <v>7.0385466259496523</v>
      </c>
      <c r="L712" s="1744">
        <f t="shared" si="105"/>
        <v>5.4895579257397387</v>
      </c>
      <c r="M712" s="1744">
        <f t="shared" si="105"/>
        <v>3.7740863398004838</v>
      </c>
      <c r="N712" s="1745">
        <f t="shared" si="105"/>
        <v>1.8921318681318695</v>
      </c>
      <c r="O712" s="867"/>
      <c r="S712" s="374"/>
      <c r="T712" s="374"/>
      <c r="U712" s="374"/>
    </row>
    <row r="713" spans="2:21">
      <c r="B713" s="514"/>
      <c r="C713" s="2463" t="s">
        <v>59</v>
      </c>
      <c r="D713" s="2463"/>
      <c r="E713" s="2463"/>
      <c r="F713" s="3078">
        <f>SUBTOTAL(109,[2013])</f>
        <v>0</v>
      </c>
      <c r="G713" s="3078">
        <f>SUBTOTAL(109,[2015])</f>
        <v>0</v>
      </c>
      <c r="H713" s="3078">
        <f>SUBTOTAL(109,[2020])</f>
        <v>0</v>
      </c>
      <c r="I713" s="3078">
        <f>SUBTOTAL(109,[2025])</f>
        <v>0</v>
      </c>
      <c r="J713" s="3078">
        <f>SUBTOTAL(109,[2030])</f>
        <v>0</v>
      </c>
      <c r="K713" s="3078">
        <f>SUBTOTAL(109,[2035])</f>
        <v>0</v>
      </c>
      <c r="L713" s="3078">
        <f>SUBTOTAL(109,[2040])</f>
        <v>0</v>
      </c>
      <c r="M713" s="3078">
        <f>SUBTOTAL(109,[2045])</f>
        <v>5.3290705182007514E-15</v>
      </c>
      <c r="N713" s="3078">
        <f>SUBTOTAL(109,[2050])</f>
        <v>0</v>
      </c>
      <c r="O713" s="867"/>
      <c r="S713" s="374"/>
      <c r="T713" s="374"/>
      <c r="U713" s="374"/>
    </row>
    <row r="714" spans="2:21">
      <c r="B714" s="514"/>
      <c r="C714" s="515"/>
      <c r="D714" s="515"/>
      <c r="E714" s="515"/>
      <c r="F714" s="515"/>
      <c r="G714" s="515"/>
      <c r="H714" s="515"/>
      <c r="I714" s="515"/>
      <c r="J714" s="515"/>
      <c r="K714" s="515"/>
      <c r="L714" s="515"/>
      <c r="M714" s="515"/>
      <c r="N714" s="515"/>
      <c r="O714" s="867"/>
      <c r="S714" s="374"/>
      <c r="T714" s="374"/>
      <c r="U714" s="374"/>
    </row>
    <row r="715" spans="2:21">
      <c r="B715" s="514"/>
      <c r="C715" s="515"/>
      <c r="D715" s="515"/>
      <c r="E715" s="515"/>
      <c r="F715" s="515"/>
      <c r="G715" s="515"/>
      <c r="H715" s="515"/>
      <c r="I715" s="515"/>
      <c r="J715" s="515"/>
      <c r="K715" s="515"/>
      <c r="L715" s="515"/>
      <c r="M715" s="515"/>
      <c r="N715" s="515"/>
      <c r="O715" s="867"/>
      <c r="S715" s="374"/>
      <c r="T715" s="374"/>
      <c r="U715" s="374"/>
    </row>
    <row r="716" spans="2:21">
      <c r="B716" s="514"/>
      <c r="C716" s="34" t="s">
        <v>301</v>
      </c>
      <c r="D716" s="515"/>
      <c r="E716" s="516"/>
      <c r="F716" s="515"/>
      <c r="G716" s="515"/>
      <c r="H716" s="515"/>
      <c r="I716" s="515"/>
      <c r="J716" s="515"/>
      <c r="K716" s="515"/>
      <c r="L716" s="515"/>
      <c r="M716" s="515"/>
      <c r="N716" s="516" t="str">
        <f>Preferences.EnergyUnits</f>
        <v>TWh</v>
      </c>
      <c r="O716" s="867"/>
      <c r="S716" s="374"/>
      <c r="T716" s="374"/>
      <c r="U716" s="374"/>
    </row>
    <row r="717" spans="2:21">
      <c r="B717" s="514"/>
      <c r="C717" s="515"/>
      <c r="D717" s="515"/>
      <c r="E717" s="515"/>
      <c r="F717" s="515"/>
      <c r="G717" s="515"/>
      <c r="H717" s="515"/>
      <c r="I717" s="515"/>
      <c r="J717" s="515"/>
      <c r="K717" s="515"/>
      <c r="L717" s="515"/>
      <c r="M717" s="515"/>
      <c r="N717" s="515"/>
      <c r="O717" s="867"/>
      <c r="S717" s="374"/>
      <c r="T717" s="374"/>
      <c r="U717" s="374"/>
    </row>
    <row r="718" spans="2:21">
      <c r="B718" s="514"/>
      <c r="C718" s="1741" t="s">
        <v>28</v>
      </c>
      <c r="D718" s="1741" t="s">
        <v>29</v>
      </c>
      <c r="E718" s="1741" t="s">
        <v>30</v>
      </c>
      <c r="F718" s="1741" t="s">
        <v>597</v>
      </c>
      <c r="G718" s="1741" t="s">
        <v>133</v>
      </c>
      <c r="H718" s="1741" t="s">
        <v>134</v>
      </c>
      <c r="I718" s="1741" t="s">
        <v>135</v>
      </c>
      <c r="J718" s="1741" t="s">
        <v>136</v>
      </c>
      <c r="K718" s="1741" t="s">
        <v>137</v>
      </c>
      <c r="L718" s="1741" t="s">
        <v>138</v>
      </c>
      <c r="M718" s="1741" t="s">
        <v>139</v>
      </c>
      <c r="N718" s="1741" t="s">
        <v>140</v>
      </c>
      <c r="O718" s="867"/>
      <c r="S718" s="374"/>
      <c r="T718" s="374"/>
      <c r="U718" s="374"/>
    </row>
    <row r="719" spans="2:21">
      <c r="B719" s="514"/>
      <c r="C719" s="1741" t="s">
        <v>96</v>
      </c>
      <c r="D719" s="3079" t="str">
        <f>INDEX(Vectors[Description], MATCH([Vector], Vectors[Code], 0))</f>
        <v>Electricity (delivered to end user)</v>
      </c>
      <c r="E719" s="1741"/>
      <c r="F719" s="2800">
        <f>F515</f>
        <v>0</v>
      </c>
      <c r="G719" s="2800">
        <f t="shared" ref="G719:N719" si="106">G515</f>
        <v>0</v>
      </c>
      <c r="H719" s="2800">
        <f t="shared" si="106"/>
        <v>0</v>
      </c>
      <c r="I719" s="2800">
        <f t="shared" si="106"/>
        <v>0</v>
      </c>
      <c r="J719" s="2800">
        <f t="shared" si="106"/>
        <v>0</v>
      </c>
      <c r="K719" s="2800">
        <f t="shared" si="106"/>
        <v>0</v>
      </c>
      <c r="L719" s="2800">
        <f t="shared" si="106"/>
        <v>0</v>
      </c>
      <c r="M719" s="2800">
        <f t="shared" si="106"/>
        <v>0</v>
      </c>
      <c r="N719" s="2800">
        <f t="shared" si="106"/>
        <v>0</v>
      </c>
      <c r="O719" s="867"/>
      <c r="S719" s="374"/>
      <c r="T719" s="374"/>
      <c r="U719" s="374"/>
    </row>
    <row r="720" spans="2:21">
      <c r="B720" s="514"/>
      <c r="C720" s="1741" t="s">
        <v>97</v>
      </c>
      <c r="D720" s="3079" t="str">
        <f>INDEX(Vectors[Description], MATCH([Vector], Vectors[Code], 0))</f>
        <v>Electricity (supplied to grid)</v>
      </c>
      <c r="E720" s="1741"/>
      <c r="F720" s="2800">
        <f t="shared" ref="F720:N727" si="107">F516</f>
        <v>0</v>
      </c>
      <c r="G720" s="2800">
        <f t="shared" si="107"/>
        <v>0</v>
      </c>
      <c r="H720" s="2800">
        <f t="shared" si="107"/>
        <v>1.3644642857142859</v>
      </c>
      <c r="I720" s="2800">
        <f t="shared" si="107"/>
        <v>2.8642500000000002</v>
      </c>
      <c r="J720" s="2800">
        <f t="shared" si="107"/>
        <v>4.4993571428571437</v>
      </c>
      <c r="K720" s="2800">
        <f t="shared" si="107"/>
        <v>6.2697857142857147</v>
      </c>
      <c r="L720" s="2800">
        <f t="shared" si="107"/>
        <v>8.175535714285715</v>
      </c>
      <c r="M720" s="2800">
        <f t="shared" si="107"/>
        <v>10.216607142857143</v>
      </c>
      <c r="N720" s="2800">
        <f t="shared" si="107"/>
        <v>12.392999999999999</v>
      </c>
      <c r="O720" s="867"/>
      <c r="S720" s="374"/>
      <c r="T720" s="374"/>
      <c r="U720" s="374"/>
    </row>
    <row r="721" spans="1:21">
      <c r="B721" s="514"/>
      <c r="C721" s="1741" t="s">
        <v>98</v>
      </c>
      <c r="D721" s="3079" t="str">
        <f>INDEX(Vectors[Description], MATCH([Vector], Vectors[Code], 0))</f>
        <v>Solid hydrocarbons</v>
      </c>
      <c r="E721" s="1741"/>
      <c r="F721" s="2800">
        <f t="shared" si="107"/>
        <v>0</v>
      </c>
      <c r="G721" s="2800">
        <f t="shared" si="107"/>
        <v>0</v>
      </c>
      <c r="H721" s="2800">
        <f t="shared" si="107"/>
        <v>0</v>
      </c>
      <c r="I721" s="2800">
        <f t="shared" si="107"/>
        <v>0</v>
      </c>
      <c r="J721" s="2800">
        <f t="shared" si="107"/>
        <v>0</v>
      </c>
      <c r="K721" s="2800">
        <f t="shared" si="107"/>
        <v>0</v>
      </c>
      <c r="L721" s="2800">
        <f t="shared" si="107"/>
        <v>0</v>
      </c>
      <c r="M721" s="2800">
        <f t="shared" si="107"/>
        <v>0</v>
      </c>
      <c r="N721" s="2800">
        <f t="shared" si="107"/>
        <v>0</v>
      </c>
      <c r="O721" s="867"/>
      <c r="S721" s="374"/>
      <c r="T721" s="374"/>
      <c r="U721" s="374"/>
    </row>
    <row r="722" spans="1:21">
      <c r="B722" s="514"/>
      <c r="C722" s="725" t="s">
        <v>99</v>
      </c>
      <c r="D722" s="1746" t="str">
        <f>INDEX(Vectors[Description], MATCH([Vector], Vectors[Code], 0))</f>
        <v>Liquid hydrocarbons</v>
      </c>
      <c r="E722" s="725"/>
      <c r="F722" s="2800">
        <f t="shared" si="107"/>
        <v>0</v>
      </c>
      <c r="G722" s="2800">
        <f t="shared" si="107"/>
        <v>0</v>
      </c>
      <c r="H722" s="2800">
        <f t="shared" si="107"/>
        <v>0</v>
      </c>
      <c r="I722" s="2800">
        <f t="shared" si="107"/>
        <v>0</v>
      </c>
      <c r="J722" s="2800">
        <f t="shared" si="107"/>
        <v>0</v>
      </c>
      <c r="K722" s="2800">
        <f t="shared" si="107"/>
        <v>0</v>
      </c>
      <c r="L722" s="2800">
        <f t="shared" si="107"/>
        <v>0</v>
      </c>
      <c r="M722" s="2800">
        <f t="shared" si="107"/>
        <v>0</v>
      </c>
      <c r="N722" s="2800">
        <f t="shared" si="107"/>
        <v>0</v>
      </c>
      <c r="O722" s="867"/>
      <c r="S722" s="374"/>
      <c r="T722" s="374"/>
      <c r="U722" s="374"/>
    </row>
    <row r="723" spans="1:21">
      <c r="B723" s="514"/>
      <c r="C723" s="725" t="s">
        <v>100</v>
      </c>
      <c r="D723" s="1746" t="str">
        <f>INDEX(Vectors[Description], MATCH([Vector], Vectors[Code], 0))</f>
        <v>Gaseous hydrocarbons</v>
      </c>
      <c r="E723" s="725"/>
      <c r="F723" s="2800">
        <f t="shared" si="107"/>
        <v>0</v>
      </c>
      <c r="G723" s="2800">
        <f t="shared" si="107"/>
        <v>0</v>
      </c>
      <c r="H723" s="2800">
        <f t="shared" si="107"/>
        <v>-3.0321428571428575</v>
      </c>
      <c r="I723" s="2800">
        <f t="shared" si="107"/>
        <v>-6.3650000000000002</v>
      </c>
      <c r="J723" s="2800">
        <f t="shared" si="107"/>
        <v>-9.9985714285714309</v>
      </c>
      <c r="K723" s="2800">
        <f t="shared" si="107"/>
        <v>-13.932857142857143</v>
      </c>
      <c r="L723" s="2800">
        <f t="shared" si="107"/>
        <v>-18.167857142857144</v>
      </c>
      <c r="M723" s="2800">
        <f t="shared" si="107"/>
        <v>-22.703571428571429</v>
      </c>
      <c r="N723" s="2800">
        <f t="shared" si="107"/>
        <v>-27.539999999999996</v>
      </c>
      <c r="O723" s="867"/>
      <c r="S723" s="374"/>
      <c r="T723" s="374"/>
      <c r="U723" s="374"/>
    </row>
    <row r="724" spans="1:21">
      <c r="B724" s="514"/>
      <c r="C724" s="725" t="s">
        <v>101</v>
      </c>
      <c r="D724" s="1746" t="str">
        <f>INDEX(Vectors[Description], MATCH([Vector], Vectors[Code], 0))</f>
        <v>Heat transport</v>
      </c>
      <c r="E724" s="725"/>
      <c r="F724" s="2800">
        <f t="shared" si="107"/>
        <v>0</v>
      </c>
      <c r="G724" s="2800">
        <f t="shared" si="107"/>
        <v>0</v>
      </c>
      <c r="H724" s="2800">
        <f t="shared" si="107"/>
        <v>0</v>
      </c>
      <c r="I724" s="2800">
        <f t="shared" si="107"/>
        <v>0</v>
      </c>
      <c r="J724" s="2800">
        <f t="shared" si="107"/>
        <v>0</v>
      </c>
      <c r="K724" s="2800">
        <f t="shared" si="107"/>
        <v>0</v>
      </c>
      <c r="L724" s="2800">
        <f t="shared" si="107"/>
        <v>0</v>
      </c>
      <c r="M724" s="2800">
        <f t="shared" si="107"/>
        <v>0</v>
      </c>
      <c r="N724" s="2800">
        <f t="shared" si="107"/>
        <v>0</v>
      </c>
      <c r="O724" s="867"/>
      <c r="S724" s="374"/>
      <c r="T724" s="374"/>
      <c r="U724" s="374"/>
    </row>
    <row r="725" spans="1:21">
      <c r="B725" s="514"/>
      <c r="C725" s="725" t="s">
        <v>102</v>
      </c>
      <c r="D725" s="1746" t="str">
        <f>INDEX(Vectors[Description], MATCH([Vector], Vectors[Code], 0))</f>
        <v>Environmental heat</v>
      </c>
      <c r="E725" s="725"/>
      <c r="F725" s="2800">
        <f t="shared" si="107"/>
        <v>0</v>
      </c>
      <c r="G725" s="2800">
        <f t="shared" si="107"/>
        <v>0</v>
      </c>
      <c r="H725" s="2800">
        <f t="shared" si="107"/>
        <v>0</v>
      </c>
      <c r="I725" s="2800">
        <f t="shared" si="107"/>
        <v>0</v>
      </c>
      <c r="J725" s="2800">
        <f t="shared" si="107"/>
        <v>0</v>
      </c>
      <c r="K725" s="2800">
        <f t="shared" si="107"/>
        <v>0</v>
      </c>
      <c r="L725" s="2800">
        <f t="shared" si="107"/>
        <v>0</v>
      </c>
      <c r="M725" s="2800">
        <f t="shared" si="107"/>
        <v>0</v>
      </c>
      <c r="N725" s="2800">
        <f t="shared" si="107"/>
        <v>0</v>
      </c>
      <c r="O725" s="867"/>
      <c r="S725" s="374"/>
      <c r="T725" s="374"/>
      <c r="U725" s="374"/>
    </row>
    <row r="726" spans="1:21">
      <c r="B726" s="514"/>
      <c r="C726" s="725" t="s">
        <v>103</v>
      </c>
      <c r="D726" s="1746" t="str">
        <f>INDEX(Vectors[Description], MATCH([Vector], Vectors[Code], 0))</f>
        <v>Heating and cooling</v>
      </c>
      <c r="E726" s="725"/>
      <c r="F726" s="2800">
        <f t="shared" si="107"/>
        <v>0</v>
      </c>
      <c r="G726" s="2800">
        <f t="shared" si="107"/>
        <v>0</v>
      </c>
      <c r="H726" s="2800">
        <f t="shared" si="107"/>
        <v>1.3644642857142859</v>
      </c>
      <c r="I726" s="2800">
        <f t="shared" si="107"/>
        <v>2.8642500000000002</v>
      </c>
      <c r="J726" s="2800">
        <f t="shared" si="107"/>
        <v>4.4993571428571437</v>
      </c>
      <c r="K726" s="2800">
        <f t="shared" si="107"/>
        <v>6.2697857142857147</v>
      </c>
      <c r="L726" s="2800">
        <f t="shared" si="107"/>
        <v>8.175535714285715</v>
      </c>
      <c r="M726" s="2800">
        <f t="shared" si="107"/>
        <v>10.216607142857143</v>
      </c>
      <c r="N726" s="2800">
        <f t="shared" si="107"/>
        <v>12.392999999999999</v>
      </c>
      <c r="O726" s="867"/>
      <c r="S726" s="374"/>
      <c r="T726" s="374"/>
      <c r="U726" s="374"/>
    </row>
    <row r="727" spans="1:21">
      <c r="B727" s="514"/>
      <c r="C727" s="725" t="s">
        <v>104</v>
      </c>
      <c r="D727" s="1746" t="str">
        <f>INDEX(Vectors[Description], MATCH([Vector], Vectors[Code], 0))</f>
        <v>Conversion losses</v>
      </c>
      <c r="E727" s="725"/>
      <c r="F727" s="2800">
        <f t="shared" si="107"/>
        <v>0</v>
      </c>
      <c r="G727" s="2800">
        <f t="shared" si="107"/>
        <v>0</v>
      </c>
      <c r="H727" s="2800">
        <f t="shared" si="107"/>
        <v>0.30321428571428577</v>
      </c>
      <c r="I727" s="2800">
        <f t="shared" si="107"/>
        <v>0.63650000000000007</v>
      </c>
      <c r="J727" s="2800">
        <f t="shared" si="107"/>
        <v>0.99985714285714311</v>
      </c>
      <c r="K727" s="2800">
        <f t="shared" si="107"/>
        <v>1.3932857142857145</v>
      </c>
      <c r="L727" s="2800">
        <f t="shared" si="107"/>
        <v>1.8167857142857144</v>
      </c>
      <c r="M727" s="2800">
        <f t="shared" si="107"/>
        <v>2.2703571428571432</v>
      </c>
      <c r="N727" s="2800">
        <f t="shared" si="107"/>
        <v>2.7539999999999996</v>
      </c>
      <c r="O727" s="867"/>
      <c r="S727" s="374"/>
      <c r="T727" s="374"/>
      <c r="U727" s="374"/>
    </row>
    <row r="728" spans="1:21">
      <c r="B728" s="514"/>
      <c r="C728" s="2463" t="s">
        <v>59</v>
      </c>
      <c r="D728" s="2463"/>
      <c r="E728" s="2463"/>
      <c r="F728" s="3078">
        <f>SUBTOTAL(109,[2013])</f>
        <v>0</v>
      </c>
      <c r="G728" s="3078">
        <f>SUBTOTAL(109,[2015])</f>
        <v>0</v>
      </c>
      <c r="H728" s="3078">
        <f>SUBTOTAL(109,[2020])</f>
        <v>0</v>
      </c>
      <c r="I728" s="3078">
        <f>SUBTOTAL(109,[2025])</f>
        <v>0</v>
      </c>
      <c r="J728" s="3078">
        <f>SUBTOTAL(109,[2030])</f>
        <v>0</v>
      </c>
      <c r="K728" s="3078">
        <f>SUBTOTAL(109,[2035])</f>
        <v>0</v>
      </c>
      <c r="L728" s="3078">
        <f>SUBTOTAL(109,[2040])</f>
        <v>0</v>
      </c>
      <c r="M728" s="3078">
        <f>SUBTOTAL(109,[2045])</f>
        <v>0</v>
      </c>
      <c r="N728" s="3078">
        <f>SUBTOTAL(109,[2050])</f>
        <v>0</v>
      </c>
      <c r="O728" s="867"/>
      <c r="S728" s="374"/>
      <c r="T728" s="374"/>
      <c r="U728" s="374"/>
    </row>
    <row r="729" spans="1:21">
      <c r="B729" s="514"/>
      <c r="C729" s="515"/>
      <c r="D729" s="515"/>
      <c r="E729" s="515"/>
      <c r="F729" s="515"/>
      <c r="G729" s="515"/>
      <c r="H729" s="515"/>
      <c r="I729" s="515"/>
      <c r="J729" s="515"/>
      <c r="K729" s="515"/>
      <c r="L729" s="515"/>
      <c r="M729" s="515"/>
      <c r="N729" s="515"/>
      <c r="O729" s="867"/>
      <c r="S729" s="374"/>
      <c r="T729" s="374"/>
      <c r="U729" s="374"/>
    </row>
    <row r="730" spans="1:21" ht="15.75">
      <c r="A730" s="443"/>
      <c r="B730" s="15"/>
      <c r="C730" s="34" t="s">
        <v>765</v>
      </c>
      <c r="D730" s="515"/>
      <c r="E730" s="515"/>
      <c r="F730" s="515"/>
      <c r="G730" s="515"/>
      <c r="H730" s="515"/>
      <c r="I730" s="515"/>
      <c r="J730" s="515"/>
      <c r="K730" s="515"/>
      <c r="L730" s="515"/>
      <c r="M730" s="515"/>
      <c r="N730" s="516" t="str">
        <f>Preferences.EnergyUnits</f>
        <v>TWh</v>
      </c>
      <c r="O730" s="867"/>
    </row>
    <row r="731" spans="1:21" ht="15.75">
      <c r="A731" s="443"/>
      <c r="B731" s="15"/>
      <c r="C731" s="515"/>
      <c r="D731" s="515"/>
      <c r="E731" s="516"/>
      <c r="F731" s="515"/>
      <c r="G731" s="515"/>
      <c r="H731" s="515"/>
      <c r="I731" s="515"/>
      <c r="J731" s="515"/>
      <c r="K731" s="515"/>
      <c r="L731" s="515"/>
      <c r="M731" s="515"/>
      <c r="N731" s="515"/>
      <c r="O731" s="867"/>
    </row>
    <row r="732" spans="1:21" ht="15.75">
      <c r="A732" s="443"/>
      <c r="B732" s="15"/>
      <c r="C732" s="1741" t="s">
        <v>28</v>
      </c>
      <c r="D732" s="1741" t="s">
        <v>29</v>
      </c>
      <c r="E732" s="1741" t="s">
        <v>30</v>
      </c>
      <c r="F732" s="1741" t="s">
        <v>597</v>
      </c>
      <c r="G732" s="1741" t="s">
        <v>133</v>
      </c>
      <c r="H732" s="1741" t="s">
        <v>134</v>
      </c>
      <c r="I732" s="1741" t="s">
        <v>135</v>
      </c>
      <c r="J732" s="1741" t="s">
        <v>136</v>
      </c>
      <c r="K732" s="1741" t="s">
        <v>137</v>
      </c>
      <c r="L732" s="1741" t="s">
        <v>138</v>
      </c>
      <c r="M732" s="1741" t="s">
        <v>139</v>
      </c>
      <c r="N732" s="1741" t="s">
        <v>140</v>
      </c>
      <c r="O732" s="867"/>
    </row>
    <row r="733" spans="1:21" ht="15.75">
      <c r="A733" s="443"/>
      <c r="B733" s="15"/>
      <c r="C733" s="1741" t="s">
        <v>96</v>
      </c>
      <c r="D733" s="3079" t="str">
        <f>INDEX(Vectors[Description], MATCH([Vector], Vectors[Code], 0))</f>
        <v>Electricity (delivered to end user)</v>
      </c>
      <c r="E733" s="1741"/>
      <c r="F733" s="1744">
        <f t="shared" ref="F733:N739" si="108">F448</f>
        <v>-3.3022499999999999</v>
      </c>
      <c r="G733" s="1744">
        <f t="shared" si="108"/>
        <v>-3.4672833333333331</v>
      </c>
      <c r="H733" s="1744">
        <f t="shared" si="108"/>
        <v>-3.4631285714285713</v>
      </c>
      <c r="I733" s="1744">
        <f t="shared" si="108"/>
        <v>-3.3169672619047619</v>
      </c>
      <c r="J733" s="1744">
        <f t="shared" si="108"/>
        <v>-3.1235285714285705</v>
      </c>
      <c r="K733" s="1744">
        <f t="shared" si="108"/>
        <v>-2.8828124999999996</v>
      </c>
      <c r="L733" s="1744">
        <f t="shared" si="108"/>
        <v>-2.5948190476190471</v>
      </c>
      <c r="M733" s="1744">
        <f t="shared" si="108"/>
        <v>-2.2595482142857137</v>
      </c>
      <c r="N733" s="1744">
        <f t="shared" si="108"/>
        <v>-1.877</v>
      </c>
      <c r="O733" s="867"/>
    </row>
    <row r="734" spans="1:21" ht="15.75">
      <c r="A734" s="443"/>
      <c r="B734" s="15"/>
      <c r="C734" s="1741" t="s">
        <v>97</v>
      </c>
      <c r="D734" s="3079" t="str">
        <f>INDEX(Vectors[Description], MATCH([Vector], Vectors[Code], 0))</f>
        <v>Electricity (supplied to grid)</v>
      </c>
      <c r="E734" s="1741"/>
      <c r="F734" s="1744">
        <f t="shared" si="108"/>
        <v>0</v>
      </c>
      <c r="G734" s="1744">
        <f t="shared" si="108"/>
        <v>0</v>
      </c>
      <c r="H734" s="1744">
        <f t="shared" si="108"/>
        <v>1.3644642857142859</v>
      </c>
      <c r="I734" s="1744">
        <f t="shared" si="108"/>
        <v>2.8642500000000002</v>
      </c>
      <c r="J734" s="1744">
        <f t="shared" si="108"/>
        <v>4.4993571428571428</v>
      </c>
      <c r="K734" s="1744">
        <f t="shared" si="108"/>
        <v>6.2697857142857147</v>
      </c>
      <c r="L734" s="1744">
        <f t="shared" si="108"/>
        <v>8.175535714285715</v>
      </c>
      <c r="M734" s="1744">
        <f t="shared" si="108"/>
        <v>10.216607142857143</v>
      </c>
      <c r="N734" s="1744">
        <f t="shared" si="108"/>
        <v>12.392999999999999</v>
      </c>
      <c r="O734" s="867"/>
    </row>
    <row r="735" spans="1:21" ht="15.75">
      <c r="A735" s="443"/>
      <c r="B735" s="15"/>
      <c r="C735" s="1741" t="s">
        <v>98</v>
      </c>
      <c r="D735" s="3079" t="str">
        <f>INDEX(Vectors[Description], MATCH([Vector], Vectors[Code], 0))</f>
        <v>Solid hydrocarbons</v>
      </c>
      <c r="E735" s="1741"/>
      <c r="F735" s="1744">
        <f t="shared" si="108"/>
        <v>-0.32965517241379305</v>
      </c>
      <c r="G735" s="1744">
        <f t="shared" si="108"/>
        <v>-0.33931034482758621</v>
      </c>
      <c r="H735" s="1744">
        <f t="shared" si="108"/>
        <v>-0.31366995073891629</v>
      </c>
      <c r="I735" s="1744">
        <f t="shared" si="108"/>
        <v>-0.27435344827586206</v>
      </c>
      <c r="J735" s="1744">
        <f t="shared" si="108"/>
        <v>-0.22985221674876849</v>
      </c>
      <c r="K735" s="1744">
        <f t="shared" si="108"/>
        <v>-0.18016625615763548</v>
      </c>
      <c r="L735" s="1744">
        <f t="shared" si="108"/>
        <v>-0.1252955665024631</v>
      </c>
      <c r="M735" s="1744">
        <f t="shared" si="108"/>
        <v>-6.5240147783251268E-2</v>
      </c>
      <c r="N735" s="1744">
        <f t="shared" si="108"/>
        <v>0</v>
      </c>
      <c r="O735" s="867"/>
    </row>
    <row r="736" spans="1:21" ht="15.75">
      <c r="A736" s="443"/>
      <c r="B736" s="15"/>
      <c r="C736" s="725" t="s">
        <v>99</v>
      </c>
      <c r="D736" s="1746" t="str">
        <f>INDEX(Vectors[Description], MATCH([Vector], Vectors[Code], 0))</f>
        <v>Liquid hydrocarbons</v>
      </c>
      <c r="E736" s="725"/>
      <c r="F736" s="1744">
        <f t="shared" si="108"/>
        <v>-2.2668041237113408</v>
      </c>
      <c r="G736" s="1744">
        <f t="shared" si="108"/>
        <v>-2.3331958762886598</v>
      </c>
      <c r="H736" s="1744">
        <f t="shared" si="108"/>
        <v>-2.1568851251840946</v>
      </c>
      <c r="I736" s="1744">
        <f t="shared" si="108"/>
        <v>-1.886533505154639</v>
      </c>
      <c r="J736" s="1744">
        <f t="shared" si="108"/>
        <v>-1.5805301914580263</v>
      </c>
      <c r="K736" s="1744">
        <f t="shared" si="108"/>
        <v>-1.2388751840942562</v>
      </c>
      <c r="L736" s="1744">
        <f t="shared" si="108"/>
        <v>-0.86156848306332812</v>
      </c>
      <c r="M736" s="1744">
        <f t="shared" si="108"/>
        <v>-0.44861008836524285</v>
      </c>
      <c r="N736" s="1744">
        <f t="shared" si="108"/>
        <v>0</v>
      </c>
      <c r="O736" s="867"/>
    </row>
    <row r="737" spans="1:16" ht="15.75">
      <c r="A737" s="443"/>
      <c r="B737" s="15"/>
      <c r="C737" s="725" t="s">
        <v>100</v>
      </c>
      <c r="D737" s="1746" t="str">
        <f>INDEX(Vectors[Description], MATCH([Vector], Vectors[Code], 0))</f>
        <v>Gaseous hydrocarbons</v>
      </c>
      <c r="E737" s="725"/>
      <c r="F737" s="1744">
        <f t="shared" si="108"/>
        <v>-4.9320532099479477</v>
      </c>
      <c r="G737" s="1744">
        <f t="shared" si="108"/>
        <v>-5.0765066512434931</v>
      </c>
      <c r="H737" s="1744">
        <f t="shared" si="108"/>
        <v>-7.726703193423119</v>
      </c>
      <c r="I737" s="1744">
        <f t="shared" si="108"/>
        <v>-10.473167582417583</v>
      </c>
      <c r="J737" s="1744">
        <f t="shared" si="108"/>
        <v>-13.442941460794843</v>
      </c>
      <c r="K737" s="1744">
        <f t="shared" si="108"/>
        <v>-16.636024828554905</v>
      </c>
      <c r="L737" s="1744">
        <f t="shared" si="108"/>
        <v>-20.052417685697762</v>
      </c>
      <c r="M737" s="1744">
        <f t="shared" si="108"/>
        <v>-23.692120032223414</v>
      </c>
      <c r="N737" s="1744">
        <f t="shared" si="108"/>
        <v>-27.555131868131866</v>
      </c>
      <c r="O737" s="867"/>
    </row>
    <row r="738" spans="1:16" ht="15.75">
      <c r="A738" s="443"/>
      <c r="B738" s="15"/>
      <c r="C738" s="725" t="s">
        <v>101</v>
      </c>
      <c r="D738" s="1746" t="str">
        <f>INDEX(Vectors[Description], MATCH([Vector], Vectors[Code], 0))</f>
        <v>Heat transport</v>
      </c>
      <c r="E738" s="725"/>
      <c r="F738" s="1744">
        <f t="shared" si="108"/>
        <v>0</v>
      </c>
      <c r="G738" s="1744">
        <f t="shared" si="108"/>
        <v>0</v>
      </c>
      <c r="H738" s="1744">
        <f t="shared" si="108"/>
        <v>0</v>
      </c>
      <c r="I738" s="1744">
        <f t="shared" si="108"/>
        <v>0</v>
      </c>
      <c r="J738" s="1744">
        <f t="shared" si="108"/>
        <v>0</v>
      </c>
      <c r="K738" s="1744">
        <f t="shared" si="108"/>
        <v>0</v>
      </c>
      <c r="L738" s="1744">
        <f t="shared" si="108"/>
        <v>0</v>
      </c>
      <c r="M738" s="1744">
        <f t="shared" si="108"/>
        <v>0</v>
      </c>
      <c r="N738" s="1744">
        <f t="shared" si="108"/>
        <v>0</v>
      </c>
      <c r="O738" s="867"/>
    </row>
    <row r="739" spans="1:16" ht="15.75">
      <c r="A739" s="443"/>
      <c r="B739" s="15"/>
      <c r="C739" s="725" t="s">
        <v>102</v>
      </c>
      <c r="D739" s="1746" t="str">
        <f>INDEX(Vectors[Description], MATCH([Vector], Vectors[Code], 0))</f>
        <v>Environmental heat</v>
      </c>
      <c r="E739" s="725"/>
      <c r="F739" s="1744">
        <f t="shared" si="108"/>
        <v>-6.1350000000000002E-2</v>
      </c>
      <c r="G739" s="1744">
        <f t="shared" si="108"/>
        <v>-6.3116666666666668E-2</v>
      </c>
      <c r="H739" s="1744">
        <f t="shared" si="108"/>
        <v>-5.8371428571428581E-2</v>
      </c>
      <c r="I739" s="1744">
        <f t="shared" si="108"/>
        <v>-5.1053571428571434E-2</v>
      </c>
      <c r="J739" s="1744">
        <f t="shared" si="108"/>
        <v>-4.2771428571428571E-2</v>
      </c>
      <c r="K739" s="1744">
        <f t="shared" si="108"/>
        <v>-3.3525000000000013E-2</v>
      </c>
      <c r="L739" s="1744">
        <f t="shared" si="108"/>
        <v>-2.3314285714285725E-2</v>
      </c>
      <c r="M739" s="1744">
        <f t="shared" si="108"/>
        <v>-1.2139285714285724E-2</v>
      </c>
      <c r="N739" s="1744">
        <f t="shared" si="108"/>
        <v>0</v>
      </c>
      <c r="O739" s="867"/>
    </row>
    <row r="740" spans="1:16" ht="15.75">
      <c r="B740" s="15"/>
      <c r="C740" s="725" t="s">
        <v>103</v>
      </c>
      <c r="D740" s="1746" t="str">
        <f>INDEX(Vectors[Description], MATCH([Vector], Vectors[Code], 0))</f>
        <v>Heating and cooling</v>
      </c>
      <c r="E740" s="725"/>
      <c r="F740" s="1744">
        <f>F455+F456</f>
        <v>10.892112506073081</v>
      </c>
      <c r="G740" s="1744">
        <f t="shared" ref="G740:N740" si="109">G455+G456</f>
        <v>11.279412872359741</v>
      </c>
      <c r="H740" s="1744">
        <f t="shared" si="109"/>
        <v>12.354293983631845</v>
      </c>
      <c r="I740" s="1744">
        <f t="shared" si="109"/>
        <v>13.137825369181417</v>
      </c>
      <c r="J740" s="1744">
        <f t="shared" si="109"/>
        <v>13.920266726144494</v>
      </c>
      <c r="K740" s="1744">
        <f t="shared" si="109"/>
        <v>14.701618054521081</v>
      </c>
      <c r="L740" s="1744">
        <f t="shared" si="109"/>
        <v>15.481879354311168</v>
      </c>
      <c r="M740" s="1744">
        <f t="shared" si="109"/>
        <v>16.26105062551477</v>
      </c>
      <c r="N740" s="1744">
        <f t="shared" si="109"/>
        <v>17.039131868131868</v>
      </c>
      <c r="O740" s="867"/>
    </row>
    <row r="741" spans="1:16" ht="15" customHeight="1">
      <c r="A741" s="7"/>
      <c r="B741" s="15"/>
      <c r="C741" s="2463" t="s">
        <v>59</v>
      </c>
      <c r="D741" s="2463"/>
      <c r="E741" s="2463"/>
      <c r="F741" s="3078">
        <f>SUBTOTAL(109,[2013])</f>
        <v>0</v>
      </c>
      <c r="G741" s="3078">
        <f>SUBTOTAL(109,[2015])</f>
        <v>0</v>
      </c>
      <c r="H741" s="3078">
        <f>SUBTOTAL(109,[2020])</f>
        <v>0</v>
      </c>
      <c r="I741" s="3078">
        <f>SUBTOTAL(109,[2025])</f>
        <v>0</v>
      </c>
      <c r="J741" s="3078">
        <f>SUBTOTAL(109,[2030])</f>
        <v>0</v>
      </c>
      <c r="K741" s="3078">
        <f>SUBTOTAL(109,[2035])</f>
        <v>0</v>
      </c>
      <c r="L741" s="3078">
        <f>SUBTOTAL(109,[2040])</f>
        <v>0</v>
      </c>
      <c r="M741" s="3078">
        <f>SUBTOTAL(109,[2045])</f>
        <v>0</v>
      </c>
      <c r="N741" s="3078">
        <f>SUBTOTAL(109,[2050])</f>
        <v>0</v>
      </c>
      <c r="O741" s="515"/>
    </row>
    <row r="742" spans="1:16" ht="15.75">
      <c r="B742" s="15"/>
      <c r="C742" s="452"/>
      <c r="D742" s="452"/>
      <c r="E742" s="452"/>
      <c r="F742" s="1337"/>
      <c r="G742" s="452"/>
      <c r="H742" s="452"/>
      <c r="I742" s="452"/>
      <c r="J742" s="452"/>
      <c r="K742" s="452"/>
      <c r="L742" s="452"/>
      <c r="M742" s="452"/>
      <c r="N742" s="452"/>
      <c r="O742" s="515"/>
      <c r="P742" s="2897" t="s">
        <v>5</v>
      </c>
    </row>
    <row r="744" spans="1:16" ht="15.75">
      <c r="B744" s="1127" t="s">
        <v>303</v>
      </c>
      <c r="C744" s="1128"/>
      <c r="D744" s="1129"/>
      <c r="E744" s="1129"/>
      <c r="F744" s="1129"/>
      <c r="G744" s="1129"/>
      <c r="H744" s="1129"/>
      <c r="I744" s="1129"/>
      <c r="J744" s="1129"/>
      <c r="K744" s="1129"/>
      <c r="L744" s="1129"/>
      <c r="M744" s="1129"/>
      <c r="N744" s="1129"/>
      <c r="O744" s="1130"/>
    </row>
    <row r="745" spans="1:16" ht="15.75">
      <c r="B745" s="1338"/>
      <c r="C745" s="1132"/>
      <c r="D745" s="1132"/>
      <c r="E745" s="1132"/>
      <c r="F745" s="1132"/>
      <c r="G745" s="1132"/>
      <c r="H745" s="1132"/>
      <c r="I745" s="1132"/>
      <c r="J745" s="1132"/>
      <c r="K745" s="1132"/>
      <c r="L745" s="1132"/>
      <c r="M745" s="1132"/>
      <c r="N745" s="1132"/>
      <c r="O745" s="1133"/>
    </row>
    <row r="746" spans="1:16" ht="15.75">
      <c r="B746" s="467"/>
      <c r="C746" s="462" t="s">
        <v>304</v>
      </c>
      <c r="D746" s="1135"/>
      <c r="E746" s="1135"/>
      <c r="F746" s="1135"/>
      <c r="G746" s="1135"/>
      <c r="H746" s="1135"/>
      <c r="I746" s="1135"/>
      <c r="J746" s="1135"/>
      <c r="K746" s="1135"/>
      <c r="L746" s="1135"/>
      <c r="M746" s="1135"/>
      <c r="N746" s="1136" t="s">
        <v>254</v>
      </c>
      <c r="O746" s="1138"/>
    </row>
    <row r="747" spans="1:16" ht="15.75">
      <c r="B747" s="467"/>
      <c r="C747" s="1135"/>
      <c r="D747" s="1135"/>
      <c r="E747" s="1136"/>
      <c r="F747" s="1135"/>
      <c r="G747" s="1135"/>
      <c r="H747" s="1135"/>
      <c r="I747" s="1135"/>
      <c r="J747" s="1135"/>
      <c r="K747" s="1135"/>
      <c r="L747" s="1135"/>
      <c r="M747" s="1135"/>
      <c r="N747" s="1135"/>
      <c r="O747" s="1138"/>
    </row>
    <row r="748" spans="1:16" ht="15.75">
      <c r="B748" s="467"/>
      <c r="C748" s="1339" t="s">
        <v>305</v>
      </c>
      <c r="D748" s="1339" t="s">
        <v>306</v>
      </c>
      <c r="E748" s="1339" t="s">
        <v>30</v>
      </c>
      <c r="F748" s="1339" t="s">
        <v>597</v>
      </c>
      <c r="G748" s="1339" t="s">
        <v>133</v>
      </c>
      <c r="H748" s="1339" t="s">
        <v>134</v>
      </c>
      <c r="I748" s="1339" t="s">
        <v>135</v>
      </c>
      <c r="J748" s="1339" t="s">
        <v>136</v>
      </c>
      <c r="K748" s="1339" t="s">
        <v>137</v>
      </c>
      <c r="L748" s="1339" t="s">
        <v>138</v>
      </c>
      <c r="M748" s="1339" t="s">
        <v>139</v>
      </c>
      <c r="N748" s="1339" t="s">
        <v>140</v>
      </c>
      <c r="O748" s="1138"/>
    </row>
    <row r="749" spans="1:16" ht="15.75">
      <c r="B749" s="467"/>
      <c r="C749" s="1140" t="s">
        <v>253</v>
      </c>
      <c r="D749" s="1141" t="s">
        <v>307</v>
      </c>
      <c r="E749" s="1141" t="str">
        <f>INDEX(IPCC[Sector_description], MATCH([IPCC Sector], IPCC[Sector_code], 0))</f>
        <v>Fuel Combustion</v>
      </c>
      <c r="F749" s="2799">
        <f t="shared" ref="F749:N749" si="110">F765-F757</f>
        <v>1.7191590942521029</v>
      </c>
      <c r="G749" s="2799">
        <f t="shared" si="110"/>
        <v>1.769511034251118</v>
      </c>
      <c r="H749" s="2799">
        <f t="shared" si="110"/>
        <v>1.6361368739256323</v>
      </c>
      <c r="I749" s="2799">
        <f t="shared" si="110"/>
        <v>1.4314753282690051</v>
      </c>
      <c r="J749" s="2799">
        <f t="shared" si="110"/>
        <v>1.1998091302267988</v>
      </c>
      <c r="K749" s="2799">
        <f t="shared" si="110"/>
        <v>0.94113827979901643</v>
      </c>
      <c r="L749" s="2799">
        <f t="shared" si="110"/>
        <v>0.65546277698565447</v>
      </c>
      <c r="M749" s="2799">
        <f t="shared" si="110"/>
        <v>0.34278262178671426</v>
      </c>
      <c r="N749" s="2799">
        <f t="shared" si="110"/>
        <v>3.0978142021975685E-3</v>
      </c>
      <c r="O749" s="1138"/>
    </row>
    <row r="750" spans="1:16" ht="15.75">
      <c r="B750" s="467"/>
      <c r="C750" s="1140" t="s">
        <v>255</v>
      </c>
      <c r="D750" s="1141" t="s">
        <v>307</v>
      </c>
      <c r="E750" s="1141" t="str">
        <f>INDEX(IPCC[Sector_description], MATCH([IPCC Sector], IPCC[Sector_code], 0))</f>
        <v>Fuel Combustion</v>
      </c>
      <c r="F750" s="2799">
        <f t="shared" ref="F750:N750" si="111">F766-F758</f>
        <v>9.044197496539349E-4</v>
      </c>
      <c r="G750" s="2799">
        <f t="shared" si="111"/>
        <v>9.3090903102455212E-4</v>
      </c>
      <c r="H750" s="2799">
        <f t="shared" si="111"/>
        <v>8.6068972160764396E-4</v>
      </c>
      <c r="I750" s="2799">
        <f t="shared" si="111"/>
        <v>7.5296205268260007E-4</v>
      </c>
      <c r="J750" s="2799">
        <f t="shared" si="111"/>
        <v>6.3102240116911536E-4</v>
      </c>
      <c r="K750" s="2799">
        <f t="shared" si="111"/>
        <v>4.9487076706719027E-4</v>
      </c>
      <c r="L750" s="2799">
        <f t="shared" si="111"/>
        <v>3.4450715037682381E-4</v>
      </c>
      <c r="M750" s="2799">
        <f t="shared" si="111"/>
        <v>1.7993155109801676E-4</v>
      </c>
      <c r="N750" s="2799">
        <f t="shared" si="111"/>
        <v>1.1439692307693185E-6</v>
      </c>
      <c r="O750" s="1138"/>
    </row>
    <row r="751" spans="1:16" ht="15.75">
      <c r="B751" s="467"/>
      <c r="C751" s="1140" t="s">
        <v>256</v>
      </c>
      <c r="D751" s="1141" t="s">
        <v>307</v>
      </c>
      <c r="E751" s="1141" t="str">
        <f>INDEX(IPCC[Sector_description], MATCH([IPCC Sector], IPCC[Sector_code], 0))</f>
        <v>Fuel Combustion</v>
      </c>
      <c r="F751" s="2799">
        <f t="shared" ref="F751:N751" si="112">F767-F759</f>
        <v>1.7663896636119548E-2</v>
      </c>
      <c r="G751" s="2799">
        <f t="shared" si="112"/>
        <v>1.8181249257261119E-2</v>
      </c>
      <c r="H751" s="2799">
        <f t="shared" si="112"/>
        <v>1.6812753184673023E-2</v>
      </c>
      <c r="I751" s="2799">
        <f t="shared" si="112"/>
        <v>1.4711985622925743E-2</v>
      </c>
      <c r="J751" s="2799">
        <f t="shared" si="112"/>
        <v>1.2333939725433958E-2</v>
      </c>
      <c r="K751" s="2799">
        <f t="shared" si="112"/>
        <v>9.6786154921977077E-3</v>
      </c>
      <c r="L751" s="2799">
        <f t="shared" si="112"/>
        <v>6.74601292321695E-3</v>
      </c>
      <c r="M751" s="2799">
        <f t="shared" si="112"/>
        <v>3.5361320184917056E-3</v>
      </c>
      <c r="N751" s="2799">
        <f t="shared" si="112"/>
        <v>4.8972778021988406E-5</v>
      </c>
      <c r="O751" s="1138"/>
    </row>
    <row r="752" spans="1:16" ht="15.75">
      <c r="B752" s="467"/>
      <c r="C752" s="2466" t="s">
        <v>59</v>
      </c>
      <c r="D752" s="2466"/>
      <c r="E752" s="2466"/>
      <c r="F752" s="2467">
        <f>SUBTOTAL(109,[2013])</f>
        <v>1.7377274106378764</v>
      </c>
      <c r="G752" s="2467">
        <f>SUBTOTAL(109,[2015])</f>
        <v>1.7886231925394036</v>
      </c>
      <c r="H752" s="2467">
        <f>SUBTOTAL(109,[2020])</f>
        <v>1.6538103168319132</v>
      </c>
      <c r="I752" s="2467">
        <f>SUBTOTAL(109,[2025])</f>
        <v>1.4469402759446133</v>
      </c>
      <c r="J752" s="2467">
        <f>SUBTOTAL(109,[2030])</f>
        <v>1.2127740923534021</v>
      </c>
      <c r="K752" s="2467">
        <f>SUBTOTAL(109,[2035])</f>
        <v>0.95131176605828138</v>
      </c>
      <c r="L752" s="2467">
        <f>SUBTOTAL(109,[2040])</f>
        <v>0.66255329705924826</v>
      </c>
      <c r="M752" s="2467">
        <f>SUBTOTAL(109,[2045])</f>
        <v>0.34649868535630401</v>
      </c>
      <c r="N752" s="2467">
        <f>SUBTOTAL(109,[2050])</f>
        <v>3.1479309494503263E-3</v>
      </c>
      <c r="O752" s="1138"/>
    </row>
    <row r="753" spans="2:15" ht="15.75">
      <c r="B753" s="467"/>
      <c r="C753" s="1135"/>
      <c r="D753" s="1135"/>
      <c r="E753" s="1135"/>
      <c r="F753" s="1135"/>
      <c r="G753" s="1135"/>
      <c r="H753" s="1135"/>
      <c r="I753" s="1135"/>
      <c r="J753" s="1135"/>
      <c r="K753" s="1135"/>
      <c r="L753" s="1135"/>
      <c r="M753" s="1135"/>
      <c r="N753" s="1135"/>
      <c r="O753" s="1138"/>
    </row>
    <row r="754" spans="2:15" ht="15.75">
      <c r="B754" s="467"/>
      <c r="C754" s="462" t="s">
        <v>309</v>
      </c>
      <c r="D754" s="1135"/>
      <c r="E754" s="1135"/>
      <c r="F754" s="1135"/>
      <c r="G754" s="1135"/>
      <c r="H754" s="1135"/>
      <c r="I754" s="1135"/>
      <c r="J754" s="1135"/>
      <c r="K754" s="1135"/>
      <c r="L754" s="1135"/>
      <c r="M754" s="1135"/>
      <c r="N754" s="1136" t="s">
        <v>254</v>
      </c>
      <c r="O754" s="1138"/>
    </row>
    <row r="755" spans="2:15" ht="15.75">
      <c r="B755" s="467"/>
      <c r="C755" s="1135"/>
      <c r="D755" s="1135"/>
      <c r="E755" s="1136"/>
      <c r="F755" s="1135"/>
      <c r="G755" s="1135"/>
      <c r="H755" s="1135"/>
      <c r="I755" s="1135"/>
      <c r="J755" s="1135"/>
      <c r="K755" s="1135"/>
      <c r="L755" s="1135"/>
      <c r="M755" s="1135"/>
      <c r="N755" s="1135"/>
      <c r="O755" s="1138"/>
    </row>
    <row r="756" spans="2:15" ht="15.75">
      <c r="B756" s="467"/>
      <c r="C756" s="1339" t="s">
        <v>305</v>
      </c>
      <c r="D756" s="1339" t="s">
        <v>306</v>
      </c>
      <c r="E756" s="1339" t="s">
        <v>30</v>
      </c>
      <c r="F756" s="1339" t="s">
        <v>597</v>
      </c>
      <c r="G756" s="1339" t="s">
        <v>133</v>
      </c>
      <c r="H756" s="1339" t="s">
        <v>134</v>
      </c>
      <c r="I756" s="1339" t="s">
        <v>135</v>
      </c>
      <c r="J756" s="1339" t="s">
        <v>136</v>
      </c>
      <c r="K756" s="1339" t="s">
        <v>137</v>
      </c>
      <c r="L756" s="1339" t="s">
        <v>138</v>
      </c>
      <c r="M756" s="1339" t="s">
        <v>139</v>
      </c>
      <c r="N756" s="1339" t="s">
        <v>140</v>
      </c>
      <c r="O756" s="1138"/>
    </row>
    <row r="757" spans="2:15" ht="15.75">
      <c r="B757" s="467"/>
      <c r="C757" s="1140" t="s">
        <v>253</v>
      </c>
      <c r="D757" s="1141" t="s">
        <v>307</v>
      </c>
      <c r="E757" s="1141" t="str">
        <f>INDEX(IPCC[Sector_description], MATCH([IPCC Sector], IPCC[Sector_code], 0))</f>
        <v>Fuel Combustion</v>
      </c>
      <c r="F757" s="2799">
        <f>F527</f>
        <v>0</v>
      </c>
      <c r="G757" s="2799">
        <f t="shared" ref="G757:N757" si="113">G527</f>
        <v>0</v>
      </c>
      <c r="H757" s="2799">
        <f t="shared" si="113"/>
        <v>0.62074392428571434</v>
      </c>
      <c r="I757" s="2799">
        <f t="shared" si="113"/>
        <v>1.3030504380000001</v>
      </c>
      <c r="J757" s="2799">
        <f t="shared" si="113"/>
        <v>2.0469195411428576</v>
      </c>
      <c r="K757" s="2799">
        <f t="shared" si="113"/>
        <v>2.8523512337142858</v>
      </c>
      <c r="L757" s="2799">
        <f t="shared" si="113"/>
        <v>3.7193455157142861</v>
      </c>
      <c r="M757" s="2799">
        <f t="shared" si="113"/>
        <v>4.6479023871428575</v>
      </c>
      <c r="N757" s="2799">
        <f t="shared" si="113"/>
        <v>5.6380218479999993</v>
      </c>
      <c r="O757" s="1138"/>
    </row>
    <row r="758" spans="2:15" ht="15.75">
      <c r="B758" s="467"/>
      <c r="C758" s="1140" t="s">
        <v>255</v>
      </c>
      <c r="D758" s="1141" t="s">
        <v>307</v>
      </c>
      <c r="E758" s="1141" t="str">
        <f>INDEX(IPCC[Sector_description], MATCH([IPCC Sector], IPCC[Sector_code], 0))</f>
        <v>Fuel Combustion</v>
      </c>
      <c r="F758" s="2799">
        <f t="shared" ref="F758:N759" si="114">F528</f>
        <v>0</v>
      </c>
      <c r="G758" s="2799">
        <f t="shared" si="114"/>
        <v>0</v>
      </c>
      <c r="H758" s="2799">
        <f t="shared" si="114"/>
        <v>2.2923000000000005E-4</v>
      </c>
      <c r="I758" s="2799">
        <f t="shared" si="114"/>
        <v>4.8119400000000006E-4</v>
      </c>
      <c r="J758" s="2799">
        <f t="shared" si="114"/>
        <v>7.558920000000003E-4</v>
      </c>
      <c r="K758" s="2799">
        <f t="shared" si="114"/>
        <v>1.0533240000000002E-3</v>
      </c>
      <c r="L758" s="2799">
        <f t="shared" si="114"/>
        <v>1.3734900000000002E-3</v>
      </c>
      <c r="M758" s="2799">
        <f t="shared" si="114"/>
        <v>1.7163900000000001E-3</v>
      </c>
      <c r="N758" s="2799">
        <f t="shared" si="114"/>
        <v>2.082024E-3</v>
      </c>
      <c r="O758" s="1138"/>
    </row>
    <row r="759" spans="2:15" ht="15.75">
      <c r="B759" s="467"/>
      <c r="C759" s="1140" t="s">
        <v>256</v>
      </c>
      <c r="D759" s="1141" t="s">
        <v>307</v>
      </c>
      <c r="E759" s="1141" t="str">
        <f>INDEX(IPCC[Sector_description], MATCH([IPCC Sector], IPCC[Sector_code], 0))</f>
        <v>Fuel Combustion</v>
      </c>
      <c r="F759" s="2799">
        <f t="shared" si="114"/>
        <v>0</v>
      </c>
      <c r="G759" s="2799">
        <f t="shared" si="114"/>
        <v>0</v>
      </c>
      <c r="H759" s="2799">
        <f t="shared" si="114"/>
        <v>9.8132271428571435E-3</v>
      </c>
      <c r="I759" s="2799">
        <f t="shared" si="114"/>
        <v>2.0599685999999999E-2</v>
      </c>
      <c r="J759" s="2799">
        <f t="shared" si="114"/>
        <v>3.235937657142858E-2</v>
      </c>
      <c r="K759" s="2799">
        <f t="shared" si="114"/>
        <v>4.509229885714286E-2</v>
      </c>
      <c r="L759" s="2799">
        <f t="shared" si="114"/>
        <v>5.8798452857142865E-2</v>
      </c>
      <c r="M759" s="2799">
        <f t="shared" si="114"/>
        <v>7.3477838571428575E-2</v>
      </c>
      <c r="N759" s="2799">
        <f t="shared" si="114"/>
        <v>8.9130455999999983E-2</v>
      </c>
      <c r="O759" s="1138"/>
    </row>
    <row r="760" spans="2:15" ht="15.75">
      <c r="B760" s="467"/>
      <c r="C760" s="2466" t="s">
        <v>59</v>
      </c>
      <c r="D760" s="2466"/>
      <c r="E760" s="2466"/>
      <c r="F760" s="2467">
        <f>SUBTOTAL(109,[2013])</f>
        <v>0</v>
      </c>
      <c r="G760" s="2467">
        <f>SUBTOTAL(109,[2015])</f>
        <v>0</v>
      </c>
      <c r="H760" s="2467">
        <f>SUBTOTAL(109,[2020])</f>
        <v>0.63078638142857146</v>
      </c>
      <c r="I760" s="2467">
        <f>SUBTOTAL(109,[2025])</f>
        <v>1.3241313180000001</v>
      </c>
      <c r="J760" s="2467">
        <f>SUBTOTAL(109,[2030])</f>
        <v>2.0800348097142862</v>
      </c>
      <c r="K760" s="2467">
        <f>SUBTOTAL(109,[2035])</f>
        <v>2.8984968565714286</v>
      </c>
      <c r="L760" s="2467">
        <f>SUBTOTAL(109,[2040])</f>
        <v>3.7795174585714291</v>
      </c>
      <c r="M760" s="2467">
        <f>SUBTOTAL(109,[2045])</f>
        <v>4.7230966157142866</v>
      </c>
      <c r="N760" s="2467">
        <f>SUBTOTAL(109,[2050])</f>
        <v>5.7292343279999995</v>
      </c>
      <c r="O760" s="1138"/>
    </row>
    <row r="761" spans="2:15">
      <c r="B761" s="1134"/>
      <c r="C761" s="1135"/>
      <c r="D761" s="1135"/>
      <c r="E761" s="1135"/>
      <c r="F761" s="1135"/>
      <c r="G761" s="1135"/>
      <c r="H761" s="1135"/>
      <c r="I761" s="1135"/>
      <c r="J761" s="1135"/>
      <c r="K761" s="1135"/>
      <c r="L761" s="1135"/>
      <c r="M761" s="1135"/>
      <c r="N761" s="1135"/>
      <c r="O761" s="1138"/>
    </row>
    <row r="762" spans="2:15" ht="15.75">
      <c r="B762" s="467"/>
      <c r="C762" s="462" t="s">
        <v>310</v>
      </c>
      <c r="D762" s="1135"/>
      <c r="E762" s="1135"/>
      <c r="F762" s="1135"/>
      <c r="G762" s="1135"/>
      <c r="H762" s="1135"/>
      <c r="I762" s="1135"/>
      <c r="J762" s="1135"/>
      <c r="K762" s="1135"/>
      <c r="L762" s="1135"/>
      <c r="M762" s="1135"/>
      <c r="N762" s="1136" t="s">
        <v>254</v>
      </c>
      <c r="O762" s="1138"/>
    </row>
    <row r="763" spans="2:15" ht="15.75">
      <c r="B763" s="467"/>
      <c r="C763" s="1135"/>
      <c r="D763" s="1135"/>
      <c r="E763" s="1136"/>
      <c r="F763" s="1135"/>
      <c r="G763" s="1135"/>
      <c r="H763" s="1135"/>
      <c r="I763" s="1135"/>
      <c r="J763" s="1135"/>
      <c r="K763" s="1135"/>
      <c r="L763" s="1135"/>
      <c r="M763" s="1135"/>
      <c r="N763" s="1135"/>
      <c r="O763" s="1138"/>
    </row>
    <row r="764" spans="2:15" ht="15.75">
      <c r="B764" s="467"/>
      <c r="C764" s="1339" t="s">
        <v>305</v>
      </c>
      <c r="D764" s="1339" t="s">
        <v>306</v>
      </c>
      <c r="E764" s="1339" t="s">
        <v>30</v>
      </c>
      <c r="F764" s="1339" t="s">
        <v>597</v>
      </c>
      <c r="G764" s="1339" t="s">
        <v>133</v>
      </c>
      <c r="H764" s="1339" t="s">
        <v>134</v>
      </c>
      <c r="I764" s="1339" t="s">
        <v>135</v>
      </c>
      <c r="J764" s="1339" t="s">
        <v>136</v>
      </c>
      <c r="K764" s="1339" t="s">
        <v>137</v>
      </c>
      <c r="L764" s="1339" t="s">
        <v>138</v>
      </c>
      <c r="M764" s="1339" t="s">
        <v>139</v>
      </c>
      <c r="N764" s="1339" t="s">
        <v>140</v>
      </c>
      <c r="O764" s="1138"/>
    </row>
    <row r="765" spans="2:15" ht="15.75">
      <c r="B765" s="467"/>
      <c r="C765" s="1140" t="s">
        <v>253</v>
      </c>
      <c r="D765" s="1141" t="s">
        <v>307</v>
      </c>
      <c r="E765" s="1141" t="str">
        <f>INDEX(IPCC[Sector_description], MATCH([IPCC Sector], IPCC[Sector_code], 0))</f>
        <v>Fuel Combustion</v>
      </c>
      <c r="F765" s="2799">
        <f>F$462</f>
        <v>1.7191590942521029</v>
      </c>
      <c r="G765" s="2799">
        <f t="shared" ref="G765:N765" si="115">G$462</f>
        <v>1.769511034251118</v>
      </c>
      <c r="H765" s="2799">
        <f t="shared" si="115"/>
        <v>2.2568807982113466</v>
      </c>
      <c r="I765" s="2799">
        <f t="shared" si="115"/>
        <v>2.7345257662690052</v>
      </c>
      <c r="J765" s="2799">
        <f t="shared" si="115"/>
        <v>3.2467286713696564</v>
      </c>
      <c r="K765" s="2799">
        <f t="shared" si="115"/>
        <v>3.7934895135133022</v>
      </c>
      <c r="L765" s="2799">
        <f t="shared" si="115"/>
        <v>4.3748082926999405</v>
      </c>
      <c r="M765" s="2799">
        <f t="shared" si="115"/>
        <v>4.9906850089295718</v>
      </c>
      <c r="N765" s="2799">
        <f t="shared" si="115"/>
        <v>5.6411196622021968</v>
      </c>
      <c r="O765" s="1138"/>
    </row>
    <row r="766" spans="2:15" ht="15.75">
      <c r="B766" s="467"/>
      <c r="C766" s="1140" t="s">
        <v>255</v>
      </c>
      <c r="D766" s="1141" t="s">
        <v>307</v>
      </c>
      <c r="E766" s="1141" t="str">
        <f>INDEX(IPCC[Sector_description], MATCH([IPCC Sector], IPCC[Sector_code], 0))</f>
        <v>Fuel Combustion</v>
      </c>
      <c r="F766" s="2799">
        <f>F$463</f>
        <v>9.044197496539349E-4</v>
      </c>
      <c r="G766" s="2799">
        <f t="shared" ref="G766:N766" si="116">G$463</f>
        <v>9.3090903102455212E-4</v>
      </c>
      <c r="H766" s="2799">
        <f t="shared" si="116"/>
        <v>1.089919721607644E-3</v>
      </c>
      <c r="I766" s="2799">
        <f t="shared" si="116"/>
        <v>1.2341560526826002E-3</v>
      </c>
      <c r="J766" s="2799">
        <f t="shared" si="116"/>
        <v>1.3869144011691157E-3</v>
      </c>
      <c r="K766" s="2799">
        <f t="shared" si="116"/>
        <v>1.5481947670671905E-3</v>
      </c>
      <c r="L766" s="2799">
        <f t="shared" si="116"/>
        <v>1.717997150376824E-3</v>
      </c>
      <c r="M766" s="2799">
        <f t="shared" si="116"/>
        <v>1.8963215510980169E-3</v>
      </c>
      <c r="N766" s="2799">
        <f t="shared" si="116"/>
        <v>2.0831679692307693E-3</v>
      </c>
      <c r="O766" s="1138"/>
    </row>
    <row r="767" spans="2:15" ht="15.75">
      <c r="B767" s="467"/>
      <c r="C767" s="1140" t="s">
        <v>256</v>
      </c>
      <c r="D767" s="1141" t="s">
        <v>307</v>
      </c>
      <c r="E767" s="1141" t="str">
        <f>INDEX(IPCC[Sector_description], MATCH([IPCC Sector], IPCC[Sector_code], 0))</f>
        <v>Fuel Combustion</v>
      </c>
      <c r="F767" s="2799">
        <f>F$464</f>
        <v>1.7663896636119548E-2</v>
      </c>
      <c r="G767" s="2799">
        <f t="shared" ref="G767:N767" si="117">G$464</f>
        <v>1.8181249257261119E-2</v>
      </c>
      <c r="H767" s="2799">
        <f t="shared" si="117"/>
        <v>2.6625980327530167E-2</v>
      </c>
      <c r="I767" s="2799">
        <f t="shared" si="117"/>
        <v>3.5311671622925742E-2</v>
      </c>
      <c r="J767" s="2799">
        <f t="shared" si="117"/>
        <v>4.4693316296862538E-2</v>
      </c>
      <c r="K767" s="2799">
        <f t="shared" si="117"/>
        <v>5.4770914349340567E-2</v>
      </c>
      <c r="L767" s="2799">
        <f t="shared" si="117"/>
        <v>6.5544465780359815E-2</v>
      </c>
      <c r="M767" s="2799">
        <f t="shared" si="117"/>
        <v>7.701397058992028E-2</v>
      </c>
      <c r="N767" s="2799">
        <f t="shared" si="117"/>
        <v>8.9179428778021971E-2</v>
      </c>
      <c r="O767" s="1138"/>
    </row>
    <row r="768" spans="2:15" ht="15.75">
      <c r="B768" s="467"/>
      <c r="C768" s="2466" t="s">
        <v>59</v>
      </c>
      <c r="D768" s="2466"/>
      <c r="E768" s="2466"/>
      <c r="F768" s="2467">
        <f>SUBTOTAL(109,[2013])</f>
        <v>1.7377274106378764</v>
      </c>
      <c r="G768" s="2467">
        <f>SUBTOTAL(109,[2015])</f>
        <v>1.7886231925394036</v>
      </c>
      <c r="H768" s="2467">
        <f>SUBTOTAL(109,[2020])</f>
        <v>2.2845966982604846</v>
      </c>
      <c r="I768" s="2467">
        <f>SUBTOTAL(109,[2025])</f>
        <v>2.7710715939446136</v>
      </c>
      <c r="J768" s="2467">
        <f>SUBTOTAL(109,[2030])</f>
        <v>3.2928089020676881</v>
      </c>
      <c r="K768" s="2467">
        <f>SUBTOTAL(109,[2035])</f>
        <v>3.8498086226297099</v>
      </c>
      <c r="L768" s="2467">
        <f>SUBTOTAL(109,[2040])</f>
        <v>4.4420707556306773</v>
      </c>
      <c r="M768" s="2467">
        <f>SUBTOTAL(109,[2045])</f>
        <v>5.0695953010705903</v>
      </c>
      <c r="N768" s="2467">
        <f>SUBTOTAL(109,[2050])</f>
        <v>5.7323822589494489</v>
      </c>
      <c r="O768" s="1138"/>
    </row>
    <row r="769" spans="2:22" ht="15.75">
      <c r="B769" s="467"/>
      <c r="C769" s="1140"/>
      <c r="D769" s="1140"/>
      <c r="E769" s="1140"/>
      <c r="F769" s="471"/>
      <c r="G769" s="471"/>
      <c r="H769" s="471"/>
      <c r="I769" s="471"/>
      <c r="J769" s="471"/>
      <c r="K769" s="471"/>
      <c r="L769" s="471"/>
      <c r="M769" s="471"/>
      <c r="N769" s="471"/>
      <c r="O769" s="1138"/>
    </row>
    <row r="770" spans="2:22" ht="15.75">
      <c r="B770" s="467"/>
      <c r="C770" s="475" t="s">
        <v>311</v>
      </c>
      <c r="D770" s="1140"/>
      <c r="E770" s="1140"/>
      <c r="F770" s="471"/>
      <c r="G770" s="471"/>
      <c r="H770" s="471"/>
      <c r="I770" s="471"/>
      <c r="J770" s="471"/>
      <c r="K770" s="471"/>
      <c r="L770" s="471"/>
      <c r="M770" s="471"/>
      <c r="N770" s="476" t="s">
        <v>994</v>
      </c>
      <c r="O770" s="1138"/>
    </row>
    <row r="771" spans="2:22" ht="15.75">
      <c r="B771" s="467"/>
      <c r="C771" s="1140"/>
      <c r="D771" s="1140"/>
      <c r="E771" s="1140"/>
      <c r="F771" s="471"/>
      <c r="G771" s="471"/>
      <c r="H771" s="471"/>
      <c r="I771" s="471"/>
      <c r="J771" s="471"/>
      <c r="K771" s="471"/>
      <c r="L771" s="471"/>
      <c r="M771" s="471"/>
      <c r="N771" s="471"/>
      <c r="O771" s="1138"/>
    </row>
    <row r="772" spans="2:22" ht="15.75">
      <c r="B772" s="467"/>
      <c r="C772" s="1340" t="s">
        <v>28</v>
      </c>
      <c r="D772" s="1341" t="s">
        <v>29</v>
      </c>
      <c r="E772" s="1341" t="s">
        <v>30</v>
      </c>
      <c r="F772" s="1341" t="s">
        <v>597</v>
      </c>
      <c r="G772" s="1341" t="s">
        <v>133</v>
      </c>
      <c r="H772" s="1341" t="s">
        <v>134</v>
      </c>
      <c r="I772" s="1341" t="s">
        <v>135</v>
      </c>
      <c r="J772" s="1341" t="s">
        <v>136</v>
      </c>
      <c r="K772" s="1341" t="s">
        <v>137</v>
      </c>
      <c r="L772" s="1341" t="s">
        <v>138</v>
      </c>
      <c r="M772" s="1341" t="s">
        <v>139</v>
      </c>
      <c r="N772" s="1342" t="s">
        <v>140</v>
      </c>
      <c r="O772" s="1138"/>
      <c r="S772" s="1152"/>
      <c r="T772" s="1153"/>
      <c r="U772" s="1152"/>
      <c r="V772" s="1152"/>
    </row>
    <row r="773" spans="2:22" ht="15.75">
      <c r="B773" s="467"/>
      <c r="C773" s="3338" t="str">
        <f>INDEX(AirQualityVectors[Code],MATCH(D773,AirQualityVectors[Description],0))</f>
        <v>AQ.01</v>
      </c>
      <c r="D773" s="1343" t="s">
        <v>261</v>
      </c>
      <c r="E773" s="1344"/>
      <c r="F773" s="1345">
        <f t="shared" ref="F773:N776" ca="1" si="118">F488</f>
        <v>0.20623746077790597</v>
      </c>
      <c r="G773" s="1345">
        <f t="shared" ca="1" si="118"/>
        <v>0.26277954433523787</v>
      </c>
      <c r="H773" s="1345">
        <f t="shared" ca="1" si="118"/>
        <v>0.48871363225171072</v>
      </c>
      <c r="I773" s="1345">
        <f t="shared" ca="1" si="118"/>
        <v>0.4860582991676774</v>
      </c>
      <c r="J773" s="1345">
        <f t="shared" ca="1" si="118"/>
        <v>0.42257747778172899</v>
      </c>
      <c r="K773" s="1345">
        <f t="shared" ca="1" si="118"/>
        <v>0.33569879854945495</v>
      </c>
      <c r="L773" s="1345">
        <f t="shared" ca="1" si="118"/>
        <v>0.23646137599191766</v>
      </c>
      <c r="M773" s="1345">
        <f t="shared" ca="1" si="118"/>
        <v>0.12430516877450806</v>
      </c>
      <c r="N773" s="1345">
        <f t="shared" ca="1" si="118"/>
        <v>1.5504241592964471E-4</v>
      </c>
      <c r="O773" s="1138"/>
      <c r="T773" s="6"/>
    </row>
    <row r="774" spans="2:22" ht="15.75">
      <c r="B774" s="474"/>
      <c r="C774" s="3339" t="str">
        <f>INDEX(AirQualityVectors[Code],MATCH(D774,AirQualityVectors[Description],0))</f>
        <v>AQ.02</v>
      </c>
      <c r="D774" s="1144" t="s">
        <v>263</v>
      </c>
      <c r="E774" s="1148"/>
      <c r="F774" s="1346">
        <f t="shared" ca="1" si="118"/>
        <v>1.6821508695466467</v>
      </c>
      <c r="G774" s="1346">
        <f t="shared" ca="1" si="118"/>
        <v>1.7226191283893759</v>
      </c>
      <c r="H774" s="1346">
        <f t="shared" ca="1" si="118"/>
        <v>1.5504621493733093</v>
      </c>
      <c r="I774" s="1346">
        <f t="shared" ca="1" si="118"/>
        <v>1.3311829756599267</v>
      </c>
      <c r="J774" s="1346">
        <f t="shared" ca="1" si="118"/>
        <v>1.0738932635267191</v>
      </c>
      <c r="K774" s="1346">
        <f t="shared" ca="1" si="118"/>
        <v>0.83211648293918561</v>
      </c>
      <c r="L774" s="1346">
        <f t="shared" ca="1" si="118"/>
        <v>0.57286892046425764</v>
      </c>
      <c r="M774" s="1346">
        <f t="shared" ca="1" si="118"/>
        <v>0.29744731261960633</v>
      </c>
      <c r="N774" s="3336">
        <f t="shared" ca="1" si="118"/>
        <v>2.7157761398350026E-3</v>
      </c>
      <c r="O774" s="1135"/>
      <c r="T774" s="6"/>
    </row>
    <row r="775" spans="2:22" ht="15.75">
      <c r="B775" s="474"/>
      <c r="C775" s="3339" t="str">
        <f>INDEX(AirQualityVectors[Code],MATCH(D775,AirQualityVectors[Description],0))</f>
        <v>AQ.03</v>
      </c>
      <c r="D775" s="1144" t="s">
        <v>265</v>
      </c>
      <c r="E775" s="1148"/>
      <c r="F775" s="1346">
        <f t="shared" ca="1" si="118"/>
        <v>2.5774624279489808</v>
      </c>
      <c r="G775" s="1346">
        <f t="shared" ca="1" si="118"/>
        <v>2.5442104587698311</v>
      </c>
      <c r="H775" s="1346">
        <f t="shared" ca="1" si="118"/>
        <v>1.8336363938078775</v>
      </c>
      <c r="I775" s="1346">
        <f t="shared" ca="1" si="118"/>
        <v>1.4715169967311912</v>
      </c>
      <c r="J775" s="1346">
        <f t="shared" ca="1" si="118"/>
        <v>1.2085404579462846</v>
      </c>
      <c r="K775" s="1346">
        <f t="shared" ca="1" si="118"/>
        <v>0.92719928726166845</v>
      </c>
      <c r="L775" s="1346">
        <f t="shared" ca="1" si="118"/>
        <v>0.63026078687170606</v>
      </c>
      <c r="M775" s="1346">
        <f t="shared" ca="1" si="118"/>
        <v>0.32024122380235903</v>
      </c>
      <c r="N775" s="3336">
        <f t="shared" ca="1" si="118"/>
        <v>0</v>
      </c>
      <c r="O775" s="1135"/>
      <c r="T775" s="6"/>
    </row>
    <row r="776" spans="2:22" ht="15.75">
      <c r="B776" s="474"/>
      <c r="C776" s="3340" t="str">
        <f>INDEX(AirQualityVectors[Code],MATCH(D776,AirQualityVectors[Description],0))</f>
        <v>AQ.04</v>
      </c>
      <c r="D776" s="1347" t="s">
        <v>267</v>
      </c>
      <c r="E776" s="1348"/>
      <c r="F776" s="1349">
        <f t="shared" ca="1" si="118"/>
        <v>6.4152002548584303E-2</v>
      </c>
      <c r="G776" s="1349">
        <f t="shared" ca="1" si="118"/>
        <v>7.0946092110318076E-2</v>
      </c>
      <c r="H776" s="1349">
        <f t="shared" ca="1" si="118"/>
        <v>8.8688810153836589E-2</v>
      </c>
      <c r="I776" s="1349">
        <f t="shared" ca="1" si="118"/>
        <v>8.499883203393703E-2</v>
      </c>
      <c r="J776" s="1349">
        <f t="shared" ca="1" si="118"/>
        <v>7.537176674700008E-2</v>
      </c>
      <c r="K776" s="1349">
        <f t="shared" ca="1" si="118"/>
        <v>6.109506792265125E-2</v>
      </c>
      <c r="L776" s="1349">
        <f t="shared" ca="1" si="118"/>
        <v>4.3924151062491555E-2</v>
      </c>
      <c r="M776" s="1349">
        <f t="shared" ca="1" si="118"/>
        <v>2.3609614793585566E-2</v>
      </c>
      <c r="N776" s="3337">
        <f t="shared" ca="1" si="118"/>
        <v>1.3994092114523574E-4</v>
      </c>
      <c r="O776" s="1135"/>
    </row>
    <row r="777" spans="2:22" ht="15.75">
      <c r="B777" s="474"/>
      <c r="C777" s="1149"/>
      <c r="D777" s="1149"/>
      <c r="E777" s="1149"/>
      <c r="F777" s="1149"/>
      <c r="G777" s="1149"/>
      <c r="H777" s="1149"/>
      <c r="I777" s="1149"/>
      <c r="J777" s="1149"/>
      <c r="K777" s="1149"/>
      <c r="L777" s="1149"/>
      <c r="M777" s="1149"/>
      <c r="N777" s="1149"/>
      <c r="O777" s="1135"/>
    </row>
    <row r="779" spans="2:22" ht="15.75">
      <c r="B779" s="995" t="s">
        <v>313</v>
      </c>
      <c r="C779" s="996"/>
      <c r="D779" s="997"/>
      <c r="E779" s="997"/>
      <c r="F779" s="997"/>
      <c r="G779" s="997"/>
      <c r="H779" s="997"/>
      <c r="I779" s="997"/>
      <c r="J779" s="997"/>
      <c r="K779" s="997"/>
      <c r="L779" s="997"/>
      <c r="M779" s="997"/>
      <c r="N779" s="997"/>
      <c r="O779" s="998"/>
    </row>
    <row r="780" spans="2:22">
      <c r="B780" s="999"/>
      <c r="C780" s="1000"/>
      <c r="D780" s="1000"/>
      <c r="E780" s="1000"/>
      <c r="F780" s="1000"/>
      <c r="G780" s="1000"/>
      <c r="H780" s="1000"/>
      <c r="I780" s="1000"/>
      <c r="J780" s="1000"/>
      <c r="K780" s="1000"/>
      <c r="L780" s="1000"/>
      <c r="M780" s="1000"/>
      <c r="N780" s="1000"/>
      <c r="O780" s="1001"/>
    </row>
    <row r="781" spans="2:22">
      <c r="B781" s="1002"/>
      <c r="C781" s="488" t="s">
        <v>314</v>
      </c>
      <c r="D781" s="1003"/>
      <c r="E781" s="1004"/>
      <c r="F781" s="1003"/>
      <c r="G781" s="1003"/>
      <c r="H781" s="1003"/>
      <c r="I781" s="1003"/>
      <c r="J781" s="1003"/>
      <c r="K781" s="1003"/>
      <c r="L781" s="1003"/>
      <c r="M781" s="1003"/>
      <c r="N781" s="1004"/>
      <c r="O781" s="1005"/>
    </row>
    <row r="782" spans="2:22">
      <c r="B782" s="1002"/>
      <c r="C782" s="1003"/>
      <c r="D782" s="1003"/>
      <c r="E782" s="1003"/>
      <c r="F782" s="1003"/>
      <c r="G782" s="1003"/>
      <c r="H782" s="1003"/>
      <c r="I782" s="1003"/>
      <c r="J782" s="1003"/>
      <c r="K782" s="1003"/>
      <c r="L782" s="1003"/>
      <c r="M782" s="1003"/>
      <c r="N782" s="1003"/>
      <c r="O782" s="1005"/>
    </row>
    <row r="783" spans="2:22" ht="15.75">
      <c r="B783" s="492"/>
      <c r="C783" s="1006" t="s">
        <v>28</v>
      </c>
      <c r="D783" s="1006" t="s">
        <v>315</v>
      </c>
      <c r="E783" s="1006" t="s">
        <v>30</v>
      </c>
      <c r="F783" s="1006" t="s">
        <v>597</v>
      </c>
      <c r="G783" s="1006" t="s">
        <v>133</v>
      </c>
      <c r="H783" s="1006" t="s">
        <v>134</v>
      </c>
      <c r="I783" s="1006" t="s">
        <v>135</v>
      </c>
      <c r="J783" s="1006" t="s">
        <v>136</v>
      </c>
      <c r="K783" s="1006" t="s">
        <v>137</v>
      </c>
      <c r="L783" s="1006" t="s">
        <v>138</v>
      </c>
      <c r="M783" s="1006" t="s">
        <v>139</v>
      </c>
      <c r="N783" s="1006" t="s">
        <v>140</v>
      </c>
      <c r="O783" s="1005"/>
    </row>
    <row r="784" spans="2:22" ht="15.75">
      <c r="B784" s="492"/>
      <c r="C784" s="1007" t="s">
        <v>318</v>
      </c>
      <c r="D784" s="3064" t="str">
        <f>INDEX(Vectors[Description], MATCH([Vector], Vectors[Code], 0))</f>
        <v>Additional electricity at peak</v>
      </c>
      <c r="E784" s="494" t="str">
        <f>Preferences.PowerUnits</f>
        <v>GW</v>
      </c>
      <c r="F784" s="4121">
        <f>F586</f>
        <v>-4.5196719649149467E-2</v>
      </c>
      <c r="G784" s="4121">
        <f t="shared" ref="G784:N784" si="119">G586</f>
        <v>-5.4309791196626649E-2</v>
      </c>
      <c r="H784" s="4121">
        <f t="shared" si="119"/>
        <v>-6.2329291744076129E-2</v>
      </c>
      <c r="I784" s="4121">
        <f t="shared" si="119"/>
        <v>-6.6183627036638673E-2</v>
      </c>
      <c r="J784" s="4121">
        <f t="shared" si="119"/>
        <v>-6.8143512633587894E-2</v>
      </c>
      <c r="K784" s="4121">
        <f t="shared" si="119"/>
        <v>-6.8208948534923916E-2</v>
      </c>
      <c r="L784" s="4121">
        <f t="shared" si="119"/>
        <v>-6.6379934740646573E-2</v>
      </c>
      <c r="M784" s="4121">
        <f t="shared" si="119"/>
        <v>-6.2656471250756005E-2</v>
      </c>
      <c r="N784" s="4121">
        <f t="shared" si="119"/>
        <v>-5.7038558065252098E-2</v>
      </c>
      <c r="O784" s="1005"/>
    </row>
    <row r="785" spans="2:16" ht="15.75">
      <c r="B785" s="492"/>
      <c r="C785" s="1007" t="s">
        <v>320</v>
      </c>
      <c r="D785" s="3064" t="str">
        <f>INDEX(Vectors[Description], MATCH([Vector], Vectors[Code], 0))</f>
        <v>Temperature related additional electricity demand</v>
      </c>
      <c r="E785" s="494" t="str">
        <f>Preferences.PowerUnits</f>
        <v>GW</v>
      </c>
      <c r="F785" s="4121">
        <f>F620</f>
        <v>0.3037037037037037</v>
      </c>
      <c r="G785" s="4121">
        <f t="shared" ref="G785:N785" si="120">G620</f>
        <v>0.3037037037037037</v>
      </c>
      <c r="H785" s="4121">
        <f t="shared" si="120"/>
        <v>0.14603174603174598</v>
      </c>
      <c r="I785" s="4121">
        <f t="shared" si="120"/>
        <v>-1.1640211640211701E-2</v>
      </c>
      <c r="J785" s="4121">
        <f t="shared" si="120"/>
        <v>-0.16931216931216941</v>
      </c>
      <c r="K785" s="4121">
        <f t="shared" si="120"/>
        <v>-0.3269841269841271</v>
      </c>
      <c r="L785" s="4121">
        <f t="shared" si="120"/>
        <v>-0.48465608465608478</v>
      </c>
      <c r="M785" s="4121">
        <f t="shared" si="120"/>
        <v>-0.64232804232804241</v>
      </c>
      <c r="N785" s="4121">
        <f t="shared" si="120"/>
        <v>-0.8</v>
      </c>
      <c r="O785" s="1005"/>
    </row>
    <row r="786" spans="2:16" ht="15.75">
      <c r="B786" s="497"/>
      <c r="C786" s="1010"/>
      <c r="D786" s="1010"/>
      <c r="E786" s="1010"/>
      <c r="F786" s="1010"/>
      <c r="G786" s="1010"/>
      <c r="H786" s="1010"/>
      <c r="I786" s="1010"/>
      <c r="J786" s="1010"/>
      <c r="K786" s="1010"/>
      <c r="L786" s="1010"/>
      <c r="M786" s="1010"/>
      <c r="N786" s="1010"/>
      <c r="O786" s="1011"/>
    </row>
    <row r="788" spans="2:16" ht="15.75">
      <c r="B788" s="995" t="s">
        <v>2795</v>
      </c>
      <c r="C788" s="997"/>
      <c r="D788" s="997"/>
      <c r="E788" s="997"/>
      <c r="F788" s="997"/>
      <c r="G788" s="997"/>
      <c r="H788" s="997"/>
      <c r="I788" s="997"/>
      <c r="J788" s="997"/>
      <c r="K788" s="997"/>
      <c r="L788" s="997"/>
      <c r="M788" s="997"/>
      <c r="N788" s="997"/>
      <c r="O788" s="998"/>
    </row>
    <row r="789" spans="2:16" hidden="1">
      <c r="B789" s="1002"/>
      <c r="C789" s="1003"/>
      <c r="D789" s="1003"/>
      <c r="E789" s="1003"/>
      <c r="F789" s="1003"/>
      <c r="G789" s="1003"/>
      <c r="H789" s="1003"/>
      <c r="I789" s="1003"/>
      <c r="J789" s="1003"/>
      <c r="K789" s="1003"/>
      <c r="L789" s="1003"/>
      <c r="M789" s="1003"/>
      <c r="N789" s="1003"/>
      <c r="O789" s="1005"/>
    </row>
    <row r="790" spans="2:16" hidden="1">
      <c r="B790" s="1002"/>
      <c r="C790" s="500" t="s">
        <v>770</v>
      </c>
      <c r="D790" s="1012"/>
      <c r="E790" s="1012"/>
      <c r="F790" s="1012"/>
      <c r="G790" s="1012"/>
      <c r="H790" s="1012"/>
      <c r="I790" s="1012"/>
      <c r="J790" s="1012"/>
      <c r="K790" s="1012"/>
      <c r="L790" s="1012"/>
      <c r="M790" s="1012"/>
      <c r="N790" s="1012"/>
      <c r="O790" s="1005"/>
    </row>
    <row r="791" spans="2:16" hidden="1">
      <c r="B791" s="1002"/>
      <c r="C791" s="1003"/>
      <c r="D791" s="1003"/>
      <c r="E791" s="1003"/>
      <c r="F791" s="1003"/>
      <c r="G791" s="1003"/>
      <c r="H791" s="1003"/>
      <c r="I791" s="1003"/>
      <c r="J791" s="1003"/>
      <c r="K791" s="1003"/>
      <c r="L791" s="1003"/>
      <c r="M791" s="1003"/>
      <c r="N791" s="1003"/>
      <c r="O791" s="1005"/>
    </row>
    <row r="792" spans="2:16" ht="15.75" hidden="1">
      <c r="B792" s="492"/>
      <c r="C792" s="1351" t="s">
        <v>28</v>
      </c>
      <c r="D792" s="1351" t="s">
        <v>29</v>
      </c>
      <c r="E792" s="1351" t="s">
        <v>30</v>
      </c>
      <c r="F792" s="1351">
        <v>2013</v>
      </c>
      <c r="G792" s="1351" t="s">
        <v>133</v>
      </c>
      <c r="H792" s="1351" t="s">
        <v>134</v>
      </c>
      <c r="I792" s="1351" t="s">
        <v>135</v>
      </c>
      <c r="J792" s="1351" t="s">
        <v>136</v>
      </c>
      <c r="K792" s="1351" t="s">
        <v>137</v>
      </c>
      <c r="L792" s="1351" t="s">
        <v>138</v>
      </c>
      <c r="M792" s="1351" t="s">
        <v>139</v>
      </c>
      <c r="N792" s="1351" t="s">
        <v>140</v>
      </c>
      <c r="O792" s="1150"/>
    </row>
    <row r="793" spans="2:16" ht="15.75" hidden="1">
      <c r="B793" s="492"/>
      <c r="C793" s="1352" t="s">
        <v>324</v>
      </c>
      <c r="D793" s="1353" t="s">
        <v>325</v>
      </c>
      <c r="E793" s="1353"/>
      <c r="F793" s="1354"/>
      <c r="G793" s="1354"/>
      <c r="H793" s="1354"/>
      <c r="I793" s="1354"/>
      <c r="J793" s="1354"/>
      <c r="K793" s="1354"/>
      <c r="L793" s="1354"/>
      <c r="M793" s="1354"/>
      <c r="N793" s="1354"/>
      <c r="O793" s="1150"/>
    </row>
    <row r="794" spans="2:16" ht="15.75" hidden="1">
      <c r="B794" s="492"/>
      <c r="C794" s="1007" t="s">
        <v>331</v>
      </c>
      <c r="D794" s="494" t="s">
        <v>332</v>
      </c>
      <c r="E794" s="494"/>
      <c r="F794" s="1008"/>
      <c r="G794" s="1008"/>
      <c r="H794" s="1008"/>
      <c r="I794" s="1008"/>
      <c r="J794" s="1008"/>
      <c r="K794" s="1008"/>
      <c r="L794" s="1008"/>
      <c r="M794" s="1008"/>
      <c r="N794" s="1008"/>
      <c r="O794" s="1150"/>
    </row>
    <row r="795" spans="2:16" ht="15.75" hidden="1">
      <c r="B795" s="492"/>
      <c r="C795" s="1007" t="s">
        <v>771</v>
      </c>
      <c r="D795" s="494" t="s">
        <v>772</v>
      </c>
      <c r="E795" s="494"/>
      <c r="F795" s="1008"/>
      <c r="G795" s="1008"/>
      <c r="H795" s="1008"/>
      <c r="I795" s="1008"/>
      <c r="J795" s="1008"/>
      <c r="K795" s="1008"/>
      <c r="L795" s="1008"/>
      <c r="M795" s="1008"/>
      <c r="N795" s="1008"/>
      <c r="O795" s="1150"/>
    </row>
    <row r="796" spans="2:16" ht="15.75" hidden="1">
      <c r="B796" s="492"/>
      <c r="C796" s="1007" t="s">
        <v>326</v>
      </c>
      <c r="D796" s="1007" t="s">
        <v>327</v>
      </c>
      <c r="E796" s="494"/>
      <c r="F796" s="1008"/>
      <c r="G796" s="1008"/>
      <c r="H796" s="1008"/>
      <c r="I796" s="1008"/>
      <c r="J796" s="1008"/>
      <c r="K796" s="1008"/>
      <c r="L796" s="1008"/>
      <c r="M796" s="1008"/>
      <c r="N796" s="1008"/>
      <c r="O796" s="1150"/>
    </row>
    <row r="797" spans="2:16" ht="15.75" hidden="1">
      <c r="B797" s="492"/>
      <c r="C797" s="1007" t="s">
        <v>333</v>
      </c>
      <c r="D797" s="1007" t="s">
        <v>334</v>
      </c>
      <c r="E797" s="494"/>
      <c r="F797" s="1008"/>
      <c r="G797" s="1008"/>
      <c r="H797" s="1008"/>
      <c r="I797" s="1008"/>
      <c r="J797" s="1008"/>
      <c r="K797" s="1008"/>
      <c r="L797" s="1008"/>
      <c r="M797" s="1008"/>
      <c r="N797" s="1008"/>
      <c r="O797" s="1150"/>
    </row>
    <row r="798" spans="2:16" ht="15.75" hidden="1">
      <c r="B798" s="492"/>
      <c r="C798" s="1007" t="s">
        <v>773</v>
      </c>
      <c r="D798" s="1007" t="s">
        <v>774</v>
      </c>
      <c r="E798" s="494"/>
      <c r="F798" s="1008"/>
      <c r="G798" s="1008"/>
      <c r="H798" s="1008"/>
      <c r="I798" s="1008"/>
      <c r="J798" s="1008"/>
      <c r="K798" s="1008"/>
      <c r="L798" s="1008"/>
      <c r="M798" s="1008"/>
      <c r="N798" s="1008"/>
      <c r="O798" s="1150"/>
      <c r="P798" s="2"/>
    </row>
    <row r="799" spans="2:16" hidden="1">
      <c r="B799" s="503"/>
      <c r="C799" s="1007" t="s">
        <v>328</v>
      </c>
      <c r="D799" s="494" t="s">
        <v>329</v>
      </c>
      <c r="E799" s="494"/>
      <c r="F799" s="1008"/>
      <c r="G799" s="1008"/>
      <c r="H799" s="1008"/>
      <c r="I799" s="1008"/>
      <c r="J799" s="1008"/>
      <c r="K799" s="1008"/>
      <c r="L799" s="1008"/>
      <c r="M799" s="1008"/>
      <c r="N799" s="1008"/>
      <c r="O799" s="1151"/>
    </row>
    <row r="800" spans="2:16" hidden="1">
      <c r="B800" s="503"/>
      <c r="C800" s="1007" t="s">
        <v>335</v>
      </c>
      <c r="D800" s="494" t="s">
        <v>336</v>
      </c>
      <c r="E800" s="494"/>
      <c r="F800" s="1008"/>
      <c r="G800" s="1008"/>
      <c r="H800" s="1008"/>
      <c r="I800" s="1008"/>
      <c r="J800" s="1008"/>
      <c r="K800" s="1008"/>
      <c r="L800" s="1008"/>
      <c r="M800" s="1008"/>
      <c r="N800" s="1008"/>
      <c r="O800" s="1151"/>
    </row>
    <row r="801" spans="2:15" hidden="1">
      <c r="B801" s="503"/>
      <c r="C801" s="1355" t="s">
        <v>775</v>
      </c>
      <c r="D801" s="1356" t="s">
        <v>776</v>
      </c>
      <c r="E801" s="1356"/>
      <c r="F801" s="1193"/>
      <c r="G801" s="1193"/>
      <c r="H801" s="1193"/>
      <c r="I801" s="1193"/>
      <c r="J801" s="1193"/>
      <c r="K801" s="1193"/>
      <c r="L801" s="1193"/>
      <c r="M801" s="1193"/>
      <c r="N801" s="1193"/>
      <c r="O801" s="1151"/>
    </row>
    <row r="802" spans="2:15" hidden="1">
      <c r="B802" s="1014"/>
      <c r="C802" s="1010"/>
      <c r="D802" s="1010"/>
      <c r="E802" s="1010"/>
      <c r="F802" s="1010"/>
      <c r="G802" s="1010"/>
      <c r="H802" s="1010"/>
      <c r="I802" s="1010"/>
      <c r="J802" s="1010"/>
      <c r="K802" s="1010"/>
      <c r="L802" s="1010"/>
      <c r="M802" s="1010"/>
      <c r="N802" s="1010"/>
      <c r="O802" s="1015"/>
    </row>
    <row r="804" spans="2:15">
      <c r="C804" s="363"/>
      <c r="D804" s="363"/>
      <c r="F804" s="2"/>
      <c r="G804" s="2"/>
      <c r="H804" s="2"/>
      <c r="I804" s="2"/>
      <c r="J804" s="2"/>
      <c r="K804" s="2"/>
      <c r="L804" s="2"/>
      <c r="M804" s="2"/>
      <c r="N804" s="2"/>
    </row>
    <row r="805" spans="2:15">
      <c r="N805" s="3834" t="s">
        <v>5</v>
      </c>
    </row>
    <row r="1031" spans="3:16" s="2" customFormat="1">
      <c r="C1031"/>
      <c r="D1031"/>
      <c r="E1031"/>
      <c r="F1031"/>
      <c r="G1031"/>
      <c r="H1031"/>
      <c r="I1031"/>
      <c r="J1031"/>
      <c r="K1031"/>
      <c r="L1031"/>
      <c r="M1031"/>
      <c r="N1031"/>
      <c r="O1031"/>
      <c r="P1031"/>
    </row>
    <row r="1032" spans="3:16" s="2" customFormat="1">
      <c r="C1032"/>
      <c r="D1032"/>
      <c r="E1032"/>
      <c r="F1032"/>
      <c r="G1032"/>
      <c r="H1032"/>
      <c r="I1032"/>
      <c r="J1032"/>
      <c r="K1032"/>
      <c r="L1032"/>
      <c r="M1032"/>
      <c r="N1032"/>
      <c r="O1032"/>
      <c r="P1032"/>
    </row>
    <row r="1033" spans="3:16" s="2" customFormat="1">
      <c r="C1033"/>
      <c r="D1033"/>
      <c r="E1033"/>
      <c r="F1033"/>
      <c r="G1033"/>
      <c r="H1033"/>
      <c r="I1033"/>
      <c r="J1033"/>
      <c r="K1033"/>
      <c r="L1033"/>
      <c r="M1033"/>
      <c r="N1033"/>
      <c r="O1033"/>
      <c r="P1033"/>
    </row>
    <row r="1034" spans="3:16" s="2" customFormat="1">
      <c r="C1034"/>
      <c r="D1034"/>
      <c r="E1034"/>
      <c r="F1034"/>
      <c r="G1034"/>
      <c r="H1034"/>
      <c r="I1034"/>
      <c r="J1034"/>
      <c r="K1034"/>
      <c r="L1034"/>
      <c r="M1034"/>
      <c r="N1034"/>
      <c r="O1034"/>
      <c r="P1034"/>
    </row>
    <row r="1035" spans="3:16" s="2" customFormat="1">
      <c r="C1035"/>
      <c r="D1035"/>
      <c r="E1035"/>
      <c r="F1035"/>
      <c r="G1035"/>
      <c r="H1035"/>
      <c r="I1035"/>
      <c r="J1035"/>
      <c r="K1035"/>
      <c r="L1035"/>
      <c r="M1035"/>
      <c r="N1035"/>
      <c r="O1035"/>
      <c r="P1035"/>
    </row>
    <row r="1036" spans="3:16" s="2" customFormat="1">
      <c r="C1036"/>
      <c r="D1036"/>
      <c r="E1036"/>
      <c r="F1036"/>
      <c r="G1036"/>
      <c r="H1036"/>
      <c r="I1036"/>
      <c r="J1036"/>
      <c r="K1036"/>
      <c r="L1036"/>
      <c r="M1036"/>
      <c r="N1036"/>
      <c r="O1036"/>
      <c r="P1036"/>
    </row>
    <row r="1037" spans="3:16" s="2" customFormat="1">
      <c r="C1037"/>
      <c r="D1037"/>
      <c r="E1037"/>
      <c r="F1037"/>
      <c r="G1037"/>
      <c r="H1037"/>
      <c r="I1037"/>
      <c r="J1037"/>
      <c r="K1037"/>
      <c r="L1037"/>
      <c r="M1037"/>
      <c r="N1037"/>
      <c r="O1037"/>
      <c r="P1037"/>
    </row>
    <row r="1038" spans="3:16" s="2" customFormat="1">
      <c r="C1038"/>
      <c r="D1038"/>
      <c r="E1038"/>
      <c r="F1038"/>
      <c r="G1038"/>
      <c r="H1038"/>
      <c r="I1038"/>
      <c r="J1038"/>
      <c r="K1038"/>
      <c r="L1038"/>
      <c r="M1038"/>
      <c r="N1038"/>
      <c r="O1038"/>
      <c r="P1038"/>
    </row>
    <row r="1039" spans="3:16" s="2" customFormat="1">
      <c r="C1039"/>
      <c r="D1039"/>
      <c r="E1039"/>
      <c r="F1039"/>
      <c r="G1039"/>
      <c r="H1039"/>
      <c r="I1039"/>
      <c r="J1039"/>
      <c r="K1039"/>
      <c r="L1039"/>
      <c r="M1039"/>
      <c r="N1039"/>
      <c r="O1039"/>
      <c r="P1039"/>
    </row>
    <row r="1040" spans="3:16" s="2" customFormat="1">
      <c r="C1040"/>
      <c r="D1040"/>
      <c r="E1040"/>
      <c r="F1040"/>
      <c r="G1040"/>
      <c r="H1040"/>
      <c r="I1040"/>
      <c r="J1040"/>
      <c r="K1040"/>
      <c r="L1040"/>
      <c r="M1040"/>
      <c r="N1040"/>
      <c r="O1040"/>
      <c r="P1040"/>
    </row>
    <row r="1041" spans="2:16" s="2" customFormat="1">
      <c r="C1041"/>
      <c r="D1041"/>
      <c r="E1041"/>
      <c r="F1041"/>
      <c r="G1041"/>
      <c r="H1041"/>
      <c r="I1041"/>
      <c r="J1041"/>
      <c r="K1041"/>
      <c r="L1041"/>
      <c r="M1041"/>
      <c r="N1041"/>
      <c r="O1041"/>
      <c r="P1041"/>
    </row>
    <row r="1042" spans="2:16" s="2" customFormat="1">
      <c r="C1042"/>
      <c r="D1042"/>
      <c r="E1042"/>
      <c r="F1042"/>
      <c r="G1042"/>
      <c r="H1042"/>
      <c r="I1042"/>
      <c r="J1042"/>
      <c r="K1042"/>
      <c r="L1042"/>
      <c r="M1042"/>
      <c r="N1042"/>
      <c r="O1042"/>
      <c r="P1042"/>
    </row>
    <row r="1043" spans="2:16" s="2" customFormat="1">
      <c r="C1043"/>
      <c r="D1043"/>
      <c r="E1043"/>
      <c r="F1043"/>
      <c r="G1043"/>
      <c r="H1043"/>
      <c r="I1043"/>
      <c r="J1043"/>
      <c r="K1043"/>
      <c r="L1043"/>
      <c r="M1043"/>
      <c r="N1043"/>
      <c r="O1043"/>
      <c r="P1043"/>
    </row>
    <row r="1044" spans="2:16" s="2" customFormat="1">
      <c r="C1044"/>
      <c r="D1044"/>
      <c r="E1044"/>
      <c r="F1044"/>
      <c r="G1044"/>
      <c r="H1044"/>
      <c r="I1044"/>
      <c r="J1044"/>
      <c r="K1044"/>
      <c r="L1044"/>
      <c r="M1044"/>
      <c r="N1044"/>
      <c r="O1044"/>
      <c r="P1044"/>
    </row>
    <row r="1045" spans="2:16" s="2" customFormat="1">
      <c r="C1045"/>
      <c r="D1045"/>
      <c r="E1045"/>
      <c r="F1045"/>
      <c r="G1045"/>
      <c r="H1045"/>
      <c r="I1045"/>
      <c r="J1045"/>
      <c r="K1045"/>
      <c r="L1045"/>
      <c r="M1045"/>
      <c r="N1045"/>
      <c r="O1045"/>
      <c r="P1045"/>
    </row>
    <row r="1046" spans="2:16" s="2" customFormat="1">
      <c r="C1046"/>
      <c r="D1046"/>
      <c r="E1046"/>
      <c r="F1046"/>
      <c r="G1046"/>
      <c r="H1046"/>
      <c r="I1046"/>
      <c r="J1046"/>
      <c r="K1046"/>
      <c r="L1046"/>
      <c r="M1046"/>
      <c r="N1046"/>
      <c r="O1046"/>
      <c r="P1046"/>
    </row>
    <row r="1047" spans="2:16" ht="15.75">
      <c r="B1047" s="1357" t="s">
        <v>995</v>
      </c>
    </row>
    <row r="1048" spans="2:16">
      <c r="B1048" s="1358"/>
    </row>
    <row r="1049" spans="2:16">
      <c r="B1049" s="1358"/>
    </row>
    <row r="1050" spans="2:16">
      <c r="B1050" s="1358"/>
    </row>
    <row r="1051" spans="2:16">
      <c r="B1051" s="1358"/>
    </row>
    <row r="1052" spans="2:16">
      <c r="B1052" s="1358"/>
    </row>
    <row r="1053" spans="2:16">
      <c r="B1053" s="1358"/>
    </row>
    <row r="1054" spans="2:16">
      <c r="B1054" s="1358"/>
    </row>
  </sheetData>
  <mergeCells count="4">
    <mergeCell ref="F286:H286"/>
    <mergeCell ref="I286:K286"/>
    <mergeCell ref="L286:N286"/>
    <mergeCell ref="O286:Q286"/>
  </mergeCells>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xl/worksheets/sheet35.xml><?xml version="1.0" encoding="utf-8"?>
<worksheet xmlns="http://schemas.openxmlformats.org/spreadsheetml/2006/main" xmlns:r="http://schemas.openxmlformats.org/officeDocument/2006/relationships">
  <sheetPr codeName="Sheet17">
    <tabColor theme="9"/>
  </sheetPr>
  <dimension ref="A1:CI467"/>
  <sheetViews>
    <sheetView showGridLines="0" zoomScale="80" zoomScaleNormal="80" workbookViewId="0">
      <selection activeCell="J34" sqref="J34"/>
    </sheetView>
  </sheetViews>
  <sheetFormatPr defaultColWidth="8.85546875" defaultRowHeight="15"/>
  <cols>
    <col min="1" max="1" width="7.7109375" style="2" customWidth="1"/>
    <col min="2" max="2" width="5.85546875" style="2" customWidth="1"/>
    <col min="3" max="3" width="20.42578125" style="2" customWidth="1"/>
    <col min="4" max="4" width="30.7109375" style="2" customWidth="1"/>
    <col min="5" max="5" width="20.7109375" style="2" customWidth="1"/>
    <col min="6" max="15" width="17.7109375" style="2" customWidth="1"/>
    <col min="16" max="16" width="2" style="2" customWidth="1"/>
    <col min="17" max="17" width="10.85546875" style="2" customWidth="1"/>
    <col min="18" max="18" width="13.42578125" style="2" bestFit="1" customWidth="1"/>
    <col min="19" max="19" width="13" style="2" bestFit="1" customWidth="1"/>
    <col min="20" max="20" width="12" style="2" bestFit="1" customWidth="1"/>
    <col min="21" max="22" width="13" style="2" bestFit="1" customWidth="1"/>
    <col min="23" max="23" width="11.42578125" style="2" customWidth="1"/>
    <col min="24" max="24" width="13" style="2" bestFit="1" customWidth="1"/>
    <col min="25" max="16384" width="8.85546875" style="2"/>
  </cols>
  <sheetData>
    <row r="1" spans="1:18" ht="20.25">
      <c r="A1" s="2369" t="s">
        <v>474</v>
      </c>
      <c r="B1" s="2369" t="s">
        <v>83</v>
      </c>
      <c r="C1" s="2369"/>
      <c r="E1" s="2219"/>
    </row>
    <row r="2" spans="1:18" s="4" customFormat="1" ht="15.75">
      <c r="A2" s="2370" t="s">
        <v>470</v>
      </c>
      <c r="B2" s="2370" t="s">
        <v>471</v>
      </c>
      <c r="C2" s="2370"/>
      <c r="E2" s="2220"/>
    </row>
    <row r="4" spans="1:18" ht="23.25">
      <c r="A4" s="2221"/>
      <c r="B4" s="2222" t="s">
        <v>6</v>
      </c>
      <c r="C4" s="9"/>
      <c r="D4" s="9"/>
      <c r="E4" s="9"/>
      <c r="F4" s="9"/>
      <c r="G4" s="9"/>
      <c r="H4" s="9"/>
      <c r="I4" s="9"/>
      <c r="J4" s="9"/>
      <c r="K4" s="9"/>
      <c r="L4" s="9"/>
      <c r="M4" s="9"/>
      <c r="N4" s="9"/>
      <c r="O4" s="9"/>
      <c r="P4" s="10"/>
    </row>
    <row r="5" spans="1:18">
      <c r="B5" s="11"/>
      <c r="C5" s="12"/>
      <c r="D5" s="12"/>
      <c r="E5" s="12"/>
      <c r="F5" s="12"/>
      <c r="G5" s="12"/>
      <c r="H5" s="12"/>
      <c r="I5" s="12"/>
      <c r="J5" s="12"/>
      <c r="K5" s="12"/>
      <c r="L5" s="12"/>
      <c r="M5" s="12"/>
      <c r="N5" s="12"/>
      <c r="O5" s="12"/>
      <c r="P5" s="13"/>
    </row>
    <row r="6" spans="1:18">
      <c r="B6" s="11"/>
      <c r="C6" s="12"/>
      <c r="D6" s="12"/>
      <c r="E6" s="14"/>
      <c r="F6" s="12"/>
      <c r="G6" s="12"/>
      <c r="H6" s="12"/>
      <c r="I6" s="12"/>
      <c r="J6" s="12"/>
      <c r="K6" s="12"/>
      <c r="L6" s="12"/>
      <c r="M6" s="12"/>
      <c r="N6" s="12"/>
      <c r="O6" s="12"/>
      <c r="P6" s="13"/>
    </row>
    <row r="7" spans="1:18" ht="15.75">
      <c r="B7" s="2223"/>
      <c r="C7" s="12"/>
      <c r="D7" s="2224" t="s">
        <v>7</v>
      </c>
      <c r="E7" s="2224" t="s">
        <v>8</v>
      </c>
      <c r="F7" s="12"/>
      <c r="G7" s="12"/>
      <c r="H7" s="12"/>
      <c r="I7" s="12"/>
      <c r="J7" s="12"/>
      <c r="K7" s="12"/>
      <c r="L7" s="12"/>
      <c r="M7" s="12"/>
      <c r="N7" s="12"/>
      <c r="O7" s="12"/>
      <c r="P7" s="13"/>
    </row>
    <row r="8" spans="1:18" ht="15.75">
      <c r="B8" s="2223"/>
      <c r="C8" s="12"/>
      <c r="D8" s="1019" t="s">
        <v>1000</v>
      </c>
      <c r="E8" s="1019">
        <f>X.a.1.Scenario</f>
        <v>1</v>
      </c>
      <c r="F8" s="12"/>
      <c r="G8" s="12"/>
      <c r="H8" s="12"/>
      <c r="I8" s="12"/>
      <c r="J8" s="12"/>
      <c r="K8" s="12"/>
      <c r="L8" s="12"/>
      <c r="M8" s="12"/>
      <c r="N8" s="12"/>
      <c r="O8" s="12"/>
      <c r="P8" s="13"/>
    </row>
    <row r="9" spans="1:18" ht="15.75">
      <c r="B9" s="2223"/>
      <c r="C9" s="12"/>
      <c r="D9" s="32" t="s">
        <v>1001</v>
      </c>
      <c r="E9" s="32">
        <f>MIN(X.a.2.Scenario,2)</f>
        <v>1</v>
      </c>
      <c r="F9" s="12"/>
      <c r="G9" s="12"/>
      <c r="H9" s="12"/>
      <c r="I9" s="12"/>
      <c r="J9" s="12"/>
      <c r="K9" s="12"/>
      <c r="L9" s="12"/>
      <c r="M9" s="12"/>
      <c r="N9" s="12"/>
      <c r="O9" s="12"/>
      <c r="P9" s="13"/>
    </row>
    <row r="10" spans="1:18" ht="15.75">
      <c r="B10" s="2223"/>
      <c r="C10" s="12"/>
      <c r="D10" s="18"/>
      <c r="E10" s="18"/>
      <c r="F10" s="12"/>
      <c r="G10" s="12"/>
      <c r="H10" s="12"/>
      <c r="I10" s="12"/>
      <c r="J10" s="12"/>
      <c r="K10" s="12"/>
      <c r="L10" s="12"/>
      <c r="M10" s="12"/>
      <c r="N10" s="12"/>
      <c r="O10" s="12"/>
      <c r="P10" s="13"/>
    </row>
    <row r="11" spans="1:18">
      <c r="B11" s="2225"/>
      <c r="C11" s="2226"/>
      <c r="D11" s="2226"/>
      <c r="E11" s="2226"/>
      <c r="F11" s="2226"/>
      <c r="G11" s="2226"/>
      <c r="H11" s="2226"/>
      <c r="I11" s="2226"/>
      <c r="J11" s="2226"/>
      <c r="K11" s="2226"/>
      <c r="L11" s="2226"/>
      <c r="M11" s="2226"/>
      <c r="N11" s="2226"/>
      <c r="O11" s="2226"/>
      <c r="P11" s="2227"/>
    </row>
    <row r="13" spans="1:18" s="4" customFormat="1" ht="23.25">
      <c r="A13" s="2228"/>
      <c r="B13" s="2229" t="s">
        <v>33</v>
      </c>
      <c r="C13" s="42"/>
      <c r="D13" s="42"/>
      <c r="E13" s="42"/>
      <c r="F13" s="42"/>
      <c r="G13" s="42"/>
      <c r="H13" s="42"/>
      <c r="I13" s="42"/>
      <c r="J13" s="42"/>
      <c r="K13" s="42"/>
      <c r="L13" s="42"/>
      <c r="M13" s="42"/>
      <c r="N13" s="42"/>
      <c r="O13" s="42"/>
      <c r="P13" s="44"/>
    </row>
    <row r="14" spans="1:18">
      <c r="B14" s="45"/>
      <c r="C14" s="46"/>
      <c r="D14" s="46"/>
      <c r="E14" s="46"/>
      <c r="F14" s="46"/>
      <c r="G14" s="46"/>
      <c r="H14" s="46"/>
      <c r="I14" s="46"/>
      <c r="J14" s="46"/>
      <c r="K14" s="46"/>
      <c r="L14" s="46"/>
      <c r="M14" s="46"/>
      <c r="N14" s="46"/>
      <c r="O14" s="46"/>
      <c r="P14" s="48"/>
    </row>
    <row r="15" spans="1:18">
      <c r="B15" s="45"/>
      <c r="C15" s="2230" t="s">
        <v>1002</v>
      </c>
      <c r="D15" s="46"/>
      <c r="E15" s="50"/>
      <c r="F15" s="46"/>
      <c r="G15" s="46"/>
      <c r="H15" s="46"/>
      <c r="I15" s="46"/>
      <c r="J15" s="46"/>
      <c r="K15" s="46"/>
      <c r="L15" s="3974"/>
      <c r="M15" s="46"/>
      <c r="N15" s="50" t="str">
        <f>Preferences.EnergyUnits</f>
        <v>TWh</v>
      </c>
      <c r="O15" s="46"/>
      <c r="P15" s="48"/>
      <c r="R15" s="2231"/>
    </row>
    <row r="16" spans="1:18">
      <c r="B16" s="45"/>
      <c r="C16" s="46"/>
      <c r="D16" s="46"/>
      <c r="E16" s="46"/>
      <c r="F16" s="46"/>
      <c r="G16" s="46"/>
      <c r="H16" s="46"/>
      <c r="I16" s="46"/>
      <c r="J16" s="46"/>
      <c r="K16" s="46"/>
      <c r="L16" s="46"/>
      <c r="M16" s="46"/>
      <c r="N16" s="46"/>
      <c r="O16" s="46"/>
      <c r="P16" s="48"/>
      <c r="R16" s="2232"/>
    </row>
    <row r="17" spans="2:24" ht="15.75">
      <c r="B17" s="2233"/>
      <c r="C17" s="2234" t="s">
        <v>8</v>
      </c>
      <c r="D17" s="2234" t="s">
        <v>34</v>
      </c>
      <c r="E17" s="2234" t="s">
        <v>30</v>
      </c>
      <c r="F17" s="2235">
        <v>2013</v>
      </c>
      <c r="G17" s="2235">
        <v>2015</v>
      </c>
      <c r="H17" s="2235">
        <v>2020</v>
      </c>
      <c r="I17" s="2235">
        <v>2025</v>
      </c>
      <c r="J17" s="2235">
        <v>2030</v>
      </c>
      <c r="K17" s="2235">
        <v>2035</v>
      </c>
      <c r="L17" s="2235">
        <v>2040</v>
      </c>
      <c r="M17" s="2235">
        <v>2045</v>
      </c>
      <c r="N17" s="2235">
        <v>2050</v>
      </c>
      <c r="O17" s="1359"/>
      <c r="P17" s="48"/>
      <c r="R17" s="2232"/>
    </row>
    <row r="18" spans="2:24" ht="15.75">
      <c r="B18" s="2233"/>
      <c r="C18" s="56">
        <v>1</v>
      </c>
      <c r="D18" s="57" t="s">
        <v>83</v>
      </c>
      <c r="E18" s="78"/>
      <c r="F18" s="3944">
        <f>(Unit.TWh)*2.39686631987592E-06</f>
        <v>2.3968663198759199E-6</v>
      </c>
      <c r="G18" s="3976">
        <f>(Unit.TWh)*2.37532282535953E-06</f>
        <v>2.37532282535953E-6</v>
      </c>
      <c r="H18" s="3976">
        <f>(Unit.TWh)*2.32230744827506E-06</f>
        <v>2.3223074482750601E-6</v>
      </c>
      <c r="I18" s="3976">
        <f>(Unit.TWh)*2.27047533359914E-06</f>
        <v>2.2704753335991402E-6</v>
      </c>
      <c r="J18" s="3976">
        <f>(Unit.TWh)*2.21980007182561E-06</f>
        <v>2.2198000718256101E-6</v>
      </c>
      <c r="K18" s="3976">
        <f>(Unit.TWh)*2.17025584288816E-06</f>
        <v>2.1702558428881601E-6</v>
      </c>
      <c r="L18" s="3976">
        <f>(Unit.TWh)*2.12181740300449E-06</f>
        <v>2.12181740300449E-6</v>
      </c>
      <c r="M18" s="3976">
        <f>(Unit.TWh)*2.07446007181409E-06</f>
        <v>2.07446007181409E-6</v>
      </c>
      <c r="N18" s="3945">
        <f>(Unit.TWh)*2.03733637189453E-06</f>
        <v>2.0373363718945302E-6</v>
      </c>
      <c r="O18" s="3948"/>
      <c r="P18" s="48"/>
      <c r="Q18"/>
      <c r="R18"/>
      <c r="S18"/>
      <c r="T18"/>
      <c r="U18"/>
      <c r="V18"/>
      <c r="W18"/>
      <c r="X18"/>
    </row>
    <row r="19" spans="2:24" ht="15.75">
      <c r="B19" s="2233"/>
      <c r="C19" s="56">
        <v>2</v>
      </c>
      <c r="D19" s="57" t="s">
        <v>83</v>
      </c>
      <c r="E19" s="57"/>
      <c r="F19" s="3944">
        <f>(Unit.TWh)*2.39686631987592E-06</f>
        <v>2.3968663198759199E-6</v>
      </c>
      <c r="G19" s="3945">
        <f>(Unit.TWh)*2.34983922158767E-06</f>
        <v>2.34983922158767E-6</v>
      </c>
      <c r="H19" s="3945">
        <f>(Unit.TWh)*2.23626871071704E-06</f>
        <v>2.2362687107170399E-6</v>
      </c>
      <c r="I19" s="3945">
        <f>(Unit.TWh)*2.12818719705989E-06</f>
        <v>2.1281871970598901E-6</v>
      </c>
      <c r="J19" s="3945">
        <f>(Unit.TWh)*2.02532939088406E-06</f>
        <v>2.0253293908840601E-6</v>
      </c>
      <c r="K19" s="3945">
        <f>(Unit.TWh)*1.92744282422416E-06</f>
        <v>1.9274428242241599E-6</v>
      </c>
      <c r="L19" s="3945">
        <f>(Unit.TWh)*1.83428723119036E-06</f>
        <v>1.83428723119036E-6</v>
      </c>
      <c r="M19" s="3945">
        <f>(Unit.TWh)*1.74563395822771E-06</f>
        <v>1.74563395822771E-6</v>
      </c>
      <c r="N19" s="3945">
        <f>(Unit.TWh)*1.67780642391314E-06</f>
        <v>1.67780642391314E-6</v>
      </c>
      <c r="O19" s="3948"/>
      <c r="P19" s="48"/>
      <c r="Q19"/>
      <c r="R19"/>
      <c r="S19"/>
      <c r="T19"/>
      <c r="U19"/>
      <c r="V19"/>
      <c r="W19"/>
      <c r="X19"/>
    </row>
    <row r="20" spans="2:24" ht="15.75">
      <c r="B20" s="2233"/>
      <c r="C20" s="56">
        <v>3</v>
      </c>
      <c r="D20" s="57" t="s">
        <v>83</v>
      </c>
      <c r="E20" s="57"/>
      <c r="F20" s="3944">
        <f>(Unit.TWh)*2.39686631987592E-06</f>
        <v>2.3968663198759199E-6</v>
      </c>
      <c r="G20" s="3945">
        <f>(Unit.TWh)*2.30632190683336E-06</f>
        <v>2.30632190683336E-6</v>
      </c>
      <c r="H20" s="3945">
        <f>(Unit.TWh)*2.09464390607043E-06</f>
        <v>2.09464390607043E-6</v>
      </c>
      <c r="I20" s="3945">
        <f>(Unit.TWh)*1.90239405879909E-06</f>
        <v>1.9023940587990901E-6</v>
      </c>
      <c r="J20" s="3945">
        <f>(Unit.TWh)*1.72778921728207E-06</f>
        <v>1.72778921728207E-6</v>
      </c>
      <c r="K20" s="3945">
        <f>(Unit.TWh)*1.56920989400097E-06</f>
        <v>1.5692098940009699E-6</v>
      </c>
      <c r="L20" s="3945">
        <f>(Unit.TWh)*1.42518524065342E-06</f>
        <v>1.42518524065342E-6</v>
      </c>
      <c r="M20" s="3945">
        <f>(Unit.TWh)*1.29437940580248E-06</f>
        <v>1.2943794058024801E-6</v>
      </c>
      <c r="N20" s="3945">
        <f>(Unit.TWh)*1.19843315993796E-06</f>
        <v>1.19843315993796E-6</v>
      </c>
      <c r="O20" s="3948"/>
      <c r="P20" s="48"/>
      <c r="Q20"/>
      <c r="R20"/>
      <c r="S20"/>
      <c r="T20"/>
      <c r="U20"/>
      <c r="V20"/>
      <c r="W20"/>
      <c r="X20"/>
    </row>
    <row r="21" spans="2:24" ht="15.75">
      <c r="B21" s="2233"/>
      <c r="C21" s="61">
        <v>4</v>
      </c>
      <c r="D21" s="62" t="s">
        <v>83</v>
      </c>
      <c r="E21" s="62"/>
      <c r="F21" s="3946">
        <f>(Unit.TWh)*2.39686631987592E-06</f>
        <v>2.3968663198759199E-6</v>
      </c>
      <c r="G21" s="3947">
        <f>(Unit.TWh)*2.27790723819437E-06</f>
        <v>2.27790723819437E-6</v>
      </c>
      <c r="H21" s="3947">
        <f>(Unit.TWh)*0.0000020057028376953</f>
        <v>2.0057028376952998E-6</v>
      </c>
      <c r="I21" s="3947">
        <f>(Unit.TWh)*1.76602620409063E-06</f>
        <v>1.7660262040906301E-6</v>
      </c>
      <c r="J21" s="3947">
        <f>(Unit.TWh)*1.55499034798124E-06</f>
        <v>1.55499034798124E-6</v>
      </c>
      <c r="K21" s="3947">
        <f>(Unit.TWh)*1.36917276579137E-06</f>
        <v>1.3691727657913699E-6</v>
      </c>
      <c r="L21" s="3947">
        <f>(Unit.TWh)*1.20555993483724E-06</f>
        <v>1.2055599348372401E-6</v>
      </c>
      <c r="M21" s="3947">
        <f>(Unit.TWh)*1.06149844110047E-06</f>
        <v>1.0614984411004701E-6</v>
      </c>
      <c r="N21" s="3947">
        <f>(Unit.TWh)*9.58746527950368E-07</f>
        <v>9.5874652795036793E-7</v>
      </c>
      <c r="O21" s="3948"/>
      <c r="P21" s="48"/>
      <c r="Q21"/>
      <c r="R21"/>
      <c r="S21"/>
      <c r="T21"/>
      <c r="U21"/>
      <c r="V21"/>
      <c r="W21"/>
      <c r="X21"/>
    </row>
    <row r="22" spans="2:24" ht="15.75">
      <c r="B22" s="2233"/>
      <c r="C22" s="56"/>
      <c r="D22" s="57"/>
      <c r="E22" s="57"/>
      <c r="F22" s="59" t="s">
        <v>5</v>
      </c>
      <c r="G22" s="66"/>
      <c r="H22" s="66"/>
      <c r="I22" s="66"/>
      <c r="J22" s="66"/>
      <c r="K22" s="66"/>
      <c r="L22" s="66"/>
      <c r="M22" s="66"/>
      <c r="N22" s="66"/>
      <c r="O22" s="46"/>
      <c r="P22" s="48"/>
      <c r="Q22"/>
      <c r="R22"/>
      <c r="S22"/>
      <c r="T22"/>
      <c r="U22"/>
      <c r="V22"/>
      <c r="W22"/>
      <c r="X22"/>
    </row>
    <row r="23" spans="2:24" ht="15.75">
      <c r="B23" s="2233"/>
      <c r="C23" s="2230" t="s">
        <v>3265</v>
      </c>
      <c r="D23" s="46"/>
      <c r="E23" s="50"/>
      <c r="F23" s="67" t="s">
        <v>5</v>
      </c>
      <c r="G23" s="46"/>
      <c r="H23" s="46"/>
      <c r="I23" s="46"/>
      <c r="J23" s="67" t="s">
        <v>5</v>
      </c>
      <c r="K23" s="46"/>
      <c r="L23" s="46"/>
      <c r="M23" s="46"/>
      <c r="N23" s="50" t="str">
        <f>Preferences.EnergyUnits</f>
        <v>TWh</v>
      </c>
      <c r="O23" s="46"/>
      <c r="P23" s="48"/>
      <c r="Q23"/>
      <c r="R23"/>
      <c r="S23"/>
      <c r="T23"/>
      <c r="U23"/>
      <c r="V23"/>
      <c r="W23"/>
      <c r="X23"/>
    </row>
    <row r="24" spans="2:24" ht="15.75">
      <c r="B24" s="2233"/>
      <c r="C24" s="46"/>
      <c r="D24" s="46"/>
      <c r="E24" s="46"/>
      <c r="F24" s="46"/>
      <c r="G24" s="46"/>
      <c r="H24" s="46"/>
      <c r="I24" s="46"/>
      <c r="J24" s="46"/>
      <c r="K24" s="46"/>
      <c r="L24" s="46"/>
      <c r="M24" s="46"/>
      <c r="N24" s="46"/>
      <c r="O24" s="46"/>
      <c r="P24" s="48"/>
      <c r="Q24"/>
      <c r="R24"/>
      <c r="S24"/>
      <c r="T24"/>
      <c r="U24"/>
      <c r="V24"/>
      <c r="W24"/>
      <c r="X24"/>
    </row>
    <row r="25" spans="2:24" ht="15.75">
      <c r="B25" s="2233"/>
      <c r="C25" s="2234" t="s">
        <v>8</v>
      </c>
      <c r="D25" s="2234" t="s">
        <v>34</v>
      </c>
      <c r="E25" s="2234" t="s">
        <v>30</v>
      </c>
      <c r="F25" s="2235">
        <v>2013</v>
      </c>
      <c r="G25" s="2235">
        <v>2015</v>
      </c>
      <c r="H25" s="2235">
        <v>2020</v>
      </c>
      <c r="I25" s="2235">
        <v>2025</v>
      </c>
      <c r="J25" s="2235">
        <v>2030</v>
      </c>
      <c r="K25" s="2235">
        <v>2035</v>
      </c>
      <c r="L25" s="2235">
        <v>2040</v>
      </c>
      <c r="M25" s="2235">
        <v>2045</v>
      </c>
      <c r="N25" s="2235">
        <v>2050</v>
      </c>
      <c r="O25" s="46"/>
      <c r="P25" s="48"/>
      <c r="Q25" s="400"/>
    </row>
    <row r="26" spans="2:24" ht="15.75">
      <c r="B26" s="2233"/>
      <c r="C26" s="56">
        <v>1</v>
      </c>
      <c r="D26" s="57" t="s">
        <v>82</v>
      </c>
      <c r="E26" s="78"/>
      <c r="F26" s="3940">
        <f>(Unit.TWh)*8.63849371444259E-07</f>
        <v>8.6384937144425898E-7</v>
      </c>
      <c r="G26" s="3977">
        <f>(Unit.TWh)*8.56845187351468E-07</f>
        <v>8.5684518735146797E-7</v>
      </c>
      <c r="H26" s="3977">
        <f>(Unit.TWh)*8.34909054127244E-07</f>
        <v>8.34909054127244E-7</v>
      </c>
      <c r="I26" s="3977">
        <f>(Unit.TWh)*8.15432342626223E-07</f>
        <v>8.1543234262622296E-7</v>
      </c>
      <c r="J26" s="3977">
        <f>(Unit.TWh)*7.96896963644862E-07</f>
        <v>7.96896963644862E-7</v>
      </c>
      <c r="K26" s="3977">
        <f>(Unit.TWh)*7.79257421468314E-07</f>
        <v>7.7925742146831395E-7</v>
      </c>
      <c r="L26" s="3977">
        <f>(Unit.TWh)*7.62470419243483E-07</f>
        <v>7.6247041924348296E-7</v>
      </c>
      <c r="M26" s="3977">
        <f>(Unit.TWh)*7.46494752705429E-07</f>
        <v>7.4649475270542904E-7</v>
      </c>
      <c r="N26" s="3941">
        <f>(Unit.TWh)*7.3427196572762E-07</f>
        <v>7.3427196572761999E-7</v>
      </c>
      <c r="O26" s="77"/>
      <c r="P26" s="48"/>
      <c r="Q26" s="3975"/>
      <c r="R26" s="2236"/>
    </row>
    <row r="27" spans="2:24" ht="15.75">
      <c r="B27" s="2233"/>
      <c r="C27" s="56">
        <v>2</v>
      </c>
      <c r="D27" s="57" t="s">
        <v>82</v>
      </c>
      <c r="E27" s="57" t="s">
        <v>5</v>
      </c>
      <c r="F27" s="3940">
        <f>(Unit.TWh)*8.63849371444259E-07</f>
        <v>8.6384937144425898E-7</v>
      </c>
      <c r="G27" s="3945">
        <f>(Unit.TWh)*8.56845187351468E-07</f>
        <v>8.5684518735146797E-7</v>
      </c>
      <c r="H27" s="3945">
        <f>(Unit.TWh)*8.39334727119489E-07</f>
        <v>8.3933472711948896E-7</v>
      </c>
      <c r="I27" s="3945">
        <f>(Unit.TWh)*8.21824266887511E-07</f>
        <v>8.2182426688751101E-7</v>
      </c>
      <c r="J27" s="3945">
        <f>(Unit.TWh)*8.04313806655533E-07</f>
        <v>8.0431380665553296E-7</v>
      </c>
      <c r="K27" s="3945">
        <f>(Unit.TWh)*7.86803346423555E-07</f>
        <v>7.8680334642355501E-7</v>
      </c>
      <c r="L27" s="3945">
        <f>(Unit.TWh)*7.69292886191576E-07</f>
        <v>7.69292886191576E-7</v>
      </c>
      <c r="M27" s="3945">
        <f>(Unit.TWh)*7.51782425959598E-07</f>
        <v>7.5178242595959805E-7</v>
      </c>
      <c r="N27" s="3941">
        <f>(Unit.TWh)*7.3427196572762E-07</f>
        <v>7.3427196572761999E-7</v>
      </c>
      <c r="O27" s="77"/>
      <c r="P27" s="48"/>
      <c r="Q27" s="400"/>
      <c r="R27" s="2236"/>
    </row>
    <row r="28" spans="2:24" ht="15.75">
      <c r="B28" s="2233"/>
      <c r="C28" s="56">
        <v>3</v>
      </c>
      <c r="D28" s="57" t="s">
        <v>82</v>
      </c>
      <c r="E28" s="57"/>
      <c r="F28" s="3940">
        <f>(Unit.TWh)*8.63849371444259E-07</f>
        <v>8.6384937144425898E-7</v>
      </c>
      <c r="G28" s="3945">
        <f>(Unit.TWh)*8.50002105732486E-07</f>
        <v>8.5000210573248596E-7</v>
      </c>
      <c r="H28" s="3945">
        <f>(Unit.TWh)*8.15383941453053E-07</f>
        <v>8.1538394145305298E-7</v>
      </c>
      <c r="I28" s="3945">
        <f>(Unit.TWh)*7.80765777173621E-07</f>
        <v>7.8076577717362095E-7</v>
      </c>
      <c r="J28" s="3945">
        <f>(Unit.TWh)*7.46147612894188E-07</f>
        <v>7.4614761289418797E-7</v>
      </c>
      <c r="K28" s="3945">
        <f>(Unit.TWh)*7.11529448614755E-07</f>
        <v>7.11529448614755E-7</v>
      </c>
      <c r="L28" s="3945">
        <f>(Unit.TWh)*6.76911284335322E-07</f>
        <v>6.7691128433532202E-7</v>
      </c>
      <c r="M28" s="3945">
        <f>(Unit.TWh)*6.4229312005589E-07</f>
        <v>6.4229312005588999E-7</v>
      </c>
      <c r="N28" s="3941">
        <f>(Unit.TWh)*6.07674955776457E-07</f>
        <v>6.0767495577645701E-7</v>
      </c>
      <c r="O28" s="77"/>
      <c r="P28" s="48"/>
      <c r="Q28" s="400"/>
      <c r="R28" s="2236"/>
    </row>
    <row r="29" spans="2:24" ht="15.75">
      <c r="B29" s="2233"/>
      <c r="C29" s="61">
        <v>4</v>
      </c>
      <c r="D29" s="62" t="s">
        <v>82</v>
      </c>
      <c r="E29" s="62"/>
      <c r="F29" s="3942">
        <f>(Unit.TWh)*8.63849371444259E-07</f>
        <v>8.6384937144425898E-7</v>
      </c>
      <c r="G29" s="3947">
        <f>(Unit.TWh)*8.50002105732486E-07</f>
        <v>8.5000210573248596E-7</v>
      </c>
      <c r="H29" s="3947">
        <f>(Unit.TWh)*8.15383941453053E-07</f>
        <v>8.1538394145305298E-7</v>
      </c>
      <c r="I29" s="3947">
        <f>(Unit.TWh)*7.80765777173621E-07</f>
        <v>7.8076577717362095E-7</v>
      </c>
      <c r="J29" s="3947">
        <f>(Unit.TWh)*7.46147612894188E-07</f>
        <v>7.4614761289418797E-7</v>
      </c>
      <c r="K29" s="3947">
        <f>(Unit.TWh)*7.11529448614755E-07</f>
        <v>7.11529448614755E-7</v>
      </c>
      <c r="L29" s="3947">
        <f>(Unit.TWh)*6.76911284335322E-07</f>
        <v>6.7691128433532202E-7</v>
      </c>
      <c r="M29" s="3947">
        <f>(Unit.TWh)*6.4229312005589E-07</f>
        <v>6.4229312005588999E-7</v>
      </c>
      <c r="N29" s="3943">
        <f>(Unit.TWh)*6.07674955776457E-07</f>
        <v>6.0767495577645701E-7</v>
      </c>
      <c r="O29" s="77"/>
      <c r="P29" s="48"/>
      <c r="Q29" s="400"/>
      <c r="R29" s="2236"/>
    </row>
    <row r="30" spans="2:24" ht="15.75">
      <c r="B30" s="2233"/>
      <c r="C30" s="56"/>
      <c r="D30" s="57"/>
      <c r="E30" s="57"/>
      <c r="F30" s="59"/>
      <c r="G30" s="66"/>
      <c r="H30" s="66"/>
      <c r="I30" s="66"/>
      <c r="J30" s="66"/>
      <c r="K30" s="66"/>
      <c r="L30" s="66"/>
      <c r="M30" s="1226" t="s">
        <v>5</v>
      </c>
      <c r="N30" s="66"/>
      <c r="O30" s="66"/>
      <c r="P30" s="48"/>
    </row>
    <row r="31" spans="2:24" ht="15.75">
      <c r="B31" s="2233"/>
      <c r="C31" s="2237" t="s">
        <v>1004</v>
      </c>
      <c r="D31" s="57"/>
      <c r="E31" s="57"/>
      <c r="F31" s="59"/>
      <c r="G31" s="1226" t="s">
        <v>5</v>
      </c>
      <c r="H31" s="66"/>
      <c r="I31" s="1226" t="s">
        <v>5</v>
      </c>
      <c r="J31" s="66"/>
      <c r="K31" s="66"/>
      <c r="L31" s="66"/>
      <c r="M31" s="66"/>
      <c r="N31" s="1226" t="s">
        <v>5</v>
      </c>
      <c r="O31" s="66"/>
      <c r="P31" s="48"/>
      <c r="Q31" s="38"/>
      <c r="R31" s="38"/>
      <c r="S31" s="38"/>
      <c r="T31" s="38"/>
    </row>
    <row r="32" spans="2:24" ht="22.5">
      <c r="B32" s="2233"/>
      <c r="C32" s="56"/>
      <c r="D32" s="57"/>
      <c r="E32" s="57"/>
      <c r="F32" s="59"/>
      <c r="G32" s="2238" t="s">
        <v>86</v>
      </c>
      <c r="H32" s="2238" t="s">
        <v>90</v>
      </c>
      <c r="I32" s="66"/>
      <c r="J32" s="66"/>
      <c r="K32" s="66"/>
      <c r="L32" s="66"/>
      <c r="M32" s="66"/>
      <c r="N32" s="66"/>
      <c r="O32" s="66"/>
      <c r="P32" s="48"/>
      <c r="Q32" s="38"/>
      <c r="R32" s="38"/>
      <c r="S32" s="38"/>
      <c r="T32" s="38"/>
    </row>
    <row r="33" spans="1:20" ht="15.75">
      <c r="B33" s="2233"/>
      <c r="C33" s="2234" t="s">
        <v>8</v>
      </c>
      <c r="D33" s="2234" t="s">
        <v>72</v>
      </c>
      <c r="E33" s="2234" t="s">
        <v>30</v>
      </c>
      <c r="F33" s="2239" t="s">
        <v>1005</v>
      </c>
      <c r="G33" s="2240" t="s">
        <v>96</v>
      </c>
      <c r="H33" s="2240" t="s">
        <v>100</v>
      </c>
      <c r="I33" s="66"/>
      <c r="J33" s="66"/>
      <c r="K33" s="66"/>
      <c r="L33" s="66"/>
      <c r="M33" s="66"/>
      <c r="N33" s="66"/>
      <c r="O33" s="66"/>
      <c r="P33" s="48"/>
      <c r="Q33" s="38"/>
      <c r="R33"/>
      <c r="S33" s="38"/>
      <c r="T33" s="38"/>
    </row>
    <row r="34" spans="1:20" ht="15.75">
      <c r="B34" s="2233"/>
      <c r="C34" s="56">
        <v>1</v>
      </c>
      <c r="D34" s="57" t="s">
        <v>1006</v>
      </c>
      <c r="E34" s="78"/>
      <c r="F34" s="76"/>
      <c r="G34" s="1210">
        <f>$F$47</f>
        <v>0.72</v>
      </c>
      <c r="H34" s="93">
        <f>1-G34</f>
        <v>0.28000000000000003</v>
      </c>
      <c r="I34" s="76"/>
      <c r="J34" s="76"/>
      <c r="K34" s="76"/>
      <c r="L34" s="76"/>
      <c r="M34" s="76"/>
      <c r="N34" s="76"/>
      <c r="O34" s="1363"/>
      <c r="P34" s="48"/>
      <c r="Q34" s="38"/>
      <c r="R34"/>
      <c r="S34" s="38"/>
      <c r="T34" s="38"/>
    </row>
    <row r="35" spans="1:20" ht="15.75">
      <c r="B35" s="2233"/>
      <c r="C35" s="146">
        <v>2</v>
      </c>
      <c r="D35" s="125" t="s">
        <v>1007</v>
      </c>
      <c r="E35" s="125"/>
      <c r="F35" s="147"/>
      <c r="G35" s="147">
        <v>1</v>
      </c>
      <c r="H35" s="147">
        <v>0</v>
      </c>
      <c r="I35" s="80"/>
      <c r="J35" s="80"/>
      <c r="K35" s="80"/>
      <c r="L35" s="80"/>
      <c r="M35" s="80"/>
      <c r="N35" s="80"/>
      <c r="O35" s="80"/>
      <c r="P35" s="48"/>
      <c r="Q35" s="38"/>
      <c r="R35"/>
      <c r="S35" s="38"/>
      <c r="T35" s="38"/>
    </row>
    <row r="36" spans="1:20" ht="15.75">
      <c r="B36" s="2233"/>
      <c r="C36" s="56"/>
      <c r="D36" s="57"/>
      <c r="E36" s="57"/>
      <c r="F36" s="76"/>
      <c r="G36" s="80"/>
      <c r="H36" s="80"/>
      <c r="I36" s="80"/>
      <c r="J36" s="80"/>
      <c r="K36" s="80"/>
      <c r="L36" s="80"/>
      <c r="M36" s="80"/>
      <c r="N36" s="80"/>
      <c r="O36" s="80"/>
      <c r="P36" s="48"/>
      <c r="Q36" s="38"/>
      <c r="R36"/>
      <c r="S36" s="38"/>
      <c r="T36" s="38"/>
    </row>
    <row r="37" spans="1:20" ht="15.75">
      <c r="B37" s="2233"/>
      <c r="C37" s="3886" t="s">
        <v>64</v>
      </c>
      <c r="D37" s="57"/>
      <c r="E37" s="57"/>
      <c r="F37" s="76"/>
      <c r="G37" s="80"/>
      <c r="H37" s="80"/>
      <c r="I37" s="80"/>
      <c r="J37" s="80"/>
      <c r="K37" s="80"/>
      <c r="L37" s="80"/>
      <c r="M37" s="80"/>
      <c r="N37" s="80"/>
      <c r="O37" s="80"/>
      <c r="P37" s="48"/>
      <c r="Q37" s="38"/>
      <c r="R37"/>
      <c r="S37" s="38"/>
      <c r="T37" s="38"/>
    </row>
    <row r="38" spans="1:20">
      <c r="B38" s="45"/>
      <c r="C38" s="3868" t="s">
        <v>65</v>
      </c>
      <c r="D38" s="2278" t="s">
        <v>3264</v>
      </c>
      <c r="E38" s="46"/>
      <c r="F38" s="46"/>
      <c r="G38" s="46"/>
      <c r="H38" s="46"/>
      <c r="I38" s="46"/>
      <c r="J38" s="46"/>
      <c r="K38" s="46"/>
      <c r="L38" s="46"/>
      <c r="M38" s="46"/>
      <c r="N38" s="46"/>
      <c r="O38" s="46"/>
      <c r="P38" s="48"/>
      <c r="Q38" s="38"/>
      <c r="R38" s="2242"/>
      <c r="S38" s="38"/>
      <c r="T38" s="38"/>
    </row>
    <row r="39" spans="1:20">
      <c r="B39" s="45"/>
      <c r="C39" s="3868"/>
      <c r="D39" s="3866" t="s">
        <v>3099</v>
      </c>
      <c r="E39" s="46"/>
      <c r="F39" s="46"/>
      <c r="G39" s="46"/>
      <c r="H39" s="46"/>
      <c r="I39" s="46"/>
      <c r="J39" s="46"/>
      <c r="K39" s="46"/>
      <c r="L39" s="46"/>
      <c r="M39" s="46"/>
      <c r="N39" s="46"/>
      <c r="O39" s="46"/>
      <c r="P39" s="48"/>
      <c r="Q39" s="38"/>
      <c r="R39" s="2242"/>
      <c r="S39" s="38"/>
      <c r="T39" s="38"/>
    </row>
    <row r="40" spans="1:20">
      <c r="B40" s="45"/>
      <c r="C40" s="3868" t="s">
        <v>67</v>
      </c>
      <c r="D40" s="3866" t="s">
        <v>3136</v>
      </c>
      <c r="E40" s="46"/>
      <c r="F40" s="46"/>
      <c r="G40" s="46"/>
      <c r="H40" s="46"/>
      <c r="I40" s="46"/>
      <c r="J40" s="46"/>
      <c r="K40" s="46"/>
      <c r="L40" s="46"/>
      <c r="M40" s="46"/>
      <c r="N40" s="46"/>
      <c r="O40" s="46"/>
      <c r="P40" s="48"/>
    </row>
    <row r="42" spans="1:20" s="4" customFormat="1" ht="23.25">
      <c r="A42" s="2228"/>
      <c r="B42" s="2229" t="s">
        <v>70</v>
      </c>
      <c r="C42" s="42"/>
      <c r="D42" s="42"/>
      <c r="E42" s="42"/>
      <c r="F42" s="42"/>
      <c r="G42" s="42"/>
      <c r="H42" s="42"/>
      <c r="I42" s="42"/>
      <c r="J42" s="42"/>
      <c r="K42" s="42"/>
      <c r="L42" s="42"/>
      <c r="M42" s="42"/>
      <c r="N42" s="42"/>
      <c r="O42" s="42"/>
      <c r="P42" s="44"/>
    </row>
    <row r="43" spans="1:20">
      <c r="B43" s="45"/>
      <c r="C43" s="46"/>
      <c r="D43" s="46"/>
      <c r="E43" s="46"/>
      <c r="F43" s="46"/>
      <c r="G43" s="46"/>
      <c r="H43" s="46"/>
      <c r="I43" s="46"/>
      <c r="J43" s="46"/>
      <c r="K43" s="46"/>
      <c r="L43" s="46"/>
      <c r="M43" s="46"/>
      <c r="N43" s="46"/>
      <c r="O43" s="46"/>
      <c r="P43" s="48"/>
    </row>
    <row r="44" spans="1:20">
      <c r="B44" s="45"/>
      <c r="C44" s="2230" t="s">
        <v>1008</v>
      </c>
      <c r="D44" s="46"/>
      <c r="E44" s="46"/>
      <c r="F44" s="66" t="s">
        <v>1009</v>
      </c>
      <c r="G44" s="46"/>
      <c r="H44" s="46"/>
      <c r="I44" s="46"/>
      <c r="J44" s="46"/>
      <c r="K44" s="46"/>
      <c r="L44" s="46"/>
      <c r="M44" s="46"/>
      <c r="N44" s="46"/>
      <c r="O44" s="46"/>
      <c r="P44" s="48"/>
    </row>
    <row r="45" spans="1:20">
      <c r="B45" s="45"/>
      <c r="C45" s="46"/>
      <c r="D45" s="46"/>
      <c r="E45" s="46"/>
      <c r="F45" s="46"/>
      <c r="G45" s="46"/>
      <c r="H45" s="46"/>
      <c r="I45" s="46"/>
      <c r="J45" s="46"/>
      <c r="K45" s="46"/>
      <c r="L45" s="46"/>
      <c r="M45" s="46"/>
      <c r="N45" s="46"/>
      <c r="O45" s="46"/>
      <c r="P45" s="48"/>
    </row>
    <row r="46" spans="1:20" ht="15.75">
      <c r="B46" s="2233"/>
      <c r="C46" s="2234" t="s">
        <v>28</v>
      </c>
      <c r="D46" s="2234" t="s">
        <v>72</v>
      </c>
      <c r="E46" s="2234" t="s">
        <v>30</v>
      </c>
      <c r="F46" s="2235">
        <v>2013</v>
      </c>
      <c r="G46" s="46"/>
      <c r="H46" s="46"/>
      <c r="I46" s="46"/>
      <c r="J46" s="46"/>
      <c r="K46" s="46"/>
      <c r="L46" s="46"/>
      <c r="M46" s="46"/>
      <c r="N46" s="46"/>
      <c r="O46" s="46"/>
      <c r="P46" s="48"/>
    </row>
    <row r="47" spans="1:20" ht="15.75">
      <c r="B47" s="2233"/>
      <c r="C47" s="56" t="s">
        <v>96</v>
      </c>
      <c r="D47" s="57" t="s">
        <v>86</v>
      </c>
      <c r="E47" s="78"/>
      <c r="F47" s="93">
        <v>0.72</v>
      </c>
      <c r="G47" s="46"/>
      <c r="H47" s="46"/>
      <c r="I47" s="46"/>
      <c r="J47" s="46"/>
      <c r="K47" s="46"/>
      <c r="L47" s="46"/>
      <c r="M47" s="46"/>
      <c r="N47" s="46"/>
      <c r="O47" s="46"/>
      <c r="P47" s="48"/>
    </row>
    <row r="48" spans="1:20" ht="15.75">
      <c r="B48" s="2233"/>
      <c r="C48" s="56" t="s">
        <v>100</v>
      </c>
      <c r="D48" s="57" t="s">
        <v>90</v>
      </c>
      <c r="E48" s="57"/>
      <c r="F48" s="93">
        <v>0.28000000000000003</v>
      </c>
      <c r="G48" s="93"/>
      <c r="H48" s="46"/>
      <c r="I48" s="46"/>
      <c r="J48" s="46"/>
      <c r="K48" s="46"/>
      <c r="L48" s="46"/>
      <c r="M48" s="46"/>
      <c r="N48" s="46"/>
      <c r="O48" s="93"/>
      <c r="P48" s="48"/>
    </row>
    <row r="49" spans="2:27" s="2245" customFormat="1">
      <c r="B49" s="2243"/>
      <c r="C49" s="104"/>
      <c r="D49" s="87"/>
      <c r="E49" s="2243"/>
      <c r="F49" s="2243"/>
      <c r="G49" s="2243"/>
      <c r="H49" s="2243"/>
      <c r="I49" s="2243"/>
      <c r="J49" s="2243"/>
      <c r="K49" s="2243"/>
      <c r="L49" s="2243"/>
      <c r="M49" s="2243"/>
      <c r="N49" s="2243"/>
      <c r="O49" s="93"/>
      <c r="P49" s="2244"/>
    </row>
    <row r="50" spans="2:27">
      <c r="B50" s="45"/>
      <c r="C50" s="2230" t="s">
        <v>798</v>
      </c>
      <c r="D50" s="46"/>
      <c r="E50" s="46"/>
      <c r="F50" s="46"/>
      <c r="G50" s="46"/>
      <c r="H50" s="46"/>
      <c r="I50" s="46"/>
      <c r="J50" s="46"/>
      <c r="K50" s="46"/>
      <c r="L50" s="46"/>
      <c r="M50" s="46"/>
      <c r="N50" s="2246" t="str">
        <f>"kt per "&amp;Preferences.EnergyUnits</f>
        <v>kt per TWh</v>
      </c>
      <c r="O50" s="93"/>
      <c r="P50" s="48"/>
    </row>
    <row r="51" spans="2:27">
      <c r="B51" s="45"/>
      <c r="C51" s="46"/>
      <c r="D51" s="46"/>
      <c r="E51" s="2247"/>
      <c r="F51" s="2248"/>
      <c r="G51" s="46"/>
      <c r="H51" s="46"/>
      <c r="I51" s="46"/>
      <c r="J51" s="46"/>
      <c r="K51" s="46"/>
      <c r="L51" s="46"/>
      <c r="M51" s="46"/>
      <c r="N51" s="46"/>
      <c r="O51" s="93"/>
      <c r="P51" s="48"/>
    </row>
    <row r="52" spans="2:27">
      <c r="B52" s="45"/>
      <c r="C52" s="2249" t="s">
        <v>44</v>
      </c>
      <c r="D52" s="2249" t="s">
        <v>1010</v>
      </c>
      <c r="E52" s="2250" t="s">
        <v>45</v>
      </c>
      <c r="F52" s="1368">
        <v>2013</v>
      </c>
      <c r="G52" s="1368" t="s">
        <v>133</v>
      </c>
      <c r="H52" s="1368" t="s">
        <v>134</v>
      </c>
      <c r="I52" s="1368" t="s">
        <v>135</v>
      </c>
      <c r="J52" s="1368" t="s">
        <v>136</v>
      </c>
      <c r="K52" s="1368" t="s">
        <v>137</v>
      </c>
      <c r="L52" s="1368" t="s">
        <v>138</v>
      </c>
      <c r="M52" s="1368" t="s">
        <v>139</v>
      </c>
      <c r="N52" s="1369" t="s">
        <v>140</v>
      </c>
      <c r="O52" s="93"/>
      <c r="P52" s="48"/>
    </row>
    <row r="53" spans="2:27">
      <c r="B53" s="45"/>
      <c r="C53" s="2251" t="s">
        <v>470</v>
      </c>
      <c r="D53" s="2252" t="s">
        <v>471</v>
      </c>
      <c r="E53" s="2253" t="s">
        <v>90</v>
      </c>
      <c r="F53" s="3679">
        <f t="shared" ref="F53:N53" si="0">0.0000018*(1/Unit.GWh)</f>
        <v>1.8E-3</v>
      </c>
      <c r="G53" s="3679">
        <f t="shared" si="0"/>
        <v>1.8E-3</v>
      </c>
      <c r="H53" s="3679">
        <f t="shared" si="0"/>
        <v>1.8E-3</v>
      </c>
      <c r="I53" s="3679">
        <f t="shared" si="0"/>
        <v>1.8E-3</v>
      </c>
      <c r="J53" s="3679">
        <f t="shared" si="0"/>
        <v>1.8E-3</v>
      </c>
      <c r="K53" s="3679">
        <f t="shared" si="0"/>
        <v>1.8E-3</v>
      </c>
      <c r="L53" s="3679">
        <f t="shared" si="0"/>
        <v>1.8E-3</v>
      </c>
      <c r="M53" s="3679">
        <f t="shared" si="0"/>
        <v>1.8E-3</v>
      </c>
      <c r="N53" s="2457">
        <f t="shared" si="0"/>
        <v>1.8E-3</v>
      </c>
      <c r="O53" s="93"/>
      <c r="P53" s="48"/>
    </row>
    <row r="54" spans="2:27">
      <c r="B54" s="45"/>
      <c r="C54" s="46"/>
      <c r="D54" s="46"/>
      <c r="E54" s="46"/>
      <c r="F54" s="67"/>
      <c r="G54" s="67"/>
      <c r="H54" s="67"/>
      <c r="I54" s="67"/>
      <c r="J54" s="67"/>
      <c r="K54" s="67"/>
      <c r="L54" s="67"/>
      <c r="M54" s="67"/>
      <c r="N54" s="67"/>
      <c r="O54" s="93"/>
      <c r="P54" s="48"/>
    </row>
    <row r="55" spans="2:27">
      <c r="B55" s="45"/>
      <c r="C55" s="2230" t="s">
        <v>800</v>
      </c>
      <c r="D55" s="46"/>
      <c r="E55" s="46"/>
      <c r="F55" s="67"/>
      <c r="G55" s="67"/>
      <c r="H55" s="67"/>
      <c r="I55" s="67"/>
      <c r="J55" s="67"/>
      <c r="K55" s="67"/>
      <c r="L55" s="67"/>
      <c r="M55" s="67"/>
      <c r="N55" s="944" t="str">
        <f>"kt per "&amp;Preferences.EnergyUnits</f>
        <v>kt per TWh</v>
      </c>
      <c r="O55" s="93"/>
      <c r="P55" s="48"/>
    </row>
    <row r="56" spans="2:27">
      <c r="B56" s="45"/>
      <c r="C56" s="46"/>
      <c r="D56" s="46"/>
      <c r="E56" s="2247"/>
      <c r="F56" s="67" t="s">
        <v>5</v>
      </c>
      <c r="G56" s="67"/>
      <c r="H56" s="67"/>
      <c r="I56" s="67"/>
      <c r="J56" s="67"/>
      <c r="K56" s="67"/>
      <c r="L56" s="67"/>
      <c r="M56" s="67"/>
      <c r="N56" s="67"/>
      <c r="O56" s="93"/>
      <c r="P56" s="48"/>
    </row>
    <row r="57" spans="2:27">
      <c r="B57" s="45"/>
      <c r="C57" s="2249" t="s">
        <v>44</v>
      </c>
      <c r="D57" s="2249" t="s">
        <v>1010</v>
      </c>
      <c r="E57" s="2250" t="s">
        <v>45</v>
      </c>
      <c r="F57" s="1368">
        <v>2013</v>
      </c>
      <c r="G57" s="1368" t="s">
        <v>133</v>
      </c>
      <c r="H57" s="1368" t="s">
        <v>134</v>
      </c>
      <c r="I57" s="1368" t="s">
        <v>135</v>
      </c>
      <c r="J57" s="1368" t="s">
        <v>136</v>
      </c>
      <c r="K57" s="1368" t="s">
        <v>137</v>
      </c>
      <c r="L57" s="1368" t="s">
        <v>138</v>
      </c>
      <c r="M57" s="1368" t="s">
        <v>139</v>
      </c>
      <c r="N57" s="1369" t="s">
        <v>140</v>
      </c>
      <c r="O57" s="93"/>
      <c r="P57" s="48"/>
    </row>
    <row r="58" spans="2:27">
      <c r="B58" s="45"/>
      <c r="C58" s="2251" t="s">
        <v>470</v>
      </c>
      <c r="D58" s="2252" t="s">
        <v>471</v>
      </c>
      <c r="E58" s="2253" t="s">
        <v>90</v>
      </c>
      <c r="F58" s="3679">
        <f t="shared" ref="F58:N58" si="1">0.000252*(1/Unit.GWh)</f>
        <v>0.252</v>
      </c>
      <c r="G58" s="3679">
        <f t="shared" si="1"/>
        <v>0.252</v>
      </c>
      <c r="H58" s="3679">
        <f t="shared" si="1"/>
        <v>0.252</v>
      </c>
      <c r="I58" s="3679">
        <f t="shared" si="1"/>
        <v>0.252</v>
      </c>
      <c r="J58" s="3679">
        <f t="shared" si="1"/>
        <v>0.252</v>
      </c>
      <c r="K58" s="3679">
        <f t="shared" si="1"/>
        <v>0.252</v>
      </c>
      <c r="L58" s="3679">
        <f t="shared" si="1"/>
        <v>0.252</v>
      </c>
      <c r="M58" s="3679">
        <f t="shared" si="1"/>
        <v>0.252</v>
      </c>
      <c r="N58" s="2457">
        <f t="shared" si="1"/>
        <v>0.252</v>
      </c>
      <c r="O58" s="93"/>
      <c r="P58" s="48"/>
    </row>
    <row r="59" spans="2:27">
      <c r="B59" s="45"/>
      <c r="C59" s="46"/>
      <c r="D59" s="46"/>
      <c r="E59" s="46"/>
      <c r="F59" s="67"/>
      <c r="G59" s="67"/>
      <c r="H59" s="67"/>
      <c r="I59" s="67"/>
      <c r="J59" s="67"/>
      <c r="K59" s="67"/>
      <c r="L59" s="67"/>
      <c r="M59" s="67"/>
      <c r="N59" s="67"/>
      <c r="O59" s="93"/>
      <c r="P59" s="48"/>
    </row>
    <row r="60" spans="2:27">
      <c r="B60" s="45"/>
      <c r="C60" s="2230" t="s">
        <v>801</v>
      </c>
      <c r="D60" s="46"/>
      <c r="E60" s="46"/>
      <c r="F60" s="67"/>
      <c r="G60" s="67"/>
      <c r="H60" s="67"/>
      <c r="I60" s="67"/>
      <c r="J60" s="67"/>
      <c r="K60" s="67"/>
      <c r="L60" s="67"/>
      <c r="M60" s="67"/>
      <c r="N60" s="944" t="str">
        <f>"kt per "&amp;Preferences.EnergyUnits</f>
        <v>kt per TWh</v>
      </c>
      <c r="O60" s="93"/>
      <c r="P60" s="48"/>
    </row>
    <row r="61" spans="2:27">
      <c r="B61" s="45"/>
      <c r="C61" s="46"/>
      <c r="D61" s="46"/>
      <c r="E61" s="2247"/>
      <c r="F61" s="67"/>
      <c r="G61" s="67"/>
      <c r="H61" s="67"/>
      <c r="I61" s="67"/>
      <c r="J61" s="67"/>
      <c r="K61" s="67"/>
      <c r="L61" s="67"/>
      <c r="M61" s="67"/>
      <c r="N61" s="67"/>
      <c r="O61" s="93"/>
      <c r="P61" s="48"/>
    </row>
    <row r="62" spans="2:27">
      <c r="B62" s="45"/>
      <c r="C62" s="2249" t="s">
        <v>44</v>
      </c>
      <c r="D62" s="2249" t="s">
        <v>1010</v>
      </c>
      <c r="E62" s="2250" t="s">
        <v>45</v>
      </c>
      <c r="F62" s="1368">
        <v>2013</v>
      </c>
      <c r="G62" s="1368" t="s">
        <v>133</v>
      </c>
      <c r="H62" s="1368" t="s">
        <v>134</v>
      </c>
      <c r="I62" s="1368" t="s">
        <v>135</v>
      </c>
      <c r="J62" s="1368" t="s">
        <v>136</v>
      </c>
      <c r="K62" s="1368" t="s">
        <v>137</v>
      </c>
      <c r="L62" s="1368" t="s">
        <v>138</v>
      </c>
      <c r="M62" s="1368" t="s">
        <v>139</v>
      </c>
      <c r="N62" s="1369" t="s">
        <v>140</v>
      </c>
      <c r="O62" s="93"/>
      <c r="P62" s="48"/>
      <c r="V62" s="38"/>
      <c r="W62" s="38"/>
      <c r="X62" s="38"/>
      <c r="Y62" s="38"/>
      <c r="Z62" s="38"/>
      <c r="AA62" s="38"/>
    </row>
    <row r="63" spans="2:27">
      <c r="B63" s="45"/>
      <c r="C63" s="2251" t="s">
        <v>470</v>
      </c>
      <c r="D63" s="2252" t="s">
        <v>471</v>
      </c>
      <c r="E63" s="2253" t="s">
        <v>90</v>
      </c>
      <c r="F63" s="3679">
        <f t="shared" ref="F63:N63" si="2">0*(1/Unit.GWh)</f>
        <v>0</v>
      </c>
      <c r="G63" s="3679">
        <f t="shared" si="2"/>
        <v>0</v>
      </c>
      <c r="H63" s="3679">
        <f t="shared" si="2"/>
        <v>0</v>
      </c>
      <c r="I63" s="3679">
        <f t="shared" si="2"/>
        <v>0</v>
      </c>
      <c r="J63" s="3679">
        <f t="shared" si="2"/>
        <v>0</v>
      </c>
      <c r="K63" s="3679">
        <f t="shared" si="2"/>
        <v>0</v>
      </c>
      <c r="L63" s="3679">
        <f t="shared" si="2"/>
        <v>0</v>
      </c>
      <c r="M63" s="3679">
        <f t="shared" si="2"/>
        <v>0</v>
      </c>
      <c r="N63" s="2457">
        <f t="shared" si="2"/>
        <v>0</v>
      </c>
      <c r="O63" s="93"/>
      <c r="P63" s="48"/>
      <c r="V63" s="38"/>
      <c r="W63" s="38"/>
      <c r="X63" s="38"/>
      <c r="Y63" s="38"/>
      <c r="Z63" s="38"/>
      <c r="AA63" s="38"/>
    </row>
    <row r="64" spans="2:27">
      <c r="B64" s="45"/>
      <c r="C64" s="46"/>
      <c r="D64" s="46"/>
      <c r="E64" s="46"/>
      <c r="F64" s="67"/>
      <c r="G64" s="67"/>
      <c r="H64" s="67"/>
      <c r="I64" s="67"/>
      <c r="J64" s="67"/>
      <c r="K64" s="67"/>
      <c r="L64" s="67"/>
      <c r="M64" s="67"/>
      <c r="N64" s="67"/>
      <c r="O64" s="93"/>
      <c r="P64" s="48"/>
      <c r="V64" s="38"/>
      <c r="W64" s="38"/>
      <c r="X64" s="38"/>
      <c r="Y64" s="38"/>
      <c r="Z64" s="38"/>
      <c r="AA64" s="38"/>
    </row>
    <row r="65" spans="1:34">
      <c r="B65" s="45"/>
      <c r="C65" s="2230" t="s">
        <v>802</v>
      </c>
      <c r="D65" s="46"/>
      <c r="E65" s="46"/>
      <c r="F65" s="67"/>
      <c r="G65" s="67"/>
      <c r="H65" s="67"/>
      <c r="I65" s="67"/>
      <c r="J65" s="67"/>
      <c r="K65" s="67"/>
      <c r="L65" s="67"/>
      <c r="M65" s="67"/>
      <c r="N65" s="944" t="str">
        <f>"kt per "&amp;Preferences.EnergyUnits</f>
        <v>kt per TWh</v>
      </c>
      <c r="O65" s="93"/>
      <c r="P65" s="48"/>
      <c r="V65" s="38"/>
      <c r="W65" s="38"/>
      <c r="X65" s="38"/>
      <c r="Y65" s="38"/>
      <c r="Z65" s="38"/>
      <c r="AA65" s="38"/>
    </row>
    <row r="66" spans="1:34">
      <c r="B66" s="45"/>
      <c r="C66" s="46"/>
      <c r="D66" s="46"/>
      <c r="E66" s="2247"/>
      <c r="F66" s="67"/>
      <c r="G66" s="67"/>
      <c r="H66" s="67"/>
      <c r="I66" s="67"/>
      <c r="J66" s="67"/>
      <c r="K66" s="67"/>
      <c r="L66" s="67"/>
      <c r="M66" s="67"/>
      <c r="N66" s="67"/>
      <c r="O66" s="93"/>
      <c r="P66" s="48"/>
      <c r="V66" s="38"/>
      <c r="W66" s="38"/>
      <c r="X66" s="38"/>
      <c r="Y66" s="38"/>
      <c r="Z66" s="38"/>
      <c r="AA66" s="38"/>
    </row>
    <row r="67" spans="1:34">
      <c r="B67" s="45"/>
      <c r="C67" s="2249" t="s">
        <v>44</v>
      </c>
      <c r="D67" s="2249" t="s">
        <v>1010</v>
      </c>
      <c r="E67" s="2250" t="s">
        <v>45</v>
      </c>
      <c r="F67" s="1368">
        <v>2013</v>
      </c>
      <c r="G67" s="1368" t="s">
        <v>133</v>
      </c>
      <c r="H67" s="1368" t="s">
        <v>134</v>
      </c>
      <c r="I67" s="1368" t="s">
        <v>135</v>
      </c>
      <c r="J67" s="1368" t="s">
        <v>136</v>
      </c>
      <c r="K67" s="1368" t="s">
        <v>137</v>
      </c>
      <c r="L67" s="1368" t="s">
        <v>138</v>
      </c>
      <c r="M67" s="1368" t="s">
        <v>139</v>
      </c>
      <c r="N67" s="1369" t="s">
        <v>140</v>
      </c>
      <c r="O67" s="93"/>
      <c r="P67" s="48"/>
      <c r="R67" s="86"/>
      <c r="S67" s="86"/>
      <c r="T67" s="86"/>
      <c r="U67" s="86"/>
      <c r="V67" s="86"/>
      <c r="W67" s="86"/>
      <c r="X67" s="86"/>
      <c r="Y67" s="86"/>
      <c r="Z67" s="86"/>
      <c r="AA67" s="86"/>
      <c r="AB67" s="86"/>
      <c r="AC67" s="86"/>
      <c r="AD67" s="86"/>
      <c r="AE67" s="86"/>
      <c r="AF67" s="86"/>
      <c r="AG67" s="86"/>
      <c r="AH67" s="86"/>
    </row>
    <row r="68" spans="1:34">
      <c r="B68" s="45"/>
      <c r="C68" s="2251" t="s">
        <v>470</v>
      </c>
      <c r="D68" s="2252" t="s">
        <v>471</v>
      </c>
      <c r="E68" s="2253" t="s">
        <v>90</v>
      </c>
      <c r="F68" s="3679">
        <f t="shared" ref="F68:N68" si="3">0.000036*(1/Unit.GWh)</f>
        <v>3.6000000000000004E-2</v>
      </c>
      <c r="G68" s="3679">
        <f t="shared" si="3"/>
        <v>3.6000000000000004E-2</v>
      </c>
      <c r="H68" s="3679">
        <f t="shared" si="3"/>
        <v>3.6000000000000004E-2</v>
      </c>
      <c r="I68" s="3679">
        <f t="shared" si="3"/>
        <v>3.6000000000000004E-2</v>
      </c>
      <c r="J68" s="3679">
        <f t="shared" si="3"/>
        <v>3.6000000000000004E-2</v>
      </c>
      <c r="K68" s="3679">
        <f t="shared" si="3"/>
        <v>3.6000000000000004E-2</v>
      </c>
      <c r="L68" s="3679">
        <f t="shared" si="3"/>
        <v>3.6000000000000004E-2</v>
      </c>
      <c r="M68" s="3679">
        <f t="shared" si="3"/>
        <v>3.6000000000000004E-2</v>
      </c>
      <c r="N68" s="2457">
        <f t="shared" si="3"/>
        <v>3.6000000000000004E-2</v>
      </c>
      <c r="O68" s="93"/>
      <c r="P68" s="48"/>
      <c r="R68" s="86"/>
      <c r="S68" s="86"/>
      <c r="T68" s="86"/>
      <c r="U68" s="86"/>
      <c r="V68" s="86"/>
      <c r="W68" s="86"/>
      <c r="X68" s="86"/>
      <c r="Y68" s="86"/>
      <c r="Z68" s="86"/>
      <c r="AA68" s="86"/>
      <c r="AB68" s="86"/>
      <c r="AC68" s="86"/>
      <c r="AD68" s="86"/>
      <c r="AE68" s="86"/>
      <c r="AF68" s="86"/>
      <c r="AG68" s="86"/>
      <c r="AH68" s="86"/>
    </row>
    <row r="69" spans="1:34">
      <c r="B69" s="45"/>
      <c r="C69" s="2254"/>
      <c r="D69" s="2255"/>
      <c r="E69" s="2256"/>
      <c r="F69" s="2257"/>
      <c r="G69" s="2257"/>
      <c r="H69" s="2257"/>
      <c r="I69" s="2257"/>
      <c r="J69" s="2257"/>
      <c r="K69" s="2257"/>
      <c r="L69" s="2257"/>
      <c r="M69" s="2257"/>
      <c r="N69" s="2257"/>
      <c r="O69" s="2257"/>
      <c r="P69" s="48"/>
      <c r="R69" s="86"/>
      <c r="S69" s="86"/>
      <c r="T69" s="86"/>
      <c r="U69" s="86"/>
      <c r="V69" s="86"/>
      <c r="W69" s="86"/>
      <c r="X69" s="86"/>
      <c r="Y69" s="86"/>
      <c r="Z69" s="86"/>
      <c r="AA69" s="86"/>
      <c r="AB69" s="86"/>
      <c r="AC69" s="86"/>
      <c r="AD69" s="86"/>
      <c r="AE69" s="86"/>
      <c r="AF69" s="86"/>
      <c r="AG69" s="86"/>
      <c r="AH69" s="86"/>
    </row>
    <row r="70" spans="1:34" s="2258" customFormat="1" ht="12.75">
      <c r="B70" s="2259"/>
      <c r="C70" s="2260" t="s">
        <v>82</v>
      </c>
      <c r="D70" s="2261"/>
      <c r="E70" s="2262"/>
      <c r="F70" s="2259"/>
      <c r="G70" s="2259"/>
      <c r="H70" s="2259"/>
      <c r="I70" s="2259"/>
      <c r="J70" s="2259"/>
      <c r="K70" s="2259"/>
      <c r="L70" s="2259"/>
      <c r="M70" s="2259"/>
      <c r="N70" s="2259"/>
      <c r="O70" s="2259"/>
      <c r="P70" s="2259"/>
      <c r="R70" s="2263"/>
      <c r="S70" s="2263"/>
      <c r="T70" s="2263"/>
      <c r="U70" s="2263"/>
      <c r="V70" s="2263"/>
      <c r="W70" s="2263"/>
      <c r="X70" s="2263"/>
      <c r="Y70" s="2263"/>
      <c r="Z70" s="2263"/>
      <c r="AA70" s="2263"/>
      <c r="AB70" s="2263"/>
      <c r="AC70" s="2263"/>
      <c r="AD70" s="2263"/>
      <c r="AE70" s="2263"/>
      <c r="AF70" s="2263"/>
      <c r="AG70" s="2263"/>
      <c r="AH70" s="2263"/>
    </row>
    <row r="71" spans="1:34" ht="23.25">
      <c r="A71" s="2221"/>
      <c r="B71" s="177"/>
      <c r="C71" s="2261"/>
      <c r="D71" s="2261"/>
      <c r="E71" s="2262"/>
      <c r="F71" s="177"/>
      <c r="G71" s="177"/>
      <c r="H71" s="177"/>
      <c r="I71" s="177"/>
      <c r="J71" s="177"/>
      <c r="K71" s="177"/>
      <c r="L71" s="177"/>
      <c r="M71" s="177"/>
      <c r="N71" s="177"/>
      <c r="O71" s="177"/>
      <c r="P71" s="177"/>
      <c r="R71" s="2264"/>
      <c r="S71" s="86"/>
      <c r="T71" s="86"/>
      <c r="U71" s="86"/>
      <c r="V71" s="86"/>
      <c r="W71" s="86"/>
      <c r="X71" s="86"/>
      <c r="Y71" s="86"/>
      <c r="Z71" s="86"/>
      <c r="AA71" s="86"/>
      <c r="AB71" s="86"/>
      <c r="AC71" s="86"/>
      <c r="AD71" s="86"/>
      <c r="AE71" s="86"/>
      <c r="AF71" s="86"/>
      <c r="AG71" s="86"/>
      <c r="AH71" s="86"/>
    </row>
    <row r="72" spans="1:34">
      <c r="B72" s="177"/>
      <c r="C72" s="2261" t="s">
        <v>195</v>
      </c>
      <c r="D72" s="2265"/>
      <c r="E72" s="2266">
        <v>0.33</v>
      </c>
      <c r="F72" s="177"/>
      <c r="G72" s="177"/>
      <c r="H72" s="177"/>
      <c r="I72" s="177"/>
      <c r="J72" s="177"/>
      <c r="K72" s="177"/>
      <c r="L72" s="177"/>
      <c r="M72" s="177"/>
      <c r="N72" s="177"/>
      <c r="O72" s="177"/>
      <c r="P72" s="177"/>
      <c r="R72" s="2267"/>
      <c r="S72" s="2267"/>
      <c r="T72" s="2267"/>
      <c r="U72" s="2267"/>
      <c r="V72" s="2267"/>
      <c r="W72" s="2267"/>
      <c r="X72" s="38"/>
      <c r="Y72" s="38"/>
      <c r="Z72" s="2267"/>
      <c r="AA72" s="2267"/>
      <c r="AB72" s="2267"/>
      <c r="AC72" s="2267"/>
      <c r="AD72" s="2267"/>
      <c r="AE72" s="2267"/>
      <c r="AF72" s="2267"/>
      <c r="AG72" s="86"/>
      <c r="AH72" s="86"/>
    </row>
    <row r="73" spans="1:34">
      <c r="B73" s="177"/>
      <c r="C73" s="177"/>
      <c r="D73" s="177"/>
      <c r="E73" s="177"/>
      <c r="F73" s="177"/>
      <c r="G73" s="177"/>
      <c r="H73" s="177"/>
      <c r="I73" s="177"/>
      <c r="J73" s="177"/>
      <c r="K73" s="177"/>
      <c r="L73" s="177"/>
      <c r="M73" s="177"/>
      <c r="N73" s="177"/>
      <c r="O73" s="177"/>
      <c r="P73" s="177"/>
      <c r="R73" s="2267"/>
      <c r="S73" s="2268"/>
      <c r="T73" s="2269"/>
      <c r="U73" s="2269"/>
      <c r="V73" s="2269"/>
      <c r="W73" s="2267"/>
      <c r="X73" s="2267"/>
      <c r="Y73" s="2267"/>
      <c r="Z73" s="2267"/>
      <c r="AA73" s="2267"/>
      <c r="AB73" s="2267"/>
      <c r="AC73" s="2267"/>
      <c r="AD73" s="2267"/>
      <c r="AE73" s="2267"/>
      <c r="AF73" s="2267"/>
      <c r="AG73" s="86"/>
      <c r="AH73" s="86"/>
    </row>
    <row r="74" spans="1:34">
      <c r="R74" s="2267"/>
      <c r="S74" s="2270"/>
      <c r="T74" s="2271"/>
      <c r="U74" s="2272"/>
      <c r="V74" s="2271"/>
      <c r="W74" s="2267"/>
      <c r="X74" s="2267"/>
      <c r="Y74" s="2267"/>
      <c r="Z74" s="2267"/>
      <c r="AA74" s="2267"/>
      <c r="AB74" s="2267"/>
      <c r="AC74" s="2267"/>
      <c r="AD74" s="2267"/>
      <c r="AE74" s="2267"/>
      <c r="AF74" s="2267"/>
      <c r="AG74" s="86"/>
      <c r="AH74" s="86"/>
    </row>
    <row r="75" spans="1:34" ht="15.75">
      <c r="B75" s="2229" t="s">
        <v>2794</v>
      </c>
      <c r="C75" s="42"/>
      <c r="D75" s="42"/>
      <c r="E75" s="42"/>
      <c r="F75" s="42"/>
      <c r="G75" s="42"/>
      <c r="H75" s="42"/>
      <c r="I75" s="42"/>
      <c r="J75" s="42"/>
      <c r="K75" s="42"/>
      <c r="L75" s="42"/>
      <c r="M75" s="42"/>
      <c r="N75" s="42"/>
      <c r="O75" s="42"/>
      <c r="P75" s="44"/>
      <c r="R75" s="2267"/>
      <c r="S75" s="2270"/>
      <c r="T75" s="2271"/>
      <c r="U75" s="2272"/>
      <c r="V75" s="2271"/>
      <c r="W75" s="4165"/>
      <c r="X75" s="4166"/>
      <c r="Y75" s="4165"/>
      <c r="Z75" s="4166"/>
      <c r="AA75" s="2267"/>
      <c r="AB75" s="2267"/>
      <c r="AC75" s="2267"/>
      <c r="AD75" s="2267"/>
      <c r="AE75" s="2267"/>
      <c r="AF75" s="2267"/>
      <c r="AG75" s="86"/>
      <c r="AH75" s="86"/>
    </row>
    <row r="76" spans="1:34" hidden="1">
      <c r="B76" s="2273"/>
      <c r="C76" s="2274"/>
      <c r="D76" s="2274"/>
      <c r="E76" s="2274"/>
      <c r="F76" s="2274"/>
      <c r="G76" s="2274"/>
      <c r="H76" s="2274"/>
      <c r="I76" s="2274"/>
      <c r="J76" s="2274"/>
      <c r="K76" s="2274"/>
      <c r="L76" s="2274"/>
      <c r="M76" s="2274"/>
      <c r="N76" s="2274"/>
      <c r="O76" s="2274"/>
      <c r="P76" s="2275"/>
      <c r="R76" s="2267"/>
      <c r="S76" s="2267"/>
      <c r="T76" s="2267"/>
      <c r="U76" s="2270"/>
      <c r="V76" s="2270"/>
      <c r="W76" s="2276"/>
      <c r="X76" s="2277"/>
      <c r="Y76" s="2276"/>
      <c r="Z76" s="2277"/>
      <c r="AA76" s="2267"/>
      <c r="AB76" s="2267"/>
      <c r="AC76" s="2267"/>
      <c r="AD76" s="2267"/>
      <c r="AE76" s="2267"/>
      <c r="AF76" s="2267"/>
      <c r="AG76" s="86"/>
      <c r="AH76" s="86"/>
    </row>
    <row r="77" spans="1:34" hidden="1">
      <c r="B77" s="45"/>
      <c r="C77" s="2230" t="s">
        <v>1011</v>
      </c>
      <c r="D77" s="2278"/>
      <c r="E77" s="2279"/>
      <c r="F77" s="2280"/>
      <c r="G77" s="2280"/>
      <c r="H77" s="2281"/>
      <c r="I77" s="2281"/>
      <c r="J77" s="2281"/>
      <c r="K77" s="2281"/>
      <c r="L77" s="2281"/>
      <c r="M77" s="2281"/>
      <c r="N77" s="2281"/>
      <c r="O77" s="2246" t="s">
        <v>2836</v>
      </c>
      <c r="P77" s="48"/>
      <c r="R77" s="2267"/>
      <c r="S77" s="86"/>
      <c r="T77" s="2282"/>
      <c r="U77" s="2282"/>
      <c r="V77" s="2282"/>
      <c r="W77" s="86"/>
      <c r="X77" s="86"/>
      <c r="Y77" s="2282"/>
      <c r="Z77" s="2282"/>
      <c r="AA77" s="2267"/>
      <c r="AB77" s="2267"/>
      <c r="AC77" s="2267"/>
      <c r="AD77" s="2267"/>
      <c r="AE77" s="2267"/>
      <c r="AF77" s="2267"/>
      <c r="AG77" s="86"/>
      <c r="AH77" s="86"/>
    </row>
    <row r="78" spans="1:34" hidden="1">
      <c r="B78" s="45"/>
      <c r="C78" s="2283"/>
      <c r="D78" s="2278"/>
      <c r="E78" s="2279"/>
      <c r="F78" s="2280"/>
      <c r="G78" s="2280"/>
      <c r="H78" s="2281"/>
      <c r="I78" s="2281"/>
      <c r="J78" s="2281"/>
      <c r="K78" s="2281"/>
      <c r="L78" s="2281"/>
      <c r="M78" s="2281"/>
      <c r="N78" s="2281"/>
      <c r="O78" s="46"/>
      <c r="P78" s="48"/>
      <c r="R78" s="2267"/>
      <c r="S78" s="86"/>
      <c r="T78" s="2282"/>
      <c r="U78" s="2282"/>
      <c r="V78" s="2282"/>
      <c r="W78" s="86"/>
      <c r="X78" s="86"/>
      <c r="Y78" s="2282"/>
      <c r="Z78" s="2282"/>
      <c r="AA78" s="2267"/>
      <c r="AB78" s="2267"/>
      <c r="AC78" s="2267"/>
      <c r="AD78" s="2267"/>
      <c r="AE78" s="2267"/>
      <c r="AF78" s="2267"/>
      <c r="AG78" s="86"/>
      <c r="AH78" s="86"/>
    </row>
    <row r="79" spans="1:34" hidden="1">
      <c r="B79" s="45"/>
      <c r="C79" s="278"/>
      <c r="D79" s="2284"/>
      <c r="E79" s="2285" t="s">
        <v>160</v>
      </c>
      <c r="F79" s="2286">
        <v>2013</v>
      </c>
      <c r="G79" s="2287">
        <v>2010</v>
      </c>
      <c r="H79" s="2287">
        <v>2015</v>
      </c>
      <c r="I79" s="2287">
        <v>2020</v>
      </c>
      <c r="J79" s="2287">
        <v>2025</v>
      </c>
      <c r="K79" s="2287">
        <v>2030</v>
      </c>
      <c r="L79" s="2287">
        <v>2035</v>
      </c>
      <c r="M79" s="2287">
        <v>2040</v>
      </c>
      <c r="N79" s="2287">
        <v>2045</v>
      </c>
      <c r="O79" s="2287">
        <v>2050</v>
      </c>
      <c r="P79" s="48"/>
      <c r="R79" s="2267"/>
      <c r="S79" s="86"/>
      <c r="T79" s="2282"/>
      <c r="U79" s="2282"/>
      <c r="V79" s="2282"/>
      <c r="W79" s="86"/>
      <c r="X79" s="86"/>
      <c r="Y79" s="2282"/>
      <c r="Z79" s="2282"/>
      <c r="AA79" s="2267"/>
      <c r="AB79" s="2267"/>
      <c r="AC79" s="2267"/>
      <c r="AD79" s="2267"/>
      <c r="AE79" s="2267"/>
      <c r="AF79" s="2267"/>
      <c r="AG79" s="86"/>
      <c r="AH79" s="86"/>
    </row>
    <row r="80" spans="1:34" hidden="1">
      <c r="B80" s="45"/>
      <c r="C80" s="2288" t="s">
        <v>738</v>
      </c>
      <c r="D80" s="2284"/>
      <c r="E80" s="2289">
        <v>0</v>
      </c>
      <c r="F80" s="2290">
        <v>1.7912651538700651E-3</v>
      </c>
      <c r="G80" s="2290">
        <v>1.7912651538700651E-3</v>
      </c>
      <c r="H80" s="2290">
        <v>1.7912651538700651E-3</v>
      </c>
      <c r="I80" s="2290">
        <v>1.7912651538700651E-3</v>
      </c>
      <c r="J80" s="2290">
        <v>1.7912651538700651E-3</v>
      </c>
      <c r="K80" s="2290">
        <v>1.7912651538700651E-3</v>
      </c>
      <c r="L80" s="2290">
        <v>1.7912651538700651E-3</v>
      </c>
      <c r="M80" s="2290">
        <v>1.7912651538700651E-3</v>
      </c>
      <c r="N80" s="2290">
        <v>1.7912651538700651E-3</v>
      </c>
      <c r="O80" s="2290">
        <v>1.7912651538700651E-3</v>
      </c>
      <c r="P80" s="48"/>
      <c r="R80" s="2267"/>
      <c r="S80" s="2291"/>
      <c r="T80" s="2282"/>
      <c r="U80" s="2282"/>
      <c r="V80" s="2282"/>
      <c r="W80" s="86"/>
      <c r="X80" s="86"/>
      <c r="Y80" s="2282"/>
      <c r="Z80" s="2282"/>
      <c r="AA80" s="2267"/>
      <c r="AB80" s="2267"/>
      <c r="AC80" s="2267"/>
      <c r="AD80" s="2267"/>
      <c r="AE80" s="2267"/>
      <c r="AF80" s="2267"/>
      <c r="AG80" s="86"/>
      <c r="AH80" s="86"/>
    </row>
    <row r="81" spans="2:34" hidden="1">
      <c r="B81" s="45"/>
      <c r="C81" s="2292" t="s">
        <v>739</v>
      </c>
      <c r="D81" s="2278"/>
      <c r="E81" s="2293">
        <v>0</v>
      </c>
      <c r="F81" s="2294">
        <v>1.4031577038648843E-3</v>
      </c>
      <c r="G81" s="2294">
        <v>1.4031577038648843E-3</v>
      </c>
      <c r="H81" s="2295">
        <v>1.4031577038648843E-3</v>
      </c>
      <c r="I81" s="2295">
        <v>1.4031577038648843E-3</v>
      </c>
      <c r="J81" s="2295">
        <v>1.4031577038648843E-3</v>
      </c>
      <c r="K81" s="2295">
        <v>1.4031577038648843E-3</v>
      </c>
      <c r="L81" s="2295">
        <v>1.4031577038648843E-3</v>
      </c>
      <c r="M81" s="2295">
        <v>1.4031577038648843E-3</v>
      </c>
      <c r="N81" s="2295">
        <v>1.4031577038648843E-3</v>
      </c>
      <c r="O81" s="2294">
        <v>1.4031577038648843E-3</v>
      </c>
      <c r="P81" s="48"/>
      <c r="Q81" s="38"/>
      <c r="R81" s="2267"/>
      <c r="S81" s="86"/>
      <c r="T81" s="2296"/>
      <c r="U81" s="86"/>
      <c r="V81" s="86"/>
      <c r="W81" s="86"/>
      <c r="X81" s="86"/>
      <c r="Y81" s="86"/>
      <c r="Z81" s="86"/>
      <c r="AA81" s="86"/>
      <c r="AB81" s="86"/>
      <c r="AC81" s="86"/>
      <c r="AD81" s="86"/>
      <c r="AE81" s="86"/>
      <c r="AF81" s="2267"/>
      <c r="AG81" s="86"/>
      <c r="AH81" s="86"/>
    </row>
    <row r="82" spans="2:34" hidden="1">
      <c r="B82" s="45"/>
      <c r="C82" s="2297" t="s">
        <v>740</v>
      </c>
      <c r="D82" s="2298"/>
      <c r="E82" s="2299">
        <v>0</v>
      </c>
      <c r="F82" s="2300">
        <v>1.1941767692467101E-3</v>
      </c>
      <c r="G82" s="2300">
        <v>1.1941767692467101E-3</v>
      </c>
      <c r="H82" s="2301">
        <v>1.1941767692467101E-3</v>
      </c>
      <c r="I82" s="2301">
        <v>1.1941767692467101E-3</v>
      </c>
      <c r="J82" s="2301">
        <v>1.1941767692467101E-3</v>
      </c>
      <c r="K82" s="2301">
        <v>1.1941767692467101E-3</v>
      </c>
      <c r="L82" s="2301">
        <v>1.1941767692467101E-3</v>
      </c>
      <c r="M82" s="2301">
        <v>1.1941767692467101E-3</v>
      </c>
      <c r="N82" s="2301">
        <v>1.1941767692467101E-3</v>
      </c>
      <c r="O82" s="2300">
        <v>1.1941767692467101E-3</v>
      </c>
      <c r="P82" s="48"/>
      <c r="Q82" s="38"/>
      <c r="R82" s="2267"/>
      <c r="S82" s="86"/>
      <c r="T82" s="86"/>
      <c r="U82" s="86"/>
      <c r="V82" s="86"/>
      <c r="W82" s="86"/>
      <c r="X82" s="86"/>
      <c r="Y82" s="86"/>
      <c r="Z82" s="86"/>
      <c r="AA82" s="86"/>
      <c r="AB82" s="86"/>
      <c r="AC82" s="86"/>
      <c r="AD82" s="86"/>
      <c r="AE82" s="86"/>
      <c r="AF82" s="2267"/>
      <c r="AG82" s="86"/>
      <c r="AH82" s="86"/>
    </row>
    <row r="83" spans="2:34" hidden="1">
      <c r="B83" s="45"/>
      <c r="C83" s="2283"/>
      <c r="D83" s="2278"/>
      <c r="E83" s="2279"/>
      <c r="F83" s="2280"/>
      <c r="G83" s="2280"/>
      <c r="H83" s="2281"/>
      <c r="I83" s="2281"/>
      <c r="J83" s="2281"/>
      <c r="K83" s="2281"/>
      <c r="L83" s="2281"/>
      <c r="M83" s="2281"/>
      <c r="N83" s="2281"/>
      <c r="O83" s="46"/>
      <c r="P83" s="48"/>
      <c r="Q83" s="38"/>
      <c r="R83" s="2267"/>
      <c r="S83" s="86"/>
      <c r="T83" s="86"/>
      <c r="U83" s="86"/>
      <c r="V83" s="86"/>
      <c r="W83" s="86"/>
      <c r="X83" s="86"/>
      <c r="Y83" s="86"/>
      <c r="Z83" s="86"/>
      <c r="AA83" s="86"/>
      <c r="AB83" s="86"/>
      <c r="AC83" s="86"/>
      <c r="AD83" s="86"/>
      <c r="AE83" s="86"/>
      <c r="AF83" s="2267"/>
      <c r="AG83" s="86"/>
      <c r="AH83" s="86"/>
    </row>
    <row r="84" spans="2:34" hidden="1">
      <c r="B84" s="45"/>
      <c r="C84" s="2230" t="s">
        <v>1012</v>
      </c>
      <c r="D84" s="2278"/>
      <c r="E84" s="2279"/>
      <c r="F84" s="2280"/>
      <c r="G84" s="2280"/>
      <c r="H84" s="2281"/>
      <c r="I84" s="2281"/>
      <c r="J84" s="2281"/>
      <c r="K84" s="2281"/>
      <c r="L84" s="2281"/>
      <c r="M84" s="2281"/>
      <c r="N84" s="2281"/>
      <c r="O84" s="2246" t="s">
        <v>2836</v>
      </c>
      <c r="P84" s="48"/>
      <c r="Q84" s="38"/>
      <c r="R84" s="2267"/>
      <c r="S84" s="86"/>
      <c r="T84" s="86"/>
      <c r="U84" s="86"/>
      <c r="V84" s="86"/>
      <c r="W84" s="86"/>
      <c r="X84" s="86"/>
      <c r="Y84" s="86"/>
      <c r="Z84" s="86"/>
      <c r="AA84" s="86"/>
      <c r="AB84" s="86"/>
      <c r="AC84" s="86"/>
      <c r="AD84" s="86"/>
      <c r="AE84" s="86"/>
      <c r="AF84" s="2267"/>
      <c r="AG84" s="86"/>
      <c r="AH84" s="86"/>
    </row>
    <row r="85" spans="2:34" hidden="1">
      <c r="B85" s="45"/>
      <c r="C85" s="2283"/>
      <c r="D85" s="2278"/>
      <c r="E85" s="2279"/>
      <c r="F85" s="2280"/>
      <c r="G85" s="2280"/>
      <c r="H85" s="2281"/>
      <c r="I85" s="2281"/>
      <c r="J85" s="2281"/>
      <c r="K85" s="2281"/>
      <c r="L85" s="2281"/>
      <c r="M85" s="2281"/>
      <c r="N85" s="2281"/>
      <c r="O85" s="46"/>
      <c r="P85" s="48"/>
      <c r="Q85" s="38"/>
      <c r="R85" s="2267"/>
      <c r="S85" s="86"/>
      <c r="T85" s="86"/>
      <c r="U85" s="86"/>
      <c r="V85" s="86"/>
      <c r="W85" s="86"/>
      <c r="X85" s="86"/>
      <c r="Y85" s="86"/>
      <c r="Z85" s="86"/>
      <c r="AA85" s="86"/>
      <c r="AB85" s="86"/>
      <c r="AC85" s="86"/>
      <c r="AD85" s="86"/>
      <c r="AE85" s="86"/>
      <c r="AF85" s="2267"/>
      <c r="AG85" s="86"/>
      <c r="AH85" s="86"/>
    </row>
    <row r="86" spans="2:34" hidden="1">
      <c r="B86" s="45"/>
      <c r="C86" s="105"/>
      <c r="D86" s="2302"/>
      <c r="E86" s="2303" t="s">
        <v>160</v>
      </c>
      <c r="F86" s="2304">
        <v>2013</v>
      </c>
      <c r="G86" s="2305">
        <v>2010</v>
      </c>
      <c r="H86" s="2305">
        <v>2015</v>
      </c>
      <c r="I86" s="2305">
        <v>2020</v>
      </c>
      <c r="J86" s="2305">
        <v>2025</v>
      </c>
      <c r="K86" s="2305">
        <v>2030</v>
      </c>
      <c r="L86" s="2305">
        <v>2035</v>
      </c>
      <c r="M86" s="2305">
        <v>2040</v>
      </c>
      <c r="N86" s="2305">
        <v>2045</v>
      </c>
      <c r="O86" s="2305">
        <v>2050</v>
      </c>
      <c r="P86" s="48"/>
      <c r="Q86" s="38"/>
      <c r="R86" s="2267"/>
      <c r="S86" s="86"/>
      <c r="T86" s="86"/>
      <c r="U86" s="86"/>
      <c r="V86" s="86"/>
      <c r="W86" s="86"/>
      <c r="X86" s="86"/>
      <c r="Y86" s="86"/>
      <c r="Z86" s="86"/>
      <c r="AA86" s="86"/>
      <c r="AB86" s="86"/>
      <c r="AC86" s="86"/>
      <c r="AD86" s="86"/>
      <c r="AE86" s="86"/>
      <c r="AF86" s="2267"/>
      <c r="AG86" s="86"/>
      <c r="AH86" s="86"/>
    </row>
    <row r="87" spans="2:34" hidden="1">
      <c r="B87" s="45"/>
      <c r="C87" s="2288" t="s">
        <v>738</v>
      </c>
      <c r="D87" s="2284"/>
      <c r="E87" s="2289">
        <v>0</v>
      </c>
      <c r="F87" s="2290">
        <v>1.9117189928504817E-3</v>
      </c>
      <c r="G87" s="2290">
        <v>1.9117189928504817E-3</v>
      </c>
      <c r="H87" s="2306">
        <v>1.9117189928504817E-3</v>
      </c>
      <c r="I87" s="2306">
        <v>1.9117189928504817E-3</v>
      </c>
      <c r="J87" s="2306">
        <v>1.9117189928504817E-3</v>
      </c>
      <c r="K87" s="2306">
        <v>1.9117189928504817E-3</v>
      </c>
      <c r="L87" s="2306">
        <v>1.9117189928504817E-3</v>
      </c>
      <c r="M87" s="2306">
        <v>1.9117189928504817E-3</v>
      </c>
      <c r="N87" s="2306">
        <v>1.9117189928504817E-3</v>
      </c>
      <c r="O87" s="2290">
        <v>1.9117189928504817E-3</v>
      </c>
      <c r="P87" s="48"/>
      <c r="Q87" s="38"/>
      <c r="R87" s="2267"/>
      <c r="S87" s="86"/>
      <c r="T87" s="86"/>
      <c r="U87" s="86"/>
      <c r="V87" s="86"/>
      <c r="W87" s="86"/>
      <c r="X87" s="86"/>
      <c r="Y87" s="86"/>
      <c r="Z87" s="86"/>
      <c r="AA87" s="86"/>
      <c r="AB87" s="86"/>
      <c r="AC87" s="86"/>
      <c r="AD87" s="86"/>
      <c r="AE87" s="86"/>
      <c r="AF87" s="2267"/>
      <c r="AG87" s="86"/>
      <c r="AH87" s="86"/>
    </row>
    <row r="88" spans="2:34" hidden="1">
      <c r="B88" s="45"/>
      <c r="C88" s="2292" t="s">
        <v>739</v>
      </c>
      <c r="D88" s="2278"/>
      <c r="E88" s="2293">
        <v>0</v>
      </c>
      <c r="F88" s="2294">
        <v>1.4975132110662107E-3</v>
      </c>
      <c r="G88" s="2294">
        <v>1.4975132110662107E-3</v>
      </c>
      <c r="H88" s="2294">
        <v>1.465651227852036E-3</v>
      </c>
      <c r="I88" s="2295">
        <v>1.465651227852036E-3</v>
      </c>
      <c r="J88" s="2295">
        <v>1.465651227852036E-3</v>
      </c>
      <c r="K88" s="2295">
        <v>1.465651227852036E-3</v>
      </c>
      <c r="L88" s="2295">
        <v>1.465651227852036E-3</v>
      </c>
      <c r="M88" s="2295">
        <v>1.465651227852036E-3</v>
      </c>
      <c r="N88" s="2295">
        <v>1.465651227852036E-3</v>
      </c>
      <c r="O88" s="2294">
        <v>1.4975132110662107E-3</v>
      </c>
      <c r="P88" s="48"/>
      <c r="Q88" s="38"/>
      <c r="R88" s="2267"/>
      <c r="S88" s="86"/>
      <c r="T88" s="2296"/>
      <c r="U88" s="86"/>
      <c r="V88" s="86"/>
      <c r="W88" s="86"/>
      <c r="X88" s="86"/>
      <c r="Y88" s="86"/>
      <c r="Z88" s="86"/>
      <c r="AA88" s="86"/>
      <c r="AB88" s="86"/>
      <c r="AC88" s="86"/>
      <c r="AD88" s="86"/>
      <c r="AE88" s="86"/>
      <c r="AF88" s="2267"/>
      <c r="AG88" s="86"/>
      <c r="AH88" s="86"/>
    </row>
    <row r="89" spans="2:34" hidden="1">
      <c r="B89" s="45"/>
      <c r="C89" s="2297" t="s">
        <v>740</v>
      </c>
      <c r="D89" s="2298"/>
      <c r="E89" s="2299">
        <v>0</v>
      </c>
      <c r="F89" s="2300">
        <v>1.2744793285669879E-3</v>
      </c>
      <c r="G89" s="2300">
        <v>1.2744793285669879E-3</v>
      </c>
      <c r="H89" s="2301">
        <v>1.2744793285669879E-3</v>
      </c>
      <c r="I89" s="2301">
        <v>1.2744793285669879E-3</v>
      </c>
      <c r="J89" s="2301">
        <v>1.2744793285669879E-3</v>
      </c>
      <c r="K89" s="2301">
        <v>1.2744793285669879E-3</v>
      </c>
      <c r="L89" s="2301">
        <v>1.2744793285669879E-3</v>
      </c>
      <c r="M89" s="2301">
        <v>1.2744793285669879E-3</v>
      </c>
      <c r="N89" s="2301">
        <v>1.2744793285669879E-3</v>
      </c>
      <c r="O89" s="2300">
        <v>1.2744793285669879E-3</v>
      </c>
      <c r="P89" s="48"/>
      <c r="R89" s="2267"/>
      <c r="S89" s="86"/>
      <c r="T89" s="86"/>
      <c r="U89" s="86"/>
      <c r="V89" s="86"/>
      <c r="W89" s="86"/>
      <c r="X89" s="86"/>
      <c r="Y89" s="86"/>
      <c r="Z89" s="86"/>
      <c r="AA89" s="86"/>
      <c r="AB89" s="86"/>
      <c r="AC89" s="86"/>
      <c r="AD89" s="86"/>
      <c r="AE89" s="86"/>
      <c r="AF89" s="2267"/>
      <c r="AG89" s="86"/>
      <c r="AH89" s="86"/>
    </row>
    <row r="90" spans="2:34" hidden="1">
      <c r="B90" s="177"/>
      <c r="C90" s="177"/>
      <c r="D90" s="46"/>
      <c r="E90" s="2281"/>
      <c r="F90" s="46"/>
      <c r="G90" s="46"/>
      <c r="H90" s="46"/>
      <c r="I90" s="46"/>
      <c r="J90" s="2307"/>
      <c r="K90" s="2307"/>
      <c r="L90" s="177"/>
      <c r="M90" s="177"/>
      <c r="N90" s="177"/>
      <c r="O90" s="177"/>
      <c r="P90" s="177"/>
      <c r="R90" s="2267"/>
      <c r="S90" s="86"/>
      <c r="T90" s="86"/>
      <c r="U90" s="86"/>
      <c r="V90" s="86"/>
      <c r="W90" s="86"/>
      <c r="X90" s="86"/>
      <c r="Y90" s="86"/>
      <c r="Z90" s="86"/>
      <c r="AA90" s="86"/>
      <c r="AB90" s="86"/>
      <c r="AC90" s="86"/>
      <c r="AD90" s="86"/>
      <c r="AE90" s="86"/>
      <c r="AF90" s="2267"/>
      <c r="AG90" s="86"/>
      <c r="AH90" s="86"/>
    </row>
    <row r="91" spans="2:34">
      <c r="R91" s="2267"/>
      <c r="S91" s="86"/>
      <c r="T91" s="86"/>
      <c r="U91" s="86"/>
      <c r="V91" s="86"/>
      <c r="W91" s="86"/>
      <c r="X91" s="86"/>
      <c r="Y91" s="86"/>
      <c r="Z91" s="86"/>
      <c r="AA91" s="86"/>
      <c r="AB91" s="86"/>
      <c r="AC91" s="86"/>
      <c r="AD91" s="86"/>
      <c r="AE91" s="86"/>
      <c r="AF91" s="2267"/>
      <c r="AG91" s="86"/>
      <c r="AH91" s="86"/>
    </row>
    <row r="92" spans="2:34" ht="15.75">
      <c r="B92" s="2229" t="s">
        <v>178</v>
      </c>
      <c r="C92" s="291"/>
      <c r="D92" s="291"/>
      <c r="E92" s="291"/>
      <c r="F92" s="291"/>
      <c r="G92" s="291"/>
      <c r="H92" s="291"/>
      <c r="I92" s="291"/>
      <c r="J92" s="291"/>
      <c r="K92" s="291"/>
      <c r="L92" s="291"/>
      <c r="M92" s="291"/>
      <c r="N92" s="291"/>
      <c r="O92" s="291"/>
      <c r="P92" s="292"/>
      <c r="R92" s="2267"/>
      <c r="S92" s="86"/>
      <c r="T92" s="86"/>
      <c r="U92" s="86"/>
      <c r="V92" s="86"/>
      <c r="W92" s="86"/>
      <c r="X92" s="86"/>
      <c r="Y92" s="86"/>
      <c r="Z92" s="86"/>
      <c r="AA92" s="86"/>
      <c r="AB92" s="86"/>
      <c r="AC92" s="86"/>
      <c r="AD92" s="86"/>
      <c r="AE92" s="86"/>
      <c r="AF92" s="2267"/>
      <c r="AG92" s="86"/>
      <c r="AH92" s="86"/>
    </row>
    <row r="93" spans="2:34">
      <c r="B93" s="45"/>
      <c r="C93" s="46"/>
      <c r="D93" s="46"/>
      <c r="E93" s="46"/>
      <c r="F93" s="46"/>
      <c r="G93" s="46"/>
      <c r="H93" s="46"/>
      <c r="I93" s="46"/>
      <c r="J93" s="46"/>
      <c r="K93" s="46"/>
      <c r="L93" s="46"/>
      <c r="M93" s="46"/>
      <c r="N93" s="46"/>
      <c r="O93" s="46"/>
      <c r="P93" s="48"/>
      <c r="R93" s="2267"/>
      <c r="S93" s="86"/>
      <c r="T93" s="86"/>
      <c r="U93" s="86"/>
      <c r="V93" s="86"/>
      <c r="W93" s="86"/>
      <c r="X93" s="86"/>
      <c r="Y93" s="86"/>
      <c r="Z93" s="86"/>
      <c r="AA93" s="86"/>
      <c r="AB93" s="86"/>
      <c r="AC93" s="86"/>
      <c r="AD93" s="86"/>
      <c r="AE93" s="86"/>
      <c r="AF93" s="2267"/>
      <c r="AG93" s="86"/>
      <c r="AH93" s="86"/>
    </row>
    <row r="94" spans="2:34">
      <c r="B94" s="45"/>
      <c r="C94" s="2230" t="s">
        <v>1013</v>
      </c>
      <c r="D94" s="46"/>
      <c r="E94" s="46"/>
      <c r="F94" s="66"/>
      <c r="G94" s="46"/>
      <c r="H94" s="46"/>
      <c r="I94" s="46"/>
      <c r="J94" s="46"/>
      <c r="K94" s="46"/>
      <c r="L94" s="46"/>
      <c r="M94" s="46"/>
      <c r="N94" s="66" t="s">
        <v>1009</v>
      </c>
      <c r="O94" s="46"/>
      <c r="P94" s="48"/>
      <c r="R94" s="2267"/>
      <c r="S94" s="86"/>
      <c r="T94" s="86"/>
      <c r="U94" s="86"/>
      <c r="V94" s="86"/>
      <c r="W94" s="86"/>
      <c r="X94" s="86"/>
      <c r="Y94" s="86"/>
      <c r="Z94" s="86"/>
      <c r="AA94" s="86"/>
      <c r="AB94" s="86"/>
      <c r="AC94" s="86"/>
      <c r="AD94" s="86"/>
      <c r="AE94" s="86"/>
      <c r="AF94" s="2267"/>
      <c r="AG94" s="86"/>
      <c r="AH94" s="86"/>
    </row>
    <row r="95" spans="2:34">
      <c r="B95" s="45"/>
      <c r="C95" s="46"/>
      <c r="D95" s="46"/>
      <c r="E95" s="46"/>
      <c r="F95" s="46"/>
      <c r="G95" s="46"/>
      <c r="H95" s="46"/>
      <c r="I95" s="46"/>
      <c r="J95" s="46"/>
      <c r="K95" s="46"/>
      <c r="L95" s="46"/>
      <c r="M95" s="46"/>
      <c r="N95" s="46"/>
      <c r="O95" s="46"/>
      <c r="P95" s="48"/>
      <c r="R95" s="2267"/>
      <c r="S95" s="86"/>
      <c r="T95" s="86"/>
      <c r="U95" s="86"/>
      <c r="V95" s="86"/>
      <c r="W95" s="86"/>
      <c r="X95" s="86"/>
      <c r="Y95" s="86"/>
      <c r="Z95" s="86"/>
      <c r="AA95" s="86"/>
      <c r="AB95" s="86"/>
      <c r="AC95" s="86"/>
      <c r="AD95" s="86"/>
      <c r="AE95" s="86"/>
      <c r="AF95" s="2267"/>
      <c r="AG95" s="86"/>
      <c r="AH95" s="86"/>
    </row>
    <row r="96" spans="2:34" ht="15.75">
      <c r="B96" s="2233"/>
      <c r="C96" s="2234" t="s">
        <v>28</v>
      </c>
      <c r="D96" s="2234" t="s">
        <v>72</v>
      </c>
      <c r="E96" s="2234" t="s">
        <v>30</v>
      </c>
      <c r="F96" s="2235">
        <v>2013</v>
      </c>
      <c r="G96" s="2235">
        <v>2015</v>
      </c>
      <c r="H96" s="2235">
        <v>2020</v>
      </c>
      <c r="I96" s="2235">
        <v>2025</v>
      </c>
      <c r="J96" s="2235">
        <v>2030</v>
      </c>
      <c r="K96" s="2235">
        <v>2035</v>
      </c>
      <c r="L96" s="2235">
        <v>2040</v>
      </c>
      <c r="M96" s="2235">
        <v>2045</v>
      </c>
      <c r="N96" s="2235">
        <v>2050</v>
      </c>
      <c r="O96" s="46"/>
      <c r="P96" s="48"/>
      <c r="R96" s="2267"/>
      <c r="S96" s="86"/>
      <c r="T96" s="86"/>
      <c r="U96" s="86"/>
      <c r="V96" s="86"/>
      <c r="W96" s="86"/>
      <c r="X96" s="86"/>
      <c r="Y96" s="86"/>
      <c r="Z96" s="86"/>
      <c r="AA96" s="86"/>
      <c r="AB96" s="86"/>
      <c r="AC96" s="86"/>
      <c r="AD96" s="86"/>
      <c r="AE96" s="86"/>
      <c r="AF96" s="2267"/>
      <c r="AG96" s="86"/>
      <c r="AH96" s="86"/>
    </row>
    <row r="97" spans="1:34" ht="15.75">
      <c r="B97" s="2233"/>
      <c r="C97" s="56" t="s">
        <v>96</v>
      </c>
      <c r="D97" s="57" t="s">
        <v>86</v>
      </c>
      <c r="E97" s="78"/>
      <c r="F97" s="93">
        <f>F47</f>
        <v>0.72</v>
      </c>
      <c r="G97" s="2308">
        <f>$F97+($N97-$F97)/($N$96-$F$96)*(G$96-$F$96)</f>
        <v>0.72</v>
      </c>
      <c r="H97" s="2309">
        <f t="shared" ref="H97:M98" si="4">$F97+($N97-$F97)/($N$96-$F$96)*(H$96-$F$96)</f>
        <v>0.72</v>
      </c>
      <c r="I97" s="2309">
        <f t="shared" si="4"/>
        <v>0.72</v>
      </c>
      <c r="J97" s="2309">
        <f t="shared" si="4"/>
        <v>0.72</v>
      </c>
      <c r="K97" s="2309">
        <f t="shared" si="4"/>
        <v>0.72</v>
      </c>
      <c r="L97" s="2309">
        <f t="shared" si="4"/>
        <v>0.72</v>
      </c>
      <c r="M97" s="2309">
        <f t="shared" si="4"/>
        <v>0.72</v>
      </c>
      <c r="N97" s="2600">
        <f>INDEX($G$34:$H$35, MATCH($E$9, $C$34:$C$35, 0), MATCH($C97, $G$33:$H$33, 0))</f>
        <v>0.72</v>
      </c>
      <c r="O97" s="46"/>
      <c r="P97" s="48"/>
      <c r="R97" s="2267"/>
      <c r="S97" s="2310"/>
      <c r="T97" s="2291"/>
      <c r="U97" s="2291"/>
      <c r="V97" s="2311"/>
      <c r="W97" s="2311"/>
      <c r="X97" s="2311"/>
      <c r="Y97" s="2311"/>
      <c r="Z97" s="2311"/>
      <c r="AA97" s="2311"/>
      <c r="AB97" s="2311"/>
      <c r="AC97" s="2311"/>
      <c r="AD97" s="2311"/>
      <c r="AE97" s="2311"/>
      <c r="AF97" s="2267"/>
      <c r="AG97" s="86"/>
      <c r="AH97" s="86"/>
    </row>
    <row r="98" spans="1:34" ht="15.75">
      <c r="B98" s="2233"/>
      <c r="C98" s="146" t="s">
        <v>100</v>
      </c>
      <c r="D98" s="125" t="s">
        <v>90</v>
      </c>
      <c r="E98" s="125"/>
      <c r="F98" s="147">
        <f>F48</f>
        <v>0.28000000000000003</v>
      </c>
      <c r="G98" s="2312">
        <f>$F98+($N98-$F98)/($N$96-$F$96)*(G$96-$F$96)</f>
        <v>0.28000000000000003</v>
      </c>
      <c r="H98" s="2313">
        <f t="shared" si="4"/>
        <v>0.28000000000000003</v>
      </c>
      <c r="I98" s="2313">
        <f t="shared" si="4"/>
        <v>0.28000000000000003</v>
      </c>
      <c r="J98" s="2313">
        <f t="shared" si="4"/>
        <v>0.28000000000000003</v>
      </c>
      <c r="K98" s="2313">
        <f t="shared" si="4"/>
        <v>0.28000000000000003</v>
      </c>
      <c r="L98" s="2313">
        <f t="shared" si="4"/>
        <v>0.28000000000000003</v>
      </c>
      <c r="M98" s="2313">
        <f t="shared" si="4"/>
        <v>0.28000000000000003</v>
      </c>
      <c r="N98" s="3356">
        <f>INDEX($G$34:$H$35, MATCH($E$9, $C$34:$C$35, 0), MATCH($C98, $G$33:$H$33, 0))</f>
        <v>0.28000000000000003</v>
      </c>
      <c r="O98" s="46"/>
      <c r="P98" s="48"/>
      <c r="R98" s="86"/>
      <c r="S98" s="2314"/>
      <c r="T98" s="86"/>
      <c r="U98" s="86"/>
      <c r="V98" s="86"/>
      <c r="W98" s="86"/>
      <c r="X98" s="86"/>
      <c r="Y98" s="86"/>
      <c r="Z98" s="86"/>
      <c r="AA98" s="86"/>
      <c r="AB98" s="86"/>
      <c r="AC98" s="86"/>
      <c r="AD98" s="86"/>
      <c r="AE98" s="86"/>
      <c r="AF98" s="86"/>
      <c r="AG98" s="86"/>
      <c r="AH98" s="86"/>
    </row>
    <row r="99" spans="1:34">
      <c r="B99" s="45"/>
      <c r="C99" s="46"/>
      <c r="D99" s="46"/>
      <c r="E99" s="46"/>
      <c r="F99" s="46"/>
      <c r="G99" s="46"/>
      <c r="H99" s="46"/>
      <c r="I99" s="46"/>
      <c r="J99" s="46"/>
      <c r="K99" s="46"/>
      <c r="L99" s="46"/>
      <c r="M99" s="46"/>
      <c r="N99" s="46"/>
      <c r="O99" s="46"/>
      <c r="P99" s="48"/>
      <c r="R99" s="86"/>
      <c r="S99" s="2314"/>
      <c r="T99" s="86"/>
      <c r="U99" s="86"/>
      <c r="V99" s="86"/>
      <c r="W99" s="86"/>
      <c r="X99" s="86"/>
      <c r="Y99" s="86"/>
      <c r="Z99" s="86"/>
      <c r="AA99" s="86"/>
      <c r="AB99" s="86"/>
      <c r="AC99" s="86"/>
      <c r="AD99" s="86"/>
      <c r="AE99" s="86"/>
      <c r="AF99" s="86"/>
      <c r="AG99" s="86"/>
      <c r="AH99" s="86"/>
    </row>
    <row r="100" spans="1:34" ht="23.25">
      <c r="A100" s="2221"/>
      <c r="B100" s="2233"/>
      <c r="C100" s="56"/>
      <c r="D100" s="57"/>
      <c r="E100" s="57"/>
      <c r="F100" s="93"/>
      <c r="G100" s="2315"/>
      <c r="H100" s="2315"/>
      <c r="I100" s="2315"/>
      <c r="J100" s="2315"/>
      <c r="K100" s="2315"/>
      <c r="L100" s="2315"/>
      <c r="M100" s="2315"/>
      <c r="N100" s="190"/>
      <c r="O100" s="46"/>
      <c r="P100" s="48"/>
    </row>
    <row r="101" spans="1:34" ht="15.75">
      <c r="B101" s="2233"/>
      <c r="C101" s="2237" t="s">
        <v>182</v>
      </c>
      <c r="D101" s="57"/>
      <c r="E101" s="90"/>
      <c r="F101" s="59"/>
      <c r="G101" s="46"/>
      <c r="H101" s="46"/>
      <c r="I101" s="46"/>
      <c r="J101" s="46"/>
      <c r="K101" s="46"/>
      <c r="L101" s="46"/>
      <c r="M101" s="46"/>
      <c r="N101" s="104" t="s">
        <v>182</v>
      </c>
      <c r="O101" s="46"/>
      <c r="P101" s="48"/>
    </row>
    <row r="102" spans="1:34" ht="15.75">
      <c r="B102" s="2233"/>
      <c r="C102" s="56"/>
      <c r="D102" s="57"/>
      <c r="E102" s="57"/>
      <c r="F102" s="59"/>
      <c r="G102" s="46"/>
      <c r="H102" s="46"/>
      <c r="I102" s="46"/>
      <c r="J102" s="46"/>
      <c r="K102" s="46"/>
      <c r="L102" s="46"/>
      <c r="M102" s="46"/>
      <c r="N102" s="46"/>
      <c r="O102" s="46"/>
      <c r="P102" s="48"/>
    </row>
    <row r="103" spans="1:34" ht="15.75">
      <c r="B103" s="2233"/>
      <c r="C103" s="2234"/>
      <c r="D103" s="2234" t="s">
        <v>72</v>
      </c>
      <c r="E103" s="2234" t="s">
        <v>30</v>
      </c>
      <c r="F103" s="2316">
        <v>2013</v>
      </c>
      <c r="G103" s="2317">
        <v>2015</v>
      </c>
      <c r="H103" s="2317">
        <v>2020</v>
      </c>
      <c r="I103" s="2317">
        <v>2025</v>
      </c>
      <c r="J103" s="2317">
        <v>2030</v>
      </c>
      <c r="K103" s="2317">
        <v>2035</v>
      </c>
      <c r="L103" s="2317">
        <v>2040</v>
      </c>
      <c r="M103" s="2317">
        <v>2045</v>
      </c>
      <c r="N103" s="2317">
        <v>2050</v>
      </c>
      <c r="O103" s="46"/>
      <c r="P103" s="48"/>
    </row>
    <row r="104" spans="1:34" ht="15.75">
      <c r="B104" s="2233"/>
      <c r="C104" s="2318"/>
      <c r="D104" s="118" t="s">
        <v>183</v>
      </c>
      <c r="E104" s="118"/>
      <c r="F104" s="1379">
        <v>1673000</v>
      </c>
      <c r="G104" s="1379">
        <v>1703900</v>
      </c>
      <c r="H104" s="1379">
        <v>1799500</v>
      </c>
      <c r="I104" s="1379">
        <v>1901700</v>
      </c>
      <c r="J104" s="1379">
        <v>2010700</v>
      </c>
      <c r="K104" s="1379">
        <v>2120500</v>
      </c>
      <c r="L104" s="1379">
        <v>2220100</v>
      </c>
      <c r="M104" s="1379">
        <v>2299100</v>
      </c>
      <c r="N104" s="1379">
        <v>2357300</v>
      </c>
      <c r="O104" s="46"/>
      <c r="P104" s="48"/>
    </row>
    <row r="105" spans="1:34">
      <c r="B105" s="45"/>
      <c r="C105" s="46"/>
      <c r="D105" s="46"/>
      <c r="E105" s="46"/>
      <c r="F105" s="46"/>
      <c r="G105" s="46"/>
      <c r="H105" s="46"/>
      <c r="I105" s="46"/>
      <c r="J105" s="46"/>
      <c r="K105" s="46"/>
      <c r="L105" s="46"/>
      <c r="M105" s="46"/>
      <c r="N105" s="46"/>
      <c r="O105" s="46"/>
      <c r="P105" s="48"/>
    </row>
    <row r="107" spans="1:34" ht="15.75">
      <c r="B107" s="2319" t="s">
        <v>207</v>
      </c>
    </row>
    <row r="108" spans="1:34">
      <c r="B108" s="2320">
        <v>1</v>
      </c>
      <c r="C108" s="2320" t="s">
        <v>1014</v>
      </c>
    </row>
    <row r="109" spans="1:34">
      <c r="B109" s="2320">
        <v>2</v>
      </c>
      <c r="C109" s="2320" t="s">
        <v>1015</v>
      </c>
    </row>
    <row r="110" spans="1:34">
      <c r="B110" s="2320">
        <v>3</v>
      </c>
      <c r="C110" s="2320" t="s">
        <v>1016</v>
      </c>
    </row>
    <row r="111" spans="1:34">
      <c r="B111" s="2320">
        <v>4</v>
      </c>
      <c r="C111" s="2320" t="s">
        <v>214</v>
      </c>
    </row>
    <row r="113" spans="1:17">
      <c r="B113" s="2320">
        <v>1</v>
      </c>
      <c r="C113" s="2320" t="s">
        <v>1017</v>
      </c>
    </row>
    <row r="114" spans="1:17">
      <c r="B114" s="2320"/>
      <c r="C114" s="2320"/>
      <c r="F114" s="2321">
        <v>2013</v>
      </c>
      <c r="G114" s="2321">
        <v>2015</v>
      </c>
      <c r="H114" s="2321">
        <v>2020</v>
      </c>
      <c r="I114" s="2321">
        <v>2025</v>
      </c>
      <c r="J114" s="2321">
        <v>2030</v>
      </c>
      <c r="K114" s="2321">
        <v>2035</v>
      </c>
      <c r="L114" s="2321">
        <v>2040</v>
      </c>
      <c r="M114" s="2321">
        <v>2045</v>
      </c>
      <c r="N114" s="2321">
        <v>2050</v>
      </c>
    </row>
    <row r="115" spans="1:17" ht="18.75">
      <c r="A115" s="2322"/>
      <c r="C115" s="2" t="s">
        <v>1018</v>
      </c>
      <c r="E115" s="382" t="str">
        <f>Preferences.EnergyUnits</f>
        <v>TWh</v>
      </c>
      <c r="F115" s="2323">
        <f>INDEX(F$26:F$29, MATCH($E$8, $C$26:$C$29, 0))</f>
        <v>8.6384937144425898E-7</v>
      </c>
      <c r="G115" s="2323">
        <f t="shared" ref="G115:M115" si="5">INDEX(G$26:G$29, MATCH($E$8, $C$26:$C$29, 0))</f>
        <v>8.5684518735146797E-7</v>
      </c>
      <c r="H115" s="2323">
        <f t="shared" si="5"/>
        <v>8.34909054127244E-7</v>
      </c>
      <c r="I115" s="2323">
        <f t="shared" si="5"/>
        <v>8.1543234262622296E-7</v>
      </c>
      <c r="J115" s="2323">
        <f t="shared" si="5"/>
        <v>7.96896963644862E-7</v>
      </c>
      <c r="K115" s="2323">
        <f t="shared" si="5"/>
        <v>7.7925742146831395E-7</v>
      </c>
      <c r="L115" s="2323">
        <f t="shared" si="5"/>
        <v>7.6247041924348296E-7</v>
      </c>
      <c r="M115" s="2323">
        <f t="shared" si="5"/>
        <v>7.4649475270542904E-7</v>
      </c>
      <c r="N115" s="2323">
        <f>INDEX(N$26:N$29, MATCH($E$8, $C$26:$C$29, 0))</f>
        <v>7.3427196572761999E-7</v>
      </c>
    </row>
    <row r="116" spans="1:17">
      <c r="B116" s="2324" t="s">
        <v>219</v>
      </c>
      <c r="C116" s="2325" t="s">
        <v>220</v>
      </c>
      <c r="D116" s="2325"/>
      <c r="E116" s="1381"/>
      <c r="F116" s="2326">
        <f>F104</f>
        <v>1673000</v>
      </c>
      <c r="G116" s="2326">
        <f t="shared" ref="G116:N116" si="6">G104</f>
        <v>1703900</v>
      </c>
      <c r="H116" s="2326">
        <f t="shared" si="6"/>
        <v>1799500</v>
      </c>
      <c r="I116" s="2326">
        <f t="shared" si="6"/>
        <v>1901700</v>
      </c>
      <c r="J116" s="2326">
        <f t="shared" si="6"/>
        <v>2010700</v>
      </c>
      <c r="K116" s="2326">
        <f t="shared" si="6"/>
        <v>2120500</v>
      </c>
      <c r="L116" s="2326">
        <f t="shared" si="6"/>
        <v>2220100</v>
      </c>
      <c r="M116" s="2326">
        <f t="shared" si="6"/>
        <v>2299100</v>
      </c>
      <c r="N116" s="2326">
        <f t="shared" si="6"/>
        <v>2357300</v>
      </c>
      <c r="P116" s="2325"/>
    </row>
    <row r="117" spans="1:17">
      <c r="B117" s="2327" t="s">
        <v>221</v>
      </c>
      <c r="C117" s="2320" t="s">
        <v>1019</v>
      </c>
      <c r="D117" s="2320"/>
      <c r="E117" s="364" t="str">
        <f>Preferences.EnergyUnits</f>
        <v>TWh</v>
      </c>
      <c r="F117" s="2328">
        <f>F115*F116</f>
        <v>1.4452199984262453</v>
      </c>
      <c r="G117" s="2328">
        <f t="shared" ref="G117:N117" si="7">G115*G116</f>
        <v>1.4599785147281663</v>
      </c>
      <c r="H117" s="2328">
        <f t="shared" si="7"/>
        <v>1.5024188429019756</v>
      </c>
      <c r="I117" s="2328">
        <f t="shared" si="7"/>
        <v>1.5507076859722881</v>
      </c>
      <c r="J117" s="2328">
        <f t="shared" si="7"/>
        <v>1.6023207248007241</v>
      </c>
      <c r="K117" s="2328">
        <f t="shared" si="7"/>
        <v>1.6524153622235598</v>
      </c>
      <c r="L117" s="2328">
        <f t="shared" si="7"/>
        <v>1.6927605777624566</v>
      </c>
      <c r="M117" s="2328">
        <f t="shared" si="7"/>
        <v>1.7162660859450518</v>
      </c>
      <c r="N117" s="2328">
        <f t="shared" si="7"/>
        <v>1.7308993048097185</v>
      </c>
      <c r="O117" s="2329"/>
      <c r="P117" s="2320"/>
      <c r="Q117" s="400"/>
    </row>
    <row r="118" spans="1:17">
      <c r="B118" s="367" t="s">
        <v>96</v>
      </c>
      <c r="C118" s="2" t="s">
        <v>86</v>
      </c>
      <c r="E118" s="3834"/>
      <c r="F118" s="2330">
        <f t="shared" ref="F118:N119" si="8">F$117*F97</f>
        <v>1.0405583988668965</v>
      </c>
      <c r="G118" s="2330">
        <f>G$117*G97</f>
        <v>1.0511845306042797</v>
      </c>
      <c r="H118" s="2330">
        <f t="shared" si="8"/>
        <v>1.0817415668894224</v>
      </c>
      <c r="I118" s="2330">
        <f t="shared" si="8"/>
        <v>1.1165095339000475</v>
      </c>
      <c r="J118" s="2330">
        <f t="shared" si="8"/>
        <v>1.1536709218565213</v>
      </c>
      <c r="K118" s="2330">
        <f t="shared" si="8"/>
        <v>1.189739060800963</v>
      </c>
      <c r="L118" s="2330">
        <f t="shared" si="8"/>
        <v>1.2187876159889688</v>
      </c>
      <c r="M118" s="2330">
        <f t="shared" si="8"/>
        <v>1.2357115818804372</v>
      </c>
      <c r="N118" s="2330">
        <f t="shared" si="8"/>
        <v>1.2462474994629973</v>
      </c>
    </row>
    <row r="119" spans="1:17">
      <c r="B119" s="367" t="s">
        <v>100</v>
      </c>
      <c r="C119" s="2" t="s">
        <v>90</v>
      </c>
      <c r="E119" s="3834"/>
      <c r="F119" s="2330">
        <f t="shared" si="8"/>
        <v>0.40466159955934872</v>
      </c>
      <c r="G119" s="2330">
        <f t="shared" si="8"/>
        <v>0.40879398412388662</v>
      </c>
      <c r="H119" s="2330">
        <f t="shared" si="8"/>
        <v>0.42067727601255323</v>
      </c>
      <c r="I119" s="2330">
        <f t="shared" si="8"/>
        <v>0.43419815207224072</v>
      </c>
      <c r="J119" s="2330">
        <f t="shared" si="8"/>
        <v>0.44864980294420276</v>
      </c>
      <c r="K119" s="2330">
        <f t="shared" si="8"/>
        <v>0.4626763014225968</v>
      </c>
      <c r="L119" s="2330">
        <f t="shared" si="8"/>
        <v>0.47397296177348791</v>
      </c>
      <c r="M119" s="2330">
        <f t="shared" si="8"/>
        <v>0.48055450406461453</v>
      </c>
      <c r="N119" s="2330">
        <f t="shared" si="8"/>
        <v>0.48465180534672125</v>
      </c>
    </row>
    <row r="120" spans="1:17">
      <c r="E120" s="3834"/>
      <c r="F120" s="2330"/>
      <c r="G120" s="2330"/>
      <c r="H120" s="2330"/>
      <c r="I120" s="2330"/>
      <c r="J120" s="2330"/>
      <c r="K120" s="2330"/>
      <c r="L120" s="2330"/>
      <c r="M120" s="2330"/>
      <c r="N120" s="2330"/>
    </row>
    <row r="121" spans="1:17">
      <c r="E121" s="3834"/>
      <c r="F121" s="2330"/>
      <c r="G121" s="2330"/>
      <c r="H121" s="2330"/>
      <c r="I121" s="2330"/>
      <c r="J121" s="2330"/>
      <c r="K121" s="2330"/>
      <c r="L121" s="2330"/>
      <c r="M121" s="2330"/>
      <c r="N121" s="2330"/>
    </row>
    <row r="122" spans="1:17">
      <c r="B122" s="2320">
        <v>2</v>
      </c>
      <c r="C122" s="2320" t="s">
        <v>1020</v>
      </c>
      <c r="E122" s="3834"/>
      <c r="F122" s="2330"/>
      <c r="G122" s="2330"/>
      <c r="H122" s="2330"/>
      <c r="I122" s="2330"/>
      <c r="J122" s="2330"/>
      <c r="K122" s="2330"/>
      <c r="L122" s="2330"/>
      <c r="M122" s="2330"/>
      <c r="N122" s="2330"/>
    </row>
    <row r="123" spans="1:17">
      <c r="E123" s="3834"/>
      <c r="F123" s="2321">
        <v>2013</v>
      </c>
      <c r="G123" s="2321">
        <v>2015</v>
      </c>
      <c r="H123" s="2321">
        <v>2020</v>
      </c>
      <c r="I123" s="2321">
        <v>2025</v>
      </c>
      <c r="J123" s="2321">
        <v>2030</v>
      </c>
      <c r="K123" s="2321">
        <v>2035</v>
      </c>
      <c r="L123" s="2321">
        <v>2040</v>
      </c>
      <c r="M123" s="2321">
        <v>2045</v>
      </c>
      <c r="N123" s="2321">
        <v>2050</v>
      </c>
    </row>
    <row r="124" spans="1:17" s="2325" customFormat="1">
      <c r="B124" s="2"/>
      <c r="C124" s="2" t="s">
        <v>1021</v>
      </c>
      <c r="D124" s="2"/>
      <c r="E124" s="2" t="str">
        <f>Preferences.EnergyUnits</f>
        <v>TWh</v>
      </c>
      <c r="F124" s="2323">
        <f>INDEX(F$18:F$21, MATCH($E$8, $C$18:$C$21, 0))</f>
        <v>2.3968663198759199E-6</v>
      </c>
      <c r="G124" s="2323">
        <f t="shared" ref="G124:N124" si="9">INDEX(G$18:G$21, MATCH($E$8, $C$18:$C$21, 0))</f>
        <v>2.37532282535953E-6</v>
      </c>
      <c r="H124" s="2323">
        <f t="shared" si="9"/>
        <v>2.3223074482750601E-6</v>
      </c>
      <c r="I124" s="2323">
        <f t="shared" si="9"/>
        <v>2.2704753335991402E-6</v>
      </c>
      <c r="J124" s="2323">
        <f t="shared" si="9"/>
        <v>2.2198000718256101E-6</v>
      </c>
      <c r="K124" s="2323">
        <f t="shared" si="9"/>
        <v>2.1702558428881601E-6</v>
      </c>
      <c r="L124" s="2323">
        <f t="shared" si="9"/>
        <v>2.12181740300449E-6</v>
      </c>
      <c r="M124" s="2323">
        <f t="shared" si="9"/>
        <v>2.07446007181409E-6</v>
      </c>
      <c r="N124" s="2323">
        <f t="shared" si="9"/>
        <v>2.0373363718945302E-6</v>
      </c>
      <c r="P124" s="2"/>
      <c r="Q124" s="400"/>
    </row>
    <row r="125" spans="1:17" s="2320" customFormat="1">
      <c r="B125" s="2324" t="s">
        <v>219</v>
      </c>
      <c r="C125" s="2325" t="s">
        <v>220</v>
      </c>
      <c r="D125" s="2"/>
      <c r="E125" s="3834"/>
      <c r="F125" s="2326">
        <f>F104</f>
        <v>1673000</v>
      </c>
      <c r="G125" s="2326">
        <f t="shared" ref="G125:N125" si="10">G104</f>
        <v>1703900</v>
      </c>
      <c r="H125" s="2326">
        <f t="shared" si="10"/>
        <v>1799500</v>
      </c>
      <c r="I125" s="2326">
        <f t="shared" si="10"/>
        <v>1901700</v>
      </c>
      <c r="J125" s="2326">
        <f t="shared" si="10"/>
        <v>2010700</v>
      </c>
      <c r="K125" s="2326">
        <f t="shared" si="10"/>
        <v>2120500</v>
      </c>
      <c r="L125" s="2326">
        <f t="shared" si="10"/>
        <v>2220100</v>
      </c>
      <c r="M125" s="2326">
        <f t="shared" si="10"/>
        <v>2299100</v>
      </c>
      <c r="N125" s="2326">
        <f t="shared" si="10"/>
        <v>2357300</v>
      </c>
      <c r="P125" s="2"/>
    </row>
    <row r="126" spans="1:17">
      <c r="B126" s="2327" t="s">
        <v>221</v>
      </c>
      <c r="C126" s="2320" t="s">
        <v>1022</v>
      </c>
      <c r="E126" s="363" t="str">
        <f>Preferences.EnergyUnits</f>
        <v>TWh</v>
      </c>
      <c r="F126" s="2329">
        <f t="shared" ref="F126:N126" si="11">F124*F125</f>
        <v>4.009957353152414</v>
      </c>
      <c r="G126" s="2329">
        <f t="shared" si="11"/>
        <v>4.0473125621301032</v>
      </c>
      <c r="H126" s="2329">
        <f t="shared" si="11"/>
        <v>4.1789922531709705</v>
      </c>
      <c r="I126" s="2329">
        <f t="shared" si="11"/>
        <v>4.3177629419054853</v>
      </c>
      <c r="J126" s="2329">
        <f t="shared" si="11"/>
        <v>4.4633520044197539</v>
      </c>
      <c r="K126" s="2329">
        <f t="shared" si="11"/>
        <v>4.6020275148443437</v>
      </c>
      <c r="L126" s="2329">
        <f t="shared" si="11"/>
        <v>4.7106468164102679</v>
      </c>
      <c r="M126" s="2329">
        <f t="shared" si="11"/>
        <v>4.769391151107774</v>
      </c>
      <c r="N126" s="2329">
        <f t="shared" si="11"/>
        <v>4.8026130294669764</v>
      </c>
      <c r="Q126" s="400"/>
    </row>
    <row r="127" spans="1:17">
      <c r="B127" s="367" t="s">
        <v>96</v>
      </c>
      <c r="C127" s="2" t="s">
        <v>86</v>
      </c>
      <c r="E127" s="3834"/>
      <c r="F127" s="2330">
        <f>F126</f>
        <v>4.009957353152414</v>
      </c>
      <c r="G127" s="2330">
        <f t="shared" ref="G127:N127" si="12">G126</f>
        <v>4.0473125621301032</v>
      </c>
      <c r="H127" s="2330">
        <f t="shared" si="12"/>
        <v>4.1789922531709705</v>
      </c>
      <c r="I127" s="2330">
        <f t="shared" si="12"/>
        <v>4.3177629419054853</v>
      </c>
      <c r="J127" s="2330">
        <f t="shared" si="12"/>
        <v>4.4633520044197539</v>
      </c>
      <c r="K127" s="2330">
        <f t="shared" si="12"/>
        <v>4.6020275148443437</v>
      </c>
      <c r="L127" s="2330">
        <f t="shared" si="12"/>
        <v>4.7106468164102679</v>
      </c>
      <c r="M127" s="2330">
        <f t="shared" si="12"/>
        <v>4.769391151107774</v>
      </c>
      <c r="N127" s="2330">
        <f t="shared" si="12"/>
        <v>4.8026130294669764</v>
      </c>
    </row>
    <row r="128" spans="1:17">
      <c r="E128" s="3834"/>
      <c r="F128" s="2330"/>
      <c r="G128" s="2330"/>
      <c r="H128" s="2330"/>
      <c r="I128" s="2330"/>
      <c r="J128" s="2330"/>
      <c r="K128" s="2330"/>
      <c r="L128" s="2330"/>
      <c r="M128" s="2330"/>
      <c r="N128" s="2330"/>
    </row>
    <row r="129" spans="1:18">
      <c r="B129" s="2320">
        <v>3</v>
      </c>
      <c r="C129" s="2320" t="s">
        <v>1023</v>
      </c>
      <c r="E129" s="3834"/>
      <c r="F129" s="2330"/>
      <c r="G129" s="2330"/>
      <c r="H129" s="2330"/>
      <c r="I129" s="2330"/>
      <c r="J129" s="2330"/>
      <c r="K129" s="2330"/>
      <c r="L129" s="2330"/>
      <c r="M129" s="2330"/>
      <c r="N129" s="2330"/>
    </row>
    <row r="130" spans="1:18">
      <c r="B130" s="2320"/>
      <c r="C130" s="2320"/>
      <c r="E130" s="3834"/>
      <c r="F130" s="2321">
        <v>2013</v>
      </c>
      <c r="G130" s="2321">
        <v>2015</v>
      </c>
      <c r="H130" s="2321">
        <v>2020</v>
      </c>
      <c r="I130" s="2321">
        <v>2025</v>
      </c>
      <c r="J130" s="2321">
        <v>2030</v>
      </c>
      <c r="K130" s="2321">
        <v>2035</v>
      </c>
      <c r="L130" s="2321">
        <v>2040</v>
      </c>
      <c r="M130" s="2321">
        <v>2045</v>
      </c>
      <c r="N130" s="2321">
        <v>2050</v>
      </c>
    </row>
    <row r="131" spans="1:18">
      <c r="B131" s="367" t="s">
        <v>96</v>
      </c>
      <c r="C131" s="2" t="s">
        <v>86</v>
      </c>
      <c r="E131" s="2" t="str">
        <f>Preferences.EnergyUnits</f>
        <v>TWh</v>
      </c>
      <c r="F131" s="2330">
        <f>F118+F127</f>
        <v>5.0505157520193107</v>
      </c>
      <c r="G131" s="2330">
        <f t="shared" ref="G131:N131" si="13">G118+G127</f>
        <v>5.0984970927343829</v>
      </c>
      <c r="H131" s="2330">
        <f t="shared" si="13"/>
        <v>5.260733820060393</v>
      </c>
      <c r="I131" s="2330">
        <f t="shared" si="13"/>
        <v>5.4342724758055327</v>
      </c>
      <c r="J131" s="2330">
        <f t="shared" si="13"/>
        <v>5.6170229262762756</v>
      </c>
      <c r="K131" s="2330">
        <f t="shared" si="13"/>
        <v>5.7917665756453065</v>
      </c>
      <c r="L131" s="2330">
        <f t="shared" si="13"/>
        <v>5.929434432399237</v>
      </c>
      <c r="M131" s="2330">
        <f t="shared" si="13"/>
        <v>6.0051027329882114</v>
      </c>
      <c r="N131" s="2330">
        <f t="shared" si="13"/>
        <v>6.0488605289299739</v>
      </c>
      <c r="Q131" s="400"/>
    </row>
    <row r="132" spans="1:18">
      <c r="B132" s="367" t="s">
        <v>100</v>
      </c>
      <c r="C132" s="2" t="s">
        <v>90</v>
      </c>
      <c r="E132" s="2" t="str">
        <f>Preferences.EnergyUnits</f>
        <v>TWh</v>
      </c>
      <c r="F132" s="2330">
        <f>F119</f>
        <v>0.40466159955934872</v>
      </c>
      <c r="G132" s="2330">
        <f t="shared" ref="G132:N132" si="14">G119</f>
        <v>0.40879398412388662</v>
      </c>
      <c r="H132" s="2330">
        <f t="shared" si="14"/>
        <v>0.42067727601255323</v>
      </c>
      <c r="I132" s="2330">
        <f t="shared" si="14"/>
        <v>0.43419815207224072</v>
      </c>
      <c r="J132" s="2330">
        <f t="shared" si="14"/>
        <v>0.44864980294420276</v>
      </c>
      <c r="K132" s="2330">
        <f t="shared" si="14"/>
        <v>0.4626763014225968</v>
      </c>
      <c r="L132" s="2330">
        <f t="shared" si="14"/>
        <v>0.47397296177348791</v>
      </c>
      <c r="M132" s="2330">
        <f t="shared" si="14"/>
        <v>0.48055450406461453</v>
      </c>
      <c r="N132" s="2330">
        <f t="shared" si="14"/>
        <v>0.48465180534672125</v>
      </c>
    </row>
    <row r="133" spans="1:18">
      <c r="B133" s="367"/>
      <c r="F133" s="2330"/>
      <c r="G133" s="2330"/>
      <c r="H133" s="2330"/>
      <c r="I133" s="2330"/>
      <c r="J133" s="2330"/>
      <c r="K133" s="2330"/>
      <c r="L133" s="2330"/>
      <c r="M133" s="2330"/>
      <c r="N133" s="2330"/>
    </row>
    <row r="134" spans="1:18">
      <c r="B134" s="367">
        <v>4</v>
      </c>
      <c r="C134" s="2320" t="s">
        <v>1024</v>
      </c>
      <c r="F134" s="2330"/>
      <c r="G134" s="2330"/>
      <c r="H134" s="2330"/>
      <c r="I134" s="2330"/>
      <c r="J134" s="2330"/>
      <c r="K134" s="2330"/>
      <c r="L134" s="2330"/>
      <c r="M134" s="2330"/>
      <c r="N134" s="2330"/>
    </row>
    <row r="135" spans="1:18">
      <c r="B135" s="86"/>
      <c r="C135" s="2291"/>
      <c r="D135" s="2291"/>
      <c r="E135" s="2282"/>
      <c r="F135" s="2282"/>
      <c r="G135" s="2282"/>
      <c r="H135" s="2282"/>
      <c r="I135" s="2282"/>
      <c r="J135" s="2267"/>
      <c r="K135" s="2267"/>
      <c r="L135" s="2267"/>
      <c r="M135" s="2267"/>
      <c r="N135" s="2267"/>
      <c r="P135" s="86"/>
    </row>
    <row r="136" spans="1:18">
      <c r="B136" s="86"/>
      <c r="C136" s="2291" t="s">
        <v>1025</v>
      </c>
      <c r="D136" s="2291"/>
      <c r="E136" s="2282"/>
      <c r="F136" s="2282"/>
      <c r="G136" s="2282"/>
      <c r="H136" s="2282"/>
      <c r="I136" s="2282"/>
      <c r="J136" s="2267"/>
      <c r="K136" s="2267"/>
      <c r="L136" s="2267"/>
      <c r="M136" s="2267"/>
      <c r="N136" s="2267"/>
      <c r="P136" s="86"/>
    </row>
    <row r="137" spans="1:18">
      <c r="B137" s="86"/>
      <c r="C137" s="2291" t="s">
        <v>28</v>
      </c>
      <c r="D137" s="2291" t="s">
        <v>72</v>
      </c>
      <c r="E137" s="2291" t="s">
        <v>30</v>
      </c>
      <c r="F137" s="2331">
        <v>2013</v>
      </c>
      <c r="G137" s="2331">
        <v>2015</v>
      </c>
      <c r="H137" s="2331">
        <v>2020</v>
      </c>
      <c r="I137" s="2331">
        <v>2025</v>
      </c>
      <c r="J137" s="2331">
        <v>2030</v>
      </c>
      <c r="K137" s="2331">
        <v>2035</v>
      </c>
      <c r="L137" s="2331">
        <v>2040</v>
      </c>
      <c r="M137" s="2331">
        <v>2045</v>
      </c>
      <c r="N137" s="2331">
        <v>2050</v>
      </c>
      <c r="P137" s="86"/>
    </row>
    <row r="138" spans="1:18">
      <c r="B138" s="86"/>
      <c r="C138" s="2310" t="s">
        <v>96</v>
      </c>
      <c r="D138" s="2291" t="s">
        <v>86</v>
      </c>
      <c r="E138" s="2332"/>
      <c r="F138" s="2311">
        <f t="shared" ref="F138:N139" si="15">F97*F$104</f>
        <v>1204560</v>
      </c>
      <c r="G138" s="2311">
        <f t="shared" si="15"/>
        <v>1226808</v>
      </c>
      <c r="H138" s="2311">
        <f t="shared" si="15"/>
        <v>1295640</v>
      </c>
      <c r="I138" s="2311">
        <f t="shared" si="15"/>
        <v>1369224</v>
      </c>
      <c r="J138" s="2311">
        <f t="shared" si="15"/>
        <v>1447704</v>
      </c>
      <c r="K138" s="2311">
        <f t="shared" si="15"/>
        <v>1526760</v>
      </c>
      <c r="L138" s="2311">
        <f t="shared" si="15"/>
        <v>1598472</v>
      </c>
      <c r="M138" s="2311">
        <f t="shared" si="15"/>
        <v>1655352</v>
      </c>
      <c r="N138" s="2311">
        <f t="shared" si="15"/>
        <v>1697256</v>
      </c>
      <c r="P138" s="86"/>
    </row>
    <row r="139" spans="1:18">
      <c r="B139" s="86"/>
      <c r="C139" s="2310" t="s">
        <v>100</v>
      </c>
      <c r="D139" s="2291" t="s">
        <v>90</v>
      </c>
      <c r="E139" s="2291"/>
      <c r="F139" s="2311">
        <f t="shared" si="15"/>
        <v>468440.00000000006</v>
      </c>
      <c r="G139" s="2311">
        <f t="shared" si="15"/>
        <v>477092.00000000006</v>
      </c>
      <c r="H139" s="2311">
        <f t="shared" si="15"/>
        <v>503860.00000000006</v>
      </c>
      <c r="I139" s="2311">
        <f t="shared" si="15"/>
        <v>532476</v>
      </c>
      <c r="J139" s="2311">
        <f t="shared" si="15"/>
        <v>562996</v>
      </c>
      <c r="K139" s="2311">
        <f t="shared" si="15"/>
        <v>593740</v>
      </c>
      <c r="L139" s="2311">
        <f t="shared" si="15"/>
        <v>621628.00000000012</v>
      </c>
      <c r="M139" s="2311">
        <f t="shared" si="15"/>
        <v>643748.00000000012</v>
      </c>
      <c r="N139" s="2311">
        <f t="shared" si="15"/>
        <v>660044.00000000012</v>
      </c>
      <c r="P139" s="86"/>
    </row>
    <row r="140" spans="1:18">
      <c r="B140" s="86"/>
      <c r="C140" s="2291"/>
      <c r="D140" s="2291"/>
      <c r="E140" s="2282"/>
      <c r="F140" s="2282"/>
      <c r="G140" s="2282"/>
      <c r="H140" s="2282"/>
      <c r="I140" s="2282"/>
      <c r="J140" s="2267"/>
      <c r="K140" s="2267"/>
      <c r="L140" s="2267"/>
      <c r="M140" s="2267"/>
      <c r="N140" s="2267"/>
      <c r="P140" s="86"/>
    </row>
    <row r="141" spans="1:18">
      <c r="B141" s="86"/>
      <c r="C141" s="2291" t="s">
        <v>1026</v>
      </c>
      <c r="D141" s="2267"/>
      <c r="E141" s="2267"/>
      <c r="F141" s="2282"/>
      <c r="G141" s="2282"/>
      <c r="H141" s="2282"/>
      <c r="I141" s="2282"/>
      <c r="J141" s="2267"/>
      <c r="K141" s="2267"/>
      <c r="L141" s="2267"/>
      <c r="M141" s="2267"/>
      <c r="N141" s="2267"/>
      <c r="P141" s="86"/>
    </row>
    <row r="142" spans="1:18">
      <c r="B142" s="86"/>
      <c r="C142" s="2291"/>
      <c r="D142" s="2267"/>
      <c r="E142" s="2267"/>
      <c r="F142" s="2282"/>
      <c r="G142" s="2282"/>
      <c r="H142" s="2282"/>
      <c r="I142" s="2282"/>
      <c r="J142" s="2267"/>
      <c r="K142" s="2267"/>
      <c r="L142" s="2267"/>
      <c r="M142" s="2267"/>
      <c r="N142" s="2267"/>
      <c r="P142" s="86"/>
    </row>
    <row r="143" spans="1:18">
      <c r="A143" s="86"/>
      <c r="B143" s="86"/>
      <c r="C143" s="2291" t="s">
        <v>1025</v>
      </c>
      <c r="D143" s="2291"/>
      <c r="E143" s="2282"/>
      <c r="F143" s="2282"/>
      <c r="G143" s="2282"/>
      <c r="H143" s="2282"/>
      <c r="I143" s="2282"/>
      <c r="J143" s="2267"/>
      <c r="K143" s="2267"/>
      <c r="L143" s="2267"/>
      <c r="M143" s="2267"/>
      <c r="N143" s="2267"/>
      <c r="P143" s="86"/>
      <c r="Q143" s="86"/>
      <c r="R143" s="86"/>
    </row>
    <row r="144" spans="1:18">
      <c r="A144" s="86"/>
      <c r="B144" s="86"/>
      <c r="C144" s="2291" t="s">
        <v>28</v>
      </c>
      <c r="D144" s="2291" t="s">
        <v>72</v>
      </c>
      <c r="E144" s="2291" t="s">
        <v>30</v>
      </c>
      <c r="F144" s="2331">
        <v>2013</v>
      </c>
      <c r="G144" s="2331">
        <v>2015</v>
      </c>
      <c r="H144" s="2331">
        <v>2020</v>
      </c>
      <c r="I144" s="2331">
        <v>2025</v>
      </c>
      <c r="J144" s="2331">
        <v>2030</v>
      </c>
      <c r="K144" s="2331">
        <v>2035</v>
      </c>
      <c r="L144" s="2331">
        <v>2040</v>
      </c>
      <c r="M144" s="2331">
        <v>2045</v>
      </c>
      <c r="N144" s="2331">
        <v>2050</v>
      </c>
      <c r="P144" s="86"/>
      <c r="Q144" s="86"/>
      <c r="R144" s="86"/>
    </row>
    <row r="145" spans="1:18">
      <c r="A145" s="86"/>
      <c r="B145" s="86"/>
      <c r="C145" s="2310" t="s">
        <v>96</v>
      </c>
      <c r="D145" s="2291" t="s">
        <v>86</v>
      </c>
      <c r="E145" s="2332"/>
      <c r="F145" s="2311">
        <f t="shared" ref="F145:N146" si="16">F138*$E$72</f>
        <v>397504.80000000005</v>
      </c>
      <c r="G145" s="2311">
        <f t="shared" si="16"/>
        <v>404846.64</v>
      </c>
      <c r="H145" s="2311">
        <f t="shared" si="16"/>
        <v>427561.2</v>
      </c>
      <c r="I145" s="2311">
        <f t="shared" si="16"/>
        <v>451843.92000000004</v>
      </c>
      <c r="J145" s="2311">
        <f t="shared" si="16"/>
        <v>477742.32</v>
      </c>
      <c r="K145" s="2311">
        <f t="shared" si="16"/>
        <v>503830.80000000005</v>
      </c>
      <c r="L145" s="2311">
        <f t="shared" si="16"/>
        <v>527495.76</v>
      </c>
      <c r="M145" s="2311">
        <f t="shared" si="16"/>
        <v>546266.16</v>
      </c>
      <c r="N145" s="2311">
        <f t="shared" si="16"/>
        <v>560094.48</v>
      </c>
      <c r="P145" s="86"/>
      <c r="Q145" s="86"/>
      <c r="R145" s="86"/>
    </row>
    <row r="146" spans="1:18">
      <c r="A146" s="86"/>
      <c r="B146" s="86"/>
      <c r="C146" s="2310" t="s">
        <v>100</v>
      </c>
      <c r="D146" s="2291" t="s">
        <v>90</v>
      </c>
      <c r="E146" s="2291"/>
      <c r="F146" s="2311">
        <f t="shared" si="16"/>
        <v>154585.20000000004</v>
      </c>
      <c r="G146" s="2311">
        <f t="shared" si="16"/>
        <v>157440.36000000002</v>
      </c>
      <c r="H146" s="2311">
        <f t="shared" si="16"/>
        <v>166273.80000000002</v>
      </c>
      <c r="I146" s="2311">
        <f t="shared" si="16"/>
        <v>175717.08000000002</v>
      </c>
      <c r="J146" s="2311">
        <f t="shared" si="16"/>
        <v>185788.68000000002</v>
      </c>
      <c r="K146" s="2311">
        <f t="shared" si="16"/>
        <v>195934.2</v>
      </c>
      <c r="L146" s="2311">
        <f t="shared" si="16"/>
        <v>205137.24000000005</v>
      </c>
      <c r="M146" s="2311">
        <f t="shared" si="16"/>
        <v>212436.84000000005</v>
      </c>
      <c r="N146" s="2311">
        <f t="shared" si="16"/>
        <v>217814.52000000005</v>
      </c>
      <c r="P146" s="86"/>
      <c r="Q146" s="86"/>
      <c r="R146" s="86"/>
    </row>
    <row r="147" spans="1:18">
      <c r="A147" s="86"/>
      <c r="B147" s="86"/>
      <c r="C147" s="2291"/>
      <c r="D147" s="2291"/>
      <c r="E147" s="2282"/>
      <c r="F147" s="2282"/>
      <c r="G147" s="2282"/>
      <c r="H147" s="2282"/>
      <c r="I147" s="2282"/>
      <c r="J147" s="2267"/>
      <c r="K147" s="2267"/>
      <c r="L147" s="2267"/>
      <c r="M147" s="2267"/>
      <c r="N147" s="2267"/>
      <c r="P147" s="86"/>
      <c r="Q147" s="86"/>
      <c r="R147" s="86"/>
    </row>
    <row r="148" spans="1:18">
      <c r="A148" s="86"/>
      <c r="B148" s="86"/>
      <c r="C148" s="2291" t="s">
        <v>1027</v>
      </c>
      <c r="D148" s="2291"/>
      <c r="E148" s="2282"/>
      <c r="F148" s="2282"/>
      <c r="G148" s="2282"/>
      <c r="H148" s="2282"/>
      <c r="I148" s="2282"/>
      <c r="J148" s="2267"/>
      <c r="K148" s="2267"/>
      <c r="L148" s="2267"/>
      <c r="M148" s="2267"/>
      <c r="N148" s="2267"/>
      <c r="P148" s="86"/>
      <c r="Q148" s="86"/>
      <c r="R148" s="86"/>
    </row>
    <row r="149" spans="1:18">
      <c r="A149" s="86"/>
      <c r="B149" s="86"/>
      <c r="C149" s="2291" t="s">
        <v>28</v>
      </c>
      <c r="D149" s="2291" t="s">
        <v>72</v>
      </c>
      <c r="E149" s="2291" t="s">
        <v>30</v>
      </c>
      <c r="F149" s="2331">
        <v>2013</v>
      </c>
      <c r="G149" s="2331">
        <v>2015</v>
      </c>
      <c r="H149" s="2331">
        <v>2020</v>
      </c>
      <c r="I149" s="2331">
        <v>2025</v>
      </c>
      <c r="J149" s="2331">
        <v>2030</v>
      </c>
      <c r="K149" s="2331">
        <v>2035</v>
      </c>
      <c r="L149" s="2331">
        <v>2040</v>
      </c>
      <c r="M149" s="2331">
        <v>2045</v>
      </c>
      <c r="N149" s="2331">
        <v>2050</v>
      </c>
      <c r="P149" s="86"/>
      <c r="Q149" s="86"/>
      <c r="R149" s="86"/>
    </row>
    <row r="150" spans="1:18">
      <c r="A150" s="86"/>
      <c r="B150" s="86"/>
      <c r="C150" s="2310" t="s">
        <v>96</v>
      </c>
      <c r="D150" s="2291" t="s">
        <v>86</v>
      </c>
      <c r="E150" s="2332"/>
      <c r="F150" s="2311"/>
      <c r="G150" s="2311">
        <f>IF(G138-F138+F145&gt;0,G138-F138+F145,0)</f>
        <v>419752.80000000005</v>
      </c>
      <c r="H150" s="2311">
        <f t="shared" ref="H150:N151" si="17">IF(H138-G138+G145&gt;0,H138-G138+G145,0)</f>
        <v>473678.64</v>
      </c>
      <c r="I150" s="2311">
        <f t="shared" si="17"/>
        <v>501145.2</v>
      </c>
      <c r="J150" s="2311">
        <f t="shared" si="17"/>
        <v>530323.92000000004</v>
      </c>
      <c r="K150" s="2311">
        <f t="shared" si="17"/>
        <v>556798.32000000007</v>
      </c>
      <c r="L150" s="2311">
        <f t="shared" si="17"/>
        <v>575542.80000000005</v>
      </c>
      <c r="M150" s="2311">
        <f t="shared" si="17"/>
        <v>584375.76</v>
      </c>
      <c r="N150" s="2311">
        <f t="shared" si="17"/>
        <v>588170.16</v>
      </c>
      <c r="P150" s="86"/>
      <c r="Q150" s="86"/>
      <c r="R150" s="86"/>
    </row>
    <row r="151" spans="1:18">
      <c r="A151" s="86"/>
      <c r="B151" s="86"/>
      <c r="C151" s="2310" t="s">
        <v>100</v>
      </c>
      <c r="D151" s="2291" t="s">
        <v>90</v>
      </c>
      <c r="E151" s="2291"/>
      <c r="F151" s="2311"/>
      <c r="G151" s="2311">
        <f>IF(G139-F139+F146&gt;0,G139-F139+F146,0)</f>
        <v>163237.20000000004</v>
      </c>
      <c r="H151" s="2311">
        <f t="shared" si="17"/>
        <v>184208.36000000002</v>
      </c>
      <c r="I151" s="2311">
        <f t="shared" si="17"/>
        <v>194889.79999999996</v>
      </c>
      <c r="J151" s="2311">
        <f t="shared" si="17"/>
        <v>206237.08000000002</v>
      </c>
      <c r="K151" s="2311">
        <f t="shared" si="17"/>
        <v>216532.68000000002</v>
      </c>
      <c r="L151" s="2311">
        <f t="shared" si="17"/>
        <v>223822.20000000013</v>
      </c>
      <c r="M151" s="2311">
        <f t="shared" si="17"/>
        <v>227257.24000000005</v>
      </c>
      <c r="N151" s="2311">
        <f t="shared" si="17"/>
        <v>228732.84000000005</v>
      </c>
      <c r="P151" s="86"/>
      <c r="Q151" s="86"/>
      <c r="R151" s="86"/>
    </row>
    <row r="152" spans="1:18">
      <c r="A152" s="86"/>
      <c r="B152" s="86"/>
      <c r="C152" s="2310"/>
      <c r="D152" s="2291"/>
      <c r="E152" s="2291"/>
      <c r="F152" s="2311"/>
      <c r="G152" s="2311"/>
      <c r="H152" s="2311"/>
      <c r="I152" s="2311"/>
      <c r="J152" s="2311"/>
      <c r="K152" s="2311"/>
      <c r="L152" s="2311"/>
      <c r="M152" s="2311"/>
      <c r="N152" s="2311"/>
      <c r="P152" s="86"/>
      <c r="Q152" s="86"/>
      <c r="R152" s="86"/>
    </row>
    <row r="153" spans="1:18">
      <c r="A153" s="86"/>
      <c r="B153" s="86"/>
      <c r="C153" s="2310"/>
      <c r="D153" s="2291"/>
      <c r="E153" s="2291"/>
      <c r="F153" s="2311"/>
      <c r="G153" s="2311"/>
      <c r="H153" s="2311"/>
      <c r="I153" s="2311"/>
      <c r="J153" s="2311"/>
      <c r="K153" s="2311"/>
      <c r="L153" s="2311"/>
      <c r="M153" s="2311"/>
      <c r="N153" s="2311"/>
      <c r="P153" s="86"/>
      <c r="Q153" s="86"/>
      <c r="R153" s="86"/>
    </row>
    <row r="154" spans="1:18">
      <c r="A154" s="86"/>
      <c r="B154" s="2320">
        <v>5</v>
      </c>
      <c r="C154" s="2320" t="s">
        <v>252</v>
      </c>
      <c r="F154" s="2330"/>
      <c r="G154" s="2330"/>
      <c r="H154" s="2330"/>
      <c r="I154" s="2330"/>
      <c r="J154" s="2330"/>
      <c r="K154" s="2330"/>
      <c r="L154" s="2330"/>
      <c r="M154" s="2330"/>
      <c r="N154" s="2330"/>
      <c r="Q154" s="86"/>
      <c r="R154" s="86"/>
    </row>
    <row r="155" spans="1:18">
      <c r="A155"/>
      <c r="B155" s="2320"/>
      <c r="F155" s="2330"/>
      <c r="G155" s="2330"/>
      <c r="H155" s="2330"/>
      <c r="I155" s="2330"/>
      <c r="J155" s="2330"/>
      <c r="K155" s="2330"/>
      <c r="L155" s="2330"/>
      <c r="M155" s="2330"/>
      <c r="N155" s="2330"/>
      <c r="Q155" s="86"/>
      <c r="R155" s="86"/>
    </row>
    <row r="156" spans="1:18">
      <c r="A156"/>
      <c r="B156" s="2320"/>
      <c r="C156" s="2" t="s">
        <v>253</v>
      </c>
      <c r="E156" s="367" t="s">
        <v>254</v>
      </c>
      <c r="F156" s="2167">
        <f t="array" ref="F156">SUM(F$131:F$132*SUMIFS(EF[CO2], EF[Vector], $B$131:$B$132))</f>
        <v>8.2842808255709333E-2</v>
      </c>
      <c r="G156" s="2167">
        <f t="array" ref="G156">SUM(G$131:G$132*SUMIFS(EF[CO2], EF[Vector], $B$131:$B$132))</f>
        <v>8.3688794982623022E-2</v>
      </c>
      <c r="H156" s="2167">
        <f t="array" ref="H156">SUM(H$131:H$132*SUMIFS(EF[CO2], EF[Vector], $B$131:$B$132))</f>
        <v>8.6121556758021106E-2</v>
      </c>
      <c r="I156" s="2167">
        <f t="array" ref="I156">SUM(I$131:I$132*SUMIFS(EF[CO2], EF[Vector], $B$131:$B$132))</f>
        <v>8.8889566730011596E-2</v>
      </c>
      <c r="J156" s="2167">
        <f t="array" ref="J156">SUM(J$131:J$132*SUMIFS(EF[CO2], EF[Vector], $B$131:$B$132))</f>
        <v>9.1848126038500719E-2</v>
      </c>
      <c r="K156" s="2167">
        <f t="array" ref="K156">SUM(K$131:K$132*SUMIFS(EF[CO2], EF[Vector], $B$131:$B$132))</f>
        <v>9.4719647638795715E-2</v>
      </c>
      <c r="L156" s="2167">
        <f t="array" ref="L156">SUM(L$131:L$132*SUMIFS(EF[CO2], EF[Vector], $B$131:$B$132))</f>
        <v>9.7032313501822565E-2</v>
      </c>
      <c r="M156" s="2167">
        <f t="array" ref="M156">SUM(M$131:M$132*SUMIFS(EF[CO2], EF[Vector], $B$131:$B$132))</f>
        <v>9.8379694737512763E-2</v>
      </c>
      <c r="N156" s="2167">
        <f t="array" ref="N156">SUM(N$131:N$132*SUMIFS(EF[CO2], EF[Vector], $B$131:$B$132))</f>
        <v>9.9218499172747193E-2</v>
      </c>
      <c r="Q156" s="86"/>
      <c r="R156" s="86"/>
    </row>
    <row r="157" spans="1:18">
      <c r="A157"/>
      <c r="B157" s="2320"/>
      <c r="C157" s="2" t="s">
        <v>255</v>
      </c>
      <c r="E157" s="367"/>
      <c r="F157" s="2167">
        <f t="array" ref="F157">SUM(F$131:F$132*SUMIFS(EF[CH4], EF[Vector], $B$131:$B$132))</f>
        <v>3.0592416926686766E-5</v>
      </c>
      <c r="G157" s="2167">
        <f t="array" ref="G157">SUM(G$131:G$132*SUMIFS(EF[CH4], EF[Vector], $B$131:$B$132))</f>
        <v>3.0904825199765834E-5</v>
      </c>
      <c r="H157" s="2167">
        <f t="array" ref="H157">SUM(H$131:H$132*SUMIFS(EF[CH4], EF[Vector], $B$131:$B$132))</f>
        <v>3.1803202066549027E-5</v>
      </c>
      <c r="I157" s="2167">
        <f t="array" ref="I157">SUM(I$131:I$132*SUMIFS(EF[CH4], EF[Vector], $B$131:$B$132))</f>
        <v>3.2825380296661402E-5</v>
      </c>
      <c r="J157" s="2167">
        <f t="array" ref="J157">SUM(J$131:J$132*SUMIFS(EF[CH4], EF[Vector], $B$131:$B$132))</f>
        <v>3.3917925102581732E-5</v>
      </c>
      <c r="K157" s="2167">
        <f t="array" ref="K157">SUM(K$131:K$132*SUMIFS(EF[CH4], EF[Vector], $B$131:$B$132))</f>
        <v>3.4978328387548324E-5</v>
      </c>
      <c r="L157" s="2167">
        <f t="array" ref="L157">SUM(L$131:L$132*SUMIFS(EF[CH4], EF[Vector], $B$131:$B$132))</f>
        <v>3.5832355910075688E-5</v>
      </c>
      <c r="M157" s="2167">
        <f t="array" ref="M157">SUM(M$131:M$132*SUMIFS(EF[CH4], EF[Vector], $B$131:$B$132))</f>
        <v>3.6329920507284861E-5</v>
      </c>
      <c r="N157" s="2167">
        <f t="array" ref="N157">SUM(N$131:N$132*SUMIFS(EF[CH4], EF[Vector], $B$131:$B$132))</f>
        <v>3.6639676484212133E-5</v>
      </c>
      <c r="Q157" s="86"/>
      <c r="R157" s="86"/>
    </row>
    <row r="158" spans="1:18">
      <c r="A158"/>
      <c r="B158" s="2320"/>
      <c r="C158" s="2" t="s">
        <v>256</v>
      </c>
      <c r="E158" s="367"/>
      <c r="F158" s="2167">
        <f t="array" ref="F158">SUM(F$131:F$132*SUMIFS(EF[N2O], EF[Vector], $B$131:$B$132))</f>
        <v>1.3096468008138762E-3</v>
      </c>
      <c r="G158" s="2167">
        <f t="array" ref="G158">SUM(G$131:G$132*SUMIFS(EF[N2O], EF[Vector], $B$131:$B$132))</f>
        <v>1.3230208502185467E-3</v>
      </c>
      <c r="H158" s="2167">
        <f t="array" ref="H158">SUM(H$131:H$132*SUMIFS(EF[N2O], EF[Vector], $B$131:$B$132))</f>
        <v>1.3614799360870272E-3</v>
      </c>
      <c r="I158" s="2167">
        <f t="array" ref="I158">SUM(I$131:I$132*SUMIFS(EF[N2O], EF[Vector], $B$131:$B$132))</f>
        <v>1.4052388993665999E-3</v>
      </c>
      <c r="J158" s="2167">
        <f t="array" ref="J158">SUM(J$131:J$132*SUMIFS(EF[N2O], EF[Vector], $B$131:$B$132))</f>
        <v>1.4520102222486178E-3</v>
      </c>
      <c r="K158" s="2167">
        <f t="array" ref="K158">SUM(K$131:K$132*SUMIFS(EF[N2O], EF[Vector], $B$131:$B$132))</f>
        <v>1.4974055819240923E-3</v>
      </c>
      <c r="L158" s="2167">
        <f t="array" ref="L158">SUM(L$131:L$132*SUMIFS(EF[N2O], EF[Vector], $B$131:$B$132))</f>
        <v>1.5339660934837163E-3</v>
      </c>
      <c r="M158" s="2167">
        <f t="array" ref="M158">SUM(M$131:M$132*SUMIFS(EF[N2O], EF[Vector], $B$131:$B$132))</f>
        <v>1.5552665969547185E-3</v>
      </c>
      <c r="N158" s="2167">
        <f t="array" ref="N158">SUM(N$131:N$132*SUMIFS(EF[N2O], EF[Vector], $B$131:$B$132))</f>
        <v>1.5685271028241287E-3</v>
      </c>
      <c r="Q158" s="86"/>
      <c r="R158" s="86"/>
    </row>
    <row r="159" spans="1:18">
      <c r="A159" s="86"/>
      <c r="B159" s="2320"/>
      <c r="E159" s="367"/>
      <c r="F159" s="413"/>
      <c r="G159" s="413"/>
      <c r="H159" s="413"/>
      <c r="I159" s="413"/>
      <c r="J159" s="413"/>
      <c r="K159" s="413"/>
      <c r="L159" s="413"/>
      <c r="M159" s="413"/>
      <c r="N159" s="413"/>
      <c r="Q159" s="86"/>
      <c r="R159" s="86"/>
    </row>
    <row r="160" spans="1:18">
      <c r="A160" s="86"/>
      <c r="B160" s="2320">
        <v>6</v>
      </c>
      <c r="C160" s="2320" t="s">
        <v>2795</v>
      </c>
      <c r="Q160" s="86"/>
      <c r="R160" s="86"/>
    </row>
    <row r="161" spans="1:18" hidden="1">
      <c r="A161" s="86"/>
      <c r="Q161" s="86"/>
      <c r="R161" s="86"/>
    </row>
    <row r="162" spans="1:18" hidden="1">
      <c r="B162" s="2" t="s">
        <v>325</v>
      </c>
      <c r="F162" s="2333"/>
      <c r="G162" s="2333"/>
      <c r="H162" s="2333"/>
      <c r="I162" s="2333"/>
      <c r="J162" s="2333"/>
      <c r="K162" s="2333"/>
      <c r="L162" s="2333"/>
      <c r="M162" s="2333"/>
      <c r="N162" s="2333"/>
    </row>
    <row r="163" spans="1:18" hidden="1">
      <c r="C163" s="2" t="s">
        <v>169</v>
      </c>
      <c r="E163" s="2" t="s">
        <v>2812</v>
      </c>
      <c r="F163" s="2333"/>
      <c r="G163" s="2333">
        <v>3831.644773036991</v>
      </c>
      <c r="H163" s="2333">
        <v>4013.8670370220693</v>
      </c>
      <c r="I163" s="2333">
        <v>4161.1253113832763</v>
      </c>
      <c r="J163" s="2333">
        <v>4290.3481982343792</v>
      </c>
      <c r="K163" s="2333">
        <v>4581.4077459244018</v>
      </c>
      <c r="L163" s="2333">
        <v>4815.1055845725368</v>
      </c>
      <c r="M163" s="2333">
        <v>5060.724361678369</v>
      </c>
      <c r="N163" s="2333">
        <v>5318.8721649098734</v>
      </c>
    </row>
    <row r="164" spans="1:18" hidden="1">
      <c r="C164" s="2" t="s">
        <v>173</v>
      </c>
      <c r="E164" s="2" t="s">
        <v>2812</v>
      </c>
      <c r="F164" s="2333"/>
      <c r="G164" s="2333"/>
      <c r="H164" s="2333"/>
      <c r="I164" s="2333"/>
      <c r="J164" s="2333"/>
      <c r="K164" s="2333"/>
      <c r="L164" s="2333"/>
      <c r="M164" s="2333"/>
      <c r="N164" s="2333"/>
    </row>
    <row r="165" spans="1:18" hidden="1">
      <c r="C165" s="2" t="s">
        <v>294</v>
      </c>
      <c r="E165" s="2" t="s">
        <v>2812</v>
      </c>
      <c r="F165" s="2333"/>
      <c r="G165" s="2333"/>
      <c r="H165" s="2333"/>
      <c r="I165" s="2333"/>
      <c r="J165" s="2333"/>
      <c r="K165" s="2333"/>
      <c r="L165" s="2333"/>
      <c r="M165" s="2333"/>
      <c r="N165" s="2333"/>
      <c r="P165" s="2333"/>
    </row>
    <row r="166" spans="1:18" hidden="1">
      <c r="P166" s="2333"/>
    </row>
    <row r="167" spans="1:18" hidden="1">
      <c r="B167" s="2" t="s">
        <v>334</v>
      </c>
      <c r="F167" s="2333"/>
      <c r="G167" s="2333"/>
      <c r="H167" s="2333"/>
      <c r="I167" s="2333"/>
      <c r="J167" s="2333"/>
      <c r="K167" s="2333"/>
      <c r="L167" s="2333"/>
      <c r="M167" s="2333"/>
      <c r="N167" s="2333"/>
      <c r="P167" s="2333"/>
    </row>
    <row r="168" spans="1:18" hidden="1">
      <c r="C168" s="2" t="s">
        <v>169</v>
      </c>
      <c r="E168" s="2" t="s">
        <v>2812</v>
      </c>
      <c r="F168" s="2333"/>
      <c r="G168" s="2333">
        <v>2976.7201352859802</v>
      </c>
      <c r="H168" s="2333">
        <v>3118.2845846104024</v>
      </c>
      <c r="I168" s="2333">
        <v>3232.6862831872336</v>
      </c>
      <c r="J168" s="2333">
        <v>3333.0766878344207</v>
      </c>
      <c r="K168" s="2333">
        <v>3559.1944172943477</v>
      </c>
      <c r="L168" s="2333">
        <v>3740.7491028361751</v>
      </c>
      <c r="M168" s="2333">
        <v>3931.5649019833763</v>
      </c>
      <c r="N168" s="2333">
        <v>4166.4498625127335</v>
      </c>
      <c r="P168" s="2333"/>
      <c r="Q168" s="439"/>
      <c r="R168" s="2" t="s">
        <v>5</v>
      </c>
    </row>
    <row r="169" spans="1:18" hidden="1">
      <c r="C169" s="2" t="s">
        <v>173</v>
      </c>
      <c r="E169" s="2" t="s">
        <v>2812</v>
      </c>
      <c r="F169" s="2333"/>
      <c r="G169" s="2333"/>
      <c r="H169" s="2333"/>
      <c r="I169" s="2333"/>
      <c r="J169" s="2333"/>
      <c r="K169" s="2333"/>
      <c r="L169" s="2333"/>
      <c r="M169" s="2333"/>
      <c r="N169" s="2333"/>
      <c r="P169" s="2333"/>
      <c r="Q169" s="439"/>
    </row>
    <row r="170" spans="1:18" hidden="1">
      <c r="C170" s="2" t="s">
        <v>294</v>
      </c>
      <c r="E170" s="2" t="s">
        <v>2812</v>
      </c>
      <c r="F170" s="2333"/>
      <c r="G170" s="2333"/>
      <c r="H170" s="2333"/>
      <c r="I170" s="2333"/>
      <c r="J170" s="2333"/>
      <c r="K170" s="2333"/>
      <c r="L170" s="2333"/>
      <c r="M170" s="2333"/>
      <c r="N170" s="2333"/>
      <c r="P170" s="2333"/>
      <c r="Q170" s="439"/>
    </row>
    <row r="171" spans="1:18" hidden="1">
      <c r="P171" s="2333"/>
      <c r="Q171" s="439"/>
    </row>
    <row r="172" spans="1:18" hidden="1">
      <c r="B172" s="2" t="s">
        <v>336</v>
      </c>
      <c r="F172" s="2333"/>
      <c r="G172" s="2333"/>
      <c r="H172" s="2333"/>
      <c r="I172" s="2333"/>
      <c r="J172" s="2333"/>
      <c r="K172" s="2333"/>
      <c r="L172" s="2333"/>
      <c r="M172" s="2333"/>
      <c r="N172" s="2333"/>
      <c r="P172" s="2333"/>
      <c r="Q172" s="439"/>
    </row>
    <row r="173" spans="1:18" hidden="1">
      <c r="C173" s="2" t="s">
        <v>169</v>
      </c>
      <c r="E173" s="2" t="s">
        <v>2812</v>
      </c>
      <c r="F173" s="2333"/>
      <c r="G173" s="2333">
        <v>2554.4298486913272</v>
      </c>
      <c r="H173" s="2333">
        <v>2675.9113580147132</v>
      </c>
      <c r="I173" s="2333">
        <v>2774.0835409221841</v>
      </c>
      <c r="J173" s="2333">
        <v>2860.2321321562531</v>
      </c>
      <c r="K173" s="2333">
        <v>3054.2718306162683</v>
      </c>
      <c r="L173" s="2333">
        <v>3210.0703897150247</v>
      </c>
      <c r="M173" s="2333">
        <v>3373.8162411189128</v>
      </c>
      <c r="N173" s="2333">
        <v>3545.9147766065826</v>
      </c>
      <c r="P173" s="2333"/>
      <c r="Q173" s="439"/>
    </row>
    <row r="174" spans="1:18" hidden="1">
      <c r="C174" s="2" t="s">
        <v>173</v>
      </c>
      <c r="E174" s="2" t="s">
        <v>2812</v>
      </c>
      <c r="F174" s="2333"/>
      <c r="G174" s="2333"/>
      <c r="H174" s="2333"/>
      <c r="I174" s="2333"/>
      <c r="J174" s="2333"/>
      <c r="K174" s="2333"/>
      <c r="L174" s="2333"/>
      <c r="M174" s="2333"/>
      <c r="N174" s="2333"/>
      <c r="P174" s="2333"/>
      <c r="Q174" s="439"/>
    </row>
    <row r="175" spans="1:18" hidden="1">
      <c r="C175" s="2" t="s">
        <v>294</v>
      </c>
      <c r="E175" s="2" t="s">
        <v>2812</v>
      </c>
      <c r="F175" s="2333"/>
      <c r="G175" s="2333"/>
      <c r="H175" s="2333"/>
      <c r="I175" s="2333"/>
      <c r="J175" s="2333"/>
      <c r="K175" s="2333"/>
      <c r="L175" s="2333"/>
      <c r="M175" s="2333"/>
      <c r="N175" s="2333"/>
      <c r="Q175" s="439"/>
    </row>
    <row r="176" spans="1:18">
      <c r="B176" s="4"/>
      <c r="C176" s="4"/>
      <c r="D176" s="4"/>
      <c r="E176" s="4"/>
      <c r="F176" s="374"/>
      <c r="G176" s="4"/>
      <c r="H176" s="4"/>
      <c r="I176" s="4"/>
      <c r="J176" s="4"/>
      <c r="K176" s="4"/>
      <c r="L176" s="4"/>
      <c r="M176" s="4"/>
      <c r="N176" s="4"/>
      <c r="P176" s="4"/>
      <c r="Q176" s="439"/>
    </row>
    <row r="177" spans="1:19" ht="15.75">
      <c r="B177" s="2222" t="s">
        <v>299</v>
      </c>
      <c r="C177" s="9"/>
      <c r="D177" s="9"/>
      <c r="E177" s="9"/>
      <c r="F177" s="9"/>
      <c r="G177" s="9"/>
      <c r="H177" s="9"/>
      <c r="I177" s="9"/>
      <c r="J177" s="9"/>
      <c r="K177" s="9"/>
      <c r="L177" s="9"/>
      <c r="M177" s="9"/>
      <c r="N177" s="9"/>
      <c r="O177" s="9"/>
      <c r="P177" s="10"/>
      <c r="Q177" s="439"/>
    </row>
    <row r="178" spans="1:19">
      <c r="B178" s="11"/>
      <c r="C178" s="12"/>
      <c r="D178" s="12"/>
      <c r="E178" s="12"/>
      <c r="F178" s="12"/>
      <c r="G178" s="12"/>
      <c r="H178" s="12"/>
      <c r="I178" s="12"/>
      <c r="J178" s="12"/>
      <c r="K178" s="12"/>
      <c r="L178" s="12"/>
      <c r="M178" s="12"/>
      <c r="N178" s="12"/>
      <c r="O178" s="12"/>
      <c r="P178" s="13"/>
      <c r="Q178" s="439"/>
    </row>
    <row r="179" spans="1:19">
      <c r="B179" s="11"/>
      <c r="C179" s="2334" t="s">
        <v>765</v>
      </c>
      <c r="D179" s="12"/>
      <c r="E179" s="14"/>
      <c r="F179" s="12"/>
      <c r="G179" s="12"/>
      <c r="H179" s="12"/>
      <c r="I179" s="12"/>
      <c r="J179" s="12"/>
      <c r="K179" s="12"/>
      <c r="L179" s="12"/>
      <c r="M179" s="12"/>
      <c r="N179" s="516" t="str">
        <f>Preferences.EnergyUnits</f>
        <v>TWh</v>
      </c>
      <c r="O179" s="12"/>
      <c r="P179" s="13"/>
      <c r="Q179" s="439"/>
    </row>
    <row r="180" spans="1:19">
      <c r="B180" s="11"/>
      <c r="C180" s="12"/>
      <c r="D180" s="12"/>
      <c r="E180" s="12"/>
      <c r="F180" s="12"/>
      <c r="G180" s="12"/>
      <c r="H180" s="12"/>
      <c r="I180" s="12"/>
      <c r="J180" s="12"/>
      <c r="K180" s="12"/>
      <c r="L180" s="12"/>
      <c r="M180" s="12"/>
      <c r="N180" s="12"/>
      <c r="O180" s="12"/>
      <c r="P180" s="13"/>
      <c r="Q180" s="439"/>
    </row>
    <row r="181" spans="1:19" ht="15.75">
      <c r="B181" s="2223"/>
      <c r="C181" s="2335" t="s">
        <v>28</v>
      </c>
      <c r="D181" s="2335" t="s">
        <v>29</v>
      </c>
      <c r="E181" s="2335" t="s">
        <v>30</v>
      </c>
      <c r="F181" s="2335" t="s">
        <v>597</v>
      </c>
      <c r="G181" s="2335" t="s">
        <v>133</v>
      </c>
      <c r="H181" s="2335" t="s">
        <v>134</v>
      </c>
      <c r="I181" s="2335" t="s">
        <v>135</v>
      </c>
      <c r="J181" s="2335" t="s">
        <v>136</v>
      </c>
      <c r="K181" s="2335" t="s">
        <v>137</v>
      </c>
      <c r="L181" s="2335" t="s">
        <v>138</v>
      </c>
      <c r="M181" s="2335" t="s">
        <v>139</v>
      </c>
      <c r="N181" s="2335" t="s">
        <v>140</v>
      </c>
      <c r="O181" s="12"/>
      <c r="P181" s="13"/>
      <c r="Q181" s="439"/>
    </row>
    <row r="182" spans="1:19" ht="15.75">
      <c r="B182" s="2223"/>
      <c r="C182" s="725" t="s">
        <v>416</v>
      </c>
      <c r="D182" s="1746" t="str">
        <f>INDEX(Vectors[Description], MATCH([Vector], Vectors[Code], 0))</f>
        <v>Lighting &amp; appliances</v>
      </c>
      <c r="E182" s="725"/>
      <c r="F182" s="1743">
        <f>F131+F132</f>
        <v>5.4551773515786595</v>
      </c>
      <c r="G182" s="726">
        <f t="shared" ref="G182:N182" si="18">G131+G132</f>
        <v>5.5072910768582695</v>
      </c>
      <c r="H182" s="726">
        <f t="shared" si="18"/>
        <v>5.6814110960729458</v>
      </c>
      <c r="I182" s="726">
        <f t="shared" si="18"/>
        <v>5.8684706278777732</v>
      </c>
      <c r="J182" s="726">
        <f t="shared" si="18"/>
        <v>6.0656727292204788</v>
      </c>
      <c r="K182" s="726">
        <f t="shared" si="18"/>
        <v>6.2544428770679037</v>
      </c>
      <c r="L182" s="726">
        <f t="shared" si="18"/>
        <v>6.4034073941727252</v>
      </c>
      <c r="M182" s="726">
        <f t="shared" si="18"/>
        <v>6.485657237052826</v>
      </c>
      <c r="N182" s="726">
        <f t="shared" si="18"/>
        <v>6.5335123342766952</v>
      </c>
      <c r="O182" s="12"/>
      <c r="P182" s="13"/>
      <c r="Q182" s="439"/>
    </row>
    <row r="183" spans="1:19" ht="15.75">
      <c r="B183" s="2223"/>
      <c r="C183" s="725" t="s">
        <v>96</v>
      </c>
      <c r="D183" s="1746" t="str">
        <f>INDEX(Vectors[Description], MATCH([Vector], Vectors[Code], 0))</f>
        <v>Electricity (delivered to end user)</v>
      </c>
      <c r="E183" s="725"/>
      <c r="F183" s="726">
        <f>-F131</f>
        <v>-5.0505157520193107</v>
      </c>
      <c r="G183" s="726">
        <f t="shared" ref="G183:N184" si="19">-G131</f>
        <v>-5.0984970927343829</v>
      </c>
      <c r="H183" s="726">
        <f t="shared" si="19"/>
        <v>-5.260733820060393</v>
      </c>
      <c r="I183" s="726">
        <f t="shared" si="19"/>
        <v>-5.4342724758055327</v>
      </c>
      <c r="J183" s="726">
        <f t="shared" si="19"/>
        <v>-5.6170229262762756</v>
      </c>
      <c r="K183" s="726">
        <f t="shared" si="19"/>
        <v>-5.7917665756453065</v>
      </c>
      <c r="L183" s="726">
        <f t="shared" si="19"/>
        <v>-5.929434432399237</v>
      </c>
      <c r="M183" s="726">
        <f t="shared" si="19"/>
        <v>-6.0051027329882114</v>
      </c>
      <c r="N183" s="726">
        <f t="shared" si="19"/>
        <v>-6.0488605289299739</v>
      </c>
      <c r="O183" s="12"/>
      <c r="P183" s="13"/>
    </row>
    <row r="184" spans="1:19" s="4" customFormat="1" ht="15.75">
      <c r="B184" s="2223"/>
      <c r="C184" s="725" t="s">
        <v>100</v>
      </c>
      <c r="D184" s="1746" t="str">
        <f>INDEX(Vectors[Description], MATCH([Vector], Vectors[Code], 0))</f>
        <v>Gaseous hydrocarbons</v>
      </c>
      <c r="E184" s="725"/>
      <c r="F184" s="726">
        <f>-F132</f>
        <v>-0.40466159955934872</v>
      </c>
      <c r="G184" s="726">
        <f t="shared" si="19"/>
        <v>-0.40879398412388662</v>
      </c>
      <c r="H184" s="726">
        <f t="shared" si="19"/>
        <v>-0.42067727601255323</v>
      </c>
      <c r="I184" s="726">
        <f t="shared" si="19"/>
        <v>-0.43419815207224072</v>
      </c>
      <c r="J184" s="726">
        <f t="shared" si="19"/>
        <v>-0.44864980294420276</v>
      </c>
      <c r="K184" s="726">
        <f t="shared" si="19"/>
        <v>-0.4626763014225968</v>
      </c>
      <c r="L184" s="726">
        <f t="shared" si="19"/>
        <v>-0.47397296177348791</v>
      </c>
      <c r="M184" s="726">
        <f t="shared" si="19"/>
        <v>-0.48055450406461453</v>
      </c>
      <c r="N184" s="726">
        <f t="shared" si="19"/>
        <v>-0.48465180534672125</v>
      </c>
      <c r="O184" s="12"/>
      <c r="P184" s="13"/>
      <c r="S184" s="374"/>
    </row>
    <row r="185" spans="1:19" ht="15.75" customHeight="1">
      <c r="A185" s="2221"/>
      <c r="B185" s="2223"/>
      <c r="C185" s="2463" t="s">
        <v>59</v>
      </c>
      <c r="D185" s="2463"/>
      <c r="E185" s="2463"/>
      <c r="F185" s="3544">
        <f>SUBTOTAL(109,[2013])</f>
        <v>0</v>
      </c>
      <c r="G185" s="3544">
        <f>SUBTOTAL(109,[2015])</f>
        <v>0</v>
      </c>
      <c r="H185" s="3544">
        <f>SUBTOTAL(109,[2020])</f>
        <v>-4.4408920985006262E-16</v>
      </c>
      <c r="I185" s="3544">
        <f>SUBTOTAL(109,[2025])</f>
        <v>0</v>
      </c>
      <c r="J185" s="3544">
        <f>SUBTOTAL(109,[2030])</f>
        <v>4.4408920985006262E-16</v>
      </c>
      <c r="K185" s="3544">
        <f>SUBTOTAL(109,[2035])</f>
        <v>0</v>
      </c>
      <c r="L185" s="3544">
        <f>SUBTOTAL(109,[2040])</f>
        <v>0</v>
      </c>
      <c r="M185" s="3544">
        <f>SUBTOTAL(109,[2045])</f>
        <v>0</v>
      </c>
      <c r="N185" s="3544">
        <f>SUBTOTAL(109,[2050])</f>
        <v>0</v>
      </c>
      <c r="O185" s="12"/>
      <c r="P185" s="13"/>
      <c r="S185" s="374"/>
    </row>
    <row r="186" spans="1:19" ht="15.75">
      <c r="B186" s="2223"/>
      <c r="C186" s="451"/>
      <c r="D186" s="451"/>
      <c r="E186" s="451"/>
      <c r="F186" s="451"/>
      <c r="G186" s="451"/>
      <c r="H186" s="451"/>
      <c r="I186" s="451"/>
      <c r="J186" s="451"/>
      <c r="K186" s="451"/>
      <c r="L186" s="451"/>
      <c r="M186" s="451"/>
      <c r="N186" s="451"/>
      <c r="O186" s="3545"/>
      <c r="P186" s="3545"/>
      <c r="S186" s="374"/>
    </row>
    <row r="187" spans="1:19">
      <c r="S187" s="374"/>
    </row>
    <row r="188" spans="1:19" ht="15.75">
      <c r="A188" s="2338"/>
      <c r="B188" s="2336" t="s">
        <v>303</v>
      </c>
      <c r="C188" s="2337"/>
      <c r="D188" s="456"/>
      <c r="E188" s="456"/>
      <c r="F188" s="456"/>
      <c r="G188" s="456"/>
      <c r="H188" s="456"/>
      <c r="I188" s="456"/>
      <c r="J188" s="456"/>
      <c r="K188" s="456"/>
      <c r="L188" s="456"/>
      <c r="M188" s="456"/>
      <c r="N188" s="456"/>
      <c r="O188" s="456"/>
      <c r="P188" s="457"/>
    </row>
    <row r="189" spans="1:19" ht="15.75">
      <c r="A189" s="2338"/>
      <c r="B189" s="458"/>
      <c r="C189" s="459"/>
      <c r="D189" s="459"/>
      <c r="E189" s="459"/>
      <c r="F189" s="459"/>
      <c r="G189" s="459"/>
      <c r="H189" s="459"/>
      <c r="I189" s="459"/>
      <c r="J189" s="459"/>
      <c r="K189" s="459"/>
      <c r="L189" s="459"/>
      <c r="M189" s="459"/>
      <c r="N189" s="459"/>
      <c r="O189" s="459"/>
      <c r="P189" s="460"/>
    </row>
    <row r="190" spans="1:19" ht="15.75">
      <c r="A190" s="2338"/>
      <c r="B190" s="461"/>
      <c r="C190" s="2339" t="s">
        <v>1028</v>
      </c>
      <c r="D190" s="463"/>
      <c r="E190" s="464"/>
      <c r="F190" s="463"/>
      <c r="G190" s="463"/>
      <c r="H190" s="463"/>
      <c r="I190" s="463"/>
      <c r="J190" s="463"/>
      <c r="K190" s="463"/>
      <c r="L190" s="463"/>
      <c r="M190" s="463"/>
      <c r="N190" s="2340" t="s">
        <v>254</v>
      </c>
      <c r="O190" s="463"/>
      <c r="P190" s="465"/>
    </row>
    <row r="191" spans="1:19" ht="15.75">
      <c r="A191" s="2338"/>
      <c r="B191" s="461"/>
      <c r="C191" s="463"/>
      <c r="D191" s="463"/>
      <c r="E191" s="463"/>
      <c r="F191" s="463"/>
      <c r="G191" s="463"/>
      <c r="H191" s="463"/>
      <c r="I191" s="463"/>
      <c r="J191" s="463"/>
      <c r="K191" s="463"/>
      <c r="L191" s="463"/>
      <c r="M191" s="463"/>
      <c r="N191" s="463"/>
      <c r="O191" s="463"/>
      <c r="P191" s="465"/>
    </row>
    <row r="192" spans="1:19" ht="15.75">
      <c r="A192" s="2338"/>
      <c r="B192" s="2341"/>
      <c r="C192" s="2342" t="s">
        <v>305</v>
      </c>
      <c r="D192" s="2342" t="s">
        <v>306</v>
      </c>
      <c r="E192" s="2342" t="s">
        <v>30</v>
      </c>
      <c r="F192" s="2342" t="s">
        <v>597</v>
      </c>
      <c r="G192" s="2342" t="s">
        <v>133</v>
      </c>
      <c r="H192" s="2342" t="s">
        <v>134</v>
      </c>
      <c r="I192" s="2342" t="s">
        <v>135</v>
      </c>
      <c r="J192" s="2342" t="s">
        <v>136</v>
      </c>
      <c r="K192" s="2342" t="s">
        <v>137</v>
      </c>
      <c r="L192" s="2342" t="s">
        <v>138</v>
      </c>
      <c r="M192" s="2342" t="s">
        <v>139</v>
      </c>
      <c r="N192" s="2342" t="s">
        <v>140</v>
      </c>
      <c r="O192" s="463"/>
      <c r="P192" s="465"/>
    </row>
    <row r="193" spans="1:23" ht="15.75">
      <c r="A193" s="2338"/>
      <c r="B193" s="2341"/>
      <c r="C193" s="468" t="s">
        <v>253</v>
      </c>
      <c r="D193" s="469" t="s">
        <v>307</v>
      </c>
      <c r="E193" s="468" t="s">
        <v>308</v>
      </c>
      <c r="F193" s="1383">
        <f>F156</f>
        <v>8.2842808255709333E-2</v>
      </c>
      <c r="G193" s="1383">
        <f t="shared" ref="G193:N195" si="20">G156</f>
        <v>8.3688794982623022E-2</v>
      </c>
      <c r="H193" s="1383">
        <f t="shared" si="20"/>
        <v>8.6121556758021106E-2</v>
      </c>
      <c r="I193" s="1383">
        <f t="shared" si="20"/>
        <v>8.8889566730011596E-2</v>
      </c>
      <c r="J193" s="1383">
        <f t="shared" si="20"/>
        <v>9.1848126038500719E-2</v>
      </c>
      <c r="K193" s="1383">
        <f t="shared" si="20"/>
        <v>9.4719647638795715E-2</v>
      </c>
      <c r="L193" s="1383">
        <f t="shared" si="20"/>
        <v>9.7032313501822565E-2</v>
      </c>
      <c r="M193" s="1383">
        <f t="shared" si="20"/>
        <v>9.8379694737512763E-2</v>
      </c>
      <c r="N193" s="1383">
        <f t="shared" si="20"/>
        <v>9.9218499172747193E-2</v>
      </c>
      <c r="O193" s="463"/>
      <c r="P193" s="465"/>
    </row>
    <row r="194" spans="1:23" ht="15.75">
      <c r="B194" s="2341"/>
      <c r="C194" s="468" t="s">
        <v>255</v>
      </c>
      <c r="D194" s="469" t="s">
        <v>307</v>
      </c>
      <c r="E194" s="468" t="s">
        <v>308</v>
      </c>
      <c r="F194" s="470">
        <f>F157</f>
        <v>3.0592416926686766E-5</v>
      </c>
      <c r="G194" s="470">
        <f t="shared" si="20"/>
        <v>3.0904825199765834E-5</v>
      </c>
      <c r="H194" s="470">
        <f t="shared" si="20"/>
        <v>3.1803202066549027E-5</v>
      </c>
      <c r="I194" s="470">
        <f t="shared" si="20"/>
        <v>3.2825380296661402E-5</v>
      </c>
      <c r="J194" s="470">
        <f t="shared" si="20"/>
        <v>3.3917925102581732E-5</v>
      </c>
      <c r="K194" s="470">
        <f t="shared" si="20"/>
        <v>3.4978328387548324E-5</v>
      </c>
      <c r="L194" s="470">
        <f t="shared" si="20"/>
        <v>3.5832355910075688E-5</v>
      </c>
      <c r="M194" s="470">
        <f t="shared" si="20"/>
        <v>3.6329920507284861E-5</v>
      </c>
      <c r="N194" s="470">
        <f t="shared" si="20"/>
        <v>3.6639676484212133E-5</v>
      </c>
      <c r="O194" s="463"/>
      <c r="P194" s="465"/>
    </row>
    <row r="195" spans="1:23" ht="23.25">
      <c r="A195" s="2221"/>
      <c r="B195" s="2341"/>
      <c r="C195" s="468" t="s">
        <v>256</v>
      </c>
      <c r="D195" s="469" t="s">
        <v>307</v>
      </c>
      <c r="E195" s="468" t="s">
        <v>308</v>
      </c>
      <c r="F195" s="470">
        <f>F158</f>
        <v>1.3096468008138762E-3</v>
      </c>
      <c r="G195" s="470">
        <f t="shared" si="20"/>
        <v>1.3230208502185467E-3</v>
      </c>
      <c r="H195" s="470">
        <f t="shared" si="20"/>
        <v>1.3614799360870272E-3</v>
      </c>
      <c r="I195" s="470">
        <f t="shared" si="20"/>
        <v>1.4052388993665999E-3</v>
      </c>
      <c r="J195" s="470">
        <f t="shared" si="20"/>
        <v>1.4520102222486178E-3</v>
      </c>
      <c r="K195" s="470">
        <f t="shared" si="20"/>
        <v>1.4974055819240923E-3</v>
      </c>
      <c r="L195" s="470">
        <f t="shared" si="20"/>
        <v>1.5339660934837163E-3</v>
      </c>
      <c r="M195" s="470">
        <f t="shared" si="20"/>
        <v>1.5552665969547185E-3</v>
      </c>
      <c r="N195" s="470">
        <f t="shared" si="20"/>
        <v>1.5685271028241287E-3</v>
      </c>
      <c r="O195" s="463"/>
      <c r="P195" s="465"/>
    </row>
    <row r="196" spans="1:23" ht="15.75">
      <c r="B196" s="2341"/>
      <c r="C196" s="3085" t="s">
        <v>59</v>
      </c>
      <c r="D196" s="3085"/>
      <c r="E196" s="3085"/>
      <c r="F196" s="3546">
        <f>SUBTOTAL(109,[2013])</f>
        <v>8.4183047473449887E-2</v>
      </c>
      <c r="G196" s="3546">
        <f>SUBTOTAL(109,[2015])</f>
        <v>8.5042720658041332E-2</v>
      </c>
      <c r="H196" s="3546">
        <f>SUBTOTAL(109,[2020])</f>
        <v>8.7514839896174687E-2</v>
      </c>
      <c r="I196" s="3546">
        <f>SUBTOTAL(109,[2025])</f>
        <v>9.032763100967485E-2</v>
      </c>
      <c r="J196" s="3546">
        <f>SUBTOTAL(109,[2030])</f>
        <v>9.3334054185851917E-2</v>
      </c>
      <c r="K196" s="3546">
        <f>SUBTOTAL(109,[2035])</f>
        <v>9.6252031549107345E-2</v>
      </c>
      <c r="L196" s="3546">
        <f>SUBTOTAL(109,[2040])</f>
        <v>9.8602111951216362E-2</v>
      </c>
      <c r="M196" s="3546">
        <f>SUBTOTAL(109,[2045])</f>
        <v>9.9971291254974767E-2</v>
      </c>
      <c r="N196" s="3546">
        <f>SUBTOTAL(109,[2050])</f>
        <v>0.10082366595205552</v>
      </c>
      <c r="O196" s="463"/>
      <c r="P196" s="465"/>
    </row>
    <row r="197" spans="1:23" ht="15.75">
      <c r="B197" s="2343"/>
      <c r="C197" s="468"/>
      <c r="D197" s="468"/>
      <c r="E197" s="468"/>
      <c r="F197" s="471"/>
      <c r="G197" s="471"/>
      <c r="H197" s="471"/>
      <c r="I197" s="471"/>
      <c r="J197" s="471"/>
      <c r="K197" s="471"/>
      <c r="L197" s="471"/>
      <c r="M197" s="471"/>
      <c r="N197" s="471"/>
      <c r="O197" s="463"/>
      <c r="P197" s="463"/>
    </row>
    <row r="198" spans="1:23">
      <c r="B198" s="2347"/>
      <c r="C198" s="2344" t="s">
        <v>849</v>
      </c>
      <c r="D198" s="2345"/>
      <c r="E198" s="468"/>
      <c r="F198" s="471"/>
      <c r="G198" s="471"/>
      <c r="H198" s="471"/>
      <c r="I198" s="471"/>
      <c r="J198" s="471"/>
      <c r="K198" s="471"/>
      <c r="L198" s="471"/>
      <c r="M198" s="471"/>
      <c r="N198" s="2346" t="s">
        <v>850</v>
      </c>
      <c r="O198" s="463"/>
      <c r="P198" s="2347"/>
    </row>
    <row r="199" spans="1:23">
      <c r="B199" s="2347"/>
      <c r="C199" s="3551"/>
      <c r="D199" s="3551"/>
      <c r="E199" s="3551"/>
      <c r="F199" s="3551"/>
      <c r="G199" s="3551"/>
      <c r="H199" s="3551"/>
      <c r="I199" s="3551"/>
      <c r="J199" s="3551"/>
      <c r="K199" s="3551"/>
      <c r="L199" s="3551"/>
      <c r="M199" s="3551"/>
      <c r="N199" s="3551"/>
      <c r="O199" s="463"/>
      <c r="P199" s="2347"/>
    </row>
    <row r="200" spans="1:23">
      <c r="B200" s="2347"/>
      <c r="C200" s="3555" t="s">
        <v>28</v>
      </c>
      <c r="D200" s="3555" t="s">
        <v>29</v>
      </c>
      <c r="E200" s="3555" t="s">
        <v>306</v>
      </c>
      <c r="F200" s="3555" t="s">
        <v>597</v>
      </c>
      <c r="G200" s="3555" t="s">
        <v>133</v>
      </c>
      <c r="H200" s="3555" t="s">
        <v>134</v>
      </c>
      <c r="I200" s="3555" t="s">
        <v>135</v>
      </c>
      <c r="J200" s="3555" t="s">
        <v>136</v>
      </c>
      <c r="K200" s="3555" t="s">
        <v>137</v>
      </c>
      <c r="L200" s="3555" t="s">
        <v>138</v>
      </c>
      <c r="M200" s="3555" t="s">
        <v>139</v>
      </c>
      <c r="N200" s="3556" t="s">
        <v>140</v>
      </c>
      <c r="O200" s="463"/>
      <c r="P200" s="2347"/>
    </row>
    <row r="201" spans="1:23">
      <c r="B201" s="2347"/>
      <c r="C201" s="3547" t="s">
        <v>260</v>
      </c>
      <c r="D201" s="2349" t="s">
        <v>261</v>
      </c>
      <c r="E201" s="2348" t="s">
        <v>307</v>
      </c>
      <c r="F201" s="3552">
        <f ca="1">F53*F$132*(1-'Intermediate output'!AY$255*(1-Constants!$F$37))</f>
        <v>7.6101817273638945E-4</v>
      </c>
      <c r="G201" s="3552">
        <f ca="1">G53*G$132*(1-'Intermediate output'!AZ$255*(1-Constants!$F$37))</f>
        <v>7.8724073009828416E-4</v>
      </c>
      <c r="H201" s="3552">
        <f ca="1">H53*H$132*(1-'Intermediate output'!BA$255*(1-Constants!$F$37))</f>
        <v>9.4459259153457681E-4</v>
      </c>
      <c r="I201" s="3552">
        <f ca="1">I53*I$132*(1-'Intermediate output'!BB$255*(1-Constants!$F$37))</f>
        <v>1.2431250139531712E-3</v>
      </c>
      <c r="J201" s="3552">
        <f ca="1">J53*J$132*(1-'Intermediate output'!BC$255*(1-Constants!$F$37))</f>
        <v>2.1980001191541595E-3</v>
      </c>
      <c r="K201" s="3552">
        <f ca="1">K53*K$132*(1-'Intermediate output'!BD$255*(1-Constants!$F$37))</f>
        <v>2.4642730259364859E-3</v>
      </c>
      <c r="L201" s="3552">
        <f ca="1">L53*L$132*(1-'Intermediate output'!BE$255*(1-Constants!$F$37))</f>
        <v>2.6983055053537756E-3</v>
      </c>
      <c r="M201" s="3552">
        <f ca="1">M53*M$132*(1-'Intermediate output'!BF$255*(1-Constants!$F$37))</f>
        <v>2.7813026226437714E-3</v>
      </c>
      <c r="N201" s="3552">
        <f ca="1">N53*N$132*(1-'Intermediate output'!BG$255*(1-Constants!$F$37))</f>
        <v>2.7948200522006422E-3</v>
      </c>
      <c r="O201" s="463"/>
      <c r="P201" s="2347"/>
    </row>
    <row r="202" spans="1:23">
      <c r="B202" s="2347"/>
      <c r="C202" s="3548" t="s">
        <v>262</v>
      </c>
      <c r="D202" s="2350" t="s">
        <v>263</v>
      </c>
      <c r="E202" s="2347" t="s">
        <v>307</v>
      </c>
      <c r="F202" s="3553">
        <f ca="1">F58*F$132*(1-'Intermediate output'!AY$255*(1-Constants!$G$37))</f>
        <v>0.10175937397501128</v>
      </c>
      <c r="G202" s="3553">
        <f ca="1">G58*G$132*(1-'Intermediate output'!AZ$255*(1-Constants!$G$37))</f>
        <v>0.10267675356725446</v>
      </c>
      <c r="H202" s="3553">
        <f ca="1">H58*H$132*(1-'Intermediate output'!BA$255*(1-Constants!$G$37))</f>
        <v>0.10477395693855626</v>
      </c>
      <c r="I202" s="3553">
        <f ca="1">I58*I$132*(1-'Intermediate output'!BB$255*(1-Constants!$G$37))</f>
        <v>0.10637145628681774</v>
      </c>
      <c r="J202" s="3553">
        <f ca="1">J58*J$132*(1-'Intermediate output'!BC$255*(1-Constants!$G$37))</f>
        <v>0.10388252666952939</v>
      </c>
      <c r="K202" s="3553">
        <f ca="1">K58*K$132*(1-'Intermediate output'!BD$255*(1-Constants!$G$37))</f>
        <v>0.10582637159070107</v>
      </c>
      <c r="L202" s="3553">
        <f ca="1">L58*L$132*(1-'Intermediate output'!BE$255*(1-Constants!$G$37))</f>
        <v>0.10726266116571476</v>
      </c>
      <c r="M202" s="3553">
        <f ca="1">M58*M$132*(1-'Intermediate output'!BF$255*(1-Constants!$G$37))</f>
        <v>0.10845159799600312</v>
      </c>
      <c r="N202" s="3553">
        <f ca="1">N58*N$132*(1-'Intermediate output'!BG$255*(1-Constants!$G$37))</f>
        <v>0.10944357713334102</v>
      </c>
      <c r="O202" s="463"/>
      <c r="P202" s="2347"/>
    </row>
    <row r="203" spans="1:23">
      <c r="B203" s="3551"/>
      <c r="C203" s="3548" t="s">
        <v>264</v>
      </c>
      <c r="D203" s="2350" t="s">
        <v>265</v>
      </c>
      <c r="E203" s="2347" t="s">
        <v>307</v>
      </c>
      <c r="F203" s="3553">
        <f ca="1">F63*F$132*(1-'Intermediate output'!AY$255*(1-Constants!$H$37))</f>
        <v>0</v>
      </c>
      <c r="G203" s="3553">
        <f ca="1">G63*G$132*(1-'Intermediate output'!AZ$255*(1-Constants!$H$37))</f>
        <v>0</v>
      </c>
      <c r="H203" s="3553">
        <f ca="1">H63*H$132*(1-'Intermediate output'!BA$255*(1-Constants!$H$37))</f>
        <v>0</v>
      </c>
      <c r="I203" s="3553">
        <f ca="1">I63*I$132*(1-'Intermediate output'!BB$255*(1-Constants!$H$37))</f>
        <v>0</v>
      </c>
      <c r="J203" s="3553">
        <f ca="1">J63*J$132*(1-'Intermediate output'!BC$255*(1-Constants!$H$37))</f>
        <v>0</v>
      </c>
      <c r="K203" s="3553">
        <f ca="1">K63*K$132*(1-'Intermediate output'!BD$255*(1-Constants!$H$37))</f>
        <v>0</v>
      </c>
      <c r="L203" s="3553">
        <f ca="1">L63*L$132*(1-'Intermediate output'!BE$255*(1-Constants!$H$37))</f>
        <v>0</v>
      </c>
      <c r="M203" s="3553">
        <f ca="1">M63*M$132*(1-'Intermediate output'!BF$255*(1-Constants!$H$37))</f>
        <v>0</v>
      </c>
      <c r="N203" s="3553">
        <f ca="1">N63*N$132*(1-'Intermediate output'!BG$255*(1-Constants!$H$37))</f>
        <v>0</v>
      </c>
      <c r="O203" s="463"/>
      <c r="P203" s="2347"/>
    </row>
    <row r="204" spans="1:23" ht="15.75">
      <c r="B204" s="2343"/>
      <c r="C204" s="3549" t="s">
        <v>266</v>
      </c>
      <c r="D204" s="3550" t="s">
        <v>267</v>
      </c>
      <c r="E204" s="3551" t="s">
        <v>307</v>
      </c>
      <c r="F204" s="3554">
        <f ca="1">F68*F$132*(1-'Intermediate output'!AY$255*(1-Constants!$I$37))</f>
        <v>1.4613130535501189E-2</v>
      </c>
      <c r="G204" s="3554">
        <f ca="1">G68*G$132*(1-'Intermediate output'!AZ$255*(1-Constants!$I$37))</f>
        <v>1.478798406289264E-2</v>
      </c>
      <c r="H204" s="3554">
        <f ca="1">H68*H$132*(1-'Intermediate output'!BA$255*(1-Constants!$I$37))</f>
        <v>1.5404607199856389E-2</v>
      </c>
      <c r="I204" s="3554">
        <f ca="1">I68*I$132*(1-'Intermediate output'!BB$255*(1-Constants!$I$37))</f>
        <v>1.6272161935420904E-2</v>
      </c>
      <c r="J204" s="3554">
        <f ca="1">J68*J$132*(1-'Intermediate output'!BC$255*(1-Constants!$I$37))</f>
        <v>1.8082429826984797E-2</v>
      </c>
      <c r="K204" s="3554">
        <f ca="1">K68*K$132*(1-'Intermediate output'!BD$255*(1-Constants!$I$37))</f>
        <v>1.8922120810287994E-2</v>
      </c>
      <c r="L204" s="3554">
        <f ca="1">L68*L$132*(1-'Intermediate output'!BE$255*(1-Constants!$I$37))</f>
        <v>1.9625586134896476E-2</v>
      </c>
      <c r="M204" s="3554">
        <f ca="1">M68*M$132*(1-'Intermediate output'!BF$255*(1-Constants!$I$37))</f>
        <v>1.9961335613426112E-2</v>
      </c>
      <c r="N204" s="3554">
        <f ca="1">N68*N$132*(1-'Intermediate output'!BG$255*(1-Constants!$I$37))</f>
        <v>2.0117368899384844E-2</v>
      </c>
      <c r="O204" s="463"/>
      <c r="P204" s="465"/>
    </row>
    <row r="205" spans="1:23" ht="15.75">
      <c r="B205" s="2351"/>
      <c r="C205" s="479"/>
      <c r="D205" s="479"/>
      <c r="E205" s="479"/>
      <c r="F205" s="479"/>
      <c r="G205" s="479"/>
      <c r="H205" s="479"/>
      <c r="I205" s="479"/>
      <c r="J205" s="479"/>
      <c r="K205" s="479"/>
      <c r="L205" s="479"/>
      <c r="M205" s="479"/>
      <c r="N205" s="479"/>
      <c r="O205" s="2343"/>
      <c r="P205" s="2343"/>
    </row>
    <row r="208" spans="1:23" ht="15.75">
      <c r="B208" s="2352" t="s">
        <v>313</v>
      </c>
      <c r="C208" s="2353"/>
      <c r="D208" s="482"/>
      <c r="E208" s="482"/>
      <c r="F208" s="482"/>
      <c r="G208" s="482"/>
      <c r="H208" s="482"/>
      <c r="I208" s="482"/>
      <c r="J208" s="482"/>
      <c r="K208" s="482"/>
      <c r="L208" s="482"/>
      <c r="M208" s="482"/>
      <c r="N208" s="482"/>
      <c r="O208" s="482"/>
      <c r="P208" s="483"/>
      <c r="R208" s="302"/>
      <c r="S208" s="302"/>
      <c r="T208" s="302"/>
      <c r="U208" s="302"/>
      <c r="V208" s="302"/>
      <c r="W208" s="302"/>
    </row>
    <row r="209" spans="1:23">
      <c r="B209" s="484"/>
      <c r="C209" s="485"/>
      <c r="D209" s="485"/>
      <c r="E209" s="485"/>
      <c r="F209" s="485"/>
      <c r="G209" s="485"/>
      <c r="H209" s="485"/>
      <c r="I209" s="485"/>
      <c r="J209" s="485"/>
      <c r="K209" s="485"/>
      <c r="L209" s="485"/>
      <c r="M209" s="485"/>
      <c r="N209" s="485"/>
      <c r="O209" s="485"/>
      <c r="P209" s="486"/>
      <c r="R209" s="302"/>
      <c r="S209" s="302"/>
      <c r="T209" s="302"/>
      <c r="U209" s="302"/>
      <c r="V209" s="302"/>
      <c r="W209" s="302"/>
    </row>
    <row r="210" spans="1:23">
      <c r="B210" s="487"/>
      <c r="C210" s="2354" t="s">
        <v>314</v>
      </c>
      <c r="D210" s="489"/>
      <c r="E210" s="490"/>
      <c r="F210" s="489"/>
      <c r="G210" s="489"/>
      <c r="H210" s="489"/>
      <c r="I210" s="489"/>
      <c r="J210" s="489"/>
      <c r="K210" s="489"/>
      <c r="L210" s="489"/>
      <c r="M210" s="489"/>
      <c r="N210" s="490"/>
      <c r="O210" s="490"/>
      <c r="P210" s="491"/>
      <c r="R210" s="86"/>
      <c r="S210" s="86"/>
      <c r="T210" s="86"/>
      <c r="U210" s="86"/>
      <c r="V210" s="86"/>
      <c r="W210" s="86"/>
    </row>
    <row r="211" spans="1:23">
      <c r="B211" s="487"/>
      <c r="C211" s="489"/>
      <c r="D211" s="489"/>
      <c r="E211" s="489"/>
      <c r="F211" s="489"/>
      <c r="G211" s="489"/>
      <c r="H211" s="489"/>
      <c r="I211" s="489"/>
      <c r="J211" s="489"/>
      <c r="K211" s="489"/>
      <c r="L211" s="489"/>
      <c r="M211" s="489"/>
      <c r="N211" s="489"/>
      <c r="O211" s="489"/>
      <c r="P211" s="491"/>
      <c r="R211" s="86"/>
      <c r="S211" s="86"/>
      <c r="T211" s="86"/>
      <c r="U211" s="86"/>
      <c r="V211" s="86"/>
      <c r="W211" s="86"/>
    </row>
    <row r="212" spans="1:23" ht="15.75">
      <c r="B212" s="2355"/>
      <c r="C212" s="2356" t="s">
        <v>28</v>
      </c>
      <c r="D212" s="2356" t="s">
        <v>315</v>
      </c>
      <c r="E212" s="2356" t="s">
        <v>30</v>
      </c>
      <c r="F212" s="2356">
        <v>2013</v>
      </c>
      <c r="G212" s="2356" t="s">
        <v>133</v>
      </c>
      <c r="H212" s="2356" t="s">
        <v>134</v>
      </c>
      <c r="I212" s="2356" t="s">
        <v>135</v>
      </c>
      <c r="J212" s="2356" t="s">
        <v>136</v>
      </c>
      <c r="K212" s="2356" t="s">
        <v>137</v>
      </c>
      <c r="L212" s="2356" t="s">
        <v>138</v>
      </c>
      <c r="M212" s="2356" t="s">
        <v>139</v>
      </c>
      <c r="N212" s="2356" t="s">
        <v>140</v>
      </c>
      <c r="O212" s="489"/>
      <c r="P212" s="491"/>
      <c r="R212" s="86"/>
      <c r="S212" s="86"/>
      <c r="T212" s="86"/>
      <c r="U212" s="86"/>
      <c r="V212" s="86"/>
      <c r="W212" s="86"/>
    </row>
    <row r="213" spans="1:23" ht="15.75">
      <c r="B213" s="2355"/>
      <c r="C213" s="494"/>
      <c r="D213" s="494"/>
      <c r="E213" s="494"/>
      <c r="F213" s="1008"/>
      <c r="G213" s="1008"/>
      <c r="H213" s="1008"/>
      <c r="I213" s="1008"/>
      <c r="J213" s="1008"/>
      <c r="K213" s="1008"/>
      <c r="L213" s="1008"/>
      <c r="M213" s="1008"/>
      <c r="N213" s="1008"/>
      <c r="O213" s="489"/>
      <c r="P213" s="491"/>
      <c r="R213" s="86"/>
      <c r="S213" s="86"/>
      <c r="T213" s="86"/>
      <c r="U213" s="86"/>
      <c r="V213" s="86"/>
      <c r="W213" s="86"/>
    </row>
    <row r="214" spans="1:23" ht="15.75">
      <c r="B214" s="2355"/>
      <c r="C214" s="494"/>
      <c r="D214" s="494"/>
      <c r="E214" s="494"/>
      <c r="F214" s="1008"/>
      <c r="G214" s="1008"/>
      <c r="H214" s="1008"/>
      <c r="I214" s="1008"/>
      <c r="J214" s="1008"/>
      <c r="K214" s="1008"/>
      <c r="L214" s="1008"/>
      <c r="M214" s="1008"/>
      <c r="N214" s="1008"/>
      <c r="O214" s="489"/>
      <c r="P214" s="491"/>
      <c r="R214" s="86"/>
      <c r="S214" s="86"/>
      <c r="T214" s="206"/>
      <c r="U214" s="86"/>
      <c r="V214" s="86"/>
      <c r="W214" s="86"/>
    </row>
    <row r="215" spans="1:23" ht="15.75">
      <c r="B215" s="2357"/>
      <c r="C215" s="498"/>
      <c r="D215" s="498"/>
      <c r="E215" s="498"/>
      <c r="F215" s="498"/>
      <c r="G215" s="498"/>
      <c r="H215" s="498"/>
      <c r="I215" s="498"/>
      <c r="J215" s="498"/>
      <c r="K215" s="498"/>
      <c r="L215" s="498"/>
      <c r="M215" s="498"/>
      <c r="N215" s="498"/>
      <c r="O215" s="489"/>
      <c r="P215" s="499"/>
      <c r="R215" s="86"/>
      <c r="S215" s="86"/>
      <c r="T215" s="206"/>
      <c r="U215" s="86"/>
      <c r="V215" s="86"/>
      <c r="W215" s="86"/>
    </row>
    <row r="216" spans="1:23">
      <c r="R216" s="86"/>
      <c r="S216" s="86"/>
      <c r="T216" s="206"/>
      <c r="U216" s="86"/>
      <c r="V216" s="86"/>
      <c r="W216" s="86"/>
    </row>
    <row r="217" spans="1:23" ht="15.75">
      <c r="B217" s="2352" t="s">
        <v>2795</v>
      </c>
      <c r="C217" s="482"/>
      <c r="D217" s="482"/>
      <c r="E217" s="482"/>
      <c r="F217" s="482"/>
      <c r="G217" s="482"/>
      <c r="H217" s="482"/>
      <c r="I217" s="482"/>
      <c r="J217" s="482"/>
      <c r="K217" s="482"/>
      <c r="L217" s="482"/>
      <c r="M217" s="482"/>
      <c r="N217" s="482"/>
      <c r="O217" s="482"/>
      <c r="P217" s="483"/>
      <c r="R217" s="86"/>
      <c r="S217" s="86"/>
      <c r="T217" s="206"/>
      <c r="U217" s="86"/>
      <c r="V217" s="86"/>
      <c r="W217" s="86"/>
    </row>
    <row r="218" spans="1:23" hidden="1">
      <c r="B218" s="487"/>
      <c r="C218" s="489"/>
      <c r="D218" s="489"/>
      <c r="E218" s="489"/>
      <c r="F218" s="489"/>
      <c r="G218" s="489"/>
      <c r="H218" s="489"/>
      <c r="I218" s="489"/>
      <c r="J218" s="489"/>
      <c r="K218" s="489"/>
      <c r="L218" s="489"/>
      <c r="M218" s="489"/>
      <c r="N218" s="489"/>
      <c r="O218" s="489"/>
      <c r="P218" s="491"/>
      <c r="R218" s="86"/>
      <c r="S218" s="86"/>
      <c r="T218" s="86"/>
      <c r="U218" s="86"/>
      <c r="V218" s="86"/>
      <c r="W218" s="86"/>
    </row>
    <row r="219" spans="1:23" hidden="1">
      <c r="B219" s="487"/>
      <c r="C219" s="2358" t="s">
        <v>770</v>
      </c>
      <c r="D219" s="501"/>
      <c r="E219" s="501"/>
      <c r="F219" s="501"/>
      <c r="G219" s="501"/>
      <c r="H219" s="501"/>
      <c r="I219" s="501"/>
      <c r="J219" s="501"/>
      <c r="K219" s="501"/>
      <c r="L219" s="501"/>
      <c r="M219" s="501"/>
      <c r="N219" s="501"/>
      <c r="O219" s="2359" t="s">
        <v>2812</v>
      </c>
      <c r="P219" s="491"/>
      <c r="R219" s="302"/>
      <c r="S219" s="302"/>
      <c r="T219" s="302"/>
      <c r="U219" s="302"/>
      <c r="V219" s="302"/>
      <c r="W219" s="302"/>
    </row>
    <row r="220" spans="1:23" hidden="1">
      <c r="B220" s="487"/>
      <c r="C220" s="489"/>
      <c r="D220" s="489"/>
      <c r="E220" s="489"/>
      <c r="F220" s="489"/>
      <c r="G220" s="489"/>
      <c r="H220" s="489"/>
      <c r="I220" s="489"/>
      <c r="J220" s="489"/>
      <c r="K220" s="489"/>
      <c r="L220" s="489"/>
      <c r="M220" s="489"/>
      <c r="N220" s="489"/>
      <c r="O220" s="489"/>
      <c r="P220" s="491"/>
      <c r="R220" s="302"/>
      <c r="S220" s="302"/>
      <c r="T220" s="302"/>
      <c r="U220" s="302"/>
      <c r="V220" s="302"/>
      <c r="W220" s="302"/>
    </row>
    <row r="221" spans="1:23" ht="15.75" hidden="1">
      <c r="B221" s="2355"/>
      <c r="C221" s="2360" t="s">
        <v>28</v>
      </c>
      <c r="D221" s="2360" t="s">
        <v>29</v>
      </c>
      <c r="E221" s="2360" t="s">
        <v>30</v>
      </c>
      <c r="F221" s="2360">
        <v>2013</v>
      </c>
      <c r="G221" s="2360" t="s">
        <v>1029</v>
      </c>
      <c r="H221" s="2360" t="s">
        <v>133</v>
      </c>
      <c r="I221" s="2360" t="s">
        <v>134</v>
      </c>
      <c r="J221" s="2360" t="s">
        <v>135</v>
      </c>
      <c r="K221" s="2360" t="s">
        <v>136</v>
      </c>
      <c r="L221" s="2360" t="s">
        <v>137</v>
      </c>
      <c r="M221" s="2360" t="s">
        <v>138</v>
      </c>
      <c r="N221" s="2360" t="s">
        <v>139</v>
      </c>
      <c r="O221" s="2360" t="s">
        <v>140</v>
      </c>
      <c r="P221" s="2361"/>
    </row>
    <row r="222" spans="1:23" ht="15.75" hidden="1">
      <c r="B222" s="2355"/>
      <c r="C222" s="494" t="s">
        <v>324</v>
      </c>
      <c r="D222" s="494" t="s">
        <v>325</v>
      </c>
      <c r="E222" s="494"/>
      <c r="F222" s="1008"/>
      <c r="G222" s="1008"/>
      <c r="H222" s="1008"/>
      <c r="I222" s="1008"/>
      <c r="J222" s="1008"/>
      <c r="K222" s="1008"/>
      <c r="L222" s="1008"/>
      <c r="M222" s="1008"/>
      <c r="N222" s="1008"/>
      <c r="O222" s="1008"/>
      <c r="P222" s="2362"/>
    </row>
    <row r="223" spans="1:23" ht="15.75" hidden="1">
      <c r="B223" s="2355"/>
      <c r="C223" s="494" t="s">
        <v>326</v>
      </c>
      <c r="D223" s="494" t="s">
        <v>327</v>
      </c>
      <c r="E223" s="494"/>
      <c r="F223" s="1008"/>
      <c r="G223" s="1008"/>
      <c r="H223" s="1008"/>
      <c r="I223" s="1008"/>
      <c r="J223" s="1008"/>
      <c r="K223" s="1008"/>
      <c r="L223" s="1008"/>
      <c r="M223" s="1008"/>
      <c r="N223" s="1008"/>
      <c r="O223" s="1008"/>
      <c r="P223" s="2362"/>
      <c r="Q223" s="38"/>
      <c r="R223" s="38"/>
    </row>
    <row r="224" spans="1:23" ht="15.75" hidden="1">
      <c r="A224" s="38"/>
      <c r="B224" s="2355"/>
      <c r="C224" s="494" t="s">
        <v>328</v>
      </c>
      <c r="D224" s="494" t="s">
        <v>329</v>
      </c>
      <c r="E224" s="494"/>
      <c r="F224" s="1008"/>
      <c r="G224" s="1008"/>
      <c r="H224" s="1008"/>
      <c r="I224" s="1008"/>
      <c r="J224" s="1008"/>
      <c r="K224" s="1008"/>
      <c r="L224" s="1008"/>
      <c r="M224" s="1008"/>
      <c r="N224" s="1008"/>
      <c r="O224" s="1008"/>
      <c r="P224" s="2362"/>
      <c r="Q224" s="38"/>
      <c r="R224" s="38"/>
      <c r="S224" s="38"/>
    </row>
    <row r="225" spans="1:20" hidden="1">
      <c r="A225" s="38"/>
      <c r="B225" s="487"/>
      <c r="C225" s="494"/>
      <c r="D225" s="494"/>
      <c r="E225" s="494"/>
      <c r="F225" s="2363"/>
      <c r="G225" s="2363"/>
      <c r="H225" s="2363"/>
      <c r="I225" s="2363"/>
      <c r="J225" s="2363"/>
      <c r="K225" s="2363"/>
      <c r="L225" s="2363"/>
      <c r="M225" s="2363"/>
      <c r="N225" s="2363"/>
      <c r="O225" s="2363"/>
      <c r="P225" s="507"/>
      <c r="Q225" s="2364"/>
      <c r="R225" s="38"/>
      <c r="S225" s="38"/>
      <c r="T225" s="38"/>
    </row>
    <row r="226" spans="1:20">
      <c r="A226" s="38"/>
      <c r="B226" s="2365"/>
      <c r="C226" s="472"/>
      <c r="D226" s="472"/>
      <c r="E226" s="472"/>
      <c r="F226" s="472"/>
      <c r="G226" s="472"/>
      <c r="H226" s="472"/>
      <c r="I226" s="472"/>
      <c r="J226" s="472"/>
      <c r="K226" s="472"/>
      <c r="L226" s="472"/>
      <c r="M226" s="472"/>
      <c r="N226" s="472"/>
      <c r="O226" s="2366"/>
      <c r="P226" s="2367"/>
      <c r="Q226" s="38"/>
      <c r="R226" s="38"/>
      <c r="S226" s="38"/>
      <c r="T226" s="38"/>
    </row>
    <row r="227" spans="1:20">
      <c r="A227" s="38"/>
      <c r="B227" s="38"/>
      <c r="C227" s="472"/>
      <c r="D227" s="472"/>
      <c r="E227" s="472"/>
      <c r="F227" s="472"/>
      <c r="G227" s="472"/>
      <c r="H227" s="472"/>
      <c r="I227" s="472"/>
      <c r="J227" s="472"/>
      <c r="K227" s="472"/>
      <c r="L227" s="472"/>
      <c r="M227" s="472"/>
      <c r="N227" s="472"/>
      <c r="O227" s="38"/>
      <c r="P227" s="38"/>
      <c r="Q227" s="38"/>
      <c r="R227" s="38"/>
      <c r="S227" s="38"/>
      <c r="T227" s="38"/>
    </row>
    <row r="228" spans="1:20">
      <c r="A228" s="38"/>
      <c r="B228" s="38"/>
      <c r="C228" s="2366"/>
      <c r="D228" s="2366"/>
      <c r="E228" s="2366"/>
      <c r="F228" s="2366"/>
      <c r="G228" s="2366"/>
      <c r="H228" s="2366"/>
      <c r="I228" s="2366"/>
      <c r="J228" s="2366"/>
      <c r="K228" s="2366"/>
      <c r="L228" s="2366"/>
      <c r="M228" s="2366"/>
      <c r="N228" s="2366"/>
      <c r="O228" s="38"/>
      <c r="P228" s="38"/>
      <c r="Q228" s="38"/>
      <c r="R228" s="38"/>
      <c r="S228" s="38"/>
      <c r="T228" s="38"/>
    </row>
    <row r="229" spans="1:20">
      <c r="A229" s="38"/>
      <c r="B229" s="38"/>
      <c r="C229" s="38"/>
      <c r="D229" s="38"/>
      <c r="E229" s="38"/>
      <c r="F229" s="38"/>
      <c r="G229" s="38"/>
      <c r="H229" s="38"/>
      <c r="I229" s="38"/>
      <c r="J229" s="38"/>
      <c r="K229" s="38"/>
      <c r="L229" s="38"/>
      <c r="M229" s="38"/>
      <c r="N229" s="38"/>
      <c r="O229" s="38"/>
      <c r="P229" s="38"/>
      <c r="Q229" s="38"/>
      <c r="R229" s="38"/>
      <c r="S229" s="38"/>
      <c r="T229" s="38"/>
    </row>
    <row r="230" spans="1:20">
      <c r="A230" s="38"/>
      <c r="B230" s="38"/>
      <c r="C230" s="38"/>
      <c r="D230" s="38"/>
      <c r="E230" s="38"/>
      <c r="F230" s="38"/>
      <c r="G230" s="38"/>
      <c r="H230" s="38"/>
      <c r="I230" s="38"/>
      <c r="J230" s="38"/>
      <c r="K230" s="38"/>
      <c r="L230" s="38"/>
      <c r="M230" s="38"/>
      <c r="N230" s="38"/>
      <c r="O230" s="38"/>
      <c r="P230" s="38"/>
      <c r="Q230" s="38"/>
      <c r="R230" s="38"/>
      <c r="S230" s="38"/>
      <c r="T230" s="38"/>
    </row>
    <row r="231" spans="1:20">
      <c r="A231" s="38"/>
      <c r="B231" s="38"/>
      <c r="C231" s="38"/>
      <c r="D231" s="38"/>
      <c r="E231" s="38"/>
      <c r="F231" s="38"/>
      <c r="G231" s="38"/>
      <c r="H231" s="38"/>
      <c r="I231" s="38"/>
      <c r="J231" s="38"/>
      <c r="K231" s="38"/>
      <c r="L231" s="38"/>
      <c r="M231" s="38"/>
      <c r="N231" s="38"/>
      <c r="O231" s="38"/>
      <c r="P231" s="38"/>
      <c r="Q231" s="38"/>
      <c r="R231" s="38"/>
      <c r="S231" s="38"/>
      <c r="T231" s="38"/>
    </row>
    <row r="232" spans="1:20">
      <c r="A232" s="38"/>
      <c r="B232" s="38"/>
      <c r="C232" s="38"/>
      <c r="D232" s="38"/>
      <c r="E232" s="38"/>
      <c r="F232" s="38"/>
      <c r="G232" s="38"/>
      <c r="H232" s="38"/>
      <c r="I232" s="38"/>
      <c r="J232" s="38"/>
      <c r="K232" s="38"/>
      <c r="L232" s="38"/>
      <c r="M232" s="38"/>
      <c r="N232" s="38"/>
      <c r="O232" s="38"/>
      <c r="P232" s="38"/>
      <c r="Q232" s="38"/>
      <c r="R232" s="38"/>
      <c r="S232" s="38"/>
      <c r="T232" s="38"/>
    </row>
    <row r="233" spans="1:20">
      <c r="A233" s="38"/>
      <c r="B233" s="38"/>
      <c r="C233" s="38"/>
      <c r="D233" s="38"/>
      <c r="E233" s="38"/>
      <c r="F233" s="38"/>
      <c r="G233" s="38"/>
      <c r="H233" s="38"/>
      <c r="I233" s="38"/>
      <c r="J233" s="38"/>
      <c r="K233" s="38"/>
      <c r="L233" s="38"/>
      <c r="M233" s="38"/>
      <c r="N233" s="38"/>
      <c r="O233" s="38"/>
      <c r="P233" s="38"/>
      <c r="Q233" s="38"/>
      <c r="R233" s="38"/>
      <c r="S233" s="38"/>
      <c r="T233" s="38"/>
    </row>
    <row r="234" spans="1:20">
      <c r="A234" s="38"/>
      <c r="B234" s="38"/>
      <c r="C234" s="38"/>
      <c r="D234" s="38"/>
      <c r="E234" s="38"/>
      <c r="F234" s="38"/>
      <c r="G234" s="38"/>
      <c r="H234" s="38"/>
      <c r="I234" s="38"/>
      <c r="J234" s="38"/>
      <c r="K234" s="38"/>
      <c r="L234" s="38"/>
      <c r="M234" s="38"/>
      <c r="N234" s="38"/>
      <c r="O234" s="38"/>
      <c r="P234" s="38"/>
      <c r="Q234" s="38"/>
      <c r="R234" s="38"/>
      <c r="S234" s="38"/>
      <c r="T234" s="38"/>
    </row>
    <row r="235" spans="1:20">
      <c r="A235" s="38"/>
      <c r="B235" s="38"/>
      <c r="C235" s="38"/>
      <c r="D235" s="38"/>
      <c r="E235" s="38"/>
      <c r="F235" s="38"/>
      <c r="G235" s="38"/>
      <c r="H235" s="38"/>
      <c r="I235" s="38"/>
      <c r="J235" s="38"/>
      <c r="K235" s="38"/>
      <c r="L235" s="38"/>
      <c r="M235" s="38"/>
      <c r="N235" s="38"/>
      <c r="O235" s="38"/>
      <c r="P235" s="38"/>
      <c r="Q235" s="38"/>
      <c r="R235" s="38"/>
      <c r="S235" s="38"/>
      <c r="T235" s="38"/>
    </row>
    <row r="236" spans="1:20">
      <c r="A236" s="38"/>
      <c r="B236" s="38"/>
      <c r="C236" s="38"/>
      <c r="D236" s="38"/>
      <c r="E236" s="38"/>
      <c r="F236" s="38"/>
      <c r="G236" s="38"/>
      <c r="H236" s="38"/>
      <c r="I236" s="38"/>
      <c r="J236" s="38"/>
      <c r="K236" s="38"/>
      <c r="L236" s="38"/>
      <c r="M236" s="38"/>
      <c r="N236" s="38"/>
      <c r="O236" s="38"/>
      <c r="P236" s="38"/>
      <c r="Q236" s="38"/>
      <c r="R236" s="38"/>
      <c r="S236" s="38"/>
      <c r="T236" s="38"/>
    </row>
    <row r="237" spans="1:20">
      <c r="A237" s="38"/>
      <c r="B237" s="38"/>
      <c r="C237" s="38"/>
      <c r="D237" s="38"/>
      <c r="E237" s="38"/>
      <c r="F237" s="38"/>
      <c r="G237" s="38"/>
      <c r="H237" s="38"/>
      <c r="I237" s="38"/>
      <c r="J237" s="38"/>
      <c r="K237" s="38"/>
      <c r="L237" s="38"/>
      <c r="M237" s="38"/>
      <c r="N237" s="38"/>
      <c r="O237" s="38"/>
      <c r="P237" s="38"/>
      <c r="Q237" s="38"/>
      <c r="R237" s="38"/>
      <c r="S237" s="38"/>
    </row>
    <row r="238" spans="1:20">
      <c r="C238" s="38"/>
      <c r="D238" s="38"/>
      <c r="E238" s="38"/>
      <c r="F238" s="38"/>
      <c r="G238" s="38"/>
      <c r="H238" s="38"/>
      <c r="I238" s="38"/>
      <c r="J238" s="38"/>
      <c r="K238" s="38"/>
      <c r="L238" s="38"/>
      <c r="M238" s="38"/>
      <c r="N238" s="38"/>
    </row>
    <row r="239" spans="1:20">
      <c r="C239" s="38"/>
      <c r="D239" s="38"/>
      <c r="E239" s="38"/>
      <c r="F239" s="38"/>
      <c r="G239" s="38"/>
      <c r="H239" s="38"/>
      <c r="I239" s="38"/>
      <c r="J239" s="38"/>
      <c r="K239" s="38"/>
      <c r="L239" s="38"/>
      <c r="M239" s="38"/>
      <c r="N239" s="38"/>
    </row>
    <row r="412" spans="31:87">
      <c r="AE412" s="2368"/>
      <c r="AF412" s="2368"/>
      <c r="AG412" s="2368"/>
      <c r="AH412" s="2368"/>
      <c r="AI412" s="2368"/>
      <c r="AJ412" s="2368"/>
      <c r="AK412" s="2368"/>
      <c r="AL412" s="2368"/>
      <c r="AM412" s="2368"/>
      <c r="AN412" s="2368"/>
      <c r="AO412" s="2368"/>
      <c r="AP412" s="2368"/>
      <c r="AQ412" s="2368"/>
      <c r="AR412" s="2368"/>
      <c r="AS412" s="2368"/>
      <c r="AT412" s="2368"/>
      <c r="AU412" s="2368"/>
      <c r="AV412" s="2368"/>
      <c r="AW412" s="2368"/>
      <c r="AX412" s="2368"/>
      <c r="AY412" s="2368"/>
      <c r="AZ412" s="2368"/>
      <c r="BA412" s="2368"/>
      <c r="BB412" s="2368"/>
      <c r="BC412" s="2368"/>
      <c r="BD412" s="2368"/>
      <c r="BE412" s="2368"/>
      <c r="BF412" s="2368"/>
      <c r="BG412" s="2368"/>
      <c r="BH412" s="2368"/>
      <c r="BI412" s="2368"/>
      <c r="BJ412" s="2368"/>
      <c r="BK412" s="2368"/>
      <c r="BL412" s="2368"/>
      <c r="BM412" s="2368"/>
      <c r="BN412" s="2368"/>
      <c r="BO412" s="2368"/>
      <c r="BP412" s="2368"/>
      <c r="BQ412" s="2368"/>
      <c r="BR412" s="2368"/>
      <c r="BS412" s="2368"/>
      <c r="BT412" s="2368"/>
      <c r="BU412" s="2368"/>
      <c r="BV412" s="2368"/>
      <c r="BW412" s="2368"/>
      <c r="BX412" s="2368"/>
      <c r="BY412" s="2368"/>
      <c r="BZ412" s="2368"/>
      <c r="CA412" s="2368"/>
      <c r="CB412" s="2368"/>
      <c r="CC412" s="2368"/>
      <c r="CD412" s="2368"/>
      <c r="CE412" s="2368"/>
      <c r="CF412" s="2368"/>
      <c r="CG412" s="2368"/>
      <c r="CH412" s="2368"/>
      <c r="CI412" s="2368"/>
    </row>
    <row r="415" spans="31:87">
      <c r="AE415" s="2368"/>
      <c r="AF415" s="2368"/>
      <c r="AG415" s="2368"/>
      <c r="AH415" s="2368"/>
      <c r="AI415" s="2368"/>
      <c r="AJ415" s="2368"/>
      <c r="AK415" s="2368"/>
      <c r="AL415" s="2368"/>
      <c r="AM415" s="2368"/>
      <c r="AN415" s="2368"/>
      <c r="AO415" s="2368"/>
      <c r="AP415" s="2368"/>
      <c r="AQ415" s="2368"/>
      <c r="AR415" s="2368"/>
      <c r="AS415" s="2368"/>
      <c r="AT415" s="2368"/>
      <c r="AU415" s="2368"/>
      <c r="AV415" s="2368"/>
      <c r="AW415" s="2368"/>
      <c r="AX415" s="2368"/>
      <c r="AY415" s="2368"/>
      <c r="AZ415" s="2368"/>
      <c r="BA415" s="2368"/>
      <c r="BB415" s="2368"/>
      <c r="BC415" s="2368"/>
      <c r="BD415" s="2368"/>
      <c r="BE415" s="2368"/>
      <c r="BF415" s="2368"/>
      <c r="BG415" s="2368"/>
      <c r="BH415" s="2368"/>
      <c r="BI415" s="2368"/>
      <c r="BJ415" s="2368"/>
      <c r="BK415" s="2368"/>
      <c r="BL415" s="2368"/>
      <c r="BM415" s="2368"/>
      <c r="BN415" s="2368"/>
      <c r="BO415" s="2368"/>
      <c r="BP415" s="2368"/>
      <c r="BQ415" s="2368"/>
      <c r="BR415" s="2368"/>
      <c r="BS415" s="2368"/>
      <c r="BT415" s="2368"/>
      <c r="BU415" s="2368"/>
      <c r="BV415" s="2368"/>
      <c r="BW415" s="2368"/>
      <c r="BX415" s="2368"/>
      <c r="BY415" s="2368"/>
      <c r="BZ415" s="2368"/>
      <c r="CA415" s="2368"/>
      <c r="CB415" s="2368"/>
      <c r="CC415" s="2368"/>
      <c r="CD415" s="2368"/>
      <c r="CE415" s="2368"/>
      <c r="CF415" s="2368"/>
      <c r="CG415" s="2368"/>
      <c r="CH415" s="2368"/>
      <c r="CI415" s="2368"/>
    </row>
    <row r="467" spans="36:36">
      <c r="AJ467" s="2" t="s">
        <v>2834</v>
      </c>
    </row>
  </sheetData>
  <mergeCells count="2">
    <mergeCell ref="W75:X75"/>
    <mergeCell ref="Y75:Z75"/>
  </mergeCells>
  <pageMargins left="0.7" right="0.7" top="0.75" bottom="0.75" header="0.3" footer="0.3"/>
  <pageSetup orientation="portrait" r:id="rId1"/>
  <tableParts count="3">
    <tablePart r:id="rId2"/>
    <tablePart r:id="rId3"/>
    <tablePart r:id="rId4"/>
  </tableParts>
</worksheet>
</file>

<file path=xl/worksheets/sheet36.xml><?xml version="1.0" encoding="utf-8"?>
<worksheet xmlns="http://schemas.openxmlformats.org/spreadsheetml/2006/main" xmlns:r="http://schemas.openxmlformats.org/officeDocument/2006/relationships">
  <sheetPr codeName="Sheet15">
    <tabColor theme="9"/>
  </sheetPr>
  <dimension ref="A1:CH472"/>
  <sheetViews>
    <sheetView showGridLines="0" zoomScale="80" zoomScaleNormal="80" workbookViewId="0">
      <selection activeCell="F10" sqref="F10"/>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5" width="17.7109375" customWidth="1"/>
    <col min="16" max="16" width="10.85546875" customWidth="1"/>
    <col min="17" max="17" width="15.42578125" bestFit="1" customWidth="1"/>
  </cols>
  <sheetData>
    <row r="1" spans="1:17" ht="20.25">
      <c r="A1" s="1016" t="s">
        <v>474</v>
      </c>
      <c r="B1" s="1016" t="s">
        <v>83</v>
      </c>
      <c r="C1" s="1016"/>
      <c r="E1" s="1243"/>
    </row>
    <row r="2" spans="1:17" s="6" customFormat="1" ht="15.75">
      <c r="A2" s="864" t="s">
        <v>472</v>
      </c>
      <c r="B2" s="864" t="s">
        <v>473</v>
      </c>
      <c r="C2" s="864"/>
      <c r="E2" s="5"/>
    </row>
    <row r="4" spans="1:17" ht="23.25">
      <c r="A4" s="7"/>
      <c r="B4" s="511" t="s">
        <v>6</v>
      </c>
      <c r="C4" s="512"/>
      <c r="D4" s="512"/>
      <c r="E4" s="512"/>
      <c r="F4" s="512"/>
      <c r="G4" s="512"/>
      <c r="H4" s="512"/>
      <c r="I4" s="512"/>
      <c r="J4" s="512"/>
      <c r="K4" s="512"/>
      <c r="L4" s="512"/>
      <c r="M4" s="512"/>
      <c r="N4" s="512"/>
      <c r="O4" s="512"/>
    </row>
    <row r="5" spans="1:17">
      <c r="B5" s="514"/>
      <c r="C5" s="515"/>
      <c r="D5" s="515"/>
      <c r="E5" s="515"/>
      <c r="F5" s="515"/>
      <c r="G5" s="515"/>
      <c r="H5" s="515"/>
      <c r="I5" s="515"/>
      <c r="J5" s="515"/>
      <c r="K5" s="515"/>
      <c r="L5" s="515"/>
      <c r="M5" s="515"/>
      <c r="N5" s="515"/>
      <c r="O5" s="515"/>
    </row>
    <row r="6" spans="1:17">
      <c r="B6" s="514"/>
      <c r="C6" s="12"/>
      <c r="D6" s="515"/>
      <c r="E6" s="516"/>
      <c r="F6" s="515"/>
      <c r="G6" s="515"/>
      <c r="H6" s="515"/>
      <c r="I6" s="515"/>
      <c r="J6" s="515"/>
      <c r="K6" s="515"/>
      <c r="L6" s="515"/>
      <c r="M6" s="515"/>
      <c r="N6" s="515"/>
      <c r="O6" s="515"/>
    </row>
    <row r="7" spans="1:17" ht="15.75">
      <c r="B7" s="15"/>
      <c r="C7" s="515"/>
      <c r="D7" s="16" t="s">
        <v>7</v>
      </c>
      <c r="E7" s="16" t="s">
        <v>8</v>
      </c>
      <c r="F7" s="515"/>
      <c r="G7" s="515"/>
      <c r="H7" s="515"/>
      <c r="I7" s="515"/>
      <c r="J7" s="515"/>
      <c r="K7" s="515"/>
      <c r="L7" s="515"/>
      <c r="M7" s="515"/>
      <c r="N7" s="515"/>
      <c r="O7" s="515"/>
    </row>
    <row r="8" spans="1:17" ht="15.75">
      <c r="B8" s="15"/>
      <c r="C8" s="515"/>
      <c r="D8" s="1018" t="s">
        <v>1000</v>
      </c>
      <c r="E8" s="1018">
        <f>X.b.1.Scenario</f>
        <v>1</v>
      </c>
      <c r="F8" s="515"/>
      <c r="G8" s="515"/>
      <c r="H8" s="515"/>
      <c r="I8" s="515"/>
      <c r="J8" s="515"/>
      <c r="K8" s="515"/>
      <c r="L8" s="515"/>
      <c r="M8" s="515"/>
      <c r="N8" s="515"/>
      <c r="O8" s="515"/>
    </row>
    <row r="9" spans="1:17" ht="15.75">
      <c r="B9" s="15"/>
      <c r="C9" s="515"/>
      <c r="D9" s="517" t="s">
        <v>1001</v>
      </c>
      <c r="E9" s="517">
        <f>MIN(X.b.2.Scenario, 2)</f>
        <v>1</v>
      </c>
      <c r="F9" s="515"/>
      <c r="G9" s="515"/>
      <c r="H9" s="515"/>
      <c r="I9" s="515"/>
      <c r="J9" s="515"/>
      <c r="K9" s="515"/>
      <c r="L9" s="515"/>
      <c r="M9" s="515"/>
      <c r="N9" s="515"/>
      <c r="O9" s="515"/>
    </row>
    <row r="10" spans="1:17">
      <c r="B10" s="1252"/>
      <c r="C10" s="869"/>
      <c r="D10" s="869"/>
      <c r="E10" s="869"/>
      <c r="F10" s="869"/>
      <c r="G10" s="869"/>
      <c r="H10" s="869"/>
      <c r="I10" s="869"/>
      <c r="J10" s="869"/>
      <c r="K10" s="869"/>
      <c r="L10" s="869"/>
      <c r="M10" s="869"/>
      <c r="N10" s="869"/>
      <c r="O10" s="869"/>
    </row>
    <row r="12" spans="1:17" s="6" customFormat="1" ht="23.25">
      <c r="A12" s="40"/>
      <c r="B12" s="878" t="s">
        <v>33</v>
      </c>
      <c r="C12" s="879"/>
      <c r="D12" s="879"/>
      <c r="E12" s="879"/>
      <c r="F12" s="879"/>
      <c r="G12" s="879"/>
      <c r="H12" s="879"/>
      <c r="I12" s="879"/>
      <c r="J12" s="879"/>
      <c r="K12" s="879"/>
      <c r="L12" s="879"/>
      <c r="M12" s="879"/>
      <c r="N12" s="879"/>
      <c r="O12" s="880"/>
    </row>
    <row r="13" spans="1:17">
      <c r="B13" s="110"/>
      <c r="C13" s="67"/>
      <c r="D13" s="67"/>
      <c r="E13" s="67"/>
      <c r="F13" s="67"/>
      <c r="G13" s="67"/>
      <c r="H13" s="67"/>
      <c r="I13" s="67"/>
      <c r="J13" s="67"/>
      <c r="K13" s="67"/>
      <c r="L13" s="67"/>
      <c r="M13" s="67"/>
      <c r="N13" s="67"/>
      <c r="O13" s="885"/>
    </row>
    <row r="14" spans="1:17">
      <c r="B14" s="110"/>
      <c r="C14" s="49" t="s">
        <v>3138</v>
      </c>
      <c r="D14" s="67"/>
      <c r="E14" s="50"/>
      <c r="F14" s="67"/>
      <c r="G14" s="67"/>
      <c r="H14" s="67"/>
      <c r="I14" s="67"/>
      <c r="J14" s="67"/>
      <c r="K14" s="67"/>
      <c r="L14" s="67"/>
      <c r="M14" s="67"/>
      <c r="N14" s="50" t="str">
        <f>Preferences.EnergyUnits</f>
        <v>TWh</v>
      </c>
      <c r="O14" s="885"/>
    </row>
    <row r="15" spans="1:17">
      <c r="B15" s="110"/>
      <c r="C15" s="67"/>
      <c r="D15" s="67"/>
      <c r="E15" s="67"/>
      <c r="F15" s="67"/>
      <c r="G15" s="67"/>
      <c r="H15" s="67"/>
      <c r="I15" s="67"/>
      <c r="J15" s="67"/>
      <c r="K15" s="67"/>
      <c r="L15" s="67"/>
      <c r="M15" s="67"/>
      <c r="N15" s="67"/>
      <c r="O15" s="885"/>
    </row>
    <row r="16" spans="1:17">
      <c r="B16" s="110"/>
      <c r="C16" s="887" t="s">
        <v>8</v>
      </c>
      <c r="D16" s="887" t="s">
        <v>34</v>
      </c>
      <c r="E16" s="887" t="s">
        <v>30</v>
      </c>
      <c r="F16" s="92">
        <v>2013</v>
      </c>
      <c r="G16" s="92">
        <v>2015</v>
      </c>
      <c r="H16" s="92">
        <v>2020</v>
      </c>
      <c r="I16" s="92">
        <v>2025</v>
      </c>
      <c r="J16" s="92">
        <v>2030</v>
      </c>
      <c r="K16" s="92">
        <v>2035</v>
      </c>
      <c r="L16" s="92">
        <v>2040</v>
      </c>
      <c r="M16" s="92">
        <v>2045</v>
      </c>
      <c r="N16" s="92">
        <v>2050</v>
      </c>
      <c r="O16" s="885"/>
      <c r="P16" t="s">
        <v>1003</v>
      </c>
      <c r="Q16" s="833"/>
    </row>
    <row r="17" spans="2:17" ht="15.75">
      <c r="B17" s="55"/>
      <c r="C17" s="65">
        <v>1</v>
      </c>
      <c r="D17" s="108"/>
      <c r="E17" s="1267"/>
      <c r="F17" s="59">
        <f>(Unit.TWh)*3.31</f>
        <v>3.31</v>
      </c>
      <c r="G17" s="59">
        <f>(Unit.TWh)*3.34578378378378</f>
        <v>3.3457837837837801</v>
      </c>
      <c r="H17" s="59">
        <f>(Unit.TWh)*3.43524324324324</f>
        <v>3.43524324324324</v>
      </c>
      <c r="I17" s="59">
        <f>(Unit.TWh)*3.5247027027027</f>
        <v>3.5247027027027</v>
      </c>
      <c r="J17" s="59">
        <f>(Unit.TWh)*3.61416216216216</f>
        <v>3.61416216216216</v>
      </c>
      <c r="K17" s="59">
        <f>(Unit.TWh)*3.70362162162162</f>
        <v>3.70362162162162</v>
      </c>
      <c r="L17" s="59">
        <f>(Unit.TWh)*3.79308108108108</f>
        <v>3.79308108108108</v>
      </c>
      <c r="M17" s="59">
        <f>(Unit.TWh)*3.88254054054054</f>
        <v>3.88254054054054</v>
      </c>
      <c r="N17" s="59">
        <f>(Unit.TWh)*3.972</f>
        <v>3.972</v>
      </c>
      <c r="O17" s="885"/>
      <c r="P17" s="400">
        <f>(N17-F17)/F17</f>
        <v>0.19999999999999998</v>
      </c>
      <c r="Q17" s="1361"/>
    </row>
    <row r="18" spans="2:17" ht="15.75">
      <c r="B18" s="55"/>
      <c r="C18" s="65">
        <v>2</v>
      </c>
      <c r="D18" s="108"/>
      <c r="E18" s="1267"/>
      <c r="F18" s="59">
        <f>(Unit.TWh)*3.31</f>
        <v>3.31</v>
      </c>
      <c r="G18" s="59">
        <f>(Unit.TWh)*3.32789189189189</f>
        <v>3.3278918918918898</v>
      </c>
      <c r="H18" s="59">
        <f>(Unit.TWh)*3.37262162162162</f>
        <v>3.37262162162162</v>
      </c>
      <c r="I18" s="59">
        <f>(Unit.TWh)*3.41735135135135</f>
        <v>3.4173513513513498</v>
      </c>
      <c r="J18" s="59">
        <f>(Unit.TWh)*3.46208108108108</f>
        <v>3.46208108108108</v>
      </c>
      <c r="K18" s="59">
        <f>(Unit.TWh)*3.50681081081081</f>
        <v>3.5068108108108098</v>
      </c>
      <c r="L18" s="59">
        <f>(Unit.TWh)*3.55154054054054</f>
        <v>3.55154054054054</v>
      </c>
      <c r="M18" s="59">
        <f>(Unit.TWh)*3.59627027027027</f>
        <v>3.5962702702702698</v>
      </c>
      <c r="N18" s="59">
        <f>(Unit.TWh)*3.641</f>
        <v>3.641</v>
      </c>
      <c r="O18" s="885"/>
      <c r="P18" s="400">
        <f>(N18-F18)/F18</f>
        <v>9.9999999999999992E-2</v>
      </c>
      <c r="Q18" s="1361"/>
    </row>
    <row r="19" spans="2:17" ht="15.75">
      <c r="B19" s="55"/>
      <c r="C19" s="65">
        <v>3</v>
      </c>
      <c r="D19" s="108"/>
      <c r="E19" s="1267"/>
      <c r="F19" s="59">
        <f>(Unit.TWh)*3.31</f>
        <v>3.31</v>
      </c>
      <c r="G19" s="59">
        <f>(Unit.TWh)*3.29210810810811</f>
        <v>3.2921081081081098</v>
      </c>
      <c r="H19" s="59">
        <f>(Unit.TWh)*3.24737837837838</f>
        <v>3.2473783783783801</v>
      </c>
      <c r="I19" s="59">
        <f>(Unit.TWh)*3.20264864864865</f>
        <v>3.2026486486486498</v>
      </c>
      <c r="J19" s="59">
        <f>(Unit.TWh)*3.15791891891892</f>
        <v>3.1579189189189201</v>
      </c>
      <c r="K19" s="59">
        <f>(Unit.TWh)*3.11318918918919</f>
        <v>3.1131891891891899</v>
      </c>
      <c r="L19" s="59">
        <f>(Unit.TWh)*3.06845945945946</f>
        <v>3.0684594594594601</v>
      </c>
      <c r="M19" s="59">
        <f>(Unit.TWh)*3.02372972972973</f>
        <v>3.0237297297297299</v>
      </c>
      <c r="N19" s="59">
        <f>(Unit.TWh)*2.979</f>
        <v>2.9790000000000001</v>
      </c>
      <c r="O19" s="885"/>
      <c r="P19" s="400">
        <v>-0.1</v>
      </c>
      <c r="Q19" s="1361"/>
    </row>
    <row r="20" spans="2:17" ht="15.75">
      <c r="B20" s="55"/>
      <c r="C20" s="896">
        <v>4</v>
      </c>
      <c r="D20" s="897"/>
      <c r="E20" s="897"/>
      <c r="F20" s="1023">
        <f>(Unit.TWh)*3.31</f>
        <v>3.31</v>
      </c>
      <c r="G20" s="1023">
        <f>(Unit.TWh)*3.26527027027027</f>
        <v>3.2652702702702698</v>
      </c>
      <c r="H20" s="1023">
        <f>(Unit.TWh)*3.15344594594595</f>
        <v>3.1534459459459501</v>
      </c>
      <c r="I20" s="1023">
        <f>(Unit.TWh)*3.04162162162162</f>
        <v>3.0416216216216201</v>
      </c>
      <c r="J20" s="1023">
        <f>(Unit.TWh)*2.9297972972973</f>
        <v>2.9297972972972999</v>
      </c>
      <c r="K20" s="1023">
        <f>(Unit.TWh)*2.81797297297297</f>
        <v>2.8179729729729699</v>
      </c>
      <c r="L20" s="1023">
        <f>(Unit.TWh)*2.70614864864865</f>
        <v>2.7061486486486501</v>
      </c>
      <c r="M20" s="1023">
        <f>(Unit.TWh)*2.59432432432432</f>
        <v>2.5943243243243201</v>
      </c>
      <c r="N20" s="1023">
        <f>(Unit.TWh)*2.4825</f>
        <v>2.4824999999999999</v>
      </c>
      <c r="O20" s="885"/>
      <c r="P20" s="400">
        <f>(N20-F20)/F20</f>
        <v>-0.25000000000000006</v>
      </c>
      <c r="Q20" s="1361"/>
    </row>
    <row r="21" spans="2:17" ht="15.75">
      <c r="B21" s="55"/>
      <c r="C21" s="65"/>
      <c r="D21" s="108"/>
      <c r="E21" s="108"/>
      <c r="F21" s="59"/>
      <c r="G21" s="1226"/>
      <c r="H21" s="1226"/>
      <c r="I21" s="1226"/>
      <c r="J21" s="1226"/>
      <c r="K21" s="1226"/>
      <c r="L21" s="1226"/>
      <c r="M21" s="1226"/>
      <c r="N21" s="1226"/>
      <c r="O21" s="885"/>
    </row>
    <row r="22" spans="2:17" ht="15.75">
      <c r="B22" s="55"/>
      <c r="C22" s="49" t="s">
        <v>3139</v>
      </c>
      <c r="D22" s="67"/>
      <c r="E22" s="50"/>
      <c r="F22" s="67"/>
      <c r="G22" s="67"/>
      <c r="H22" s="67"/>
      <c r="I22" s="67"/>
      <c r="J22" s="67"/>
      <c r="K22" s="67"/>
      <c r="L22" s="67"/>
      <c r="M22" s="67"/>
      <c r="N22" s="50" t="str">
        <f>Preferences.EnergyUnits</f>
        <v>TWh</v>
      </c>
      <c r="O22" s="885"/>
    </row>
    <row r="23" spans="2:17" ht="15.75">
      <c r="B23" s="55"/>
      <c r="C23" s="67"/>
      <c r="D23" s="67"/>
      <c r="E23" s="67"/>
      <c r="F23" s="67"/>
      <c r="G23" s="67"/>
      <c r="H23" s="67"/>
      <c r="I23" s="67"/>
      <c r="J23" s="67"/>
      <c r="K23" s="67"/>
      <c r="L23" s="67"/>
      <c r="M23" s="67"/>
      <c r="N23" s="67"/>
      <c r="O23" s="885"/>
    </row>
    <row r="24" spans="2:17" ht="15.75">
      <c r="B24" s="55"/>
      <c r="C24" s="887" t="s">
        <v>8</v>
      </c>
      <c r="D24" s="887" t="s">
        <v>34</v>
      </c>
      <c r="E24" s="887" t="s">
        <v>30</v>
      </c>
      <c r="F24" s="92">
        <v>2013</v>
      </c>
      <c r="G24" s="92">
        <v>2015</v>
      </c>
      <c r="H24" s="92">
        <v>2020</v>
      </c>
      <c r="I24" s="92">
        <v>2025</v>
      </c>
      <c r="J24" s="92">
        <v>2030</v>
      </c>
      <c r="K24" s="92">
        <v>2035</v>
      </c>
      <c r="L24" s="92">
        <v>2040</v>
      </c>
      <c r="M24" s="92">
        <v>2045</v>
      </c>
      <c r="N24" s="92">
        <v>2050</v>
      </c>
      <c r="O24" s="885"/>
    </row>
    <row r="25" spans="2:17" ht="15.75">
      <c r="B25" s="55"/>
      <c r="C25" s="65">
        <v>1</v>
      </c>
      <c r="D25" s="108"/>
      <c r="E25" s="1267"/>
      <c r="F25" s="1034">
        <f>(Unit.TWh)*1.22</f>
        <v>1.22</v>
      </c>
      <c r="G25" s="59">
        <f>(Unit.TWh)*1.22054054054054</f>
        <v>1.2205405405405401</v>
      </c>
      <c r="H25" s="59">
        <f>(Unit.TWh)*1.22189189189189</f>
        <v>1.22189189189189</v>
      </c>
      <c r="I25" s="59">
        <f>(Unit.TWh)*1.22324324324324</f>
        <v>1.2232432432432401</v>
      </c>
      <c r="J25" s="59">
        <f>(Unit.TWh)*1.22459459459459</f>
        <v>1.22459459459459</v>
      </c>
      <c r="K25" s="59">
        <f>(Unit.TWh)*1.22594594594595</f>
        <v>1.2259459459459501</v>
      </c>
      <c r="L25" s="59">
        <f>(Unit.TWh)*1.2272972972973</f>
        <v>1.2272972972973</v>
      </c>
      <c r="M25" s="59">
        <f>(Unit.TWh)*1.22864864864865</f>
        <v>1.2286486486486501</v>
      </c>
      <c r="N25" s="1034">
        <f>(Unit.TWh)*1.23</f>
        <v>1.23</v>
      </c>
      <c r="O25" s="885"/>
      <c r="P25" s="400">
        <f>(N25-F25)/F25</f>
        <v>8.1967213114754172E-3</v>
      </c>
      <c r="Q25" s="1361"/>
    </row>
    <row r="26" spans="2:17" ht="15.75">
      <c r="B26" s="55"/>
      <c r="C26" s="65">
        <v>2</v>
      </c>
      <c r="D26" s="108"/>
      <c r="E26" s="1267"/>
      <c r="F26" s="59">
        <f>(Unit.TWh)*1.22</f>
        <v>1.22</v>
      </c>
      <c r="G26" s="59">
        <f>(Unit.TWh)*1.21721621621622</f>
        <v>1.2172162162162199</v>
      </c>
      <c r="H26" s="59">
        <f>(Unit.TWh)*1.21025675675676</f>
        <v>1.2102567567567599</v>
      </c>
      <c r="I26" s="59">
        <f>(Unit.TWh)*1.2032972972973</f>
        <v>1.2032972972973</v>
      </c>
      <c r="J26" s="59">
        <f>(Unit.TWh)*1.19633783783784</f>
        <v>1.19633783783784</v>
      </c>
      <c r="K26" s="59">
        <f>(Unit.TWh)*1.18937837837838</f>
        <v>1.18937837837838</v>
      </c>
      <c r="L26" s="59">
        <f>(Unit.TWh)*1.18241891891892</f>
        <v>1.18241891891892</v>
      </c>
      <c r="M26" s="59">
        <f>(Unit.TWh)*1.17545945945946</f>
        <v>1.1754594594594601</v>
      </c>
      <c r="N26" s="59">
        <f>(Unit.TWh)*1.1685</f>
        <v>1.1685000000000001</v>
      </c>
      <c r="O26" s="885"/>
      <c r="P26" s="400">
        <f>(N26-F26)/F26</f>
        <v>-4.2213114754098266E-2</v>
      </c>
      <c r="Q26" s="1361"/>
    </row>
    <row r="27" spans="2:17" ht="15.75">
      <c r="B27" s="55"/>
      <c r="C27" s="65">
        <v>3</v>
      </c>
      <c r="D27" s="108"/>
      <c r="E27" s="1267"/>
      <c r="F27" s="59">
        <f>(Unit.TWh)*1.22</f>
        <v>1.22</v>
      </c>
      <c r="G27" s="59">
        <f>(Unit.TWh)*1.20724324324324</f>
        <v>1.2072432432432401</v>
      </c>
      <c r="H27" s="59">
        <f>(Unit.TWh)*1.17535135135135</f>
        <v>1.17535135135135</v>
      </c>
      <c r="I27" s="59">
        <f>(Unit.TWh)*1.14345945945946</f>
        <v>1.14345945945946</v>
      </c>
      <c r="J27" s="59">
        <f>(Unit.TWh)*1.11156756756757</f>
        <v>1.11156756756757</v>
      </c>
      <c r="K27" s="59">
        <f>(Unit.TWh)*1.07967567567568</f>
        <v>1.07967567567568</v>
      </c>
      <c r="L27" s="59">
        <f>(Unit.TWh)*1.04778378378378</f>
        <v>1.04778378378378</v>
      </c>
      <c r="M27" s="59">
        <f>(Unit.TWh)*1.01589189189189</f>
        <v>1.01589189189189</v>
      </c>
      <c r="N27" s="59">
        <f>(Unit.TWh)*0.984</f>
        <v>0.98399999999999999</v>
      </c>
      <c r="O27" s="885"/>
      <c r="P27" s="400">
        <f>(N27-F27)/F27</f>
        <v>-0.19344262295081965</v>
      </c>
      <c r="Q27" s="1361"/>
    </row>
    <row r="28" spans="2:17" ht="15.75">
      <c r="B28" s="55"/>
      <c r="C28" s="896">
        <v>4</v>
      </c>
      <c r="D28" s="897"/>
      <c r="E28" s="897"/>
      <c r="F28" s="1023">
        <f>(Unit.TWh)*1.22</f>
        <v>1.22</v>
      </c>
      <c r="G28" s="1023">
        <f>(Unit.TWh)*1.20391891891892</f>
        <v>1.2039189189189199</v>
      </c>
      <c r="H28" s="1023">
        <f>(Unit.TWh)*1.16371621621622</f>
        <v>1.16371621621622</v>
      </c>
      <c r="I28" s="1023">
        <f>(Unit.TWh)*1.12351351351351</f>
        <v>1.1235135135135099</v>
      </c>
      <c r="J28" s="1023">
        <f>(Unit.TWh)*1.08331081081081</f>
        <v>1.08331081081081</v>
      </c>
      <c r="K28" s="1023">
        <f>(Unit.TWh)*1.04310810810811</f>
        <v>1.0431081081081099</v>
      </c>
      <c r="L28" s="1023">
        <f>(Unit.TWh)*1.00290540540541</f>
        <v>1.0029054054054101</v>
      </c>
      <c r="M28" s="1023">
        <f>(Unit.TWh)*0.962702702702703</f>
        <v>0.96270270270270297</v>
      </c>
      <c r="N28" s="1023">
        <f>(Unit.TWh)*0.9225</f>
        <v>0.92249999999999999</v>
      </c>
      <c r="O28" s="885"/>
      <c r="P28" s="400">
        <f>(N28-F28)/F28</f>
        <v>-0.24385245901639344</v>
      </c>
      <c r="Q28" s="1361"/>
    </row>
    <row r="29" spans="2:17" ht="15.75">
      <c r="B29" s="55"/>
      <c r="C29" s="65"/>
      <c r="D29" s="108"/>
      <c r="E29" s="108"/>
      <c r="F29" s="59"/>
      <c r="G29" s="1226"/>
      <c r="H29" s="1226"/>
      <c r="I29" s="1226"/>
      <c r="J29" s="1226"/>
      <c r="K29" s="1226"/>
      <c r="L29" s="1226"/>
      <c r="M29" s="1226"/>
      <c r="N29" s="1226"/>
      <c r="O29" s="885"/>
    </row>
    <row r="30" spans="2:17" ht="15.75">
      <c r="B30" s="55"/>
      <c r="C30" s="89" t="s">
        <v>3140</v>
      </c>
      <c r="D30" s="108"/>
      <c r="E30" s="108"/>
      <c r="F30" s="59"/>
      <c r="G30" s="1226"/>
      <c r="H30" s="1226"/>
      <c r="I30" s="1226"/>
      <c r="J30" s="1226"/>
      <c r="K30" s="1226"/>
      <c r="L30" s="1226"/>
      <c r="M30" s="1226"/>
      <c r="N30" s="1226"/>
      <c r="O30" s="1226"/>
    </row>
    <row r="31" spans="2:17" ht="21">
      <c r="B31" s="55"/>
      <c r="C31" s="65"/>
      <c r="D31" s="108"/>
      <c r="E31" s="108"/>
      <c r="F31" s="59"/>
      <c r="G31" s="1272" t="s">
        <v>86</v>
      </c>
      <c r="H31" s="1272" t="s">
        <v>90</v>
      </c>
      <c r="I31" s="1226"/>
      <c r="J31" s="1226"/>
      <c r="K31" s="1226"/>
      <c r="L31" s="1226"/>
      <c r="M31" s="1226"/>
      <c r="N31" s="1226"/>
      <c r="O31" s="1226"/>
    </row>
    <row r="32" spans="2:17" ht="15.75">
      <c r="B32" s="55"/>
      <c r="C32" s="887" t="s">
        <v>8</v>
      </c>
      <c r="D32" s="887" t="s">
        <v>72</v>
      </c>
      <c r="E32" s="887" t="s">
        <v>30</v>
      </c>
      <c r="F32" s="888" t="s">
        <v>1005</v>
      </c>
      <c r="G32" s="1362" t="s">
        <v>96</v>
      </c>
      <c r="H32" s="1362" t="s">
        <v>100</v>
      </c>
      <c r="I32" s="1226"/>
      <c r="J32" s="1226"/>
      <c r="K32" s="1226"/>
      <c r="L32" s="1226"/>
      <c r="M32" s="1226"/>
      <c r="N32" s="1226"/>
      <c r="O32" s="1226"/>
    </row>
    <row r="33" spans="1:16" ht="15.75">
      <c r="B33" s="55"/>
      <c r="C33" s="65">
        <v>1</v>
      </c>
      <c r="D33" s="108" t="s">
        <v>1006</v>
      </c>
      <c r="E33" s="1267"/>
      <c r="F33" s="1363"/>
      <c r="G33" s="93">
        <f>$F$45</f>
        <v>0.6</v>
      </c>
      <c r="H33" s="93">
        <f>$F$46</f>
        <v>0.4</v>
      </c>
      <c r="I33" s="1226"/>
      <c r="J33" s="1226"/>
      <c r="K33" s="1226"/>
      <c r="L33" s="1226"/>
      <c r="M33" s="1226"/>
      <c r="N33" s="1226"/>
      <c r="O33" s="1226"/>
    </row>
    <row r="34" spans="1:16" ht="15.75">
      <c r="B34" s="55"/>
      <c r="C34" s="926">
        <v>2</v>
      </c>
      <c r="D34" s="199" t="s">
        <v>1007</v>
      </c>
      <c r="E34" s="199"/>
      <c r="F34" s="1748"/>
      <c r="G34" s="147">
        <v>1</v>
      </c>
      <c r="H34" s="147">
        <v>0</v>
      </c>
      <c r="I34" s="1226"/>
      <c r="J34" s="1226"/>
      <c r="K34" s="1226"/>
      <c r="L34" s="1226"/>
      <c r="M34" s="1226"/>
      <c r="N34" s="1226"/>
      <c r="O34" s="1226"/>
    </row>
    <row r="35" spans="1:16" ht="15.75">
      <c r="B35" s="55"/>
      <c r="C35" s="65"/>
      <c r="D35" s="108"/>
      <c r="E35" s="108"/>
      <c r="F35" s="59"/>
      <c r="G35" s="1226"/>
      <c r="H35" s="1226"/>
      <c r="I35" s="1226"/>
      <c r="J35" s="1226"/>
      <c r="K35" s="1226"/>
      <c r="L35" s="1226"/>
      <c r="M35" s="1226"/>
      <c r="N35" s="1226"/>
      <c r="O35" s="1226"/>
    </row>
    <row r="36" spans="1:16" ht="15.75">
      <c r="B36" s="55"/>
      <c r="C36" s="3886" t="s">
        <v>64</v>
      </c>
      <c r="D36" s="108"/>
      <c r="E36" s="108"/>
      <c r="F36" s="59"/>
      <c r="G36" s="1226"/>
      <c r="H36" s="1226"/>
      <c r="I36" s="1226"/>
      <c r="J36" s="1226"/>
      <c r="K36" s="1226"/>
      <c r="L36" s="1226"/>
      <c r="M36" s="1226"/>
      <c r="N36" s="1226"/>
      <c r="O36" s="1226"/>
    </row>
    <row r="37" spans="1:16">
      <c r="B37" s="45"/>
      <c r="C37" s="929" t="s">
        <v>65</v>
      </c>
      <c r="D37" s="3866" t="s">
        <v>3270</v>
      </c>
      <c r="E37" s="67"/>
      <c r="F37" s="67"/>
      <c r="G37" s="67"/>
      <c r="H37" s="67"/>
      <c r="I37" s="67"/>
      <c r="J37" s="67"/>
      <c r="K37" s="67"/>
      <c r="L37" s="67"/>
      <c r="M37" s="67"/>
      <c r="N37" s="67"/>
      <c r="O37" s="67"/>
    </row>
    <row r="38" spans="1:16" ht="15.75">
      <c r="B38" s="1106"/>
      <c r="C38" s="1107"/>
      <c r="D38" s="3866" t="s">
        <v>3137</v>
      </c>
      <c r="E38" s="1269"/>
      <c r="F38" s="113"/>
      <c r="G38" s="1270"/>
      <c r="H38" s="1270"/>
      <c r="I38" s="1270"/>
      <c r="J38" s="1270"/>
      <c r="K38" s="1270"/>
      <c r="L38" s="1270"/>
      <c r="M38" s="1270"/>
      <c r="N38" s="1270"/>
      <c r="O38" s="1270"/>
    </row>
    <row r="40" spans="1:16" s="6" customFormat="1" ht="23.25">
      <c r="A40" s="40"/>
      <c r="B40" s="878" t="s">
        <v>70</v>
      </c>
      <c r="C40" s="879"/>
      <c r="D40" s="879"/>
      <c r="E40" s="879"/>
      <c r="F40" s="879"/>
      <c r="G40" s="879"/>
      <c r="H40" s="879"/>
      <c r="I40" s="879"/>
      <c r="J40" s="879"/>
      <c r="K40" s="879"/>
      <c r="L40" s="879"/>
      <c r="M40" s="879"/>
      <c r="N40" s="879"/>
      <c r="O40" s="879"/>
    </row>
    <row r="41" spans="1:16">
      <c r="B41" s="110"/>
      <c r="C41" s="67"/>
      <c r="D41" s="67"/>
      <c r="E41" s="67"/>
      <c r="F41" s="67"/>
      <c r="G41" s="67"/>
      <c r="H41" s="67"/>
      <c r="I41" s="67"/>
      <c r="J41" s="67"/>
      <c r="K41" s="67"/>
      <c r="L41" s="67"/>
      <c r="M41" s="67"/>
      <c r="N41" s="67"/>
      <c r="O41" s="67"/>
    </row>
    <row r="42" spans="1:16">
      <c r="B42" s="110"/>
      <c r="C42" s="49" t="s">
        <v>1352</v>
      </c>
      <c r="D42" s="67"/>
      <c r="E42" s="50"/>
      <c r="F42" s="51" t="s">
        <v>1009</v>
      </c>
      <c r="G42" s="67"/>
      <c r="H42" s="67"/>
      <c r="I42" s="67"/>
      <c r="J42" s="67"/>
      <c r="K42" s="67"/>
      <c r="L42" s="67"/>
      <c r="M42" s="67"/>
      <c r="N42" s="67"/>
      <c r="O42" s="51"/>
    </row>
    <row r="43" spans="1:16">
      <c r="B43" s="110"/>
      <c r="C43" s="67"/>
      <c r="D43" s="67"/>
      <c r="E43" s="67"/>
      <c r="F43" s="67"/>
      <c r="G43" s="67"/>
      <c r="H43" s="67"/>
      <c r="I43" s="67"/>
      <c r="J43" s="67"/>
      <c r="K43" s="67"/>
      <c r="L43" s="67"/>
      <c r="M43" s="67"/>
      <c r="N43" s="67"/>
      <c r="O43" s="67"/>
    </row>
    <row r="44" spans="1:16" ht="18.75">
      <c r="B44" s="1749"/>
      <c r="C44" s="887" t="s">
        <v>28</v>
      </c>
      <c r="D44" s="887" t="s">
        <v>1353</v>
      </c>
      <c r="E44" s="887" t="s">
        <v>30</v>
      </c>
      <c r="F44" s="92">
        <v>2013</v>
      </c>
      <c r="G44" s="920"/>
      <c r="H44" s="920"/>
      <c r="I44" s="920"/>
      <c r="J44" s="920"/>
      <c r="K44" s="920"/>
      <c r="L44" s="920"/>
      <c r="M44" s="920"/>
      <c r="N44" s="920"/>
      <c r="O44" s="920"/>
    </row>
    <row r="45" spans="1:16" ht="18.75">
      <c r="B45" s="1749"/>
      <c r="C45" s="65" t="s">
        <v>96</v>
      </c>
      <c r="D45" s="108" t="s">
        <v>86</v>
      </c>
      <c r="E45" s="1267"/>
      <c r="F45" s="93">
        <v>0.6</v>
      </c>
      <c r="G45" s="93"/>
      <c r="H45" s="93"/>
      <c r="I45" s="93"/>
      <c r="J45" s="93"/>
      <c r="K45" s="93"/>
      <c r="L45" s="93"/>
      <c r="M45" s="93"/>
      <c r="N45" s="93"/>
      <c r="O45" s="93"/>
    </row>
    <row r="46" spans="1:16" ht="18.75">
      <c r="B46" s="1749"/>
      <c r="C46" s="896" t="s">
        <v>100</v>
      </c>
      <c r="D46" s="897" t="s">
        <v>90</v>
      </c>
      <c r="E46" s="897"/>
      <c r="F46" s="98">
        <v>0.4</v>
      </c>
      <c r="G46" s="190"/>
      <c r="H46" s="190"/>
      <c r="I46" s="190"/>
      <c r="J46" s="190"/>
      <c r="K46" s="190"/>
      <c r="L46" s="190"/>
      <c r="M46" s="190"/>
      <c r="N46" s="190"/>
      <c r="O46" s="190"/>
    </row>
    <row r="47" spans="1:16" s="927" customFormat="1">
      <c r="B47" s="1279"/>
      <c r="C47" s="1280"/>
      <c r="D47" s="1159"/>
      <c r="E47" s="1281"/>
      <c r="F47" s="1281"/>
      <c r="G47" s="1281"/>
      <c r="H47" s="1281"/>
      <c r="I47" s="1281"/>
      <c r="J47" s="1281"/>
      <c r="K47" s="1281"/>
      <c r="L47" s="1281"/>
      <c r="M47" s="1281"/>
      <c r="N47" s="1281"/>
      <c r="O47" s="1750"/>
    </row>
    <row r="48" spans="1:16">
      <c r="B48" s="110"/>
      <c r="C48" s="49" t="s">
        <v>798</v>
      </c>
      <c r="D48" s="67"/>
      <c r="E48" s="67"/>
      <c r="F48" s="67"/>
      <c r="G48" s="67"/>
      <c r="H48" s="67"/>
      <c r="I48" s="67"/>
      <c r="J48" s="67"/>
      <c r="K48" s="67"/>
      <c r="L48" s="67"/>
      <c r="M48" s="67"/>
      <c r="N48" s="944" t="str">
        <f>"kt per "&amp;Preferences.EnergyUnits</f>
        <v>kt per TWh</v>
      </c>
      <c r="O48" s="885"/>
      <c r="P48" t="s">
        <v>5</v>
      </c>
    </row>
    <row r="49" spans="2:15">
      <c r="B49" s="110"/>
      <c r="C49" s="67"/>
      <c r="D49" s="67"/>
      <c r="E49" s="1364"/>
      <c r="F49" s="67"/>
      <c r="G49" s="67"/>
      <c r="H49" s="67"/>
      <c r="I49" s="67"/>
      <c r="J49" s="67"/>
      <c r="K49" s="67"/>
      <c r="L49" s="67"/>
      <c r="M49" s="67"/>
      <c r="N49" s="67"/>
      <c r="O49" s="885"/>
    </row>
    <row r="50" spans="2:15">
      <c r="B50" s="110"/>
      <c r="C50" s="1366" t="s">
        <v>44</v>
      </c>
      <c r="D50" s="1366" t="s">
        <v>1010</v>
      </c>
      <c r="E50" s="1367" t="s">
        <v>45</v>
      </c>
      <c r="F50" s="1368">
        <v>2013</v>
      </c>
      <c r="G50" s="1368" t="s">
        <v>133</v>
      </c>
      <c r="H50" s="1368" t="s">
        <v>134</v>
      </c>
      <c r="I50" s="1368" t="s">
        <v>135</v>
      </c>
      <c r="J50" s="1368" t="s">
        <v>136</v>
      </c>
      <c r="K50" s="1368" t="s">
        <v>137</v>
      </c>
      <c r="L50" s="1368" t="s">
        <v>138</v>
      </c>
      <c r="M50" s="1368" t="s">
        <v>139</v>
      </c>
      <c r="N50" s="1369" t="s">
        <v>140</v>
      </c>
      <c r="O50" s="885"/>
    </row>
    <row r="51" spans="2:15">
      <c r="B51" s="110"/>
      <c r="C51" s="1370" t="s">
        <v>472</v>
      </c>
      <c r="D51" s="1371" t="s">
        <v>1354</v>
      </c>
      <c r="E51" s="1372" t="s">
        <v>90</v>
      </c>
      <c r="F51" s="3679">
        <f t="shared" ref="F51:N51" si="0">0.0000018*(1/Unit.GWh)</f>
        <v>1.8E-3</v>
      </c>
      <c r="G51" s="3679">
        <f t="shared" si="0"/>
        <v>1.8E-3</v>
      </c>
      <c r="H51" s="3679">
        <f t="shared" si="0"/>
        <v>1.8E-3</v>
      </c>
      <c r="I51" s="3679">
        <f t="shared" si="0"/>
        <v>1.8E-3</v>
      </c>
      <c r="J51" s="3679">
        <f t="shared" si="0"/>
        <v>1.8E-3</v>
      </c>
      <c r="K51" s="3679">
        <f t="shared" si="0"/>
        <v>1.8E-3</v>
      </c>
      <c r="L51" s="3679">
        <f t="shared" si="0"/>
        <v>1.8E-3</v>
      </c>
      <c r="M51" s="3679">
        <f t="shared" si="0"/>
        <v>1.8E-3</v>
      </c>
      <c r="N51" s="2457">
        <f t="shared" si="0"/>
        <v>1.8E-3</v>
      </c>
      <c r="O51" s="885"/>
    </row>
    <row r="52" spans="2:15">
      <c r="B52" s="110"/>
      <c r="C52" s="67"/>
      <c r="D52" s="67"/>
      <c r="E52" s="67"/>
      <c r="F52" s="67"/>
      <c r="G52" s="67"/>
      <c r="H52" s="67"/>
      <c r="I52" s="67"/>
      <c r="J52" s="67"/>
      <c r="K52" s="67"/>
      <c r="L52" s="67"/>
      <c r="M52" s="67"/>
      <c r="N52" s="67"/>
      <c r="O52" s="885"/>
    </row>
    <row r="53" spans="2:15">
      <c r="B53" s="110"/>
      <c r="C53" s="49" t="s">
        <v>800</v>
      </c>
      <c r="D53" s="67"/>
      <c r="E53" s="67"/>
      <c r="F53" s="67"/>
      <c r="G53" s="67"/>
      <c r="H53" s="67"/>
      <c r="I53" s="67"/>
      <c r="J53" s="67"/>
      <c r="K53" s="67"/>
      <c r="L53" s="67"/>
      <c r="M53" s="67"/>
      <c r="N53" s="944" t="str">
        <f>"kt per "&amp;Preferences.EnergyUnits</f>
        <v>kt per TWh</v>
      </c>
      <c r="O53" s="885"/>
    </row>
    <row r="54" spans="2:15">
      <c r="B54" s="110"/>
      <c r="C54" s="67"/>
      <c r="D54" s="67"/>
      <c r="E54" s="1364"/>
      <c r="F54" s="67"/>
      <c r="G54" s="67"/>
      <c r="H54" s="67"/>
      <c r="I54" s="67"/>
      <c r="J54" s="67"/>
      <c r="K54" s="67"/>
      <c r="L54" s="67"/>
      <c r="M54" s="67"/>
      <c r="N54" s="67"/>
      <c r="O54" s="885"/>
    </row>
    <row r="55" spans="2:15">
      <c r="B55" s="110"/>
      <c r="C55" s="1366" t="s">
        <v>44</v>
      </c>
      <c r="D55" s="1366" t="s">
        <v>1010</v>
      </c>
      <c r="E55" s="1367" t="s">
        <v>45</v>
      </c>
      <c r="F55" s="1368">
        <v>2013</v>
      </c>
      <c r="G55" s="1368" t="s">
        <v>133</v>
      </c>
      <c r="H55" s="1368" t="s">
        <v>134</v>
      </c>
      <c r="I55" s="1368" t="s">
        <v>135</v>
      </c>
      <c r="J55" s="1368" t="s">
        <v>136</v>
      </c>
      <c r="K55" s="1368" t="s">
        <v>137</v>
      </c>
      <c r="L55" s="1368" t="s">
        <v>138</v>
      </c>
      <c r="M55" s="1368" t="s">
        <v>139</v>
      </c>
      <c r="N55" s="1369" t="s">
        <v>140</v>
      </c>
      <c r="O55" s="885"/>
    </row>
    <row r="56" spans="2:15">
      <c r="B56" s="110"/>
      <c r="C56" s="1370" t="s">
        <v>472</v>
      </c>
      <c r="D56" s="1371" t="s">
        <v>1354</v>
      </c>
      <c r="E56" s="1372" t="s">
        <v>90</v>
      </c>
      <c r="F56" s="3679">
        <f t="shared" ref="F56:N56" si="1">0.000252*(1/Unit.GWh)</f>
        <v>0.252</v>
      </c>
      <c r="G56" s="3679">
        <f t="shared" si="1"/>
        <v>0.252</v>
      </c>
      <c r="H56" s="3679">
        <f t="shared" si="1"/>
        <v>0.252</v>
      </c>
      <c r="I56" s="3679">
        <f t="shared" si="1"/>
        <v>0.252</v>
      </c>
      <c r="J56" s="3679">
        <f t="shared" si="1"/>
        <v>0.252</v>
      </c>
      <c r="K56" s="3679">
        <f t="shared" si="1"/>
        <v>0.252</v>
      </c>
      <c r="L56" s="3679">
        <f t="shared" si="1"/>
        <v>0.252</v>
      </c>
      <c r="M56" s="3679">
        <f t="shared" si="1"/>
        <v>0.252</v>
      </c>
      <c r="N56" s="2457">
        <f t="shared" si="1"/>
        <v>0.252</v>
      </c>
      <c r="O56" s="885"/>
    </row>
    <row r="57" spans="2:15">
      <c r="B57" s="110"/>
      <c r="C57" s="67"/>
      <c r="D57" s="67"/>
      <c r="E57" s="67"/>
      <c r="F57" s="67"/>
      <c r="G57" s="67"/>
      <c r="H57" s="67"/>
      <c r="I57" s="67"/>
      <c r="J57" s="67"/>
      <c r="K57" s="67"/>
      <c r="L57" s="67"/>
      <c r="M57" s="67"/>
      <c r="N57" s="67"/>
      <c r="O57" s="885"/>
    </row>
    <row r="58" spans="2:15">
      <c r="B58" s="110"/>
      <c r="C58" s="49" t="s">
        <v>801</v>
      </c>
      <c r="D58" s="67"/>
      <c r="E58" s="67"/>
      <c r="F58" s="67"/>
      <c r="G58" s="67"/>
      <c r="H58" s="67"/>
      <c r="I58" s="67"/>
      <c r="J58" s="67"/>
      <c r="K58" s="67"/>
      <c r="L58" s="67"/>
      <c r="M58" s="67"/>
      <c r="N58" s="944" t="str">
        <f>"kt per "&amp;Preferences.EnergyUnits</f>
        <v>kt per TWh</v>
      </c>
      <c r="O58" s="885"/>
    </row>
    <row r="59" spans="2:15">
      <c r="B59" s="110"/>
      <c r="C59" s="67"/>
      <c r="D59" s="67"/>
      <c r="E59" s="1364"/>
      <c r="F59" s="67"/>
      <c r="G59" s="67"/>
      <c r="H59" s="67"/>
      <c r="I59" s="67"/>
      <c r="J59" s="67"/>
      <c r="K59" s="67"/>
      <c r="L59" s="67"/>
      <c r="M59" s="67"/>
      <c r="N59" s="67"/>
      <c r="O59" s="885"/>
    </row>
    <row r="60" spans="2:15">
      <c r="B60" s="110"/>
      <c r="C60" s="1366" t="s">
        <v>44</v>
      </c>
      <c r="D60" s="1366" t="s">
        <v>1010</v>
      </c>
      <c r="E60" s="1367" t="s">
        <v>45</v>
      </c>
      <c r="F60" s="1368">
        <v>2013</v>
      </c>
      <c r="G60" s="1368" t="s">
        <v>133</v>
      </c>
      <c r="H60" s="1368" t="s">
        <v>134</v>
      </c>
      <c r="I60" s="1368" t="s">
        <v>135</v>
      </c>
      <c r="J60" s="1368" t="s">
        <v>136</v>
      </c>
      <c r="K60" s="1368" t="s">
        <v>137</v>
      </c>
      <c r="L60" s="1368" t="s">
        <v>138</v>
      </c>
      <c r="M60" s="1368" t="s">
        <v>139</v>
      </c>
      <c r="N60" s="1369" t="s">
        <v>140</v>
      </c>
      <c r="O60" s="885"/>
    </row>
    <row r="61" spans="2:15">
      <c r="B61" s="110"/>
      <c r="C61" s="1370" t="s">
        <v>472</v>
      </c>
      <c r="D61" s="1371" t="s">
        <v>1354</v>
      </c>
      <c r="E61" s="1372" t="s">
        <v>90</v>
      </c>
      <c r="F61" s="3679">
        <v>0</v>
      </c>
      <c r="G61" s="3679">
        <v>0</v>
      </c>
      <c r="H61" s="3679">
        <v>0</v>
      </c>
      <c r="I61" s="3679">
        <v>0</v>
      </c>
      <c r="J61" s="3679">
        <v>0</v>
      </c>
      <c r="K61" s="3679">
        <v>0</v>
      </c>
      <c r="L61" s="3679">
        <v>0</v>
      </c>
      <c r="M61" s="3679">
        <v>0</v>
      </c>
      <c r="N61" s="2457">
        <v>0</v>
      </c>
      <c r="O61" s="885"/>
    </row>
    <row r="62" spans="2:15">
      <c r="B62" s="110"/>
      <c r="C62" s="67"/>
      <c r="D62" s="67"/>
      <c r="E62" s="67"/>
      <c r="F62" s="67"/>
      <c r="G62" s="67"/>
      <c r="H62" s="67"/>
      <c r="I62" s="67"/>
      <c r="J62" s="67"/>
      <c r="K62" s="67"/>
      <c r="L62" s="67"/>
      <c r="M62" s="67"/>
      <c r="N62" s="67"/>
      <c r="O62" s="885"/>
    </row>
    <row r="63" spans="2:15">
      <c r="B63" s="110"/>
      <c r="C63" s="49" t="s">
        <v>802</v>
      </c>
      <c r="D63" s="67"/>
      <c r="E63" s="67"/>
      <c r="F63" s="67"/>
      <c r="G63" s="67"/>
      <c r="H63" s="67"/>
      <c r="I63" s="67"/>
      <c r="J63" s="67"/>
      <c r="K63" s="67"/>
      <c r="L63" s="67"/>
      <c r="M63" s="67"/>
      <c r="N63" s="944" t="str">
        <f>"kt per "&amp;Preferences.EnergyUnits</f>
        <v>kt per TWh</v>
      </c>
      <c r="O63" s="885"/>
    </row>
    <row r="64" spans="2:15">
      <c r="B64" s="110"/>
      <c r="C64" s="67"/>
      <c r="D64" s="67"/>
      <c r="E64" s="1364"/>
      <c r="F64" s="67"/>
      <c r="G64" s="67"/>
      <c r="H64" s="67"/>
      <c r="I64" s="67"/>
      <c r="J64" s="67"/>
      <c r="K64" s="67"/>
      <c r="L64" s="67"/>
      <c r="M64" s="67"/>
      <c r="N64" s="67"/>
      <c r="O64" s="885"/>
    </row>
    <row r="65" spans="1:25">
      <c r="B65" s="110"/>
      <c r="C65" s="1366" t="s">
        <v>44</v>
      </c>
      <c r="D65" s="1366" t="s">
        <v>1010</v>
      </c>
      <c r="E65" s="1367" t="s">
        <v>45</v>
      </c>
      <c r="F65" s="1368">
        <v>2013</v>
      </c>
      <c r="G65" s="1368" t="s">
        <v>133</v>
      </c>
      <c r="H65" s="1368" t="s">
        <v>134</v>
      </c>
      <c r="I65" s="1368" t="s">
        <v>135</v>
      </c>
      <c r="J65" s="1368" t="s">
        <v>136</v>
      </c>
      <c r="K65" s="1368" t="s">
        <v>137</v>
      </c>
      <c r="L65" s="1368" t="s">
        <v>138</v>
      </c>
      <c r="M65" s="1368" t="s">
        <v>139</v>
      </c>
      <c r="N65" s="1369" t="s">
        <v>140</v>
      </c>
      <c r="O65" s="885"/>
    </row>
    <row r="66" spans="1:25">
      <c r="B66" s="110"/>
      <c r="C66" s="1370" t="s">
        <v>472</v>
      </c>
      <c r="D66" s="1371" t="s">
        <v>1354</v>
      </c>
      <c r="E66" s="1372" t="s">
        <v>90</v>
      </c>
      <c r="F66" s="3679">
        <f t="shared" ref="F66:N66" si="2">0.000036*(1/Unit.GWh)</f>
        <v>3.6000000000000004E-2</v>
      </c>
      <c r="G66" s="3679">
        <f t="shared" si="2"/>
        <v>3.6000000000000004E-2</v>
      </c>
      <c r="H66" s="3679">
        <f t="shared" si="2"/>
        <v>3.6000000000000004E-2</v>
      </c>
      <c r="I66" s="3679">
        <f t="shared" si="2"/>
        <v>3.6000000000000004E-2</v>
      </c>
      <c r="J66" s="3679">
        <f t="shared" si="2"/>
        <v>3.6000000000000004E-2</v>
      </c>
      <c r="K66" s="3679">
        <f t="shared" si="2"/>
        <v>3.6000000000000004E-2</v>
      </c>
      <c r="L66" s="3679">
        <f t="shared" si="2"/>
        <v>3.6000000000000004E-2</v>
      </c>
      <c r="M66" s="3679">
        <f t="shared" si="2"/>
        <v>3.6000000000000004E-2</v>
      </c>
      <c r="N66" s="2457">
        <f t="shared" si="2"/>
        <v>3.6000000000000004E-2</v>
      </c>
      <c r="O66" s="885"/>
    </row>
    <row r="67" spans="1:25">
      <c r="B67" s="110"/>
      <c r="C67" s="67"/>
      <c r="D67" s="67"/>
      <c r="E67" s="67"/>
      <c r="F67" s="67"/>
      <c r="G67" s="67"/>
      <c r="H67" s="67"/>
      <c r="I67" s="67"/>
      <c r="J67" s="67"/>
      <c r="K67" s="67"/>
      <c r="L67" s="67"/>
      <c r="M67" s="67"/>
      <c r="N67" s="67"/>
      <c r="O67" s="885"/>
    </row>
    <row r="68" spans="1:25">
      <c r="B68" s="110"/>
      <c r="C68" s="3862" t="s">
        <v>64</v>
      </c>
      <c r="D68" s="3864" t="s">
        <v>1355</v>
      </c>
      <c r="E68" s="67"/>
      <c r="F68" s="67"/>
      <c r="G68" s="67"/>
      <c r="H68" s="67"/>
      <c r="I68" s="67"/>
      <c r="J68" s="67"/>
      <c r="K68" s="67" t="s">
        <v>5</v>
      </c>
      <c r="L68" s="67"/>
      <c r="M68" s="67"/>
      <c r="N68" s="67"/>
      <c r="O68" s="885"/>
      <c r="W68" s="39"/>
      <c r="X68" s="39"/>
      <c r="Y68" s="39"/>
    </row>
    <row r="69" spans="1:25" s="927" customFormat="1">
      <c r="B69" s="1279"/>
      <c r="C69" s="1280"/>
      <c r="D69" s="1159"/>
      <c r="E69" s="1281"/>
      <c r="F69" s="1281"/>
      <c r="G69" s="1281"/>
      <c r="H69" s="1281"/>
      <c r="I69" s="1281"/>
      <c r="J69" s="1281"/>
      <c r="K69" s="1281"/>
      <c r="L69" s="1281"/>
      <c r="M69" s="1281"/>
      <c r="N69" s="1281"/>
      <c r="O69" s="1282"/>
      <c r="W69" s="1309"/>
      <c r="X69" s="1309"/>
      <c r="Y69" s="1309"/>
    </row>
    <row r="70" spans="1:25" s="927" customFormat="1" ht="11.25">
      <c r="W70" s="1309"/>
      <c r="X70" s="1309"/>
      <c r="Y70" s="1309"/>
    </row>
    <row r="71" spans="1:25" s="927" customFormat="1" ht="15.75">
      <c r="B71" s="878" t="s">
        <v>2794</v>
      </c>
      <c r="C71" s="1283"/>
      <c r="D71" s="1283"/>
      <c r="E71" s="1283"/>
      <c r="F71" s="1283"/>
      <c r="G71" s="1283"/>
      <c r="H71" s="1283"/>
      <c r="I71" s="1283"/>
      <c r="J71" s="1283"/>
      <c r="K71" s="1283"/>
      <c r="L71" s="1283"/>
      <c r="M71" s="1283"/>
      <c r="N71" s="1283"/>
      <c r="O71" s="1284"/>
      <c r="W71" s="1309"/>
      <c r="X71" s="1309"/>
      <c r="Y71" s="1309"/>
    </row>
    <row r="72" spans="1:25" hidden="1">
      <c r="A72" s="927"/>
      <c r="B72" s="110"/>
      <c r="C72" s="67"/>
      <c r="D72" s="67"/>
      <c r="E72" s="67"/>
      <c r="F72" s="67"/>
      <c r="G72" s="67"/>
      <c r="H72" s="67"/>
      <c r="I72" s="67"/>
      <c r="J72" s="67"/>
      <c r="K72" s="67"/>
      <c r="L72" s="67"/>
      <c r="M72" s="67"/>
      <c r="N72" s="67"/>
      <c r="O72" s="885"/>
      <c r="P72" s="927"/>
      <c r="Q72" s="927"/>
      <c r="R72" s="927"/>
      <c r="W72" s="86"/>
      <c r="X72" s="86"/>
      <c r="Y72" s="39"/>
    </row>
    <row r="73" spans="1:25" hidden="1">
      <c r="A73" s="927"/>
      <c r="B73" s="110"/>
      <c r="C73" s="49" t="s">
        <v>2837</v>
      </c>
      <c r="D73" s="67"/>
      <c r="E73" s="51"/>
      <c r="F73" s="67"/>
      <c r="G73" s="67"/>
      <c r="H73" s="67"/>
      <c r="I73" s="67"/>
      <c r="J73" s="67"/>
      <c r="K73" s="67"/>
      <c r="L73" s="67"/>
      <c r="M73" s="67"/>
      <c r="N73" s="67"/>
      <c r="O73" s="885"/>
      <c r="P73" s="927"/>
      <c r="Q73" s="927"/>
      <c r="R73" s="927"/>
      <c r="W73" s="39"/>
      <c r="X73" s="39"/>
      <c r="Y73" s="39"/>
    </row>
    <row r="74" spans="1:25" hidden="1">
      <c r="B74" s="110"/>
      <c r="C74" s="49"/>
      <c r="D74" s="67"/>
      <c r="E74" s="51"/>
      <c r="F74" s="67"/>
      <c r="G74" s="67"/>
      <c r="H74" s="67"/>
      <c r="I74" s="67"/>
      <c r="J74" s="67"/>
      <c r="K74" s="67"/>
      <c r="L74" s="67"/>
      <c r="M74" s="67"/>
      <c r="N74" s="67"/>
      <c r="O74" s="885"/>
      <c r="R74" s="927"/>
      <c r="W74" s="39"/>
      <c r="X74" s="39"/>
      <c r="Y74" s="39"/>
    </row>
    <row r="75" spans="1:25" hidden="1">
      <c r="B75" s="110"/>
      <c r="C75" s="1751" t="s">
        <v>1356</v>
      </c>
      <c r="D75" s="1751" t="s">
        <v>20</v>
      </c>
      <c r="E75" s="1751" t="s">
        <v>22</v>
      </c>
      <c r="F75" s="1103" t="s">
        <v>1357</v>
      </c>
      <c r="G75" s="51"/>
      <c r="H75" s="67"/>
      <c r="I75" s="67"/>
      <c r="J75" s="67"/>
      <c r="K75" s="67"/>
      <c r="L75" s="67"/>
      <c r="M75" s="67"/>
      <c r="N75" s="67"/>
      <c r="O75" s="885"/>
      <c r="Q75" s="39"/>
      <c r="R75" s="927"/>
      <c r="W75" s="39"/>
      <c r="X75" s="39"/>
      <c r="Y75" s="39"/>
    </row>
    <row r="76" spans="1:25" hidden="1">
      <c r="B76" s="110"/>
      <c r="C76" s="1752">
        <v>1</v>
      </c>
      <c r="D76" s="1752">
        <v>0</v>
      </c>
      <c r="E76" s="1753">
        <v>0</v>
      </c>
      <c r="F76" s="1754">
        <v>0</v>
      </c>
      <c r="G76" s="51"/>
      <c r="H76" s="67"/>
      <c r="I76" s="67"/>
      <c r="J76" s="67"/>
      <c r="K76" s="67"/>
      <c r="L76" s="67"/>
      <c r="M76" s="67"/>
      <c r="N76" s="67"/>
      <c r="O76" s="885"/>
      <c r="Q76" s="39"/>
      <c r="R76" s="927"/>
      <c r="W76" s="39"/>
      <c r="X76" s="39"/>
      <c r="Y76" s="39"/>
    </row>
    <row r="77" spans="1:25" hidden="1">
      <c r="B77" s="110"/>
      <c r="C77" s="1167">
        <v>2</v>
      </c>
      <c r="D77" s="1755">
        <v>95.059011999999996</v>
      </c>
      <c r="E77" s="1755">
        <v>329.48567600000001</v>
      </c>
      <c r="F77" s="1756">
        <v>177.10834439999999</v>
      </c>
      <c r="G77" s="51"/>
      <c r="H77" s="67"/>
      <c r="I77" s="67"/>
      <c r="J77" s="67"/>
      <c r="K77" s="67"/>
      <c r="L77" s="67"/>
      <c r="M77" s="67"/>
      <c r="N77" s="67"/>
      <c r="O77" s="885"/>
      <c r="Q77" s="39"/>
      <c r="R77" s="927"/>
    </row>
    <row r="78" spans="1:25" hidden="1">
      <c r="B78" s="110"/>
      <c r="C78" s="1167">
        <v>3</v>
      </c>
      <c r="D78" s="1755">
        <v>310.68899699999997</v>
      </c>
      <c r="E78" s="1755">
        <v>621.37799399999994</v>
      </c>
      <c r="F78" s="1756">
        <v>419.43014594999994</v>
      </c>
      <c r="G78" s="51"/>
      <c r="H78" s="67"/>
      <c r="I78" s="67"/>
      <c r="J78" s="67"/>
      <c r="K78" s="67"/>
      <c r="L78" s="67"/>
      <c r="M78" s="67"/>
      <c r="N78" s="67"/>
      <c r="O78" s="885"/>
      <c r="Q78" s="39"/>
      <c r="R78" s="927"/>
    </row>
    <row r="79" spans="1:25" hidden="1">
      <c r="B79" s="110"/>
      <c r="C79" s="1757">
        <v>4</v>
      </c>
      <c r="D79" s="1758">
        <v>329.48567600000001</v>
      </c>
      <c r="E79" s="1758">
        <v>658.97135200000002</v>
      </c>
      <c r="F79" s="1759">
        <v>444.80566260000001</v>
      </c>
      <c r="G79" s="51"/>
      <c r="H79" s="67"/>
      <c r="I79" s="67"/>
      <c r="J79" s="67"/>
      <c r="K79" s="67"/>
      <c r="L79" s="67"/>
      <c r="M79" s="67"/>
      <c r="N79" s="67"/>
      <c r="O79" s="885"/>
      <c r="Q79" s="39"/>
      <c r="R79" s="927"/>
    </row>
    <row r="80" spans="1:25" hidden="1">
      <c r="B80" s="110"/>
      <c r="C80" s="49"/>
      <c r="D80" s="67"/>
      <c r="E80" s="51"/>
      <c r="F80" s="51"/>
      <c r="G80" s="51"/>
      <c r="H80" s="67"/>
      <c r="I80" s="67"/>
      <c r="J80" s="67"/>
      <c r="K80" s="67"/>
      <c r="L80" s="67"/>
      <c r="M80" s="67"/>
      <c r="N80" s="67"/>
      <c r="O80" s="885"/>
      <c r="R80" s="927"/>
    </row>
    <row r="81" spans="1:18" hidden="1">
      <c r="B81" s="110"/>
      <c r="C81" s="67" t="s">
        <v>30</v>
      </c>
      <c r="D81" s="67"/>
      <c r="E81" s="67"/>
      <c r="F81" s="67"/>
      <c r="G81" s="67"/>
      <c r="H81" s="67"/>
      <c r="I81" s="67"/>
      <c r="J81" s="67"/>
      <c r="K81" s="67"/>
      <c r="L81" s="67"/>
      <c r="M81" s="67"/>
      <c r="N81" s="67"/>
      <c r="O81" s="885"/>
      <c r="R81" s="927"/>
    </row>
    <row r="82" spans="1:18" hidden="1">
      <c r="B82" s="110"/>
      <c r="C82" s="104" t="s">
        <v>65</v>
      </c>
      <c r="D82" s="1618" t="s">
        <v>1358</v>
      </c>
      <c r="E82" s="67"/>
      <c r="F82" s="67"/>
      <c r="G82" s="67"/>
      <c r="H82" s="67"/>
      <c r="I82" s="67"/>
      <c r="J82" s="67"/>
      <c r="K82" s="67"/>
      <c r="L82" s="67"/>
      <c r="M82" s="67"/>
      <c r="N82" s="67"/>
      <c r="O82" s="885"/>
      <c r="R82" s="927"/>
    </row>
    <row r="83" spans="1:18" hidden="1">
      <c r="B83" s="110"/>
      <c r="C83" s="67"/>
      <c r="D83" s="67"/>
      <c r="E83" s="67"/>
      <c r="F83" s="67"/>
      <c r="G83" s="67"/>
      <c r="H83" s="67"/>
      <c r="I83" s="67"/>
      <c r="J83" s="67"/>
      <c r="K83" s="67"/>
      <c r="L83" s="67"/>
      <c r="M83" s="67"/>
      <c r="N83" s="67"/>
      <c r="O83" s="885"/>
      <c r="R83" s="927"/>
    </row>
    <row r="84" spans="1:18" hidden="1">
      <c r="R84" s="927"/>
    </row>
    <row r="85" spans="1:18">
      <c r="R85" s="927"/>
    </row>
    <row r="86" spans="1:18" ht="23.25">
      <c r="A86" s="7"/>
      <c r="B86" s="878" t="s">
        <v>178</v>
      </c>
      <c r="C86" s="1283"/>
      <c r="D86" s="1283"/>
      <c r="E86" s="1283"/>
      <c r="F86" s="1283"/>
      <c r="G86" s="1283"/>
      <c r="H86" s="1283"/>
      <c r="I86" s="1283"/>
      <c r="J86" s="1283"/>
      <c r="K86" s="1283"/>
      <c r="L86" s="1283"/>
      <c r="M86" s="1283"/>
      <c r="N86" s="1283"/>
      <c r="O86" s="1284"/>
    </row>
    <row r="87" spans="1:18">
      <c r="B87" s="110"/>
      <c r="C87" s="67"/>
      <c r="D87" s="67"/>
      <c r="E87" s="67"/>
      <c r="F87" s="67"/>
      <c r="G87" s="67"/>
      <c r="H87" s="67"/>
      <c r="I87" s="67"/>
      <c r="J87" s="67"/>
      <c r="K87" s="67"/>
      <c r="L87" s="67"/>
      <c r="M87" s="67"/>
      <c r="N87" s="67"/>
      <c r="O87" s="885"/>
    </row>
    <row r="88" spans="1:18">
      <c r="B88" s="110"/>
      <c r="C88" s="49" t="s">
        <v>1359</v>
      </c>
      <c r="D88" s="67"/>
      <c r="E88" s="67"/>
      <c r="F88" s="67"/>
      <c r="G88" s="67"/>
      <c r="H88" s="67"/>
      <c r="I88" s="67"/>
      <c r="J88" s="67"/>
      <c r="K88" s="67"/>
      <c r="L88" s="67"/>
      <c r="M88" s="67"/>
      <c r="N88" s="67"/>
      <c r="O88" s="885"/>
    </row>
    <row r="89" spans="1:18">
      <c r="B89" s="110"/>
      <c r="C89" s="49"/>
      <c r="D89" s="67"/>
      <c r="E89" s="67"/>
      <c r="F89" s="67"/>
      <c r="G89" s="67"/>
      <c r="H89" s="67"/>
      <c r="I89" s="67"/>
      <c r="J89" s="67"/>
      <c r="K89" s="67"/>
      <c r="L89" s="67"/>
      <c r="M89" s="67"/>
      <c r="N89" s="67"/>
      <c r="O89" s="885"/>
    </row>
    <row r="90" spans="1:18">
      <c r="B90" s="110"/>
      <c r="C90" s="887" t="s">
        <v>28</v>
      </c>
      <c r="D90" s="887" t="s">
        <v>72</v>
      </c>
      <c r="E90" s="887" t="s">
        <v>30</v>
      </c>
      <c r="F90" s="92">
        <v>2013</v>
      </c>
      <c r="G90" s="92">
        <v>2015</v>
      </c>
      <c r="H90" s="92">
        <v>2020</v>
      </c>
      <c r="I90" s="92">
        <v>2025</v>
      </c>
      <c r="J90" s="92">
        <v>2030</v>
      </c>
      <c r="K90" s="92">
        <v>2035</v>
      </c>
      <c r="L90" s="92">
        <v>2040</v>
      </c>
      <c r="M90" s="92">
        <v>2045</v>
      </c>
      <c r="N90" s="92">
        <v>2050</v>
      </c>
      <c r="O90" s="885"/>
    </row>
    <row r="91" spans="1:18">
      <c r="B91" s="110"/>
      <c r="C91" s="916"/>
      <c r="D91" s="917" t="s">
        <v>1360</v>
      </c>
      <c r="E91" s="1518"/>
      <c r="F91" s="1760">
        <f>F17-F110</f>
        <v>0</v>
      </c>
      <c r="G91" s="1760">
        <f t="shared" ref="G91:N91" si="3">(G17-F17)+(F110-G110)</f>
        <v>0</v>
      </c>
      <c r="H91" s="1760">
        <f t="shared" si="3"/>
        <v>0</v>
      </c>
      <c r="I91" s="1760">
        <f t="shared" si="3"/>
        <v>0</v>
      </c>
      <c r="J91" s="1760">
        <f t="shared" si="3"/>
        <v>0</v>
      </c>
      <c r="K91" s="1760">
        <f t="shared" si="3"/>
        <v>0</v>
      </c>
      <c r="L91" s="1760">
        <f t="shared" si="3"/>
        <v>0</v>
      </c>
      <c r="M91" s="1760">
        <f t="shared" si="3"/>
        <v>0</v>
      </c>
      <c r="N91" s="1760">
        <f t="shared" si="3"/>
        <v>0</v>
      </c>
      <c r="O91" s="885"/>
    </row>
    <row r="92" spans="1:18">
      <c r="B92" s="110"/>
      <c r="C92" s="67"/>
      <c r="D92" s="67"/>
      <c r="E92" s="67"/>
      <c r="F92" s="67"/>
      <c r="G92" s="1615"/>
      <c r="H92" s="1615"/>
      <c r="I92" s="1615"/>
      <c r="J92" s="1615"/>
      <c r="K92" s="1615"/>
      <c r="L92" s="1615"/>
      <c r="M92" s="1615"/>
      <c r="N92" s="1615"/>
      <c r="O92" s="885"/>
      <c r="Q92" s="1761"/>
    </row>
    <row r="93" spans="1:18">
      <c r="B93" s="110"/>
      <c r="C93" s="49" t="s">
        <v>1361</v>
      </c>
      <c r="D93" s="67"/>
      <c r="E93" s="67"/>
      <c r="F93" s="1226"/>
      <c r="G93" s="67"/>
      <c r="H93" s="67"/>
      <c r="I93" s="67"/>
      <c r="J93" s="67"/>
      <c r="K93" s="67"/>
      <c r="L93" s="67"/>
      <c r="M93" s="67"/>
      <c r="N93" s="1226" t="s">
        <v>1009</v>
      </c>
      <c r="O93" s="885"/>
    </row>
    <row r="94" spans="1:18">
      <c r="B94" s="110"/>
      <c r="C94" s="67"/>
      <c r="D94" s="67"/>
      <c r="E94" s="67"/>
      <c r="F94" s="67"/>
      <c r="G94" s="67"/>
      <c r="H94" s="67"/>
      <c r="I94" s="67"/>
      <c r="J94" s="67"/>
      <c r="K94" s="67"/>
      <c r="L94" s="67"/>
      <c r="M94" s="67"/>
      <c r="N94" s="67"/>
      <c r="O94" s="885"/>
    </row>
    <row r="95" spans="1:18" ht="15.75">
      <c r="B95" s="55"/>
      <c r="C95" s="887" t="s">
        <v>28</v>
      </c>
      <c r="D95" s="887" t="s">
        <v>72</v>
      </c>
      <c r="E95" s="887" t="s">
        <v>30</v>
      </c>
      <c r="F95" s="92">
        <v>2013</v>
      </c>
      <c r="G95" s="92">
        <v>2015</v>
      </c>
      <c r="H95" s="92">
        <v>2020</v>
      </c>
      <c r="I95" s="92">
        <v>2025</v>
      </c>
      <c r="J95" s="92">
        <v>2030</v>
      </c>
      <c r="K95" s="92">
        <v>2035</v>
      </c>
      <c r="L95" s="92">
        <v>2040</v>
      </c>
      <c r="M95" s="92">
        <v>2045</v>
      </c>
      <c r="N95" s="92">
        <v>2050</v>
      </c>
      <c r="O95" s="885"/>
    </row>
    <row r="96" spans="1:18" ht="15.75">
      <c r="B96" s="55"/>
      <c r="C96" s="65" t="s">
        <v>96</v>
      </c>
      <c r="D96" s="108" t="s">
        <v>86</v>
      </c>
      <c r="E96" s="1267"/>
      <c r="F96" s="93">
        <f>F45</f>
        <v>0.6</v>
      </c>
      <c r="G96" s="1376">
        <f>$F96+($N96-$F96)/($N$95-$F$95)*(G$95-$F$95)</f>
        <v>0.6</v>
      </c>
      <c r="H96" s="1067">
        <f t="shared" ref="H96:M97" si="4">$F96+($N96-$F96)/($N$95-$F$95)*(H$95-$F$95)</f>
        <v>0.6</v>
      </c>
      <c r="I96" s="1067">
        <f t="shared" si="4"/>
        <v>0.6</v>
      </c>
      <c r="J96" s="1067">
        <f t="shared" si="4"/>
        <v>0.6</v>
      </c>
      <c r="K96" s="1067">
        <f t="shared" si="4"/>
        <v>0.6</v>
      </c>
      <c r="L96" s="1067">
        <f t="shared" si="4"/>
        <v>0.6</v>
      </c>
      <c r="M96" s="1067">
        <f t="shared" si="4"/>
        <v>0.6</v>
      </c>
      <c r="N96" s="93">
        <f>INDEX($G$33:$H$34, MATCH($E$9, $C$33:$C$34, 0), MATCH($C96, $G$32:$H$32, 0))</f>
        <v>0.6</v>
      </c>
      <c r="O96" s="885"/>
    </row>
    <row r="97" spans="1:15" ht="15.75">
      <c r="B97" s="55"/>
      <c r="C97" s="926" t="s">
        <v>100</v>
      </c>
      <c r="D97" s="199" t="s">
        <v>90</v>
      </c>
      <c r="E97" s="199"/>
      <c r="F97" s="147">
        <f>F46</f>
        <v>0.4</v>
      </c>
      <c r="G97" s="1377">
        <f>$F97+($N97-$F97)/($N$95-$F$95)*(G$95-$F$95)</f>
        <v>0.4</v>
      </c>
      <c r="H97" s="1378">
        <f t="shared" si="4"/>
        <v>0.4</v>
      </c>
      <c r="I97" s="1378">
        <f t="shared" si="4"/>
        <v>0.4</v>
      </c>
      <c r="J97" s="1378">
        <f t="shared" si="4"/>
        <v>0.4</v>
      </c>
      <c r="K97" s="1378">
        <f t="shared" si="4"/>
        <v>0.4</v>
      </c>
      <c r="L97" s="1378">
        <f t="shared" si="4"/>
        <v>0.4</v>
      </c>
      <c r="M97" s="1378">
        <f t="shared" si="4"/>
        <v>0.4</v>
      </c>
      <c r="N97" s="169">
        <f>INDEX($G$33:$H$34, MATCH($E$9, $C$33:$C$34, 0), MATCH($C97, $G$32:$H$32, 0))</f>
        <v>0.4</v>
      </c>
      <c r="O97" s="885"/>
    </row>
    <row r="98" spans="1:15">
      <c r="B98" s="1172"/>
      <c r="C98" s="1074"/>
      <c r="D98" s="1074"/>
      <c r="E98" s="1074"/>
      <c r="F98" s="1074"/>
      <c r="G98" s="1074"/>
      <c r="H98" s="1074"/>
      <c r="I98" s="1074"/>
      <c r="J98" s="1074"/>
      <c r="K98" s="1074"/>
      <c r="L98" s="1074"/>
      <c r="M98" s="1074"/>
      <c r="N98" s="1074"/>
      <c r="O98" s="1109"/>
    </row>
    <row r="100" spans="1:15" ht="18.75">
      <c r="A100" s="355"/>
      <c r="B100" s="1110" t="s">
        <v>207</v>
      </c>
    </row>
    <row r="101" spans="1:15" s="2" customFormat="1">
      <c r="B101" s="363">
        <v>1</v>
      </c>
      <c r="C101" s="363" t="s">
        <v>1362</v>
      </c>
    </row>
    <row r="102" spans="1:15">
      <c r="F102" s="1325">
        <v>2013</v>
      </c>
      <c r="G102" s="1325">
        <v>2015</v>
      </c>
      <c r="H102" s="1325">
        <v>2020</v>
      </c>
      <c r="I102" s="1325">
        <v>2025</v>
      </c>
      <c r="J102" s="1325">
        <v>2030</v>
      </c>
      <c r="K102" s="1325">
        <v>2035</v>
      </c>
      <c r="L102" s="1325">
        <v>2040</v>
      </c>
      <c r="M102" s="1325">
        <v>2045</v>
      </c>
      <c r="N102" s="1325">
        <v>2050</v>
      </c>
    </row>
    <row r="103" spans="1:15">
      <c r="B103" s="375"/>
      <c r="C103" s="363" t="s">
        <v>1019</v>
      </c>
      <c r="D103" s="363"/>
      <c r="E103" s="364" t="str">
        <f>Preferences.EnergyUnits</f>
        <v>TWh</v>
      </c>
      <c r="F103" s="1327">
        <f>INDEX(F$25:F$28, MATCH($E$8, $C$25:$C$28, 0))</f>
        <v>1.22</v>
      </c>
      <c r="G103" s="1327">
        <f t="shared" ref="G103:N103" si="5">INDEX(G$25:G$28, MATCH($E$8, $C$25:$C$28, 0))</f>
        <v>1.2205405405405401</v>
      </c>
      <c r="H103" s="1327">
        <f t="shared" si="5"/>
        <v>1.22189189189189</v>
      </c>
      <c r="I103" s="1327">
        <f t="shared" si="5"/>
        <v>1.2232432432432401</v>
      </c>
      <c r="J103" s="1327">
        <f t="shared" si="5"/>
        <v>1.22459459459459</v>
      </c>
      <c r="K103" s="1327">
        <f t="shared" si="5"/>
        <v>1.2259459459459501</v>
      </c>
      <c r="L103" s="1327">
        <f t="shared" si="5"/>
        <v>1.2272972972973</v>
      </c>
      <c r="M103" s="1327">
        <f t="shared" si="5"/>
        <v>1.2286486486486501</v>
      </c>
      <c r="N103" s="1327">
        <f t="shared" si="5"/>
        <v>1.23</v>
      </c>
    </row>
    <row r="104" spans="1:15">
      <c r="B104" s="382" t="s">
        <v>96</v>
      </c>
      <c r="C104" t="s">
        <v>86</v>
      </c>
      <c r="E104" s="3834"/>
      <c r="F104" s="1326">
        <f>F$103*F96</f>
        <v>0.73199999999999998</v>
      </c>
      <c r="G104" s="1326">
        <f t="shared" ref="G104:N105" si="6">G$103*G96</f>
        <v>0.73232432432432404</v>
      </c>
      <c r="H104" s="1326">
        <f t="shared" si="6"/>
        <v>0.73313513513513395</v>
      </c>
      <c r="I104" s="1326">
        <f t="shared" si="6"/>
        <v>0.73394594594594398</v>
      </c>
      <c r="J104" s="1326">
        <f t="shared" si="6"/>
        <v>0.734756756756754</v>
      </c>
      <c r="K104" s="1326">
        <f t="shared" si="6"/>
        <v>0.73556756756757002</v>
      </c>
      <c r="L104" s="1326">
        <f t="shared" si="6"/>
        <v>0.73637837837837994</v>
      </c>
      <c r="M104" s="1326">
        <f t="shared" si="6"/>
        <v>0.73718918918919007</v>
      </c>
      <c r="N104" s="1326">
        <f t="shared" si="6"/>
        <v>0.73799999999999999</v>
      </c>
    </row>
    <row r="105" spans="1:15">
      <c r="B105" s="382" t="s">
        <v>100</v>
      </c>
      <c r="C105" t="s">
        <v>90</v>
      </c>
      <c r="E105" s="3834"/>
      <c r="F105" s="1326">
        <f>F$103*F97</f>
        <v>0.48799999999999999</v>
      </c>
      <c r="G105" s="1326">
        <f t="shared" si="6"/>
        <v>0.48821621621621603</v>
      </c>
      <c r="H105" s="1326">
        <f t="shared" si="6"/>
        <v>0.48875675675675601</v>
      </c>
      <c r="I105" s="1326">
        <f t="shared" si="6"/>
        <v>0.48929729729729604</v>
      </c>
      <c r="J105" s="1326">
        <f t="shared" si="6"/>
        <v>0.48983783783783602</v>
      </c>
      <c r="K105" s="1326">
        <f t="shared" si="6"/>
        <v>0.49037837837838005</v>
      </c>
      <c r="L105" s="1326">
        <f t="shared" si="6"/>
        <v>0.49091891891892003</v>
      </c>
      <c r="M105" s="1326">
        <f t="shared" si="6"/>
        <v>0.49145945945946007</v>
      </c>
      <c r="N105" s="1326">
        <f t="shared" si="6"/>
        <v>0.49199999999999999</v>
      </c>
    </row>
    <row r="106" spans="1:15">
      <c r="C106" s="363"/>
      <c r="E106" s="382"/>
      <c r="F106" s="1327"/>
      <c r="G106" s="1327"/>
      <c r="H106" s="1327"/>
      <c r="I106" s="1327"/>
      <c r="J106" s="1327"/>
      <c r="K106" s="1327"/>
      <c r="L106" s="1327"/>
      <c r="M106" s="1327"/>
      <c r="N106" s="1327"/>
    </row>
    <row r="107" spans="1:15">
      <c r="C107" s="363"/>
      <c r="E107" s="382"/>
      <c r="F107" s="1327"/>
      <c r="G107" s="1327"/>
      <c r="H107" s="1327"/>
      <c r="I107" s="1327"/>
      <c r="J107" s="1327"/>
      <c r="K107" s="1327"/>
      <c r="L107" s="1327"/>
      <c r="M107" s="1327"/>
      <c r="N107" s="1327"/>
    </row>
    <row r="108" spans="1:15">
      <c r="B108" s="363">
        <v>2</v>
      </c>
      <c r="C108" s="363" t="s">
        <v>1020</v>
      </c>
      <c r="E108" s="382"/>
      <c r="F108" s="1327"/>
      <c r="G108" s="1327"/>
      <c r="H108" s="1327"/>
      <c r="I108" s="1327"/>
      <c r="J108" s="1327"/>
      <c r="K108" s="1327"/>
      <c r="L108" s="1327"/>
      <c r="M108" s="1327"/>
      <c r="N108" s="1327"/>
    </row>
    <row r="109" spans="1:15">
      <c r="C109" s="363"/>
      <c r="E109" s="382"/>
      <c r="F109" s="1325">
        <v>2013</v>
      </c>
      <c r="G109" s="1325">
        <v>2015</v>
      </c>
      <c r="H109" s="1325">
        <v>2020</v>
      </c>
      <c r="I109" s="1325">
        <v>2025</v>
      </c>
      <c r="J109" s="1325">
        <v>2030</v>
      </c>
      <c r="K109" s="1325">
        <v>2035</v>
      </c>
      <c r="L109" s="1325">
        <v>2040</v>
      </c>
      <c r="M109" s="1325">
        <v>2045</v>
      </c>
      <c r="N109" s="1325">
        <v>2050</v>
      </c>
    </row>
    <row r="110" spans="1:15">
      <c r="B110" s="375"/>
      <c r="C110" s="363" t="s">
        <v>1022</v>
      </c>
      <c r="E110" s="364" t="str">
        <f>Preferences.EnergyUnits</f>
        <v>TWh</v>
      </c>
      <c r="F110" s="1327">
        <f>INDEX(F$17:F$20, MATCH($E$8, $C$17:$C$20, 0))</f>
        <v>3.31</v>
      </c>
      <c r="G110" s="1327">
        <f t="shared" ref="G110:N110" si="7">INDEX(G$17:G$20, MATCH($E$8, $C$17:$C$20, 0))</f>
        <v>3.3457837837837801</v>
      </c>
      <c r="H110" s="1327">
        <f t="shared" si="7"/>
        <v>3.43524324324324</v>
      </c>
      <c r="I110" s="1327">
        <f t="shared" si="7"/>
        <v>3.5247027027027</v>
      </c>
      <c r="J110" s="1327">
        <f t="shared" si="7"/>
        <v>3.61416216216216</v>
      </c>
      <c r="K110" s="1327">
        <f t="shared" si="7"/>
        <v>3.70362162162162</v>
      </c>
      <c r="L110" s="1327">
        <f t="shared" si="7"/>
        <v>3.79308108108108</v>
      </c>
      <c r="M110" s="1327">
        <f t="shared" si="7"/>
        <v>3.88254054054054</v>
      </c>
      <c r="N110" s="1327">
        <f t="shared" si="7"/>
        <v>3.972</v>
      </c>
    </row>
    <row r="111" spans="1:15">
      <c r="B111" s="382" t="s">
        <v>96</v>
      </c>
      <c r="C111" t="s">
        <v>86</v>
      </c>
      <c r="E111" s="382"/>
      <c r="F111" s="1326">
        <f>F110</f>
        <v>3.31</v>
      </c>
      <c r="G111" s="1326">
        <f t="shared" ref="G111:N111" si="8">G110</f>
        <v>3.3457837837837801</v>
      </c>
      <c r="H111" s="1326">
        <f t="shared" si="8"/>
        <v>3.43524324324324</v>
      </c>
      <c r="I111" s="1326">
        <f t="shared" si="8"/>
        <v>3.5247027027027</v>
      </c>
      <c r="J111" s="1326">
        <f t="shared" si="8"/>
        <v>3.61416216216216</v>
      </c>
      <c r="K111" s="1326">
        <f t="shared" si="8"/>
        <v>3.70362162162162</v>
      </c>
      <c r="L111" s="1326">
        <f t="shared" si="8"/>
        <v>3.79308108108108</v>
      </c>
      <c r="M111" s="1326">
        <f t="shared" si="8"/>
        <v>3.88254054054054</v>
      </c>
      <c r="N111" s="1326">
        <f t="shared" si="8"/>
        <v>3.972</v>
      </c>
    </row>
    <row r="112" spans="1:15">
      <c r="C112" s="363"/>
      <c r="E112" s="382"/>
      <c r="F112" s="1327"/>
      <c r="G112" s="1327"/>
      <c r="H112" s="1327"/>
      <c r="I112" s="1327"/>
      <c r="J112" s="1327"/>
      <c r="K112" s="1327"/>
      <c r="L112" s="1327"/>
      <c r="M112" s="1327"/>
      <c r="N112" s="1327"/>
    </row>
    <row r="113" spans="2:15">
      <c r="B113" s="363">
        <v>3</v>
      </c>
      <c r="C113" s="363" t="s">
        <v>1023</v>
      </c>
      <c r="E113" s="382"/>
      <c r="F113" s="1326"/>
      <c r="G113" s="1326"/>
      <c r="H113" s="1326"/>
      <c r="I113" s="1326"/>
      <c r="J113" s="1326"/>
      <c r="K113" s="1326"/>
      <c r="L113" s="1326"/>
      <c r="M113" s="1326"/>
      <c r="N113" s="1326"/>
    </row>
    <row r="114" spans="2:15">
      <c r="B114" s="363"/>
      <c r="C114" s="363"/>
      <c r="E114" s="382"/>
      <c r="F114" s="1325">
        <v>2013</v>
      </c>
      <c r="G114" s="1325">
        <v>2015</v>
      </c>
      <c r="H114" s="1325">
        <v>2020</v>
      </c>
      <c r="I114" s="1325">
        <v>2025</v>
      </c>
      <c r="J114" s="1325">
        <v>2030</v>
      </c>
      <c r="K114" s="1325">
        <v>2035</v>
      </c>
      <c r="L114" s="1325">
        <v>2040</v>
      </c>
      <c r="M114" s="1325">
        <v>2045</v>
      </c>
      <c r="N114" s="1325">
        <v>2050</v>
      </c>
    </row>
    <row r="115" spans="2:15">
      <c r="B115" s="382" t="s">
        <v>96</v>
      </c>
      <c r="C115" t="s">
        <v>86</v>
      </c>
      <c r="E115" s="367" t="str">
        <f>Preferences.EnergyUnits</f>
        <v>TWh</v>
      </c>
      <c r="F115" s="1326">
        <f>F104+F111</f>
        <v>4.0419999999999998</v>
      </c>
      <c r="G115" s="1326">
        <f t="shared" ref="G115:N115" si="9">G104+G111</f>
        <v>4.0781081081081041</v>
      </c>
      <c r="H115" s="1326">
        <f t="shared" si="9"/>
        <v>4.1683783783783737</v>
      </c>
      <c r="I115" s="1326">
        <f t="shared" si="9"/>
        <v>4.2586486486486441</v>
      </c>
      <c r="J115" s="1326">
        <f t="shared" si="9"/>
        <v>4.3489189189189137</v>
      </c>
      <c r="K115" s="1326">
        <f t="shared" si="9"/>
        <v>4.4391891891891904</v>
      </c>
      <c r="L115" s="1326">
        <f t="shared" si="9"/>
        <v>4.5294594594594599</v>
      </c>
      <c r="M115" s="1326">
        <f t="shared" si="9"/>
        <v>4.6197297297297304</v>
      </c>
      <c r="N115" s="1326">
        <f t="shared" si="9"/>
        <v>4.71</v>
      </c>
    </row>
    <row r="116" spans="2:15">
      <c r="B116" s="382" t="s">
        <v>100</v>
      </c>
      <c r="C116" t="s">
        <v>90</v>
      </c>
      <c r="E116" s="367" t="str">
        <f>Preferences.EnergyUnits</f>
        <v>TWh</v>
      </c>
      <c r="F116" s="1326">
        <f>F105</f>
        <v>0.48799999999999999</v>
      </c>
      <c r="G116" s="1326">
        <f t="shared" ref="G116:N116" si="10">G105</f>
        <v>0.48821621621621603</v>
      </c>
      <c r="H116" s="1326">
        <f t="shared" si="10"/>
        <v>0.48875675675675601</v>
      </c>
      <c r="I116" s="1326">
        <f t="shared" si="10"/>
        <v>0.48929729729729604</v>
      </c>
      <c r="J116" s="1326">
        <f t="shared" si="10"/>
        <v>0.48983783783783602</v>
      </c>
      <c r="K116" s="1326">
        <f t="shared" si="10"/>
        <v>0.49037837837838005</v>
      </c>
      <c r="L116" s="1326">
        <f t="shared" si="10"/>
        <v>0.49091891891892003</v>
      </c>
      <c r="M116" s="1326">
        <f t="shared" si="10"/>
        <v>0.49145945945946007</v>
      </c>
      <c r="N116" s="1326">
        <f t="shared" si="10"/>
        <v>0.49199999999999999</v>
      </c>
    </row>
    <row r="117" spans="2:15">
      <c r="C117" s="363"/>
      <c r="E117" s="382"/>
      <c r="F117" s="1327"/>
      <c r="G117" s="1327"/>
      <c r="H117" s="1327"/>
      <c r="I117" s="1327"/>
      <c r="J117" s="1327"/>
      <c r="K117" s="1327"/>
      <c r="L117" s="1327"/>
      <c r="M117" s="1327"/>
      <c r="N117" s="1327"/>
    </row>
    <row r="118" spans="2:15">
      <c r="B118" s="363">
        <v>4</v>
      </c>
      <c r="C118" s="363" t="s">
        <v>252</v>
      </c>
      <c r="E118" s="3834"/>
      <c r="F118" s="1326"/>
      <c r="G118" s="1326"/>
      <c r="H118" s="1326"/>
      <c r="I118" s="1326"/>
      <c r="J118" s="1326"/>
      <c r="K118" s="1326"/>
      <c r="L118" s="1326"/>
      <c r="M118" s="1326"/>
      <c r="N118" s="1326"/>
    </row>
    <row r="119" spans="2:15">
      <c r="B119" s="363"/>
      <c r="E119" s="3834"/>
      <c r="F119" s="1326"/>
      <c r="G119" s="1326"/>
      <c r="H119" s="1326"/>
      <c r="I119" s="1326"/>
      <c r="J119" s="1326"/>
      <c r="K119" s="1326"/>
      <c r="L119" s="1326"/>
      <c r="M119" s="1326"/>
      <c r="N119" s="1326"/>
    </row>
    <row r="120" spans="2:15">
      <c r="B120" s="363"/>
      <c r="C120" t="s">
        <v>253</v>
      </c>
      <c r="E120" s="382" t="s">
        <v>254</v>
      </c>
      <c r="F120" s="2167">
        <f t="array" ref="F120">SUM(F$115:F$116*SUMIFS(EF[CO2], EF[Vector], $B$115:$B$116))</f>
        <v>9.9903945599999988E-2</v>
      </c>
      <c r="G120" s="2167">
        <f t="array" ref="G120">SUM(G$115:G$116*SUMIFS(EF[CO2], EF[Vector], $B$115:$B$116))</f>
        <v>9.9948209643243205E-2</v>
      </c>
      <c r="H120" s="2167">
        <f t="array" ref="H120">SUM(H$115:H$116*SUMIFS(EF[CO2], EF[Vector], $B$115:$B$116))</f>
        <v>0.1000588697513512</v>
      </c>
      <c r="I120" s="2167">
        <f t="array" ref="I120">SUM(I$115:I$116*SUMIFS(EF[CO2], EF[Vector], $B$115:$B$116))</f>
        <v>0.10016952985945919</v>
      </c>
      <c r="J120" s="2167">
        <f t="array" ref="J120">SUM(J$115:J$116*SUMIFS(EF[CO2], EF[Vector], $B$115:$B$116))</f>
        <v>0.10028018996756718</v>
      </c>
      <c r="K120" s="2167">
        <f t="array" ref="K120">SUM(K$115:K$116*SUMIFS(EF[CO2], EF[Vector], $B$115:$B$116))</f>
        <v>0.10039085007567601</v>
      </c>
      <c r="L120" s="2167">
        <f t="array" ref="L120">SUM(L$115:L$116*SUMIFS(EF[CO2], EF[Vector], $B$115:$B$116))</f>
        <v>0.100501510183784</v>
      </c>
      <c r="M120" s="2167">
        <f t="array" ref="M120">SUM(M$115:M$116*SUMIFS(EF[CO2], EF[Vector], $B$115:$B$116))</f>
        <v>0.10061217029189201</v>
      </c>
      <c r="N120" s="2167">
        <f t="array" ref="N120">SUM(N$115:N$116*SUMIFS(EF[CO2], EF[Vector], $B$115:$B$116))</f>
        <v>0.10072283039999999</v>
      </c>
    </row>
    <row r="121" spans="2:15">
      <c r="B121" s="363"/>
      <c r="C121" t="s">
        <v>255</v>
      </c>
      <c r="E121" s="382"/>
      <c r="F121" s="2167">
        <f t="array" ref="F121">SUM(F$115:F$116*SUMIFS(EF[CH4], EF[Vector], $B$115:$B$116))</f>
        <v>3.68928E-5</v>
      </c>
      <c r="G121" s="2167">
        <f t="array" ref="G121">SUM(G$115:G$116*SUMIFS(EF[CH4], EF[Vector], $B$115:$B$116))</f>
        <v>3.6909145945945936E-5</v>
      </c>
      <c r="H121" s="2167">
        <f t="array" ref="H121">SUM(H$115:H$116*SUMIFS(EF[CH4], EF[Vector], $B$115:$B$116))</f>
        <v>3.695001081081076E-5</v>
      </c>
      <c r="I121" s="2167">
        <f t="array" ref="I121">SUM(I$115:I$116*SUMIFS(EF[CH4], EF[Vector], $B$115:$B$116))</f>
        <v>3.6990875675675583E-5</v>
      </c>
      <c r="J121" s="2167">
        <f t="array" ref="J121">SUM(J$115:J$116*SUMIFS(EF[CH4], EF[Vector], $B$115:$B$116))</f>
        <v>3.7031740540540407E-5</v>
      </c>
      <c r="K121" s="2167">
        <f t="array" ref="K121">SUM(K$115:K$116*SUMIFS(EF[CH4], EF[Vector], $B$115:$B$116))</f>
        <v>3.7072605405405535E-5</v>
      </c>
      <c r="L121" s="2167">
        <f t="array" ref="L121">SUM(L$115:L$116*SUMIFS(EF[CH4], EF[Vector], $B$115:$B$116))</f>
        <v>3.7113470270270359E-5</v>
      </c>
      <c r="M121" s="2167">
        <f t="array" ref="M121">SUM(M$115:M$116*SUMIFS(EF[CH4], EF[Vector], $B$115:$B$116))</f>
        <v>3.7154335135135182E-5</v>
      </c>
      <c r="N121" s="2167">
        <f t="array" ref="N121">SUM(N$115:N$116*SUMIFS(EF[CH4], EF[Vector], $B$115:$B$116))</f>
        <v>3.7195200000000006E-5</v>
      </c>
    </row>
    <row r="122" spans="2:15">
      <c r="B122" s="363"/>
      <c r="C122" t="s">
        <v>256</v>
      </c>
      <c r="E122" s="382"/>
      <c r="F122" s="2167">
        <f t="array" ref="F122">SUM(F$115:F$116*SUMIFS(EF[N2O], EF[Vector], $B$115:$B$116))</f>
        <v>1.5793631999999999E-3</v>
      </c>
      <c r="G122" s="2167">
        <f t="array" ref="G122">SUM(G$115:G$116*SUMIFS(EF[N2O], EF[Vector], $B$115:$B$116))</f>
        <v>1.5800629621621615E-3</v>
      </c>
      <c r="H122" s="2167">
        <f t="array" ref="H122">SUM(H$115:H$116*SUMIFS(EF[N2O], EF[Vector], $B$115:$B$116))</f>
        <v>1.5818123675675651E-3</v>
      </c>
      <c r="I122" s="2167">
        <f t="array" ref="I122">SUM(I$115:I$116*SUMIFS(EF[N2O], EF[Vector], $B$115:$B$116))</f>
        <v>1.5835617729729689E-3</v>
      </c>
      <c r="J122" s="2167">
        <f t="array" ref="J122">SUM(J$115:J$116*SUMIFS(EF[N2O], EF[Vector], $B$115:$B$116))</f>
        <v>1.5853111783783725E-3</v>
      </c>
      <c r="K122" s="2167">
        <f t="array" ref="K122">SUM(K$115:K$116*SUMIFS(EF[N2O], EF[Vector], $B$115:$B$116))</f>
        <v>1.5870605837837893E-3</v>
      </c>
      <c r="L122" s="2167">
        <f t="array" ref="L122">SUM(L$115:L$116*SUMIFS(EF[N2O], EF[Vector], $B$115:$B$116))</f>
        <v>1.5888099891891929E-3</v>
      </c>
      <c r="M122" s="2167">
        <f t="array" ref="M122">SUM(M$115:M$116*SUMIFS(EF[N2O], EF[Vector], $B$115:$B$116))</f>
        <v>1.5905593945945967E-3</v>
      </c>
      <c r="N122" s="2167">
        <f t="array" ref="N122">SUM(N$115:N$116*SUMIFS(EF[N2O], EF[Vector], $B$115:$B$116))</f>
        <v>1.5923088E-3</v>
      </c>
    </row>
    <row r="123" spans="2:15">
      <c r="E123" s="382"/>
      <c r="F123" s="1326"/>
      <c r="G123" s="1326"/>
      <c r="H123" s="1326"/>
      <c r="I123" s="1326"/>
      <c r="J123" s="1326"/>
      <c r="K123" s="1326"/>
      <c r="L123" s="1326"/>
      <c r="M123" s="1326"/>
      <c r="N123" s="1326"/>
    </row>
    <row r="124" spans="2:15">
      <c r="B124" t="s">
        <v>757</v>
      </c>
      <c r="C124" s="363"/>
      <c r="E124" s="3834"/>
      <c r="F124" s="992"/>
      <c r="G124" s="992"/>
      <c r="H124" s="992"/>
      <c r="I124" s="992"/>
      <c r="J124" s="992"/>
      <c r="K124" s="992"/>
      <c r="L124" s="992"/>
      <c r="M124" s="992"/>
      <c r="N124" s="992"/>
      <c r="O124" s="992"/>
    </row>
    <row r="125" spans="2:15">
      <c r="E125" s="6"/>
      <c r="F125" s="1325">
        <v>2013</v>
      </c>
      <c r="G125" s="1325">
        <v>2015</v>
      </c>
      <c r="H125" s="1325">
        <v>2020</v>
      </c>
      <c r="I125" s="1325">
        <v>2025</v>
      </c>
      <c r="J125" s="1325">
        <v>2030</v>
      </c>
      <c r="K125" s="1325">
        <v>2035</v>
      </c>
      <c r="L125" s="1325">
        <v>2040</v>
      </c>
      <c r="M125" s="1325">
        <v>2045</v>
      </c>
      <c r="N125" s="1325">
        <v>2050</v>
      </c>
      <c r="O125" s="992"/>
    </row>
    <row r="126" spans="2:15" s="414" customFormat="1" ht="12.75">
      <c r="C126" s="414" t="s">
        <v>1363</v>
      </c>
      <c r="E126" s="833" t="s">
        <v>1364</v>
      </c>
      <c r="F126" s="990">
        <v>0.9</v>
      </c>
      <c r="G126" s="990">
        <v>0.9</v>
      </c>
      <c r="H126" s="990">
        <v>0.9</v>
      </c>
      <c r="I126" s="990">
        <v>0.9</v>
      </c>
      <c r="J126" s="990">
        <v>0.9</v>
      </c>
      <c r="K126" s="990">
        <v>0.9</v>
      </c>
      <c r="L126" s="990">
        <v>0.9</v>
      </c>
      <c r="M126" s="990">
        <v>0.9</v>
      </c>
      <c r="N126" s="990">
        <v>0.9</v>
      </c>
      <c r="O126" s="990"/>
    </row>
    <row r="127" spans="2:15" s="414" customFormat="1" ht="12.75">
      <c r="C127" s="414" t="s">
        <v>1365</v>
      </c>
      <c r="E127" s="833" t="s">
        <v>1364</v>
      </c>
      <c r="F127" s="990">
        <v>0.5</v>
      </c>
      <c r="G127" s="990">
        <v>0.5</v>
      </c>
      <c r="H127" s="990">
        <v>0.5</v>
      </c>
      <c r="I127" s="990">
        <v>0.5</v>
      </c>
      <c r="J127" s="990">
        <v>0.5</v>
      </c>
      <c r="K127" s="990">
        <v>0.5</v>
      </c>
      <c r="L127" s="990">
        <v>0.5</v>
      </c>
      <c r="M127" s="990">
        <v>0.5</v>
      </c>
      <c r="N127" s="990">
        <v>0.5</v>
      </c>
      <c r="O127" s="990"/>
    </row>
    <row r="128" spans="2:15">
      <c r="E128" s="6"/>
      <c r="F128" s="992"/>
      <c r="G128" s="992"/>
      <c r="H128" s="992"/>
      <c r="I128" s="992"/>
      <c r="J128" s="992"/>
      <c r="K128" s="992"/>
      <c r="L128" s="992"/>
      <c r="M128" s="992"/>
      <c r="N128" s="992"/>
      <c r="O128" s="992"/>
    </row>
    <row r="129" spans="2:17">
      <c r="C129" t="s">
        <v>1366</v>
      </c>
      <c r="E129" s="6" t="s">
        <v>27</v>
      </c>
      <c r="F129" s="992">
        <f xml:space="preserve"> (F110 * 0.9)</f>
        <v>2.9790000000000001</v>
      </c>
      <c r="G129" s="992">
        <f xml:space="preserve"> (F110 * 0.9) + (G110-F110)</f>
        <v>3.0147837837837801</v>
      </c>
      <c r="H129" s="992">
        <f xml:space="preserve"> (G110 * 0.9) + (H110-G110)</f>
        <v>3.100664864864862</v>
      </c>
      <c r="I129" s="992">
        <f t="shared" ref="I129:N129" si="11" xml:space="preserve"> (H110 * 0.9) + (I110-H110)</f>
        <v>3.1811783783783762</v>
      </c>
      <c r="J129" s="992">
        <f t="shared" si="11"/>
        <v>3.26169189189189</v>
      </c>
      <c r="K129" s="992">
        <f t="shared" si="11"/>
        <v>3.3422054054054042</v>
      </c>
      <c r="L129" s="992">
        <f t="shared" si="11"/>
        <v>3.422718918918918</v>
      </c>
      <c r="M129" s="992">
        <f t="shared" si="11"/>
        <v>3.5032324324324322</v>
      </c>
      <c r="N129" s="992">
        <f t="shared" si="11"/>
        <v>3.583745945945946</v>
      </c>
      <c r="O129" s="992"/>
    </row>
    <row r="130" spans="2:17">
      <c r="C130" t="s">
        <v>1367</v>
      </c>
      <c r="E130" s="6" t="s">
        <v>27</v>
      </c>
      <c r="F130" s="992">
        <f xml:space="preserve"> (F103 * F127)</f>
        <v>0.61</v>
      </c>
      <c r="G130" s="992">
        <f xml:space="preserve"> (G103 * G127) + (G103 - F103)</f>
        <v>0.61081081081081012</v>
      </c>
      <c r="H130" s="992">
        <f t="shared" ref="H130:N130" si="12" xml:space="preserve"> (H103 * H127) + (H103 - G103)</f>
        <v>0.61229729729729487</v>
      </c>
      <c r="I130" s="992">
        <f t="shared" si="12"/>
        <v>0.61297297297297015</v>
      </c>
      <c r="J130" s="992">
        <f t="shared" si="12"/>
        <v>0.61364864864864488</v>
      </c>
      <c r="K130" s="992">
        <f t="shared" si="12"/>
        <v>0.61432432432433515</v>
      </c>
      <c r="L130" s="992">
        <f t="shared" si="12"/>
        <v>0.61499999999999988</v>
      </c>
      <c r="M130" s="992">
        <f t="shared" si="12"/>
        <v>0.61567567567567516</v>
      </c>
      <c r="N130" s="992">
        <f t="shared" si="12"/>
        <v>0.61635135135134989</v>
      </c>
      <c r="O130" s="992"/>
    </row>
    <row r="131" spans="2:17">
      <c r="E131" s="6"/>
      <c r="F131" s="992"/>
      <c r="G131" s="992"/>
      <c r="H131" s="992"/>
      <c r="I131" s="992"/>
      <c r="J131" s="992"/>
      <c r="K131" s="992"/>
      <c r="L131" s="992"/>
      <c r="M131" s="992"/>
      <c r="N131" s="992"/>
      <c r="O131" s="992"/>
    </row>
    <row r="132" spans="2:17">
      <c r="C132" s="386" t="s">
        <v>2795</v>
      </c>
      <c r="E132" s="6"/>
      <c r="F132" s="1325"/>
      <c r="G132" s="1325"/>
      <c r="H132" s="1325"/>
      <c r="I132" s="1325"/>
      <c r="J132" s="1325"/>
      <c r="K132" s="1325"/>
      <c r="L132" s="1325"/>
      <c r="M132" s="1325"/>
      <c r="N132" s="1325"/>
      <c r="O132" s="992"/>
    </row>
    <row r="133" spans="2:17" hidden="1">
      <c r="B133" t="s">
        <v>1368</v>
      </c>
      <c r="F133" s="992"/>
      <c r="G133" s="992"/>
      <c r="H133" s="992"/>
      <c r="I133" s="992"/>
      <c r="J133" s="992"/>
      <c r="K133" s="992"/>
      <c r="L133" s="992"/>
      <c r="M133" s="992"/>
      <c r="N133" s="992"/>
      <c r="O133" s="992"/>
    </row>
    <row r="134" spans="2:17" hidden="1">
      <c r="C134" t="s">
        <v>169</v>
      </c>
      <c r="E134" s="3611" t="s">
        <v>2812</v>
      </c>
      <c r="F134" s="992">
        <v>0</v>
      </c>
      <c r="G134" s="992">
        <v>0</v>
      </c>
      <c r="H134" s="992">
        <v>0</v>
      </c>
      <c r="I134" s="992">
        <v>0</v>
      </c>
      <c r="J134" s="992">
        <v>0</v>
      </c>
      <c r="K134" s="992">
        <v>0</v>
      </c>
      <c r="L134" s="992">
        <v>0</v>
      </c>
      <c r="M134" s="992">
        <v>0</v>
      </c>
      <c r="N134" s="992">
        <v>0</v>
      </c>
      <c r="O134" s="992"/>
    </row>
    <row r="135" spans="2:17" hidden="1">
      <c r="C135" t="s">
        <v>173</v>
      </c>
      <c r="E135" s="3611" t="s">
        <v>2812</v>
      </c>
      <c r="F135" s="992"/>
      <c r="G135" s="992"/>
      <c r="H135" s="992"/>
      <c r="I135" s="992"/>
      <c r="J135" s="992"/>
      <c r="K135" s="992"/>
      <c r="L135" s="992"/>
      <c r="M135" s="992"/>
      <c r="N135" s="992"/>
      <c r="O135" s="992"/>
    </row>
    <row r="136" spans="2:17" hidden="1">
      <c r="C136" t="s">
        <v>294</v>
      </c>
      <c r="E136" s="3611" t="s">
        <v>2812</v>
      </c>
      <c r="F136" s="992">
        <v>0</v>
      </c>
      <c r="G136" s="992">
        <v>0</v>
      </c>
      <c r="H136" s="992">
        <v>0</v>
      </c>
      <c r="I136" s="992">
        <v>0</v>
      </c>
      <c r="J136" s="992">
        <v>0</v>
      </c>
      <c r="K136" s="992">
        <v>0</v>
      </c>
      <c r="L136" s="992">
        <v>0</v>
      </c>
      <c r="M136" s="992">
        <v>0</v>
      </c>
      <c r="N136" s="992">
        <v>0</v>
      </c>
      <c r="O136" s="992"/>
    </row>
    <row r="137" spans="2:17" hidden="1">
      <c r="F137" s="992"/>
      <c r="G137" s="992"/>
      <c r="H137" s="992"/>
      <c r="I137" s="992"/>
      <c r="J137" s="992"/>
      <c r="K137" s="992"/>
      <c r="L137" s="992"/>
      <c r="M137" s="992"/>
      <c r="N137" s="992"/>
      <c r="O137" s="992"/>
    </row>
    <row r="138" spans="2:17" hidden="1">
      <c r="B138" t="s">
        <v>1369</v>
      </c>
      <c r="F138" s="992"/>
      <c r="G138" s="992"/>
      <c r="H138" s="992"/>
      <c r="I138" s="992"/>
      <c r="J138" s="992"/>
      <c r="K138" s="992"/>
      <c r="L138" s="992"/>
      <c r="M138" s="992"/>
      <c r="N138" s="992"/>
      <c r="O138" s="992"/>
    </row>
    <row r="139" spans="2:17" hidden="1">
      <c r="C139" t="s">
        <v>169</v>
      </c>
      <c r="E139" s="3611" t="s">
        <v>2812</v>
      </c>
      <c r="F139" s="992">
        <v>0</v>
      </c>
      <c r="G139" s="992">
        <v>0</v>
      </c>
      <c r="H139" s="992">
        <v>0</v>
      </c>
      <c r="I139" s="992">
        <v>0</v>
      </c>
      <c r="J139" s="992">
        <v>0</v>
      </c>
      <c r="K139" s="992">
        <v>0</v>
      </c>
      <c r="L139" s="992">
        <v>0</v>
      </c>
      <c r="M139" s="992">
        <v>0</v>
      </c>
      <c r="N139" s="992">
        <v>0</v>
      </c>
      <c r="O139" s="992"/>
      <c r="Q139" s="39"/>
    </row>
    <row r="140" spans="2:17" hidden="1">
      <c r="C140" t="s">
        <v>173</v>
      </c>
      <c r="E140" s="3611" t="s">
        <v>2812</v>
      </c>
      <c r="F140" s="992"/>
      <c r="G140" s="992"/>
      <c r="H140" s="992"/>
      <c r="I140" s="992"/>
      <c r="J140" s="992"/>
      <c r="K140" s="992"/>
      <c r="L140" s="992"/>
      <c r="M140" s="992"/>
      <c r="N140" s="992"/>
      <c r="O140" s="992"/>
      <c r="Q140" s="39"/>
    </row>
    <row r="141" spans="2:17" hidden="1">
      <c r="C141" t="s">
        <v>294</v>
      </c>
      <c r="E141" s="3611" t="s">
        <v>2812</v>
      </c>
      <c r="F141" s="992">
        <v>0</v>
      </c>
      <c r="G141" s="992">
        <v>0</v>
      </c>
      <c r="H141" s="992">
        <v>0</v>
      </c>
      <c r="I141" s="992">
        <v>0</v>
      </c>
      <c r="J141" s="992">
        <v>0</v>
      </c>
      <c r="K141" s="992">
        <v>0</v>
      </c>
      <c r="L141" s="992">
        <v>0</v>
      </c>
      <c r="M141" s="992">
        <v>0</v>
      </c>
      <c r="N141" s="992">
        <v>0</v>
      </c>
      <c r="O141" s="992"/>
      <c r="Q141" s="39"/>
    </row>
    <row r="142" spans="2:17" hidden="1">
      <c r="F142" s="992"/>
      <c r="G142" s="992"/>
      <c r="H142" s="992"/>
      <c r="I142" s="992"/>
      <c r="J142" s="992"/>
      <c r="K142" s="992"/>
      <c r="L142" s="992"/>
      <c r="M142" s="992"/>
      <c r="N142" s="992"/>
      <c r="O142" s="992"/>
      <c r="Q142" s="39"/>
    </row>
    <row r="143" spans="2:17" hidden="1">
      <c r="B143" t="s">
        <v>1370</v>
      </c>
      <c r="F143" s="1325">
        <v>2013</v>
      </c>
      <c r="G143" s="1325">
        <v>2015</v>
      </c>
      <c r="H143" s="1325">
        <v>2020</v>
      </c>
      <c r="I143" s="1325">
        <v>2025</v>
      </c>
      <c r="J143" s="1325">
        <v>2030</v>
      </c>
      <c r="K143" s="1325">
        <v>2035</v>
      </c>
      <c r="L143" s="1325">
        <v>2040</v>
      </c>
      <c r="M143" s="1325">
        <v>2045</v>
      </c>
      <c r="N143" s="1325">
        <v>2050</v>
      </c>
      <c r="O143" s="992"/>
    </row>
    <row r="144" spans="2:17" hidden="1">
      <c r="C144" t="s">
        <v>169</v>
      </c>
      <c r="E144" s="3611" t="s">
        <v>2812</v>
      </c>
      <c r="F144" s="992">
        <v>0</v>
      </c>
      <c r="G144" s="992">
        <v>0</v>
      </c>
      <c r="H144" s="992">
        <v>0</v>
      </c>
      <c r="I144" s="992">
        <v>0</v>
      </c>
      <c r="J144" s="992">
        <v>0</v>
      </c>
      <c r="K144" s="992">
        <v>0</v>
      </c>
      <c r="L144" s="992">
        <v>0</v>
      </c>
      <c r="M144" s="992">
        <v>0</v>
      </c>
      <c r="N144" s="992">
        <v>0</v>
      </c>
      <c r="O144" s="992"/>
    </row>
    <row r="145" spans="1:18" hidden="1">
      <c r="C145" t="s">
        <v>173</v>
      </c>
      <c r="E145" s="3611" t="s">
        <v>2812</v>
      </c>
      <c r="F145" s="992"/>
      <c r="G145" s="992"/>
      <c r="H145" s="992"/>
      <c r="I145" s="992"/>
      <c r="J145" s="992"/>
      <c r="K145" s="992"/>
      <c r="L145" s="992"/>
      <c r="M145" s="992"/>
      <c r="N145" s="992"/>
    </row>
    <row r="146" spans="1:18" hidden="1">
      <c r="C146" t="s">
        <v>294</v>
      </c>
      <c r="E146" s="3611" t="s">
        <v>2812</v>
      </c>
      <c r="F146" s="992">
        <v>0</v>
      </c>
      <c r="G146" s="992">
        <v>0</v>
      </c>
      <c r="H146" s="992">
        <v>0</v>
      </c>
      <c r="I146" s="992">
        <v>0</v>
      </c>
      <c r="J146" s="992">
        <v>0</v>
      </c>
      <c r="K146" s="992">
        <v>0</v>
      </c>
      <c r="L146" s="992">
        <v>0</v>
      </c>
      <c r="M146" s="992">
        <v>0</v>
      </c>
      <c r="N146" s="992">
        <v>0</v>
      </c>
    </row>
    <row r="147" spans="1:18" s="6" customFormat="1">
      <c r="F147" s="374"/>
      <c r="R147" s="374"/>
    </row>
    <row r="148" spans="1:18" ht="23.25">
      <c r="A148" s="7"/>
      <c r="B148" s="511" t="s">
        <v>299</v>
      </c>
      <c r="C148" s="512"/>
      <c r="D148" s="512"/>
      <c r="E148" s="512"/>
      <c r="F148" s="512"/>
      <c r="G148" s="512"/>
      <c r="H148" s="512"/>
      <c r="I148" s="512"/>
      <c r="J148" s="512"/>
      <c r="K148" s="512"/>
      <c r="L148" s="512"/>
      <c r="M148" s="512"/>
      <c r="N148" s="512"/>
      <c r="O148" s="866"/>
      <c r="R148" s="374"/>
    </row>
    <row r="149" spans="1:18">
      <c r="B149" s="514"/>
      <c r="C149" s="515"/>
      <c r="D149" s="515"/>
      <c r="E149" s="515"/>
      <c r="F149" s="515"/>
      <c r="G149" s="515"/>
      <c r="H149" s="515"/>
      <c r="I149" s="515"/>
      <c r="J149" s="515"/>
      <c r="K149" s="515"/>
      <c r="L149" s="515"/>
      <c r="M149" s="515"/>
      <c r="N149" s="515"/>
      <c r="O149" s="867"/>
      <c r="R149" s="374"/>
    </row>
    <row r="150" spans="1:18">
      <c r="B150" s="514"/>
      <c r="C150" s="34" t="s">
        <v>765</v>
      </c>
      <c r="D150" s="515"/>
      <c r="E150" s="516" t="str">
        <f>Preferences.EnergyUnits</f>
        <v>TWh</v>
      </c>
      <c r="F150" s="515"/>
      <c r="G150" s="515"/>
      <c r="H150" s="515"/>
      <c r="I150" s="515"/>
      <c r="J150" s="515"/>
      <c r="K150" s="515"/>
      <c r="L150" s="515"/>
      <c r="M150" s="515"/>
      <c r="N150" s="515"/>
      <c r="O150" s="867"/>
      <c r="R150" s="374"/>
    </row>
    <row r="151" spans="1:18">
      <c r="B151" s="514"/>
      <c r="C151" s="515"/>
      <c r="D151" s="515"/>
      <c r="E151" s="515"/>
      <c r="F151" s="515"/>
      <c r="G151" s="515"/>
      <c r="H151" s="515"/>
      <c r="I151" s="515"/>
      <c r="J151" s="515"/>
      <c r="K151" s="515"/>
      <c r="L151" s="515"/>
      <c r="M151" s="515"/>
      <c r="N151" s="515"/>
      <c r="O151" s="867"/>
      <c r="R151" s="374"/>
    </row>
    <row r="152" spans="1:18" ht="15.75">
      <c r="A152" s="443"/>
      <c r="B152" s="15"/>
      <c r="C152" s="1741" t="s">
        <v>28</v>
      </c>
      <c r="D152" s="1741" t="s">
        <v>29</v>
      </c>
      <c r="E152" s="1741" t="s">
        <v>30</v>
      </c>
      <c r="F152" s="1741" t="s">
        <v>597</v>
      </c>
      <c r="G152" s="1741" t="s">
        <v>133</v>
      </c>
      <c r="H152" s="1741" t="s">
        <v>134</v>
      </c>
      <c r="I152" s="1741" t="s">
        <v>135</v>
      </c>
      <c r="J152" s="1741" t="s">
        <v>136</v>
      </c>
      <c r="K152" s="1741" t="s">
        <v>137</v>
      </c>
      <c r="L152" s="1741" t="s">
        <v>138</v>
      </c>
      <c r="M152" s="1741" t="s">
        <v>139</v>
      </c>
      <c r="N152" s="1741" t="s">
        <v>140</v>
      </c>
      <c r="O152" s="867"/>
    </row>
    <row r="153" spans="1:18" ht="15.75">
      <c r="A153" s="443"/>
      <c r="B153" s="15"/>
      <c r="C153" s="1741" t="s">
        <v>416</v>
      </c>
      <c r="D153" s="3079" t="str">
        <f>INDEX(Vectors[Description], MATCH([Vector], Vectors[Code], 0))</f>
        <v>Lighting &amp; appliances</v>
      </c>
      <c r="E153" s="1741"/>
      <c r="F153" s="1744">
        <f>F115+F116</f>
        <v>4.5299999999999994</v>
      </c>
      <c r="G153" s="1744">
        <f t="shared" ref="G153:N153" si="13">G115+G116</f>
        <v>4.5663243243243201</v>
      </c>
      <c r="H153" s="1744">
        <f t="shared" si="13"/>
        <v>4.65713513513513</v>
      </c>
      <c r="I153" s="1744">
        <f t="shared" si="13"/>
        <v>4.7479459459459399</v>
      </c>
      <c r="J153" s="1744">
        <f t="shared" si="13"/>
        <v>4.8387567567567498</v>
      </c>
      <c r="K153" s="1744">
        <f t="shared" si="13"/>
        <v>4.9295675675675703</v>
      </c>
      <c r="L153" s="1744">
        <f t="shared" si="13"/>
        <v>5.0203783783783802</v>
      </c>
      <c r="M153" s="1744">
        <f t="shared" si="13"/>
        <v>5.1111891891891901</v>
      </c>
      <c r="N153" s="1744">
        <f t="shared" si="13"/>
        <v>5.202</v>
      </c>
      <c r="O153" s="867"/>
    </row>
    <row r="154" spans="1:18" ht="15.75">
      <c r="A154" s="443"/>
      <c r="B154" s="15"/>
      <c r="C154" s="1741" t="s">
        <v>96</v>
      </c>
      <c r="D154" s="3079" t="str">
        <f>INDEX(Vectors[Description], MATCH([Vector], Vectors[Code], 0))</f>
        <v>Electricity (delivered to end user)</v>
      </c>
      <c r="E154" s="1741"/>
      <c r="F154" s="1744">
        <f>-F115</f>
        <v>-4.0419999999999998</v>
      </c>
      <c r="G154" s="1744">
        <f t="shared" ref="G154:N155" si="14">-G115</f>
        <v>-4.0781081081081041</v>
      </c>
      <c r="H154" s="1744">
        <f t="shared" si="14"/>
        <v>-4.1683783783783737</v>
      </c>
      <c r="I154" s="1744">
        <f t="shared" si="14"/>
        <v>-4.2586486486486441</v>
      </c>
      <c r="J154" s="1744">
        <f t="shared" si="14"/>
        <v>-4.3489189189189137</v>
      </c>
      <c r="K154" s="1744">
        <f t="shared" si="14"/>
        <v>-4.4391891891891904</v>
      </c>
      <c r="L154" s="1744">
        <f t="shared" si="14"/>
        <v>-4.5294594594594599</v>
      </c>
      <c r="M154" s="1744">
        <f t="shared" si="14"/>
        <v>-4.6197297297297304</v>
      </c>
      <c r="N154" s="1744">
        <f t="shared" si="14"/>
        <v>-4.71</v>
      </c>
      <c r="O154" s="867"/>
    </row>
    <row r="155" spans="1:18" ht="15.75">
      <c r="A155" s="443"/>
      <c r="B155" s="15"/>
      <c r="C155" s="1741" t="s">
        <v>100</v>
      </c>
      <c r="D155" s="3079" t="str">
        <f>INDEX(Vectors[Description], MATCH([Vector], Vectors[Code], 0))</f>
        <v>Gaseous hydrocarbons</v>
      </c>
      <c r="E155" s="1741"/>
      <c r="F155" s="1744">
        <f>-F116</f>
        <v>-0.48799999999999999</v>
      </c>
      <c r="G155" s="1744">
        <f t="shared" si="14"/>
        <v>-0.48821621621621603</v>
      </c>
      <c r="H155" s="1744">
        <f t="shared" si="14"/>
        <v>-0.48875675675675601</v>
      </c>
      <c r="I155" s="1744">
        <f t="shared" si="14"/>
        <v>-0.48929729729729604</v>
      </c>
      <c r="J155" s="1744">
        <f t="shared" si="14"/>
        <v>-0.48983783783783602</v>
      </c>
      <c r="K155" s="1744">
        <f t="shared" si="14"/>
        <v>-0.49037837837838005</v>
      </c>
      <c r="L155" s="1744">
        <f t="shared" si="14"/>
        <v>-0.49091891891892003</v>
      </c>
      <c r="M155" s="1744">
        <f t="shared" si="14"/>
        <v>-0.49145945945946007</v>
      </c>
      <c r="N155" s="1744">
        <f t="shared" si="14"/>
        <v>-0.49199999999999999</v>
      </c>
      <c r="O155" s="867"/>
    </row>
    <row r="156" spans="1:18" ht="15.75">
      <c r="A156" s="443"/>
      <c r="B156" s="15"/>
      <c r="C156" s="3557" t="s">
        <v>59</v>
      </c>
      <c r="D156" s="3557"/>
      <c r="E156" s="3557"/>
      <c r="F156" s="3078">
        <f>SUBTOTAL(109,[2013])</f>
        <v>-4.4408920985006262E-16</v>
      </c>
      <c r="G156" s="3078">
        <f>SUBTOTAL(109,[2015])</f>
        <v>0</v>
      </c>
      <c r="H156" s="3078">
        <f>SUBTOTAL(109,[2020])</f>
        <v>0</v>
      </c>
      <c r="I156" s="3078">
        <f>SUBTOTAL(109,[2025])</f>
        <v>0</v>
      </c>
      <c r="J156" s="3078">
        <f>SUBTOTAL(109,[2030])</f>
        <v>0</v>
      </c>
      <c r="K156" s="3078">
        <f>SUBTOTAL(109,[2035])</f>
        <v>0</v>
      </c>
      <c r="L156" s="3078">
        <f>SUBTOTAL(109,[2040])</f>
        <v>0</v>
      </c>
      <c r="M156" s="3078">
        <f>SUBTOTAL(109,[2045])</f>
        <v>0</v>
      </c>
      <c r="N156" s="3078">
        <f>SUBTOTAL(109,[2050])</f>
        <v>0</v>
      </c>
      <c r="O156" s="867"/>
    </row>
    <row r="157" spans="1:18">
      <c r="B157" s="515"/>
      <c r="C157" s="452"/>
      <c r="D157" s="452"/>
      <c r="E157" s="452"/>
      <c r="F157" s="1337"/>
      <c r="G157" s="452"/>
      <c r="H157" s="452"/>
      <c r="I157" s="452"/>
      <c r="J157" s="452"/>
      <c r="K157" s="452"/>
      <c r="L157" s="452"/>
      <c r="M157" s="452"/>
      <c r="N157" s="452"/>
      <c r="O157" s="515"/>
    </row>
    <row r="158" spans="1:18" ht="23.25">
      <c r="A158" s="7"/>
    </row>
    <row r="159" spans="1:18" ht="15.75">
      <c r="B159" s="1127" t="s">
        <v>303</v>
      </c>
      <c r="C159" s="1128"/>
      <c r="D159" s="1129"/>
      <c r="E159" s="1129"/>
      <c r="F159" s="1129"/>
      <c r="G159" s="1129"/>
      <c r="H159" s="1129"/>
      <c r="I159" s="1129"/>
      <c r="J159" s="1129"/>
      <c r="K159" s="1129"/>
      <c r="L159" s="1129"/>
      <c r="M159" s="1129"/>
      <c r="N159" s="1129"/>
      <c r="O159" s="1130"/>
    </row>
    <row r="160" spans="1:18">
      <c r="B160" s="1131"/>
      <c r="C160" s="1132"/>
      <c r="D160" s="1132"/>
      <c r="E160" s="1132"/>
      <c r="F160" s="1132"/>
      <c r="G160" s="1132"/>
      <c r="H160" s="1132"/>
      <c r="I160" s="1132"/>
      <c r="J160" s="1132"/>
      <c r="K160" s="1132"/>
      <c r="L160" s="1132"/>
      <c r="M160" s="1132"/>
      <c r="N160" s="1132"/>
      <c r="O160" s="1133"/>
    </row>
    <row r="161" spans="2:15">
      <c r="B161" s="1134"/>
      <c r="C161" s="462" t="s">
        <v>1028</v>
      </c>
      <c r="D161" s="1135"/>
      <c r="E161" s="1136"/>
      <c r="F161" s="1135"/>
      <c r="G161" s="1135"/>
      <c r="H161" s="1135"/>
      <c r="I161" s="1135"/>
      <c r="J161" s="1135"/>
      <c r="K161" s="1135"/>
      <c r="L161" s="1135"/>
      <c r="M161" s="1135"/>
      <c r="N161" s="1137" t="s">
        <v>254</v>
      </c>
      <c r="O161" s="1138"/>
    </row>
    <row r="162" spans="2:15">
      <c r="B162" s="1134"/>
      <c r="C162" s="1135"/>
      <c r="D162" s="1135"/>
      <c r="E162" s="1135"/>
      <c r="F162" s="1135"/>
      <c r="G162" s="1135"/>
      <c r="H162" s="1135"/>
      <c r="I162" s="1135"/>
      <c r="J162" s="1135"/>
      <c r="K162" s="1135"/>
      <c r="L162" s="1135"/>
      <c r="M162" s="1135"/>
      <c r="N162" s="1135"/>
      <c r="O162" s="1138"/>
    </row>
    <row r="163" spans="2:15" ht="15.75">
      <c r="B163" s="467"/>
      <c r="C163" s="1339" t="s">
        <v>305</v>
      </c>
      <c r="D163" s="1339" t="s">
        <v>306</v>
      </c>
      <c r="E163" s="1339" t="s">
        <v>30</v>
      </c>
      <c r="F163" s="1339" t="s">
        <v>597</v>
      </c>
      <c r="G163" s="1339" t="s">
        <v>133</v>
      </c>
      <c r="H163" s="1339" t="s">
        <v>134</v>
      </c>
      <c r="I163" s="1339" t="s">
        <v>135</v>
      </c>
      <c r="J163" s="1339" t="s">
        <v>136</v>
      </c>
      <c r="K163" s="1339" t="s">
        <v>137</v>
      </c>
      <c r="L163" s="1339" t="s">
        <v>138</v>
      </c>
      <c r="M163" s="1339" t="s">
        <v>139</v>
      </c>
      <c r="N163" s="1339" t="s">
        <v>140</v>
      </c>
      <c r="O163" s="1138"/>
    </row>
    <row r="164" spans="2:15" ht="15.75">
      <c r="B164" s="467"/>
      <c r="C164" s="1140" t="s">
        <v>253</v>
      </c>
      <c r="D164" s="1141" t="s">
        <v>307</v>
      </c>
      <c r="E164" s="1140" t="s">
        <v>308</v>
      </c>
      <c r="F164" s="470">
        <f>F120</f>
        <v>9.9903945599999988E-2</v>
      </c>
      <c r="G164" s="470">
        <f t="shared" ref="G164:N166" si="15">G120</f>
        <v>9.9948209643243205E-2</v>
      </c>
      <c r="H164" s="470">
        <f t="shared" si="15"/>
        <v>0.1000588697513512</v>
      </c>
      <c r="I164" s="470">
        <f t="shared" si="15"/>
        <v>0.10016952985945919</v>
      </c>
      <c r="J164" s="470">
        <f t="shared" si="15"/>
        <v>0.10028018996756718</v>
      </c>
      <c r="K164" s="470">
        <f t="shared" si="15"/>
        <v>0.10039085007567601</v>
      </c>
      <c r="L164" s="470">
        <f t="shared" si="15"/>
        <v>0.100501510183784</v>
      </c>
      <c r="M164" s="470">
        <f t="shared" si="15"/>
        <v>0.10061217029189201</v>
      </c>
      <c r="N164" s="470">
        <f t="shared" si="15"/>
        <v>0.10072283039999999</v>
      </c>
      <c r="O164" s="1138"/>
    </row>
    <row r="165" spans="2:15" ht="15.75">
      <c r="B165" s="467"/>
      <c r="C165" s="1140" t="s">
        <v>255</v>
      </c>
      <c r="D165" s="1141" t="s">
        <v>307</v>
      </c>
      <c r="E165" s="1140" t="s">
        <v>308</v>
      </c>
      <c r="F165" s="470">
        <f>F121</f>
        <v>3.68928E-5</v>
      </c>
      <c r="G165" s="470">
        <f t="shared" si="15"/>
        <v>3.6909145945945936E-5</v>
      </c>
      <c r="H165" s="470">
        <f t="shared" si="15"/>
        <v>3.695001081081076E-5</v>
      </c>
      <c r="I165" s="470">
        <f t="shared" si="15"/>
        <v>3.6990875675675583E-5</v>
      </c>
      <c r="J165" s="470">
        <f t="shared" si="15"/>
        <v>3.7031740540540407E-5</v>
      </c>
      <c r="K165" s="470">
        <f t="shared" si="15"/>
        <v>3.7072605405405535E-5</v>
      </c>
      <c r="L165" s="470">
        <f t="shared" si="15"/>
        <v>3.7113470270270359E-5</v>
      </c>
      <c r="M165" s="470">
        <f t="shared" si="15"/>
        <v>3.7154335135135182E-5</v>
      </c>
      <c r="N165" s="470">
        <f t="shared" si="15"/>
        <v>3.7195200000000006E-5</v>
      </c>
      <c r="O165" s="1138"/>
    </row>
    <row r="166" spans="2:15" ht="15.75">
      <c r="B166" s="467"/>
      <c r="C166" s="1140" t="s">
        <v>256</v>
      </c>
      <c r="D166" s="1141" t="s">
        <v>307</v>
      </c>
      <c r="E166" s="1140" t="s">
        <v>308</v>
      </c>
      <c r="F166" s="470">
        <f>F122</f>
        <v>1.5793631999999999E-3</v>
      </c>
      <c r="G166" s="470">
        <f t="shared" si="15"/>
        <v>1.5800629621621615E-3</v>
      </c>
      <c r="H166" s="470">
        <f t="shared" si="15"/>
        <v>1.5818123675675651E-3</v>
      </c>
      <c r="I166" s="470">
        <f t="shared" si="15"/>
        <v>1.5835617729729689E-3</v>
      </c>
      <c r="J166" s="470">
        <f t="shared" si="15"/>
        <v>1.5853111783783725E-3</v>
      </c>
      <c r="K166" s="470">
        <f t="shared" si="15"/>
        <v>1.5870605837837893E-3</v>
      </c>
      <c r="L166" s="470">
        <f t="shared" si="15"/>
        <v>1.5888099891891929E-3</v>
      </c>
      <c r="M166" s="470">
        <f t="shared" si="15"/>
        <v>1.5905593945945967E-3</v>
      </c>
      <c r="N166" s="470">
        <f t="shared" si="15"/>
        <v>1.5923088E-3</v>
      </c>
      <c r="O166" s="1138"/>
    </row>
    <row r="167" spans="2:15" ht="15.75">
      <c r="B167" s="467"/>
      <c r="C167" s="2466" t="s">
        <v>59</v>
      </c>
      <c r="D167" s="2466"/>
      <c r="E167" s="2466"/>
      <c r="F167" s="3558"/>
      <c r="G167" s="3558"/>
      <c r="H167" s="3558"/>
      <c r="I167" s="3558"/>
      <c r="J167" s="3558"/>
      <c r="K167" s="3558"/>
      <c r="L167" s="3558"/>
      <c r="M167" s="3558"/>
      <c r="N167" s="3559">
        <f>SUBTOTAL(109,[2050])</f>
        <v>0.10235233439999999</v>
      </c>
      <c r="O167" s="1138"/>
    </row>
    <row r="168" spans="2:15">
      <c r="B168" s="477"/>
      <c r="C168" s="477"/>
      <c r="D168" s="477"/>
      <c r="E168" s="477"/>
      <c r="F168" s="477"/>
      <c r="G168" s="477"/>
      <c r="H168" s="477"/>
      <c r="I168" s="477"/>
      <c r="J168" s="477"/>
      <c r="K168" s="477"/>
      <c r="L168" s="477"/>
      <c r="M168" s="477"/>
      <c r="N168" s="477"/>
      <c r="O168" s="477"/>
    </row>
    <row r="169" spans="2:15">
      <c r="B169" s="477"/>
      <c r="C169" s="475" t="s">
        <v>2758</v>
      </c>
      <c r="D169" s="1384"/>
      <c r="E169" s="1140"/>
      <c r="F169" s="471"/>
      <c r="G169" s="471"/>
      <c r="H169" s="471"/>
      <c r="I169" s="471"/>
      <c r="J169" s="471"/>
      <c r="K169" s="471"/>
      <c r="L169" s="471"/>
      <c r="M169" s="471"/>
      <c r="N169" s="1143" t="s">
        <v>850</v>
      </c>
      <c r="O169" s="477"/>
    </row>
    <row r="170" spans="2:15">
      <c r="B170" s="477"/>
      <c r="C170" s="3560"/>
      <c r="D170" s="3560"/>
      <c r="E170" s="3560"/>
      <c r="F170" s="3560"/>
      <c r="G170" s="3560"/>
      <c r="H170" s="3560"/>
      <c r="I170" s="3560"/>
      <c r="J170" s="3560"/>
      <c r="K170" s="3560"/>
      <c r="L170" s="3560"/>
      <c r="M170" s="3560"/>
      <c r="N170" s="3560"/>
      <c r="O170" s="477"/>
    </row>
    <row r="171" spans="2:15">
      <c r="B171" s="477"/>
      <c r="C171" s="1762" t="s">
        <v>28</v>
      </c>
      <c r="D171" s="1763" t="s">
        <v>29</v>
      </c>
      <c r="E171" s="1763" t="s">
        <v>306</v>
      </c>
      <c r="F171" s="1763" t="s">
        <v>597</v>
      </c>
      <c r="G171" s="1763" t="s">
        <v>133</v>
      </c>
      <c r="H171" s="1763" t="s">
        <v>134</v>
      </c>
      <c r="I171" s="1763" t="s">
        <v>135</v>
      </c>
      <c r="J171" s="1763" t="s">
        <v>136</v>
      </c>
      <c r="K171" s="1763" t="s">
        <v>137</v>
      </c>
      <c r="L171" s="1763" t="s">
        <v>138</v>
      </c>
      <c r="M171" s="1763" t="s">
        <v>139</v>
      </c>
      <c r="N171" s="1764" t="s">
        <v>140</v>
      </c>
      <c r="O171" s="477"/>
    </row>
    <row r="172" spans="2:15">
      <c r="B172" s="477"/>
      <c r="C172" s="3631" t="str">
        <f>INDEX(AirQualityVectors[Code],MATCH(D172,AirQualityVectors[Description],0))</f>
        <v>AQ.01</v>
      </c>
      <c r="D172" s="1387" t="s">
        <v>261</v>
      </c>
      <c r="E172" s="1386" t="s">
        <v>307</v>
      </c>
      <c r="F172" s="3552">
        <f ca="1">F51*F$116*(1-'Intermediate output'!AY$255*(1-Constants!$F$37))</f>
        <v>9.1774675111195225E-4</v>
      </c>
      <c r="G172" s="3552">
        <f ca="1">G51*G$116*(1-'Intermediate output'!AZ$255*(1-Constants!$F$37))</f>
        <v>9.4018920391792933E-4</v>
      </c>
      <c r="H172" s="3552">
        <f ca="1">H51*H$116*(1-'Intermediate output'!BA$255*(1-Constants!$F$37))</f>
        <v>1.0974588783852501E-3</v>
      </c>
      <c r="I172" s="3552">
        <f ca="1">I51*I$116*(1-'Intermediate output'!BB$255*(1-Constants!$F$37))</f>
        <v>1.4008758596207702E-3</v>
      </c>
      <c r="J172" s="3552">
        <f ca="1">J51*J$116*(1-'Intermediate output'!BC$255*(1-Constants!$F$37))</f>
        <v>2.3997862450140894E-3</v>
      </c>
      <c r="K172" s="3552">
        <f ca="1">K51*K$116*(1-'Intermediate output'!BD$255*(1-Constants!$F$37))</f>
        <v>2.6118178230109344E-3</v>
      </c>
      <c r="L172" s="3552">
        <f ca="1">L51*L$116*(1-'Intermediate output'!BE$255*(1-Constants!$F$37))</f>
        <v>2.7947780325796234E-3</v>
      </c>
      <c r="M172" s="3552">
        <f ca="1">M51*M$116*(1-'Intermediate output'!BF$255*(1-Constants!$F$37))</f>
        <v>2.8444171721547242E-3</v>
      </c>
      <c r="N172" s="3552">
        <f ca="1">N51*N$116*(1-'Intermediate output'!BG$255*(1-Constants!$F$37))</f>
        <v>2.8371945601213646E-3</v>
      </c>
      <c r="O172" s="477"/>
    </row>
    <row r="173" spans="2:15">
      <c r="B173" s="477"/>
      <c r="C173" s="3632" t="str">
        <f>INDEX(AirQualityVectors[Code],MATCH(D173,AirQualityVectors[Description],0))</f>
        <v>AQ.02</v>
      </c>
      <c r="D173" s="1388" t="s">
        <v>263</v>
      </c>
      <c r="E173" s="1385" t="s">
        <v>307</v>
      </c>
      <c r="F173" s="3553">
        <f ca="1">F56*F$116*(1-'Intermediate output'!AY$255*(1-Constants!$G$37))</f>
        <v>0.1227163006173074</v>
      </c>
      <c r="G173" s="3553">
        <f ca="1">G56*G$116*(1-'Intermediate output'!AZ$255*(1-Constants!$G$37))</f>
        <v>0.12262522949647471</v>
      </c>
      <c r="H173" s="3553">
        <f ca="1">H56*H$116*(1-'Intermediate output'!BA$255*(1-Constants!$G$37))</f>
        <v>0.12172984448138499</v>
      </c>
      <c r="I173" s="3553">
        <f ca="1">I56*I$116*(1-'Intermediate output'!BB$255*(1-Constants!$G$37))</f>
        <v>0.11986984703255464</v>
      </c>
      <c r="J173" s="3553">
        <f ca="1">J56*J$116*(1-'Intermediate output'!BC$255*(1-Constants!$G$37))</f>
        <v>0.11341940176726679</v>
      </c>
      <c r="K173" s="3553">
        <f ca="1">K56*K$116*(1-'Intermediate output'!BD$255*(1-Constants!$G$37))</f>
        <v>0.11216257312240489</v>
      </c>
      <c r="L173" s="3553">
        <f ca="1">L56*L$116*(1-'Intermediate output'!BE$255*(1-Constants!$G$37))</f>
        <v>0.11109762350748621</v>
      </c>
      <c r="M173" s="3553">
        <f ca="1">M56*M$116*(1-'Intermediate output'!BF$255*(1-Constants!$G$37))</f>
        <v>0.11091262963475168</v>
      </c>
      <c r="N173" s="3553">
        <f ca="1">N56*N$116*(1-'Intermediate output'!BG$255*(1-Constants!$G$37))</f>
        <v>0.11110293896683626</v>
      </c>
      <c r="O173" s="477"/>
    </row>
    <row r="174" spans="2:15">
      <c r="B174" s="477"/>
      <c r="C174" s="3632" t="str">
        <f>INDEX(AirQualityVectors[Code],MATCH(D174,AirQualityVectors[Description],0))</f>
        <v>AQ.03</v>
      </c>
      <c r="D174" s="1388" t="s">
        <v>265</v>
      </c>
      <c r="E174" s="1385" t="s">
        <v>307</v>
      </c>
      <c r="F174" s="3553">
        <f ca="1">F61*F$116*(1-'Intermediate output'!AY$255*(1-Constants!$H$37))</f>
        <v>0</v>
      </c>
      <c r="G174" s="3553">
        <f ca="1">G61*G$116*(1-'Intermediate output'!AZ$255*(1-Constants!$H$37))</f>
        <v>0</v>
      </c>
      <c r="H174" s="3553">
        <f ca="1">H61*H$116*(1-'Intermediate output'!BA$255*(1-Constants!$H$37))</f>
        <v>0</v>
      </c>
      <c r="I174" s="3553">
        <f ca="1">I61*I$116*(1-'Intermediate output'!BB$255*(1-Constants!$H$37))</f>
        <v>0</v>
      </c>
      <c r="J174" s="3553">
        <f ca="1">J61*J$116*(1-'Intermediate output'!BC$255*(1-Constants!$H$37))</f>
        <v>0</v>
      </c>
      <c r="K174" s="3553">
        <f ca="1">K61*K$116*(1-'Intermediate output'!BD$255*(1-Constants!$H$37))</f>
        <v>0</v>
      </c>
      <c r="L174" s="3553">
        <f ca="1">L61*L$116*(1-'Intermediate output'!BE$255*(1-Constants!$H$37))</f>
        <v>0</v>
      </c>
      <c r="M174" s="3553">
        <f ca="1">M61*M$116*(1-'Intermediate output'!BF$255*(1-Constants!$H$37))</f>
        <v>0</v>
      </c>
      <c r="N174" s="3553">
        <f ca="1">N61*N$116*(1-'Intermediate output'!BG$255*(1-Constants!$H$37))</f>
        <v>0</v>
      </c>
      <c r="O174" s="477"/>
    </row>
    <row r="175" spans="2:15">
      <c r="B175" s="477"/>
      <c r="C175" s="3633" t="str">
        <f>INDEX(AirQualityVectors[Code],MATCH(D175,AirQualityVectors[Description],0))</f>
        <v>AQ.04</v>
      </c>
      <c r="D175" s="1765" t="s">
        <v>267</v>
      </c>
      <c r="E175" s="1766" t="s">
        <v>307</v>
      </c>
      <c r="F175" s="3561">
        <f ca="1">F66*F$116*(1-'Intermediate output'!AY$255*(1-Constants!$I$37))</f>
        <v>1.7622644968264892E-2</v>
      </c>
      <c r="G175" s="3561">
        <f ca="1">G66*G$116*(1-'Intermediate output'!AZ$255*(1-Constants!$I$37))</f>
        <v>1.766105643683636E-2</v>
      </c>
      <c r="H175" s="3561">
        <f ca="1">H66*H$116*(1-'Intermediate output'!BA$255*(1-Constants!$I$37))</f>
        <v>1.7897581551062691E-2</v>
      </c>
      <c r="I175" s="3561">
        <f ca="1">I66*I$116*(1-'Intermediate output'!BB$255*(1-Constants!$I$37))</f>
        <v>1.8337076788988046E-2</v>
      </c>
      <c r="J175" s="3561">
        <f ca="1">J66*J$116*(1-'Intermediate output'!BC$255*(1-Constants!$I$37))</f>
        <v>1.9742476807476064E-2</v>
      </c>
      <c r="K175" s="3561">
        <f ca="1">K66*K$116*(1-'Intermediate output'!BD$255*(1-Constants!$I$37))</f>
        <v>2.005505553212595E-2</v>
      </c>
      <c r="L175" s="3561">
        <f ca="1">L66*L$116*(1-'Intermediate output'!BE$255*(1-Constants!$I$37))</f>
        <v>2.0327259792295691E-2</v>
      </c>
      <c r="M175" s="3561">
        <f ca="1">M66*M$116*(1-'Intermediate output'!BF$255*(1-Constants!$I$37))</f>
        <v>2.0414307071699417E-2</v>
      </c>
      <c r="N175" s="3561">
        <f ca="1">N66*N$116*(1-'Intermediate output'!BG$255*(1-Constants!$I$37))</f>
        <v>2.0422384460977026E-2</v>
      </c>
      <c r="O175" s="477"/>
    </row>
    <row r="176" spans="2:15" ht="15.75">
      <c r="B176" s="467"/>
      <c r="C176" s="477"/>
      <c r="D176" s="477"/>
      <c r="E176" s="477"/>
      <c r="F176" s="477"/>
      <c r="G176" s="477"/>
      <c r="H176" s="477"/>
      <c r="I176" s="477"/>
      <c r="J176" s="477"/>
      <c r="K176" s="477"/>
      <c r="L176" s="477"/>
      <c r="M176" s="477"/>
      <c r="N176" s="477"/>
      <c r="O176" s="1138"/>
    </row>
    <row r="177" spans="2:21" ht="15.75">
      <c r="B177" s="474"/>
      <c r="C177" s="1149"/>
      <c r="D177" s="1149"/>
      <c r="E177" s="1149"/>
      <c r="F177" s="1149"/>
      <c r="G177" s="1149"/>
      <c r="H177" s="1149"/>
      <c r="I177" s="1149"/>
      <c r="J177" s="1149"/>
      <c r="K177" s="1149"/>
      <c r="L177" s="1149"/>
      <c r="M177" s="1149"/>
      <c r="N177" s="1149"/>
      <c r="O177" s="1135"/>
    </row>
    <row r="178" spans="2:21">
      <c r="R178" s="1152"/>
      <c r="S178" s="1153"/>
      <c r="T178" s="1152"/>
      <c r="U178" s="1152"/>
    </row>
    <row r="179" spans="2:21">
      <c r="S179" s="6"/>
    </row>
    <row r="180" spans="2:21" ht="15.75">
      <c r="B180" s="995" t="s">
        <v>313</v>
      </c>
      <c r="C180" s="996"/>
      <c r="D180" s="997"/>
      <c r="E180" s="997"/>
      <c r="F180" s="997"/>
      <c r="G180" s="997"/>
      <c r="H180" s="997"/>
      <c r="I180" s="997"/>
      <c r="J180" s="997"/>
      <c r="K180" s="997"/>
      <c r="L180" s="997"/>
      <c r="M180" s="997"/>
      <c r="N180" s="997"/>
      <c r="O180" s="998"/>
      <c r="S180" s="6"/>
    </row>
    <row r="181" spans="2:21">
      <c r="B181" s="999"/>
      <c r="C181" s="1000"/>
      <c r="D181" s="1000"/>
      <c r="E181" s="1000"/>
      <c r="F181" s="1000"/>
      <c r="G181" s="1000"/>
      <c r="H181" s="1000"/>
      <c r="I181" s="1000"/>
      <c r="J181" s="1000"/>
      <c r="K181" s="1000"/>
      <c r="L181" s="1000"/>
      <c r="M181" s="1000"/>
      <c r="N181" s="1000"/>
      <c r="O181" s="1001"/>
      <c r="S181" s="6"/>
    </row>
    <row r="182" spans="2:21">
      <c r="B182" s="1002"/>
      <c r="C182" s="488" t="s">
        <v>314</v>
      </c>
      <c r="D182" s="1003"/>
      <c r="E182" s="1004"/>
      <c r="F182" s="1003"/>
      <c r="G182" s="1003"/>
      <c r="H182" s="1003"/>
      <c r="I182" s="1003"/>
      <c r="J182" s="1003"/>
      <c r="K182" s="1003"/>
      <c r="L182" s="1003"/>
      <c r="M182" s="1003"/>
      <c r="N182" s="1004"/>
      <c r="O182" s="1005"/>
    </row>
    <row r="183" spans="2:21">
      <c r="B183" s="1002"/>
      <c r="C183" s="1003"/>
      <c r="D183" s="1003"/>
      <c r="E183" s="1003"/>
      <c r="F183" s="1003"/>
      <c r="G183" s="1003"/>
      <c r="H183" s="1003"/>
      <c r="I183" s="1003"/>
      <c r="J183" s="1003"/>
      <c r="K183" s="1003"/>
      <c r="L183" s="1003"/>
      <c r="M183" s="1003"/>
      <c r="N183" s="1003"/>
      <c r="O183" s="1005"/>
    </row>
    <row r="184" spans="2:21" ht="15.75">
      <c r="B184" s="492"/>
      <c r="C184" s="1006" t="s">
        <v>28</v>
      </c>
      <c r="D184" s="1006" t="s">
        <v>315</v>
      </c>
      <c r="E184" s="1006" t="s">
        <v>30</v>
      </c>
      <c r="F184" s="1006">
        <v>2013</v>
      </c>
      <c r="G184" s="1006" t="s">
        <v>133</v>
      </c>
      <c r="H184" s="1006" t="s">
        <v>134</v>
      </c>
      <c r="I184" s="1006" t="s">
        <v>135</v>
      </c>
      <c r="J184" s="1006" t="s">
        <v>136</v>
      </c>
      <c r="K184" s="1006" t="s">
        <v>137</v>
      </c>
      <c r="L184" s="1006" t="s">
        <v>138</v>
      </c>
      <c r="M184" s="1006" t="s">
        <v>139</v>
      </c>
      <c r="N184" s="1006" t="s">
        <v>140</v>
      </c>
      <c r="O184" s="1005"/>
    </row>
    <row r="185" spans="2:21" ht="15.75">
      <c r="B185" s="492"/>
      <c r="C185" s="1007"/>
      <c r="D185" s="494"/>
      <c r="E185" s="494"/>
      <c r="F185" s="1008"/>
      <c r="G185" s="1008"/>
      <c r="H185" s="1008"/>
      <c r="I185" s="1008"/>
      <c r="J185" s="1008"/>
      <c r="K185" s="1008"/>
      <c r="L185" s="1008"/>
      <c r="M185" s="1008"/>
      <c r="N185" s="1008"/>
      <c r="O185" s="1005"/>
    </row>
    <row r="186" spans="2:21" ht="15.75">
      <c r="B186" s="492"/>
      <c r="C186" s="1007"/>
      <c r="D186" s="494"/>
      <c r="E186" s="494"/>
      <c r="F186" s="1008"/>
      <c r="G186" s="1008"/>
      <c r="H186" s="1008"/>
      <c r="I186" s="1008"/>
      <c r="J186" s="1008"/>
      <c r="K186" s="1008"/>
      <c r="L186" s="1008"/>
      <c r="M186" s="1008"/>
      <c r="N186" s="1008"/>
      <c r="O186" s="1005"/>
    </row>
    <row r="187" spans="2:21" ht="15.75">
      <c r="B187" s="497"/>
      <c r="C187" s="1010"/>
      <c r="D187" s="1010"/>
      <c r="E187" s="1010"/>
      <c r="F187" s="1010"/>
      <c r="G187" s="1010"/>
      <c r="H187" s="1010"/>
      <c r="I187" s="1010"/>
      <c r="J187" s="1010"/>
      <c r="K187" s="1010"/>
      <c r="L187" s="1010"/>
      <c r="M187" s="1010"/>
      <c r="N187" s="1010"/>
      <c r="O187" s="1011"/>
    </row>
    <row r="190" spans="2:21" ht="15.75">
      <c r="B190" s="995" t="s">
        <v>2795</v>
      </c>
      <c r="C190" s="997"/>
      <c r="D190" s="997"/>
      <c r="E190" s="997"/>
      <c r="F190" s="997"/>
      <c r="G190" s="997"/>
      <c r="H190" s="997"/>
      <c r="I190" s="997"/>
      <c r="J190" s="997"/>
      <c r="K190" s="997"/>
      <c r="L190" s="997"/>
      <c r="M190" s="997"/>
      <c r="N190" s="997"/>
      <c r="O190" s="998"/>
    </row>
    <row r="191" spans="2:21" hidden="1">
      <c r="B191" s="1002"/>
      <c r="C191" s="1003"/>
      <c r="D191" s="1003"/>
      <c r="E191" s="1003"/>
      <c r="F191" s="1003"/>
      <c r="G191" s="1003"/>
      <c r="H191" s="1003"/>
      <c r="I191" s="1003"/>
      <c r="J191" s="1003"/>
      <c r="K191" s="1003"/>
      <c r="L191" s="1003"/>
      <c r="M191" s="1003"/>
      <c r="N191" s="1003"/>
      <c r="O191" s="1005"/>
    </row>
    <row r="192" spans="2:21" hidden="1">
      <c r="B192" s="1002"/>
      <c r="C192" s="500" t="s">
        <v>770</v>
      </c>
      <c r="D192" s="1012"/>
      <c r="E192" s="1012"/>
      <c r="F192" s="1012"/>
      <c r="G192" s="1012"/>
      <c r="H192" s="1012"/>
      <c r="I192" s="1012"/>
      <c r="J192" s="1012"/>
      <c r="K192" s="1012"/>
      <c r="L192" s="1012"/>
      <c r="M192" s="1012"/>
      <c r="N192" s="1012"/>
      <c r="O192" s="1005"/>
    </row>
    <row r="193" spans="2:15" hidden="1">
      <c r="B193" s="1002"/>
      <c r="C193" s="1003"/>
      <c r="D193" s="1003"/>
      <c r="E193" s="1003"/>
      <c r="F193" s="1003"/>
      <c r="G193" s="1003"/>
      <c r="H193" s="1003"/>
      <c r="I193" s="1003"/>
      <c r="J193" s="1003"/>
      <c r="K193" s="1003"/>
      <c r="L193" s="1003"/>
      <c r="M193" s="1003"/>
      <c r="N193" s="1003"/>
      <c r="O193" s="1005"/>
    </row>
    <row r="194" spans="2:15" ht="15.75" hidden="1">
      <c r="B194" s="492"/>
      <c r="C194" s="1006" t="s">
        <v>28</v>
      </c>
      <c r="D194" s="1006" t="s">
        <v>29</v>
      </c>
      <c r="E194" s="1006" t="s">
        <v>30</v>
      </c>
      <c r="F194" s="1006">
        <v>2013</v>
      </c>
      <c r="G194" s="1006" t="s">
        <v>133</v>
      </c>
      <c r="H194" s="1006" t="s">
        <v>134</v>
      </c>
      <c r="I194" s="1006" t="s">
        <v>135</v>
      </c>
      <c r="J194" s="1006" t="s">
        <v>136</v>
      </c>
      <c r="K194" s="1006" t="s">
        <v>137</v>
      </c>
      <c r="L194" s="1006" t="s">
        <v>138</v>
      </c>
      <c r="M194" s="1006" t="s">
        <v>139</v>
      </c>
      <c r="N194" s="1006" t="s">
        <v>140</v>
      </c>
      <c r="O194" s="1150"/>
    </row>
    <row r="195" spans="2:15" ht="15.75" hidden="1">
      <c r="B195" s="492"/>
      <c r="C195" s="1007" t="s">
        <v>324</v>
      </c>
      <c r="D195" s="494" t="s">
        <v>325</v>
      </c>
      <c r="E195" s="494"/>
      <c r="F195" s="1008">
        <v>0</v>
      </c>
      <c r="G195" s="1008">
        <v>0</v>
      </c>
      <c r="H195" s="1008">
        <v>0</v>
      </c>
      <c r="I195" s="1008">
        <v>0</v>
      </c>
      <c r="J195" s="1008">
        <v>0</v>
      </c>
      <c r="K195" s="1008">
        <v>0</v>
      </c>
      <c r="L195" s="1008">
        <v>0</v>
      </c>
      <c r="M195" s="1008">
        <v>0</v>
      </c>
      <c r="N195" s="1008">
        <v>0</v>
      </c>
      <c r="O195" s="1150"/>
    </row>
    <row r="196" spans="2:15" ht="15.75" hidden="1">
      <c r="B196" s="492"/>
      <c r="C196" s="1007" t="s">
        <v>331</v>
      </c>
      <c r="D196" s="494" t="s">
        <v>332</v>
      </c>
      <c r="E196" s="494"/>
      <c r="F196" s="1008"/>
      <c r="G196" s="1008"/>
      <c r="H196" s="1008"/>
      <c r="I196" s="1008"/>
      <c r="J196" s="1008"/>
      <c r="K196" s="1008"/>
      <c r="L196" s="1008"/>
      <c r="M196" s="1008"/>
      <c r="N196" s="1008"/>
      <c r="O196" s="1150"/>
    </row>
    <row r="197" spans="2:15" ht="15.75" hidden="1">
      <c r="B197" s="492"/>
      <c r="C197" s="1007" t="s">
        <v>771</v>
      </c>
      <c r="D197" s="494" t="s">
        <v>772</v>
      </c>
      <c r="E197" s="494"/>
      <c r="F197" s="1008"/>
      <c r="G197" s="1008"/>
      <c r="H197" s="1008"/>
      <c r="I197" s="1008"/>
      <c r="J197" s="1008"/>
      <c r="K197" s="1008"/>
      <c r="L197" s="1008"/>
      <c r="M197" s="1008"/>
      <c r="N197" s="1008"/>
      <c r="O197" s="1150"/>
    </row>
    <row r="198" spans="2:15" ht="15.75" hidden="1">
      <c r="B198" s="492"/>
      <c r="C198" s="1007" t="s">
        <v>326</v>
      </c>
      <c r="D198" s="1007" t="s">
        <v>327</v>
      </c>
      <c r="E198" s="494"/>
      <c r="F198" s="1008"/>
      <c r="G198" s="1008">
        <v>0</v>
      </c>
      <c r="H198" s="1008">
        <v>0</v>
      </c>
      <c r="I198" s="1008">
        <v>0</v>
      </c>
      <c r="J198" s="1008">
        <v>0</v>
      </c>
      <c r="K198" s="1008">
        <v>0</v>
      </c>
      <c r="L198" s="1008">
        <v>0</v>
      </c>
      <c r="M198" s="1008">
        <v>0</v>
      </c>
      <c r="N198" s="1008">
        <v>0</v>
      </c>
      <c r="O198" s="1150"/>
    </row>
    <row r="199" spans="2:15" ht="15.75" hidden="1">
      <c r="B199" s="492"/>
      <c r="C199" s="1007" t="s">
        <v>333</v>
      </c>
      <c r="D199" s="1007" t="s">
        <v>1371</v>
      </c>
      <c r="E199" s="494"/>
      <c r="F199" s="1008"/>
      <c r="G199" s="1008"/>
      <c r="H199" s="1008"/>
      <c r="I199" s="1008"/>
      <c r="J199" s="1008"/>
      <c r="K199" s="1008"/>
      <c r="L199" s="1008"/>
      <c r="M199" s="1008"/>
      <c r="N199" s="1008"/>
      <c r="O199" s="1150"/>
    </row>
    <row r="200" spans="2:15" ht="15.75" hidden="1">
      <c r="B200" s="492"/>
      <c r="C200" s="1007" t="s">
        <v>773</v>
      </c>
      <c r="D200" s="1007" t="s">
        <v>774</v>
      </c>
      <c r="E200" s="494"/>
      <c r="F200" s="1008"/>
      <c r="G200" s="1008"/>
      <c r="H200" s="1008"/>
      <c r="I200" s="1008"/>
      <c r="J200" s="1008"/>
      <c r="K200" s="1008"/>
      <c r="L200" s="1008"/>
      <c r="M200" s="1008"/>
      <c r="N200" s="1008"/>
      <c r="O200" s="1150"/>
    </row>
    <row r="201" spans="2:15" hidden="1">
      <c r="B201" s="503"/>
      <c r="C201" s="1007" t="s">
        <v>328</v>
      </c>
      <c r="D201" s="494" t="s">
        <v>329</v>
      </c>
      <c r="E201" s="494"/>
      <c r="F201" s="1008">
        <v>0</v>
      </c>
      <c r="G201" s="1008">
        <v>0</v>
      </c>
      <c r="H201" s="1008">
        <v>0</v>
      </c>
      <c r="I201" s="1008">
        <v>0</v>
      </c>
      <c r="J201" s="1008">
        <v>0</v>
      </c>
      <c r="K201" s="1008">
        <v>0</v>
      </c>
      <c r="L201" s="1008">
        <v>0</v>
      </c>
      <c r="M201" s="1008">
        <v>0</v>
      </c>
      <c r="N201" s="1008">
        <v>0</v>
      </c>
      <c r="O201" s="1151"/>
    </row>
    <row r="202" spans="2:15" hidden="1">
      <c r="B202" s="503"/>
      <c r="C202" s="1007" t="s">
        <v>335</v>
      </c>
      <c r="D202" s="494" t="s">
        <v>336</v>
      </c>
      <c r="E202" s="494"/>
      <c r="F202" s="1008"/>
      <c r="G202" s="1008"/>
      <c r="H202" s="1008"/>
      <c r="I202" s="1008"/>
      <c r="J202" s="1008"/>
      <c r="K202" s="1008"/>
      <c r="L202" s="1008"/>
      <c r="M202" s="1008"/>
      <c r="N202" s="1008"/>
      <c r="O202" s="1151"/>
    </row>
    <row r="203" spans="2:15" hidden="1">
      <c r="B203" s="503"/>
      <c r="C203" s="1007" t="s">
        <v>775</v>
      </c>
      <c r="D203" s="494" t="s">
        <v>776</v>
      </c>
      <c r="E203" s="494"/>
      <c r="F203" s="1008"/>
      <c r="G203" s="1008"/>
      <c r="H203" s="1008"/>
      <c r="I203" s="1008"/>
      <c r="J203" s="1008"/>
      <c r="K203" s="1008"/>
      <c r="L203" s="1008"/>
      <c r="M203" s="1008"/>
      <c r="N203" s="1008"/>
      <c r="O203" s="1151"/>
    </row>
    <row r="204" spans="2:15" hidden="1">
      <c r="B204" s="1014"/>
      <c r="C204" s="1010"/>
      <c r="D204" s="1010"/>
      <c r="E204" s="1010"/>
      <c r="F204" s="1010"/>
      <c r="G204" s="1010"/>
      <c r="H204" s="1010"/>
      <c r="I204" s="1010"/>
      <c r="J204" s="1010"/>
      <c r="K204" s="1010"/>
      <c r="L204" s="1010"/>
      <c r="M204" s="1010"/>
      <c r="N204" s="1010"/>
      <c r="O204" s="1015"/>
    </row>
    <row r="417" spans="30:86">
      <c r="AD417" s="1390"/>
      <c r="AE417" s="1390"/>
      <c r="AF417" s="1390"/>
      <c r="AG417" s="1390"/>
      <c r="AH417" s="1390"/>
      <c r="AI417" s="1390"/>
      <c r="AJ417" s="1390"/>
      <c r="AK417" s="1390"/>
      <c r="AL417" s="1390"/>
      <c r="AM417" s="1390"/>
      <c r="AN417" s="1390"/>
      <c r="AO417" s="1390"/>
      <c r="AP417" s="1390"/>
      <c r="AQ417" s="1390"/>
      <c r="AR417" s="1390"/>
      <c r="AS417" s="1390"/>
      <c r="AT417" s="1390"/>
      <c r="AU417" s="1767"/>
      <c r="AV417" s="1390"/>
      <c r="AW417" s="1390"/>
      <c r="AX417" s="1390"/>
      <c r="AY417" s="1390"/>
      <c r="AZ417" s="1390"/>
      <c r="BA417" s="1390"/>
      <c r="BB417" s="1390"/>
      <c r="BC417" s="1390"/>
      <c r="BD417" s="1390"/>
      <c r="BE417" s="1390"/>
      <c r="BF417" s="1390"/>
      <c r="BG417" s="1390"/>
      <c r="BH417" s="1390"/>
      <c r="BI417" s="1390"/>
      <c r="BJ417" s="1390">
        <v>0</v>
      </c>
      <c r="BK417" s="1390">
        <v>0</v>
      </c>
      <c r="BL417" s="1390">
        <v>0</v>
      </c>
      <c r="BM417" s="1390">
        <v>0</v>
      </c>
      <c r="BN417" s="1390">
        <v>0</v>
      </c>
      <c r="BO417" s="1390">
        <v>0</v>
      </c>
      <c r="BP417" s="1390">
        <v>0</v>
      </c>
      <c r="BQ417" s="1390">
        <v>0</v>
      </c>
      <c r="BR417" s="1390">
        <v>0</v>
      </c>
      <c r="BS417" s="1390">
        <v>0</v>
      </c>
      <c r="BT417" s="1390">
        <v>0</v>
      </c>
      <c r="BU417" s="1768"/>
      <c r="BV417" s="1768"/>
      <c r="BW417" s="1390">
        <v>0</v>
      </c>
      <c r="BX417" s="1390">
        <v>0</v>
      </c>
      <c r="BY417" s="1390">
        <v>0</v>
      </c>
      <c r="BZ417" s="1390">
        <v>0</v>
      </c>
      <c r="CA417" s="1390">
        <v>0</v>
      </c>
      <c r="CB417" s="1390">
        <v>0</v>
      </c>
      <c r="CC417" s="1390">
        <v>0</v>
      </c>
      <c r="CD417" s="1390">
        <v>0</v>
      </c>
      <c r="CE417" s="1390">
        <v>0</v>
      </c>
      <c r="CF417" s="1390">
        <v>0</v>
      </c>
      <c r="CG417" s="1390">
        <v>0</v>
      </c>
      <c r="CH417" s="1768"/>
    </row>
    <row r="418" spans="30:86">
      <c r="AU418" s="39"/>
      <c r="AV418" s="39"/>
      <c r="AW418" s="1769"/>
      <c r="AX418" s="1769"/>
      <c r="AY418" s="1769"/>
      <c r="AZ418" s="1769"/>
      <c r="BA418" s="1769"/>
      <c r="BB418" s="1769"/>
      <c r="BC418" s="1769"/>
      <c r="BD418" s="1769"/>
      <c r="BE418" s="1769"/>
      <c r="BF418" s="1769"/>
      <c r="BG418" s="1769"/>
      <c r="BH418" s="39"/>
      <c r="BI418" s="39"/>
      <c r="BJ418" s="1769">
        <v>0</v>
      </c>
      <c r="BK418" s="1769">
        <v>0</v>
      </c>
      <c r="BL418" s="1769">
        <v>0</v>
      </c>
      <c r="BM418" s="1769">
        <v>0</v>
      </c>
      <c r="BN418" s="1769">
        <v>0</v>
      </c>
      <c r="BO418" s="1769">
        <v>0</v>
      </c>
      <c r="BP418" s="1769">
        <v>0</v>
      </c>
      <c r="BQ418" s="1769">
        <v>0</v>
      </c>
      <c r="BR418" s="1769">
        <v>0</v>
      </c>
      <c r="BS418" s="1769">
        <v>0</v>
      </c>
      <c r="BT418" s="1769">
        <v>0</v>
      </c>
      <c r="BU418" s="1077"/>
      <c r="BV418" s="1077"/>
      <c r="BW418" s="1769">
        <v>0</v>
      </c>
      <c r="BX418" s="1769">
        <v>0</v>
      </c>
      <c r="BY418" s="1769">
        <v>0</v>
      </c>
      <c r="BZ418" s="1769">
        <v>0</v>
      </c>
      <c r="CA418" s="1769">
        <v>0</v>
      </c>
      <c r="CB418" s="1769">
        <v>0</v>
      </c>
      <c r="CC418" s="1769">
        <v>0</v>
      </c>
      <c r="CD418" s="1769">
        <v>0</v>
      </c>
      <c r="CE418" s="1769">
        <v>0</v>
      </c>
      <c r="CF418" s="1769">
        <v>0</v>
      </c>
      <c r="CG418" s="1769">
        <v>0</v>
      </c>
      <c r="CH418" s="1077"/>
    </row>
    <row r="420" spans="30:86">
      <c r="AD420" s="1390"/>
      <c r="AE420" s="1390"/>
      <c r="AF420" s="1390"/>
      <c r="AG420" s="1390"/>
      <c r="AH420" s="1390"/>
      <c r="AI420" s="1390"/>
      <c r="AJ420" s="1390"/>
      <c r="AK420" s="1390"/>
      <c r="AL420" s="1390"/>
      <c r="AM420" s="1390"/>
      <c r="AN420" s="1390"/>
      <c r="AO420" s="1390"/>
      <c r="AP420" s="1390"/>
      <c r="AQ420" s="1390"/>
      <c r="AR420" s="1390"/>
      <c r="AS420" s="1390"/>
      <c r="AT420" s="1390"/>
      <c r="AU420" s="1767"/>
      <c r="AV420" s="1390"/>
      <c r="AW420" s="1390"/>
      <c r="AX420" s="1390"/>
      <c r="AY420" s="1390"/>
      <c r="AZ420" s="1390"/>
      <c r="BA420" s="1390"/>
      <c r="BB420" s="1390"/>
      <c r="BC420" s="1390"/>
      <c r="BD420" s="1390"/>
      <c r="BE420" s="1390"/>
      <c r="BF420" s="1390"/>
      <c r="BG420" s="1390"/>
      <c r="BH420" s="1390"/>
      <c r="BI420" s="1390"/>
      <c r="BJ420" s="1390">
        <v>0</v>
      </c>
      <c r="BK420" s="1390">
        <v>0</v>
      </c>
      <c r="BL420" s="1390">
        <v>0</v>
      </c>
      <c r="BM420" s="1390">
        <v>0</v>
      </c>
      <c r="BN420" s="1390">
        <v>0</v>
      </c>
      <c r="BO420" s="1390">
        <v>0</v>
      </c>
      <c r="BP420" s="1390">
        <v>0</v>
      </c>
      <c r="BQ420" s="1390">
        <v>0</v>
      </c>
      <c r="BR420" s="1390">
        <v>0</v>
      </c>
      <c r="BS420" s="1390">
        <v>0</v>
      </c>
      <c r="BT420" s="1390">
        <v>0</v>
      </c>
      <c r="BU420" s="1768"/>
      <c r="BV420" s="1768"/>
      <c r="BW420" s="1390">
        <v>0</v>
      </c>
      <c r="BX420" s="1390">
        <v>0</v>
      </c>
      <c r="BY420" s="1390">
        <v>0</v>
      </c>
      <c r="BZ420" s="1390">
        <v>0</v>
      </c>
      <c r="CA420" s="1390">
        <v>0</v>
      </c>
      <c r="CB420" s="1390">
        <v>0</v>
      </c>
      <c r="CC420" s="1390">
        <v>0</v>
      </c>
      <c r="CD420" s="1390">
        <v>0</v>
      </c>
      <c r="CE420" s="1390">
        <v>0</v>
      </c>
      <c r="CF420" s="1390">
        <v>0</v>
      </c>
      <c r="CG420" s="1390">
        <v>0</v>
      </c>
      <c r="CH420" s="1768"/>
    </row>
    <row r="421" spans="30:86">
      <c r="AU421" s="39"/>
      <c r="AV421" s="39"/>
      <c r="AW421" s="1769"/>
      <c r="AX421" s="1769"/>
      <c r="AY421" s="1769"/>
      <c r="AZ421" s="1769"/>
      <c r="BA421" s="1769"/>
      <c r="BB421" s="1769"/>
      <c r="BC421" s="1769"/>
      <c r="BD421" s="1769"/>
      <c r="BE421" s="1769"/>
      <c r="BF421" s="1769"/>
      <c r="BG421" s="1769"/>
      <c r="BH421" s="39"/>
      <c r="BI421" s="39"/>
      <c r="BJ421" s="1769">
        <v>0</v>
      </c>
      <c r="BK421" s="1769">
        <v>0</v>
      </c>
      <c r="BL421" s="1769">
        <v>0</v>
      </c>
      <c r="BM421" s="1769">
        <v>0</v>
      </c>
      <c r="BN421" s="1769">
        <v>0</v>
      </c>
      <c r="BO421" s="1769">
        <v>0</v>
      </c>
      <c r="BP421" s="1769">
        <v>0</v>
      </c>
      <c r="BQ421" s="1769">
        <v>0</v>
      </c>
      <c r="BR421" s="1769">
        <v>0</v>
      </c>
      <c r="BS421" s="1769">
        <v>0</v>
      </c>
      <c r="BT421" s="1769">
        <v>0</v>
      </c>
      <c r="BU421" s="1077"/>
      <c r="BV421" s="1077"/>
      <c r="BW421" s="1769">
        <v>0</v>
      </c>
      <c r="BX421" s="1769">
        <v>0</v>
      </c>
      <c r="BY421" s="1769">
        <v>0</v>
      </c>
      <c r="BZ421" s="1769">
        <v>0</v>
      </c>
      <c r="CA421" s="1769">
        <v>0</v>
      </c>
      <c r="CB421" s="1769">
        <v>0</v>
      </c>
      <c r="CC421" s="1769">
        <v>0</v>
      </c>
      <c r="CD421" s="1769">
        <v>0</v>
      </c>
      <c r="CE421" s="1769">
        <v>0</v>
      </c>
      <c r="CF421" s="1769">
        <v>0</v>
      </c>
      <c r="CG421" s="1769">
        <v>0</v>
      </c>
      <c r="CH421" s="1077"/>
    </row>
    <row r="472" spans="35:35">
      <c r="AI472" s="3611" t="s">
        <v>2834</v>
      </c>
    </row>
  </sheetData>
  <pageMargins left="0.7" right="0.7" top="0.75" bottom="0.75" header="0.3" footer="0.3"/>
  <tableParts count="3">
    <tablePart r:id="rId1"/>
    <tablePart r:id="rId2"/>
    <tablePart r:id="rId3"/>
  </tableParts>
</worksheet>
</file>

<file path=xl/worksheets/sheet37.xml><?xml version="1.0" encoding="utf-8"?>
<worksheet xmlns="http://schemas.openxmlformats.org/spreadsheetml/2006/main" xmlns:r="http://schemas.openxmlformats.org/officeDocument/2006/relationships">
  <sheetPr codeName="Sheet18">
    <tabColor theme="9"/>
  </sheetPr>
  <dimension ref="A1:CI517"/>
  <sheetViews>
    <sheetView showGridLines="0" zoomScale="80" zoomScaleNormal="80" workbookViewId="0">
      <selection activeCell="G175" sqref="G175"/>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5" width="17.7109375" customWidth="1"/>
    <col min="16" max="16" width="16.85546875" customWidth="1"/>
    <col min="17" max="17" width="10.85546875" customWidth="1"/>
    <col min="18" max="18" width="2.28515625" customWidth="1"/>
    <col min="19" max="28" width="11.42578125" customWidth="1"/>
  </cols>
  <sheetData>
    <row r="1" spans="1:18" ht="20.25">
      <c r="A1" s="1016" t="s">
        <v>477</v>
      </c>
      <c r="B1" s="1016" t="s">
        <v>368</v>
      </c>
      <c r="C1" s="1016"/>
      <c r="F1" s="39" t="s">
        <v>3051</v>
      </c>
      <c r="G1" s="39"/>
      <c r="H1" s="39"/>
      <c r="I1" s="39"/>
      <c r="J1" s="39"/>
    </row>
    <row r="2" spans="1:18" s="6" customFormat="1" ht="15.75">
      <c r="A2" s="864" t="s">
        <v>475</v>
      </c>
      <c r="B2" s="864" t="s">
        <v>476</v>
      </c>
      <c r="C2" s="864"/>
      <c r="E2" s="5"/>
    </row>
    <row r="4" spans="1:18" ht="23.25">
      <c r="A4" s="7"/>
      <c r="B4" s="511" t="s">
        <v>6</v>
      </c>
      <c r="C4" s="512"/>
      <c r="D4" s="512"/>
      <c r="E4" s="512"/>
      <c r="F4" s="512"/>
      <c r="G4" s="512"/>
      <c r="H4" s="512"/>
      <c r="I4" s="512"/>
      <c r="J4" s="512"/>
      <c r="K4" s="512"/>
      <c r="L4" s="512"/>
      <c r="M4" s="512"/>
      <c r="N4" s="512"/>
      <c r="O4" s="512"/>
      <c r="P4" s="866"/>
      <c r="R4" s="381"/>
    </row>
    <row r="5" spans="1:18">
      <c r="B5" s="514"/>
      <c r="C5" s="515"/>
      <c r="D5" s="515"/>
      <c r="E5" s="515"/>
      <c r="F5" s="515"/>
      <c r="G5" s="515"/>
      <c r="H5" s="515"/>
      <c r="I5" s="515"/>
      <c r="J5" s="515"/>
      <c r="K5" s="515"/>
      <c r="L5" s="515"/>
      <c r="M5" s="515"/>
      <c r="N5" s="515"/>
      <c r="O5" s="515"/>
      <c r="P5" s="867"/>
    </row>
    <row r="6" spans="1:18">
      <c r="B6" s="514"/>
      <c r="C6" s="12"/>
      <c r="D6" s="515"/>
      <c r="E6" s="516"/>
      <c r="F6" s="515"/>
      <c r="G6" s="515"/>
      <c r="H6" s="515"/>
      <c r="I6" s="515"/>
      <c r="J6" s="515"/>
      <c r="K6" s="515"/>
      <c r="L6" s="515"/>
      <c r="M6" s="515"/>
      <c r="N6" s="515"/>
      <c r="O6" s="515"/>
      <c r="P6" s="867"/>
    </row>
    <row r="7" spans="1:18" ht="15.75">
      <c r="B7" s="15"/>
      <c r="C7" s="515"/>
      <c r="D7" s="16" t="s">
        <v>7</v>
      </c>
      <c r="E7" s="16" t="s">
        <v>8</v>
      </c>
      <c r="F7" s="515"/>
      <c r="G7" s="515"/>
      <c r="H7" s="515"/>
      <c r="I7" s="515"/>
      <c r="J7" s="515"/>
      <c r="K7" s="515"/>
      <c r="L7" s="515"/>
      <c r="M7" s="515"/>
      <c r="N7" s="515"/>
      <c r="O7" s="515"/>
      <c r="P7" s="867"/>
    </row>
    <row r="8" spans="1:18" ht="15.75">
      <c r="B8" s="15"/>
      <c r="C8" s="515"/>
      <c r="D8" s="1018" t="s">
        <v>1031</v>
      </c>
      <c r="E8" s="1019">
        <f>MIN(XI.a.1, 3)</f>
        <v>2</v>
      </c>
      <c r="F8" s="515"/>
      <c r="G8" s="515"/>
      <c r="H8" s="515"/>
      <c r="I8" s="515"/>
      <c r="J8" s="515"/>
      <c r="K8" s="515"/>
      <c r="L8" s="515"/>
      <c r="M8" s="515"/>
      <c r="N8" s="515"/>
      <c r="O8" s="515"/>
      <c r="P8" s="867"/>
    </row>
    <row r="9" spans="1:18" ht="15.75">
      <c r="B9" s="15"/>
      <c r="C9" s="515"/>
      <c r="D9" s="517" t="s">
        <v>1032</v>
      </c>
      <c r="E9" s="32">
        <f>MIN(XI.a.2.Scenario, 3)</f>
        <v>1</v>
      </c>
      <c r="F9" s="515"/>
      <c r="G9" s="515"/>
      <c r="H9" s="515"/>
      <c r="I9" s="515"/>
      <c r="J9" s="515"/>
      <c r="K9" s="515"/>
      <c r="L9" s="515"/>
      <c r="M9" s="515"/>
      <c r="N9" s="515"/>
      <c r="O9" s="515"/>
      <c r="P9" s="867"/>
      <c r="R9" s="39"/>
    </row>
    <row r="10" spans="1:18" ht="15.75">
      <c r="B10" s="15"/>
      <c r="C10" s="515"/>
      <c r="D10" s="515"/>
      <c r="E10" s="18"/>
      <c r="F10" s="515"/>
      <c r="G10" s="515"/>
      <c r="H10" s="515"/>
      <c r="I10" s="515"/>
      <c r="J10" s="515"/>
      <c r="K10" s="515"/>
      <c r="L10" s="515"/>
      <c r="M10" s="515"/>
      <c r="N10" s="515"/>
      <c r="O10" s="515"/>
      <c r="P10" s="867"/>
    </row>
    <row r="11" spans="1:18">
      <c r="B11" s="1252"/>
      <c r="C11" s="869"/>
      <c r="D11" s="869"/>
      <c r="E11" s="869"/>
      <c r="F11" s="869"/>
      <c r="G11" s="869"/>
      <c r="H11" s="869"/>
      <c r="I11" s="869"/>
      <c r="J11" s="869"/>
      <c r="K11" s="869"/>
      <c r="L11" s="869"/>
      <c r="M11" s="869"/>
      <c r="N11" s="869"/>
      <c r="O11" s="869"/>
      <c r="P11" s="870"/>
    </row>
    <row r="13" spans="1:18" s="6" customFormat="1" ht="23.25">
      <c r="A13" s="40"/>
      <c r="B13" s="878" t="s">
        <v>33</v>
      </c>
      <c r="C13" s="879"/>
      <c r="D13" s="879"/>
      <c r="E13" s="879"/>
      <c r="F13" s="879"/>
      <c r="G13" s="879"/>
      <c r="H13" s="879"/>
      <c r="I13" s="879"/>
      <c r="J13" s="879"/>
      <c r="K13" s="879"/>
      <c r="L13" s="879"/>
      <c r="M13" s="879"/>
      <c r="N13" s="879"/>
      <c r="O13" s="879"/>
      <c r="P13" s="880"/>
    </row>
    <row r="14" spans="1:18">
      <c r="B14" s="110"/>
      <c r="C14" s="67"/>
      <c r="D14" s="67"/>
      <c r="E14" s="67"/>
      <c r="F14" s="67"/>
      <c r="G14" s="67"/>
      <c r="H14" s="67"/>
      <c r="I14" s="67"/>
      <c r="J14" s="67"/>
      <c r="K14" s="67"/>
      <c r="L14" s="67"/>
      <c r="M14" s="67"/>
      <c r="N14" s="67"/>
      <c r="O14" s="67"/>
      <c r="P14" s="885"/>
    </row>
    <row r="15" spans="1:18">
      <c r="B15" s="110"/>
      <c r="C15" s="49" t="s">
        <v>1033</v>
      </c>
      <c r="D15" s="67"/>
      <c r="E15" s="50"/>
      <c r="F15" s="1391" t="s">
        <v>1034</v>
      </c>
      <c r="G15" s="1391"/>
      <c r="H15" s="1391"/>
      <c r="I15" s="51" t="s">
        <v>1035</v>
      </c>
      <c r="J15" s="1391" t="s">
        <v>1036</v>
      </c>
      <c r="K15" s="1391"/>
      <c r="L15" s="1391"/>
      <c r="M15" s="47"/>
      <c r="N15" s="47"/>
      <c r="O15" s="47"/>
      <c r="P15" s="47"/>
    </row>
    <row r="16" spans="1:18">
      <c r="B16" s="110"/>
      <c r="C16" s="67"/>
      <c r="D16" s="67"/>
      <c r="E16" s="1364"/>
      <c r="F16" s="1365"/>
      <c r="G16" s="67"/>
      <c r="H16" s="67"/>
      <c r="I16" s="67"/>
      <c r="J16" s="1365"/>
      <c r="K16" s="67"/>
      <c r="L16" s="67"/>
      <c r="M16" s="47"/>
      <c r="N16" s="47"/>
      <c r="O16" s="47"/>
      <c r="P16" s="47"/>
    </row>
    <row r="17" spans="2:19" ht="15.75">
      <c r="B17" s="55"/>
      <c r="C17" s="887" t="s">
        <v>368</v>
      </c>
      <c r="D17" s="887" t="s">
        <v>72</v>
      </c>
      <c r="E17" s="887" t="s">
        <v>30</v>
      </c>
      <c r="F17" s="1362">
        <v>3</v>
      </c>
      <c r="G17" s="1362">
        <v>2</v>
      </c>
      <c r="H17" s="1362">
        <v>1</v>
      </c>
      <c r="I17" s="1392"/>
      <c r="J17" s="1362">
        <v>3</v>
      </c>
      <c r="K17" s="1362">
        <v>2</v>
      </c>
      <c r="L17" s="1362">
        <v>1</v>
      </c>
      <c r="M17" s="47"/>
      <c r="N17" s="47"/>
      <c r="O17" s="47"/>
      <c r="P17" s="47"/>
    </row>
    <row r="18" spans="2:19" ht="15.75">
      <c r="B18" s="55"/>
      <c r="C18" s="65" t="s">
        <v>1037</v>
      </c>
      <c r="D18" s="108" t="s">
        <v>2853</v>
      </c>
      <c r="E18" s="925"/>
      <c r="F18" s="301">
        <v>-1.0846829685525305E-2</v>
      </c>
      <c r="G18" s="301">
        <v>2.5000000000000001E-2</v>
      </c>
      <c r="H18" s="301">
        <v>0.04</v>
      </c>
      <c r="I18" s="1392"/>
      <c r="J18" s="301">
        <v>-1.0846829685525305E-2</v>
      </c>
      <c r="K18" s="301">
        <v>0.02</v>
      </c>
      <c r="L18" s="301">
        <v>0.03</v>
      </c>
      <c r="M18" s="47"/>
      <c r="N18" s="47"/>
      <c r="O18" s="47"/>
      <c r="P18" s="47"/>
    </row>
    <row r="19" spans="2:19" ht="15.75">
      <c r="B19" s="55"/>
      <c r="C19" s="65" t="s">
        <v>1038</v>
      </c>
      <c r="D19" s="108" t="s">
        <v>1039</v>
      </c>
      <c r="E19" s="67"/>
      <c r="F19" s="915">
        <v>-1.1726082808074967E-2</v>
      </c>
      <c r="G19" s="915">
        <v>0.01</v>
      </c>
      <c r="H19" s="915">
        <v>5.0000000000000001E-3</v>
      </c>
      <c r="I19" s="1392"/>
      <c r="J19" s="915">
        <v>-1.1726082808074967E-2</v>
      </c>
      <c r="K19" s="915">
        <v>0.01</v>
      </c>
      <c r="L19" s="915">
        <v>5.0000000000000001E-3</v>
      </c>
      <c r="M19" s="47"/>
      <c r="N19" s="47"/>
      <c r="O19" s="47"/>
      <c r="P19" s="47"/>
    </row>
    <row r="20" spans="2:19" ht="15.75">
      <c r="B20" s="55"/>
      <c r="C20" s="65" t="s">
        <v>1040</v>
      </c>
      <c r="D20" s="108" t="s">
        <v>1041</v>
      </c>
      <c r="E20" s="67"/>
      <c r="F20" s="915">
        <v>0</v>
      </c>
      <c r="G20" s="915">
        <v>-2.5000000000000001E-2</v>
      </c>
      <c r="H20" s="915">
        <v>0.01</v>
      </c>
      <c r="I20" s="1392"/>
      <c r="J20" s="915">
        <v>0</v>
      </c>
      <c r="K20" s="915">
        <v>-0.01</v>
      </c>
      <c r="L20" s="915">
        <v>0.01</v>
      </c>
      <c r="M20" s="47"/>
      <c r="N20" s="47"/>
      <c r="O20" s="47"/>
      <c r="P20" s="47"/>
      <c r="R20" s="6"/>
    </row>
    <row r="21" spans="2:19" ht="15.75">
      <c r="B21" s="55"/>
      <c r="C21" s="896" t="s">
        <v>1042</v>
      </c>
      <c r="D21" s="897" t="s">
        <v>411</v>
      </c>
      <c r="E21" s="978"/>
      <c r="F21" s="1393">
        <v>-8.7738643384517312E-3</v>
      </c>
      <c r="G21" s="1393">
        <v>0.01</v>
      </c>
      <c r="H21" s="1393">
        <v>2.4E-2</v>
      </c>
      <c r="I21" s="1392"/>
      <c r="J21" s="1393">
        <v>-8.7738643384517312E-3</v>
      </c>
      <c r="K21" s="1393">
        <v>0.01</v>
      </c>
      <c r="L21" s="1393">
        <v>2.3E-2</v>
      </c>
      <c r="M21" s="47"/>
      <c r="N21" s="47"/>
      <c r="O21" s="47"/>
      <c r="P21" s="47"/>
      <c r="R21" s="6"/>
    </row>
    <row r="22" spans="2:19">
      <c r="B22" s="110"/>
      <c r="C22" s="67"/>
      <c r="D22" s="67"/>
      <c r="E22" s="1364"/>
      <c r="F22" s="1365"/>
      <c r="G22" s="67"/>
      <c r="H22" s="67"/>
      <c r="I22" s="67"/>
      <c r="J22" s="67"/>
      <c r="K22" s="67"/>
      <c r="L22" s="67"/>
      <c r="M22" s="67"/>
      <c r="N22" s="67"/>
      <c r="O22" s="67"/>
      <c r="P22" s="67"/>
      <c r="S22" s="6"/>
    </row>
    <row r="23" spans="2:19">
      <c r="B23" s="110"/>
      <c r="C23" s="49" t="s">
        <v>1043</v>
      </c>
      <c r="D23" s="67"/>
      <c r="E23" s="1394"/>
      <c r="F23" s="1365" t="s">
        <v>8</v>
      </c>
      <c r="G23" s="67"/>
      <c r="H23" s="51" t="s">
        <v>1035</v>
      </c>
      <c r="I23" s="67"/>
      <c r="J23" s="67"/>
      <c r="K23" s="67"/>
      <c r="L23" s="67"/>
      <c r="M23" s="104"/>
      <c r="N23" s="67"/>
      <c r="O23" s="67"/>
      <c r="P23" s="885"/>
    </row>
    <row r="24" spans="2:19">
      <c r="B24" s="110"/>
      <c r="C24" s="67"/>
      <c r="D24" s="67"/>
      <c r="E24" s="1364"/>
      <c r="F24" s="1365"/>
      <c r="G24" s="67"/>
      <c r="H24" s="67"/>
      <c r="I24" s="67"/>
      <c r="J24" s="67"/>
      <c r="K24" s="67"/>
      <c r="L24" s="67"/>
      <c r="M24" s="67"/>
      <c r="N24" s="67"/>
      <c r="O24" s="67"/>
      <c r="P24" s="885"/>
    </row>
    <row r="25" spans="2:19" ht="15.75">
      <c r="B25" s="55"/>
      <c r="C25" s="887" t="s">
        <v>368</v>
      </c>
      <c r="D25" s="887" t="s">
        <v>72</v>
      </c>
      <c r="E25" s="887" t="s">
        <v>30</v>
      </c>
      <c r="F25" s="1362">
        <v>1</v>
      </c>
      <c r="G25" s="1362">
        <v>2</v>
      </c>
      <c r="H25" s="1362">
        <v>3</v>
      </c>
      <c r="I25" s="1392"/>
      <c r="J25" s="1392"/>
      <c r="K25" s="1392"/>
      <c r="L25" s="1392"/>
      <c r="M25" s="1392"/>
      <c r="N25" s="67"/>
      <c r="O25" s="67"/>
      <c r="P25" s="885"/>
    </row>
    <row r="26" spans="2:19" ht="15.75">
      <c r="B26" s="55"/>
      <c r="C26" s="65" t="s">
        <v>1037</v>
      </c>
      <c r="D26" s="108" t="s">
        <v>2853</v>
      </c>
      <c r="E26" s="1267"/>
      <c r="F26" s="2679">
        <v>-2.4472451512579374E-3</v>
      </c>
      <c r="G26" s="2679">
        <v>-6.7000000000000002E-3</v>
      </c>
      <c r="H26" s="2679">
        <v>-1.5990474778403541E-2</v>
      </c>
      <c r="I26" s="2679"/>
      <c r="J26" s="3638"/>
      <c r="K26" s="3638"/>
      <c r="L26" s="3638"/>
      <c r="M26" s="58"/>
      <c r="N26" s="67"/>
      <c r="O26" s="67"/>
      <c r="P26" s="885"/>
    </row>
    <row r="27" spans="2:19" ht="15.75">
      <c r="B27" s="55"/>
      <c r="C27" s="65" t="s">
        <v>1038</v>
      </c>
      <c r="D27" s="108" t="s">
        <v>1039</v>
      </c>
      <c r="E27" s="1267"/>
      <c r="F27" s="2679">
        <v>-2.4472451512579374E-3</v>
      </c>
      <c r="G27" s="3636">
        <v>-5.175943317647369E-3</v>
      </c>
      <c r="H27" s="3636">
        <v>-8.2604594862157876E-3</v>
      </c>
      <c r="I27" s="3636"/>
      <c r="J27" s="3638"/>
      <c r="K27" s="3639"/>
      <c r="L27" s="3639"/>
      <c r="M27" s="73"/>
      <c r="N27" s="67"/>
      <c r="O27" s="67"/>
      <c r="P27" s="885"/>
    </row>
    <row r="28" spans="2:19" ht="15.75">
      <c r="B28" s="55"/>
      <c r="C28" s="65" t="s">
        <v>1040</v>
      </c>
      <c r="D28" s="108" t="s">
        <v>1041</v>
      </c>
      <c r="E28" s="1267"/>
      <c r="F28" s="2679">
        <v>-2.4472451512579374E-3</v>
      </c>
      <c r="G28" s="3636">
        <v>-5.175943317647369E-3</v>
      </c>
      <c r="H28" s="3636">
        <v>-8.2604594862157876E-3</v>
      </c>
      <c r="I28" s="3636"/>
      <c r="J28" s="3638"/>
      <c r="K28" s="3639"/>
      <c r="L28" s="3639"/>
      <c r="M28" s="73"/>
      <c r="N28" s="67"/>
      <c r="O28" s="67"/>
      <c r="P28" s="885"/>
    </row>
    <row r="29" spans="2:19" ht="15.75">
      <c r="B29" s="55"/>
      <c r="C29" s="896" t="s">
        <v>1042</v>
      </c>
      <c r="D29" s="897" t="s">
        <v>411</v>
      </c>
      <c r="E29" s="897"/>
      <c r="F29" s="2680">
        <v>-2.4472451512579374E-3</v>
      </c>
      <c r="G29" s="3637">
        <v>-6.2103898509814348E-3</v>
      </c>
      <c r="H29" s="3637">
        <v>-1.2987458537368601E-2</v>
      </c>
      <c r="I29" s="3636"/>
      <c r="J29" s="3638"/>
      <c r="K29" s="3639"/>
      <c r="L29" s="3639"/>
      <c r="M29" s="73"/>
      <c r="N29" s="67"/>
      <c r="O29" s="67"/>
      <c r="P29" s="885"/>
    </row>
    <row r="30" spans="2:19">
      <c r="B30" s="110"/>
      <c r="C30" s="67"/>
      <c r="D30" s="67"/>
      <c r="E30" s="1364"/>
      <c r="F30" s="1365"/>
      <c r="G30" s="67"/>
      <c r="H30" s="67"/>
      <c r="I30" s="67"/>
      <c r="J30" s="67"/>
      <c r="K30" s="67"/>
      <c r="L30" s="67"/>
      <c r="M30" s="67"/>
      <c r="N30" s="67"/>
      <c r="O30" s="67"/>
      <c r="P30" s="67"/>
    </row>
    <row r="31" spans="2:19">
      <c r="B31" s="110"/>
      <c r="C31" s="49" t="s">
        <v>1044</v>
      </c>
      <c r="D31" s="67"/>
      <c r="E31" s="50"/>
      <c r="F31" s="1395" t="s">
        <v>1045</v>
      </c>
      <c r="G31" s="1396"/>
      <c r="H31" s="1396"/>
      <c r="I31" s="1396"/>
      <c r="J31" s="1395" t="s">
        <v>1046</v>
      </c>
      <c r="K31" s="1396"/>
      <c r="L31" s="1396"/>
      <c r="M31" s="1396"/>
      <c r="N31" s="1395" t="s">
        <v>1047</v>
      </c>
      <c r="O31" s="1396"/>
      <c r="P31" s="1396"/>
    </row>
    <row r="32" spans="2:19">
      <c r="B32" s="110"/>
      <c r="C32" s="67"/>
      <c r="D32" s="67"/>
      <c r="E32" s="67"/>
      <c r="F32" s="1365"/>
      <c r="G32" s="67"/>
      <c r="H32" s="67"/>
      <c r="I32" s="67"/>
      <c r="J32" s="1365"/>
      <c r="K32" s="67"/>
      <c r="L32" s="67"/>
      <c r="M32" s="67"/>
      <c r="N32" s="1365"/>
      <c r="O32" s="67"/>
      <c r="P32" s="67"/>
    </row>
    <row r="33" spans="2:22" ht="15.75">
      <c r="B33" s="55"/>
      <c r="C33" s="887" t="s">
        <v>28</v>
      </c>
      <c r="D33" s="887" t="s">
        <v>72</v>
      </c>
      <c r="E33" s="1397">
        <v>2013</v>
      </c>
      <c r="F33" s="1398">
        <v>1</v>
      </c>
      <c r="G33" s="1362">
        <v>2</v>
      </c>
      <c r="H33" s="1362">
        <v>3</v>
      </c>
      <c r="I33" s="1392"/>
      <c r="J33" s="1362">
        <v>1</v>
      </c>
      <c r="K33" s="1362">
        <v>2</v>
      </c>
      <c r="L33" s="1362">
        <v>3</v>
      </c>
      <c r="M33" s="1392"/>
      <c r="N33" s="1362">
        <v>1</v>
      </c>
      <c r="O33" s="1362">
        <v>2</v>
      </c>
      <c r="P33" s="1362">
        <v>3</v>
      </c>
    </row>
    <row r="34" spans="2:22" ht="15.75">
      <c r="B34" s="55"/>
      <c r="C34" s="65" t="s">
        <v>96</v>
      </c>
      <c r="D34" s="108" t="s">
        <v>86</v>
      </c>
      <c r="E34" s="1399">
        <v>0.35744517121969988</v>
      </c>
      <c r="F34" s="93">
        <v>0.35744517121969988</v>
      </c>
      <c r="G34" s="93">
        <v>0.35744517121969988</v>
      </c>
      <c r="H34" s="93">
        <v>0.43</v>
      </c>
      <c r="I34" s="93"/>
      <c r="J34" s="93">
        <v>0.35744517121969988</v>
      </c>
      <c r="K34" s="93">
        <v>0.3909067797181936</v>
      </c>
      <c r="L34" s="93">
        <v>0.47590677971819362</v>
      </c>
      <c r="M34" s="93"/>
      <c r="N34" s="93">
        <v>0.35744517121969988</v>
      </c>
      <c r="O34" s="93">
        <v>0.3909067797181936</v>
      </c>
      <c r="P34" s="93">
        <v>0.65590677971819367</v>
      </c>
      <c r="S34" s="1400"/>
      <c r="T34" s="1400"/>
      <c r="U34" s="1400"/>
      <c r="V34" s="1400"/>
    </row>
    <row r="35" spans="2:22" ht="15.75">
      <c r="B35" s="55"/>
      <c r="C35" s="65" t="s">
        <v>98</v>
      </c>
      <c r="D35" s="108" t="s">
        <v>88</v>
      </c>
      <c r="E35" s="1399">
        <v>0.11966140823393613</v>
      </c>
      <c r="F35" s="93">
        <v>0.11966140823393613</v>
      </c>
      <c r="G35" s="93">
        <v>0.11966140823393613</v>
      </c>
      <c r="H35" s="190">
        <v>0.12</v>
      </c>
      <c r="I35" s="190"/>
      <c r="J35" s="93">
        <v>0.11966140823393613</v>
      </c>
      <c r="K35" s="190">
        <v>0.13350981964367689</v>
      </c>
      <c r="L35" s="190">
        <v>0.10550981964367689</v>
      </c>
      <c r="M35" s="190"/>
      <c r="N35" s="93">
        <v>0.11966140823393613</v>
      </c>
      <c r="O35" s="190">
        <v>0.13350981964367689</v>
      </c>
      <c r="P35" s="190">
        <v>9.0509819643676895E-2</v>
      </c>
      <c r="S35" s="1400"/>
      <c r="T35" s="1400"/>
      <c r="U35" s="1400"/>
      <c r="V35" s="1400"/>
    </row>
    <row r="36" spans="2:22" ht="15.75">
      <c r="B36" s="55"/>
      <c r="C36" s="65" t="s">
        <v>99</v>
      </c>
      <c r="D36" s="108" t="s">
        <v>89</v>
      </c>
      <c r="E36" s="1399">
        <v>0.2443247402847249</v>
      </c>
      <c r="F36" s="93">
        <v>0.2443247402847249</v>
      </c>
      <c r="G36" s="93">
        <v>0.2443247402847249</v>
      </c>
      <c r="H36" s="190">
        <v>0.19</v>
      </c>
      <c r="I36" s="190"/>
      <c r="J36" s="93">
        <v>0.2443247402847249</v>
      </c>
      <c r="K36" s="190">
        <v>0.15675845340254765</v>
      </c>
      <c r="L36" s="190">
        <v>0.17175845340254764</v>
      </c>
      <c r="M36" s="190"/>
      <c r="N36" s="93">
        <v>0.2443247402847249</v>
      </c>
      <c r="O36" s="190">
        <v>0.15675845340254765</v>
      </c>
      <c r="P36" s="190">
        <v>0.15675845340254765</v>
      </c>
      <c r="S36" s="1400"/>
      <c r="T36" s="1400"/>
      <c r="U36" s="1400"/>
      <c r="V36" s="1400"/>
    </row>
    <row r="37" spans="2:22" ht="15.75">
      <c r="B37" s="55"/>
      <c r="C37" s="65" t="s">
        <v>100</v>
      </c>
      <c r="D37" s="108" t="s">
        <v>90</v>
      </c>
      <c r="E37" s="1399">
        <v>0.27856868026163911</v>
      </c>
      <c r="F37" s="93">
        <v>0.27856868026163911</v>
      </c>
      <c r="G37" s="93">
        <v>0.27856868026163911</v>
      </c>
      <c r="H37" s="190">
        <v>0.25</v>
      </c>
      <c r="I37" s="190"/>
      <c r="J37" s="93">
        <v>0.27856868026163911</v>
      </c>
      <c r="K37" s="190">
        <v>0.29922905538728678</v>
      </c>
      <c r="L37" s="190">
        <v>0.22722905538728683</v>
      </c>
      <c r="M37" s="190"/>
      <c r="N37" s="93">
        <v>0.27856868026163911</v>
      </c>
      <c r="O37" s="190">
        <v>0.29922905538728678</v>
      </c>
      <c r="P37" s="190">
        <v>7.7229055387286819E-2</v>
      </c>
      <c r="S37" s="1400"/>
      <c r="T37" s="1400"/>
      <c r="U37" s="1400"/>
      <c r="V37" s="1400"/>
    </row>
    <row r="38" spans="2:22" ht="15.75">
      <c r="B38" s="55"/>
      <c r="C38" s="896" t="s">
        <v>101</v>
      </c>
      <c r="D38" s="897" t="s">
        <v>91</v>
      </c>
      <c r="E38" s="1401">
        <v>0</v>
      </c>
      <c r="F38" s="98">
        <v>0</v>
      </c>
      <c r="G38" s="98">
        <v>0</v>
      </c>
      <c r="H38" s="144">
        <v>0.01</v>
      </c>
      <c r="I38" s="190"/>
      <c r="J38" s="98">
        <v>0</v>
      </c>
      <c r="K38" s="144">
        <v>1.95958918482949E-2</v>
      </c>
      <c r="L38" s="144">
        <v>1.95958918482949E-2</v>
      </c>
      <c r="M38" s="190"/>
      <c r="N38" s="98">
        <v>0</v>
      </c>
      <c r="O38" s="144">
        <v>1.95958918482949E-2</v>
      </c>
      <c r="P38" s="144">
        <v>1.95958918482949E-2</v>
      </c>
      <c r="S38" s="1400"/>
      <c r="T38" s="1400"/>
      <c r="U38" s="1400"/>
      <c r="V38" s="1400"/>
    </row>
    <row r="39" spans="2:22">
      <c r="B39" s="110"/>
      <c r="C39" s="89"/>
      <c r="D39" s="122"/>
      <c r="E39" s="1364"/>
      <c r="F39" s="1365"/>
      <c r="G39" s="1402"/>
      <c r="H39" s="1402"/>
      <c r="I39" s="1403"/>
      <c r="J39" s="1365" t="s">
        <v>5</v>
      </c>
      <c r="K39" s="67"/>
      <c r="L39" s="67"/>
      <c r="M39" s="1364"/>
      <c r="N39" s="1365"/>
      <c r="O39" s="67"/>
      <c r="P39" s="67"/>
    </row>
    <row r="40" spans="2:22">
      <c r="B40" s="110"/>
      <c r="C40" s="49" t="s">
        <v>1048</v>
      </c>
      <c r="D40" s="67"/>
      <c r="E40" s="50"/>
      <c r="F40" s="1365" t="s">
        <v>8</v>
      </c>
      <c r="G40" s="67"/>
      <c r="H40" s="51" t="s">
        <v>1035</v>
      </c>
      <c r="I40" s="1403"/>
      <c r="J40" s="67" t="s">
        <v>5</v>
      </c>
      <c r="K40" s="67"/>
      <c r="L40" s="67"/>
      <c r="M40" s="67"/>
      <c r="N40" s="67"/>
      <c r="O40" s="67"/>
      <c r="P40" s="885"/>
    </row>
    <row r="41" spans="2:22">
      <c r="B41" s="110"/>
      <c r="C41" s="67"/>
      <c r="D41" s="67"/>
      <c r="E41" s="67"/>
      <c r="F41" s="1365"/>
      <c r="G41" s="67"/>
      <c r="H41" s="67"/>
      <c r="I41" s="67"/>
      <c r="J41" s="67"/>
      <c r="K41" s="67"/>
      <c r="L41" s="67"/>
      <c r="M41" s="67"/>
      <c r="N41" s="67"/>
      <c r="O41" s="67"/>
      <c r="P41" s="885"/>
    </row>
    <row r="42" spans="2:22" ht="15.75">
      <c r="B42" s="55"/>
      <c r="C42" s="887" t="s">
        <v>368</v>
      </c>
      <c r="D42" s="887" t="s">
        <v>72</v>
      </c>
      <c r="E42" s="1404"/>
      <c r="F42" s="1398">
        <v>1</v>
      </c>
      <c r="G42" s="1362">
        <v>2</v>
      </c>
      <c r="H42" s="1362">
        <v>3</v>
      </c>
      <c r="I42" s="1392"/>
      <c r="J42" s="67"/>
      <c r="K42" s="67" t="s">
        <v>5</v>
      </c>
      <c r="L42" s="67"/>
      <c r="M42" s="67"/>
      <c r="N42" s="67"/>
      <c r="O42" s="67"/>
      <c r="P42" s="885"/>
    </row>
    <row r="43" spans="2:22" ht="15.75">
      <c r="B43" s="55"/>
      <c r="C43" s="65" t="s">
        <v>1037</v>
      </c>
      <c r="D43" s="108" t="s">
        <v>2853</v>
      </c>
      <c r="E43" s="1405"/>
      <c r="F43" s="1406">
        <v>0</v>
      </c>
      <c r="G43" s="301">
        <v>-4.0000000000000001E-3</v>
      </c>
      <c r="H43" s="301">
        <v>-0.01</v>
      </c>
      <c r="I43" s="301"/>
      <c r="J43" s="67"/>
      <c r="K43" s="1407"/>
      <c r="L43" s="1407"/>
      <c r="M43" s="1407"/>
      <c r="N43" s="1407"/>
      <c r="O43" s="67"/>
      <c r="P43" s="885"/>
    </row>
    <row r="44" spans="2:22" ht="15.75">
      <c r="B44" s="55"/>
      <c r="C44" s="65" t="s">
        <v>1038</v>
      </c>
      <c r="D44" s="108" t="s">
        <v>1039</v>
      </c>
      <c r="E44" s="1405"/>
      <c r="F44" s="1406">
        <v>0</v>
      </c>
      <c r="G44" s="915">
        <v>-2E-3</v>
      </c>
      <c r="H44" s="915">
        <v>-6.6679506523734666E-3</v>
      </c>
      <c r="I44" s="915"/>
      <c r="J44" s="67"/>
      <c r="K44" s="1407"/>
      <c r="L44" s="1407"/>
      <c r="M44" s="1407"/>
      <c r="N44" s="1407"/>
      <c r="O44" s="67"/>
      <c r="P44" s="885"/>
    </row>
    <row r="45" spans="2:22" ht="15.75">
      <c r="B45" s="55"/>
      <c r="C45" s="65" t="s">
        <v>1040</v>
      </c>
      <c r="D45" s="108" t="s">
        <v>1041</v>
      </c>
      <c r="E45" s="1405"/>
      <c r="F45" s="1406">
        <v>0</v>
      </c>
      <c r="G45" s="915">
        <v>-1.1921561279377713E-3</v>
      </c>
      <c r="H45" s="915">
        <v>-8.0000000000000002E-3</v>
      </c>
      <c r="I45" s="915"/>
      <c r="J45" s="67"/>
      <c r="K45" s="1407"/>
      <c r="L45" s="1407"/>
      <c r="M45" s="1407"/>
      <c r="N45" s="1407"/>
      <c r="O45" s="67"/>
      <c r="P45" s="885"/>
    </row>
    <row r="46" spans="2:22" ht="15.75">
      <c r="B46" s="55"/>
      <c r="C46" s="896" t="s">
        <v>1042</v>
      </c>
      <c r="D46" s="897" t="s">
        <v>411</v>
      </c>
      <c r="E46" s="1408"/>
      <c r="F46" s="1409">
        <v>-2.6341839434337544E-2</v>
      </c>
      <c r="G46" s="1410">
        <v>-2.6341839434337544E-2</v>
      </c>
      <c r="H46" s="1410">
        <v>-4.4739429695181743E-2</v>
      </c>
      <c r="I46" s="915"/>
      <c r="J46" s="67"/>
      <c r="K46" s="1407"/>
      <c r="L46" s="1407"/>
      <c r="M46" s="1407"/>
      <c r="N46" s="1407"/>
      <c r="O46" s="67"/>
      <c r="P46" s="885"/>
    </row>
    <row r="47" spans="2:22" ht="15.75">
      <c r="B47" s="55"/>
      <c r="C47" s="65"/>
      <c r="D47" s="108"/>
      <c r="E47" s="1411"/>
      <c r="F47" s="1412"/>
      <c r="G47" s="73"/>
      <c r="H47" s="73"/>
      <c r="I47" s="73"/>
      <c r="J47" s="67"/>
      <c r="K47" s="67"/>
      <c r="L47" s="67"/>
      <c r="M47" s="67"/>
      <c r="N47" s="67"/>
      <c r="O47" s="67"/>
      <c r="P47" s="885"/>
    </row>
    <row r="48" spans="2:22">
      <c r="B48" s="110"/>
      <c r="C48" s="49" t="s">
        <v>2759</v>
      </c>
      <c r="D48" s="67"/>
      <c r="E48" s="67"/>
      <c r="F48" s="67"/>
      <c r="G48" s="67"/>
      <c r="H48" s="51"/>
      <c r="I48" s="67"/>
      <c r="J48" s="67"/>
      <c r="K48" s="67"/>
      <c r="L48" s="67"/>
      <c r="M48" s="67"/>
      <c r="N48" s="51" t="s">
        <v>1049</v>
      </c>
      <c r="O48" s="67"/>
      <c r="P48" s="885"/>
    </row>
    <row r="49" spans="1:16">
      <c r="B49" s="110"/>
      <c r="C49" s="67"/>
      <c r="D49" s="67"/>
      <c r="E49" s="67"/>
      <c r="F49" s="67"/>
      <c r="G49" s="67"/>
      <c r="H49" s="67"/>
      <c r="I49" s="67"/>
      <c r="J49" s="67"/>
      <c r="K49" s="67"/>
      <c r="L49" s="67"/>
      <c r="M49" s="67"/>
      <c r="N49" s="67"/>
      <c r="O49" s="67"/>
      <c r="P49" s="885"/>
    </row>
    <row r="50" spans="1:16" ht="15.75">
      <c r="B50" s="55"/>
      <c r="C50" s="887" t="s">
        <v>8</v>
      </c>
      <c r="D50" s="887" t="s">
        <v>34</v>
      </c>
      <c r="E50" s="887" t="s">
        <v>30</v>
      </c>
      <c r="F50" s="92">
        <v>2013</v>
      </c>
      <c r="G50" s="92">
        <v>2015</v>
      </c>
      <c r="H50" s="92">
        <v>2020</v>
      </c>
      <c r="I50" s="92">
        <v>2025</v>
      </c>
      <c r="J50" s="92">
        <v>2030</v>
      </c>
      <c r="K50" s="92">
        <v>2035</v>
      </c>
      <c r="L50" s="92">
        <v>2040</v>
      </c>
      <c r="M50" s="92">
        <v>2045</v>
      </c>
      <c r="N50" s="92">
        <v>2050</v>
      </c>
      <c r="O50" s="67"/>
      <c r="P50" s="885"/>
    </row>
    <row r="51" spans="1:16" ht="15.75">
      <c r="B51" s="55"/>
      <c r="C51" s="65">
        <v>1</v>
      </c>
      <c r="D51" s="108"/>
      <c r="E51" s="1267"/>
      <c r="F51" s="93">
        <v>0</v>
      </c>
      <c r="G51" s="93">
        <v>0</v>
      </c>
      <c r="H51" s="93">
        <v>0</v>
      </c>
      <c r="I51" s="93">
        <v>0</v>
      </c>
      <c r="J51" s="93">
        <v>0</v>
      </c>
      <c r="K51" s="93">
        <v>0</v>
      </c>
      <c r="L51" s="93">
        <v>0</v>
      </c>
      <c r="M51" s="93">
        <v>0</v>
      </c>
      <c r="N51" s="93">
        <v>0</v>
      </c>
      <c r="O51" s="67"/>
      <c r="P51" s="885"/>
    </row>
    <row r="52" spans="1:16" ht="15.75">
      <c r="B52" s="55"/>
      <c r="C52" s="65">
        <v>2</v>
      </c>
      <c r="D52" s="108"/>
      <c r="E52" s="1267"/>
      <c r="F52" s="190">
        <v>0</v>
      </c>
      <c r="G52" s="190">
        <v>0</v>
      </c>
      <c r="H52" s="190">
        <v>0</v>
      </c>
      <c r="I52" s="190">
        <v>0</v>
      </c>
      <c r="J52" s="190">
        <v>0</v>
      </c>
      <c r="K52" s="190">
        <v>0</v>
      </c>
      <c r="L52" s="190">
        <v>0</v>
      </c>
      <c r="M52" s="190">
        <v>0</v>
      </c>
      <c r="N52" s="190">
        <v>0</v>
      </c>
      <c r="O52" s="67"/>
      <c r="P52" s="885"/>
    </row>
    <row r="53" spans="1:16" ht="15.75">
      <c r="B53" s="55"/>
      <c r="C53" s="926">
        <v>3</v>
      </c>
      <c r="D53" s="199"/>
      <c r="E53" s="1322"/>
      <c r="F53" s="169">
        <v>0</v>
      </c>
      <c r="G53" s="169">
        <v>0</v>
      </c>
      <c r="H53" s="169">
        <v>0</v>
      </c>
      <c r="I53" s="169">
        <v>0</v>
      </c>
      <c r="J53" s="169">
        <v>0</v>
      </c>
      <c r="K53" s="169">
        <v>0</v>
      </c>
      <c r="L53" s="169">
        <v>0</v>
      </c>
      <c r="M53" s="169">
        <v>0</v>
      </c>
      <c r="N53" s="169">
        <v>0</v>
      </c>
      <c r="O53" s="67"/>
      <c r="P53" s="885"/>
    </row>
    <row r="54" spans="1:16">
      <c r="B54" s="110"/>
      <c r="C54" s="67"/>
      <c r="D54" s="67"/>
      <c r="E54" s="67"/>
      <c r="F54" s="67"/>
      <c r="G54" s="67"/>
      <c r="H54" s="67"/>
      <c r="I54" s="67"/>
      <c r="J54" s="67"/>
      <c r="K54" s="67"/>
      <c r="L54" s="67"/>
      <c r="M54" s="67"/>
      <c r="N54" s="67"/>
      <c r="O54" s="67"/>
      <c r="P54" s="885"/>
    </row>
    <row r="55" spans="1:16">
      <c r="B55" s="110"/>
      <c r="C55" s="3862" t="s">
        <v>64</v>
      </c>
      <c r="D55" s="67"/>
      <c r="E55" s="67"/>
      <c r="F55" s="67"/>
      <c r="G55" s="67"/>
      <c r="H55" s="67"/>
      <c r="I55" s="67"/>
      <c r="J55" s="67"/>
      <c r="K55" s="67"/>
      <c r="L55" s="67"/>
      <c r="M55" s="67"/>
      <c r="N55" s="67"/>
      <c r="O55" s="67"/>
      <c r="P55" s="885"/>
    </row>
    <row r="56" spans="1:16">
      <c r="B56" s="110"/>
      <c r="C56" s="2279"/>
      <c r="D56" s="3864" t="s">
        <v>3289</v>
      </c>
      <c r="E56" s="67"/>
      <c r="F56" s="67"/>
      <c r="G56" s="67"/>
      <c r="H56" s="67"/>
      <c r="I56" s="67"/>
      <c r="J56" s="67"/>
      <c r="K56" s="67"/>
      <c r="L56" s="67"/>
      <c r="M56" s="67"/>
      <c r="N56" s="67"/>
      <c r="O56" s="67"/>
      <c r="P56" s="885"/>
    </row>
    <row r="57" spans="1:16">
      <c r="B57" s="110"/>
      <c r="C57" s="2279" t="s">
        <v>65</v>
      </c>
      <c r="D57" s="2278" t="s">
        <v>3141</v>
      </c>
      <c r="E57" s="67"/>
      <c r="F57" s="67"/>
      <c r="G57" s="67"/>
      <c r="H57" s="67"/>
      <c r="I57" s="67"/>
      <c r="J57" s="67"/>
      <c r="K57" s="67"/>
      <c r="L57" s="67"/>
      <c r="M57" s="67"/>
      <c r="N57" s="67"/>
      <c r="O57" s="67"/>
      <c r="P57" s="885"/>
    </row>
    <row r="58" spans="1:16">
      <c r="B58" s="110"/>
      <c r="C58" s="51"/>
      <c r="D58" s="3864" t="s">
        <v>3142</v>
      </c>
      <c r="E58" s="67"/>
      <c r="F58" s="67"/>
      <c r="G58" s="67"/>
      <c r="H58" s="67"/>
      <c r="I58" s="67"/>
      <c r="J58" s="67"/>
      <c r="K58" s="67"/>
      <c r="L58" s="67"/>
      <c r="M58" s="67"/>
      <c r="N58" s="67"/>
      <c r="O58" s="67"/>
      <c r="P58" s="885"/>
    </row>
    <row r="60" spans="1:16" s="6" customFormat="1" ht="23.25">
      <c r="A60" s="40"/>
      <c r="B60" s="878" t="s">
        <v>70</v>
      </c>
      <c r="C60" s="879"/>
      <c r="D60" s="879"/>
      <c r="E60" s="879"/>
      <c r="F60" s="879"/>
      <c r="G60" s="879"/>
      <c r="H60" s="879"/>
      <c r="I60" s="879"/>
      <c r="J60" s="879"/>
      <c r="K60" s="879"/>
      <c r="L60" s="879"/>
      <c r="M60" s="879"/>
      <c r="N60" s="879"/>
      <c r="O60" s="879"/>
      <c r="P60" s="880"/>
    </row>
    <row r="61" spans="1:16">
      <c r="B61" s="110"/>
      <c r="C61" s="67"/>
      <c r="D61" s="67"/>
      <c r="E61" s="67"/>
      <c r="F61" s="67"/>
      <c r="G61" s="67"/>
      <c r="H61" s="67"/>
      <c r="I61" s="67"/>
      <c r="J61" s="67"/>
      <c r="K61" s="67"/>
      <c r="L61" s="67"/>
      <c r="M61" s="67"/>
      <c r="N61" s="67"/>
      <c r="O61" s="67"/>
      <c r="P61" s="885"/>
    </row>
    <row r="62" spans="1:16">
      <c r="B62" s="110"/>
      <c r="C62" s="49" t="s">
        <v>1050</v>
      </c>
      <c r="D62" s="67"/>
      <c r="E62" s="67"/>
      <c r="F62" s="67"/>
      <c r="G62" s="67"/>
      <c r="H62" s="67"/>
      <c r="I62" s="51" t="str">
        <f>Preferences.EnergyUnits</f>
        <v>TWh</v>
      </c>
      <c r="J62" s="51"/>
      <c r="K62" s="67"/>
      <c r="L62" s="67"/>
      <c r="M62" s="67"/>
      <c r="N62" s="67"/>
      <c r="O62" s="67"/>
      <c r="P62" s="885"/>
    </row>
    <row r="63" spans="1:16">
      <c r="B63" s="110"/>
      <c r="C63" s="67"/>
      <c r="D63" s="67"/>
      <c r="E63" s="1364"/>
      <c r="F63" s="1365"/>
      <c r="G63" s="67"/>
      <c r="H63" s="67"/>
      <c r="I63" s="1364"/>
      <c r="J63" s="1365"/>
      <c r="K63" s="67"/>
      <c r="L63" s="67"/>
      <c r="M63" s="67"/>
      <c r="N63" s="67"/>
      <c r="O63" s="67"/>
      <c r="P63" s="885"/>
    </row>
    <row r="64" spans="1:16" ht="15.75">
      <c r="B64" s="55"/>
      <c r="C64" s="887" t="s">
        <v>28</v>
      </c>
      <c r="D64" s="887" t="s">
        <v>72</v>
      </c>
      <c r="E64" s="1404" t="s">
        <v>30</v>
      </c>
      <c r="F64" s="1413" t="s">
        <v>2853</v>
      </c>
      <c r="G64" s="92" t="s">
        <v>1039</v>
      </c>
      <c r="H64" s="92" t="s">
        <v>1041</v>
      </c>
      <c r="I64" s="1414" t="s">
        <v>411</v>
      </c>
      <c r="J64" s="1413" t="s">
        <v>59</v>
      </c>
      <c r="K64" s="1413" t="s">
        <v>2927</v>
      </c>
      <c r="L64" s="67"/>
      <c r="M64" s="67"/>
      <c r="N64" s="67"/>
      <c r="O64" s="67"/>
      <c r="P64" s="885"/>
    </row>
    <row r="65" spans="2:25" ht="15.75">
      <c r="B65" s="55"/>
      <c r="C65" s="65" t="s">
        <v>96</v>
      </c>
      <c r="D65" s="108" t="s">
        <v>86</v>
      </c>
      <c r="E65" s="1405"/>
      <c r="F65" s="1415">
        <f>(Unit.TWh)*1.69</f>
        <v>1.69</v>
      </c>
      <c r="G65" s="1415">
        <f>(Unit.TWh)*0.74</f>
        <v>0.74</v>
      </c>
      <c r="H65" s="60">
        <f>(Unit.TWh)*0.59</f>
        <v>0.59</v>
      </c>
      <c r="I65" s="1415">
        <f>J65-SUM(F65:H65)</f>
        <v>6.27</v>
      </c>
      <c r="J65" s="1415">
        <f>(Unit.TWh)*9.29</f>
        <v>9.2899999999999991</v>
      </c>
      <c r="K65" s="3720">
        <f>J65/J$70</f>
        <v>0.35744517121969982</v>
      </c>
      <c r="L65" s="67" t="s">
        <v>5</v>
      </c>
      <c r="M65" s="67"/>
      <c r="N65" s="67"/>
      <c r="O65" s="67"/>
      <c r="P65" s="885"/>
    </row>
    <row r="66" spans="2:25" ht="15.75">
      <c r="B66" s="55"/>
      <c r="C66" s="65" t="s">
        <v>98</v>
      </c>
      <c r="D66" s="108" t="s">
        <v>88</v>
      </c>
      <c r="E66" s="1405"/>
      <c r="F66" s="1415">
        <f>(Unit.TWh)*0</f>
        <v>0</v>
      </c>
      <c r="G66" s="60">
        <f>(Unit.TWh)*0</f>
        <v>0</v>
      </c>
      <c r="H66" s="60">
        <f>(Unit.TWh)*1.4</f>
        <v>1.4</v>
      </c>
      <c r="I66" s="1415">
        <f>J66-SUM(F66:H66)</f>
        <v>1.71</v>
      </c>
      <c r="J66" s="1416">
        <f>(Unit.TWh)*3.11</f>
        <v>3.11</v>
      </c>
      <c r="K66" s="3721">
        <f>J66/J$70</f>
        <v>0.11966140823393612</v>
      </c>
      <c r="L66" s="67"/>
      <c r="M66" s="67"/>
      <c r="N66" s="67"/>
      <c r="O66" s="67"/>
      <c r="P66" s="885"/>
    </row>
    <row r="67" spans="2:25" ht="15.75">
      <c r="B67" s="55"/>
      <c r="C67" s="65" t="s">
        <v>99</v>
      </c>
      <c r="D67" s="108" t="s">
        <v>89</v>
      </c>
      <c r="E67" s="1405"/>
      <c r="F67" s="1415">
        <f>(Unit.TWh)*0.34</f>
        <v>0.34</v>
      </c>
      <c r="G67" s="60">
        <f>(Unit.TWh)*1.11</f>
        <v>1.1100000000000001</v>
      </c>
      <c r="H67" s="60">
        <f>(Unit.TWh)*1.64</f>
        <v>1.64</v>
      </c>
      <c r="I67" s="1415">
        <f>J67-SUM(F67:H67)</f>
        <v>3.26</v>
      </c>
      <c r="J67" s="1416">
        <f>(Unit.TWh)*6.35</f>
        <v>6.35</v>
      </c>
      <c r="K67" s="3721">
        <f>J67/J$70</f>
        <v>0.24432474028472487</v>
      </c>
      <c r="L67" s="67"/>
      <c r="M67" s="67"/>
      <c r="N67" s="67"/>
      <c r="O67" s="67"/>
      <c r="P67" s="885"/>
    </row>
    <row r="68" spans="2:25" ht="15.75">
      <c r="B68" s="55"/>
      <c r="C68" s="65" t="s">
        <v>100</v>
      </c>
      <c r="D68" s="108" t="s">
        <v>90</v>
      </c>
      <c r="E68" s="1405"/>
      <c r="F68" s="1415">
        <f>(Unit.TWh)*0.65</f>
        <v>0.65</v>
      </c>
      <c r="G68" s="60">
        <f>(Unit.TWh)*3.73</f>
        <v>3.73</v>
      </c>
      <c r="H68" s="60">
        <f>(Unit.TWh)*0.17</f>
        <v>0.17</v>
      </c>
      <c r="I68" s="1415">
        <f>J68-SUM(F68:H68)</f>
        <v>2.6900000000000004</v>
      </c>
      <c r="J68" s="1416">
        <f>(Unit.TWh)*7.24</f>
        <v>7.24</v>
      </c>
      <c r="K68" s="3721">
        <f>J68/J$70</f>
        <v>0.27856868026163906</v>
      </c>
      <c r="L68" s="67"/>
      <c r="M68" s="67"/>
      <c r="N68" s="67"/>
      <c r="O68" s="67"/>
      <c r="P68" s="885"/>
    </row>
    <row r="69" spans="2:25" ht="15.75">
      <c r="B69" s="55"/>
      <c r="C69" s="896" t="s">
        <v>101</v>
      </c>
      <c r="D69" s="897" t="s">
        <v>91</v>
      </c>
      <c r="E69" s="1417"/>
      <c r="F69" s="1418">
        <f>(Unit.TWh)*0</f>
        <v>0</v>
      </c>
      <c r="G69" s="907">
        <f>(Unit.TWh)*0</f>
        <v>0</v>
      </c>
      <c r="H69" s="907">
        <f>(Unit.TWh)*0</f>
        <v>0</v>
      </c>
      <c r="I69" s="1419">
        <v>0</v>
      </c>
      <c r="J69" s="1420">
        <v>0</v>
      </c>
      <c r="K69" s="1420">
        <f>J69/J$70</f>
        <v>0</v>
      </c>
      <c r="L69" s="67"/>
      <c r="M69" s="67"/>
      <c r="N69" s="67"/>
      <c r="O69" s="67"/>
      <c r="P69" s="885"/>
      <c r="X69" s="39"/>
      <c r="Y69" s="39"/>
    </row>
    <row r="70" spans="2:25" ht="15.75">
      <c r="B70" s="55"/>
      <c r="C70" s="89" t="s">
        <v>59</v>
      </c>
      <c r="D70" s="122"/>
      <c r="E70" s="1421"/>
      <c r="F70" s="1403">
        <f>SUM(F65:F68)</f>
        <v>2.6799999999999997</v>
      </c>
      <c r="G70" s="1403">
        <f>SUM(G65:G68)</f>
        <v>5.58</v>
      </c>
      <c r="H70" s="1403">
        <f>SUM(H65:H68)</f>
        <v>3.8</v>
      </c>
      <c r="I70" s="1403">
        <f>SUM(I65:I68)</f>
        <v>13.93</v>
      </c>
      <c r="J70" s="1403">
        <f>SUM(J65:J68)</f>
        <v>25.990000000000002</v>
      </c>
      <c r="K70" s="67"/>
      <c r="L70" s="67"/>
      <c r="M70" s="67"/>
      <c r="N70" s="67"/>
      <c r="O70" s="67"/>
      <c r="P70" s="885"/>
      <c r="X70" s="39"/>
      <c r="Y70" s="39"/>
    </row>
    <row r="71" spans="2:25">
      <c r="B71" s="110"/>
      <c r="C71" s="67"/>
      <c r="D71" s="67"/>
      <c r="E71" s="67"/>
      <c r="F71" s="67"/>
      <c r="G71" s="67"/>
      <c r="H71" s="67"/>
      <c r="I71" s="67"/>
      <c r="J71" s="67" t="s">
        <v>5</v>
      </c>
      <c r="K71" s="67"/>
      <c r="L71" s="67"/>
      <c r="M71" s="67"/>
      <c r="N71" s="67"/>
      <c r="O71" s="67"/>
      <c r="P71" s="885"/>
      <c r="X71" s="39"/>
      <c r="Y71" s="39"/>
    </row>
    <row r="72" spans="2:25">
      <c r="B72" s="110"/>
      <c r="C72" s="49" t="s">
        <v>1051</v>
      </c>
      <c r="D72" s="67"/>
      <c r="E72" s="50"/>
      <c r="F72" s="67"/>
      <c r="G72" s="67"/>
      <c r="H72" s="67"/>
      <c r="I72" s="944" t="s">
        <v>254</v>
      </c>
      <c r="J72" s="67"/>
      <c r="K72" s="67"/>
      <c r="L72" s="67"/>
      <c r="M72" s="67"/>
      <c r="N72" s="67"/>
      <c r="O72" s="67"/>
      <c r="P72" s="885"/>
      <c r="X72" s="1422"/>
      <c r="Y72" s="1422"/>
    </row>
    <row r="73" spans="2:25">
      <c r="B73" s="110"/>
      <c r="C73" s="67"/>
      <c r="D73" s="67"/>
      <c r="E73" s="1364"/>
      <c r="F73" s="1365"/>
      <c r="G73" s="67"/>
      <c r="H73" s="67"/>
      <c r="I73" s="67"/>
      <c r="J73" s="67"/>
      <c r="K73" s="67"/>
      <c r="L73" s="67"/>
      <c r="M73" s="67"/>
      <c r="N73" s="67"/>
      <c r="O73" s="67"/>
      <c r="P73" s="885"/>
      <c r="X73" s="39"/>
      <c r="Y73" s="39"/>
    </row>
    <row r="74" spans="2:25" ht="15.75">
      <c r="B74" s="55"/>
      <c r="C74" s="887" t="s">
        <v>368</v>
      </c>
      <c r="D74" s="887" t="s">
        <v>72</v>
      </c>
      <c r="E74" s="1404" t="s">
        <v>30</v>
      </c>
      <c r="F74" s="1413" t="s">
        <v>253</v>
      </c>
      <c r="G74" s="92" t="s">
        <v>255</v>
      </c>
      <c r="H74" s="92" t="s">
        <v>256</v>
      </c>
      <c r="I74" s="92" t="s">
        <v>460</v>
      </c>
      <c r="J74" s="67"/>
      <c r="K74" s="67"/>
      <c r="L74" s="67"/>
      <c r="M74" s="67"/>
      <c r="N74" s="67"/>
      <c r="O74" s="67"/>
      <c r="P74" s="885"/>
      <c r="X74" s="39"/>
      <c r="Y74" s="39"/>
    </row>
    <row r="75" spans="2:25" s="6" customFormat="1" ht="15.75">
      <c r="B75" s="975"/>
      <c r="C75" s="65" t="s">
        <v>1037</v>
      </c>
      <c r="D75" s="108" t="s">
        <v>2853</v>
      </c>
      <c r="E75" s="1405"/>
      <c r="F75" s="1423">
        <v>0</v>
      </c>
      <c r="G75" s="892">
        <v>0</v>
      </c>
      <c r="H75" s="892">
        <v>0</v>
      </c>
      <c r="I75" s="892">
        <v>0</v>
      </c>
      <c r="J75" s="108"/>
      <c r="K75" s="108"/>
      <c r="L75" s="108"/>
      <c r="M75" s="108"/>
      <c r="N75" s="108"/>
      <c r="O75" s="108"/>
      <c r="P75" s="893"/>
    </row>
    <row r="76" spans="2:25" s="6" customFormat="1" ht="15.75">
      <c r="B76" s="975"/>
      <c r="C76" s="108" t="s">
        <v>1038</v>
      </c>
      <c r="D76" s="108" t="s">
        <v>1039</v>
      </c>
      <c r="E76" s="1411"/>
      <c r="F76" s="1423">
        <v>0</v>
      </c>
      <c r="G76" s="892">
        <v>0</v>
      </c>
      <c r="H76" s="892">
        <v>0</v>
      </c>
      <c r="I76" s="892">
        <v>0</v>
      </c>
      <c r="J76" s="108"/>
      <c r="K76" s="108"/>
      <c r="L76" s="108"/>
      <c r="M76" s="108"/>
      <c r="N76" s="108"/>
      <c r="O76" s="108"/>
      <c r="P76" s="893"/>
    </row>
    <row r="77" spans="2:25" s="6" customFormat="1" ht="15.75">
      <c r="B77" s="975"/>
      <c r="C77" s="108" t="s">
        <v>1040</v>
      </c>
      <c r="D77" s="108" t="s">
        <v>1041</v>
      </c>
      <c r="E77" s="1411"/>
      <c r="F77" s="1423">
        <v>1.39</v>
      </c>
      <c r="G77" s="892">
        <v>0</v>
      </c>
      <c r="H77" s="892">
        <v>0</v>
      </c>
      <c r="I77" s="892">
        <v>0</v>
      </c>
      <c r="J77" s="108"/>
      <c r="K77" s="108"/>
      <c r="L77" s="108"/>
      <c r="M77" s="108"/>
      <c r="N77" s="108"/>
      <c r="O77" s="108"/>
      <c r="P77" s="893"/>
    </row>
    <row r="78" spans="2:25" s="6" customFormat="1" ht="15.75">
      <c r="B78" s="975"/>
      <c r="C78" s="199" t="s">
        <v>1042</v>
      </c>
      <c r="D78" s="199" t="s">
        <v>411</v>
      </c>
      <c r="E78" s="1424"/>
      <c r="F78" s="3640">
        <v>0</v>
      </c>
      <c r="G78" s="1157">
        <v>0</v>
      </c>
      <c r="H78" s="1157">
        <v>0</v>
      </c>
      <c r="I78" s="1157">
        <v>1.03</v>
      </c>
      <c r="J78" s="108"/>
      <c r="K78" s="108"/>
      <c r="L78" s="108"/>
      <c r="M78" s="108"/>
      <c r="N78" s="108"/>
      <c r="O78" s="108"/>
      <c r="P78" s="893"/>
    </row>
    <row r="79" spans="2:25">
      <c r="B79" s="110"/>
      <c r="C79" s="67"/>
      <c r="D79" s="67"/>
      <c r="E79" s="1364"/>
      <c r="F79" s="1365"/>
      <c r="G79" s="67"/>
      <c r="H79" s="67"/>
      <c r="I79" s="67"/>
      <c r="J79" s="67"/>
      <c r="K79" s="67"/>
      <c r="L79" s="67"/>
      <c r="M79" s="67"/>
      <c r="N79" s="67"/>
      <c r="O79" s="67"/>
      <c r="P79" s="885"/>
    </row>
    <row r="80" spans="2:25">
      <c r="B80" s="110"/>
      <c r="C80" s="49" t="s">
        <v>1052</v>
      </c>
      <c r="D80" s="67"/>
      <c r="E80" s="50"/>
      <c r="F80" s="67"/>
      <c r="G80" s="67"/>
      <c r="H80" s="67"/>
      <c r="I80" s="944" t="s">
        <v>994</v>
      </c>
      <c r="J80" s="67"/>
      <c r="K80" s="67"/>
      <c r="L80" s="67"/>
      <c r="M80" s="67"/>
      <c r="N80" s="67"/>
      <c r="O80" s="67"/>
      <c r="P80" s="885"/>
    </row>
    <row r="81" spans="2:16">
      <c r="B81" s="110"/>
      <c r="C81" s="67"/>
      <c r="D81" s="67"/>
      <c r="E81" s="1364"/>
      <c r="F81" s="1365"/>
      <c r="G81" s="67"/>
      <c r="H81" s="67"/>
      <c r="I81" s="67"/>
      <c r="J81" s="67"/>
      <c r="K81" s="67"/>
      <c r="L81" s="67"/>
      <c r="M81" s="67"/>
      <c r="N81" s="67"/>
      <c r="O81" s="67"/>
      <c r="P81" s="885"/>
    </row>
    <row r="82" spans="2:16" ht="15.75">
      <c r="B82" s="55"/>
      <c r="C82" s="887" t="s">
        <v>368</v>
      </c>
      <c r="D82" s="887" t="s">
        <v>72</v>
      </c>
      <c r="E82" s="1404" t="s">
        <v>30</v>
      </c>
      <c r="F82" s="1413" t="s">
        <v>261</v>
      </c>
      <c r="G82" s="92" t="s">
        <v>263</v>
      </c>
      <c r="H82" s="92" t="s">
        <v>265</v>
      </c>
      <c r="I82" s="92" t="s">
        <v>267</v>
      </c>
      <c r="J82" s="67"/>
      <c r="K82" s="67"/>
      <c r="L82" s="67"/>
      <c r="M82" s="67"/>
      <c r="N82" s="67"/>
      <c r="O82" s="67"/>
      <c r="P82" s="885"/>
    </row>
    <row r="83" spans="2:16" s="6" customFormat="1" ht="15.75">
      <c r="B83" s="975"/>
      <c r="C83" s="65" t="s">
        <v>1037</v>
      </c>
      <c r="D83" s="108" t="s">
        <v>2853</v>
      </c>
      <c r="E83" s="1405"/>
      <c r="F83" s="3082"/>
      <c r="G83" s="3080"/>
      <c r="H83" s="3080"/>
      <c r="I83" s="3080"/>
      <c r="J83" s="108"/>
      <c r="K83" s="108"/>
      <c r="L83" s="108"/>
      <c r="M83" s="108"/>
      <c r="N83" s="108"/>
      <c r="O83" s="108"/>
      <c r="P83" s="893"/>
    </row>
    <row r="84" spans="2:16" s="6" customFormat="1" ht="15.75">
      <c r="B84" s="975"/>
      <c r="C84" s="108" t="s">
        <v>1038</v>
      </c>
      <c r="D84" s="108" t="s">
        <v>1039</v>
      </c>
      <c r="E84" s="1411"/>
      <c r="F84" s="3082"/>
      <c r="G84" s="3080"/>
      <c r="H84" s="3080"/>
      <c r="I84" s="3080"/>
      <c r="J84" s="108"/>
      <c r="K84" s="108"/>
      <c r="L84" s="108"/>
      <c r="M84" s="108"/>
      <c r="N84" s="108"/>
      <c r="O84" s="108"/>
      <c r="P84" s="893"/>
    </row>
    <row r="85" spans="2:16" s="6" customFormat="1" ht="15.75">
      <c r="B85" s="975"/>
      <c r="C85" s="108" t="s">
        <v>1040</v>
      </c>
      <c r="D85" s="108" t="s">
        <v>1041</v>
      </c>
      <c r="E85" s="1411"/>
      <c r="F85" s="3082"/>
      <c r="G85" s="3080"/>
      <c r="H85" s="3080"/>
      <c r="I85" s="3080"/>
      <c r="J85" s="108"/>
      <c r="K85" s="108"/>
      <c r="L85" s="108"/>
      <c r="M85" s="108"/>
      <c r="N85" s="108"/>
      <c r="O85" s="108"/>
      <c r="P85" s="893"/>
    </row>
    <row r="86" spans="2:16" s="6" customFormat="1" ht="15.75">
      <c r="B86" s="975"/>
      <c r="C86" s="199" t="s">
        <v>1042</v>
      </c>
      <c r="D86" s="199" t="s">
        <v>411</v>
      </c>
      <c r="E86" s="1424"/>
      <c r="F86" s="3083"/>
      <c r="G86" s="3081"/>
      <c r="H86" s="3081"/>
      <c r="I86" s="3081"/>
      <c r="J86" s="108"/>
      <c r="K86" s="108"/>
      <c r="L86" s="108"/>
      <c r="M86" s="108"/>
      <c r="N86" s="108"/>
      <c r="O86" s="108"/>
      <c r="P86" s="893"/>
    </row>
    <row r="87" spans="2:16" s="6" customFormat="1" ht="15.75">
      <c r="B87" s="975"/>
      <c r="C87" s="108"/>
      <c r="D87" s="122" t="s">
        <v>59</v>
      </c>
      <c r="E87" s="1411"/>
      <c r="F87" s="1423"/>
      <c r="G87" s="892"/>
      <c r="H87" s="892"/>
      <c r="I87" s="892"/>
      <c r="J87" s="108"/>
      <c r="K87" s="108"/>
      <c r="L87" s="108"/>
      <c r="M87" s="108"/>
      <c r="N87" s="108"/>
      <c r="O87" s="108"/>
      <c r="P87" s="893"/>
    </row>
    <row r="88" spans="2:16" s="6" customFormat="1" ht="15.75">
      <c r="B88" s="975"/>
      <c r="C88" s="108"/>
      <c r="D88" s="108"/>
      <c r="E88" s="1411"/>
      <c r="F88" s="1423"/>
      <c r="G88" s="892"/>
      <c r="H88" s="892"/>
      <c r="I88" s="892"/>
      <c r="J88" s="108"/>
      <c r="K88" s="108"/>
      <c r="L88" s="108"/>
      <c r="M88" s="108"/>
      <c r="N88" s="108"/>
      <c r="O88" s="108"/>
      <c r="P88" s="893"/>
    </row>
    <row r="89" spans="2:16">
      <c r="B89" s="110"/>
      <c r="C89" s="49" t="s">
        <v>1053</v>
      </c>
      <c r="D89" s="67"/>
      <c r="E89" s="50"/>
      <c r="F89" s="67"/>
      <c r="G89" s="67"/>
      <c r="H89" s="67"/>
      <c r="I89" s="944" t="s">
        <v>994</v>
      </c>
      <c r="J89" s="67"/>
      <c r="K89" s="67"/>
      <c r="L89" s="67"/>
      <c r="M89" s="67"/>
      <c r="N89" s="67"/>
      <c r="O89" s="67"/>
      <c r="P89" s="885"/>
    </row>
    <row r="90" spans="2:16">
      <c r="B90" s="110"/>
      <c r="C90" s="67"/>
      <c r="D90" s="67"/>
      <c r="E90" s="1364"/>
      <c r="F90" s="1365"/>
      <c r="G90" s="67"/>
      <c r="H90" s="67"/>
      <c r="I90" s="67"/>
      <c r="J90" s="67"/>
      <c r="K90" s="67"/>
      <c r="L90" s="67"/>
      <c r="M90" s="67"/>
      <c r="N90" s="67"/>
      <c r="O90" s="67"/>
      <c r="P90" s="885"/>
    </row>
    <row r="91" spans="2:16" ht="15.75">
      <c r="B91" s="55"/>
      <c r="C91" s="887" t="s">
        <v>368</v>
      </c>
      <c r="D91" s="887" t="s">
        <v>72</v>
      </c>
      <c r="E91" s="1404" t="s">
        <v>30</v>
      </c>
      <c r="F91" s="1413" t="s">
        <v>261</v>
      </c>
      <c r="G91" s="92" t="s">
        <v>263</v>
      </c>
      <c r="H91" s="92" t="s">
        <v>265</v>
      </c>
      <c r="I91" s="92" t="s">
        <v>267</v>
      </c>
      <c r="J91" s="67"/>
      <c r="K91" s="67"/>
      <c r="L91" s="67"/>
      <c r="M91" s="67"/>
      <c r="N91" s="67"/>
      <c r="O91" s="67"/>
      <c r="P91" s="885"/>
    </row>
    <row r="92" spans="2:16" s="6" customFormat="1" ht="15.75">
      <c r="B92" s="975"/>
      <c r="C92" s="65" t="s">
        <v>1037</v>
      </c>
      <c r="D92" s="108" t="s">
        <v>2853</v>
      </c>
      <c r="E92" s="1405"/>
      <c r="F92" s="3082"/>
      <c r="G92" s="3080"/>
      <c r="H92" s="3080"/>
      <c r="I92" s="3080"/>
      <c r="J92" s="108"/>
      <c r="K92" s="108"/>
      <c r="L92" s="108"/>
      <c r="M92" s="108"/>
      <c r="N92" s="108"/>
      <c r="O92" s="108"/>
      <c r="P92" s="893"/>
    </row>
    <row r="93" spans="2:16" s="6" customFormat="1" ht="15.75">
      <c r="B93" s="975"/>
      <c r="C93" s="108" t="s">
        <v>1038</v>
      </c>
      <c r="D93" s="108" t="s">
        <v>1039</v>
      </c>
      <c r="E93" s="1411"/>
      <c r="F93" s="3082"/>
      <c r="G93" s="3080"/>
      <c r="H93" s="3080"/>
      <c r="I93" s="3080"/>
      <c r="J93" s="108"/>
      <c r="K93" s="108"/>
      <c r="L93" s="108"/>
      <c r="M93" s="108"/>
      <c r="N93" s="108"/>
      <c r="O93" s="108"/>
      <c r="P93" s="893"/>
    </row>
    <row r="94" spans="2:16" s="6" customFormat="1" ht="15.75">
      <c r="B94" s="975"/>
      <c r="C94" s="108" t="s">
        <v>1040</v>
      </c>
      <c r="D94" s="108" t="s">
        <v>1041</v>
      </c>
      <c r="E94" s="1411"/>
      <c r="F94" s="3082"/>
      <c r="G94" s="3080"/>
      <c r="H94" s="3080"/>
      <c r="I94" s="3080"/>
      <c r="J94" s="108"/>
      <c r="K94" s="108"/>
      <c r="L94" s="108"/>
      <c r="M94" s="108"/>
      <c r="N94" s="108"/>
      <c r="O94" s="108"/>
      <c r="P94" s="893"/>
    </row>
    <row r="95" spans="2:16" s="6" customFormat="1" ht="15.75">
      <c r="B95" s="975"/>
      <c r="C95" s="199" t="s">
        <v>1042</v>
      </c>
      <c r="D95" s="199" t="s">
        <v>411</v>
      </c>
      <c r="E95" s="1424"/>
      <c r="F95" s="3083"/>
      <c r="G95" s="3081"/>
      <c r="H95" s="3081"/>
      <c r="I95" s="3081"/>
      <c r="J95" s="108"/>
      <c r="K95" s="108"/>
      <c r="L95" s="108"/>
      <c r="M95" s="108"/>
      <c r="N95" s="108"/>
      <c r="O95" s="108"/>
      <c r="P95" s="893"/>
    </row>
    <row r="96" spans="2:16" s="6" customFormat="1" ht="15.75">
      <c r="B96" s="975"/>
      <c r="C96" s="108"/>
      <c r="D96" s="122" t="s">
        <v>59</v>
      </c>
      <c r="E96" s="1411"/>
      <c r="F96" s="1423"/>
      <c r="G96" s="892"/>
      <c r="H96" s="892"/>
      <c r="I96" s="892"/>
      <c r="J96" s="108"/>
      <c r="K96" s="108"/>
      <c r="L96" s="108"/>
      <c r="M96" s="108"/>
      <c r="N96" s="108"/>
      <c r="O96" s="108"/>
      <c r="P96" s="893"/>
    </row>
    <row r="97" spans="2:16">
      <c r="B97" s="110"/>
      <c r="C97" s="67"/>
      <c r="D97" s="67"/>
      <c r="E97" s="1364"/>
      <c r="F97" s="1365"/>
      <c r="G97" s="67"/>
      <c r="H97" s="67"/>
      <c r="I97" s="67"/>
      <c r="J97" s="67"/>
      <c r="K97" s="67"/>
      <c r="L97" s="67"/>
      <c r="M97" s="67"/>
      <c r="N97" s="67"/>
      <c r="O97" s="67"/>
      <c r="P97" s="885"/>
    </row>
    <row r="98" spans="2:16">
      <c r="B98" s="110"/>
      <c r="C98" s="49" t="s">
        <v>1054</v>
      </c>
      <c r="D98" s="67"/>
      <c r="E98" s="50"/>
      <c r="F98" s="67"/>
      <c r="G98" s="67"/>
      <c r="H98" s="67"/>
      <c r="I98" s="944" t="s">
        <v>994</v>
      </c>
      <c r="J98" s="67"/>
      <c r="K98" s="67"/>
      <c r="L98" s="67"/>
      <c r="M98" s="67"/>
      <c r="N98" s="67"/>
      <c r="O98" s="67"/>
      <c r="P98" s="885"/>
    </row>
    <row r="99" spans="2:16">
      <c r="B99" s="110"/>
      <c r="C99" s="67"/>
      <c r="D99" s="67"/>
      <c r="E99" s="1364"/>
      <c r="F99" s="1365"/>
      <c r="G99" s="67"/>
      <c r="H99" s="67"/>
      <c r="I99" s="67"/>
      <c r="J99" s="67"/>
      <c r="K99" s="67"/>
      <c r="L99" s="67"/>
      <c r="M99" s="67"/>
      <c r="N99" s="67"/>
      <c r="O99" s="67"/>
      <c r="P99" s="885"/>
    </row>
    <row r="100" spans="2:16" ht="15.75">
      <c r="B100" s="55"/>
      <c r="C100" s="887" t="s">
        <v>368</v>
      </c>
      <c r="D100" s="887" t="s">
        <v>72</v>
      </c>
      <c r="E100" s="1404" t="s">
        <v>30</v>
      </c>
      <c r="F100" s="1413" t="s">
        <v>261</v>
      </c>
      <c r="G100" s="92" t="s">
        <v>263</v>
      </c>
      <c r="H100" s="92" t="s">
        <v>265</v>
      </c>
      <c r="I100" s="92" t="s">
        <v>267</v>
      </c>
      <c r="J100" s="67"/>
      <c r="K100" s="67"/>
      <c r="L100" s="67"/>
      <c r="M100" s="67"/>
      <c r="N100" s="67"/>
      <c r="O100" s="67"/>
      <c r="P100" s="885"/>
    </row>
    <row r="101" spans="2:16" s="6" customFormat="1" ht="15.75">
      <c r="B101" s="975"/>
      <c r="C101" s="65" t="s">
        <v>1037</v>
      </c>
      <c r="D101" s="108" t="s">
        <v>2853</v>
      </c>
      <c r="E101" s="1405"/>
      <c r="F101" s="3082"/>
      <c r="G101" s="3080"/>
      <c r="H101" s="3080"/>
      <c r="I101" s="3080"/>
      <c r="J101" s="108"/>
      <c r="K101" s="108"/>
      <c r="L101" s="108"/>
      <c r="M101" s="108"/>
      <c r="N101" s="108"/>
      <c r="O101" s="108"/>
      <c r="P101" s="893"/>
    </row>
    <row r="102" spans="2:16" s="6" customFormat="1" ht="15.75">
      <c r="B102" s="975"/>
      <c r="C102" s="108" t="s">
        <v>1038</v>
      </c>
      <c r="D102" s="108" t="s">
        <v>1039</v>
      </c>
      <c r="E102" s="1411"/>
      <c r="F102" s="3082"/>
      <c r="G102" s="3080"/>
      <c r="H102" s="3080"/>
      <c r="I102" s="3080"/>
      <c r="J102" s="108"/>
      <c r="K102" s="108"/>
      <c r="L102" s="108"/>
      <c r="M102" s="108"/>
      <c r="N102" s="108"/>
      <c r="O102" s="108"/>
      <c r="P102" s="893"/>
    </row>
    <row r="103" spans="2:16" s="6" customFormat="1" ht="15.75">
      <c r="B103" s="975"/>
      <c r="C103" s="108" t="s">
        <v>1040</v>
      </c>
      <c r="D103" s="108" t="s">
        <v>1041</v>
      </c>
      <c r="E103" s="1411"/>
      <c r="F103" s="3082"/>
      <c r="G103" s="3080"/>
      <c r="H103" s="3080"/>
      <c r="I103" s="3080"/>
      <c r="J103" s="108"/>
      <c r="K103" s="108"/>
      <c r="L103" s="108"/>
      <c r="M103" s="108"/>
      <c r="N103" s="108"/>
      <c r="O103" s="108"/>
      <c r="P103" s="893"/>
    </row>
    <row r="104" spans="2:16" s="6" customFormat="1" ht="15.75">
      <c r="B104" s="975"/>
      <c r="C104" s="199" t="s">
        <v>1042</v>
      </c>
      <c r="D104" s="199" t="s">
        <v>411</v>
      </c>
      <c r="E104" s="1424"/>
      <c r="F104" s="3083"/>
      <c r="G104" s="3081"/>
      <c r="H104" s="3081"/>
      <c r="I104" s="3081"/>
      <c r="J104" s="108"/>
      <c r="K104" s="108"/>
      <c r="L104" s="108"/>
      <c r="M104" s="108"/>
      <c r="N104" s="108"/>
      <c r="O104" s="108"/>
      <c r="P104" s="893"/>
    </row>
    <row r="105" spans="2:16" s="6" customFormat="1" ht="15.75">
      <c r="B105" s="975"/>
      <c r="C105" s="108"/>
      <c r="D105" s="122" t="s">
        <v>59</v>
      </c>
      <c r="E105" s="1411"/>
      <c r="F105" s="1423"/>
      <c r="G105" s="892"/>
      <c r="H105" s="892"/>
      <c r="I105" s="892"/>
      <c r="J105" s="108"/>
      <c r="K105" s="108"/>
      <c r="L105" s="108"/>
      <c r="M105" s="108"/>
      <c r="N105" s="108"/>
      <c r="O105" s="108"/>
      <c r="P105" s="893"/>
    </row>
    <row r="106" spans="2:16" s="6" customFormat="1" ht="15.75">
      <c r="B106" s="975"/>
      <c r="C106" s="108"/>
      <c r="D106" s="122"/>
      <c r="E106" s="108"/>
      <c r="F106" s="892"/>
      <c r="G106" s="892"/>
      <c r="H106" s="892"/>
      <c r="I106" s="892"/>
      <c r="J106" s="108"/>
      <c r="K106" s="108"/>
      <c r="L106" s="108"/>
      <c r="M106" s="108"/>
      <c r="N106" s="108"/>
      <c r="O106" s="108"/>
      <c r="P106" s="893"/>
    </row>
    <row r="107" spans="2:16">
      <c r="B107" s="110"/>
      <c r="C107" s="49" t="s">
        <v>798</v>
      </c>
      <c r="D107" s="67"/>
      <c r="E107" s="67"/>
      <c r="F107" s="67"/>
      <c r="G107" s="67"/>
      <c r="H107" s="67"/>
      <c r="I107" s="67"/>
      <c r="J107" s="67"/>
      <c r="K107" s="67"/>
      <c r="L107" s="67"/>
      <c r="M107" s="67"/>
      <c r="N107" s="944" t="str">
        <f>"kt per "&amp;Preferences.EnergyUnits</f>
        <v>kt per TWh</v>
      </c>
      <c r="O107" s="108"/>
      <c r="P107" s="885"/>
    </row>
    <row r="108" spans="2:16">
      <c r="B108" s="110"/>
      <c r="C108" s="67"/>
      <c r="D108" s="67"/>
      <c r="E108" s="1364"/>
      <c r="F108" s="67"/>
      <c r="G108" s="67"/>
      <c r="H108" s="67"/>
      <c r="I108" s="67"/>
      <c r="J108" s="67"/>
      <c r="K108" s="67"/>
      <c r="L108" s="67"/>
      <c r="M108" s="67"/>
      <c r="N108" s="67"/>
      <c r="O108" s="108"/>
      <c r="P108" s="885"/>
    </row>
    <row r="109" spans="2:16">
      <c r="B109" s="110"/>
      <c r="C109" s="1366" t="s">
        <v>44</v>
      </c>
      <c r="D109" s="1366" t="s">
        <v>131</v>
      </c>
      <c r="E109" s="1367" t="s">
        <v>28</v>
      </c>
      <c r="F109" s="1368">
        <v>2013</v>
      </c>
      <c r="G109" s="1368" t="s">
        <v>133</v>
      </c>
      <c r="H109" s="1368" t="s">
        <v>134</v>
      </c>
      <c r="I109" s="1368" t="s">
        <v>135</v>
      </c>
      <c r="J109" s="1368" t="s">
        <v>136</v>
      </c>
      <c r="K109" s="1368" t="s">
        <v>137</v>
      </c>
      <c r="L109" s="1368" t="s">
        <v>138</v>
      </c>
      <c r="M109" s="1368" t="s">
        <v>139</v>
      </c>
      <c r="N109" s="1369" t="s">
        <v>140</v>
      </c>
      <c r="O109" s="108"/>
      <c r="P109" s="885"/>
    </row>
    <row r="110" spans="2:16">
      <c r="B110" s="110"/>
      <c r="C110" s="1425" t="s">
        <v>475</v>
      </c>
      <c r="D110" s="1426" t="s">
        <v>476</v>
      </c>
      <c r="E110" s="1427" t="s">
        <v>98</v>
      </c>
      <c r="F110" s="3844">
        <f>0.0354889155686392*((1/Unit.TWh))</f>
        <v>3.5488915568639201E-2</v>
      </c>
      <c r="G110" s="3844">
        <f>0.039232371607233*((1/Unit.TWh))</f>
        <v>3.9232371607233002E-2</v>
      </c>
      <c r="H110" s="3844">
        <f>0.0343034933771326*((1/Unit.TWh))</f>
        <v>3.43034933771326E-2</v>
      </c>
      <c r="I110" s="3844">
        <f>0.0335913389233511*((1/Unit.TWh))</f>
        <v>3.3591338923351102E-2</v>
      </c>
      <c r="J110" s="3844">
        <f>0.0317334433826053*((1/Unit.TWh))</f>
        <v>3.1733443382605302E-2</v>
      </c>
      <c r="K110" s="3844">
        <f>0.0317334433826053*((1/Unit.TWh))</f>
        <v>3.1733443382605302E-2</v>
      </c>
      <c r="L110" s="3844">
        <f>0.0317334433826053*((1/Unit.TWh))</f>
        <v>3.1733443382605302E-2</v>
      </c>
      <c r="M110" s="3844">
        <f>0.0317334433826053*((1/Unit.TWh))</f>
        <v>3.1733443382605302E-2</v>
      </c>
      <c r="N110" s="3845">
        <f>0.0317334433826053*((1/Unit.TWh))</f>
        <v>3.1733443382605302E-2</v>
      </c>
      <c r="O110" s="108"/>
      <c r="P110" s="885"/>
    </row>
    <row r="111" spans="2:16">
      <c r="B111" s="110"/>
      <c r="C111" s="1428" t="s">
        <v>475</v>
      </c>
      <c r="D111" s="1426" t="s">
        <v>476</v>
      </c>
      <c r="E111" s="1428" t="s">
        <v>99</v>
      </c>
      <c r="F111" s="3846">
        <f>0.0312065378454299*((1/Unit.TWh))</f>
        <v>3.1206537845429899E-2</v>
      </c>
      <c r="G111" s="3846">
        <f>0.0404281848378382*((1/Unit.TWh))</f>
        <v>4.0428184837838201E-2</v>
      </c>
      <c r="H111" s="3846">
        <f>0.043641979312969*((1/Unit.TWh))</f>
        <v>4.3641979312969002E-2</v>
      </c>
      <c r="I111" s="3846">
        <f>0.0445525811865116*((1/Unit.TWh))</f>
        <v>4.4552581186511599E-2</v>
      </c>
      <c r="J111" s="3846">
        <f>0.045349285094027*((1/Unit.TWh))</f>
        <v>4.5349285094026998E-2</v>
      </c>
      <c r="K111" s="3846">
        <f>0.045349285094027*((1/Unit.TWh))</f>
        <v>4.5349285094026998E-2</v>
      </c>
      <c r="L111" s="3846">
        <f>0.045349285094027*((1/Unit.TWh))</f>
        <v>4.5349285094026998E-2</v>
      </c>
      <c r="M111" s="3846">
        <f>0.045349285094027*((1/Unit.TWh))</f>
        <v>4.5349285094026998E-2</v>
      </c>
      <c r="N111" s="3847">
        <f>0.045349285094027*((1/Unit.TWh))</f>
        <v>4.5349285094026998E-2</v>
      </c>
      <c r="O111" s="108"/>
      <c r="P111" s="885"/>
    </row>
    <row r="112" spans="2:16">
      <c r="B112" s="110"/>
      <c r="C112" s="1429" t="s">
        <v>475</v>
      </c>
      <c r="D112" s="1430" t="s">
        <v>476</v>
      </c>
      <c r="E112" s="1429" t="s">
        <v>100</v>
      </c>
      <c r="F112" s="3848">
        <f>0.00387238892224278*((1/Unit.TWh))</f>
        <v>3.87238892224278E-3</v>
      </c>
      <c r="G112" s="3848">
        <f>0.00434425023535965*((1/Unit.TWh))</f>
        <v>4.3442502353596502E-3</v>
      </c>
      <c r="H112" s="3848">
        <f>0.00408570465528237*((1/Unit.TWh))</f>
        <v>4.0857046552823699E-3</v>
      </c>
      <c r="I112" s="3848">
        <f>0.0040365947324016*((1/Unit.TWh))</f>
        <v>4.0365947324016004E-3</v>
      </c>
      <c r="J112" s="3848">
        <f>0.00403615544037582*((1/Unit.TWh))</f>
        <v>4.0361554403758196E-3</v>
      </c>
      <c r="K112" s="3848">
        <f>0.00403615544037582*((1/Unit.TWh))</f>
        <v>4.0361554403758196E-3</v>
      </c>
      <c r="L112" s="3848">
        <f>0.00403615544037582*((1/Unit.TWh))</f>
        <v>4.0361554403758196E-3</v>
      </c>
      <c r="M112" s="3848">
        <f>0.00403615544037582*((1/Unit.TWh))</f>
        <v>4.0361554403758196E-3</v>
      </c>
      <c r="N112" s="3849">
        <f>0.00403615544037582*((1/Unit.TWh))</f>
        <v>4.0361554403758196E-3</v>
      </c>
      <c r="O112" s="108"/>
      <c r="P112" s="885"/>
    </row>
    <row r="113" spans="2:16">
      <c r="B113" s="110"/>
      <c r="C113" s="67"/>
      <c r="D113" s="67"/>
      <c r="E113" s="67"/>
      <c r="F113" s="67"/>
      <c r="G113" s="67"/>
      <c r="H113" s="67"/>
      <c r="I113" s="67"/>
      <c r="J113" s="67"/>
      <c r="K113" s="67"/>
      <c r="L113" s="67"/>
      <c r="M113" s="67"/>
      <c r="N113" s="67"/>
      <c r="O113" s="108"/>
      <c r="P113" s="885"/>
    </row>
    <row r="114" spans="2:16">
      <c r="B114" s="110"/>
      <c r="C114" s="49" t="s">
        <v>800</v>
      </c>
      <c r="D114" s="67"/>
      <c r="E114" s="67"/>
      <c r="F114" s="67"/>
      <c r="G114" s="67"/>
      <c r="H114" s="67"/>
      <c r="I114" s="67"/>
      <c r="J114" s="67"/>
      <c r="K114" s="67"/>
      <c r="L114" s="67"/>
      <c r="M114" s="67"/>
      <c r="N114" s="944" t="str">
        <f>"kt per "&amp;Preferences.EnergyUnits</f>
        <v>kt per TWh</v>
      </c>
      <c r="O114" s="108"/>
      <c r="P114" s="885"/>
    </row>
    <row r="115" spans="2:16">
      <c r="B115" s="110"/>
      <c r="C115" s="67"/>
      <c r="D115" s="67"/>
      <c r="E115" s="1364"/>
      <c r="F115" s="67"/>
      <c r="G115" s="67"/>
      <c r="H115" s="67"/>
      <c r="I115" s="67"/>
      <c r="J115" s="67"/>
      <c r="K115" s="67"/>
      <c r="L115" s="67"/>
      <c r="M115" s="67"/>
      <c r="N115" s="67"/>
      <c r="O115" s="108"/>
      <c r="P115" s="885"/>
    </row>
    <row r="116" spans="2:16">
      <c r="B116" s="110"/>
      <c r="C116" s="1366" t="s">
        <v>44</v>
      </c>
      <c r="D116" s="1366" t="s">
        <v>131</v>
      </c>
      <c r="E116" s="1367" t="s">
        <v>28</v>
      </c>
      <c r="F116" s="1368">
        <v>2013</v>
      </c>
      <c r="G116" s="1368" t="s">
        <v>133</v>
      </c>
      <c r="H116" s="1368" t="s">
        <v>134</v>
      </c>
      <c r="I116" s="1368" t="s">
        <v>135</v>
      </c>
      <c r="J116" s="1368" t="s">
        <v>136</v>
      </c>
      <c r="K116" s="1368" t="s">
        <v>137</v>
      </c>
      <c r="L116" s="1368" t="s">
        <v>138</v>
      </c>
      <c r="M116" s="1368" t="s">
        <v>139</v>
      </c>
      <c r="N116" s="1369" t="s">
        <v>140</v>
      </c>
      <c r="O116" s="108"/>
      <c r="P116" s="885"/>
    </row>
    <row r="117" spans="2:16">
      <c r="B117" s="110"/>
      <c r="C117" s="1425" t="s">
        <v>475</v>
      </c>
      <c r="D117" s="1426" t="s">
        <v>476</v>
      </c>
      <c r="E117" s="1427" t="s">
        <v>98</v>
      </c>
      <c r="F117" s="3844">
        <f>0.437088797608031*((1/Unit.TWh))</f>
        <v>0.43708879760803099</v>
      </c>
      <c r="G117" s="3844">
        <f>0.429453068942194*((1/Unit.TWh))</f>
        <v>0.42945306894219398</v>
      </c>
      <c r="H117" s="3844">
        <f>0.401575760537987*((1/Unit.TWh))</f>
        <v>0.40157576053798699</v>
      </c>
      <c r="I117" s="3844">
        <f>0.403153612464331*((1/Unit.TWh))</f>
        <v>0.40315361246433101</v>
      </c>
      <c r="J117" s="3844">
        <f>0.407260538947283*((1/Unit.TWh))</f>
        <v>0.40726053894728298</v>
      </c>
      <c r="K117" s="3844">
        <f>0.407260538947283*((1/Unit.TWh))</f>
        <v>0.40726053894728298</v>
      </c>
      <c r="L117" s="3844">
        <f>0.407260538947283*((1/Unit.TWh))</f>
        <v>0.40726053894728298</v>
      </c>
      <c r="M117" s="3844">
        <f>0.407260538947283*((1/Unit.TWh))</f>
        <v>0.40726053894728298</v>
      </c>
      <c r="N117" s="3845">
        <f>0.407260538947283*((1/Unit.TWh))</f>
        <v>0.40726053894728298</v>
      </c>
      <c r="O117" s="108"/>
      <c r="P117" s="885"/>
    </row>
    <row r="118" spans="2:16">
      <c r="B118" s="110"/>
      <c r="C118" s="1428" t="s">
        <v>475</v>
      </c>
      <c r="D118" s="1426" t="s">
        <v>476</v>
      </c>
      <c r="E118" s="1428" t="s">
        <v>99</v>
      </c>
      <c r="F118" s="3846">
        <f>0.686784009344614*((1/Unit.TWh))</f>
        <v>0.68678400934461403</v>
      </c>
      <c r="G118" s="3846">
        <f>0.147921094355084*((1/Unit.TWh))</f>
        <v>0.14792109435508399</v>
      </c>
      <c r="H118" s="3846">
        <f>0.117051481585907*((1/Unit.TWh))</f>
        <v>0.117051481585907</v>
      </c>
      <c r="I118" s="3846">
        <f>0.108439524634562*((1/Unit.TWh))</f>
        <v>0.108439524634562</v>
      </c>
      <c r="J118" s="3846">
        <f>0.102312084080298*((1/Unit.TWh))</f>
        <v>0.102312084080298</v>
      </c>
      <c r="K118" s="3846">
        <f>0.102312084080298*((1/Unit.TWh))</f>
        <v>0.102312084080298</v>
      </c>
      <c r="L118" s="3846">
        <f>0.102312084080298*((1/Unit.TWh))</f>
        <v>0.102312084080298</v>
      </c>
      <c r="M118" s="3846">
        <f>0.102312084080298*((1/Unit.TWh))</f>
        <v>0.102312084080298</v>
      </c>
      <c r="N118" s="3847">
        <f>0.102312084080298*((1/Unit.TWh))</f>
        <v>0.102312084080298</v>
      </c>
      <c r="O118" s="108"/>
      <c r="P118" s="885"/>
    </row>
    <row r="119" spans="2:16">
      <c r="B119" s="110"/>
      <c r="C119" s="1429" t="s">
        <v>475</v>
      </c>
      <c r="D119" s="1430" t="s">
        <v>476</v>
      </c>
      <c r="E119" s="1429" t="s">
        <v>100</v>
      </c>
      <c r="F119" s="3848">
        <f>0.43502557905744*((1/Unit.TWh))</f>
        <v>0.43502557905743999</v>
      </c>
      <c r="G119" s="3848">
        <f>0.407768646036338*((1/Unit.TWh))</f>
        <v>0.407768646036338</v>
      </c>
      <c r="H119" s="3848">
        <f>0.39520339190337*((1/Unit.TWh))</f>
        <v>0.39520339190337</v>
      </c>
      <c r="I119" s="3848">
        <f>0.376579506209084*((1/Unit.TWh))</f>
        <v>0.37657950620908398</v>
      </c>
      <c r="J119" s="3848">
        <f>0.3577387044271*((1/Unit.TWh))</f>
        <v>0.35773870442709998</v>
      </c>
      <c r="K119" s="3848">
        <f>0.3577387044271*((1/Unit.TWh))</f>
        <v>0.35773870442709998</v>
      </c>
      <c r="L119" s="3848">
        <f>0.3577387044271*((1/Unit.TWh))</f>
        <v>0.35773870442709998</v>
      </c>
      <c r="M119" s="3848">
        <f>0.3577387044271*((1/Unit.TWh))</f>
        <v>0.35773870442709998</v>
      </c>
      <c r="N119" s="3849">
        <f>0.3577387044271*((1/Unit.TWh))</f>
        <v>0.35773870442709998</v>
      </c>
      <c r="O119" s="108"/>
      <c r="P119" s="885"/>
    </row>
    <row r="120" spans="2:16">
      <c r="B120" s="110"/>
      <c r="C120" s="67"/>
      <c r="D120" s="67"/>
      <c r="E120" s="67"/>
      <c r="F120" s="67"/>
      <c r="G120" s="67"/>
      <c r="H120" s="67"/>
      <c r="I120" s="67"/>
      <c r="J120" s="67"/>
      <c r="K120" s="67"/>
      <c r="L120" s="67"/>
      <c r="M120" s="67"/>
      <c r="N120" s="67"/>
      <c r="O120" s="108"/>
      <c r="P120" s="885"/>
    </row>
    <row r="121" spans="2:16">
      <c r="B121" s="110"/>
      <c r="C121" s="49" t="s">
        <v>801</v>
      </c>
      <c r="D121" s="67"/>
      <c r="E121" s="67"/>
      <c r="F121" s="67"/>
      <c r="G121" s="67"/>
      <c r="H121" s="67"/>
      <c r="I121" s="67"/>
      <c r="J121" s="67"/>
      <c r="K121" s="67"/>
      <c r="L121" s="67"/>
      <c r="M121" s="67"/>
      <c r="N121" s="944" t="str">
        <f>"kt per "&amp;Preferences.EnergyUnits</f>
        <v>kt per TWh</v>
      </c>
      <c r="O121" s="108"/>
      <c r="P121" s="885"/>
    </row>
    <row r="122" spans="2:16">
      <c r="B122" s="110"/>
      <c r="C122" s="67"/>
      <c r="D122" s="67"/>
      <c r="E122" s="1364"/>
      <c r="F122" s="67"/>
      <c r="G122" s="67"/>
      <c r="H122" s="67"/>
      <c r="I122" s="67"/>
      <c r="J122" s="67"/>
      <c r="K122" s="67"/>
      <c r="L122" s="67"/>
      <c r="M122" s="67"/>
      <c r="N122" s="67"/>
      <c r="O122" s="108"/>
      <c r="P122" s="885"/>
    </row>
    <row r="123" spans="2:16">
      <c r="B123" s="110"/>
      <c r="C123" s="1366" t="s">
        <v>44</v>
      </c>
      <c r="D123" s="1366" t="s">
        <v>131</v>
      </c>
      <c r="E123" s="1367" t="s">
        <v>28</v>
      </c>
      <c r="F123" s="1368">
        <v>2013</v>
      </c>
      <c r="G123" s="1368" t="s">
        <v>133</v>
      </c>
      <c r="H123" s="1368" t="s">
        <v>134</v>
      </c>
      <c r="I123" s="1368" t="s">
        <v>135</v>
      </c>
      <c r="J123" s="1368" t="s">
        <v>136</v>
      </c>
      <c r="K123" s="1368" t="s">
        <v>137</v>
      </c>
      <c r="L123" s="1368" t="s">
        <v>138</v>
      </c>
      <c r="M123" s="1368" t="s">
        <v>139</v>
      </c>
      <c r="N123" s="1369" t="s">
        <v>140</v>
      </c>
      <c r="O123" s="108"/>
      <c r="P123" s="885"/>
    </row>
    <row r="124" spans="2:16">
      <c r="B124" s="110"/>
      <c r="C124" s="1425" t="s">
        <v>475</v>
      </c>
      <c r="D124" s="1426" t="s">
        <v>476</v>
      </c>
      <c r="E124" s="1427" t="s">
        <v>98</v>
      </c>
      <c r="F124" s="3844">
        <f>1.48227153758029*((1/Unit.TWh))</f>
        <v>1.48227153758029</v>
      </c>
      <c r="G124" s="3844">
        <f>1.36697997255144*((1/Unit.TWh))</f>
        <v>1.36697997255144</v>
      </c>
      <c r="H124" s="3844">
        <f>1.2733652664094*((1/Unit.TWh))</f>
        <v>1.2733652664094</v>
      </c>
      <c r="I124" s="3844">
        <f>1.26568590681669*((1/Unit.TWh))</f>
        <v>1.2656859068166899</v>
      </c>
      <c r="J124" s="3844">
        <f>1.18457729426532*((1/Unit.TWh))</f>
        <v>1.1845772942653201</v>
      </c>
      <c r="K124" s="3844">
        <f>1.18457729426532*((1/Unit.TWh))</f>
        <v>1.1845772942653201</v>
      </c>
      <c r="L124" s="3844">
        <f>1.18457729426532*((1/Unit.TWh))</f>
        <v>1.1845772942653201</v>
      </c>
      <c r="M124" s="3844">
        <f>1.18457729426532*((1/Unit.TWh))</f>
        <v>1.1845772942653201</v>
      </c>
      <c r="N124" s="3845">
        <f>1.18457729426532*((1/Unit.TWh))</f>
        <v>1.1845772942653201</v>
      </c>
      <c r="O124" s="108"/>
      <c r="P124" s="885"/>
    </row>
    <row r="125" spans="2:16">
      <c r="B125" s="110"/>
      <c r="C125" s="1428" t="s">
        <v>475</v>
      </c>
      <c r="D125" s="1426" t="s">
        <v>476</v>
      </c>
      <c r="E125" s="1428" t="s">
        <v>99</v>
      </c>
      <c r="F125" s="3846">
        <f>0.185236018757782*((1/Unit.TWh))</f>
        <v>0.18523601875778201</v>
      </c>
      <c r="G125" s="3846">
        <f>0.295034642709199*((1/Unit.TWh))</f>
        <v>0.29503464270919899</v>
      </c>
      <c r="H125" s="3846">
        <f>0.315540658802812*((1/Unit.TWh))</f>
        <v>0.31554065880281201</v>
      </c>
      <c r="I125" s="3846">
        <f>0.322063176266117*((1/Unit.TWh))</f>
        <v>0.32206317626611702</v>
      </c>
      <c r="J125" s="3846">
        <f>0.327529463276718*((1/Unit.TWh))</f>
        <v>0.327529463276718</v>
      </c>
      <c r="K125" s="3846">
        <f>0.327529463276718*((1/Unit.TWh))</f>
        <v>0.327529463276718</v>
      </c>
      <c r="L125" s="3846">
        <f>0.327529463276718*((1/Unit.TWh))</f>
        <v>0.327529463276718</v>
      </c>
      <c r="M125" s="3846">
        <f>0.327529463276718*((1/Unit.TWh))</f>
        <v>0.327529463276718</v>
      </c>
      <c r="N125" s="3847">
        <f>0.327529463276718*((1/Unit.TWh))</f>
        <v>0.327529463276718</v>
      </c>
      <c r="O125" s="108"/>
      <c r="P125" s="885"/>
    </row>
    <row r="126" spans="2:16">
      <c r="B126" s="110"/>
      <c r="C126" s="1429" t="s">
        <v>475</v>
      </c>
      <c r="D126" s="1430" t="s">
        <v>476</v>
      </c>
      <c r="E126" s="1429" t="s">
        <v>100</v>
      </c>
      <c r="F126" s="3848">
        <f t="shared" ref="F126:N126" si="0">(0*(1/Unit.TWh))</f>
        <v>0</v>
      </c>
      <c r="G126" s="3848">
        <f t="shared" si="0"/>
        <v>0</v>
      </c>
      <c r="H126" s="3848">
        <f t="shared" si="0"/>
        <v>0</v>
      </c>
      <c r="I126" s="3848">
        <f t="shared" si="0"/>
        <v>0</v>
      </c>
      <c r="J126" s="3848">
        <f t="shared" si="0"/>
        <v>0</v>
      </c>
      <c r="K126" s="3848">
        <f t="shared" si="0"/>
        <v>0</v>
      </c>
      <c r="L126" s="3848">
        <f t="shared" si="0"/>
        <v>0</v>
      </c>
      <c r="M126" s="3848">
        <f t="shared" si="0"/>
        <v>0</v>
      </c>
      <c r="N126" s="3848">
        <f t="shared" si="0"/>
        <v>0</v>
      </c>
      <c r="O126" s="108"/>
      <c r="P126" s="885"/>
    </row>
    <row r="127" spans="2:16">
      <c r="B127" s="110"/>
      <c r="C127" s="108"/>
      <c r="D127" s="108"/>
      <c r="E127" s="108"/>
      <c r="F127" s="2442"/>
      <c r="G127" s="2442"/>
      <c r="H127" s="2442"/>
      <c r="I127" s="2442"/>
      <c r="J127" s="2442"/>
      <c r="K127" s="2442"/>
      <c r="L127" s="2442"/>
      <c r="M127" s="2442"/>
      <c r="N127" s="2442"/>
      <c r="O127" s="108"/>
      <c r="P127" s="885"/>
    </row>
    <row r="128" spans="2:16">
      <c r="B128" s="110"/>
      <c r="C128" s="49" t="s">
        <v>802</v>
      </c>
      <c r="D128" s="67"/>
      <c r="E128" s="67"/>
      <c r="F128" s="67"/>
      <c r="G128" s="67"/>
      <c r="H128" s="67"/>
      <c r="I128" s="67"/>
      <c r="J128" s="67"/>
      <c r="K128" s="67"/>
      <c r="L128" s="67"/>
      <c r="M128" s="67"/>
      <c r="N128" s="944" t="str">
        <f>"kt per "&amp;Preferences.EnergyUnits</f>
        <v>kt per TWh</v>
      </c>
      <c r="O128" s="108"/>
      <c r="P128" s="885"/>
    </row>
    <row r="129" spans="2:23">
      <c r="B129" s="110"/>
      <c r="C129" s="67"/>
      <c r="D129" s="67"/>
      <c r="E129" s="1364"/>
      <c r="F129" s="67"/>
      <c r="G129" s="67"/>
      <c r="H129" s="67"/>
      <c r="I129" s="67"/>
      <c r="J129" s="67"/>
      <c r="K129" s="67"/>
      <c r="L129" s="67"/>
      <c r="M129" s="67"/>
      <c r="N129" s="67"/>
      <c r="O129" s="108"/>
      <c r="P129" s="885"/>
    </row>
    <row r="130" spans="2:23">
      <c r="B130" s="110"/>
      <c r="C130" s="1366" t="s">
        <v>44</v>
      </c>
      <c r="D130" s="1366" t="s">
        <v>131</v>
      </c>
      <c r="E130" s="1367" t="s">
        <v>28</v>
      </c>
      <c r="F130" s="1368">
        <v>2013</v>
      </c>
      <c r="G130" s="1368" t="s">
        <v>133</v>
      </c>
      <c r="H130" s="1368" t="s">
        <v>134</v>
      </c>
      <c r="I130" s="1368" t="s">
        <v>135</v>
      </c>
      <c r="J130" s="1368" t="s">
        <v>136</v>
      </c>
      <c r="K130" s="1368" t="s">
        <v>137</v>
      </c>
      <c r="L130" s="1368" t="s">
        <v>138</v>
      </c>
      <c r="M130" s="1368" t="s">
        <v>139</v>
      </c>
      <c r="N130" s="1369" t="s">
        <v>140</v>
      </c>
      <c r="O130" s="108"/>
      <c r="P130" s="885"/>
    </row>
    <row r="131" spans="2:23">
      <c r="B131" s="110"/>
      <c r="C131" s="1425" t="s">
        <v>475</v>
      </c>
      <c r="D131" s="1426" t="s">
        <v>476</v>
      </c>
      <c r="E131" s="1427" t="s">
        <v>98</v>
      </c>
      <c r="F131" s="3844">
        <f>0.011290940588605*((1/Unit.TWh))</f>
        <v>1.1290940588605001E-2</v>
      </c>
      <c r="G131" s="3844">
        <f>0.00700089959913674*((1/Unit.TWh))</f>
        <v>7.0008995991367399E-3</v>
      </c>
      <c r="H131" s="3844">
        <f>0.00705777995977223*((1/Unit.TWh))</f>
        <v>7.0577799597722297E-3</v>
      </c>
      <c r="I131" s="3844">
        <f>0.00706604503646143*((1/Unit.TWh))</f>
        <v>7.0660450364614302E-3</v>
      </c>
      <c r="J131" s="3844">
        <f>0.00708314769297058*((1/Unit.TWh))</f>
        <v>7.0831476929705799E-3</v>
      </c>
      <c r="K131" s="3844">
        <f>0.00708314769297058*((1/Unit.TWh))</f>
        <v>7.0831476929705799E-3</v>
      </c>
      <c r="L131" s="3844">
        <f>0.00708314769297058*((1/Unit.TWh))</f>
        <v>7.0831476929705799E-3</v>
      </c>
      <c r="M131" s="3844">
        <f>0.00708314769297058*((1/Unit.TWh))</f>
        <v>7.0831476929705799E-3</v>
      </c>
      <c r="N131" s="3845">
        <f>0.00708314769297058*((1/Unit.TWh))</f>
        <v>7.0831476929705799E-3</v>
      </c>
      <c r="O131" s="108"/>
      <c r="P131" s="885"/>
    </row>
    <row r="132" spans="2:23">
      <c r="B132" s="110"/>
      <c r="C132" s="1428" t="s">
        <v>475</v>
      </c>
      <c r="D132" s="1426" t="s">
        <v>476</v>
      </c>
      <c r="E132" s="1428" t="s">
        <v>99</v>
      </c>
      <c r="F132" s="3846">
        <f>0.00660034306663864*((1/Unit.TWh))</f>
        <v>6.6003430666386398E-3</v>
      </c>
      <c r="G132" s="3846">
        <f>0.00675735428279228*((1/Unit.TWh))</f>
        <v>6.7573542827922802E-3</v>
      </c>
      <c r="H132" s="3846">
        <f>0.00683394221884969*((1/Unit.TWh))</f>
        <v>6.8339422188496901E-3</v>
      </c>
      <c r="I132" s="3846">
        <f>0.00685333414684661*((1/Unit.TWh))</f>
        <v>6.8533341468466104E-3</v>
      </c>
      <c r="J132" s="3846">
        <f>0.0068738634161671*((1/Unit.TWh))</f>
        <v>6.8738634161670999E-3</v>
      </c>
      <c r="K132" s="3846">
        <f>0.0068738634161671*((1/Unit.TWh))</f>
        <v>6.8738634161670999E-3</v>
      </c>
      <c r="L132" s="3846">
        <f>0.0068738634161671*((1/Unit.TWh))</f>
        <v>6.8738634161670999E-3</v>
      </c>
      <c r="M132" s="3846">
        <f>0.0068738634161671*((1/Unit.TWh))</f>
        <v>6.8738634161670999E-3</v>
      </c>
      <c r="N132" s="3847">
        <f>0.0068738634161671*((1/Unit.TWh))</f>
        <v>6.8738634161670999E-3</v>
      </c>
      <c r="O132" s="108"/>
      <c r="P132" s="885"/>
    </row>
    <row r="133" spans="2:23">
      <c r="B133" s="110"/>
      <c r="C133" s="1429" t="s">
        <v>475</v>
      </c>
      <c r="D133" s="1430" t="s">
        <v>476</v>
      </c>
      <c r="E133" s="1429" t="s">
        <v>100</v>
      </c>
      <c r="F133" s="3848">
        <f>0.00802071964139672*((1/Unit.TWh))</f>
        <v>8.0207196413967195E-3</v>
      </c>
      <c r="G133" s="3848">
        <f>0.00801191032434729*((1/Unit.TWh))</f>
        <v>8.0119103243472892E-3</v>
      </c>
      <c r="H133" s="3848">
        <f>0.0080120858226449*((1/Unit.TWh))</f>
        <v>8.0120858226449005E-3</v>
      </c>
      <c r="I133" s="3848">
        <f>0.00801204667531666*((1/Unit.TWh))</f>
        <v>8.0120466753166603E-3</v>
      </c>
      <c r="J133" s="3848">
        <f>0.00801198983441896*((1/Unit.TWh))</f>
        <v>8.0119898344189599E-3</v>
      </c>
      <c r="K133" s="3848">
        <f>0.00801198983441896*((1/Unit.TWh))</f>
        <v>8.0119898344189599E-3</v>
      </c>
      <c r="L133" s="3848">
        <f>0.00801198983441896*((1/Unit.TWh))</f>
        <v>8.0119898344189599E-3</v>
      </c>
      <c r="M133" s="3848">
        <f>0.00801198983441896*((1/Unit.TWh))</f>
        <v>8.0119898344189599E-3</v>
      </c>
      <c r="N133" s="3849">
        <f>0.00801198983441896*((1/Unit.TWh))</f>
        <v>8.0119898344189599E-3</v>
      </c>
      <c r="O133" s="108"/>
      <c r="P133" s="885"/>
    </row>
    <row r="134" spans="2:23">
      <c r="B134" s="110"/>
      <c r="C134" s="108"/>
      <c r="D134" s="108"/>
      <c r="E134" s="1411"/>
      <c r="F134" s="1423"/>
      <c r="G134" s="1071"/>
      <c r="H134" s="1071"/>
      <c r="I134" s="1071"/>
      <c r="J134" s="1071"/>
      <c r="K134" s="1071"/>
      <c r="L134" s="1071"/>
      <c r="M134" s="1071"/>
      <c r="N134" s="1071"/>
      <c r="O134" s="108"/>
      <c r="P134" s="885"/>
    </row>
    <row r="135" spans="2:23">
      <c r="B135" s="110"/>
      <c r="C135" s="3862" t="s">
        <v>64</v>
      </c>
      <c r="D135" s="67"/>
      <c r="E135" s="67"/>
      <c r="F135" s="67"/>
      <c r="G135" s="67"/>
      <c r="H135" s="67"/>
      <c r="I135" s="67"/>
      <c r="J135" s="67"/>
      <c r="K135" s="67"/>
      <c r="L135" s="67"/>
      <c r="M135" s="67"/>
      <c r="N135" s="67"/>
      <c r="O135" s="108"/>
      <c r="P135" s="885"/>
    </row>
    <row r="136" spans="2:23">
      <c r="B136" s="110"/>
      <c r="C136" s="3863" t="s">
        <v>65</v>
      </c>
      <c r="D136" s="3864" t="s">
        <v>1055</v>
      </c>
      <c r="E136" s="67"/>
      <c r="F136" s="67"/>
      <c r="G136" s="67"/>
      <c r="H136" s="67"/>
      <c r="I136" s="67"/>
      <c r="J136" s="67"/>
      <c r="K136" s="67"/>
      <c r="L136" s="67"/>
      <c r="M136" s="67"/>
      <c r="N136" s="67"/>
      <c r="O136" s="108"/>
      <c r="P136" s="885"/>
    </row>
    <row r="137" spans="2:23">
      <c r="B137" s="110"/>
      <c r="C137" s="3863" t="s">
        <v>67</v>
      </c>
      <c r="D137" s="3864" t="s">
        <v>3143</v>
      </c>
      <c r="E137" s="67"/>
      <c r="F137" s="67"/>
      <c r="G137" s="67"/>
      <c r="H137" s="67"/>
      <c r="I137" s="67"/>
      <c r="J137" s="67"/>
      <c r="K137" s="67"/>
      <c r="L137" s="67"/>
      <c r="M137" s="67"/>
      <c r="N137" s="67"/>
      <c r="O137" s="108"/>
      <c r="P137" s="885"/>
    </row>
    <row r="138" spans="2:23">
      <c r="B138" s="110"/>
      <c r="C138" s="67"/>
      <c r="D138" s="67"/>
      <c r="E138" s="67"/>
      <c r="F138" s="67"/>
      <c r="G138" s="67"/>
      <c r="H138" s="67"/>
      <c r="I138" s="67"/>
      <c r="J138" s="67"/>
      <c r="K138" s="67"/>
      <c r="L138" s="67"/>
      <c r="M138" s="67"/>
      <c r="N138" s="67"/>
      <c r="O138" s="108"/>
      <c r="P138" s="885"/>
      <c r="R138" s="927"/>
      <c r="S138" s="927"/>
      <c r="T138" s="927"/>
      <c r="U138" s="927"/>
      <c r="V138" s="927"/>
      <c r="W138" s="927"/>
    </row>
    <row r="139" spans="2:23">
      <c r="B139" s="110"/>
      <c r="C139" s="51"/>
      <c r="D139" s="67"/>
      <c r="E139" s="67"/>
      <c r="F139" s="67"/>
      <c r="G139" s="67"/>
      <c r="H139" s="67"/>
      <c r="I139" s="67"/>
      <c r="J139" s="67"/>
      <c r="K139" s="67"/>
      <c r="L139" s="67"/>
      <c r="M139" s="67"/>
      <c r="N139" s="67"/>
      <c r="O139" s="108"/>
      <c r="P139" s="885"/>
      <c r="T139" s="927"/>
      <c r="U139" s="927"/>
      <c r="V139" s="927"/>
      <c r="W139" s="927"/>
    </row>
    <row r="140" spans="2:23" s="927" customFormat="1">
      <c r="B140" s="1279"/>
      <c r="C140" s="1280"/>
      <c r="D140" s="1159"/>
      <c r="E140" s="1281"/>
      <c r="F140" s="1281"/>
      <c r="G140" s="1281"/>
      <c r="H140" s="1281"/>
      <c r="I140" s="1281"/>
      <c r="J140" s="1281"/>
      <c r="K140" s="1281"/>
      <c r="L140" s="1281"/>
      <c r="M140" s="1281"/>
      <c r="N140" s="1281"/>
      <c r="O140" s="108"/>
      <c r="P140" s="1282"/>
      <c r="R140"/>
      <c r="S140"/>
      <c r="W140"/>
    </row>
    <row r="141" spans="2:23" s="927" customFormat="1">
      <c r="B141" s="1171"/>
      <c r="C141" s="1431"/>
      <c r="D141" s="1432"/>
      <c r="E141" s="1171"/>
      <c r="F141" s="1171"/>
      <c r="G141" s="1171"/>
      <c r="H141" s="1171"/>
      <c r="I141" s="1171"/>
      <c r="J141" s="1171"/>
      <c r="K141" s="1171"/>
      <c r="L141" s="1171"/>
      <c r="M141" s="1171"/>
      <c r="N141" s="1171"/>
      <c r="O141" s="1171"/>
      <c r="P141" s="1171"/>
      <c r="R141"/>
      <c r="S141"/>
      <c r="W141"/>
    </row>
    <row r="142" spans="2:23" s="927" customFormat="1" ht="15.75">
      <c r="B142" s="878" t="s">
        <v>2794</v>
      </c>
      <c r="C142" s="1283"/>
      <c r="D142" s="1283"/>
      <c r="E142" s="1283"/>
      <c r="F142" s="1283"/>
      <c r="G142" s="1283"/>
      <c r="H142" s="1283"/>
      <c r="I142" s="1283"/>
      <c r="J142" s="1283"/>
      <c r="K142" s="1283"/>
      <c r="L142" s="1283"/>
      <c r="M142" s="1283"/>
      <c r="N142" s="1283"/>
      <c r="O142" s="1283"/>
      <c r="P142" s="1284"/>
      <c r="R142"/>
      <c r="S142"/>
      <c r="W142"/>
    </row>
    <row r="143" spans="2:23" s="927" customFormat="1" hidden="1">
      <c r="B143" s="110"/>
      <c r="C143" s="67"/>
      <c r="D143" s="67"/>
      <c r="E143" s="67"/>
      <c r="F143" s="67"/>
      <c r="G143" s="67"/>
      <c r="H143" s="67"/>
      <c r="I143" s="67"/>
      <c r="J143" s="67"/>
      <c r="K143" s="67"/>
      <c r="L143" s="67"/>
      <c r="M143" s="67"/>
      <c r="N143" s="67"/>
      <c r="O143" s="67"/>
      <c r="P143" s="885"/>
      <c r="R143"/>
      <c r="S143"/>
      <c r="W143"/>
    </row>
    <row r="144" spans="2:23" s="927" customFormat="1" hidden="1">
      <c r="B144" s="67"/>
      <c r="C144" s="67"/>
      <c r="D144" s="67"/>
      <c r="E144" s="67"/>
      <c r="F144" s="67"/>
      <c r="G144" s="67"/>
      <c r="H144" s="67" t="s">
        <v>1056</v>
      </c>
      <c r="I144" s="67"/>
      <c r="J144" s="67"/>
      <c r="K144" s="67"/>
      <c r="L144" s="67"/>
      <c r="M144" s="67"/>
      <c r="N144" s="67"/>
      <c r="O144" s="67"/>
      <c r="P144" s="67"/>
      <c r="R144"/>
      <c r="S144"/>
      <c r="W144"/>
    </row>
    <row r="145" spans="2:23" s="927" customFormat="1" hidden="1">
      <c r="B145" s="67"/>
      <c r="C145" s="49" t="s">
        <v>1057</v>
      </c>
      <c r="D145" s="67"/>
      <c r="E145" s="1394"/>
      <c r="F145" s="4167" t="s">
        <v>2838</v>
      </c>
      <c r="G145" s="4168"/>
      <c r="H145" s="1365"/>
      <c r="I145" s="67"/>
      <c r="J145" s="51" t="s">
        <v>1058</v>
      </c>
      <c r="K145" s="1365"/>
      <c r="L145" s="67"/>
      <c r="M145" s="51" t="s">
        <v>1059</v>
      </c>
      <c r="N145" s="67"/>
      <c r="O145" s="67"/>
      <c r="P145" s="67"/>
      <c r="R145"/>
      <c r="S145"/>
      <c r="W145"/>
    </row>
    <row r="146" spans="2:23" s="927" customFormat="1" hidden="1">
      <c r="B146" s="67"/>
      <c r="C146" s="67"/>
      <c r="D146" s="67"/>
      <c r="E146" s="1364"/>
      <c r="F146" s="67"/>
      <c r="G146" s="67"/>
      <c r="H146" s="1365"/>
      <c r="I146" s="67"/>
      <c r="J146" s="67"/>
      <c r="K146" s="1365"/>
      <c r="L146" s="67"/>
      <c r="M146" s="67"/>
      <c r="N146" s="67"/>
      <c r="O146" s="67"/>
      <c r="P146" s="67"/>
      <c r="R146"/>
      <c r="S146"/>
      <c r="W146"/>
    </row>
    <row r="147" spans="2:23" s="927" customFormat="1" hidden="1">
      <c r="B147" s="67"/>
      <c r="C147" s="887" t="s">
        <v>368</v>
      </c>
      <c r="D147" s="887" t="s">
        <v>72</v>
      </c>
      <c r="E147" s="887" t="s">
        <v>30</v>
      </c>
      <c r="F147" s="1398" t="s">
        <v>1060</v>
      </c>
      <c r="G147" s="1362" t="s">
        <v>1061</v>
      </c>
      <c r="H147" s="1362">
        <v>1</v>
      </c>
      <c r="I147" s="1362">
        <v>2</v>
      </c>
      <c r="J147" s="1362">
        <v>3</v>
      </c>
      <c r="K147" s="1362">
        <v>1</v>
      </c>
      <c r="L147" s="1362">
        <v>2</v>
      </c>
      <c r="M147" s="1362">
        <v>3</v>
      </c>
      <c r="N147" s="67"/>
      <c r="O147" s="67"/>
      <c r="P147" s="67"/>
      <c r="R147"/>
      <c r="S147"/>
      <c r="W147"/>
    </row>
    <row r="148" spans="2:23" s="927" customFormat="1" hidden="1">
      <c r="B148" s="67"/>
      <c r="C148" s="65" t="s">
        <v>1037</v>
      </c>
      <c r="D148" s="108" t="s">
        <v>2853</v>
      </c>
      <c r="E148" s="1267"/>
      <c r="F148" s="1433"/>
      <c r="G148" s="172"/>
      <c r="H148" s="94">
        <v>0</v>
      </c>
      <c r="I148" s="58">
        <v>1.25E-3</v>
      </c>
      <c r="J148" s="301">
        <v>0.02</v>
      </c>
      <c r="K148" s="94">
        <v>0</v>
      </c>
      <c r="L148" s="58">
        <v>2.5000000000000001E-3</v>
      </c>
      <c r="M148" s="301">
        <v>0.04</v>
      </c>
      <c r="N148" s="67"/>
      <c r="O148" s="67"/>
      <c r="P148" s="67"/>
      <c r="R148"/>
      <c r="S148"/>
      <c r="W148"/>
    </row>
    <row r="149" spans="2:23" s="927" customFormat="1" hidden="1">
      <c r="B149" s="67"/>
      <c r="C149" s="65" t="s">
        <v>1038</v>
      </c>
      <c r="D149" s="108" t="s">
        <v>1039</v>
      </c>
      <c r="E149" s="1267"/>
      <c r="F149" s="1433"/>
      <c r="G149" s="165"/>
      <c r="H149" s="94">
        <v>0</v>
      </c>
      <c r="I149" s="58">
        <v>1.25E-3</v>
      </c>
      <c r="J149" s="915">
        <v>0.02</v>
      </c>
      <c r="K149" s="94">
        <v>0</v>
      </c>
      <c r="L149" s="73">
        <v>2.5000000000000001E-3</v>
      </c>
      <c r="M149" s="915">
        <v>0.04</v>
      </c>
      <c r="N149" s="67"/>
      <c r="O149" s="67"/>
      <c r="P149" s="67"/>
      <c r="R149"/>
      <c r="S149"/>
      <c r="W149"/>
    </row>
    <row r="150" spans="2:23" s="927" customFormat="1" hidden="1">
      <c r="B150" s="67"/>
      <c r="C150" s="65" t="s">
        <v>1040</v>
      </c>
      <c r="D150" s="108" t="s">
        <v>1041</v>
      </c>
      <c r="E150" s="1267"/>
      <c r="F150" s="1433"/>
      <c r="G150" s="165"/>
      <c r="H150" s="94">
        <v>0</v>
      </c>
      <c r="I150" s="58">
        <v>1.25E-3</v>
      </c>
      <c r="J150" s="915">
        <v>0.02</v>
      </c>
      <c r="K150" s="94">
        <v>0</v>
      </c>
      <c r="L150" s="73">
        <v>2.5000000000000001E-3</v>
      </c>
      <c r="M150" s="915">
        <v>0.04</v>
      </c>
      <c r="N150" s="67"/>
      <c r="O150" s="67"/>
      <c r="P150" s="67"/>
      <c r="R150"/>
      <c r="S150"/>
      <c r="W150"/>
    </row>
    <row r="151" spans="2:23" s="927" customFormat="1" hidden="1">
      <c r="B151" s="67"/>
      <c r="C151" s="896" t="s">
        <v>1042</v>
      </c>
      <c r="D151" s="897" t="s">
        <v>411</v>
      </c>
      <c r="E151" s="897"/>
      <c r="F151" s="1434"/>
      <c r="G151" s="164"/>
      <c r="H151" s="99">
        <v>0</v>
      </c>
      <c r="I151" s="81">
        <v>1.25E-3</v>
      </c>
      <c r="J151" s="1393">
        <v>0.02</v>
      </c>
      <c r="K151" s="99">
        <v>0</v>
      </c>
      <c r="L151" s="81">
        <v>2.5000000000000001E-3</v>
      </c>
      <c r="M151" s="1393">
        <v>0.04</v>
      </c>
      <c r="N151" s="67"/>
      <c r="O151" s="67"/>
      <c r="P151" s="67"/>
      <c r="R151"/>
      <c r="S151"/>
      <c r="W151"/>
    </row>
    <row r="152" spans="2:23" s="927" customFormat="1" hidden="1">
      <c r="B152" s="67"/>
      <c r="C152" s="896"/>
      <c r="D152" s="897" t="s">
        <v>59</v>
      </c>
      <c r="E152" s="897"/>
      <c r="F152" s="1435"/>
      <c r="G152" s="1435"/>
      <c r="H152" s="1037"/>
      <c r="I152" s="1393"/>
      <c r="J152" s="1393"/>
      <c r="K152" s="1037"/>
      <c r="L152" s="1393"/>
      <c r="M152" s="1393"/>
      <c r="N152" s="67"/>
      <c r="O152" s="67"/>
      <c r="P152" s="67"/>
      <c r="R152"/>
      <c r="S152"/>
      <c r="W152"/>
    </row>
    <row r="153" spans="2:23" s="927" customFormat="1" hidden="1">
      <c r="B153" s="67"/>
      <c r="C153" s="67"/>
      <c r="D153" s="67"/>
      <c r="E153" s="67"/>
      <c r="F153" s="67"/>
      <c r="G153" s="67"/>
      <c r="H153" s="67"/>
      <c r="I153" s="67"/>
      <c r="J153" s="67"/>
      <c r="K153" s="67"/>
      <c r="L153" s="67"/>
      <c r="M153" s="67"/>
      <c r="N153" s="67"/>
      <c r="O153" s="67"/>
      <c r="P153" s="67"/>
      <c r="R153"/>
      <c r="S153"/>
      <c r="W153"/>
    </row>
    <row r="154" spans="2:23" s="927" customFormat="1" hidden="1">
      <c r="B154" s="67"/>
      <c r="C154" s="249" t="s">
        <v>1062</v>
      </c>
      <c r="D154" s="1436"/>
      <c r="E154" s="67"/>
      <c r="F154" s="67"/>
      <c r="G154" s="67"/>
      <c r="H154" s="67"/>
      <c r="I154" s="67"/>
      <c r="J154" s="67"/>
      <c r="K154" s="67"/>
      <c r="L154" s="67"/>
      <c r="M154" s="67"/>
      <c r="N154" s="67"/>
      <c r="O154" s="67"/>
      <c r="P154" s="67"/>
      <c r="R154"/>
      <c r="S154"/>
      <c r="W154"/>
    </row>
    <row r="155" spans="2:23" s="927" customFormat="1" hidden="1">
      <c r="B155" s="67"/>
      <c r="C155" s="249"/>
      <c r="D155" s="1436"/>
      <c r="E155" s="67"/>
      <c r="F155" s="67"/>
      <c r="G155" s="67"/>
      <c r="H155" s="67"/>
      <c r="I155" s="67"/>
      <c r="J155" s="67"/>
      <c r="K155" s="67"/>
      <c r="L155" s="67"/>
      <c r="M155" s="67"/>
      <c r="N155" s="67"/>
      <c r="O155" s="67"/>
      <c r="P155" s="67"/>
      <c r="R155"/>
      <c r="S155"/>
      <c r="W155"/>
    </row>
    <row r="156" spans="2:23" s="927" customFormat="1" hidden="1">
      <c r="B156" s="67"/>
      <c r="C156" s="49" t="s">
        <v>1063</v>
      </c>
      <c r="D156" s="1437"/>
      <c r="E156" s="1438"/>
      <c r="F156" s="67"/>
      <c r="G156" s="67"/>
      <c r="H156" s="51" t="s">
        <v>2818</v>
      </c>
      <c r="I156" s="67"/>
      <c r="J156" s="67"/>
      <c r="K156" s="67"/>
      <c r="L156" s="67"/>
      <c r="M156" s="67"/>
      <c r="N156" s="67"/>
      <c r="O156" s="67"/>
      <c r="P156" s="67"/>
      <c r="R156"/>
      <c r="S156"/>
      <c r="W156"/>
    </row>
    <row r="157" spans="2:23" s="927" customFormat="1" hidden="1">
      <c r="B157" s="67"/>
      <c r="C157" s="67"/>
      <c r="D157" s="67"/>
      <c r="E157" s="67"/>
      <c r="F157" s="67"/>
      <c r="G157" s="67"/>
      <c r="H157" s="67"/>
      <c r="I157" s="67"/>
      <c r="J157" s="67"/>
      <c r="K157" s="67"/>
      <c r="L157" s="67"/>
      <c r="M157" s="67"/>
      <c r="N157" s="67"/>
      <c r="O157" s="67"/>
      <c r="P157" s="67"/>
      <c r="R157"/>
      <c r="S157"/>
      <c r="W157"/>
    </row>
    <row r="158" spans="2:23" s="927" customFormat="1" hidden="1">
      <c r="B158" s="67"/>
      <c r="C158" s="887"/>
      <c r="D158" s="887"/>
      <c r="E158" s="909"/>
      <c r="F158" s="92" t="s">
        <v>22</v>
      </c>
      <c r="G158" s="92" t="s">
        <v>20</v>
      </c>
      <c r="H158" s="1161"/>
      <c r="I158" s="67"/>
      <c r="J158" s="67"/>
      <c r="K158" s="67"/>
      <c r="L158" s="67"/>
      <c r="M158" s="67"/>
      <c r="N158" s="67"/>
      <c r="O158" s="67"/>
      <c r="P158" s="67"/>
      <c r="R158"/>
      <c r="S158"/>
      <c r="W158"/>
    </row>
    <row r="159" spans="2:23" s="927" customFormat="1" hidden="1">
      <c r="B159" s="67"/>
      <c r="C159" s="923"/>
      <c r="D159" s="924" t="s">
        <v>169</v>
      </c>
      <c r="E159" s="941"/>
      <c r="F159" s="953"/>
      <c r="G159" s="953"/>
      <c r="H159" s="1163"/>
      <c r="I159" s="67"/>
      <c r="J159" s="67"/>
      <c r="K159" s="67"/>
      <c r="L159" s="67"/>
      <c r="M159" s="67"/>
      <c r="N159" s="67"/>
      <c r="O159" s="67"/>
      <c r="P159" s="67"/>
      <c r="R159"/>
      <c r="S159"/>
      <c r="W159"/>
    </row>
    <row r="160" spans="2:23" s="927" customFormat="1" hidden="1">
      <c r="B160" s="67"/>
      <c r="C160" s="926"/>
      <c r="D160" s="957" t="s">
        <v>173</v>
      </c>
      <c r="E160" s="1439"/>
      <c r="F160" s="958"/>
      <c r="G160" s="958"/>
      <c r="H160" s="1165"/>
      <c r="I160" s="67"/>
      <c r="J160" s="67"/>
      <c r="K160" s="67"/>
      <c r="L160" s="67"/>
      <c r="M160" s="67"/>
      <c r="N160" s="67"/>
      <c r="O160" s="67"/>
      <c r="P160" s="67"/>
      <c r="R160"/>
      <c r="S160"/>
      <c r="W160"/>
    </row>
    <row r="161" spans="1:23" s="927" customFormat="1" hidden="1">
      <c r="B161" s="67"/>
      <c r="C161" s="67"/>
      <c r="D161" s="67"/>
      <c r="E161" s="67"/>
      <c r="F161" s="67"/>
      <c r="G161" s="67"/>
      <c r="H161" s="67"/>
      <c r="I161" s="67"/>
      <c r="J161" s="67"/>
      <c r="K161" s="67"/>
      <c r="L161" s="67"/>
      <c r="M161" s="67"/>
      <c r="N161" s="67"/>
      <c r="O161" s="67"/>
      <c r="P161" s="67"/>
      <c r="R161"/>
      <c r="S161"/>
      <c r="W161"/>
    </row>
    <row r="162" spans="1:23" s="927" customFormat="1" hidden="1">
      <c r="B162" s="67"/>
      <c r="C162" s="49" t="s">
        <v>1064</v>
      </c>
      <c r="D162" s="67"/>
      <c r="E162" s="67"/>
      <c r="F162" s="67"/>
      <c r="G162" s="67"/>
      <c r="H162" s="51" t="s">
        <v>2818</v>
      </c>
      <c r="I162" s="67"/>
      <c r="J162" s="67"/>
      <c r="K162" s="67"/>
      <c r="L162" s="67"/>
      <c r="M162" s="67"/>
      <c r="N162" s="67"/>
      <c r="O162" s="67"/>
      <c r="P162" s="67"/>
      <c r="R162"/>
      <c r="S162"/>
      <c r="W162"/>
    </row>
    <row r="163" spans="1:23" s="927" customFormat="1" hidden="1">
      <c r="B163" s="67"/>
      <c r="C163" s="67"/>
      <c r="D163" s="67"/>
      <c r="E163" s="67"/>
      <c r="F163" s="67"/>
      <c r="G163" s="67"/>
      <c r="H163" s="67"/>
      <c r="I163" s="67"/>
      <c r="J163" s="67"/>
      <c r="K163" s="67"/>
      <c r="L163" s="67"/>
      <c r="M163" s="67"/>
      <c r="N163" s="67"/>
      <c r="O163" s="67"/>
      <c r="P163" s="67"/>
      <c r="R163"/>
      <c r="S163"/>
      <c r="W163"/>
    </row>
    <row r="164" spans="1:23" s="927" customFormat="1" hidden="1">
      <c r="B164" s="67"/>
      <c r="C164" s="887"/>
      <c r="D164" s="887"/>
      <c r="E164" s="909"/>
      <c r="F164" s="92" t="s">
        <v>22</v>
      </c>
      <c r="G164" s="92" t="s">
        <v>20</v>
      </c>
      <c r="H164" s="1161"/>
      <c r="I164" s="67"/>
      <c r="J164" s="67"/>
      <c r="K164" s="67"/>
      <c r="L164" s="67"/>
      <c r="M164" s="67"/>
      <c r="N164" s="67"/>
      <c r="O164" s="67"/>
      <c r="P164" s="67"/>
      <c r="R164"/>
      <c r="S164"/>
      <c r="W164"/>
    </row>
    <row r="165" spans="1:23" s="927" customFormat="1" hidden="1">
      <c r="B165" s="67"/>
      <c r="C165" s="923"/>
      <c r="D165" s="924" t="s">
        <v>1065</v>
      </c>
      <c r="E165" s="941"/>
      <c r="F165" s="953"/>
      <c r="G165" s="953"/>
      <c r="H165" s="1163"/>
      <c r="I165" s="67"/>
      <c r="J165" s="67"/>
      <c r="K165" s="67"/>
      <c r="L165" s="67"/>
      <c r="M165" s="67"/>
      <c r="N165" s="67"/>
      <c r="O165" s="67"/>
      <c r="P165" s="67"/>
      <c r="R165"/>
      <c r="S165"/>
      <c r="W165"/>
    </row>
    <row r="166" spans="1:23" s="927" customFormat="1" hidden="1">
      <c r="B166" s="67"/>
      <c r="C166" s="926"/>
      <c r="D166" s="957" t="s">
        <v>1066</v>
      </c>
      <c r="E166" s="1439"/>
      <c r="F166" s="958"/>
      <c r="G166" s="958"/>
      <c r="H166" s="1165"/>
      <c r="I166" s="67"/>
      <c r="J166" s="67"/>
      <c r="K166" s="67"/>
      <c r="L166" s="67"/>
      <c r="M166" s="67"/>
      <c r="N166" s="67"/>
      <c r="O166" s="67"/>
      <c r="P166" s="67"/>
      <c r="R166"/>
      <c r="S166"/>
      <c r="W166"/>
    </row>
    <row r="167" spans="1:23" s="927" customFormat="1" hidden="1">
      <c r="B167" s="67"/>
      <c r="C167" s="67"/>
      <c r="D167" s="67"/>
      <c r="E167" s="67"/>
      <c r="F167" s="67"/>
      <c r="G167" s="67"/>
      <c r="H167" s="67"/>
      <c r="I167" s="67"/>
      <c r="J167" s="67"/>
      <c r="K167" s="67"/>
      <c r="L167" s="67"/>
      <c r="M167" s="67"/>
      <c r="N167" s="67"/>
      <c r="O167" s="67"/>
      <c r="P167" s="67"/>
      <c r="R167"/>
      <c r="S167"/>
      <c r="W167"/>
    </row>
    <row r="169" spans="1:23" ht="23.25">
      <c r="A169" s="7"/>
      <c r="B169" s="878" t="s">
        <v>178</v>
      </c>
      <c r="C169" s="1283"/>
      <c r="D169" s="1283"/>
      <c r="E169" s="1283"/>
      <c r="F169" s="1283"/>
      <c r="G169" s="1283"/>
      <c r="H169" s="1283"/>
      <c r="I169" s="1283"/>
      <c r="J169" s="1283"/>
      <c r="K169" s="1283"/>
      <c r="L169" s="1283"/>
      <c r="M169" s="1283"/>
      <c r="N169" s="1283"/>
      <c r="O169" s="1284"/>
    </row>
    <row r="170" spans="1:23">
      <c r="B170" s="110"/>
      <c r="C170" s="67"/>
      <c r="D170" s="67"/>
      <c r="E170" s="67"/>
      <c r="F170" s="67"/>
      <c r="G170" s="67"/>
      <c r="H170" s="67"/>
      <c r="I170" s="67"/>
      <c r="J170" s="67"/>
      <c r="K170" s="67"/>
      <c r="L170" s="67"/>
      <c r="M170" s="67"/>
      <c r="N170" s="67"/>
      <c r="O170" s="885"/>
    </row>
    <row r="171" spans="1:23">
      <c r="B171" s="135">
        <v>1</v>
      </c>
      <c r="C171" s="49" t="s">
        <v>1067</v>
      </c>
      <c r="D171" s="67"/>
      <c r="E171" s="50"/>
      <c r="F171" s="67"/>
      <c r="G171" s="67"/>
      <c r="H171" s="51"/>
      <c r="I171" s="67"/>
      <c r="J171" s="67"/>
      <c r="K171" s="67"/>
      <c r="L171" s="67"/>
      <c r="M171" s="67"/>
      <c r="N171" s="51" t="s">
        <v>1068</v>
      </c>
      <c r="O171" s="885"/>
    </row>
    <row r="172" spans="1:23">
      <c r="B172" s="110"/>
      <c r="C172" s="67"/>
      <c r="D172" s="67"/>
      <c r="E172" s="67"/>
      <c r="F172" s="67"/>
      <c r="G172" s="67"/>
      <c r="H172" s="67"/>
      <c r="I172" s="67"/>
      <c r="J172" s="67"/>
      <c r="K172" s="67"/>
      <c r="L172" s="67"/>
      <c r="M172" s="67"/>
      <c r="N172" s="67"/>
      <c r="O172" s="885"/>
    </row>
    <row r="173" spans="1:23" ht="15.75">
      <c r="B173" s="55"/>
      <c r="C173" s="887" t="s">
        <v>368</v>
      </c>
      <c r="D173" s="887" t="s">
        <v>72</v>
      </c>
      <c r="E173" s="887"/>
      <c r="F173" s="92">
        <v>2013</v>
      </c>
      <c r="G173" s="92">
        <v>2015</v>
      </c>
      <c r="H173" s="888">
        <v>2020</v>
      </c>
      <c r="I173" s="1276">
        <v>2025</v>
      </c>
      <c r="J173" s="92">
        <v>2030</v>
      </c>
      <c r="K173" s="92">
        <v>2035</v>
      </c>
      <c r="L173" s="92">
        <v>2040</v>
      </c>
      <c r="M173" s="92">
        <v>2045</v>
      </c>
      <c r="N173" s="92">
        <v>2050</v>
      </c>
      <c r="O173" s="885"/>
    </row>
    <row r="174" spans="1:23" ht="15.75">
      <c r="B174" s="55"/>
      <c r="C174" s="65" t="s">
        <v>1037</v>
      </c>
      <c r="D174" s="108" t="s">
        <v>2853</v>
      </c>
      <c r="E174" s="1440"/>
      <c r="F174" s="172">
        <v>100</v>
      </c>
      <c r="G174" s="1441">
        <f>F174*(1+INDEX($F18:$H18, ,MATCH($E$8, $F$17:$H$17, 0)))^(G$173-F$173)</f>
        <v>105.06249999999999</v>
      </c>
      <c r="H174" s="351">
        <f t="shared" ref="H174:N177" si="1">G174*(1+INDEX($F18:$H18, ,MATCH($E$8, $F$17:$H$17, 0)))^(H$173-G$173)</f>
        <v>118.86857536682123</v>
      </c>
      <c r="I174" s="351">
        <f t="shared" si="1"/>
        <v>134.48888242462974</v>
      </c>
      <c r="J174" s="351">
        <f t="shared" si="1"/>
        <v>152.16182611770768</v>
      </c>
      <c r="K174" s="351">
        <f t="shared" si="1"/>
        <v>172.15713975800961</v>
      </c>
      <c r="L174" s="351">
        <f t="shared" si="1"/>
        <v>194.78000182997116</v>
      </c>
      <c r="M174" s="351">
        <f t="shared" si="1"/>
        <v>220.37569377728028</v>
      </c>
      <c r="N174" s="351">
        <f t="shared" si="1"/>
        <v>249.33486986108423</v>
      </c>
      <c r="O174" s="885"/>
    </row>
    <row r="175" spans="1:23" ht="15.75">
      <c r="B175" s="55"/>
      <c r="C175" s="65" t="s">
        <v>1038</v>
      </c>
      <c r="D175" s="108" t="s">
        <v>1039</v>
      </c>
      <c r="E175" s="1440"/>
      <c r="F175" s="165">
        <v>100</v>
      </c>
      <c r="G175" s="1442">
        <f>F175*(1+INDEX($F19:$H19, ,MATCH($E$8, $F$17:$H$17, 0)))^(G$173-F$173)</f>
        <v>102.01</v>
      </c>
      <c r="H175" s="172">
        <f t="shared" si="1"/>
        <v>107.213535210701</v>
      </c>
      <c r="I175" s="172">
        <f t="shared" si="1"/>
        <v>112.68250301319696</v>
      </c>
      <c r="J175" s="172">
        <f t="shared" si="1"/>
        <v>118.43044313729354</v>
      </c>
      <c r="K175" s="172">
        <f t="shared" si="1"/>
        <v>124.47158597509207</v>
      </c>
      <c r="L175" s="172">
        <f t="shared" si="1"/>
        <v>130.82088781170796</v>
      </c>
      <c r="M175" s="172">
        <f t="shared" si="1"/>
        <v>137.49406785310964</v>
      </c>
      <c r="N175" s="172">
        <f t="shared" si="1"/>
        <v>144.50764714274956</v>
      </c>
      <c r="O175" s="885"/>
    </row>
    <row r="176" spans="1:23" ht="15.75">
      <c r="B176" s="55"/>
      <c r="C176" s="65" t="s">
        <v>1040</v>
      </c>
      <c r="D176" s="108" t="s">
        <v>1041</v>
      </c>
      <c r="E176" s="1440"/>
      <c r="F176" s="165">
        <v>100</v>
      </c>
      <c r="G176" s="1442">
        <f>F176*(1+INDEX($F20:$H20, ,MATCH($E$8, $F$17:$H$17, 0)))^(G$173-F$173)</f>
        <v>95.0625</v>
      </c>
      <c r="H176" s="172">
        <f t="shared" si="1"/>
        <v>83.759159349975576</v>
      </c>
      <c r="I176" s="172">
        <f t="shared" si="1"/>
        <v>73.799834582665099</v>
      </c>
      <c r="J176" s="172">
        <f t="shared" si="1"/>
        <v>65.024716421420479</v>
      </c>
      <c r="K176" s="172">
        <f t="shared" si="1"/>
        <v>57.292997600828208</v>
      </c>
      <c r="L176" s="172">
        <f t="shared" si="1"/>
        <v>50.480613445738733</v>
      </c>
      <c r="M176" s="172">
        <f t="shared" si="1"/>
        <v>44.478251105179751</v>
      </c>
      <c r="N176" s="172">
        <f t="shared" si="1"/>
        <v>39.189595496930735</v>
      </c>
      <c r="O176" s="885"/>
    </row>
    <row r="177" spans="2:15" ht="15.75">
      <c r="B177" s="55"/>
      <c r="C177" s="896" t="s">
        <v>1042</v>
      </c>
      <c r="D177" s="897" t="s">
        <v>411</v>
      </c>
      <c r="E177" s="1443"/>
      <c r="F177" s="1444">
        <v>100</v>
      </c>
      <c r="G177" s="1445">
        <f>F177*(1+INDEX($F21:$H21, ,MATCH($E$8, $F$17:$H$17, 0)))^(G$173-F$173)</f>
        <v>102.01</v>
      </c>
      <c r="H177" s="352">
        <f t="shared" si="1"/>
        <v>107.213535210701</v>
      </c>
      <c r="I177" s="352">
        <f t="shared" si="1"/>
        <v>112.68250301319696</v>
      </c>
      <c r="J177" s="352">
        <f t="shared" si="1"/>
        <v>118.43044313729354</v>
      </c>
      <c r="K177" s="352">
        <f t="shared" si="1"/>
        <v>124.47158597509207</v>
      </c>
      <c r="L177" s="352">
        <f t="shared" si="1"/>
        <v>130.82088781170796</v>
      </c>
      <c r="M177" s="352">
        <f t="shared" si="1"/>
        <v>137.49406785310964</v>
      </c>
      <c r="N177" s="352">
        <f t="shared" si="1"/>
        <v>144.50764714274956</v>
      </c>
      <c r="O177" s="1446"/>
    </row>
    <row r="178" spans="2:15">
      <c r="B178" s="110"/>
      <c r="C178" s="67"/>
      <c r="D178" s="67"/>
      <c r="E178" s="67"/>
      <c r="F178" s="67"/>
      <c r="G178" s="67"/>
      <c r="H178" s="67"/>
      <c r="I178" s="67"/>
      <c r="J178" s="67"/>
      <c r="K178" s="67"/>
      <c r="L178" s="67"/>
      <c r="M178" s="67"/>
      <c r="N178" s="67"/>
      <c r="O178" s="885"/>
    </row>
    <row r="179" spans="2:15">
      <c r="B179" s="135">
        <v>2</v>
      </c>
      <c r="C179" s="49" t="s">
        <v>1069</v>
      </c>
      <c r="D179" s="67"/>
      <c r="E179" s="67"/>
      <c r="F179" s="67"/>
      <c r="G179" s="67"/>
      <c r="H179" s="67"/>
      <c r="I179" s="67"/>
      <c r="J179" s="67"/>
      <c r="K179" s="67"/>
      <c r="L179" s="67"/>
      <c r="M179" s="67"/>
      <c r="N179" s="51" t="str">
        <f>Preferences.EnergyUnits &amp; " / unit output index"</f>
        <v>TWh / unit output index</v>
      </c>
      <c r="O179" s="885"/>
    </row>
    <row r="180" spans="2:15">
      <c r="B180" s="110"/>
      <c r="C180" s="67"/>
      <c r="D180" s="67"/>
      <c r="E180" s="67"/>
      <c r="F180" s="67"/>
      <c r="G180" s="67"/>
      <c r="H180" s="67"/>
      <c r="I180" s="67"/>
      <c r="J180" s="67"/>
      <c r="K180" s="67"/>
      <c r="L180" s="67"/>
      <c r="M180" s="67"/>
      <c r="N180" s="67"/>
      <c r="O180" s="885"/>
    </row>
    <row r="181" spans="2:15" ht="15.75">
      <c r="B181" s="55"/>
      <c r="C181" s="887" t="s">
        <v>368</v>
      </c>
      <c r="D181" s="887" t="s">
        <v>72</v>
      </c>
      <c r="E181" s="887" t="s">
        <v>1070</v>
      </c>
      <c r="F181" s="92">
        <v>2013</v>
      </c>
      <c r="G181" s="92">
        <v>2015</v>
      </c>
      <c r="H181" s="92">
        <v>2020</v>
      </c>
      <c r="I181" s="92">
        <v>2025</v>
      </c>
      <c r="J181" s="92">
        <v>2030</v>
      </c>
      <c r="K181" s="92">
        <v>2035</v>
      </c>
      <c r="L181" s="92">
        <v>2040</v>
      </c>
      <c r="M181" s="92">
        <v>2045</v>
      </c>
      <c r="N181" s="92">
        <v>2050</v>
      </c>
      <c r="O181" s="885"/>
    </row>
    <row r="182" spans="2:15" ht="15.75">
      <c r="B182" s="55"/>
      <c r="C182" s="65" t="s">
        <v>1037</v>
      </c>
      <c r="D182" s="108" t="s">
        <v>2853</v>
      </c>
      <c r="E182" s="1440">
        <f t="array" ref="E182:E185">INDEX($F$26:$H$29, ,MATCH($E$9, $F$25:$H$25, 0))</f>
        <v>-2.4472451512579374E-3</v>
      </c>
      <c r="F182" s="892">
        <f>INDEX($F$70:$I$70, MATCH($D182, $F$64:$I$64, 0))/100</f>
        <v>2.6799999999999997E-2</v>
      </c>
      <c r="G182" s="892">
        <f t="shared" ref="G182:M185" si="2">$F182*(1+$E182)^(G$173-$F$173)</f>
        <v>2.6668988165329224E-2</v>
      </c>
      <c r="H182" s="892">
        <f t="shared" si="2"/>
        <v>2.6344253709523459E-2</v>
      </c>
      <c r="I182" s="892">
        <f t="shared" si="2"/>
        <v>2.6023473376991277E-2</v>
      </c>
      <c r="J182" s="892">
        <f t="shared" si="2"/>
        <v>2.5706599020421599E-2</v>
      </c>
      <c r="K182" s="892">
        <f t="shared" si="2"/>
        <v>2.5393583078768208E-2</v>
      </c>
      <c r="L182" s="892">
        <f t="shared" si="2"/>
        <v>2.5084378570111119E-2</v>
      </c>
      <c r="M182" s="892">
        <f t="shared" si="2"/>
        <v>2.4778939084604854E-2</v>
      </c>
      <c r="N182" s="892">
        <f>$F182*(1+$E182)^(N$173-$F$173)</f>
        <v>2.4477218777512577E-2</v>
      </c>
      <c r="O182" s="885"/>
    </row>
    <row r="183" spans="2:15" ht="15.75">
      <c r="B183" s="55"/>
      <c r="C183" s="65" t="s">
        <v>1038</v>
      </c>
      <c r="D183" s="108" t="s">
        <v>1039</v>
      </c>
      <c r="E183" s="1440">
        <v>-2.4472451512579374E-3</v>
      </c>
      <c r="F183" s="895">
        <f>INDEX($F$70:$I$70, MATCH($D183, $F$64:$I$64, 0))/100</f>
        <v>5.5800000000000002E-2</v>
      </c>
      <c r="G183" s="895">
        <f t="shared" si="2"/>
        <v>5.5527221627812345E-2</v>
      </c>
      <c r="H183" s="895">
        <f t="shared" si="2"/>
        <v>5.4851095410127206E-2</v>
      </c>
      <c r="I183" s="895">
        <f t="shared" si="2"/>
        <v>5.4183202031198266E-2</v>
      </c>
      <c r="J183" s="895">
        <f t="shared" si="2"/>
        <v>5.3523441244012142E-2</v>
      </c>
      <c r="K183" s="895">
        <f t="shared" si="2"/>
        <v>5.287171402221142E-2</v>
      </c>
      <c r="L183" s="895">
        <f t="shared" si="2"/>
        <v>5.2227922545231363E-2</v>
      </c>
      <c r="M183" s="895">
        <f t="shared" si="2"/>
        <v>5.1591970183617573E-2</v>
      </c>
      <c r="N183" s="895">
        <f>$F183*(1+$E183)^(N$173-$F$173)</f>
        <v>5.096376148452246E-2</v>
      </c>
      <c r="O183" s="885"/>
    </row>
    <row r="184" spans="2:15" ht="15.75">
      <c r="B184" s="55"/>
      <c r="C184" s="65" t="s">
        <v>1040</v>
      </c>
      <c r="D184" s="108" t="s">
        <v>1041</v>
      </c>
      <c r="E184" s="1440">
        <v>-2.4472451512579374E-3</v>
      </c>
      <c r="F184" s="895">
        <f>INDEX($F$70:$I$70, MATCH($D184, $F$64:$I$64, 0))/100</f>
        <v>3.7999999999999999E-2</v>
      </c>
      <c r="G184" s="895">
        <f t="shared" si="2"/>
        <v>3.781423695083995E-2</v>
      </c>
      <c r="H184" s="895">
        <f t="shared" si="2"/>
        <v>3.7353792573204904E-2</v>
      </c>
      <c r="I184" s="895">
        <f t="shared" si="2"/>
        <v>3.6898954788271217E-2</v>
      </c>
      <c r="J184" s="895">
        <f t="shared" si="2"/>
        <v>3.6449655327463464E-2</v>
      </c>
      <c r="K184" s="895">
        <f t="shared" si="2"/>
        <v>3.6005826753477313E-2</v>
      </c>
      <c r="L184" s="895">
        <f t="shared" si="2"/>
        <v>3.5567402450157555E-2</v>
      </c>
      <c r="M184" s="895">
        <f t="shared" si="2"/>
        <v>3.5134316612499418E-2</v>
      </c>
      <c r="N184" s="895">
        <f>$F184*(1+$E184)^(N$173-$F$173)</f>
        <v>3.4706504236771567E-2</v>
      </c>
      <c r="O184" s="885"/>
    </row>
    <row r="185" spans="2:15" ht="15.75">
      <c r="B185" s="55"/>
      <c r="C185" s="896" t="s">
        <v>1042</v>
      </c>
      <c r="D185" s="897" t="s">
        <v>411</v>
      </c>
      <c r="E185" s="1443">
        <v>-2.4472451512579374E-3</v>
      </c>
      <c r="F185" s="1204">
        <f>INDEX($F$70:$I$70, MATCH($D185, $F$64:$I$64, 0))/100</f>
        <v>0.13930000000000001</v>
      </c>
      <c r="G185" s="1204">
        <f t="shared" si="2"/>
        <v>0.1386190317697896</v>
      </c>
      <c r="H185" s="1204">
        <f t="shared" si="2"/>
        <v>0.13693113961703798</v>
      </c>
      <c r="I185" s="1204">
        <f t="shared" si="2"/>
        <v>0.13526380005279423</v>
      </c>
      <c r="J185" s="1204">
        <f t="shared" si="2"/>
        <v>0.13361676281883317</v>
      </c>
      <c r="K185" s="1204">
        <f t="shared" si="2"/>
        <v>0.13198978070419448</v>
      </c>
      <c r="L185" s="1204">
        <f t="shared" si="2"/>
        <v>0.13038260950807759</v>
      </c>
      <c r="M185" s="1204">
        <f t="shared" si="2"/>
        <v>0.12879500800318869</v>
      </c>
      <c r="N185" s="1204">
        <f>$F185*(1+$E185)^(N$173-$F$173)</f>
        <v>0.12722673789953368</v>
      </c>
      <c r="O185" s="885"/>
    </row>
    <row r="186" spans="2:15">
      <c r="B186" s="110"/>
      <c r="C186" s="67" t="s">
        <v>59</v>
      </c>
      <c r="D186" s="67"/>
      <c r="E186" s="67"/>
      <c r="F186" s="1447">
        <f t="shared" ref="F186:N186" si="3">SUM(F$182:F$185)</f>
        <v>0.25990000000000002</v>
      </c>
      <c r="G186" s="1447">
        <f t="shared" si="3"/>
        <v>0.2586294785137711</v>
      </c>
      <c r="H186" s="1447">
        <f t="shared" si="3"/>
        <v>0.25548028130989353</v>
      </c>
      <c r="I186" s="1447">
        <f t="shared" si="3"/>
        <v>0.25236943024925496</v>
      </c>
      <c r="J186" s="1447">
        <f t="shared" si="3"/>
        <v>0.24929645841073036</v>
      </c>
      <c r="K186" s="1447">
        <f t="shared" si="3"/>
        <v>0.24626090455865141</v>
      </c>
      <c r="L186" s="1447">
        <f t="shared" si="3"/>
        <v>0.24326231307357762</v>
      </c>
      <c r="M186" s="1447">
        <f t="shared" si="3"/>
        <v>0.24030023388391053</v>
      </c>
      <c r="N186" s="1447">
        <f t="shared" si="3"/>
        <v>0.23737422239834027</v>
      </c>
      <c r="O186" s="885"/>
    </row>
    <row r="187" spans="2:15">
      <c r="B187" s="110"/>
      <c r="C187" s="67"/>
      <c r="D187" s="67"/>
      <c r="E187" s="67"/>
      <c r="F187" s="67"/>
      <c r="G187" s="67"/>
      <c r="H187" s="67"/>
      <c r="I187" s="67"/>
      <c r="J187" s="67"/>
      <c r="K187" s="67"/>
      <c r="L187" s="67"/>
      <c r="M187" s="67"/>
      <c r="N187" s="67"/>
      <c r="O187" s="885"/>
    </row>
    <row r="188" spans="2:15">
      <c r="B188" s="135">
        <v>3</v>
      </c>
      <c r="C188" s="49" t="s">
        <v>1071</v>
      </c>
      <c r="D188" s="67"/>
      <c r="E188" s="67"/>
      <c r="F188" s="67"/>
      <c r="G188" s="67"/>
      <c r="H188" s="67"/>
      <c r="I188" s="67"/>
      <c r="J188" s="67"/>
      <c r="K188" s="67"/>
      <c r="L188" s="67"/>
      <c r="M188" s="67"/>
      <c r="N188" s="67"/>
      <c r="O188" s="885"/>
    </row>
    <row r="189" spans="2:15">
      <c r="B189" s="110"/>
      <c r="C189" s="67"/>
      <c r="D189" s="67"/>
      <c r="E189" s="67"/>
      <c r="F189" s="67"/>
      <c r="G189" s="67"/>
      <c r="H189" s="67"/>
      <c r="I189" s="67"/>
      <c r="J189" s="67"/>
      <c r="K189" s="67"/>
      <c r="L189" s="67"/>
      <c r="M189" s="67"/>
      <c r="N189" s="67"/>
      <c r="O189" s="885"/>
    </row>
    <row r="190" spans="2:15" ht="15.75">
      <c r="B190" s="55"/>
      <c r="C190" s="887" t="s">
        <v>28</v>
      </c>
      <c r="D190" s="887" t="s">
        <v>72</v>
      </c>
      <c r="E190" s="887" t="s">
        <v>30</v>
      </c>
      <c r="F190" s="888">
        <v>2013</v>
      </c>
      <c r="G190" s="92">
        <v>2015</v>
      </c>
      <c r="H190" s="92">
        <v>2020</v>
      </c>
      <c r="I190" s="92">
        <v>2025</v>
      </c>
      <c r="J190" s="92">
        <v>2030</v>
      </c>
      <c r="K190" s="92">
        <v>2035</v>
      </c>
      <c r="L190" s="92">
        <v>2040</v>
      </c>
      <c r="M190" s="92">
        <v>2045</v>
      </c>
      <c r="N190" s="92">
        <v>2050</v>
      </c>
      <c r="O190" s="885"/>
    </row>
    <row r="191" spans="2:15" ht="15.75">
      <c r="B191" s="55"/>
      <c r="C191" s="65" t="s">
        <v>96</v>
      </c>
      <c r="D191" s="108" t="s">
        <v>86</v>
      </c>
      <c r="E191" s="1267"/>
      <c r="F191" s="1031">
        <f>INDEX($J$65:$J$69, MATCH($C191, $C$65:$C$69, 0))/$J$70</f>
        <v>0.35744517121969982</v>
      </c>
      <c r="G191" s="1067">
        <f t="shared" ref="G191:H195" si="4">$F191+($I191-$F191)/($I$190-$F$190)*(G$190-$F$190)</f>
        <v>0.35744517121969982</v>
      </c>
      <c r="H191" s="1067">
        <f t="shared" si="4"/>
        <v>0.35744517121969988</v>
      </c>
      <c r="I191" s="93">
        <f>INDEX($F$34:$H$38, MATCH($C191, $C$34:$C$38, 0), MATCH($E$9, $F$33:$H$33, 0))</f>
        <v>0.35744517121969988</v>
      </c>
      <c r="J191" s="1067">
        <f>$I191+($K191-$I191)/($K$190-$I$190)*(J$190-$I$190)</f>
        <v>0.35744517121969988</v>
      </c>
      <c r="K191" s="93">
        <f>INDEX($J$34:$L$38, MATCH($C191, $C$34:$C$38, 0), MATCH($E$9, $J$33:$L$33, 0))</f>
        <v>0.35744517121969988</v>
      </c>
      <c r="L191" s="1067">
        <f t="shared" ref="L191:M195" si="5">$K191+($N191-$K191)/($N$190-$K$190)*(L$190-$K$190)</f>
        <v>0.35744517121969988</v>
      </c>
      <c r="M191" s="1067">
        <f t="shared" si="5"/>
        <v>0.35744517121969988</v>
      </c>
      <c r="N191" s="93">
        <f>INDEX($N$34:$P$38, MATCH($C191, $C$34:$C$38, 0), MATCH($E$9, $N$33:$P$33, 0))</f>
        <v>0.35744517121969988</v>
      </c>
      <c r="O191" s="885"/>
    </row>
    <row r="192" spans="2:15" ht="15.75">
      <c r="B192" s="55"/>
      <c r="C192" s="65" t="s">
        <v>98</v>
      </c>
      <c r="D192" s="108" t="s">
        <v>88</v>
      </c>
      <c r="E192" s="1267"/>
      <c r="F192" s="1031">
        <f>INDEX($J$65:$J$69, MATCH($C192, $C$65:$C$69, 0))/$J$70</f>
        <v>0.11966140823393612</v>
      </c>
      <c r="G192" s="1065">
        <f t="shared" si="4"/>
        <v>0.11966140823393612</v>
      </c>
      <c r="H192" s="1065">
        <f t="shared" si="4"/>
        <v>0.11966140823393613</v>
      </c>
      <c r="I192" s="93">
        <f>INDEX($F$34:$H$38, MATCH($C192, $C$34:$C$38, 0), MATCH($E$9, $F$33:$H$33, 0))</f>
        <v>0.11966140823393613</v>
      </c>
      <c r="J192" s="1065">
        <f>$I192+($K192-$I192)/($K$190-$I$190)*(J$190-$I$190)</f>
        <v>0.11966140823393613</v>
      </c>
      <c r="K192" s="93">
        <f>INDEX($J$34:$L$38, MATCH($C192, $C$34:$C$38, 0), MATCH($E$9, $J$33:$L$33, 0))</f>
        <v>0.11966140823393613</v>
      </c>
      <c r="L192" s="1065">
        <f t="shared" si="5"/>
        <v>0.11966140823393613</v>
      </c>
      <c r="M192" s="1065">
        <f t="shared" si="5"/>
        <v>0.11966140823393613</v>
      </c>
      <c r="N192" s="93">
        <f>INDEX($N$34:$P$38, MATCH($C192, $C$34:$C$38, 0), MATCH($E$9, $N$33:$P$33, 0))</f>
        <v>0.11966140823393613</v>
      </c>
      <c r="O192" s="885"/>
    </row>
    <row r="193" spans="2:15" ht="15.75">
      <c r="B193" s="55"/>
      <c r="C193" s="65" t="s">
        <v>99</v>
      </c>
      <c r="D193" s="108" t="s">
        <v>89</v>
      </c>
      <c r="E193" s="1267"/>
      <c r="F193" s="1031">
        <f>INDEX($J$65:$J$69, MATCH($C193, $C$65:$C$69, 0))/$J$70</f>
        <v>0.24432474028472487</v>
      </c>
      <c r="G193" s="1065">
        <f t="shared" si="4"/>
        <v>0.24432474028472487</v>
      </c>
      <c r="H193" s="1065">
        <f t="shared" si="4"/>
        <v>0.2443247402847249</v>
      </c>
      <c r="I193" s="93">
        <f>INDEX($F$34:$H$38, MATCH($C193, $C$34:$C$38, 0), MATCH($E$9, $F$33:$H$33, 0))</f>
        <v>0.2443247402847249</v>
      </c>
      <c r="J193" s="1065">
        <f>$I193+($K193-$I193)/($K$190-$I$190)*(J$190-$I$190)</f>
        <v>0.2443247402847249</v>
      </c>
      <c r="K193" s="93">
        <f>INDEX($J$34:$L$38, MATCH($C193, $C$34:$C$38, 0), MATCH($E$9, $J$33:$L$33, 0))</f>
        <v>0.2443247402847249</v>
      </c>
      <c r="L193" s="1065">
        <f t="shared" si="5"/>
        <v>0.2443247402847249</v>
      </c>
      <c r="M193" s="1065">
        <f t="shared" si="5"/>
        <v>0.2443247402847249</v>
      </c>
      <c r="N193" s="93">
        <f>INDEX($N$34:$P$38, MATCH($C193, $C$34:$C$38, 0), MATCH($E$9, $N$33:$P$33, 0))</f>
        <v>0.2443247402847249</v>
      </c>
      <c r="O193" s="885"/>
    </row>
    <row r="194" spans="2:15" ht="15.75">
      <c r="B194" s="55"/>
      <c r="C194" s="65" t="s">
        <v>100</v>
      </c>
      <c r="D194" s="108" t="s">
        <v>90</v>
      </c>
      <c r="E194" s="1267"/>
      <c r="F194" s="1031">
        <f>INDEX($J$65:$J$69, MATCH($C194, $C$65:$C$69, 0))/$J$70</f>
        <v>0.27856868026163906</v>
      </c>
      <c r="G194" s="1065">
        <f t="shared" si="4"/>
        <v>0.27856868026163906</v>
      </c>
      <c r="H194" s="1065">
        <f t="shared" si="4"/>
        <v>0.27856868026163911</v>
      </c>
      <c r="I194" s="93">
        <f>INDEX($F$34:$H$38, MATCH($C194, $C$34:$C$38, 0), MATCH($E$9, $F$33:$H$33, 0))</f>
        <v>0.27856868026163911</v>
      </c>
      <c r="J194" s="1065">
        <f>$I194+($K194-$I194)/($K$190-$I$190)*(J$190-$I$190)</f>
        <v>0.27856868026163911</v>
      </c>
      <c r="K194" s="93">
        <f>INDEX($J$34:$L$38, MATCH($C194, $C$34:$C$38, 0), MATCH($E$9, $J$33:$L$33, 0))</f>
        <v>0.27856868026163911</v>
      </c>
      <c r="L194" s="1065">
        <f t="shared" si="5"/>
        <v>0.27856868026163911</v>
      </c>
      <c r="M194" s="1065">
        <f t="shared" si="5"/>
        <v>0.27856868026163911</v>
      </c>
      <c r="N194" s="93">
        <f>INDEX($N$34:$P$38, MATCH($C194, $C$34:$C$38, 0), MATCH($E$9, $N$33:$P$33, 0))</f>
        <v>0.27856868026163911</v>
      </c>
      <c r="O194" s="885"/>
    </row>
    <row r="195" spans="2:15" ht="15.75">
      <c r="B195" s="55"/>
      <c r="C195" s="896" t="s">
        <v>101</v>
      </c>
      <c r="D195" s="897" t="s">
        <v>91</v>
      </c>
      <c r="E195" s="897"/>
      <c r="F195" s="1032">
        <f>INDEX($J$65:$J$69, MATCH($C195, $C$65:$C$69, 0))/$J$70</f>
        <v>0</v>
      </c>
      <c r="G195" s="1448">
        <f t="shared" si="4"/>
        <v>0</v>
      </c>
      <c r="H195" s="1448">
        <f t="shared" si="4"/>
        <v>0</v>
      </c>
      <c r="I195" s="147">
        <f>INDEX($F$34:$H$38, MATCH($C195, $C$34:$C$38, 0), MATCH($E$9, $F$33:$H$33, 0))</f>
        <v>0</v>
      </c>
      <c r="J195" s="1378">
        <f>$I195+($K195-$I195)/($K$190-$I$190)*(J$190-$I$190)</f>
        <v>0</v>
      </c>
      <c r="K195" s="147">
        <f>INDEX($J$34:$L$38, MATCH($C195, $C$34:$C$38, 0), MATCH($E$9, $J$33:$L$33, 0))</f>
        <v>0</v>
      </c>
      <c r="L195" s="1378">
        <f t="shared" si="5"/>
        <v>0</v>
      </c>
      <c r="M195" s="1378">
        <f t="shared" si="5"/>
        <v>0</v>
      </c>
      <c r="N195" s="147">
        <f>INDEX($N$34:$P$38, MATCH($C195, $C$34:$C$38, 0), MATCH($E$9, $N$33:$P$33, 0))</f>
        <v>0</v>
      </c>
      <c r="O195" s="885"/>
    </row>
    <row r="196" spans="2:15">
      <c r="B196" s="110"/>
      <c r="C196" s="89"/>
      <c r="D196" s="122"/>
      <c r="E196" s="122"/>
      <c r="F196" s="1402"/>
      <c r="G196" s="1402"/>
      <c r="H196" s="1402"/>
      <c r="I196" s="67"/>
      <c r="J196" s="67"/>
      <c r="K196" s="67"/>
      <c r="L196" s="67"/>
      <c r="M196" s="67"/>
      <c r="N196" s="67"/>
      <c r="O196" s="885"/>
    </row>
    <row r="197" spans="2:15">
      <c r="B197" s="1449" t="s">
        <v>245</v>
      </c>
      <c r="C197" s="49" t="s">
        <v>1072</v>
      </c>
      <c r="D197" s="67"/>
      <c r="E197" s="67"/>
      <c r="F197" s="67"/>
      <c r="G197" s="67"/>
      <c r="H197" s="67"/>
      <c r="I197" s="67"/>
      <c r="J197" s="67"/>
      <c r="K197" s="67"/>
      <c r="L197" s="67"/>
      <c r="M197" s="67"/>
      <c r="N197" s="51" t="s">
        <v>1073</v>
      </c>
      <c r="O197" s="885"/>
    </row>
    <row r="198" spans="2:15">
      <c r="B198" s="110"/>
      <c r="C198" s="67"/>
      <c r="D198" s="67"/>
      <c r="E198" s="67"/>
      <c r="F198" s="67"/>
      <c r="G198" s="67"/>
      <c r="H198" s="67"/>
      <c r="I198" s="67"/>
      <c r="J198" s="67"/>
      <c r="K198" s="67"/>
      <c r="L198" s="67"/>
      <c r="M198" s="67"/>
      <c r="N198" s="67"/>
      <c r="O198" s="885"/>
    </row>
    <row r="199" spans="2:15" ht="15.75">
      <c r="B199" s="55"/>
      <c r="C199" s="887" t="s">
        <v>368</v>
      </c>
      <c r="D199" s="887" t="s">
        <v>72</v>
      </c>
      <c r="E199" s="887" t="s">
        <v>1070</v>
      </c>
      <c r="F199" s="92">
        <v>2013</v>
      </c>
      <c r="G199" s="92">
        <v>2015</v>
      </c>
      <c r="H199" s="92">
        <v>2020</v>
      </c>
      <c r="I199" s="92">
        <v>2025</v>
      </c>
      <c r="J199" s="92">
        <v>2030</v>
      </c>
      <c r="K199" s="92">
        <v>2035</v>
      </c>
      <c r="L199" s="92">
        <v>2040</v>
      </c>
      <c r="M199" s="92">
        <v>2045</v>
      </c>
      <c r="N199" s="92">
        <v>2050</v>
      </c>
      <c r="O199" s="885"/>
    </row>
    <row r="200" spans="2:15" ht="15.75">
      <c r="B200" s="55"/>
      <c r="C200" s="65" t="s">
        <v>1037</v>
      </c>
      <c r="D200" s="108" t="s">
        <v>2853</v>
      </c>
      <c r="E200" s="1440">
        <f t="array" ref="E200:E203">INDEX($F$43:$H$46, ,MATCH($E$9, $F$42:$H$42, 0))</f>
        <v>0</v>
      </c>
      <c r="F200" s="892">
        <v>1</v>
      </c>
      <c r="G200" s="892">
        <f>$F200*(1+$E200)^(G$173-$F$173)</f>
        <v>1</v>
      </c>
      <c r="H200" s="892">
        <f t="shared" ref="G200:N203" si="6">$F200*(1+$E200)^(H$173-$F$173)</f>
        <v>1</v>
      </c>
      <c r="I200" s="892">
        <f t="shared" si="6"/>
        <v>1</v>
      </c>
      <c r="J200" s="892">
        <f t="shared" si="6"/>
        <v>1</v>
      </c>
      <c r="K200" s="892">
        <f t="shared" si="6"/>
        <v>1</v>
      </c>
      <c r="L200" s="892">
        <f t="shared" si="6"/>
        <v>1</v>
      </c>
      <c r="M200" s="892">
        <f t="shared" si="6"/>
        <v>1</v>
      </c>
      <c r="N200" s="892">
        <f t="shared" si="6"/>
        <v>1</v>
      </c>
      <c r="O200" s="885"/>
    </row>
    <row r="201" spans="2:15" ht="15.75">
      <c r="B201" s="55"/>
      <c r="C201" s="65" t="s">
        <v>1038</v>
      </c>
      <c r="D201" s="108" t="s">
        <v>1039</v>
      </c>
      <c r="E201" s="1440">
        <v>0</v>
      </c>
      <c r="F201" s="895">
        <v>1</v>
      </c>
      <c r="G201" s="895">
        <f t="shared" si="6"/>
        <v>1</v>
      </c>
      <c r="H201" s="895">
        <f t="shared" si="6"/>
        <v>1</v>
      </c>
      <c r="I201" s="895">
        <f t="shared" si="6"/>
        <v>1</v>
      </c>
      <c r="J201" s="895">
        <f t="shared" si="6"/>
        <v>1</v>
      </c>
      <c r="K201" s="895">
        <f t="shared" si="6"/>
        <v>1</v>
      </c>
      <c r="L201" s="895">
        <f t="shared" si="6"/>
        <v>1</v>
      </c>
      <c r="M201" s="895">
        <f t="shared" si="6"/>
        <v>1</v>
      </c>
      <c r="N201" s="895">
        <f t="shared" si="6"/>
        <v>1</v>
      </c>
      <c r="O201" s="885"/>
    </row>
    <row r="202" spans="2:15" ht="15.75">
      <c r="B202" s="55"/>
      <c r="C202" s="65" t="s">
        <v>1040</v>
      </c>
      <c r="D202" s="108" t="s">
        <v>1041</v>
      </c>
      <c r="E202" s="1440">
        <v>0</v>
      </c>
      <c r="F202" s="895">
        <v>1</v>
      </c>
      <c r="G202" s="895">
        <f t="shared" si="6"/>
        <v>1</v>
      </c>
      <c r="H202" s="895">
        <f t="shared" si="6"/>
        <v>1</v>
      </c>
      <c r="I202" s="895">
        <f t="shared" si="6"/>
        <v>1</v>
      </c>
      <c r="J202" s="895">
        <f t="shared" si="6"/>
        <v>1</v>
      </c>
      <c r="K202" s="895">
        <f t="shared" si="6"/>
        <v>1</v>
      </c>
      <c r="L202" s="895">
        <f t="shared" si="6"/>
        <v>1</v>
      </c>
      <c r="M202" s="895">
        <f t="shared" si="6"/>
        <v>1</v>
      </c>
      <c r="N202" s="895">
        <f t="shared" si="6"/>
        <v>1</v>
      </c>
      <c r="O202" s="885"/>
    </row>
    <row r="203" spans="2:15" ht="15.75">
      <c r="B203" s="55"/>
      <c r="C203" s="896" t="s">
        <v>1042</v>
      </c>
      <c r="D203" s="897" t="s">
        <v>411</v>
      </c>
      <c r="E203" s="1443">
        <v>-2.6341839434337544E-2</v>
      </c>
      <c r="F203" s="899">
        <v>1</v>
      </c>
      <c r="G203" s="899">
        <f t="shared" si="6"/>
        <v>0.94801021363610938</v>
      </c>
      <c r="H203" s="899">
        <f t="shared" si="6"/>
        <v>0.8295557104069845</v>
      </c>
      <c r="I203" s="899">
        <f t="shared" si="6"/>
        <v>0.7259021757048133</v>
      </c>
      <c r="J203" s="899">
        <f t="shared" si="6"/>
        <v>0.63520021872245935</v>
      </c>
      <c r="K203" s="899">
        <f t="shared" si="6"/>
        <v>0.55583153125736651</v>
      </c>
      <c r="L203" s="899">
        <f t="shared" si="6"/>
        <v>0.48638001378727314</v>
      </c>
      <c r="M203" s="899">
        <f t="shared" si="6"/>
        <v>0.42560650936186484</v>
      </c>
      <c r="N203" s="899">
        <f t="shared" si="6"/>
        <v>0.37242669451137506</v>
      </c>
      <c r="O203" s="885"/>
    </row>
    <row r="204" spans="2:15">
      <c r="B204" s="110"/>
      <c r="C204" s="67"/>
      <c r="D204" s="67"/>
      <c r="E204" s="67"/>
      <c r="F204" s="1447"/>
      <c r="G204" s="1447"/>
      <c r="H204" s="1447"/>
      <c r="I204" s="1447"/>
      <c r="J204" s="1447"/>
      <c r="K204" s="1447"/>
      <c r="L204" s="1447"/>
      <c r="M204" s="1447"/>
      <c r="N204" s="1447"/>
      <c r="O204" s="885"/>
    </row>
    <row r="205" spans="2:15">
      <c r="B205" s="1449" t="s">
        <v>1074</v>
      </c>
      <c r="C205" s="49" t="s">
        <v>1075</v>
      </c>
      <c r="D205" s="67"/>
      <c r="E205" s="67"/>
      <c r="F205" s="67"/>
      <c r="G205" s="67"/>
      <c r="H205" s="67"/>
      <c r="I205" s="67"/>
      <c r="J205" s="67"/>
      <c r="K205" s="67" t="s">
        <v>5</v>
      </c>
      <c r="L205" s="67"/>
      <c r="M205" s="67"/>
      <c r="N205" s="51" t="s">
        <v>1076</v>
      </c>
      <c r="O205" s="885"/>
    </row>
    <row r="206" spans="2:15">
      <c r="B206" s="110"/>
      <c r="C206" s="67"/>
      <c r="D206" s="67"/>
      <c r="E206" s="67"/>
      <c r="F206" s="67"/>
      <c r="G206" s="67"/>
      <c r="H206" s="67"/>
      <c r="I206" s="67"/>
      <c r="J206" s="67"/>
      <c r="K206" s="67"/>
      <c r="L206" s="67"/>
      <c r="M206" s="67"/>
      <c r="N206" s="67"/>
      <c r="O206" s="885"/>
    </row>
    <row r="207" spans="2:15" ht="15.75">
      <c r="B207" s="55"/>
      <c r="C207" s="887" t="s">
        <v>368</v>
      </c>
      <c r="D207" s="887" t="s">
        <v>72</v>
      </c>
      <c r="E207" s="887"/>
      <c r="F207" s="92">
        <v>2013</v>
      </c>
      <c r="G207" s="92">
        <v>2015</v>
      </c>
      <c r="H207" s="92">
        <v>2020</v>
      </c>
      <c r="I207" s="92">
        <v>2025</v>
      </c>
      <c r="J207" s="92">
        <v>2030</v>
      </c>
      <c r="K207" s="92">
        <v>2035</v>
      </c>
      <c r="L207" s="92">
        <v>2040</v>
      </c>
      <c r="M207" s="92">
        <v>2045</v>
      </c>
      <c r="N207" s="92">
        <v>2050</v>
      </c>
      <c r="O207" s="885"/>
    </row>
    <row r="208" spans="2:15" ht="15.75">
      <c r="B208" s="55"/>
      <c r="C208" s="65" t="s">
        <v>1037</v>
      </c>
      <c r="D208" s="108" t="s">
        <v>2853</v>
      </c>
      <c r="E208" s="1440"/>
      <c r="F208" s="892">
        <v>1</v>
      </c>
      <c r="G208" s="892">
        <f t="shared" ref="G208:N211" si="7">G200*G174/100</f>
        <v>1.0506249999999999</v>
      </c>
      <c r="H208" s="892">
        <f t="shared" si="7"/>
        <v>1.1886857536682123</v>
      </c>
      <c r="I208" s="892">
        <f t="shared" si="7"/>
        <v>1.3448888242462973</v>
      </c>
      <c r="J208" s="892">
        <f t="shared" si="7"/>
        <v>1.5216182611770768</v>
      </c>
      <c r="K208" s="892">
        <f t="shared" si="7"/>
        <v>1.7215713975800961</v>
      </c>
      <c r="L208" s="892">
        <f t="shared" si="7"/>
        <v>1.9478000182997115</v>
      </c>
      <c r="M208" s="892">
        <f t="shared" si="7"/>
        <v>2.2037569377728028</v>
      </c>
      <c r="N208" s="892">
        <f t="shared" si="7"/>
        <v>2.4933486986108422</v>
      </c>
      <c r="O208" s="885"/>
    </row>
    <row r="209" spans="1:23" ht="15.75">
      <c r="B209" s="55"/>
      <c r="C209" s="65" t="s">
        <v>1038</v>
      </c>
      <c r="D209" s="108" t="s">
        <v>1039</v>
      </c>
      <c r="E209" s="1440"/>
      <c r="F209" s="895">
        <v>1</v>
      </c>
      <c r="G209" s="895">
        <f t="shared" si="7"/>
        <v>1.0201</v>
      </c>
      <c r="H209" s="895">
        <f t="shared" si="7"/>
        <v>1.0721353521070101</v>
      </c>
      <c r="I209" s="895">
        <f t="shared" si="7"/>
        <v>1.1268250301319696</v>
      </c>
      <c r="J209" s="895">
        <f t="shared" si="7"/>
        <v>1.1843044313729354</v>
      </c>
      <c r="K209" s="895">
        <f t="shared" si="7"/>
        <v>1.2447158597509207</v>
      </c>
      <c r="L209" s="895">
        <f t="shared" si="7"/>
        <v>1.3082088781170795</v>
      </c>
      <c r="M209" s="895">
        <f t="shared" si="7"/>
        <v>1.3749406785310965</v>
      </c>
      <c r="N209" s="895">
        <f t="shared" si="7"/>
        <v>1.4450764714274955</v>
      </c>
      <c r="O209" s="885"/>
    </row>
    <row r="210" spans="1:23" ht="15.75">
      <c r="B210" s="55"/>
      <c r="C210" s="65" t="s">
        <v>1040</v>
      </c>
      <c r="D210" s="108" t="s">
        <v>1041</v>
      </c>
      <c r="E210" s="1440"/>
      <c r="F210" s="895">
        <v>1</v>
      </c>
      <c r="G210" s="895">
        <f t="shared" si="7"/>
        <v>0.95062500000000005</v>
      </c>
      <c r="H210" s="895">
        <f t="shared" si="7"/>
        <v>0.83759159349975576</v>
      </c>
      <c r="I210" s="895">
        <f t="shared" si="7"/>
        <v>0.73799834582665103</v>
      </c>
      <c r="J210" s="895">
        <f t="shared" si="7"/>
        <v>0.65024716421420481</v>
      </c>
      <c r="K210" s="895">
        <f t="shared" si="7"/>
        <v>0.5729299760082821</v>
      </c>
      <c r="L210" s="895">
        <f t="shared" si="7"/>
        <v>0.50480613445738731</v>
      </c>
      <c r="M210" s="895">
        <f t="shared" si="7"/>
        <v>0.4447825110517975</v>
      </c>
      <c r="N210" s="895">
        <f t="shared" si="7"/>
        <v>0.39189595496930735</v>
      </c>
      <c r="O210" s="885"/>
    </row>
    <row r="211" spans="1:23" ht="15.75">
      <c r="B211" s="55"/>
      <c r="C211" s="896" t="s">
        <v>1042</v>
      </c>
      <c r="D211" s="897" t="s">
        <v>411</v>
      </c>
      <c r="E211" s="1443"/>
      <c r="F211" s="899">
        <v>1</v>
      </c>
      <c r="G211" s="899">
        <f t="shared" si="7"/>
        <v>0.96706521893019526</v>
      </c>
      <c r="H211" s="899">
        <f t="shared" si="7"/>
        <v>0.88939600366957305</v>
      </c>
      <c r="I211" s="899">
        <f t="shared" si="7"/>
        <v>0.81796474101143857</v>
      </c>
      <c r="J211" s="899">
        <f t="shared" si="7"/>
        <v>0.75227043384206638</v>
      </c>
      <c r="K211" s="899">
        <f t="shared" si="7"/>
        <v>0.69185232230568372</v>
      </c>
      <c r="L211" s="899">
        <f t="shared" si="7"/>
        <v>0.63628665217521829</v>
      </c>
      <c r="M211" s="899">
        <f t="shared" si="7"/>
        <v>0.58518370276925391</v>
      </c>
      <c r="N211" s="899">
        <f t="shared" si="7"/>
        <v>0.53818505356990376</v>
      </c>
      <c r="O211" s="885"/>
    </row>
    <row r="212" spans="1:23">
      <c r="B212" s="110"/>
      <c r="C212" s="67"/>
      <c r="D212" s="67"/>
      <c r="E212" s="67"/>
      <c r="F212" s="1447"/>
      <c r="G212" s="1447"/>
      <c r="H212" s="1447"/>
      <c r="I212" s="1447"/>
      <c r="J212" s="1447"/>
      <c r="K212" s="1447"/>
      <c r="L212" s="1447"/>
      <c r="M212" s="1447"/>
      <c r="N212" s="1447"/>
      <c r="O212" s="885"/>
    </row>
    <row r="213" spans="1:23">
      <c r="B213" s="135">
        <v>5</v>
      </c>
      <c r="C213" s="49" t="s">
        <v>2802</v>
      </c>
      <c r="D213" s="67"/>
      <c r="E213" s="50"/>
      <c r="F213" s="67"/>
      <c r="G213" s="67"/>
      <c r="H213" s="51" t="s">
        <v>2839</v>
      </c>
      <c r="I213" s="67"/>
      <c r="J213" s="67"/>
      <c r="K213" s="67"/>
      <c r="L213" s="67"/>
      <c r="M213" s="67"/>
      <c r="N213" s="67"/>
      <c r="O213" s="885"/>
    </row>
    <row r="214" spans="1:23" ht="15" hidden="1" customHeight="1">
      <c r="B214" s="110"/>
      <c r="C214" s="67"/>
      <c r="D214" s="67"/>
      <c r="E214" s="67"/>
      <c r="F214" s="4169" t="s">
        <v>20</v>
      </c>
      <c r="G214" s="4169"/>
      <c r="H214" s="4169" t="s">
        <v>22</v>
      </c>
      <c r="I214" s="4169"/>
      <c r="J214" s="67"/>
      <c r="K214" s="67"/>
      <c r="L214" s="67"/>
      <c r="M214" s="67"/>
      <c r="N214" s="67"/>
      <c r="O214" s="67"/>
      <c r="P214" s="885"/>
    </row>
    <row r="215" spans="1:23" ht="15" hidden="1" customHeight="1">
      <c r="B215" s="110"/>
      <c r="C215" s="67"/>
      <c r="D215" s="67"/>
      <c r="E215" s="67"/>
      <c r="F215" s="67"/>
      <c r="G215" s="67"/>
      <c r="H215" s="67"/>
      <c r="I215" s="67"/>
      <c r="J215" s="67"/>
      <c r="K215" s="67"/>
      <c r="L215" s="67"/>
      <c r="M215" s="67"/>
      <c r="N215" s="67"/>
      <c r="O215" s="67"/>
      <c r="P215" s="885"/>
    </row>
    <row r="216" spans="1:23" ht="15.75" hidden="1" customHeight="1">
      <c r="B216" s="55"/>
      <c r="C216" s="887" t="s">
        <v>368</v>
      </c>
      <c r="D216" s="887" t="s">
        <v>72</v>
      </c>
      <c r="E216" s="887"/>
      <c r="F216" s="1398" t="s">
        <v>1060</v>
      </c>
      <c r="G216" s="1362" t="s">
        <v>1061</v>
      </c>
      <c r="H216" s="1398" t="s">
        <v>1060</v>
      </c>
      <c r="I216" s="1362" t="s">
        <v>1061</v>
      </c>
      <c r="J216" s="67"/>
      <c r="K216" s="67"/>
      <c r="L216" s="67"/>
      <c r="M216" s="67"/>
      <c r="N216" s="67"/>
      <c r="O216" s="67"/>
      <c r="P216" s="885"/>
    </row>
    <row r="217" spans="1:23" ht="15.75" hidden="1" customHeight="1">
      <c r="B217" s="55"/>
      <c r="C217" s="65" t="s">
        <v>1037</v>
      </c>
      <c r="D217" s="108" t="s">
        <v>2853</v>
      </c>
      <c r="E217" s="1440"/>
      <c r="F217" s="1433"/>
      <c r="G217" s="172"/>
      <c r="H217" s="1433"/>
      <c r="I217" s="172"/>
      <c r="J217" s="67"/>
      <c r="K217" s="67"/>
      <c r="L217" s="67"/>
      <c r="M217" s="67"/>
      <c r="N217" s="67"/>
      <c r="O217" s="67"/>
      <c r="P217" s="885"/>
    </row>
    <row r="218" spans="1:23" ht="15.75" hidden="1" customHeight="1">
      <c r="B218" s="55"/>
      <c r="C218" s="65" t="s">
        <v>1038</v>
      </c>
      <c r="D218" s="108" t="s">
        <v>1039</v>
      </c>
      <c r="E218" s="1440"/>
      <c r="F218" s="1433"/>
      <c r="G218" s="165"/>
      <c r="H218" s="1433"/>
      <c r="I218" s="165"/>
      <c r="J218" s="67"/>
      <c r="K218" s="67"/>
      <c r="L218" s="67"/>
      <c r="M218" s="67"/>
      <c r="N218" s="67"/>
      <c r="O218" s="67"/>
      <c r="P218" s="885"/>
    </row>
    <row r="219" spans="1:23" ht="15.75" hidden="1" customHeight="1">
      <c r="B219" s="55"/>
      <c r="C219" s="65" t="s">
        <v>1040</v>
      </c>
      <c r="D219" s="108" t="s">
        <v>1041</v>
      </c>
      <c r="E219" s="1440"/>
      <c r="F219" s="1433"/>
      <c r="G219" s="165"/>
      <c r="H219" s="1433"/>
      <c r="I219" s="165"/>
      <c r="J219" s="67"/>
      <c r="K219" s="67"/>
      <c r="L219" s="67"/>
      <c r="M219" s="67"/>
      <c r="N219" s="67"/>
      <c r="O219" s="67"/>
      <c r="P219" s="885"/>
    </row>
    <row r="220" spans="1:23" ht="15.75" hidden="1" customHeight="1">
      <c r="B220" s="55"/>
      <c r="C220" s="896" t="s">
        <v>1042</v>
      </c>
      <c r="D220" s="897" t="s">
        <v>411</v>
      </c>
      <c r="E220" s="1443"/>
      <c r="F220" s="1434"/>
      <c r="G220" s="164"/>
      <c r="H220" s="1434"/>
      <c r="I220" s="164"/>
      <c r="J220" s="67"/>
      <c r="K220" s="67"/>
      <c r="L220" s="67"/>
      <c r="M220" s="67"/>
      <c r="N220" s="67"/>
      <c r="O220" s="67"/>
      <c r="P220" s="1446"/>
    </row>
    <row r="221" spans="1:23" ht="15" hidden="1" customHeight="1">
      <c r="B221" s="110"/>
      <c r="C221" s="67"/>
      <c r="D221" s="67"/>
      <c r="E221" s="67"/>
      <c r="F221" s="67"/>
      <c r="G221" s="67"/>
      <c r="H221" s="67"/>
      <c r="I221" s="67"/>
      <c r="J221" s="67"/>
      <c r="K221" s="67"/>
      <c r="L221" s="67"/>
      <c r="M221" s="67"/>
      <c r="N221" s="67"/>
      <c r="O221" s="67"/>
      <c r="P221" s="885"/>
    </row>
    <row r="222" spans="1:23" ht="15" hidden="1" customHeight="1">
      <c r="B222" s="1172"/>
      <c r="C222" s="1074"/>
      <c r="D222" s="1074"/>
      <c r="E222" s="1074"/>
      <c r="F222" s="1074"/>
      <c r="G222" s="1074"/>
      <c r="H222" s="1074"/>
      <c r="I222" s="1074"/>
      <c r="J222" s="1074"/>
      <c r="K222" s="1074"/>
      <c r="L222" s="1074"/>
      <c r="M222" s="1074"/>
      <c r="N222" s="1074"/>
      <c r="O222" s="1074"/>
      <c r="P222" s="1109"/>
    </row>
    <row r="223" spans="1:23">
      <c r="R223" s="2"/>
      <c r="S223" s="2"/>
      <c r="T223" s="2"/>
      <c r="U223" s="2"/>
      <c r="V223" s="2"/>
      <c r="W223" s="2"/>
    </row>
    <row r="224" spans="1:23" ht="18.75">
      <c r="A224" s="355"/>
      <c r="B224" s="1110" t="s">
        <v>207</v>
      </c>
      <c r="R224" s="2"/>
      <c r="S224" s="2"/>
      <c r="T224" s="2"/>
      <c r="U224" s="2"/>
      <c r="V224" s="2"/>
      <c r="W224" s="2"/>
    </row>
    <row r="225" spans="1:14" s="2" customFormat="1">
      <c r="B225" s="363">
        <v>1</v>
      </c>
      <c r="C225" t="s">
        <v>979</v>
      </c>
    </row>
    <row r="226" spans="1:14" s="2" customFormat="1">
      <c r="B226" s="363">
        <v>2</v>
      </c>
      <c r="C226" t="s">
        <v>1077</v>
      </c>
    </row>
    <row r="227" spans="1:14" s="2" customFormat="1">
      <c r="B227" s="363">
        <v>3</v>
      </c>
      <c r="C227" t="s">
        <v>1078</v>
      </c>
    </row>
    <row r="228" spans="1:14" s="2" customFormat="1">
      <c r="B228" s="363">
        <v>4</v>
      </c>
      <c r="C228" t="s">
        <v>1079</v>
      </c>
    </row>
    <row r="229" spans="1:14" s="2" customFormat="1">
      <c r="B229" s="363"/>
      <c r="C229"/>
    </row>
    <row r="230" spans="1:14" s="2" customFormat="1">
      <c r="B230" s="363" t="s">
        <v>1080</v>
      </c>
      <c r="C230"/>
      <c r="E230" s="364"/>
    </row>
    <row r="231" spans="1:14" s="2" customFormat="1">
      <c r="B231" s="363"/>
      <c r="C231"/>
      <c r="E231" s="364"/>
      <c r="F231" s="1325">
        <v>2013</v>
      </c>
      <c r="G231" s="1325">
        <v>2015</v>
      </c>
      <c r="H231" s="1325">
        <v>2020</v>
      </c>
      <c r="I231" s="1325">
        <v>2025</v>
      </c>
      <c r="J231" s="1325">
        <v>2030</v>
      </c>
      <c r="K231" s="1325">
        <v>2035</v>
      </c>
      <c r="L231" s="1325">
        <v>2040</v>
      </c>
      <c r="M231" s="1325">
        <v>2045</v>
      </c>
      <c r="N231" s="1325">
        <v>2050</v>
      </c>
    </row>
    <row r="232" spans="1:14" s="2" customFormat="1">
      <c r="B232" s="363"/>
      <c r="C232" s="414" t="s">
        <v>1081</v>
      </c>
      <c r="E232" s="364"/>
      <c r="F232" s="1325"/>
      <c r="G232" s="1325"/>
      <c r="H232" s="1325"/>
      <c r="I232" s="1325"/>
      <c r="J232" s="1325"/>
      <c r="K232" s="1325"/>
      <c r="L232" s="1325"/>
      <c r="M232" s="1325"/>
      <c r="N232" s="1325"/>
    </row>
    <row r="233" spans="1:14" s="2" customFormat="1">
      <c r="B233" s="382" t="s">
        <v>1037</v>
      </c>
      <c r="C233" s="3613" t="s">
        <v>2853</v>
      </c>
      <c r="E233" s="1450"/>
      <c r="F233" s="374">
        <f t="shared" ref="F233:N233" si="8">F174*F182</f>
        <v>2.6799999999999997</v>
      </c>
      <c r="G233" s="374">
        <f t="shared" si="8"/>
        <v>2.8019105691199013</v>
      </c>
      <c r="H233" s="374">
        <f t="shared" si="8"/>
        <v>3.131503907553149</v>
      </c>
      <c r="I233" s="374">
        <f t="shared" si="8"/>
        <v>3.4998678512786618</v>
      </c>
      <c r="J233" s="374">
        <f t="shared" si="8"/>
        <v>3.9115630502230259</v>
      </c>
      <c r="K233" s="374">
        <f t="shared" si="8"/>
        <v>4.3716866310481262</v>
      </c>
      <c r="L233" s="374">
        <f t="shared" si="8"/>
        <v>4.8859353037899327</v>
      </c>
      <c r="M233" s="374">
        <f t="shared" si="8"/>
        <v>5.4606758918347609</v>
      </c>
      <c r="N233" s="374">
        <f t="shared" si="8"/>
        <v>6.1030241584523859</v>
      </c>
    </row>
    <row r="234" spans="1:14" s="2" customFormat="1">
      <c r="B234" s="382" t="s">
        <v>1038</v>
      </c>
      <c r="C234" t="s">
        <v>1039</v>
      </c>
      <c r="E234" s="1450"/>
      <c r="F234" s="374">
        <f t="shared" ref="F234:N234" si="9">F175*F183</f>
        <v>5.58</v>
      </c>
      <c r="G234" s="374">
        <f t="shared" si="9"/>
        <v>5.6643318782531376</v>
      </c>
      <c r="H234" s="374">
        <f t="shared" si="9"/>
        <v>5.8807798490991932</v>
      </c>
      <c r="I234" s="374">
        <f t="shared" si="9"/>
        <v>6.1054988261451584</v>
      </c>
      <c r="J234" s="374">
        <f t="shared" si="9"/>
        <v>6.3388048647612516</v>
      </c>
      <c r="K234" s="374">
        <f t="shared" si="9"/>
        <v>6.5810260975661699</v>
      </c>
      <c r="L234" s="374">
        <f t="shared" si="9"/>
        <v>6.8325031959282851</v>
      </c>
      <c r="M234" s="374">
        <f t="shared" si="9"/>
        <v>7.0935898491019245</v>
      </c>
      <c r="N234" s="374">
        <f t="shared" si="9"/>
        <v>7.3646532616726219</v>
      </c>
    </row>
    <row r="235" spans="1:14" s="2" customFormat="1">
      <c r="B235" s="382" t="s">
        <v>1040</v>
      </c>
      <c r="C235" t="s">
        <v>1041</v>
      </c>
      <c r="E235" s="1450"/>
      <c r="F235" s="374">
        <f t="shared" ref="F235:N235" si="10">F176*F184</f>
        <v>3.8</v>
      </c>
      <c r="G235" s="374">
        <f t="shared" si="10"/>
        <v>3.5947159001392226</v>
      </c>
      <c r="H235" s="374">
        <f t="shared" si="10"/>
        <v>3.1287222644650039</v>
      </c>
      <c r="I235" s="374">
        <f t="shared" si="10"/>
        <v>2.7231367596476539</v>
      </c>
      <c r="J235" s="374">
        <f t="shared" si="10"/>
        <v>2.3701285013268301</v>
      </c>
      <c r="K235" s="374">
        <f t="shared" si="10"/>
        <v>2.0628817458028119</v>
      </c>
      <c r="L235" s="374">
        <f t="shared" si="10"/>
        <v>1.7954642943554242</v>
      </c>
      <c r="M235" s="374">
        <f t="shared" si="10"/>
        <v>1.5627129566996376</v>
      </c>
      <c r="N235" s="374">
        <f t="shared" si="10"/>
        <v>1.3601338621515904</v>
      </c>
    </row>
    <row r="236" spans="1:14" s="2" customFormat="1">
      <c r="B236" s="382" t="s">
        <v>1042</v>
      </c>
      <c r="C236" t="s">
        <v>411</v>
      </c>
      <c r="E236" s="1450"/>
      <c r="F236" s="374">
        <f t="shared" ref="F236:N236" si="11">F177*F185</f>
        <v>13.930000000000001</v>
      </c>
      <c r="G236" s="374">
        <f t="shared" si="11"/>
        <v>14.140527430836238</v>
      </c>
      <c r="H236" s="374">
        <f t="shared" si="11"/>
        <v>14.680871558772717</v>
      </c>
      <c r="I236" s="374">
        <f t="shared" si="11"/>
        <v>15.241863557025457</v>
      </c>
      <c r="J236" s="374">
        <f t="shared" si="11"/>
        <v>15.824292431205059</v>
      </c>
      <c r="K236" s="374">
        <f t="shared" si="11"/>
        <v>16.428977336755693</v>
      </c>
      <c r="L236" s="374">
        <f t="shared" si="11"/>
        <v>17.056768731053946</v>
      </c>
      <c r="M236" s="374">
        <f t="shared" si="11"/>
        <v>17.708549569532224</v>
      </c>
      <c r="N236" s="374">
        <f t="shared" si="11"/>
        <v>18.385236547508896</v>
      </c>
    </row>
    <row r="237" spans="1:14" s="4" customFormat="1">
      <c r="B237" s="6"/>
      <c r="C237" s="381" t="s">
        <v>59</v>
      </c>
      <c r="E237" s="1451" t="str">
        <f>Preferences.EnergyUnits</f>
        <v>TWh</v>
      </c>
      <c r="F237" s="1452">
        <f>SUM(F233:F236)</f>
        <v>25.990000000000002</v>
      </c>
      <c r="G237" s="1452">
        <f t="shared" ref="G237:N237" si="12">SUM(G233:G236)</f>
        <v>26.201485778348498</v>
      </c>
      <c r="H237" s="1452">
        <f t="shared" si="12"/>
        <v>26.821877579890064</v>
      </c>
      <c r="I237" s="1452">
        <f t="shared" si="12"/>
        <v>27.570366994096929</v>
      </c>
      <c r="J237" s="1452">
        <f t="shared" si="12"/>
        <v>28.444788847516165</v>
      </c>
      <c r="K237" s="1452">
        <f t="shared" si="12"/>
        <v>29.4445718111728</v>
      </c>
      <c r="L237" s="1452">
        <f t="shared" si="12"/>
        <v>30.570671525127587</v>
      </c>
      <c r="M237" s="1452">
        <f t="shared" si="12"/>
        <v>31.825528267168547</v>
      </c>
      <c r="N237" s="1452">
        <f t="shared" si="12"/>
        <v>33.213047829785495</v>
      </c>
    </row>
    <row r="238" spans="1:14" s="2" customFormat="1">
      <c r="B238" s="363"/>
      <c r="C238"/>
      <c r="D238" s="363"/>
      <c r="E238" s="364"/>
      <c r="F238" s="366"/>
      <c r="G238" s="366"/>
      <c r="H238" s="366"/>
      <c r="I238" s="366"/>
      <c r="J238" s="366"/>
      <c r="K238" s="366"/>
      <c r="L238" s="366"/>
      <c r="M238" s="366"/>
      <c r="N238" s="366"/>
    </row>
    <row r="239" spans="1:14" s="2" customFormat="1">
      <c r="A239" s="363" t="s">
        <v>59</v>
      </c>
      <c r="B239" s="363"/>
      <c r="C239" s="414" t="s">
        <v>1082</v>
      </c>
      <c r="D239" s="363"/>
      <c r="E239" s="364"/>
      <c r="F239" s="366"/>
      <c r="G239" s="366"/>
      <c r="H239" s="366"/>
      <c r="I239" s="366"/>
      <c r="J239" s="366"/>
      <c r="K239" s="366"/>
      <c r="L239" s="366"/>
      <c r="M239" s="366"/>
      <c r="N239" s="366"/>
    </row>
    <row r="240" spans="1:14" s="2" customFormat="1">
      <c r="B240" s="382" t="s">
        <v>96</v>
      </c>
      <c r="C240" s="2" t="s">
        <v>86</v>
      </c>
      <c r="E240" s="367" t="str">
        <f>Preferences.EnergyUnits</f>
        <v>TWh</v>
      </c>
      <c r="F240" s="992">
        <f>F$237*INDEX(F$191:F$195, MATCH($B240, $C$191:$C$195, 0))</f>
        <v>9.2899999999999991</v>
      </c>
      <c r="G240" s="992">
        <f t="shared" ref="G240:N244" si="13">G$237*INDEX(G$191:G$195, MATCH($B240, $C$191:$C$195, 0))</f>
        <v>9.3655945702523091</v>
      </c>
      <c r="H240" s="992">
        <f t="shared" si="13"/>
        <v>9.5873506239776329</v>
      </c>
      <c r="I240" s="992">
        <f t="shared" si="13"/>
        <v>9.8548945507949384</v>
      </c>
      <c r="J240" s="992">
        <f t="shared" si="13"/>
        <v>10.167452419908624</v>
      </c>
      <c r="K240" s="992">
        <f t="shared" si="13"/>
        <v>10.524820012535409</v>
      </c>
      <c r="L240" s="992">
        <f t="shared" si="13"/>
        <v>10.927338917600434</v>
      </c>
      <c r="M240" s="992">
        <f t="shared" si="13"/>
        <v>11.375881400615459</v>
      </c>
      <c r="N240" s="992">
        <f t="shared" si="13"/>
        <v>11.871843568245758</v>
      </c>
    </row>
    <row r="241" spans="1:17" s="2" customFormat="1">
      <c r="B241" s="382" t="s">
        <v>98</v>
      </c>
      <c r="C241" s="2" t="s">
        <v>88</v>
      </c>
      <c r="E241" s="367" t="str">
        <f>Preferences.EnergyUnits</f>
        <v>TWh</v>
      </c>
      <c r="F241" s="992">
        <f>F$237*INDEX(F$191:F$195, MATCH($B241, $C$191:$C$195, 0))</f>
        <v>3.11</v>
      </c>
      <c r="G241" s="992">
        <f t="shared" si="13"/>
        <v>3.1353066860586312</v>
      </c>
      <c r="H241" s="992">
        <f t="shared" si="13"/>
        <v>3.2095436426878838</v>
      </c>
      <c r="I241" s="992">
        <f t="shared" si="13"/>
        <v>3.299108940040071</v>
      </c>
      <c r="J241" s="992">
        <f t="shared" si="13"/>
        <v>3.4037434904107453</v>
      </c>
      <c r="K241" s="992">
        <f t="shared" si="13"/>
        <v>3.5233789277701968</v>
      </c>
      <c r="L241" s="992">
        <f t="shared" si="13"/>
        <v>3.6581296053538592</v>
      </c>
      <c r="M241" s="992">
        <f t="shared" si="13"/>
        <v>3.8082875302383297</v>
      </c>
      <c r="N241" s="992">
        <f t="shared" si="13"/>
        <v>3.9743200750532086</v>
      </c>
      <c r="Q241" s="992"/>
    </row>
    <row r="242" spans="1:17" s="2" customFormat="1">
      <c r="B242" s="382" t="s">
        <v>99</v>
      </c>
      <c r="C242" s="2" t="s">
        <v>89</v>
      </c>
      <c r="E242" s="367" t="str">
        <f>Preferences.EnergyUnits</f>
        <v>TWh</v>
      </c>
      <c r="F242" s="992">
        <f>F$237*INDEX(F$191:F$195, MATCH($B242, $C$191:$C$195, 0))</f>
        <v>6.35</v>
      </c>
      <c r="G242" s="992">
        <f t="shared" si="13"/>
        <v>6.4016712078689091</v>
      </c>
      <c r="H242" s="992">
        <f t="shared" si="13"/>
        <v>6.553248273655325</v>
      </c>
      <c r="I242" s="992">
        <f t="shared" si="13"/>
        <v>6.7361227553872833</v>
      </c>
      <c r="J242" s="992">
        <f t="shared" si="13"/>
        <v>6.9497656476232264</v>
      </c>
      <c r="K242" s="992">
        <f t="shared" si="13"/>
        <v>7.1940373605597259</v>
      </c>
      <c r="L242" s="992">
        <f t="shared" si="13"/>
        <v>7.4691713807064319</v>
      </c>
      <c r="M242" s="992">
        <f t="shared" si="13"/>
        <v>7.7757639283001261</v>
      </c>
      <c r="N242" s="992">
        <f t="shared" si="13"/>
        <v>8.1147692850764876</v>
      </c>
      <c r="Q242" s="992"/>
    </row>
    <row r="243" spans="1:17" s="2" customFormat="1">
      <c r="B243" s="382" t="s">
        <v>100</v>
      </c>
      <c r="C243" s="2" t="s">
        <v>90</v>
      </c>
      <c r="E243" s="367" t="str">
        <f>Preferences.EnergyUnits</f>
        <v>TWh</v>
      </c>
      <c r="F243" s="992">
        <f>F$237*INDEX(F$191:F$195, MATCH($B243, $C$191:$C$195, 0))</f>
        <v>7.2399999999999993</v>
      </c>
      <c r="G243" s="992">
        <f t="shared" si="13"/>
        <v>7.2989133141686455</v>
      </c>
      <c r="H243" s="992">
        <f t="shared" si="13"/>
        <v>7.4717350395692215</v>
      </c>
      <c r="I243" s="992">
        <f t="shared" si="13"/>
        <v>7.6802407478746355</v>
      </c>
      <c r="J243" s="992">
        <f t="shared" si="13"/>
        <v>7.9238272895735689</v>
      </c>
      <c r="K243" s="992">
        <f t="shared" si="13"/>
        <v>8.2023355103074671</v>
      </c>
      <c r="L243" s="992">
        <f t="shared" si="13"/>
        <v>8.5160316214668619</v>
      </c>
      <c r="M243" s="992">
        <f t="shared" si="13"/>
        <v>8.8655954080146326</v>
      </c>
      <c r="N243" s="992">
        <f t="shared" si="13"/>
        <v>9.2521149014100423</v>
      </c>
      <c r="Q243" s="992"/>
    </row>
    <row r="244" spans="1:17" s="2" customFormat="1">
      <c r="B244" s="382" t="s">
        <v>101</v>
      </c>
      <c r="C244" s="2" t="s">
        <v>91</v>
      </c>
      <c r="E244" s="367" t="str">
        <f>Preferences.EnergyUnits</f>
        <v>TWh</v>
      </c>
      <c r="F244" s="992">
        <f>F$237*INDEX(F$191:F$195, MATCH($B244, $C$191:$C$195, 0))</f>
        <v>0</v>
      </c>
      <c r="G244" s="992">
        <f t="shared" si="13"/>
        <v>0</v>
      </c>
      <c r="H244" s="992">
        <f t="shared" si="13"/>
        <v>0</v>
      </c>
      <c r="I244" s="992">
        <f t="shared" si="13"/>
        <v>0</v>
      </c>
      <c r="J244" s="992">
        <f t="shared" si="13"/>
        <v>0</v>
      </c>
      <c r="K244" s="992">
        <f t="shared" si="13"/>
        <v>0</v>
      </c>
      <c r="L244" s="992">
        <f t="shared" si="13"/>
        <v>0</v>
      </c>
      <c r="M244" s="992">
        <f t="shared" si="13"/>
        <v>0</v>
      </c>
      <c r="N244" s="992">
        <f t="shared" si="13"/>
        <v>0</v>
      </c>
    </row>
    <row r="245" spans="1:17" s="2" customFormat="1">
      <c r="B245" s="382"/>
      <c r="E245" s="367"/>
      <c r="F245" s="992"/>
      <c r="G245" s="992"/>
      <c r="H245" s="992"/>
      <c r="I245" s="992"/>
      <c r="J245" s="992"/>
      <c r="K245" s="992"/>
      <c r="L245" s="992"/>
      <c r="M245" s="992"/>
      <c r="N245" s="992"/>
    </row>
    <row r="246" spans="1:17" s="2" customFormat="1">
      <c r="A246" s="363" t="s">
        <v>411</v>
      </c>
      <c r="B246" s="363"/>
      <c r="C246" s="414" t="s">
        <v>1083</v>
      </c>
      <c r="D246" s="363"/>
      <c r="E246" s="364"/>
      <c r="F246" s="366"/>
      <c r="G246" s="366"/>
      <c r="H246" s="366"/>
      <c r="I246" s="366"/>
      <c r="J246" s="366"/>
      <c r="K246" s="366"/>
      <c r="L246" s="366"/>
      <c r="M246" s="366"/>
      <c r="N246" s="366"/>
    </row>
    <row r="247" spans="1:17" s="2" customFormat="1">
      <c r="B247" s="382" t="s">
        <v>96</v>
      </c>
      <c r="C247" s="2" t="s">
        <v>86</v>
      </c>
      <c r="E247" s="367" t="str">
        <f>Preferences.EnergyUnits</f>
        <v>TWh</v>
      </c>
      <c r="F247" s="992">
        <f>F$236*INDEX(F$191:F$195, MATCH($B247, $C$191:$C$195, 0))</f>
        <v>4.9792112350904194</v>
      </c>
      <c r="G247" s="992">
        <f t="shared" ref="G247:N251" si="14">G$236*INDEX(G$191:G$195, MATCH($B247, $C$191:$C$195, 0))</f>
        <v>5.0544632486521213</v>
      </c>
      <c r="H247" s="992">
        <f t="shared" si="14"/>
        <v>5.2476066479799357</v>
      </c>
      <c r="I247" s="992">
        <f t="shared" si="14"/>
        <v>5.4481305288482682</v>
      </c>
      <c r="J247" s="992">
        <f t="shared" si="14"/>
        <v>5.6563169175026928</v>
      </c>
      <c r="K247" s="992">
        <f t="shared" si="14"/>
        <v>5.8724586171012074</v>
      </c>
      <c r="L247" s="992">
        <f t="shared" si="14"/>
        <v>6.0968596195264011</v>
      </c>
      <c r="M247" s="992">
        <f t="shared" si="14"/>
        <v>6.3298355329339886</v>
      </c>
      <c r="N247" s="992">
        <f>N$236*INDEX(N$191:N$195, MATCH($B247, $C$191:$C$195, 0))</f>
        <v>6.5717140256390012</v>
      </c>
    </row>
    <row r="248" spans="1:17" s="2" customFormat="1">
      <c r="B248" s="382" t="s">
        <v>98</v>
      </c>
      <c r="C248" s="2" t="s">
        <v>88</v>
      </c>
      <c r="E248" s="367" t="str">
        <f>Preferences.EnergyUnits</f>
        <v>TWh</v>
      </c>
      <c r="F248" s="992">
        <f>F$236*INDEX(F$191:F$195, MATCH($B248, $C$191:$C$195, 0))</f>
        <v>1.6668834166987303</v>
      </c>
      <c r="G248" s="992">
        <f t="shared" si="14"/>
        <v>1.692075425544467</v>
      </c>
      <c r="H248" s="992">
        <f t="shared" si="14"/>
        <v>1.7567337648242842</v>
      </c>
      <c r="I248" s="992">
        <f t="shared" si="14"/>
        <v>1.823862857343177</v>
      </c>
      <c r="J248" s="992">
        <f t="shared" si="14"/>
        <v>1.8935571166236143</v>
      </c>
      <c r="K248" s="992">
        <f t="shared" si="14"/>
        <v>1.9659145639596078</v>
      </c>
      <c r="L248" s="992">
        <f t="shared" si="14"/>
        <v>2.0410369662784831</v>
      </c>
      <c r="M248" s="992">
        <f t="shared" si="14"/>
        <v>2.1190299792706893</v>
      </c>
      <c r="N248" s="992">
        <f t="shared" si="14"/>
        <v>2.2000032959889446</v>
      </c>
    </row>
    <row r="249" spans="1:17" s="2" customFormat="1">
      <c r="B249" s="382" t="s">
        <v>99</v>
      </c>
      <c r="C249" s="2" t="s">
        <v>89</v>
      </c>
      <c r="E249" s="367" t="str">
        <f>Preferences.EnergyUnits</f>
        <v>TWh</v>
      </c>
      <c r="F249" s="992">
        <f>F$236*INDEX(F$191:F$195, MATCH($B249, $C$191:$C$195, 0))</f>
        <v>3.4034436321662178</v>
      </c>
      <c r="G249" s="992">
        <f t="shared" si="14"/>
        <v>3.4548806920280919</v>
      </c>
      <c r="H249" s="992">
        <f t="shared" si="14"/>
        <v>3.5869001307505481</v>
      </c>
      <c r="I249" s="992">
        <f t="shared" si="14"/>
        <v>3.723964355025458</v>
      </c>
      <c r="J249" s="992">
        <f t="shared" si="14"/>
        <v>3.8662661384437138</v>
      </c>
      <c r="K249" s="992">
        <f t="shared" si="14"/>
        <v>4.0140056209464658</v>
      </c>
      <c r="L249" s="992">
        <f t="shared" si="14"/>
        <v>4.1673905903113724</v>
      </c>
      <c r="M249" s="992">
        <f t="shared" si="14"/>
        <v>4.3266367743951371</v>
      </c>
      <c r="N249" s="992">
        <f t="shared" si="14"/>
        <v>4.4919681445433435</v>
      </c>
    </row>
    <row r="250" spans="1:17" s="2" customFormat="1">
      <c r="B250" s="382" t="s">
        <v>100</v>
      </c>
      <c r="C250" s="2" t="s">
        <v>90</v>
      </c>
      <c r="E250" s="367" t="str">
        <f>Preferences.EnergyUnits</f>
        <v>TWh</v>
      </c>
      <c r="F250" s="992">
        <f>F$236*INDEX(F$191:F$195, MATCH($B250, $C$191:$C$195, 0))</f>
        <v>3.8804617160446324</v>
      </c>
      <c r="G250" s="992">
        <f t="shared" si="14"/>
        <v>3.9391080646115566</v>
      </c>
      <c r="H250" s="992">
        <f t="shared" si="14"/>
        <v>4.0896310152179485</v>
      </c>
      <c r="I250" s="992">
        <f t="shared" si="14"/>
        <v>4.2459058158085536</v>
      </c>
      <c r="J250" s="992">
        <f t="shared" si="14"/>
        <v>4.4081522586350381</v>
      </c>
      <c r="K250" s="992">
        <f t="shared" si="14"/>
        <v>4.5765985347484124</v>
      </c>
      <c r="L250" s="992">
        <f t="shared" si="14"/>
        <v>4.7514815549376905</v>
      </c>
      <c r="M250" s="992">
        <f t="shared" si="14"/>
        <v>4.9330472829324092</v>
      </c>
      <c r="N250" s="992">
        <f t="shared" si="14"/>
        <v>5.1215510813376071</v>
      </c>
    </row>
    <row r="251" spans="1:17" s="2" customFormat="1">
      <c r="B251" s="382" t="s">
        <v>101</v>
      </c>
      <c r="C251" s="2" t="s">
        <v>91</v>
      </c>
      <c r="E251" s="367" t="str">
        <f>Preferences.EnergyUnits</f>
        <v>TWh</v>
      </c>
      <c r="F251" s="992">
        <f>F$236*INDEX(F$191:F$195, MATCH($B251, $C$191:$C$195, 0))</f>
        <v>0</v>
      </c>
      <c r="G251" s="992">
        <f t="shared" si="14"/>
        <v>0</v>
      </c>
      <c r="H251" s="992">
        <f t="shared" si="14"/>
        <v>0</v>
      </c>
      <c r="I251" s="992">
        <f t="shared" si="14"/>
        <v>0</v>
      </c>
      <c r="J251" s="992">
        <f t="shared" si="14"/>
        <v>0</v>
      </c>
      <c r="K251" s="992">
        <f t="shared" si="14"/>
        <v>0</v>
      </c>
      <c r="L251" s="992">
        <f t="shared" si="14"/>
        <v>0</v>
      </c>
      <c r="M251" s="992">
        <f t="shared" si="14"/>
        <v>0</v>
      </c>
      <c r="N251" s="992">
        <f t="shared" si="14"/>
        <v>0</v>
      </c>
    </row>
    <row r="252" spans="1:17" s="2" customFormat="1">
      <c r="B252" s="363"/>
      <c r="C252"/>
      <c r="D252" s="363"/>
      <c r="E252" s="364"/>
      <c r="F252" s="366"/>
      <c r="G252" s="366"/>
      <c r="H252" s="366"/>
      <c r="I252" s="366"/>
      <c r="J252" s="366"/>
      <c r="K252" s="366"/>
      <c r="L252" s="366"/>
      <c r="M252" s="366"/>
      <c r="N252" s="366"/>
    </row>
    <row r="253" spans="1:17" s="2" customFormat="1">
      <c r="A253" s="363" t="s">
        <v>2853</v>
      </c>
      <c r="B253" s="363"/>
      <c r="C253" s="414"/>
      <c r="D253" s="363"/>
      <c r="E253" s="364"/>
      <c r="F253" s="366"/>
      <c r="G253" s="366"/>
      <c r="H253" s="366"/>
      <c r="I253" s="366"/>
      <c r="J253" s="366"/>
      <c r="K253" s="366"/>
      <c r="L253" s="366"/>
      <c r="M253" s="366"/>
      <c r="N253" s="366"/>
    </row>
    <row r="254" spans="1:17" s="2" customFormat="1">
      <c r="B254" s="382" t="s">
        <v>96</v>
      </c>
      <c r="C254" s="2" t="s">
        <v>86</v>
      </c>
      <c r="E254" s="367" t="str">
        <f>Preferences.EnergyUnits</f>
        <v>TWh</v>
      </c>
      <c r="F254" s="992">
        <f t="shared" ref="F254:N258" si="15">F$233*INDEX(F$191:F$195, MATCH($B254, $C$191:$C$195, 0))</f>
        <v>0.95795305886879545</v>
      </c>
      <c r="G254" s="992">
        <f t="shared" si="15"/>
        <v>1.0015294031213497</v>
      </c>
      <c r="H254" s="992">
        <f t="shared" si="15"/>
        <v>1.1193409504104945</v>
      </c>
      <c r="I254" s="992">
        <f t="shared" si="15"/>
        <v>1.2510108633466244</v>
      </c>
      <c r="J254" s="992">
        <f t="shared" si="15"/>
        <v>1.3981693242236211</v>
      </c>
      <c r="K254" s="992">
        <f t="shared" si="15"/>
        <v>1.5626382763538704</v>
      </c>
      <c r="L254" s="992">
        <f t="shared" si="15"/>
        <v>1.7464539812315689</v>
      </c>
      <c r="M254" s="992">
        <f t="shared" si="15"/>
        <v>1.9518922291321634</v>
      </c>
      <c r="N254" s="992">
        <f t="shared" si="15"/>
        <v>2.181496515275978</v>
      </c>
    </row>
    <row r="255" spans="1:17" s="2" customFormat="1">
      <c r="B255" s="382" t="s">
        <v>98</v>
      </c>
      <c r="C255" s="2" t="s">
        <v>88</v>
      </c>
      <c r="E255" s="367" t="str">
        <f>Preferences.EnergyUnits</f>
        <v>TWh</v>
      </c>
      <c r="F255" s="992">
        <f t="shared" si="15"/>
        <v>0.32069257406694879</v>
      </c>
      <c r="G255" s="992">
        <f t="shared" si="15"/>
        <v>0.33528056444643678</v>
      </c>
      <c r="H255" s="992">
        <f t="shared" si="15"/>
        <v>0.37472016746788356</v>
      </c>
      <c r="I255" s="992">
        <f t="shared" si="15"/>
        <v>0.41879911571668482</v>
      </c>
      <c r="J255" s="992">
        <f t="shared" si="15"/>
        <v>0.46806314298551793</v>
      </c>
      <c r="K255" s="992">
        <f t="shared" si="15"/>
        <v>0.5231221786286907</v>
      </c>
      <c r="L255" s="992">
        <f t="shared" si="15"/>
        <v>0.58465789899140785</v>
      </c>
      <c r="M255" s="992">
        <f t="shared" si="15"/>
        <v>0.65343216712605257</v>
      </c>
      <c r="N255" s="992">
        <f t="shared" si="15"/>
        <v>0.73029646528614545</v>
      </c>
    </row>
    <row r="256" spans="1:17" s="2" customFormat="1">
      <c r="B256" s="382" t="s">
        <v>99</v>
      </c>
      <c r="C256" s="2" t="s">
        <v>89</v>
      </c>
      <c r="E256" s="367" t="str">
        <f>Preferences.EnergyUnits</f>
        <v>TWh</v>
      </c>
      <c r="F256" s="992">
        <f t="shared" si="15"/>
        <v>0.65479030396306259</v>
      </c>
      <c r="G256" s="992">
        <f t="shared" si="15"/>
        <v>0.68457607210124549</v>
      </c>
      <c r="H256" s="992">
        <f t="shared" si="15"/>
        <v>0.76510387891352427</v>
      </c>
      <c r="I256" s="992">
        <f t="shared" si="15"/>
        <v>0.85510430379451718</v>
      </c>
      <c r="J256" s="992">
        <f t="shared" si="15"/>
        <v>0.95569162635306715</v>
      </c>
      <c r="K256" s="992">
        <f t="shared" si="15"/>
        <v>1.0681112007370375</v>
      </c>
      <c r="L256" s="992">
        <f t="shared" si="15"/>
        <v>1.1937548741464437</v>
      </c>
      <c r="M256" s="992">
        <f t="shared" si="15"/>
        <v>1.3341782190515865</v>
      </c>
      <c r="N256" s="992">
        <f t="shared" si="15"/>
        <v>1.4911197924652808</v>
      </c>
    </row>
    <row r="257" spans="1:14" s="2" customFormat="1">
      <c r="B257" s="382" t="s">
        <v>100</v>
      </c>
      <c r="C257" s="2" t="s">
        <v>90</v>
      </c>
      <c r="E257" s="367" t="str">
        <f>Preferences.EnergyUnits</f>
        <v>TWh</v>
      </c>
      <c r="F257" s="992">
        <f t="shared" si="15"/>
        <v>0.74656406310119261</v>
      </c>
      <c r="G257" s="992">
        <f t="shared" si="15"/>
        <v>0.78052452945086892</v>
      </c>
      <c r="H257" s="992">
        <f t="shared" si="15"/>
        <v>0.8723389107612467</v>
      </c>
      <c r="I257" s="992">
        <f t="shared" si="15"/>
        <v>0.97495356842083547</v>
      </c>
      <c r="J257" s="992">
        <f t="shared" si="15"/>
        <v>1.08963895666082</v>
      </c>
      <c r="K257" s="992">
        <f t="shared" si="15"/>
        <v>1.2178149753285277</v>
      </c>
      <c r="L257" s="992">
        <f t="shared" si="15"/>
        <v>1.3610685494205124</v>
      </c>
      <c r="M257" s="992">
        <f t="shared" si="15"/>
        <v>1.5211732765249586</v>
      </c>
      <c r="N257" s="992">
        <f t="shared" si="15"/>
        <v>1.7001113854249819</v>
      </c>
    </row>
    <row r="258" spans="1:14" s="2" customFormat="1">
      <c r="B258" s="382" t="s">
        <v>101</v>
      </c>
      <c r="C258" s="2" t="s">
        <v>91</v>
      </c>
      <c r="E258" s="367" t="str">
        <f>Preferences.EnergyUnits</f>
        <v>TWh</v>
      </c>
      <c r="F258" s="992">
        <f t="shared" si="15"/>
        <v>0</v>
      </c>
      <c r="G258" s="992">
        <f t="shared" si="15"/>
        <v>0</v>
      </c>
      <c r="H258" s="992">
        <f t="shared" si="15"/>
        <v>0</v>
      </c>
      <c r="I258" s="992">
        <f t="shared" si="15"/>
        <v>0</v>
      </c>
      <c r="J258" s="992">
        <f t="shared" si="15"/>
        <v>0</v>
      </c>
      <c r="K258" s="992">
        <f t="shared" si="15"/>
        <v>0</v>
      </c>
      <c r="L258" s="992">
        <f t="shared" si="15"/>
        <v>0</v>
      </c>
      <c r="M258" s="992">
        <f t="shared" si="15"/>
        <v>0</v>
      </c>
      <c r="N258" s="992">
        <f t="shared" si="15"/>
        <v>0</v>
      </c>
    </row>
    <row r="259" spans="1:14" s="2" customFormat="1">
      <c r="B259" s="382"/>
      <c r="E259" s="367"/>
      <c r="F259" s="992"/>
      <c r="G259" s="992"/>
      <c r="H259" s="992"/>
      <c r="I259" s="992"/>
      <c r="J259" s="992"/>
      <c r="K259" s="992"/>
      <c r="L259" s="992"/>
      <c r="M259" s="992"/>
      <c r="N259" s="992"/>
    </row>
    <row r="260" spans="1:14" s="2" customFormat="1">
      <c r="A260" s="363" t="s">
        <v>1039</v>
      </c>
      <c r="B260" s="363"/>
      <c r="C260" s="414"/>
      <c r="D260" s="363"/>
      <c r="E260" s="364"/>
      <c r="F260" s="366"/>
      <c r="G260" s="366"/>
      <c r="H260" s="366"/>
      <c r="I260" s="366"/>
      <c r="J260" s="366"/>
      <c r="K260" s="366"/>
      <c r="L260" s="366"/>
      <c r="M260" s="366"/>
      <c r="N260" s="366"/>
    </row>
    <row r="261" spans="1:14" s="2" customFormat="1">
      <c r="B261" s="382" t="s">
        <v>96</v>
      </c>
      <c r="C261" s="2" t="s">
        <v>86</v>
      </c>
      <c r="E261" s="367" t="str">
        <f>Preferences.EnergyUnits</f>
        <v>TWh</v>
      </c>
      <c r="F261" s="992">
        <f t="shared" ref="F261:N265" si="16">F$234*INDEX(F$191:F$195, MATCH($B261, $C$191:$C$195, 0))</f>
        <v>1.9945440554059251</v>
      </c>
      <c r="G261" s="992">
        <f t="shared" si="16"/>
        <v>2.0246880780673968</v>
      </c>
      <c r="H261" s="992">
        <f t="shared" si="16"/>
        <v>2.102056360066622</v>
      </c>
      <c r="I261" s="992">
        <f t="shared" si="16"/>
        <v>2.1823810732931328</v>
      </c>
      <c r="J261" s="992">
        <f t="shared" si="16"/>
        <v>2.2657751902128522</v>
      </c>
      <c r="K261" s="992">
        <f t="shared" si="16"/>
        <v>2.352356000245853</v>
      </c>
      <c r="L261" s="992">
        <f t="shared" si="16"/>
        <v>2.4422452747277323</v>
      </c>
      <c r="M261" s="992">
        <f t="shared" si="16"/>
        <v>2.5355694381745626</v>
      </c>
      <c r="N261" s="992">
        <f t="shared" si="16"/>
        <v>2.6324597460922914</v>
      </c>
    </row>
    <row r="262" spans="1:14" s="2" customFormat="1">
      <c r="B262" s="382" t="s">
        <v>98</v>
      </c>
      <c r="C262" s="2" t="s">
        <v>88</v>
      </c>
      <c r="E262" s="367" t="str">
        <f>Preferences.EnergyUnits</f>
        <v>TWh</v>
      </c>
      <c r="F262" s="992">
        <f t="shared" si="16"/>
        <v>0.66771065794536355</v>
      </c>
      <c r="G262" s="992">
        <f t="shared" si="16"/>
        <v>0.6778019292561468</v>
      </c>
      <c r="H262" s="992">
        <f t="shared" si="16"/>
        <v>0.7037023982569639</v>
      </c>
      <c r="I262" s="992">
        <f t="shared" si="16"/>
        <v>0.7305925875071736</v>
      </c>
      <c r="J262" s="992">
        <f t="shared" si="16"/>
        <v>0.75851031663745638</v>
      </c>
      <c r="K262" s="992">
        <f t="shared" si="16"/>
        <v>0.7874948504590531</v>
      </c>
      <c r="L262" s="992">
        <f t="shared" si="16"/>
        <v>0.81758695418764782</v>
      </c>
      <c r="M262" s="992">
        <f t="shared" si="16"/>
        <v>0.84882895077749076</v>
      </c>
      <c r="N262" s="992">
        <f t="shared" si="16"/>
        <v>0.88126478044639689</v>
      </c>
    </row>
    <row r="263" spans="1:14" s="2" customFormat="1">
      <c r="B263" s="382" t="s">
        <v>99</v>
      </c>
      <c r="C263" s="2" t="s">
        <v>89</v>
      </c>
      <c r="E263" s="367" t="str">
        <f>Preferences.EnergyUnits</f>
        <v>TWh</v>
      </c>
      <c r="F263" s="992">
        <f t="shared" si="16"/>
        <v>1.3633320507887647</v>
      </c>
      <c r="G263" s="992">
        <f t="shared" si="16"/>
        <v>1.3839364150406857</v>
      </c>
      <c r="H263" s="992">
        <f t="shared" si="16"/>
        <v>1.4368200093028041</v>
      </c>
      <c r="I263" s="992">
        <f t="shared" si="16"/>
        <v>1.4917244150066085</v>
      </c>
      <c r="J263" s="992">
        <f t="shared" si="16"/>
        <v>1.5487268522983435</v>
      </c>
      <c r="K263" s="992">
        <f t="shared" si="16"/>
        <v>1.6079074920948511</v>
      </c>
      <c r="L263" s="992">
        <f t="shared" si="16"/>
        <v>1.6693495688397311</v>
      </c>
      <c r="M263" s="992">
        <f t="shared" si="16"/>
        <v>1.7331394975681886</v>
      </c>
      <c r="N263" s="992">
        <f t="shared" si="16"/>
        <v>1.7993669954452154</v>
      </c>
    </row>
    <row r="264" spans="1:14" s="2" customFormat="1">
      <c r="B264" s="382" t="s">
        <v>100</v>
      </c>
      <c r="C264" s="2" t="s">
        <v>90</v>
      </c>
      <c r="E264" s="367" t="str">
        <f>Preferences.EnergyUnits</f>
        <v>TWh</v>
      </c>
      <c r="F264" s="992">
        <f t="shared" si="16"/>
        <v>1.5544132358599461</v>
      </c>
      <c r="G264" s="992">
        <f t="shared" si="16"/>
        <v>1.5779054558889076</v>
      </c>
      <c r="H264" s="992">
        <f t="shared" si="16"/>
        <v>1.6382010814728034</v>
      </c>
      <c r="I264" s="992">
        <f t="shared" si="16"/>
        <v>1.7008007503382436</v>
      </c>
      <c r="J264" s="992">
        <f t="shared" si="16"/>
        <v>1.7657925056125996</v>
      </c>
      <c r="K264" s="992">
        <f t="shared" si="16"/>
        <v>1.8332677547664129</v>
      </c>
      <c r="L264" s="992">
        <f t="shared" si="16"/>
        <v>1.9033213981731738</v>
      </c>
      <c r="M264" s="992">
        <f t="shared" si="16"/>
        <v>1.9760519625816828</v>
      </c>
      <c r="N264" s="992">
        <f t="shared" si="16"/>
        <v>2.0515617396887182</v>
      </c>
    </row>
    <row r="265" spans="1:14" s="2" customFormat="1">
      <c r="B265" s="382" t="s">
        <v>101</v>
      </c>
      <c r="C265" s="2" t="s">
        <v>91</v>
      </c>
      <c r="E265" s="367" t="str">
        <f>Preferences.EnergyUnits</f>
        <v>TWh</v>
      </c>
      <c r="F265" s="992">
        <f t="shared" si="16"/>
        <v>0</v>
      </c>
      <c r="G265" s="992">
        <f t="shared" si="16"/>
        <v>0</v>
      </c>
      <c r="H265" s="992">
        <f t="shared" si="16"/>
        <v>0</v>
      </c>
      <c r="I265" s="992">
        <f t="shared" si="16"/>
        <v>0</v>
      </c>
      <c r="J265" s="992">
        <f t="shared" si="16"/>
        <v>0</v>
      </c>
      <c r="K265" s="992">
        <f t="shared" si="16"/>
        <v>0</v>
      </c>
      <c r="L265" s="992">
        <f t="shared" si="16"/>
        <v>0</v>
      </c>
      <c r="M265" s="992">
        <f t="shared" si="16"/>
        <v>0</v>
      </c>
      <c r="N265" s="992">
        <f t="shared" si="16"/>
        <v>0</v>
      </c>
    </row>
    <row r="266" spans="1:14" s="2" customFormat="1">
      <c r="B266" s="382"/>
      <c r="E266" s="367"/>
      <c r="F266" s="992"/>
      <c r="G266" s="992"/>
      <c r="H266" s="992"/>
      <c r="I266" s="992"/>
      <c r="J266" s="992"/>
      <c r="K266" s="992"/>
      <c r="L266" s="992"/>
      <c r="M266" s="992"/>
      <c r="N266" s="992"/>
    </row>
    <row r="267" spans="1:14" s="2" customFormat="1">
      <c r="A267" s="363" t="s">
        <v>1041</v>
      </c>
      <c r="B267" s="363"/>
      <c r="C267" s="414"/>
      <c r="D267" s="363"/>
      <c r="E267" s="364"/>
      <c r="F267" s="366"/>
      <c r="G267" s="366"/>
      <c r="H267" s="366"/>
      <c r="I267" s="366"/>
      <c r="J267" s="366"/>
      <c r="K267" s="366"/>
      <c r="L267" s="366"/>
      <c r="M267" s="366"/>
      <c r="N267" s="366"/>
    </row>
    <row r="268" spans="1:14" s="2" customFormat="1">
      <c r="B268" s="382" t="s">
        <v>96</v>
      </c>
      <c r="C268" s="2" t="s">
        <v>86</v>
      </c>
      <c r="E268" s="367" t="str">
        <f>Preferences.EnergyUnits</f>
        <v>TWh</v>
      </c>
      <c r="F268" s="992">
        <f t="shared" ref="F268:N272" si="17">F$235*INDEX(F$191:F$195, MATCH($B268, $C$191:$C$195, 0))</f>
        <v>1.3582916506348592</v>
      </c>
      <c r="G268" s="992">
        <f t="shared" si="17"/>
        <v>1.2849138404114417</v>
      </c>
      <c r="H268" s="992">
        <f t="shared" si="17"/>
        <v>1.1183466655205805</v>
      </c>
      <c r="I268" s="992">
        <f t="shared" si="17"/>
        <v>0.97337208530691433</v>
      </c>
      <c r="J268" s="992">
        <f t="shared" si="17"/>
        <v>0.84719098796945946</v>
      </c>
      <c r="K268" s="992">
        <f t="shared" si="17"/>
        <v>0.73736711883447947</v>
      </c>
      <c r="L268" s="992">
        <f t="shared" si="17"/>
        <v>0.64178004211473227</v>
      </c>
      <c r="M268" s="992">
        <f t="shared" si="17"/>
        <v>0.55858420037474543</v>
      </c>
      <c r="N268" s="992">
        <f t="shared" si="17"/>
        <v>0.48617328123848691</v>
      </c>
    </row>
    <row r="269" spans="1:14" s="2" customFormat="1">
      <c r="B269" s="382" t="s">
        <v>98</v>
      </c>
      <c r="C269" s="2" t="s">
        <v>88</v>
      </c>
      <c r="E269" s="367" t="str">
        <f>Preferences.EnergyUnits</f>
        <v>TWh</v>
      </c>
      <c r="F269" s="992">
        <f t="shared" si="17"/>
        <v>0.45471335128895723</v>
      </c>
      <c r="G269" s="992">
        <f t="shared" si="17"/>
        <v>0.43014876681158065</v>
      </c>
      <c r="H269" s="992">
        <f t="shared" si="17"/>
        <v>0.37438731213875193</v>
      </c>
      <c r="I269" s="992">
        <f t="shared" si="17"/>
        <v>0.32585437947303592</v>
      </c>
      <c r="J269" s="992">
        <f t="shared" si="17"/>
        <v>0.28361291416415707</v>
      </c>
      <c r="K269" s="992">
        <f t="shared" si="17"/>
        <v>0.24684733472284515</v>
      </c>
      <c r="L269" s="992">
        <f t="shared" si="17"/>
        <v>0.21484778589632048</v>
      </c>
      <c r="M269" s="992">
        <f t="shared" si="17"/>
        <v>0.18699643306409669</v>
      </c>
      <c r="N269" s="992">
        <f t="shared" si="17"/>
        <v>0.16275553333172166</v>
      </c>
    </row>
    <row r="270" spans="1:14" s="2" customFormat="1">
      <c r="B270" s="382" t="s">
        <v>99</v>
      </c>
      <c r="C270" s="2" t="s">
        <v>89</v>
      </c>
      <c r="E270" s="367" t="str">
        <f>Preferences.EnergyUnits</f>
        <v>TWh</v>
      </c>
      <c r="F270" s="992">
        <f t="shared" si="17"/>
        <v>0.9284340130819545</v>
      </c>
      <c r="G270" s="992">
        <f t="shared" si="17"/>
        <v>0.87827802869888649</v>
      </c>
      <c r="H270" s="992">
        <f t="shared" si="17"/>
        <v>0.76442425468844843</v>
      </c>
      <c r="I270" s="992">
        <f t="shared" si="17"/>
        <v>0.66532968156070038</v>
      </c>
      <c r="J270" s="992">
        <f t="shared" si="17"/>
        <v>0.579081030528102</v>
      </c>
      <c r="K270" s="992">
        <f t="shared" si="17"/>
        <v>0.50401304678137193</v>
      </c>
      <c r="L270" s="992">
        <f t="shared" si="17"/>
        <v>0.43867634740888589</v>
      </c>
      <c r="M270" s="992">
        <f t="shared" si="17"/>
        <v>0.38180943728521349</v>
      </c>
      <c r="N270" s="992">
        <f t="shared" si="17"/>
        <v>0.33231435262264714</v>
      </c>
    </row>
    <row r="271" spans="1:14" s="2" customFormat="1">
      <c r="B271" s="382" t="s">
        <v>100</v>
      </c>
      <c r="C271" s="2" t="s">
        <v>90</v>
      </c>
      <c r="E271" s="367" t="str">
        <f>Preferences.EnergyUnits</f>
        <v>TWh</v>
      </c>
      <c r="F271" s="992">
        <f t="shared" si="17"/>
        <v>1.0585609849942283</v>
      </c>
      <c r="G271" s="992">
        <f t="shared" si="17"/>
        <v>1.001375264217313</v>
      </c>
      <c r="H271" s="992">
        <f t="shared" si="17"/>
        <v>0.87156403211722311</v>
      </c>
      <c r="I271" s="992">
        <f t="shared" si="17"/>
        <v>0.75858061330700333</v>
      </c>
      <c r="J271" s="992">
        <f t="shared" si="17"/>
        <v>0.66024356866511158</v>
      </c>
      <c r="K271" s="992">
        <f t="shared" si="17"/>
        <v>0.57465424546411537</v>
      </c>
      <c r="L271" s="992">
        <f t="shared" si="17"/>
        <v>0.50016011893548562</v>
      </c>
      <c r="M271" s="992">
        <f t="shared" si="17"/>
        <v>0.43532288597558205</v>
      </c>
      <c r="N271" s="992">
        <f t="shared" si="17"/>
        <v>0.37889069495873473</v>
      </c>
    </row>
    <row r="272" spans="1:14" s="2" customFormat="1">
      <c r="B272" s="382" t="s">
        <v>101</v>
      </c>
      <c r="C272" s="2" t="s">
        <v>91</v>
      </c>
      <c r="E272" s="367" t="str">
        <f>Preferences.EnergyUnits</f>
        <v>TWh</v>
      </c>
      <c r="F272" s="992">
        <f t="shared" si="17"/>
        <v>0</v>
      </c>
      <c r="G272" s="992">
        <f t="shared" si="17"/>
        <v>0</v>
      </c>
      <c r="H272" s="992">
        <f t="shared" si="17"/>
        <v>0</v>
      </c>
      <c r="I272" s="992">
        <f t="shared" si="17"/>
        <v>0</v>
      </c>
      <c r="J272" s="992">
        <f t="shared" si="17"/>
        <v>0</v>
      </c>
      <c r="K272" s="992">
        <f t="shared" si="17"/>
        <v>0</v>
      </c>
      <c r="L272" s="992">
        <f t="shared" si="17"/>
        <v>0</v>
      </c>
      <c r="M272" s="992">
        <f t="shared" si="17"/>
        <v>0</v>
      </c>
      <c r="N272" s="992">
        <f t="shared" si="17"/>
        <v>0</v>
      </c>
    </row>
    <row r="273" spans="2:14" s="2" customFormat="1">
      <c r="B273" s="382"/>
      <c r="E273" s="367"/>
      <c r="F273" s="992"/>
      <c r="G273" s="992"/>
      <c r="H273" s="992"/>
      <c r="I273" s="992"/>
      <c r="J273" s="992"/>
      <c r="K273" s="992"/>
      <c r="L273" s="992"/>
      <c r="M273" s="992"/>
      <c r="N273" s="992"/>
    </row>
    <row r="274" spans="2:14" s="2" customFormat="1">
      <c r="B274" s="382" t="s">
        <v>1037</v>
      </c>
      <c r="C274" s="3613" t="s">
        <v>2853</v>
      </c>
      <c r="E274" s="367"/>
      <c r="F274" s="992">
        <f>F254</f>
        <v>0.95795305886879545</v>
      </c>
      <c r="G274" s="992">
        <f t="shared" ref="G274:N274" si="18">G254</f>
        <v>1.0015294031213497</v>
      </c>
      <c r="H274" s="992">
        <f t="shared" si="18"/>
        <v>1.1193409504104945</v>
      </c>
      <c r="I274" s="992">
        <f t="shared" si="18"/>
        <v>1.2510108633466244</v>
      </c>
      <c r="J274" s="992">
        <f t="shared" si="18"/>
        <v>1.3981693242236211</v>
      </c>
      <c r="K274" s="992">
        <f t="shared" si="18"/>
        <v>1.5626382763538704</v>
      </c>
      <c r="L274" s="992">
        <f t="shared" si="18"/>
        <v>1.7464539812315689</v>
      </c>
      <c r="M274" s="992">
        <f t="shared" si="18"/>
        <v>1.9518922291321634</v>
      </c>
      <c r="N274" s="992">
        <f t="shared" si="18"/>
        <v>2.181496515275978</v>
      </c>
    </row>
    <row r="275" spans="2:14" s="2" customFormat="1">
      <c r="B275" s="382" t="s">
        <v>1038</v>
      </c>
      <c r="C275" t="s">
        <v>1039</v>
      </c>
      <c r="E275" s="367"/>
      <c r="F275" s="992">
        <f>F268</f>
        <v>1.3582916506348592</v>
      </c>
      <c r="G275" s="992">
        <f t="shared" ref="G275:N275" si="19">G268</f>
        <v>1.2849138404114417</v>
      </c>
      <c r="H275" s="992">
        <f t="shared" si="19"/>
        <v>1.1183466655205805</v>
      </c>
      <c r="I275" s="992">
        <f t="shared" si="19"/>
        <v>0.97337208530691433</v>
      </c>
      <c r="J275" s="992">
        <f t="shared" si="19"/>
        <v>0.84719098796945946</v>
      </c>
      <c r="K275" s="992">
        <f t="shared" si="19"/>
        <v>0.73736711883447947</v>
      </c>
      <c r="L275" s="992">
        <f t="shared" si="19"/>
        <v>0.64178004211473227</v>
      </c>
      <c r="M275" s="992">
        <f t="shared" si="19"/>
        <v>0.55858420037474543</v>
      </c>
      <c r="N275" s="992">
        <f t="shared" si="19"/>
        <v>0.48617328123848691</v>
      </c>
    </row>
    <row r="276" spans="2:14" s="2" customFormat="1">
      <c r="B276" s="382" t="s">
        <v>1040</v>
      </c>
      <c r="C276" t="s">
        <v>1041</v>
      </c>
      <c r="E276" s="367"/>
      <c r="F276" s="992">
        <f>F268</f>
        <v>1.3582916506348592</v>
      </c>
      <c r="G276" s="992">
        <f t="shared" ref="G276:N276" si="20">G268</f>
        <v>1.2849138404114417</v>
      </c>
      <c r="H276" s="992">
        <f t="shared" si="20"/>
        <v>1.1183466655205805</v>
      </c>
      <c r="I276" s="992">
        <f t="shared" si="20"/>
        <v>0.97337208530691433</v>
      </c>
      <c r="J276" s="992">
        <f t="shared" si="20"/>
        <v>0.84719098796945946</v>
      </c>
      <c r="K276" s="992">
        <f t="shared" si="20"/>
        <v>0.73736711883447947</v>
      </c>
      <c r="L276" s="992">
        <f t="shared" si="20"/>
        <v>0.64178004211473227</v>
      </c>
      <c r="M276" s="992">
        <f t="shared" si="20"/>
        <v>0.55858420037474543</v>
      </c>
      <c r="N276" s="992">
        <f t="shared" si="20"/>
        <v>0.48617328123848691</v>
      </c>
    </row>
    <row r="277" spans="2:14" s="2" customFormat="1">
      <c r="B277" s="382" t="s">
        <v>1042</v>
      </c>
      <c r="C277" t="s">
        <v>411</v>
      </c>
      <c r="D277" s="363"/>
      <c r="E277" s="364"/>
      <c r="F277" s="992">
        <f>F247</f>
        <v>4.9792112350904194</v>
      </c>
      <c r="G277" s="992">
        <f t="shared" ref="G277:N277" si="21">G247</f>
        <v>5.0544632486521213</v>
      </c>
      <c r="H277" s="992">
        <f t="shared" si="21"/>
        <v>5.2476066479799357</v>
      </c>
      <c r="I277" s="992">
        <f t="shared" si="21"/>
        <v>5.4481305288482682</v>
      </c>
      <c r="J277" s="992">
        <f t="shared" si="21"/>
        <v>5.6563169175026928</v>
      </c>
      <c r="K277" s="992">
        <f t="shared" si="21"/>
        <v>5.8724586171012074</v>
      </c>
      <c r="L277" s="992">
        <f t="shared" si="21"/>
        <v>6.0968596195264011</v>
      </c>
      <c r="M277" s="992">
        <f t="shared" si="21"/>
        <v>6.3298355329339886</v>
      </c>
      <c r="N277" s="992">
        <f t="shared" si="21"/>
        <v>6.5717140256390012</v>
      </c>
    </row>
    <row r="278" spans="2:14" s="2" customFormat="1">
      <c r="B278" s="363"/>
      <c r="C278"/>
      <c r="D278" s="363"/>
      <c r="E278" s="364"/>
      <c r="F278" s="366"/>
      <c r="G278" s="366"/>
      <c r="H278" s="366"/>
      <c r="I278" s="366"/>
      <c r="J278" s="366"/>
      <c r="K278" s="366"/>
      <c r="L278" s="366"/>
      <c r="M278" s="366"/>
      <c r="N278" s="366"/>
    </row>
    <row r="279" spans="2:14" s="2" customFormat="1">
      <c r="B279" s="363" t="s">
        <v>1084</v>
      </c>
      <c r="C279"/>
      <c r="N279" s="410"/>
    </row>
    <row r="280" spans="2:14" s="2" customFormat="1">
      <c r="B280" s="363"/>
      <c r="C280"/>
      <c r="F280" s="1325">
        <v>2013</v>
      </c>
      <c r="G280" s="1325">
        <v>2015</v>
      </c>
      <c r="H280" s="1325">
        <v>2020</v>
      </c>
      <c r="I280" s="1325">
        <v>2025</v>
      </c>
      <c r="J280" s="1325">
        <v>2030</v>
      </c>
      <c r="K280" s="1325">
        <v>2035</v>
      </c>
      <c r="L280" s="1325">
        <v>2040</v>
      </c>
      <c r="M280" s="1325">
        <v>2045</v>
      </c>
      <c r="N280" s="1325">
        <v>2050</v>
      </c>
    </row>
    <row r="281" spans="2:14" s="2" customFormat="1">
      <c r="B281" s="364" t="s">
        <v>253</v>
      </c>
      <c r="C281" t="s">
        <v>1085</v>
      </c>
      <c r="E281" s="364"/>
      <c r="F281" s="1325"/>
      <c r="G281" s="1325"/>
      <c r="H281" s="1325"/>
      <c r="I281" s="1325"/>
      <c r="J281" s="1325"/>
      <c r="K281" s="1325"/>
      <c r="L281" s="1325"/>
      <c r="M281" s="1325"/>
      <c r="N281" s="1325"/>
    </row>
    <row r="282" spans="2:14" s="2" customFormat="1">
      <c r="B282" s="382" t="s">
        <v>1037</v>
      </c>
      <c r="C282" s="3613" t="s">
        <v>2853</v>
      </c>
      <c r="E282" s="1450"/>
      <c r="F282" s="374">
        <f>F208*$F75</f>
        <v>0</v>
      </c>
      <c r="G282" s="374">
        <f t="shared" ref="F282:N285" si="22">G208*$F75</f>
        <v>0</v>
      </c>
      <c r="H282" s="374">
        <f t="shared" si="22"/>
        <v>0</v>
      </c>
      <c r="I282" s="374">
        <f t="shared" si="22"/>
        <v>0</v>
      </c>
      <c r="J282" s="374">
        <f t="shared" si="22"/>
        <v>0</v>
      </c>
      <c r="K282" s="374">
        <f t="shared" si="22"/>
        <v>0</v>
      </c>
      <c r="L282" s="374">
        <f t="shared" si="22"/>
        <v>0</v>
      </c>
      <c r="M282" s="374">
        <f t="shared" si="22"/>
        <v>0</v>
      </c>
      <c r="N282" s="374">
        <f t="shared" si="22"/>
        <v>0</v>
      </c>
    </row>
    <row r="283" spans="2:14" s="2" customFormat="1">
      <c r="B283" s="382" t="s">
        <v>1038</v>
      </c>
      <c r="C283" t="s">
        <v>1039</v>
      </c>
      <c r="E283" s="1450"/>
      <c r="F283" s="374">
        <f t="shared" si="22"/>
        <v>0</v>
      </c>
      <c r="G283" s="374">
        <f t="shared" si="22"/>
        <v>0</v>
      </c>
      <c r="H283" s="374">
        <f t="shared" si="22"/>
        <v>0</v>
      </c>
      <c r="I283" s="374">
        <f t="shared" si="22"/>
        <v>0</v>
      </c>
      <c r="J283" s="374">
        <f t="shared" si="22"/>
        <v>0</v>
      </c>
      <c r="K283" s="374">
        <f t="shared" si="22"/>
        <v>0</v>
      </c>
      <c r="L283" s="374">
        <f t="shared" si="22"/>
        <v>0</v>
      </c>
      <c r="M283" s="374">
        <f t="shared" si="22"/>
        <v>0</v>
      </c>
      <c r="N283" s="374">
        <f t="shared" si="22"/>
        <v>0</v>
      </c>
    </row>
    <row r="284" spans="2:14" s="2" customFormat="1">
      <c r="B284" s="382" t="s">
        <v>1040</v>
      </c>
      <c r="C284" t="s">
        <v>1041</v>
      </c>
      <c r="E284" s="1450"/>
      <c r="F284" s="374">
        <f t="shared" si="22"/>
        <v>1.39</v>
      </c>
      <c r="G284" s="374">
        <f t="shared" si="22"/>
        <v>1.32136875</v>
      </c>
      <c r="H284" s="374">
        <f t="shared" si="22"/>
        <v>1.1642523149646604</v>
      </c>
      <c r="I284" s="374">
        <f t="shared" si="22"/>
        <v>1.0258177006990448</v>
      </c>
      <c r="J284" s="374">
        <f t="shared" si="22"/>
        <v>0.90384355825774465</v>
      </c>
      <c r="K284" s="374">
        <f t="shared" si="22"/>
        <v>0.79637266665151207</v>
      </c>
      <c r="L284" s="374">
        <f t="shared" si="22"/>
        <v>0.70168052689576832</v>
      </c>
      <c r="M284" s="374">
        <f t="shared" si="22"/>
        <v>0.61824769036199845</v>
      </c>
      <c r="N284" s="374">
        <f t="shared" si="22"/>
        <v>0.54473537740733713</v>
      </c>
    </row>
    <row r="285" spans="2:14" s="2" customFormat="1">
      <c r="B285" s="382" t="s">
        <v>1042</v>
      </c>
      <c r="C285" t="s">
        <v>411</v>
      </c>
      <c r="E285" s="1450"/>
      <c r="F285" s="374">
        <f t="shared" si="22"/>
        <v>0</v>
      </c>
      <c r="G285" s="374">
        <f t="shared" si="22"/>
        <v>0</v>
      </c>
      <c r="H285" s="374">
        <f t="shared" si="22"/>
        <v>0</v>
      </c>
      <c r="I285" s="374">
        <f t="shared" si="22"/>
        <v>0</v>
      </c>
      <c r="J285" s="374">
        <f t="shared" si="22"/>
        <v>0</v>
      </c>
      <c r="K285" s="374">
        <f t="shared" si="22"/>
        <v>0</v>
      </c>
      <c r="L285" s="374">
        <f t="shared" si="22"/>
        <v>0</v>
      </c>
      <c r="M285" s="374">
        <f t="shared" si="22"/>
        <v>0</v>
      </c>
      <c r="N285" s="374">
        <f t="shared" si="22"/>
        <v>0</v>
      </c>
    </row>
    <row r="286" spans="2:14" s="2" customFormat="1">
      <c r="B286" s="382"/>
      <c r="C286" s="363" t="s">
        <v>1086</v>
      </c>
      <c r="E286" s="1453" t="s">
        <v>254</v>
      </c>
      <c r="F286" s="1454">
        <f>SUM(F282:F285)</f>
        <v>1.39</v>
      </c>
      <c r="G286" s="1454">
        <f t="shared" ref="G286:N286" si="23">SUM(G282:G285)</f>
        <v>1.32136875</v>
      </c>
      <c r="H286" s="1454">
        <f t="shared" si="23"/>
        <v>1.1642523149646604</v>
      </c>
      <c r="I286" s="1454">
        <f t="shared" si="23"/>
        <v>1.0258177006990448</v>
      </c>
      <c r="J286" s="1454">
        <f t="shared" si="23"/>
        <v>0.90384355825774465</v>
      </c>
      <c r="K286" s="1454">
        <f t="shared" si="23"/>
        <v>0.79637266665151207</v>
      </c>
      <c r="L286" s="1454">
        <f t="shared" si="23"/>
        <v>0.70168052689576832</v>
      </c>
      <c r="M286" s="1454">
        <f t="shared" si="23"/>
        <v>0.61824769036199845</v>
      </c>
      <c r="N286" s="1454">
        <f t="shared" si="23"/>
        <v>0.54473537740733713</v>
      </c>
    </row>
    <row r="287" spans="2:14" s="2" customFormat="1">
      <c r="B287" s="363"/>
      <c r="C287"/>
    </row>
    <row r="288" spans="2:14" s="2" customFormat="1">
      <c r="B288" s="364" t="s">
        <v>255</v>
      </c>
      <c r="C288" t="s">
        <v>1087</v>
      </c>
      <c r="E288" s="364"/>
    </row>
    <row r="289" spans="2:28" s="2" customFormat="1">
      <c r="B289" s="382" t="s">
        <v>1037</v>
      </c>
      <c r="C289" s="3613" t="s">
        <v>2853</v>
      </c>
      <c r="E289" s="1450"/>
      <c r="F289" s="374">
        <f t="shared" ref="F289:N292" si="24">F208*$G75</f>
        <v>0</v>
      </c>
      <c r="G289" s="374">
        <f t="shared" si="24"/>
        <v>0</v>
      </c>
      <c r="H289" s="374">
        <f t="shared" si="24"/>
        <v>0</v>
      </c>
      <c r="I289" s="374">
        <f t="shared" si="24"/>
        <v>0</v>
      </c>
      <c r="J289" s="374">
        <f t="shared" si="24"/>
        <v>0</v>
      </c>
      <c r="K289" s="374">
        <f t="shared" si="24"/>
        <v>0</v>
      </c>
      <c r="L289" s="374">
        <f t="shared" si="24"/>
        <v>0</v>
      </c>
      <c r="M289" s="374">
        <f t="shared" si="24"/>
        <v>0</v>
      </c>
      <c r="N289" s="374">
        <f t="shared" si="24"/>
        <v>0</v>
      </c>
      <c r="S289" s="1455"/>
      <c r="T289" s="1455"/>
      <c r="U289" s="1455"/>
      <c r="V289" s="1455"/>
      <c r="W289" s="1455"/>
      <c r="X289" s="1455"/>
      <c r="Y289" s="1455"/>
      <c r="Z289" s="1455"/>
      <c r="AA289" s="1455"/>
      <c r="AB289" s="1455"/>
    </row>
    <row r="290" spans="2:28" s="2" customFormat="1">
      <c r="B290" s="382" t="s">
        <v>1038</v>
      </c>
      <c r="C290" t="s">
        <v>1039</v>
      </c>
      <c r="E290" s="1450"/>
      <c r="F290" s="374">
        <f>F209*$G76</f>
        <v>0</v>
      </c>
      <c r="G290" s="374">
        <f t="shared" si="24"/>
        <v>0</v>
      </c>
      <c r="H290" s="374">
        <f t="shared" si="24"/>
        <v>0</v>
      </c>
      <c r="I290" s="374">
        <f t="shared" si="24"/>
        <v>0</v>
      </c>
      <c r="J290" s="374">
        <f t="shared" si="24"/>
        <v>0</v>
      </c>
      <c r="K290" s="374">
        <f t="shared" si="24"/>
        <v>0</v>
      </c>
      <c r="L290" s="374">
        <f t="shared" si="24"/>
        <v>0</v>
      </c>
      <c r="M290" s="374">
        <f t="shared" si="24"/>
        <v>0</v>
      </c>
      <c r="N290" s="374">
        <f t="shared" si="24"/>
        <v>0</v>
      </c>
      <c r="S290" s="1455"/>
      <c r="T290" s="1455"/>
      <c r="U290" s="1455"/>
      <c r="V290" s="1455"/>
      <c r="W290" s="1455"/>
      <c r="X290" s="1455"/>
      <c r="Y290" s="1455"/>
      <c r="Z290" s="1455"/>
      <c r="AA290" s="1455"/>
      <c r="AB290" s="1455"/>
    </row>
    <row r="291" spans="2:28" s="2" customFormat="1">
      <c r="B291" s="382" t="s">
        <v>1040</v>
      </c>
      <c r="C291" t="s">
        <v>1041</v>
      </c>
      <c r="E291" s="1450"/>
      <c r="F291" s="374">
        <f t="shared" si="24"/>
        <v>0</v>
      </c>
      <c r="G291" s="374">
        <f t="shared" si="24"/>
        <v>0</v>
      </c>
      <c r="H291" s="374">
        <f t="shared" si="24"/>
        <v>0</v>
      </c>
      <c r="I291" s="374">
        <f t="shared" si="24"/>
        <v>0</v>
      </c>
      <c r="J291" s="374">
        <f t="shared" si="24"/>
        <v>0</v>
      </c>
      <c r="K291" s="374">
        <f t="shared" si="24"/>
        <v>0</v>
      </c>
      <c r="L291" s="374">
        <f t="shared" si="24"/>
        <v>0</v>
      </c>
      <c r="M291" s="374">
        <f t="shared" si="24"/>
        <v>0</v>
      </c>
      <c r="N291" s="374">
        <f t="shared" si="24"/>
        <v>0</v>
      </c>
      <c r="S291" s="1455"/>
      <c r="T291" s="1455"/>
      <c r="U291" s="1455"/>
      <c r="V291" s="1455"/>
      <c r="W291" s="1455"/>
      <c r="X291" s="1455"/>
      <c r="Y291" s="1455"/>
      <c r="Z291" s="1455"/>
      <c r="AA291" s="1455"/>
      <c r="AB291" s="1455"/>
    </row>
    <row r="292" spans="2:28" s="2" customFormat="1">
      <c r="B292" s="382" t="s">
        <v>1042</v>
      </c>
      <c r="C292" t="s">
        <v>411</v>
      </c>
      <c r="E292" s="1450"/>
      <c r="F292" s="374">
        <f t="shared" si="24"/>
        <v>0</v>
      </c>
      <c r="G292" s="374">
        <f t="shared" si="24"/>
        <v>0</v>
      </c>
      <c r="H292" s="374">
        <f t="shared" si="24"/>
        <v>0</v>
      </c>
      <c r="I292" s="374">
        <f t="shared" si="24"/>
        <v>0</v>
      </c>
      <c r="J292" s="374">
        <f t="shared" si="24"/>
        <v>0</v>
      </c>
      <c r="K292" s="374">
        <f t="shared" si="24"/>
        <v>0</v>
      </c>
      <c r="L292" s="374">
        <f t="shared" si="24"/>
        <v>0</v>
      </c>
      <c r="M292" s="374">
        <f t="shared" si="24"/>
        <v>0</v>
      </c>
      <c r="N292" s="374">
        <f t="shared" si="24"/>
        <v>0</v>
      </c>
      <c r="S292" s="1455"/>
      <c r="T292" s="1455"/>
      <c r="U292" s="1455"/>
      <c r="V292" s="1455"/>
      <c r="W292" s="1455"/>
      <c r="X292" s="1455"/>
      <c r="Y292" s="1455"/>
      <c r="Z292" s="1455"/>
      <c r="AA292" s="1455"/>
      <c r="AB292" s="1455"/>
    </row>
    <row r="293" spans="2:28" s="2" customFormat="1">
      <c r="B293" s="382"/>
      <c r="C293" s="363" t="s">
        <v>1088</v>
      </c>
      <c r="E293" s="1453" t="s">
        <v>254</v>
      </c>
      <c r="F293" s="1454">
        <f t="shared" ref="F293:N293" si="25">SUM(F289:F292)</f>
        <v>0</v>
      </c>
      <c r="G293" s="1454">
        <f t="shared" si="25"/>
        <v>0</v>
      </c>
      <c r="H293" s="1454">
        <f t="shared" si="25"/>
        <v>0</v>
      </c>
      <c r="I293" s="1454">
        <f t="shared" si="25"/>
        <v>0</v>
      </c>
      <c r="J293" s="1454">
        <f t="shared" si="25"/>
        <v>0</v>
      </c>
      <c r="K293" s="1454">
        <f t="shared" si="25"/>
        <v>0</v>
      </c>
      <c r="L293" s="1454">
        <f t="shared" si="25"/>
        <v>0</v>
      </c>
      <c r="M293" s="1454">
        <f t="shared" si="25"/>
        <v>0</v>
      </c>
      <c r="N293" s="1454">
        <f t="shared" si="25"/>
        <v>0</v>
      </c>
      <c r="S293" s="406"/>
      <c r="T293" s="406"/>
      <c r="U293" s="406"/>
      <c r="V293" s="406"/>
      <c r="W293" s="406"/>
      <c r="X293" s="406"/>
      <c r="Y293" s="406"/>
      <c r="Z293" s="406"/>
      <c r="AA293" s="406"/>
      <c r="AB293" s="406"/>
    </row>
    <row r="294" spans="2:28" s="2" customFormat="1">
      <c r="B294" s="363"/>
      <c r="C294"/>
      <c r="S294" s="302"/>
      <c r="T294" s="302"/>
      <c r="U294" s="302"/>
      <c r="V294" s="302"/>
      <c r="W294" s="302"/>
      <c r="X294" s="302"/>
      <c r="Y294" s="302"/>
      <c r="Z294" s="302"/>
      <c r="AA294" s="302"/>
      <c r="AB294" s="302"/>
    </row>
    <row r="295" spans="2:28" s="2" customFormat="1">
      <c r="B295" s="364" t="s">
        <v>256</v>
      </c>
      <c r="C295" t="s">
        <v>1089</v>
      </c>
      <c r="E295" s="364"/>
      <c r="S295" s="302"/>
      <c r="T295" s="302"/>
      <c r="U295" s="302"/>
      <c r="V295" s="302"/>
      <c r="W295" s="302"/>
      <c r="X295" s="302"/>
      <c r="Y295" s="302"/>
      <c r="Z295" s="302"/>
      <c r="AA295" s="302"/>
      <c r="AB295" s="302"/>
    </row>
    <row r="296" spans="2:28" s="2" customFormat="1">
      <c r="B296" s="382" t="s">
        <v>1037</v>
      </c>
      <c r="C296" s="3613" t="s">
        <v>2853</v>
      </c>
      <c r="E296" s="1450"/>
      <c r="F296" s="374">
        <f t="shared" ref="F296:N299" si="26">$H75*F208</f>
        <v>0</v>
      </c>
      <c r="G296" s="374">
        <f t="shared" si="26"/>
        <v>0</v>
      </c>
      <c r="H296" s="374">
        <f t="shared" si="26"/>
        <v>0</v>
      </c>
      <c r="I296" s="374">
        <f t="shared" si="26"/>
        <v>0</v>
      </c>
      <c r="J296" s="374">
        <f t="shared" si="26"/>
        <v>0</v>
      </c>
      <c r="K296" s="374">
        <f t="shared" si="26"/>
        <v>0</v>
      </c>
      <c r="L296" s="374">
        <f t="shared" si="26"/>
        <v>0</v>
      </c>
      <c r="M296" s="374">
        <f t="shared" si="26"/>
        <v>0</v>
      </c>
      <c r="N296" s="374">
        <f t="shared" si="26"/>
        <v>0</v>
      </c>
      <c r="S296" s="1455"/>
      <c r="T296" s="1455"/>
      <c r="U296" s="1455"/>
      <c r="V296" s="1455"/>
      <c r="W296" s="1455"/>
      <c r="X296" s="1455"/>
      <c r="Y296" s="1455"/>
      <c r="Z296" s="1455"/>
      <c r="AA296" s="1455"/>
      <c r="AB296" s="1455"/>
    </row>
    <row r="297" spans="2:28" s="2" customFormat="1">
      <c r="B297" s="382" t="s">
        <v>1038</v>
      </c>
      <c r="C297" t="s">
        <v>1039</v>
      </c>
      <c r="E297" s="1450"/>
      <c r="F297" s="374">
        <f t="shared" si="26"/>
        <v>0</v>
      </c>
      <c r="G297" s="374">
        <f t="shared" si="26"/>
        <v>0</v>
      </c>
      <c r="H297" s="374">
        <f t="shared" si="26"/>
        <v>0</v>
      </c>
      <c r="I297" s="374">
        <f t="shared" si="26"/>
        <v>0</v>
      </c>
      <c r="J297" s="374">
        <f t="shared" si="26"/>
        <v>0</v>
      </c>
      <c r="K297" s="374">
        <f t="shared" si="26"/>
        <v>0</v>
      </c>
      <c r="L297" s="374">
        <f t="shared" si="26"/>
        <v>0</v>
      </c>
      <c r="M297" s="374">
        <f t="shared" si="26"/>
        <v>0</v>
      </c>
      <c r="N297" s="374">
        <f t="shared" si="26"/>
        <v>0</v>
      </c>
      <c r="S297" s="1455"/>
      <c r="T297" s="1455"/>
      <c r="U297" s="1455"/>
      <c r="V297" s="1455"/>
      <c r="W297" s="1455"/>
      <c r="X297" s="1455"/>
      <c r="Y297" s="1455"/>
      <c r="Z297" s="1455"/>
      <c r="AA297" s="1455"/>
      <c r="AB297" s="1455"/>
    </row>
    <row r="298" spans="2:28" s="2" customFormat="1">
      <c r="B298" s="382" t="s">
        <v>1040</v>
      </c>
      <c r="C298" t="s">
        <v>1041</v>
      </c>
      <c r="E298" s="1450"/>
      <c r="F298" s="374">
        <f t="shared" si="26"/>
        <v>0</v>
      </c>
      <c r="G298" s="374">
        <f t="shared" si="26"/>
        <v>0</v>
      </c>
      <c r="H298" s="374">
        <f t="shared" si="26"/>
        <v>0</v>
      </c>
      <c r="I298" s="374">
        <f t="shared" si="26"/>
        <v>0</v>
      </c>
      <c r="J298" s="374">
        <f t="shared" si="26"/>
        <v>0</v>
      </c>
      <c r="K298" s="374">
        <f t="shared" si="26"/>
        <v>0</v>
      </c>
      <c r="L298" s="374">
        <f t="shared" si="26"/>
        <v>0</v>
      </c>
      <c r="M298" s="374">
        <f t="shared" si="26"/>
        <v>0</v>
      </c>
      <c r="N298" s="374">
        <f t="shared" si="26"/>
        <v>0</v>
      </c>
      <c r="S298" s="1455"/>
      <c r="T298" s="1455"/>
      <c r="U298" s="1455"/>
      <c r="V298" s="1455"/>
      <c r="W298" s="1455"/>
      <c r="X298" s="1455"/>
      <c r="Y298" s="1455"/>
      <c r="Z298" s="1455"/>
      <c r="AA298" s="1455"/>
      <c r="AB298" s="1455"/>
    </row>
    <row r="299" spans="2:28" s="2" customFormat="1">
      <c r="B299" s="382" t="s">
        <v>1042</v>
      </c>
      <c r="C299" t="s">
        <v>411</v>
      </c>
      <c r="E299" s="1450"/>
      <c r="F299" s="374">
        <f t="shared" si="26"/>
        <v>0</v>
      </c>
      <c r="G299" s="374">
        <f t="shared" si="26"/>
        <v>0</v>
      </c>
      <c r="H299" s="374">
        <f t="shared" si="26"/>
        <v>0</v>
      </c>
      <c r="I299" s="374">
        <f t="shared" si="26"/>
        <v>0</v>
      </c>
      <c r="J299" s="374">
        <f t="shared" si="26"/>
        <v>0</v>
      </c>
      <c r="K299" s="374">
        <f t="shared" si="26"/>
        <v>0</v>
      </c>
      <c r="L299" s="374">
        <f t="shared" si="26"/>
        <v>0</v>
      </c>
      <c r="M299" s="374">
        <f t="shared" si="26"/>
        <v>0</v>
      </c>
      <c r="N299" s="374">
        <f t="shared" si="26"/>
        <v>0</v>
      </c>
      <c r="S299" s="1455"/>
      <c r="T299" s="1455"/>
      <c r="U299" s="1455"/>
      <c r="V299" s="1455"/>
      <c r="W299" s="1455"/>
      <c r="X299" s="1455"/>
      <c r="Y299" s="1455"/>
      <c r="Z299" s="1455"/>
      <c r="AA299" s="1455"/>
      <c r="AB299" s="1455"/>
    </row>
    <row r="300" spans="2:28" s="2" customFormat="1">
      <c r="B300" s="382"/>
      <c r="C300" s="363" t="s">
        <v>1090</v>
      </c>
      <c r="E300" s="1453" t="s">
        <v>254</v>
      </c>
      <c r="F300" s="1454">
        <f t="shared" ref="F300:N300" si="27">SUM(F296:F299)</f>
        <v>0</v>
      </c>
      <c r="G300" s="1454">
        <f t="shared" si="27"/>
        <v>0</v>
      </c>
      <c r="H300" s="1454">
        <f t="shared" si="27"/>
        <v>0</v>
      </c>
      <c r="I300" s="1454">
        <f t="shared" si="27"/>
        <v>0</v>
      </c>
      <c r="J300" s="1454">
        <f t="shared" si="27"/>
        <v>0</v>
      </c>
      <c r="K300" s="1454">
        <f t="shared" si="27"/>
        <v>0</v>
      </c>
      <c r="L300" s="1454">
        <f t="shared" si="27"/>
        <v>0</v>
      </c>
      <c r="M300" s="1454">
        <f t="shared" si="27"/>
        <v>0</v>
      </c>
      <c r="N300" s="1454">
        <f t="shared" si="27"/>
        <v>0</v>
      </c>
      <c r="S300" s="406"/>
      <c r="T300" s="406"/>
      <c r="U300" s="406"/>
      <c r="V300" s="406"/>
      <c r="W300" s="406"/>
      <c r="X300" s="406"/>
      <c r="Y300" s="406"/>
      <c r="Z300" s="406"/>
      <c r="AA300" s="406"/>
      <c r="AB300" s="406"/>
    </row>
    <row r="301" spans="2:28" s="2" customFormat="1">
      <c r="B301" s="363"/>
      <c r="C301"/>
      <c r="S301" s="302"/>
      <c r="T301" s="302"/>
      <c r="U301" s="302"/>
      <c r="V301" s="302"/>
      <c r="W301" s="302"/>
      <c r="X301" s="302"/>
      <c r="Y301" s="302"/>
      <c r="Z301" s="302"/>
      <c r="AA301" s="302"/>
      <c r="AB301" s="302"/>
    </row>
    <row r="302" spans="2:28" s="2" customFormat="1">
      <c r="B302" s="364" t="s">
        <v>460</v>
      </c>
      <c r="C302" t="s">
        <v>1091</v>
      </c>
      <c r="E302" s="364"/>
      <c r="S302" s="302"/>
      <c r="T302" s="302"/>
      <c r="U302" s="302"/>
      <c r="V302" s="302"/>
      <c r="W302" s="302"/>
      <c r="X302" s="302"/>
      <c r="Y302" s="302"/>
      <c r="Z302" s="302"/>
      <c r="AA302" s="302"/>
      <c r="AB302" s="302"/>
    </row>
    <row r="303" spans="2:28" s="2" customFormat="1">
      <c r="B303" s="382" t="s">
        <v>1037</v>
      </c>
      <c r="C303" s="3613" t="s">
        <v>2853</v>
      </c>
      <c r="E303" s="1450"/>
      <c r="F303" s="374">
        <f t="shared" ref="F303:N306" si="28">F208*$I75</f>
        <v>0</v>
      </c>
      <c r="G303" s="374">
        <f t="shared" si="28"/>
        <v>0</v>
      </c>
      <c r="H303" s="374">
        <f t="shared" si="28"/>
        <v>0</v>
      </c>
      <c r="I303" s="374">
        <f t="shared" si="28"/>
        <v>0</v>
      </c>
      <c r="J303" s="374">
        <f t="shared" si="28"/>
        <v>0</v>
      </c>
      <c r="K303" s="374">
        <f t="shared" si="28"/>
        <v>0</v>
      </c>
      <c r="L303" s="374">
        <f t="shared" si="28"/>
        <v>0</v>
      </c>
      <c r="M303" s="374">
        <f t="shared" si="28"/>
        <v>0</v>
      </c>
      <c r="N303" s="374">
        <f t="shared" si="28"/>
        <v>0</v>
      </c>
      <c r="S303" s="1455"/>
      <c r="T303" s="1455"/>
      <c r="U303" s="1455"/>
      <c r="V303" s="1455"/>
      <c r="W303" s="1455"/>
      <c r="X303" s="1455"/>
      <c r="Y303" s="1455"/>
      <c r="Z303" s="1455"/>
      <c r="AA303" s="1455"/>
      <c r="AB303" s="1455"/>
    </row>
    <row r="304" spans="2:28" s="2" customFormat="1">
      <c r="B304" s="382" t="s">
        <v>1038</v>
      </c>
      <c r="C304" t="s">
        <v>1039</v>
      </c>
      <c r="E304" s="1450"/>
      <c r="F304" s="374">
        <f t="shared" si="28"/>
        <v>0</v>
      </c>
      <c r="G304" s="374">
        <f t="shared" si="28"/>
        <v>0</v>
      </c>
      <c r="H304" s="374">
        <f t="shared" si="28"/>
        <v>0</v>
      </c>
      <c r="I304" s="374">
        <f t="shared" si="28"/>
        <v>0</v>
      </c>
      <c r="J304" s="374">
        <f t="shared" si="28"/>
        <v>0</v>
      </c>
      <c r="K304" s="374">
        <f t="shared" si="28"/>
        <v>0</v>
      </c>
      <c r="L304" s="374">
        <f t="shared" si="28"/>
        <v>0</v>
      </c>
      <c r="M304" s="374">
        <f t="shared" si="28"/>
        <v>0</v>
      </c>
      <c r="N304" s="374">
        <f t="shared" si="28"/>
        <v>0</v>
      </c>
      <c r="S304" s="1455"/>
      <c r="T304" s="1455"/>
      <c r="U304" s="1455"/>
      <c r="V304" s="1455"/>
      <c r="W304" s="1455"/>
      <c r="X304" s="1455"/>
      <c r="Y304" s="1455"/>
      <c r="Z304" s="1455"/>
      <c r="AA304" s="1455"/>
      <c r="AB304" s="1455"/>
    </row>
    <row r="305" spans="2:28" s="2" customFormat="1">
      <c r="B305" s="382" t="s">
        <v>1040</v>
      </c>
      <c r="C305" t="s">
        <v>1041</v>
      </c>
      <c r="E305" s="1450"/>
      <c r="F305" s="374">
        <f t="shared" si="28"/>
        <v>0</v>
      </c>
      <c r="G305" s="374">
        <f t="shared" si="28"/>
        <v>0</v>
      </c>
      <c r="H305" s="374">
        <f t="shared" si="28"/>
        <v>0</v>
      </c>
      <c r="I305" s="374">
        <f t="shared" si="28"/>
        <v>0</v>
      </c>
      <c r="J305" s="374">
        <f t="shared" si="28"/>
        <v>0</v>
      </c>
      <c r="K305" s="374">
        <f t="shared" si="28"/>
        <v>0</v>
      </c>
      <c r="L305" s="374">
        <f t="shared" si="28"/>
        <v>0</v>
      </c>
      <c r="M305" s="374">
        <f t="shared" si="28"/>
        <v>0</v>
      </c>
      <c r="N305" s="374">
        <f t="shared" si="28"/>
        <v>0</v>
      </c>
      <c r="S305" s="1455"/>
      <c r="T305" s="1455"/>
      <c r="U305" s="1455"/>
      <c r="V305" s="1455"/>
      <c r="W305" s="1455"/>
      <c r="X305" s="1455"/>
      <c r="Y305" s="1455"/>
      <c r="Z305" s="1455"/>
      <c r="AA305" s="1455"/>
      <c r="AB305" s="1455"/>
    </row>
    <row r="306" spans="2:28" s="2" customFormat="1">
      <c r="B306" s="382" t="s">
        <v>1042</v>
      </c>
      <c r="C306" t="s">
        <v>411</v>
      </c>
      <c r="E306" s="1450"/>
      <c r="F306" s="374">
        <f t="shared" si="28"/>
        <v>1.03</v>
      </c>
      <c r="G306" s="374">
        <f t="shared" si="28"/>
        <v>0.99607717549810115</v>
      </c>
      <c r="H306" s="374">
        <f t="shared" si="28"/>
        <v>0.91607788377966026</v>
      </c>
      <c r="I306" s="374">
        <f t="shared" si="28"/>
        <v>0.84250368324178171</v>
      </c>
      <c r="J306" s="374">
        <f t="shared" si="28"/>
        <v>0.77483854685732834</v>
      </c>
      <c r="K306" s="374">
        <f t="shared" si="28"/>
        <v>0.7126078919748543</v>
      </c>
      <c r="L306" s="374">
        <f t="shared" si="28"/>
        <v>0.65537525174047484</v>
      </c>
      <c r="M306" s="374">
        <f t="shared" si="28"/>
        <v>0.60273921385233153</v>
      </c>
      <c r="N306" s="374">
        <f t="shared" si="28"/>
        <v>0.55433060517700083</v>
      </c>
      <c r="S306" s="1455"/>
      <c r="T306" s="1455"/>
      <c r="U306" s="1455"/>
      <c r="V306" s="1455"/>
      <c r="W306" s="1455"/>
      <c r="X306" s="1455"/>
      <c r="Y306" s="1455"/>
      <c r="Z306" s="1455"/>
      <c r="AA306" s="1455"/>
      <c r="AB306" s="1455"/>
    </row>
    <row r="307" spans="2:28" s="2" customFormat="1">
      <c r="B307" s="363"/>
      <c r="C307" s="363" t="s">
        <v>1092</v>
      </c>
      <c r="E307" s="1453" t="s">
        <v>254</v>
      </c>
      <c r="F307" s="1454">
        <f t="shared" ref="F307:N307" si="29">SUM(F303:F306)</f>
        <v>1.03</v>
      </c>
      <c r="G307" s="1454">
        <f t="shared" si="29"/>
        <v>0.99607717549810115</v>
      </c>
      <c r="H307" s="1454">
        <f t="shared" si="29"/>
        <v>0.91607788377966026</v>
      </c>
      <c r="I307" s="1454">
        <f t="shared" si="29"/>
        <v>0.84250368324178171</v>
      </c>
      <c r="J307" s="1454">
        <f t="shared" si="29"/>
        <v>0.77483854685732834</v>
      </c>
      <c r="K307" s="1454">
        <f t="shared" si="29"/>
        <v>0.7126078919748543</v>
      </c>
      <c r="L307" s="1454">
        <f t="shared" si="29"/>
        <v>0.65537525174047484</v>
      </c>
      <c r="M307" s="1454">
        <f t="shared" si="29"/>
        <v>0.60273921385233153</v>
      </c>
      <c r="N307" s="1454">
        <f t="shared" si="29"/>
        <v>0.55433060517700083</v>
      </c>
      <c r="S307" s="406"/>
      <c r="T307" s="406"/>
      <c r="U307" s="406"/>
      <c r="V307" s="406"/>
      <c r="W307" s="406"/>
      <c r="X307" s="406"/>
      <c r="Y307" s="406"/>
      <c r="Z307" s="406"/>
      <c r="AA307" s="406"/>
      <c r="AB307" s="406"/>
    </row>
    <row r="308" spans="2:28" s="2" customFormat="1">
      <c r="B308" s="363"/>
      <c r="C308"/>
      <c r="E308" s="364"/>
    </row>
    <row r="309" spans="2:28" s="2" customFormat="1">
      <c r="B309" s="363" t="s">
        <v>260</v>
      </c>
      <c r="C309" t="s">
        <v>261</v>
      </c>
      <c r="E309" s="364"/>
      <c r="F309" s="1325"/>
      <c r="G309" s="1325"/>
      <c r="H309" s="1325"/>
      <c r="I309" s="1325"/>
      <c r="J309" s="1325"/>
      <c r="K309" s="1325"/>
      <c r="L309" s="1325"/>
      <c r="M309" s="1325"/>
      <c r="N309" s="1325"/>
      <c r="S309" s="1325"/>
      <c r="T309" s="1325"/>
      <c r="U309" s="1325"/>
      <c r="V309" s="1325"/>
      <c r="W309" s="1325"/>
      <c r="X309" s="1325"/>
      <c r="Y309" s="1325"/>
      <c r="Z309" s="1325"/>
      <c r="AA309" s="1325"/>
      <c r="AB309" s="1325"/>
    </row>
    <row r="310" spans="2:28" s="2" customFormat="1">
      <c r="B310" s="382" t="s">
        <v>1037</v>
      </c>
      <c r="C310" s="3613" t="s">
        <v>2853</v>
      </c>
      <c r="E310" s="1450"/>
      <c r="F310" s="374">
        <f>$F83*F208/$G208</f>
        <v>0</v>
      </c>
      <c r="G310" s="374">
        <f>E92</f>
        <v>0</v>
      </c>
      <c r="H310" s="374">
        <f>E101</f>
        <v>0</v>
      </c>
      <c r="I310" s="1456">
        <f t="shared" ref="I310:N313" si="30">(I208/$I208)*$F101</f>
        <v>0</v>
      </c>
      <c r="J310" s="1457">
        <f t="shared" si="30"/>
        <v>0</v>
      </c>
      <c r="K310" s="1457">
        <f t="shared" si="30"/>
        <v>0</v>
      </c>
      <c r="L310" s="1457">
        <f t="shared" si="30"/>
        <v>0</v>
      </c>
      <c r="M310" s="1457">
        <f t="shared" si="30"/>
        <v>0</v>
      </c>
      <c r="N310" s="1457">
        <f t="shared" si="30"/>
        <v>0</v>
      </c>
      <c r="S310" s="1455"/>
      <c r="T310" s="1455"/>
      <c r="U310" s="1455"/>
      <c r="V310" s="1455"/>
      <c r="W310" s="1455"/>
      <c r="X310" s="1455"/>
      <c r="Y310" s="1455"/>
      <c r="Z310" s="1455"/>
      <c r="AA310" s="1455"/>
      <c r="AB310" s="1455"/>
    </row>
    <row r="311" spans="2:28" s="2" customFormat="1">
      <c r="B311" s="382" t="s">
        <v>1038</v>
      </c>
      <c r="C311" t="s">
        <v>1039</v>
      </c>
      <c r="E311" s="1450"/>
      <c r="F311" s="374">
        <f>$F84*F209/$G209</f>
        <v>0</v>
      </c>
      <c r="G311" s="374">
        <f>E93</f>
        <v>0</v>
      </c>
      <c r="H311" s="374">
        <f>E102</f>
        <v>0</v>
      </c>
      <c r="I311" s="1456">
        <f t="shared" si="30"/>
        <v>0</v>
      </c>
      <c r="J311" s="1457">
        <f t="shared" si="30"/>
        <v>0</v>
      </c>
      <c r="K311" s="1457">
        <f t="shared" si="30"/>
        <v>0</v>
      </c>
      <c r="L311" s="1457">
        <f t="shared" si="30"/>
        <v>0</v>
      </c>
      <c r="M311" s="1457">
        <f t="shared" si="30"/>
        <v>0</v>
      </c>
      <c r="N311" s="1457">
        <f t="shared" si="30"/>
        <v>0</v>
      </c>
      <c r="S311" s="1455"/>
      <c r="T311" s="1455"/>
      <c r="U311" s="1455"/>
      <c r="V311" s="1455"/>
      <c r="W311" s="1455"/>
      <c r="X311" s="1455"/>
      <c r="Y311" s="1455"/>
      <c r="Z311" s="1455"/>
      <c r="AA311" s="1455"/>
      <c r="AB311" s="1455"/>
    </row>
    <row r="312" spans="2:28" s="2" customFormat="1">
      <c r="B312" s="382" t="s">
        <v>1040</v>
      </c>
      <c r="C312" t="s">
        <v>1041</v>
      </c>
      <c r="E312" s="1450"/>
      <c r="F312" s="374">
        <f>$F85*F210/$G210</f>
        <v>0</v>
      </c>
      <c r="G312" s="374">
        <f>E94</f>
        <v>0</v>
      </c>
      <c r="H312" s="374">
        <f>E103</f>
        <v>0</v>
      </c>
      <c r="I312" s="1456">
        <f t="shared" si="30"/>
        <v>0</v>
      </c>
      <c r="J312" s="1457">
        <f t="shared" si="30"/>
        <v>0</v>
      </c>
      <c r="K312" s="1457">
        <f t="shared" si="30"/>
        <v>0</v>
      </c>
      <c r="L312" s="1457">
        <f t="shared" si="30"/>
        <v>0</v>
      </c>
      <c r="M312" s="1457">
        <f t="shared" si="30"/>
        <v>0</v>
      </c>
      <c r="N312" s="1457">
        <f t="shared" si="30"/>
        <v>0</v>
      </c>
      <c r="S312" s="1455"/>
      <c r="T312" s="1455"/>
      <c r="U312" s="1455"/>
      <c r="V312" s="1455"/>
      <c r="W312" s="1455"/>
      <c r="X312" s="1455"/>
      <c r="Y312" s="1455"/>
      <c r="Z312" s="1455"/>
      <c r="AA312" s="1455"/>
      <c r="AB312" s="1455"/>
    </row>
    <row r="313" spans="2:28" s="2" customFormat="1">
      <c r="B313" s="382" t="s">
        <v>1042</v>
      </c>
      <c r="C313" t="s">
        <v>411</v>
      </c>
      <c r="E313" s="1450"/>
      <c r="F313" s="374">
        <f>$F86*F211/$G211</f>
        <v>0</v>
      </c>
      <c r="G313" s="374">
        <f>E95</f>
        <v>0</v>
      </c>
      <c r="H313" s="374">
        <f>E104</f>
        <v>0</v>
      </c>
      <c r="I313" s="1456">
        <f t="shared" si="30"/>
        <v>0</v>
      </c>
      <c r="J313" s="1457">
        <f t="shared" si="30"/>
        <v>0</v>
      </c>
      <c r="K313" s="1457">
        <f t="shared" si="30"/>
        <v>0</v>
      </c>
      <c r="L313" s="1457">
        <f t="shared" si="30"/>
        <v>0</v>
      </c>
      <c r="M313" s="1457">
        <f t="shared" si="30"/>
        <v>0</v>
      </c>
      <c r="N313" s="1457">
        <f t="shared" si="30"/>
        <v>0</v>
      </c>
      <c r="S313" s="1455"/>
      <c r="T313" s="1455"/>
      <c r="U313" s="1455"/>
      <c r="V313" s="1455"/>
      <c r="W313" s="1455"/>
      <c r="X313" s="1455"/>
      <c r="Y313" s="1455"/>
      <c r="Z313" s="1455"/>
      <c r="AA313" s="1455"/>
      <c r="AB313" s="1455"/>
    </row>
    <row r="314" spans="2:28" s="2" customFormat="1">
      <c r="B314" s="382"/>
      <c r="C314" s="363" t="s">
        <v>1093</v>
      </c>
      <c r="E314" s="1453" t="s">
        <v>994</v>
      </c>
      <c r="F314" s="1454">
        <f t="shared" ref="F314:N314" si="31">SUM(F310:F313)</f>
        <v>0</v>
      </c>
      <c r="G314" s="1454">
        <f t="shared" si="31"/>
        <v>0</v>
      </c>
      <c r="H314" s="1454">
        <f t="shared" si="31"/>
        <v>0</v>
      </c>
      <c r="I314" s="1454">
        <f t="shared" si="31"/>
        <v>0</v>
      </c>
      <c r="J314" s="1454">
        <f t="shared" si="31"/>
        <v>0</v>
      </c>
      <c r="K314" s="1454">
        <f t="shared" si="31"/>
        <v>0</v>
      </c>
      <c r="L314" s="1454">
        <f t="shared" si="31"/>
        <v>0</v>
      </c>
      <c r="M314" s="1454">
        <f t="shared" si="31"/>
        <v>0</v>
      </c>
      <c r="N314" s="1454">
        <f t="shared" si="31"/>
        <v>0</v>
      </c>
      <c r="S314" s="406"/>
      <c r="T314" s="406"/>
      <c r="U314" s="406"/>
      <c r="V314" s="406"/>
      <c r="W314" s="406"/>
      <c r="X314" s="406"/>
      <c r="Y314" s="406"/>
      <c r="Z314" s="406"/>
      <c r="AA314" s="406"/>
      <c r="AB314" s="406"/>
    </row>
    <row r="315" spans="2:28" s="2" customFormat="1">
      <c r="B315" s="363"/>
      <c r="C315"/>
    </row>
    <row r="316" spans="2:28" s="2" customFormat="1">
      <c r="B316" s="363" t="s">
        <v>262</v>
      </c>
      <c r="C316" t="s">
        <v>263</v>
      </c>
      <c r="E316" s="364"/>
    </row>
    <row r="317" spans="2:28" s="2" customFormat="1">
      <c r="B317" s="382" t="s">
        <v>1037</v>
      </c>
      <c r="C317" s="3613" t="s">
        <v>2853</v>
      </c>
      <c r="E317" s="1450"/>
      <c r="F317" s="374">
        <f>G83*F208/G208</f>
        <v>0</v>
      </c>
      <c r="G317" s="374">
        <f>F92</f>
        <v>0</v>
      </c>
      <c r="H317" s="374">
        <f>F101</f>
        <v>0</v>
      </c>
      <c r="I317" s="374">
        <f t="shared" ref="I317:N320" si="32">$G101*I208/$I208</f>
        <v>0</v>
      </c>
      <c r="J317" s="374">
        <f t="shared" si="32"/>
        <v>0</v>
      </c>
      <c r="K317" s="374">
        <f t="shared" si="32"/>
        <v>0</v>
      </c>
      <c r="L317" s="374">
        <f t="shared" si="32"/>
        <v>0</v>
      </c>
      <c r="M317" s="374">
        <f t="shared" si="32"/>
        <v>0</v>
      </c>
      <c r="N317" s="374">
        <f t="shared" si="32"/>
        <v>0</v>
      </c>
    </row>
    <row r="318" spans="2:28" s="2" customFormat="1">
      <c r="B318" s="382" t="s">
        <v>1038</v>
      </c>
      <c r="C318" t="s">
        <v>1039</v>
      </c>
      <c r="E318" s="1450"/>
      <c r="F318" s="374">
        <f>G84*F209/G209</f>
        <v>0</v>
      </c>
      <c r="G318" s="374">
        <f>F93</f>
        <v>0</v>
      </c>
      <c r="H318" s="374">
        <f>F102</f>
        <v>0</v>
      </c>
      <c r="I318" s="374">
        <f t="shared" si="32"/>
        <v>0</v>
      </c>
      <c r="J318" s="374">
        <f t="shared" si="32"/>
        <v>0</v>
      </c>
      <c r="K318" s="374">
        <f t="shared" si="32"/>
        <v>0</v>
      </c>
      <c r="L318" s="374">
        <f t="shared" si="32"/>
        <v>0</v>
      </c>
      <c r="M318" s="374">
        <f t="shared" si="32"/>
        <v>0</v>
      </c>
      <c r="N318" s="374">
        <f t="shared" si="32"/>
        <v>0</v>
      </c>
    </row>
    <row r="319" spans="2:28" s="2" customFormat="1">
      <c r="B319" s="382" t="s">
        <v>1040</v>
      </c>
      <c r="C319" t="s">
        <v>1041</v>
      </c>
      <c r="E319" s="1450"/>
      <c r="F319" s="374">
        <f>G85*F210/G210</f>
        <v>0</v>
      </c>
      <c r="G319" s="374">
        <f>F94</f>
        <v>0</v>
      </c>
      <c r="H319" s="374">
        <f>F103</f>
        <v>0</v>
      </c>
      <c r="I319" s="374">
        <f t="shared" si="32"/>
        <v>0</v>
      </c>
      <c r="J319" s="374">
        <f t="shared" si="32"/>
        <v>0</v>
      </c>
      <c r="K319" s="374">
        <f t="shared" si="32"/>
        <v>0</v>
      </c>
      <c r="L319" s="374">
        <f t="shared" si="32"/>
        <v>0</v>
      </c>
      <c r="M319" s="374">
        <f t="shared" si="32"/>
        <v>0</v>
      </c>
      <c r="N319" s="374">
        <f t="shared" si="32"/>
        <v>0</v>
      </c>
    </row>
    <row r="320" spans="2:28" s="2" customFormat="1">
      <c r="B320" s="382" t="s">
        <v>1042</v>
      </c>
      <c r="C320" t="s">
        <v>411</v>
      </c>
      <c r="E320" s="1450"/>
      <c r="F320" s="374">
        <f>G86*F211/G211</f>
        <v>0</v>
      </c>
      <c r="G320" s="374">
        <f>F95</f>
        <v>0</v>
      </c>
      <c r="H320" s="374">
        <f>F104</f>
        <v>0</v>
      </c>
      <c r="I320" s="374">
        <f t="shared" si="32"/>
        <v>0</v>
      </c>
      <c r="J320" s="374">
        <f t="shared" si="32"/>
        <v>0</v>
      </c>
      <c r="K320" s="374">
        <f t="shared" si="32"/>
        <v>0</v>
      </c>
      <c r="L320" s="374">
        <f t="shared" si="32"/>
        <v>0</v>
      </c>
      <c r="M320" s="374">
        <f t="shared" si="32"/>
        <v>0</v>
      </c>
      <c r="N320" s="374">
        <f t="shared" si="32"/>
        <v>0</v>
      </c>
    </row>
    <row r="321" spans="2:28" s="2" customFormat="1">
      <c r="B321" s="382"/>
      <c r="C321" s="363" t="s">
        <v>1094</v>
      </c>
      <c r="E321" s="1453" t="s">
        <v>994</v>
      </c>
      <c r="F321" s="1454">
        <f t="shared" ref="F321:N321" si="33">SUM(F317:F320)</f>
        <v>0</v>
      </c>
      <c r="G321" s="1454">
        <f t="shared" si="33"/>
        <v>0</v>
      </c>
      <c r="H321" s="1454">
        <f t="shared" si="33"/>
        <v>0</v>
      </c>
      <c r="I321" s="1454">
        <f t="shared" si="33"/>
        <v>0</v>
      </c>
      <c r="J321" s="1454">
        <f t="shared" si="33"/>
        <v>0</v>
      </c>
      <c r="K321" s="1454">
        <f t="shared" si="33"/>
        <v>0</v>
      </c>
      <c r="L321" s="1454">
        <f t="shared" si="33"/>
        <v>0</v>
      </c>
      <c r="M321" s="1454">
        <f t="shared" si="33"/>
        <v>0</v>
      </c>
      <c r="N321" s="1454">
        <f t="shared" si="33"/>
        <v>0</v>
      </c>
    </row>
    <row r="322" spans="2:28" s="2" customFormat="1">
      <c r="B322" s="363"/>
      <c r="C322"/>
    </row>
    <row r="323" spans="2:28" s="2" customFormat="1">
      <c r="B323" s="363" t="s">
        <v>264</v>
      </c>
      <c r="C323" t="s">
        <v>265</v>
      </c>
      <c r="E323" s="364"/>
    </row>
    <row r="324" spans="2:28" s="2" customFormat="1">
      <c r="B324" s="382" t="s">
        <v>1037</v>
      </c>
      <c r="C324" s="3613" t="s">
        <v>2853</v>
      </c>
      <c r="E324" s="1450"/>
      <c r="F324" s="374">
        <f>H83*(F208/G208)</f>
        <v>0</v>
      </c>
      <c r="G324" s="374">
        <f>G92</f>
        <v>0</v>
      </c>
      <c r="H324" s="374">
        <f>G101</f>
        <v>0</v>
      </c>
      <c r="I324" s="374">
        <f t="shared" ref="I324:N327" si="34">$H101*I208/$I208</f>
        <v>0</v>
      </c>
      <c r="J324" s="374">
        <f t="shared" si="34"/>
        <v>0</v>
      </c>
      <c r="K324" s="374">
        <f t="shared" si="34"/>
        <v>0</v>
      </c>
      <c r="L324" s="374">
        <f t="shared" si="34"/>
        <v>0</v>
      </c>
      <c r="M324" s="374">
        <f t="shared" si="34"/>
        <v>0</v>
      </c>
      <c r="N324" s="374">
        <f t="shared" si="34"/>
        <v>0</v>
      </c>
      <c r="S324" s="1455"/>
      <c r="T324" s="1455"/>
      <c r="U324" s="1455"/>
      <c r="V324" s="1455"/>
      <c r="W324" s="1455"/>
      <c r="X324" s="1455"/>
      <c r="Y324" s="1455"/>
      <c r="Z324" s="1455"/>
      <c r="AA324" s="1455"/>
      <c r="AB324" s="1455"/>
    </row>
    <row r="325" spans="2:28" s="2" customFormat="1">
      <c r="B325" s="382" t="s">
        <v>1038</v>
      </c>
      <c r="C325" t="s">
        <v>1039</v>
      </c>
      <c r="E325" s="1450"/>
      <c r="F325" s="374">
        <f>H84*(F209/G209)</f>
        <v>0</v>
      </c>
      <c r="G325" s="374">
        <f>G93</f>
        <v>0</v>
      </c>
      <c r="H325" s="374">
        <f>G102</f>
        <v>0</v>
      </c>
      <c r="I325" s="374">
        <f t="shared" si="34"/>
        <v>0</v>
      </c>
      <c r="J325" s="374">
        <f t="shared" si="34"/>
        <v>0</v>
      </c>
      <c r="K325" s="374">
        <f t="shared" si="34"/>
        <v>0</v>
      </c>
      <c r="L325" s="374">
        <f t="shared" si="34"/>
        <v>0</v>
      </c>
      <c r="M325" s="374">
        <f t="shared" si="34"/>
        <v>0</v>
      </c>
      <c r="N325" s="374">
        <f t="shared" si="34"/>
        <v>0</v>
      </c>
      <c r="S325" s="1455"/>
      <c r="T325" s="1455"/>
      <c r="U325" s="1455"/>
      <c r="V325" s="1455"/>
      <c r="W325" s="1455"/>
      <c r="X325" s="1455"/>
      <c r="Y325" s="1455"/>
      <c r="Z325" s="1455"/>
      <c r="AA325" s="1455"/>
      <c r="AB325" s="1455"/>
    </row>
    <row r="326" spans="2:28" s="2" customFormat="1">
      <c r="B326" s="382" t="s">
        <v>1040</v>
      </c>
      <c r="C326" t="s">
        <v>1041</v>
      </c>
      <c r="E326" s="1450"/>
      <c r="F326" s="374">
        <f>H85*(F210/G210)</f>
        <v>0</v>
      </c>
      <c r="G326" s="374">
        <f>G94</f>
        <v>0</v>
      </c>
      <c r="H326" s="374">
        <f>G103</f>
        <v>0</v>
      </c>
      <c r="I326" s="374">
        <f t="shared" si="34"/>
        <v>0</v>
      </c>
      <c r="J326" s="374">
        <f t="shared" si="34"/>
        <v>0</v>
      </c>
      <c r="K326" s="374">
        <f t="shared" si="34"/>
        <v>0</v>
      </c>
      <c r="L326" s="374">
        <f t="shared" si="34"/>
        <v>0</v>
      </c>
      <c r="M326" s="374">
        <f t="shared" si="34"/>
        <v>0</v>
      </c>
      <c r="N326" s="374">
        <f t="shared" si="34"/>
        <v>0</v>
      </c>
      <c r="S326" s="1455"/>
      <c r="T326" s="1455"/>
      <c r="U326" s="1455"/>
      <c r="V326" s="1455"/>
      <c r="W326" s="1455"/>
      <c r="X326" s="1455"/>
      <c r="Y326" s="1455"/>
      <c r="Z326" s="1455"/>
      <c r="AA326" s="1455"/>
      <c r="AB326" s="1455"/>
    </row>
    <row r="327" spans="2:28" s="2" customFormat="1">
      <c r="B327" s="382" t="s">
        <v>1042</v>
      </c>
      <c r="C327" t="s">
        <v>411</v>
      </c>
      <c r="E327" s="1450"/>
      <c r="F327" s="374">
        <f>H86*(F211/G211)</f>
        <v>0</v>
      </c>
      <c r="G327" s="374">
        <f>G95</f>
        <v>0</v>
      </c>
      <c r="H327" s="374">
        <f>G104</f>
        <v>0</v>
      </c>
      <c r="I327" s="374">
        <f t="shared" si="34"/>
        <v>0</v>
      </c>
      <c r="J327" s="374">
        <f t="shared" si="34"/>
        <v>0</v>
      </c>
      <c r="K327" s="374">
        <f t="shared" si="34"/>
        <v>0</v>
      </c>
      <c r="L327" s="374">
        <f t="shared" si="34"/>
        <v>0</v>
      </c>
      <c r="M327" s="374">
        <f t="shared" si="34"/>
        <v>0</v>
      </c>
      <c r="N327" s="374">
        <f t="shared" si="34"/>
        <v>0</v>
      </c>
      <c r="S327" s="1455"/>
      <c r="T327" s="1455"/>
      <c r="U327" s="1455"/>
      <c r="V327" s="1455"/>
      <c r="W327" s="1455"/>
      <c r="X327" s="1455"/>
      <c r="Y327" s="1455"/>
      <c r="Z327" s="1455"/>
      <c r="AA327" s="1455"/>
      <c r="AB327" s="1455"/>
    </row>
    <row r="328" spans="2:28" s="2" customFormat="1">
      <c r="B328" s="382"/>
      <c r="C328" s="363" t="s">
        <v>1095</v>
      </c>
      <c r="E328" s="1453" t="s">
        <v>994</v>
      </c>
      <c r="F328" s="1454">
        <f t="shared" ref="F328:N328" si="35">SUM(F324:F327)</f>
        <v>0</v>
      </c>
      <c r="G328" s="1454">
        <f t="shared" si="35"/>
        <v>0</v>
      </c>
      <c r="H328" s="1454">
        <f t="shared" si="35"/>
        <v>0</v>
      </c>
      <c r="I328" s="1454">
        <f t="shared" si="35"/>
        <v>0</v>
      </c>
      <c r="J328" s="1454">
        <f t="shared" si="35"/>
        <v>0</v>
      </c>
      <c r="K328" s="1454">
        <f t="shared" si="35"/>
        <v>0</v>
      </c>
      <c r="L328" s="1454">
        <f t="shared" si="35"/>
        <v>0</v>
      </c>
      <c r="M328" s="1454">
        <f t="shared" si="35"/>
        <v>0</v>
      </c>
      <c r="N328" s="1454">
        <f t="shared" si="35"/>
        <v>0</v>
      </c>
      <c r="S328" s="406"/>
      <c r="T328" s="406"/>
      <c r="U328" s="406"/>
      <c r="V328" s="406"/>
      <c r="W328" s="406"/>
      <c r="X328" s="406"/>
      <c r="Y328" s="406"/>
      <c r="Z328" s="406"/>
      <c r="AA328" s="406"/>
      <c r="AB328" s="406"/>
    </row>
    <row r="329" spans="2:28" s="2" customFormat="1">
      <c r="B329" s="363"/>
      <c r="C329"/>
      <c r="S329" s="302"/>
      <c r="T329" s="302"/>
      <c r="U329" s="302"/>
      <c r="V329" s="302"/>
      <c r="W329" s="302"/>
      <c r="X329" s="302"/>
      <c r="Y329" s="302"/>
      <c r="Z329" s="302"/>
      <c r="AA329" s="302"/>
      <c r="AB329" s="302"/>
    </row>
    <row r="330" spans="2:28" s="2" customFormat="1">
      <c r="B330" s="363" t="s">
        <v>266</v>
      </c>
      <c r="C330" t="s">
        <v>267</v>
      </c>
      <c r="E330" s="364"/>
    </row>
    <row r="331" spans="2:28" s="2" customFormat="1">
      <c r="B331" s="382" t="s">
        <v>1037</v>
      </c>
      <c r="C331" s="3613" t="s">
        <v>2853</v>
      </c>
      <c r="E331" s="1450"/>
      <c r="F331" s="374">
        <f>I83*F208/G208</f>
        <v>0</v>
      </c>
      <c r="G331" s="374">
        <f>H92</f>
        <v>0</v>
      </c>
      <c r="H331" s="374">
        <f>H101</f>
        <v>0</v>
      </c>
      <c r="I331" s="374">
        <f t="shared" ref="I331:N334" si="36">$I101*(I208/$I208)</f>
        <v>0</v>
      </c>
      <c r="J331" s="374">
        <f t="shared" si="36"/>
        <v>0</v>
      </c>
      <c r="K331" s="374">
        <f t="shared" si="36"/>
        <v>0</v>
      </c>
      <c r="L331" s="374">
        <f t="shared" si="36"/>
        <v>0</v>
      </c>
      <c r="M331" s="374">
        <f t="shared" si="36"/>
        <v>0</v>
      </c>
      <c r="N331" s="374">
        <f t="shared" si="36"/>
        <v>0</v>
      </c>
    </row>
    <row r="332" spans="2:28" s="2" customFormat="1">
      <c r="B332" s="382" t="s">
        <v>1038</v>
      </c>
      <c r="C332" t="s">
        <v>1039</v>
      </c>
      <c r="E332" s="1450"/>
      <c r="F332" s="374">
        <f>I84*F209/G209</f>
        <v>0</v>
      </c>
      <c r="G332" s="374">
        <f>H93</f>
        <v>0</v>
      </c>
      <c r="H332" s="374">
        <f>H102</f>
        <v>0</v>
      </c>
      <c r="I332" s="374">
        <f t="shared" si="36"/>
        <v>0</v>
      </c>
      <c r="J332" s="374">
        <f t="shared" si="36"/>
        <v>0</v>
      </c>
      <c r="K332" s="374">
        <f t="shared" si="36"/>
        <v>0</v>
      </c>
      <c r="L332" s="374">
        <f t="shared" si="36"/>
        <v>0</v>
      </c>
      <c r="M332" s="374">
        <f t="shared" si="36"/>
        <v>0</v>
      </c>
      <c r="N332" s="374">
        <f t="shared" si="36"/>
        <v>0</v>
      </c>
    </row>
    <row r="333" spans="2:28" s="2" customFormat="1">
      <c r="B333" s="382" t="s">
        <v>1040</v>
      </c>
      <c r="C333" t="s">
        <v>1041</v>
      </c>
      <c r="E333" s="1450"/>
      <c r="F333" s="374">
        <f>I85*F210/G210</f>
        <v>0</v>
      </c>
      <c r="G333" s="374">
        <f>H94</f>
        <v>0</v>
      </c>
      <c r="H333" s="374">
        <f>H103</f>
        <v>0</v>
      </c>
      <c r="I333" s="374">
        <f t="shared" si="36"/>
        <v>0</v>
      </c>
      <c r="J333" s="374">
        <f t="shared" si="36"/>
        <v>0</v>
      </c>
      <c r="K333" s="374">
        <f t="shared" si="36"/>
        <v>0</v>
      </c>
      <c r="L333" s="374">
        <f t="shared" si="36"/>
        <v>0</v>
      </c>
      <c r="M333" s="374">
        <f t="shared" si="36"/>
        <v>0</v>
      </c>
      <c r="N333" s="374">
        <f t="shared" si="36"/>
        <v>0</v>
      </c>
    </row>
    <row r="334" spans="2:28" s="2" customFormat="1">
      <c r="B334" s="382" t="s">
        <v>1042</v>
      </c>
      <c r="C334" t="s">
        <v>411</v>
      </c>
      <c r="E334" s="1450"/>
      <c r="F334" s="374">
        <f>I86*F211/G211</f>
        <v>0</v>
      </c>
      <c r="G334" s="374">
        <f>H95</f>
        <v>0</v>
      </c>
      <c r="H334" s="374">
        <f>H104</f>
        <v>0</v>
      </c>
      <c r="I334" s="374">
        <f t="shared" si="36"/>
        <v>0</v>
      </c>
      <c r="J334" s="374">
        <f t="shared" si="36"/>
        <v>0</v>
      </c>
      <c r="K334" s="374">
        <f t="shared" si="36"/>
        <v>0</v>
      </c>
      <c r="L334" s="374">
        <f t="shared" si="36"/>
        <v>0</v>
      </c>
      <c r="M334" s="374">
        <f t="shared" si="36"/>
        <v>0</v>
      </c>
      <c r="N334" s="374">
        <f t="shared" si="36"/>
        <v>0</v>
      </c>
    </row>
    <row r="335" spans="2:28" s="2" customFormat="1">
      <c r="B335" s="363"/>
      <c r="C335" s="363" t="s">
        <v>1096</v>
      </c>
      <c r="E335" s="1453" t="s">
        <v>994</v>
      </c>
      <c r="F335" s="1454">
        <f t="shared" ref="F335:N335" si="37">SUM(F331:F334)</f>
        <v>0</v>
      </c>
      <c r="G335" s="1454">
        <f t="shared" si="37"/>
        <v>0</v>
      </c>
      <c r="H335" s="1454">
        <f t="shared" si="37"/>
        <v>0</v>
      </c>
      <c r="I335" s="1454">
        <f t="shared" si="37"/>
        <v>0</v>
      </c>
      <c r="J335" s="1454">
        <f t="shared" si="37"/>
        <v>0</v>
      </c>
      <c r="K335" s="1454">
        <f t="shared" si="37"/>
        <v>0</v>
      </c>
      <c r="L335" s="1454">
        <f t="shared" si="37"/>
        <v>0</v>
      </c>
      <c r="M335" s="1454">
        <f t="shared" si="37"/>
        <v>0</v>
      </c>
      <c r="N335" s="1454">
        <f t="shared" si="37"/>
        <v>0</v>
      </c>
    </row>
    <row r="336" spans="2:28" s="2" customFormat="1">
      <c r="B336" s="363"/>
      <c r="C336"/>
      <c r="E336" s="364"/>
    </row>
    <row r="337" spans="2:20" s="2" customFormat="1">
      <c r="B337" s="363"/>
      <c r="C337"/>
      <c r="E337" s="1450"/>
      <c r="F337" s="374"/>
      <c r="G337" s="374"/>
      <c r="H337" s="374"/>
      <c r="I337" s="374"/>
      <c r="J337" s="374"/>
      <c r="K337" s="374"/>
      <c r="L337" s="374"/>
      <c r="M337" s="374"/>
      <c r="N337" s="374"/>
    </row>
    <row r="338" spans="2:20" s="2" customFormat="1">
      <c r="B338" s="363" t="s">
        <v>1097</v>
      </c>
      <c r="C338" s="363"/>
      <c r="E338" s="1450"/>
      <c r="F338" s="374"/>
      <c r="G338" s="374"/>
      <c r="H338" s="374"/>
      <c r="I338" s="374"/>
      <c r="J338" s="374"/>
      <c r="K338" s="374"/>
      <c r="L338" s="374"/>
      <c r="M338" s="374"/>
    </row>
    <row r="339" spans="2:20" s="2" customFormat="1">
      <c r="B339" s="363"/>
      <c r="C339" s="363"/>
      <c r="E339" s="1450"/>
      <c r="F339" s="1333">
        <v>2013</v>
      </c>
      <c r="G339" s="1333">
        <v>2015</v>
      </c>
      <c r="H339" s="1333">
        <v>2020</v>
      </c>
      <c r="I339" s="1333">
        <v>2025</v>
      </c>
      <c r="J339" s="1333">
        <v>2030</v>
      </c>
      <c r="K339" s="1333">
        <v>2035</v>
      </c>
      <c r="L339" s="1333">
        <v>2040</v>
      </c>
      <c r="M339" s="1333">
        <v>2045</v>
      </c>
      <c r="N339" s="1333">
        <v>2050</v>
      </c>
    </row>
    <row r="340" spans="2:20" s="2" customFormat="1">
      <c r="B340" s="363"/>
      <c r="C340" s="363"/>
      <c r="E340" s="1450"/>
      <c r="F340" s="374"/>
      <c r="G340" s="374"/>
      <c r="H340" s="374"/>
      <c r="I340" s="374"/>
      <c r="J340" s="374"/>
      <c r="K340" s="374"/>
      <c r="L340" s="374"/>
      <c r="M340" s="374"/>
    </row>
    <row r="341" spans="2:20" s="2" customFormat="1">
      <c r="B341"/>
      <c r="C341" t="s">
        <v>1085</v>
      </c>
      <c r="D341" s="363"/>
      <c r="E341" s="1458" t="s">
        <v>254</v>
      </c>
      <c r="F341" s="2167">
        <f t="array" ref="F341">SUM(F$240:F$244*SUMIFS(EF[CO2], EF[Vector], $B$240:$B$244))</f>
        <v>4.2078251519999998</v>
      </c>
      <c r="G341" s="2167">
        <f t="array" ref="G341">SUM(G$240:G$244*SUMIFS(EF[CO2], EF[Vector], $B$240:$B$244))</f>
        <v>4.2420650587881914</v>
      </c>
      <c r="H341" s="2167">
        <f t="array" ref="H341">SUM(H$240:H$244*SUMIFS(EF[CO2], EF[Vector], $B$240:$B$244))</f>
        <v>4.3425075453838513</v>
      </c>
      <c r="I341" s="2167">
        <f t="array" ref="I341">SUM(I$240:I$244*SUMIFS(EF[CO2], EF[Vector], $B$240:$B$244))</f>
        <v>4.4636892530831735</v>
      </c>
      <c r="J341" s="2167">
        <f t="array" ref="J341">SUM(J$240:J$244*SUMIFS(EF[CO2], EF[Vector], $B$240:$B$244))</f>
        <v>4.6052596366259184</v>
      </c>
      <c r="K341" s="2167">
        <f t="array" ref="K341">SUM(K$240:K$244*SUMIFS(EF[CO2], EF[Vector], $B$240:$B$244))</f>
        <v>4.7671261968804579</v>
      </c>
      <c r="L341" s="2167">
        <f t="array" ref="L341">SUM(L$240:L$244*SUMIFS(EF[CO2], EF[Vector], $B$240:$B$244))</f>
        <v>4.9494436535960773</v>
      </c>
      <c r="M341" s="2167">
        <f t="array" ref="M341">SUM(M$240:M$244*SUMIFS(EF[CO2], EF[Vector], $B$240:$B$244))</f>
        <v>5.1526070918922198</v>
      </c>
      <c r="N341" s="2167">
        <f t="array" ref="N341">SUM(N$240:N$244*SUMIFS(EF[CO2], EF[Vector], $B$240:$B$244))</f>
        <v>5.3772488662081734</v>
      </c>
    </row>
    <row r="342" spans="2:20" s="2" customFormat="1">
      <c r="B342"/>
      <c r="C342" t="s">
        <v>1087</v>
      </c>
      <c r="E342" s="1458" t="s">
        <v>254</v>
      </c>
      <c r="F342" s="2167">
        <f t="array" ref="F342">SUM(F$240:F$244*SUMIFS(EF[CH4], EF[Vector], $B$240:$B$244))</f>
        <v>2.1521051999999997E-3</v>
      </c>
      <c r="G342" s="2167">
        <f t="array" ref="G342">SUM(G$240:G$244*SUMIFS(EF[CH4], EF[Vector], $B$240:$B$244))</f>
        <v>2.1696173063220411E-3</v>
      </c>
      <c r="H342" s="2167">
        <f t="array" ref="H342">SUM(H$240:H$244*SUMIFS(EF[CH4], EF[Vector], $B$240:$B$244))</f>
        <v>2.2209889270275039E-3</v>
      </c>
      <c r="I342" s="2167">
        <f t="array" ref="I342">SUM(I$240:I$244*SUMIFS(EF[CH4], EF[Vector], $B$240:$B$244))</f>
        <v>2.2829676865680788E-3</v>
      </c>
      <c r="J342" s="2167">
        <f t="array" ref="J342">SUM(J$240:J$244*SUMIFS(EF[CH4], EF[Vector], $B$240:$B$244))</f>
        <v>2.3553742974852464E-3</v>
      </c>
      <c r="K342" s="2167">
        <f t="array" ref="K342">SUM(K$240:K$244*SUMIFS(EF[CH4], EF[Vector], $B$240:$B$244))</f>
        <v>2.4381614508117893E-3</v>
      </c>
      <c r="L342" s="2167">
        <f t="array" ref="L342">SUM(L$240:L$244*SUMIFS(EF[CH4], EF[Vector], $B$240:$B$244))</f>
        <v>2.5314082784424399E-3</v>
      </c>
      <c r="M342" s="2167">
        <f t="array" ref="M342">SUM(M$240:M$244*SUMIFS(EF[CH4], EF[Vector], $B$240:$B$244))</f>
        <v>2.6353168478845876E-3</v>
      </c>
      <c r="N342" s="2167">
        <f t="array" ref="N342">SUM(N$240:N$244*SUMIFS(EF[CH4], EF[Vector], $B$240:$B$244))</f>
        <v>2.7502105787737628E-3</v>
      </c>
    </row>
    <row r="343" spans="2:20" s="2" customFormat="1">
      <c r="B343"/>
      <c r="C343" t="s">
        <v>1089</v>
      </c>
      <c r="E343" s="1458" t="s">
        <v>254</v>
      </c>
      <c r="F343" s="2167">
        <f t="array" ref="F343">SUM(F$240:F$244*SUMIFS(EF[N2O], EF[Vector], $B$240:$B$244))</f>
        <v>2.9418875999999997E-2</v>
      </c>
      <c r="G343" s="2167">
        <f t="array" ref="G343">SUM(G$240:G$244*SUMIFS(EF[N2O], EF[Vector], $B$240:$B$244))</f>
        <v>2.9658263221585143E-2</v>
      </c>
      <c r="H343" s="2167">
        <f t="array" ref="H343">SUM(H$240:H$244*SUMIFS(EF[N2O], EF[Vector], $B$240:$B$244))</f>
        <v>3.0360503678721274E-2</v>
      </c>
      <c r="I343" s="2167">
        <f t="array" ref="I343">SUM(I$240:I$244*SUMIFS(EF[N2O], EF[Vector], $B$240:$B$244))</f>
        <v>3.1207741741971155E-2</v>
      </c>
      <c r="J343" s="2167">
        <f t="array" ref="J343">SUM(J$240:J$244*SUMIFS(EF[N2O], EF[Vector], $B$240:$B$244))</f>
        <v>3.2197526585273605E-2</v>
      </c>
      <c r="K343" s="2167">
        <f t="array" ref="K343">SUM(K$240:K$244*SUMIFS(EF[N2O], EF[Vector], $B$240:$B$244))</f>
        <v>3.3329211503885646E-2</v>
      </c>
      <c r="L343" s="2167">
        <f t="array" ref="L343">SUM(L$240:L$244*SUMIFS(EF[N2O], EF[Vector], $B$240:$B$244))</f>
        <v>3.4603878216023828E-2</v>
      </c>
      <c r="M343" s="2167">
        <f t="array" ref="M343">SUM(M$240:M$244*SUMIFS(EF[N2O], EF[Vector], $B$240:$B$244))</f>
        <v>3.602428894676131E-2</v>
      </c>
      <c r="N343" s="2167">
        <f t="array" ref="N343">SUM(N$240:N$244*SUMIFS(EF[N2O], EF[Vector], $B$240:$B$244))</f>
        <v>3.759486478209037E-2</v>
      </c>
    </row>
    <row r="344" spans="2:20" s="2" customFormat="1">
      <c r="B344" s="364"/>
      <c r="C344"/>
      <c r="E344" s="1458"/>
      <c r="F344" s="413"/>
      <c r="G344" s="413"/>
      <c r="H344" s="413"/>
      <c r="I344" s="413"/>
      <c r="J344" s="413"/>
      <c r="K344" s="413"/>
      <c r="L344" s="413"/>
      <c r="M344" s="413"/>
      <c r="N344" s="413"/>
    </row>
    <row r="345" spans="2:20" s="2" customFormat="1">
      <c r="B345" s="364"/>
      <c r="C345" t="s">
        <v>1098</v>
      </c>
      <c r="E345" s="1458" t="s">
        <v>254</v>
      </c>
      <c r="F345" s="413"/>
      <c r="G345" s="413"/>
      <c r="H345" s="413"/>
      <c r="I345" s="413"/>
      <c r="J345" s="413"/>
      <c r="K345" s="413"/>
      <c r="L345" s="413"/>
      <c r="M345" s="413"/>
      <c r="N345" s="413">
        <v>89.397057213390198</v>
      </c>
    </row>
    <row r="346" spans="2:20" s="2" customFormat="1">
      <c r="B346" s="363"/>
      <c r="E346" s="1450"/>
      <c r="F346" s="413"/>
      <c r="G346" s="413"/>
      <c r="H346" s="413"/>
      <c r="I346" s="413"/>
      <c r="J346" s="413"/>
      <c r="K346" s="413"/>
      <c r="L346" s="413"/>
      <c r="M346" s="413"/>
      <c r="N346" s="413"/>
    </row>
    <row r="347" spans="2:20" s="2" customFormat="1">
      <c r="B347" t="s">
        <v>1099</v>
      </c>
      <c r="E347" s="1450"/>
      <c r="F347" s="413" t="s">
        <v>5</v>
      </c>
      <c r="G347" s="413"/>
      <c r="H347" s="413"/>
      <c r="I347" s="413"/>
      <c r="J347" s="413"/>
      <c r="K347" s="413"/>
      <c r="L347" s="413"/>
      <c r="M347" s="413"/>
      <c r="N347" s="413"/>
    </row>
    <row r="348" spans="2:20">
      <c r="C348" t="s">
        <v>147</v>
      </c>
      <c r="D348" s="1459"/>
      <c r="E348" s="1459"/>
      <c r="F348" s="1460">
        <f ca="1">F241*(1-'Intermediate output'!AY$253)</f>
        <v>3.0159421377019973</v>
      </c>
      <c r="G348" s="1460">
        <f ca="1">G241*(1-'Intermediate output'!AZ$253)</f>
        <v>2.6382508398905484</v>
      </c>
      <c r="H348" s="1460">
        <f ca="1">H241*(1-'Intermediate output'!BA$253)</f>
        <v>0.52559811736783035</v>
      </c>
      <c r="I348" s="1460">
        <f ca="1">I241*(1-'Intermediate output'!BB$253)</f>
        <v>0</v>
      </c>
      <c r="J348" s="1460">
        <f ca="1">J241*(1-'Intermediate output'!BC$253)</f>
        <v>-7.5578287859440103E-16</v>
      </c>
      <c r="K348" s="1460">
        <f ca="1">K241*(1-'Intermediate output'!BD$253)</f>
        <v>0</v>
      </c>
      <c r="L348" s="1460">
        <f ca="1">L241*(1-'Intermediate output'!BE$253)</f>
        <v>0</v>
      </c>
      <c r="M348" s="1460">
        <f ca="1">M241*(1-'Intermediate output'!BF$253)</f>
        <v>0</v>
      </c>
      <c r="N348" s="1460">
        <f ca="1">N241*(1-'Intermediate output'!BG$253)</f>
        <v>0</v>
      </c>
      <c r="O348" s="1077"/>
      <c r="R348" s="6"/>
      <c r="S348" s="374"/>
      <c r="T348" s="6"/>
    </row>
    <row r="349" spans="2:20">
      <c r="C349" t="s">
        <v>145</v>
      </c>
      <c r="D349" s="1459"/>
      <c r="E349" s="1459"/>
      <c r="F349" s="1460">
        <f ca="1">F242*(1-'Intermediate output'!AY$254)</f>
        <v>6.2708754974462355</v>
      </c>
      <c r="G349" s="1460">
        <f ca="1">G242*(1-'Intermediate output'!AZ$254)</f>
        <v>6.3030715662985788</v>
      </c>
      <c r="H349" s="1460">
        <f ca="1">H242*(1-'Intermediate output'!BA$254)</f>
        <v>6.3988887974393682</v>
      </c>
      <c r="I349" s="1460">
        <f ca="1">I242*(1-'Intermediate output'!BB$254)</f>
        <v>6.4624240683842284</v>
      </c>
      <c r="J349" s="1460">
        <f ca="1">J242*(1-'Intermediate output'!BC$254)</f>
        <v>6.5335079620223784</v>
      </c>
      <c r="K349" s="1460">
        <f ca="1">K242*(1-'Intermediate output'!BD$254)</f>
        <v>6.6168682175955276</v>
      </c>
      <c r="L349" s="1460">
        <f ca="1">L242*(1-'Intermediate output'!BE$254)</f>
        <v>6.7117724812505672</v>
      </c>
      <c r="M349" s="1460">
        <f ca="1">M242*(1-'Intermediate output'!BF$254)</f>
        <v>6.815004542365247</v>
      </c>
      <c r="N349" s="1460">
        <f ca="1">N242*(1-'Intermediate output'!BG$254)</f>
        <v>6.9273613875385971</v>
      </c>
      <c r="O349" s="1077"/>
      <c r="R349" s="6"/>
      <c r="S349" s="374"/>
      <c r="T349" s="6"/>
    </row>
    <row r="350" spans="2:20">
      <c r="C350" t="s">
        <v>142</v>
      </c>
      <c r="D350" s="1459"/>
      <c r="E350" s="1459"/>
      <c r="F350" s="1460">
        <f ca="1">F243*(1-'Intermediate output'!AY$255)</f>
        <v>7.2041249464146393</v>
      </c>
      <c r="G350" s="1460">
        <f ca="1">G243*(1-'Intermediate output'!AZ$255)</f>
        <v>7.2425002854823735</v>
      </c>
      <c r="H350" s="1460">
        <f ca="1">H243*(1-'Intermediate output'!BA$255)</f>
        <v>7.2672104628396568</v>
      </c>
      <c r="I350" s="1460">
        <f ca="1">I243*(1-'Intermediate output'!BB$255)</f>
        <v>7.1784902509972097</v>
      </c>
      <c r="J350" s="1460">
        <f ca="1">J243*(1-'Intermediate output'!BC$255)</f>
        <v>6.4146448847324518</v>
      </c>
      <c r="K350" s="1460">
        <f ca="1">K243*(1-'Intermediate output'!BD$255)</f>
        <v>6.4248728268434938</v>
      </c>
      <c r="L350" s="1460">
        <f ca="1">L243*(1-'Intermediate output'!BE$255)</f>
        <v>6.4786082024750096</v>
      </c>
      <c r="M350" s="1460">
        <f ca="1">M243*(1-'Intermediate output'!BF$255)</f>
        <v>6.6929206702028958</v>
      </c>
      <c r="N350" s="1460">
        <f ca="1">N243*(1-'Intermediate output'!BG$255)</f>
        <v>6.9966792043571457</v>
      </c>
      <c r="O350" s="1077"/>
      <c r="R350" s="6"/>
      <c r="S350" s="374"/>
      <c r="T350" s="6"/>
    </row>
    <row r="351" spans="2:20">
      <c r="C351" t="s">
        <v>148</v>
      </c>
      <c r="D351" s="1459"/>
      <c r="E351" s="1459"/>
      <c r="F351" s="1460">
        <f ca="1">F241*('Intermediate output'!AY$253)</f>
        <v>9.4057862298002656E-2</v>
      </c>
      <c r="G351" s="1460">
        <f ca="1">G241*('Intermediate output'!AZ$253)</f>
        <v>0.49705584616808263</v>
      </c>
      <c r="H351" s="1460">
        <f ca="1">H241*('Intermediate output'!BA$253)</f>
        <v>2.6839455253200533</v>
      </c>
      <c r="I351" s="1460">
        <f ca="1">I241*('Intermediate output'!BB$253)</f>
        <v>3.299108940040071</v>
      </c>
      <c r="J351" s="1460">
        <f ca="1">J241*('Intermediate output'!BC$253)</f>
        <v>3.4037434904107462</v>
      </c>
      <c r="K351" s="1460">
        <f ca="1">K241*('Intermediate output'!BD$253)</f>
        <v>3.5233789277701968</v>
      </c>
      <c r="L351" s="1460">
        <f ca="1">L241*('Intermediate output'!BE$253)</f>
        <v>3.6581296053538592</v>
      </c>
      <c r="M351" s="1460">
        <f ca="1">M241*('Intermediate output'!BF$253)</f>
        <v>3.8082875302383297</v>
      </c>
      <c r="N351" s="1460">
        <f ca="1">N241*('Intermediate output'!BG$253)</f>
        <v>3.9743200750532086</v>
      </c>
      <c r="O351" s="1077"/>
      <c r="R351" s="6"/>
      <c r="S351" s="374"/>
      <c r="T351" s="6"/>
    </row>
    <row r="352" spans="2:20">
      <c r="C352" t="s">
        <v>146</v>
      </c>
      <c r="D352" s="1459"/>
      <c r="E352" s="1459"/>
      <c r="F352" s="1460">
        <f ca="1">F242*'Intermediate output'!AY$254</f>
        <v>7.9124502553764325E-2</v>
      </c>
      <c r="G352" s="1460">
        <f ca="1">G242*'Intermediate output'!AZ$254</f>
        <v>9.8599641570330812E-2</v>
      </c>
      <c r="H352" s="1460">
        <f ca="1">H242*'Intermediate output'!BA$254</f>
        <v>0.15435947621595633</v>
      </c>
      <c r="I352" s="1460">
        <f ca="1">I242*'Intermediate output'!BB$254</f>
        <v>0.27369868700305527</v>
      </c>
      <c r="J352" s="1460">
        <f ca="1">J242*'Intermediate output'!BC$254</f>
        <v>0.41625768560084825</v>
      </c>
      <c r="K352" s="1460">
        <f ca="1">K242*'Intermediate output'!BD$254</f>
        <v>0.57716914296419852</v>
      </c>
      <c r="L352" s="1460">
        <f ca="1">L242*'Intermediate output'!BE$254</f>
        <v>0.75739889945586503</v>
      </c>
      <c r="M352" s="1460">
        <f ca="1">M242*'Intermediate output'!BF$254</f>
        <v>0.96075938593487908</v>
      </c>
      <c r="N352" s="1460">
        <f ca="1">N242*'Intermediate output'!BG$254</f>
        <v>1.1874078975378908</v>
      </c>
      <c r="O352" s="1077"/>
      <c r="R352" s="6"/>
      <c r="S352" s="374"/>
      <c r="T352" s="6"/>
    </row>
    <row r="353" spans="2:28">
      <c r="C353" s="3613" t="s">
        <v>143</v>
      </c>
      <c r="D353" s="1459"/>
      <c r="E353" s="1459"/>
      <c r="F353" s="1460">
        <f ca="1">F243*'Intermediate output'!AY$255</f>
        <v>3.5875053585360389E-2</v>
      </c>
      <c r="G353" s="1460">
        <f ca="1">G243*'Intermediate output'!AZ$255</f>
        <v>5.641302868627221E-2</v>
      </c>
      <c r="H353" s="1460">
        <f ca="1">H243*'Intermediate output'!BA$255</f>
        <v>0.20452457672956462</v>
      </c>
      <c r="I353" s="1460">
        <f ca="1">I243*'Intermediate output'!BB$255</f>
        <v>0.50175049687742612</v>
      </c>
      <c r="J353" s="1460">
        <f ca="1">J243*'Intermediate output'!BC$255</f>
        <v>1.5091824048411167</v>
      </c>
      <c r="K353" s="1460">
        <f ca="1">K243*'Intermediate output'!BD$255</f>
        <v>1.7774626834639733</v>
      </c>
      <c r="L353" s="1460">
        <f ca="1">L243*'Intermediate output'!BE$255</f>
        <v>2.0374234189918528</v>
      </c>
      <c r="M353" s="1460">
        <f ca="1">M243*'Intermediate output'!BF$255</f>
        <v>2.1726747378117373</v>
      </c>
      <c r="N353" s="1460">
        <f ca="1">N243*'Intermediate output'!BG$255</f>
        <v>2.255435697052897</v>
      </c>
      <c r="O353" s="1077"/>
      <c r="R353" s="6"/>
      <c r="S353" s="374"/>
      <c r="T353" s="6"/>
    </row>
    <row r="354" spans="2:28" s="2" customFormat="1">
      <c r="B354" s="363"/>
      <c r="E354" s="1450"/>
      <c r="F354" s="413"/>
      <c r="G354" s="413"/>
      <c r="H354" s="413"/>
      <c r="I354" s="413"/>
      <c r="J354" s="413"/>
      <c r="K354" s="413"/>
      <c r="L354" s="413"/>
      <c r="M354" s="413"/>
      <c r="N354" s="413"/>
    </row>
    <row r="355" spans="2:28" s="2" customFormat="1">
      <c r="B355" s="363" t="s">
        <v>260</v>
      </c>
      <c r="C355" t="s">
        <v>261</v>
      </c>
      <c r="E355" s="1450" t="s">
        <v>994</v>
      </c>
      <c r="F355" s="2445">
        <f ca="1">SUMPRODUCT(F$348:F$350,F110:F112)+SUMPRODUCT(F$351:F$353,F110:F112,Constants!$F$35:$F$37)</f>
        <v>0.35756443684696865</v>
      </c>
      <c r="G355" s="2445">
        <f ca="1">SUMPRODUCT(G$348:G$350,G110:G112)+SUMPRODUCT(G$351:G$353,G110:G112,Constants!$F$35:$F$37)</f>
        <v>0.49259916154307581</v>
      </c>
      <c r="H355" s="2445">
        <f ca="1">SUMPRODUCT(H$348:H$350,H110:H112)+SUMPRODUCT(H$351:H$353,H110:H112,Constants!$F$35:$F$37)</f>
        <v>0.75254393626089233</v>
      </c>
      <c r="I355" s="2445">
        <f ca="1">SUMPRODUCT(I$348:I$350,I110:I112)+SUMPRODUCT(I$351:I$353,I110:I112,Constants!$F$35:$F$37)</f>
        <v>0.85850969071334493</v>
      </c>
      <c r="J355" s="2445">
        <f ca="1">SUMPRODUCT(J$348:J$350,J110:J112)+SUMPRODUCT(J$351:J$353,J110:J112,Constants!$F$35:$F$37)</f>
        <v>0.92415866387463474</v>
      </c>
      <c r="K355" s="2445">
        <f ca="1">SUMPRODUCT(K$348:K$350,K110:K112)+SUMPRODUCT(K$351:K$353,K110:K112,Constants!$F$35:$F$37)</f>
        <v>0.98893617562444236</v>
      </c>
      <c r="L355" s="2445">
        <f ca="1">SUMPRODUCT(L$348:L$350,L110:L112)+SUMPRODUCT(L$351:L$353,L110:L112,Constants!$F$35:$F$37)</f>
        <v>1.0601885887584266</v>
      </c>
      <c r="M355" s="2445">
        <f ca="1">SUMPRODUCT(M$348:M$350,M110:M112)+SUMPRODUCT(M$351:M$353,M110:M112,Constants!$F$35:$F$37)</f>
        <v>1.1343748680598302</v>
      </c>
      <c r="N355" s="2445">
        <f ca="1">SUMPRODUCT(N$348:N$350,N110:N112)+SUMPRODUCT(N$351:N$353,N110:N112,Constants!$F$35:$F$37)</f>
        <v>1.2142660919111936</v>
      </c>
      <c r="S355" s="413"/>
      <c r="T355" s="413"/>
      <c r="U355" s="413"/>
      <c r="V355" s="413"/>
      <c r="W355" s="413"/>
      <c r="X355" s="413"/>
      <c r="Y355" s="413"/>
      <c r="Z355" s="413"/>
      <c r="AA355" s="413"/>
      <c r="AB355" s="413"/>
    </row>
    <row r="356" spans="2:28" s="2" customFormat="1">
      <c r="B356" s="363" t="s">
        <v>262</v>
      </c>
      <c r="C356" t="s">
        <v>263</v>
      </c>
      <c r="E356" s="1450" t="s">
        <v>994</v>
      </c>
      <c r="F356" s="2445">
        <f ca="1">SUMPRODUCT(F$348:F$350,F117:F119)+SUMPRODUCT(F$351:F$353,F117:F119,Constants!$G$35:$G$37)</f>
        <v>8.812038561840966</v>
      </c>
      <c r="G356" s="2445">
        <f ca="1">SUMPRODUCT(G$348:G$350,G117:G119)+SUMPRODUCT(G$351:G$353,G117:G119,Constants!$G$35:$G$37)</f>
        <v>5.1993080901320843</v>
      </c>
      <c r="H356" s="2445">
        <f ca="1">SUMPRODUCT(H$348:H$350,H117:H119)+SUMPRODUCT(H$351:H$353,H117:H119,Constants!$G$35:$G$37)</f>
        <v>4.7113092334297377</v>
      </c>
      <c r="I356" s="2445">
        <f ca="1">SUMPRODUCT(I$348:I$350,I117:I119)+SUMPRODUCT(I$351:I$353,I117:I119,Constants!$G$35:$G$37)</f>
        <v>4.5419226015061547</v>
      </c>
      <c r="J356" s="2445">
        <f ca="1">SUMPRODUCT(J$348:J$350,J117:J119)+SUMPRODUCT(J$351:J$353,J117:J119,Constants!$G$35:$G$37)</f>
        <v>4.3486248825167619</v>
      </c>
      <c r="K356" s="2445">
        <f ca="1">SUMPRODUCT(K$348:K$350,K117:K119)+SUMPRODUCT(K$351:K$353,K117:K119,Constants!$G$35:$G$37)</f>
        <v>4.4571390306685252</v>
      </c>
      <c r="L356" s="2445">
        <f ca="1">SUMPRODUCT(L$348:L$350,L117:L119)+SUMPRODUCT(L$351:L$353,L117:L119,Constants!$G$35:$G$37)</f>
        <v>4.5858792051263331</v>
      </c>
      <c r="M356" s="2445">
        <f ca="1">SUMPRODUCT(M$348:M$350,M117:M119)+SUMPRODUCT(M$351:M$353,M117:M119,Constants!$G$35:$G$37)</f>
        <v>4.7526859360661451</v>
      </c>
      <c r="N356" s="2445">
        <f ca="1">SUMPRODUCT(N$348:N$350,N117:N119)+SUMPRODUCT(N$351:N$353,N117:N119,Constants!$G$35:$G$37)</f>
        <v>4.9471693652826074</v>
      </c>
      <c r="S356" s="413"/>
      <c r="T356" s="413"/>
      <c r="U356" s="413"/>
      <c r="V356" s="413"/>
      <c r="W356" s="413"/>
      <c r="X356" s="413"/>
      <c r="Y356" s="413"/>
      <c r="Z356" s="413"/>
      <c r="AA356" s="413"/>
      <c r="AB356" s="413"/>
    </row>
    <row r="357" spans="2:28" s="2" customFormat="1">
      <c r="B357" s="363" t="s">
        <v>264</v>
      </c>
      <c r="C357" t="s">
        <v>265</v>
      </c>
      <c r="E357" s="1450" t="s">
        <v>994</v>
      </c>
      <c r="F357" s="2445">
        <f ca="1">SUMPRODUCT(F$348:F$350,F124:F126)+SUMPRODUCT(F$351:F$353,F124:F126,Constants!$H$35:$H$37)</f>
        <v>5.6338520668312455</v>
      </c>
      <c r="G357" s="2445">
        <f ca="1">SUMPRODUCT(G$348:G$350,G124:G126)+SUMPRODUCT(G$351:G$353,G124:G126,Constants!$H$35:$H$37)</f>
        <v>5.4743521732513916</v>
      </c>
      <c r="H357" s="2445">
        <f ca="1">SUMPRODUCT(H$348:H$350,H124:H126)+SUMPRODUCT(H$351:H$353,H124:H126,Constants!$H$35:$H$37)</f>
        <v>2.7288187694173862</v>
      </c>
      <c r="I357" s="2445">
        <f ca="1">SUMPRODUCT(I$348:I$350,I124:I126)+SUMPRODUCT(I$351:I$353,I124:I126,Constants!$H$35:$H$37)</f>
        <v>2.1310808616817427</v>
      </c>
      <c r="J357" s="2445">
        <f ca="1">SUMPRODUCT(J$348:J$350,J124:J126)+SUMPRODUCT(J$351:J$353,J124:J126,Constants!$H$35:$H$37)</f>
        <v>2.1886454836565101</v>
      </c>
      <c r="K357" s="2445">
        <f ca="1">SUMPRODUCT(K$348:K$350,K124:K126)+SUMPRODUCT(K$351:K$353,K124:K126,Constants!$H$35:$H$37)</f>
        <v>2.2182871319534425</v>
      </c>
      <c r="L357" s="2445">
        <f ca="1">SUMPRODUCT(L$348:L$350,L124:L126)+SUMPRODUCT(L$351:L$353,L124:L126,Constants!$H$35:$H$37)</f>
        <v>2.2520009349596566</v>
      </c>
      <c r="M357" s="2445">
        <f ca="1">SUMPRODUCT(M$348:M$350,M124:M126)+SUMPRODUCT(M$351:M$353,M124:M126,Constants!$H$35:$H$37)</f>
        <v>2.2887538308277606</v>
      </c>
      <c r="N357" s="2445">
        <f ca="1">SUMPRODUCT(N$348:N$350,N124:N126)+SUMPRODUCT(N$351:N$353,N124:N126,Constants!$H$35:$H$37)</f>
        <v>2.3288139757269239</v>
      </c>
      <c r="S357" s="413"/>
      <c r="T357" s="413"/>
      <c r="U357" s="413"/>
      <c r="V357" s="413"/>
      <c r="W357" s="413"/>
      <c r="X357" s="413"/>
      <c r="Y357" s="413"/>
      <c r="Z357" s="413"/>
      <c r="AA357" s="413"/>
      <c r="AB357" s="413"/>
    </row>
    <row r="358" spans="2:28" s="2" customFormat="1">
      <c r="B358" s="363" t="s">
        <v>266</v>
      </c>
      <c r="C358" t="s">
        <v>267</v>
      </c>
      <c r="E358" s="1450" t="s">
        <v>994</v>
      </c>
      <c r="F358" s="3621">
        <f ca="1">SUMPRODUCT(F$348:F$350,F131:F133)+SUMPRODUCT(F$351:F$353,F131:F133,Constants!$I$35:$I$37)</f>
        <v>0.1544507910861343</v>
      </c>
      <c r="G358" s="3621">
        <f ca="1">SUMPRODUCT(G$348:G$350,G131:G133)+SUMPRODUCT(G$351:G$353,G131:G133,Constants!$I$35:$I$37)</f>
        <v>0.17886253792998041</v>
      </c>
      <c r="H358" s="3621">
        <f ca="1">SUMPRODUCT(H$348:H$350,H131:H133)+SUMPRODUCT(H$351:H$353,H131:H133,Constants!$I$35:$I$37)</f>
        <v>0.40761546129785098</v>
      </c>
      <c r="I358" s="3621">
        <f ca="1">SUMPRODUCT(I$348:I$350,I131:I133)+SUMPRODUCT(I$351:I$353,I131:I133,Constants!$I$35:$I$37)</f>
        <v>0.48161914058704081</v>
      </c>
      <c r="J358" s="3621">
        <f ca="1">SUMPRODUCT(J$348:J$350,J131:J133)+SUMPRODUCT(J$351:J$353,J131:J133,Constants!$I$35:$I$37)</f>
        <v>0.50994437515766888</v>
      </c>
      <c r="K358" s="3621">
        <f ca="1">SUMPRODUCT(K$348:K$350,K131:K133)+SUMPRODUCT(K$351:K$353,K131:K133,Constants!$I$35:$I$37)</f>
        <v>0.53658300780648027</v>
      </c>
      <c r="L358" s="3621">
        <f ca="1">SUMPRODUCT(L$348:L$350,L131:L133)+SUMPRODUCT(L$351:L$353,L131:L133,Constants!$I$35:$I$37)</f>
        <v>0.56632216090700049</v>
      </c>
      <c r="M358" s="3621">
        <f ca="1">SUMPRODUCT(M$348:M$350,M131:M133)+SUMPRODUCT(M$351:M$353,M131:M133,Constants!$I$35:$I$37)</f>
        <v>0.59881662117841472</v>
      </c>
      <c r="N358" s="3621">
        <f ca="1">SUMPRODUCT(N$348:N$350,N131:N133)+SUMPRODUCT(N$351:N$353,N131:N133,Constants!$I$35:$I$37)</f>
        <v>0.63450380938770301</v>
      </c>
      <c r="S358" s="413"/>
      <c r="T358" s="413"/>
      <c r="U358" s="413"/>
      <c r="V358" s="413"/>
      <c r="W358" s="413"/>
      <c r="X358" s="413"/>
      <c r="Y358" s="413"/>
      <c r="Z358" s="413"/>
      <c r="AA358" s="413"/>
      <c r="AB358" s="413"/>
    </row>
    <row r="359" spans="2:28" s="2" customFormat="1">
      <c r="B359" s="363"/>
      <c r="E359" s="1450"/>
      <c r="F359" s="413"/>
      <c r="G359" s="413"/>
      <c r="H359" s="413"/>
      <c r="I359" s="413"/>
      <c r="J359" s="413"/>
      <c r="K359" s="413"/>
      <c r="L359" s="413"/>
      <c r="M359" s="413"/>
      <c r="N359" s="413"/>
    </row>
    <row r="360" spans="2:28" s="2" customFormat="1">
      <c r="B360" s="363" t="s">
        <v>1100</v>
      </c>
      <c r="C360"/>
      <c r="J360" s="413"/>
      <c r="N360" s="410"/>
    </row>
    <row r="361" spans="2:28" s="2" customFormat="1">
      <c r="B361" s="363"/>
      <c r="C361"/>
      <c r="F361" s="1333">
        <v>2013</v>
      </c>
      <c r="G361" s="1333">
        <v>2015</v>
      </c>
      <c r="H361" s="1333">
        <v>2020</v>
      </c>
      <c r="I361" s="1333">
        <v>2025</v>
      </c>
      <c r="J361" s="1333">
        <v>2030</v>
      </c>
      <c r="K361" s="1333">
        <v>2035</v>
      </c>
      <c r="L361" s="1333">
        <v>2040</v>
      </c>
      <c r="M361" s="1333">
        <v>2045</v>
      </c>
      <c r="N361" s="1333">
        <v>2050</v>
      </c>
    </row>
    <row r="362" spans="2:28" s="2" customFormat="1">
      <c r="B362" s="363"/>
      <c r="C362"/>
      <c r="E362" s="364"/>
      <c r="F362" s="1325"/>
      <c r="G362" s="1325"/>
      <c r="H362" s="1325"/>
      <c r="I362" s="1325"/>
      <c r="J362" s="1325"/>
      <c r="K362" s="1325"/>
      <c r="L362" s="1325"/>
      <c r="M362" s="1325"/>
      <c r="N362" s="410"/>
    </row>
    <row r="363" spans="2:28" s="2" customFormat="1">
      <c r="B363" s="363"/>
      <c r="C363" t="s">
        <v>1101</v>
      </c>
      <c r="E363" s="1458" t="s">
        <v>254</v>
      </c>
      <c r="F363" s="374">
        <f t="shared" ref="F363:N363" si="38">F$286</f>
        <v>1.39</v>
      </c>
      <c r="G363" s="374">
        <f t="shared" si="38"/>
        <v>1.32136875</v>
      </c>
      <c r="H363" s="374">
        <f t="shared" si="38"/>
        <v>1.1642523149646604</v>
      </c>
      <c r="I363" s="374">
        <f t="shared" si="38"/>
        <v>1.0258177006990448</v>
      </c>
      <c r="J363" s="374">
        <f t="shared" si="38"/>
        <v>0.90384355825774465</v>
      </c>
      <c r="K363" s="374">
        <f t="shared" si="38"/>
        <v>0.79637266665151207</v>
      </c>
      <c r="L363" s="374">
        <f t="shared" si="38"/>
        <v>0.70168052689576832</v>
      </c>
      <c r="M363" s="374">
        <f t="shared" si="38"/>
        <v>0.61824769036199845</v>
      </c>
      <c r="N363" s="374">
        <f t="shared" si="38"/>
        <v>0.54473537740733713</v>
      </c>
    </row>
    <row r="364" spans="2:28" s="414" customFormat="1" ht="12.75">
      <c r="B364" s="1461" t="s">
        <v>219</v>
      </c>
      <c r="C364" s="414" t="s">
        <v>1102</v>
      </c>
      <c r="E364" s="1462"/>
      <c r="F364" s="1237">
        <f t="shared" ref="F364:N364" si="39">INDEX(F$51:F$53, MATCH($E$9,$C$51:$C$53, 0))</f>
        <v>0</v>
      </c>
      <c r="G364" s="1237">
        <f t="shared" si="39"/>
        <v>0</v>
      </c>
      <c r="H364" s="1237">
        <f t="shared" si="39"/>
        <v>0</v>
      </c>
      <c r="I364" s="1237">
        <f t="shared" si="39"/>
        <v>0</v>
      </c>
      <c r="J364" s="1237">
        <f t="shared" si="39"/>
        <v>0</v>
      </c>
      <c r="K364" s="1237">
        <f t="shared" si="39"/>
        <v>0</v>
      </c>
      <c r="L364" s="1237">
        <f t="shared" si="39"/>
        <v>0</v>
      </c>
      <c r="M364" s="1237">
        <f t="shared" si="39"/>
        <v>0</v>
      </c>
      <c r="N364" s="1237">
        <f t="shared" si="39"/>
        <v>0</v>
      </c>
    </row>
    <row r="365" spans="2:28" s="2" customFormat="1">
      <c r="B365" s="375" t="s">
        <v>221</v>
      </c>
      <c r="C365" s="363" t="s">
        <v>1103</v>
      </c>
      <c r="E365" s="1458" t="s">
        <v>254</v>
      </c>
      <c r="F365" s="374">
        <f t="shared" ref="F365:N365" si="40">F363*F364</f>
        <v>0</v>
      </c>
      <c r="G365" s="374">
        <f t="shared" si="40"/>
        <v>0</v>
      </c>
      <c r="H365" s="374">
        <f t="shared" si="40"/>
        <v>0</v>
      </c>
      <c r="I365" s="374">
        <f t="shared" si="40"/>
        <v>0</v>
      </c>
      <c r="J365" s="374">
        <f t="shared" si="40"/>
        <v>0</v>
      </c>
      <c r="K365" s="374">
        <f t="shared" si="40"/>
        <v>0</v>
      </c>
      <c r="L365" s="374">
        <f t="shared" si="40"/>
        <v>0</v>
      </c>
      <c r="M365" s="374">
        <f t="shared" si="40"/>
        <v>0</v>
      </c>
      <c r="N365" s="374">
        <f t="shared" si="40"/>
        <v>0</v>
      </c>
    </row>
    <row r="366" spans="2:28" s="2" customFormat="1">
      <c r="B366" s="375"/>
      <c r="C366"/>
      <c r="E366" s="1458"/>
      <c r="F366" s="374"/>
      <c r="G366" s="374"/>
      <c r="H366" s="374"/>
      <c r="I366" s="374"/>
      <c r="J366" s="374"/>
      <c r="K366" s="374"/>
      <c r="L366" s="374"/>
      <c r="M366" s="374"/>
      <c r="N366" s="374"/>
    </row>
    <row r="367" spans="2:28" s="2" customFormat="1">
      <c r="B367" s="363"/>
      <c r="C367" t="s">
        <v>1104</v>
      </c>
      <c r="E367" s="1458" t="s">
        <v>254</v>
      </c>
      <c r="F367" s="374">
        <f t="shared" ref="F367:M367" si="41">F$341-F$345</f>
        <v>4.2078251519999998</v>
      </c>
      <c r="G367" s="374">
        <f t="shared" si="41"/>
        <v>4.2420650587881914</v>
      </c>
      <c r="H367" s="374">
        <f t="shared" si="41"/>
        <v>4.3425075453838513</v>
      </c>
      <c r="I367" s="374">
        <f t="shared" si="41"/>
        <v>4.4636892530831735</v>
      </c>
      <c r="J367" s="374">
        <f t="shared" si="41"/>
        <v>4.6052596366259184</v>
      </c>
      <c r="K367" s="374">
        <f t="shared" si="41"/>
        <v>4.7671261968804579</v>
      </c>
      <c r="L367" s="374">
        <f t="shared" si="41"/>
        <v>4.9494436535960773</v>
      </c>
      <c r="M367" s="374">
        <f t="shared" si="41"/>
        <v>5.1526070918922198</v>
      </c>
      <c r="N367" s="374">
        <v>36.58877394039159</v>
      </c>
    </row>
    <row r="368" spans="2:28" s="2" customFormat="1">
      <c r="B368" s="1461" t="s">
        <v>219</v>
      </c>
      <c r="C368" s="414" t="s">
        <v>1102</v>
      </c>
      <c r="D368" s="414"/>
      <c r="E368" s="1462"/>
      <c r="F368" s="1237">
        <f t="shared" ref="F368:M368" si="42">INDEX(F$51:F$53, MATCH($E$9,$C$51:$C$53, 0))</f>
        <v>0</v>
      </c>
      <c r="G368" s="1237">
        <f t="shared" si="42"/>
        <v>0</v>
      </c>
      <c r="H368" s="1237">
        <f t="shared" si="42"/>
        <v>0</v>
      </c>
      <c r="I368" s="1237">
        <f t="shared" si="42"/>
        <v>0</v>
      </c>
      <c r="J368" s="1237">
        <f t="shared" si="42"/>
        <v>0</v>
      </c>
      <c r="K368" s="1237">
        <f t="shared" si="42"/>
        <v>0</v>
      </c>
      <c r="L368" s="1237">
        <f t="shared" si="42"/>
        <v>0</v>
      </c>
      <c r="M368" s="1237">
        <f t="shared" si="42"/>
        <v>0</v>
      </c>
      <c r="N368" s="1237">
        <v>0</v>
      </c>
    </row>
    <row r="369" spans="2:17" s="2" customFormat="1">
      <c r="B369" s="375" t="s">
        <v>221</v>
      </c>
      <c r="C369" s="363" t="s">
        <v>1105</v>
      </c>
      <c r="E369" s="1458" t="s">
        <v>254</v>
      </c>
      <c r="F369" s="374">
        <f t="shared" ref="F369:M369" si="43">F367*F368</f>
        <v>0</v>
      </c>
      <c r="G369" s="374">
        <f t="shared" si="43"/>
        <v>0</v>
      </c>
      <c r="H369" s="374">
        <f t="shared" si="43"/>
        <v>0</v>
      </c>
      <c r="I369" s="374">
        <f t="shared" si="43"/>
        <v>0</v>
      </c>
      <c r="J369" s="374">
        <f t="shared" si="43"/>
        <v>0</v>
      </c>
      <c r="K369" s="374">
        <f t="shared" si="43"/>
        <v>0</v>
      </c>
      <c r="L369" s="374">
        <f t="shared" si="43"/>
        <v>0</v>
      </c>
      <c r="M369" s="374">
        <f t="shared" si="43"/>
        <v>0</v>
      </c>
      <c r="N369" s="374">
        <v>0</v>
      </c>
    </row>
    <row r="370" spans="2:17" s="2" customFormat="1">
      <c r="B370" s="363"/>
      <c r="C370"/>
      <c r="E370" s="1450"/>
      <c r="F370" s="374"/>
      <c r="G370" s="374"/>
      <c r="H370" s="374"/>
      <c r="I370" s="374"/>
      <c r="J370" s="374"/>
      <c r="K370" s="374"/>
      <c r="L370" s="374"/>
      <c r="M370" s="374"/>
      <c r="N370" s="374"/>
    </row>
    <row r="371" spans="2:17" s="2" customFormat="1">
      <c r="B371" s="363"/>
      <c r="C371"/>
      <c r="E371" s="1450"/>
      <c r="F371" s="374"/>
      <c r="G371" s="374"/>
      <c r="H371" s="374"/>
      <c r="I371" s="374"/>
      <c r="J371" s="374"/>
      <c r="K371" s="374"/>
      <c r="L371" s="374"/>
      <c r="M371" s="374"/>
      <c r="N371" s="374"/>
    </row>
    <row r="372" spans="2:17" s="2" customFormat="1">
      <c r="B372" s="363" t="s">
        <v>1106</v>
      </c>
      <c r="C372"/>
      <c r="E372" s="1450"/>
      <c r="F372" s="374"/>
      <c r="G372" s="374"/>
      <c r="H372" s="374"/>
      <c r="I372" s="374"/>
      <c r="J372" s="374"/>
      <c r="K372" s="374"/>
      <c r="L372" s="374"/>
      <c r="M372" s="374"/>
      <c r="N372" s="374"/>
    </row>
    <row r="373" spans="2:17" s="2" customFormat="1">
      <c r="B373" s="363"/>
      <c r="C373"/>
      <c r="E373" s="1450"/>
      <c r="F373" s="374"/>
      <c r="G373" s="374"/>
      <c r="H373" s="374"/>
      <c r="I373" s="374"/>
      <c r="J373" s="374"/>
      <c r="K373" s="374"/>
      <c r="L373" s="374"/>
      <c r="M373" s="374"/>
      <c r="N373" s="374"/>
    </row>
    <row r="374" spans="2:17" s="2" customFormat="1">
      <c r="B374" s="363"/>
      <c r="C374" t="s">
        <v>1107</v>
      </c>
      <c r="E374" s="3850" t="str">
        <f>Preferences.EnergyUnits</f>
        <v>TWh</v>
      </c>
      <c r="F374" s="374"/>
      <c r="G374" s="374"/>
      <c r="H374" s="374"/>
      <c r="I374" s="374"/>
      <c r="J374" s="374"/>
      <c r="K374" s="374"/>
      <c r="L374" s="374"/>
      <c r="M374" s="374"/>
      <c r="N374" s="374"/>
    </row>
    <row r="375" spans="2:17" s="2" customFormat="1">
      <c r="B375" s="363"/>
      <c r="C375"/>
      <c r="E375" s="1450"/>
      <c r="F375" s="374"/>
      <c r="G375" s="374"/>
      <c r="H375" s="374"/>
      <c r="I375" s="374"/>
      <c r="J375" s="374"/>
      <c r="K375" s="374"/>
      <c r="L375" s="374"/>
      <c r="M375" s="374"/>
      <c r="N375" s="374"/>
    </row>
    <row r="376" spans="2:17" s="2" customFormat="1">
      <c r="B376" s="363"/>
      <c r="C376"/>
      <c r="E376" s="1450"/>
      <c r="F376" s="374"/>
      <c r="G376" s="374"/>
      <c r="H376" s="374"/>
      <c r="I376" s="374"/>
      <c r="J376" s="374"/>
      <c r="K376" s="374"/>
      <c r="L376" s="374"/>
      <c r="M376" s="374"/>
      <c r="N376" s="374"/>
    </row>
    <row r="377" spans="2:17" s="2" customFormat="1">
      <c r="B377" s="363" t="s">
        <v>2803</v>
      </c>
      <c r="C377"/>
      <c r="E377" s="1453" t="s">
        <v>2812</v>
      </c>
      <c r="F377" s="1333">
        <v>2013</v>
      </c>
      <c r="G377" s="1333">
        <v>2015</v>
      </c>
      <c r="H377" s="1333">
        <v>2020</v>
      </c>
      <c r="I377" s="1333">
        <v>2025</v>
      </c>
      <c r="J377" s="1333">
        <v>2030</v>
      </c>
      <c r="K377" s="1333">
        <v>2035</v>
      </c>
      <c r="L377" s="1333">
        <v>2040</v>
      </c>
      <c r="M377" s="1333">
        <v>2045</v>
      </c>
      <c r="N377" s="1333">
        <v>2050</v>
      </c>
    </row>
    <row r="378" spans="2:17" s="2" customFormat="1" hidden="1">
      <c r="C378"/>
      <c r="E378" s="1450"/>
      <c r="F378" s="374"/>
      <c r="G378" s="374"/>
      <c r="H378" s="374"/>
      <c r="I378" s="374"/>
      <c r="J378" s="374"/>
      <c r="K378" s="374"/>
      <c r="L378" s="374"/>
      <c r="M378" s="374"/>
      <c r="N378" s="374"/>
    </row>
    <row r="379" spans="2:17" s="2" customFormat="1" hidden="1">
      <c r="B379" s="363" t="s">
        <v>1062</v>
      </c>
      <c r="C379"/>
    </row>
    <row r="380" spans="2:17" s="2" customFormat="1" hidden="1">
      <c r="B380" s="363" t="s">
        <v>1108</v>
      </c>
      <c r="C380" t="s">
        <v>1109</v>
      </c>
      <c r="E380" s="1450"/>
      <c r="F380" s="374"/>
      <c r="G380" s="374"/>
      <c r="H380" s="374"/>
      <c r="I380" s="374"/>
      <c r="J380" s="374"/>
      <c r="K380" s="374"/>
      <c r="L380" s="374"/>
      <c r="M380" s="374"/>
      <c r="N380" s="374"/>
    </row>
    <row r="381" spans="2:17" s="2" customFormat="1" hidden="1">
      <c r="B381" s="363" t="s">
        <v>1110</v>
      </c>
      <c r="C381" t="s">
        <v>1109</v>
      </c>
      <c r="F381" s="374"/>
      <c r="G381" s="374"/>
      <c r="H381" s="374"/>
      <c r="I381" s="374"/>
      <c r="J381" s="374"/>
      <c r="K381" s="374"/>
      <c r="L381" s="374"/>
      <c r="M381" s="374"/>
      <c r="N381" s="374"/>
      <c r="Q381" s="39"/>
    </row>
    <row r="382" spans="2:17" s="2" customFormat="1" hidden="1">
      <c r="B382" s="363" t="s">
        <v>1111</v>
      </c>
      <c r="C382" t="s">
        <v>1109</v>
      </c>
      <c r="F382" s="374"/>
      <c r="G382" s="374"/>
      <c r="H382" s="374"/>
      <c r="I382" s="374"/>
      <c r="J382" s="374"/>
      <c r="K382" s="374"/>
      <c r="L382" s="374"/>
      <c r="M382" s="374"/>
      <c r="N382" s="374"/>
      <c r="Q382" s="38"/>
    </row>
    <row r="383" spans="2:17" s="2" customFormat="1" hidden="1">
      <c r="B383" s="363" t="s">
        <v>1108</v>
      </c>
      <c r="C383" t="s">
        <v>1112</v>
      </c>
      <c r="E383" s="1450"/>
      <c r="F383" s="374"/>
      <c r="G383" s="374"/>
      <c r="H383" s="374"/>
      <c r="I383" s="374"/>
      <c r="J383" s="374"/>
      <c r="K383" s="374"/>
      <c r="L383" s="374"/>
      <c r="M383" s="374"/>
      <c r="N383" s="374"/>
      <c r="Q383" s="38"/>
    </row>
    <row r="384" spans="2:17" s="2" customFormat="1" hidden="1">
      <c r="B384" s="363" t="s">
        <v>1110</v>
      </c>
      <c r="C384" t="s">
        <v>1112</v>
      </c>
      <c r="F384" s="374"/>
      <c r="G384" s="374"/>
      <c r="H384" s="374"/>
      <c r="I384" s="374"/>
      <c r="J384" s="374"/>
      <c r="K384" s="374"/>
      <c r="L384" s="374"/>
      <c r="M384" s="374"/>
      <c r="N384" s="374"/>
      <c r="Q384" s="39"/>
    </row>
    <row r="385" spans="2:17" s="2" customFormat="1" hidden="1">
      <c r="B385" s="363" t="s">
        <v>1111</v>
      </c>
      <c r="C385" t="s">
        <v>1112</v>
      </c>
      <c r="E385" s="1450"/>
      <c r="F385" s="374"/>
      <c r="G385" s="374"/>
      <c r="H385" s="374"/>
      <c r="I385" s="374"/>
      <c r="J385" s="374"/>
      <c r="K385" s="374"/>
      <c r="L385" s="374"/>
      <c r="M385" s="374"/>
      <c r="N385" s="374"/>
      <c r="Q385" s="38"/>
    </row>
    <row r="386" spans="2:17" s="2" customFormat="1" hidden="1"/>
    <row r="387" spans="2:17" s="2" customFormat="1" hidden="1">
      <c r="B387" s="363" t="s">
        <v>1113</v>
      </c>
      <c r="C387"/>
      <c r="E387" s="1450"/>
      <c r="F387" s="374"/>
      <c r="G387" s="374"/>
      <c r="H387" s="374"/>
      <c r="I387" s="374"/>
      <c r="J387" s="374"/>
      <c r="K387" s="374"/>
      <c r="L387" s="374"/>
      <c r="M387" s="374"/>
      <c r="N387" s="374"/>
    </row>
    <row r="388" spans="2:17" s="2" customFormat="1" hidden="1">
      <c r="B388" s="363"/>
      <c r="C388"/>
      <c r="E388" s="1450"/>
      <c r="F388" s="374"/>
      <c r="G388" s="374"/>
      <c r="H388" s="374"/>
      <c r="I388" s="374"/>
      <c r="J388" s="374"/>
      <c r="K388" s="374"/>
      <c r="L388" s="374"/>
      <c r="M388" s="374"/>
      <c r="N388" s="374"/>
    </row>
    <row r="389" spans="2:17" s="2" customFormat="1" hidden="1">
      <c r="B389" s="363" t="s">
        <v>1108</v>
      </c>
      <c r="C389" s="363" t="s">
        <v>1114</v>
      </c>
      <c r="E389" s="1453" t="s">
        <v>2812</v>
      </c>
      <c r="F389" s="1325">
        <v>2013</v>
      </c>
      <c r="G389" s="1325">
        <v>2015</v>
      </c>
      <c r="H389" s="1325">
        <v>2020</v>
      </c>
      <c r="I389" s="1325">
        <v>2025</v>
      </c>
      <c r="J389" s="1325">
        <v>2030</v>
      </c>
      <c r="K389" s="1325">
        <v>2035</v>
      </c>
      <c r="L389" s="1325">
        <v>2040</v>
      </c>
      <c r="M389" s="1325">
        <v>2045</v>
      </c>
      <c r="N389" s="1325">
        <v>2050</v>
      </c>
    </row>
    <row r="390" spans="2:17" s="2" customFormat="1" hidden="1">
      <c r="B390" s="382" t="s">
        <v>1037</v>
      </c>
      <c r="C390" s="3613" t="s">
        <v>2853</v>
      </c>
      <c r="E390" s="1450"/>
      <c r="F390" s="374"/>
      <c r="G390" s="374"/>
      <c r="H390" s="374"/>
      <c r="I390" s="374"/>
      <c r="J390" s="374"/>
      <c r="K390" s="374"/>
      <c r="L390" s="374"/>
      <c r="M390" s="374"/>
      <c r="N390" s="374"/>
    </row>
    <row r="391" spans="2:17" s="2" customFormat="1" hidden="1">
      <c r="B391" s="382" t="s">
        <v>1038</v>
      </c>
      <c r="C391" t="s">
        <v>1039</v>
      </c>
      <c r="E391" s="1450"/>
      <c r="F391" s="374"/>
      <c r="G391" s="374"/>
      <c r="H391" s="374"/>
      <c r="I391" s="374"/>
      <c r="J391" s="374"/>
      <c r="K391" s="374"/>
      <c r="L391" s="374"/>
      <c r="M391" s="374"/>
      <c r="N391" s="374"/>
    </row>
    <row r="392" spans="2:17" s="2" customFormat="1" hidden="1">
      <c r="B392" s="382" t="s">
        <v>1040</v>
      </c>
      <c r="C392" t="s">
        <v>1041</v>
      </c>
      <c r="E392" s="1450"/>
      <c r="F392" s="374"/>
      <c r="G392" s="374"/>
      <c r="H392" s="374"/>
      <c r="I392" s="374"/>
      <c r="J392" s="374"/>
      <c r="K392" s="374"/>
      <c r="L392" s="374"/>
      <c r="M392" s="374"/>
      <c r="N392" s="374"/>
    </row>
    <row r="393" spans="2:17" s="2" customFormat="1" hidden="1">
      <c r="B393" s="382" t="s">
        <v>1042</v>
      </c>
      <c r="C393" t="s">
        <v>411</v>
      </c>
      <c r="E393" s="1450"/>
      <c r="F393" s="374"/>
      <c r="G393" s="374"/>
      <c r="H393" s="374"/>
      <c r="I393" s="374"/>
      <c r="J393" s="374"/>
      <c r="K393" s="374"/>
      <c r="L393" s="374"/>
      <c r="M393" s="374"/>
      <c r="N393" s="374"/>
    </row>
    <row r="394" spans="2:17" s="2" customFormat="1" hidden="1">
      <c r="B394" s="363"/>
      <c r="C394" t="s">
        <v>59</v>
      </c>
      <c r="E394" s="1450"/>
      <c r="F394" s="374"/>
      <c r="G394" s="374"/>
      <c r="H394" s="374"/>
      <c r="I394" s="374"/>
      <c r="J394" s="374"/>
      <c r="K394" s="374"/>
      <c r="L394" s="374"/>
      <c r="M394" s="374"/>
      <c r="N394" s="374"/>
      <c r="Q394" s="38"/>
    </row>
    <row r="395" spans="2:17" s="2" customFormat="1" hidden="1">
      <c r="B395" s="363"/>
      <c r="C395"/>
      <c r="E395" s="1450"/>
      <c r="F395" s="374"/>
      <c r="G395" s="374"/>
      <c r="H395" s="374"/>
      <c r="I395" s="374"/>
      <c r="J395" s="374"/>
      <c r="K395" s="374"/>
      <c r="L395" s="374"/>
      <c r="M395" s="374"/>
      <c r="N395" s="374"/>
      <c r="Q395" s="38"/>
    </row>
    <row r="396" spans="2:17" s="2" customFormat="1" hidden="1">
      <c r="B396" s="363" t="s">
        <v>1110</v>
      </c>
      <c r="C396" s="363" t="s">
        <v>1114</v>
      </c>
      <c r="E396" s="1453" t="s">
        <v>2812</v>
      </c>
      <c r="F396" s="1325">
        <v>2013</v>
      </c>
      <c r="G396" s="1325">
        <v>2015</v>
      </c>
      <c r="H396" s="1325">
        <v>2020</v>
      </c>
      <c r="I396" s="1325">
        <v>2025</v>
      </c>
      <c r="J396" s="1325">
        <v>2030</v>
      </c>
      <c r="K396" s="1325">
        <v>2035</v>
      </c>
      <c r="L396" s="1325">
        <v>2040</v>
      </c>
      <c r="M396" s="1325">
        <v>2045</v>
      </c>
      <c r="N396" s="1325">
        <v>2050</v>
      </c>
      <c r="Q396" s="38"/>
    </row>
    <row r="397" spans="2:17" s="2" customFormat="1" hidden="1">
      <c r="B397" s="382" t="s">
        <v>1037</v>
      </c>
      <c r="C397" s="3613" t="s">
        <v>2853</v>
      </c>
      <c r="E397" s="1450"/>
      <c r="F397" s="374"/>
      <c r="G397" s="374"/>
      <c r="H397" s="374"/>
      <c r="I397" s="374"/>
      <c r="J397" s="374"/>
      <c r="K397" s="374"/>
      <c r="L397" s="374"/>
      <c r="M397" s="374"/>
      <c r="N397" s="374"/>
      <c r="Q397" s="39"/>
    </row>
    <row r="398" spans="2:17" s="2" customFormat="1" hidden="1">
      <c r="B398" s="382" t="s">
        <v>1038</v>
      </c>
      <c r="C398" t="s">
        <v>1039</v>
      </c>
      <c r="E398" s="1450"/>
      <c r="F398" s="374"/>
      <c r="G398" s="374"/>
      <c r="H398" s="374"/>
      <c r="I398" s="374"/>
      <c r="J398" s="374"/>
      <c r="K398" s="374"/>
      <c r="L398" s="374"/>
      <c r="M398" s="374"/>
      <c r="N398" s="374"/>
      <c r="Q398" s="38"/>
    </row>
    <row r="399" spans="2:17" s="2" customFormat="1" hidden="1">
      <c r="B399" s="382" t="s">
        <v>1040</v>
      </c>
      <c r="C399" t="s">
        <v>1041</v>
      </c>
      <c r="E399" s="1450"/>
      <c r="F399" s="374"/>
      <c r="G399" s="374"/>
      <c r="H399" s="374"/>
      <c r="I399" s="374"/>
      <c r="J399" s="374"/>
      <c r="K399" s="374"/>
      <c r="L399" s="374"/>
      <c r="M399" s="374"/>
      <c r="N399" s="374"/>
      <c r="Q399" s="38"/>
    </row>
    <row r="400" spans="2:17" s="2" customFormat="1" hidden="1">
      <c r="B400" s="382" t="s">
        <v>1042</v>
      </c>
      <c r="C400" t="s">
        <v>411</v>
      </c>
      <c r="E400" s="1450"/>
      <c r="F400" s="374"/>
      <c r="G400" s="374"/>
      <c r="H400" s="374"/>
      <c r="I400" s="374"/>
      <c r="J400" s="374"/>
      <c r="K400" s="374"/>
      <c r="L400" s="374"/>
      <c r="M400" s="374"/>
      <c r="N400" s="374"/>
      <c r="Q400" s="38"/>
    </row>
    <row r="401" spans="2:21" s="2" customFormat="1" hidden="1">
      <c r="B401" s="363"/>
      <c r="C401" t="s">
        <v>59</v>
      </c>
      <c r="E401" s="1450"/>
      <c r="F401" s="374"/>
      <c r="G401" s="374"/>
      <c r="H401" s="374"/>
      <c r="I401" s="374"/>
      <c r="J401" s="374"/>
      <c r="K401" s="374"/>
      <c r="L401" s="374"/>
      <c r="M401" s="374"/>
      <c r="N401" s="374"/>
      <c r="Q401" s="38"/>
    </row>
    <row r="402" spans="2:21" s="2" customFormat="1" hidden="1">
      <c r="B402" s="363"/>
      <c r="C402"/>
      <c r="E402" s="1450"/>
      <c r="F402" s="374"/>
      <c r="G402" s="374"/>
      <c r="H402" s="374"/>
      <c r="I402" s="374"/>
      <c r="J402" s="374"/>
      <c r="K402" s="374"/>
      <c r="L402" s="374"/>
      <c r="M402" s="374"/>
      <c r="N402" s="374"/>
      <c r="Q402" s="38"/>
    </row>
    <row r="403" spans="2:21" s="2" customFormat="1" hidden="1">
      <c r="B403" s="363" t="s">
        <v>1111</v>
      </c>
      <c r="C403" s="363" t="s">
        <v>1114</v>
      </c>
      <c r="E403" s="1453" t="s">
        <v>2812</v>
      </c>
      <c r="F403" s="1325">
        <v>2013</v>
      </c>
      <c r="G403" s="1325">
        <v>2015</v>
      </c>
      <c r="H403" s="1325">
        <v>2020</v>
      </c>
      <c r="I403" s="1325">
        <v>2025</v>
      </c>
      <c r="J403" s="1325">
        <v>2030</v>
      </c>
      <c r="K403" s="1325">
        <v>2035</v>
      </c>
      <c r="L403" s="1325">
        <v>2040</v>
      </c>
      <c r="M403" s="1325">
        <v>2045</v>
      </c>
      <c r="N403" s="1325">
        <v>2050</v>
      </c>
      <c r="Q403" s="38"/>
    </row>
    <row r="404" spans="2:21" s="2" customFormat="1" hidden="1">
      <c r="B404" s="382" t="s">
        <v>1037</v>
      </c>
      <c r="C404" s="3613" t="s">
        <v>2853</v>
      </c>
      <c r="E404" s="1450"/>
      <c r="F404" s="374"/>
      <c r="G404" s="374"/>
      <c r="H404" s="374"/>
      <c r="I404" s="374"/>
      <c r="J404" s="374"/>
      <c r="K404" s="374"/>
      <c r="L404" s="374"/>
      <c r="M404" s="374"/>
      <c r="N404" s="374"/>
    </row>
    <row r="405" spans="2:21" s="2" customFormat="1" hidden="1">
      <c r="B405" s="382" t="s">
        <v>1038</v>
      </c>
      <c r="C405" t="s">
        <v>1039</v>
      </c>
      <c r="E405" s="1450"/>
      <c r="F405" s="374"/>
      <c r="G405" s="374"/>
      <c r="H405" s="374"/>
      <c r="I405" s="374"/>
      <c r="J405" s="374"/>
      <c r="K405" s="374"/>
      <c r="L405" s="374"/>
      <c r="M405" s="374"/>
      <c r="N405" s="374"/>
    </row>
    <row r="406" spans="2:21" s="2" customFormat="1" hidden="1">
      <c r="B406" s="382" t="s">
        <v>1040</v>
      </c>
      <c r="C406" t="s">
        <v>1041</v>
      </c>
      <c r="E406" s="1450"/>
      <c r="F406" s="374"/>
      <c r="G406" s="374"/>
      <c r="H406" s="374"/>
      <c r="I406" s="374"/>
      <c r="J406" s="374"/>
      <c r="K406" s="374"/>
      <c r="L406" s="374"/>
      <c r="M406" s="374"/>
      <c r="N406" s="374"/>
    </row>
    <row r="407" spans="2:21" s="2" customFormat="1" hidden="1">
      <c r="B407" s="382" t="s">
        <v>1042</v>
      </c>
      <c r="C407" t="s">
        <v>411</v>
      </c>
      <c r="E407" s="1450"/>
      <c r="F407" s="374"/>
      <c r="G407" s="374"/>
      <c r="H407" s="374"/>
      <c r="I407" s="374"/>
      <c r="J407" s="374"/>
      <c r="K407" s="374"/>
      <c r="L407" s="374"/>
      <c r="M407" s="374"/>
      <c r="N407" s="374"/>
    </row>
    <row r="408" spans="2:21" s="2" customFormat="1" hidden="1">
      <c r="B408" s="363"/>
      <c r="C408" t="s">
        <v>59</v>
      </c>
      <c r="E408" s="1450"/>
      <c r="F408" s="374"/>
      <c r="G408" s="374"/>
      <c r="H408" s="374"/>
      <c r="I408" s="374"/>
      <c r="J408" s="374"/>
      <c r="K408" s="374"/>
      <c r="L408" s="374"/>
      <c r="M408" s="374"/>
      <c r="N408" s="374"/>
    </row>
    <row r="409" spans="2:21" s="2" customFormat="1" hidden="1">
      <c r="B409" s="363"/>
      <c r="C409"/>
      <c r="E409" s="1450"/>
      <c r="F409" s="374"/>
      <c r="G409" s="374"/>
      <c r="H409" s="374"/>
      <c r="I409" s="374"/>
      <c r="J409" s="374"/>
      <c r="K409" s="374"/>
      <c r="L409" s="374"/>
      <c r="M409" s="374"/>
      <c r="N409" s="374"/>
    </row>
    <row r="410" spans="2:21" s="2" customFormat="1" hidden="1"/>
    <row r="411" spans="2:21" s="2" customFormat="1" hidden="1">
      <c r="B411" s="363" t="s">
        <v>1108</v>
      </c>
      <c r="C411" s="363" t="s">
        <v>1115</v>
      </c>
      <c r="E411" s="1453" t="s">
        <v>2812</v>
      </c>
      <c r="F411" s="1325">
        <v>2013</v>
      </c>
      <c r="G411" s="1325">
        <v>2015</v>
      </c>
      <c r="H411" s="1325">
        <v>2020</v>
      </c>
      <c r="I411" s="1325">
        <v>2025</v>
      </c>
      <c r="J411" s="1325">
        <v>2030</v>
      </c>
      <c r="K411" s="1325">
        <v>2035</v>
      </c>
      <c r="L411" s="1325">
        <v>2040</v>
      </c>
      <c r="M411" s="1325">
        <v>2045</v>
      </c>
      <c r="N411" s="1325">
        <v>2050</v>
      </c>
    </row>
    <row r="412" spans="2:21" s="2" customFormat="1" hidden="1">
      <c r="B412" s="382" t="s">
        <v>1037</v>
      </c>
      <c r="C412" s="3613" t="s">
        <v>2853</v>
      </c>
      <c r="E412" s="1450"/>
      <c r="F412" s="374"/>
      <c r="G412" s="374"/>
      <c r="H412" s="374"/>
      <c r="I412" s="374"/>
      <c r="J412" s="374"/>
      <c r="K412" s="374"/>
      <c r="L412" s="374"/>
      <c r="M412" s="374"/>
      <c r="N412" s="374"/>
    </row>
    <row r="413" spans="2:21" s="2" customFormat="1" hidden="1">
      <c r="B413" s="382" t="s">
        <v>1038</v>
      </c>
      <c r="C413" t="s">
        <v>1039</v>
      </c>
      <c r="E413" s="1450"/>
      <c r="F413" s="374"/>
      <c r="G413" s="374"/>
      <c r="H413" s="374"/>
      <c r="I413" s="374"/>
      <c r="J413" s="374"/>
      <c r="K413" s="374"/>
      <c r="L413" s="374"/>
      <c r="M413" s="374"/>
      <c r="N413" s="374"/>
    </row>
    <row r="414" spans="2:21" s="2" customFormat="1" hidden="1">
      <c r="B414" s="382" t="s">
        <v>1040</v>
      </c>
      <c r="C414" t="s">
        <v>1041</v>
      </c>
      <c r="E414" s="1450"/>
      <c r="F414" s="374"/>
      <c r="G414" s="374"/>
      <c r="H414" s="374"/>
      <c r="I414" s="374"/>
      <c r="J414" s="374"/>
      <c r="K414" s="374"/>
      <c r="L414" s="374"/>
      <c r="M414" s="374"/>
      <c r="N414" s="374"/>
    </row>
    <row r="415" spans="2:21" s="2" customFormat="1" hidden="1">
      <c r="B415" s="382" t="s">
        <v>1042</v>
      </c>
      <c r="C415" t="s">
        <v>411</v>
      </c>
      <c r="E415" s="1450"/>
      <c r="F415" s="374"/>
      <c r="G415" s="374"/>
      <c r="H415" s="374"/>
      <c r="I415" s="374"/>
      <c r="J415" s="374"/>
      <c r="K415" s="374"/>
      <c r="L415" s="374"/>
      <c r="M415" s="374"/>
      <c r="N415" s="374"/>
    </row>
    <row r="416" spans="2:21" s="2" customFormat="1" hidden="1">
      <c r="B416" s="363"/>
      <c r="C416" t="s">
        <v>59</v>
      </c>
      <c r="E416" s="1450"/>
      <c r="F416" s="374"/>
      <c r="G416" s="374"/>
      <c r="H416" s="374"/>
      <c r="I416" s="374"/>
      <c r="J416" s="374"/>
      <c r="K416" s="374"/>
      <c r="L416" s="374"/>
      <c r="M416" s="374"/>
      <c r="N416" s="374"/>
      <c r="Q416" s="38"/>
      <c r="R416" s="38"/>
      <c r="S416" s="38"/>
      <c r="T416" s="38"/>
      <c r="U416" s="38"/>
    </row>
    <row r="417" spans="1:23" s="2" customFormat="1" hidden="1">
      <c r="B417" s="363"/>
      <c r="C417"/>
      <c r="E417" s="1450"/>
      <c r="F417" s="374"/>
      <c r="G417" s="374"/>
      <c r="H417" s="374"/>
      <c r="I417" s="374"/>
      <c r="J417" s="374"/>
      <c r="K417" s="374"/>
      <c r="L417" s="374"/>
      <c r="M417" s="374"/>
      <c r="N417" s="374"/>
      <c r="Q417" s="38"/>
      <c r="R417" s="38"/>
      <c r="S417" s="38"/>
      <c r="T417" s="38"/>
      <c r="U417" s="38"/>
    </row>
    <row r="418" spans="1:23" s="2" customFormat="1" hidden="1">
      <c r="B418" s="363" t="s">
        <v>1110</v>
      </c>
      <c r="C418" s="363" t="s">
        <v>1115</v>
      </c>
      <c r="E418" s="1453" t="s">
        <v>2812</v>
      </c>
      <c r="F418" s="1325">
        <v>2013</v>
      </c>
      <c r="G418" s="1325">
        <v>2015</v>
      </c>
      <c r="H418" s="1325">
        <v>2020</v>
      </c>
      <c r="I418" s="1325">
        <v>2025</v>
      </c>
      <c r="J418" s="1325">
        <v>2030</v>
      </c>
      <c r="K418" s="1325">
        <v>2035</v>
      </c>
      <c r="L418" s="1325">
        <v>2040</v>
      </c>
      <c r="M418" s="1325">
        <v>2045</v>
      </c>
      <c r="N418" s="1325">
        <v>2050</v>
      </c>
      <c r="Q418" s="39"/>
      <c r="R418" s="38"/>
      <c r="S418" s="38"/>
      <c r="T418" s="38"/>
      <c r="U418" s="38"/>
    </row>
    <row r="419" spans="1:23" s="2" customFormat="1" hidden="1">
      <c r="B419" s="382" t="s">
        <v>1037</v>
      </c>
      <c r="C419" s="3613" t="s">
        <v>2853</v>
      </c>
      <c r="E419" s="1450"/>
      <c r="F419" s="374"/>
      <c r="G419" s="374"/>
      <c r="H419" s="374"/>
      <c r="I419" s="374"/>
      <c r="J419" s="374"/>
      <c r="K419" s="374"/>
      <c r="L419" s="374"/>
      <c r="M419" s="374"/>
      <c r="N419" s="374"/>
      <c r="Q419" s="38"/>
      <c r="R419" s="38"/>
      <c r="S419" s="38"/>
      <c r="T419" s="38"/>
      <c r="U419" s="38"/>
    </row>
    <row r="420" spans="1:23" s="2" customFormat="1" hidden="1">
      <c r="B420" s="382" t="s">
        <v>1038</v>
      </c>
      <c r="C420" t="s">
        <v>1039</v>
      </c>
      <c r="E420" s="1450"/>
      <c r="F420" s="374"/>
      <c r="G420" s="374"/>
      <c r="H420" s="374"/>
      <c r="I420" s="374"/>
      <c r="J420" s="374"/>
      <c r="K420" s="374"/>
      <c r="L420" s="374"/>
      <c r="M420" s="374"/>
      <c r="N420" s="374"/>
      <c r="Q420" s="38"/>
      <c r="R420" s="38"/>
      <c r="S420" s="38"/>
      <c r="T420" s="38"/>
      <c r="U420" s="38"/>
    </row>
    <row r="421" spans="1:23" s="2" customFormat="1" hidden="1">
      <c r="B421" s="382" t="s">
        <v>1040</v>
      </c>
      <c r="C421" t="s">
        <v>1041</v>
      </c>
      <c r="E421" s="1450"/>
      <c r="F421" s="374"/>
      <c r="G421" s="374"/>
      <c r="H421" s="374"/>
      <c r="I421" s="374"/>
      <c r="J421" s="374"/>
      <c r="K421" s="374"/>
      <c r="L421" s="374"/>
      <c r="M421" s="374"/>
      <c r="N421" s="374"/>
      <c r="Q421" s="38"/>
      <c r="R421" s="38"/>
      <c r="S421" s="38"/>
      <c r="T421" s="38"/>
      <c r="U421" s="38"/>
    </row>
    <row r="422" spans="1:23" s="2" customFormat="1" hidden="1">
      <c r="B422" s="382" t="s">
        <v>1042</v>
      </c>
      <c r="C422" t="s">
        <v>411</v>
      </c>
      <c r="E422" s="1450"/>
      <c r="F422" s="374"/>
      <c r="G422" s="374"/>
      <c r="H422" s="374"/>
      <c r="I422" s="374"/>
      <c r="J422" s="374"/>
      <c r="K422" s="374"/>
      <c r="L422" s="374"/>
      <c r="M422" s="374"/>
      <c r="N422" s="374"/>
      <c r="Q422" s="38"/>
      <c r="R422" s="38"/>
      <c r="S422" s="38"/>
      <c r="T422" s="38"/>
      <c r="U422" s="38"/>
    </row>
    <row r="423" spans="1:23" s="2" customFormat="1" hidden="1">
      <c r="B423" s="363"/>
      <c r="C423" t="s">
        <v>59</v>
      </c>
      <c r="E423" s="1450"/>
      <c r="F423" s="374"/>
      <c r="G423" s="374"/>
      <c r="H423" s="374"/>
      <c r="I423" s="374"/>
      <c r="J423" s="374"/>
      <c r="K423" s="374"/>
      <c r="L423" s="374"/>
      <c r="M423" s="374"/>
      <c r="N423" s="374"/>
      <c r="Q423" s="38"/>
      <c r="R423" s="38"/>
      <c r="S423" s="38"/>
      <c r="T423" s="38"/>
      <c r="U423" s="38"/>
    </row>
    <row r="424" spans="1:23" s="2" customFormat="1" hidden="1">
      <c r="Q424" s="38"/>
      <c r="R424" s="38"/>
      <c r="S424" s="38"/>
      <c r="T424" s="38"/>
      <c r="U424" s="38"/>
    </row>
    <row r="425" spans="1:23" s="2" customFormat="1" hidden="1">
      <c r="B425" s="363" t="s">
        <v>1111</v>
      </c>
      <c r="C425" s="363" t="s">
        <v>1115</v>
      </c>
      <c r="E425" s="1453" t="s">
        <v>2812</v>
      </c>
      <c r="F425" s="1325">
        <v>2013</v>
      </c>
      <c r="G425" s="1325">
        <v>2015</v>
      </c>
      <c r="H425" s="1325">
        <v>2020</v>
      </c>
      <c r="I425" s="1325">
        <v>2025</v>
      </c>
      <c r="J425" s="1325">
        <v>2030</v>
      </c>
      <c r="K425" s="1325">
        <v>2035</v>
      </c>
      <c r="L425" s="1325">
        <v>2040</v>
      </c>
      <c r="M425" s="1325">
        <v>2045</v>
      </c>
      <c r="N425" s="1325">
        <v>2050</v>
      </c>
    </row>
    <row r="426" spans="1:23" s="2" customFormat="1" hidden="1">
      <c r="B426" s="382" t="s">
        <v>1037</v>
      </c>
      <c r="C426" s="3613" t="s">
        <v>2853</v>
      </c>
      <c r="E426" s="1450"/>
      <c r="F426" s="374"/>
      <c r="G426" s="374"/>
      <c r="H426" s="374"/>
      <c r="I426" s="374"/>
      <c r="J426" s="374"/>
      <c r="K426" s="374"/>
      <c r="L426" s="374"/>
      <c r="M426" s="374"/>
      <c r="N426" s="374"/>
    </row>
    <row r="427" spans="1:23" s="2" customFormat="1" hidden="1">
      <c r="B427" s="382" t="s">
        <v>1038</v>
      </c>
      <c r="C427" t="s">
        <v>1039</v>
      </c>
      <c r="E427" s="1450"/>
      <c r="F427" s="374"/>
      <c r="G427" s="374"/>
      <c r="H427" s="374"/>
      <c r="I427" s="374"/>
      <c r="J427" s="374"/>
      <c r="K427" s="374"/>
      <c r="L427" s="374"/>
      <c r="M427" s="374"/>
      <c r="N427" s="374"/>
    </row>
    <row r="428" spans="1:23" s="2" customFormat="1" hidden="1">
      <c r="B428" s="382" t="s">
        <v>1040</v>
      </c>
      <c r="C428" t="s">
        <v>1041</v>
      </c>
      <c r="E428" s="1450"/>
      <c r="F428" s="374"/>
      <c r="G428" s="374"/>
      <c r="H428" s="374"/>
      <c r="I428" s="374"/>
      <c r="J428" s="374"/>
      <c r="K428" s="374"/>
      <c r="L428" s="374"/>
      <c r="M428" s="374"/>
      <c r="N428" s="374"/>
    </row>
    <row r="429" spans="1:23" s="2" customFormat="1" hidden="1">
      <c r="B429" s="382" t="s">
        <v>1042</v>
      </c>
      <c r="C429" t="s">
        <v>411</v>
      </c>
      <c r="E429" s="1450"/>
      <c r="F429" s="374"/>
      <c r="G429" s="374"/>
      <c r="H429" s="374"/>
      <c r="I429" s="374"/>
      <c r="J429" s="374"/>
      <c r="K429" s="374"/>
      <c r="L429" s="374"/>
      <c r="M429" s="374"/>
      <c r="N429" s="374"/>
    </row>
    <row r="430" spans="1:23" s="2" customFormat="1" hidden="1">
      <c r="B430" s="363"/>
      <c r="C430" t="s">
        <v>59</v>
      </c>
      <c r="E430" s="1450"/>
      <c r="F430" s="374"/>
      <c r="G430" s="374"/>
      <c r="H430" s="374"/>
      <c r="I430" s="374"/>
      <c r="J430" s="374"/>
      <c r="K430" s="374"/>
      <c r="L430" s="374"/>
      <c r="M430" s="374"/>
      <c r="N430" s="374"/>
    </row>
    <row r="431" spans="1:23" s="6" customFormat="1">
      <c r="F431" s="374"/>
      <c r="R431"/>
      <c r="S431"/>
      <c r="T431"/>
      <c r="U431" s="374"/>
      <c r="V431" s="374"/>
      <c r="W431" s="374"/>
    </row>
    <row r="432" spans="1:23" ht="23.25">
      <c r="A432" s="7"/>
      <c r="B432" s="511" t="s">
        <v>299</v>
      </c>
      <c r="C432" s="512"/>
      <c r="D432" s="512"/>
      <c r="E432" s="512"/>
      <c r="F432" s="512"/>
      <c r="G432" s="512"/>
      <c r="H432" s="512"/>
      <c r="I432" s="512"/>
      <c r="J432" s="512"/>
      <c r="K432" s="512"/>
      <c r="L432" s="512"/>
      <c r="M432" s="512"/>
      <c r="N432" s="512"/>
      <c r="O432" s="866"/>
      <c r="U432" s="374"/>
      <c r="V432" s="374"/>
      <c r="W432" s="374"/>
    </row>
    <row r="433" spans="1:87">
      <c r="B433" s="514"/>
      <c r="C433" s="515"/>
      <c r="D433" s="515"/>
      <c r="E433" s="515"/>
      <c r="F433" s="515"/>
      <c r="G433" s="515"/>
      <c r="H433" s="515"/>
      <c r="I433" s="515"/>
      <c r="J433" s="515"/>
      <c r="K433" s="515"/>
      <c r="L433" s="515"/>
      <c r="M433" s="515"/>
      <c r="N433" s="515"/>
      <c r="O433" s="867"/>
      <c r="U433" s="374"/>
      <c r="V433" s="374"/>
      <c r="W433" s="374"/>
    </row>
    <row r="434" spans="1:87">
      <c r="B434" s="514"/>
      <c r="C434" s="34" t="s">
        <v>765</v>
      </c>
      <c r="D434" s="515"/>
      <c r="E434" s="516"/>
      <c r="F434" s="515"/>
      <c r="G434" s="515"/>
      <c r="H434" s="515"/>
      <c r="I434" s="515"/>
      <c r="J434" s="515"/>
      <c r="K434" s="515"/>
      <c r="L434" s="515"/>
      <c r="M434" s="515"/>
      <c r="N434" s="516" t="str">
        <f>Preferences.EnergyUnits</f>
        <v>TWh</v>
      </c>
      <c r="O434" s="867"/>
    </row>
    <row r="435" spans="1:87" ht="6" customHeight="1">
      <c r="B435" s="514"/>
      <c r="C435" s="515"/>
      <c r="D435" s="515"/>
      <c r="E435" s="515"/>
      <c r="F435" s="515"/>
      <c r="G435" s="515"/>
      <c r="H435" s="515"/>
      <c r="I435" s="515"/>
      <c r="J435" s="515"/>
      <c r="K435" s="515"/>
      <c r="L435" s="515"/>
      <c r="M435" s="515"/>
      <c r="N435" s="515"/>
      <c r="O435" s="867"/>
    </row>
    <row r="436" spans="1:87" ht="15.75">
      <c r="A436" s="443"/>
      <c r="B436" s="15"/>
      <c r="C436" s="1741" t="s">
        <v>28</v>
      </c>
      <c r="D436" s="1741" t="s">
        <v>29</v>
      </c>
      <c r="E436" s="1741" t="s">
        <v>30</v>
      </c>
      <c r="F436" s="1741" t="s">
        <v>597</v>
      </c>
      <c r="G436" s="1741" t="s">
        <v>133</v>
      </c>
      <c r="H436" s="1741" t="s">
        <v>134</v>
      </c>
      <c r="I436" s="1741" t="s">
        <v>135</v>
      </c>
      <c r="J436" s="1741" t="s">
        <v>136</v>
      </c>
      <c r="K436" s="1741" t="s">
        <v>137</v>
      </c>
      <c r="L436" s="1741" t="s">
        <v>138</v>
      </c>
      <c r="M436" s="1741" t="s">
        <v>139</v>
      </c>
      <c r="N436" s="1741" t="s">
        <v>140</v>
      </c>
      <c r="O436" s="867"/>
    </row>
    <row r="437" spans="1:87" ht="15.75">
      <c r="A437" s="443"/>
      <c r="B437" s="15"/>
      <c r="C437" s="725" t="s">
        <v>417</v>
      </c>
      <c r="D437" s="1746" t="str">
        <f>INDEX(Vectors[Description], MATCH([Vector], Vectors[Code], 0))</f>
        <v>Industry</v>
      </c>
      <c r="E437" s="1741"/>
      <c r="F437" s="1744">
        <f>F237</f>
        <v>25.990000000000002</v>
      </c>
      <c r="G437" s="1744">
        <f t="shared" ref="G437:N437" si="44">G237</f>
        <v>26.201485778348498</v>
      </c>
      <c r="H437" s="1744">
        <f t="shared" si="44"/>
        <v>26.821877579890064</v>
      </c>
      <c r="I437" s="1744">
        <f t="shared" si="44"/>
        <v>27.570366994096929</v>
      </c>
      <c r="J437" s="1744">
        <f t="shared" si="44"/>
        <v>28.444788847516165</v>
      </c>
      <c r="K437" s="1744">
        <f t="shared" si="44"/>
        <v>29.4445718111728</v>
      </c>
      <c r="L437" s="1744">
        <f t="shared" si="44"/>
        <v>30.570671525127587</v>
      </c>
      <c r="M437" s="1744">
        <f t="shared" si="44"/>
        <v>31.825528267168547</v>
      </c>
      <c r="N437" s="1744">
        <f t="shared" si="44"/>
        <v>33.213047829785495</v>
      </c>
      <c r="O437" s="867"/>
    </row>
    <row r="438" spans="1:87" ht="15.75">
      <c r="A438" s="443"/>
      <c r="B438" s="15"/>
      <c r="C438" s="725" t="s">
        <v>96</v>
      </c>
      <c r="D438" s="1746" t="str">
        <f>INDEX(Vectors[Description], MATCH([Vector], Vectors[Code], 0))</f>
        <v>Electricity (delivered to end user)</v>
      </c>
      <c r="E438" s="725"/>
      <c r="F438" s="726">
        <f>-F240</f>
        <v>-9.2899999999999991</v>
      </c>
      <c r="G438" s="726">
        <f t="shared" ref="G438:N442" si="45">-G240</f>
        <v>-9.3655945702523091</v>
      </c>
      <c r="H438" s="726">
        <f t="shared" si="45"/>
        <v>-9.5873506239776329</v>
      </c>
      <c r="I438" s="726">
        <f t="shared" si="45"/>
        <v>-9.8548945507949384</v>
      </c>
      <c r="J438" s="726">
        <f t="shared" si="45"/>
        <v>-10.167452419908624</v>
      </c>
      <c r="K438" s="726">
        <f t="shared" si="45"/>
        <v>-10.524820012535409</v>
      </c>
      <c r="L438" s="726">
        <f t="shared" si="45"/>
        <v>-10.927338917600434</v>
      </c>
      <c r="M438" s="726">
        <f t="shared" si="45"/>
        <v>-11.375881400615459</v>
      </c>
      <c r="N438" s="726">
        <f t="shared" si="45"/>
        <v>-11.871843568245758</v>
      </c>
      <c r="O438" s="867"/>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c r="BZ438" s="39"/>
      <c r="CA438" s="39"/>
      <c r="CB438" s="39"/>
      <c r="CC438" s="39"/>
      <c r="CD438" s="39"/>
      <c r="CE438" s="39"/>
      <c r="CF438" s="39"/>
      <c r="CG438" s="39"/>
      <c r="CH438" s="39"/>
      <c r="CI438" s="39"/>
    </row>
    <row r="439" spans="1:87" ht="15.75">
      <c r="A439" s="443"/>
      <c r="B439" s="15"/>
      <c r="C439" s="725" t="s">
        <v>98</v>
      </c>
      <c r="D439" s="1746" t="str">
        <f>INDEX(Vectors[Description], MATCH([Vector], Vectors[Code], 0))</f>
        <v>Solid hydrocarbons</v>
      </c>
      <c r="E439" s="725"/>
      <c r="F439" s="726">
        <f>-F241</f>
        <v>-3.11</v>
      </c>
      <c r="G439" s="726">
        <f t="shared" si="45"/>
        <v>-3.1353066860586312</v>
      </c>
      <c r="H439" s="726">
        <f t="shared" si="45"/>
        <v>-3.2095436426878838</v>
      </c>
      <c r="I439" s="726">
        <f t="shared" si="45"/>
        <v>-3.299108940040071</v>
      </c>
      <c r="J439" s="726">
        <f t="shared" si="45"/>
        <v>-3.4037434904107453</v>
      </c>
      <c r="K439" s="726">
        <f t="shared" si="45"/>
        <v>-3.5233789277701968</v>
      </c>
      <c r="L439" s="726">
        <f t="shared" si="45"/>
        <v>-3.6581296053538592</v>
      </c>
      <c r="M439" s="726">
        <f t="shared" si="45"/>
        <v>-3.8082875302383297</v>
      </c>
      <c r="N439" s="726">
        <f t="shared" si="45"/>
        <v>-3.9743200750532086</v>
      </c>
      <c r="O439" s="867"/>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c r="BZ439" s="39"/>
      <c r="CA439" s="39"/>
      <c r="CB439" s="39"/>
      <c r="CC439" s="39"/>
      <c r="CD439" s="39"/>
      <c r="CE439" s="39"/>
      <c r="CF439" s="39"/>
      <c r="CG439" s="39"/>
      <c r="CH439" s="39"/>
      <c r="CI439" s="39"/>
    </row>
    <row r="440" spans="1:87" ht="15.75">
      <c r="A440" s="443"/>
      <c r="B440" s="15"/>
      <c r="C440" s="725" t="s">
        <v>99</v>
      </c>
      <c r="D440" s="1746" t="str">
        <f>INDEX(Vectors[Description], MATCH([Vector], Vectors[Code], 0))</f>
        <v>Liquid hydrocarbons</v>
      </c>
      <c r="E440" s="725"/>
      <c r="F440" s="726">
        <f>-F242</f>
        <v>-6.35</v>
      </c>
      <c r="G440" s="726">
        <f t="shared" si="45"/>
        <v>-6.4016712078689091</v>
      </c>
      <c r="H440" s="726">
        <f t="shared" si="45"/>
        <v>-6.553248273655325</v>
      </c>
      <c r="I440" s="726">
        <f t="shared" si="45"/>
        <v>-6.7361227553872833</v>
      </c>
      <c r="J440" s="726">
        <f t="shared" si="45"/>
        <v>-6.9497656476232264</v>
      </c>
      <c r="K440" s="726">
        <f t="shared" si="45"/>
        <v>-7.1940373605597259</v>
      </c>
      <c r="L440" s="726">
        <f t="shared" si="45"/>
        <v>-7.4691713807064319</v>
      </c>
      <c r="M440" s="726">
        <f t="shared" si="45"/>
        <v>-7.7757639283001261</v>
      </c>
      <c r="N440" s="726">
        <f t="shared" si="45"/>
        <v>-8.1147692850764876</v>
      </c>
      <c r="O440" s="867"/>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c r="BZ440" s="39"/>
      <c r="CA440" s="39"/>
      <c r="CB440" s="39"/>
      <c r="CC440" s="39"/>
      <c r="CD440" s="39"/>
      <c r="CE440" s="39"/>
      <c r="CF440" s="39"/>
      <c r="CG440" s="39"/>
      <c r="CH440" s="39"/>
      <c r="CI440" s="39"/>
    </row>
    <row r="441" spans="1:87" ht="15.75">
      <c r="A441" s="443"/>
      <c r="B441" s="15"/>
      <c r="C441" s="725" t="s">
        <v>100</v>
      </c>
      <c r="D441" s="1746" t="str">
        <f>INDEX(Vectors[Description], MATCH([Vector], Vectors[Code], 0))</f>
        <v>Gaseous hydrocarbons</v>
      </c>
      <c r="E441" s="725"/>
      <c r="F441" s="726">
        <f>-F243</f>
        <v>-7.2399999999999993</v>
      </c>
      <c r="G441" s="726">
        <f t="shared" si="45"/>
        <v>-7.2989133141686455</v>
      </c>
      <c r="H441" s="726">
        <f t="shared" si="45"/>
        <v>-7.4717350395692215</v>
      </c>
      <c r="I441" s="726">
        <f t="shared" si="45"/>
        <v>-7.6802407478746355</v>
      </c>
      <c r="J441" s="726">
        <f t="shared" si="45"/>
        <v>-7.9238272895735689</v>
      </c>
      <c r="K441" s="726">
        <f t="shared" si="45"/>
        <v>-8.2023355103074671</v>
      </c>
      <c r="L441" s="726">
        <f t="shared" si="45"/>
        <v>-8.5160316214668619</v>
      </c>
      <c r="M441" s="726">
        <f t="shared" si="45"/>
        <v>-8.8655954080146326</v>
      </c>
      <c r="N441" s="726">
        <f t="shared" si="45"/>
        <v>-9.2521149014100423</v>
      </c>
      <c r="O441" s="867"/>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c r="BZ441" s="39"/>
      <c r="CA441" s="39"/>
      <c r="CB441" s="39"/>
      <c r="CC441" s="39"/>
      <c r="CD441" s="39"/>
      <c r="CE441" s="39"/>
      <c r="CF441" s="39"/>
      <c r="CG441" s="39"/>
      <c r="CH441" s="39"/>
      <c r="CI441" s="39"/>
    </row>
    <row r="442" spans="1:87" ht="15.75">
      <c r="A442" s="443"/>
      <c r="B442" s="15"/>
      <c r="C442" s="725" t="s">
        <v>101</v>
      </c>
      <c r="D442" s="1746" t="str">
        <f>INDEX(Vectors[Description], MATCH([Vector], Vectors[Code], 0))</f>
        <v>Heat transport</v>
      </c>
      <c r="E442" s="725"/>
      <c r="F442" s="726">
        <f>-F244</f>
        <v>0</v>
      </c>
      <c r="G442" s="726">
        <f t="shared" si="45"/>
        <v>0</v>
      </c>
      <c r="H442" s="726">
        <f t="shared" si="45"/>
        <v>0</v>
      </c>
      <c r="I442" s="726">
        <f t="shared" si="45"/>
        <v>0</v>
      </c>
      <c r="J442" s="726">
        <f t="shared" si="45"/>
        <v>0</v>
      </c>
      <c r="K442" s="726">
        <f t="shared" si="45"/>
        <v>0</v>
      </c>
      <c r="L442" s="726">
        <f t="shared" si="45"/>
        <v>0</v>
      </c>
      <c r="M442" s="726">
        <f t="shared" si="45"/>
        <v>0</v>
      </c>
      <c r="N442" s="726">
        <f t="shared" si="45"/>
        <v>0</v>
      </c>
      <c r="O442" s="867"/>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c r="BZ442" s="39"/>
      <c r="CA442" s="39"/>
      <c r="CB442" s="39"/>
      <c r="CC442" s="39"/>
      <c r="CD442" s="39"/>
      <c r="CE442" s="39"/>
      <c r="CF442" s="39"/>
      <c r="CG442" s="39"/>
      <c r="CH442" s="39"/>
      <c r="CI442" s="39"/>
    </row>
    <row r="443" spans="1:87" ht="15.75">
      <c r="A443" s="443"/>
      <c r="B443" s="15"/>
      <c r="C443" s="2463" t="s">
        <v>59</v>
      </c>
      <c r="D443" s="2463"/>
      <c r="E443" s="2463"/>
      <c r="F443" s="2464">
        <f>SUBTOTAL(109,[2013])</f>
        <v>4.4408920985006262E-15</v>
      </c>
      <c r="G443" s="2464">
        <f>SUBTOTAL(109,[2015])</f>
        <v>4.4408920985006262E-15</v>
      </c>
      <c r="H443" s="2464">
        <f>SUBTOTAL(109,[2020])</f>
        <v>-8.8817841970012523E-16</v>
      </c>
      <c r="I443" s="2464">
        <f>SUBTOTAL(109,[2025])</f>
        <v>8.8817841970012523E-16</v>
      </c>
      <c r="J443" s="2464">
        <f>SUBTOTAL(109,[2030])</f>
        <v>0</v>
      </c>
      <c r="K443" s="2464">
        <f>SUBTOTAL(109,[2035])</f>
        <v>3.5527136788005009E-15</v>
      </c>
      <c r="L443" s="2464">
        <f>SUBTOTAL(109,[2040])</f>
        <v>0</v>
      </c>
      <c r="M443" s="2464">
        <f>SUBTOTAL(109,[2045])</f>
        <v>-1.7763568394002505E-15</v>
      </c>
      <c r="N443" s="2464">
        <f>SUBTOTAL(109,[2050])</f>
        <v>0</v>
      </c>
      <c r="O443" s="867"/>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c r="BZ443" s="39"/>
      <c r="CA443" s="39"/>
      <c r="CB443" s="39"/>
      <c r="CC443" s="39"/>
      <c r="CD443" s="39"/>
      <c r="CE443" s="39"/>
      <c r="CF443" s="39"/>
      <c r="CG443" s="39"/>
      <c r="CH443" s="39"/>
      <c r="CI443" s="39"/>
    </row>
    <row r="444" spans="1:87" ht="15.75">
      <c r="B444" s="15"/>
      <c r="C444" s="452"/>
      <c r="D444" s="452"/>
      <c r="E444" s="452"/>
      <c r="F444" s="452"/>
      <c r="G444" s="452"/>
      <c r="H444" s="452"/>
      <c r="I444" s="452"/>
      <c r="J444" s="452"/>
      <c r="K444" s="452"/>
      <c r="L444" s="452"/>
      <c r="M444" s="452"/>
      <c r="N444" s="452"/>
      <c r="O444" s="35"/>
    </row>
    <row r="445" spans="1:87" ht="23.25">
      <c r="A445" s="7"/>
    </row>
    <row r="446" spans="1:87" ht="15.75">
      <c r="B446" s="1127" t="s">
        <v>303</v>
      </c>
      <c r="C446" s="1128"/>
      <c r="D446" s="1129"/>
      <c r="E446" s="1129"/>
      <c r="F446" s="1129"/>
      <c r="G446" s="1129"/>
      <c r="H446" s="1129"/>
      <c r="I446" s="1129"/>
      <c r="J446" s="1129"/>
      <c r="K446" s="1129"/>
      <c r="L446" s="1129"/>
      <c r="M446" s="1129"/>
      <c r="N446" s="1129"/>
      <c r="O446" s="1130"/>
    </row>
    <row r="447" spans="1:87">
      <c r="B447" s="1131"/>
      <c r="C447" s="1132"/>
      <c r="D447" s="1132"/>
      <c r="E447" s="1132"/>
      <c r="F447" s="1132"/>
      <c r="G447" s="1132"/>
      <c r="H447" s="1132"/>
      <c r="I447" s="1132"/>
      <c r="J447" s="1132"/>
      <c r="K447" s="1132"/>
      <c r="L447" s="1132"/>
      <c r="M447" s="1132"/>
      <c r="N447" s="1132"/>
      <c r="O447" s="1133"/>
    </row>
    <row r="448" spans="1:87">
      <c r="B448" s="1134"/>
      <c r="C448" s="462" t="s">
        <v>1028</v>
      </c>
      <c r="D448" s="1135"/>
      <c r="E448" s="1136"/>
      <c r="F448" s="1135"/>
      <c r="G448" s="1135"/>
      <c r="H448" s="1135"/>
      <c r="I448" s="1135"/>
      <c r="J448" s="1135"/>
      <c r="K448" s="1135"/>
      <c r="L448" s="1135"/>
      <c r="M448" s="1135"/>
      <c r="N448" s="1137" t="s">
        <v>254</v>
      </c>
      <c r="O448" s="1138"/>
    </row>
    <row r="449" spans="2:15">
      <c r="B449" s="1134"/>
      <c r="C449" s="1135"/>
      <c r="D449" s="1135"/>
      <c r="E449" s="1135"/>
      <c r="F449" s="1135"/>
      <c r="G449" s="1135"/>
      <c r="H449" s="1135"/>
      <c r="I449" s="1135"/>
      <c r="J449" s="1135"/>
      <c r="K449" s="1135"/>
      <c r="L449" s="1135"/>
      <c r="M449" s="1135"/>
      <c r="N449" s="1135"/>
      <c r="O449" s="1138"/>
    </row>
    <row r="450" spans="2:15" ht="15.75">
      <c r="B450" s="467"/>
      <c r="C450" s="1339" t="s">
        <v>305</v>
      </c>
      <c r="D450" s="1339" t="s">
        <v>306</v>
      </c>
      <c r="E450" s="1339" t="s">
        <v>30</v>
      </c>
      <c r="F450" s="1339" t="s">
        <v>597</v>
      </c>
      <c r="G450" s="1339" t="s">
        <v>133</v>
      </c>
      <c r="H450" s="1339" t="s">
        <v>134</v>
      </c>
      <c r="I450" s="1339" t="s">
        <v>135</v>
      </c>
      <c r="J450" s="1339" t="s">
        <v>136</v>
      </c>
      <c r="K450" s="1339" t="s">
        <v>137</v>
      </c>
      <c r="L450" s="1339" t="s">
        <v>138</v>
      </c>
      <c r="M450" s="1339" t="s">
        <v>139</v>
      </c>
      <c r="N450" s="1339" t="s">
        <v>140</v>
      </c>
      <c r="O450" s="1138"/>
    </row>
    <row r="451" spans="2:15" ht="15.75">
      <c r="B451" s="467"/>
      <c r="C451" s="1140" t="s">
        <v>253</v>
      </c>
      <c r="D451" s="1141" t="s">
        <v>307</v>
      </c>
      <c r="E451" s="1141" t="str">
        <f>INDEX(IPCC[Sector_description], MATCH([IPCC Sector], IPCC[Sector_code], 0))</f>
        <v>Fuel Combustion</v>
      </c>
      <c r="F451" s="470">
        <f>F341</f>
        <v>4.2078251519999998</v>
      </c>
      <c r="G451" s="470">
        <f t="shared" ref="G451:N453" si="46">G341</f>
        <v>4.2420650587881914</v>
      </c>
      <c r="H451" s="470">
        <f t="shared" si="46"/>
        <v>4.3425075453838513</v>
      </c>
      <c r="I451" s="470">
        <f t="shared" si="46"/>
        <v>4.4636892530831735</v>
      </c>
      <c r="J451" s="470">
        <f t="shared" si="46"/>
        <v>4.6052596366259184</v>
      </c>
      <c r="K451" s="470">
        <f t="shared" si="46"/>
        <v>4.7671261968804579</v>
      </c>
      <c r="L451" s="470">
        <f t="shared" si="46"/>
        <v>4.9494436535960773</v>
      </c>
      <c r="M451" s="470">
        <f t="shared" si="46"/>
        <v>5.1526070918922198</v>
      </c>
      <c r="N451" s="470">
        <f t="shared" si="46"/>
        <v>5.3772488662081734</v>
      </c>
      <c r="O451" s="1138"/>
    </row>
    <row r="452" spans="2:15" ht="15.75">
      <c r="B452" s="467"/>
      <c r="C452" s="1140" t="s">
        <v>255</v>
      </c>
      <c r="D452" s="1141" t="s">
        <v>307</v>
      </c>
      <c r="E452" s="1141" t="str">
        <f>INDEX(IPCC[Sector_description], MATCH([IPCC Sector], IPCC[Sector_code], 0))</f>
        <v>Fuel Combustion</v>
      </c>
      <c r="F452" s="470">
        <f>F342</f>
        <v>2.1521051999999997E-3</v>
      </c>
      <c r="G452" s="470">
        <f t="shared" si="46"/>
        <v>2.1696173063220411E-3</v>
      </c>
      <c r="H452" s="470">
        <f t="shared" si="46"/>
        <v>2.2209889270275039E-3</v>
      </c>
      <c r="I452" s="470">
        <f t="shared" si="46"/>
        <v>2.2829676865680788E-3</v>
      </c>
      <c r="J452" s="470">
        <f t="shared" si="46"/>
        <v>2.3553742974852464E-3</v>
      </c>
      <c r="K452" s="470">
        <f t="shared" si="46"/>
        <v>2.4381614508117893E-3</v>
      </c>
      <c r="L452" s="470">
        <f t="shared" si="46"/>
        <v>2.5314082784424399E-3</v>
      </c>
      <c r="M452" s="470">
        <f t="shared" si="46"/>
        <v>2.6353168478845876E-3</v>
      </c>
      <c r="N452" s="470">
        <f t="shared" si="46"/>
        <v>2.7502105787737628E-3</v>
      </c>
      <c r="O452" s="1138"/>
    </row>
    <row r="453" spans="2:15" ht="15.75">
      <c r="B453" s="467"/>
      <c r="C453" s="1140" t="s">
        <v>256</v>
      </c>
      <c r="D453" s="1141" t="s">
        <v>307</v>
      </c>
      <c r="E453" s="1141" t="str">
        <f>INDEX(IPCC[Sector_description], MATCH([IPCC Sector], IPCC[Sector_code], 0))</f>
        <v>Fuel Combustion</v>
      </c>
      <c r="F453" s="470">
        <f>F343</f>
        <v>2.9418875999999997E-2</v>
      </c>
      <c r="G453" s="470">
        <f t="shared" si="46"/>
        <v>2.9658263221585143E-2</v>
      </c>
      <c r="H453" s="470">
        <f t="shared" si="46"/>
        <v>3.0360503678721274E-2</v>
      </c>
      <c r="I453" s="470">
        <f t="shared" si="46"/>
        <v>3.1207741741971155E-2</v>
      </c>
      <c r="J453" s="470">
        <f t="shared" si="46"/>
        <v>3.2197526585273605E-2</v>
      </c>
      <c r="K453" s="470">
        <f t="shared" si="46"/>
        <v>3.3329211503885646E-2</v>
      </c>
      <c r="L453" s="470">
        <f t="shared" si="46"/>
        <v>3.4603878216023828E-2</v>
      </c>
      <c r="M453" s="470">
        <f t="shared" si="46"/>
        <v>3.602428894676131E-2</v>
      </c>
      <c r="N453" s="470">
        <f t="shared" si="46"/>
        <v>3.759486478209037E-2</v>
      </c>
      <c r="O453" s="1138"/>
    </row>
    <row r="454" spans="2:15" ht="15.75">
      <c r="B454" s="467"/>
      <c r="C454" s="1139" t="s">
        <v>253</v>
      </c>
      <c r="D454" s="1463">
        <v>2</v>
      </c>
      <c r="E454" s="1141" t="str">
        <f>INDEX(IPCC[Sector_description], MATCH([IPCC Sector], IPCC[Sector_code], 0))</f>
        <v>Industrial Processes</v>
      </c>
      <c r="F454" s="1464">
        <f>F286</f>
        <v>1.39</v>
      </c>
      <c r="G454" s="1464">
        <f t="shared" ref="G454:N454" si="47">G286</f>
        <v>1.32136875</v>
      </c>
      <c r="H454" s="1464">
        <f t="shared" si="47"/>
        <v>1.1642523149646604</v>
      </c>
      <c r="I454" s="1464">
        <f t="shared" si="47"/>
        <v>1.0258177006990448</v>
      </c>
      <c r="J454" s="1464">
        <f t="shared" si="47"/>
        <v>0.90384355825774465</v>
      </c>
      <c r="K454" s="1464">
        <f t="shared" si="47"/>
        <v>0.79637266665151207</v>
      </c>
      <c r="L454" s="1464">
        <f t="shared" si="47"/>
        <v>0.70168052689576832</v>
      </c>
      <c r="M454" s="1464">
        <f t="shared" si="47"/>
        <v>0.61824769036199845</v>
      </c>
      <c r="N454" s="1464">
        <f t="shared" si="47"/>
        <v>0.54473537740733713</v>
      </c>
      <c r="O454" s="1138"/>
    </row>
    <row r="455" spans="2:15" ht="15.75">
      <c r="B455" s="467"/>
      <c r="C455" s="1139" t="s">
        <v>255</v>
      </c>
      <c r="D455" s="1463">
        <v>2</v>
      </c>
      <c r="E455" s="1141" t="str">
        <f>INDEX(IPCC[Sector_description], MATCH([IPCC Sector], IPCC[Sector_code], 0))</f>
        <v>Industrial Processes</v>
      </c>
      <c r="F455" s="1464">
        <f>F293</f>
        <v>0</v>
      </c>
      <c r="G455" s="1464">
        <f t="shared" ref="G455:N455" si="48">G293</f>
        <v>0</v>
      </c>
      <c r="H455" s="1464">
        <f t="shared" si="48"/>
        <v>0</v>
      </c>
      <c r="I455" s="1464">
        <f t="shared" si="48"/>
        <v>0</v>
      </c>
      <c r="J455" s="1464">
        <f t="shared" si="48"/>
        <v>0</v>
      </c>
      <c r="K455" s="1464">
        <f t="shared" si="48"/>
        <v>0</v>
      </c>
      <c r="L455" s="1464">
        <f t="shared" si="48"/>
        <v>0</v>
      </c>
      <c r="M455" s="1464">
        <f t="shared" si="48"/>
        <v>0</v>
      </c>
      <c r="N455" s="1464">
        <f t="shared" si="48"/>
        <v>0</v>
      </c>
      <c r="O455" s="1138"/>
    </row>
    <row r="456" spans="2:15" ht="15.75">
      <c r="B456" s="467"/>
      <c r="C456" s="1139" t="s">
        <v>256</v>
      </c>
      <c r="D456" s="1463">
        <v>2</v>
      </c>
      <c r="E456" s="1141" t="str">
        <f>INDEX(IPCC[Sector_description], MATCH([IPCC Sector], IPCC[Sector_code], 0))</f>
        <v>Industrial Processes</v>
      </c>
      <c r="F456" s="1464">
        <f>F300</f>
        <v>0</v>
      </c>
      <c r="G456" s="1464">
        <f t="shared" ref="G456:N456" si="49">G300</f>
        <v>0</v>
      </c>
      <c r="H456" s="1464">
        <f t="shared" si="49"/>
        <v>0</v>
      </c>
      <c r="I456" s="1464">
        <f t="shared" si="49"/>
        <v>0</v>
      </c>
      <c r="J456" s="1464">
        <f t="shared" si="49"/>
        <v>0</v>
      </c>
      <c r="K456" s="1464">
        <f t="shared" si="49"/>
        <v>0</v>
      </c>
      <c r="L456" s="1464">
        <f t="shared" si="49"/>
        <v>0</v>
      </c>
      <c r="M456" s="1464">
        <f t="shared" si="49"/>
        <v>0</v>
      </c>
      <c r="N456" s="1464">
        <f t="shared" si="49"/>
        <v>0</v>
      </c>
      <c r="O456" s="1138"/>
    </row>
    <row r="457" spans="2:15" ht="15.75">
      <c r="B457" s="467"/>
      <c r="C457" s="1139" t="s">
        <v>460</v>
      </c>
      <c r="D457" s="1463">
        <v>2</v>
      </c>
      <c r="E457" s="1141" t="str">
        <f>INDEX(IPCC[Sector_description], MATCH([IPCC Sector], IPCC[Sector_code], 0))</f>
        <v>Industrial Processes</v>
      </c>
      <c r="F457" s="1464">
        <f>F307</f>
        <v>1.03</v>
      </c>
      <c r="G457" s="1464">
        <f t="shared" ref="G457:N457" si="50">G307</f>
        <v>0.99607717549810115</v>
      </c>
      <c r="H457" s="1464">
        <f t="shared" si="50"/>
        <v>0.91607788377966026</v>
      </c>
      <c r="I457" s="1464">
        <f t="shared" si="50"/>
        <v>0.84250368324178171</v>
      </c>
      <c r="J457" s="1464">
        <f t="shared" si="50"/>
        <v>0.77483854685732834</v>
      </c>
      <c r="K457" s="1464">
        <f t="shared" si="50"/>
        <v>0.7126078919748543</v>
      </c>
      <c r="L457" s="1464">
        <f t="shared" si="50"/>
        <v>0.65537525174047484</v>
      </c>
      <c r="M457" s="1464">
        <f t="shared" si="50"/>
        <v>0.60273921385233153</v>
      </c>
      <c r="N457" s="1464">
        <f t="shared" si="50"/>
        <v>0.55433060517700083</v>
      </c>
      <c r="O457" s="1138"/>
    </row>
    <row r="458" spans="2:15" ht="15.75">
      <c r="B458" s="467"/>
      <c r="C458" s="1139" t="s">
        <v>253</v>
      </c>
      <c r="D458" s="1463" t="s">
        <v>459</v>
      </c>
      <c r="E458" s="1141" t="str">
        <f>INDEX(IPCC[Sector_description], MATCH([IPCC Sector], IPCC[Sector_code], 0))</f>
        <v>Carbon capture</v>
      </c>
      <c r="F458" s="1464">
        <f>-(F$365+F$369)</f>
        <v>0</v>
      </c>
      <c r="G458" s="1464">
        <f t="shared" ref="G458:N458" si="51">-(G$365+G$369)</f>
        <v>0</v>
      </c>
      <c r="H458" s="1464">
        <f t="shared" si="51"/>
        <v>0</v>
      </c>
      <c r="I458" s="1464">
        <f t="shared" si="51"/>
        <v>0</v>
      </c>
      <c r="J458" s="1464">
        <f t="shared" si="51"/>
        <v>0</v>
      </c>
      <c r="K458" s="1464">
        <f t="shared" si="51"/>
        <v>0</v>
      </c>
      <c r="L458" s="1464">
        <f t="shared" si="51"/>
        <v>0</v>
      </c>
      <c r="M458" s="1464">
        <f t="shared" si="51"/>
        <v>0</v>
      </c>
      <c r="N458" s="1464">
        <f t="shared" si="51"/>
        <v>0</v>
      </c>
      <c r="O458" s="1138"/>
    </row>
    <row r="459" spans="2:15" ht="15.75">
      <c r="B459" s="467"/>
      <c r="C459" s="3505" t="s">
        <v>59</v>
      </c>
      <c r="D459" s="3622"/>
      <c r="E459" s="2466"/>
      <c r="F459" s="3623">
        <f>SUBTOTAL(109,[2013])</f>
        <v>6.6593961332000005</v>
      </c>
      <c r="G459" s="3623">
        <f>SUBTOTAL(109,[2015])</f>
        <v>6.5913388648141993</v>
      </c>
      <c r="H459" s="3623">
        <f>SUBTOTAL(109,[2020])</f>
        <v>6.4554192367339205</v>
      </c>
      <c r="I459" s="3623">
        <f>SUBTOTAL(109,[2025])</f>
        <v>6.3655013464525396</v>
      </c>
      <c r="J459" s="3623">
        <f>SUBTOTAL(109,[2030])</f>
        <v>6.3184946426237492</v>
      </c>
      <c r="K459" s="3623">
        <f>SUBTOTAL(109,[2035])</f>
        <v>6.311874128461521</v>
      </c>
      <c r="L459" s="3623">
        <f>SUBTOTAL(109,[2040])</f>
        <v>6.3436347187267872</v>
      </c>
      <c r="M459" s="3623">
        <f>SUBTOTAL(109,[2045])</f>
        <v>6.4122536019011953</v>
      </c>
      <c r="N459" s="3623">
        <f>SUBTOTAL(109,[2050])</f>
        <v>6.5166599241533758</v>
      </c>
      <c r="O459" s="1138"/>
    </row>
    <row r="460" spans="2:15" ht="15.75">
      <c r="B460" s="474"/>
      <c r="C460" s="1140"/>
      <c r="D460" s="1140"/>
      <c r="E460" s="1140"/>
      <c r="F460" s="471"/>
      <c r="G460" s="471"/>
      <c r="H460" s="471"/>
      <c r="I460" s="471"/>
      <c r="J460" s="471"/>
      <c r="K460" s="471"/>
      <c r="L460" s="471"/>
      <c r="M460" s="471"/>
      <c r="N460" s="471"/>
      <c r="O460" s="1135"/>
    </row>
    <row r="461" spans="2:15" ht="15.75">
      <c r="B461" s="474"/>
      <c r="C461" s="475" t="s">
        <v>1116</v>
      </c>
      <c r="D461" s="1384"/>
      <c r="E461" s="1140"/>
      <c r="F461" s="471"/>
      <c r="G461" s="471"/>
      <c r="H461" s="471"/>
      <c r="I461" s="471"/>
      <c r="J461" s="471"/>
      <c r="K461" s="471"/>
      <c r="L461" s="471"/>
      <c r="M461" s="471"/>
      <c r="N461" s="1143" t="s">
        <v>850</v>
      </c>
      <c r="O461" s="1135"/>
    </row>
    <row r="462" spans="2:15">
      <c r="B462" s="477"/>
      <c r="C462" s="1140"/>
      <c r="D462" s="1140"/>
      <c r="E462" s="1140"/>
      <c r="F462" s="471"/>
      <c r="G462" s="471"/>
      <c r="H462" s="471"/>
      <c r="I462" s="471"/>
      <c r="J462" s="471"/>
      <c r="K462" s="471"/>
      <c r="L462" s="471"/>
      <c r="M462" s="471"/>
      <c r="N462" s="471"/>
      <c r="O462" s="477"/>
    </row>
    <row r="463" spans="2:15">
      <c r="B463" s="477"/>
      <c r="C463" s="3626" t="s">
        <v>28</v>
      </c>
      <c r="D463" s="3627" t="s">
        <v>29</v>
      </c>
      <c r="E463" s="3627" t="s">
        <v>306</v>
      </c>
      <c r="F463" s="3627" t="s">
        <v>597</v>
      </c>
      <c r="G463" s="3627" t="s">
        <v>133</v>
      </c>
      <c r="H463" s="3627" t="s">
        <v>134</v>
      </c>
      <c r="I463" s="3627" t="s">
        <v>135</v>
      </c>
      <c r="J463" s="3627" t="s">
        <v>136</v>
      </c>
      <c r="K463" s="3627" t="s">
        <v>137</v>
      </c>
      <c r="L463" s="3627" t="s">
        <v>138</v>
      </c>
      <c r="M463" s="3627" t="s">
        <v>139</v>
      </c>
      <c r="N463" s="3628" t="s">
        <v>140</v>
      </c>
      <c r="O463" s="477"/>
    </row>
    <row r="464" spans="2:15">
      <c r="B464" s="477"/>
      <c r="C464" s="3631" t="str">
        <f>INDEX(AirQualityVectors[Code],MATCH(D464,AirQualityVectors[Description],0))</f>
        <v>AQ.01</v>
      </c>
      <c r="D464" s="1387" t="s">
        <v>261</v>
      </c>
      <c r="E464" s="1386" t="s">
        <v>307</v>
      </c>
      <c r="F464" s="1465">
        <f t="shared" ref="F464:N467" ca="1" si="52">F355</f>
        <v>0.35756443684696865</v>
      </c>
      <c r="G464" s="1465">
        <f t="shared" ca="1" si="52"/>
        <v>0.49259916154307581</v>
      </c>
      <c r="H464" s="1465">
        <f t="shared" ca="1" si="52"/>
        <v>0.75254393626089233</v>
      </c>
      <c r="I464" s="1465">
        <f t="shared" ca="1" si="52"/>
        <v>0.85850969071334493</v>
      </c>
      <c r="J464" s="1465">
        <f t="shared" ca="1" si="52"/>
        <v>0.92415866387463474</v>
      </c>
      <c r="K464" s="1465">
        <f t="shared" ca="1" si="52"/>
        <v>0.98893617562444236</v>
      </c>
      <c r="L464" s="1465">
        <f t="shared" ca="1" si="52"/>
        <v>1.0601885887584266</v>
      </c>
      <c r="M464" s="1465">
        <f t="shared" ca="1" si="52"/>
        <v>1.1343748680598302</v>
      </c>
      <c r="N464" s="3624">
        <f t="shared" ca="1" si="52"/>
        <v>1.2142660919111936</v>
      </c>
      <c r="O464" s="477"/>
    </row>
    <row r="465" spans="2:22">
      <c r="B465" s="477"/>
      <c r="C465" s="3632" t="str">
        <f>INDEX(AirQualityVectors[Code],MATCH(D465,AirQualityVectors[Description],0))</f>
        <v>AQ.02</v>
      </c>
      <c r="D465" s="1388" t="s">
        <v>263</v>
      </c>
      <c r="E465" s="1385" t="s">
        <v>307</v>
      </c>
      <c r="F465" s="1466">
        <f t="shared" ca="1" si="52"/>
        <v>8.812038561840966</v>
      </c>
      <c r="G465" s="1466">
        <f t="shared" ca="1" si="52"/>
        <v>5.1993080901320843</v>
      </c>
      <c r="H465" s="1466">
        <f t="shared" ca="1" si="52"/>
        <v>4.7113092334297377</v>
      </c>
      <c r="I465" s="1466">
        <f t="shared" ca="1" si="52"/>
        <v>4.5419226015061547</v>
      </c>
      <c r="J465" s="1466">
        <f t="shared" ca="1" si="52"/>
        <v>4.3486248825167619</v>
      </c>
      <c r="K465" s="1466">
        <f t="shared" ca="1" si="52"/>
        <v>4.4571390306685252</v>
      </c>
      <c r="L465" s="1466">
        <f t="shared" ca="1" si="52"/>
        <v>4.5858792051263331</v>
      </c>
      <c r="M465" s="1466">
        <f t="shared" ca="1" si="52"/>
        <v>4.7526859360661451</v>
      </c>
      <c r="N465" s="3625">
        <f t="shared" ca="1" si="52"/>
        <v>4.9471693652826074</v>
      </c>
      <c r="O465" s="477"/>
    </row>
    <row r="466" spans="2:22">
      <c r="B466" s="477"/>
      <c r="C466" s="3632" t="str">
        <f>INDEX(AirQualityVectors[Code],MATCH(D466,AirQualityVectors[Description],0))</f>
        <v>AQ.03</v>
      </c>
      <c r="D466" s="1388" t="s">
        <v>265</v>
      </c>
      <c r="E466" s="1385" t="s">
        <v>307</v>
      </c>
      <c r="F466" s="1466">
        <f t="shared" ca="1" si="52"/>
        <v>5.6338520668312455</v>
      </c>
      <c r="G466" s="1466">
        <f t="shared" ca="1" si="52"/>
        <v>5.4743521732513916</v>
      </c>
      <c r="H466" s="1466">
        <f t="shared" ca="1" si="52"/>
        <v>2.7288187694173862</v>
      </c>
      <c r="I466" s="1466">
        <f t="shared" ca="1" si="52"/>
        <v>2.1310808616817427</v>
      </c>
      <c r="J466" s="1466">
        <f t="shared" ca="1" si="52"/>
        <v>2.1886454836565101</v>
      </c>
      <c r="K466" s="1466">
        <f t="shared" ca="1" si="52"/>
        <v>2.2182871319534425</v>
      </c>
      <c r="L466" s="1466">
        <f t="shared" ca="1" si="52"/>
        <v>2.2520009349596566</v>
      </c>
      <c r="M466" s="1466">
        <f t="shared" ca="1" si="52"/>
        <v>2.2887538308277606</v>
      </c>
      <c r="N466" s="3625">
        <f t="shared" ca="1" si="52"/>
        <v>2.3288139757269239</v>
      </c>
      <c r="O466" s="477"/>
    </row>
    <row r="467" spans="2:22">
      <c r="B467" s="477"/>
      <c r="C467" s="3633" t="str">
        <f>INDEX(AirQualityVectors[Code],MATCH(D467,AirQualityVectors[Description],0))</f>
        <v>AQ.04</v>
      </c>
      <c r="D467" s="1765" t="s">
        <v>267</v>
      </c>
      <c r="E467" s="1766" t="s">
        <v>307</v>
      </c>
      <c r="F467" s="3629">
        <f t="shared" ca="1" si="52"/>
        <v>0.1544507910861343</v>
      </c>
      <c r="G467" s="3629">
        <f t="shared" ca="1" si="52"/>
        <v>0.17886253792998041</v>
      </c>
      <c r="H467" s="3629">
        <f t="shared" ca="1" si="52"/>
        <v>0.40761546129785098</v>
      </c>
      <c r="I467" s="3629">
        <f t="shared" ca="1" si="52"/>
        <v>0.48161914058704081</v>
      </c>
      <c r="J467" s="3629">
        <f t="shared" ca="1" si="52"/>
        <v>0.50994437515766888</v>
      </c>
      <c r="K467" s="3629">
        <f t="shared" ca="1" si="52"/>
        <v>0.53658300780648027</v>
      </c>
      <c r="L467" s="3629">
        <f t="shared" ca="1" si="52"/>
        <v>0.56632216090700049</v>
      </c>
      <c r="M467" s="3629">
        <f t="shared" ca="1" si="52"/>
        <v>0.59881662117841472</v>
      </c>
      <c r="N467" s="3630">
        <f t="shared" ca="1" si="52"/>
        <v>0.63450380938770301</v>
      </c>
      <c r="O467" s="477"/>
    </row>
    <row r="468" spans="2:22">
      <c r="B468" s="477"/>
      <c r="C468" s="1467"/>
      <c r="D468" s="1468"/>
      <c r="E468" s="1467"/>
      <c r="F468" s="1469"/>
      <c r="G468" s="1469"/>
      <c r="H468" s="1469"/>
      <c r="I468" s="1469"/>
      <c r="J468" s="1469"/>
      <c r="K468" s="1469"/>
      <c r="L468" s="1469"/>
      <c r="M468" s="1469"/>
      <c r="N468" s="1469"/>
      <c r="O468" s="477"/>
    </row>
    <row r="469" spans="2:22">
      <c r="B469" s="477"/>
      <c r="C469" s="475" t="s">
        <v>1117</v>
      </c>
      <c r="D469" s="1384"/>
      <c r="E469" s="1140"/>
      <c r="F469" s="471"/>
      <c r="G469" s="471"/>
      <c r="H469" s="471"/>
      <c r="I469" s="471"/>
      <c r="J469" s="471"/>
      <c r="K469" s="471"/>
      <c r="L469" s="471"/>
      <c r="M469" s="471"/>
      <c r="N469" s="1143" t="s">
        <v>850</v>
      </c>
      <c r="O469" s="477"/>
    </row>
    <row r="470" spans="2:22">
      <c r="B470" s="477"/>
      <c r="C470" s="1470"/>
      <c r="D470" s="1471"/>
      <c r="E470" s="1470"/>
      <c r="F470" s="1472"/>
      <c r="G470" s="1472"/>
      <c r="H470" s="1472"/>
      <c r="I470" s="1472"/>
      <c r="J470" s="1472"/>
      <c r="K470" s="1472"/>
      <c r="L470" s="1472"/>
      <c r="M470" s="1472"/>
      <c r="N470" s="1472"/>
      <c r="O470" s="477"/>
    </row>
    <row r="471" spans="2:22">
      <c r="B471" s="477"/>
      <c r="C471" s="1762" t="s">
        <v>28</v>
      </c>
      <c r="D471" s="1763" t="s">
        <v>29</v>
      </c>
      <c r="E471" s="1763" t="s">
        <v>306</v>
      </c>
      <c r="F471" s="1763" t="s">
        <v>597</v>
      </c>
      <c r="G471" s="1763" t="s">
        <v>133</v>
      </c>
      <c r="H471" s="1763" t="s">
        <v>134</v>
      </c>
      <c r="I471" s="1763" t="s">
        <v>135</v>
      </c>
      <c r="J471" s="1763" t="s">
        <v>136</v>
      </c>
      <c r="K471" s="1763" t="s">
        <v>137</v>
      </c>
      <c r="L471" s="1763" t="s">
        <v>138</v>
      </c>
      <c r="M471" s="1763" t="s">
        <v>139</v>
      </c>
      <c r="N471" s="1764" t="s">
        <v>140</v>
      </c>
      <c r="O471" s="477"/>
    </row>
    <row r="472" spans="2:22">
      <c r="B472" s="477"/>
      <c r="C472" s="3631" t="str">
        <f>INDEX(AirQualityVectors[Code],MATCH(D472,AirQualityVectors[Description],0))</f>
        <v>AQ.01</v>
      </c>
      <c r="D472" s="1387" t="s">
        <v>261</v>
      </c>
      <c r="E472" s="1386">
        <v>2</v>
      </c>
      <c r="F472" s="1465">
        <f t="shared" ref="F472:N472" si="53">F314</f>
        <v>0</v>
      </c>
      <c r="G472" s="1465">
        <f t="shared" si="53"/>
        <v>0</v>
      </c>
      <c r="H472" s="1465">
        <f t="shared" si="53"/>
        <v>0</v>
      </c>
      <c r="I472" s="1465">
        <f t="shared" si="53"/>
        <v>0</v>
      </c>
      <c r="J472" s="1465">
        <f t="shared" si="53"/>
        <v>0</v>
      </c>
      <c r="K472" s="1465">
        <f t="shared" si="53"/>
        <v>0</v>
      </c>
      <c r="L472" s="1465">
        <f t="shared" si="53"/>
        <v>0</v>
      </c>
      <c r="M472" s="1465">
        <f t="shared" si="53"/>
        <v>0</v>
      </c>
      <c r="N472" s="3624">
        <f t="shared" si="53"/>
        <v>0</v>
      </c>
      <c r="O472" s="477"/>
    </row>
    <row r="473" spans="2:22">
      <c r="B473" s="477"/>
      <c r="C473" s="3632" t="str">
        <f>INDEX(AirQualityVectors[Code],MATCH(D473,AirQualityVectors[Description],0))</f>
        <v>AQ.02</v>
      </c>
      <c r="D473" s="1388" t="s">
        <v>263</v>
      </c>
      <c r="E473" s="1385">
        <v>2</v>
      </c>
      <c r="F473" s="1466">
        <f t="shared" ref="F473:N473" si="54">F321</f>
        <v>0</v>
      </c>
      <c r="G473" s="1466">
        <f t="shared" si="54"/>
        <v>0</v>
      </c>
      <c r="H473" s="1466">
        <f t="shared" si="54"/>
        <v>0</v>
      </c>
      <c r="I473" s="1466">
        <f t="shared" si="54"/>
        <v>0</v>
      </c>
      <c r="J473" s="1466">
        <f t="shared" si="54"/>
        <v>0</v>
      </c>
      <c r="K473" s="1466">
        <f t="shared" si="54"/>
        <v>0</v>
      </c>
      <c r="L473" s="1466">
        <f t="shared" si="54"/>
        <v>0</v>
      </c>
      <c r="M473" s="1466">
        <f t="shared" si="54"/>
        <v>0</v>
      </c>
      <c r="N473" s="3625">
        <f t="shared" si="54"/>
        <v>0</v>
      </c>
      <c r="O473" s="477"/>
    </row>
    <row r="474" spans="2:22">
      <c r="B474" s="477"/>
      <c r="C474" s="3632" t="str">
        <f>INDEX(AirQualityVectors[Code],MATCH(D474,AirQualityVectors[Description],0))</f>
        <v>AQ.03</v>
      </c>
      <c r="D474" s="1388" t="s">
        <v>265</v>
      </c>
      <c r="E474" s="1385">
        <v>2</v>
      </c>
      <c r="F474" s="1466">
        <f t="shared" ref="F474:N474" si="55">F328</f>
        <v>0</v>
      </c>
      <c r="G474" s="1466">
        <f t="shared" si="55"/>
        <v>0</v>
      </c>
      <c r="H474" s="1466">
        <f t="shared" si="55"/>
        <v>0</v>
      </c>
      <c r="I474" s="1466">
        <f t="shared" si="55"/>
        <v>0</v>
      </c>
      <c r="J474" s="1466">
        <f t="shared" si="55"/>
        <v>0</v>
      </c>
      <c r="K474" s="1466">
        <f t="shared" si="55"/>
        <v>0</v>
      </c>
      <c r="L474" s="1466">
        <f t="shared" si="55"/>
        <v>0</v>
      </c>
      <c r="M474" s="1466">
        <f t="shared" si="55"/>
        <v>0</v>
      </c>
      <c r="N474" s="3625">
        <f t="shared" si="55"/>
        <v>0</v>
      </c>
      <c r="O474" s="477"/>
    </row>
    <row r="475" spans="2:22" ht="15.75">
      <c r="B475" s="467"/>
      <c r="C475" s="3633" t="str">
        <f>INDEX(AirQualityVectors[Code],MATCH(D475,AirQualityVectors[Description],0))</f>
        <v>AQ.04</v>
      </c>
      <c r="D475" s="1765" t="s">
        <v>267</v>
      </c>
      <c r="E475" s="1766">
        <v>2</v>
      </c>
      <c r="F475" s="3629">
        <f t="shared" ref="F475:N475" si="56">F335</f>
        <v>0</v>
      </c>
      <c r="G475" s="3629">
        <f t="shared" si="56"/>
        <v>0</v>
      </c>
      <c r="H475" s="3629">
        <f t="shared" si="56"/>
        <v>0</v>
      </c>
      <c r="I475" s="3629">
        <f t="shared" si="56"/>
        <v>0</v>
      </c>
      <c r="J475" s="3629">
        <f t="shared" si="56"/>
        <v>0</v>
      </c>
      <c r="K475" s="3629">
        <f t="shared" si="56"/>
        <v>0</v>
      </c>
      <c r="L475" s="3629">
        <f t="shared" si="56"/>
        <v>0</v>
      </c>
      <c r="M475" s="3629">
        <f t="shared" si="56"/>
        <v>0</v>
      </c>
      <c r="N475" s="3630">
        <f t="shared" si="56"/>
        <v>0</v>
      </c>
      <c r="O475" s="1138"/>
    </row>
    <row r="476" spans="2:22" ht="15.75">
      <c r="B476" s="474"/>
      <c r="C476" s="1135"/>
      <c r="D476" s="1135"/>
      <c r="E476" s="1135"/>
      <c r="F476" s="1135"/>
      <c r="G476" s="1135"/>
      <c r="H476" s="1135"/>
      <c r="I476" s="1135"/>
      <c r="J476" s="1135"/>
      <c r="K476" s="1135"/>
      <c r="L476" s="1135"/>
      <c r="M476" s="1135"/>
      <c r="N476" s="1135"/>
      <c r="O476" s="1135"/>
      <c r="S476" s="1152"/>
      <c r="T476" s="1153"/>
      <c r="U476" s="1152"/>
      <c r="V476" s="1152"/>
    </row>
    <row r="477" spans="2:22">
      <c r="T477" s="6"/>
    </row>
    <row r="478" spans="2:22" ht="15.75">
      <c r="B478" s="995" t="s">
        <v>313</v>
      </c>
      <c r="C478" s="996"/>
      <c r="D478" s="997"/>
      <c r="E478" s="997"/>
      <c r="F478" s="997"/>
      <c r="G478" s="997"/>
      <c r="H478" s="997"/>
      <c r="I478" s="997"/>
      <c r="J478" s="997"/>
      <c r="K478" s="997"/>
      <c r="L478" s="997"/>
      <c r="M478" s="997"/>
      <c r="N478" s="997"/>
      <c r="O478" s="998"/>
      <c r="T478" s="6"/>
    </row>
    <row r="479" spans="2:22">
      <c r="B479" s="999"/>
      <c r="C479" s="1000"/>
      <c r="D479" s="1000"/>
      <c r="E479" s="1000"/>
      <c r="F479" s="1000"/>
      <c r="G479" s="1000"/>
      <c r="H479" s="1000"/>
      <c r="I479" s="1000"/>
      <c r="J479" s="1000"/>
      <c r="K479" s="1000"/>
      <c r="L479" s="1000"/>
      <c r="M479" s="1000"/>
      <c r="N479" s="1000"/>
      <c r="O479" s="1001"/>
      <c r="T479" s="6"/>
    </row>
    <row r="480" spans="2:22">
      <c r="B480" s="1002"/>
      <c r="C480" s="488" t="s">
        <v>314</v>
      </c>
      <c r="D480" s="1003"/>
      <c r="E480" s="1004"/>
      <c r="F480" s="1003"/>
      <c r="G480" s="1003"/>
      <c r="H480" s="1003"/>
      <c r="I480" s="1003"/>
      <c r="J480" s="1003"/>
      <c r="K480" s="1003"/>
      <c r="L480" s="1003"/>
      <c r="M480" s="1003"/>
      <c r="N480" s="1004"/>
      <c r="O480" s="1005"/>
    </row>
    <row r="481" spans="2:15">
      <c r="B481" s="1002"/>
      <c r="C481" s="1003"/>
      <c r="D481" s="1003"/>
      <c r="E481" s="1003"/>
      <c r="F481" s="1003"/>
      <c r="G481" s="1003"/>
      <c r="H481" s="1003"/>
      <c r="I481" s="1003"/>
      <c r="J481" s="1003"/>
      <c r="K481" s="1003"/>
      <c r="L481" s="1003"/>
      <c r="M481" s="1003"/>
      <c r="N481" s="1003"/>
      <c r="O481" s="1005"/>
    </row>
    <row r="482" spans="2:15" ht="15.75">
      <c r="B482" s="492"/>
      <c r="C482" s="1006" t="s">
        <v>28</v>
      </c>
      <c r="D482" s="1006" t="s">
        <v>315</v>
      </c>
      <c r="E482" s="1006" t="s">
        <v>30</v>
      </c>
      <c r="F482" s="1006">
        <v>2013</v>
      </c>
      <c r="G482" s="1006" t="s">
        <v>133</v>
      </c>
      <c r="H482" s="1006" t="s">
        <v>134</v>
      </c>
      <c r="I482" s="1006" t="s">
        <v>135</v>
      </c>
      <c r="J482" s="1006" t="s">
        <v>136</v>
      </c>
      <c r="K482" s="1006" t="s">
        <v>137</v>
      </c>
      <c r="L482" s="1006" t="s">
        <v>138</v>
      </c>
      <c r="M482" s="1006" t="s">
        <v>139</v>
      </c>
      <c r="N482" s="1006" t="s">
        <v>140</v>
      </c>
      <c r="O482" s="1005"/>
    </row>
    <row r="483" spans="2:15" ht="15.75">
      <c r="B483" s="492"/>
      <c r="C483" s="1007"/>
      <c r="D483" s="494"/>
      <c r="E483" s="494"/>
      <c r="F483" s="1008"/>
      <c r="G483" s="1008"/>
      <c r="H483" s="1008"/>
      <c r="I483" s="1008"/>
      <c r="J483" s="1008"/>
      <c r="K483" s="1008"/>
      <c r="L483" s="1008"/>
      <c r="M483" s="1008"/>
      <c r="N483" s="1008"/>
      <c r="O483" s="1005"/>
    </row>
    <row r="484" spans="2:15" ht="15.75">
      <c r="B484" s="492"/>
      <c r="C484" s="1007"/>
      <c r="D484" s="494"/>
      <c r="E484" s="494"/>
      <c r="F484" s="1008"/>
      <c r="G484" s="1008"/>
      <c r="H484" s="1008"/>
      <c r="I484" s="1008"/>
      <c r="J484" s="1008"/>
      <c r="K484" s="1008"/>
      <c r="L484" s="1008"/>
      <c r="M484" s="1008"/>
      <c r="N484" s="1008"/>
      <c r="O484" s="1005"/>
    </row>
    <row r="485" spans="2:15" ht="15.75">
      <c r="B485" s="497"/>
      <c r="C485" s="1010"/>
      <c r="D485" s="1010"/>
      <c r="E485" s="1010"/>
      <c r="F485" s="1010"/>
      <c r="G485" s="1010"/>
      <c r="H485" s="1010"/>
      <c r="I485" s="1010"/>
      <c r="J485" s="1010"/>
      <c r="K485" s="1010"/>
      <c r="L485" s="1010"/>
      <c r="M485" s="1010"/>
      <c r="N485" s="1010"/>
      <c r="O485" s="1011"/>
    </row>
    <row r="487" spans="2:15" ht="15.75">
      <c r="B487" s="995" t="s">
        <v>2795</v>
      </c>
      <c r="C487" s="997"/>
      <c r="D487" s="997"/>
      <c r="E487" s="997"/>
      <c r="F487" s="997"/>
      <c r="G487" s="997"/>
      <c r="H487" s="997"/>
      <c r="I487" s="997"/>
      <c r="J487" s="997"/>
      <c r="K487" s="997"/>
      <c r="L487" s="997"/>
      <c r="M487" s="997"/>
      <c r="N487" s="997"/>
      <c r="O487" s="998"/>
    </row>
    <row r="488" spans="2:15" hidden="1">
      <c r="B488" s="1002"/>
      <c r="C488" s="1003"/>
      <c r="D488" s="1003"/>
      <c r="E488" s="1003"/>
      <c r="F488" s="1003"/>
      <c r="G488" s="1003"/>
      <c r="H488" s="1003"/>
      <c r="I488" s="1003"/>
      <c r="J488" s="1003"/>
      <c r="K488" s="1003"/>
      <c r="L488" s="1003"/>
      <c r="M488" s="1003"/>
      <c r="N488" s="1003"/>
      <c r="O488" s="1005"/>
    </row>
    <row r="489" spans="2:15" hidden="1">
      <c r="B489" s="1002"/>
      <c r="C489" s="500" t="s">
        <v>770</v>
      </c>
      <c r="D489" s="1012"/>
      <c r="E489" s="1012"/>
      <c r="F489" s="1012"/>
      <c r="G489" s="1012"/>
      <c r="H489" s="1012"/>
      <c r="I489" s="1012"/>
      <c r="J489" s="1012"/>
      <c r="K489" s="1012"/>
      <c r="L489" s="1012"/>
      <c r="M489" s="1012"/>
      <c r="N489" s="1012"/>
      <c r="O489" s="1005"/>
    </row>
    <row r="490" spans="2:15" hidden="1">
      <c r="B490" s="1002"/>
      <c r="C490" s="1003"/>
      <c r="D490" s="1003"/>
      <c r="E490" s="1003"/>
      <c r="F490" s="1003"/>
      <c r="G490" s="1003"/>
      <c r="H490" s="1003"/>
      <c r="I490" s="1003"/>
      <c r="J490" s="1003"/>
      <c r="K490" s="1003"/>
      <c r="L490" s="1003"/>
      <c r="M490" s="1003"/>
      <c r="N490" s="1003"/>
      <c r="O490" s="1005"/>
    </row>
    <row r="491" spans="2:15" ht="15.75" hidden="1">
      <c r="B491" s="492"/>
      <c r="C491" s="1006" t="s">
        <v>28</v>
      </c>
      <c r="D491" s="1006" t="s">
        <v>29</v>
      </c>
      <c r="E491" s="1006" t="s">
        <v>30</v>
      </c>
      <c r="F491" s="1006">
        <v>2013</v>
      </c>
      <c r="G491" s="1006" t="s">
        <v>133</v>
      </c>
      <c r="H491" s="1006" t="s">
        <v>134</v>
      </c>
      <c r="I491" s="1006" t="s">
        <v>135</v>
      </c>
      <c r="J491" s="1006" t="s">
        <v>136</v>
      </c>
      <c r="K491" s="1006" t="s">
        <v>137</v>
      </c>
      <c r="L491" s="1006" t="s">
        <v>138</v>
      </c>
      <c r="M491" s="1006" t="s">
        <v>139</v>
      </c>
      <c r="N491" s="1006" t="s">
        <v>140</v>
      </c>
      <c r="O491" s="1150"/>
    </row>
    <row r="492" spans="2:15" ht="15.75" hidden="1">
      <c r="B492" s="492"/>
      <c r="C492" s="1007" t="s">
        <v>324</v>
      </c>
      <c r="D492" s="494" t="s">
        <v>325</v>
      </c>
      <c r="E492" s="494"/>
      <c r="F492" s="1008"/>
      <c r="G492" s="1008"/>
      <c r="H492" s="1008"/>
      <c r="I492" s="1008"/>
      <c r="J492" s="1008"/>
      <c r="K492" s="1008"/>
      <c r="L492" s="1008"/>
      <c r="M492" s="1008"/>
      <c r="N492" s="1008"/>
      <c r="O492" s="1150"/>
    </row>
    <row r="493" spans="2:15" ht="15.75" hidden="1">
      <c r="B493" s="492"/>
      <c r="C493" s="1007" t="s">
        <v>331</v>
      </c>
      <c r="D493" s="494" t="s">
        <v>332</v>
      </c>
      <c r="E493" s="494"/>
      <c r="F493" s="1008"/>
      <c r="G493" s="1008"/>
      <c r="H493" s="1008"/>
      <c r="I493" s="1008"/>
      <c r="J493" s="1008"/>
      <c r="K493" s="1008"/>
      <c r="L493" s="1008"/>
      <c r="M493" s="1008"/>
      <c r="N493" s="1008"/>
      <c r="O493" s="1150"/>
    </row>
    <row r="494" spans="2:15" ht="15.75" hidden="1">
      <c r="B494" s="492"/>
      <c r="C494" s="1007" t="s">
        <v>326</v>
      </c>
      <c r="D494" s="494" t="s">
        <v>327</v>
      </c>
      <c r="E494" s="494"/>
      <c r="F494" s="1008"/>
      <c r="G494" s="1008"/>
      <c r="H494" s="1008"/>
      <c r="I494" s="1008"/>
      <c r="J494" s="1008"/>
      <c r="K494" s="1008"/>
      <c r="L494" s="1008"/>
      <c r="M494" s="1008"/>
      <c r="N494" s="1008"/>
      <c r="O494" s="1150"/>
    </row>
    <row r="495" spans="2:15" ht="15.75" hidden="1">
      <c r="B495" s="492"/>
      <c r="C495" s="1007" t="s">
        <v>333</v>
      </c>
      <c r="D495" s="494" t="s">
        <v>334</v>
      </c>
      <c r="E495" s="494"/>
      <c r="F495" s="1008"/>
      <c r="G495" s="1008"/>
      <c r="H495" s="1008"/>
      <c r="I495" s="1008"/>
      <c r="J495" s="1008"/>
      <c r="K495" s="1008"/>
      <c r="L495" s="1008"/>
      <c r="M495" s="1008"/>
      <c r="N495" s="1008"/>
      <c r="O495" s="1150"/>
    </row>
    <row r="496" spans="2:15" hidden="1">
      <c r="B496" s="503"/>
      <c r="C496" s="1007" t="s">
        <v>328</v>
      </c>
      <c r="D496" s="494" t="s">
        <v>329</v>
      </c>
      <c r="E496" s="494"/>
      <c r="F496" s="1008"/>
      <c r="G496" s="1008"/>
      <c r="H496" s="1008"/>
      <c r="I496" s="1008"/>
      <c r="J496" s="1008"/>
      <c r="K496" s="1008"/>
      <c r="L496" s="1008"/>
      <c r="M496" s="1008"/>
      <c r="N496" s="1008"/>
      <c r="O496" s="1151"/>
    </row>
    <row r="497" spans="2:15" hidden="1">
      <c r="B497" s="503"/>
      <c r="C497" s="1007" t="s">
        <v>335</v>
      </c>
      <c r="D497" s="494" t="s">
        <v>336</v>
      </c>
      <c r="E497" s="494"/>
      <c r="F497" s="1008"/>
      <c r="G497" s="1008"/>
      <c r="H497" s="1008"/>
      <c r="I497" s="1008"/>
      <c r="J497" s="1008"/>
      <c r="K497" s="1008"/>
      <c r="L497" s="1008"/>
      <c r="M497" s="1008"/>
      <c r="N497" s="1008"/>
      <c r="O497" s="1151"/>
    </row>
    <row r="498" spans="2:15" hidden="1">
      <c r="B498" s="1014"/>
      <c r="C498" s="1010"/>
      <c r="D498" s="1010"/>
      <c r="E498" s="1010"/>
      <c r="F498" s="1010"/>
      <c r="G498" s="1010"/>
      <c r="H498" s="1010"/>
      <c r="I498" s="1010"/>
      <c r="J498" s="1010"/>
      <c r="K498" s="1010"/>
      <c r="L498" s="1010"/>
      <c r="M498" s="1010"/>
      <c r="N498" s="1010"/>
      <c r="O498" s="1015"/>
    </row>
    <row r="500" spans="2:15">
      <c r="C500" t="s">
        <v>303</v>
      </c>
    </row>
    <row r="501" spans="2:15">
      <c r="C501" t="s">
        <v>1118</v>
      </c>
      <c r="F501" s="383"/>
      <c r="G501" s="383"/>
      <c r="H501" s="383"/>
      <c r="I501" s="383"/>
      <c r="J501" s="383"/>
      <c r="K501" s="383"/>
      <c r="L501" s="383"/>
      <c r="M501" s="383"/>
      <c r="N501" s="383"/>
    </row>
    <row r="502" spans="2:15">
      <c r="C502" t="s">
        <v>1119</v>
      </c>
      <c r="F502" s="383"/>
      <c r="G502" s="383"/>
      <c r="H502" s="383"/>
      <c r="I502" s="383"/>
      <c r="J502" s="383"/>
      <c r="K502" s="383"/>
      <c r="L502" s="383"/>
      <c r="M502" s="383"/>
      <c r="N502" s="383"/>
    </row>
    <row r="503" spans="2:15">
      <c r="C503" t="s">
        <v>59</v>
      </c>
      <c r="F503" s="994"/>
      <c r="G503" s="994"/>
      <c r="H503" s="994"/>
      <c r="I503" s="994"/>
      <c r="J503" s="994"/>
      <c r="K503" s="994"/>
      <c r="L503" s="994"/>
      <c r="M503" s="994"/>
      <c r="N503" s="994"/>
    </row>
    <row r="504" spans="2:15">
      <c r="C504" t="s">
        <v>1120</v>
      </c>
      <c r="F504" s="383"/>
      <c r="G504" s="383"/>
      <c r="H504" s="383"/>
      <c r="I504" s="383"/>
      <c r="J504" s="383"/>
      <c r="K504" s="383"/>
      <c r="L504" s="383"/>
      <c r="M504" s="383"/>
      <c r="N504" s="383"/>
    </row>
    <row r="505" spans="2:15">
      <c r="C505" t="s">
        <v>1121</v>
      </c>
      <c r="F505" s="994"/>
      <c r="G505" s="994"/>
      <c r="H505" s="994"/>
      <c r="I505" s="994"/>
      <c r="J505" s="994"/>
      <c r="K505" s="994"/>
      <c r="L505" s="994"/>
      <c r="M505" s="994"/>
      <c r="N505" s="994"/>
    </row>
    <row r="507" spans="2:15">
      <c r="C507" t="s">
        <v>1122</v>
      </c>
    </row>
    <row r="508" spans="2:15">
      <c r="C508" t="s">
        <v>20</v>
      </c>
      <c r="F508" s="994"/>
      <c r="G508" s="994"/>
      <c r="H508" s="994"/>
      <c r="I508" s="994"/>
      <c r="J508" s="994"/>
      <c r="K508" s="994"/>
      <c r="L508" s="994"/>
      <c r="M508" s="994"/>
      <c r="N508" s="994"/>
    </row>
    <row r="509" spans="2:15">
      <c r="C509" t="s">
        <v>22</v>
      </c>
      <c r="F509" s="994"/>
      <c r="G509" s="994"/>
      <c r="H509" s="994"/>
      <c r="I509" s="994"/>
      <c r="J509" s="994"/>
      <c r="K509" s="994"/>
      <c r="L509" s="994"/>
      <c r="M509" s="994"/>
      <c r="N509" s="994"/>
    </row>
    <row r="510" spans="2:15">
      <c r="C510" t="s">
        <v>1123</v>
      </c>
      <c r="F510" s="994"/>
      <c r="G510" s="994"/>
      <c r="H510" s="994"/>
      <c r="I510" s="994"/>
      <c r="J510" s="994"/>
      <c r="K510" s="994"/>
      <c r="L510" s="994"/>
      <c r="M510" s="994"/>
      <c r="N510" s="994"/>
    </row>
    <row r="511" spans="2:15">
      <c r="C511" t="s">
        <v>1124</v>
      </c>
      <c r="F511" s="994"/>
      <c r="G511" s="994"/>
      <c r="H511" s="994"/>
      <c r="I511" s="994"/>
      <c r="J511" s="994"/>
      <c r="K511" s="994"/>
      <c r="L511" s="994"/>
      <c r="M511" s="994"/>
      <c r="N511" s="994"/>
    </row>
    <row r="512" spans="2:15">
      <c r="C512" t="s">
        <v>1125</v>
      </c>
      <c r="F512" s="994"/>
      <c r="G512" s="994"/>
      <c r="H512" s="994"/>
      <c r="I512" s="994"/>
      <c r="J512" s="994"/>
      <c r="K512" s="994"/>
      <c r="L512" s="994"/>
      <c r="M512" s="994"/>
      <c r="N512" s="994"/>
    </row>
    <row r="513" spans="3:14">
      <c r="C513" t="s">
        <v>1126</v>
      </c>
      <c r="F513" s="994"/>
      <c r="G513" s="994"/>
      <c r="H513" s="994"/>
      <c r="I513" s="994"/>
      <c r="J513" s="994"/>
      <c r="K513" s="994"/>
      <c r="L513" s="994"/>
      <c r="M513" s="994"/>
      <c r="N513" s="994"/>
    </row>
    <row r="515" spans="3:14">
      <c r="C515" s="3611" t="s">
        <v>2840</v>
      </c>
    </row>
    <row r="516" spans="3:14">
      <c r="C516" t="s">
        <v>20</v>
      </c>
      <c r="F516" s="383"/>
      <c r="G516" s="383"/>
      <c r="H516" s="383"/>
      <c r="I516" s="383"/>
      <c r="J516" s="383"/>
      <c r="K516" s="383"/>
      <c r="L516" s="383"/>
      <c r="M516" s="383"/>
      <c r="N516" s="383"/>
    </row>
    <row r="517" spans="3:14">
      <c r="C517" t="s">
        <v>22</v>
      </c>
      <c r="F517" s="383"/>
      <c r="G517" s="383"/>
      <c r="H517" s="383"/>
      <c r="I517" s="383"/>
      <c r="J517" s="383"/>
      <c r="K517" s="383"/>
      <c r="L517" s="383"/>
      <c r="M517" s="383"/>
      <c r="N517" s="383"/>
    </row>
  </sheetData>
  <mergeCells count="3">
    <mergeCell ref="F145:G145"/>
    <mergeCell ref="F214:G214"/>
    <mergeCell ref="H214:I214"/>
  </mergeCells>
  <pageMargins left="0.7" right="0.7" top="0.75" bottom="0.75" header="0.3" footer="0.3"/>
  <tableParts count="4">
    <tablePart r:id="rId1"/>
    <tablePart r:id="rId2"/>
    <tablePart r:id="rId3"/>
    <tablePart r:id="rId4"/>
  </tableParts>
</worksheet>
</file>

<file path=xl/worksheets/sheet38.xml><?xml version="1.0" encoding="utf-8"?>
<worksheet xmlns="http://schemas.openxmlformats.org/spreadsheetml/2006/main" xmlns:r="http://schemas.openxmlformats.org/officeDocument/2006/relationships">
  <sheetPr codeName="Sheet19">
    <tabColor theme="9"/>
  </sheetPr>
  <dimension ref="A1:BX934"/>
  <sheetViews>
    <sheetView showGridLines="0" topLeftCell="A101" zoomScale="80" zoomScaleNormal="80" workbookViewId="0">
      <selection activeCell="J122" sqref="J122"/>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2" customWidth="1"/>
  </cols>
  <sheetData>
    <row r="1" spans="1:20" ht="20.25">
      <c r="A1" s="1016" t="s">
        <v>490</v>
      </c>
      <c r="B1" s="1016" t="s">
        <v>491</v>
      </c>
      <c r="C1" s="1016"/>
      <c r="J1" t="s">
        <v>5</v>
      </c>
    </row>
    <row r="2" spans="1:20" s="6" customFormat="1" ht="15.75">
      <c r="A2" s="864" t="s">
        <v>478</v>
      </c>
      <c r="B2" s="864" t="s">
        <v>479</v>
      </c>
      <c r="C2" s="864"/>
      <c r="E2" s="5"/>
    </row>
    <row r="4" spans="1:20" ht="23.25">
      <c r="A4" s="7"/>
      <c r="B4" s="511" t="s">
        <v>6</v>
      </c>
      <c r="C4" s="512"/>
      <c r="D4" s="512"/>
      <c r="E4" s="512"/>
      <c r="F4" s="512"/>
      <c r="G4" s="512"/>
      <c r="H4" s="512"/>
      <c r="I4" s="512"/>
      <c r="J4" s="512"/>
      <c r="K4" s="512"/>
      <c r="L4" s="512"/>
      <c r="M4" s="512"/>
      <c r="N4" s="512"/>
      <c r="O4" s="866"/>
    </row>
    <row r="5" spans="1:20">
      <c r="B5" s="514"/>
      <c r="C5" s="515"/>
      <c r="D5" s="515"/>
      <c r="E5" s="515"/>
      <c r="F5" s="515"/>
      <c r="G5" s="515"/>
      <c r="H5" s="515"/>
      <c r="I5" s="515"/>
      <c r="J5" s="515"/>
      <c r="K5" s="515"/>
      <c r="L5" s="515"/>
      <c r="M5" s="515"/>
      <c r="N5" s="515"/>
      <c r="O5" s="867"/>
    </row>
    <row r="6" spans="1:20">
      <c r="B6" s="514"/>
      <c r="C6" s="12"/>
      <c r="D6" s="515"/>
      <c r="E6" s="516"/>
      <c r="F6" s="515"/>
      <c r="G6" s="515"/>
      <c r="H6" s="515"/>
      <c r="I6" s="515"/>
      <c r="J6" s="515"/>
      <c r="K6" s="515"/>
      <c r="L6" s="515"/>
      <c r="M6" s="515"/>
      <c r="N6" s="515"/>
      <c r="O6" s="867"/>
    </row>
    <row r="7" spans="1:20" ht="15.75">
      <c r="B7" s="15"/>
      <c r="C7" s="515"/>
      <c r="D7" s="16" t="s">
        <v>7</v>
      </c>
      <c r="E7" s="16" t="s">
        <v>8</v>
      </c>
      <c r="F7" s="515"/>
      <c r="G7" s="515"/>
      <c r="H7" s="515"/>
      <c r="I7" s="515"/>
      <c r="J7" s="515"/>
      <c r="K7" s="515"/>
      <c r="L7" s="515"/>
      <c r="M7" s="515"/>
      <c r="N7" s="515"/>
      <c r="O7" s="867"/>
    </row>
    <row r="8" spans="1:20" ht="15.75">
      <c r="B8" s="15"/>
      <c r="C8" s="515"/>
      <c r="D8" s="1018" t="s">
        <v>1127</v>
      </c>
      <c r="E8" s="1018">
        <f>XII.a.Scenario.Demand</f>
        <v>1</v>
      </c>
      <c r="F8" s="515"/>
      <c r="G8" s="515"/>
      <c r="H8" s="515"/>
      <c r="I8" s="515"/>
      <c r="J8" s="515"/>
      <c r="K8" s="515"/>
      <c r="L8" s="515"/>
      <c r="M8" s="515"/>
      <c r="N8" s="515"/>
      <c r="O8" s="867"/>
    </row>
    <row r="9" spans="1:20" ht="15.75">
      <c r="B9" s="15"/>
      <c r="C9" s="515"/>
      <c r="D9" s="17" t="s">
        <v>1128</v>
      </c>
      <c r="E9" s="17">
        <f>XII.a.Scenario.Technology</f>
        <v>1</v>
      </c>
      <c r="F9" s="515"/>
      <c r="G9" s="515"/>
      <c r="H9" s="515"/>
      <c r="I9" s="515"/>
      <c r="J9" s="515"/>
      <c r="K9" s="515"/>
      <c r="L9" s="515"/>
      <c r="M9" s="515"/>
      <c r="N9" s="515"/>
      <c r="O9" s="867"/>
    </row>
    <row r="10" spans="1:20" ht="15.75">
      <c r="B10" s="15"/>
      <c r="C10" s="515"/>
      <c r="D10" s="517" t="s">
        <v>1129</v>
      </c>
      <c r="E10" s="517">
        <f>XII.a.Scenario.ElecHydrogen</f>
        <v>2</v>
      </c>
      <c r="F10" s="515"/>
      <c r="G10" s="515"/>
      <c r="H10" s="515"/>
      <c r="I10" s="515"/>
      <c r="J10" s="515"/>
      <c r="K10" s="515"/>
      <c r="L10" s="515"/>
      <c r="M10" s="515"/>
      <c r="N10" s="515"/>
      <c r="O10" s="867"/>
    </row>
    <row r="11" spans="1:20" ht="15.75">
      <c r="B11" s="15"/>
      <c r="C11" s="515"/>
      <c r="D11" s="17"/>
      <c r="E11" s="17"/>
      <c r="F11" s="515"/>
      <c r="G11" s="515"/>
      <c r="H11" s="515"/>
      <c r="I11" s="515"/>
      <c r="J11" s="515"/>
      <c r="K11" s="515"/>
      <c r="L11" s="515"/>
      <c r="M11" s="515"/>
      <c r="N11" s="515"/>
      <c r="O11" s="867"/>
    </row>
    <row r="12" spans="1:20">
      <c r="T12" s="3981" t="s">
        <v>5</v>
      </c>
    </row>
    <row r="13" spans="1:20" s="6" customFormat="1" ht="23.25">
      <c r="A13" s="40"/>
      <c r="B13" s="878" t="s">
        <v>33</v>
      </c>
      <c r="C13" s="879"/>
      <c r="D13" s="879"/>
      <c r="E13" s="879"/>
      <c r="F13" s="879"/>
      <c r="G13" s="879"/>
      <c r="H13" s="879"/>
      <c r="I13" s="879"/>
      <c r="J13" s="879"/>
      <c r="K13" s="879"/>
      <c r="L13" s="879"/>
      <c r="M13" s="879"/>
      <c r="N13" s="879"/>
      <c r="O13" s="880"/>
    </row>
    <row r="14" spans="1:20">
      <c r="B14" s="110"/>
      <c r="C14" s="67"/>
      <c r="D14" s="67"/>
      <c r="E14" s="67"/>
      <c r="F14" s="67"/>
      <c r="G14" s="67"/>
      <c r="H14" s="67"/>
      <c r="I14" s="67"/>
      <c r="J14" s="67"/>
      <c r="K14" s="67"/>
      <c r="L14" s="67"/>
      <c r="M14" s="67"/>
      <c r="N14" s="67"/>
      <c r="O14" s="885"/>
    </row>
    <row r="15" spans="1:20">
      <c r="B15" s="110"/>
      <c r="C15" s="49" t="s">
        <v>3145</v>
      </c>
      <c r="D15" s="67"/>
      <c r="E15" s="51"/>
      <c r="F15" s="67"/>
      <c r="G15" s="67"/>
      <c r="H15" s="67"/>
      <c r="I15" s="67"/>
      <c r="J15" s="67"/>
      <c r="K15" s="67"/>
      <c r="L15" s="67"/>
      <c r="M15" s="67"/>
      <c r="N15" s="51" t="s">
        <v>1130</v>
      </c>
      <c r="O15" s="885"/>
    </row>
    <row r="16" spans="1:20">
      <c r="B16" s="110"/>
      <c r="C16" s="67"/>
      <c r="D16" s="67"/>
      <c r="E16" s="67"/>
      <c r="F16" s="67"/>
      <c r="G16" s="67"/>
      <c r="H16" s="67"/>
      <c r="I16" s="67"/>
      <c r="J16" s="67"/>
      <c r="K16" s="67"/>
      <c r="L16" s="67"/>
      <c r="M16" s="67"/>
      <c r="N16" s="67"/>
      <c r="O16" s="885"/>
    </row>
    <row r="17" spans="2:18" ht="15.75">
      <c r="B17" s="55"/>
      <c r="C17" s="887" t="s">
        <v>8</v>
      </c>
      <c r="D17" s="887" t="s">
        <v>34</v>
      </c>
      <c r="E17" s="887" t="s">
        <v>30</v>
      </c>
      <c r="F17" s="92">
        <v>2013</v>
      </c>
      <c r="G17" s="92">
        <v>2015</v>
      </c>
      <c r="H17" s="92">
        <v>2020</v>
      </c>
      <c r="I17" s="92">
        <v>2025</v>
      </c>
      <c r="J17" s="92">
        <v>2030</v>
      </c>
      <c r="K17" s="92">
        <v>2035</v>
      </c>
      <c r="L17" s="92">
        <v>2040</v>
      </c>
      <c r="M17" s="92">
        <v>2045</v>
      </c>
      <c r="N17" s="92">
        <v>2050</v>
      </c>
      <c r="O17" s="885"/>
      <c r="Q17" s="92" t="s">
        <v>1003</v>
      </c>
    </row>
    <row r="18" spans="2:18" ht="15.75">
      <c r="B18" s="55"/>
      <c r="C18" s="65">
        <v>1</v>
      </c>
      <c r="D18" s="108"/>
      <c r="E18" s="1267"/>
      <c r="F18" s="1473">
        <v>12872</v>
      </c>
      <c r="G18" s="1473">
        <v>12913.747027027028</v>
      </c>
      <c r="H18" s="1473">
        <v>13018.114594594595</v>
      </c>
      <c r="I18" s="1473">
        <v>13122.482162162163</v>
      </c>
      <c r="J18" s="1473">
        <v>13226.849729729731</v>
      </c>
      <c r="K18" s="1473">
        <v>13331.217297297299</v>
      </c>
      <c r="L18" s="1473">
        <v>13435.584864864866</v>
      </c>
      <c r="M18" s="1473">
        <v>13539.952432432434</v>
      </c>
      <c r="N18" s="1473">
        <v>13644.320000000002</v>
      </c>
      <c r="O18" s="885"/>
      <c r="Q18" s="3937">
        <f>(N18-F18)/F18</f>
        <v>6.0000000000000116E-2</v>
      </c>
      <c r="R18" s="400"/>
    </row>
    <row r="19" spans="2:18" ht="15.75">
      <c r="B19" s="55"/>
      <c r="C19" s="65">
        <v>2</v>
      </c>
      <c r="D19" s="108"/>
      <c r="E19" s="1267"/>
      <c r="F19" s="1474">
        <v>12872</v>
      </c>
      <c r="G19" s="1474">
        <v>12872</v>
      </c>
      <c r="H19" s="1474">
        <v>12872</v>
      </c>
      <c r="I19" s="1474">
        <v>12872</v>
      </c>
      <c r="J19" s="1474">
        <v>12872</v>
      </c>
      <c r="K19" s="1474">
        <v>12872</v>
      </c>
      <c r="L19" s="1474">
        <v>12872</v>
      </c>
      <c r="M19" s="1474">
        <v>12872</v>
      </c>
      <c r="N19" s="1474">
        <v>12872</v>
      </c>
      <c r="O19" s="885"/>
      <c r="Q19" s="3938">
        <f>(N19-F19)/F19</f>
        <v>0</v>
      </c>
      <c r="R19" s="400"/>
    </row>
    <row r="20" spans="2:18" ht="15.75">
      <c r="B20" s="55"/>
      <c r="C20" s="65">
        <v>3</v>
      </c>
      <c r="D20" s="108"/>
      <c r="E20" s="1267"/>
      <c r="F20" s="1474">
        <v>12872</v>
      </c>
      <c r="G20" s="1474">
        <v>12872</v>
      </c>
      <c r="H20" s="1474">
        <v>12872</v>
      </c>
      <c r="I20" s="1474">
        <v>12872</v>
      </c>
      <c r="J20" s="1474">
        <v>12872</v>
      </c>
      <c r="K20" s="1474">
        <v>12872</v>
      </c>
      <c r="L20" s="1474">
        <v>12872</v>
      </c>
      <c r="M20" s="1474">
        <v>12872</v>
      </c>
      <c r="N20" s="1474">
        <v>12872</v>
      </c>
      <c r="O20" s="885"/>
      <c r="Q20" s="3938">
        <f>(N20-F20)/F20</f>
        <v>0</v>
      </c>
      <c r="R20" s="400"/>
    </row>
    <row r="21" spans="2:18" ht="15.75">
      <c r="B21" s="55"/>
      <c r="C21" s="896">
        <v>4</v>
      </c>
      <c r="D21" s="897"/>
      <c r="E21" s="897"/>
      <c r="F21" s="1475">
        <v>12872</v>
      </c>
      <c r="G21" s="1475">
        <v>12830.252972972972</v>
      </c>
      <c r="H21" s="1475">
        <v>12725.885405405405</v>
      </c>
      <c r="I21" s="1475">
        <v>12621.517837837837</v>
      </c>
      <c r="J21" s="1475">
        <v>12517.150270270269</v>
      </c>
      <c r="K21" s="1475">
        <v>12412.782702702701</v>
      </c>
      <c r="L21" s="1475">
        <v>12308.415135135134</v>
      </c>
      <c r="M21" s="1475">
        <v>12204.047567567566</v>
      </c>
      <c r="N21" s="1475">
        <v>12099.679999999998</v>
      </c>
      <c r="O21" s="885"/>
      <c r="Q21" s="3939">
        <f>(N21-F21)/F21</f>
        <v>-6.0000000000000116E-2</v>
      </c>
      <c r="R21" s="400"/>
    </row>
    <row r="22" spans="2:18" ht="15.75">
      <c r="B22" s="55"/>
      <c r="C22" s="65"/>
      <c r="D22" s="108"/>
      <c r="E22" s="108"/>
      <c r="F22" s="59"/>
      <c r="G22" s="1226"/>
      <c r="H22" s="1226"/>
      <c r="I22" s="1226"/>
      <c r="J22" s="1226"/>
      <c r="K22" s="1226"/>
      <c r="L22" s="1226"/>
      <c r="M22" s="1226"/>
      <c r="N22" s="1226"/>
      <c r="O22" s="885"/>
    </row>
    <row r="23" spans="2:18" ht="15.75">
      <c r="B23" s="55"/>
      <c r="C23" s="49" t="s">
        <v>3153</v>
      </c>
      <c r="D23" s="67"/>
      <c r="E23" s="51"/>
      <c r="F23" s="67"/>
      <c r="G23" s="1476" t="s">
        <v>8</v>
      </c>
      <c r="H23" s="67"/>
      <c r="I23" s="67"/>
      <c r="J23" s="51" t="s">
        <v>1131</v>
      </c>
      <c r="K23" s="67"/>
      <c r="L23" s="67"/>
      <c r="M23" s="67"/>
      <c r="N23" s="67"/>
      <c r="O23" s="885"/>
      <c r="Q23" s="994">
        <f>N18-F18</f>
        <v>772.32000000000153</v>
      </c>
    </row>
    <row r="24" spans="2:18" ht="15.75">
      <c r="B24" s="55"/>
      <c r="C24" s="67"/>
      <c r="D24" s="67"/>
      <c r="E24" s="67"/>
      <c r="F24" s="67"/>
      <c r="G24" s="67"/>
      <c r="H24" s="67"/>
      <c r="I24" s="67"/>
      <c r="J24" s="67"/>
      <c r="K24" s="67"/>
      <c r="L24" s="67"/>
      <c r="M24" s="67"/>
      <c r="N24" s="67"/>
      <c r="O24" s="885"/>
    </row>
    <row r="25" spans="2:18" ht="15.75">
      <c r="B25" s="55"/>
      <c r="C25" s="909" t="s">
        <v>44</v>
      </c>
      <c r="D25" s="887" t="s">
        <v>1010</v>
      </c>
      <c r="E25" s="887" t="s">
        <v>30</v>
      </c>
      <c r="F25" s="92">
        <v>2013</v>
      </c>
      <c r="G25" s="1276">
        <v>1</v>
      </c>
      <c r="H25" s="92">
        <v>2</v>
      </c>
      <c r="I25" s="92">
        <v>3</v>
      </c>
      <c r="J25" s="92">
        <v>4</v>
      </c>
      <c r="K25" s="920"/>
      <c r="L25" s="920"/>
      <c r="M25" s="920"/>
      <c r="N25" s="920"/>
      <c r="O25" s="885"/>
    </row>
    <row r="26" spans="2:18" ht="15.75">
      <c r="B26" s="55"/>
      <c r="C26" s="109" t="s">
        <v>1132</v>
      </c>
      <c r="D26" s="108" t="s">
        <v>1133</v>
      </c>
      <c r="E26" s="1267"/>
      <c r="F26" s="1477">
        <v>2.5000000000000001E-2</v>
      </c>
      <c r="G26" s="1478">
        <v>2.5000000000000001E-2</v>
      </c>
      <c r="H26" s="1479">
        <v>0.03</v>
      </c>
      <c r="I26" s="1479">
        <v>0.03</v>
      </c>
      <c r="J26" s="1479">
        <v>0.03</v>
      </c>
      <c r="K26" s="920"/>
      <c r="L26" s="2447"/>
      <c r="M26" s="2447"/>
      <c r="N26" s="93"/>
      <c r="O26" s="885"/>
    </row>
    <row r="27" spans="2:18" ht="15.75">
      <c r="B27" s="55"/>
      <c r="C27" s="109" t="s">
        <v>1134</v>
      </c>
      <c r="D27" s="108" t="s">
        <v>1135</v>
      </c>
      <c r="E27" s="1267"/>
      <c r="F27" s="1477">
        <v>5.0000000000000001E-3</v>
      </c>
      <c r="G27" s="1480">
        <v>5.0000000000000001E-3</v>
      </c>
      <c r="H27" s="1481">
        <v>0.01</v>
      </c>
      <c r="I27" s="1479">
        <v>0.02</v>
      </c>
      <c r="J27" s="1481">
        <v>0.05</v>
      </c>
      <c r="K27" s="920"/>
      <c r="L27" s="2447"/>
      <c r="M27" s="2447"/>
      <c r="N27" s="93"/>
      <c r="O27" s="885"/>
    </row>
    <row r="28" spans="2:18" ht="15.75">
      <c r="B28" s="55"/>
      <c r="C28" s="109" t="s">
        <v>1136</v>
      </c>
      <c r="D28" s="108" t="s">
        <v>1137</v>
      </c>
      <c r="E28" s="1267"/>
      <c r="F28" s="1477">
        <v>0.84</v>
      </c>
      <c r="G28" s="1480">
        <v>0.84</v>
      </c>
      <c r="H28" s="1481">
        <v>0.8</v>
      </c>
      <c r="I28" s="1481">
        <v>0.75</v>
      </c>
      <c r="J28" s="1481">
        <v>0.7</v>
      </c>
      <c r="K28" s="920"/>
      <c r="L28" s="2447"/>
      <c r="M28" s="2447"/>
      <c r="N28" s="190"/>
      <c r="O28" s="885"/>
    </row>
    <row r="29" spans="2:18" ht="15.75">
      <c r="B29" s="55"/>
      <c r="C29" s="109" t="s">
        <v>1138</v>
      </c>
      <c r="D29" s="108" t="s">
        <v>1139</v>
      </c>
      <c r="E29" s="1267"/>
      <c r="F29" s="1477">
        <v>9.9500000000000005E-2</v>
      </c>
      <c r="G29" s="1480">
        <v>9.9500000000000005E-2</v>
      </c>
      <c r="H29" s="1481">
        <v>0.1295</v>
      </c>
      <c r="I29" s="1481">
        <v>0.1595</v>
      </c>
      <c r="J29" s="1481">
        <v>0.16950000000000001</v>
      </c>
      <c r="K29" s="920"/>
      <c r="L29" s="2447"/>
      <c r="M29" s="2447"/>
      <c r="N29" s="190"/>
      <c r="O29" s="885"/>
    </row>
    <row r="30" spans="2:18" ht="15.75">
      <c r="B30" s="55"/>
      <c r="C30" s="109" t="s">
        <v>1140</v>
      </c>
      <c r="D30" s="108" t="s">
        <v>1141</v>
      </c>
      <c r="E30" s="1267"/>
      <c r="F30" s="1477">
        <v>0.03</v>
      </c>
      <c r="G30" s="1480">
        <v>0.03</v>
      </c>
      <c r="H30" s="1481">
        <v>0.03</v>
      </c>
      <c r="I30" s="1481">
        <v>0.04</v>
      </c>
      <c r="J30" s="1481">
        <v>0.05</v>
      </c>
      <c r="K30" s="920" t="s">
        <v>5</v>
      </c>
      <c r="L30" s="2447"/>
      <c r="M30" s="2447"/>
      <c r="N30" s="190"/>
      <c r="O30" s="885"/>
    </row>
    <row r="31" spans="2:18" ht="15.75">
      <c r="B31" s="55"/>
      <c r="C31" s="1482" t="s">
        <v>1142</v>
      </c>
      <c r="D31" s="897" t="s">
        <v>1143</v>
      </c>
      <c r="E31" s="897"/>
      <c r="F31" s="1483">
        <v>5.0000000000000001E-4</v>
      </c>
      <c r="G31" s="1484">
        <v>5.0000000000000001E-4</v>
      </c>
      <c r="H31" s="1485">
        <v>5.0000000000000001E-4</v>
      </c>
      <c r="I31" s="1485">
        <v>5.0000000000000001E-4</v>
      </c>
      <c r="J31" s="1485">
        <v>5.0000000000000001E-4</v>
      </c>
      <c r="K31" s="920"/>
      <c r="L31" s="2447"/>
      <c r="M31" s="2447"/>
      <c r="N31" s="190"/>
      <c r="O31" s="885"/>
    </row>
    <row r="32" spans="2:18">
      <c r="B32" s="45"/>
      <c r="C32" s="65"/>
      <c r="D32" s="122" t="s">
        <v>59</v>
      </c>
      <c r="E32" s="108"/>
      <c r="F32" s="1486">
        <f>SUM(F26:F31)</f>
        <v>1</v>
      </c>
      <c r="G32" s="1486">
        <f>SUM(G26:G31)</f>
        <v>1</v>
      </c>
      <c r="H32" s="1486">
        <f>SUM(H26:H31)</f>
        <v>1</v>
      </c>
      <c r="I32" s="1486">
        <f>SUM(I26:I31)</f>
        <v>1</v>
      </c>
      <c r="J32" s="1486">
        <f>SUM(J26:J31)</f>
        <v>0.99999999999999989</v>
      </c>
      <c r="K32" s="80" t="s">
        <v>5</v>
      </c>
      <c r="L32" s="80"/>
      <c r="M32" s="80"/>
      <c r="N32" s="80"/>
      <c r="O32" s="885"/>
    </row>
    <row r="33" spans="2:15">
      <c r="B33" s="45"/>
      <c r="C33" s="65"/>
      <c r="D33" s="108"/>
      <c r="E33" s="108" t="s">
        <v>5</v>
      </c>
      <c r="F33" s="76"/>
      <c r="G33" s="80"/>
      <c r="H33" s="80"/>
      <c r="I33" s="80"/>
      <c r="J33" s="80"/>
      <c r="K33" s="80" t="s">
        <v>5</v>
      </c>
      <c r="L33" s="80"/>
      <c r="M33" s="80"/>
      <c r="N33" s="80"/>
      <c r="O33" s="885"/>
    </row>
    <row r="34" spans="2:15" s="927" customFormat="1" ht="15.75">
      <c r="B34" s="1219"/>
      <c r="C34" s="49" t="s">
        <v>3152</v>
      </c>
      <c r="D34" s="67"/>
      <c r="E34" s="51"/>
      <c r="F34" s="67"/>
      <c r="G34" s="1487" t="s">
        <v>8</v>
      </c>
      <c r="H34" s="1311" t="s">
        <v>5</v>
      </c>
      <c r="I34" s="1311"/>
      <c r="J34" s="190" t="s">
        <v>1144</v>
      </c>
      <c r="K34" s="80"/>
      <c r="L34" s="80"/>
      <c r="M34" s="80"/>
      <c r="N34" s="80"/>
      <c r="O34" s="932"/>
    </row>
    <row r="35" spans="2:15" s="927" customFormat="1" ht="15.75">
      <c r="B35" s="1219"/>
      <c r="C35" s="67"/>
      <c r="D35" s="67"/>
      <c r="E35" s="67"/>
      <c r="F35" s="67"/>
      <c r="G35" s="1311"/>
      <c r="H35" s="1311" t="s">
        <v>5</v>
      </c>
      <c r="I35" s="1311"/>
      <c r="J35" s="1311"/>
      <c r="K35" s="80"/>
      <c r="L35" s="80"/>
      <c r="M35" s="80"/>
      <c r="N35" s="80"/>
      <c r="O35" s="932"/>
    </row>
    <row r="36" spans="2:15" s="927" customFormat="1" ht="15.75">
      <c r="B36" s="1219"/>
      <c r="C36" s="909" t="s">
        <v>44</v>
      </c>
      <c r="D36" s="887" t="s">
        <v>1010</v>
      </c>
      <c r="E36" s="887" t="s">
        <v>30</v>
      </c>
      <c r="F36" s="92">
        <v>2013</v>
      </c>
      <c r="G36" s="1276">
        <v>1</v>
      </c>
      <c r="H36" s="92">
        <v>2</v>
      </c>
      <c r="I36" s="92">
        <v>3</v>
      </c>
      <c r="J36" s="92">
        <v>4</v>
      </c>
      <c r="K36" s="80"/>
      <c r="L36" s="80"/>
      <c r="M36" s="80"/>
      <c r="N36" s="80"/>
      <c r="O36" s="932"/>
    </row>
    <row r="37" spans="2:15" s="927" customFormat="1" ht="15.75">
      <c r="B37" s="1219"/>
      <c r="C37" s="109" t="s">
        <v>1136</v>
      </c>
      <c r="D37" s="108" t="s">
        <v>1137</v>
      </c>
      <c r="E37" s="1267"/>
      <c r="F37" s="1488">
        <v>1.44</v>
      </c>
      <c r="G37" s="1489">
        <v>1.35</v>
      </c>
      <c r="H37" s="1490">
        <f>$F37</f>
        <v>1.44</v>
      </c>
      <c r="I37" s="1490">
        <f>$F37*1.04</f>
        <v>1.4976</v>
      </c>
      <c r="J37" s="1490">
        <f>$F37*1.06</f>
        <v>1.5264</v>
      </c>
      <c r="K37" s="80"/>
      <c r="L37" s="80"/>
      <c r="M37" s="80"/>
      <c r="N37" s="80"/>
      <c r="O37" s="932"/>
    </row>
    <row r="38" spans="2:15" s="927" customFormat="1" ht="15.75">
      <c r="B38" s="1219"/>
      <c r="C38" s="109" t="s">
        <v>1138</v>
      </c>
      <c r="D38" s="108" t="s">
        <v>1139</v>
      </c>
      <c r="E38" s="1267"/>
      <c r="F38" s="1488">
        <v>10.7</v>
      </c>
      <c r="G38" s="1491">
        <v>10.7</v>
      </c>
      <c r="H38" s="1492">
        <v>12</v>
      </c>
      <c r="I38" s="1493">
        <v>18</v>
      </c>
      <c r="J38" s="1492">
        <v>18</v>
      </c>
      <c r="K38" s="80"/>
      <c r="L38" s="80"/>
      <c r="M38" s="80"/>
      <c r="N38" s="80"/>
      <c r="O38" s="932"/>
    </row>
    <row r="39" spans="2:15" s="927" customFormat="1" ht="15.75">
      <c r="B39" s="1219"/>
      <c r="C39" s="109" t="s">
        <v>1140</v>
      </c>
      <c r="D39" s="108" t="s">
        <v>1141</v>
      </c>
      <c r="E39" s="1267" t="s">
        <v>106</v>
      </c>
      <c r="F39" s="195">
        <v>0.32418351096303916</v>
      </c>
      <c r="G39" s="1494">
        <v>0.36811506356713858</v>
      </c>
      <c r="H39" s="1495">
        <v>0.36811506356713858</v>
      </c>
      <c r="I39" s="1495">
        <v>0.40588480110308967</v>
      </c>
      <c r="J39" s="1495">
        <v>0.42190146532760275</v>
      </c>
      <c r="K39" s="80"/>
      <c r="L39" s="80"/>
      <c r="M39" s="80"/>
      <c r="N39" s="80"/>
      <c r="O39" s="932"/>
    </row>
    <row r="40" spans="2:15" s="927" customFormat="1" ht="15.75">
      <c r="B40" s="1219"/>
      <c r="C40" s="1482" t="s">
        <v>1142</v>
      </c>
      <c r="D40" s="897" t="s">
        <v>1143</v>
      </c>
      <c r="E40" s="897" t="s">
        <v>106</v>
      </c>
      <c r="F40" s="1496">
        <v>0.65100000000000002</v>
      </c>
      <c r="G40" s="1497">
        <v>0.65100000000000002</v>
      </c>
      <c r="H40" s="1498">
        <v>0.65100000000000002</v>
      </c>
      <c r="I40" s="1498">
        <v>0.65100000000000002</v>
      </c>
      <c r="J40" s="1498">
        <v>0.65100000000000002</v>
      </c>
      <c r="K40" s="80"/>
      <c r="L40" s="80"/>
      <c r="M40" s="80"/>
      <c r="N40" s="80"/>
      <c r="O40" s="932"/>
    </row>
    <row r="41" spans="2:15" s="927" customFormat="1" ht="16.5" thickBot="1">
      <c r="B41" s="1219"/>
      <c r="C41" s="65"/>
      <c r="D41" s="122"/>
      <c r="E41" s="108"/>
      <c r="F41" s="1310"/>
      <c r="G41" s="1311"/>
      <c r="H41" s="1311"/>
      <c r="I41" s="1311"/>
      <c r="J41" s="1311"/>
      <c r="K41" s="80"/>
      <c r="L41" s="80"/>
      <c r="M41" s="80"/>
      <c r="N41" s="80"/>
      <c r="O41" s="932"/>
    </row>
    <row r="42" spans="2:15" s="927" customFormat="1" ht="15.75">
      <c r="B42" s="1499"/>
      <c r="C42" s="1500"/>
      <c r="D42" s="1501"/>
      <c r="E42" s="1502"/>
      <c r="F42" s="1503"/>
      <c r="G42" s="1504"/>
      <c r="H42" s="1504"/>
      <c r="I42" s="1504"/>
      <c r="J42" s="1504"/>
      <c r="K42" s="1505"/>
      <c r="L42" s="1505"/>
      <c r="M42" s="1505"/>
      <c r="N42" s="1505"/>
      <c r="O42" s="1506"/>
    </row>
    <row r="43" spans="2:15" s="927" customFormat="1" ht="15.75">
      <c r="B43" s="1219"/>
      <c r="C43" s="89" t="s">
        <v>1145</v>
      </c>
      <c r="D43" s="122"/>
      <c r="E43" s="108"/>
      <c r="F43" s="1310"/>
      <c r="G43" s="1311"/>
      <c r="H43" s="1311"/>
      <c r="I43" s="1311"/>
      <c r="J43" s="1311"/>
      <c r="K43" s="80"/>
      <c r="L43" s="80"/>
      <c r="M43" s="80"/>
      <c r="N43" s="80"/>
      <c r="O43" s="932"/>
    </row>
    <row r="44" spans="2:15" s="927" customFormat="1" ht="15.75">
      <c r="B44" s="1219"/>
      <c r="C44" s="65"/>
      <c r="D44" s="122"/>
      <c r="E44" s="108"/>
      <c r="F44" s="1310"/>
      <c r="G44" s="1311"/>
      <c r="H44" s="1311"/>
      <c r="I44" s="1311"/>
      <c r="J44" s="80"/>
      <c r="K44" s="80"/>
      <c r="L44" s="80"/>
      <c r="M44" s="80"/>
      <c r="N44" s="80"/>
      <c r="O44" s="932"/>
    </row>
    <row r="45" spans="2:15" s="927" customFormat="1" ht="15.75">
      <c r="B45" s="1219"/>
      <c r="C45" s="89" t="s">
        <v>1146</v>
      </c>
      <c r="D45" s="122"/>
      <c r="E45" s="108"/>
      <c r="F45" s="1310"/>
      <c r="G45" s="1311"/>
      <c r="H45" s="1311"/>
      <c r="I45" s="1311"/>
      <c r="J45" s="80"/>
      <c r="K45" s="80"/>
      <c r="L45" s="80"/>
      <c r="M45" s="80"/>
      <c r="N45" s="80" t="s">
        <v>1147</v>
      </c>
      <c r="O45" s="932"/>
    </row>
    <row r="46" spans="2:15" s="927" customFormat="1" ht="15.75">
      <c r="B46" s="1219"/>
      <c r="C46" s="952"/>
      <c r="D46" s="108"/>
      <c r="E46" s="1267"/>
      <c r="F46" s="1310"/>
      <c r="G46" s="1311"/>
      <c r="H46" s="1311"/>
      <c r="I46" s="1311"/>
      <c r="J46" s="80"/>
      <c r="K46" s="80"/>
      <c r="L46" s="80"/>
      <c r="M46" s="80"/>
      <c r="N46" s="80"/>
      <c r="O46" s="932"/>
    </row>
    <row r="47" spans="2:15" s="927" customFormat="1" ht="15.75">
      <c r="B47" s="1219"/>
      <c r="C47" s="887" t="s">
        <v>1010</v>
      </c>
      <c r="D47" s="887" t="s">
        <v>45</v>
      </c>
      <c r="E47" s="887" t="s">
        <v>30</v>
      </c>
      <c r="F47" s="92">
        <v>2013</v>
      </c>
      <c r="G47" s="92">
        <v>2015</v>
      </c>
      <c r="H47" s="92">
        <v>2020</v>
      </c>
      <c r="I47" s="92">
        <v>2025</v>
      </c>
      <c r="J47" s="92">
        <v>2030</v>
      </c>
      <c r="K47" s="92">
        <v>2035</v>
      </c>
      <c r="L47" s="92">
        <v>2040</v>
      </c>
      <c r="M47" s="92">
        <v>2045</v>
      </c>
      <c r="N47" s="92">
        <v>2050</v>
      </c>
      <c r="O47" s="932"/>
    </row>
    <row r="48" spans="2:15" s="927" customFormat="1" ht="15.75">
      <c r="B48" s="1219"/>
      <c r="C48" s="924" t="s">
        <v>1134</v>
      </c>
      <c r="D48" s="924" t="s">
        <v>1134</v>
      </c>
      <c r="E48" s="923"/>
      <c r="F48" s="1313">
        <v>1</v>
      </c>
      <c r="G48" s="1313">
        <v>0.996</v>
      </c>
      <c r="H48" s="1313">
        <v>0.996</v>
      </c>
      <c r="I48" s="1313">
        <v>0.996</v>
      </c>
      <c r="J48" s="1313">
        <v>0.996</v>
      </c>
      <c r="K48" s="1313">
        <v>0.996</v>
      </c>
      <c r="L48" s="1313">
        <v>0.996</v>
      </c>
      <c r="M48" s="1313">
        <v>0.996</v>
      </c>
      <c r="N48" s="1313">
        <v>0.996</v>
      </c>
      <c r="O48" s="932"/>
    </row>
    <row r="49" spans="2:15" s="927" customFormat="1" ht="15.75">
      <c r="B49" s="1219"/>
      <c r="C49" s="890" t="s">
        <v>1136</v>
      </c>
      <c r="D49" s="890" t="s">
        <v>1148</v>
      </c>
      <c r="E49" s="1317"/>
      <c r="F49" s="1313">
        <v>0.999</v>
      </c>
      <c r="G49" s="1313">
        <v>0.996</v>
      </c>
      <c r="H49" s="1313">
        <v>0.99199999999999999</v>
      </c>
      <c r="I49" s="1313">
        <v>0.95599999999999996</v>
      </c>
      <c r="J49" s="1313">
        <v>0.92</v>
      </c>
      <c r="K49" s="1313">
        <v>0.88</v>
      </c>
      <c r="L49" s="1313">
        <v>0.84</v>
      </c>
      <c r="M49" s="1313">
        <v>0.8075</v>
      </c>
      <c r="N49" s="1313">
        <v>0.77500000000000002</v>
      </c>
      <c r="O49" s="932"/>
    </row>
    <row r="50" spans="2:15" s="927" customFormat="1" ht="15.75">
      <c r="B50" s="1219"/>
      <c r="C50" s="108" t="s">
        <v>1136</v>
      </c>
      <c r="D50" s="108" t="s">
        <v>1149</v>
      </c>
      <c r="E50" s="1267"/>
      <c r="F50" s="1069">
        <v>0</v>
      </c>
      <c r="G50" s="1069">
        <v>3.5000000000000001E-3</v>
      </c>
      <c r="H50" s="1069">
        <v>7.0000000000000001E-3</v>
      </c>
      <c r="I50" s="1069">
        <v>3.8500000000000006E-2</v>
      </c>
      <c r="J50" s="1069">
        <v>7.0000000000000007E-2</v>
      </c>
      <c r="K50" s="1069">
        <v>0.10500000000000001</v>
      </c>
      <c r="L50" s="1069">
        <v>0.14000000000000001</v>
      </c>
      <c r="M50" s="1069">
        <v>0.17</v>
      </c>
      <c r="N50" s="1069">
        <v>0.2</v>
      </c>
      <c r="O50" s="932"/>
    </row>
    <row r="51" spans="2:15" s="927" customFormat="1" ht="15.75">
      <c r="B51" s="1219"/>
      <c r="C51" s="108" t="s">
        <v>1136</v>
      </c>
      <c r="D51" s="108" t="s">
        <v>1150</v>
      </c>
      <c r="E51" s="1267"/>
      <c r="F51" s="1069">
        <v>1E-4</v>
      </c>
      <c r="G51" s="1069">
        <v>5.0000000000000001E-4</v>
      </c>
      <c r="H51" s="1069">
        <v>1E-3</v>
      </c>
      <c r="I51" s="1069">
        <v>5.4999999999999997E-3</v>
      </c>
      <c r="J51" s="1069">
        <v>0.01</v>
      </c>
      <c r="K51" s="1069">
        <v>1.4999999999999999E-2</v>
      </c>
      <c r="L51" s="1069">
        <v>0.02</v>
      </c>
      <c r="M51" s="1069">
        <v>2.2499999999999999E-2</v>
      </c>
      <c r="N51" s="1069">
        <v>2.5000000000000001E-2</v>
      </c>
      <c r="O51" s="932"/>
    </row>
    <row r="52" spans="2:15" s="927" customFormat="1" ht="15.75">
      <c r="B52" s="1219"/>
      <c r="C52" s="1507" t="s">
        <v>1136</v>
      </c>
      <c r="D52" s="1507" t="s">
        <v>1151</v>
      </c>
      <c r="E52" s="1508"/>
      <c r="F52" s="1509">
        <v>0</v>
      </c>
      <c r="G52" s="1509">
        <v>0</v>
      </c>
      <c r="H52" s="1509">
        <v>0</v>
      </c>
      <c r="I52" s="1509">
        <v>0</v>
      </c>
      <c r="J52" s="1509">
        <v>0</v>
      </c>
      <c r="K52" s="1509">
        <v>0</v>
      </c>
      <c r="L52" s="1509">
        <v>0</v>
      </c>
      <c r="M52" s="1509">
        <v>0</v>
      </c>
      <c r="N52" s="1509">
        <v>0</v>
      </c>
      <c r="O52" s="932"/>
    </row>
    <row r="53" spans="2:15" s="927" customFormat="1" ht="15.75">
      <c r="B53" s="1219"/>
      <c r="C53" s="890" t="s">
        <v>1138</v>
      </c>
      <c r="D53" s="890" t="s">
        <v>1148</v>
      </c>
      <c r="E53" s="1317"/>
      <c r="F53" s="1313">
        <v>1</v>
      </c>
      <c r="G53" s="1313">
        <v>1</v>
      </c>
      <c r="H53" s="1313">
        <v>0.94</v>
      </c>
      <c r="I53" s="1069">
        <v>0.9</v>
      </c>
      <c r="J53" s="1069">
        <v>0.8</v>
      </c>
      <c r="K53" s="1313">
        <v>0.746</v>
      </c>
      <c r="L53" s="1313">
        <v>0.69799999999999995</v>
      </c>
      <c r="M53" s="1313">
        <v>0.64949999999999997</v>
      </c>
      <c r="N53" s="1313">
        <v>0.60099999999999998</v>
      </c>
      <c r="O53" s="932"/>
    </row>
    <row r="54" spans="2:15" s="927" customFormat="1" ht="15.75">
      <c r="B54" s="1219"/>
      <c r="C54" s="108" t="s">
        <v>1138</v>
      </c>
      <c r="D54" s="108" t="s">
        <v>1152</v>
      </c>
      <c r="E54" s="1267"/>
      <c r="F54" s="1069">
        <v>0</v>
      </c>
      <c r="G54" s="1069">
        <v>0</v>
      </c>
      <c r="H54" s="1069">
        <v>0.06</v>
      </c>
      <c r="I54" s="1069">
        <v>0.1</v>
      </c>
      <c r="J54" s="1069">
        <v>0.20399999999999999</v>
      </c>
      <c r="K54" s="1069">
        <v>0.2525</v>
      </c>
      <c r="L54" s="1069">
        <v>0.30099999999999999</v>
      </c>
      <c r="M54" s="1069">
        <v>0.34899999999999998</v>
      </c>
      <c r="N54" s="1069">
        <v>0.39700000000000002</v>
      </c>
      <c r="O54" s="932"/>
    </row>
    <row r="55" spans="2:15" s="927" customFormat="1" ht="15.75">
      <c r="B55" s="1510"/>
      <c r="C55" s="1269" t="s">
        <v>1138</v>
      </c>
      <c r="D55" s="1269" t="s">
        <v>1150</v>
      </c>
      <c r="E55" s="1511"/>
      <c r="F55" s="1512">
        <v>0</v>
      </c>
      <c r="G55" s="1512">
        <v>1E-3</v>
      </c>
      <c r="H55" s="1512">
        <v>2E-3</v>
      </c>
      <c r="I55" s="1512">
        <v>2E-3</v>
      </c>
      <c r="J55" s="1512">
        <v>2E-3</v>
      </c>
      <c r="K55" s="1512">
        <v>2E-3</v>
      </c>
      <c r="L55" s="1512">
        <v>2E-3</v>
      </c>
      <c r="M55" s="1512">
        <v>2E-3</v>
      </c>
      <c r="N55" s="1512">
        <v>2E-3</v>
      </c>
      <c r="O55" s="932"/>
    </row>
    <row r="56" spans="2:15" s="927" customFormat="1" ht="15.75">
      <c r="B56" s="1513"/>
      <c r="C56" s="1514" t="s">
        <v>1138</v>
      </c>
      <c r="D56" s="1514" t="s">
        <v>1151</v>
      </c>
      <c r="E56" s="1515"/>
      <c r="F56" s="1516">
        <v>0</v>
      </c>
      <c r="G56" s="1516">
        <v>1E-3</v>
      </c>
      <c r="H56" s="1516">
        <v>2E-3</v>
      </c>
      <c r="I56" s="1517">
        <v>2E-3</v>
      </c>
      <c r="J56" s="1517">
        <v>2E-3</v>
      </c>
      <c r="K56" s="1517">
        <v>2E-3</v>
      </c>
      <c r="L56" s="1516">
        <v>2E-3</v>
      </c>
      <c r="M56" s="1516">
        <v>2E-3</v>
      </c>
      <c r="N56" s="1516">
        <v>2E-3</v>
      </c>
      <c r="O56" s="932"/>
    </row>
    <row r="57" spans="2:15" s="927" customFormat="1" ht="15.75">
      <c r="B57" s="1219"/>
      <c r="C57" s="890" t="s">
        <v>1140</v>
      </c>
      <c r="D57" s="890" t="s">
        <v>1153</v>
      </c>
      <c r="E57" s="1317"/>
      <c r="F57" s="1313">
        <v>0.8</v>
      </c>
      <c r="G57" s="1313">
        <v>0.8</v>
      </c>
      <c r="H57" s="1313">
        <v>0.8</v>
      </c>
      <c r="I57" s="1313">
        <v>0.8</v>
      </c>
      <c r="J57" s="1313">
        <v>0.8</v>
      </c>
      <c r="K57" s="1313">
        <v>0.8</v>
      </c>
      <c r="L57" s="1313">
        <v>0.8</v>
      </c>
      <c r="M57" s="1313">
        <v>0.8</v>
      </c>
      <c r="N57" s="1313">
        <v>0.8</v>
      </c>
      <c r="O57" s="932"/>
    </row>
    <row r="58" spans="2:15" s="927" customFormat="1" ht="15.75">
      <c r="B58" s="1219"/>
      <c r="C58" s="1507" t="s">
        <v>1140</v>
      </c>
      <c r="D58" s="1507" t="s">
        <v>1154</v>
      </c>
      <c r="E58" s="1508"/>
      <c r="F58" s="1509">
        <v>0.2</v>
      </c>
      <c r="G58" s="1509">
        <v>0.2</v>
      </c>
      <c r="H58" s="1509">
        <v>0.2</v>
      </c>
      <c r="I58" s="1509">
        <v>0.2</v>
      </c>
      <c r="J58" s="1509">
        <v>0.2</v>
      </c>
      <c r="K58" s="1509">
        <v>0.2</v>
      </c>
      <c r="L58" s="1509">
        <v>0.2</v>
      </c>
      <c r="M58" s="1509">
        <v>0.2</v>
      </c>
      <c r="N58" s="1509">
        <v>0.2</v>
      </c>
      <c r="O58" s="932"/>
    </row>
    <row r="59" spans="2:15" s="927" customFormat="1" ht="15.75">
      <c r="B59" s="1219"/>
      <c r="C59" s="917" t="s">
        <v>1142</v>
      </c>
      <c r="D59" s="917" t="s">
        <v>1142</v>
      </c>
      <c r="E59" s="1518"/>
      <c r="F59" s="1519">
        <v>1</v>
      </c>
      <c r="G59" s="1519">
        <v>1</v>
      </c>
      <c r="H59" s="1519">
        <v>1</v>
      </c>
      <c r="I59" s="1519">
        <v>1</v>
      </c>
      <c r="J59" s="1519">
        <v>1</v>
      </c>
      <c r="K59" s="1519">
        <v>1</v>
      </c>
      <c r="L59" s="1519">
        <v>1</v>
      </c>
      <c r="M59" s="1519">
        <v>1</v>
      </c>
      <c r="N59" s="1519">
        <v>1</v>
      </c>
      <c r="O59" s="932"/>
    </row>
    <row r="60" spans="2:15" s="927" customFormat="1" ht="15.75">
      <c r="B60" s="1219"/>
      <c r="C60" s="65"/>
      <c r="D60" s="122"/>
      <c r="E60" s="108"/>
      <c r="F60" s="1310"/>
      <c r="G60" s="1311"/>
      <c r="H60" s="1311"/>
      <c r="I60" s="1311"/>
      <c r="J60" s="1311"/>
      <c r="K60" s="80"/>
      <c r="L60" s="80"/>
      <c r="M60" s="80"/>
      <c r="N60" s="80"/>
      <c r="O60" s="932"/>
    </row>
    <row r="61" spans="2:15" s="927" customFormat="1" ht="15.75">
      <c r="B61" s="1219"/>
      <c r="C61" s="89" t="s">
        <v>1155</v>
      </c>
      <c r="D61" s="122"/>
      <c r="E61" s="108"/>
      <c r="F61" s="1310"/>
      <c r="G61" s="1311"/>
      <c r="H61" s="1311"/>
      <c r="I61" s="1311"/>
      <c r="J61" s="80"/>
      <c r="K61" s="80"/>
      <c r="L61" s="80"/>
      <c r="M61" s="80"/>
      <c r="N61" s="80" t="s">
        <v>1147</v>
      </c>
      <c r="O61" s="932"/>
    </row>
    <row r="62" spans="2:15" s="927" customFormat="1" ht="15.75">
      <c r="B62" s="1219"/>
      <c r="C62" s="952"/>
      <c r="D62" s="108"/>
      <c r="E62" s="1267"/>
      <c r="F62" s="1310"/>
      <c r="G62" s="1311"/>
      <c r="H62" s="1311"/>
      <c r="I62" s="1311"/>
      <c r="J62" s="80"/>
      <c r="K62" s="80"/>
      <c r="L62" s="80"/>
      <c r="M62" s="80"/>
      <c r="N62" s="80"/>
      <c r="O62" s="932"/>
    </row>
    <row r="63" spans="2:15" s="927" customFormat="1" ht="15.75">
      <c r="B63" s="1219"/>
      <c r="C63" s="887" t="s">
        <v>1010</v>
      </c>
      <c r="D63" s="887" t="s">
        <v>45</v>
      </c>
      <c r="E63" s="887" t="s">
        <v>30</v>
      </c>
      <c r="F63" s="92">
        <v>2013</v>
      </c>
      <c r="G63" s="92">
        <v>2015</v>
      </c>
      <c r="H63" s="92">
        <v>2020</v>
      </c>
      <c r="I63" s="92">
        <v>2025</v>
      </c>
      <c r="J63" s="92">
        <v>2030</v>
      </c>
      <c r="K63" s="92">
        <v>2035</v>
      </c>
      <c r="L63" s="92">
        <v>2040</v>
      </c>
      <c r="M63" s="92">
        <v>2045</v>
      </c>
      <c r="N63" s="92">
        <v>2050</v>
      </c>
      <c r="O63" s="932"/>
    </row>
    <row r="64" spans="2:15" s="927" customFormat="1" ht="15.75">
      <c r="B64" s="1219"/>
      <c r="C64" s="924" t="s">
        <v>1134</v>
      </c>
      <c r="D64" s="924" t="s">
        <v>1134</v>
      </c>
      <c r="E64" s="923"/>
      <c r="F64" s="1313">
        <v>1</v>
      </c>
      <c r="G64" s="1313">
        <v>0.996</v>
      </c>
      <c r="H64" s="1313">
        <v>0.996</v>
      </c>
      <c r="I64" s="1313">
        <v>0.996</v>
      </c>
      <c r="J64" s="1313">
        <v>0.996</v>
      </c>
      <c r="K64" s="1313">
        <v>0.996</v>
      </c>
      <c r="L64" s="1313">
        <v>0.996</v>
      </c>
      <c r="M64" s="1313">
        <v>0.996</v>
      </c>
      <c r="N64" s="1313">
        <v>0.996</v>
      </c>
      <c r="O64" s="932"/>
    </row>
    <row r="65" spans="2:15" s="927" customFormat="1" ht="15.75">
      <c r="B65" s="1219"/>
      <c r="C65" s="890" t="s">
        <v>1136</v>
      </c>
      <c r="D65" s="890" t="s">
        <v>1148</v>
      </c>
      <c r="E65" s="1317"/>
      <c r="F65" s="1313">
        <v>1</v>
      </c>
      <c r="G65" s="1313">
        <v>0.98499999999999999</v>
      </c>
      <c r="H65" s="1313">
        <v>0.97</v>
      </c>
      <c r="I65" s="1313">
        <v>0.84</v>
      </c>
      <c r="J65" s="1069">
        <v>0.71</v>
      </c>
      <c r="K65" s="1313">
        <v>0.62</v>
      </c>
      <c r="L65" s="1313">
        <v>0.53</v>
      </c>
      <c r="M65" s="1313">
        <v>0.44</v>
      </c>
      <c r="N65" s="1313">
        <v>0.35</v>
      </c>
      <c r="O65" s="932"/>
    </row>
    <row r="66" spans="2:15" s="927" customFormat="1" ht="15.75">
      <c r="B66" s="1219"/>
      <c r="C66" s="108" t="s">
        <v>1136</v>
      </c>
      <c r="D66" s="108" t="s">
        <v>1149</v>
      </c>
      <c r="E66" s="1267"/>
      <c r="F66" s="1069">
        <v>0</v>
      </c>
      <c r="G66" s="1069">
        <v>5.0000000000000001E-3</v>
      </c>
      <c r="H66" s="1069">
        <v>0.01</v>
      </c>
      <c r="I66" s="1069">
        <v>0.13</v>
      </c>
      <c r="J66" s="1069">
        <v>0.25</v>
      </c>
      <c r="K66" s="1069">
        <v>0.315</v>
      </c>
      <c r="L66" s="1069">
        <v>0.38</v>
      </c>
      <c r="M66" s="1069">
        <v>0.46</v>
      </c>
      <c r="N66" s="1069">
        <v>0.54</v>
      </c>
      <c r="O66" s="932"/>
    </row>
    <row r="67" spans="2:15" s="927" customFormat="1" ht="15.75">
      <c r="B67" s="1219"/>
      <c r="C67" s="108" t="s">
        <v>1136</v>
      </c>
      <c r="D67" s="108" t="s">
        <v>1150</v>
      </c>
      <c r="E67" s="1267"/>
      <c r="F67" s="1069">
        <v>0</v>
      </c>
      <c r="G67" s="1069">
        <v>0.01</v>
      </c>
      <c r="H67" s="1069">
        <v>0.02</v>
      </c>
      <c r="I67" s="1069">
        <v>0.03</v>
      </c>
      <c r="J67" s="1069">
        <v>0.04</v>
      </c>
      <c r="K67" s="1069">
        <v>6.5000000000000002E-2</v>
      </c>
      <c r="L67" s="1069">
        <v>0.09</v>
      </c>
      <c r="M67" s="1069">
        <v>9.5000000000000001E-2</v>
      </c>
      <c r="N67" s="1069">
        <v>0.1</v>
      </c>
      <c r="O67" s="932"/>
    </row>
    <row r="68" spans="2:15" s="927" customFormat="1" ht="15.75">
      <c r="B68" s="1219"/>
      <c r="C68" s="1507" t="s">
        <v>1136</v>
      </c>
      <c r="D68" s="1507" t="s">
        <v>1151</v>
      </c>
      <c r="E68" s="1508"/>
      <c r="F68" s="1509">
        <v>0</v>
      </c>
      <c r="G68" s="1509">
        <v>0</v>
      </c>
      <c r="H68" s="1509">
        <v>0</v>
      </c>
      <c r="I68" s="1509">
        <v>0</v>
      </c>
      <c r="J68" s="1509">
        <v>0</v>
      </c>
      <c r="K68" s="1509">
        <v>0</v>
      </c>
      <c r="L68" s="1509">
        <v>0</v>
      </c>
      <c r="M68" s="1509">
        <v>5.0000000000000001E-3</v>
      </c>
      <c r="N68" s="1509">
        <v>0.01</v>
      </c>
      <c r="O68" s="932"/>
    </row>
    <row r="69" spans="2:15" s="927" customFormat="1" ht="15.75">
      <c r="B69" s="1219"/>
      <c r="C69" s="890" t="s">
        <v>1138</v>
      </c>
      <c r="D69" s="890" t="s">
        <v>1148</v>
      </c>
      <c r="E69" s="1317"/>
      <c r="F69" s="1313">
        <v>1</v>
      </c>
      <c r="G69" s="1313">
        <v>1</v>
      </c>
      <c r="H69" s="1313">
        <v>0.9</v>
      </c>
      <c r="I69" s="1313">
        <v>0.81666666666666676</v>
      </c>
      <c r="J69" s="1313">
        <v>0.73333333333333339</v>
      </c>
      <c r="K69" s="1313">
        <v>0.65000000000000013</v>
      </c>
      <c r="L69" s="1313">
        <v>0.56666666666666676</v>
      </c>
      <c r="M69" s="1313">
        <v>0.48333333333333339</v>
      </c>
      <c r="N69" s="1313">
        <v>0.40000000000000013</v>
      </c>
      <c r="O69" s="932"/>
    </row>
    <row r="70" spans="2:15" s="927" customFormat="1" ht="15.75">
      <c r="B70" s="1219"/>
      <c r="C70" s="108" t="s">
        <v>1138</v>
      </c>
      <c r="D70" s="108" t="s">
        <v>1152</v>
      </c>
      <c r="E70" s="1267"/>
      <c r="F70" s="1069">
        <v>0</v>
      </c>
      <c r="G70" s="1069">
        <v>0</v>
      </c>
      <c r="H70" s="1069">
        <v>9.9999999999999992E-2</v>
      </c>
      <c r="I70" s="1069">
        <v>0.18333333333333332</v>
      </c>
      <c r="J70" s="1069">
        <v>0.26666666666666666</v>
      </c>
      <c r="K70" s="1069">
        <v>0.35</v>
      </c>
      <c r="L70" s="1069">
        <v>0.43333333333333329</v>
      </c>
      <c r="M70" s="1069">
        <v>0.51666666666666661</v>
      </c>
      <c r="N70" s="1069">
        <v>0.59999999999999987</v>
      </c>
      <c r="O70" s="932"/>
    </row>
    <row r="71" spans="2:15" s="927" customFormat="1" ht="15.75">
      <c r="B71" s="1219"/>
      <c r="C71" s="108" t="s">
        <v>1138</v>
      </c>
      <c r="D71" s="108" t="s">
        <v>1150</v>
      </c>
      <c r="E71" s="1267"/>
      <c r="F71" s="1069">
        <v>0</v>
      </c>
      <c r="G71" s="1069">
        <v>1E-3</v>
      </c>
      <c r="H71" s="1069">
        <v>2E-3</v>
      </c>
      <c r="I71" s="1069">
        <v>2E-3</v>
      </c>
      <c r="J71" s="1069">
        <v>2E-3</v>
      </c>
      <c r="K71" s="1069">
        <v>2E-3</v>
      </c>
      <c r="L71" s="1069">
        <v>2E-3</v>
      </c>
      <c r="M71" s="1069">
        <v>2E-3</v>
      </c>
      <c r="N71" s="1069">
        <v>2E-3</v>
      </c>
      <c r="O71" s="932"/>
    </row>
    <row r="72" spans="2:15" s="927" customFormat="1" ht="15.75">
      <c r="B72" s="1513"/>
      <c r="C72" s="1507" t="s">
        <v>1138</v>
      </c>
      <c r="D72" s="1507" t="s">
        <v>1151</v>
      </c>
      <c r="E72" s="1508"/>
      <c r="F72" s="1509">
        <v>0</v>
      </c>
      <c r="G72" s="1509">
        <v>1E-3</v>
      </c>
      <c r="H72" s="1509">
        <v>2E-3</v>
      </c>
      <c r="I72" s="1509">
        <v>2E-3</v>
      </c>
      <c r="J72" s="1509">
        <v>2E-3</v>
      </c>
      <c r="K72" s="1509">
        <v>2E-3</v>
      </c>
      <c r="L72" s="1509">
        <v>2E-3</v>
      </c>
      <c r="M72" s="1509">
        <v>2E-3</v>
      </c>
      <c r="N72" s="1509">
        <v>2E-3</v>
      </c>
      <c r="O72" s="932"/>
    </row>
    <row r="73" spans="2:15" s="927" customFormat="1" ht="15.75">
      <c r="B73" s="1219"/>
      <c r="C73" s="890" t="s">
        <v>1140</v>
      </c>
      <c r="D73" s="890" t="s">
        <v>1153</v>
      </c>
      <c r="E73" s="1317"/>
      <c r="F73" s="1313">
        <v>0.8</v>
      </c>
      <c r="G73" s="1313">
        <v>0.8</v>
      </c>
      <c r="H73" s="1313">
        <v>0.8</v>
      </c>
      <c r="I73" s="1313">
        <f t="shared" ref="I73:N73" si="0">1-I74</f>
        <v>0.77499999999999991</v>
      </c>
      <c r="J73" s="1313">
        <f t="shared" si="0"/>
        <v>0.75</v>
      </c>
      <c r="K73" s="1313">
        <f t="shared" si="0"/>
        <v>0.72499999999999998</v>
      </c>
      <c r="L73" s="1313">
        <f t="shared" si="0"/>
        <v>0.7</v>
      </c>
      <c r="M73" s="1313">
        <f t="shared" si="0"/>
        <v>0.67500000000000004</v>
      </c>
      <c r="N73" s="1313">
        <f t="shared" si="0"/>
        <v>0.65</v>
      </c>
      <c r="O73" s="932"/>
    </row>
    <row r="74" spans="2:15" s="927" customFormat="1" ht="15.75">
      <c r="B74" s="1219"/>
      <c r="C74" s="1507" t="s">
        <v>1140</v>
      </c>
      <c r="D74" s="1507" t="s">
        <v>1154</v>
      </c>
      <c r="E74" s="1508"/>
      <c r="F74" s="1509">
        <v>0.2</v>
      </c>
      <c r="G74" s="1509">
        <v>0.2</v>
      </c>
      <c r="H74" s="1509">
        <v>0.20000000000000004</v>
      </c>
      <c r="I74" s="1509">
        <v>0.22500000000000003</v>
      </c>
      <c r="J74" s="1509">
        <v>0.25</v>
      </c>
      <c r="K74" s="1509">
        <v>0.27500000000000002</v>
      </c>
      <c r="L74" s="1509">
        <v>0.3</v>
      </c>
      <c r="M74" s="1509">
        <v>0.32499999999999996</v>
      </c>
      <c r="N74" s="1509">
        <v>0.35</v>
      </c>
      <c r="O74" s="932"/>
    </row>
    <row r="75" spans="2:15" s="927" customFormat="1" ht="15.75">
      <c r="B75" s="1219"/>
      <c r="C75" s="917" t="s">
        <v>1142</v>
      </c>
      <c r="D75" s="917" t="s">
        <v>1142</v>
      </c>
      <c r="E75" s="1518"/>
      <c r="F75" s="1519">
        <v>1</v>
      </c>
      <c r="G75" s="1519">
        <v>1</v>
      </c>
      <c r="H75" s="1519">
        <v>1</v>
      </c>
      <c r="I75" s="1519">
        <v>1</v>
      </c>
      <c r="J75" s="1519">
        <v>1</v>
      </c>
      <c r="K75" s="1519">
        <v>1</v>
      </c>
      <c r="L75" s="1519">
        <v>1</v>
      </c>
      <c r="M75" s="1519">
        <v>1</v>
      </c>
      <c r="N75" s="1519">
        <v>1</v>
      </c>
      <c r="O75" s="932"/>
    </row>
    <row r="76" spans="2:15" s="927" customFormat="1" ht="15.75">
      <c r="B76" s="1219"/>
      <c r="C76" s="65"/>
      <c r="D76" s="122"/>
      <c r="E76" s="108"/>
      <c r="F76" s="1310"/>
      <c r="G76" s="1311"/>
      <c r="H76" s="1311"/>
      <c r="I76" s="1311"/>
      <c r="J76" s="80"/>
      <c r="K76" s="80"/>
      <c r="L76" s="80"/>
      <c r="M76" s="80"/>
      <c r="N76" s="80"/>
      <c r="O76" s="932"/>
    </row>
    <row r="77" spans="2:15" s="927" customFormat="1" ht="15.75">
      <c r="B77" s="1219"/>
      <c r="C77" s="89" t="s">
        <v>1156</v>
      </c>
      <c r="D77" s="122"/>
      <c r="E77" s="108"/>
      <c r="F77" s="1310"/>
      <c r="G77" s="1311"/>
      <c r="H77" s="1311"/>
      <c r="I77" s="1311"/>
      <c r="J77" s="80"/>
      <c r="K77" s="80"/>
      <c r="L77" s="80"/>
      <c r="M77" s="80"/>
      <c r="N77" s="80" t="s">
        <v>1147</v>
      </c>
      <c r="O77" s="932"/>
    </row>
    <row r="78" spans="2:15" s="927" customFormat="1" ht="15.75">
      <c r="B78" s="1219"/>
      <c r="C78" s="952"/>
      <c r="D78" s="108"/>
      <c r="E78" s="1267"/>
      <c r="F78" s="1310"/>
      <c r="G78" s="1311"/>
      <c r="H78" s="1311"/>
      <c r="I78" s="1311"/>
      <c r="J78" s="80"/>
      <c r="K78" s="80"/>
      <c r="L78" s="80"/>
      <c r="M78" s="80"/>
      <c r="N78" s="80"/>
      <c r="O78" s="932"/>
    </row>
    <row r="79" spans="2:15" s="927" customFormat="1" ht="15.75">
      <c r="B79" s="1219"/>
      <c r="C79" s="887" t="s">
        <v>1010</v>
      </c>
      <c r="D79" s="887" t="s">
        <v>45</v>
      </c>
      <c r="E79" s="887" t="s">
        <v>30</v>
      </c>
      <c r="F79" s="92">
        <v>2013</v>
      </c>
      <c r="G79" s="92">
        <v>2015</v>
      </c>
      <c r="H79" s="92">
        <v>2020</v>
      </c>
      <c r="I79" s="92">
        <v>2025</v>
      </c>
      <c r="J79" s="92">
        <v>2030</v>
      </c>
      <c r="K79" s="92">
        <v>2035</v>
      </c>
      <c r="L79" s="92">
        <v>2040</v>
      </c>
      <c r="M79" s="92">
        <v>2045</v>
      </c>
      <c r="N79" s="92">
        <v>2050</v>
      </c>
      <c r="O79" s="932"/>
    </row>
    <row r="80" spans="2:15" s="927" customFormat="1" ht="15.75">
      <c r="B80" s="1219"/>
      <c r="C80" s="924" t="s">
        <v>1134</v>
      </c>
      <c r="D80" s="924" t="s">
        <v>1134</v>
      </c>
      <c r="E80" s="923"/>
      <c r="F80" s="1313">
        <v>1</v>
      </c>
      <c r="G80" s="1313">
        <v>0.996</v>
      </c>
      <c r="H80" s="1313">
        <v>0.996</v>
      </c>
      <c r="I80" s="1313">
        <v>0.996</v>
      </c>
      <c r="J80" s="1313">
        <v>0.996</v>
      </c>
      <c r="K80" s="1313">
        <v>0.996</v>
      </c>
      <c r="L80" s="1313">
        <v>0.996</v>
      </c>
      <c r="M80" s="1313">
        <v>0.996</v>
      </c>
      <c r="N80" s="1313">
        <v>0.996</v>
      </c>
      <c r="O80" s="932"/>
    </row>
    <row r="81" spans="2:15" s="927" customFormat="1" ht="15.75">
      <c r="B81" s="1219"/>
      <c r="C81" s="890" t="s">
        <v>1136</v>
      </c>
      <c r="D81" s="890" t="s">
        <v>1148</v>
      </c>
      <c r="E81" s="1317"/>
      <c r="F81" s="1313">
        <v>1</v>
      </c>
      <c r="G81" s="1313">
        <v>0.98499999999999999</v>
      </c>
      <c r="H81" s="1313">
        <v>0.97</v>
      </c>
      <c r="I81" s="1313">
        <v>0.70499999999999996</v>
      </c>
      <c r="J81" s="1069">
        <v>0.44</v>
      </c>
      <c r="K81" s="1313">
        <v>0.41000000000000003</v>
      </c>
      <c r="L81" s="1313">
        <v>0.38</v>
      </c>
      <c r="M81" s="1313">
        <v>0.29000000000000004</v>
      </c>
      <c r="N81" s="1313">
        <v>0.2</v>
      </c>
      <c r="O81" s="932"/>
    </row>
    <row r="82" spans="2:15" s="927" customFormat="1" ht="15.75">
      <c r="B82" s="1219"/>
      <c r="C82" s="108" t="s">
        <v>1136</v>
      </c>
      <c r="D82" s="108" t="s">
        <v>1149</v>
      </c>
      <c r="E82" s="1267"/>
      <c r="F82" s="1069">
        <v>0</v>
      </c>
      <c r="G82" s="1069">
        <v>5.0000000000000001E-3</v>
      </c>
      <c r="H82" s="1069">
        <v>0.01</v>
      </c>
      <c r="I82" s="1069">
        <v>0.22750000000000001</v>
      </c>
      <c r="J82" s="1069">
        <v>0.44500000000000001</v>
      </c>
      <c r="K82" s="1069">
        <v>0.38250000000000001</v>
      </c>
      <c r="L82" s="1069">
        <v>0.32</v>
      </c>
      <c r="M82" s="1069">
        <v>0.32</v>
      </c>
      <c r="N82" s="1069">
        <v>0.32</v>
      </c>
      <c r="O82" s="932"/>
    </row>
    <row r="83" spans="2:15" s="927" customFormat="1" ht="15.75">
      <c r="B83" s="1219"/>
      <c r="C83" s="108" t="s">
        <v>1136</v>
      </c>
      <c r="D83" s="108" t="s">
        <v>1150</v>
      </c>
      <c r="E83" s="1267"/>
      <c r="F83" s="1069">
        <v>0</v>
      </c>
      <c r="G83" s="1069">
        <v>0.01</v>
      </c>
      <c r="H83" s="1069">
        <v>0.02</v>
      </c>
      <c r="I83" s="1069">
        <v>0.05</v>
      </c>
      <c r="J83" s="1069">
        <v>0.08</v>
      </c>
      <c r="K83" s="1069">
        <v>0.14000000000000001</v>
      </c>
      <c r="L83" s="1069">
        <v>0.2</v>
      </c>
      <c r="M83" s="1069">
        <v>0.24000000000000002</v>
      </c>
      <c r="N83" s="1069">
        <v>0.28000000000000003</v>
      </c>
      <c r="O83" s="932"/>
    </row>
    <row r="84" spans="2:15" s="927" customFormat="1" ht="15.75">
      <c r="B84" s="1219"/>
      <c r="C84" s="1507" t="s">
        <v>1136</v>
      </c>
      <c r="D84" s="1507" t="s">
        <v>1151</v>
      </c>
      <c r="E84" s="1508"/>
      <c r="F84" s="1509">
        <v>0</v>
      </c>
      <c r="G84" s="1509">
        <v>0</v>
      </c>
      <c r="H84" s="1509">
        <v>0</v>
      </c>
      <c r="I84" s="1509">
        <v>1.7500000000000002E-2</v>
      </c>
      <c r="J84" s="1509">
        <v>3.5000000000000003E-2</v>
      </c>
      <c r="K84" s="1509">
        <v>6.7500000000000004E-2</v>
      </c>
      <c r="L84" s="1509">
        <v>0.1</v>
      </c>
      <c r="M84" s="1509">
        <v>0.15000000000000002</v>
      </c>
      <c r="N84" s="1509">
        <v>0.2</v>
      </c>
      <c r="O84" s="932"/>
    </row>
    <row r="85" spans="2:15" s="927" customFormat="1" ht="15.75">
      <c r="B85" s="1219"/>
      <c r="C85" s="890" t="s">
        <v>1138</v>
      </c>
      <c r="D85" s="890" t="s">
        <v>1148</v>
      </c>
      <c r="E85" s="1317"/>
      <c r="F85" s="1313">
        <v>1</v>
      </c>
      <c r="G85" s="1313">
        <v>1</v>
      </c>
      <c r="H85" s="1313">
        <v>0.88571428571428568</v>
      </c>
      <c r="I85" s="1313">
        <v>0.77142857142857135</v>
      </c>
      <c r="J85" s="1313">
        <v>0.65714285714285703</v>
      </c>
      <c r="K85" s="1313">
        <v>0.54285714285714282</v>
      </c>
      <c r="L85" s="1313">
        <v>0.42857142857142849</v>
      </c>
      <c r="M85" s="1313">
        <v>0.31428571428571417</v>
      </c>
      <c r="N85" s="1313">
        <v>0.19999999999999984</v>
      </c>
      <c r="O85" s="932"/>
    </row>
    <row r="86" spans="2:15" s="927" customFormat="1" ht="15.75">
      <c r="B86" s="1219"/>
      <c r="C86" s="108" t="s">
        <v>1138</v>
      </c>
      <c r="D86" s="108" t="s">
        <v>1152</v>
      </c>
      <c r="E86" s="1267"/>
      <c r="F86" s="1069">
        <v>0</v>
      </c>
      <c r="G86" s="1069">
        <v>0</v>
      </c>
      <c r="H86" s="1069">
        <v>9.9999999999999992E-2</v>
      </c>
      <c r="I86" s="1069">
        <v>0.18333333333333332</v>
      </c>
      <c r="J86" s="1069">
        <v>0.26666666666666666</v>
      </c>
      <c r="K86" s="1069">
        <v>0.35</v>
      </c>
      <c r="L86" s="1069">
        <v>0.43333333333333329</v>
      </c>
      <c r="M86" s="1069">
        <v>0.51666666666666661</v>
      </c>
      <c r="N86" s="1069">
        <v>0.59999999999999987</v>
      </c>
      <c r="O86" s="932"/>
    </row>
    <row r="87" spans="2:15" s="927" customFormat="1" ht="15.75">
      <c r="B87" s="1510"/>
      <c r="C87" s="1269" t="s">
        <v>1138</v>
      </c>
      <c r="D87" s="1269" t="s">
        <v>1150</v>
      </c>
      <c r="E87" s="1511"/>
      <c r="F87" s="1512">
        <v>0</v>
      </c>
      <c r="G87" s="1512">
        <v>0</v>
      </c>
      <c r="H87" s="1069">
        <v>1.6999999999999994E-2</v>
      </c>
      <c r="I87" s="1069">
        <v>3.0833333333333331E-2</v>
      </c>
      <c r="J87" s="1069">
        <v>4.4666666666666667E-2</v>
      </c>
      <c r="K87" s="1069">
        <v>5.8500000000000003E-2</v>
      </c>
      <c r="L87" s="1069">
        <v>7.2333333333333333E-2</v>
      </c>
      <c r="M87" s="1069">
        <v>8.6166666666666669E-2</v>
      </c>
      <c r="N87" s="1069">
        <v>0.1</v>
      </c>
      <c r="O87" s="932"/>
    </row>
    <row r="88" spans="2:15" s="927" customFormat="1" ht="15.75">
      <c r="B88" s="1513"/>
      <c r="C88" s="1514" t="s">
        <v>1138</v>
      </c>
      <c r="D88" s="1514" t="s">
        <v>1151</v>
      </c>
      <c r="E88" s="1515"/>
      <c r="F88" s="1516">
        <v>0</v>
      </c>
      <c r="G88" s="1517">
        <v>0</v>
      </c>
      <c r="H88" s="1069">
        <v>1.6999999999999994E-2</v>
      </c>
      <c r="I88" s="1069">
        <v>3.0833333333333331E-2</v>
      </c>
      <c r="J88" s="1069">
        <v>4.4666666666666667E-2</v>
      </c>
      <c r="K88" s="1069">
        <v>5.8500000000000003E-2</v>
      </c>
      <c r="L88" s="1069">
        <v>7.2333333333333333E-2</v>
      </c>
      <c r="M88" s="1069">
        <v>8.6166666666666669E-2</v>
      </c>
      <c r="N88" s="1069">
        <v>0.1</v>
      </c>
      <c r="O88" s="932"/>
    </row>
    <row r="89" spans="2:15" s="927" customFormat="1" ht="15.75">
      <c r="B89" s="1219"/>
      <c r="C89" s="890" t="s">
        <v>1140</v>
      </c>
      <c r="D89" s="890" t="s">
        <v>1153</v>
      </c>
      <c r="E89" s="1317"/>
      <c r="F89" s="1313">
        <v>0.8</v>
      </c>
      <c r="G89" s="1313">
        <v>0.8</v>
      </c>
      <c r="H89" s="1313">
        <v>0.8</v>
      </c>
      <c r="I89" s="1313">
        <f t="shared" ref="I89:N89" si="1">1-I90</f>
        <v>0.72499999999999998</v>
      </c>
      <c r="J89" s="1313">
        <f t="shared" si="1"/>
        <v>0.64999999999999991</v>
      </c>
      <c r="K89" s="1313">
        <f t="shared" si="1"/>
        <v>0.57499999999999996</v>
      </c>
      <c r="L89" s="1313">
        <f t="shared" si="1"/>
        <v>0.5</v>
      </c>
      <c r="M89" s="1313">
        <f t="shared" si="1"/>
        <v>0.42500000000000004</v>
      </c>
      <c r="N89" s="1313">
        <f t="shared" si="1"/>
        <v>0.34999999999999987</v>
      </c>
      <c r="O89" s="932"/>
    </row>
    <row r="90" spans="2:15" s="927" customFormat="1" ht="15.75">
      <c r="B90" s="1219"/>
      <c r="C90" s="1507" t="s">
        <v>1140</v>
      </c>
      <c r="D90" s="1507" t="s">
        <v>1154</v>
      </c>
      <c r="E90" s="1508"/>
      <c r="F90" s="1509">
        <v>0.2</v>
      </c>
      <c r="G90" s="1509">
        <v>0.2</v>
      </c>
      <c r="H90" s="1509">
        <v>0.20000000000000007</v>
      </c>
      <c r="I90" s="1509">
        <v>0.27500000000000002</v>
      </c>
      <c r="J90" s="1509">
        <v>0.35000000000000003</v>
      </c>
      <c r="K90" s="1509">
        <v>0.42500000000000004</v>
      </c>
      <c r="L90" s="1509">
        <v>0.5</v>
      </c>
      <c r="M90" s="1509">
        <v>0.57499999999999996</v>
      </c>
      <c r="N90" s="1509">
        <v>0.65000000000000013</v>
      </c>
      <c r="O90" s="932"/>
    </row>
    <row r="91" spans="2:15" s="927" customFormat="1" ht="15.75">
      <c r="B91" s="1219"/>
      <c r="C91" s="917" t="s">
        <v>1142</v>
      </c>
      <c r="D91" s="917" t="s">
        <v>1142</v>
      </c>
      <c r="E91" s="1518"/>
      <c r="F91" s="1519">
        <v>1</v>
      </c>
      <c r="G91" s="1519">
        <v>1</v>
      </c>
      <c r="H91" s="1519">
        <v>1</v>
      </c>
      <c r="I91" s="1519">
        <v>1</v>
      </c>
      <c r="J91" s="1519">
        <v>1</v>
      </c>
      <c r="K91" s="1519">
        <v>1</v>
      </c>
      <c r="L91" s="1519">
        <v>1</v>
      </c>
      <c r="M91" s="1519">
        <v>1</v>
      </c>
      <c r="N91" s="1519">
        <v>1</v>
      </c>
      <c r="O91" s="932"/>
    </row>
    <row r="92" spans="2:15" s="927" customFormat="1" ht="15.75">
      <c r="B92" s="1219"/>
      <c r="C92" s="65"/>
      <c r="D92" s="122"/>
      <c r="E92" s="108"/>
      <c r="F92" s="1310"/>
      <c r="G92" s="1311"/>
      <c r="H92" s="1311"/>
      <c r="I92" s="1311"/>
      <c r="J92" s="80"/>
      <c r="K92" s="80"/>
      <c r="L92" s="80"/>
      <c r="M92" s="80"/>
      <c r="N92" s="80"/>
      <c r="O92" s="932"/>
    </row>
    <row r="93" spans="2:15" s="927" customFormat="1" ht="15.75">
      <c r="B93" s="1219"/>
      <c r="C93" s="89" t="s">
        <v>1157</v>
      </c>
      <c r="D93" s="122"/>
      <c r="E93" s="108"/>
      <c r="F93" s="1310"/>
      <c r="G93" s="1311"/>
      <c r="H93" s="1311"/>
      <c r="I93" s="1311"/>
      <c r="J93" s="80"/>
      <c r="K93" s="80"/>
      <c r="L93" s="80"/>
      <c r="M93" s="80"/>
      <c r="N93" s="80" t="s">
        <v>1147</v>
      </c>
      <c r="O93" s="932"/>
    </row>
    <row r="94" spans="2:15" s="927" customFormat="1" ht="15.75">
      <c r="B94" s="1219"/>
      <c r="C94" s="952"/>
      <c r="D94" s="108"/>
      <c r="E94" s="1267"/>
      <c r="F94" s="1310"/>
      <c r="G94" s="1311"/>
      <c r="H94" s="1311"/>
      <c r="I94" s="1311"/>
      <c r="J94" s="80"/>
      <c r="K94" s="80"/>
      <c r="L94" s="80"/>
      <c r="M94" s="80"/>
      <c r="N94" s="80"/>
      <c r="O94" s="932"/>
    </row>
    <row r="95" spans="2:15" s="927" customFormat="1" ht="15.75">
      <c r="B95" s="1219"/>
      <c r="C95" s="887" t="s">
        <v>1010</v>
      </c>
      <c r="D95" s="887" t="s">
        <v>45</v>
      </c>
      <c r="E95" s="887" t="s">
        <v>30</v>
      </c>
      <c r="F95" s="92">
        <v>2013</v>
      </c>
      <c r="G95" s="92">
        <v>2015</v>
      </c>
      <c r="H95" s="92">
        <v>2020</v>
      </c>
      <c r="I95" s="92">
        <v>2025</v>
      </c>
      <c r="J95" s="92">
        <v>2030</v>
      </c>
      <c r="K95" s="92">
        <v>2035</v>
      </c>
      <c r="L95" s="92">
        <v>2040</v>
      </c>
      <c r="M95" s="92">
        <v>2045</v>
      </c>
      <c r="N95" s="92">
        <v>2050</v>
      </c>
      <c r="O95" s="932"/>
    </row>
    <row r="96" spans="2:15" s="927" customFormat="1" ht="15.75">
      <c r="B96" s="1219"/>
      <c r="C96" s="924" t="s">
        <v>1134</v>
      </c>
      <c r="D96" s="924" t="s">
        <v>1134</v>
      </c>
      <c r="E96" s="923"/>
      <c r="F96" s="1313">
        <v>1</v>
      </c>
      <c r="G96" s="1313">
        <v>0.996</v>
      </c>
      <c r="H96" s="1313">
        <v>0.996</v>
      </c>
      <c r="I96" s="1313">
        <v>0.996</v>
      </c>
      <c r="J96" s="1313">
        <v>0.996</v>
      </c>
      <c r="K96" s="1313">
        <v>0.996</v>
      </c>
      <c r="L96" s="1313">
        <v>0.996</v>
      </c>
      <c r="M96" s="1313">
        <v>0.996</v>
      </c>
      <c r="N96" s="1313">
        <v>0.996</v>
      </c>
      <c r="O96" s="932"/>
    </row>
    <row r="97" spans="2:15" s="927" customFormat="1" ht="15.75">
      <c r="B97" s="1219"/>
      <c r="C97" s="890" t="s">
        <v>1136</v>
      </c>
      <c r="D97" s="890" t="s">
        <v>1148</v>
      </c>
      <c r="E97" s="1317"/>
      <c r="F97" s="1313">
        <v>1</v>
      </c>
      <c r="G97" s="1313">
        <v>1</v>
      </c>
      <c r="H97" s="1313">
        <v>0.97</v>
      </c>
      <c r="I97" s="1313">
        <v>0.66</v>
      </c>
      <c r="J97" s="1069">
        <v>0.34</v>
      </c>
      <c r="K97" s="1313">
        <v>0.26</v>
      </c>
      <c r="L97" s="1313">
        <v>0.18</v>
      </c>
      <c r="M97" s="1313">
        <v>0.09</v>
      </c>
      <c r="N97" s="1313">
        <v>0</v>
      </c>
      <c r="O97" s="932"/>
    </row>
    <row r="98" spans="2:15" s="927" customFormat="1" ht="15.75">
      <c r="B98" s="1219"/>
      <c r="C98" s="108" t="s">
        <v>1136</v>
      </c>
      <c r="D98" s="108" t="s">
        <v>1149</v>
      </c>
      <c r="E98" s="1267" t="s">
        <v>5</v>
      </c>
      <c r="F98" s="1069">
        <v>0</v>
      </c>
      <c r="G98" s="1069">
        <v>0</v>
      </c>
      <c r="H98" s="1069">
        <v>0.01</v>
      </c>
      <c r="I98" s="1069">
        <v>0.23</v>
      </c>
      <c r="J98" s="1069">
        <v>0.44500000000000001</v>
      </c>
      <c r="K98" s="1069">
        <v>0.38250000000000001</v>
      </c>
      <c r="L98" s="1069">
        <v>0.32</v>
      </c>
      <c r="M98" s="1069">
        <v>0.16</v>
      </c>
      <c r="N98" s="1069">
        <v>0</v>
      </c>
      <c r="O98" s="932"/>
    </row>
    <row r="99" spans="2:15" s="927" customFormat="1" ht="15.75">
      <c r="B99" s="1219"/>
      <c r="C99" s="108" t="s">
        <v>1136</v>
      </c>
      <c r="D99" s="108" t="s">
        <v>1150</v>
      </c>
      <c r="E99" s="1267"/>
      <c r="F99" s="1512">
        <v>0</v>
      </c>
      <c r="G99" s="1512">
        <v>0</v>
      </c>
      <c r="H99" s="1069">
        <v>0.02</v>
      </c>
      <c r="I99" s="1069">
        <v>9.9999999999999992E-2</v>
      </c>
      <c r="J99" s="1069">
        <v>0.18</v>
      </c>
      <c r="K99" s="1069">
        <v>0.29000000000000004</v>
      </c>
      <c r="L99" s="1069">
        <v>0.4</v>
      </c>
      <c r="M99" s="1069">
        <v>0.60000000000000009</v>
      </c>
      <c r="N99" s="1069">
        <v>0.8</v>
      </c>
      <c r="O99" s="932"/>
    </row>
    <row r="100" spans="2:15" s="927" customFormat="1" ht="15.75">
      <c r="B100" s="1219"/>
      <c r="C100" s="1507" t="s">
        <v>1136</v>
      </c>
      <c r="D100" s="1507" t="s">
        <v>1151</v>
      </c>
      <c r="E100" s="1508"/>
      <c r="F100" s="1516">
        <v>0</v>
      </c>
      <c r="G100" s="1517">
        <v>0</v>
      </c>
      <c r="H100" s="1509">
        <v>0</v>
      </c>
      <c r="I100" s="1509">
        <v>1.7500000000000002E-2</v>
      </c>
      <c r="J100" s="1509">
        <v>3.5000000000000003E-2</v>
      </c>
      <c r="K100" s="1509">
        <v>6.7500000000000004E-2</v>
      </c>
      <c r="L100" s="1509">
        <v>0.1</v>
      </c>
      <c r="M100" s="1509">
        <v>0.15000000000000002</v>
      </c>
      <c r="N100" s="1509">
        <v>0.2</v>
      </c>
      <c r="O100" s="932"/>
    </row>
    <row r="101" spans="2:15" s="927" customFormat="1" ht="15.75">
      <c r="B101" s="1219"/>
      <c r="C101" s="890" t="s">
        <v>1138</v>
      </c>
      <c r="D101" s="890" t="s">
        <v>1148</v>
      </c>
      <c r="E101" s="1317"/>
      <c r="F101" s="1313">
        <v>1</v>
      </c>
      <c r="G101" s="1313">
        <v>1</v>
      </c>
      <c r="H101" s="1520">
        <v>0.86</v>
      </c>
      <c r="I101" s="1069">
        <v>0.54</v>
      </c>
      <c r="J101" s="1069">
        <v>0.32</v>
      </c>
      <c r="K101" s="1313">
        <v>0</v>
      </c>
      <c r="L101" s="1313">
        <v>0</v>
      </c>
      <c r="M101" s="1313">
        <v>0</v>
      </c>
      <c r="N101" s="1313">
        <v>0</v>
      </c>
      <c r="O101" s="932"/>
    </row>
    <row r="102" spans="2:15" s="927" customFormat="1" ht="15.75">
      <c r="B102" s="1219"/>
      <c r="C102" s="108" t="s">
        <v>1138</v>
      </c>
      <c r="D102" s="108" t="s">
        <v>1152</v>
      </c>
      <c r="E102" s="1267"/>
      <c r="F102" s="1069">
        <v>0</v>
      </c>
      <c r="G102" s="1069">
        <v>0</v>
      </c>
      <c r="H102" s="1069">
        <v>0.1</v>
      </c>
      <c r="I102" s="1069">
        <v>0.4</v>
      </c>
      <c r="J102" s="1069">
        <v>0.6</v>
      </c>
      <c r="K102" s="1069">
        <v>0.74750000000000005</v>
      </c>
      <c r="L102" s="1069">
        <v>0.67</v>
      </c>
      <c r="M102" s="1069">
        <v>0.59000000000000008</v>
      </c>
      <c r="N102" s="1069">
        <v>0.51</v>
      </c>
      <c r="O102" s="932"/>
    </row>
    <row r="103" spans="2:15" s="927" customFormat="1" ht="15.75">
      <c r="B103" s="1219"/>
      <c r="C103" s="108" t="s">
        <v>1138</v>
      </c>
      <c r="D103" s="108" t="s">
        <v>1150</v>
      </c>
      <c r="E103" s="1267"/>
      <c r="F103" s="1069">
        <v>0</v>
      </c>
      <c r="G103" s="1512">
        <v>0</v>
      </c>
      <c r="H103" s="1069">
        <v>1.7000000000000001E-2</v>
      </c>
      <c r="I103" s="1069">
        <v>2.725E-2</v>
      </c>
      <c r="J103" s="1069">
        <v>3.7499999999999999E-2</v>
      </c>
      <c r="K103" s="1069">
        <v>0.12625</v>
      </c>
      <c r="L103" s="1069">
        <v>0.16500000000000001</v>
      </c>
      <c r="M103" s="1069">
        <v>0.20500000000000002</v>
      </c>
      <c r="N103" s="1069">
        <v>0.245</v>
      </c>
      <c r="O103" s="932"/>
    </row>
    <row r="104" spans="2:15" s="927" customFormat="1" ht="15.75">
      <c r="B104" s="1513"/>
      <c r="C104" s="1507" t="s">
        <v>1138</v>
      </c>
      <c r="D104" s="1507" t="s">
        <v>1151</v>
      </c>
      <c r="E104" s="1508"/>
      <c r="F104" s="1509">
        <v>0</v>
      </c>
      <c r="G104" s="1517">
        <v>0</v>
      </c>
      <c r="H104" s="1069">
        <v>1.7000000000000001E-2</v>
      </c>
      <c r="I104" s="1069">
        <v>2.725E-2</v>
      </c>
      <c r="J104" s="1069">
        <v>3.7499999999999999E-2</v>
      </c>
      <c r="K104" s="1069">
        <v>0.12625</v>
      </c>
      <c r="L104" s="1069">
        <v>0.16500000000000001</v>
      </c>
      <c r="M104" s="1069">
        <v>0.20500000000000002</v>
      </c>
      <c r="N104" s="1069">
        <v>0.245</v>
      </c>
      <c r="O104" s="932"/>
    </row>
    <row r="105" spans="2:15" s="927" customFormat="1" ht="15.75">
      <c r="B105" s="1219"/>
      <c r="C105" s="890" t="s">
        <v>1140</v>
      </c>
      <c r="D105" s="890" t="s">
        <v>1153</v>
      </c>
      <c r="E105" s="1317"/>
      <c r="F105" s="1313">
        <v>0.8</v>
      </c>
      <c r="G105" s="1313">
        <v>0.8</v>
      </c>
      <c r="H105" s="1313">
        <v>0.8</v>
      </c>
      <c r="I105" s="1313">
        <v>0.69</v>
      </c>
      <c r="J105" s="1313">
        <v>0.57999999999999996</v>
      </c>
      <c r="K105" s="1313">
        <v>0.47499999999999998</v>
      </c>
      <c r="L105" s="1313">
        <v>0.37</v>
      </c>
      <c r="M105" s="1313">
        <v>0.26</v>
      </c>
      <c r="N105" s="1313">
        <v>0.15</v>
      </c>
      <c r="O105" s="932"/>
    </row>
    <row r="106" spans="2:15" s="927" customFormat="1" ht="15.75">
      <c r="B106" s="1219"/>
      <c r="C106" s="1507" t="s">
        <v>1140</v>
      </c>
      <c r="D106" s="1507" t="s">
        <v>1154</v>
      </c>
      <c r="E106" s="1508"/>
      <c r="F106" s="1509">
        <v>0.2</v>
      </c>
      <c r="G106" s="1509">
        <v>0.2</v>
      </c>
      <c r="H106" s="1509">
        <v>0.19999999999999996</v>
      </c>
      <c r="I106" s="1509">
        <v>0.30833333333333335</v>
      </c>
      <c r="J106" s="1509">
        <v>0.41666666666666669</v>
      </c>
      <c r="K106" s="1509">
        <v>0.52500000000000002</v>
      </c>
      <c r="L106" s="1509">
        <v>0.6333333333333333</v>
      </c>
      <c r="M106" s="1509">
        <v>0.7416666666666667</v>
      </c>
      <c r="N106" s="1509">
        <v>0.85000000000000009</v>
      </c>
      <c r="O106" s="932"/>
    </row>
    <row r="107" spans="2:15" s="927" customFormat="1" ht="15.75">
      <c r="B107" s="1219"/>
      <c r="C107" s="917" t="s">
        <v>1142</v>
      </c>
      <c r="D107" s="917" t="s">
        <v>1142</v>
      </c>
      <c r="E107" s="1518"/>
      <c r="F107" s="1519">
        <v>1</v>
      </c>
      <c r="G107" s="1519">
        <v>1</v>
      </c>
      <c r="H107" s="1519">
        <v>1</v>
      </c>
      <c r="I107" s="1519">
        <v>1</v>
      </c>
      <c r="J107" s="1519">
        <v>1</v>
      </c>
      <c r="K107" s="1519">
        <v>1</v>
      </c>
      <c r="L107" s="1519">
        <v>1</v>
      </c>
      <c r="M107" s="1519">
        <v>1</v>
      </c>
      <c r="N107" s="1519">
        <v>1</v>
      </c>
      <c r="O107" s="932"/>
    </row>
    <row r="108" spans="2:15" s="927" customFormat="1" ht="15.75">
      <c r="B108" s="1219"/>
      <c r="C108" s="65"/>
      <c r="D108" s="122"/>
      <c r="E108" s="108"/>
      <c r="F108" s="1310"/>
      <c r="G108" s="1311"/>
      <c r="H108" s="1311"/>
      <c r="I108" s="1311"/>
      <c r="J108" s="80"/>
      <c r="K108" s="80"/>
      <c r="L108" s="80"/>
      <c r="M108" s="80"/>
      <c r="N108" s="80"/>
      <c r="O108" s="932"/>
    </row>
    <row r="109" spans="2:15" s="927" customFormat="1" ht="15.75">
      <c r="B109" s="1219"/>
      <c r="C109" s="89" t="s">
        <v>1158</v>
      </c>
      <c r="D109" s="108"/>
      <c r="E109" s="108"/>
      <c r="F109" s="1310"/>
      <c r="G109" s="1311"/>
      <c r="H109" s="1311"/>
      <c r="I109" s="1311"/>
      <c r="J109" s="80"/>
      <c r="K109" s="80"/>
      <c r="L109" s="80"/>
      <c r="M109" s="80"/>
      <c r="N109" s="80"/>
      <c r="O109" s="932"/>
    </row>
    <row r="110" spans="2:15" s="927" customFormat="1">
      <c r="B110" s="135"/>
      <c r="C110" s="49"/>
      <c r="D110" s="67"/>
      <c r="E110" s="67"/>
      <c r="F110" s="67"/>
      <c r="G110" s="67"/>
      <c r="H110" s="67"/>
      <c r="I110" s="67"/>
      <c r="J110" s="67"/>
      <c r="K110" s="67"/>
      <c r="L110" s="67"/>
      <c r="M110" s="67"/>
      <c r="N110" s="67"/>
      <c r="O110" s="932"/>
    </row>
    <row r="111" spans="2:15" ht="15.75">
      <c r="B111" s="55"/>
      <c r="C111" s="887" t="s">
        <v>8</v>
      </c>
      <c r="D111" s="887" t="s">
        <v>34</v>
      </c>
      <c r="E111" s="887" t="s">
        <v>30</v>
      </c>
      <c r="F111" s="92" t="s">
        <v>1150</v>
      </c>
      <c r="G111" s="1276" t="s">
        <v>1151</v>
      </c>
      <c r="H111" s="920"/>
      <c r="I111" s="920"/>
      <c r="J111" s="920"/>
      <c r="K111" s="920"/>
      <c r="L111" s="920"/>
      <c r="M111" s="920"/>
      <c r="N111" s="920"/>
      <c r="O111" s="932"/>
    </row>
    <row r="112" spans="2:15" ht="15.75">
      <c r="B112" s="55"/>
      <c r="C112" s="65">
        <v>1</v>
      </c>
      <c r="D112" s="108"/>
      <c r="E112" s="1267"/>
      <c r="F112" s="1521">
        <v>1</v>
      </c>
      <c r="G112" s="2374">
        <v>0</v>
      </c>
      <c r="H112" s="1522"/>
      <c r="I112" s="1522"/>
      <c r="J112" s="1522"/>
      <c r="K112" s="1522"/>
      <c r="L112" s="1522"/>
      <c r="M112" s="1522"/>
      <c r="N112" s="1522"/>
      <c r="O112" s="932"/>
    </row>
    <row r="113" spans="1:15" ht="15.75">
      <c r="B113" s="55"/>
      <c r="C113" s="65">
        <v>2</v>
      </c>
      <c r="D113" s="108"/>
      <c r="E113" s="1267"/>
      <c r="F113" s="1521">
        <v>0.8</v>
      </c>
      <c r="G113" s="2375">
        <v>0.2</v>
      </c>
      <c r="H113" s="1522"/>
      <c r="I113" s="1523"/>
      <c r="J113" s="1522"/>
      <c r="K113" s="1523" t="s">
        <v>5</v>
      </c>
      <c r="L113" s="1522"/>
      <c r="M113" s="1522"/>
      <c r="N113" s="1522"/>
      <c r="O113" s="932"/>
    </row>
    <row r="114" spans="1:15" ht="15.75">
      <c r="B114" s="55"/>
      <c r="C114" s="65">
        <v>3</v>
      </c>
      <c r="D114" s="108"/>
      <c r="E114" s="1267"/>
      <c r="F114" s="1521">
        <v>0.2</v>
      </c>
      <c r="G114" s="2375">
        <v>0.8</v>
      </c>
      <c r="H114" s="1523"/>
      <c r="I114" s="1523" t="s">
        <v>5</v>
      </c>
      <c r="J114" s="1523"/>
      <c r="K114" s="1523"/>
      <c r="L114" s="1523"/>
      <c r="M114" s="1523"/>
      <c r="N114" s="1523"/>
      <c r="O114" s="932"/>
    </row>
    <row r="115" spans="1:15" ht="15.75">
      <c r="B115" s="55"/>
      <c r="C115" s="896">
        <v>4</v>
      </c>
      <c r="D115" s="897"/>
      <c r="E115" s="897"/>
      <c r="F115" s="1524">
        <v>0</v>
      </c>
      <c r="G115" s="2376">
        <v>1</v>
      </c>
      <c r="H115" s="1523"/>
      <c r="I115" s="1523"/>
      <c r="J115" s="1523"/>
      <c r="K115" s="1523"/>
      <c r="L115" s="1523"/>
      <c r="M115" s="1523"/>
      <c r="N115" s="1523"/>
      <c r="O115" s="932"/>
    </row>
    <row r="116" spans="1:15" s="927" customFormat="1">
      <c r="B116" s="135"/>
      <c r="C116" s="49"/>
      <c r="D116" s="67"/>
      <c r="E116" s="67"/>
      <c r="F116" s="67"/>
      <c r="G116" s="67"/>
      <c r="H116" s="67"/>
      <c r="I116" s="67"/>
      <c r="J116" s="67"/>
      <c r="K116" s="67"/>
      <c r="L116" s="67"/>
      <c r="M116" s="67"/>
      <c r="N116" s="67"/>
      <c r="O116" s="932"/>
    </row>
    <row r="117" spans="1:15" s="927" customFormat="1" ht="15.75">
      <c r="B117" s="1219"/>
      <c r="C117" s="3886" t="s">
        <v>64</v>
      </c>
      <c r="D117" s="200"/>
      <c r="E117" s="108"/>
      <c r="F117" s="1310"/>
      <c r="G117" s="1311"/>
      <c r="H117" s="1311"/>
      <c r="I117" s="1311"/>
      <c r="J117" s="80"/>
      <c r="K117" s="80"/>
      <c r="L117" s="80"/>
      <c r="M117" s="80"/>
      <c r="N117" s="80"/>
      <c r="O117" s="932"/>
    </row>
    <row r="118" spans="1:15">
      <c r="B118" s="45"/>
      <c r="C118" s="929" t="s">
        <v>65</v>
      </c>
      <c r="D118" s="3884" t="s">
        <v>1878</v>
      </c>
      <c r="E118" s="67"/>
      <c r="F118" s="67"/>
      <c r="G118" s="67"/>
      <c r="H118" s="67"/>
      <c r="I118" s="67"/>
      <c r="J118" s="67"/>
      <c r="K118" s="67"/>
      <c r="L118" s="67"/>
      <c r="M118" s="67"/>
      <c r="N118" s="67"/>
      <c r="O118" s="932"/>
    </row>
    <row r="119" spans="1:15">
      <c r="B119" s="45"/>
      <c r="C119" s="2725"/>
      <c r="D119" s="2197" t="s">
        <v>3146</v>
      </c>
      <c r="E119" s="1081"/>
      <c r="F119" s="67"/>
      <c r="G119" s="67"/>
      <c r="H119" s="67"/>
      <c r="I119" s="67"/>
      <c r="J119" s="67"/>
      <c r="K119" s="67"/>
      <c r="L119" s="67"/>
      <c r="M119" s="67"/>
      <c r="N119" s="67"/>
      <c r="O119" s="932"/>
    </row>
    <row r="120" spans="1:15">
      <c r="A120" t="s">
        <v>5</v>
      </c>
      <c r="B120" s="45"/>
      <c r="C120" s="2725"/>
      <c r="D120" s="3888" t="s">
        <v>3147</v>
      </c>
      <c r="E120" s="1081"/>
      <c r="F120" s="67"/>
      <c r="G120" s="67"/>
      <c r="H120" s="67"/>
      <c r="I120" s="67"/>
      <c r="J120" s="67"/>
      <c r="K120" s="67"/>
      <c r="L120" s="67"/>
      <c r="M120" s="67"/>
      <c r="N120" s="67"/>
      <c r="O120" s="932"/>
    </row>
    <row r="121" spans="1:15">
      <c r="B121" s="45"/>
      <c r="C121" s="2725" t="s">
        <v>67</v>
      </c>
      <c r="D121" s="2197" t="s">
        <v>3271</v>
      </c>
      <c r="E121" s="1081"/>
      <c r="F121" s="67"/>
      <c r="G121" s="67"/>
      <c r="H121" s="67"/>
      <c r="I121" s="67"/>
      <c r="J121" s="67"/>
      <c r="K121" s="67"/>
      <c r="L121" s="67"/>
      <c r="M121" s="67"/>
      <c r="N121" s="67"/>
      <c r="O121" s="932"/>
    </row>
    <row r="122" spans="1:15">
      <c r="B122" s="45"/>
      <c r="C122" s="2725" t="s">
        <v>106</v>
      </c>
      <c r="D122" s="2197" t="s">
        <v>1159</v>
      </c>
      <c r="E122" s="1081"/>
      <c r="F122" s="67"/>
      <c r="G122" s="67"/>
      <c r="H122" s="67"/>
      <c r="I122" s="67"/>
      <c r="J122" s="67"/>
      <c r="K122" s="67"/>
      <c r="L122" s="67"/>
      <c r="M122" s="67"/>
      <c r="N122" s="67"/>
      <c r="O122" s="932"/>
    </row>
    <row r="123" spans="1:15">
      <c r="B123" s="45"/>
      <c r="C123" s="2725"/>
      <c r="D123" s="2197" t="s">
        <v>3144</v>
      </c>
      <c r="E123" s="1081"/>
      <c r="F123" s="67"/>
      <c r="G123" s="67"/>
      <c r="H123" s="67"/>
      <c r="I123" s="67"/>
      <c r="J123" s="67"/>
      <c r="K123" s="67"/>
      <c r="L123" s="67"/>
      <c r="M123" s="67"/>
      <c r="N123" s="67"/>
      <c r="O123" s="932"/>
    </row>
    <row r="124" spans="1:15">
      <c r="B124" s="45"/>
      <c r="C124" s="2725"/>
      <c r="D124" s="2197" t="s">
        <v>1160</v>
      </c>
      <c r="E124" s="2197"/>
      <c r="F124" s="59"/>
      <c r="G124" s="67"/>
      <c r="H124" s="67"/>
      <c r="I124" s="67"/>
      <c r="J124" s="67"/>
      <c r="K124" s="67"/>
      <c r="L124" s="67"/>
      <c r="M124" s="67"/>
      <c r="N124" s="67"/>
      <c r="O124" s="932"/>
    </row>
    <row r="125" spans="1:15" ht="15.75">
      <c r="B125" s="1106"/>
      <c r="C125" s="2725"/>
      <c r="D125" s="2197"/>
      <c r="E125" s="108"/>
      <c r="F125" s="59"/>
      <c r="G125" s="1270"/>
      <c r="H125" s="1270"/>
      <c r="I125" s="1270"/>
      <c r="J125" s="1270"/>
      <c r="K125" s="1270"/>
      <c r="L125" s="1270"/>
      <c r="M125" s="1270"/>
      <c r="N125" s="1270"/>
      <c r="O125" s="932"/>
    </row>
    <row r="127" spans="1:15" s="6" customFormat="1" ht="23.25">
      <c r="A127" s="40"/>
      <c r="B127" s="878" t="s">
        <v>70</v>
      </c>
      <c r="C127" s="879"/>
      <c r="D127" s="879"/>
      <c r="E127" s="879"/>
      <c r="F127" s="879"/>
      <c r="G127" s="879"/>
      <c r="H127" s="879"/>
      <c r="I127" s="879"/>
      <c r="J127" s="879"/>
      <c r="K127" s="879"/>
      <c r="L127" s="879"/>
      <c r="M127" s="879"/>
      <c r="N127" s="879"/>
      <c r="O127" s="880"/>
    </row>
    <row r="128" spans="1:15">
      <c r="B128" s="110"/>
      <c r="C128" s="67"/>
      <c r="D128" s="67"/>
      <c r="E128" s="67"/>
      <c r="F128" s="67"/>
      <c r="G128" s="67"/>
      <c r="H128" s="67"/>
      <c r="I128" s="67"/>
      <c r="J128" s="67"/>
      <c r="K128" s="67"/>
      <c r="L128" s="67"/>
      <c r="M128" s="67"/>
      <c r="N128" s="67"/>
      <c r="O128" s="885"/>
    </row>
    <row r="129" spans="2:21" s="927" customFormat="1">
      <c r="B129" s="135"/>
      <c r="C129" s="49" t="s">
        <v>1161</v>
      </c>
      <c r="D129" s="67"/>
      <c r="E129" s="51"/>
      <c r="F129" s="67"/>
      <c r="G129" s="1311"/>
      <c r="H129" s="1311"/>
      <c r="I129" s="190"/>
      <c r="J129" s="1069"/>
      <c r="K129" s="1069"/>
      <c r="L129" s="1069"/>
      <c r="M129" s="1069"/>
      <c r="N129" s="190" t="s">
        <v>1162</v>
      </c>
    </row>
    <row r="130" spans="2:21" s="927" customFormat="1" ht="15.75">
      <c r="B130" s="55"/>
      <c r="C130" s="67"/>
      <c r="D130" s="67"/>
      <c r="E130" s="67"/>
      <c r="F130" s="67"/>
      <c r="G130" s="1311"/>
      <c r="H130" s="1311"/>
      <c r="I130" s="1311"/>
      <c r="J130" s="1069"/>
      <c r="K130" s="1069"/>
      <c r="L130" s="1069"/>
      <c r="M130" s="1069"/>
      <c r="N130" s="1069"/>
    </row>
    <row r="131" spans="2:21" s="927" customFormat="1" ht="15.75">
      <c r="B131" s="55"/>
      <c r="C131" s="909" t="s">
        <v>44</v>
      </c>
      <c r="D131" s="887" t="s">
        <v>1010</v>
      </c>
      <c r="E131" s="887" t="s">
        <v>30</v>
      </c>
      <c r="F131" s="92">
        <v>2013</v>
      </c>
      <c r="G131" s="92">
        <v>2015</v>
      </c>
      <c r="H131" s="92">
        <v>2020</v>
      </c>
      <c r="I131" s="92">
        <v>2025</v>
      </c>
      <c r="J131" s="92">
        <v>2030</v>
      </c>
      <c r="K131" s="92">
        <v>2035</v>
      </c>
      <c r="L131" s="92">
        <v>2040</v>
      </c>
      <c r="M131" s="92">
        <v>2045</v>
      </c>
      <c r="N131" s="92">
        <v>2050</v>
      </c>
    </row>
    <row r="132" spans="2:21" s="927" customFormat="1" ht="15.75">
      <c r="B132" s="55"/>
      <c r="C132" s="941" t="s">
        <v>1134</v>
      </c>
      <c r="D132" s="108" t="s">
        <v>1135</v>
      </c>
      <c r="E132" s="923"/>
      <c r="F132" s="1525">
        <v>150</v>
      </c>
      <c r="G132" s="1526">
        <v>141.30412740984818</v>
      </c>
      <c r="H132" s="1526">
        <v>135.86920704100331</v>
      </c>
      <c r="I132" s="1526">
        <v>130.43428667215841</v>
      </c>
      <c r="J132" s="1527">
        <v>124.99936630331354</v>
      </c>
      <c r="K132" s="1527">
        <v>119.56444593446865</v>
      </c>
      <c r="L132" s="1527">
        <v>114.12952556562377</v>
      </c>
      <c r="M132" s="1527">
        <v>108.69460519677888</v>
      </c>
      <c r="N132" s="1525">
        <v>103.259684827934</v>
      </c>
    </row>
    <row r="133" spans="2:21" s="927" customFormat="1" ht="15.75">
      <c r="B133" s="55"/>
      <c r="C133" s="109" t="s">
        <v>1136</v>
      </c>
      <c r="D133" s="108" t="s">
        <v>1137</v>
      </c>
      <c r="E133" s="1267"/>
      <c r="F133" s="1522">
        <v>16763</v>
      </c>
      <c r="G133" s="1526">
        <v>16763</v>
      </c>
      <c r="H133" s="1526">
        <v>16763</v>
      </c>
      <c r="I133" s="1526">
        <v>16763</v>
      </c>
      <c r="J133" s="1527">
        <v>16763</v>
      </c>
      <c r="K133" s="1527">
        <v>16763</v>
      </c>
      <c r="L133" s="1527">
        <v>16763</v>
      </c>
      <c r="M133" s="1527">
        <v>16763</v>
      </c>
      <c r="N133" s="1522">
        <v>16763</v>
      </c>
      <c r="U133" s="927" t="s">
        <v>5</v>
      </c>
    </row>
    <row r="134" spans="2:21" s="927" customFormat="1" ht="15.75">
      <c r="B134" s="55"/>
      <c r="C134" s="109" t="s">
        <v>1138</v>
      </c>
      <c r="D134" s="108" t="s">
        <v>1139</v>
      </c>
      <c r="E134" s="1267"/>
      <c r="F134" s="1522">
        <v>36014</v>
      </c>
      <c r="G134" s="1528">
        <v>36014</v>
      </c>
      <c r="H134" s="1528">
        <v>36014</v>
      </c>
      <c r="I134" s="1528">
        <v>36014</v>
      </c>
      <c r="J134" s="1527">
        <v>36014</v>
      </c>
      <c r="K134" s="1527">
        <v>36014</v>
      </c>
      <c r="L134" s="1527">
        <v>36014</v>
      </c>
      <c r="M134" s="1527">
        <v>36014</v>
      </c>
      <c r="N134" s="1522">
        <v>36014</v>
      </c>
      <c r="Q134" s="927" t="s">
        <v>5</v>
      </c>
    </row>
    <row r="135" spans="2:21" s="927" customFormat="1" ht="15.75">
      <c r="B135" s="55"/>
      <c r="C135" s="109" t="s">
        <v>1140</v>
      </c>
      <c r="D135" s="108" t="s">
        <v>1141</v>
      </c>
      <c r="E135" s="1267"/>
      <c r="F135" s="1522">
        <v>33445</v>
      </c>
      <c r="G135" s="1528">
        <v>33445</v>
      </c>
      <c r="H135" s="1528">
        <v>33445</v>
      </c>
      <c r="I135" s="1528">
        <v>33445</v>
      </c>
      <c r="J135" s="1527">
        <v>33445</v>
      </c>
      <c r="K135" s="1527">
        <v>33445</v>
      </c>
      <c r="L135" s="1527">
        <v>33445</v>
      </c>
      <c r="M135" s="1527">
        <v>33445</v>
      </c>
      <c r="N135" s="1522">
        <v>33445</v>
      </c>
    </row>
    <row r="136" spans="2:21" s="927" customFormat="1" ht="15.75">
      <c r="B136" s="55"/>
      <c r="C136" s="1482" t="s">
        <v>1142</v>
      </c>
      <c r="D136" s="897" t="s">
        <v>1143</v>
      </c>
      <c r="E136" s="897"/>
      <c r="F136" s="1529">
        <v>153450</v>
      </c>
      <c r="G136" s="1530">
        <v>153450</v>
      </c>
      <c r="H136" s="1530">
        <v>153450</v>
      </c>
      <c r="I136" s="1530">
        <v>153450</v>
      </c>
      <c r="J136" s="1531">
        <v>153450</v>
      </c>
      <c r="K136" s="1531">
        <v>153450</v>
      </c>
      <c r="L136" s="1531">
        <v>153450</v>
      </c>
      <c r="M136" s="1531">
        <v>153450</v>
      </c>
      <c r="N136" s="1529">
        <v>153450</v>
      </c>
    </row>
    <row r="137" spans="2:21" s="927" customFormat="1" ht="15.75">
      <c r="B137" s="1219"/>
      <c r="C137" s="952"/>
      <c r="D137" s="108"/>
      <c r="E137" s="1267"/>
      <c r="F137" s="1310"/>
      <c r="G137" s="1311"/>
      <c r="H137" s="1311"/>
      <c r="I137" s="1311"/>
      <c r="J137" s="80"/>
      <c r="K137" s="80"/>
      <c r="L137" s="80"/>
      <c r="M137" s="80"/>
      <c r="N137" s="80"/>
    </row>
    <row r="138" spans="2:21" s="927" customFormat="1" ht="15.75">
      <c r="B138" s="1219"/>
      <c r="C138" s="49" t="s">
        <v>1163</v>
      </c>
      <c r="D138" s="67"/>
      <c r="E138" s="51"/>
      <c r="F138" s="67"/>
      <c r="G138" s="67" t="s">
        <v>5</v>
      </c>
      <c r="H138" s="67"/>
      <c r="I138" s="51"/>
      <c r="J138" s="80"/>
      <c r="K138" s="80"/>
      <c r="L138" s="80"/>
      <c r="M138" s="80"/>
      <c r="N138" s="80" t="str">
        <f>Preferences.EnergyUnits &amp; " / bn vehicle-km"</f>
        <v>TWh / bn vehicle-km</v>
      </c>
    </row>
    <row r="139" spans="2:21" s="927" customFormat="1" ht="15.75">
      <c r="B139" s="1219"/>
      <c r="C139" s="67"/>
      <c r="D139" s="67"/>
      <c r="E139" s="67"/>
      <c r="F139" s="67"/>
      <c r="G139" s="67"/>
      <c r="H139" s="67"/>
      <c r="I139" s="67"/>
      <c r="J139" s="80"/>
      <c r="K139" s="80"/>
      <c r="L139" s="80"/>
      <c r="M139" s="80"/>
      <c r="N139" s="80"/>
    </row>
    <row r="140" spans="2:21" s="927" customFormat="1" ht="15.75">
      <c r="B140" s="1219"/>
      <c r="C140" s="887" t="s">
        <v>1010</v>
      </c>
      <c r="D140" s="887" t="s">
        <v>45</v>
      </c>
      <c r="E140" s="887" t="s">
        <v>30</v>
      </c>
      <c r="F140" s="92">
        <v>2013</v>
      </c>
      <c r="G140" s="92">
        <v>2015</v>
      </c>
      <c r="H140" s="92">
        <v>2020</v>
      </c>
      <c r="I140" s="92">
        <v>2025</v>
      </c>
      <c r="J140" s="92">
        <v>2030</v>
      </c>
      <c r="K140" s="92">
        <v>2035</v>
      </c>
      <c r="L140" s="92">
        <v>2040</v>
      </c>
      <c r="M140" s="92">
        <v>2045</v>
      </c>
      <c r="N140" s="92">
        <v>2050</v>
      </c>
    </row>
    <row r="141" spans="2:21" s="927" customFormat="1" ht="15.75">
      <c r="B141" s="1219"/>
      <c r="C141" s="890" t="s">
        <v>1136</v>
      </c>
      <c r="D141" s="890" t="s">
        <v>1148</v>
      </c>
      <c r="E141" s="1317" t="s">
        <v>5</v>
      </c>
      <c r="F141" s="2448">
        <f>(Unit.TJ)*2246</f>
        <v>0.62388888888888894</v>
      </c>
      <c r="G141" s="2448">
        <f>(Unit.TJ)*1973</f>
        <v>0.54805555555555552</v>
      </c>
      <c r="H141" s="2448">
        <f>(Unit.TJ)*1696</f>
        <v>0.47111111111111109</v>
      </c>
      <c r="I141" s="2448">
        <f>(Unit.TJ)*1419</f>
        <v>0.39416666666666667</v>
      </c>
      <c r="J141" s="2448">
        <f>(Unit.TJ)*1340</f>
        <v>0.37222222222222223</v>
      </c>
      <c r="K141" s="2448">
        <f>(Unit.TJ)*1261</f>
        <v>0.3502777777777778</v>
      </c>
      <c r="L141" s="2448">
        <f>(Unit.TJ)*1206</f>
        <v>0.33500000000000002</v>
      </c>
      <c r="M141" s="2448">
        <f>(Unit.TJ)*1152</f>
        <v>0.32</v>
      </c>
      <c r="N141" s="2448">
        <f>(Unit.TJ)*1152</f>
        <v>0.32</v>
      </c>
    </row>
    <row r="142" spans="2:21" s="927" customFormat="1" ht="15.75">
      <c r="B142" s="1219"/>
      <c r="C142" s="108" t="s">
        <v>1136</v>
      </c>
      <c r="D142" s="108" t="s">
        <v>1149</v>
      </c>
      <c r="E142" s="1267"/>
      <c r="F142" s="2449">
        <f>(Unit.TJ)*508</f>
        <v>0.1411111111111111</v>
      </c>
      <c r="G142" s="2449">
        <f>(Unit.TJ)*454</f>
        <v>0.12611111111111112</v>
      </c>
      <c r="H142" s="2449">
        <f>(Unit.TJ)*346</f>
        <v>9.6111111111111105E-2</v>
      </c>
      <c r="I142" s="2449">
        <f>(Unit.TJ)*277</f>
        <v>7.694444444444444E-2</v>
      </c>
      <c r="J142" s="2449">
        <f>(Unit.TJ)*247</f>
        <v>6.8611111111111109E-2</v>
      </c>
      <c r="K142" s="2449">
        <f>(Unit.TJ)*214</f>
        <v>5.9444444444444446E-2</v>
      </c>
      <c r="L142" s="2449">
        <f>(Unit.TJ)*177</f>
        <v>4.9166666666666664E-2</v>
      </c>
      <c r="M142" s="2449">
        <f>(Unit.TJ)*142</f>
        <v>3.9444444444444442E-2</v>
      </c>
      <c r="N142" s="2449">
        <f>(Unit.TJ)*142</f>
        <v>3.9444444444444442E-2</v>
      </c>
    </row>
    <row r="143" spans="2:21" s="927" customFormat="1" ht="15.75">
      <c r="B143" s="1219"/>
      <c r="C143" s="890" t="s">
        <v>1138</v>
      </c>
      <c r="D143" s="890" t="s">
        <v>1148</v>
      </c>
      <c r="E143" s="1317"/>
      <c r="F143" s="2448">
        <f>(Unit.TJ)*12097</f>
        <v>3.3602777777777777</v>
      </c>
      <c r="G143" s="2448">
        <f>(Unit.TJ)*12097</f>
        <v>3.3602777777777777</v>
      </c>
      <c r="H143" s="2448">
        <f>(Unit.TJ)*12097</f>
        <v>3.3602777777777777</v>
      </c>
      <c r="I143" s="1534">
        <f>H143+(J143-H143)/(J$140-H$140)*(I$140-H$140)</f>
        <v>3.0791666666666666</v>
      </c>
      <c r="J143" s="1532">
        <f>(Unit.TJ)*10073</f>
        <v>2.7980555555555555</v>
      </c>
      <c r="K143" s="1534">
        <f>J143+(L143-J143)/(L$140-J$140)*(K$140-J$140)</f>
        <v>2.777222222222222</v>
      </c>
      <c r="L143" s="1532">
        <f>(Unit.TJ)*9923</f>
        <v>2.756388888888889</v>
      </c>
      <c r="M143" s="1534">
        <f>L143+(N143-L143)/(N$140-L$140)*(M$140-L$140)</f>
        <v>2.7355555555555555</v>
      </c>
      <c r="N143" s="1532">
        <f>(Unit.TJ)*9773</f>
        <v>2.714722222222222</v>
      </c>
    </row>
    <row r="144" spans="2:21" s="927" customFormat="1" ht="15.75">
      <c r="B144" s="1219"/>
      <c r="C144" s="108" t="s">
        <v>1138</v>
      </c>
      <c r="D144" s="108" t="s">
        <v>1152</v>
      </c>
      <c r="E144" s="1267"/>
      <c r="F144" s="1533"/>
      <c r="G144" s="1535">
        <v>2.5490277777777779</v>
      </c>
      <c r="H144" s="2449">
        <f>(Unit.TJ)*8468</f>
        <v>2.3522222222222222</v>
      </c>
      <c r="I144" s="2450">
        <f>H144+(J144-H144)/(J$140-H$140)*(I$140-H$140)</f>
        <v>2.1554166666666665</v>
      </c>
      <c r="J144" s="2449">
        <f>(Unit.TJ)*7051</f>
        <v>1.9586111111111111</v>
      </c>
      <c r="K144" s="2450">
        <f>J144+(L144-J144)/(L$140-J$140)*(K$140-J$140)</f>
        <v>1.9440277777777779</v>
      </c>
      <c r="L144" s="2449">
        <f>(Unit.TJ)*6946</f>
        <v>1.9294444444444445</v>
      </c>
      <c r="M144" s="2450">
        <f>L144+(N144-L144)/(N$140-L$140)*(M$140-L$140)</f>
        <v>1.9148611111111111</v>
      </c>
      <c r="N144" s="2449">
        <f>(Unit.TJ)*6841</f>
        <v>1.9002777777777777</v>
      </c>
    </row>
    <row r="145" spans="2:14" s="927" customFormat="1" ht="15.75">
      <c r="B145" s="1219"/>
      <c r="C145" s="890" t="s">
        <v>1140</v>
      </c>
      <c r="D145" s="890" t="s">
        <v>1153</v>
      </c>
      <c r="E145" s="1317" t="s">
        <v>1164</v>
      </c>
      <c r="F145" s="2451">
        <f>0.230406475694183*1000000000*Unit.kWh*$F$39</f>
        <v>7.4693980239160393E-2</v>
      </c>
      <c r="G145" s="2448">
        <f>(Constants.Density.Diesel*Constants.GCV.Diesel*1000000000)*0.00952989581217476</f>
        <v>8.8850132899044643E-2</v>
      </c>
      <c r="H145" s="2448">
        <f>(Constants.Density.Diesel*Constants.GCV.Diesel*1000000000)*0.00902832234837609</f>
        <v>8.4173810114884423E-2</v>
      </c>
      <c r="I145" s="2448">
        <f>(Constants.Density.Diesel*Constants.GCV.Diesel*1000000000)*0.00852674888457742</f>
        <v>7.949748733072419E-2</v>
      </c>
      <c r="J145" s="2448">
        <f>(Constants.Density.Diesel*Constants.GCV.Diesel*1000000000)*0.00802517542077875</f>
        <v>7.4821164546563956E-2</v>
      </c>
      <c r="K145" s="2448">
        <f>(Constants.Density.Diesel*Constants.GCV.Diesel*1000000000)*0.00752360195698008</f>
        <v>7.0144841762403723E-2</v>
      </c>
      <c r="L145" s="2448">
        <f>(Constants.Density.Diesel*Constants.GCV.Diesel*1000000000)*0.00702202849318141</f>
        <v>6.5468518978243503E-2</v>
      </c>
      <c r="M145" s="2448">
        <f>(Constants.Density.Diesel*Constants.GCV.Diesel*1000000000)*0.00652045502938273</f>
        <v>6.079219619408318E-2</v>
      </c>
      <c r="N145" s="2448">
        <f>(Constants.Density.Diesel*Constants.GCV.Diesel*1000000000)*0.00601888156558406</f>
        <v>5.6115873409922946E-2</v>
      </c>
    </row>
    <row r="146" spans="2:14" s="927" customFormat="1" ht="15.75">
      <c r="B146" s="1219"/>
      <c r="C146" s="917" t="s">
        <v>1142</v>
      </c>
      <c r="D146" s="917" t="s">
        <v>1142</v>
      </c>
      <c r="E146" s="1518" t="s">
        <v>1164</v>
      </c>
      <c r="F146" s="2452">
        <f>(2.14/0.245)*Unit.TWh/(9.5/0.651)</f>
        <v>0.59855639097744362</v>
      </c>
      <c r="G146" s="2453">
        <f t="shared" ref="G146:N146" si="2">$F146*(1-0.01)^(G$140-$F$140)</f>
        <v>0.58664511879699244</v>
      </c>
      <c r="H146" s="2453">
        <f t="shared" si="2"/>
        <v>0.55789367079834329</v>
      </c>
      <c r="I146" s="2453">
        <f t="shared" si="2"/>
        <v>0.53055132983141062</v>
      </c>
      <c r="J146" s="2453">
        <f t="shared" si="2"/>
        <v>0.50454903563088449</v>
      </c>
      <c r="K146" s="2453">
        <f t="shared" si="2"/>
        <v>0.47982111257161164</v>
      </c>
      <c r="L146" s="2453">
        <f t="shared" si="2"/>
        <v>0.45630510378755046</v>
      </c>
      <c r="M146" s="2453">
        <f t="shared" si="2"/>
        <v>0.43394161342054727</v>
      </c>
      <c r="N146" s="2453">
        <f t="shared" si="2"/>
        <v>0.41267415660049273</v>
      </c>
    </row>
    <row r="147" spans="2:14" s="927" customFormat="1" ht="15.75">
      <c r="B147" s="1219"/>
      <c r="C147" s="108"/>
      <c r="D147" s="108"/>
      <c r="E147" s="1267"/>
      <c r="F147" s="1533"/>
      <c r="G147" s="1537"/>
      <c r="H147" s="1537" t="s">
        <v>5</v>
      </c>
      <c r="I147" s="1537" t="s">
        <v>5</v>
      </c>
      <c r="J147" s="80"/>
      <c r="K147" s="80"/>
      <c r="L147" s="80"/>
      <c r="M147" s="80"/>
      <c r="N147" s="80"/>
    </row>
    <row r="148" spans="2:14" s="927" customFormat="1" ht="15.75">
      <c r="B148" s="1219"/>
      <c r="C148" s="49" t="s">
        <v>1165</v>
      </c>
      <c r="D148" s="67"/>
      <c r="E148" s="51"/>
      <c r="F148" s="67"/>
      <c r="G148" s="67"/>
      <c r="H148" s="67" t="s">
        <v>5</v>
      </c>
      <c r="I148" s="51"/>
      <c r="J148" s="80"/>
      <c r="K148" s="80"/>
      <c r="L148" s="80"/>
      <c r="M148" s="80"/>
      <c r="N148" s="80" t="str">
        <f>Preferences.EnergyUnits &amp; " / bn vehicle-km"</f>
        <v>TWh / bn vehicle-km</v>
      </c>
    </row>
    <row r="149" spans="2:14" s="927" customFormat="1" ht="15.75">
      <c r="B149" s="1219"/>
      <c r="C149" s="67"/>
      <c r="D149" s="67"/>
      <c r="E149" s="67"/>
      <c r="F149" s="67"/>
      <c r="G149" s="67"/>
      <c r="H149" s="67"/>
      <c r="I149" s="67" t="s">
        <v>5</v>
      </c>
      <c r="J149" s="80"/>
      <c r="K149" s="80"/>
      <c r="L149" s="80"/>
      <c r="M149" s="80"/>
      <c r="N149" s="80"/>
    </row>
    <row r="150" spans="2:14" s="927" customFormat="1" ht="15.75">
      <c r="B150" s="1219"/>
      <c r="C150" s="887" t="s">
        <v>1010</v>
      </c>
      <c r="D150" s="887" t="s">
        <v>45</v>
      </c>
      <c r="E150" s="887" t="s">
        <v>30</v>
      </c>
      <c r="F150" s="92">
        <v>2013</v>
      </c>
      <c r="G150" s="92">
        <v>2015</v>
      </c>
      <c r="H150" s="92">
        <v>2020</v>
      </c>
      <c r="I150" s="92">
        <v>2025</v>
      </c>
      <c r="J150" s="92">
        <v>2030</v>
      </c>
      <c r="K150" s="92">
        <v>2035</v>
      </c>
      <c r="L150" s="92">
        <v>2040</v>
      </c>
      <c r="M150" s="92">
        <v>2045</v>
      </c>
      <c r="N150" s="92">
        <v>2050</v>
      </c>
    </row>
    <row r="151" spans="2:14" s="927" customFormat="1" ht="15.75">
      <c r="B151" s="1219"/>
      <c r="C151" s="108" t="s">
        <v>1136</v>
      </c>
      <c r="D151" s="108" t="s">
        <v>1149</v>
      </c>
      <c r="E151" s="1267"/>
      <c r="F151" s="1533"/>
      <c r="G151" s="2449">
        <f>(Unit.TJ)*417</f>
        <v>0.11583333333333333</v>
      </c>
      <c r="H151" s="2449">
        <f>(Unit.TJ)*404</f>
        <v>0.11222222222222222</v>
      </c>
      <c r="I151" s="2449">
        <f>(Unit.TJ)*377</f>
        <v>0.10472222222222222</v>
      </c>
      <c r="J151" s="2449">
        <f>(Unit.TJ)*355</f>
        <v>9.8611111111111108E-2</v>
      </c>
      <c r="K151" s="2449">
        <f>(Unit.TJ)*338</f>
        <v>9.3888888888888883E-2</v>
      </c>
      <c r="L151" s="2449">
        <f>(Unit.TJ)*327</f>
        <v>9.0833333333333335E-2</v>
      </c>
      <c r="M151" s="2449">
        <f>(Unit.TJ)*324</f>
        <v>0.09</v>
      </c>
      <c r="N151" s="2449">
        <f>(Unit.TJ)*325</f>
        <v>9.0277777777777776E-2</v>
      </c>
    </row>
    <row r="152" spans="2:14" s="927" customFormat="1" ht="15.75">
      <c r="B152" s="1219"/>
      <c r="C152" s="108" t="s">
        <v>1136</v>
      </c>
      <c r="D152" s="108" t="s">
        <v>1150</v>
      </c>
      <c r="E152" s="1267"/>
      <c r="F152" s="1533"/>
      <c r="G152" s="2449">
        <f>(Unit.TJ)*600</f>
        <v>0.16666666666666666</v>
      </c>
      <c r="H152" s="2449">
        <f>(Unit.TJ)*572</f>
        <v>0.15888888888888889</v>
      </c>
      <c r="I152" s="2449">
        <f>(Unit.TJ)*516</f>
        <v>0.14333333333333334</v>
      </c>
      <c r="J152" s="2449">
        <f>(Unit.TJ)*470</f>
        <v>0.13055555555555556</v>
      </c>
      <c r="K152" s="2449">
        <f>(Unit.TJ)*433</f>
        <v>0.12027777777777778</v>
      </c>
      <c r="L152" s="2449">
        <f>(Unit.TJ)*406</f>
        <v>0.11277777777777778</v>
      </c>
      <c r="M152" s="2449">
        <f>(Unit.TJ)*389</f>
        <v>0.10805555555555556</v>
      </c>
      <c r="N152" s="2449">
        <f>(Unit.TJ)*379</f>
        <v>0.10527777777777778</v>
      </c>
    </row>
    <row r="153" spans="2:14" s="927" customFormat="1" ht="15.75">
      <c r="B153" s="1219"/>
      <c r="C153" s="890" t="s">
        <v>1138</v>
      </c>
      <c r="D153" s="890" t="s">
        <v>1150</v>
      </c>
      <c r="E153" s="1317"/>
      <c r="F153" s="2455">
        <f>(Unit.TJ)*3361</f>
        <v>0.93361111111111106</v>
      </c>
      <c r="G153" s="2454">
        <f>F153+(H153-F153)/(H$150-F$150)*(G$150-F$150)</f>
        <v>0.89535714285714285</v>
      </c>
      <c r="H153" s="2448">
        <f>(Unit.TJ)*2879</f>
        <v>0.79972222222222222</v>
      </c>
      <c r="I153" s="2454">
        <f>H153+(J153-H153)/(J$150-H$150)*(I$150-H$150)</f>
        <v>0.73277777777777775</v>
      </c>
      <c r="J153" s="2448">
        <f>(Unit.TJ)*2397</f>
        <v>0.66583333333333339</v>
      </c>
      <c r="K153" s="2454">
        <f>J153+(L153-J153)/(L$150-J$150)*(K$150-J$150)</f>
        <v>0.66097222222222229</v>
      </c>
      <c r="L153" s="2448">
        <f>(Unit.TJ)*2362</f>
        <v>0.65611111111111109</v>
      </c>
      <c r="M153" s="2454">
        <f>L153+(N153-L153)/(N$150-L$150)*(M$150-L$150)</f>
        <v>0.65111111111111108</v>
      </c>
      <c r="N153" s="2448">
        <f>(Unit.TJ)*2326</f>
        <v>0.64611111111111108</v>
      </c>
    </row>
    <row r="154" spans="2:14" s="927" customFormat="1" ht="15.75">
      <c r="B154" s="1219"/>
      <c r="C154" s="917" t="s">
        <v>1140</v>
      </c>
      <c r="D154" s="917" t="s">
        <v>1154</v>
      </c>
      <c r="E154" s="1518" t="s">
        <v>1164</v>
      </c>
      <c r="F154" s="2456">
        <f>0.10954818290623*1000000000*Unit.kWh*$F$39</f>
        <v>3.5513714554162835E-2</v>
      </c>
      <c r="G154" s="2457">
        <f>(1000000000*Unit.kWh)*0.030663246397786</f>
        <v>3.0663246397786E-2</v>
      </c>
      <c r="H154" s="2457">
        <f>(1000000000*Unit.kWh)*0.02946857446021</f>
        <v>2.9468574460209999E-2</v>
      </c>
      <c r="I154" s="2457">
        <f>(1000000000*Unit.kWh)*0.0282739025226339</f>
        <v>2.8273902522633901E-2</v>
      </c>
      <c r="J154" s="2457">
        <f>(1000000000*Unit.kWh)*0.0270792305850578</f>
        <v>2.70792305850578E-2</v>
      </c>
      <c r="K154" s="2457">
        <f>(1000000000*Unit.kWh)*0.0258845586474817</f>
        <v>2.5884558647481699E-2</v>
      </c>
      <c r="L154" s="2457">
        <f>(1000000000*Unit.kWh)*0.0246898867099056</f>
        <v>2.4689886709905601E-2</v>
      </c>
      <c r="M154" s="2457">
        <f>(1000000000*Unit.kWh)*0.0234952147723296</f>
        <v>2.34952147723296E-2</v>
      </c>
      <c r="N154" s="2457">
        <f>(1000000000*Unit.kWh)*0.0223005428347535</f>
        <v>2.2300542834753499E-2</v>
      </c>
    </row>
    <row r="155" spans="2:14" s="927" customFormat="1" ht="15.75">
      <c r="B155" s="1219"/>
      <c r="C155" s="108"/>
      <c r="D155" s="108"/>
      <c r="E155" s="1267"/>
      <c r="F155" s="1533"/>
      <c r="G155" s="1537"/>
      <c r="H155" s="1537"/>
      <c r="I155" s="1537"/>
      <c r="J155" s="80"/>
      <c r="K155" s="80"/>
      <c r="L155" s="80"/>
      <c r="M155" s="80"/>
      <c r="N155" s="80"/>
    </row>
    <row r="156" spans="2:14" s="927" customFormat="1" ht="15.75">
      <c r="B156" s="1219"/>
      <c r="C156" s="49" t="s">
        <v>1166</v>
      </c>
      <c r="D156" s="67"/>
      <c r="E156" s="51"/>
      <c r="F156" s="67"/>
      <c r="G156" s="67"/>
      <c r="H156" s="67"/>
      <c r="I156" s="51"/>
      <c r="J156" s="80"/>
      <c r="K156" s="80"/>
      <c r="L156" s="80"/>
      <c r="M156" s="80"/>
      <c r="N156" s="80" t="str">
        <f>Preferences.EnergyUnits &amp; " / bn vehicle-km"</f>
        <v>TWh / bn vehicle-km</v>
      </c>
    </row>
    <row r="157" spans="2:14" s="927" customFormat="1" ht="15.75">
      <c r="B157" s="1219"/>
      <c r="C157" s="67"/>
      <c r="D157" s="67"/>
      <c r="E157" s="67"/>
      <c r="F157" s="67"/>
      <c r="G157" s="67"/>
      <c r="H157" s="67"/>
      <c r="I157" s="67"/>
      <c r="J157" s="80"/>
      <c r="K157" s="80"/>
      <c r="L157" s="80"/>
      <c r="M157" s="80"/>
      <c r="N157" s="80"/>
    </row>
    <row r="158" spans="2:14" s="927" customFormat="1" ht="15.75">
      <c r="B158" s="1219"/>
      <c r="C158" s="887" t="s">
        <v>1010</v>
      </c>
      <c r="D158" s="887" t="s">
        <v>45</v>
      </c>
      <c r="E158" s="887" t="s">
        <v>30</v>
      </c>
      <c r="F158" s="92">
        <v>2013</v>
      </c>
      <c r="G158" s="92">
        <v>2015</v>
      </c>
      <c r="H158" s="92">
        <v>2020</v>
      </c>
      <c r="I158" s="92">
        <v>2025</v>
      </c>
      <c r="J158" s="92">
        <v>2030</v>
      </c>
      <c r="K158" s="92">
        <v>2035</v>
      </c>
      <c r="L158" s="92">
        <v>2040</v>
      </c>
      <c r="M158" s="92">
        <v>2045</v>
      </c>
      <c r="N158" s="92">
        <v>2050</v>
      </c>
    </row>
    <row r="159" spans="2:14" s="927" customFormat="1" ht="15.75">
      <c r="B159" s="1219"/>
      <c r="C159" s="890" t="s">
        <v>1136</v>
      </c>
      <c r="D159" s="890" t="s">
        <v>1151</v>
      </c>
      <c r="E159" s="1317"/>
      <c r="F159" s="1538"/>
      <c r="G159" s="2455">
        <f>(Unit.TJ)*875</f>
        <v>0.24305555555555555</v>
      </c>
      <c r="H159" s="2448">
        <f>(Unit.TJ)*834</f>
        <v>0.23166666666666666</v>
      </c>
      <c r="I159" s="2448">
        <f>(Unit.TJ)*753</f>
        <v>0.20916666666666667</v>
      </c>
      <c r="J159" s="2448">
        <f>(Unit.TJ)*671</f>
        <v>0.18638888888888888</v>
      </c>
      <c r="K159" s="2448">
        <f>(Unit.TJ)*590</f>
        <v>0.16388888888888889</v>
      </c>
      <c r="L159" s="2448">
        <f>(Unit.TJ)*535</f>
        <v>0.14861111111111111</v>
      </c>
      <c r="M159" s="2448">
        <f>(Unit.TJ)*506</f>
        <v>0.14055555555555554</v>
      </c>
      <c r="N159" s="2448">
        <f>(Unit.TJ)*488</f>
        <v>0.13555555555555557</v>
      </c>
    </row>
    <row r="160" spans="2:14" s="927" customFormat="1" ht="15.75">
      <c r="B160" s="1219"/>
      <c r="C160" s="199" t="s">
        <v>1138</v>
      </c>
      <c r="D160" s="199" t="s">
        <v>1151</v>
      </c>
      <c r="E160" s="1322"/>
      <c r="F160" s="1539"/>
      <c r="G160" s="2458">
        <f>Unit.TWh*6.4</f>
        <v>6.4</v>
      </c>
      <c r="H160" s="1540">
        <f>Unit.TWh*5.96</f>
        <v>5.96</v>
      </c>
      <c r="I160" s="1540">
        <f>Unit.TWh*5.55</f>
        <v>5.55</v>
      </c>
      <c r="J160" s="1540">
        <f>Unit.TWh*5.17</f>
        <v>5.17</v>
      </c>
      <c r="K160" s="1540">
        <f>Unit.TWh*4.82</f>
        <v>4.82</v>
      </c>
      <c r="L160" s="1540">
        <f>Unit.TWh*4.49</f>
        <v>4.49</v>
      </c>
      <c r="M160" s="1540">
        <f>Unit.TWh*4.18</f>
        <v>4.18</v>
      </c>
      <c r="N160" s="1540">
        <f>Unit.TWh*3.89</f>
        <v>3.89</v>
      </c>
    </row>
    <row r="161" spans="2:14" s="927" customFormat="1" ht="15.75">
      <c r="B161" s="1219"/>
      <c r="C161" s="108"/>
      <c r="D161" s="108"/>
      <c r="E161" s="1267"/>
      <c r="F161" s="1533"/>
      <c r="G161" s="1493"/>
      <c r="H161" s="1493" t="s">
        <v>5</v>
      </c>
      <c r="I161" s="1493"/>
      <c r="J161" s="1493"/>
      <c r="K161" s="1493"/>
      <c r="L161" s="1493"/>
      <c r="M161" s="1493"/>
      <c r="N161" s="1493"/>
    </row>
    <row r="162" spans="2:14" s="927" customFormat="1" ht="15.75">
      <c r="B162" s="1219"/>
      <c r="C162" s="151" t="s">
        <v>1167</v>
      </c>
      <c r="D162" s="108"/>
      <c r="E162" s="1267"/>
      <c r="F162" s="1310"/>
      <c r="G162" s="1311"/>
      <c r="H162" s="1311"/>
      <c r="I162" s="1311"/>
      <c r="J162" s="80"/>
      <c r="K162" s="80"/>
      <c r="L162" s="80"/>
      <c r="M162" s="80"/>
      <c r="N162" s="3851" t="str">
        <f>Preferences.EnergyUnits</f>
        <v>TWh</v>
      </c>
    </row>
    <row r="163" spans="2:14" s="927" customFormat="1" ht="15.75">
      <c r="B163" s="1219"/>
      <c r="C163" s="952"/>
      <c r="D163" s="108"/>
      <c r="E163" s="1267"/>
      <c r="F163" s="1310"/>
      <c r="G163" s="1311"/>
      <c r="H163" s="1311"/>
      <c r="I163" s="1311"/>
      <c r="J163" s="80"/>
      <c r="K163" s="80"/>
      <c r="L163" s="80"/>
      <c r="M163" s="80"/>
      <c r="N163" s="80"/>
    </row>
    <row r="164" spans="2:14" s="927" customFormat="1" ht="15.75">
      <c r="B164" s="1219"/>
      <c r="C164" s="887" t="s">
        <v>1010</v>
      </c>
      <c r="D164" s="887" t="s">
        <v>72</v>
      </c>
      <c r="E164" s="887" t="s">
        <v>30</v>
      </c>
      <c r="F164" s="92">
        <v>2013</v>
      </c>
      <c r="G164" s="92">
        <v>2015</v>
      </c>
      <c r="H164" s="92">
        <v>2020</v>
      </c>
      <c r="I164" s="92">
        <v>2025</v>
      </c>
      <c r="J164" s="92">
        <v>2030</v>
      </c>
      <c r="K164" s="92">
        <v>2035</v>
      </c>
      <c r="L164" s="92">
        <v>2040</v>
      </c>
      <c r="M164" s="92">
        <v>2045</v>
      </c>
      <c r="N164" s="92">
        <v>2050</v>
      </c>
    </row>
    <row r="165" spans="2:14" s="927" customFormat="1" ht="15.75">
      <c r="B165" s="1219"/>
      <c r="C165" s="917" t="s">
        <v>1140</v>
      </c>
      <c r="D165" s="917" t="s">
        <v>1168</v>
      </c>
      <c r="E165" s="1518"/>
      <c r="F165" s="1373">
        <f t="shared" ref="F165:N165" si="3">(Unit.TWh)*0.02326</f>
        <v>2.3259999999999999E-2</v>
      </c>
      <c r="G165" s="1373">
        <f t="shared" si="3"/>
        <v>2.3259999999999999E-2</v>
      </c>
      <c r="H165" s="1373">
        <f t="shared" si="3"/>
        <v>2.3259999999999999E-2</v>
      </c>
      <c r="I165" s="1373">
        <f t="shared" si="3"/>
        <v>2.3259999999999999E-2</v>
      </c>
      <c r="J165" s="1373">
        <f t="shared" si="3"/>
        <v>2.3259999999999999E-2</v>
      </c>
      <c r="K165" s="1373">
        <f t="shared" si="3"/>
        <v>2.3259999999999999E-2</v>
      </c>
      <c r="L165" s="1373">
        <f t="shared" si="3"/>
        <v>2.3259999999999999E-2</v>
      </c>
      <c r="M165" s="1373">
        <f t="shared" si="3"/>
        <v>2.3259999999999999E-2</v>
      </c>
      <c r="N165" s="1373">
        <f t="shared" si="3"/>
        <v>2.3259999999999999E-2</v>
      </c>
    </row>
    <row r="166" spans="2:14" s="927" customFormat="1" ht="15.75">
      <c r="B166" s="1219"/>
      <c r="C166" s="952"/>
      <c r="D166" s="108"/>
      <c r="E166" s="1267"/>
      <c r="F166" s="1310" t="s">
        <v>5</v>
      </c>
      <c r="G166" s="1311"/>
      <c r="H166" s="1311"/>
      <c r="I166" s="1311"/>
      <c r="J166" s="80"/>
      <c r="K166" s="80"/>
      <c r="L166" s="80"/>
      <c r="M166" s="80"/>
      <c r="N166" s="80"/>
    </row>
    <row r="167" spans="2:14">
      <c r="B167" s="110"/>
      <c r="C167" s="49" t="s">
        <v>798</v>
      </c>
      <c r="D167" s="67"/>
      <c r="E167" s="67"/>
      <c r="F167" s="67"/>
      <c r="G167" s="67"/>
      <c r="H167" s="67"/>
      <c r="I167" s="67"/>
      <c r="J167" s="67"/>
      <c r="K167" s="67"/>
      <c r="L167" s="67"/>
      <c r="M167" s="67"/>
      <c r="N167" s="67" t="str">
        <f>"kt per "&amp;Preferences.EnergyUnits</f>
        <v>kt per TWh</v>
      </c>
    </row>
    <row r="168" spans="2:14">
      <c r="B168" s="110"/>
      <c r="C168" s="67"/>
      <c r="D168" s="67"/>
      <c r="E168" s="1364"/>
      <c r="F168" s="67"/>
      <c r="G168" s="67"/>
      <c r="H168" s="67"/>
      <c r="I168" s="67"/>
      <c r="J168" s="67"/>
      <c r="K168" s="67"/>
      <c r="L168" s="67"/>
      <c r="M168" s="67"/>
      <c r="N168" s="67"/>
    </row>
    <row r="169" spans="2:14">
      <c r="B169" s="110"/>
      <c r="C169" s="1541" t="s">
        <v>44</v>
      </c>
      <c r="D169" s="1541" t="s">
        <v>1010</v>
      </c>
      <c r="E169" s="1542" t="s">
        <v>45</v>
      </c>
      <c r="F169" s="1543" t="s">
        <v>597</v>
      </c>
      <c r="G169" s="1543" t="s">
        <v>133</v>
      </c>
      <c r="H169" s="1543" t="s">
        <v>134</v>
      </c>
      <c r="I169" s="1543" t="s">
        <v>135</v>
      </c>
      <c r="J169" s="1543" t="s">
        <v>136</v>
      </c>
      <c r="K169" s="1543" t="s">
        <v>137</v>
      </c>
      <c r="L169" s="1543" t="s">
        <v>138</v>
      </c>
      <c r="M169" s="1543" t="s">
        <v>139</v>
      </c>
      <c r="N169" s="1543" t="s">
        <v>140</v>
      </c>
    </row>
    <row r="170" spans="2:14">
      <c r="B170" s="110"/>
      <c r="C170" s="1374" t="s">
        <v>478</v>
      </c>
      <c r="D170" s="194" t="s">
        <v>1136</v>
      </c>
      <c r="E170" s="1544" t="s">
        <v>1148</v>
      </c>
      <c r="F170" s="2460">
        <f>0.0594226845459515*(1/Unit.TWh)</f>
        <v>5.9422684545951503E-2</v>
      </c>
      <c r="G170" s="2460">
        <f>0.0496639509577809*(1/Unit.TWh)</f>
        <v>4.9663950957780902E-2</v>
      </c>
      <c r="H170" s="2460">
        <f>0.0450905905549193*(1/Unit.TWh)</f>
        <v>4.5090590554919298E-2</v>
      </c>
      <c r="I170" s="2460">
        <f>0.0444077640642367*(1/Unit.TWh)</f>
        <v>4.4407764064236702E-2</v>
      </c>
      <c r="J170" s="2460">
        <f>0.0452883081948361*(1/Unit.TWh)</f>
        <v>4.5288308194836098E-2</v>
      </c>
      <c r="K170" s="2460">
        <f>0.046245722834379*(1/Unit.TWh)</f>
        <v>4.6245722834378999E-2</v>
      </c>
      <c r="L170" s="2460">
        <f>0.046245722834379*(1/Unit.TWh)</f>
        <v>4.6245722834378999E-2</v>
      </c>
      <c r="M170" s="2460">
        <f>0.046245722834379*(1/Unit.TWh)</f>
        <v>4.6245722834378999E-2</v>
      </c>
      <c r="N170" s="2460">
        <f>0.046245722834379*(1/Unit.TWh)</f>
        <v>4.6245722834378999E-2</v>
      </c>
    </row>
    <row r="171" spans="2:14">
      <c r="B171" s="110"/>
      <c r="C171" s="1374" t="s">
        <v>478</v>
      </c>
      <c r="D171" s="85" t="s">
        <v>1136</v>
      </c>
      <c r="E171" s="85" t="s">
        <v>1149</v>
      </c>
      <c r="F171" s="2442">
        <f>0.0426483970333216*(1/Unit.TWh)</f>
        <v>4.26483970333216E-2</v>
      </c>
      <c r="G171" s="2442">
        <f>0.0394479791863108*(1/Unit.TWh)</f>
        <v>3.9447979186310801E-2</v>
      </c>
      <c r="H171" s="2442">
        <f>0.0425573946349243*(1/Unit.TWh)</f>
        <v>4.2557394634924299E-2</v>
      </c>
      <c r="I171" s="2442">
        <f>0.0448744802549032*(1/Unit.TWh)</f>
        <v>4.4874480254903197E-2</v>
      </c>
      <c r="J171" s="2442">
        <f>0.046174109413232*(1/Unit.TWh)</f>
        <v>4.6174109413232002E-2</v>
      </c>
      <c r="K171" s="2442">
        <f>0.0471490234292686*(1/Unit.TWh)</f>
        <v>4.7149023429268598E-2</v>
      </c>
      <c r="L171" s="2442">
        <f>0.0471490234292686*(1/Unit.TWh)</f>
        <v>4.7149023429268598E-2</v>
      </c>
      <c r="M171" s="2442">
        <f>0.0471490234292686*(1/Unit.TWh)</f>
        <v>4.7149023429268598E-2</v>
      </c>
      <c r="N171" s="2442">
        <f>0.0471490234292686*(1/Unit.TWh)</f>
        <v>4.7149023429268598E-2</v>
      </c>
    </row>
    <row r="172" spans="2:14">
      <c r="B172" s="110"/>
      <c r="C172" s="1374" t="s">
        <v>478</v>
      </c>
      <c r="D172" s="85" t="s">
        <v>1136</v>
      </c>
      <c r="E172" s="85" t="s">
        <v>1150</v>
      </c>
      <c r="F172" s="2442">
        <f>0.0326383260826338*(1/Unit.TWh)</f>
        <v>3.2638326082633798E-2</v>
      </c>
      <c r="G172" s="2442">
        <f>0.0361729097931799*(1/Unit.TWh)</f>
        <v>3.61729097931799E-2</v>
      </c>
      <c r="H172" s="2442">
        <f>0.0399151574378942*(1/Unit.TWh)</f>
        <v>3.99151574378942E-2</v>
      </c>
      <c r="I172" s="2442">
        <f>0.0421654392577175*(1/Unit.TWh)</f>
        <v>4.2165439257717499E-2</v>
      </c>
      <c r="J172" s="2442">
        <f>0.0434404677996377*(1/Unit.TWh)</f>
        <v>4.34404677996377E-2</v>
      </c>
      <c r="K172" s="2442">
        <f t="shared" ref="K172:N173" si="4">0.0444303753425222*(1/Unit.TWh)</f>
        <v>4.4430375342522199E-2</v>
      </c>
      <c r="L172" s="2442">
        <f t="shared" si="4"/>
        <v>4.4430375342522199E-2</v>
      </c>
      <c r="M172" s="2442">
        <f t="shared" si="4"/>
        <v>4.4430375342522199E-2</v>
      </c>
      <c r="N172" s="2442">
        <f t="shared" si="4"/>
        <v>4.4430375342522199E-2</v>
      </c>
    </row>
    <row r="173" spans="2:14">
      <c r="B173" s="110"/>
      <c r="C173" s="1374" t="s">
        <v>478</v>
      </c>
      <c r="D173" s="85" t="s">
        <v>1136</v>
      </c>
      <c r="E173" s="85" t="s">
        <v>1151</v>
      </c>
      <c r="F173" s="2442">
        <f>0.0326383260826338*(1/Unit.TWh)</f>
        <v>3.2638326082633798E-2</v>
      </c>
      <c r="G173" s="2442">
        <f>0.0361729097931799*(1/Unit.TWh)</f>
        <v>3.61729097931799E-2</v>
      </c>
      <c r="H173" s="2442">
        <f>0.0399151574378942*(1/Unit.TWh)</f>
        <v>3.99151574378942E-2</v>
      </c>
      <c r="I173" s="2442">
        <f>0.0421654392577175*(1/Unit.TWh)</f>
        <v>4.2165439257717499E-2</v>
      </c>
      <c r="J173" s="2442">
        <f>0.0434404677996377*(1/Unit.TWh)</f>
        <v>4.34404677996377E-2</v>
      </c>
      <c r="K173" s="2442">
        <f t="shared" si="4"/>
        <v>4.4430375342522199E-2</v>
      </c>
      <c r="L173" s="2442">
        <f t="shared" si="4"/>
        <v>4.4430375342522199E-2</v>
      </c>
      <c r="M173" s="2442">
        <f t="shared" si="4"/>
        <v>4.4430375342522199E-2</v>
      </c>
      <c r="N173" s="2442">
        <f t="shared" si="4"/>
        <v>4.4430375342522199E-2</v>
      </c>
    </row>
    <row r="174" spans="2:14">
      <c r="B174" s="110"/>
      <c r="C174" s="1374" t="s">
        <v>478</v>
      </c>
      <c r="D174" s="85" t="s">
        <v>1138</v>
      </c>
      <c r="E174" s="85" t="s">
        <v>1148</v>
      </c>
      <c r="F174" s="2442">
        <f>0.058729000603314*(1/Unit.TWh)</f>
        <v>5.8729000603313999E-2</v>
      </c>
      <c r="G174" s="2442">
        <f>0.0451259630104065*(1/Unit.TWh)</f>
        <v>4.51259630104065E-2</v>
      </c>
      <c r="H174" s="2442">
        <f>0.0358272572392975*(1/Unit.TWh)</f>
        <v>3.58272572392975E-2</v>
      </c>
      <c r="I174" s="2442">
        <f>0.0318174500132027*(1/Unit.TWh)</f>
        <v>3.18174500132027E-2</v>
      </c>
      <c r="J174" s="2442">
        <f>0.0308406506395764*(1/Unit.TWh)</f>
        <v>3.0840650639576399E-2</v>
      </c>
      <c r="K174" s="2442">
        <f>0.0306723503673605*(1/Unit.TWh)</f>
        <v>3.0672350367360501E-2</v>
      </c>
      <c r="L174" s="2442">
        <f>0.0306723503673605*(1/Unit.TWh)</f>
        <v>3.0672350367360501E-2</v>
      </c>
      <c r="M174" s="2442">
        <f>0.0306723503673605*(1/Unit.TWh)</f>
        <v>3.0672350367360501E-2</v>
      </c>
      <c r="N174" s="2442">
        <f>0.0306723503673605*(1/Unit.TWh)</f>
        <v>3.0672350367360501E-2</v>
      </c>
    </row>
    <row r="175" spans="2:14">
      <c r="B175" s="110"/>
      <c r="C175" s="1374" t="s">
        <v>478</v>
      </c>
      <c r="D175" s="85" t="s">
        <v>1138</v>
      </c>
      <c r="E175" s="85" t="s">
        <v>1152</v>
      </c>
      <c r="F175" s="2460">
        <f>0.0450903892090839*(1/Unit.TWh)</f>
        <v>4.5090389209083898E-2</v>
      </c>
      <c r="G175" s="2460">
        <f>0.0401050493097796*(1/Unit.TWh)</f>
        <v>4.0105049309779602E-2</v>
      </c>
      <c r="H175" s="2460">
        <f>0.0346064317465931*(1/Unit.TWh)</f>
        <v>3.46064317465931E-2</v>
      </c>
      <c r="I175" s="2460">
        <f>0.0320298287012547*(1/Unit.TWh)</f>
        <v>3.2029828701254703E-2</v>
      </c>
      <c r="J175" s="2460">
        <f>0.0313541033899796*(1/Unit.TWh)</f>
        <v>3.1354103389979598E-2</v>
      </c>
      <c r="K175" s="2460">
        <f>0.0311140141881936*(1/Unit.TWh)</f>
        <v>3.1114014188193598E-2</v>
      </c>
      <c r="L175" s="2460">
        <f>0.0311140141881936*(1/Unit.TWh)</f>
        <v>3.1114014188193598E-2</v>
      </c>
      <c r="M175" s="2460">
        <f>0.0311140141881936*(1/Unit.TWh)</f>
        <v>3.1114014188193598E-2</v>
      </c>
      <c r="N175" s="2460">
        <f>0.0311140141881936*(1/Unit.TWh)</f>
        <v>3.1114014188193598E-2</v>
      </c>
    </row>
    <row r="176" spans="2:14">
      <c r="B176" s="110"/>
      <c r="C176" s="1374" t="s">
        <v>478</v>
      </c>
      <c r="D176" s="85" t="s">
        <v>1138</v>
      </c>
      <c r="E176" s="85" t="s">
        <v>1150</v>
      </c>
      <c r="F176" s="2460">
        <f>0.0292739651674529*(1/Unit.TWh)</f>
        <v>2.9273965167452901E-2</v>
      </c>
      <c r="G176" s="2460">
        <f>0.0295128908657225*(1/Unit.TWh)</f>
        <v>2.9512890865722501E-2</v>
      </c>
      <c r="H176" s="2460">
        <f>0.0295533602478891*(1/Unit.TWh)</f>
        <v>2.9553360247889099E-2</v>
      </c>
      <c r="I176" s="2460">
        <f>0.0295755455523542*(1/Unit.TWh)</f>
        <v>2.9575545552354199E-2</v>
      </c>
      <c r="J176" s="2460">
        <f>0.0295687376985729*(1/Unit.TWh)</f>
        <v>2.9568737698572899E-2</v>
      </c>
      <c r="K176" s="2460">
        <f t="shared" ref="K176:N177" si="5">0.0295651339439959*(1/Unit.TWh)</f>
        <v>2.9565133943995899E-2</v>
      </c>
      <c r="L176" s="2460">
        <f t="shared" si="5"/>
        <v>2.9565133943995899E-2</v>
      </c>
      <c r="M176" s="2460">
        <f t="shared" si="5"/>
        <v>2.9565133943995899E-2</v>
      </c>
      <c r="N176" s="2460">
        <f t="shared" si="5"/>
        <v>2.9565133943995899E-2</v>
      </c>
    </row>
    <row r="177" spans="2:14">
      <c r="B177" s="110"/>
      <c r="C177" s="1374" t="s">
        <v>478</v>
      </c>
      <c r="D177" s="85" t="s">
        <v>1138</v>
      </c>
      <c r="E177" s="85" t="s">
        <v>1151</v>
      </c>
      <c r="F177" s="2460">
        <f>0.0292739651674529*(1/Unit.TWh)</f>
        <v>2.9273965167452901E-2</v>
      </c>
      <c r="G177" s="2460">
        <f>0.0295128908657225*(1/Unit.TWh)</f>
        <v>2.9512890865722501E-2</v>
      </c>
      <c r="H177" s="2460">
        <f>0.0295533602478891*(1/Unit.TWh)</f>
        <v>2.9553360247889099E-2</v>
      </c>
      <c r="I177" s="2460">
        <f>0.0295755455523542*(1/Unit.TWh)</f>
        <v>2.9575545552354199E-2</v>
      </c>
      <c r="J177" s="2460">
        <f>0.0295687376985729*(1/Unit.TWh)</f>
        <v>2.9568737698572899E-2</v>
      </c>
      <c r="K177" s="2460">
        <f t="shared" si="5"/>
        <v>2.9565133943995899E-2</v>
      </c>
      <c r="L177" s="2460">
        <f t="shared" si="5"/>
        <v>2.9565133943995899E-2</v>
      </c>
      <c r="M177" s="2460">
        <f t="shared" si="5"/>
        <v>2.9565133943995899E-2</v>
      </c>
      <c r="N177" s="2460">
        <f t="shared" si="5"/>
        <v>2.9565133943995899E-2</v>
      </c>
    </row>
    <row r="178" spans="2:14">
      <c r="B178" s="110"/>
      <c r="C178" s="1374" t="s">
        <v>478</v>
      </c>
      <c r="D178" s="85" t="s">
        <v>1140</v>
      </c>
      <c r="E178" s="85" t="s">
        <v>1153</v>
      </c>
      <c r="F178" s="2460">
        <f>0.201345243167017*(1/Unit.TWh)</f>
        <v>0.20134524316701699</v>
      </c>
      <c r="G178" s="2460">
        <f>0.175072255211859*(1/Unit.TWh)</f>
        <v>0.17507225521185901</v>
      </c>
      <c r="H178" s="2460">
        <f>0.144420425903167*(1/Unit.TWh)</f>
        <v>0.144420425903167</v>
      </c>
      <c r="I178" s="2460">
        <f>0.113768596594475*(1/Unit.TWh)</f>
        <v>0.113768596594475</v>
      </c>
      <c r="J178" s="2460">
        <f>0.0831167672857836*(1/Unit.TWh)</f>
        <v>8.3116767285783599E-2</v>
      </c>
      <c r="K178" s="2460">
        <f>0.0524649379770917*(1/Unit.TWh)</f>
        <v>5.2464937977091702E-2</v>
      </c>
      <c r="L178" s="2460">
        <f>0.0293788413535335*(1/Unit.TWh)</f>
        <v>2.93788413535335E-2</v>
      </c>
      <c r="M178" s="2460">
        <f>0.025*(1/Unit.TWh)</f>
        <v>2.5000000000000001E-2</v>
      </c>
      <c r="N178" s="2460">
        <f>0.025*(1/Unit.TWh)</f>
        <v>2.5000000000000001E-2</v>
      </c>
    </row>
    <row r="179" spans="2:14">
      <c r="B179" s="110"/>
      <c r="C179" s="1374" t="s">
        <v>478</v>
      </c>
      <c r="D179" s="85" t="s">
        <v>1140</v>
      </c>
      <c r="E179" s="85" t="s">
        <v>1154</v>
      </c>
      <c r="F179" s="2460">
        <f t="shared" ref="F179:N179" si="6">0*(1/Unit.TWh)</f>
        <v>0</v>
      </c>
      <c r="G179" s="2460">
        <f t="shared" si="6"/>
        <v>0</v>
      </c>
      <c r="H179" s="2460">
        <f t="shared" si="6"/>
        <v>0</v>
      </c>
      <c r="I179" s="2460">
        <f t="shared" si="6"/>
        <v>0</v>
      </c>
      <c r="J179" s="2460">
        <f t="shared" si="6"/>
        <v>0</v>
      </c>
      <c r="K179" s="2460">
        <f t="shared" si="6"/>
        <v>0</v>
      </c>
      <c r="L179" s="2460">
        <f t="shared" si="6"/>
        <v>0</v>
      </c>
      <c r="M179" s="2460">
        <f t="shared" si="6"/>
        <v>0</v>
      </c>
      <c r="N179" s="2460">
        <f t="shared" si="6"/>
        <v>0</v>
      </c>
    </row>
    <row r="180" spans="2:14">
      <c r="B180" s="110"/>
      <c r="C180" s="1374" t="s">
        <v>478</v>
      </c>
      <c r="D180" s="85" t="s">
        <v>1142</v>
      </c>
      <c r="E180" s="85" t="s">
        <v>1142</v>
      </c>
      <c r="F180" s="2460">
        <f t="shared" ref="F180:N180" si="7">0.00902990680754686*(1/Unit.TWh)</f>
        <v>9.02990680754686E-3</v>
      </c>
      <c r="G180" s="2460">
        <f t="shared" si="7"/>
        <v>9.02990680754686E-3</v>
      </c>
      <c r="H180" s="2460">
        <f t="shared" si="7"/>
        <v>9.02990680754686E-3</v>
      </c>
      <c r="I180" s="2460">
        <f t="shared" si="7"/>
        <v>9.02990680754686E-3</v>
      </c>
      <c r="J180" s="2460">
        <f t="shared" si="7"/>
        <v>9.02990680754686E-3</v>
      </c>
      <c r="K180" s="2460">
        <f t="shared" si="7"/>
        <v>9.02990680754686E-3</v>
      </c>
      <c r="L180" s="2460">
        <f t="shared" si="7"/>
        <v>9.02990680754686E-3</v>
      </c>
      <c r="M180" s="2460">
        <f t="shared" si="7"/>
        <v>9.02990680754686E-3</v>
      </c>
      <c r="N180" s="2460">
        <f t="shared" si="7"/>
        <v>9.02990680754686E-3</v>
      </c>
    </row>
    <row r="181" spans="2:14" s="927" customFormat="1" ht="15.75">
      <c r="B181" s="1219"/>
      <c r="C181" s="952"/>
      <c r="D181" s="108"/>
      <c r="E181" s="1267"/>
      <c r="F181" s="3852"/>
      <c r="G181" s="3852"/>
      <c r="H181" s="3852"/>
      <c r="I181" s="3852"/>
      <c r="J181" s="3851"/>
      <c r="K181" s="3851"/>
      <c r="L181" s="3851"/>
      <c r="M181" s="3851"/>
      <c r="N181" s="3851"/>
    </row>
    <row r="182" spans="2:14">
      <c r="B182" s="110"/>
      <c r="C182" s="49" t="s">
        <v>800</v>
      </c>
      <c r="D182" s="67"/>
      <c r="E182" s="67"/>
      <c r="F182" s="67"/>
      <c r="G182" s="67"/>
      <c r="H182" s="67"/>
      <c r="I182" s="67"/>
      <c r="J182" s="67"/>
      <c r="K182" s="67"/>
      <c r="L182" s="67"/>
      <c r="M182" s="67"/>
      <c r="N182" s="67" t="str">
        <f>"kt per "&amp;Preferences.EnergyUnits</f>
        <v>kt per TWh</v>
      </c>
    </row>
    <row r="183" spans="2:14">
      <c r="B183" s="110"/>
      <c r="C183" s="67"/>
      <c r="D183" s="67"/>
      <c r="E183" s="1364"/>
      <c r="F183" s="67"/>
      <c r="G183" s="67"/>
      <c r="H183" s="67"/>
      <c r="I183" s="67"/>
      <c r="J183" s="67"/>
      <c r="K183" s="67"/>
      <c r="L183" s="67"/>
      <c r="M183" s="67"/>
      <c r="N183" s="67"/>
    </row>
    <row r="184" spans="2:14">
      <c r="B184" s="110"/>
      <c r="C184" s="1541" t="s">
        <v>44</v>
      </c>
      <c r="D184" s="1541" t="s">
        <v>1010</v>
      </c>
      <c r="E184" s="1542" t="s">
        <v>45</v>
      </c>
      <c r="F184" s="1543" t="s">
        <v>597</v>
      </c>
      <c r="G184" s="1543" t="s">
        <v>133</v>
      </c>
      <c r="H184" s="1543" t="s">
        <v>134</v>
      </c>
      <c r="I184" s="1543" t="s">
        <v>135</v>
      </c>
      <c r="J184" s="1543" t="s">
        <v>136</v>
      </c>
      <c r="K184" s="1543" t="s">
        <v>137</v>
      </c>
      <c r="L184" s="1543" t="s">
        <v>138</v>
      </c>
      <c r="M184" s="1543" t="s">
        <v>139</v>
      </c>
      <c r="N184" s="1543" t="s">
        <v>140</v>
      </c>
    </row>
    <row r="185" spans="2:14">
      <c r="B185" s="110"/>
      <c r="C185" s="1374" t="s">
        <v>478</v>
      </c>
      <c r="D185" s="194" t="s">
        <v>1136</v>
      </c>
      <c r="E185" s="1544" t="s">
        <v>1148</v>
      </c>
      <c r="F185" s="2460">
        <f>0.679430247622142*(1/Unit.TWh)</f>
        <v>0.67943024762214199</v>
      </c>
      <c r="G185" s="2460">
        <f>0.581403202262897*(1/Unit.TWh)</f>
        <v>0.58140320226289699</v>
      </c>
      <c r="H185" s="2460">
        <f>0.471184921382374*(1/Unit.TWh)</f>
        <v>0.471184921382374</v>
      </c>
      <c r="I185" s="2460">
        <f>0.406040992892532*(1/Unit.TWh)</f>
        <v>0.40604099289253198</v>
      </c>
      <c r="J185" s="2460">
        <f>0.379890156091861*(1/Unit.TWh)</f>
        <v>0.379890156091861</v>
      </c>
      <c r="K185" s="2460">
        <f>0.373909117293539*(1/Unit.TWh)</f>
        <v>0.37390911729353898</v>
      </c>
      <c r="L185" s="2460">
        <f>0.373909117293539*(1/Unit.TWh)</f>
        <v>0.37390911729353898</v>
      </c>
      <c r="M185" s="2460">
        <f>0.373909117293539*(1/Unit.TWh)</f>
        <v>0.37390911729353898</v>
      </c>
      <c r="N185" s="2460">
        <f>0.373909117293539*(1/Unit.TWh)</f>
        <v>0.37390911729353898</v>
      </c>
    </row>
    <row r="186" spans="2:14">
      <c r="B186" s="110"/>
      <c r="C186" s="1374" t="s">
        <v>478</v>
      </c>
      <c r="D186" s="85" t="s">
        <v>1136</v>
      </c>
      <c r="E186" s="85" t="s">
        <v>1149</v>
      </c>
      <c r="F186" s="2442">
        <f>0.631249283292206*(1/Unit.TWh)</f>
        <v>0.63124928329220598</v>
      </c>
      <c r="G186" s="2442">
        <f>0.762191485532249*(1/Unit.TWh)</f>
        <v>0.76219148553224902</v>
      </c>
      <c r="H186" s="2442">
        <f>0.630334737611711*(1/Unit.TWh)</f>
        <v>0.63033473761171099</v>
      </c>
      <c r="I186" s="2442">
        <f>0.567077355155007*(1/Unit.TWh)</f>
        <v>0.56707735515500701</v>
      </c>
      <c r="J186" s="2442">
        <f>0.533406777464307*(1/Unit.TWh)</f>
        <v>0.53340677746430698</v>
      </c>
      <c r="K186" s="2442">
        <f>0.524968567115822*(1/Unit.TWh)</f>
        <v>0.52496856711582196</v>
      </c>
      <c r="L186" s="2442">
        <f>0.524968567115822*(1/Unit.TWh)</f>
        <v>0.52496856711582196</v>
      </c>
      <c r="M186" s="2442">
        <f>0.524968567115822*(1/Unit.TWh)</f>
        <v>0.52496856711582196</v>
      </c>
      <c r="N186" s="2442">
        <f>0.524968567115822*(1/Unit.TWh)</f>
        <v>0.52496856711582196</v>
      </c>
    </row>
    <row r="187" spans="2:14">
      <c r="B187" s="110"/>
      <c r="C187" s="1374" t="s">
        <v>478</v>
      </c>
      <c r="D187" s="85" t="s">
        <v>1136</v>
      </c>
      <c r="E187" s="85" t="s">
        <v>1150</v>
      </c>
      <c r="F187" s="2442">
        <f t="shared" ref="F187:N188" si="8">0*(1/Unit.TWh)</f>
        <v>0</v>
      </c>
      <c r="G187" s="2442">
        <f t="shared" si="8"/>
        <v>0</v>
      </c>
      <c r="H187" s="2442">
        <f t="shared" si="8"/>
        <v>0</v>
      </c>
      <c r="I187" s="2442">
        <f t="shared" si="8"/>
        <v>0</v>
      </c>
      <c r="J187" s="2442">
        <f t="shared" si="8"/>
        <v>0</v>
      </c>
      <c r="K187" s="2442">
        <f t="shared" si="8"/>
        <v>0</v>
      </c>
      <c r="L187" s="2442">
        <f t="shared" si="8"/>
        <v>0</v>
      </c>
      <c r="M187" s="2442">
        <f t="shared" si="8"/>
        <v>0</v>
      </c>
      <c r="N187" s="2442">
        <f t="shared" si="8"/>
        <v>0</v>
      </c>
    </row>
    <row r="188" spans="2:14">
      <c r="B188" s="110"/>
      <c r="C188" s="1374" t="s">
        <v>478</v>
      </c>
      <c r="D188" s="85" t="s">
        <v>1136</v>
      </c>
      <c r="E188" s="85" t="s">
        <v>1151</v>
      </c>
      <c r="F188" s="2442">
        <f t="shared" si="8"/>
        <v>0</v>
      </c>
      <c r="G188" s="2442">
        <f t="shared" si="8"/>
        <v>0</v>
      </c>
      <c r="H188" s="2442">
        <f t="shared" si="8"/>
        <v>0</v>
      </c>
      <c r="I188" s="2442">
        <f t="shared" si="8"/>
        <v>0</v>
      </c>
      <c r="J188" s="2442">
        <f t="shared" si="8"/>
        <v>0</v>
      </c>
      <c r="K188" s="2442">
        <f t="shared" si="8"/>
        <v>0</v>
      </c>
      <c r="L188" s="2442">
        <f t="shared" si="8"/>
        <v>0</v>
      </c>
      <c r="M188" s="2442">
        <f t="shared" si="8"/>
        <v>0</v>
      </c>
      <c r="N188" s="2442">
        <f t="shared" si="8"/>
        <v>0</v>
      </c>
    </row>
    <row r="189" spans="2:14">
      <c r="B189" s="110"/>
      <c r="C189" s="1374" t="s">
        <v>478</v>
      </c>
      <c r="D189" s="85" t="s">
        <v>1138</v>
      </c>
      <c r="E189" s="85" t="s">
        <v>1148</v>
      </c>
      <c r="F189" s="2442">
        <f>2.06945509688998*(1/Unit.TWh)</f>
        <v>2.0694550968899801</v>
      </c>
      <c r="G189" s="2442">
        <f>1.46924536451353*(1/Unit.TWh)</f>
        <v>1.4692453645135299</v>
      </c>
      <c r="H189" s="2442">
        <f>0.706747923588064*(1/Unit.TWh)</f>
        <v>0.70674792358806404</v>
      </c>
      <c r="I189" s="2442">
        <f>0.303301044701916*(1/Unit.TWh)</f>
        <v>0.30330104470191599</v>
      </c>
      <c r="J189" s="2442">
        <f>0.19375703518048*(1/Unit.TWh)</f>
        <v>0.19375703518047999</v>
      </c>
      <c r="K189" s="2442">
        <f>0.170738987641718*(1/Unit.TWh)</f>
        <v>0.17073898764171799</v>
      </c>
      <c r="L189" s="2442">
        <f>0.170738987641718*(1/Unit.TWh)</f>
        <v>0.17073898764171799</v>
      </c>
      <c r="M189" s="2442">
        <f>0.170738987641718*(1/Unit.TWh)</f>
        <v>0.17073898764171799</v>
      </c>
      <c r="N189" s="2442">
        <f>0.170738987641718*(1/Unit.TWh)</f>
        <v>0.17073898764171799</v>
      </c>
    </row>
    <row r="190" spans="2:14">
      <c r="B190" s="110"/>
      <c r="C190" s="1374" t="s">
        <v>478</v>
      </c>
      <c r="D190" s="85" t="s">
        <v>1138</v>
      </c>
      <c r="E190" s="85" t="s">
        <v>1152</v>
      </c>
      <c r="F190" s="2460">
        <f>1.70599682563443*(1/Unit.TWh)</f>
        <v>1.70599682563443</v>
      </c>
      <c r="G190" s="2460">
        <f>1.15583334209536*(1/Unit.TWh)</f>
        <v>1.1558333420953599</v>
      </c>
      <c r="H190" s="2460">
        <f>0.574506962617491*(1/Unit.TWh)</f>
        <v>0.57450696261749101</v>
      </c>
      <c r="I190" s="2460">
        <f>0.288281897149846*(1/Unit.TWh)</f>
        <v>0.28828189714984598</v>
      </c>
      <c r="J190" s="2460">
        <f>0.214355024239144*(1/Unit.TWh)</f>
        <v>0.21435502423914399</v>
      </c>
      <c r="K190" s="2460">
        <f>0.188233721746317*(1/Unit.TWh)</f>
        <v>0.188233721746317</v>
      </c>
      <c r="L190" s="2460">
        <f>0.188233721746317*(1/Unit.TWh)</f>
        <v>0.188233721746317</v>
      </c>
      <c r="M190" s="2460">
        <f>0.188233721746317*(1/Unit.TWh)</f>
        <v>0.188233721746317</v>
      </c>
      <c r="N190" s="2460">
        <f>0.188233721746317*(1/Unit.TWh)</f>
        <v>0.188233721746317</v>
      </c>
    </row>
    <row r="191" spans="2:14">
      <c r="B191" s="110"/>
      <c r="C191" s="1374" t="s">
        <v>478</v>
      </c>
      <c r="D191" s="85" t="s">
        <v>1138</v>
      </c>
      <c r="E191" s="85" t="s">
        <v>1150</v>
      </c>
      <c r="F191" s="2460">
        <f t="shared" ref="F191:N192" si="9">0*(1/Unit.TWh)</f>
        <v>0</v>
      </c>
      <c r="G191" s="2460">
        <f t="shared" si="9"/>
        <v>0</v>
      </c>
      <c r="H191" s="2460">
        <f t="shared" si="9"/>
        <v>0</v>
      </c>
      <c r="I191" s="2460">
        <f t="shared" si="9"/>
        <v>0</v>
      </c>
      <c r="J191" s="2460">
        <f t="shared" si="9"/>
        <v>0</v>
      </c>
      <c r="K191" s="2460">
        <f t="shared" si="9"/>
        <v>0</v>
      </c>
      <c r="L191" s="2460">
        <f t="shared" si="9"/>
        <v>0</v>
      </c>
      <c r="M191" s="2460">
        <f t="shared" si="9"/>
        <v>0</v>
      </c>
      <c r="N191" s="2460">
        <f t="shared" si="9"/>
        <v>0</v>
      </c>
    </row>
    <row r="192" spans="2:14">
      <c r="B192" s="110"/>
      <c r="C192" s="1374" t="s">
        <v>478</v>
      </c>
      <c r="D192" s="85" t="s">
        <v>1138</v>
      </c>
      <c r="E192" s="85" t="s">
        <v>1151</v>
      </c>
      <c r="F192" s="2460">
        <f t="shared" si="9"/>
        <v>0</v>
      </c>
      <c r="G192" s="2460">
        <f t="shared" si="9"/>
        <v>0</v>
      </c>
      <c r="H192" s="2460">
        <f t="shared" si="9"/>
        <v>0</v>
      </c>
      <c r="I192" s="2460">
        <f t="shared" si="9"/>
        <v>0</v>
      </c>
      <c r="J192" s="2460">
        <f t="shared" si="9"/>
        <v>0</v>
      </c>
      <c r="K192" s="2460">
        <f t="shared" si="9"/>
        <v>0</v>
      </c>
      <c r="L192" s="2460">
        <f t="shared" si="9"/>
        <v>0</v>
      </c>
      <c r="M192" s="2460">
        <f t="shared" si="9"/>
        <v>0</v>
      </c>
      <c r="N192" s="2460">
        <f t="shared" si="9"/>
        <v>0</v>
      </c>
    </row>
    <row r="193" spans="2:14">
      <c r="B193" s="110"/>
      <c r="C193" s="1374" t="s">
        <v>478</v>
      </c>
      <c r="D193" s="85" t="s">
        <v>1140</v>
      </c>
      <c r="E193" s="85" t="s">
        <v>1153</v>
      </c>
      <c r="F193" s="2460">
        <f>7.61663010572919*(1/Unit.TWh)</f>
        <v>7.6166301057291896</v>
      </c>
      <c r="G193" s="2460">
        <f>6.66748910438281*(1/Unit.TWh)</f>
        <v>6.6674891043828097</v>
      </c>
      <c r="H193" s="2460">
        <f>5.66148324420416*(1/Unit.TWh)</f>
        <v>5.6614832442041596</v>
      </c>
      <c r="I193" s="2460">
        <f>4.65547738402551*(1/Unit.TWh)</f>
        <v>4.6554773840255104</v>
      </c>
      <c r="J193" s="2460">
        <f>3.64947152384686*(1/Unit.TWh)</f>
        <v>3.6494715238468598</v>
      </c>
      <c r="K193" s="2460">
        <f>2.64346566366821*(1/Unit.TWh)</f>
        <v>2.6434656636682101</v>
      </c>
      <c r="L193" s="2460">
        <f>2.26875638876845*(1/Unit.TWh)</f>
        <v>2.2687563887684501</v>
      </c>
      <c r="M193" s="2460">
        <f>2.21189152993618*(1/Unit.TWh)</f>
        <v>2.2118915299361799</v>
      </c>
      <c r="N193" s="2460">
        <f>2.21189152993618*(1/Unit.TWh)</f>
        <v>2.2118915299361799</v>
      </c>
    </row>
    <row r="194" spans="2:14">
      <c r="B194" s="110"/>
      <c r="C194" s="1374" t="s">
        <v>478</v>
      </c>
      <c r="D194" s="85" t="s">
        <v>1140</v>
      </c>
      <c r="E194" s="85" t="s">
        <v>1154</v>
      </c>
      <c r="F194" s="2460">
        <f t="shared" ref="F194:N194" si="10">0*(1/Unit.TWh)</f>
        <v>0</v>
      </c>
      <c r="G194" s="2460">
        <f t="shared" si="10"/>
        <v>0</v>
      </c>
      <c r="H194" s="2460">
        <f t="shared" si="10"/>
        <v>0</v>
      </c>
      <c r="I194" s="2460">
        <f t="shared" si="10"/>
        <v>0</v>
      </c>
      <c r="J194" s="2460">
        <f t="shared" si="10"/>
        <v>0</v>
      </c>
      <c r="K194" s="2460">
        <f t="shared" si="10"/>
        <v>0</v>
      </c>
      <c r="L194" s="2460">
        <f t="shared" si="10"/>
        <v>0</v>
      </c>
      <c r="M194" s="2460">
        <f t="shared" si="10"/>
        <v>0</v>
      </c>
      <c r="N194" s="2460">
        <f t="shared" si="10"/>
        <v>0</v>
      </c>
    </row>
    <row r="195" spans="2:14">
      <c r="B195" s="110"/>
      <c r="C195" s="1374" t="s">
        <v>478</v>
      </c>
      <c r="D195" s="85" t="s">
        <v>1142</v>
      </c>
      <c r="E195" s="85" t="s">
        <v>1142</v>
      </c>
      <c r="F195" s="2460">
        <f t="shared" ref="F195:N195" si="11">0.845811895914052*(1/Unit.TWh)</f>
        <v>0.84581189591405204</v>
      </c>
      <c r="G195" s="2460">
        <f t="shared" si="11"/>
        <v>0.84581189591405204</v>
      </c>
      <c r="H195" s="2460">
        <f t="shared" si="11"/>
        <v>0.84581189591405204</v>
      </c>
      <c r="I195" s="2460">
        <f t="shared" si="11"/>
        <v>0.84581189591405204</v>
      </c>
      <c r="J195" s="2460">
        <f t="shared" si="11"/>
        <v>0.84581189591405204</v>
      </c>
      <c r="K195" s="2460">
        <f t="shared" si="11"/>
        <v>0.84581189591405204</v>
      </c>
      <c r="L195" s="2460">
        <f t="shared" si="11"/>
        <v>0.84581189591405204</v>
      </c>
      <c r="M195" s="2460">
        <f t="shared" si="11"/>
        <v>0.84581189591405204</v>
      </c>
      <c r="N195" s="2460">
        <f t="shared" si="11"/>
        <v>0.84581189591405204</v>
      </c>
    </row>
    <row r="196" spans="2:14">
      <c r="B196" s="110"/>
      <c r="C196" s="1374"/>
      <c r="D196" s="85"/>
      <c r="E196" s="85"/>
      <c r="F196" s="2460"/>
      <c r="G196" s="2460"/>
      <c r="H196" s="2460"/>
      <c r="I196" s="2460"/>
      <c r="J196" s="2460"/>
      <c r="K196" s="2460"/>
      <c r="L196" s="2460"/>
      <c r="M196" s="2460"/>
      <c r="N196" s="2460"/>
    </row>
    <row r="197" spans="2:14">
      <c r="B197" s="110"/>
      <c r="C197" s="49" t="s">
        <v>801</v>
      </c>
      <c r="D197" s="67"/>
      <c r="E197" s="67"/>
      <c r="F197" s="67"/>
      <c r="G197" s="67"/>
      <c r="H197" s="67"/>
      <c r="I197" s="67"/>
      <c r="J197" s="67"/>
      <c r="K197" s="67"/>
      <c r="L197" s="67"/>
      <c r="M197" s="67"/>
      <c r="N197" s="67" t="str">
        <f>"kt per "&amp;Preferences.EnergyUnits</f>
        <v>kt per TWh</v>
      </c>
    </row>
    <row r="198" spans="2:14">
      <c r="B198" s="110"/>
      <c r="C198" s="67"/>
      <c r="D198" s="67"/>
      <c r="E198" s="1364"/>
      <c r="F198" s="67"/>
      <c r="G198" s="67"/>
      <c r="H198" s="67"/>
      <c r="I198" s="67"/>
      <c r="J198" s="67"/>
      <c r="K198" s="67"/>
      <c r="L198" s="67"/>
      <c r="M198" s="67"/>
      <c r="N198" s="67"/>
    </row>
    <row r="199" spans="2:14">
      <c r="B199" s="110"/>
      <c r="C199" s="1541" t="s">
        <v>44</v>
      </c>
      <c r="D199" s="1541" t="s">
        <v>1010</v>
      </c>
      <c r="E199" s="1542" t="s">
        <v>45</v>
      </c>
      <c r="F199" s="1543" t="s">
        <v>597</v>
      </c>
      <c r="G199" s="1543" t="s">
        <v>133</v>
      </c>
      <c r="H199" s="1543" t="s">
        <v>134</v>
      </c>
      <c r="I199" s="1543" t="s">
        <v>135</v>
      </c>
      <c r="J199" s="1543" t="s">
        <v>136</v>
      </c>
      <c r="K199" s="1543" t="s">
        <v>137</v>
      </c>
      <c r="L199" s="1543" t="s">
        <v>138</v>
      </c>
      <c r="M199" s="1543" t="s">
        <v>139</v>
      </c>
      <c r="N199" s="1543" t="s">
        <v>140</v>
      </c>
    </row>
    <row r="200" spans="2:14">
      <c r="B200" s="110"/>
      <c r="C200" s="1374" t="s">
        <v>478</v>
      </c>
      <c r="D200" s="194" t="s">
        <v>1136</v>
      </c>
      <c r="E200" s="1544" t="s">
        <v>1148</v>
      </c>
      <c r="F200" s="2460">
        <f>0.00103575535045395*(1/Unit.TWh)</f>
        <v>1.0357553504539499E-3</v>
      </c>
      <c r="G200" s="2460">
        <f>0.00108387045813274*(1/Unit.TWh)</f>
        <v>1.0838704581327401E-3</v>
      </c>
      <c r="H200" s="2460">
        <f>0.00108807120923228*(1/Unit.TWh)</f>
        <v>1.0880712092322801E-3</v>
      </c>
      <c r="I200" s="2460">
        <f>0.00105465050362138*(1/Unit.TWh)</f>
        <v>1.0546505036213799E-3</v>
      </c>
      <c r="J200" s="2460">
        <f>0.00102013469233904*(1/Unit.TWh)</f>
        <v>1.0201346923390401E-3</v>
      </c>
      <c r="K200" s="2460">
        <f t="shared" ref="K200:N201" si="12">0.000985496257463946*(1/Unit.TWh)</f>
        <v>9.8549625746394598E-4</v>
      </c>
      <c r="L200" s="2460">
        <f t="shared" si="12"/>
        <v>9.8549625746394598E-4</v>
      </c>
      <c r="M200" s="2460">
        <f t="shared" si="12"/>
        <v>9.8549625746394598E-4</v>
      </c>
      <c r="N200" s="2460">
        <f t="shared" si="12"/>
        <v>9.8549625746394598E-4</v>
      </c>
    </row>
    <row r="201" spans="2:14">
      <c r="B201" s="110"/>
      <c r="C201" s="1374" t="s">
        <v>478</v>
      </c>
      <c r="D201" s="85" t="s">
        <v>1136</v>
      </c>
      <c r="E201" s="85" t="s">
        <v>1149</v>
      </c>
      <c r="F201" s="2442">
        <f>0.00103575535045395*(1/Unit.TWh)</f>
        <v>1.0357553504539499E-3</v>
      </c>
      <c r="G201" s="2442">
        <f>0.00108387045813274*(1/Unit.TWh)</f>
        <v>1.0838704581327401E-3</v>
      </c>
      <c r="H201" s="2442">
        <f>0.00108807120923228*(1/Unit.TWh)</f>
        <v>1.0880712092322801E-3</v>
      </c>
      <c r="I201" s="2442">
        <f>0.00105465050362138*(1/Unit.TWh)</f>
        <v>1.0546505036213799E-3</v>
      </c>
      <c r="J201" s="2442">
        <f>0.00102013469233904*(1/Unit.TWh)</f>
        <v>1.0201346923390401E-3</v>
      </c>
      <c r="K201" s="2442">
        <f t="shared" si="12"/>
        <v>9.8549625746394598E-4</v>
      </c>
      <c r="L201" s="2442">
        <f t="shared" si="12"/>
        <v>9.8549625746394598E-4</v>
      </c>
      <c r="M201" s="2442">
        <f t="shared" si="12"/>
        <v>9.8549625746394598E-4</v>
      </c>
      <c r="N201" s="2442">
        <f t="shared" si="12"/>
        <v>9.8549625746394598E-4</v>
      </c>
    </row>
    <row r="202" spans="2:14">
      <c r="B202" s="110"/>
      <c r="C202" s="1374" t="s">
        <v>478</v>
      </c>
      <c r="D202" s="85" t="s">
        <v>1136</v>
      </c>
      <c r="E202" s="85" t="s">
        <v>1150</v>
      </c>
      <c r="F202" s="2442">
        <f t="shared" ref="F202:N203" si="13">0*(1/Unit.TWh)</f>
        <v>0</v>
      </c>
      <c r="G202" s="2442">
        <f t="shared" si="13"/>
        <v>0</v>
      </c>
      <c r="H202" s="2442">
        <f t="shared" si="13"/>
        <v>0</v>
      </c>
      <c r="I202" s="2442">
        <f t="shared" si="13"/>
        <v>0</v>
      </c>
      <c r="J202" s="2442">
        <f t="shared" si="13"/>
        <v>0</v>
      </c>
      <c r="K202" s="2442">
        <f t="shared" si="13"/>
        <v>0</v>
      </c>
      <c r="L202" s="2442">
        <f t="shared" si="13"/>
        <v>0</v>
      </c>
      <c r="M202" s="2442">
        <f t="shared" si="13"/>
        <v>0</v>
      </c>
      <c r="N202" s="2442">
        <f t="shared" si="13"/>
        <v>0</v>
      </c>
    </row>
    <row r="203" spans="2:14">
      <c r="B203" s="110"/>
      <c r="C203" s="1374" t="s">
        <v>478</v>
      </c>
      <c r="D203" s="85" t="s">
        <v>1136</v>
      </c>
      <c r="E203" s="85" t="s">
        <v>1151</v>
      </c>
      <c r="F203" s="2442">
        <f t="shared" si="13"/>
        <v>0</v>
      </c>
      <c r="G203" s="2442">
        <f t="shared" si="13"/>
        <v>0</v>
      </c>
      <c r="H203" s="2442">
        <f t="shared" si="13"/>
        <v>0</v>
      </c>
      <c r="I203" s="2442">
        <f t="shared" si="13"/>
        <v>0</v>
      </c>
      <c r="J203" s="2442">
        <f t="shared" si="13"/>
        <v>0</v>
      </c>
      <c r="K203" s="2442">
        <f t="shared" si="13"/>
        <v>0</v>
      </c>
      <c r="L203" s="2442">
        <f t="shared" si="13"/>
        <v>0</v>
      </c>
      <c r="M203" s="2442">
        <f t="shared" si="13"/>
        <v>0</v>
      </c>
      <c r="N203" s="2442">
        <f t="shared" si="13"/>
        <v>0</v>
      </c>
    </row>
    <row r="204" spans="2:14">
      <c r="B204" s="110"/>
      <c r="C204" s="1374" t="s">
        <v>478</v>
      </c>
      <c r="D204" s="85" t="s">
        <v>1138</v>
      </c>
      <c r="E204" s="85" t="s">
        <v>1148</v>
      </c>
      <c r="F204" s="2442">
        <f>0.00116842105263158*(1/Unit.TWh)</f>
        <v>1.1684210526315801E-3</v>
      </c>
      <c r="G204" s="2442">
        <f>0.0012237150060623*(1/Unit.TWh)</f>
        <v>1.2237150060623E-3</v>
      </c>
      <c r="H204" s="2442">
        <f>0.00123656600366703*(1/Unit.TWh)</f>
        <v>1.2365660036670299E-3</v>
      </c>
      <c r="I204" s="2442">
        <f>0.00125850555931653*(1/Unit.TWh)</f>
        <v>1.25850555931653E-3</v>
      </c>
      <c r="J204" s="2442">
        <f>0.00127874031997871*(1/Unit.TWh)</f>
        <v>1.27874031997871E-3</v>
      </c>
      <c r="K204" s="2442">
        <f t="shared" ref="K204:N205" si="14">0.00130002180217232*(1/Unit.TWh)</f>
        <v>1.3000218021723201E-3</v>
      </c>
      <c r="L204" s="2442">
        <f t="shared" si="14"/>
        <v>1.3000218021723201E-3</v>
      </c>
      <c r="M204" s="2442">
        <f t="shared" si="14"/>
        <v>1.3000218021723201E-3</v>
      </c>
      <c r="N204" s="2442">
        <f t="shared" si="14"/>
        <v>1.3000218021723201E-3</v>
      </c>
    </row>
    <row r="205" spans="2:14">
      <c r="B205" s="110"/>
      <c r="C205" s="1374" t="s">
        <v>478</v>
      </c>
      <c r="D205" s="85" t="s">
        <v>1138</v>
      </c>
      <c r="E205" s="85" t="s">
        <v>1152</v>
      </c>
      <c r="F205" s="2460">
        <f>0.00116842105263158*(1/Unit.TWh)</f>
        <v>1.1684210526315801E-3</v>
      </c>
      <c r="G205" s="2460">
        <f>0.0012237150060623*(1/Unit.TWh)</f>
        <v>1.2237150060623E-3</v>
      </c>
      <c r="H205" s="2460">
        <f>0.00123656600366703*(1/Unit.TWh)</f>
        <v>1.2365660036670299E-3</v>
      </c>
      <c r="I205" s="2460">
        <f>0.00125850555931653*(1/Unit.TWh)</f>
        <v>1.25850555931653E-3</v>
      </c>
      <c r="J205" s="2460">
        <f>0.00127874031997871*(1/Unit.TWh)</f>
        <v>1.27874031997871E-3</v>
      </c>
      <c r="K205" s="2460">
        <f t="shared" si="14"/>
        <v>1.3000218021723201E-3</v>
      </c>
      <c r="L205" s="2460">
        <f t="shared" si="14"/>
        <v>1.3000218021723201E-3</v>
      </c>
      <c r="M205" s="2460">
        <f t="shared" si="14"/>
        <v>1.3000218021723201E-3</v>
      </c>
      <c r="N205" s="2460">
        <f t="shared" si="14"/>
        <v>1.3000218021723201E-3</v>
      </c>
    </row>
    <row r="206" spans="2:14">
      <c r="B206" s="110"/>
      <c r="C206" s="1374" t="s">
        <v>478</v>
      </c>
      <c r="D206" s="85" t="s">
        <v>1138</v>
      </c>
      <c r="E206" s="85" t="s">
        <v>1150</v>
      </c>
      <c r="F206" s="2460">
        <f t="shared" ref="F206:N207" si="15">0*(1/Unit.TWh)</f>
        <v>0</v>
      </c>
      <c r="G206" s="2460">
        <f t="shared" si="15"/>
        <v>0</v>
      </c>
      <c r="H206" s="2460">
        <f t="shared" si="15"/>
        <v>0</v>
      </c>
      <c r="I206" s="2460">
        <f t="shared" si="15"/>
        <v>0</v>
      </c>
      <c r="J206" s="2460">
        <f t="shared" si="15"/>
        <v>0</v>
      </c>
      <c r="K206" s="2460">
        <f t="shared" si="15"/>
        <v>0</v>
      </c>
      <c r="L206" s="2460">
        <f t="shared" si="15"/>
        <v>0</v>
      </c>
      <c r="M206" s="2460">
        <f t="shared" si="15"/>
        <v>0</v>
      </c>
      <c r="N206" s="2460">
        <f t="shared" si="15"/>
        <v>0</v>
      </c>
    </row>
    <row r="207" spans="2:14">
      <c r="B207" s="110"/>
      <c r="C207" s="1374" t="s">
        <v>478</v>
      </c>
      <c r="D207" s="85" t="s">
        <v>1138</v>
      </c>
      <c r="E207" s="85" t="s">
        <v>1151</v>
      </c>
      <c r="F207" s="2460">
        <f t="shared" si="15"/>
        <v>0</v>
      </c>
      <c r="G207" s="2460">
        <f t="shared" si="15"/>
        <v>0</v>
      </c>
      <c r="H207" s="2460">
        <f t="shared" si="15"/>
        <v>0</v>
      </c>
      <c r="I207" s="2460">
        <f t="shared" si="15"/>
        <v>0</v>
      </c>
      <c r="J207" s="2460">
        <f t="shared" si="15"/>
        <v>0</v>
      </c>
      <c r="K207" s="2460">
        <f t="shared" si="15"/>
        <v>0</v>
      </c>
      <c r="L207" s="2460">
        <f t="shared" si="15"/>
        <v>0</v>
      </c>
      <c r="M207" s="2460">
        <f t="shared" si="15"/>
        <v>0</v>
      </c>
      <c r="N207" s="2460">
        <f t="shared" si="15"/>
        <v>0</v>
      </c>
    </row>
    <row r="208" spans="2:14">
      <c r="B208" s="110"/>
      <c r="C208" s="1374" t="s">
        <v>478</v>
      </c>
      <c r="D208" s="85" t="s">
        <v>1140</v>
      </c>
      <c r="E208" s="85" t="s">
        <v>1153</v>
      </c>
      <c r="F208" s="2460">
        <f>0.0889473684210526*(1/Unit.TWh)</f>
        <v>8.8947368421052594E-2</v>
      </c>
      <c r="G208" s="2460">
        <f t="shared" ref="G208:N208" si="16">0.00157894736842105*(1/Unit.TWh)</f>
        <v>1.57894736842105E-3</v>
      </c>
      <c r="H208" s="2460">
        <f t="shared" si="16"/>
        <v>1.57894736842105E-3</v>
      </c>
      <c r="I208" s="2460">
        <f t="shared" si="16"/>
        <v>1.57894736842105E-3</v>
      </c>
      <c r="J208" s="2460">
        <f t="shared" si="16"/>
        <v>1.57894736842105E-3</v>
      </c>
      <c r="K208" s="2460">
        <f t="shared" si="16"/>
        <v>1.57894736842105E-3</v>
      </c>
      <c r="L208" s="2460">
        <f t="shared" si="16"/>
        <v>1.57894736842105E-3</v>
      </c>
      <c r="M208" s="2460">
        <f t="shared" si="16"/>
        <v>1.57894736842105E-3</v>
      </c>
      <c r="N208" s="2460">
        <f t="shared" si="16"/>
        <v>1.57894736842105E-3</v>
      </c>
    </row>
    <row r="209" spans="2:14">
      <c r="B209" s="110"/>
      <c r="C209" s="1374" t="s">
        <v>478</v>
      </c>
      <c r="D209" s="85" t="s">
        <v>1140</v>
      </c>
      <c r="E209" s="85" t="s">
        <v>1154</v>
      </c>
      <c r="F209" s="2460">
        <f t="shared" ref="F209:N209" si="17">0*(1/Unit.TWh)</f>
        <v>0</v>
      </c>
      <c r="G209" s="2460">
        <f t="shared" si="17"/>
        <v>0</v>
      </c>
      <c r="H209" s="2460">
        <f t="shared" si="17"/>
        <v>0</v>
      </c>
      <c r="I209" s="2460">
        <f t="shared" si="17"/>
        <v>0</v>
      </c>
      <c r="J209" s="2460">
        <f t="shared" si="17"/>
        <v>0</v>
      </c>
      <c r="K209" s="2460">
        <f t="shared" si="17"/>
        <v>0</v>
      </c>
      <c r="L209" s="2460">
        <f t="shared" si="17"/>
        <v>0</v>
      </c>
      <c r="M209" s="2460">
        <f t="shared" si="17"/>
        <v>0</v>
      </c>
      <c r="N209" s="2460">
        <f t="shared" si="17"/>
        <v>0</v>
      </c>
    </row>
    <row r="210" spans="2:14">
      <c r="B210" s="110"/>
      <c r="C210" s="1374" t="s">
        <v>478</v>
      </c>
      <c r="D210" s="85" t="s">
        <v>1142</v>
      </c>
      <c r="E210" s="85" t="s">
        <v>1142</v>
      </c>
      <c r="F210" s="2460">
        <f t="shared" ref="F210:N210" si="18">0.0636888078778714*(1/Unit.TWh)</f>
        <v>6.3688807877871401E-2</v>
      </c>
      <c r="G210" s="2460">
        <f t="shared" si="18"/>
        <v>6.3688807877871401E-2</v>
      </c>
      <c r="H210" s="2460">
        <f t="shared" si="18"/>
        <v>6.3688807877871401E-2</v>
      </c>
      <c r="I210" s="2460">
        <f t="shared" si="18"/>
        <v>6.3688807877871401E-2</v>
      </c>
      <c r="J210" s="2460">
        <f t="shared" si="18"/>
        <v>6.3688807877871401E-2</v>
      </c>
      <c r="K210" s="2460">
        <f t="shared" si="18"/>
        <v>6.3688807877871401E-2</v>
      </c>
      <c r="L210" s="2460">
        <f t="shared" si="18"/>
        <v>6.3688807877871401E-2</v>
      </c>
      <c r="M210" s="2460">
        <f t="shared" si="18"/>
        <v>6.3688807877871401E-2</v>
      </c>
      <c r="N210" s="2460">
        <f t="shared" si="18"/>
        <v>6.3688807877871401E-2</v>
      </c>
    </row>
    <row r="211" spans="2:14" s="927" customFormat="1" ht="15.75">
      <c r="B211" s="1219"/>
      <c r="C211" s="952"/>
      <c r="D211" s="108"/>
      <c r="E211" s="1267"/>
      <c r="F211" s="3852"/>
      <c r="G211" s="3852"/>
      <c r="H211" s="3852"/>
      <c r="I211" s="3852"/>
      <c r="J211" s="3851"/>
      <c r="K211" s="3851"/>
      <c r="L211" s="3851"/>
      <c r="M211" s="3851"/>
      <c r="N211" s="3851"/>
    </row>
    <row r="212" spans="2:14">
      <c r="B212" s="110"/>
      <c r="C212" s="49" t="s">
        <v>802</v>
      </c>
      <c r="D212" s="67"/>
      <c r="E212" s="67"/>
      <c r="F212" s="67"/>
      <c r="G212" s="67"/>
      <c r="H212" s="67"/>
      <c r="I212" s="67"/>
      <c r="J212" s="67"/>
      <c r="K212" s="67"/>
      <c r="L212" s="67"/>
      <c r="M212" s="67"/>
      <c r="N212" s="67" t="str">
        <f>"kt per "&amp;Preferences.EnergyUnits</f>
        <v>kt per TWh</v>
      </c>
    </row>
    <row r="213" spans="2:14">
      <c r="B213" s="110"/>
      <c r="C213" s="67"/>
      <c r="D213" s="67"/>
      <c r="E213" s="1364"/>
      <c r="F213" s="67"/>
      <c r="G213" s="67"/>
      <c r="H213" s="67"/>
      <c r="I213" s="67"/>
      <c r="J213" s="67"/>
      <c r="K213" s="67"/>
      <c r="L213" s="67"/>
      <c r="M213" s="67"/>
      <c r="N213" s="67"/>
    </row>
    <row r="214" spans="2:14">
      <c r="B214" s="110"/>
      <c r="C214" s="1541" t="s">
        <v>44</v>
      </c>
      <c r="D214" s="1541" t="s">
        <v>1010</v>
      </c>
      <c r="E214" s="1542" t="s">
        <v>45</v>
      </c>
      <c r="F214" s="1543" t="s">
        <v>597</v>
      </c>
      <c r="G214" s="1543" t="s">
        <v>133</v>
      </c>
      <c r="H214" s="1543" t="s">
        <v>134</v>
      </c>
      <c r="I214" s="1543" t="s">
        <v>135</v>
      </c>
      <c r="J214" s="1543" t="s">
        <v>136</v>
      </c>
      <c r="K214" s="1543" t="s">
        <v>137</v>
      </c>
      <c r="L214" s="1543" t="s">
        <v>138</v>
      </c>
      <c r="M214" s="1543" t="s">
        <v>139</v>
      </c>
      <c r="N214" s="1543" t="s">
        <v>140</v>
      </c>
    </row>
    <row r="215" spans="2:14">
      <c r="B215" s="110"/>
      <c r="C215" s="1374" t="s">
        <v>478</v>
      </c>
      <c r="D215" s="194" t="s">
        <v>1136</v>
      </c>
      <c r="E215" s="1544" t="s">
        <v>1148</v>
      </c>
      <c r="F215" s="2460">
        <f>0.181296600733908*(1/Unit.TWh)</f>
        <v>0.18129660073390799</v>
      </c>
      <c r="G215" s="2460">
        <f>0.0945292521903705*(1/Unit.TWh)</f>
        <v>9.4529252190370505E-2</v>
      </c>
      <c r="H215" s="2460">
        <f>0.0850375686331767*(1/Unit.TWh)</f>
        <v>8.5037568633176699E-2</v>
      </c>
      <c r="I215" s="2460">
        <f>0.094191138945187*(1/Unit.TWh)</f>
        <v>9.4191138945187006E-2</v>
      </c>
      <c r="J215" s="2460">
        <f>0.10328721110497*(1/Unit.TWh)</f>
        <v>0.10328721110496999</v>
      </c>
      <c r="K215" s="2460">
        <f>0.104417552656862*(1/Unit.TWh)</f>
        <v>0.10441755265686201</v>
      </c>
      <c r="L215" s="2460">
        <f>0.104417552656862*(1/Unit.TWh)</f>
        <v>0.10441755265686201</v>
      </c>
      <c r="M215" s="2460">
        <f>0.104417552656862*(1/Unit.TWh)</f>
        <v>0.10441755265686201</v>
      </c>
      <c r="N215" s="2460">
        <f>0.104417552656862*(1/Unit.TWh)</f>
        <v>0.10441755265686201</v>
      </c>
    </row>
    <row r="216" spans="2:14">
      <c r="B216" s="110"/>
      <c r="C216" s="1374" t="s">
        <v>478</v>
      </c>
      <c r="D216" s="85" t="s">
        <v>1136</v>
      </c>
      <c r="E216" s="85" t="s">
        <v>1149</v>
      </c>
      <c r="F216" s="2442">
        <f>0.512086079872255*(1/Unit.TWh)</f>
        <v>0.51208607987225496</v>
      </c>
      <c r="G216" s="2442">
        <f>0.0739200626000864*(1/Unit.TWh)</f>
        <v>7.3920062600086406E-2</v>
      </c>
      <c r="H216" s="2442">
        <f>0.0795676596126434*(1/Unit.TWh)</f>
        <v>7.9567659612643393E-2</v>
      </c>
      <c r="I216" s="2442">
        <f>0.0948271493238094*(1/Unit.TWh)</f>
        <v>9.4827149323809395E-2</v>
      </c>
      <c r="J216" s="2442">
        <f>0.105685788104865*(1/Unit.TWh)</f>
        <v>0.10568578810486499</v>
      </c>
      <c r="K216" s="2442">
        <f>0.1076037190493*(1/Unit.TWh)</f>
        <v>0.1076037190493</v>
      </c>
      <c r="L216" s="2442">
        <f>0.1076037190493*(1/Unit.TWh)</f>
        <v>0.1076037190493</v>
      </c>
      <c r="M216" s="2442">
        <f>0.1076037190493*(1/Unit.TWh)</f>
        <v>0.1076037190493</v>
      </c>
      <c r="N216" s="2442">
        <f>0.1076037190493*(1/Unit.TWh)</f>
        <v>0.1076037190493</v>
      </c>
    </row>
    <row r="217" spans="2:14">
      <c r="B217" s="110"/>
      <c r="C217" s="1374" t="s">
        <v>478</v>
      </c>
      <c r="D217" s="85" t="s">
        <v>1136</v>
      </c>
      <c r="E217" s="85" t="s">
        <v>1150</v>
      </c>
      <c r="F217" s="2442">
        <f t="shared" ref="F217:N218" si="19">0*(1/Unit.TWh)</f>
        <v>0</v>
      </c>
      <c r="G217" s="2442">
        <f t="shared" si="19"/>
        <v>0</v>
      </c>
      <c r="H217" s="2442">
        <f t="shared" si="19"/>
        <v>0</v>
      </c>
      <c r="I217" s="2442">
        <f t="shared" si="19"/>
        <v>0</v>
      </c>
      <c r="J217" s="2442">
        <f t="shared" si="19"/>
        <v>0</v>
      </c>
      <c r="K217" s="2442">
        <f t="shared" si="19"/>
        <v>0</v>
      </c>
      <c r="L217" s="2442">
        <f t="shared" si="19"/>
        <v>0</v>
      </c>
      <c r="M217" s="2442">
        <f t="shared" si="19"/>
        <v>0</v>
      </c>
      <c r="N217" s="2442">
        <f t="shared" si="19"/>
        <v>0</v>
      </c>
    </row>
    <row r="218" spans="2:14">
      <c r="B218" s="110"/>
      <c r="C218" s="1374" t="s">
        <v>478</v>
      </c>
      <c r="D218" s="85" t="s">
        <v>1136</v>
      </c>
      <c r="E218" s="85" t="s">
        <v>1151</v>
      </c>
      <c r="F218" s="2442">
        <f t="shared" si="19"/>
        <v>0</v>
      </c>
      <c r="G218" s="2442">
        <f t="shared" si="19"/>
        <v>0</v>
      </c>
      <c r="H218" s="2442">
        <f t="shared" si="19"/>
        <v>0</v>
      </c>
      <c r="I218" s="2442">
        <f t="shared" si="19"/>
        <v>0</v>
      </c>
      <c r="J218" s="2442">
        <f t="shared" si="19"/>
        <v>0</v>
      </c>
      <c r="K218" s="2442">
        <f t="shared" si="19"/>
        <v>0</v>
      </c>
      <c r="L218" s="2442">
        <f t="shared" si="19"/>
        <v>0</v>
      </c>
      <c r="M218" s="2442">
        <f t="shared" si="19"/>
        <v>0</v>
      </c>
      <c r="N218" s="2442">
        <f t="shared" si="19"/>
        <v>0</v>
      </c>
    </row>
    <row r="219" spans="2:14">
      <c r="B219" s="110"/>
      <c r="C219" s="1374" t="s">
        <v>478</v>
      </c>
      <c r="D219" s="85" t="s">
        <v>1138</v>
      </c>
      <c r="E219" s="85" t="s">
        <v>1148</v>
      </c>
      <c r="F219" s="2442">
        <f>0.0626530846063083*(1/Unit.TWh)</f>
        <v>6.2653084606308307E-2</v>
      </c>
      <c r="G219" s="2442">
        <f>0.02664553291965*(1/Unit.TWh)</f>
        <v>2.6645532919650002E-2</v>
      </c>
      <c r="H219" s="2442">
        <f>0.00855895278162065*(1/Unit.TWh)</f>
        <v>8.55895278162065E-3</v>
      </c>
      <c r="I219" s="2442">
        <f>0.00253299067775509*(1/Unit.TWh)</f>
        <v>2.5329906777550901E-3</v>
      </c>
      <c r="J219" s="2442">
        <f>0.00144201810245964*(1/Unit.TWh)</f>
        <v>1.4420181024596399E-3</v>
      </c>
      <c r="K219" s="2442">
        <f>0.00138284728854744*(1/Unit.TWh)</f>
        <v>1.38284728854744E-3</v>
      </c>
      <c r="L219" s="2442">
        <f>0.00138284728854744*(1/Unit.TWh)</f>
        <v>1.38284728854744E-3</v>
      </c>
      <c r="M219" s="2442">
        <f>0.00138284728854744*(1/Unit.TWh)</f>
        <v>1.38284728854744E-3</v>
      </c>
      <c r="N219" s="2442">
        <f>0.00138284728854744*(1/Unit.TWh)</f>
        <v>1.38284728854744E-3</v>
      </c>
    </row>
    <row r="220" spans="2:14">
      <c r="B220" s="110"/>
      <c r="C220" s="1374" t="s">
        <v>478</v>
      </c>
      <c r="D220" s="85" t="s">
        <v>1138</v>
      </c>
      <c r="E220" s="85" t="s">
        <v>1152</v>
      </c>
      <c r="F220" s="2460">
        <f>0.0075994981919464*(1/Unit.TWh)</f>
        <v>7.5994981919464003E-3</v>
      </c>
      <c r="G220" s="2460">
        <f>0.0053889828787517*(1/Unit.TWh)</f>
        <v>5.3889828787517004E-3</v>
      </c>
      <c r="H220" s="2460">
        <f>0.00325356899833647*(1/Unit.TWh)</f>
        <v>3.25356899833647E-3</v>
      </c>
      <c r="I220" s="2460">
        <f>0.00230602269131357*(1/Unit.TWh)</f>
        <v>2.3060226913135702E-3</v>
      </c>
      <c r="J220" s="2460">
        <f>0.00206324453467557*(1/Unit.TWh)</f>
        <v>2.06324453467557E-3</v>
      </c>
      <c r="K220" s="2460">
        <f>0.00197860821101618*(1/Unit.TWh)</f>
        <v>1.97860821101618E-3</v>
      </c>
      <c r="L220" s="2460">
        <f>0.00197860821101618*(1/Unit.TWh)</f>
        <v>1.97860821101618E-3</v>
      </c>
      <c r="M220" s="2460">
        <f>0.00197860821101618*(1/Unit.TWh)</f>
        <v>1.97860821101618E-3</v>
      </c>
      <c r="N220" s="2460">
        <f>0.00197860821101618*(1/Unit.TWh)</f>
        <v>1.97860821101618E-3</v>
      </c>
    </row>
    <row r="221" spans="2:14">
      <c r="B221" s="110"/>
      <c r="C221" s="1374" t="s">
        <v>478</v>
      </c>
      <c r="D221" s="85" t="s">
        <v>1138</v>
      </c>
      <c r="E221" s="85" t="s">
        <v>1150</v>
      </c>
      <c r="F221" s="2460">
        <f t="shared" ref="F221:N222" si="20">0*(1/Unit.TWh)</f>
        <v>0</v>
      </c>
      <c r="G221" s="2460">
        <f t="shared" si="20"/>
        <v>0</v>
      </c>
      <c r="H221" s="2460">
        <f t="shared" si="20"/>
        <v>0</v>
      </c>
      <c r="I221" s="2460">
        <f t="shared" si="20"/>
        <v>0</v>
      </c>
      <c r="J221" s="2460">
        <f t="shared" si="20"/>
        <v>0</v>
      </c>
      <c r="K221" s="2460">
        <f t="shared" si="20"/>
        <v>0</v>
      </c>
      <c r="L221" s="2460">
        <f t="shared" si="20"/>
        <v>0</v>
      </c>
      <c r="M221" s="2460">
        <f t="shared" si="20"/>
        <v>0</v>
      </c>
      <c r="N221" s="2460">
        <f t="shared" si="20"/>
        <v>0</v>
      </c>
    </row>
    <row r="222" spans="2:14">
      <c r="B222" s="110"/>
      <c r="C222" s="1374" t="s">
        <v>478</v>
      </c>
      <c r="D222" s="85" t="s">
        <v>1138</v>
      </c>
      <c r="E222" s="85" t="s">
        <v>1151</v>
      </c>
      <c r="F222" s="2460">
        <f t="shared" si="20"/>
        <v>0</v>
      </c>
      <c r="G222" s="2460">
        <f t="shared" si="20"/>
        <v>0</v>
      </c>
      <c r="H222" s="2460">
        <f t="shared" si="20"/>
        <v>0</v>
      </c>
      <c r="I222" s="2460">
        <f t="shared" si="20"/>
        <v>0</v>
      </c>
      <c r="J222" s="2460">
        <f t="shared" si="20"/>
        <v>0</v>
      </c>
      <c r="K222" s="2460">
        <f t="shared" si="20"/>
        <v>0</v>
      </c>
      <c r="L222" s="2460">
        <f t="shared" si="20"/>
        <v>0</v>
      </c>
      <c r="M222" s="2460">
        <f t="shared" si="20"/>
        <v>0</v>
      </c>
      <c r="N222" s="2460">
        <f t="shared" si="20"/>
        <v>0</v>
      </c>
    </row>
    <row r="223" spans="2:14">
      <c r="B223" s="110"/>
      <c r="C223" s="1374" t="s">
        <v>478</v>
      </c>
      <c r="D223" s="85" t="s">
        <v>1140</v>
      </c>
      <c r="E223" s="85" t="s">
        <v>1153</v>
      </c>
      <c r="F223" s="2460">
        <f>0.766563914490118*(1/Unit.TWh)</f>
        <v>0.76656391449011796</v>
      </c>
      <c r="G223" s="2460">
        <f>0.6719146787679*(1/Unit.TWh)</f>
        <v>0.67191467876790001</v>
      </c>
      <c r="H223" s="2460">
        <f>0.570751027801786*(1/Unit.TWh)</f>
        <v>0.57075102780178599</v>
      </c>
      <c r="I223" s="2460">
        <f>0.469587376835671*(1/Unit.TWh)</f>
        <v>0.46958737683567098</v>
      </c>
      <c r="J223" s="2460">
        <f>0.368423725869557*(1/Unit.TWh)</f>
        <v>0.36842372586955702</v>
      </c>
      <c r="K223" s="2460">
        <f>0.267260074903443*(1/Unit.TWh)</f>
        <v>0.267260074903443</v>
      </c>
      <c r="L223" s="2460">
        <f>0.22432517854802*(1/Unit.TWh)</f>
        <v>0.22432517854802</v>
      </c>
      <c r="M223" s="2460">
        <f>0.217810763304124*(1/Unit.TWh)</f>
        <v>0.21781076330412399</v>
      </c>
      <c r="N223" s="2460">
        <f>0.217810763304124*(1/Unit.TWh)</f>
        <v>0.21781076330412399</v>
      </c>
    </row>
    <row r="224" spans="2:14">
      <c r="B224" s="110"/>
      <c r="C224" s="1374" t="s">
        <v>478</v>
      </c>
      <c r="D224" s="85" t="s">
        <v>1140</v>
      </c>
      <c r="E224" s="85" t="s">
        <v>1154</v>
      </c>
      <c r="F224" s="2460">
        <f t="shared" ref="F224:N224" si="21">0*(1/Unit.TWh)</f>
        <v>0</v>
      </c>
      <c r="G224" s="2460">
        <f t="shared" si="21"/>
        <v>0</v>
      </c>
      <c r="H224" s="2460">
        <f t="shared" si="21"/>
        <v>0</v>
      </c>
      <c r="I224" s="2460">
        <f t="shared" si="21"/>
        <v>0</v>
      </c>
      <c r="J224" s="2460">
        <f t="shared" si="21"/>
        <v>0</v>
      </c>
      <c r="K224" s="2460">
        <f t="shared" si="21"/>
        <v>0</v>
      </c>
      <c r="L224" s="2460">
        <f t="shared" si="21"/>
        <v>0</v>
      </c>
      <c r="M224" s="2460">
        <f t="shared" si="21"/>
        <v>0</v>
      </c>
      <c r="N224" s="2460">
        <f t="shared" si="21"/>
        <v>0</v>
      </c>
    </row>
    <row r="225" spans="2:14">
      <c r="B225" s="110"/>
      <c r="C225" s="1374" t="s">
        <v>478</v>
      </c>
      <c r="D225" s="85" t="s">
        <v>1142</v>
      </c>
      <c r="E225" s="85" t="s">
        <v>1142</v>
      </c>
      <c r="F225" s="2460">
        <f t="shared" ref="F225:N225" si="22">0.241314479349626*(1/Unit.TWh)</f>
        <v>0.24131447934962599</v>
      </c>
      <c r="G225" s="2460">
        <f t="shared" si="22"/>
        <v>0.24131447934962599</v>
      </c>
      <c r="H225" s="2460">
        <f t="shared" si="22"/>
        <v>0.24131447934962599</v>
      </c>
      <c r="I225" s="2460">
        <f t="shared" si="22"/>
        <v>0.24131447934962599</v>
      </c>
      <c r="J225" s="2460">
        <f t="shared" si="22"/>
        <v>0.24131447934962599</v>
      </c>
      <c r="K225" s="2460">
        <f t="shared" si="22"/>
        <v>0.24131447934962599</v>
      </c>
      <c r="L225" s="2460">
        <f t="shared" si="22"/>
        <v>0.24131447934962599</v>
      </c>
      <c r="M225" s="2460">
        <f t="shared" si="22"/>
        <v>0.24131447934962599</v>
      </c>
      <c r="N225" s="2460">
        <f t="shared" si="22"/>
        <v>0.24131447934962599</v>
      </c>
    </row>
    <row r="226" spans="2:14">
      <c r="B226" s="110"/>
      <c r="C226" s="1374"/>
      <c r="D226" s="85"/>
      <c r="E226" s="85"/>
      <c r="F226" s="1071"/>
      <c r="G226" s="195"/>
      <c r="H226" s="195"/>
      <c r="I226" s="195"/>
      <c r="J226" s="195"/>
      <c r="K226" s="195"/>
      <c r="L226" s="195"/>
      <c r="M226" s="195"/>
      <c r="N226" s="195"/>
    </row>
    <row r="227" spans="2:14">
      <c r="B227" s="110"/>
      <c r="C227" s="49" t="s">
        <v>1169</v>
      </c>
      <c r="D227" s="67"/>
      <c r="E227" s="67"/>
      <c r="F227" s="67"/>
      <c r="G227" s="67"/>
      <c r="H227" s="67"/>
      <c r="I227" s="67"/>
      <c r="J227" s="67"/>
      <c r="K227" s="67"/>
      <c r="L227" s="67"/>
      <c r="M227" s="67"/>
      <c r="N227" s="67" t="s">
        <v>1170</v>
      </c>
    </row>
    <row r="228" spans="2:14">
      <c r="B228" s="110"/>
      <c r="C228" s="67"/>
      <c r="D228" s="67"/>
      <c r="E228" s="1364"/>
      <c r="F228" s="1365"/>
      <c r="G228" s="67"/>
      <c r="H228" s="67"/>
      <c r="I228" s="67"/>
      <c r="J228" s="67"/>
      <c r="K228" s="67"/>
      <c r="L228" s="67"/>
      <c r="M228" s="67"/>
      <c r="N228" s="67"/>
    </row>
    <row r="229" spans="2:14">
      <c r="B229" s="110"/>
      <c r="C229" s="1366" t="s">
        <v>44</v>
      </c>
      <c r="D229" s="1366" t="s">
        <v>1010</v>
      </c>
      <c r="E229" s="1367" t="s">
        <v>45</v>
      </c>
      <c r="F229" s="1368">
        <v>2013</v>
      </c>
      <c r="G229" s="1368" t="s">
        <v>133</v>
      </c>
      <c r="H229" s="1368" t="s">
        <v>134</v>
      </c>
      <c r="I229" s="1368" t="s">
        <v>135</v>
      </c>
      <c r="J229" s="1368" t="s">
        <v>136</v>
      </c>
      <c r="K229" s="1368" t="s">
        <v>137</v>
      </c>
      <c r="L229" s="1368" t="s">
        <v>138</v>
      </c>
      <c r="M229" s="1368" t="s">
        <v>139</v>
      </c>
      <c r="N229" s="1369" t="s">
        <v>140</v>
      </c>
    </row>
    <row r="230" spans="2:14">
      <c r="B230" s="110"/>
      <c r="C230" s="1370" t="s">
        <v>478</v>
      </c>
      <c r="D230" s="1545" t="s">
        <v>1142</v>
      </c>
      <c r="E230" s="1545" t="s">
        <v>1142</v>
      </c>
      <c r="F230" s="1546">
        <v>0.27388000000000001</v>
      </c>
      <c r="G230" s="1546">
        <v>0.27388000000000001</v>
      </c>
      <c r="H230" s="1546">
        <v>0.27388000000000001</v>
      </c>
      <c r="I230" s="1546">
        <v>0.27388000000000001</v>
      </c>
      <c r="J230" s="1546">
        <v>0.27388000000000001</v>
      </c>
      <c r="K230" s="1546">
        <v>0.27388000000000001</v>
      </c>
      <c r="L230" s="1546">
        <v>0.27388000000000001</v>
      </c>
      <c r="M230" s="1546">
        <v>0.27388000000000001</v>
      </c>
      <c r="N230" s="1546">
        <v>0.27388000000000001</v>
      </c>
    </row>
    <row r="231" spans="2:14">
      <c r="B231" s="110"/>
      <c r="C231" s="1374"/>
      <c r="D231" s="85"/>
      <c r="E231" s="85"/>
      <c r="F231" s="1071"/>
      <c r="G231" s="195"/>
      <c r="H231" s="195"/>
      <c r="I231" s="195"/>
      <c r="J231" s="195"/>
      <c r="K231" s="195"/>
      <c r="L231" s="195"/>
      <c r="M231" s="195"/>
      <c r="N231" s="195"/>
    </row>
    <row r="232" spans="2:14">
      <c r="B232" s="110"/>
      <c r="C232" s="1374"/>
      <c r="D232" s="85"/>
      <c r="E232" s="85"/>
      <c r="F232" s="1071"/>
      <c r="G232" s="195"/>
      <c r="H232" s="195"/>
      <c r="I232" s="195"/>
      <c r="J232" s="195"/>
      <c r="K232" s="195"/>
      <c r="L232" s="195"/>
      <c r="M232" s="195"/>
      <c r="N232" s="195"/>
    </row>
    <row r="233" spans="2:14" s="927" customFormat="1" ht="15.75">
      <c r="B233" s="1219"/>
      <c r="C233" s="3600" t="s">
        <v>64</v>
      </c>
      <c r="D233" s="122"/>
      <c r="E233" s="108"/>
      <c r="F233" s="1310"/>
      <c r="G233" s="1311"/>
      <c r="H233" s="1311"/>
      <c r="I233" s="1311"/>
      <c r="J233" s="80"/>
      <c r="K233" s="80"/>
      <c r="L233" s="80"/>
      <c r="M233" s="80"/>
      <c r="N233" s="80"/>
    </row>
    <row r="234" spans="2:14" s="927" customFormat="1" ht="15.75">
      <c r="B234" s="1219"/>
      <c r="C234" s="3870" t="s">
        <v>65</v>
      </c>
      <c r="D234" s="2278" t="s">
        <v>1880</v>
      </c>
      <c r="E234" s="108"/>
      <c r="F234" s="1310"/>
      <c r="G234" s="1311"/>
      <c r="H234" s="1311"/>
      <c r="I234" s="1311"/>
      <c r="J234" s="80"/>
      <c r="K234" s="80"/>
      <c r="L234" s="80"/>
      <c r="M234" s="80"/>
      <c r="N234" s="80"/>
    </row>
    <row r="235" spans="2:14" s="927" customFormat="1" ht="15.75">
      <c r="B235" s="1219"/>
      <c r="C235" s="3870" t="s">
        <v>1164</v>
      </c>
      <c r="D235" s="2278" t="s">
        <v>1171</v>
      </c>
      <c r="E235" s="108"/>
      <c r="F235" s="1310"/>
      <c r="G235" s="1311"/>
      <c r="H235" s="1311"/>
      <c r="I235" s="1311"/>
      <c r="J235" s="80"/>
      <c r="K235" s="80"/>
      <c r="L235" s="80"/>
      <c r="M235" s="80"/>
      <c r="N235" s="80"/>
    </row>
    <row r="236" spans="2:14" s="927" customFormat="1" ht="15.75">
      <c r="B236" s="1219"/>
      <c r="C236" s="3870" t="s">
        <v>67</v>
      </c>
      <c r="D236" s="2278" t="s">
        <v>3148</v>
      </c>
      <c r="E236" s="108"/>
      <c r="F236" s="1310"/>
      <c r="G236" s="1311"/>
      <c r="H236" s="1311"/>
      <c r="I236" s="1311"/>
      <c r="J236" s="80"/>
      <c r="K236" s="80"/>
      <c r="L236" s="80"/>
      <c r="M236" s="80"/>
      <c r="N236" s="80"/>
    </row>
    <row r="237" spans="2:14" s="927" customFormat="1" ht="15.75">
      <c r="B237" s="1219"/>
      <c r="C237" s="3870"/>
      <c r="D237" s="2278"/>
      <c r="E237" s="108"/>
      <c r="F237" s="1310"/>
      <c r="G237" s="1311"/>
      <c r="H237" s="1311"/>
      <c r="I237" s="1311"/>
      <c r="J237" s="80"/>
      <c r="K237" s="80"/>
      <c r="L237" s="80"/>
      <c r="M237" s="80"/>
      <c r="N237" s="80"/>
    </row>
    <row r="238" spans="2:14" s="927" customFormat="1" ht="15.75">
      <c r="B238" s="1219"/>
      <c r="C238" s="109"/>
      <c r="D238" s="109"/>
      <c r="E238" s="109"/>
      <c r="F238" s="109"/>
      <c r="G238" s="109"/>
      <c r="H238" s="109"/>
      <c r="I238" s="109"/>
      <c r="J238" s="109"/>
      <c r="K238" s="80"/>
      <c r="L238" s="80"/>
      <c r="M238" s="80"/>
      <c r="N238" s="80"/>
    </row>
    <row r="239" spans="2:14" s="927" customFormat="1" ht="15.75">
      <c r="B239" s="1219"/>
      <c r="C239" s="109"/>
      <c r="D239" s="108"/>
      <c r="E239" s="108"/>
      <c r="F239" s="1310"/>
      <c r="G239" s="1311"/>
      <c r="H239" s="1311" t="s">
        <v>5</v>
      </c>
      <c r="I239" s="1311"/>
      <c r="J239" s="80"/>
      <c r="K239" s="80"/>
      <c r="L239" s="80"/>
      <c r="M239" s="80"/>
      <c r="N239" s="80"/>
    </row>
    <row r="240" spans="2:14" s="927" customFormat="1" ht="15.75">
      <c r="B240" s="1219"/>
      <c r="C240" s="944" t="s">
        <v>1172</v>
      </c>
      <c r="D240" s="1547"/>
      <c r="E240" s="1547"/>
      <c r="F240" s="1310"/>
      <c r="G240" s="1311"/>
      <c r="H240" s="1311"/>
      <c r="I240" s="1311"/>
      <c r="J240" s="80"/>
      <c r="K240" s="80"/>
      <c r="L240" s="80"/>
      <c r="M240" s="80"/>
      <c r="N240" s="80"/>
    </row>
    <row r="241" spans="2:15" s="927" customFormat="1">
      <c r="B241" s="931"/>
      <c r="C241" s="51"/>
      <c r="D241" s="67"/>
      <c r="E241" s="931"/>
      <c r="F241" s="1310"/>
      <c r="G241" s="1311"/>
      <c r="H241" s="1311"/>
      <c r="I241" s="1311"/>
      <c r="J241" s="80"/>
      <c r="K241" s="80"/>
      <c r="L241" s="80"/>
      <c r="M241" s="80"/>
      <c r="N241" s="80"/>
    </row>
    <row r="242" spans="2:15" s="927" customFormat="1" ht="15.75">
      <c r="B242" s="1219"/>
      <c r="C242" s="1548" t="s">
        <v>1010</v>
      </c>
      <c r="D242" s="1548" t="s">
        <v>45</v>
      </c>
      <c r="E242" s="1549" t="s">
        <v>972</v>
      </c>
      <c r="F242" s="1310"/>
      <c r="G242" s="1311"/>
      <c r="H242" s="1311"/>
      <c r="I242" s="1311"/>
      <c r="J242" s="80"/>
      <c r="K242" s="80"/>
      <c r="L242" s="80"/>
      <c r="M242" s="80"/>
      <c r="N242" s="80"/>
    </row>
    <row r="243" spans="2:15" s="927" customFormat="1" ht="15.75">
      <c r="B243" s="1219"/>
      <c r="C243" s="1200" t="s">
        <v>1134</v>
      </c>
      <c r="D243" s="1550" t="s">
        <v>1134</v>
      </c>
      <c r="E243" s="1551">
        <v>5</v>
      </c>
      <c r="F243" s="1310"/>
      <c r="G243" s="1311"/>
      <c r="H243" s="1311"/>
      <c r="I243" s="1311"/>
      <c r="J243" s="80"/>
      <c r="K243" s="80"/>
      <c r="L243" s="80"/>
      <c r="M243" s="80"/>
      <c r="N243" s="80"/>
    </row>
    <row r="244" spans="2:15" s="927" customFormat="1" ht="15.75">
      <c r="B244" s="1219"/>
      <c r="C244" s="108" t="s">
        <v>1136</v>
      </c>
      <c r="D244" s="1167" t="s">
        <v>1148</v>
      </c>
      <c r="E244" s="1552">
        <v>12</v>
      </c>
      <c r="F244" s="1310"/>
      <c r="G244" s="1311"/>
      <c r="H244" s="1311"/>
      <c r="I244" s="1311"/>
      <c r="J244" s="80"/>
      <c r="K244" s="80"/>
      <c r="L244" s="80"/>
      <c r="M244" s="80"/>
      <c r="N244" s="80"/>
    </row>
    <row r="245" spans="2:15" s="927" customFormat="1" ht="15.75">
      <c r="B245" s="1219"/>
      <c r="C245" s="108" t="s">
        <v>1136</v>
      </c>
      <c r="D245" s="1167" t="s">
        <v>1149</v>
      </c>
      <c r="E245" s="172">
        <v>12</v>
      </c>
      <c r="F245" s="1310"/>
      <c r="G245" s="1311"/>
      <c r="H245" s="1311"/>
      <c r="I245" s="1311"/>
      <c r="J245" s="80"/>
      <c r="K245" s="80"/>
      <c r="L245" s="80"/>
      <c r="M245" s="80"/>
      <c r="N245" s="80"/>
    </row>
    <row r="246" spans="2:15" s="927" customFormat="1" ht="15.75">
      <c r="B246" s="1219"/>
      <c r="C246" s="108" t="s">
        <v>1136</v>
      </c>
      <c r="D246" s="1167" t="s">
        <v>1150</v>
      </c>
      <c r="E246" s="172">
        <v>12</v>
      </c>
      <c r="F246" s="1310"/>
      <c r="G246" s="1311"/>
      <c r="H246" s="1311"/>
      <c r="I246" s="1311"/>
      <c r="J246" s="80"/>
      <c r="K246" s="80"/>
      <c r="L246" s="80"/>
      <c r="M246" s="80"/>
      <c r="N246" s="80"/>
    </row>
    <row r="247" spans="2:15" s="927" customFormat="1" ht="15.75">
      <c r="B247" s="1219"/>
      <c r="C247" s="199" t="s">
        <v>1136</v>
      </c>
      <c r="D247" s="1168" t="s">
        <v>1151</v>
      </c>
      <c r="E247" s="352">
        <v>12</v>
      </c>
      <c r="F247" s="1310"/>
      <c r="G247" s="1311"/>
      <c r="H247" s="1311"/>
      <c r="I247" s="1311"/>
      <c r="J247" s="80"/>
      <c r="K247" s="80"/>
      <c r="L247" s="80"/>
      <c r="M247" s="80"/>
      <c r="N247" s="80"/>
    </row>
    <row r="248" spans="2:15" s="927" customFormat="1" ht="15.75">
      <c r="B248" s="1219"/>
      <c r="C248" s="977" t="s">
        <v>1138</v>
      </c>
      <c r="D248" s="1166" t="s">
        <v>1148</v>
      </c>
      <c r="E248" s="1552">
        <v>15</v>
      </c>
      <c r="F248" s="1310"/>
      <c r="G248" s="1311"/>
      <c r="H248" s="1311"/>
      <c r="I248" s="1311"/>
      <c r="J248" s="80"/>
      <c r="K248" s="80"/>
      <c r="L248" s="80"/>
      <c r="M248" s="80"/>
      <c r="N248" s="80"/>
    </row>
    <row r="249" spans="2:15" s="927" customFormat="1" ht="15.75">
      <c r="B249" s="1219"/>
      <c r="C249" s="108" t="s">
        <v>1138</v>
      </c>
      <c r="D249" s="1167" t="s">
        <v>1152</v>
      </c>
      <c r="E249" s="172">
        <v>15</v>
      </c>
      <c r="F249" s="1310"/>
      <c r="G249" s="1311"/>
      <c r="H249" s="1311"/>
      <c r="I249" s="1311"/>
      <c r="J249" s="80"/>
      <c r="K249" s="80"/>
      <c r="L249" s="80"/>
      <c r="M249" s="80"/>
      <c r="N249" s="80"/>
    </row>
    <row r="250" spans="2:15" s="927" customFormat="1" ht="15.75">
      <c r="B250" s="1219"/>
      <c r="C250" s="108" t="s">
        <v>1138</v>
      </c>
      <c r="D250" s="1167" t="s">
        <v>1150</v>
      </c>
      <c r="E250" s="172">
        <v>15</v>
      </c>
      <c r="F250" s="1310"/>
      <c r="G250" s="1311"/>
      <c r="H250" s="1311"/>
      <c r="I250" s="1311"/>
      <c r="J250" s="80"/>
      <c r="K250" s="80"/>
      <c r="L250" s="80"/>
      <c r="M250" s="80"/>
      <c r="N250" s="80"/>
    </row>
    <row r="251" spans="2:15" s="927" customFormat="1" ht="15.75">
      <c r="B251" s="1219"/>
      <c r="C251" s="199" t="s">
        <v>1138</v>
      </c>
      <c r="D251" s="1168" t="s">
        <v>1151</v>
      </c>
      <c r="E251" s="352">
        <v>15</v>
      </c>
      <c r="F251" s="1310"/>
      <c r="G251" s="1311"/>
      <c r="H251" s="1311"/>
      <c r="I251" s="1311"/>
      <c r="J251" s="80"/>
      <c r="K251" s="80"/>
      <c r="L251" s="80"/>
      <c r="M251" s="80"/>
      <c r="N251" s="80"/>
    </row>
    <row r="252" spans="2:15" s="927" customFormat="1" ht="15.75">
      <c r="B252" s="1219"/>
      <c r="C252" s="977" t="s">
        <v>1140</v>
      </c>
      <c r="D252" s="1166" t="s">
        <v>1153</v>
      </c>
      <c r="E252" s="1552">
        <v>40</v>
      </c>
      <c r="F252" s="1310"/>
      <c r="G252" s="1311"/>
      <c r="H252" s="1311"/>
      <c r="I252" s="1311"/>
      <c r="J252" s="80"/>
      <c r="K252" s="80"/>
      <c r="L252" s="80"/>
      <c r="M252" s="80"/>
      <c r="N252" s="80"/>
    </row>
    <row r="253" spans="2:15" s="927" customFormat="1" ht="15.75">
      <c r="B253" s="1219"/>
      <c r="C253" s="199" t="s">
        <v>1140</v>
      </c>
      <c r="D253" s="1168" t="s">
        <v>1154</v>
      </c>
      <c r="E253" s="352">
        <v>40</v>
      </c>
      <c r="F253" s="1310"/>
      <c r="G253" s="1311"/>
      <c r="H253" s="1311"/>
      <c r="I253" s="1311"/>
      <c r="J253" s="80"/>
      <c r="K253" s="80"/>
      <c r="L253" s="80"/>
      <c r="M253" s="80"/>
      <c r="N253" s="80"/>
    </row>
    <row r="254" spans="2:15" s="927" customFormat="1" ht="15.75">
      <c r="B254" s="1219"/>
      <c r="C254" s="1200" t="s">
        <v>1142</v>
      </c>
      <c r="D254" s="1550" t="s">
        <v>1142</v>
      </c>
      <c r="E254" s="1551">
        <v>30</v>
      </c>
      <c r="F254" s="1310"/>
      <c r="G254" s="1311"/>
      <c r="H254" s="1311"/>
      <c r="I254" s="1311"/>
      <c r="J254" s="80"/>
      <c r="K254" s="80"/>
      <c r="L254" s="80"/>
      <c r="M254" s="80"/>
      <c r="N254" s="80"/>
    </row>
    <row r="255" spans="2:15" s="927" customFormat="1" ht="15.75">
      <c r="B255" s="1219"/>
      <c r="C255" s="109"/>
      <c r="D255" s="108"/>
      <c r="E255" s="108"/>
      <c r="F255" s="1310"/>
      <c r="G255" s="1311"/>
      <c r="H255" s="1311"/>
      <c r="I255" s="1311"/>
      <c r="J255" s="80"/>
      <c r="K255" s="80"/>
      <c r="L255" s="80"/>
      <c r="M255" s="80"/>
      <c r="N255" s="80"/>
    </row>
    <row r="256" spans="2:15" s="927" customFormat="1">
      <c r="B256"/>
      <c r="C256"/>
      <c r="D256"/>
      <c r="E256"/>
      <c r="F256"/>
      <c r="G256"/>
      <c r="H256"/>
      <c r="I256"/>
      <c r="J256"/>
      <c r="K256"/>
      <c r="L256"/>
      <c r="M256"/>
      <c r="N256"/>
      <c r="O256"/>
    </row>
    <row r="257" spans="1:15" s="927" customFormat="1" ht="23.25">
      <c r="A257" s="1553"/>
      <c r="B257" s="878" t="s">
        <v>178</v>
      </c>
      <c r="C257" s="1283"/>
      <c r="D257" s="1283"/>
      <c r="E257" s="1283"/>
      <c r="F257" s="1283"/>
      <c r="G257" s="1283"/>
      <c r="H257" s="1283"/>
      <c r="I257" s="1283"/>
      <c r="J257" s="1283"/>
      <c r="K257" s="1283"/>
      <c r="L257" s="1283"/>
      <c r="M257" s="1283"/>
      <c r="N257" s="1283"/>
    </row>
    <row r="258" spans="1:15" s="927" customFormat="1">
      <c r="B258" s="110"/>
      <c r="C258" s="67"/>
      <c r="D258" s="67"/>
      <c r="E258" s="67"/>
      <c r="F258" s="67"/>
      <c r="G258" s="67"/>
      <c r="H258" s="67"/>
      <c r="I258" s="67"/>
      <c r="J258" s="67"/>
      <c r="K258" s="67"/>
      <c r="L258" s="67"/>
      <c r="M258" s="67"/>
      <c r="N258" s="67"/>
    </row>
    <row r="259" spans="1:15" s="927" customFormat="1">
      <c r="B259" s="135">
        <v>1</v>
      </c>
      <c r="C259" s="49" t="s">
        <v>1173</v>
      </c>
      <c r="D259" s="67"/>
      <c r="E259" s="51"/>
      <c r="F259" s="67"/>
      <c r="G259" s="67"/>
      <c r="H259" s="67"/>
      <c r="I259" s="51"/>
      <c r="J259" s="67"/>
      <c r="K259" s="67"/>
      <c r="L259" s="67"/>
      <c r="M259" s="67"/>
      <c r="N259" s="51" t="s">
        <v>1131</v>
      </c>
    </row>
    <row r="260" spans="1:15" s="927" customFormat="1">
      <c r="B260" s="135"/>
      <c r="C260" s="67"/>
      <c r="D260" s="67"/>
      <c r="E260" s="67"/>
      <c r="F260" s="67"/>
      <c r="G260" s="67"/>
      <c r="H260" s="67"/>
      <c r="I260" s="67"/>
      <c r="J260" s="67"/>
      <c r="K260" s="67"/>
      <c r="L260" s="67"/>
      <c r="M260" s="67"/>
      <c r="N260" s="67"/>
    </row>
    <row r="261" spans="1:15" s="927" customFormat="1" ht="15.75">
      <c r="B261" s="1554"/>
      <c r="C261" s="909" t="s">
        <v>44</v>
      </c>
      <c r="D261" s="887" t="s">
        <v>1010</v>
      </c>
      <c r="E261" s="887" t="s">
        <v>30</v>
      </c>
      <c r="F261" s="92">
        <v>2013</v>
      </c>
      <c r="G261" s="92">
        <v>2015</v>
      </c>
      <c r="H261" s="92">
        <v>2020</v>
      </c>
      <c r="I261" s="92">
        <v>2025</v>
      </c>
      <c r="J261" s="92">
        <v>2030</v>
      </c>
      <c r="K261" s="92">
        <v>2035</v>
      </c>
      <c r="L261" s="92">
        <v>2040</v>
      </c>
      <c r="M261" s="92">
        <v>2045</v>
      </c>
      <c r="N261" s="92">
        <v>2050</v>
      </c>
    </row>
    <row r="262" spans="1:15" s="927" customFormat="1" ht="15.75">
      <c r="B262" s="1554"/>
      <c r="C262" s="109" t="s">
        <v>1132</v>
      </c>
      <c r="D262" s="108" t="s">
        <v>1133</v>
      </c>
      <c r="E262" s="1267"/>
      <c r="F262" s="1555">
        <f t="shared" ref="F262:F267" si="23">F26</f>
        <v>2.5000000000000001E-2</v>
      </c>
      <c r="G262" s="1556">
        <f t="shared" ref="G262:M267" si="24">$F262+($N262-$F262)/($N$261-$F$261)*(G$261-$F$261)</f>
        <v>2.5000000000000001E-2</v>
      </c>
      <c r="H262" s="1556">
        <f t="shared" si="24"/>
        <v>2.5000000000000001E-2</v>
      </c>
      <c r="I262" s="1556">
        <f t="shared" si="24"/>
        <v>2.5000000000000001E-2</v>
      </c>
      <c r="J262" s="1557">
        <f t="shared" si="24"/>
        <v>2.5000000000000001E-2</v>
      </c>
      <c r="K262" s="1557">
        <f t="shared" si="24"/>
        <v>2.5000000000000001E-2</v>
      </c>
      <c r="L262" s="1557">
        <f t="shared" si="24"/>
        <v>2.5000000000000001E-2</v>
      </c>
      <c r="M262" s="1557">
        <f t="shared" si="24"/>
        <v>2.5000000000000001E-2</v>
      </c>
      <c r="N262" s="1558">
        <f t="shared" ref="N262:N267" si="25">INDEX($G26:$J26, MATCH($E$8, $G$25:$J$25, 0))</f>
        <v>2.5000000000000001E-2</v>
      </c>
    </row>
    <row r="263" spans="1:15" s="927" customFormat="1" ht="15.75">
      <c r="B263" s="1554"/>
      <c r="C263" s="109" t="s">
        <v>1134</v>
      </c>
      <c r="D263" s="108" t="s">
        <v>1135</v>
      </c>
      <c r="E263" s="1267"/>
      <c r="F263" s="1555">
        <f t="shared" si="23"/>
        <v>5.0000000000000001E-3</v>
      </c>
      <c r="G263" s="1559">
        <f t="shared" si="24"/>
        <v>5.0000000000000001E-3</v>
      </c>
      <c r="H263" s="1556">
        <f t="shared" si="24"/>
        <v>5.0000000000000001E-3</v>
      </c>
      <c r="I263" s="1559">
        <f t="shared" si="24"/>
        <v>5.0000000000000001E-3</v>
      </c>
      <c r="J263" s="1557">
        <f t="shared" si="24"/>
        <v>5.0000000000000001E-3</v>
      </c>
      <c r="K263" s="1557">
        <f t="shared" si="24"/>
        <v>5.0000000000000001E-3</v>
      </c>
      <c r="L263" s="1557">
        <f t="shared" si="24"/>
        <v>5.0000000000000001E-3</v>
      </c>
      <c r="M263" s="1557">
        <f t="shared" si="24"/>
        <v>5.0000000000000001E-3</v>
      </c>
      <c r="N263" s="1558">
        <f t="shared" si="25"/>
        <v>5.0000000000000001E-3</v>
      </c>
    </row>
    <row r="264" spans="1:15" s="927" customFormat="1" ht="15.75">
      <c r="B264" s="1554"/>
      <c r="C264" s="109" t="s">
        <v>1136</v>
      </c>
      <c r="D264" s="108" t="s">
        <v>1137</v>
      </c>
      <c r="E264" s="1267"/>
      <c r="F264" s="1555">
        <f t="shared" si="23"/>
        <v>0.84</v>
      </c>
      <c r="G264" s="1559">
        <f t="shared" si="24"/>
        <v>0.84</v>
      </c>
      <c r="H264" s="1559">
        <f t="shared" si="24"/>
        <v>0.84</v>
      </c>
      <c r="I264" s="1559">
        <f t="shared" si="24"/>
        <v>0.84</v>
      </c>
      <c r="J264" s="1557">
        <f t="shared" si="24"/>
        <v>0.84</v>
      </c>
      <c r="K264" s="1557">
        <f t="shared" si="24"/>
        <v>0.84</v>
      </c>
      <c r="L264" s="1557">
        <f t="shared" si="24"/>
        <v>0.84</v>
      </c>
      <c r="M264" s="1557">
        <f t="shared" si="24"/>
        <v>0.84</v>
      </c>
      <c r="N264" s="1558">
        <f t="shared" si="25"/>
        <v>0.84</v>
      </c>
    </row>
    <row r="265" spans="1:15" s="927" customFormat="1" ht="15.75">
      <c r="B265" s="1554"/>
      <c r="C265" s="109" t="s">
        <v>1138</v>
      </c>
      <c r="D265" s="108" t="s">
        <v>1139</v>
      </c>
      <c r="E265" s="1267"/>
      <c r="F265" s="1555">
        <f t="shared" si="23"/>
        <v>9.9500000000000005E-2</v>
      </c>
      <c r="G265" s="1559">
        <f t="shared" si="24"/>
        <v>9.9500000000000005E-2</v>
      </c>
      <c r="H265" s="1559">
        <f t="shared" si="24"/>
        <v>9.9500000000000005E-2</v>
      </c>
      <c r="I265" s="1559">
        <f t="shared" si="24"/>
        <v>9.9500000000000005E-2</v>
      </c>
      <c r="J265" s="1557">
        <f t="shared" si="24"/>
        <v>9.9500000000000005E-2</v>
      </c>
      <c r="K265" s="1557">
        <f t="shared" si="24"/>
        <v>9.9500000000000005E-2</v>
      </c>
      <c r="L265" s="1557">
        <f t="shared" si="24"/>
        <v>9.9500000000000005E-2</v>
      </c>
      <c r="M265" s="1557">
        <f t="shared" si="24"/>
        <v>9.9500000000000005E-2</v>
      </c>
      <c r="N265" s="1558">
        <f t="shared" si="25"/>
        <v>9.9500000000000005E-2</v>
      </c>
    </row>
    <row r="266" spans="1:15" s="927" customFormat="1" ht="15.75">
      <c r="B266" s="1554"/>
      <c r="C266" s="109" t="s">
        <v>1140</v>
      </c>
      <c r="D266" s="108" t="s">
        <v>1141</v>
      </c>
      <c r="E266" s="1267"/>
      <c r="F266" s="1555">
        <f t="shared" si="23"/>
        <v>0.03</v>
      </c>
      <c r="G266" s="1559">
        <f t="shared" si="24"/>
        <v>0.03</v>
      </c>
      <c r="H266" s="1559">
        <f t="shared" si="24"/>
        <v>0.03</v>
      </c>
      <c r="I266" s="1559">
        <f t="shared" si="24"/>
        <v>0.03</v>
      </c>
      <c r="J266" s="1557">
        <f t="shared" si="24"/>
        <v>0.03</v>
      </c>
      <c r="K266" s="1557">
        <f t="shared" si="24"/>
        <v>0.03</v>
      </c>
      <c r="L266" s="1557">
        <f t="shared" si="24"/>
        <v>0.03</v>
      </c>
      <c r="M266" s="1557">
        <f t="shared" si="24"/>
        <v>0.03</v>
      </c>
      <c r="N266" s="1558">
        <f t="shared" si="25"/>
        <v>0.03</v>
      </c>
    </row>
    <row r="267" spans="1:15" s="927" customFormat="1" ht="15.75">
      <c r="B267" s="1554"/>
      <c r="C267" s="1482" t="s">
        <v>1142</v>
      </c>
      <c r="D267" s="897" t="s">
        <v>1143</v>
      </c>
      <c r="E267" s="897"/>
      <c r="F267" s="1560">
        <f t="shared" si="23"/>
        <v>5.0000000000000001E-4</v>
      </c>
      <c r="G267" s="1561">
        <f t="shared" si="24"/>
        <v>5.0000000000000001E-4</v>
      </c>
      <c r="H267" s="1561">
        <f t="shared" si="24"/>
        <v>5.0000000000000001E-4</v>
      </c>
      <c r="I267" s="1561">
        <f t="shared" si="24"/>
        <v>5.0000000000000001E-4</v>
      </c>
      <c r="J267" s="1561">
        <f t="shared" si="24"/>
        <v>5.0000000000000001E-4</v>
      </c>
      <c r="K267" s="1561">
        <f t="shared" si="24"/>
        <v>5.0000000000000001E-4</v>
      </c>
      <c r="L267" s="1561">
        <f t="shared" si="24"/>
        <v>5.0000000000000001E-4</v>
      </c>
      <c r="M267" s="1561">
        <f t="shared" si="24"/>
        <v>5.0000000000000001E-4</v>
      </c>
      <c r="N267" s="1562">
        <f t="shared" si="25"/>
        <v>5.0000000000000001E-4</v>
      </c>
    </row>
    <row r="268" spans="1:15" s="927" customFormat="1">
      <c r="B268" s="135"/>
      <c r="C268" s="65"/>
      <c r="D268" s="122" t="s">
        <v>59</v>
      </c>
      <c r="E268" s="108"/>
      <c r="F268" s="1310">
        <f t="shared" ref="F268:N268" si="26">SUM(F262:F267)</f>
        <v>1</v>
      </c>
      <c r="G268" s="1311">
        <f t="shared" si="26"/>
        <v>1</v>
      </c>
      <c r="H268" s="1311">
        <f t="shared" si="26"/>
        <v>1</v>
      </c>
      <c r="I268" s="1311">
        <f t="shared" si="26"/>
        <v>1</v>
      </c>
      <c r="J268" s="1311">
        <f t="shared" si="26"/>
        <v>1</v>
      </c>
      <c r="K268" s="1311">
        <f t="shared" si="26"/>
        <v>1</v>
      </c>
      <c r="L268" s="1311">
        <f t="shared" si="26"/>
        <v>1</v>
      </c>
      <c r="M268" s="1311">
        <f t="shared" si="26"/>
        <v>1</v>
      </c>
      <c r="N268" s="1311">
        <f t="shared" si="26"/>
        <v>1</v>
      </c>
    </row>
    <row r="269" spans="1:15" s="927" customFormat="1">
      <c r="B269" s="135"/>
      <c r="C269" s="65"/>
      <c r="D269" s="122"/>
      <c r="E269" s="108"/>
      <c r="F269" s="1310"/>
      <c r="G269" s="1311"/>
      <c r="H269" s="1311"/>
      <c r="I269" s="1311"/>
      <c r="J269" s="1311"/>
      <c r="K269" s="1311"/>
      <c r="L269" s="1311"/>
      <c r="M269" s="1311"/>
      <c r="N269" s="1311"/>
    </row>
    <row r="270" spans="1:15" s="927" customFormat="1">
      <c r="B270" s="135">
        <v>2</v>
      </c>
      <c r="C270" s="49" t="s">
        <v>1174</v>
      </c>
      <c r="D270" s="67"/>
      <c r="E270" s="67"/>
      <c r="F270" s="67"/>
      <c r="G270" s="67"/>
      <c r="H270" s="67"/>
      <c r="I270" s="67"/>
      <c r="J270" s="67"/>
      <c r="K270" s="67"/>
      <c r="L270" s="67"/>
      <c r="M270" s="67"/>
      <c r="N270" s="67"/>
      <c r="O270" s="885"/>
    </row>
    <row r="271" spans="1:15" s="927" customFormat="1">
      <c r="B271" s="110"/>
      <c r="C271" s="952"/>
      <c r="D271" s="108"/>
      <c r="E271" s="1267"/>
      <c r="F271" s="1310"/>
      <c r="G271" s="1311"/>
      <c r="H271" s="1311"/>
      <c r="I271" s="1311"/>
      <c r="J271" s="1311"/>
      <c r="K271" s="80"/>
      <c r="L271" s="80"/>
      <c r="M271" s="80"/>
      <c r="N271" s="80"/>
      <c r="O271" s="885"/>
    </row>
    <row r="272" spans="1:15" s="927" customFormat="1">
      <c r="B272" s="110"/>
      <c r="C272" s="151" t="s">
        <v>1175</v>
      </c>
      <c r="D272" s="108"/>
      <c r="E272" s="1267"/>
      <c r="F272" s="1310"/>
      <c r="G272" s="1311"/>
      <c r="H272" s="1311"/>
      <c r="I272" s="1311"/>
      <c r="J272" s="80"/>
      <c r="K272" s="80"/>
      <c r="L272" s="80"/>
      <c r="M272" s="80"/>
      <c r="N272" s="80" t="s">
        <v>1147</v>
      </c>
      <c r="O272" s="885"/>
    </row>
    <row r="273" spans="1:15" s="927" customFormat="1" ht="23.25">
      <c r="A273" s="1553"/>
      <c r="B273" s="110"/>
      <c r="C273" s="952"/>
      <c r="D273" s="108"/>
      <c r="E273" s="1267"/>
      <c r="F273" s="1310"/>
      <c r="G273" s="1311"/>
      <c r="H273" s="1311"/>
      <c r="I273" s="1311"/>
      <c r="J273" s="80"/>
      <c r="K273" s="80"/>
      <c r="L273" s="80"/>
      <c r="M273" s="80"/>
      <c r="N273" s="80"/>
      <c r="O273" s="885"/>
    </row>
    <row r="274" spans="1:15" s="927" customFormat="1" ht="15.75">
      <c r="B274" s="55"/>
      <c r="C274" s="887" t="s">
        <v>1010</v>
      </c>
      <c r="D274" s="887" t="s">
        <v>45</v>
      </c>
      <c r="E274" s="887" t="s">
        <v>30</v>
      </c>
      <c r="F274" s="92">
        <v>2013</v>
      </c>
      <c r="G274" s="92">
        <v>2015</v>
      </c>
      <c r="H274" s="92">
        <v>2020</v>
      </c>
      <c r="I274" s="92">
        <v>2025</v>
      </c>
      <c r="J274" s="92">
        <v>2030</v>
      </c>
      <c r="K274" s="92">
        <v>2035</v>
      </c>
      <c r="L274" s="92">
        <v>2040</v>
      </c>
      <c r="M274" s="92">
        <v>2045</v>
      </c>
      <c r="N274" s="92">
        <v>2050</v>
      </c>
      <c r="O274" s="885"/>
    </row>
    <row r="275" spans="1:15" s="927" customFormat="1" ht="15.75">
      <c r="B275" s="55"/>
      <c r="C275" s="108" t="s">
        <v>1134</v>
      </c>
      <c r="D275" s="108" t="s">
        <v>1134</v>
      </c>
      <c r="E275" s="1267"/>
      <c r="F275" s="1069">
        <f t="array" ref="F275:F286">CHOOSE($E$9, $F$48:$N$59, $F$64:$N$75, $F$80:$N$91, $F$96:$N$107)</f>
        <v>1</v>
      </c>
      <c r="G275" s="1069">
        <f t="array" ref="G275:N286">CHOOSE($E$9, $F$48:$N$59, $F$64:$N$75, $F$80:$N$91, $F$96:$N$107)</f>
        <v>1</v>
      </c>
      <c r="H275" s="1069">
        <v>0.996</v>
      </c>
      <c r="I275" s="1069">
        <v>0.996</v>
      </c>
      <c r="J275" s="1069">
        <v>0.996</v>
      </c>
      <c r="K275" s="1069">
        <v>0.996</v>
      </c>
      <c r="L275" s="1069">
        <v>0.996</v>
      </c>
      <c r="M275" s="1069">
        <v>0.996</v>
      </c>
      <c r="N275" s="1069">
        <v>0.996</v>
      </c>
      <c r="O275" s="885"/>
    </row>
    <row r="276" spans="1:15" s="927" customFormat="1" ht="15.75">
      <c r="B276" s="55"/>
      <c r="C276" s="890" t="s">
        <v>1136</v>
      </c>
      <c r="D276" s="890" t="s">
        <v>1148</v>
      </c>
      <c r="E276" s="1317"/>
      <c r="F276" s="1313">
        <v>0.999</v>
      </c>
      <c r="G276" s="1313">
        <v>0.999</v>
      </c>
      <c r="H276" s="1313">
        <v>0.996</v>
      </c>
      <c r="I276" s="1313">
        <v>0.99199999999999999</v>
      </c>
      <c r="J276" s="1313">
        <v>0.95599999999999996</v>
      </c>
      <c r="K276" s="1313">
        <v>0.92</v>
      </c>
      <c r="L276" s="1313">
        <v>0.88</v>
      </c>
      <c r="M276" s="1313">
        <v>0.84</v>
      </c>
      <c r="N276" s="1313">
        <v>0.8075</v>
      </c>
      <c r="O276" s="885"/>
    </row>
    <row r="277" spans="1:15" s="927" customFormat="1" ht="15.75">
      <c r="B277" s="55"/>
      <c r="C277" s="108" t="s">
        <v>1136</v>
      </c>
      <c r="D277" s="108" t="s">
        <v>1149</v>
      </c>
      <c r="E277" s="1267"/>
      <c r="F277" s="1069">
        <v>0</v>
      </c>
      <c r="G277" s="1069">
        <v>0</v>
      </c>
      <c r="H277" s="1069">
        <v>3.5000000000000001E-3</v>
      </c>
      <c r="I277" s="1069">
        <v>7.0000000000000001E-3</v>
      </c>
      <c r="J277" s="1069">
        <v>3.8500000000000006E-2</v>
      </c>
      <c r="K277" s="1069">
        <v>7.0000000000000007E-2</v>
      </c>
      <c r="L277" s="1069">
        <v>0.10500000000000001</v>
      </c>
      <c r="M277" s="1069">
        <v>0.14000000000000001</v>
      </c>
      <c r="N277" s="1069">
        <v>0.17</v>
      </c>
      <c r="O277" s="885"/>
    </row>
    <row r="278" spans="1:15" s="927" customFormat="1" ht="15.75">
      <c r="B278" s="55"/>
      <c r="C278" s="108" t="s">
        <v>1136</v>
      </c>
      <c r="D278" s="108" t="s">
        <v>1150</v>
      </c>
      <c r="E278" s="1267"/>
      <c r="F278" s="1069">
        <v>1E-4</v>
      </c>
      <c r="G278" s="1069">
        <v>1E-4</v>
      </c>
      <c r="H278" s="1069">
        <v>5.0000000000000001E-4</v>
      </c>
      <c r="I278" s="1069">
        <v>1E-3</v>
      </c>
      <c r="J278" s="1069">
        <v>5.4999999999999997E-3</v>
      </c>
      <c r="K278" s="1069">
        <v>0.01</v>
      </c>
      <c r="L278" s="1069">
        <v>1.4999999999999999E-2</v>
      </c>
      <c r="M278" s="1069">
        <v>0.02</v>
      </c>
      <c r="N278" s="1069">
        <v>2.2499999999999999E-2</v>
      </c>
      <c r="O278" s="885"/>
    </row>
    <row r="279" spans="1:15" s="927" customFormat="1" ht="15.75">
      <c r="B279" s="55"/>
      <c r="C279" s="1507" t="s">
        <v>1136</v>
      </c>
      <c r="D279" s="1507" t="s">
        <v>1151</v>
      </c>
      <c r="E279" s="1508"/>
      <c r="F279" s="1509">
        <v>0</v>
      </c>
      <c r="G279" s="1509">
        <v>0</v>
      </c>
      <c r="H279" s="1509">
        <v>0</v>
      </c>
      <c r="I279" s="1509">
        <v>0</v>
      </c>
      <c r="J279" s="1509">
        <v>0</v>
      </c>
      <c r="K279" s="1509">
        <v>0</v>
      </c>
      <c r="L279" s="1509">
        <v>0</v>
      </c>
      <c r="M279" s="1509">
        <v>0</v>
      </c>
      <c r="N279" s="1509">
        <v>0</v>
      </c>
      <c r="O279" s="885"/>
    </row>
    <row r="280" spans="1:15" s="927" customFormat="1" ht="15.75">
      <c r="B280" s="55"/>
      <c r="C280" s="890" t="s">
        <v>1138</v>
      </c>
      <c r="D280" s="890" t="s">
        <v>1148</v>
      </c>
      <c r="E280" s="1317"/>
      <c r="F280" s="1313">
        <v>1</v>
      </c>
      <c r="G280" s="1313">
        <v>1</v>
      </c>
      <c r="H280" s="1313">
        <v>1</v>
      </c>
      <c r="I280" s="1313">
        <v>0.94</v>
      </c>
      <c r="J280" s="1313">
        <v>0.9</v>
      </c>
      <c r="K280" s="1313">
        <v>0.8</v>
      </c>
      <c r="L280" s="1313">
        <v>0.746</v>
      </c>
      <c r="M280" s="1313">
        <v>0.69799999999999995</v>
      </c>
      <c r="N280" s="1313">
        <v>0.64949999999999997</v>
      </c>
      <c r="O280" s="885"/>
    </row>
    <row r="281" spans="1:15" s="927" customFormat="1" ht="15.75">
      <c r="B281" s="55"/>
      <c r="C281" s="108" t="s">
        <v>1138</v>
      </c>
      <c r="D281" s="108" t="s">
        <v>1152</v>
      </c>
      <c r="E281" s="1267"/>
      <c r="F281" s="1069">
        <v>0</v>
      </c>
      <c r="G281" s="1069">
        <v>0</v>
      </c>
      <c r="H281" s="1069">
        <v>0</v>
      </c>
      <c r="I281" s="1069">
        <v>0.06</v>
      </c>
      <c r="J281" s="1069">
        <v>0.1</v>
      </c>
      <c r="K281" s="1069">
        <v>0.20399999999999999</v>
      </c>
      <c r="L281" s="1069">
        <v>0.2525</v>
      </c>
      <c r="M281" s="1069">
        <v>0.30099999999999999</v>
      </c>
      <c r="N281" s="1069">
        <v>0.34899999999999998</v>
      </c>
      <c r="O281" s="885"/>
    </row>
    <row r="282" spans="1:15" s="927" customFormat="1" ht="15.75">
      <c r="B282" s="55"/>
      <c r="C282" s="108" t="s">
        <v>1138</v>
      </c>
      <c r="D282" s="108" t="s">
        <v>1150</v>
      </c>
      <c r="E282" s="1267"/>
      <c r="F282" s="1069">
        <v>0</v>
      </c>
      <c r="G282" s="1069">
        <v>0</v>
      </c>
      <c r="H282" s="1069">
        <v>1E-3</v>
      </c>
      <c r="I282" s="1069">
        <v>2E-3</v>
      </c>
      <c r="J282" s="1069">
        <v>2E-3</v>
      </c>
      <c r="K282" s="1069">
        <v>2E-3</v>
      </c>
      <c r="L282" s="1069">
        <v>2E-3</v>
      </c>
      <c r="M282" s="1069">
        <v>2E-3</v>
      </c>
      <c r="N282" s="1069">
        <v>2E-3</v>
      </c>
      <c r="O282" s="885"/>
    </row>
    <row r="283" spans="1:15" s="927" customFormat="1" ht="15.75">
      <c r="B283" s="55"/>
      <c r="C283" s="1507" t="s">
        <v>1138</v>
      </c>
      <c r="D283" s="1507" t="s">
        <v>1151</v>
      </c>
      <c r="E283" s="1508"/>
      <c r="F283" s="1509">
        <v>0</v>
      </c>
      <c r="G283" s="1509">
        <v>0</v>
      </c>
      <c r="H283" s="1509">
        <v>1E-3</v>
      </c>
      <c r="I283" s="1509">
        <v>2E-3</v>
      </c>
      <c r="J283" s="1509">
        <v>2E-3</v>
      </c>
      <c r="K283" s="1509">
        <v>2E-3</v>
      </c>
      <c r="L283" s="1509">
        <v>2E-3</v>
      </c>
      <c r="M283" s="1509">
        <v>2E-3</v>
      </c>
      <c r="N283" s="1509">
        <v>2E-3</v>
      </c>
      <c r="O283" s="885"/>
    </row>
    <row r="284" spans="1:15" s="927" customFormat="1" ht="15.75">
      <c r="B284" s="55"/>
      <c r="C284" s="890" t="s">
        <v>1140</v>
      </c>
      <c r="D284" s="890" t="s">
        <v>1153</v>
      </c>
      <c r="E284" s="1317"/>
      <c r="F284" s="1313">
        <v>0.8</v>
      </c>
      <c r="G284" s="1313">
        <v>0.8</v>
      </c>
      <c r="H284" s="1313">
        <v>0.8</v>
      </c>
      <c r="I284" s="1313">
        <v>0.8</v>
      </c>
      <c r="J284" s="1313">
        <v>0.8</v>
      </c>
      <c r="K284" s="1313">
        <v>0.8</v>
      </c>
      <c r="L284" s="1313">
        <v>0.8</v>
      </c>
      <c r="M284" s="1313">
        <v>0.8</v>
      </c>
      <c r="N284" s="1313">
        <v>0.8</v>
      </c>
      <c r="O284" s="885"/>
    </row>
    <row r="285" spans="1:15" s="927" customFormat="1" ht="15.75">
      <c r="B285" s="55"/>
      <c r="C285" s="108" t="s">
        <v>1140</v>
      </c>
      <c r="D285" s="108" t="s">
        <v>1154</v>
      </c>
      <c r="E285" s="1267"/>
      <c r="F285" s="1069">
        <v>0.2</v>
      </c>
      <c r="G285" s="1069">
        <v>0.2</v>
      </c>
      <c r="H285" s="1069">
        <v>0.2</v>
      </c>
      <c r="I285" s="1069">
        <v>0.2</v>
      </c>
      <c r="J285" s="1069">
        <v>0.2</v>
      </c>
      <c r="K285" s="1069">
        <v>0.2</v>
      </c>
      <c r="L285" s="1069">
        <v>0.2</v>
      </c>
      <c r="M285" s="1069">
        <v>0.2</v>
      </c>
      <c r="N285" s="1069">
        <v>0.2</v>
      </c>
      <c r="O285" s="885"/>
    </row>
    <row r="286" spans="1:15" s="927" customFormat="1" ht="15.75">
      <c r="B286" s="55"/>
      <c r="C286" s="199" t="s">
        <v>1142</v>
      </c>
      <c r="D286" s="199" t="s">
        <v>1142</v>
      </c>
      <c r="E286" s="1322"/>
      <c r="F286" s="1314">
        <v>1</v>
      </c>
      <c r="G286" s="1314">
        <v>1</v>
      </c>
      <c r="H286" s="1314">
        <v>1</v>
      </c>
      <c r="I286" s="1314">
        <v>1</v>
      </c>
      <c r="J286" s="1314">
        <v>1</v>
      </c>
      <c r="K286" s="1314">
        <v>1</v>
      </c>
      <c r="L286" s="1314">
        <v>1</v>
      </c>
      <c r="M286" s="1314">
        <v>1</v>
      </c>
      <c r="N286" s="1314">
        <v>1</v>
      </c>
      <c r="O286" s="885"/>
    </row>
    <row r="287" spans="1:15" s="927" customFormat="1" ht="15.75">
      <c r="B287" s="55"/>
      <c r="C287" s="108"/>
      <c r="D287" s="108"/>
      <c r="E287" s="1267"/>
      <c r="F287" s="1069"/>
      <c r="G287" s="1069"/>
      <c r="H287" s="1069"/>
      <c r="I287" s="1069"/>
      <c r="J287" s="1069"/>
      <c r="K287" s="1069"/>
      <c r="L287" s="1069"/>
      <c r="M287" s="1069"/>
      <c r="N287" s="1069"/>
      <c r="O287" s="885"/>
    </row>
    <row r="288" spans="1:15" s="927" customFormat="1">
      <c r="B288" s="110"/>
      <c r="C288" s="151" t="s">
        <v>1176</v>
      </c>
      <c r="D288" s="108"/>
      <c r="E288" s="1267"/>
      <c r="F288" s="1310"/>
      <c r="G288" s="1311"/>
      <c r="H288" s="1311"/>
      <c r="I288" s="1311"/>
      <c r="J288" s="80"/>
      <c r="K288" s="80"/>
      <c r="L288" s="80"/>
      <c r="M288" s="80"/>
      <c r="N288" s="80" t="s">
        <v>1147</v>
      </c>
      <c r="O288" s="885"/>
    </row>
    <row r="289" spans="1:15" s="927" customFormat="1" ht="23.25">
      <c r="A289" s="1553"/>
      <c r="B289" s="110"/>
      <c r="C289" s="952"/>
      <c r="D289" s="108"/>
      <c r="E289" s="1267"/>
      <c r="F289" s="1310"/>
      <c r="G289" s="1311"/>
      <c r="H289" s="1311"/>
      <c r="I289" s="1311"/>
      <c r="J289" s="80"/>
      <c r="K289" s="80"/>
      <c r="L289" s="80"/>
      <c r="M289" s="80"/>
      <c r="N289" s="80"/>
      <c r="O289" s="885"/>
    </row>
    <row r="290" spans="1:15" s="927" customFormat="1" ht="15.75">
      <c r="B290" s="55"/>
      <c r="C290" s="887" t="s">
        <v>1010</v>
      </c>
      <c r="D290" s="887" t="s">
        <v>45</v>
      </c>
      <c r="E290" s="887" t="s">
        <v>30</v>
      </c>
      <c r="F290" s="92">
        <v>2013</v>
      </c>
      <c r="G290" s="92">
        <v>2015</v>
      </c>
      <c r="H290" s="92">
        <v>2020</v>
      </c>
      <c r="I290" s="92">
        <v>2025</v>
      </c>
      <c r="J290" s="92">
        <v>2030</v>
      </c>
      <c r="K290" s="92">
        <v>2035</v>
      </c>
      <c r="L290" s="92">
        <v>2040</v>
      </c>
      <c r="M290" s="92">
        <v>2045</v>
      </c>
      <c r="N290" s="92">
        <v>2050</v>
      </c>
      <c r="O290" s="885"/>
    </row>
    <row r="291" spans="1:15" s="927" customFormat="1" ht="15.75">
      <c r="B291" s="55"/>
      <c r="C291" s="108" t="s">
        <v>1134</v>
      </c>
      <c r="D291" s="108" t="s">
        <v>1134</v>
      </c>
      <c r="E291" s="1267"/>
      <c r="F291" s="1069">
        <f>F275</f>
        <v>1</v>
      </c>
      <c r="G291" s="1069">
        <f t="shared" ref="G291:N293" si="27">G275</f>
        <v>1</v>
      </c>
      <c r="H291" s="1069">
        <f t="shared" si="27"/>
        <v>0.996</v>
      </c>
      <c r="I291" s="1069">
        <f t="shared" si="27"/>
        <v>0.996</v>
      </c>
      <c r="J291" s="1069">
        <f t="shared" si="27"/>
        <v>0.996</v>
      </c>
      <c r="K291" s="1069">
        <f t="shared" si="27"/>
        <v>0.996</v>
      </c>
      <c r="L291" s="1069">
        <f t="shared" si="27"/>
        <v>0.996</v>
      </c>
      <c r="M291" s="1069">
        <f t="shared" si="27"/>
        <v>0.996</v>
      </c>
      <c r="N291" s="1069">
        <f t="shared" si="27"/>
        <v>0.996</v>
      </c>
      <c r="O291" s="885"/>
    </row>
    <row r="292" spans="1:15" s="927" customFormat="1" ht="15.75">
      <c r="B292" s="55"/>
      <c r="C292" s="890" t="s">
        <v>1136</v>
      </c>
      <c r="D292" s="890" t="s">
        <v>1148</v>
      </c>
      <c r="E292" s="1317"/>
      <c r="F292" s="1313">
        <f>F276</f>
        <v>0.999</v>
      </c>
      <c r="G292" s="1313">
        <f t="shared" si="27"/>
        <v>0.999</v>
      </c>
      <c r="H292" s="1313">
        <f t="shared" si="27"/>
        <v>0.996</v>
      </c>
      <c r="I292" s="1313">
        <f t="shared" si="27"/>
        <v>0.99199999999999999</v>
      </c>
      <c r="J292" s="1313">
        <f t="shared" si="27"/>
        <v>0.95599999999999996</v>
      </c>
      <c r="K292" s="1313">
        <f t="shared" si="27"/>
        <v>0.92</v>
      </c>
      <c r="L292" s="1313">
        <f t="shared" si="27"/>
        <v>0.88</v>
      </c>
      <c r="M292" s="1313">
        <f t="shared" si="27"/>
        <v>0.84</v>
      </c>
      <c r="N292" s="1313">
        <f t="shared" si="27"/>
        <v>0.8075</v>
      </c>
      <c r="O292" s="885"/>
    </row>
    <row r="293" spans="1:15" s="927" customFormat="1" ht="15.75">
      <c r="B293" s="55"/>
      <c r="C293" s="108" t="s">
        <v>1136</v>
      </c>
      <c r="D293" s="108" t="s">
        <v>1149</v>
      </c>
      <c r="E293" s="1267"/>
      <c r="F293" s="1069">
        <f>F277</f>
        <v>0</v>
      </c>
      <c r="G293" s="1069">
        <f t="shared" si="27"/>
        <v>0</v>
      </c>
      <c r="H293" s="1069">
        <f t="shared" si="27"/>
        <v>3.5000000000000001E-3</v>
      </c>
      <c r="I293" s="1069">
        <f t="shared" si="27"/>
        <v>7.0000000000000001E-3</v>
      </c>
      <c r="J293" s="1069">
        <f t="shared" si="27"/>
        <v>3.8500000000000006E-2</v>
      </c>
      <c r="K293" s="1069">
        <f t="shared" si="27"/>
        <v>7.0000000000000007E-2</v>
      </c>
      <c r="L293" s="1069">
        <f t="shared" si="27"/>
        <v>0.10500000000000001</v>
      </c>
      <c r="M293" s="1069">
        <f t="shared" si="27"/>
        <v>0.14000000000000001</v>
      </c>
      <c r="N293" s="1069">
        <f t="shared" si="27"/>
        <v>0.17</v>
      </c>
      <c r="O293" s="885"/>
    </row>
    <row r="294" spans="1:15" s="927" customFormat="1" ht="15.75">
      <c r="B294" s="55"/>
      <c r="C294" s="108" t="s">
        <v>1136</v>
      </c>
      <c r="D294" s="108" t="s">
        <v>1150</v>
      </c>
      <c r="E294" s="1267"/>
      <c r="F294" s="1069">
        <f t="shared" ref="F294:N294" si="28">(SUM(F278:F279))*(INDEX($F$112:$F$115,MATCH($E$10,$C$112:$C$115)))</f>
        <v>8.0000000000000007E-5</v>
      </c>
      <c r="G294" s="1069">
        <f t="shared" si="28"/>
        <v>8.0000000000000007E-5</v>
      </c>
      <c r="H294" s="1069">
        <f t="shared" si="28"/>
        <v>4.0000000000000002E-4</v>
      </c>
      <c r="I294" s="1069">
        <f t="shared" si="28"/>
        <v>8.0000000000000004E-4</v>
      </c>
      <c r="J294" s="1069">
        <f t="shared" si="28"/>
        <v>4.4000000000000003E-3</v>
      </c>
      <c r="K294" s="1069">
        <f t="shared" si="28"/>
        <v>8.0000000000000002E-3</v>
      </c>
      <c r="L294" s="1069">
        <f t="shared" si="28"/>
        <v>1.2E-2</v>
      </c>
      <c r="M294" s="1069">
        <f t="shared" si="28"/>
        <v>1.6E-2</v>
      </c>
      <c r="N294" s="1069">
        <f t="shared" si="28"/>
        <v>1.7999999999999999E-2</v>
      </c>
      <c r="O294" s="885"/>
    </row>
    <row r="295" spans="1:15" s="927" customFormat="1" ht="15.75">
      <c r="B295" s="55"/>
      <c r="C295" s="1507" t="s">
        <v>1136</v>
      </c>
      <c r="D295" s="1507" t="s">
        <v>1151</v>
      </c>
      <c r="E295" s="1508"/>
      <c r="F295" s="1509">
        <f>(SUM(F278:F279))*(INDEX($G$112:$G$115,MATCH($E$10,$C$112:$C$115)))</f>
        <v>2.0000000000000002E-5</v>
      </c>
      <c r="G295" s="1509">
        <f t="shared" ref="G295:N295" si="29">(SUM(G278:G279))*(INDEX($G$112:$G$115,MATCH($E$10,$C$112:$C$115)))</f>
        <v>2.0000000000000002E-5</v>
      </c>
      <c r="H295" s="1509">
        <f t="shared" si="29"/>
        <v>1E-4</v>
      </c>
      <c r="I295" s="1509">
        <f t="shared" si="29"/>
        <v>2.0000000000000001E-4</v>
      </c>
      <c r="J295" s="1509">
        <f t="shared" si="29"/>
        <v>1.1000000000000001E-3</v>
      </c>
      <c r="K295" s="1509">
        <f t="shared" si="29"/>
        <v>2E-3</v>
      </c>
      <c r="L295" s="1509">
        <f t="shared" si="29"/>
        <v>3.0000000000000001E-3</v>
      </c>
      <c r="M295" s="1509">
        <f t="shared" si="29"/>
        <v>4.0000000000000001E-3</v>
      </c>
      <c r="N295" s="1509">
        <f t="shared" si="29"/>
        <v>4.4999999999999997E-3</v>
      </c>
      <c r="O295" s="885"/>
    </row>
    <row r="296" spans="1:15" s="927" customFormat="1" ht="15.75">
      <c r="B296" s="55"/>
      <c r="C296" s="890" t="s">
        <v>1138</v>
      </c>
      <c r="D296" s="890" t="s">
        <v>1148</v>
      </c>
      <c r="E296" s="1317"/>
      <c r="F296" s="1069">
        <f>F280</f>
        <v>1</v>
      </c>
      <c r="G296" s="1069">
        <f t="shared" ref="G296:N297" si="30">G280</f>
        <v>1</v>
      </c>
      <c r="H296" s="1069">
        <f t="shared" si="30"/>
        <v>1</v>
      </c>
      <c r="I296" s="1069">
        <f t="shared" si="30"/>
        <v>0.94</v>
      </c>
      <c r="J296" s="1069">
        <f t="shared" si="30"/>
        <v>0.9</v>
      </c>
      <c r="K296" s="1069">
        <f t="shared" si="30"/>
        <v>0.8</v>
      </c>
      <c r="L296" s="1069">
        <f t="shared" si="30"/>
        <v>0.746</v>
      </c>
      <c r="M296" s="1069">
        <f t="shared" si="30"/>
        <v>0.69799999999999995</v>
      </c>
      <c r="N296" s="1069">
        <f t="shared" si="30"/>
        <v>0.64949999999999997</v>
      </c>
      <c r="O296" s="885"/>
    </row>
    <row r="297" spans="1:15" s="927" customFormat="1" ht="15.75">
      <c r="B297" s="55"/>
      <c r="C297" s="108" t="s">
        <v>1138</v>
      </c>
      <c r="D297" s="108" t="s">
        <v>1152</v>
      </c>
      <c r="E297" s="1267"/>
      <c r="F297" s="1069">
        <f>F281</f>
        <v>0</v>
      </c>
      <c r="G297" s="1069">
        <f t="shared" si="30"/>
        <v>0</v>
      </c>
      <c r="H297" s="1069">
        <f t="shared" si="30"/>
        <v>0</v>
      </c>
      <c r="I297" s="1069">
        <f t="shared" si="30"/>
        <v>0.06</v>
      </c>
      <c r="J297" s="1069">
        <f t="shared" si="30"/>
        <v>0.1</v>
      </c>
      <c r="K297" s="1069">
        <f t="shared" si="30"/>
        <v>0.20399999999999999</v>
      </c>
      <c r="L297" s="1069">
        <f t="shared" si="30"/>
        <v>0.2525</v>
      </c>
      <c r="M297" s="1069">
        <f t="shared" si="30"/>
        <v>0.30099999999999999</v>
      </c>
      <c r="N297" s="1069">
        <f t="shared" si="30"/>
        <v>0.34899999999999998</v>
      </c>
      <c r="O297" s="885"/>
    </row>
    <row r="298" spans="1:15" s="927" customFormat="1" ht="15.75">
      <c r="B298" s="55"/>
      <c r="C298" s="108" t="s">
        <v>1138</v>
      </c>
      <c r="D298" s="108" t="s">
        <v>1150</v>
      </c>
      <c r="E298" s="1267"/>
      <c r="F298" s="1069">
        <f t="shared" ref="F298:N298" si="31">(SUM(F282:F283))*(INDEX($F$112:$F$115,MATCH($E$10,$C$112:$C$115)))</f>
        <v>0</v>
      </c>
      <c r="G298" s="1069">
        <f t="shared" si="31"/>
        <v>0</v>
      </c>
      <c r="H298" s="1069">
        <f t="shared" si="31"/>
        <v>1.6000000000000001E-3</v>
      </c>
      <c r="I298" s="1069">
        <f t="shared" si="31"/>
        <v>3.2000000000000002E-3</v>
      </c>
      <c r="J298" s="1069">
        <f t="shared" si="31"/>
        <v>3.2000000000000002E-3</v>
      </c>
      <c r="K298" s="1069">
        <f t="shared" si="31"/>
        <v>3.2000000000000002E-3</v>
      </c>
      <c r="L298" s="1069">
        <f t="shared" si="31"/>
        <v>3.2000000000000002E-3</v>
      </c>
      <c r="M298" s="1069">
        <f t="shared" si="31"/>
        <v>3.2000000000000002E-3</v>
      </c>
      <c r="N298" s="1069">
        <f t="shared" si="31"/>
        <v>3.2000000000000002E-3</v>
      </c>
      <c r="O298" s="885"/>
    </row>
    <row r="299" spans="1:15" s="927" customFormat="1" ht="15.75">
      <c r="B299" s="55"/>
      <c r="C299" s="1507" t="s">
        <v>1138</v>
      </c>
      <c r="D299" s="1507" t="s">
        <v>1151</v>
      </c>
      <c r="E299" s="1508"/>
      <c r="F299" s="1509">
        <f>(SUM(F282:F283))*(INDEX($G$112:$G$115,MATCH($E$10,$C$112:$C$115)))</f>
        <v>0</v>
      </c>
      <c r="G299" s="1509">
        <f t="shared" ref="G299:N299" si="32">(SUM(G282:G283))*(INDEX($G$112:$G$115,MATCH($E$10,$C$112:$C$115)))</f>
        <v>0</v>
      </c>
      <c r="H299" s="1509">
        <f t="shared" si="32"/>
        <v>4.0000000000000002E-4</v>
      </c>
      <c r="I299" s="1509">
        <f t="shared" si="32"/>
        <v>8.0000000000000004E-4</v>
      </c>
      <c r="J299" s="1509">
        <f t="shared" si="32"/>
        <v>8.0000000000000004E-4</v>
      </c>
      <c r="K299" s="1509">
        <f t="shared" si="32"/>
        <v>8.0000000000000004E-4</v>
      </c>
      <c r="L299" s="1509">
        <f t="shared" si="32"/>
        <v>8.0000000000000004E-4</v>
      </c>
      <c r="M299" s="1509">
        <f t="shared" si="32"/>
        <v>8.0000000000000004E-4</v>
      </c>
      <c r="N299" s="1509">
        <f t="shared" si="32"/>
        <v>8.0000000000000004E-4</v>
      </c>
      <c r="O299" s="885"/>
    </row>
    <row r="300" spans="1:15" s="927" customFormat="1" ht="15.75">
      <c r="B300" s="55"/>
      <c r="C300" s="890" t="s">
        <v>1140</v>
      </c>
      <c r="D300" s="890" t="s">
        <v>1153</v>
      </c>
      <c r="E300" s="1317"/>
      <c r="F300" s="1313">
        <f>F284</f>
        <v>0.8</v>
      </c>
      <c r="G300" s="1313">
        <f t="shared" ref="G300:N302" si="33">G284</f>
        <v>0.8</v>
      </c>
      <c r="H300" s="1313">
        <f t="shared" si="33"/>
        <v>0.8</v>
      </c>
      <c r="I300" s="1313">
        <f t="shared" si="33"/>
        <v>0.8</v>
      </c>
      <c r="J300" s="1313">
        <f t="shared" si="33"/>
        <v>0.8</v>
      </c>
      <c r="K300" s="1313">
        <f t="shared" si="33"/>
        <v>0.8</v>
      </c>
      <c r="L300" s="1313">
        <f t="shared" si="33"/>
        <v>0.8</v>
      </c>
      <c r="M300" s="1313">
        <f t="shared" si="33"/>
        <v>0.8</v>
      </c>
      <c r="N300" s="1313">
        <f t="shared" si="33"/>
        <v>0.8</v>
      </c>
      <c r="O300" s="885"/>
    </row>
    <row r="301" spans="1:15" s="927" customFormat="1" ht="15.75">
      <c r="B301" s="55"/>
      <c r="C301" s="108" t="s">
        <v>1140</v>
      </c>
      <c r="D301" s="108" t="s">
        <v>1154</v>
      </c>
      <c r="E301" s="1267"/>
      <c r="F301" s="1069">
        <f>F285</f>
        <v>0.2</v>
      </c>
      <c r="G301" s="1069">
        <f t="shared" si="33"/>
        <v>0.2</v>
      </c>
      <c r="H301" s="1069">
        <f t="shared" si="33"/>
        <v>0.2</v>
      </c>
      <c r="I301" s="1069">
        <f t="shared" si="33"/>
        <v>0.2</v>
      </c>
      <c r="J301" s="1069">
        <f t="shared" si="33"/>
        <v>0.2</v>
      </c>
      <c r="K301" s="1069">
        <f t="shared" si="33"/>
        <v>0.2</v>
      </c>
      <c r="L301" s="1069">
        <f t="shared" si="33"/>
        <v>0.2</v>
      </c>
      <c r="M301" s="1069">
        <f t="shared" si="33"/>
        <v>0.2</v>
      </c>
      <c r="N301" s="1069">
        <f t="shared" si="33"/>
        <v>0.2</v>
      </c>
      <c r="O301" s="885"/>
    </row>
    <row r="302" spans="1:15" s="927" customFormat="1" ht="15.75">
      <c r="B302" s="55"/>
      <c r="C302" s="199" t="s">
        <v>1142</v>
      </c>
      <c r="D302" s="199" t="s">
        <v>1142</v>
      </c>
      <c r="E302" s="1322"/>
      <c r="F302" s="1314">
        <f>F286</f>
        <v>1</v>
      </c>
      <c r="G302" s="1314">
        <f t="shared" si="33"/>
        <v>1</v>
      </c>
      <c r="H302" s="1314">
        <f t="shared" si="33"/>
        <v>1</v>
      </c>
      <c r="I302" s="1314">
        <f t="shared" si="33"/>
        <v>1</v>
      </c>
      <c r="J302" s="1314">
        <f t="shared" si="33"/>
        <v>1</v>
      </c>
      <c r="K302" s="1314">
        <f t="shared" si="33"/>
        <v>1</v>
      </c>
      <c r="L302" s="1314">
        <f t="shared" si="33"/>
        <v>1</v>
      </c>
      <c r="M302" s="1314">
        <f t="shared" si="33"/>
        <v>1</v>
      </c>
      <c r="N302" s="1314">
        <f t="shared" si="33"/>
        <v>1</v>
      </c>
      <c r="O302" s="885"/>
    </row>
    <row r="303" spans="1:15" s="927" customFormat="1" ht="15.75">
      <c r="B303" s="55"/>
      <c r="C303" s="108"/>
      <c r="D303" s="108"/>
      <c r="E303" s="1267"/>
      <c r="F303" s="1069"/>
      <c r="G303" s="1069"/>
      <c r="H303" s="1069"/>
      <c r="I303" s="1069"/>
      <c r="J303" s="1069"/>
      <c r="K303" s="1069"/>
      <c r="L303" s="1069"/>
      <c r="M303" s="1069"/>
      <c r="N303" s="1069"/>
      <c r="O303" s="885"/>
    </row>
    <row r="304" spans="1:15" s="927" customFormat="1">
      <c r="B304" s="135" t="s">
        <v>1177</v>
      </c>
      <c r="C304" s="49" t="s">
        <v>1178</v>
      </c>
      <c r="D304" s="67"/>
      <c r="E304" s="51"/>
      <c r="F304" s="67" t="s">
        <v>5</v>
      </c>
      <c r="G304" s="1311"/>
      <c r="H304" s="1311"/>
      <c r="I304" s="190"/>
      <c r="J304" s="1069"/>
      <c r="K304" s="1069"/>
      <c r="L304" s="1069"/>
      <c r="M304" s="1069"/>
      <c r="N304" s="190" t="s">
        <v>1144</v>
      </c>
      <c r="O304" s="885"/>
    </row>
    <row r="305" spans="2:15" s="927" customFormat="1" ht="15.75">
      <c r="B305" s="55"/>
      <c r="C305" s="67"/>
      <c r="D305" s="67"/>
      <c r="E305" s="67"/>
      <c r="F305" s="67"/>
      <c r="G305" s="1311"/>
      <c r="H305" s="1311"/>
      <c r="I305" s="1311"/>
      <c r="J305" s="1069"/>
      <c r="K305" s="1069"/>
      <c r="L305" s="1069"/>
      <c r="M305" s="1069"/>
      <c r="N305" s="1069"/>
      <c r="O305" s="885"/>
    </row>
    <row r="306" spans="2:15" s="927" customFormat="1" ht="15.75">
      <c r="B306" s="55"/>
      <c r="C306" s="909" t="s">
        <v>44</v>
      </c>
      <c r="D306" s="887" t="s">
        <v>1010</v>
      </c>
      <c r="E306" s="887" t="s">
        <v>30</v>
      </c>
      <c r="F306" s="92">
        <v>2013</v>
      </c>
      <c r="G306" s="92">
        <v>2015</v>
      </c>
      <c r="H306" s="92">
        <v>2020</v>
      </c>
      <c r="I306" s="92">
        <v>2025</v>
      </c>
      <c r="J306" s="92">
        <v>2030</v>
      </c>
      <c r="K306" s="92">
        <v>2035</v>
      </c>
      <c r="L306" s="92">
        <v>2040</v>
      </c>
      <c r="M306" s="92">
        <v>2045</v>
      </c>
      <c r="N306" s="92">
        <v>2050</v>
      </c>
      <c r="O306" s="885"/>
    </row>
    <row r="307" spans="2:15" s="927" customFormat="1" ht="15.75">
      <c r="B307" s="55"/>
      <c r="C307" s="109" t="s">
        <v>1134</v>
      </c>
      <c r="D307" s="108" t="s">
        <v>1135</v>
      </c>
      <c r="E307" s="923"/>
      <c r="F307" s="1162">
        <v>1</v>
      </c>
      <c r="G307" s="1535">
        <f t="shared" ref="G307:M311" si="34">$F307+($N307-$F307)/($N$261-$F$261)*(G$261-$F$261)</f>
        <v>1</v>
      </c>
      <c r="H307" s="1535">
        <f t="shared" si="34"/>
        <v>1</v>
      </c>
      <c r="I307" s="1535">
        <f t="shared" si="34"/>
        <v>1</v>
      </c>
      <c r="J307" s="1563">
        <f t="shared" si="34"/>
        <v>1</v>
      </c>
      <c r="K307" s="1563">
        <f t="shared" si="34"/>
        <v>1</v>
      </c>
      <c r="L307" s="1563">
        <f t="shared" si="34"/>
        <v>1</v>
      </c>
      <c r="M307" s="1563">
        <f t="shared" si="34"/>
        <v>1</v>
      </c>
      <c r="N307" s="1490">
        <v>1</v>
      </c>
      <c r="O307" s="885"/>
    </row>
    <row r="308" spans="2:15" s="927" customFormat="1" ht="15.75">
      <c r="B308" s="55"/>
      <c r="C308" s="109" t="s">
        <v>1136</v>
      </c>
      <c r="D308" s="108" t="s">
        <v>1137</v>
      </c>
      <c r="E308" s="1267"/>
      <c r="F308" s="1490">
        <f t="array" ref="F308:F311">$F$37:$F$40</f>
        <v>1.44</v>
      </c>
      <c r="G308" s="1535">
        <f t="shared" si="34"/>
        <v>1.4351351351351351</v>
      </c>
      <c r="H308" s="1535">
        <f t="shared" si="34"/>
        <v>1.422972972972973</v>
      </c>
      <c r="I308" s="1535">
        <f t="shared" si="34"/>
        <v>1.4108108108108108</v>
      </c>
      <c r="J308" s="1563">
        <f t="shared" si="34"/>
        <v>1.3986486486486487</v>
      </c>
      <c r="K308" s="1563">
        <f t="shared" si="34"/>
        <v>1.3864864864864865</v>
      </c>
      <c r="L308" s="1563">
        <f t="shared" si="34"/>
        <v>1.3743243243243244</v>
      </c>
      <c r="M308" s="1563">
        <f t="shared" si="34"/>
        <v>1.3621621621621622</v>
      </c>
      <c r="N308" s="1490">
        <f t="array" ref="N308:N311">INDEX($G$37:$J$40, ,MATCH($E$8, $G$36:$J$36, 0))</f>
        <v>1.35</v>
      </c>
      <c r="O308" s="885"/>
    </row>
    <row r="309" spans="2:15" s="927" customFormat="1" ht="15.75">
      <c r="B309" s="55"/>
      <c r="C309" s="109" t="s">
        <v>1138</v>
      </c>
      <c r="D309" s="108" t="s">
        <v>1139</v>
      </c>
      <c r="E309" s="1267"/>
      <c r="F309" s="1490">
        <v>10.7</v>
      </c>
      <c r="G309" s="1566">
        <f t="shared" si="34"/>
        <v>10.7</v>
      </c>
      <c r="H309" s="1566">
        <f t="shared" si="34"/>
        <v>10.7</v>
      </c>
      <c r="I309" s="1566">
        <f t="shared" si="34"/>
        <v>10.7</v>
      </c>
      <c r="J309" s="1563">
        <f t="shared" si="34"/>
        <v>10.7</v>
      </c>
      <c r="K309" s="1563">
        <f t="shared" si="34"/>
        <v>10.7</v>
      </c>
      <c r="L309" s="1563">
        <f t="shared" si="34"/>
        <v>10.7</v>
      </c>
      <c r="M309" s="1563">
        <f t="shared" si="34"/>
        <v>10.7</v>
      </c>
      <c r="N309" s="1490">
        <v>10.7</v>
      </c>
      <c r="O309" s="885"/>
    </row>
    <row r="310" spans="2:15" s="927" customFormat="1" ht="15.75">
      <c r="B310" s="55"/>
      <c r="C310" s="109" t="s">
        <v>1140</v>
      </c>
      <c r="D310" s="108" t="s">
        <v>1141</v>
      </c>
      <c r="E310" s="1267"/>
      <c r="F310" s="195">
        <v>0.32418351096303916</v>
      </c>
      <c r="G310" s="1567">
        <f t="shared" si="34"/>
        <v>0.32655818948217968</v>
      </c>
      <c r="H310" s="1567">
        <f t="shared" si="34"/>
        <v>0.33249488578003095</v>
      </c>
      <c r="I310" s="1567">
        <f t="shared" si="34"/>
        <v>0.33843158207788221</v>
      </c>
      <c r="J310" s="1568">
        <f t="shared" si="34"/>
        <v>0.34436827837573347</v>
      </c>
      <c r="K310" s="1568">
        <f t="shared" si="34"/>
        <v>0.35030497467358473</v>
      </c>
      <c r="L310" s="1568">
        <f t="shared" si="34"/>
        <v>0.35624167097143605</v>
      </c>
      <c r="M310" s="1568">
        <f t="shared" si="34"/>
        <v>0.36217836726928732</v>
      </c>
      <c r="N310" s="195">
        <v>0.36811506356713858</v>
      </c>
      <c r="O310" s="885"/>
    </row>
    <row r="311" spans="2:15" s="927" customFormat="1" ht="15.75">
      <c r="B311" s="55"/>
      <c r="C311" s="1482" t="s">
        <v>1142</v>
      </c>
      <c r="D311" s="897" t="s">
        <v>1143</v>
      </c>
      <c r="E311" s="897"/>
      <c r="F311" s="1564">
        <v>0.65100000000000002</v>
      </c>
      <c r="G311" s="1569">
        <f t="shared" si="34"/>
        <v>0.65100000000000002</v>
      </c>
      <c r="H311" s="1569">
        <f t="shared" si="34"/>
        <v>0.65100000000000002</v>
      </c>
      <c r="I311" s="1569">
        <f t="shared" si="34"/>
        <v>0.65100000000000002</v>
      </c>
      <c r="J311" s="1569">
        <f t="shared" si="34"/>
        <v>0.65100000000000002</v>
      </c>
      <c r="K311" s="1569">
        <f t="shared" si="34"/>
        <v>0.65100000000000002</v>
      </c>
      <c r="L311" s="1569">
        <f t="shared" si="34"/>
        <v>0.65100000000000002</v>
      </c>
      <c r="M311" s="1569">
        <f t="shared" si="34"/>
        <v>0.65100000000000002</v>
      </c>
      <c r="N311" s="1565">
        <v>0.65100000000000002</v>
      </c>
      <c r="O311" s="885"/>
    </row>
    <row r="312" spans="2:15" s="927" customFormat="1" ht="15.75">
      <c r="B312" s="55"/>
      <c r="C312" s="108"/>
      <c r="D312" s="108"/>
      <c r="E312" s="1267"/>
      <c r="F312" s="1069"/>
      <c r="G312" s="1069"/>
      <c r="H312" s="1069"/>
      <c r="I312" s="1069"/>
      <c r="J312" s="1069"/>
      <c r="K312" s="1069"/>
      <c r="L312" s="1069"/>
      <c r="M312" s="1069"/>
      <c r="N312" s="1069"/>
      <c r="O312" s="885"/>
    </row>
    <row r="313" spans="2:15" s="927" customFormat="1">
      <c r="B313" s="135">
        <v>4</v>
      </c>
      <c r="C313" s="49" t="s">
        <v>3151</v>
      </c>
      <c r="D313" s="67"/>
      <c r="E313" s="51"/>
      <c r="F313" s="1476" t="s">
        <v>89</v>
      </c>
      <c r="G313" s="67"/>
      <c r="H313" s="67"/>
      <c r="I313" s="51"/>
      <c r="J313" s="80"/>
      <c r="K313" s="80"/>
      <c r="L313" s="80"/>
      <c r="M313" s="80"/>
      <c r="N313" s="3851" t="str">
        <f>Preferences.EnergyUnits &amp; " / bn passenger-km"</f>
        <v>TWh / bn passenger-km</v>
      </c>
      <c r="O313" s="885"/>
    </row>
    <row r="314" spans="2:15" s="927" customFormat="1" ht="15.75">
      <c r="B314" s="55"/>
      <c r="C314" s="67"/>
      <c r="D314" s="67"/>
      <c r="E314" s="67"/>
      <c r="F314" s="67"/>
      <c r="G314" s="67"/>
      <c r="H314" s="67"/>
      <c r="I314" s="67"/>
      <c r="J314" s="80"/>
      <c r="K314" s="80"/>
      <c r="L314" s="80"/>
      <c r="M314" s="80"/>
      <c r="N314" s="80"/>
      <c r="O314" s="885"/>
    </row>
    <row r="315" spans="2:15" s="927" customFormat="1" ht="15.75">
      <c r="B315" s="55"/>
      <c r="C315" s="887" t="s">
        <v>1010</v>
      </c>
      <c r="D315" s="887" t="s">
        <v>45</v>
      </c>
      <c r="E315" s="887" t="s">
        <v>30</v>
      </c>
      <c r="F315" s="92">
        <v>2013</v>
      </c>
      <c r="G315" s="92">
        <v>2015</v>
      </c>
      <c r="H315" s="92">
        <v>2020</v>
      </c>
      <c r="I315" s="92">
        <v>2025</v>
      </c>
      <c r="J315" s="92">
        <v>2030</v>
      </c>
      <c r="K315" s="92">
        <v>2035</v>
      </c>
      <c r="L315" s="92">
        <v>2040</v>
      </c>
      <c r="M315" s="92">
        <v>2045</v>
      </c>
      <c r="N315" s="92">
        <v>2050</v>
      </c>
      <c r="O315" s="885"/>
    </row>
    <row r="316" spans="2:15" s="927" customFormat="1" ht="15.75">
      <c r="B316" s="55"/>
      <c r="C316" s="890" t="s">
        <v>1136</v>
      </c>
      <c r="D316" s="890" t="s">
        <v>1148</v>
      </c>
      <c r="E316" s="1317"/>
      <c r="F316" s="1570">
        <f>F141/INDEX(F$308:F$311, MATCH($C316, $C$308:$C$311, 0))</f>
        <v>0.43325617283950624</v>
      </c>
      <c r="G316" s="1532">
        <f t="shared" ref="G316:N321" si="35">G141/INDEX(F$308:F$311, MATCH($C316, $C$308:$C$311, 0))</f>
        <v>0.38059413580246915</v>
      </c>
      <c r="H316" s="1532">
        <f t="shared" ref="H316:N316" si="36">G141/INDEX(G$308:G$311, MATCH($C316, $C$308:$C$311, 0))</f>
        <v>0.38188428541535885</v>
      </c>
      <c r="I316" s="1532">
        <f t="shared" si="36"/>
        <v>0.33107523477893847</v>
      </c>
      <c r="J316" s="1532">
        <f t="shared" si="36"/>
        <v>0.27939016602809708</v>
      </c>
      <c r="K316" s="1532">
        <f t="shared" si="36"/>
        <v>0.26612989801395598</v>
      </c>
      <c r="L316" s="1532">
        <f t="shared" si="36"/>
        <v>0.25263699371886505</v>
      </c>
      <c r="M316" s="1532">
        <f t="shared" si="36"/>
        <v>0.24375614552605704</v>
      </c>
      <c r="N316" s="1532">
        <f t="shared" si="36"/>
        <v>0.23492063492063492</v>
      </c>
      <c r="O316" s="885"/>
    </row>
    <row r="317" spans="2:15" s="927" customFormat="1" ht="15.75">
      <c r="B317" s="55"/>
      <c r="C317" s="108" t="s">
        <v>1136</v>
      </c>
      <c r="D317" s="108" t="s">
        <v>1149</v>
      </c>
      <c r="E317" s="1267"/>
      <c r="F317" s="1571"/>
      <c r="G317" s="1490">
        <f t="shared" si="35"/>
        <v>8.7577160493827175E-2</v>
      </c>
      <c r="H317" s="1490">
        <f t="shared" si="35"/>
        <v>6.6970077422054825E-2</v>
      </c>
      <c r="I317" s="1490">
        <f t="shared" si="35"/>
        <v>5.4073018887833696E-2</v>
      </c>
      <c r="J317" s="1490">
        <f t="shared" si="35"/>
        <v>4.8632396764580671E-2</v>
      </c>
      <c r="K317" s="1490">
        <f t="shared" si="35"/>
        <v>4.2501341921631776E-2</v>
      </c>
      <c r="L317" s="1490">
        <f t="shared" si="35"/>
        <v>3.5461338531513967E-2</v>
      </c>
      <c r="M317" s="1490">
        <f t="shared" si="35"/>
        <v>2.8700972358789465E-2</v>
      </c>
      <c r="N317" s="1490">
        <f t="shared" si="35"/>
        <v>2.8957231040564371E-2</v>
      </c>
      <c r="O317" s="885"/>
    </row>
    <row r="318" spans="2:15" s="927" customFormat="1" ht="15.75">
      <c r="B318" s="55"/>
      <c r="C318" s="890" t="s">
        <v>1138</v>
      </c>
      <c r="D318" s="890" t="s">
        <v>1148</v>
      </c>
      <c r="E318" s="1317"/>
      <c r="F318" s="1570">
        <f>F143/INDEX(F$308:F$311, MATCH($C318, $C$308:$C$311, 0))</f>
        <v>0.31404465212876431</v>
      </c>
      <c r="G318" s="1532">
        <f t="shared" si="35"/>
        <v>0.31404465212876431</v>
      </c>
      <c r="H318" s="1532">
        <f t="shared" si="35"/>
        <v>0.31404465212876431</v>
      </c>
      <c r="I318" s="1532">
        <f>I143/INDEX(H$308:H$311, MATCH($C318, $C$308:$C$311, 0))</f>
        <v>0.28777258566978192</v>
      </c>
      <c r="J318" s="1532">
        <f t="shared" si="35"/>
        <v>0.26150051921079959</v>
      </c>
      <c r="K318" s="1532">
        <f t="shared" si="35"/>
        <v>0.25955347871235723</v>
      </c>
      <c r="L318" s="1532">
        <f t="shared" si="35"/>
        <v>0.25760643821391488</v>
      </c>
      <c r="M318" s="1532">
        <f t="shared" si="35"/>
        <v>0.25565939771547247</v>
      </c>
      <c r="N318" s="1532">
        <f t="shared" si="35"/>
        <v>0.25371235721703012</v>
      </c>
      <c r="O318" s="885"/>
    </row>
    <row r="319" spans="2:15" s="927" customFormat="1" ht="15.75">
      <c r="B319" s="55"/>
      <c r="C319" s="108" t="s">
        <v>1138</v>
      </c>
      <c r="D319" s="108" t="s">
        <v>1152</v>
      </c>
      <c r="E319" s="1267"/>
      <c r="F319" s="1571"/>
      <c r="G319" s="1490">
        <f t="shared" si="35"/>
        <v>0.2382268951194185</v>
      </c>
      <c r="H319" s="1490">
        <f t="shared" si="35"/>
        <v>0.21983385254413293</v>
      </c>
      <c r="I319" s="1490">
        <f t="shared" si="35"/>
        <v>0.20144080996884736</v>
      </c>
      <c r="J319" s="1490">
        <f t="shared" si="35"/>
        <v>0.18304776739356179</v>
      </c>
      <c r="K319" s="1490">
        <f t="shared" si="35"/>
        <v>0.18168483904465216</v>
      </c>
      <c r="L319" s="1490">
        <f t="shared" si="35"/>
        <v>0.18032191069574249</v>
      </c>
      <c r="M319" s="1490">
        <f t="shared" si="35"/>
        <v>0.17895898234683283</v>
      </c>
      <c r="N319" s="1490">
        <f t="shared" si="35"/>
        <v>0.17759605399792316</v>
      </c>
      <c r="O319" s="885"/>
    </row>
    <row r="320" spans="2:15" s="927" customFormat="1" ht="15.75">
      <c r="B320" s="55"/>
      <c r="C320" s="890" t="s">
        <v>1140</v>
      </c>
      <c r="D320" s="890" t="s">
        <v>1153</v>
      </c>
      <c r="E320" s="1317" t="s">
        <v>1164</v>
      </c>
      <c r="F320" s="1570">
        <f>F145/INDEX(F$308:F$311, MATCH($C320, $C$308:$C$311, 0))</f>
        <v>0.23040647569418302</v>
      </c>
      <c r="G320" s="1532">
        <f t="shared" si="35"/>
        <v>0.27407357220329021</v>
      </c>
      <c r="H320" s="1532">
        <f t="shared" si="35"/>
        <v>0.25776052423722112</v>
      </c>
      <c r="I320" s="1532">
        <f t="shared" si="35"/>
        <v>0.23909386499050528</v>
      </c>
      <c r="J320" s="1532">
        <f t="shared" si="35"/>
        <v>0.22108209903810216</v>
      </c>
      <c r="K320" s="1532">
        <f t="shared" si="35"/>
        <v>0.2036913565130121</v>
      </c>
      <c r="L320" s="1532">
        <f t="shared" si="35"/>
        <v>0.18689006354890414</v>
      </c>
      <c r="M320" s="1532">
        <f t="shared" si="35"/>
        <v>0.17064875096815268</v>
      </c>
      <c r="N320" s="1532">
        <f t="shared" si="35"/>
        <v>0.15493988178537346</v>
      </c>
      <c r="O320" s="885"/>
    </row>
    <row r="321" spans="2:38" s="927" customFormat="1" ht="15.75">
      <c r="B321" s="55"/>
      <c r="C321" s="917" t="s">
        <v>1142</v>
      </c>
      <c r="D321" s="917" t="s">
        <v>1142</v>
      </c>
      <c r="E321" s="1518" t="s">
        <v>1164</v>
      </c>
      <c r="F321" s="1572">
        <f>F146/INDEX(F$308:F$311, MATCH($C321, $C$308:$C$311, 0))</f>
        <v>0.91944146079484423</v>
      </c>
      <c r="G321" s="1536">
        <f t="shared" si="35"/>
        <v>0.90114457572502671</v>
      </c>
      <c r="H321" s="1536">
        <f t="shared" si="35"/>
        <v>0.8569795250358575</v>
      </c>
      <c r="I321" s="1536">
        <f t="shared" si="35"/>
        <v>0.81497900127712841</v>
      </c>
      <c r="J321" s="1536">
        <f t="shared" si="35"/>
        <v>0.77503692109198841</v>
      </c>
      <c r="K321" s="1536">
        <f t="shared" si="35"/>
        <v>0.7370524002636123</v>
      </c>
      <c r="L321" s="1536">
        <f t="shared" si="35"/>
        <v>0.70092949890560741</v>
      </c>
      <c r="M321" s="1536">
        <f t="shared" si="35"/>
        <v>0.66657697914062553</v>
      </c>
      <c r="N321" s="1536">
        <f t="shared" si="35"/>
        <v>0.63390807465513477</v>
      </c>
      <c r="O321" s="885"/>
    </row>
    <row r="322" spans="2:38" s="927" customFormat="1" ht="15.75">
      <c r="B322" s="55"/>
      <c r="C322" s="108"/>
      <c r="D322" s="108"/>
      <c r="E322" s="1267"/>
      <c r="F322" s="1533"/>
      <c r="G322" s="1537"/>
      <c r="H322" s="1537"/>
      <c r="I322" s="1537"/>
      <c r="J322" s="80"/>
      <c r="K322" s="80"/>
      <c r="L322" s="80"/>
      <c r="M322" s="80"/>
      <c r="N322" s="80"/>
      <c r="O322" s="885"/>
    </row>
    <row r="323" spans="2:38" s="927" customFormat="1" ht="15.75">
      <c r="B323" s="55"/>
      <c r="C323" s="49" t="s">
        <v>3150</v>
      </c>
      <c r="D323" s="67"/>
      <c r="E323" s="51"/>
      <c r="F323" s="67"/>
      <c r="G323" s="67"/>
      <c r="H323" s="67"/>
      <c r="I323" s="51"/>
      <c r="J323" s="80"/>
      <c r="K323" s="80"/>
      <c r="L323" s="80"/>
      <c r="M323" s="80"/>
      <c r="N323" s="3851" t="str">
        <f>Preferences.EnergyUnits &amp; " / bn passenger-km"</f>
        <v>TWh / bn passenger-km</v>
      </c>
      <c r="O323" s="885"/>
    </row>
    <row r="324" spans="2:38" s="927" customFormat="1" ht="15.75">
      <c r="B324" s="55"/>
      <c r="C324" s="67"/>
      <c r="D324" s="67"/>
      <c r="E324" s="67"/>
      <c r="F324" s="67"/>
      <c r="G324" s="67"/>
      <c r="H324" s="67"/>
      <c r="I324" s="67"/>
      <c r="J324" s="80"/>
      <c r="K324" s="80"/>
      <c r="L324" s="80"/>
      <c r="M324" s="80"/>
      <c r="N324" s="80"/>
      <c r="O324" s="885"/>
    </row>
    <row r="325" spans="2:38" s="927" customFormat="1" ht="15.75">
      <c r="B325" s="55"/>
      <c r="C325" s="887" t="s">
        <v>1010</v>
      </c>
      <c r="D325" s="887" t="s">
        <v>45</v>
      </c>
      <c r="E325" s="887" t="s">
        <v>30</v>
      </c>
      <c r="F325" s="92">
        <v>2013</v>
      </c>
      <c r="G325" s="92">
        <v>2015</v>
      </c>
      <c r="H325" s="92">
        <v>2020</v>
      </c>
      <c r="I325" s="92">
        <v>2025</v>
      </c>
      <c r="J325" s="92">
        <v>2030</v>
      </c>
      <c r="K325" s="92">
        <v>2035</v>
      </c>
      <c r="L325" s="92">
        <v>2040</v>
      </c>
      <c r="M325" s="92">
        <v>2045</v>
      </c>
      <c r="N325" s="92">
        <v>2050</v>
      </c>
      <c r="O325" s="885"/>
      <c r="Q325" s="1171"/>
      <c r="R325" s="1171"/>
      <c r="S325" s="1171"/>
      <c r="T325" s="1171"/>
      <c r="U325" s="1171"/>
      <c r="V325" s="1171"/>
      <c r="W325" s="1171"/>
      <c r="X325" s="1171"/>
      <c r="Y325" s="1171"/>
      <c r="Z325" s="1171"/>
      <c r="AA325" s="1171"/>
      <c r="AB325" s="1171"/>
      <c r="AC325" s="1171"/>
      <c r="AD325" s="1171"/>
      <c r="AE325" s="1171"/>
      <c r="AF325" s="1171"/>
      <c r="AG325" s="1171"/>
      <c r="AH325" s="1171"/>
      <c r="AI325" s="1171"/>
      <c r="AJ325" s="1171"/>
      <c r="AK325" s="1171"/>
      <c r="AL325" s="1171"/>
    </row>
    <row r="326" spans="2:38" s="927" customFormat="1" ht="15.75">
      <c r="B326" s="55"/>
      <c r="C326" s="108" t="s">
        <v>1136</v>
      </c>
      <c r="D326" s="108" t="s">
        <v>1149</v>
      </c>
      <c r="E326" s="1267"/>
      <c r="F326" s="1571"/>
      <c r="G326" s="1490">
        <f t="shared" ref="G326:N329" si="37">G151/INDEX(F$308:F$311, MATCH($C326, $C$308:$C$311, 0))</f>
        <v>8.0439814814814811E-2</v>
      </c>
      <c r="H326" s="1490">
        <f t="shared" si="37"/>
        <v>7.8196275371416615E-2</v>
      </c>
      <c r="I326" s="1490">
        <f t="shared" si="37"/>
        <v>7.3593964334705067E-2</v>
      </c>
      <c r="J326" s="1490">
        <f t="shared" si="37"/>
        <v>6.9896764580672621E-2</v>
      </c>
      <c r="K326" s="1490">
        <f t="shared" si="37"/>
        <v>6.712828770799785E-2</v>
      </c>
      <c r="L326" s="1490">
        <f t="shared" si="37"/>
        <v>6.5513320337881736E-2</v>
      </c>
      <c r="M326" s="1490">
        <f t="shared" si="37"/>
        <v>6.5486725663716813E-2</v>
      </c>
      <c r="N326" s="1490">
        <f t="shared" si="37"/>
        <v>6.6275352733686066E-2</v>
      </c>
      <c r="O326" s="885"/>
      <c r="Q326" s="1171"/>
      <c r="R326" s="1171"/>
      <c r="S326" s="1171"/>
      <c r="T326" s="1171"/>
      <c r="U326" s="1171"/>
      <c r="V326" s="1171"/>
      <c r="W326" s="1171"/>
      <c r="X326" s="1171"/>
      <c r="Y326" s="1171"/>
      <c r="Z326" s="1171"/>
      <c r="AA326" s="1171"/>
      <c r="AB326" s="1171"/>
      <c r="AC326" s="1171"/>
      <c r="AD326" s="1171"/>
      <c r="AE326" s="1171"/>
      <c r="AF326" s="1171"/>
      <c r="AG326" s="1171"/>
      <c r="AH326" s="1171"/>
      <c r="AI326" s="1171"/>
      <c r="AJ326" s="1171"/>
      <c r="AK326" s="1171"/>
      <c r="AL326" s="1171"/>
    </row>
    <row r="327" spans="2:38" s="927" customFormat="1" ht="15.75">
      <c r="B327" s="55"/>
      <c r="C327" s="108" t="s">
        <v>1136</v>
      </c>
      <c r="D327" s="108" t="s">
        <v>1150</v>
      </c>
      <c r="E327" s="1267"/>
      <c r="F327" s="1571"/>
      <c r="G327" s="1490">
        <f t="shared" si="37"/>
        <v>0.11574074074074074</v>
      </c>
      <c r="H327" s="1490">
        <f t="shared" si="37"/>
        <v>0.11071353839715421</v>
      </c>
      <c r="I327" s="1490">
        <f t="shared" si="37"/>
        <v>0.10072807850585629</v>
      </c>
      <c r="J327" s="1490">
        <f t="shared" si="37"/>
        <v>9.2539378458918686E-2</v>
      </c>
      <c r="K327" s="1490">
        <f t="shared" si="37"/>
        <v>8.5995705850778315E-2</v>
      </c>
      <c r="L327" s="1490">
        <f t="shared" si="37"/>
        <v>8.1340697422568761E-2</v>
      </c>
      <c r="M327" s="1490">
        <f t="shared" si="37"/>
        <v>7.8624494701190858E-2</v>
      </c>
      <c r="N327" s="1490">
        <f t="shared" si="37"/>
        <v>7.7287257495590816E-2</v>
      </c>
      <c r="O327" s="885"/>
      <c r="Q327" s="1171"/>
      <c r="R327" s="1171"/>
      <c r="S327" s="1171"/>
      <c r="T327" s="1171"/>
      <c r="U327" s="1171"/>
      <c r="V327" s="1171"/>
      <c r="W327" s="1171"/>
      <c r="X327" s="1171"/>
      <c r="Y327" s="1171"/>
      <c r="Z327" s="1171"/>
      <c r="AA327" s="1171"/>
      <c r="AB327" s="1171"/>
      <c r="AC327" s="1171"/>
      <c r="AD327" s="1171"/>
      <c r="AE327" s="1171"/>
      <c r="AF327" s="1171"/>
      <c r="AG327" s="1171"/>
      <c r="AH327" s="1171"/>
      <c r="AI327" s="1171"/>
      <c r="AJ327" s="1171"/>
      <c r="AK327" s="1171"/>
      <c r="AL327" s="1171"/>
    </row>
    <row r="328" spans="2:38" s="927" customFormat="1" ht="15.75">
      <c r="B328" s="55"/>
      <c r="C328" s="890" t="s">
        <v>1138</v>
      </c>
      <c r="D328" s="890" t="s">
        <v>1150</v>
      </c>
      <c r="E328" s="1317"/>
      <c r="F328" s="1570"/>
      <c r="G328" s="1532">
        <f t="shared" si="37"/>
        <v>8.3678237650200271E-2</v>
      </c>
      <c r="H328" s="1532">
        <f t="shared" si="37"/>
        <v>7.4740394600207691E-2</v>
      </c>
      <c r="I328" s="1532">
        <f t="shared" si="37"/>
        <v>6.848390446521288E-2</v>
      </c>
      <c r="J328" s="1532">
        <f t="shared" si="37"/>
        <v>6.2227414330218077E-2</v>
      </c>
      <c r="K328" s="1532">
        <f t="shared" si="37"/>
        <v>6.1773104880581527E-2</v>
      </c>
      <c r="L328" s="1532">
        <f t="shared" si="37"/>
        <v>6.1318795430944963E-2</v>
      </c>
      <c r="M328" s="1532">
        <f t="shared" si="37"/>
        <v>6.0851505711318796E-2</v>
      </c>
      <c r="N328" s="1532">
        <f t="shared" si="37"/>
        <v>6.0384215991692629E-2</v>
      </c>
      <c r="O328" s="885"/>
      <c r="Q328" s="1171"/>
      <c r="R328" s="1171"/>
      <c r="S328" s="1171"/>
      <c r="T328" s="1171"/>
      <c r="U328" s="1171"/>
      <c r="V328" s="1171"/>
      <c r="W328" s="1171"/>
      <c r="X328" s="1171"/>
      <c r="Y328" s="1171"/>
      <c r="Z328" s="1171"/>
      <c r="AA328" s="1171"/>
      <c r="AB328" s="1171"/>
      <c r="AC328" s="1171"/>
      <c r="AD328" s="1171"/>
      <c r="AE328" s="1171"/>
      <c r="AF328" s="1171"/>
      <c r="AG328" s="1171"/>
      <c r="AH328" s="1171"/>
      <c r="AI328" s="1171"/>
      <c r="AJ328" s="1171"/>
      <c r="AK328" s="1171"/>
      <c r="AL328" s="1171"/>
    </row>
    <row r="329" spans="2:38" s="927" customFormat="1" ht="15.75">
      <c r="B329" s="55"/>
      <c r="C329" s="917" t="s">
        <v>1140</v>
      </c>
      <c r="D329" s="917" t="s">
        <v>1154</v>
      </c>
      <c r="E329" s="1518" t="s">
        <v>1164</v>
      </c>
      <c r="F329" s="1572">
        <f>F154/INDEX(F$308:F$311, MATCH($C329, $C$308:$C$311, 0))</f>
        <v>0.10954818290623002</v>
      </c>
      <c r="G329" s="1536">
        <f t="shared" si="37"/>
        <v>9.4586076591915189E-2</v>
      </c>
      <c r="H329" s="1536">
        <f t="shared" si="37"/>
        <v>9.0239888048552833E-2</v>
      </c>
      <c r="I329" s="1536">
        <f t="shared" si="37"/>
        <v>8.503560124331988E-2</v>
      </c>
      <c r="J329" s="1536">
        <f t="shared" si="37"/>
        <v>8.0013899467651167E-2</v>
      </c>
      <c r="K329" s="1536">
        <f t="shared" si="37"/>
        <v>7.5165339762333055E-2</v>
      </c>
      <c r="L329" s="1536">
        <f t="shared" si="37"/>
        <v>7.0481119295869879E-2</v>
      </c>
      <c r="M329" s="1536">
        <f t="shared" si="37"/>
        <v>6.5953022026481234E-2</v>
      </c>
      <c r="N329" s="1536">
        <f t="shared" si="37"/>
        <v>6.157337060988121E-2</v>
      </c>
      <c r="O329" s="885"/>
      <c r="Q329" s="1171"/>
      <c r="R329" s="1171"/>
      <c r="S329" s="1171"/>
      <c r="T329" s="1171"/>
      <c r="U329" s="1171"/>
      <c r="V329" s="1171"/>
      <c r="W329" s="1171"/>
      <c r="X329" s="1171"/>
      <c r="Y329" s="1171"/>
      <c r="Z329" s="1171"/>
      <c r="AA329" s="1171"/>
      <c r="AB329" s="1171"/>
      <c r="AC329" s="1171"/>
      <c r="AD329" s="1171"/>
      <c r="AE329" s="1171"/>
      <c r="AF329" s="1171"/>
      <c r="AG329" s="1171"/>
      <c r="AH329" s="1171"/>
      <c r="AI329" s="1171"/>
      <c r="AJ329" s="1171"/>
      <c r="AK329" s="1171"/>
      <c r="AL329" s="1171"/>
    </row>
    <row r="330" spans="2:38" s="927" customFormat="1" ht="15.75">
      <c r="B330" s="55"/>
      <c r="C330" s="108"/>
      <c r="D330" s="108"/>
      <c r="E330" s="1267"/>
      <c r="F330" s="1533"/>
      <c r="G330" s="1537"/>
      <c r="H330" s="1537"/>
      <c r="I330" s="1537"/>
      <c r="J330" s="80"/>
      <c r="K330" s="80"/>
      <c r="L330" s="80"/>
      <c r="M330" s="80"/>
      <c r="N330" s="80"/>
      <c r="O330" s="885"/>
      <c r="Q330" s="1171"/>
      <c r="R330" s="1171"/>
      <c r="S330" s="1171"/>
      <c r="T330" s="1171"/>
      <c r="U330" s="1171"/>
      <c r="V330" s="1171"/>
      <c r="W330" s="1171"/>
      <c r="X330" s="1171"/>
      <c r="Y330" s="1171"/>
      <c r="Z330" s="1171"/>
      <c r="AA330" s="1171"/>
      <c r="AB330" s="1171"/>
      <c r="AC330" s="1171"/>
      <c r="AD330" s="1171"/>
      <c r="AE330" s="1171"/>
      <c r="AF330" s="1171"/>
      <c r="AG330" s="1171"/>
      <c r="AH330" s="1171"/>
      <c r="AI330" s="1171"/>
      <c r="AJ330" s="1171"/>
      <c r="AK330" s="1171"/>
      <c r="AL330" s="1171"/>
    </row>
    <row r="331" spans="2:38" s="927" customFormat="1" ht="15.75">
      <c r="B331" s="55"/>
      <c r="C331" s="49" t="s">
        <v>3149</v>
      </c>
      <c r="D331" s="67"/>
      <c r="E331" s="51"/>
      <c r="F331" s="67"/>
      <c r="G331" s="67"/>
      <c r="H331" s="67"/>
      <c r="I331" s="51"/>
      <c r="J331" s="80"/>
      <c r="K331" s="80"/>
      <c r="L331" s="80"/>
      <c r="M331" s="80"/>
      <c r="N331" s="3851" t="str">
        <f>Preferences.EnergyUnits &amp; " / bn passenger-km"</f>
        <v>TWh / bn passenger-km</v>
      </c>
      <c r="O331" s="885"/>
      <c r="Q331" s="1171"/>
      <c r="R331" s="1171"/>
      <c r="S331" s="1171"/>
      <c r="T331" s="1171"/>
      <c r="U331" s="1171"/>
      <c r="V331" s="1171"/>
      <c r="W331" s="1171"/>
      <c r="X331" s="1171"/>
      <c r="Y331" s="1171"/>
      <c r="Z331" s="1171"/>
      <c r="AA331" s="1171"/>
      <c r="AB331" s="1171"/>
      <c r="AC331" s="1171"/>
      <c r="AD331" s="1171"/>
      <c r="AE331" s="1171"/>
      <c r="AF331" s="1171"/>
      <c r="AG331" s="1171"/>
      <c r="AH331" s="1171"/>
      <c r="AI331" s="1171"/>
      <c r="AJ331" s="1171"/>
      <c r="AK331" s="1171"/>
      <c r="AL331" s="1171"/>
    </row>
    <row r="332" spans="2:38" s="927" customFormat="1" ht="15.75">
      <c r="B332" s="55"/>
      <c r="C332" s="67"/>
      <c r="D332" s="67"/>
      <c r="E332" s="67"/>
      <c r="F332" s="67"/>
      <c r="G332" s="67"/>
      <c r="H332" s="67"/>
      <c r="I332" s="67"/>
      <c r="J332" s="80"/>
      <c r="K332" s="80"/>
      <c r="L332" s="80"/>
      <c r="M332" s="80"/>
      <c r="N332" s="80"/>
      <c r="O332" s="885"/>
      <c r="Q332" s="1171"/>
      <c r="R332" s="1171"/>
      <c r="S332" s="1171"/>
      <c r="T332" s="1171"/>
      <c r="U332" s="1171"/>
      <c r="V332" s="1171"/>
      <c r="W332" s="1171"/>
      <c r="X332" s="1171"/>
      <c r="Y332" s="1171"/>
      <c r="Z332" s="1171"/>
      <c r="AA332" s="1171"/>
      <c r="AB332" s="1171"/>
      <c r="AC332" s="1171"/>
      <c r="AD332" s="1171"/>
      <c r="AE332" s="1171"/>
      <c r="AF332" s="1171"/>
      <c r="AG332" s="1171"/>
      <c r="AH332" s="1171"/>
      <c r="AI332" s="1171"/>
      <c r="AJ332" s="1171"/>
      <c r="AK332" s="1171"/>
      <c r="AL332" s="1171"/>
    </row>
    <row r="333" spans="2:38" s="927" customFormat="1" ht="15.75">
      <c r="B333" s="55"/>
      <c r="C333" s="887" t="s">
        <v>1010</v>
      </c>
      <c r="D333" s="887" t="s">
        <v>45</v>
      </c>
      <c r="E333" s="887" t="s">
        <v>30</v>
      </c>
      <c r="F333" s="92">
        <v>2013</v>
      </c>
      <c r="G333" s="92">
        <v>2015</v>
      </c>
      <c r="H333" s="92">
        <v>2020</v>
      </c>
      <c r="I333" s="92">
        <v>2025</v>
      </c>
      <c r="J333" s="92">
        <v>2030</v>
      </c>
      <c r="K333" s="92">
        <v>2035</v>
      </c>
      <c r="L333" s="92">
        <v>2040</v>
      </c>
      <c r="M333" s="92">
        <v>2045</v>
      </c>
      <c r="N333" s="92">
        <v>2050</v>
      </c>
      <c r="O333" s="885"/>
      <c r="Q333" s="1171"/>
      <c r="R333" s="1171"/>
      <c r="S333" s="1171"/>
      <c r="T333" s="1171"/>
      <c r="U333" s="1171"/>
      <c r="V333" s="1171"/>
      <c r="W333" s="1171"/>
      <c r="X333" s="1171"/>
      <c r="Y333" s="1171"/>
      <c r="Z333" s="1171"/>
      <c r="AA333" s="1171"/>
      <c r="AB333" s="1171"/>
      <c r="AC333" s="1171"/>
      <c r="AD333" s="1171"/>
      <c r="AE333" s="1171"/>
      <c r="AF333" s="1171"/>
      <c r="AG333" s="1171"/>
      <c r="AH333" s="1171"/>
      <c r="AI333" s="1171"/>
      <c r="AJ333" s="1171"/>
      <c r="AK333" s="1171"/>
      <c r="AL333" s="1171"/>
    </row>
    <row r="334" spans="2:38" s="927" customFormat="1" ht="15.75">
      <c r="B334" s="55"/>
      <c r="C334" s="890" t="s">
        <v>1136</v>
      </c>
      <c r="D334" s="890" t="s">
        <v>1151</v>
      </c>
      <c r="E334" s="1317"/>
      <c r="F334" s="1570"/>
      <c r="G334" s="1532">
        <f t="shared" ref="G334:N335" si="38">G159/INDEX(F$308:F$311, MATCH($C334, $C$308:$C$311, 0))</f>
        <v>0.16878858024691359</v>
      </c>
      <c r="H334" s="1532">
        <f t="shared" si="38"/>
        <v>0.16142498430634022</v>
      </c>
      <c r="I334" s="1532">
        <f t="shared" si="38"/>
        <v>0.14699271921494145</v>
      </c>
      <c r="J334" s="1532">
        <f t="shared" si="38"/>
        <v>0.13211472967220092</v>
      </c>
      <c r="K334" s="1532">
        <f t="shared" si="38"/>
        <v>0.11717659688674181</v>
      </c>
      <c r="L334" s="1532">
        <f t="shared" si="38"/>
        <v>0.10718540177604505</v>
      </c>
      <c r="M334" s="1532">
        <f t="shared" si="38"/>
        <v>0.10227247896864415</v>
      </c>
      <c r="N334" s="1532">
        <f t="shared" si="38"/>
        <v>9.9514991181657853E-2</v>
      </c>
      <c r="O334" s="885"/>
      <c r="Q334" s="1171"/>
      <c r="R334" s="1171"/>
      <c r="S334" s="1171"/>
      <c r="T334" s="1171"/>
      <c r="U334" s="1171"/>
      <c r="V334" s="1171"/>
      <c r="W334" s="1171"/>
      <c r="X334" s="1171"/>
      <c r="Y334" s="1171"/>
      <c r="Z334" s="1171"/>
      <c r="AA334" s="1171"/>
      <c r="AB334" s="1171"/>
      <c r="AC334" s="1171"/>
      <c r="AD334" s="1171"/>
      <c r="AE334" s="1171"/>
      <c r="AF334" s="1171"/>
      <c r="AG334" s="1171"/>
      <c r="AH334" s="1171"/>
      <c r="AI334" s="1171"/>
      <c r="AJ334" s="1171"/>
      <c r="AK334" s="1171"/>
      <c r="AL334" s="1171"/>
    </row>
    <row r="335" spans="2:38" s="927" customFormat="1" ht="15.75">
      <c r="B335" s="55"/>
      <c r="C335" s="199" t="s">
        <v>1138</v>
      </c>
      <c r="D335" s="199" t="s">
        <v>1151</v>
      </c>
      <c r="E335" s="1322"/>
      <c r="F335" s="1573"/>
      <c r="G335" s="1540">
        <f t="shared" si="38"/>
        <v>0.59813084112149539</v>
      </c>
      <c r="H335" s="1540">
        <f t="shared" si="38"/>
        <v>0.55700934579439254</v>
      </c>
      <c r="I335" s="1540">
        <f t="shared" si="38"/>
        <v>0.51869158878504673</v>
      </c>
      <c r="J335" s="1540">
        <f t="shared" si="38"/>
        <v>0.48317757009345796</v>
      </c>
      <c r="K335" s="1540">
        <f t="shared" si="38"/>
        <v>0.45046728971962624</v>
      </c>
      <c r="L335" s="1540">
        <f t="shared" si="38"/>
        <v>0.4196261682242991</v>
      </c>
      <c r="M335" s="1540">
        <f t="shared" si="38"/>
        <v>0.39065420560747666</v>
      </c>
      <c r="N335" s="1540">
        <f t="shared" si="38"/>
        <v>0.36355140186915891</v>
      </c>
      <c r="O335" s="885"/>
      <c r="Q335" s="1077"/>
      <c r="R335" s="1077"/>
      <c r="S335" s="1077"/>
      <c r="T335" s="1077"/>
      <c r="U335" s="1077"/>
      <c r="V335" s="1077"/>
      <c r="W335" s="1077"/>
      <c r="X335" s="1375"/>
      <c r="Y335" s="1171"/>
      <c r="Z335" s="1171"/>
      <c r="AA335" s="1171"/>
      <c r="AB335" s="1171"/>
      <c r="AC335" s="1171"/>
      <c r="AD335" s="1171"/>
      <c r="AE335" s="1171"/>
      <c r="AF335" s="1171"/>
      <c r="AG335" s="1171"/>
      <c r="AH335" s="1171"/>
      <c r="AI335" s="1171"/>
      <c r="AJ335" s="1171"/>
      <c r="AK335" s="1171"/>
      <c r="AL335" s="1171"/>
    </row>
    <row r="336" spans="2:38" s="927" customFormat="1" ht="15.75">
      <c r="B336" s="55"/>
      <c r="C336" s="108"/>
      <c r="D336" s="108"/>
      <c r="E336" s="1267"/>
      <c r="F336" s="1533"/>
      <c r="G336" s="1493"/>
      <c r="H336" s="1493"/>
      <c r="I336" s="1493"/>
      <c r="J336" s="1493"/>
      <c r="K336" s="1493"/>
      <c r="L336" s="1493"/>
      <c r="M336" s="1493"/>
      <c r="N336" s="1493"/>
      <c r="O336" s="885"/>
      <c r="Q336" s="1077"/>
      <c r="R336" s="1077"/>
      <c r="S336" s="1077"/>
      <c r="T336" s="1077"/>
      <c r="U336" s="1077"/>
      <c r="V336" s="1077"/>
      <c r="W336" s="1077"/>
      <c r="X336" s="1375"/>
      <c r="Y336" s="1171"/>
      <c r="Z336" s="1171"/>
      <c r="AA336" s="1171"/>
      <c r="AB336" s="1171"/>
      <c r="AC336" s="1171"/>
      <c r="AD336" s="1171"/>
      <c r="AE336" s="1171"/>
      <c r="AF336" s="1171"/>
      <c r="AG336" s="1171"/>
      <c r="AH336" s="1171"/>
      <c r="AI336" s="1171"/>
      <c r="AJ336" s="1171"/>
      <c r="AK336" s="1171"/>
      <c r="AL336" s="1171"/>
    </row>
    <row r="337" spans="1:38" s="927" customFormat="1" ht="15.75">
      <c r="B337" s="55"/>
      <c r="C337" s="65"/>
      <c r="D337" s="122"/>
      <c r="E337" s="108"/>
      <c r="F337" s="1310"/>
      <c r="G337" s="1311"/>
      <c r="H337" s="1311"/>
      <c r="I337" s="1311"/>
      <c r="J337" s="1311"/>
      <c r="K337" s="80"/>
      <c r="L337" s="80"/>
      <c r="M337" s="80"/>
      <c r="N337" s="80"/>
      <c r="O337" s="885"/>
      <c r="Q337" s="1077"/>
      <c r="R337" s="1077"/>
      <c r="S337" s="1077"/>
      <c r="T337" s="1077"/>
      <c r="U337" s="1077"/>
      <c r="V337" s="1077"/>
      <c r="W337" s="1077"/>
      <c r="X337" s="1375"/>
      <c r="Y337" s="1171"/>
      <c r="Z337" s="1171"/>
      <c r="AA337" s="1171"/>
      <c r="AB337" s="1171"/>
      <c r="AC337" s="1171"/>
      <c r="AD337" s="1171"/>
      <c r="AE337" s="1171"/>
      <c r="AF337" s="1171"/>
      <c r="AG337" s="1171"/>
      <c r="AH337" s="1171"/>
      <c r="AI337" s="1171"/>
      <c r="AJ337" s="1171"/>
      <c r="AK337" s="1171"/>
      <c r="AL337" s="1171"/>
    </row>
    <row r="338" spans="1:38">
      <c r="B338" s="877"/>
      <c r="Q338" s="1077"/>
      <c r="R338" s="1077"/>
      <c r="S338" s="1077"/>
      <c r="T338" s="1077"/>
      <c r="U338" s="1077"/>
      <c r="V338" s="1077"/>
      <c r="W338" s="1077"/>
      <c r="X338" s="1375"/>
      <c r="Y338" s="1077"/>
      <c r="Z338" s="1077"/>
      <c r="AA338" s="1077"/>
      <c r="AB338" s="1077"/>
      <c r="AC338" s="1077"/>
      <c r="AD338" s="1077"/>
      <c r="AE338" s="1077"/>
      <c r="AF338" s="1077"/>
      <c r="AG338" s="1077"/>
      <c r="AH338" s="1077"/>
      <c r="AI338" s="1077"/>
      <c r="AJ338" s="1077"/>
      <c r="AK338" s="1077"/>
      <c r="AL338" s="1077"/>
    </row>
    <row r="339" spans="1:38" s="6" customFormat="1" ht="23.25">
      <c r="A339" s="40"/>
      <c r="B339" s="878" t="s">
        <v>2794</v>
      </c>
      <c r="C339" s="879"/>
      <c r="D339" s="879"/>
      <c r="E339" s="879"/>
      <c r="F339" s="879"/>
      <c r="G339" s="879"/>
      <c r="H339" s="879"/>
      <c r="I339" s="879"/>
      <c r="J339" s="879"/>
      <c r="K339" s="879"/>
      <c r="L339" s="879"/>
      <c r="M339" s="879"/>
      <c r="N339" s="879"/>
      <c r="O339" s="880"/>
      <c r="Q339" s="1077"/>
      <c r="R339" s="1077"/>
      <c r="S339" s="1077"/>
      <c r="T339" s="1077"/>
      <c r="U339" s="1077"/>
      <c r="V339" s="1077"/>
      <c r="W339" s="1077"/>
      <c r="X339" s="1375"/>
      <c r="Y339" s="656"/>
      <c r="Z339" s="656"/>
      <c r="AA339" s="656"/>
      <c r="AB339" s="656"/>
      <c r="AC339" s="656"/>
      <c r="AD339" s="656"/>
      <c r="AE339" s="656"/>
      <c r="AF339" s="656"/>
      <c r="AG339" s="656"/>
      <c r="AH339" s="656"/>
      <c r="AI339" s="656"/>
      <c r="AJ339" s="656"/>
      <c r="AK339" s="656"/>
      <c r="AL339" s="656"/>
    </row>
    <row r="340" spans="1:38" hidden="1">
      <c r="B340" s="110"/>
      <c r="C340" s="67"/>
      <c r="D340" s="67"/>
      <c r="E340" s="67"/>
      <c r="F340" s="67"/>
      <c r="G340" s="67"/>
      <c r="H340" s="67"/>
      <c r="I340" s="67"/>
      <c r="J340" s="67"/>
      <c r="K340" s="67"/>
      <c r="L340" s="67"/>
      <c r="M340" s="67"/>
      <c r="N340" s="67"/>
      <c r="O340" s="885"/>
      <c r="Q340" s="1077"/>
      <c r="R340" s="1077"/>
      <c r="S340" s="1077"/>
      <c r="T340" s="1077"/>
      <c r="U340" s="1077"/>
      <c r="V340" s="1077"/>
      <c r="W340" s="1077"/>
      <c r="X340" s="1375"/>
      <c r="Y340" s="1077"/>
      <c r="Z340" s="1077"/>
      <c r="AA340" s="1077"/>
      <c r="AB340" s="1077"/>
      <c r="AC340" s="1077"/>
      <c r="AD340" s="1077"/>
      <c r="AE340" s="1077"/>
      <c r="AF340" s="1077"/>
      <c r="AG340" s="1077"/>
      <c r="AH340" s="1077"/>
      <c r="AI340" s="1077"/>
      <c r="AJ340" s="1077"/>
      <c r="AK340" s="1077"/>
      <c r="AL340" s="1077"/>
    </row>
    <row r="341" spans="1:38" hidden="1">
      <c r="B341" s="67"/>
      <c r="C341" s="49" t="s">
        <v>169</v>
      </c>
      <c r="D341" s="67"/>
      <c r="E341" s="67"/>
      <c r="F341" s="67"/>
      <c r="G341" s="67"/>
      <c r="H341" s="67"/>
      <c r="I341" s="67"/>
      <c r="J341" s="67"/>
      <c r="K341" s="67"/>
      <c r="L341" s="67"/>
      <c r="M341" s="67"/>
      <c r="N341" s="1574" t="s">
        <v>2841</v>
      </c>
      <c r="O341" s="885"/>
      <c r="Q341" s="1077"/>
      <c r="R341" s="1077"/>
      <c r="S341" s="1077"/>
      <c r="T341" s="1077"/>
      <c r="U341" s="1077"/>
      <c r="V341" s="1077"/>
      <c r="W341" s="1077"/>
      <c r="X341" s="1375"/>
      <c r="Y341" s="1077"/>
      <c r="Z341" s="1077"/>
      <c r="AA341" s="1077"/>
      <c r="AB341" s="1077"/>
      <c r="AC341" s="1077"/>
      <c r="AD341" s="1077"/>
      <c r="AE341" s="1077"/>
      <c r="AF341" s="1077"/>
      <c r="AG341" s="1077"/>
      <c r="AH341" s="1077"/>
      <c r="AI341" s="1077"/>
      <c r="AJ341" s="1077"/>
      <c r="AK341" s="1077"/>
      <c r="AL341" s="1077"/>
    </row>
    <row r="342" spans="1:38" hidden="1">
      <c r="B342" s="47"/>
      <c r="C342" s="1575" t="s">
        <v>1179</v>
      </c>
      <c r="D342" s="1576"/>
      <c r="E342" s="1577" t="s">
        <v>160</v>
      </c>
      <c r="F342" s="1578">
        <v>2013</v>
      </c>
      <c r="G342" s="1578">
        <v>2015</v>
      </c>
      <c r="H342" s="1578">
        <v>2020</v>
      </c>
      <c r="I342" s="1578">
        <v>2025</v>
      </c>
      <c r="J342" s="1578">
        <v>2030</v>
      </c>
      <c r="K342" s="1578">
        <v>2035</v>
      </c>
      <c r="L342" s="1578">
        <v>2040</v>
      </c>
      <c r="M342" s="1578">
        <v>2045</v>
      </c>
      <c r="N342" s="1578">
        <v>2050</v>
      </c>
      <c r="O342" s="885"/>
      <c r="Q342" s="1077"/>
      <c r="R342" s="1077"/>
      <c r="S342" s="1077"/>
      <c r="T342" s="1077"/>
      <c r="U342" s="1077"/>
      <c r="V342" s="1077"/>
      <c r="W342" s="1077"/>
      <c r="X342" s="1375"/>
      <c r="Y342" s="1077"/>
      <c r="Z342" s="1077"/>
      <c r="AA342" s="1077"/>
      <c r="AB342" s="1077"/>
      <c r="AC342" s="1077"/>
      <c r="AD342" s="1077"/>
      <c r="AE342" s="1077"/>
      <c r="AF342" s="1077"/>
      <c r="AG342" s="1077"/>
      <c r="AH342" s="1077"/>
      <c r="AI342" s="1077"/>
      <c r="AJ342" s="1077"/>
      <c r="AK342" s="1077"/>
      <c r="AL342" s="1077"/>
    </row>
    <row r="343" spans="1:38" hidden="1">
      <c r="B343" s="47"/>
      <c r="C343" s="1200" t="s">
        <v>1134</v>
      </c>
      <c r="D343" s="1200" t="s">
        <v>1134</v>
      </c>
      <c r="E343" s="1103">
        <v>0</v>
      </c>
      <c r="F343" s="1579">
        <v>0.5</v>
      </c>
      <c r="G343" s="1579">
        <v>0.5</v>
      </c>
      <c r="H343" s="1579">
        <v>0.5</v>
      </c>
      <c r="I343" s="1579">
        <v>0.5</v>
      </c>
      <c r="J343" s="1579">
        <v>0.5</v>
      </c>
      <c r="K343" s="1579">
        <v>0.5</v>
      </c>
      <c r="L343" s="1579">
        <v>0.5</v>
      </c>
      <c r="M343" s="1579">
        <v>0.5</v>
      </c>
      <c r="N343" s="1580">
        <v>0.5</v>
      </c>
      <c r="O343" s="885"/>
      <c r="Q343" s="1077"/>
      <c r="R343" s="1077"/>
      <c r="S343" s="1077"/>
      <c r="T343" s="1077"/>
      <c r="U343" s="1077"/>
      <c r="V343" s="1077"/>
      <c r="W343" s="1077"/>
      <c r="X343" s="1375"/>
      <c r="Y343" s="1077"/>
      <c r="Z343" s="1077"/>
      <c r="AA343" s="1077"/>
      <c r="AB343" s="1077"/>
      <c r="AC343" s="1077"/>
      <c r="AD343" s="1077"/>
      <c r="AE343" s="1077"/>
      <c r="AF343" s="1077"/>
      <c r="AG343" s="1077"/>
      <c r="AH343" s="1077"/>
      <c r="AI343" s="1077"/>
      <c r="AJ343" s="1077"/>
      <c r="AK343" s="1077"/>
      <c r="AL343" s="1077"/>
    </row>
    <row r="344" spans="1:38" hidden="1">
      <c r="B344" s="47"/>
      <c r="C344" s="977" t="s">
        <v>1136</v>
      </c>
      <c r="D344" s="977" t="s">
        <v>1148</v>
      </c>
      <c r="E344" s="973">
        <v>0</v>
      </c>
      <c r="F344" s="1581">
        <v>20</v>
      </c>
      <c r="G344" s="1582">
        <v>20</v>
      </c>
      <c r="H344" s="1582">
        <v>20</v>
      </c>
      <c r="I344" s="1582">
        <v>20</v>
      </c>
      <c r="J344" s="1582">
        <v>20</v>
      </c>
      <c r="K344" s="1582">
        <v>20</v>
      </c>
      <c r="L344" s="1582">
        <v>20</v>
      </c>
      <c r="M344" s="1582">
        <v>20</v>
      </c>
      <c r="N344" s="1583">
        <v>20</v>
      </c>
      <c r="O344" s="885"/>
      <c r="Q344" s="1077"/>
      <c r="R344" s="1077"/>
      <c r="S344" s="1077"/>
      <c r="T344" s="1077"/>
      <c r="U344" s="1077"/>
      <c r="V344" s="1077"/>
      <c r="W344" s="1077"/>
      <c r="X344" s="1375"/>
      <c r="Y344" s="1077"/>
      <c r="Z344" s="1077"/>
      <c r="AA344" s="1077"/>
      <c r="AB344" s="1077"/>
      <c r="AC344" s="1077"/>
      <c r="AD344" s="1077"/>
      <c r="AE344" s="1077"/>
      <c r="AF344" s="1077"/>
      <c r="AG344" s="1077"/>
      <c r="AH344" s="1077"/>
      <c r="AI344" s="1077"/>
      <c r="AJ344" s="1077"/>
      <c r="AK344" s="1077"/>
      <c r="AL344" s="1077"/>
    </row>
    <row r="345" spans="1:38" hidden="1">
      <c r="B345" s="47"/>
      <c r="C345" s="108" t="s">
        <v>1136</v>
      </c>
      <c r="D345" s="108" t="s">
        <v>1149</v>
      </c>
      <c r="E345" s="67">
        <v>0</v>
      </c>
      <c r="F345" s="1522">
        <v>41.999999999999993</v>
      </c>
      <c r="G345" s="1584">
        <v>41.999999999999993</v>
      </c>
      <c r="H345" s="1584">
        <v>41.999999999999993</v>
      </c>
      <c r="I345" s="1584">
        <v>41.999999999999993</v>
      </c>
      <c r="J345" s="1584">
        <v>41.999999999999993</v>
      </c>
      <c r="K345" s="1584">
        <v>41.999999999999993</v>
      </c>
      <c r="L345" s="1584">
        <v>41.999999999999993</v>
      </c>
      <c r="M345" s="1584">
        <v>41.999999999999993</v>
      </c>
      <c r="N345" s="1585">
        <v>41.999999999999993</v>
      </c>
      <c r="O345" s="885"/>
      <c r="Q345" s="1077"/>
      <c r="R345" s="1077"/>
      <c r="S345" s="1077"/>
      <c r="T345" s="1077"/>
      <c r="U345" s="1077"/>
      <c r="V345" s="1077"/>
      <c r="W345" s="1077"/>
      <c r="X345" s="1375"/>
      <c r="Y345" s="1077"/>
      <c r="Z345" s="1077"/>
      <c r="AA345" s="1077"/>
      <c r="AB345" s="1077"/>
      <c r="AC345" s="1077"/>
      <c r="AD345" s="1077"/>
      <c r="AE345" s="1077"/>
      <c r="AF345" s="1077"/>
      <c r="AG345" s="1077"/>
      <c r="AH345" s="1077"/>
      <c r="AI345" s="1077"/>
      <c r="AJ345" s="1077"/>
      <c r="AK345" s="1077"/>
      <c r="AL345" s="1077"/>
    </row>
    <row r="346" spans="1:38" hidden="1">
      <c r="B346" s="47"/>
      <c r="C346" s="108" t="s">
        <v>1136</v>
      </c>
      <c r="D346" s="108" t="s">
        <v>1150</v>
      </c>
      <c r="E346" s="67">
        <v>0</v>
      </c>
      <c r="F346" s="1522">
        <v>59.44</v>
      </c>
      <c r="G346" s="1584">
        <v>59.44</v>
      </c>
      <c r="H346" s="1584">
        <v>59.44</v>
      </c>
      <c r="I346" s="1584">
        <v>59.44</v>
      </c>
      <c r="J346" s="1584">
        <v>59.44</v>
      </c>
      <c r="K346" s="1584">
        <v>59.44</v>
      </c>
      <c r="L346" s="1584">
        <v>59.44</v>
      </c>
      <c r="M346" s="1584">
        <v>59.44</v>
      </c>
      <c r="N346" s="1585">
        <v>59.44</v>
      </c>
      <c r="O346" s="885"/>
      <c r="Q346" s="1077"/>
      <c r="R346" s="1077"/>
      <c r="S346" s="1077"/>
      <c r="T346" s="1077"/>
      <c r="U346" s="1077"/>
      <c r="V346" s="1077"/>
      <c r="W346" s="1077"/>
      <c r="X346" s="1375"/>
      <c r="Y346" s="1077"/>
      <c r="Z346" s="1077"/>
      <c r="AA346" s="1077"/>
      <c r="AB346" s="1077"/>
      <c r="AC346" s="1077"/>
      <c r="AD346" s="1077"/>
      <c r="AE346" s="1077"/>
      <c r="AF346" s="1077"/>
      <c r="AG346" s="1077"/>
      <c r="AH346" s="1077"/>
      <c r="AI346" s="1077"/>
      <c r="AJ346" s="1077"/>
      <c r="AK346" s="1077"/>
      <c r="AL346" s="1077"/>
    </row>
    <row r="347" spans="1:38" hidden="1">
      <c r="B347" s="47"/>
      <c r="C347" s="199" t="s">
        <v>1136</v>
      </c>
      <c r="D347" s="199" t="s">
        <v>1151</v>
      </c>
      <c r="E347" s="978">
        <v>0</v>
      </c>
      <c r="F347" s="1529">
        <v>150</v>
      </c>
      <c r="G347" s="1586">
        <v>150</v>
      </c>
      <c r="H347" s="1586">
        <v>150</v>
      </c>
      <c r="I347" s="1586">
        <v>150</v>
      </c>
      <c r="J347" s="1586">
        <v>150</v>
      </c>
      <c r="K347" s="1586">
        <v>150</v>
      </c>
      <c r="L347" s="1586">
        <v>150</v>
      </c>
      <c r="M347" s="1586">
        <v>150</v>
      </c>
      <c r="N347" s="1587">
        <v>150</v>
      </c>
      <c r="O347" s="885"/>
      <c r="Q347" s="1077"/>
      <c r="R347" s="1077"/>
      <c r="S347" s="1077"/>
      <c r="T347" s="1077"/>
      <c r="U347" s="1077"/>
      <c r="V347" s="1077"/>
      <c r="W347" s="1077"/>
      <c r="X347" s="1375"/>
      <c r="Y347" s="1077"/>
      <c r="Z347" s="1077"/>
      <c r="AA347" s="1077"/>
      <c r="AB347" s="1077"/>
      <c r="AC347" s="1077"/>
      <c r="AD347" s="1077"/>
      <c r="AE347" s="1077"/>
      <c r="AF347" s="1077"/>
      <c r="AG347" s="1077"/>
      <c r="AH347" s="1077"/>
      <c r="AI347" s="1077"/>
      <c r="AJ347" s="1077"/>
      <c r="AK347" s="1077"/>
      <c r="AL347" s="1077"/>
    </row>
    <row r="348" spans="1:38" hidden="1">
      <c r="B348" s="47"/>
      <c r="C348" s="977" t="s">
        <v>1138</v>
      </c>
      <c r="D348" s="977" t="s">
        <v>1148</v>
      </c>
      <c r="E348" s="973">
        <v>0</v>
      </c>
      <c r="F348" s="1581">
        <v>235.68964894155999</v>
      </c>
      <c r="G348" s="1582">
        <v>235.68964894155999</v>
      </c>
      <c r="H348" s="1582">
        <v>235.68964894155999</v>
      </c>
      <c r="I348" s="1582">
        <v>235.68964894155999</v>
      </c>
      <c r="J348" s="1582">
        <v>235.68964894155999</v>
      </c>
      <c r="K348" s="1582">
        <v>235.68964894155999</v>
      </c>
      <c r="L348" s="1582">
        <v>235.68964894155999</v>
      </c>
      <c r="M348" s="1582">
        <v>235.68964894155999</v>
      </c>
      <c r="N348" s="1583">
        <v>235.68964894155999</v>
      </c>
      <c r="O348" s="885"/>
      <c r="Q348" s="1077"/>
      <c r="R348" s="1077"/>
      <c r="S348" s="1077"/>
      <c r="T348" s="1077"/>
      <c r="U348" s="1077"/>
      <c r="V348" s="1077"/>
      <c r="W348" s="1077"/>
      <c r="X348" s="1375"/>
      <c r="Y348" s="1077"/>
      <c r="Z348" s="1077"/>
      <c r="AA348" s="1077"/>
      <c r="AB348" s="1077"/>
      <c r="AC348" s="1077"/>
      <c r="AD348" s="1077"/>
      <c r="AE348" s="1077"/>
      <c r="AF348" s="1077"/>
      <c r="AG348" s="1077"/>
      <c r="AH348" s="1077"/>
      <c r="AI348" s="1077"/>
      <c r="AJ348" s="1077"/>
      <c r="AK348" s="1077"/>
      <c r="AL348" s="1077"/>
    </row>
    <row r="349" spans="1:38" hidden="1">
      <c r="B349" s="47"/>
      <c r="C349" s="108" t="s">
        <v>1138</v>
      </c>
      <c r="D349" s="108" t="s">
        <v>1152</v>
      </c>
      <c r="E349" s="67">
        <v>0</v>
      </c>
      <c r="F349" s="1522">
        <v>271.99346358408502</v>
      </c>
      <c r="G349" s="1584">
        <v>271.99346358408502</v>
      </c>
      <c r="H349" s="1584">
        <v>271.99346358408502</v>
      </c>
      <c r="I349" s="1584">
        <v>271.99346358408502</v>
      </c>
      <c r="J349" s="1584">
        <v>271.99346358408502</v>
      </c>
      <c r="K349" s="1584">
        <v>271.99346358408502</v>
      </c>
      <c r="L349" s="1584">
        <v>271.99346358408502</v>
      </c>
      <c r="M349" s="1584">
        <v>271.99346358408502</v>
      </c>
      <c r="N349" s="1585">
        <v>271.99346358408502</v>
      </c>
      <c r="O349" s="885"/>
      <c r="Q349" s="1077"/>
      <c r="R349" s="1077"/>
      <c r="S349" s="1077"/>
      <c r="T349" s="1077"/>
      <c r="U349" s="1077"/>
      <c r="V349" s="1077"/>
      <c r="W349" s="1077"/>
      <c r="X349" s="1375"/>
      <c r="Y349" s="1077"/>
      <c r="Z349" s="1077"/>
      <c r="AA349" s="1077"/>
      <c r="AB349" s="1077"/>
      <c r="AC349" s="1077"/>
      <c r="AD349" s="1077"/>
      <c r="AE349" s="1077"/>
      <c r="AF349" s="1077"/>
      <c r="AG349" s="1077"/>
      <c r="AH349" s="1077"/>
      <c r="AI349" s="1077"/>
      <c r="AJ349" s="1077"/>
      <c r="AK349" s="1077"/>
      <c r="AL349" s="1077"/>
    </row>
    <row r="350" spans="1:38" hidden="1">
      <c r="B350" s="47"/>
      <c r="C350" s="108" t="s">
        <v>1138</v>
      </c>
      <c r="D350" s="108" t="s">
        <v>1150</v>
      </c>
      <c r="E350" s="67">
        <v>0</v>
      </c>
      <c r="F350" s="1522">
        <v>441.64725221829298</v>
      </c>
      <c r="G350" s="1584">
        <v>441.64725221829298</v>
      </c>
      <c r="H350" s="1584">
        <v>441.64725221829298</v>
      </c>
      <c r="I350" s="1584">
        <v>441.64725221829298</v>
      </c>
      <c r="J350" s="1584">
        <v>441.64725221829298</v>
      </c>
      <c r="K350" s="1584">
        <v>441.64725221829298</v>
      </c>
      <c r="L350" s="1584">
        <v>441.64725221829298</v>
      </c>
      <c r="M350" s="1584">
        <v>441.64725221829298</v>
      </c>
      <c r="N350" s="1585">
        <v>441.64725221829298</v>
      </c>
      <c r="O350" s="885"/>
      <c r="Q350" s="1077"/>
      <c r="R350" s="1077"/>
      <c r="S350" s="1077"/>
      <c r="T350" s="1077"/>
      <c r="U350" s="1077"/>
      <c r="V350" s="1077"/>
      <c r="W350" s="1077"/>
      <c r="X350" s="1375"/>
      <c r="Y350" s="1077"/>
      <c r="Z350" s="1077"/>
      <c r="AA350" s="1077"/>
      <c r="AB350" s="1077"/>
      <c r="AC350" s="1077"/>
      <c r="AD350" s="1077"/>
      <c r="AE350" s="1077"/>
      <c r="AF350" s="1077"/>
      <c r="AG350" s="1077"/>
      <c r="AH350" s="1077"/>
      <c r="AI350" s="1077"/>
      <c r="AJ350" s="1077"/>
      <c r="AK350" s="1077"/>
      <c r="AL350" s="1077"/>
    </row>
    <row r="351" spans="1:38" hidden="1">
      <c r="B351" s="47"/>
      <c r="C351" s="199" t="s">
        <v>1138</v>
      </c>
      <c r="D351" s="199" t="s">
        <v>1151</v>
      </c>
      <c r="E351" s="978">
        <v>0</v>
      </c>
      <c r="F351" s="1529">
        <v>1052.8654813374299</v>
      </c>
      <c r="G351" s="1586">
        <v>1052.8654813374299</v>
      </c>
      <c r="H351" s="1586">
        <v>1052.8654813374299</v>
      </c>
      <c r="I351" s="1586">
        <v>1052.8654813374299</v>
      </c>
      <c r="J351" s="1586">
        <v>1052.8654813374299</v>
      </c>
      <c r="K351" s="1586">
        <v>1052.8654813374299</v>
      </c>
      <c r="L351" s="1586">
        <v>1052.8654813374299</v>
      </c>
      <c r="M351" s="1586">
        <v>1052.8654813374299</v>
      </c>
      <c r="N351" s="1587">
        <v>1052.8654813374299</v>
      </c>
      <c r="O351" s="885"/>
      <c r="Q351" s="1077"/>
      <c r="R351" s="1077"/>
      <c r="S351" s="1077"/>
      <c r="T351" s="1077"/>
      <c r="U351" s="1077"/>
      <c r="V351" s="1077"/>
      <c r="W351" s="1077"/>
      <c r="X351" s="1375"/>
      <c r="Y351" s="1077"/>
      <c r="Z351" s="1077"/>
      <c r="AA351" s="1077"/>
      <c r="AB351" s="1077"/>
      <c r="AC351" s="1077"/>
      <c r="AD351" s="1077"/>
      <c r="AE351" s="1077"/>
      <c r="AF351" s="1077"/>
      <c r="AG351" s="1077"/>
      <c r="AH351" s="1077"/>
      <c r="AI351" s="1077"/>
      <c r="AJ351" s="1077"/>
      <c r="AK351" s="1077"/>
      <c r="AL351" s="1077"/>
    </row>
    <row r="352" spans="1:38" hidden="1">
      <c r="B352" s="47"/>
      <c r="C352" s="977" t="s">
        <v>1140</v>
      </c>
      <c r="D352" s="977" t="s">
        <v>1153</v>
      </c>
      <c r="E352" s="973">
        <v>0</v>
      </c>
      <c r="F352" s="1581">
        <v>124.09699999999999</v>
      </c>
      <c r="G352" s="1582">
        <v>124.09699999999999</v>
      </c>
      <c r="H352" s="1582">
        <v>124.09699999999999</v>
      </c>
      <c r="I352" s="1582">
        <v>124.09699999999999</v>
      </c>
      <c r="J352" s="1582">
        <v>124.09699999999999</v>
      </c>
      <c r="K352" s="1582">
        <v>124.09699999999999</v>
      </c>
      <c r="L352" s="1582">
        <v>124.09699999999999</v>
      </c>
      <c r="M352" s="1582">
        <v>124.09699999999999</v>
      </c>
      <c r="N352" s="1583">
        <v>124.09699999999999</v>
      </c>
      <c r="O352" s="885"/>
      <c r="Q352" s="1077"/>
      <c r="R352" s="1077"/>
      <c r="S352" s="1077"/>
      <c r="T352" s="1077"/>
      <c r="U352" s="1077"/>
      <c r="V352" s="1077"/>
      <c r="W352" s="1077"/>
      <c r="X352" s="1375"/>
      <c r="Y352" s="1077"/>
      <c r="Z352" s="1077"/>
      <c r="AA352" s="1077"/>
      <c r="AB352" s="1077"/>
      <c r="AC352" s="1077"/>
      <c r="AD352" s="1077"/>
      <c r="AE352" s="1077"/>
      <c r="AF352" s="1077"/>
      <c r="AG352" s="1077"/>
      <c r="AH352" s="1077"/>
      <c r="AI352" s="1077"/>
      <c r="AJ352" s="1077"/>
      <c r="AK352" s="1077"/>
      <c r="AL352" s="1077"/>
    </row>
    <row r="353" spans="2:38" hidden="1">
      <c r="B353" s="47"/>
      <c r="C353" s="199" t="s">
        <v>1140</v>
      </c>
      <c r="D353" s="199" t="s">
        <v>1154</v>
      </c>
      <c r="E353" s="978">
        <v>0</v>
      </c>
      <c r="F353" s="1529">
        <v>333.39599999999996</v>
      </c>
      <c r="G353" s="1586">
        <v>333.39599999999996</v>
      </c>
      <c r="H353" s="1586">
        <v>333.39599999999996</v>
      </c>
      <c r="I353" s="1586">
        <v>333.39599999999996</v>
      </c>
      <c r="J353" s="1586">
        <v>333.39599999999996</v>
      </c>
      <c r="K353" s="1586">
        <v>333.39599999999996</v>
      </c>
      <c r="L353" s="1586">
        <v>333.39599999999996</v>
      </c>
      <c r="M353" s="1586">
        <v>333.39599999999996</v>
      </c>
      <c r="N353" s="1587">
        <v>333.39599999999996</v>
      </c>
      <c r="O353" s="885"/>
      <c r="Q353" s="1077"/>
      <c r="R353" s="1077"/>
      <c r="S353" s="1077"/>
      <c r="T353" s="1077"/>
      <c r="U353" s="1077"/>
      <c r="V353" s="1077"/>
      <c r="W353" s="1077"/>
      <c r="X353" s="1077"/>
      <c r="Y353" s="1077"/>
      <c r="Z353" s="1077"/>
      <c r="AA353" s="1077"/>
      <c r="AB353" s="1077"/>
      <c r="AC353" s="1077"/>
      <c r="AD353" s="1077"/>
      <c r="AE353" s="1077"/>
      <c r="AF353" s="1077"/>
      <c r="AG353" s="1077"/>
      <c r="AH353" s="1077"/>
      <c r="AI353" s="1077"/>
      <c r="AJ353" s="1077"/>
      <c r="AK353" s="1077"/>
      <c r="AL353" s="1077"/>
    </row>
    <row r="354" spans="2:38" hidden="1">
      <c r="B354" s="47"/>
      <c r="C354" s="1200" t="s">
        <v>1142</v>
      </c>
      <c r="D354" s="1200" t="s">
        <v>1142</v>
      </c>
      <c r="E354" s="1103">
        <v>0</v>
      </c>
      <c r="F354" s="1588">
        <v>57337.603745725799</v>
      </c>
      <c r="G354" s="1579">
        <v>57337.603745725799</v>
      </c>
      <c r="H354" s="1579">
        <v>57337.603745725799</v>
      </c>
      <c r="I354" s="1579">
        <v>57337.603745725799</v>
      </c>
      <c r="J354" s="1579">
        <v>57337.603745725799</v>
      </c>
      <c r="K354" s="1579">
        <v>57337.603745725799</v>
      </c>
      <c r="L354" s="1579">
        <v>57337.603745725799</v>
      </c>
      <c r="M354" s="1579">
        <v>57337.603745725799</v>
      </c>
      <c r="N354" s="1589">
        <v>57337.603745725799</v>
      </c>
      <c r="O354" s="885"/>
      <c r="Q354" s="1077"/>
      <c r="R354" s="1077"/>
      <c r="S354" s="1077"/>
      <c r="T354" s="1077"/>
      <c r="U354" s="1077"/>
      <c r="V354" s="1077"/>
      <c r="W354" s="1077"/>
      <c r="X354" s="1077"/>
      <c r="Y354" s="1077"/>
      <c r="Z354" s="1077"/>
      <c r="AA354" s="1077"/>
      <c r="AB354" s="1077"/>
      <c r="AC354" s="1077"/>
      <c r="AD354" s="1077"/>
      <c r="AE354" s="1077"/>
      <c r="AF354" s="1077"/>
      <c r="AG354" s="1077"/>
      <c r="AH354" s="1077"/>
      <c r="AI354" s="1077"/>
      <c r="AJ354" s="1077"/>
      <c r="AK354" s="1077"/>
      <c r="AL354" s="1077"/>
    </row>
    <row r="355" spans="2:38" hidden="1">
      <c r="B355" s="359"/>
      <c r="C355" s="47"/>
      <c r="D355" s="47"/>
      <c r="E355" s="47"/>
      <c r="F355" s="47"/>
      <c r="G355" s="47"/>
      <c r="H355" s="47"/>
      <c r="I355" s="47"/>
      <c r="J355" s="47"/>
      <c r="K355" s="47"/>
      <c r="L355" s="47"/>
      <c r="M355" s="47"/>
      <c r="N355" s="968"/>
      <c r="O355" s="885"/>
      <c r="Q355" s="1077"/>
      <c r="R355" s="1077"/>
      <c r="S355" s="1077"/>
      <c r="T355" s="1077"/>
      <c r="U355" s="1077"/>
      <c r="V355" s="1077"/>
      <c r="W355" s="1077"/>
      <c r="X355" s="1077"/>
      <c r="Y355" s="1077"/>
      <c r="Z355" s="1077"/>
      <c r="AA355" s="1077"/>
      <c r="AB355" s="1077"/>
      <c r="AC355" s="1077"/>
      <c r="AD355" s="1077"/>
      <c r="AE355" s="1077"/>
      <c r="AF355" s="1077"/>
      <c r="AG355" s="1077"/>
      <c r="AH355" s="1077"/>
      <c r="AI355" s="1077"/>
      <c r="AJ355" s="1077"/>
      <c r="AK355" s="1077"/>
      <c r="AL355" s="1077"/>
    </row>
    <row r="356" spans="2:38" hidden="1">
      <c r="B356" s="359"/>
      <c r="C356" s="67"/>
      <c r="D356" s="67"/>
      <c r="E356" s="67"/>
      <c r="F356" s="67"/>
      <c r="G356" s="67"/>
      <c r="H356" s="67"/>
      <c r="I356" s="67"/>
      <c r="J356" s="67"/>
      <c r="K356" s="67"/>
      <c r="L356" s="67"/>
      <c r="M356" s="67"/>
      <c r="N356" s="1590" t="s">
        <v>2841</v>
      </c>
      <c r="O356" s="885"/>
      <c r="Q356" s="1077"/>
      <c r="R356" s="1077"/>
      <c r="S356" s="1077"/>
      <c r="T356" s="1077"/>
      <c r="U356" s="1077"/>
      <c r="V356" s="1077"/>
      <c r="W356" s="1077"/>
      <c r="X356" s="1077"/>
      <c r="Y356" s="1077"/>
      <c r="Z356" s="1077"/>
      <c r="AA356" s="1077"/>
      <c r="AB356" s="1077"/>
      <c r="AC356" s="1077"/>
      <c r="AD356" s="1077"/>
      <c r="AE356" s="1077"/>
      <c r="AF356" s="1077"/>
      <c r="AG356" s="1077"/>
      <c r="AH356" s="1077"/>
      <c r="AI356" s="1077"/>
      <c r="AJ356" s="1077"/>
      <c r="AK356" s="1077"/>
      <c r="AL356" s="1077"/>
    </row>
    <row r="357" spans="2:38" hidden="1">
      <c r="B357" s="359"/>
      <c r="C357" s="1591" t="s">
        <v>1180</v>
      </c>
      <c r="D357" s="982"/>
      <c r="E357" s="1592" t="s">
        <v>160</v>
      </c>
      <c r="F357" s="1593">
        <v>2013</v>
      </c>
      <c r="G357" s="1593">
        <v>2015</v>
      </c>
      <c r="H357" s="1593">
        <v>2020</v>
      </c>
      <c r="I357" s="1593">
        <v>2025</v>
      </c>
      <c r="J357" s="1593">
        <v>2030</v>
      </c>
      <c r="K357" s="1593">
        <v>2035</v>
      </c>
      <c r="L357" s="1593">
        <v>2040</v>
      </c>
      <c r="M357" s="1593">
        <v>2045</v>
      </c>
      <c r="N357" s="1594">
        <v>2050</v>
      </c>
      <c r="O357" s="885"/>
      <c r="Q357" s="1077"/>
      <c r="R357" s="1077"/>
      <c r="S357" s="1077"/>
      <c r="T357" s="1077"/>
      <c r="U357" s="1077"/>
      <c r="V357" s="1077"/>
      <c r="W357" s="1077"/>
      <c r="X357" s="1077"/>
      <c r="Y357" s="1077"/>
      <c r="Z357" s="1077"/>
      <c r="AA357" s="1077"/>
      <c r="AB357" s="1077"/>
      <c r="AC357" s="1077"/>
      <c r="AD357" s="1077"/>
      <c r="AE357" s="1077"/>
      <c r="AF357" s="1077"/>
      <c r="AG357" s="1077"/>
      <c r="AH357" s="1077"/>
      <c r="AI357" s="1077"/>
      <c r="AJ357" s="1077"/>
      <c r="AK357" s="1077"/>
      <c r="AL357" s="1077"/>
    </row>
    <row r="358" spans="2:38" hidden="1">
      <c r="B358" s="359"/>
      <c r="C358" s="977" t="s">
        <v>1134</v>
      </c>
      <c r="D358" s="977" t="s">
        <v>1134</v>
      </c>
      <c r="E358" s="1595">
        <v>-6.5000000000000006E-3</v>
      </c>
      <c r="F358" s="1596">
        <v>0.5</v>
      </c>
      <c r="G358" s="1582">
        <v>0.46750000000000003</v>
      </c>
      <c r="H358" s="1582">
        <v>0.43500000000000005</v>
      </c>
      <c r="I358" s="1582">
        <v>0.40250000000000008</v>
      </c>
      <c r="J358" s="1582">
        <v>0.37000000000000011</v>
      </c>
      <c r="K358" s="1582">
        <v>0.33750000000000013</v>
      </c>
      <c r="L358" s="1582">
        <v>0.30500000000000016</v>
      </c>
      <c r="M358" s="1582">
        <v>0.27250000000000019</v>
      </c>
      <c r="N358" s="1596">
        <v>0.24</v>
      </c>
      <c r="O358" s="885"/>
      <c r="Q358" s="1077"/>
      <c r="R358" s="1077"/>
      <c r="S358" s="1077"/>
      <c r="T358" s="1077"/>
      <c r="U358" s="1077"/>
      <c r="V358" s="1077"/>
      <c r="W358" s="1077"/>
      <c r="X358" s="1077"/>
      <c r="Y358" s="1077"/>
      <c r="Z358" s="1077"/>
      <c r="AA358" s="1077"/>
      <c r="AB358" s="1077"/>
      <c r="AC358" s="1077"/>
      <c r="AD358" s="1077"/>
      <c r="AE358" s="1077"/>
      <c r="AF358" s="1077"/>
      <c r="AG358" s="1077"/>
      <c r="AH358" s="1077"/>
      <c r="AI358" s="1077"/>
      <c r="AJ358" s="1077"/>
      <c r="AK358" s="1077"/>
      <c r="AL358" s="1077"/>
    </row>
    <row r="359" spans="2:38" hidden="1">
      <c r="B359" s="359"/>
      <c r="C359" s="977" t="s">
        <v>1136</v>
      </c>
      <c r="D359" s="977" t="s">
        <v>1148</v>
      </c>
      <c r="E359" s="1595">
        <v>-5.1584820201275063E-2</v>
      </c>
      <c r="F359" s="1581">
        <v>16.310619808051001</v>
      </c>
      <c r="G359" s="1582">
        <v>16.052695707044627</v>
      </c>
      <c r="H359" s="1582">
        <v>15.794771606038251</v>
      </c>
      <c r="I359" s="1582">
        <v>15.536847505031876</v>
      </c>
      <c r="J359" s="1582">
        <v>15.2789234040255</v>
      </c>
      <c r="K359" s="1582">
        <v>15.020999303019124</v>
      </c>
      <c r="L359" s="1582">
        <v>14.763075202012748</v>
      </c>
      <c r="M359" s="1582">
        <v>14.505151101006373</v>
      </c>
      <c r="N359" s="1583">
        <v>14.247226999999999</v>
      </c>
      <c r="O359" s="885"/>
      <c r="Q359" s="1077"/>
      <c r="R359" s="1077"/>
      <c r="S359" s="1077"/>
      <c r="T359" s="1077"/>
      <c r="U359" s="1077"/>
      <c r="V359" s="1077"/>
      <c r="W359" s="1077"/>
      <c r="X359" s="1077"/>
      <c r="Y359" s="1077"/>
      <c r="Z359" s="1077"/>
      <c r="AA359" s="1077"/>
      <c r="AB359" s="1077"/>
      <c r="AC359" s="1077"/>
      <c r="AD359" s="1077"/>
      <c r="AE359" s="1077"/>
      <c r="AF359" s="1077"/>
      <c r="AG359" s="1077"/>
      <c r="AH359" s="1077"/>
      <c r="AI359" s="1077"/>
      <c r="AJ359" s="1077"/>
      <c r="AK359" s="1077"/>
      <c r="AL359" s="1077"/>
    </row>
    <row r="360" spans="2:38" hidden="1">
      <c r="B360" s="359"/>
      <c r="C360" s="108" t="s">
        <v>1136</v>
      </c>
      <c r="D360" s="108" t="s">
        <v>1149</v>
      </c>
      <c r="E360" s="1597">
        <v>-0.35912300565355998</v>
      </c>
      <c r="F360" s="1522">
        <v>31.050405226142399</v>
      </c>
      <c r="G360" s="1584">
        <v>29.254790197874598</v>
      </c>
      <c r="H360" s="1584">
        <v>27.459175169606798</v>
      </c>
      <c r="I360" s="1584">
        <v>25.663560141338998</v>
      </c>
      <c r="J360" s="1584">
        <v>23.867945113071197</v>
      </c>
      <c r="K360" s="1584">
        <v>22.072330084803397</v>
      </c>
      <c r="L360" s="1584">
        <v>20.276715056535597</v>
      </c>
      <c r="M360" s="1584">
        <v>18.481100028267797</v>
      </c>
      <c r="N360" s="1585">
        <v>16.685485</v>
      </c>
      <c r="O360" s="885"/>
      <c r="Q360" s="1077"/>
      <c r="R360" s="1077"/>
      <c r="S360" s="1077"/>
      <c r="T360" s="1077"/>
      <c r="U360" s="1077"/>
      <c r="V360" s="1077"/>
      <c r="W360" s="1077"/>
      <c r="X360" s="1077"/>
      <c r="Y360" s="1077"/>
      <c r="Z360" s="1077"/>
      <c r="AA360" s="1077"/>
      <c r="AB360" s="1077"/>
      <c r="AC360" s="1077"/>
      <c r="AD360" s="1077"/>
      <c r="AE360" s="1077"/>
      <c r="AF360" s="1077"/>
      <c r="AG360" s="1077"/>
      <c r="AH360" s="1077"/>
      <c r="AI360" s="1077"/>
      <c r="AJ360" s="1077"/>
      <c r="AK360" s="1077"/>
      <c r="AL360" s="1077"/>
    </row>
    <row r="361" spans="2:38" hidden="1">
      <c r="B361" s="359"/>
      <c r="C361" s="108" t="s">
        <v>1136</v>
      </c>
      <c r="D361" s="108" t="s">
        <v>1150</v>
      </c>
      <c r="E361" s="1597">
        <v>-0.35689880000000002</v>
      </c>
      <c r="F361" s="1522">
        <v>37.22</v>
      </c>
      <c r="G361" s="1584">
        <v>35.435505999999997</v>
      </c>
      <c r="H361" s="1584">
        <v>33.651011999999994</v>
      </c>
      <c r="I361" s="1584">
        <v>31.866517999999996</v>
      </c>
      <c r="J361" s="1584">
        <v>30.082023999999997</v>
      </c>
      <c r="K361" s="1584">
        <v>28.297529999999998</v>
      </c>
      <c r="L361" s="1584">
        <v>26.513036</v>
      </c>
      <c r="M361" s="1584">
        <v>24.728542000000001</v>
      </c>
      <c r="N361" s="1585">
        <v>22.944047999999999</v>
      </c>
      <c r="O361" s="885"/>
      <c r="Q361" s="1077"/>
      <c r="R361" s="1077"/>
      <c r="S361" s="1077"/>
      <c r="T361" s="1077"/>
      <c r="U361" s="1077"/>
      <c r="V361" s="1077"/>
      <c r="W361" s="1077"/>
      <c r="X361" s="1077"/>
      <c r="Y361" s="1077"/>
      <c r="Z361" s="1077"/>
      <c r="AA361" s="1077"/>
      <c r="AB361" s="1077"/>
      <c r="AC361" s="1077"/>
      <c r="AD361" s="1077"/>
      <c r="AE361" s="1077"/>
      <c r="AF361" s="1077"/>
      <c r="AG361" s="1077"/>
      <c r="AH361" s="1077"/>
      <c r="AI361" s="1077"/>
      <c r="AJ361" s="1077"/>
      <c r="AK361" s="1077"/>
      <c r="AL361" s="1077"/>
    </row>
    <row r="362" spans="2:38" hidden="1">
      <c r="B362" s="359"/>
      <c r="C362" s="199" t="s">
        <v>1136</v>
      </c>
      <c r="D362" s="199" t="s">
        <v>1151</v>
      </c>
      <c r="E362" s="1598">
        <v>-2.312362775</v>
      </c>
      <c r="F362" s="1529">
        <v>110</v>
      </c>
      <c r="G362" s="1586">
        <v>98.438186125000001</v>
      </c>
      <c r="H362" s="1586">
        <v>86.876372250000003</v>
      </c>
      <c r="I362" s="1586">
        <v>75.314558375000004</v>
      </c>
      <c r="J362" s="1586">
        <v>63.752744500000006</v>
      </c>
      <c r="K362" s="1586">
        <v>52.190930625000007</v>
      </c>
      <c r="L362" s="1586">
        <v>40.629116750000009</v>
      </c>
      <c r="M362" s="1586">
        <v>29.06730287500001</v>
      </c>
      <c r="N362" s="1585">
        <v>17.505489000000001</v>
      </c>
      <c r="O362" s="885"/>
      <c r="Q362" s="1077"/>
      <c r="R362" s="1077"/>
      <c r="S362" s="1077"/>
      <c r="T362" s="1077"/>
      <c r="U362" s="1077"/>
      <c r="V362" s="1077"/>
      <c r="W362" s="1077"/>
      <c r="X362" s="1077"/>
      <c r="Y362" s="1077"/>
      <c r="Z362" s="1077"/>
      <c r="AA362" s="1077"/>
      <c r="AB362" s="1077"/>
      <c r="AC362" s="1077"/>
      <c r="AD362" s="1077"/>
      <c r="AE362" s="1077"/>
      <c r="AF362" s="1077"/>
      <c r="AG362" s="1077"/>
      <c r="AH362" s="1077"/>
      <c r="AI362" s="1077"/>
      <c r="AJ362" s="1077"/>
      <c r="AK362" s="1077"/>
      <c r="AL362" s="1077"/>
    </row>
    <row r="363" spans="2:38" hidden="1">
      <c r="B363" s="359"/>
      <c r="C363" s="977" t="s">
        <v>1138</v>
      </c>
      <c r="D363" s="977" t="s">
        <v>1148</v>
      </c>
      <c r="E363" s="1595">
        <v>-1.6828191235390002</v>
      </c>
      <c r="F363" s="1581">
        <v>235.68964894155999</v>
      </c>
      <c r="G363" s="1582">
        <v>227.27555332386498</v>
      </c>
      <c r="H363" s="1582">
        <v>218.86145770616997</v>
      </c>
      <c r="I363" s="1582">
        <v>210.44736208847496</v>
      </c>
      <c r="J363" s="1582">
        <v>202.03326647077995</v>
      </c>
      <c r="K363" s="1582">
        <v>193.61917085308494</v>
      </c>
      <c r="L363" s="1582">
        <v>185.20507523538993</v>
      </c>
      <c r="M363" s="1582">
        <v>176.79097961769492</v>
      </c>
      <c r="N363" s="1583">
        <v>168.37688399999999</v>
      </c>
      <c r="O363" s="885"/>
      <c r="Q363" s="1077"/>
      <c r="R363" s="1077"/>
      <c r="S363" s="1077"/>
      <c r="T363" s="1077"/>
      <c r="U363" s="1077"/>
      <c r="V363" s="1077"/>
      <c r="W363" s="1077"/>
      <c r="X363" s="1077"/>
      <c r="Y363" s="1077"/>
      <c r="Z363" s="1077"/>
      <c r="AA363" s="1077"/>
      <c r="AB363" s="1077"/>
      <c r="AC363" s="1077"/>
      <c r="AD363" s="1077"/>
      <c r="AE363" s="1077"/>
      <c r="AF363" s="1077"/>
      <c r="AG363" s="1077"/>
      <c r="AH363" s="1077"/>
      <c r="AI363" s="1077"/>
      <c r="AJ363" s="1077"/>
      <c r="AK363" s="1077"/>
      <c r="AL363" s="1077"/>
    </row>
    <row r="364" spans="2:38" hidden="1">
      <c r="B364" s="359"/>
      <c r="C364" s="108" t="s">
        <v>1138</v>
      </c>
      <c r="D364" s="108" t="s">
        <v>1152</v>
      </c>
      <c r="E364" s="1597">
        <v>-2.3037655646021262</v>
      </c>
      <c r="F364" s="1522">
        <v>271.99346358408502</v>
      </c>
      <c r="G364" s="1584">
        <v>260.47463576107441</v>
      </c>
      <c r="H364" s="1584">
        <v>248.95580793806377</v>
      </c>
      <c r="I364" s="1584">
        <v>237.43698011505313</v>
      </c>
      <c r="J364" s="1584">
        <v>225.91815229204249</v>
      </c>
      <c r="K364" s="1584">
        <v>214.39932446903185</v>
      </c>
      <c r="L364" s="1584">
        <v>202.88049664602121</v>
      </c>
      <c r="M364" s="1584">
        <v>191.36166882301058</v>
      </c>
      <c r="N364" s="1585">
        <v>179.84284099999996</v>
      </c>
      <c r="O364" s="885"/>
      <c r="Q364" s="1077"/>
      <c r="R364" s="1077"/>
      <c r="S364" s="1077"/>
      <c r="T364" s="1077"/>
      <c r="U364" s="1077"/>
      <c r="V364" s="1077"/>
      <c r="W364" s="1077"/>
      <c r="X364" s="1077"/>
      <c r="Y364" s="1077"/>
      <c r="Z364" s="1077"/>
      <c r="AA364" s="1077"/>
      <c r="AB364" s="1077"/>
      <c r="AC364" s="1077"/>
      <c r="AD364" s="1077"/>
      <c r="AE364" s="1077"/>
      <c r="AF364" s="1077"/>
      <c r="AG364" s="1077"/>
      <c r="AH364" s="1077"/>
      <c r="AI364" s="1077"/>
      <c r="AJ364" s="1077"/>
      <c r="AK364" s="1077"/>
      <c r="AL364" s="1077"/>
    </row>
    <row r="365" spans="2:38" hidden="1">
      <c r="B365" s="359"/>
      <c r="C365" s="108" t="s">
        <v>1138</v>
      </c>
      <c r="D365" s="108" t="s">
        <v>1150</v>
      </c>
      <c r="E365" s="1597">
        <v>-5.9095421554573253</v>
      </c>
      <c r="F365" s="1522">
        <v>441.64725221829298</v>
      </c>
      <c r="G365" s="1584">
        <v>412.09954144100635</v>
      </c>
      <c r="H365" s="1584">
        <v>382.55183066371973</v>
      </c>
      <c r="I365" s="1584">
        <v>353.0041198864331</v>
      </c>
      <c r="J365" s="1584">
        <v>323.45640910914648</v>
      </c>
      <c r="K365" s="1584">
        <v>293.90869833185985</v>
      </c>
      <c r="L365" s="1584">
        <v>264.36098755457323</v>
      </c>
      <c r="M365" s="1584">
        <v>234.8132767772866</v>
      </c>
      <c r="N365" s="1585">
        <v>205.26556599999998</v>
      </c>
      <c r="O365" s="885"/>
      <c r="Q365" s="1077"/>
      <c r="R365" s="1077"/>
      <c r="S365" s="1077"/>
      <c r="T365" s="1077"/>
      <c r="U365" s="1077"/>
      <c r="V365" s="1077"/>
      <c r="W365" s="1077"/>
      <c r="X365" s="1077"/>
      <c r="Y365" s="1077"/>
      <c r="Z365" s="1077"/>
      <c r="AA365" s="1077"/>
      <c r="AB365" s="1077"/>
      <c r="AC365" s="1077"/>
      <c r="AD365" s="1077"/>
      <c r="AE365" s="1077"/>
      <c r="AF365" s="1077"/>
      <c r="AG365" s="1077"/>
      <c r="AH365" s="1077"/>
      <c r="AI365" s="1077"/>
      <c r="AJ365" s="1077"/>
      <c r="AK365" s="1077"/>
      <c r="AL365" s="1077"/>
    </row>
    <row r="366" spans="2:38" hidden="1">
      <c r="B366" s="359"/>
      <c r="C366" s="108" t="s">
        <v>1138</v>
      </c>
      <c r="D366" s="108" t="s">
        <v>1151</v>
      </c>
      <c r="E366" s="1597">
        <v>-12.884064071733235</v>
      </c>
      <c r="F366" s="1522">
        <v>1052.8654813374299</v>
      </c>
      <c r="G366" s="1584">
        <v>988.44516097876362</v>
      </c>
      <c r="H366" s="1584">
        <v>924.02484062009739</v>
      </c>
      <c r="I366" s="1584">
        <v>859.60452026143116</v>
      </c>
      <c r="J366" s="1584">
        <v>795.18419990276493</v>
      </c>
      <c r="K366" s="1584">
        <v>730.7638795440987</v>
      </c>
      <c r="L366" s="1584">
        <v>666.34355918543247</v>
      </c>
      <c r="M366" s="1584">
        <v>601.92323882676624</v>
      </c>
      <c r="N366" s="1587">
        <v>537.50291846810046</v>
      </c>
      <c r="O366" s="885"/>
      <c r="Q366" s="1077"/>
      <c r="R366" s="1077"/>
      <c r="S366" s="1077"/>
      <c r="T366" s="1077"/>
      <c r="U366" s="1077"/>
      <c r="V366" s="1077"/>
      <c r="W366" s="1077"/>
      <c r="X366" s="1077"/>
      <c r="Y366" s="1077"/>
      <c r="Z366" s="1077"/>
      <c r="AA366" s="1077"/>
      <c r="AB366" s="1077"/>
      <c r="AC366" s="1077"/>
      <c r="AD366" s="1077"/>
      <c r="AE366" s="1077"/>
      <c r="AF366" s="1077"/>
      <c r="AG366" s="1077"/>
      <c r="AH366" s="1077"/>
      <c r="AI366" s="1077"/>
      <c r="AJ366" s="1077"/>
      <c r="AK366" s="1077"/>
      <c r="AL366" s="1077"/>
    </row>
    <row r="367" spans="2:38" hidden="1">
      <c r="B367" s="359"/>
      <c r="C367" s="977" t="s">
        <v>1140</v>
      </c>
      <c r="D367" s="977" t="s">
        <v>1153</v>
      </c>
      <c r="E367" s="1595">
        <v>-0.90744999999999965</v>
      </c>
      <c r="F367" s="1581">
        <v>124.09699999999999</v>
      </c>
      <c r="G367" s="1599">
        <v>119.55974999999999</v>
      </c>
      <c r="H367" s="1599">
        <v>115.02249999999999</v>
      </c>
      <c r="I367" s="1599">
        <v>110.48524999999999</v>
      </c>
      <c r="J367" s="1599">
        <v>105.94799999999999</v>
      </c>
      <c r="K367" s="1599">
        <v>101.41074999999999</v>
      </c>
      <c r="L367" s="1599">
        <v>96.873499999999993</v>
      </c>
      <c r="M367" s="1599">
        <v>92.336249999999993</v>
      </c>
      <c r="N367" s="1585">
        <v>87.799000000000007</v>
      </c>
      <c r="O367" s="885"/>
      <c r="Q367" s="1077"/>
      <c r="R367" s="1077"/>
      <c r="S367" s="1077"/>
      <c r="T367" s="1077"/>
      <c r="U367" s="1077"/>
      <c r="V367" s="1077"/>
      <c r="W367" s="1077"/>
      <c r="X367" s="1077"/>
      <c r="Y367" s="1077"/>
      <c r="Z367" s="1077"/>
      <c r="AA367" s="1077"/>
      <c r="AB367" s="1077"/>
      <c r="AC367" s="1077"/>
      <c r="AD367" s="1077"/>
      <c r="AE367" s="1077"/>
      <c r="AF367" s="1077"/>
      <c r="AG367" s="1077"/>
      <c r="AH367" s="1077"/>
      <c r="AI367" s="1077"/>
      <c r="AJ367" s="1077"/>
      <c r="AK367" s="1077"/>
      <c r="AL367" s="1077"/>
    </row>
    <row r="368" spans="2:38" hidden="1">
      <c r="B368" s="359"/>
      <c r="C368" s="108" t="s">
        <v>1140</v>
      </c>
      <c r="D368" s="108" t="s">
        <v>1154</v>
      </c>
      <c r="E368" s="1597">
        <v>-2.4379499999999994</v>
      </c>
      <c r="F368" s="1522">
        <v>333.39599999999996</v>
      </c>
      <c r="G368" s="1600">
        <v>321.20624999999995</v>
      </c>
      <c r="H368" s="1600">
        <v>309.01649999999995</v>
      </c>
      <c r="I368" s="1600">
        <v>296.82674999999995</v>
      </c>
      <c r="J368" s="1600">
        <v>284.63699999999994</v>
      </c>
      <c r="K368" s="1600">
        <v>272.44724999999994</v>
      </c>
      <c r="L368" s="1600">
        <v>260.25749999999994</v>
      </c>
      <c r="M368" s="1600">
        <v>248.06774999999993</v>
      </c>
      <c r="N368" s="1587">
        <v>235.87799999999999</v>
      </c>
      <c r="O368" s="67"/>
      <c r="Q368" s="1077"/>
      <c r="R368" s="1077"/>
      <c r="S368" s="1077"/>
      <c r="T368" s="1077"/>
      <c r="U368" s="1077"/>
      <c r="V368" s="1077"/>
      <c r="W368" s="1077"/>
      <c r="X368" s="1077"/>
      <c r="Y368" s="1077"/>
      <c r="Z368" s="1077"/>
      <c r="AA368" s="1077"/>
      <c r="AB368" s="1077"/>
      <c r="AC368" s="1077"/>
      <c r="AD368" s="1077"/>
      <c r="AE368" s="1077"/>
      <c r="AF368" s="1077"/>
      <c r="AG368" s="1077"/>
      <c r="AH368" s="1077"/>
      <c r="AI368" s="1077"/>
      <c r="AJ368" s="1077"/>
      <c r="AK368" s="1077"/>
      <c r="AL368" s="1077"/>
    </row>
    <row r="369" spans="2:38" hidden="1">
      <c r="B369" s="359"/>
      <c r="C369" s="1200" t="s">
        <v>1142</v>
      </c>
      <c r="D369" s="1200" t="s">
        <v>1142</v>
      </c>
      <c r="E369" s="1601">
        <v>-538.48606086804432</v>
      </c>
      <c r="F369" s="1588">
        <v>57337.603745725799</v>
      </c>
      <c r="G369" s="1602">
        <v>54645.173441385574</v>
      </c>
      <c r="H369" s="1602">
        <v>51952.743137045356</v>
      </c>
      <c r="I369" s="1602">
        <v>49260.312832705138</v>
      </c>
      <c r="J369" s="1602">
        <v>46567.88252836492</v>
      </c>
      <c r="K369" s="1602">
        <v>43875.452224024702</v>
      </c>
      <c r="L369" s="1602">
        <v>41183.021919684485</v>
      </c>
      <c r="M369" s="1602">
        <v>38490.591615344267</v>
      </c>
      <c r="N369" s="1589">
        <v>35798.161311004027</v>
      </c>
      <c r="O369" s="67"/>
      <c r="Q369" s="1077"/>
      <c r="R369" s="1077"/>
      <c r="S369" s="1077"/>
      <c r="T369" s="1077"/>
      <c r="U369" s="1077"/>
      <c r="V369" s="1077"/>
      <c r="W369" s="1077"/>
      <c r="X369" s="1077"/>
      <c r="Y369" s="1077"/>
      <c r="Z369" s="1077"/>
      <c r="AA369" s="1077"/>
      <c r="AB369" s="1077"/>
      <c r="AC369" s="1077"/>
      <c r="AD369" s="1077"/>
      <c r="AE369" s="1077"/>
      <c r="AF369" s="1077"/>
      <c r="AG369" s="1077"/>
      <c r="AH369" s="1077"/>
      <c r="AI369" s="1077"/>
      <c r="AJ369" s="1077"/>
      <c r="AK369" s="1077"/>
      <c r="AL369" s="1077"/>
    </row>
    <row r="370" spans="2:38" hidden="1">
      <c r="B370" s="359"/>
      <c r="C370" s="359"/>
      <c r="D370" s="359"/>
      <c r="E370" s="359"/>
      <c r="F370" s="1603"/>
      <c r="G370" s="1603"/>
      <c r="H370" s="1603"/>
      <c r="I370" s="359"/>
      <c r="J370" s="1604"/>
      <c r="K370" s="359"/>
      <c r="L370" s="1604"/>
      <c r="M370" s="359"/>
      <c r="N370" s="1590"/>
      <c r="O370" s="67"/>
      <c r="Q370" s="1077"/>
      <c r="R370" s="1077"/>
      <c r="S370" s="1077"/>
      <c r="T370" s="1077"/>
      <c r="U370" s="1077"/>
      <c r="V370" s="1077"/>
      <c r="W370" s="1077"/>
      <c r="X370" s="1077"/>
      <c r="Y370" s="1077"/>
      <c r="Z370" s="1077"/>
      <c r="AA370" s="1077"/>
      <c r="AB370" s="1077"/>
      <c r="AC370" s="1077"/>
      <c r="AD370" s="1077"/>
      <c r="AE370" s="1077"/>
      <c r="AF370" s="1077"/>
      <c r="AG370" s="1077"/>
      <c r="AH370" s="1077"/>
      <c r="AI370" s="1077"/>
      <c r="AJ370" s="1077"/>
      <c r="AK370" s="1077"/>
      <c r="AL370" s="1077"/>
    </row>
    <row r="371" spans="2:38" hidden="1">
      <c r="B371" s="359"/>
      <c r="C371" s="359"/>
      <c r="D371" s="359"/>
      <c r="E371" s="359"/>
      <c r="F371" s="1603"/>
      <c r="G371" s="1603"/>
      <c r="H371" s="1603"/>
      <c r="I371" s="359"/>
      <c r="J371" s="1604"/>
      <c r="K371" s="359"/>
      <c r="L371" s="1604"/>
      <c r="M371" s="359"/>
      <c r="N371" s="1590" t="s">
        <v>2841</v>
      </c>
      <c r="O371" s="885"/>
      <c r="Q371" s="1077"/>
      <c r="R371" s="1077"/>
      <c r="S371" s="1077"/>
      <c r="T371" s="1077"/>
      <c r="U371" s="1077"/>
      <c r="V371" s="1077"/>
      <c r="W371" s="1077"/>
      <c r="X371" s="1077"/>
      <c r="Y371" s="1077"/>
      <c r="Z371" s="1077"/>
      <c r="AA371" s="1077"/>
      <c r="AB371" s="1077"/>
      <c r="AC371" s="1077"/>
      <c r="AD371" s="1077"/>
      <c r="AE371" s="1077"/>
      <c r="AF371" s="1077"/>
      <c r="AG371" s="1077"/>
      <c r="AH371" s="1077"/>
      <c r="AI371" s="1077"/>
      <c r="AJ371" s="1077"/>
      <c r="AK371" s="1077"/>
      <c r="AL371" s="1077"/>
    </row>
    <row r="372" spans="2:38" hidden="1">
      <c r="B372" s="359"/>
      <c r="C372" s="1575" t="s">
        <v>1181</v>
      </c>
      <c r="D372" s="1576"/>
      <c r="E372" s="1577" t="s">
        <v>160</v>
      </c>
      <c r="F372" s="1578">
        <v>2013</v>
      </c>
      <c r="G372" s="1578">
        <v>2015</v>
      </c>
      <c r="H372" s="1578">
        <v>2020</v>
      </c>
      <c r="I372" s="1578">
        <v>2025</v>
      </c>
      <c r="J372" s="1578">
        <v>2030</v>
      </c>
      <c r="K372" s="1578">
        <v>2035</v>
      </c>
      <c r="L372" s="1578">
        <v>2040</v>
      </c>
      <c r="M372" s="1578">
        <v>2045</v>
      </c>
      <c r="N372" s="1605">
        <v>2050</v>
      </c>
      <c r="O372" s="885"/>
      <c r="Q372" s="1077"/>
      <c r="R372" s="1077"/>
      <c r="S372" s="1077"/>
      <c r="T372" s="1077"/>
      <c r="U372" s="1077"/>
      <c r="V372" s="1077"/>
      <c r="W372" s="1077"/>
      <c r="X372" s="1077"/>
      <c r="Y372" s="1077"/>
      <c r="Z372" s="1077"/>
      <c r="AA372" s="1077"/>
      <c r="AB372" s="1077"/>
      <c r="AC372" s="1077"/>
      <c r="AD372" s="1077"/>
      <c r="AE372" s="1077"/>
      <c r="AF372" s="1077"/>
      <c r="AG372" s="1077"/>
      <c r="AH372" s="1077"/>
      <c r="AI372" s="1077"/>
      <c r="AJ372" s="1077"/>
      <c r="AK372" s="1077"/>
      <c r="AL372" s="1077"/>
    </row>
    <row r="373" spans="2:38" hidden="1">
      <c r="B373" s="359"/>
      <c r="C373" s="977" t="s">
        <v>1134</v>
      </c>
      <c r="D373" s="977" t="s">
        <v>1134</v>
      </c>
      <c r="E373" s="67">
        <v>-0.01</v>
      </c>
      <c r="F373" s="1582">
        <v>0.5</v>
      </c>
      <c r="G373" s="1582">
        <v>0.45</v>
      </c>
      <c r="H373" s="1582">
        <v>0.4</v>
      </c>
      <c r="I373" s="1582">
        <v>0.35000000000000003</v>
      </c>
      <c r="J373" s="1582">
        <v>0.30000000000000004</v>
      </c>
      <c r="K373" s="1582">
        <v>0.25000000000000006</v>
      </c>
      <c r="L373" s="1582">
        <v>0.20000000000000007</v>
      </c>
      <c r="M373" s="1582">
        <v>0.15000000000000008</v>
      </c>
      <c r="N373" s="1596">
        <v>9.9999999999999992E-2</v>
      </c>
      <c r="O373" s="885"/>
      <c r="Q373" s="1077"/>
      <c r="R373" s="1077"/>
      <c r="S373" s="1077"/>
      <c r="T373" s="1077"/>
      <c r="U373" s="1077"/>
      <c r="V373" s="1077"/>
      <c r="W373" s="1077"/>
      <c r="X373" s="1077"/>
      <c r="Y373" s="1077"/>
      <c r="Z373" s="1077"/>
      <c r="AA373" s="1077"/>
      <c r="AB373" s="1077"/>
      <c r="AC373" s="1077"/>
      <c r="AD373" s="1077"/>
      <c r="AE373" s="1077"/>
      <c r="AF373" s="1077"/>
      <c r="AG373" s="1077"/>
      <c r="AH373" s="1077"/>
      <c r="AI373" s="1077"/>
      <c r="AJ373" s="1077"/>
      <c r="AK373" s="1077"/>
      <c r="AL373" s="1077"/>
    </row>
    <row r="374" spans="2:38" hidden="1">
      <c r="B374" s="359"/>
      <c r="C374" s="977" t="s">
        <v>1136</v>
      </c>
      <c r="D374" s="977" t="s">
        <v>1148</v>
      </c>
      <c r="E374" s="1606">
        <v>-4.289999999999998E-2</v>
      </c>
      <c r="F374" s="1581">
        <v>15.215999999999999</v>
      </c>
      <c r="G374" s="1582">
        <v>15.0015</v>
      </c>
      <c r="H374" s="1582">
        <v>14.787000000000001</v>
      </c>
      <c r="I374" s="1582">
        <v>14.572500000000002</v>
      </c>
      <c r="J374" s="1582">
        <v>14.358000000000002</v>
      </c>
      <c r="K374" s="1582">
        <v>14.143500000000003</v>
      </c>
      <c r="L374" s="1582">
        <v>13.929000000000004</v>
      </c>
      <c r="M374" s="1582">
        <v>13.714500000000005</v>
      </c>
      <c r="N374" s="1583">
        <v>13.5</v>
      </c>
      <c r="O374" s="885"/>
      <c r="Q374" s="1077"/>
      <c r="R374" s="1077"/>
      <c r="S374" s="1077"/>
      <c r="T374" s="1077"/>
      <c r="U374" s="1077"/>
      <c r="V374" s="1077"/>
      <c r="W374" s="1077"/>
      <c r="X374" s="1077"/>
      <c r="Y374" s="1077"/>
      <c r="Z374" s="1077"/>
      <c r="AA374" s="1077"/>
      <c r="AB374" s="1077"/>
      <c r="AC374" s="1077"/>
      <c r="AD374" s="1077"/>
      <c r="AE374" s="1077"/>
      <c r="AF374" s="1077"/>
      <c r="AG374" s="1077"/>
      <c r="AH374" s="1077"/>
      <c r="AI374" s="1077"/>
      <c r="AJ374" s="1077"/>
      <c r="AK374" s="1077"/>
      <c r="AL374" s="1077"/>
    </row>
    <row r="375" spans="2:38" hidden="1">
      <c r="B375" s="359"/>
      <c r="C375" s="108" t="s">
        <v>1136</v>
      </c>
      <c r="D375" s="108" t="s">
        <v>1149</v>
      </c>
      <c r="E375" s="1607">
        <v>-0.226775</v>
      </c>
      <c r="F375" s="1522">
        <v>23.195999999999998</v>
      </c>
      <c r="G375" s="1584">
        <v>22.062124999999998</v>
      </c>
      <c r="H375" s="1584">
        <v>20.928249999999998</v>
      </c>
      <c r="I375" s="1584">
        <v>19.794374999999999</v>
      </c>
      <c r="J375" s="1584">
        <v>18.660499999999999</v>
      </c>
      <c r="K375" s="1584">
        <v>17.526624999999999</v>
      </c>
      <c r="L375" s="1584">
        <v>16.392749999999999</v>
      </c>
      <c r="M375" s="1584">
        <v>15.258875</v>
      </c>
      <c r="N375" s="1585">
        <v>14.124999999999998</v>
      </c>
      <c r="O375" s="885"/>
      <c r="Q375" s="1077"/>
      <c r="R375" s="1077"/>
      <c r="S375" s="1077"/>
      <c r="T375" s="1077"/>
      <c r="U375" s="1077"/>
      <c r="V375" s="1077"/>
      <c r="W375" s="1077"/>
      <c r="X375" s="1077"/>
      <c r="Y375" s="1077"/>
      <c r="Z375" s="1077"/>
      <c r="AA375" s="1077"/>
      <c r="AB375" s="1077"/>
      <c r="AC375" s="1077"/>
      <c r="AD375" s="1077"/>
      <c r="AE375" s="1077"/>
      <c r="AF375" s="1077"/>
      <c r="AG375" s="1077"/>
      <c r="AH375" s="1077"/>
      <c r="AI375" s="1077"/>
      <c r="AJ375" s="1077"/>
      <c r="AK375" s="1077"/>
      <c r="AL375" s="1077"/>
    </row>
    <row r="376" spans="2:38" hidden="1">
      <c r="B376" s="359"/>
      <c r="C376" s="108" t="s">
        <v>1136</v>
      </c>
      <c r="D376" s="108" t="s">
        <v>1150</v>
      </c>
      <c r="E376" s="1607">
        <v>-0.37162499999999998</v>
      </c>
      <c r="F376" s="1522">
        <v>28.99</v>
      </c>
      <c r="G376" s="1584">
        <v>27.131874999999997</v>
      </c>
      <c r="H376" s="1584">
        <v>25.273749999999996</v>
      </c>
      <c r="I376" s="1584">
        <v>23.415624999999995</v>
      </c>
      <c r="J376" s="1584">
        <v>21.557499999999994</v>
      </c>
      <c r="K376" s="1584">
        <v>19.699374999999993</v>
      </c>
      <c r="L376" s="1584">
        <v>17.841249999999992</v>
      </c>
      <c r="M376" s="1584">
        <v>15.983124999999992</v>
      </c>
      <c r="N376" s="1585">
        <v>14.124999999999998</v>
      </c>
      <c r="O376" s="885"/>
      <c r="Q376" s="1077"/>
      <c r="R376" s="1077"/>
      <c r="S376" s="1077"/>
      <c r="T376" s="1077"/>
      <c r="U376" s="1077"/>
      <c r="V376" s="1077"/>
      <c r="W376" s="1077"/>
      <c r="X376" s="1077"/>
      <c r="Y376" s="1077"/>
      <c r="Z376" s="1077"/>
      <c r="AA376" s="1077"/>
      <c r="AB376" s="1077"/>
      <c r="AC376" s="1077"/>
      <c r="AD376" s="1077"/>
      <c r="AE376" s="1077"/>
      <c r="AF376" s="1077"/>
      <c r="AG376" s="1077"/>
      <c r="AH376" s="1077"/>
      <c r="AI376" s="1077"/>
      <c r="AJ376" s="1077"/>
      <c r="AK376" s="1077"/>
      <c r="AL376" s="1077"/>
    </row>
    <row r="377" spans="2:38" hidden="1">
      <c r="B377" s="359"/>
      <c r="C377" s="199" t="s">
        <v>1136</v>
      </c>
      <c r="D377" s="199" t="s">
        <v>1151</v>
      </c>
      <c r="E377" s="979">
        <v>-1.4729377749999997</v>
      </c>
      <c r="F377" s="1529">
        <v>76.422999999999988</v>
      </c>
      <c r="G377" s="1586">
        <v>69.058311124999989</v>
      </c>
      <c r="H377" s="1586">
        <v>61.69362224999999</v>
      </c>
      <c r="I377" s="1586">
        <v>54.328933374999991</v>
      </c>
      <c r="J377" s="1586">
        <v>46.964244499999992</v>
      </c>
      <c r="K377" s="1586">
        <v>39.599555624999994</v>
      </c>
      <c r="L377" s="1586">
        <v>32.234866749999995</v>
      </c>
      <c r="M377" s="1586">
        <v>24.870177874999996</v>
      </c>
      <c r="N377" s="1587">
        <v>17.505489000000001</v>
      </c>
      <c r="O377" s="885"/>
      <c r="Q377" s="1077"/>
      <c r="R377" s="1077"/>
      <c r="S377" s="1077"/>
      <c r="T377" s="1077"/>
      <c r="U377" s="1077"/>
      <c r="V377" s="1077"/>
      <c r="W377" s="1077"/>
      <c r="X377" s="1077"/>
      <c r="Y377" s="1077"/>
      <c r="Z377" s="1077"/>
      <c r="AA377" s="1077"/>
      <c r="AB377" s="1077"/>
      <c r="AC377" s="1077"/>
      <c r="AD377" s="1077"/>
      <c r="AE377" s="1077"/>
      <c r="AF377" s="1077"/>
      <c r="AG377" s="1077"/>
      <c r="AH377" s="1077"/>
      <c r="AI377" s="1077"/>
      <c r="AJ377" s="1077"/>
      <c r="AK377" s="1077"/>
      <c r="AL377" s="1077"/>
    </row>
    <row r="378" spans="2:38" hidden="1">
      <c r="B378" s="359"/>
      <c r="C378" s="977" t="s">
        <v>1138</v>
      </c>
      <c r="D378" s="977" t="s">
        <v>1148</v>
      </c>
      <c r="E378" s="1606">
        <v>-2.892241223539</v>
      </c>
      <c r="F378" s="1581">
        <v>235.68964894155999</v>
      </c>
      <c r="G378" s="1582">
        <v>221.22844282386501</v>
      </c>
      <c r="H378" s="1582">
        <v>206.76723670617002</v>
      </c>
      <c r="I378" s="1582">
        <v>192.30603058847504</v>
      </c>
      <c r="J378" s="1582">
        <v>177.84482447078005</v>
      </c>
      <c r="K378" s="1582">
        <v>163.38361835308507</v>
      </c>
      <c r="L378" s="1582">
        <v>148.92241223539008</v>
      </c>
      <c r="M378" s="1582">
        <v>134.4612061176951</v>
      </c>
      <c r="N378" s="1583">
        <v>120</v>
      </c>
      <c r="O378" s="885"/>
      <c r="Q378" s="1077"/>
      <c r="R378" s="1077"/>
      <c r="S378" s="1077"/>
      <c r="T378" s="1077"/>
      <c r="U378" s="1077"/>
      <c r="V378" s="1077"/>
      <c r="W378" s="1077"/>
      <c r="X378" s="1077"/>
      <c r="Y378" s="1077"/>
      <c r="Z378" s="1077"/>
      <c r="AA378" s="1077"/>
      <c r="AB378" s="1077"/>
      <c r="AC378" s="1077"/>
      <c r="AD378" s="1077"/>
      <c r="AE378" s="1077"/>
      <c r="AF378" s="1077"/>
      <c r="AG378" s="1077"/>
      <c r="AH378" s="1077"/>
      <c r="AI378" s="1077"/>
      <c r="AJ378" s="1077"/>
      <c r="AK378" s="1077"/>
      <c r="AL378" s="1077"/>
    </row>
    <row r="379" spans="2:38" hidden="1">
      <c r="B379" s="359"/>
      <c r="C379" s="108" t="s">
        <v>1138</v>
      </c>
      <c r="D379" s="108" t="s">
        <v>1152</v>
      </c>
      <c r="E379" s="1607">
        <v>-3.5498365896021253</v>
      </c>
      <c r="F379" s="1522">
        <v>271.99346358408502</v>
      </c>
      <c r="G379" s="1584">
        <v>254.24428063607439</v>
      </c>
      <c r="H379" s="1584">
        <v>236.49509768806377</v>
      </c>
      <c r="I379" s="1584">
        <v>218.74591474005314</v>
      </c>
      <c r="J379" s="1584">
        <v>200.99673179204251</v>
      </c>
      <c r="K379" s="1584">
        <v>183.24754884403188</v>
      </c>
      <c r="L379" s="1584">
        <v>165.49836589602126</v>
      </c>
      <c r="M379" s="1584">
        <v>147.74918294801063</v>
      </c>
      <c r="N379" s="1585">
        <v>130</v>
      </c>
      <c r="O379" s="885"/>
      <c r="Q379" s="1077"/>
      <c r="R379" s="1077"/>
      <c r="S379" s="1077"/>
      <c r="T379" s="1077"/>
      <c r="U379" s="1077"/>
      <c r="V379" s="1077"/>
      <c r="W379" s="1077"/>
      <c r="X379" s="1077"/>
      <c r="Y379" s="1077"/>
      <c r="Z379" s="1077"/>
      <c r="AA379" s="1077"/>
      <c r="AB379" s="1077"/>
      <c r="AC379" s="1077"/>
      <c r="AD379" s="1077"/>
      <c r="AE379" s="1077"/>
      <c r="AF379" s="1077"/>
      <c r="AG379" s="1077"/>
      <c r="AH379" s="1077"/>
      <c r="AI379" s="1077"/>
      <c r="AJ379" s="1077"/>
      <c r="AK379" s="1077"/>
      <c r="AL379" s="1077"/>
    </row>
    <row r="380" spans="2:38" hidden="1">
      <c r="B380" s="359"/>
      <c r="C380" s="108" t="s">
        <v>1138</v>
      </c>
      <c r="D380" s="108" t="s">
        <v>1150</v>
      </c>
      <c r="E380" s="1607">
        <v>-5.9095421524517997</v>
      </c>
      <c r="F380" s="1522">
        <v>441.64725221829298</v>
      </c>
      <c r="G380" s="1584">
        <v>412.09954145603399</v>
      </c>
      <c r="H380" s="1584">
        <v>382.551830693775</v>
      </c>
      <c r="I380" s="1584">
        <v>353.00411993151602</v>
      </c>
      <c r="J380" s="1584">
        <v>323.45640916925703</v>
      </c>
      <c r="K380" s="1584">
        <v>293.90869840699804</v>
      </c>
      <c r="L380" s="1584">
        <v>264.36098764473905</v>
      </c>
      <c r="M380" s="1584">
        <v>234.81327688248007</v>
      </c>
      <c r="N380" s="1585">
        <v>205.265566120221</v>
      </c>
      <c r="O380" s="885"/>
      <c r="Q380" s="1077"/>
      <c r="R380" s="1077"/>
      <c r="S380" s="1077"/>
      <c r="T380" s="1077"/>
      <c r="U380" s="1077"/>
      <c r="V380" s="1077"/>
      <c r="W380" s="1077"/>
      <c r="X380" s="1077"/>
      <c r="Y380" s="1077"/>
      <c r="Z380" s="1077"/>
      <c r="AA380" s="1077"/>
      <c r="AB380" s="1077"/>
      <c r="AC380" s="1077"/>
      <c r="AD380" s="1077"/>
      <c r="AE380" s="1077"/>
      <c r="AF380" s="1077"/>
      <c r="AG380" s="1077"/>
      <c r="AH380" s="1077"/>
      <c r="AI380" s="1077"/>
      <c r="AJ380" s="1077"/>
      <c r="AK380" s="1077"/>
      <c r="AL380" s="1077"/>
    </row>
    <row r="381" spans="2:38" hidden="1">
      <c r="B381" s="359"/>
      <c r="C381" s="199" t="s">
        <v>1138</v>
      </c>
      <c r="D381" s="199" t="s">
        <v>1151</v>
      </c>
      <c r="E381" s="979">
        <v>-19.821637033435746</v>
      </c>
      <c r="F381" s="1529">
        <v>1052.8654813374299</v>
      </c>
      <c r="G381" s="1586">
        <v>953.75729617025115</v>
      </c>
      <c r="H381" s="1586">
        <v>854.64911100307245</v>
      </c>
      <c r="I381" s="1586">
        <v>755.54092583589374</v>
      </c>
      <c r="J381" s="1586">
        <v>656.43274066871504</v>
      </c>
      <c r="K381" s="1586">
        <v>557.32455550153634</v>
      </c>
      <c r="L381" s="1586">
        <v>458.21637033435763</v>
      </c>
      <c r="M381" s="1586">
        <v>359.10818516717893</v>
      </c>
      <c r="N381" s="1587">
        <v>260</v>
      </c>
      <c r="O381" s="885"/>
      <c r="Q381" s="1077"/>
      <c r="R381" s="1077"/>
      <c r="S381" s="1077"/>
      <c r="T381" s="1077"/>
      <c r="U381" s="1077"/>
      <c r="V381" s="1077"/>
      <c r="W381" s="1077"/>
      <c r="X381" s="1077"/>
      <c r="Y381" s="1077"/>
      <c r="Z381" s="1077"/>
      <c r="AA381" s="1077"/>
      <c r="AB381" s="1077"/>
      <c r="AC381" s="1077"/>
      <c r="AD381" s="1077"/>
      <c r="AE381" s="1077"/>
      <c r="AF381" s="1077"/>
      <c r="AG381" s="1077"/>
      <c r="AH381" s="1077"/>
      <c r="AI381" s="1077"/>
      <c r="AJ381" s="1077"/>
      <c r="AK381" s="1077"/>
      <c r="AL381" s="1077"/>
    </row>
    <row r="382" spans="2:38" hidden="1">
      <c r="B382" s="359"/>
      <c r="C382" s="977" t="s">
        <v>1140</v>
      </c>
      <c r="D382" s="977" t="s">
        <v>1153</v>
      </c>
      <c r="E382" s="1606">
        <v>-1.39609125</v>
      </c>
      <c r="F382" s="1581">
        <v>124.09699999999999</v>
      </c>
      <c r="G382" s="1582">
        <v>117.11654374999999</v>
      </c>
      <c r="H382" s="1582">
        <v>110.13608749999999</v>
      </c>
      <c r="I382" s="1582">
        <v>103.15563124999998</v>
      </c>
      <c r="J382" s="1582">
        <v>96.175174999999982</v>
      </c>
      <c r="K382" s="1582">
        <v>89.194718749999979</v>
      </c>
      <c r="L382" s="1582">
        <v>82.214262499999975</v>
      </c>
      <c r="M382" s="1582">
        <v>75.233806249999972</v>
      </c>
      <c r="N382" s="1583">
        <v>68.253349999999998</v>
      </c>
      <c r="O382" s="885"/>
      <c r="Q382" s="1077"/>
      <c r="R382" s="1077"/>
      <c r="S382" s="1077"/>
      <c r="T382" s="1077"/>
      <c r="U382" s="1077"/>
      <c r="V382" s="1077"/>
      <c r="W382" s="1077"/>
      <c r="X382" s="1077"/>
      <c r="Y382" s="1077"/>
      <c r="Z382" s="1077"/>
      <c r="AA382" s="1077"/>
      <c r="AB382" s="1077"/>
      <c r="AC382" s="1077"/>
      <c r="AD382" s="1077"/>
      <c r="AE382" s="1077"/>
      <c r="AF382" s="1077"/>
      <c r="AG382" s="1077"/>
      <c r="AH382" s="1077"/>
      <c r="AI382" s="1077"/>
      <c r="AJ382" s="1077"/>
      <c r="AK382" s="1077"/>
      <c r="AL382" s="1077"/>
    </row>
    <row r="383" spans="2:38" hidden="1">
      <c r="B383" s="359"/>
      <c r="C383" s="199" t="s">
        <v>1140</v>
      </c>
      <c r="D383" s="199" t="s">
        <v>1154</v>
      </c>
      <c r="E383" s="979">
        <v>-3.750705</v>
      </c>
      <c r="F383" s="1529">
        <v>333.39599999999996</v>
      </c>
      <c r="G383" s="1586">
        <v>314.64247499999993</v>
      </c>
      <c r="H383" s="1586">
        <v>295.88894999999991</v>
      </c>
      <c r="I383" s="1586">
        <v>277.13542499999988</v>
      </c>
      <c r="J383" s="1586">
        <v>258.38189999999986</v>
      </c>
      <c r="K383" s="1586">
        <v>239.62837499999986</v>
      </c>
      <c r="L383" s="1586">
        <v>220.87484999999987</v>
      </c>
      <c r="M383" s="1586">
        <v>202.12132499999987</v>
      </c>
      <c r="N383" s="1587">
        <v>183.36779999999996</v>
      </c>
      <c r="O383" s="885"/>
      <c r="Q383" s="1077"/>
      <c r="R383" s="1077"/>
      <c r="S383" s="1077"/>
      <c r="T383" s="1077"/>
      <c r="U383" s="1077"/>
      <c r="V383" s="1077"/>
      <c r="W383" s="1077"/>
      <c r="X383" s="1077"/>
      <c r="Y383" s="1077"/>
      <c r="Z383" s="1077"/>
      <c r="AA383" s="1077"/>
      <c r="AB383" s="1077"/>
      <c r="AC383" s="1077"/>
      <c r="AD383" s="1077"/>
      <c r="AE383" s="1077"/>
      <c r="AF383" s="1077"/>
      <c r="AG383" s="1077"/>
      <c r="AH383" s="1077"/>
      <c r="AI383" s="1077"/>
      <c r="AJ383" s="1077"/>
      <c r="AK383" s="1077"/>
      <c r="AL383" s="1077"/>
    </row>
    <row r="384" spans="2:38" hidden="1">
      <c r="B384" s="359"/>
      <c r="C384" s="199" t="s">
        <v>1142</v>
      </c>
      <c r="D384" s="1200" t="s">
        <v>1142</v>
      </c>
      <c r="E384" s="1608">
        <v>-828.44009364314502</v>
      </c>
      <c r="F384" s="1588">
        <v>57337.603745725799</v>
      </c>
      <c r="G384" s="1586">
        <v>53195.403277510071</v>
      </c>
      <c r="H384" s="1586">
        <v>49053.202809294344</v>
      </c>
      <c r="I384" s="1586">
        <v>44911.002341078616</v>
      </c>
      <c r="J384" s="1586">
        <v>40768.801872862889</v>
      </c>
      <c r="K384" s="1586">
        <v>36626.601404647161</v>
      </c>
      <c r="L384" s="1586">
        <v>32484.400936431437</v>
      </c>
      <c r="M384" s="1586">
        <v>28342.200468215713</v>
      </c>
      <c r="N384" s="1587">
        <v>24200</v>
      </c>
      <c r="O384" s="885"/>
      <c r="Q384" s="1077"/>
      <c r="R384" s="1077"/>
      <c r="S384" s="1077"/>
      <c r="T384" s="1077"/>
      <c r="U384" s="1077"/>
      <c r="V384" s="1077"/>
      <c r="W384" s="1077"/>
      <c r="X384" s="1077"/>
      <c r="Y384" s="1077"/>
      <c r="Z384" s="1077"/>
      <c r="AA384" s="1077"/>
      <c r="AB384" s="1077"/>
      <c r="AC384" s="1077"/>
      <c r="AD384" s="1077"/>
      <c r="AE384" s="1077"/>
      <c r="AF384" s="1077"/>
      <c r="AG384" s="1077"/>
      <c r="AH384" s="1077"/>
      <c r="AI384" s="1077"/>
      <c r="AJ384" s="1077"/>
      <c r="AK384" s="1077"/>
      <c r="AL384" s="1077"/>
    </row>
    <row r="385" spans="2:38" hidden="1">
      <c r="B385" s="359"/>
      <c r="C385" s="1574"/>
      <c r="D385" s="359"/>
      <c r="E385" s="359"/>
      <c r="F385" s="359"/>
      <c r="G385" s="359"/>
      <c r="H385" s="359"/>
      <c r="I385" s="359"/>
      <c r="J385" s="359"/>
      <c r="K385" s="359"/>
      <c r="L385" s="359"/>
      <c r="M385" s="359"/>
      <c r="N385" s="359"/>
      <c r="O385" s="885"/>
      <c r="Q385" s="1077"/>
      <c r="R385" s="1077"/>
      <c r="S385" s="1077"/>
      <c r="T385" s="1077"/>
      <c r="U385" s="1077"/>
      <c r="V385" s="1077"/>
      <c r="W385" s="1077"/>
      <c r="X385" s="1077"/>
      <c r="Y385" s="1077"/>
      <c r="Z385" s="1077"/>
      <c r="AA385" s="1077"/>
      <c r="AB385" s="1077"/>
      <c r="AC385" s="1077"/>
      <c r="AD385" s="1077"/>
      <c r="AE385" s="1077"/>
      <c r="AF385" s="1077"/>
      <c r="AG385" s="1077"/>
      <c r="AH385" s="1077"/>
      <c r="AI385" s="1077"/>
      <c r="AJ385" s="1077"/>
      <c r="AK385" s="1077"/>
      <c r="AL385" s="1077"/>
    </row>
    <row r="386" spans="2:38" hidden="1">
      <c r="B386" s="47"/>
      <c r="C386" s="1609" t="s">
        <v>173</v>
      </c>
      <c r="D386" s="359"/>
      <c r="E386" s="359"/>
      <c r="F386" s="1603"/>
      <c r="G386" s="1603"/>
      <c r="H386" s="1603"/>
      <c r="I386" s="359"/>
      <c r="J386" s="1604"/>
      <c r="K386" s="359"/>
      <c r="L386" s="1604"/>
      <c r="M386" s="359"/>
      <c r="N386" s="1574" t="s">
        <v>2841</v>
      </c>
      <c r="O386" s="885"/>
      <c r="Q386" s="1077"/>
      <c r="R386" s="1077"/>
      <c r="S386" s="1077"/>
      <c r="T386" s="1077"/>
      <c r="U386" s="1077"/>
      <c r="V386" s="1077"/>
      <c r="W386" s="1077"/>
      <c r="X386" s="1077"/>
      <c r="Y386" s="1077"/>
      <c r="Z386" s="1077"/>
      <c r="AA386" s="1077"/>
      <c r="AB386" s="1077"/>
      <c r="AC386" s="1077"/>
      <c r="AD386" s="1077"/>
      <c r="AE386" s="1077"/>
      <c r="AF386" s="1077"/>
      <c r="AG386" s="1077"/>
      <c r="AH386" s="1077"/>
      <c r="AI386" s="1077"/>
      <c r="AJ386" s="1077"/>
      <c r="AK386" s="1077"/>
      <c r="AL386" s="1077"/>
    </row>
    <row r="387" spans="2:38" hidden="1">
      <c r="B387" s="47"/>
      <c r="C387" s="1591" t="s">
        <v>1182</v>
      </c>
      <c r="D387" s="982"/>
      <c r="E387" s="1592" t="s">
        <v>160</v>
      </c>
      <c r="F387" s="1593">
        <v>2013</v>
      </c>
      <c r="G387" s="1593">
        <v>2015</v>
      </c>
      <c r="H387" s="1593">
        <v>2020</v>
      </c>
      <c r="I387" s="1593">
        <v>2025</v>
      </c>
      <c r="J387" s="1593">
        <v>2030</v>
      </c>
      <c r="K387" s="1593">
        <v>2035</v>
      </c>
      <c r="L387" s="1593">
        <v>2040</v>
      </c>
      <c r="M387" s="1593">
        <v>2045</v>
      </c>
      <c r="N387" s="1593">
        <v>2050</v>
      </c>
      <c r="O387" s="885"/>
      <c r="Q387" s="1077"/>
      <c r="R387" s="1077"/>
      <c r="S387" s="1077"/>
      <c r="T387" s="1077"/>
      <c r="U387" s="1077"/>
      <c r="V387" s="1077"/>
      <c r="W387" s="1077"/>
      <c r="X387" s="1077"/>
      <c r="Y387" s="1077"/>
      <c r="Z387" s="1077"/>
      <c r="AA387" s="1077"/>
      <c r="AB387" s="1077"/>
      <c r="AC387" s="1077"/>
      <c r="AD387" s="1077"/>
      <c r="AE387" s="1077"/>
      <c r="AF387" s="1077"/>
      <c r="AG387" s="1077"/>
      <c r="AH387" s="1077"/>
      <c r="AI387" s="1077"/>
      <c r="AJ387" s="1077"/>
      <c r="AK387" s="1077"/>
      <c r="AL387" s="1077"/>
    </row>
    <row r="388" spans="2:38" hidden="1">
      <c r="B388" s="47"/>
      <c r="C388" s="1200" t="s">
        <v>1134</v>
      </c>
      <c r="D388" s="1200" t="s">
        <v>1134</v>
      </c>
      <c r="E388" s="1103">
        <v>0</v>
      </c>
      <c r="F388" s="1579">
        <v>4.9999999999999996E-2</v>
      </c>
      <c r="G388" s="1579">
        <v>4.9999999999999996E-2</v>
      </c>
      <c r="H388" s="1579">
        <v>4.9999999999999996E-2</v>
      </c>
      <c r="I388" s="1579">
        <v>4.9999999999999996E-2</v>
      </c>
      <c r="J388" s="1579">
        <v>4.9999999999999996E-2</v>
      </c>
      <c r="K388" s="1579">
        <v>4.9999999999999996E-2</v>
      </c>
      <c r="L388" s="1579">
        <v>4.9999999999999996E-2</v>
      </c>
      <c r="M388" s="1579">
        <v>4.9999999999999996E-2</v>
      </c>
      <c r="N388" s="1580">
        <v>4.9999999999999996E-2</v>
      </c>
      <c r="O388" s="885"/>
      <c r="Q388" s="1077"/>
      <c r="R388" s="1077"/>
      <c r="S388" s="1077"/>
      <c r="T388" s="1077"/>
      <c r="U388" s="1077"/>
      <c r="V388" s="1077"/>
      <c r="W388" s="1077"/>
      <c r="X388" s="1077"/>
      <c r="Y388" s="1077"/>
      <c r="Z388" s="1077"/>
      <c r="AA388" s="1077"/>
      <c r="AB388" s="1077"/>
      <c r="AC388" s="1077"/>
      <c r="AD388" s="1077"/>
      <c r="AE388" s="1077"/>
      <c r="AF388" s="1077"/>
      <c r="AG388" s="1077"/>
      <c r="AH388" s="1077"/>
      <c r="AI388" s="1077"/>
      <c r="AJ388" s="1077"/>
      <c r="AK388" s="1077"/>
      <c r="AL388" s="1077"/>
    </row>
    <row r="389" spans="2:38" hidden="1">
      <c r="B389" s="47"/>
      <c r="C389" s="977" t="s">
        <v>1136</v>
      </c>
      <c r="D389" s="977" t="s">
        <v>1148</v>
      </c>
      <c r="E389" s="1595">
        <v>-3.6277179824961701E-6</v>
      </c>
      <c r="F389" s="1581">
        <v>1.5453921087192999</v>
      </c>
      <c r="G389" s="1582">
        <v>1.5453739701293874</v>
      </c>
      <c r="H389" s="1582">
        <v>1.5453558315394749</v>
      </c>
      <c r="I389" s="1582">
        <v>1.5453376929495624</v>
      </c>
      <c r="J389" s="1582">
        <v>1.5453195543596498</v>
      </c>
      <c r="K389" s="1582">
        <v>1.5453014157697373</v>
      </c>
      <c r="L389" s="1582">
        <v>1.5452832771798248</v>
      </c>
      <c r="M389" s="1582">
        <v>1.5452651385899123</v>
      </c>
      <c r="N389" s="1583">
        <v>1.545247</v>
      </c>
      <c r="O389" s="885"/>
      <c r="Q389" s="1077"/>
      <c r="R389" s="1077"/>
      <c r="S389" s="1077"/>
      <c r="T389" s="1077"/>
      <c r="U389" s="1077"/>
      <c r="V389" s="1077"/>
      <c r="W389" s="1077"/>
      <c r="X389" s="1077"/>
      <c r="Y389" s="1077"/>
      <c r="Z389" s="1077"/>
      <c r="AA389" s="1077"/>
      <c r="AB389" s="1077"/>
      <c r="AC389" s="1077"/>
      <c r="AD389" s="1077"/>
      <c r="AE389" s="1077"/>
      <c r="AF389" s="1077"/>
      <c r="AG389" s="1077"/>
      <c r="AH389" s="1077"/>
      <c r="AI389" s="1077"/>
      <c r="AJ389" s="1077"/>
      <c r="AK389" s="1077"/>
      <c r="AL389" s="1077"/>
    </row>
    <row r="390" spans="2:38" hidden="1">
      <c r="B390" s="47"/>
      <c r="C390" s="108" t="s">
        <v>1136</v>
      </c>
      <c r="D390" s="108" t="s">
        <v>1149</v>
      </c>
      <c r="E390" s="67">
        <v>0</v>
      </c>
      <c r="F390" s="1522">
        <v>2.8306108680447601</v>
      </c>
      <c r="G390" s="1584">
        <v>2.8306108680447601</v>
      </c>
      <c r="H390" s="1584">
        <v>2.8306108680447601</v>
      </c>
      <c r="I390" s="1584">
        <v>2.8306108680447601</v>
      </c>
      <c r="J390" s="1584">
        <v>2.8306108680447601</v>
      </c>
      <c r="K390" s="1584">
        <v>2.8306108680447601</v>
      </c>
      <c r="L390" s="1584">
        <v>2.8306108680447601</v>
      </c>
      <c r="M390" s="1584">
        <v>2.8306108680447601</v>
      </c>
      <c r="N390" s="1585">
        <v>2.8306108680447601</v>
      </c>
      <c r="O390" s="885"/>
    </row>
    <row r="391" spans="2:38" hidden="1">
      <c r="B391" s="47"/>
      <c r="C391" s="108" t="s">
        <v>1136</v>
      </c>
      <c r="D391" s="108" t="s">
        <v>1150</v>
      </c>
      <c r="E391" s="67">
        <v>0</v>
      </c>
      <c r="F391" s="1522">
        <v>2.0915374494870997</v>
      </c>
      <c r="G391" s="1584">
        <v>2.0915374494870997</v>
      </c>
      <c r="H391" s="1584">
        <v>2.0915374494870997</v>
      </c>
      <c r="I391" s="1584">
        <v>2.0915374494870997</v>
      </c>
      <c r="J391" s="1584">
        <v>2.0915374494870997</v>
      </c>
      <c r="K391" s="1584">
        <v>2.0915374494870997</v>
      </c>
      <c r="L391" s="1584">
        <v>2.0915374494870997</v>
      </c>
      <c r="M391" s="1584">
        <v>2.0915374494870997</v>
      </c>
      <c r="N391" s="1585">
        <v>2.0915374494870997</v>
      </c>
      <c r="O391" s="885"/>
    </row>
    <row r="392" spans="2:38" hidden="1">
      <c r="B392" s="47"/>
      <c r="C392" s="199" t="s">
        <v>1136</v>
      </c>
      <c r="D392" s="199" t="s">
        <v>1151</v>
      </c>
      <c r="E392" s="978">
        <v>0</v>
      </c>
      <c r="F392" s="1529">
        <v>20.546428594187098</v>
      </c>
      <c r="G392" s="1586">
        <v>20.546428594187098</v>
      </c>
      <c r="H392" s="1586">
        <v>20.546428594187098</v>
      </c>
      <c r="I392" s="1586">
        <v>20.546428594187098</v>
      </c>
      <c r="J392" s="1586">
        <v>20.546428594187098</v>
      </c>
      <c r="K392" s="1586">
        <v>20.546428594187098</v>
      </c>
      <c r="L392" s="1586">
        <v>20.546428594187098</v>
      </c>
      <c r="M392" s="1586">
        <v>20.546428594187098</v>
      </c>
      <c r="N392" s="1587">
        <v>20.546428594187098</v>
      </c>
      <c r="O392" s="885"/>
    </row>
    <row r="393" spans="2:38" hidden="1">
      <c r="B393" s="47"/>
      <c r="C393" s="977" t="s">
        <v>1138</v>
      </c>
      <c r="D393" s="977" t="s">
        <v>1148</v>
      </c>
      <c r="E393" s="973">
        <v>0</v>
      </c>
      <c r="F393" s="1581">
        <v>24.970654907911097</v>
      </c>
      <c r="G393" s="1582">
        <v>24.970654907911097</v>
      </c>
      <c r="H393" s="1582">
        <v>24.970654907911097</v>
      </c>
      <c r="I393" s="1582">
        <v>24.970654907911097</v>
      </c>
      <c r="J393" s="1582">
        <v>24.970654907911097</v>
      </c>
      <c r="K393" s="1582">
        <v>24.970654907911097</v>
      </c>
      <c r="L393" s="1582">
        <v>24.970654907911097</v>
      </c>
      <c r="M393" s="1582">
        <v>24.970654907911097</v>
      </c>
      <c r="N393" s="1583">
        <v>24.970654907911097</v>
      </c>
      <c r="O393" s="885"/>
    </row>
    <row r="394" spans="2:38" hidden="1">
      <c r="B394" s="47"/>
      <c r="C394" s="108" t="s">
        <v>1138</v>
      </c>
      <c r="D394" s="108" t="s">
        <v>1152</v>
      </c>
      <c r="E394" s="67">
        <v>0</v>
      </c>
      <c r="F394" s="1522">
        <v>25.064279979017698</v>
      </c>
      <c r="G394" s="1584">
        <v>25.064279979017698</v>
      </c>
      <c r="H394" s="1584">
        <v>25.064279979017698</v>
      </c>
      <c r="I394" s="1584">
        <v>25.064279979017698</v>
      </c>
      <c r="J394" s="1584">
        <v>25.064279979017698</v>
      </c>
      <c r="K394" s="1584">
        <v>25.064279979017698</v>
      </c>
      <c r="L394" s="1584">
        <v>25.064279979017698</v>
      </c>
      <c r="M394" s="1584">
        <v>25.064279979017698</v>
      </c>
      <c r="N394" s="1585">
        <v>25.064279979017698</v>
      </c>
      <c r="O394" s="885"/>
    </row>
    <row r="395" spans="2:38" hidden="1">
      <c r="B395" s="47"/>
      <c r="C395" s="108" t="s">
        <v>1138</v>
      </c>
      <c r="D395" s="108" t="s">
        <v>1150</v>
      </c>
      <c r="E395" s="67">
        <v>0</v>
      </c>
      <c r="F395" s="1522">
        <v>37.932736168402201</v>
      </c>
      <c r="G395" s="1584">
        <v>37.932736168402201</v>
      </c>
      <c r="H395" s="1584">
        <v>37.932736168402201</v>
      </c>
      <c r="I395" s="1584">
        <v>37.932736168402201</v>
      </c>
      <c r="J395" s="1584">
        <v>37.932736168402201</v>
      </c>
      <c r="K395" s="1584">
        <v>37.932736168402201</v>
      </c>
      <c r="L395" s="1584">
        <v>37.932736168402201</v>
      </c>
      <c r="M395" s="1584">
        <v>37.932736168402201</v>
      </c>
      <c r="N395" s="1585">
        <v>37.932736168402201</v>
      </c>
      <c r="O395" s="885"/>
    </row>
    <row r="396" spans="2:38" hidden="1">
      <c r="B396" s="47"/>
      <c r="C396" s="199" t="s">
        <v>1138</v>
      </c>
      <c r="D396" s="199" t="s">
        <v>1151</v>
      </c>
      <c r="E396" s="978">
        <v>0</v>
      </c>
      <c r="F396" s="1529">
        <v>93.722259476997209</v>
      </c>
      <c r="G396" s="1586">
        <v>93.722259476997209</v>
      </c>
      <c r="H396" s="1586">
        <v>93.722259476997209</v>
      </c>
      <c r="I396" s="1586">
        <v>93.722259476997209</v>
      </c>
      <c r="J396" s="1586">
        <v>93.722259476997209</v>
      </c>
      <c r="K396" s="1586">
        <v>93.722259476997209</v>
      </c>
      <c r="L396" s="1586">
        <v>93.722259476997209</v>
      </c>
      <c r="M396" s="1586">
        <v>93.722259476997209</v>
      </c>
      <c r="N396" s="1587">
        <v>93.722259476997209</v>
      </c>
      <c r="O396" s="885"/>
    </row>
    <row r="397" spans="2:38" hidden="1">
      <c r="B397" s="47"/>
      <c r="C397" s="977" t="s">
        <v>1140</v>
      </c>
      <c r="D397" s="977" t="s">
        <v>1153</v>
      </c>
      <c r="E397" s="973">
        <v>0</v>
      </c>
      <c r="F397" s="1581">
        <v>730.58999999999992</v>
      </c>
      <c r="G397" s="1582">
        <v>730.58999999999992</v>
      </c>
      <c r="H397" s="1582">
        <v>730.58999999999992</v>
      </c>
      <c r="I397" s="1582">
        <v>730.58999999999992</v>
      </c>
      <c r="J397" s="1582">
        <v>730.58999999999992</v>
      </c>
      <c r="K397" s="1582">
        <v>730.58999999999992</v>
      </c>
      <c r="L397" s="1582">
        <v>730.58999999999992</v>
      </c>
      <c r="M397" s="1582">
        <v>730.58999999999992</v>
      </c>
      <c r="N397" s="1583">
        <v>730.58999999999992</v>
      </c>
      <c r="O397" s="885"/>
    </row>
    <row r="398" spans="2:38" hidden="1">
      <c r="B398" s="47"/>
      <c r="C398" s="108" t="s">
        <v>1140</v>
      </c>
      <c r="D398" s="108" t="s">
        <v>1154</v>
      </c>
      <c r="E398" s="67">
        <v>0</v>
      </c>
      <c r="F398" s="1522">
        <v>730.58999999999992</v>
      </c>
      <c r="G398" s="1584">
        <v>730.58999999999992</v>
      </c>
      <c r="H398" s="1584">
        <v>730.58999999999992</v>
      </c>
      <c r="I398" s="1584">
        <v>730.58999999999992</v>
      </c>
      <c r="J398" s="1584">
        <v>730.58999999999992</v>
      </c>
      <c r="K398" s="1584">
        <v>730.58999999999992</v>
      </c>
      <c r="L398" s="1584">
        <v>730.58999999999992</v>
      </c>
      <c r="M398" s="1584">
        <v>730.58999999999992</v>
      </c>
      <c r="N398" s="1585">
        <v>730.58999999999992</v>
      </c>
      <c r="O398" s="885"/>
    </row>
    <row r="399" spans="2:38" hidden="1">
      <c r="B399" s="47"/>
      <c r="C399" s="1200" t="s">
        <v>1142</v>
      </c>
      <c r="D399" s="1200" t="s">
        <v>1142</v>
      </c>
      <c r="E399" s="1103">
        <v>0</v>
      </c>
      <c r="F399" s="1588">
        <v>1504.9580354367397</v>
      </c>
      <c r="G399" s="1579">
        <v>1504.9580354367397</v>
      </c>
      <c r="H399" s="1579">
        <v>1504.9580354367397</v>
      </c>
      <c r="I399" s="1579">
        <v>1504.9580354367397</v>
      </c>
      <c r="J399" s="1579">
        <v>1504.9580354367397</v>
      </c>
      <c r="K399" s="1579">
        <v>1504.9580354367397</v>
      </c>
      <c r="L399" s="1579">
        <v>1504.9580354367397</v>
      </c>
      <c r="M399" s="1579">
        <v>1504.9580354367397</v>
      </c>
      <c r="N399" s="1579">
        <v>1504.9580354367397</v>
      </c>
      <c r="O399" s="885"/>
    </row>
    <row r="400" spans="2:38" hidden="1">
      <c r="B400" s="47"/>
      <c r="C400" s="359"/>
      <c r="D400" s="359"/>
      <c r="E400" s="359"/>
      <c r="F400" s="1574"/>
      <c r="G400" s="359"/>
      <c r="H400" s="1574"/>
      <c r="I400" s="359"/>
      <c r="J400" s="359"/>
      <c r="K400" s="359"/>
      <c r="L400" s="359"/>
      <c r="M400" s="359"/>
      <c r="N400" s="1610"/>
      <c r="O400" s="885"/>
    </row>
    <row r="401" spans="2:76" hidden="1">
      <c r="B401" s="359"/>
      <c r="C401" s="359"/>
      <c r="D401" s="359"/>
      <c r="E401" s="359"/>
      <c r="F401" s="1603"/>
      <c r="G401" s="1603"/>
      <c r="H401" s="1603"/>
      <c r="I401" s="359"/>
      <c r="J401" s="1604"/>
      <c r="K401" s="359"/>
      <c r="L401" s="1604"/>
      <c r="M401" s="359"/>
      <c r="N401" s="1611" t="s">
        <v>2841</v>
      </c>
      <c r="O401" s="885"/>
    </row>
    <row r="402" spans="2:76" hidden="1">
      <c r="B402" s="359"/>
      <c r="C402" s="1591" t="s">
        <v>1183</v>
      </c>
      <c r="D402" s="982"/>
      <c r="E402" s="1592" t="s">
        <v>160</v>
      </c>
      <c r="F402" s="1593">
        <v>2013</v>
      </c>
      <c r="G402" s="1593">
        <v>2015</v>
      </c>
      <c r="H402" s="1593">
        <v>2020</v>
      </c>
      <c r="I402" s="1593">
        <v>2025</v>
      </c>
      <c r="J402" s="1593">
        <v>2030</v>
      </c>
      <c r="K402" s="1593">
        <v>2035</v>
      </c>
      <c r="L402" s="1593">
        <v>2040</v>
      </c>
      <c r="M402" s="1593">
        <v>2045</v>
      </c>
      <c r="N402" s="1612">
        <v>2050</v>
      </c>
      <c r="O402" s="885"/>
    </row>
    <row r="403" spans="2:76" hidden="1">
      <c r="B403" s="359"/>
      <c r="C403" s="1200" t="s">
        <v>1134</v>
      </c>
      <c r="D403" s="1200" t="s">
        <v>1134</v>
      </c>
      <c r="E403" s="1613">
        <v>0</v>
      </c>
      <c r="F403" s="1579">
        <v>4.9999999999999996E-2</v>
      </c>
      <c r="G403" s="1579">
        <v>4.9999999999999996E-2</v>
      </c>
      <c r="H403" s="1579">
        <v>4.9999999999999996E-2</v>
      </c>
      <c r="I403" s="1579">
        <v>4.9999999999999996E-2</v>
      </c>
      <c r="J403" s="1579">
        <v>4.9999999999999996E-2</v>
      </c>
      <c r="K403" s="1579">
        <v>4.9999999999999996E-2</v>
      </c>
      <c r="L403" s="1579">
        <v>4.9999999999999996E-2</v>
      </c>
      <c r="M403" s="1579">
        <v>4.9999999999999996E-2</v>
      </c>
      <c r="N403" s="1580">
        <v>4.9999999999999996E-2</v>
      </c>
      <c r="O403" s="885"/>
    </row>
    <row r="404" spans="2:76" hidden="1">
      <c r="B404" s="359"/>
      <c r="C404" s="977" t="s">
        <v>1136</v>
      </c>
      <c r="D404" s="977" t="s">
        <v>1148</v>
      </c>
      <c r="E404" s="1614">
        <v>-2.4999999999999469E-4</v>
      </c>
      <c r="F404" s="1581">
        <v>1.5453921087192999</v>
      </c>
      <c r="G404" s="1582">
        <v>1.5441421087192999</v>
      </c>
      <c r="H404" s="1582">
        <v>1.5428921087192999</v>
      </c>
      <c r="I404" s="1582">
        <v>1.5416421087193</v>
      </c>
      <c r="J404" s="1582">
        <v>1.5403921087193</v>
      </c>
      <c r="K404" s="1582">
        <v>1.5391421087193</v>
      </c>
      <c r="L404" s="1582">
        <v>1.5378921087193</v>
      </c>
      <c r="M404" s="1582">
        <v>1.5366421087193001</v>
      </c>
      <c r="N404" s="1583">
        <v>1.5353921087193001</v>
      </c>
      <c r="O404" s="885"/>
    </row>
    <row r="405" spans="2:76" hidden="1">
      <c r="B405" s="359"/>
      <c r="C405" s="108" t="s">
        <v>1136</v>
      </c>
      <c r="D405" s="108" t="s">
        <v>1149</v>
      </c>
      <c r="E405" s="1615">
        <v>-3.4497521701119006E-2</v>
      </c>
      <c r="F405" s="1522">
        <v>2.8306</v>
      </c>
      <c r="G405" s="1584">
        <v>2.6581232595391651</v>
      </c>
      <c r="H405" s="1584">
        <v>2.48563565103357</v>
      </c>
      <c r="I405" s="1584">
        <v>2.3131480425279749</v>
      </c>
      <c r="J405" s="1584">
        <v>2.1406604340223798</v>
      </c>
      <c r="K405" s="1584">
        <v>1.9681728255167847</v>
      </c>
      <c r="L405" s="1584">
        <v>1.7956852170111897</v>
      </c>
      <c r="M405" s="1584">
        <v>1.6231976085055946</v>
      </c>
      <c r="N405" s="1585">
        <v>1.4507099999999999</v>
      </c>
      <c r="O405" s="885"/>
    </row>
    <row r="406" spans="2:76" hidden="1">
      <c r="B406" s="359"/>
      <c r="C406" s="108" t="s">
        <v>1136</v>
      </c>
      <c r="D406" s="108" t="s">
        <v>1150</v>
      </c>
      <c r="E406" s="1615">
        <v>-2.3675486237177495E-2</v>
      </c>
      <c r="F406" s="1522">
        <v>2.0915374494870997</v>
      </c>
      <c r="G406" s="1584">
        <v>1.9731600183012123</v>
      </c>
      <c r="H406" s="1584">
        <v>1.854782587115325</v>
      </c>
      <c r="I406" s="1584">
        <v>1.7364051559294376</v>
      </c>
      <c r="J406" s="1584">
        <v>1.6180277247435502</v>
      </c>
      <c r="K406" s="1584">
        <v>1.4996502935576628</v>
      </c>
      <c r="L406" s="1584">
        <v>1.3812728623717754</v>
      </c>
      <c r="M406" s="1584">
        <v>1.262895431185888</v>
      </c>
      <c r="N406" s="1585">
        <v>1.1445179999999999</v>
      </c>
      <c r="O406" s="885"/>
    </row>
    <row r="407" spans="2:76" hidden="1">
      <c r="B407" s="359"/>
      <c r="C407" s="199" t="s">
        <v>1136</v>
      </c>
      <c r="D407" s="199" t="s">
        <v>1151</v>
      </c>
      <c r="E407" s="1616">
        <v>-0.47672721485467751</v>
      </c>
      <c r="F407" s="1529">
        <v>20.546428594187098</v>
      </c>
      <c r="G407" s="1586">
        <v>18.162792519913712</v>
      </c>
      <c r="H407" s="1586">
        <v>15.779156445640325</v>
      </c>
      <c r="I407" s="1586">
        <v>13.395520371366938</v>
      </c>
      <c r="J407" s="1586">
        <v>11.011884297093552</v>
      </c>
      <c r="K407" s="1586">
        <v>8.6282482228201651</v>
      </c>
      <c r="L407" s="1586">
        <v>6.2446121485467776</v>
      </c>
      <c r="M407" s="1586">
        <v>3.8609760742733901</v>
      </c>
      <c r="N407" s="1587">
        <v>1.4773399999999999</v>
      </c>
      <c r="O407" s="885"/>
    </row>
    <row r="408" spans="2:76" hidden="1">
      <c r="B408" s="359"/>
      <c r="C408" s="977" t="s">
        <v>1138</v>
      </c>
      <c r="D408" s="977" t="s">
        <v>1148</v>
      </c>
      <c r="E408" s="1614">
        <v>-5.1211226977774691E-3</v>
      </c>
      <c r="F408" s="1581">
        <v>24.970654907911097</v>
      </c>
      <c r="G408" s="1582">
        <v>24.945049294422208</v>
      </c>
      <c r="H408" s="1582">
        <v>24.91944368093332</v>
      </c>
      <c r="I408" s="1582">
        <v>24.893838067444431</v>
      </c>
      <c r="J408" s="1582">
        <v>24.868232453955542</v>
      </c>
      <c r="K408" s="1582">
        <v>24.842626840466654</v>
      </c>
      <c r="L408" s="1582">
        <v>24.817021226977765</v>
      </c>
      <c r="M408" s="1582">
        <v>24.791415613488876</v>
      </c>
      <c r="N408" s="1583">
        <v>24.765809999999998</v>
      </c>
      <c r="O408" s="885"/>
    </row>
    <row r="409" spans="2:76" hidden="1">
      <c r="B409" s="359"/>
      <c r="C409" s="108" t="s">
        <v>1138</v>
      </c>
      <c r="D409" s="108" t="s">
        <v>1152</v>
      </c>
      <c r="E409" s="1615">
        <v>-7.461749475442492E-3</v>
      </c>
      <c r="F409" s="1522">
        <v>25.064279979017698</v>
      </c>
      <c r="G409" s="1584">
        <v>25.026971231640484</v>
      </c>
      <c r="H409" s="1584">
        <v>24.98966248426327</v>
      </c>
      <c r="I409" s="1584">
        <v>24.952353736886057</v>
      </c>
      <c r="J409" s="1584">
        <v>24.915044989508843</v>
      </c>
      <c r="K409" s="1584">
        <v>24.877736242131629</v>
      </c>
      <c r="L409" s="1584">
        <v>24.840427494754415</v>
      </c>
      <c r="M409" s="1584">
        <v>24.803118747377201</v>
      </c>
      <c r="N409" s="1585">
        <v>24.765809999999998</v>
      </c>
      <c r="O409" s="885"/>
    </row>
    <row r="410" spans="2:76" hidden="1">
      <c r="B410" s="359"/>
      <c r="C410" s="108" t="s">
        <v>1138</v>
      </c>
      <c r="D410" s="108" t="s">
        <v>1150</v>
      </c>
      <c r="E410" s="1615">
        <v>-0.45088882921005508</v>
      </c>
      <c r="F410" s="1522">
        <v>37.932736168402201</v>
      </c>
      <c r="G410" s="1584">
        <v>35.678292022351926</v>
      </c>
      <c r="H410" s="1584">
        <v>33.42384787630165</v>
      </c>
      <c r="I410" s="1584">
        <v>31.169403730251375</v>
      </c>
      <c r="J410" s="1584">
        <v>28.9149595842011</v>
      </c>
      <c r="K410" s="1584">
        <v>26.660515438150824</v>
      </c>
      <c r="L410" s="1584">
        <v>24.406071292100549</v>
      </c>
      <c r="M410" s="1584">
        <v>22.151627146050274</v>
      </c>
      <c r="N410" s="1585">
        <v>19.897182999999998</v>
      </c>
      <c r="O410" s="885"/>
    </row>
    <row r="411" spans="2:76" hidden="1">
      <c r="B411" s="359"/>
      <c r="C411" s="199" t="s">
        <v>1138</v>
      </c>
      <c r="D411" s="199" t="s">
        <v>1151</v>
      </c>
      <c r="E411" s="1616">
        <v>-1.8391993869249306</v>
      </c>
      <c r="F411" s="1522">
        <v>93.722259476997209</v>
      </c>
      <c r="G411" s="1584">
        <v>84.526262542372564</v>
      </c>
      <c r="H411" s="1584">
        <v>75.330265607747918</v>
      </c>
      <c r="I411" s="1584">
        <v>66.134268673123273</v>
      </c>
      <c r="J411" s="1584">
        <v>56.938271738498621</v>
      </c>
      <c r="K411" s="1584">
        <v>47.742274803873968</v>
      </c>
      <c r="L411" s="1584">
        <v>38.546277869249316</v>
      </c>
      <c r="M411" s="1584">
        <v>29.350280934624664</v>
      </c>
      <c r="N411" s="1585">
        <v>20.154283999999997</v>
      </c>
      <c r="O411" s="885"/>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row>
    <row r="412" spans="2:76" hidden="1">
      <c r="B412" s="359"/>
      <c r="C412" s="977" t="s">
        <v>1140</v>
      </c>
      <c r="D412" s="977" t="s">
        <v>1153</v>
      </c>
      <c r="E412" s="1614">
        <v>-5.3424393749999979</v>
      </c>
      <c r="F412" s="1581">
        <v>730.58999999999992</v>
      </c>
      <c r="G412" s="1582">
        <v>703.8778031249999</v>
      </c>
      <c r="H412" s="1582">
        <v>677.16560624999988</v>
      </c>
      <c r="I412" s="1582">
        <v>650.45340937499986</v>
      </c>
      <c r="J412" s="1582">
        <v>623.74121249999985</v>
      </c>
      <c r="K412" s="1582">
        <v>597.02901562499983</v>
      </c>
      <c r="L412" s="1582">
        <v>570.31681874999981</v>
      </c>
      <c r="M412" s="1582">
        <v>543.60462187499979</v>
      </c>
      <c r="N412" s="1583">
        <v>516.892425</v>
      </c>
      <c r="O412" s="885"/>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row>
    <row r="413" spans="2:76" hidden="1">
      <c r="B413" s="359"/>
      <c r="C413" s="108" t="s">
        <v>1140</v>
      </c>
      <c r="D413" s="108" t="s">
        <v>1154</v>
      </c>
      <c r="E413" s="1615">
        <v>-5.3424393749999979</v>
      </c>
      <c r="F413" s="1529">
        <v>730.58999999999992</v>
      </c>
      <c r="G413" s="1586">
        <v>703.8778031249999</v>
      </c>
      <c r="H413" s="1586">
        <v>677.16560624999988</v>
      </c>
      <c r="I413" s="1586">
        <v>650.45340937499986</v>
      </c>
      <c r="J413" s="1586">
        <v>623.74121249999985</v>
      </c>
      <c r="K413" s="1586">
        <v>597.02901562499983</v>
      </c>
      <c r="L413" s="1586">
        <v>570.31681874999981</v>
      </c>
      <c r="M413" s="1586">
        <v>543.60462187499979</v>
      </c>
      <c r="N413" s="1587">
        <v>516.892425</v>
      </c>
      <c r="O413" s="885"/>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row>
    <row r="414" spans="2:76" hidden="1">
      <c r="B414" s="359"/>
      <c r="C414" s="1200" t="s">
        <v>1142</v>
      </c>
      <c r="D414" s="1200" t="s">
        <v>1142</v>
      </c>
      <c r="E414" s="1613">
        <v>0</v>
      </c>
      <c r="F414" s="1588">
        <v>1504.9580354367397</v>
      </c>
      <c r="G414" s="1579">
        <v>1504.9580354367397</v>
      </c>
      <c r="H414" s="1579">
        <v>1504.9580354367397</v>
      </c>
      <c r="I414" s="1579">
        <v>1504.9580354367397</v>
      </c>
      <c r="J414" s="1579">
        <v>1504.9580354367397</v>
      </c>
      <c r="K414" s="1579">
        <v>1504.9580354367397</v>
      </c>
      <c r="L414" s="1579">
        <v>1504.9580354367397</v>
      </c>
      <c r="M414" s="1579">
        <v>1504.9580354367397</v>
      </c>
      <c r="N414" s="1589">
        <v>1504.9580354367397</v>
      </c>
      <c r="O414" s="885"/>
      <c r="Q414" s="1422"/>
      <c r="R414" s="1422"/>
      <c r="S414" s="1422"/>
      <c r="T414" s="1422"/>
      <c r="U414" s="1422"/>
      <c r="V414" s="1422"/>
      <c r="W414" s="1422"/>
      <c r="X414" s="1422"/>
      <c r="Y414" s="1422"/>
      <c r="Z414" s="1422"/>
      <c r="AA414" s="1422"/>
      <c r="AB414" s="1422"/>
      <c r="AC414" s="1422"/>
      <c r="AD414" s="1422"/>
      <c r="AE414" s="1422"/>
      <c r="AF414" s="1422"/>
      <c r="AG414" s="1422"/>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row>
    <row r="415" spans="2:76" hidden="1">
      <c r="B415" s="359"/>
      <c r="C415" s="47"/>
      <c r="D415" s="47"/>
      <c r="E415" s="47"/>
      <c r="F415" s="47"/>
      <c r="G415" s="47"/>
      <c r="H415" s="47"/>
      <c r="I415" s="47"/>
      <c r="J415" s="47"/>
      <c r="K415" s="47"/>
      <c r="L415" s="47"/>
      <c r="M415" s="47"/>
      <c r="N415" s="1617"/>
      <c r="O415" s="885"/>
      <c r="Q415" s="1422"/>
      <c r="R415" s="1422"/>
      <c r="S415" s="1422"/>
      <c r="T415" s="1422"/>
      <c r="U415" s="1422"/>
      <c r="V415" s="1422"/>
      <c r="W415" s="1422"/>
      <c r="X415" s="1422"/>
      <c r="Y415" s="1422"/>
      <c r="Z415" s="1422"/>
      <c r="AA415" s="1422"/>
      <c r="AB415" s="1422"/>
      <c r="AC415" s="1422"/>
      <c r="AD415" s="1422"/>
      <c r="AE415" s="1422"/>
      <c r="AF415" s="1422"/>
      <c r="AG415" s="1422"/>
      <c r="AH415" s="39"/>
      <c r="AI415" s="39"/>
      <c r="AJ415" s="39"/>
      <c r="AK415" s="39"/>
      <c r="AL415" s="39"/>
      <c r="AM415" s="3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row>
    <row r="416" spans="2:76" hidden="1">
      <c r="B416" s="359"/>
      <c r="C416" s="359"/>
      <c r="D416" s="359"/>
      <c r="E416" s="359"/>
      <c r="F416" s="1574"/>
      <c r="G416" s="359"/>
      <c r="H416" s="1574"/>
      <c r="I416" s="359"/>
      <c r="J416" s="359"/>
      <c r="K416" s="359"/>
      <c r="L416" s="359"/>
      <c r="M416" s="359"/>
      <c r="N416" s="1611" t="s">
        <v>2841</v>
      </c>
      <c r="O416" s="885"/>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row>
    <row r="417" spans="2:76" hidden="1">
      <c r="B417" s="359"/>
      <c r="C417" s="1591" t="s">
        <v>1184</v>
      </c>
      <c r="D417" s="982"/>
      <c r="E417" s="1592" t="s">
        <v>160</v>
      </c>
      <c r="F417" s="1593">
        <v>2013</v>
      </c>
      <c r="G417" s="1593">
        <v>2015</v>
      </c>
      <c r="H417" s="1593">
        <v>2020</v>
      </c>
      <c r="I417" s="1593">
        <v>2025</v>
      </c>
      <c r="J417" s="1593">
        <v>2030</v>
      </c>
      <c r="K417" s="1593">
        <v>2035</v>
      </c>
      <c r="L417" s="1593">
        <v>2040</v>
      </c>
      <c r="M417" s="1593">
        <v>2045</v>
      </c>
      <c r="N417" s="1612">
        <v>2050</v>
      </c>
      <c r="O417" s="47"/>
      <c r="Q417" s="1422"/>
      <c r="R417" s="1422"/>
      <c r="S417" s="1422"/>
      <c r="T417" s="1422"/>
      <c r="U417" s="1422"/>
      <c r="V417" s="1422"/>
      <c r="W417" s="1422"/>
      <c r="X417" s="1422"/>
      <c r="Y417" s="1422"/>
      <c r="Z417" s="1422"/>
      <c r="AA417" s="1422"/>
      <c r="AB417" s="1422"/>
      <c r="AC417" s="1422"/>
      <c r="AD417" s="1422"/>
      <c r="AE417" s="1422"/>
      <c r="AF417" s="1422"/>
      <c r="AG417" s="1422"/>
      <c r="AH417" s="39"/>
      <c r="AI417" s="39"/>
      <c r="AJ417" s="39"/>
      <c r="AK417" s="39"/>
      <c r="AL417" s="39"/>
      <c r="AM417" s="3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row>
    <row r="418" spans="2:76" hidden="1">
      <c r="B418" s="359"/>
      <c r="C418" s="1200" t="s">
        <v>1134</v>
      </c>
      <c r="D418" s="1200" t="s">
        <v>1134</v>
      </c>
      <c r="E418" s="1601">
        <v>0</v>
      </c>
      <c r="F418" s="1579">
        <v>4.9999999999999996E-2</v>
      </c>
      <c r="G418" s="1579">
        <v>4.9999999999999996E-2</v>
      </c>
      <c r="H418" s="1579">
        <v>4.9999999999999996E-2</v>
      </c>
      <c r="I418" s="1579">
        <v>4.9999999999999996E-2</v>
      </c>
      <c r="J418" s="1579">
        <v>4.9999999999999996E-2</v>
      </c>
      <c r="K418" s="1579">
        <v>4.9999999999999996E-2</v>
      </c>
      <c r="L418" s="1579">
        <v>4.9999999999999996E-2</v>
      </c>
      <c r="M418" s="1579">
        <v>4.9999999999999996E-2</v>
      </c>
      <c r="N418" s="1580">
        <v>4.9999999999999996E-2</v>
      </c>
      <c r="O418" s="47"/>
      <c r="Q418" s="1422"/>
      <c r="R418" s="1422"/>
      <c r="S418" s="1422"/>
      <c r="T418" s="1422"/>
      <c r="U418" s="1422"/>
      <c r="V418" s="1422"/>
      <c r="W418" s="1422"/>
      <c r="X418" s="1422"/>
      <c r="Y418" s="1422"/>
      <c r="Z418" s="1422"/>
      <c r="AA418" s="1422"/>
      <c r="AB418" s="1422"/>
      <c r="AC418" s="1422"/>
      <c r="AD418" s="1422"/>
      <c r="AE418" s="1422"/>
      <c r="AF418" s="1422"/>
      <c r="AG418" s="1422"/>
      <c r="AH418" s="39"/>
      <c r="AI418" s="39"/>
      <c r="AJ418" s="39"/>
      <c r="AK418" s="39"/>
      <c r="AL418" s="39"/>
      <c r="AM418" s="3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row>
    <row r="419" spans="2:76" hidden="1">
      <c r="B419" s="359"/>
      <c r="C419" s="977" t="s">
        <v>1136</v>
      </c>
      <c r="D419" s="977" t="s">
        <v>1148</v>
      </c>
      <c r="E419" s="1595">
        <v>-3.3634802717982498E-2</v>
      </c>
      <c r="F419" s="1581">
        <v>1.5453921087192999</v>
      </c>
      <c r="G419" s="1582">
        <v>1.3772180951293873</v>
      </c>
      <c r="H419" s="1582">
        <v>1.2090440815394747</v>
      </c>
      <c r="I419" s="1582">
        <v>1.0408700679495622</v>
      </c>
      <c r="J419" s="1582">
        <v>0.8726960543596497</v>
      </c>
      <c r="K419" s="1582">
        <v>0.70452204076973723</v>
      </c>
      <c r="L419" s="1582">
        <v>0.53634802717982477</v>
      </c>
      <c r="M419" s="1582">
        <v>0.36817401358991231</v>
      </c>
      <c r="N419" s="1583">
        <v>0.19999999999999998</v>
      </c>
      <c r="O419" s="47"/>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row>
    <row r="420" spans="2:76" hidden="1">
      <c r="B420" s="359"/>
      <c r="C420" s="108" t="s">
        <v>1136</v>
      </c>
      <c r="D420" s="108" t="s">
        <v>1149</v>
      </c>
      <c r="E420" s="1597">
        <v>-6.5765271701118996E-2</v>
      </c>
      <c r="F420" s="1522">
        <v>2.8306108680447601</v>
      </c>
      <c r="G420" s="1584">
        <v>2.5017845095391653</v>
      </c>
      <c r="H420" s="1584">
        <v>2.1729581510335705</v>
      </c>
      <c r="I420" s="1584">
        <v>1.8441317925279754</v>
      </c>
      <c r="J420" s="1584">
        <v>1.5153054340223804</v>
      </c>
      <c r="K420" s="1584">
        <v>1.1864790755167853</v>
      </c>
      <c r="L420" s="1584">
        <v>0.85765271701119028</v>
      </c>
      <c r="M420" s="1584">
        <v>0.52882635850559523</v>
      </c>
      <c r="N420" s="1585">
        <v>0.19999999999999998</v>
      </c>
      <c r="O420" s="47"/>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row>
    <row r="421" spans="2:76" hidden="1">
      <c r="B421" s="359"/>
      <c r="C421" s="108" t="s">
        <v>1136</v>
      </c>
      <c r="D421" s="108" t="s">
        <v>1150</v>
      </c>
      <c r="E421" s="1597">
        <v>-4.7288436237177496E-2</v>
      </c>
      <c r="F421" s="1522">
        <v>2.0915374494870997</v>
      </c>
      <c r="G421" s="1584">
        <v>1.8550952683012123</v>
      </c>
      <c r="H421" s="1584">
        <v>1.6186530871153249</v>
      </c>
      <c r="I421" s="1584">
        <v>1.3822109059294374</v>
      </c>
      <c r="J421" s="1584">
        <v>1.14576872474355</v>
      </c>
      <c r="K421" s="1584">
        <v>0.90932654355766251</v>
      </c>
      <c r="L421" s="1584">
        <v>0.67288436237177507</v>
      </c>
      <c r="M421" s="1584">
        <v>0.43644218118588762</v>
      </c>
      <c r="N421" s="1585">
        <v>0.19999999999999998</v>
      </c>
      <c r="O421" s="47"/>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row>
    <row r="422" spans="2:76" hidden="1">
      <c r="B422" s="359"/>
      <c r="C422" s="199" t="s">
        <v>1136</v>
      </c>
      <c r="D422" s="199" t="s">
        <v>1151</v>
      </c>
      <c r="E422" s="1598">
        <v>-0.50866071485467745</v>
      </c>
      <c r="F422" s="1529">
        <v>20.546428594187098</v>
      </c>
      <c r="G422" s="1586">
        <v>18.003125019913711</v>
      </c>
      <c r="H422" s="1586">
        <v>15.459821445640323</v>
      </c>
      <c r="I422" s="1586">
        <v>12.916517871366935</v>
      </c>
      <c r="J422" s="1586">
        <v>10.373214297093547</v>
      </c>
      <c r="K422" s="1586">
        <v>7.8299107228201592</v>
      </c>
      <c r="L422" s="1586">
        <v>5.2866071485467714</v>
      </c>
      <c r="M422" s="1586">
        <v>2.743303574273384</v>
      </c>
      <c r="N422" s="1587">
        <v>0.19999999999999998</v>
      </c>
      <c r="O422" s="47"/>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row>
    <row r="423" spans="2:76" hidden="1">
      <c r="B423" s="359"/>
      <c r="C423" s="977" t="s">
        <v>1138</v>
      </c>
      <c r="D423" s="977" t="s">
        <v>1148</v>
      </c>
      <c r="E423" s="1595">
        <v>-0.59926637269777738</v>
      </c>
      <c r="F423" s="1581">
        <v>24.970654907911097</v>
      </c>
      <c r="G423" s="1582">
        <v>21.97432304442221</v>
      </c>
      <c r="H423" s="1582">
        <v>18.977991180933323</v>
      </c>
      <c r="I423" s="1582">
        <v>15.981659317444436</v>
      </c>
      <c r="J423" s="1582">
        <v>12.985327453955549</v>
      </c>
      <c r="K423" s="1582">
        <v>9.9889955904666614</v>
      </c>
      <c r="L423" s="1582">
        <v>6.9926637269777743</v>
      </c>
      <c r="M423" s="1582">
        <v>3.9963318634888871</v>
      </c>
      <c r="N423" s="1583">
        <v>1</v>
      </c>
      <c r="O423" s="47"/>
    </row>
    <row r="424" spans="2:76" hidden="1">
      <c r="B424" s="359"/>
      <c r="C424" s="108" t="s">
        <v>1138</v>
      </c>
      <c r="D424" s="108" t="s">
        <v>1152</v>
      </c>
      <c r="E424" s="1597">
        <v>-0.51660699947544253</v>
      </c>
      <c r="F424" s="1522">
        <v>25.064279979017698</v>
      </c>
      <c r="G424" s="1584">
        <v>22.481244981640486</v>
      </c>
      <c r="H424" s="1584">
        <v>19.898209984263275</v>
      </c>
      <c r="I424" s="1584">
        <v>17.315174986886063</v>
      </c>
      <c r="J424" s="1584">
        <v>14.732139989508852</v>
      </c>
      <c r="K424" s="1584">
        <v>12.14910499213164</v>
      </c>
      <c r="L424" s="1584">
        <v>9.5660699947544288</v>
      </c>
      <c r="M424" s="1584">
        <v>6.9830349973772163</v>
      </c>
      <c r="N424" s="1585">
        <v>4.3999999999999995</v>
      </c>
      <c r="O424" s="47"/>
    </row>
    <row r="425" spans="2:76" hidden="1">
      <c r="B425" s="359"/>
      <c r="C425" s="108" t="s">
        <v>1138</v>
      </c>
      <c r="D425" s="108" t="s">
        <v>1150</v>
      </c>
      <c r="E425" s="1597">
        <v>-0.45088882921005508</v>
      </c>
      <c r="F425" s="1522">
        <v>37.932736168402201</v>
      </c>
      <c r="G425" s="1584">
        <v>35.678292022351926</v>
      </c>
      <c r="H425" s="1584">
        <v>33.42384787630165</v>
      </c>
      <c r="I425" s="1584">
        <v>31.169403730251375</v>
      </c>
      <c r="J425" s="1584">
        <v>28.9149595842011</v>
      </c>
      <c r="K425" s="1584">
        <v>26.660515438150824</v>
      </c>
      <c r="L425" s="1584">
        <v>24.406071292100549</v>
      </c>
      <c r="M425" s="1584">
        <v>22.151627146050274</v>
      </c>
      <c r="N425" s="1585">
        <v>19.897182999999998</v>
      </c>
      <c r="O425" s="47"/>
    </row>
    <row r="426" spans="2:76" hidden="1">
      <c r="B426" s="359"/>
      <c r="C426" s="199" t="s">
        <v>1138</v>
      </c>
      <c r="D426" s="199" t="s">
        <v>1151</v>
      </c>
      <c r="E426" s="1598">
        <v>-2.2828064869249305</v>
      </c>
      <c r="F426" s="1529">
        <v>93.722259476997209</v>
      </c>
      <c r="G426" s="1586">
        <v>82.30822704237255</v>
      </c>
      <c r="H426" s="1586">
        <v>70.894194607747892</v>
      </c>
      <c r="I426" s="1586">
        <v>59.48016217312324</v>
      </c>
      <c r="J426" s="1586">
        <v>48.066129738498589</v>
      </c>
      <c r="K426" s="1586">
        <v>36.652097303873937</v>
      </c>
      <c r="L426" s="1586">
        <v>25.238064869249285</v>
      </c>
      <c r="M426" s="1586">
        <v>13.824032434624634</v>
      </c>
      <c r="N426" s="1587">
        <v>2.4099999999999997</v>
      </c>
      <c r="O426" s="47"/>
    </row>
    <row r="427" spans="2:76" hidden="1">
      <c r="B427" s="359"/>
      <c r="C427" s="977" t="s">
        <v>1140</v>
      </c>
      <c r="D427" s="977" t="s">
        <v>1153</v>
      </c>
      <c r="E427" s="1595">
        <v>-8.2191374999999987</v>
      </c>
      <c r="F427" s="1581">
        <v>730.58999999999992</v>
      </c>
      <c r="G427" s="1582">
        <v>689.49431249999998</v>
      </c>
      <c r="H427" s="1582">
        <v>648.39862500000004</v>
      </c>
      <c r="I427" s="1582">
        <v>607.3029375000001</v>
      </c>
      <c r="J427" s="1582">
        <v>566.20725000000016</v>
      </c>
      <c r="K427" s="1582">
        <v>525.11156250000022</v>
      </c>
      <c r="L427" s="1582">
        <v>484.01587500000022</v>
      </c>
      <c r="M427" s="1582">
        <v>442.92018750000022</v>
      </c>
      <c r="N427" s="1583">
        <v>401.8245</v>
      </c>
      <c r="O427" s="47"/>
    </row>
    <row r="428" spans="2:76" hidden="1">
      <c r="B428" s="359"/>
      <c r="C428" s="199" t="s">
        <v>1140</v>
      </c>
      <c r="D428" s="199" t="s">
        <v>1154</v>
      </c>
      <c r="E428" s="1598">
        <v>-8.2191374999999987</v>
      </c>
      <c r="F428" s="1529">
        <v>730.58999999999992</v>
      </c>
      <c r="G428" s="1586">
        <v>689.49431249999998</v>
      </c>
      <c r="H428" s="1586">
        <v>648.39862500000004</v>
      </c>
      <c r="I428" s="1586">
        <v>607.3029375000001</v>
      </c>
      <c r="J428" s="1586">
        <v>566.20725000000016</v>
      </c>
      <c r="K428" s="1586">
        <v>525.11156250000022</v>
      </c>
      <c r="L428" s="1586">
        <v>484.01587500000022</v>
      </c>
      <c r="M428" s="1586">
        <v>442.92018750000022</v>
      </c>
      <c r="N428" s="1587">
        <v>401.8245</v>
      </c>
      <c r="O428" s="47"/>
    </row>
    <row r="429" spans="2:76" hidden="1">
      <c r="B429" s="359"/>
      <c r="C429" s="1200" t="s">
        <v>1142</v>
      </c>
      <c r="D429" s="1200" t="s">
        <v>1142</v>
      </c>
      <c r="E429" s="1103">
        <v>0</v>
      </c>
      <c r="F429" s="1588">
        <v>1504.9580354367397</v>
      </c>
      <c r="G429" s="1579">
        <v>1504.9580354367397</v>
      </c>
      <c r="H429" s="1579">
        <v>1504.9580354367397</v>
      </c>
      <c r="I429" s="1579">
        <v>1504.9580354367397</v>
      </c>
      <c r="J429" s="1579">
        <v>1504.9580354367397</v>
      </c>
      <c r="K429" s="1579">
        <v>1504.9580354367397</v>
      </c>
      <c r="L429" s="1579">
        <v>1504.9580354367397</v>
      </c>
      <c r="M429" s="1579">
        <v>1504.9580354367397</v>
      </c>
      <c r="N429" s="1589">
        <v>1504.9580354367397</v>
      </c>
      <c r="O429" s="47"/>
    </row>
    <row r="430" spans="2:76" hidden="1">
      <c r="B430" s="359"/>
      <c r="C430" s="1574"/>
      <c r="D430" s="359"/>
      <c r="E430" s="359"/>
      <c r="F430" s="359"/>
      <c r="G430" s="359"/>
      <c r="H430" s="359"/>
      <c r="I430" s="359"/>
      <c r="J430" s="359"/>
      <c r="K430" s="359"/>
      <c r="L430" s="359"/>
      <c r="M430" s="359"/>
      <c r="N430" s="359"/>
      <c r="O430" s="47"/>
    </row>
    <row r="431" spans="2:76" hidden="1">
      <c r="B431" s="359"/>
      <c r="C431" s="67" t="s">
        <v>30</v>
      </c>
      <c r="D431" s="67"/>
      <c r="E431" s="67"/>
      <c r="F431" s="67"/>
      <c r="G431" s="67"/>
      <c r="H431" s="67"/>
      <c r="I431" s="67"/>
      <c r="J431" s="67"/>
      <c r="K431" s="67"/>
      <c r="L431" s="67"/>
      <c r="M431" s="67"/>
      <c r="N431" s="67"/>
      <c r="O431" s="47"/>
    </row>
    <row r="432" spans="2:76" hidden="1">
      <c r="B432" s="67"/>
      <c r="C432" s="104" t="s">
        <v>65</v>
      </c>
      <c r="D432" s="1618" t="s">
        <v>1185</v>
      </c>
      <c r="E432" s="67"/>
      <c r="F432" s="67"/>
      <c r="G432" s="67"/>
      <c r="H432" s="67"/>
      <c r="I432" s="67"/>
      <c r="J432" s="67"/>
      <c r="K432" s="67"/>
      <c r="L432" s="67"/>
      <c r="M432" s="67"/>
      <c r="N432" s="67"/>
      <c r="O432" s="67"/>
    </row>
    <row r="433" spans="2:15" hidden="1">
      <c r="B433" s="67"/>
      <c r="C433" s="51" t="s">
        <v>67</v>
      </c>
      <c r="D433" s="67" t="s">
        <v>1186</v>
      </c>
      <c r="E433" s="67"/>
      <c r="F433" s="67"/>
      <c r="G433" s="67"/>
      <c r="H433" s="67"/>
      <c r="I433" s="67"/>
      <c r="J433" s="67"/>
      <c r="K433" s="67"/>
      <c r="L433" s="67"/>
      <c r="M433" s="67"/>
      <c r="N433" s="67"/>
      <c r="O433" s="67"/>
    </row>
    <row r="434" spans="2:15" hidden="1">
      <c r="B434" s="67"/>
      <c r="C434" s="51" t="s">
        <v>106</v>
      </c>
      <c r="D434" s="67" t="s">
        <v>1187</v>
      </c>
      <c r="E434" s="67"/>
      <c r="F434" s="67"/>
      <c r="G434" s="67"/>
      <c r="H434" s="67"/>
      <c r="I434" s="67"/>
      <c r="J434" s="67"/>
      <c r="K434" s="67"/>
      <c r="L434" s="67"/>
      <c r="M434" s="67"/>
      <c r="N434" s="67"/>
      <c r="O434" s="67"/>
    </row>
    <row r="435" spans="2:15" hidden="1">
      <c r="B435" s="67"/>
      <c r="C435" s="51" t="s">
        <v>80</v>
      </c>
      <c r="D435" s="67" t="s">
        <v>1188</v>
      </c>
      <c r="E435" s="67"/>
      <c r="F435" s="67"/>
      <c r="G435" s="67"/>
      <c r="H435" s="67"/>
      <c r="I435" s="67"/>
      <c r="J435" s="67"/>
      <c r="K435" s="67"/>
      <c r="L435" s="67"/>
      <c r="M435" s="67"/>
      <c r="N435" s="67"/>
      <c r="O435" s="67"/>
    </row>
    <row r="436" spans="2:15" hidden="1">
      <c r="B436" s="67"/>
      <c r="C436" s="51" t="s">
        <v>156</v>
      </c>
      <c r="D436" s="67" t="s">
        <v>2842</v>
      </c>
      <c r="E436" s="67"/>
      <c r="F436" s="67"/>
      <c r="G436" s="67"/>
      <c r="H436" s="67"/>
      <c r="I436" s="67"/>
      <c r="J436" s="67"/>
      <c r="K436" s="67"/>
      <c r="L436" s="67"/>
      <c r="M436" s="67"/>
      <c r="N436" s="67"/>
      <c r="O436" s="67"/>
    </row>
    <row r="437" spans="2:15" hidden="1">
      <c r="B437" s="67"/>
      <c r="C437" s="51" t="s">
        <v>105</v>
      </c>
      <c r="D437" s="67" t="s">
        <v>1189</v>
      </c>
      <c r="E437" s="67"/>
      <c r="F437" s="67"/>
      <c r="G437" s="67"/>
      <c r="H437" s="67"/>
      <c r="I437" s="67"/>
      <c r="J437" s="67"/>
      <c r="K437" s="67"/>
      <c r="L437" s="67"/>
      <c r="M437" s="67"/>
      <c r="N437" s="67"/>
      <c r="O437" s="885"/>
    </row>
    <row r="438" spans="2:15" hidden="1">
      <c r="B438" s="67"/>
      <c r="C438" s="51" t="s">
        <v>158</v>
      </c>
      <c r="D438" s="67" t="s">
        <v>1190</v>
      </c>
      <c r="E438" s="67"/>
      <c r="F438" s="67"/>
      <c r="G438" s="67"/>
      <c r="H438" s="67"/>
      <c r="I438" s="67"/>
      <c r="J438" s="67"/>
      <c r="K438" s="67"/>
      <c r="L438" s="67"/>
      <c r="M438" s="67"/>
      <c r="N438" s="67"/>
      <c r="O438" s="885"/>
    </row>
    <row r="439" spans="2:15" hidden="1">
      <c r="B439" s="67"/>
      <c r="C439" s="51" t="s">
        <v>1191</v>
      </c>
      <c r="D439" s="67" t="s">
        <v>1192</v>
      </c>
      <c r="E439" s="67"/>
      <c r="F439" s="67"/>
      <c r="G439" s="67"/>
      <c r="H439" s="67"/>
      <c r="I439" s="67"/>
      <c r="J439" s="67"/>
      <c r="K439" s="67"/>
      <c r="L439" s="67"/>
      <c r="M439" s="67"/>
      <c r="N439" s="67"/>
      <c r="O439" s="885"/>
    </row>
    <row r="440" spans="2:15" hidden="1">
      <c r="B440" s="67"/>
      <c r="C440" s="108"/>
      <c r="D440" s="108"/>
      <c r="E440" s="172"/>
      <c r="F440" s="172"/>
      <c r="G440" s="172"/>
      <c r="H440" s="172"/>
      <c r="I440" s="172"/>
      <c r="J440" s="172"/>
      <c r="K440" s="172"/>
      <c r="L440" s="172"/>
      <c r="M440" s="67"/>
      <c r="N440" s="172"/>
      <c r="O440" s="885"/>
    </row>
    <row r="441" spans="2:15" hidden="1">
      <c r="B441" s="67"/>
      <c r="C441" s="108"/>
      <c r="D441" s="108"/>
      <c r="E441" s="172"/>
      <c r="F441" s="172"/>
      <c r="G441" s="172"/>
      <c r="H441" s="172"/>
      <c r="I441" s="172"/>
      <c r="J441" s="172"/>
      <c r="K441" s="172"/>
      <c r="L441" s="172"/>
      <c r="M441" s="67"/>
      <c r="N441" s="172"/>
      <c r="O441" s="885"/>
    </row>
    <row r="443" spans="2:15" ht="15.75">
      <c r="B443" s="1110" t="s">
        <v>207</v>
      </c>
    </row>
    <row r="444" spans="2:15">
      <c r="B444" s="363">
        <v>1</v>
      </c>
      <c r="C444" t="s">
        <v>1193</v>
      </c>
      <c r="D444" s="2"/>
      <c r="E444" s="2"/>
      <c r="F444" s="2"/>
      <c r="G444" s="2"/>
      <c r="H444" s="2"/>
      <c r="I444" s="2"/>
      <c r="J444" s="2"/>
      <c r="K444" s="2"/>
      <c r="L444" s="2"/>
      <c r="M444" s="2"/>
      <c r="N444" s="2"/>
      <c r="O444" s="2"/>
    </row>
    <row r="445" spans="2:15">
      <c r="B445" s="363">
        <v>2</v>
      </c>
      <c r="C445" t="s">
        <v>1194</v>
      </c>
    </row>
    <row r="446" spans="2:15">
      <c r="B446" s="363">
        <v>3</v>
      </c>
      <c r="C446" t="s">
        <v>1195</v>
      </c>
    </row>
    <row r="447" spans="2:15">
      <c r="B447" s="363">
        <v>4</v>
      </c>
      <c r="C447" t="s">
        <v>1196</v>
      </c>
    </row>
    <row r="448" spans="2:15">
      <c r="B448" s="363">
        <v>5</v>
      </c>
      <c r="C448" t="s">
        <v>1197</v>
      </c>
    </row>
    <row r="450" spans="1:15">
      <c r="F450" s="1325">
        <v>2013</v>
      </c>
      <c r="G450" s="1325">
        <v>2015</v>
      </c>
      <c r="H450" s="1325">
        <v>2020</v>
      </c>
      <c r="I450" s="1325">
        <v>2025</v>
      </c>
      <c r="J450" s="1325">
        <v>2030</v>
      </c>
      <c r="K450" s="1325">
        <v>2035</v>
      </c>
      <c r="L450" s="1325">
        <v>2040</v>
      </c>
      <c r="M450" s="1325">
        <v>2045</v>
      </c>
      <c r="N450" s="1325">
        <v>2050</v>
      </c>
    </row>
    <row r="451" spans="1:15">
      <c r="B451" s="363">
        <v>1</v>
      </c>
      <c r="C451" s="363" t="s">
        <v>1198</v>
      </c>
      <c r="F451" s="1325"/>
      <c r="G451" s="1325"/>
      <c r="H451" s="1325"/>
      <c r="I451" s="1325"/>
      <c r="J451" s="1325"/>
      <c r="K451" s="1325"/>
      <c r="L451" s="1325"/>
      <c r="M451" s="1325"/>
      <c r="N451" s="1325"/>
    </row>
    <row r="452" spans="1:15">
      <c r="B452" s="363"/>
      <c r="F452" s="1325"/>
      <c r="G452" s="1325"/>
      <c r="H452" s="1325"/>
      <c r="I452" s="1325"/>
      <c r="J452" s="1325"/>
      <c r="K452" s="1325"/>
      <c r="L452" s="1325"/>
      <c r="M452" s="1325"/>
      <c r="N452" s="364"/>
    </row>
    <row r="453" spans="1:15">
      <c r="B453" s="363"/>
      <c r="C453" t="s">
        <v>1199</v>
      </c>
      <c r="E453" s="382" t="s">
        <v>921</v>
      </c>
      <c r="F453" s="1619">
        <f t="shared" ref="F453:N453" si="39">INDEX(F$18:F$21, MATCH($E$8, $C$18:$C$21, 0))</f>
        <v>12872</v>
      </c>
      <c r="G453" s="1619">
        <f t="shared" si="39"/>
        <v>12913.747027027028</v>
      </c>
      <c r="H453" s="1619">
        <f t="shared" si="39"/>
        <v>13018.114594594595</v>
      </c>
      <c r="I453" s="1619">
        <f t="shared" si="39"/>
        <v>13122.482162162163</v>
      </c>
      <c r="J453" s="1619">
        <f t="shared" si="39"/>
        <v>13226.849729729731</v>
      </c>
      <c r="K453" s="1619">
        <f t="shared" si="39"/>
        <v>13331.217297297299</v>
      </c>
      <c r="L453" s="1619">
        <f t="shared" si="39"/>
        <v>13435.584864864866</v>
      </c>
      <c r="M453" s="1619">
        <f t="shared" si="39"/>
        <v>13539.952432432434</v>
      </c>
      <c r="N453" s="1619">
        <f t="shared" si="39"/>
        <v>13644.320000000002</v>
      </c>
    </row>
    <row r="454" spans="1:15" s="39" customFormat="1">
      <c r="B454" s="38" t="s">
        <v>219</v>
      </c>
      <c r="C454" s="39" t="s">
        <v>1200</v>
      </c>
      <c r="E454" s="1620" t="s">
        <v>1201</v>
      </c>
      <c r="F454" s="2379">
        <f>INDEX(Global.Assumptions[Population], MATCH(F$450,Global.Assumptions[Year], 0))/1000000</f>
        <v>4.5930999999999997</v>
      </c>
      <c r="G454" s="2379">
        <f>INDEX(Global.Assumptions[Population], MATCH(G$450,Global.Assumptions[Year], 0))/1000000</f>
        <v>4.6613926513631654</v>
      </c>
      <c r="H454" s="2379">
        <f>INDEX(Global.Assumptions[Population], MATCH(H$450,Global.Assumptions[Year], 0))/1000000</f>
        <v>4.8365997922269068</v>
      </c>
      <c r="I454" s="2379">
        <f>INDEX(Global.Assumptions[Population], MATCH(I$450,Global.Assumptions[Year], 0))/1000000</f>
        <v>5.0022843389555049</v>
      </c>
      <c r="J454" s="2379">
        <f>INDEX(Global.Assumptions[Population], MATCH(J$450,Global.Assumptions[Year], 0))/1000000</f>
        <v>5.146142178929435</v>
      </c>
      <c r="K454" s="2379">
        <f>INDEX(Global.Assumptions[Population], MATCH(K$450,Global.Assumptions[Year], 0))/1000000</f>
        <v>5.2949606340748794</v>
      </c>
      <c r="L454" s="2379">
        <f>INDEX(Global.Assumptions[Population], MATCH(L$450,Global.Assumptions[Year], 0))/1000000</f>
        <v>5.4477475813575325</v>
      </c>
      <c r="M454" s="2379">
        <f>INDEX(Global.Assumptions[Population], MATCH(M$450,Global.Assumptions[Year], 0))/1000000</f>
        <v>5.5906132982971579</v>
      </c>
      <c r="N454" s="2379">
        <f>INDEX(Global.Assumptions[Population], MATCH(N$450,Global.Assumptions[Year], 0))/1000000</f>
        <v>5.7372256302867379</v>
      </c>
    </row>
    <row r="455" spans="1:15">
      <c r="B455" s="991" t="s">
        <v>221</v>
      </c>
      <c r="C455" s="363" t="s">
        <v>1202</v>
      </c>
      <c r="D455" s="363"/>
      <c r="E455" s="364" t="s">
        <v>1203</v>
      </c>
      <c r="F455" s="1621">
        <f t="shared" ref="F455:N455" si="40">F453*F454/1000</f>
        <v>59.122383199999994</v>
      </c>
      <c r="G455" s="1621">
        <f t="shared" si="40"/>
        <v>60.196045493346709</v>
      </c>
      <c r="H455" s="1621">
        <f t="shared" si="40"/>
        <v>62.96341034340228</v>
      </c>
      <c r="I455" s="1621">
        <f t="shared" si="40"/>
        <v>65.64238700800675</v>
      </c>
      <c r="J455" s="1621">
        <f t="shared" si="40"/>
        <v>68.06724928852357</v>
      </c>
      <c r="K455" s="1621">
        <f t="shared" si="40"/>
        <v>70.588270793487297</v>
      </c>
      <c r="L455" s="1621">
        <f t="shared" si="40"/>
        <v>73.193674951691449</v>
      </c>
      <c r="M455" s="1621">
        <f t="shared" si="40"/>
        <v>75.696638127067715</v>
      </c>
      <c r="N455" s="1621">
        <f t="shared" si="40"/>
        <v>78.280542411833963</v>
      </c>
    </row>
    <row r="456" spans="1:15">
      <c r="C456" s="363"/>
      <c r="D456" s="363"/>
      <c r="E456" s="364"/>
      <c r="F456" s="1621"/>
      <c r="G456" s="1621"/>
      <c r="H456" s="1621"/>
      <c r="I456" s="1621"/>
      <c r="J456" s="1621"/>
      <c r="K456" s="1621"/>
      <c r="L456" s="1621"/>
      <c r="M456" s="1621"/>
      <c r="N456" s="1621"/>
    </row>
    <row r="457" spans="1:15">
      <c r="B457" s="2" t="s">
        <v>219</v>
      </c>
      <c r="C457" t="s">
        <v>1204</v>
      </c>
      <c r="E457" s="382"/>
      <c r="F457" s="1380"/>
      <c r="G457" s="1326"/>
      <c r="H457" s="1326"/>
      <c r="I457" s="1326"/>
      <c r="J457" s="1326"/>
      <c r="K457" s="1326"/>
      <c r="L457" s="1326"/>
      <c r="M457" s="1326"/>
      <c r="N457" s="1326"/>
    </row>
    <row r="458" spans="1:15">
      <c r="B458" s="2"/>
      <c r="C458" s="382" t="s">
        <v>1132</v>
      </c>
      <c r="D458" t="s">
        <v>1133</v>
      </c>
      <c r="E458" s="382"/>
      <c r="F458" s="989">
        <f t="shared" ref="F458:N463" si="41">INDEX(F$262:F$267, MATCH($C458, $C$262:$C$267, 0))</f>
        <v>2.5000000000000001E-2</v>
      </c>
      <c r="G458" s="989">
        <f t="shared" si="41"/>
        <v>2.5000000000000001E-2</v>
      </c>
      <c r="H458" s="989">
        <f t="shared" si="41"/>
        <v>2.5000000000000001E-2</v>
      </c>
      <c r="I458" s="989">
        <f t="shared" si="41"/>
        <v>2.5000000000000001E-2</v>
      </c>
      <c r="J458" s="989">
        <f t="shared" si="41"/>
        <v>2.5000000000000001E-2</v>
      </c>
      <c r="K458" s="989">
        <f t="shared" si="41"/>
        <v>2.5000000000000001E-2</v>
      </c>
      <c r="L458" s="989">
        <f t="shared" si="41"/>
        <v>2.5000000000000001E-2</v>
      </c>
      <c r="M458" s="989">
        <f t="shared" si="41"/>
        <v>2.5000000000000001E-2</v>
      </c>
      <c r="N458" s="989">
        <f t="shared" si="41"/>
        <v>2.5000000000000001E-2</v>
      </c>
    </row>
    <row r="459" spans="1:15">
      <c r="B459" s="988"/>
      <c r="C459" s="382" t="s">
        <v>1134</v>
      </c>
      <c r="D459" t="s">
        <v>1135</v>
      </c>
      <c r="E459" s="364"/>
      <c r="F459" s="989">
        <f t="shared" si="41"/>
        <v>5.0000000000000001E-3</v>
      </c>
      <c r="G459" s="989">
        <f t="shared" si="41"/>
        <v>5.0000000000000001E-3</v>
      </c>
      <c r="H459" s="989">
        <f t="shared" si="41"/>
        <v>5.0000000000000001E-3</v>
      </c>
      <c r="I459" s="989">
        <f t="shared" si="41"/>
        <v>5.0000000000000001E-3</v>
      </c>
      <c r="J459" s="989">
        <f t="shared" si="41"/>
        <v>5.0000000000000001E-3</v>
      </c>
      <c r="K459" s="989">
        <f t="shared" si="41"/>
        <v>5.0000000000000001E-3</v>
      </c>
      <c r="L459" s="989">
        <f t="shared" si="41"/>
        <v>5.0000000000000001E-3</v>
      </c>
      <c r="M459" s="989">
        <f t="shared" si="41"/>
        <v>5.0000000000000001E-3</v>
      </c>
      <c r="N459" s="989">
        <f t="shared" si="41"/>
        <v>5.0000000000000001E-3</v>
      </c>
      <c r="O459" s="363"/>
    </row>
    <row r="460" spans="1:15">
      <c r="A460" s="363"/>
      <c r="B460" s="988"/>
      <c r="C460" s="382" t="s">
        <v>1136</v>
      </c>
      <c r="D460" t="s">
        <v>1137</v>
      </c>
      <c r="E460" s="364"/>
      <c r="F460" s="989">
        <f t="shared" si="41"/>
        <v>0.84</v>
      </c>
      <c r="G460" s="989">
        <f t="shared" si="41"/>
        <v>0.84</v>
      </c>
      <c r="H460" s="989">
        <f t="shared" si="41"/>
        <v>0.84</v>
      </c>
      <c r="I460" s="989">
        <f t="shared" si="41"/>
        <v>0.84</v>
      </c>
      <c r="J460" s="989">
        <f t="shared" si="41"/>
        <v>0.84</v>
      </c>
      <c r="K460" s="989">
        <f t="shared" si="41"/>
        <v>0.84</v>
      </c>
      <c r="L460" s="989">
        <f t="shared" si="41"/>
        <v>0.84</v>
      </c>
      <c r="M460" s="989">
        <f t="shared" si="41"/>
        <v>0.84</v>
      </c>
      <c r="N460" s="989">
        <f t="shared" si="41"/>
        <v>0.84</v>
      </c>
      <c r="O460" s="363"/>
    </row>
    <row r="461" spans="1:15">
      <c r="A461" s="363"/>
      <c r="B461" s="988"/>
      <c r="C461" s="382" t="s">
        <v>1138</v>
      </c>
      <c r="D461" t="s">
        <v>1139</v>
      </c>
      <c r="E461" s="364"/>
      <c r="F461" s="989">
        <f t="shared" si="41"/>
        <v>9.9500000000000005E-2</v>
      </c>
      <c r="G461" s="989">
        <f t="shared" si="41"/>
        <v>9.9500000000000005E-2</v>
      </c>
      <c r="H461" s="989">
        <f t="shared" si="41"/>
        <v>9.9500000000000005E-2</v>
      </c>
      <c r="I461" s="989">
        <f t="shared" si="41"/>
        <v>9.9500000000000005E-2</v>
      </c>
      <c r="J461" s="989">
        <f t="shared" si="41"/>
        <v>9.9500000000000005E-2</v>
      </c>
      <c r="K461" s="989">
        <f t="shared" si="41"/>
        <v>9.9500000000000005E-2</v>
      </c>
      <c r="L461" s="989">
        <f t="shared" si="41"/>
        <v>9.9500000000000005E-2</v>
      </c>
      <c r="M461" s="989">
        <f t="shared" si="41"/>
        <v>9.9500000000000005E-2</v>
      </c>
      <c r="N461" s="989">
        <f t="shared" si="41"/>
        <v>9.9500000000000005E-2</v>
      </c>
      <c r="O461" s="363"/>
    </row>
    <row r="462" spans="1:15">
      <c r="A462" s="363"/>
      <c r="B462" s="988"/>
      <c r="C462" s="382" t="s">
        <v>1140</v>
      </c>
      <c r="D462" t="s">
        <v>1141</v>
      </c>
      <c r="E462" s="364"/>
      <c r="F462" s="989">
        <f t="shared" si="41"/>
        <v>0.03</v>
      </c>
      <c r="G462" s="989">
        <f t="shared" si="41"/>
        <v>0.03</v>
      </c>
      <c r="H462" s="989">
        <f t="shared" si="41"/>
        <v>0.03</v>
      </c>
      <c r="I462" s="989">
        <f t="shared" si="41"/>
        <v>0.03</v>
      </c>
      <c r="J462" s="989">
        <f t="shared" si="41"/>
        <v>0.03</v>
      </c>
      <c r="K462" s="989">
        <f t="shared" si="41"/>
        <v>0.03</v>
      </c>
      <c r="L462" s="989">
        <f t="shared" si="41"/>
        <v>0.03</v>
      </c>
      <c r="M462" s="989">
        <f t="shared" si="41"/>
        <v>0.03</v>
      </c>
      <c r="N462" s="989">
        <f t="shared" si="41"/>
        <v>0.03</v>
      </c>
      <c r="O462" s="363"/>
    </row>
    <row r="463" spans="1:15">
      <c r="A463" s="363"/>
      <c r="B463" s="988"/>
      <c r="C463" s="382" t="s">
        <v>1142</v>
      </c>
      <c r="D463" t="s">
        <v>1143</v>
      </c>
      <c r="E463" s="364"/>
      <c r="F463" s="989">
        <f t="shared" si="41"/>
        <v>5.0000000000000001E-4</v>
      </c>
      <c r="G463" s="989">
        <f t="shared" si="41"/>
        <v>5.0000000000000001E-4</v>
      </c>
      <c r="H463" s="989">
        <f t="shared" si="41"/>
        <v>5.0000000000000001E-4</v>
      </c>
      <c r="I463" s="989">
        <f t="shared" si="41"/>
        <v>5.0000000000000001E-4</v>
      </c>
      <c r="J463" s="989">
        <f t="shared" si="41"/>
        <v>5.0000000000000001E-4</v>
      </c>
      <c r="K463" s="989">
        <f t="shared" si="41"/>
        <v>5.0000000000000001E-4</v>
      </c>
      <c r="L463" s="989">
        <f t="shared" si="41"/>
        <v>5.0000000000000001E-4</v>
      </c>
      <c r="M463" s="989">
        <f t="shared" si="41"/>
        <v>5.0000000000000001E-4</v>
      </c>
      <c r="N463" s="989">
        <f t="shared" si="41"/>
        <v>5.0000000000000001E-4</v>
      </c>
      <c r="O463" s="363"/>
    </row>
    <row r="464" spans="1:15">
      <c r="A464" s="363"/>
      <c r="B464" s="988"/>
      <c r="C464" s="1622"/>
      <c r="D464" s="2"/>
      <c r="E464" s="364"/>
      <c r="F464" s="989"/>
      <c r="G464" s="1623"/>
      <c r="H464" s="1623"/>
      <c r="I464" s="1623"/>
      <c r="J464" s="1623"/>
      <c r="K464" s="1623"/>
      <c r="L464" s="1623"/>
      <c r="M464" s="1623"/>
      <c r="N464" s="989"/>
      <c r="O464" s="363"/>
    </row>
    <row r="465" spans="1:24">
      <c r="A465" s="363"/>
      <c r="B465" s="1624" t="s">
        <v>221</v>
      </c>
      <c r="C465" t="s">
        <v>1205</v>
      </c>
      <c r="D465" s="363"/>
      <c r="E465" s="363"/>
      <c r="F465" s="1327"/>
      <c r="G465" s="1327"/>
      <c r="H465" s="1327"/>
      <c r="I465" s="1327"/>
      <c r="J465" s="1327"/>
      <c r="K465" s="1327"/>
      <c r="L465" s="1327"/>
      <c r="M465" s="1327"/>
      <c r="N465" s="382" t="s">
        <v>1206</v>
      </c>
      <c r="O465" s="363"/>
      <c r="Q465" t="s">
        <v>1003</v>
      </c>
      <c r="R465" t="s">
        <v>1207</v>
      </c>
      <c r="S465" t="s">
        <v>1208</v>
      </c>
      <c r="T465" t="s">
        <v>1209</v>
      </c>
      <c r="U465" t="s">
        <v>1210</v>
      </c>
      <c r="V465" t="s">
        <v>1211</v>
      </c>
      <c r="W465" t="s">
        <v>1212</v>
      </c>
      <c r="X465" t="s">
        <v>1213</v>
      </c>
    </row>
    <row r="466" spans="1:24">
      <c r="A466" s="363"/>
      <c r="B466" s="1624"/>
      <c r="C466" s="382" t="s">
        <v>1132</v>
      </c>
      <c r="D466" t="s">
        <v>1133</v>
      </c>
      <c r="E466" s="363"/>
      <c r="F466" s="1326">
        <f t="shared" ref="F466:F471" si="42">F458*F$455</f>
        <v>1.47805958</v>
      </c>
      <c r="G466" s="1619">
        <f t="shared" ref="G466:M471" si="43">G458*H$455</f>
        <v>1.5740852585850571</v>
      </c>
      <c r="H466" s="1619">
        <f t="shared" si="43"/>
        <v>1.6410596752001689</v>
      </c>
      <c r="I466" s="1619">
        <f t="shared" si="43"/>
        <v>1.7016812322130894</v>
      </c>
      <c r="J466" s="1619">
        <f t="shared" si="43"/>
        <v>1.7647067698371826</v>
      </c>
      <c r="K466" s="1619">
        <f t="shared" si="43"/>
        <v>1.8298418737922864</v>
      </c>
      <c r="L466" s="1619">
        <f t="shared" si="43"/>
        <v>1.8924159531766929</v>
      </c>
      <c r="M466" s="1619">
        <f t="shared" si="43"/>
        <v>1.9570135602958492</v>
      </c>
      <c r="N466" s="1625">
        <f t="shared" ref="N466:N471" si="44">N458*N$455</f>
        <v>1.9570135602958492</v>
      </c>
      <c r="O466" s="363"/>
      <c r="Q466" s="400">
        <f>(N466-F466)/F466</f>
        <v>0.32404240449891009</v>
      </c>
      <c r="R466" s="1626">
        <v>0.36</v>
      </c>
      <c r="S466" s="400">
        <v>0.59207416017587611</v>
      </c>
      <c r="T466" s="400">
        <v>0.59207416017587611</v>
      </c>
      <c r="U466" s="400">
        <v>0.49891592962140696</v>
      </c>
      <c r="V466" s="400">
        <f>(S466-R466)/R466</f>
        <v>0.64465044493298929</v>
      </c>
      <c r="W466" s="400">
        <f>(T466-S466)/S466</f>
        <v>0</v>
      </c>
      <c r="X466" s="400">
        <f>(U466-T466)/T466</f>
        <v>-0.15734216559424991</v>
      </c>
    </row>
    <row r="467" spans="1:24">
      <c r="A467" s="363"/>
      <c r="B467" s="988"/>
      <c r="C467" s="382" t="s">
        <v>1134</v>
      </c>
      <c r="D467" t="s">
        <v>1135</v>
      </c>
      <c r="E467" s="364"/>
      <c r="F467" s="1326">
        <f t="shared" si="42"/>
        <v>0.29561191599999997</v>
      </c>
      <c r="G467" s="1625">
        <f t="shared" si="43"/>
        <v>0.31481705171701141</v>
      </c>
      <c r="H467" s="1625">
        <f t="shared" si="43"/>
        <v>0.32821193504003376</v>
      </c>
      <c r="I467" s="1625">
        <f t="shared" si="43"/>
        <v>0.34033624644261784</v>
      </c>
      <c r="J467" s="1625">
        <f t="shared" si="43"/>
        <v>0.35294135396743648</v>
      </c>
      <c r="K467" s="1625">
        <f t="shared" si="43"/>
        <v>0.36596837475845723</v>
      </c>
      <c r="L467" s="1625">
        <f t="shared" si="43"/>
        <v>0.37848319063533858</v>
      </c>
      <c r="M467" s="1625">
        <f t="shared" si="43"/>
        <v>0.39140271205916982</v>
      </c>
      <c r="N467" s="1625">
        <f t="shared" si="44"/>
        <v>0.39140271205916982</v>
      </c>
      <c r="O467" s="363"/>
      <c r="Q467" s="400">
        <f>(N467-F467)/F467</f>
        <v>0.3240424044989102</v>
      </c>
      <c r="R467" s="1626">
        <v>0.36</v>
      </c>
      <c r="S467" s="400">
        <v>0.32672846681323026</v>
      </c>
      <c r="T467" s="400">
        <v>4.3069138672529208</v>
      </c>
      <c r="U467" s="400">
        <v>6.4945796481070355</v>
      </c>
      <c r="V467" s="400">
        <f t="shared" ref="V467:X470" si="45">(S467-R467)/R467</f>
        <v>-9.2420925518804806E-2</v>
      </c>
      <c r="W467" s="400">
        <f t="shared" si="45"/>
        <v>12.181936392811794</v>
      </c>
      <c r="X467" s="400">
        <f t="shared" si="45"/>
        <v>0.50794277486897454</v>
      </c>
    </row>
    <row r="468" spans="1:24">
      <c r="A468" s="363"/>
      <c r="B468" s="988"/>
      <c r="C468" s="382" t="s">
        <v>1136</v>
      </c>
      <c r="D468" t="s">
        <v>1137</v>
      </c>
      <c r="E468" s="364"/>
      <c r="F468" s="1326">
        <f t="shared" si="42"/>
        <v>49.662801887999997</v>
      </c>
      <c r="G468" s="1619">
        <f t="shared" si="43"/>
        <v>52.889264688457914</v>
      </c>
      <c r="H468" s="1619">
        <f t="shared" si="43"/>
        <v>55.139605086725666</v>
      </c>
      <c r="I468" s="1619">
        <f t="shared" si="43"/>
        <v>57.176489402359799</v>
      </c>
      <c r="J468" s="1619">
        <f t="shared" si="43"/>
        <v>59.294147466529324</v>
      </c>
      <c r="K468" s="1619">
        <f t="shared" si="43"/>
        <v>61.482686959420818</v>
      </c>
      <c r="L468" s="1619">
        <f t="shared" si="43"/>
        <v>63.585176026736875</v>
      </c>
      <c r="M468" s="1619">
        <f t="shared" si="43"/>
        <v>65.75565562594052</v>
      </c>
      <c r="N468" s="1625">
        <f t="shared" si="44"/>
        <v>65.75565562594052</v>
      </c>
      <c r="O468" s="363"/>
      <c r="Q468" s="400">
        <f>(N468-F468)/F468</f>
        <v>0.32404240449890992</v>
      </c>
      <c r="R468" s="1626">
        <v>0.36</v>
      </c>
      <c r="S468" s="400">
        <v>0.26355092077450509</v>
      </c>
      <c r="T468" s="400">
        <v>0.18457898822609836</v>
      </c>
      <c r="U468" s="400">
        <v>4.0913840014865963E-2</v>
      </c>
      <c r="V468" s="400">
        <f t="shared" si="45"/>
        <v>-0.26791410895970807</v>
      </c>
      <c r="W468" s="400">
        <f t="shared" si="45"/>
        <v>-0.29964582296403863</v>
      </c>
      <c r="X468" s="400">
        <f t="shared" si="45"/>
        <v>-0.77833966689237166</v>
      </c>
    </row>
    <row r="469" spans="1:24">
      <c r="A469" s="363"/>
      <c r="B469" s="988"/>
      <c r="C469" s="382" t="s">
        <v>1138</v>
      </c>
      <c r="D469" t="s">
        <v>1139</v>
      </c>
      <c r="E469" s="364"/>
      <c r="F469" s="1326">
        <f t="shared" si="42"/>
        <v>5.8826771284000001</v>
      </c>
      <c r="G469" s="1619">
        <f t="shared" si="43"/>
        <v>6.2648593291685275</v>
      </c>
      <c r="H469" s="1619">
        <f t="shared" si="43"/>
        <v>6.5314175072966716</v>
      </c>
      <c r="I469" s="1619">
        <f t="shared" si="43"/>
        <v>6.7726913042080952</v>
      </c>
      <c r="J469" s="1619">
        <f t="shared" si="43"/>
        <v>7.0235329439519862</v>
      </c>
      <c r="K469" s="1619">
        <f t="shared" si="43"/>
        <v>7.2827706576932991</v>
      </c>
      <c r="L469" s="1619">
        <f t="shared" si="43"/>
        <v>7.5318154936432382</v>
      </c>
      <c r="M469" s="1619">
        <f t="shared" si="43"/>
        <v>7.7889139699774796</v>
      </c>
      <c r="N469" s="1625">
        <f t="shared" si="44"/>
        <v>7.7889139699774796</v>
      </c>
      <c r="O469" s="363"/>
      <c r="Q469" s="400">
        <f>(N469-F469)/F469</f>
        <v>0.32404240449891009</v>
      </c>
      <c r="R469" s="1626">
        <v>0.36</v>
      </c>
      <c r="S469" s="400">
        <v>0.79341687222491919</v>
      </c>
      <c r="T469" s="400">
        <v>1.1267657332332683</v>
      </c>
      <c r="U469" s="400">
        <v>1.3789327358731713</v>
      </c>
      <c r="V469" s="400">
        <f t="shared" si="45"/>
        <v>1.2039357561803312</v>
      </c>
      <c r="W469" s="400">
        <f t="shared" si="45"/>
        <v>0.42014339835446662</v>
      </c>
      <c r="X469" s="400">
        <f t="shared" si="45"/>
        <v>0.22379718800669118</v>
      </c>
    </row>
    <row r="470" spans="1:24">
      <c r="A470" s="363"/>
      <c r="B470" s="988"/>
      <c r="C470" s="382" t="s">
        <v>1140</v>
      </c>
      <c r="D470" t="s">
        <v>1141</v>
      </c>
      <c r="E470" s="364"/>
      <c r="F470" s="1326">
        <f t="shared" si="42"/>
        <v>1.7736714959999997</v>
      </c>
      <c r="G470" s="1619">
        <f t="shared" si="43"/>
        <v>1.8889023103020683</v>
      </c>
      <c r="H470" s="1619">
        <f t="shared" si="43"/>
        <v>1.9692716102402024</v>
      </c>
      <c r="I470" s="1619">
        <f t="shared" si="43"/>
        <v>2.042017478655707</v>
      </c>
      <c r="J470" s="1619">
        <f t="shared" si="43"/>
        <v>2.117648123804619</v>
      </c>
      <c r="K470" s="1619">
        <f t="shared" si="43"/>
        <v>2.1958102485507434</v>
      </c>
      <c r="L470" s="1619">
        <f t="shared" si="43"/>
        <v>2.2708991438120312</v>
      </c>
      <c r="M470" s="1619">
        <f t="shared" si="43"/>
        <v>2.3484162723550188</v>
      </c>
      <c r="N470" s="1625">
        <f t="shared" si="44"/>
        <v>2.3484162723550188</v>
      </c>
      <c r="O470" s="363"/>
      <c r="Q470" s="400">
        <f>(N470-F470)/F470</f>
        <v>0.3240424044989102</v>
      </c>
      <c r="R470" s="1626">
        <v>0.36</v>
      </c>
      <c r="S470" s="400">
        <v>0.32672846681323031</v>
      </c>
      <c r="T470" s="400">
        <v>0.76897128908430712</v>
      </c>
      <c r="U470" s="400">
        <v>1.0818276800297324</v>
      </c>
      <c r="V470" s="400">
        <f t="shared" si="45"/>
        <v>-9.2420925518804653E-2</v>
      </c>
      <c r="W470" s="400">
        <f t="shared" si="45"/>
        <v>1.3535484880901996</v>
      </c>
      <c r="X470" s="400">
        <f t="shared" si="45"/>
        <v>0.40685054876102777</v>
      </c>
    </row>
    <row r="471" spans="1:24">
      <c r="A471" s="363"/>
      <c r="B471" s="988"/>
      <c r="C471" s="382" t="s">
        <v>1142</v>
      </c>
      <c r="D471" t="s">
        <v>1143</v>
      </c>
      <c r="E471" s="364"/>
      <c r="F471" s="1326">
        <f t="shared" si="42"/>
        <v>2.9561191599999998E-2</v>
      </c>
      <c r="G471" s="1619">
        <f t="shared" si="43"/>
        <v>3.1481705171701138E-2</v>
      </c>
      <c r="H471" s="1619">
        <f t="shared" si="43"/>
        <v>3.2821193504003379E-2</v>
      </c>
      <c r="I471" s="1619">
        <f t="shared" si="43"/>
        <v>3.4033624644261788E-2</v>
      </c>
      <c r="J471" s="1619">
        <f t="shared" si="43"/>
        <v>3.5294135396743649E-2</v>
      </c>
      <c r="K471" s="1619">
        <f t="shared" si="43"/>
        <v>3.6596837475845724E-2</v>
      </c>
      <c r="L471" s="1619">
        <f t="shared" si="43"/>
        <v>3.7848319063533857E-2</v>
      </c>
      <c r="M471" s="1619">
        <f t="shared" si="43"/>
        <v>3.9140271205916982E-2</v>
      </c>
      <c r="N471" s="1625">
        <f t="shared" si="44"/>
        <v>3.9140271205916982E-2</v>
      </c>
      <c r="O471" s="363"/>
    </row>
    <row r="472" spans="1:24">
      <c r="A472" s="363"/>
      <c r="B472" s="988"/>
      <c r="C472" s="382"/>
      <c r="E472" s="364"/>
      <c r="F472" s="1627">
        <f t="shared" ref="F472:N472" si="46">SUM(F466:F471)</f>
        <v>59.122383199999994</v>
      </c>
      <c r="G472" s="1627">
        <f t="shared" si="46"/>
        <v>62.963410343402288</v>
      </c>
      <c r="H472" s="1627">
        <f t="shared" si="46"/>
        <v>65.64238700800675</v>
      </c>
      <c r="I472" s="1627">
        <f t="shared" si="46"/>
        <v>68.06724928852357</v>
      </c>
      <c r="J472" s="1627">
        <f t="shared" si="46"/>
        <v>70.588270793487283</v>
      </c>
      <c r="K472" s="1627">
        <f t="shared" si="46"/>
        <v>73.193674951691449</v>
      </c>
      <c r="L472" s="1627">
        <f t="shared" si="46"/>
        <v>75.6966381270677</v>
      </c>
      <c r="M472" s="1627">
        <f t="shared" si="46"/>
        <v>78.280542411833977</v>
      </c>
      <c r="N472" s="1627">
        <f t="shared" si="46"/>
        <v>78.280542411833977</v>
      </c>
      <c r="O472" s="363"/>
    </row>
    <row r="473" spans="1:24">
      <c r="A473" s="363"/>
      <c r="B473" s="988"/>
      <c r="C473" s="363"/>
      <c r="D473" s="363"/>
      <c r="E473" s="363"/>
      <c r="F473" s="1327"/>
      <c r="G473" s="1327"/>
      <c r="H473" s="1327"/>
      <c r="I473" s="1327"/>
      <c r="J473" s="1327"/>
      <c r="K473" s="1327"/>
      <c r="L473" s="1327"/>
      <c r="M473" s="1327"/>
      <c r="N473" s="1327"/>
      <c r="O473" s="363"/>
    </row>
    <row r="474" spans="1:24">
      <c r="A474" s="363"/>
      <c r="B474" s="363" t="s">
        <v>1214</v>
      </c>
      <c r="C474" s="363" t="s">
        <v>1215</v>
      </c>
      <c r="D474" s="363"/>
      <c r="E474" s="363"/>
      <c r="F474" s="1327"/>
      <c r="G474" s="1327"/>
      <c r="H474" s="1327"/>
      <c r="I474" s="1327"/>
      <c r="J474" s="1327"/>
      <c r="K474" s="1327"/>
      <c r="L474" s="1327"/>
      <c r="M474" s="1327"/>
      <c r="N474" s="1327"/>
      <c r="O474" s="363"/>
    </row>
    <row r="475" spans="1:24">
      <c r="A475" s="363"/>
      <c r="B475" s="988"/>
      <c r="C475" s="363"/>
      <c r="D475" s="363"/>
      <c r="E475" s="363"/>
      <c r="F475" s="1327"/>
      <c r="G475" s="1327"/>
      <c r="H475" s="1327"/>
      <c r="I475" s="1327"/>
      <c r="J475" s="1327"/>
      <c r="K475" s="1327"/>
      <c r="L475" s="1327"/>
      <c r="M475" s="1327"/>
      <c r="N475" s="1327"/>
      <c r="O475" s="363"/>
    </row>
    <row r="476" spans="1:24">
      <c r="A476" s="363"/>
      <c r="B476" s="367"/>
      <c r="C476" s="1334" t="s">
        <v>1216</v>
      </c>
      <c r="D476" s="2"/>
      <c r="E476" s="363"/>
      <c r="F476" s="1327"/>
      <c r="G476" s="1327"/>
      <c r="H476" s="1327"/>
      <c r="I476" s="1327"/>
      <c r="J476" s="1327"/>
      <c r="K476" s="1327"/>
      <c r="L476" s="1327"/>
      <c r="M476" s="1327"/>
      <c r="N476" s="382" t="s">
        <v>1206</v>
      </c>
      <c r="O476" s="363"/>
    </row>
    <row r="477" spans="1:24">
      <c r="A477" s="363"/>
      <c r="B477" s="988"/>
      <c r="C477" s="367" t="s">
        <v>1010</v>
      </c>
      <c r="D477" t="s">
        <v>45</v>
      </c>
      <c r="E477" s="363"/>
      <c r="F477" s="1327"/>
      <c r="G477" s="1327"/>
      <c r="H477" s="1327"/>
      <c r="I477" s="1327"/>
      <c r="J477" s="1327"/>
      <c r="K477" s="1327"/>
      <c r="L477" s="1327"/>
      <c r="M477" s="1327"/>
      <c r="N477" s="1327"/>
      <c r="O477" s="363"/>
    </row>
    <row r="478" spans="1:24">
      <c r="A478" s="363"/>
      <c r="B478" s="988"/>
      <c r="C478" s="382" t="s">
        <v>1134</v>
      </c>
      <c r="D478" s="1334" t="s">
        <v>1134</v>
      </c>
      <c r="E478" s="363"/>
      <c r="F478" s="1625">
        <f>SUMIFS(F$466:F$471, $C$466:$C$471, $C478)*SUMIFS(F$291:F$302, $C$291:$C$302, $C478, $D$291:$D$302, $D478)</f>
        <v>0.29561191599999997</v>
      </c>
      <c r="G478" s="1619">
        <f t="shared" ref="G478:N478" si="47">SUMIFS(G$466:G$471, $C$466:$C$471, $C478)*SUMIFS(G$291:G$302, $C$291:$C$302, $C478, $D$291:$D$302, $D478)</f>
        <v>0.31481705171701141</v>
      </c>
      <c r="H478" s="1619">
        <f t="shared" si="47"/>
        <v>0.3268990872998736</v>
      </c>
      <c r="I478" s="1619">
        <f t="shared" si="47"/>
        <v>0.33897490145684739</v>
      </c>
      <c r="J478" s="1619">
        <f t="shared" si="47"/>
        <v>0.35152958855156674</v>
      </c>
      <c r="K478" s="1619">
        <f t="shared" si="47"/>
        <v>0.36450450125942341</v>
      </c>
      <c r="L478" s="1619">
        <f t="shared" si="47"/>
        <v>0.37696925787279723</v>
      </c>
      <c r="M478" s="1619">
        <f t="shared" si="47"/>
        <v>0.38983710121093312</v>
      </c>
      <c r="N478" s="1619">
        <f t="shared" si="47"/>
        <v>0.38983710121093312</v>
      </c>
      <c r="O478" s="363"/>
    </row>
    <row r="479" spans="1:24">
      <c r="A479" s="363"/>
      <c r="B479" s="988"/>
      <c r="C479" s="367" t="s">
        <v>1136</v>
      </c>
      <c r="D479" s="420" t="s">
        <v>1148</v>
      </c>
      <c r="E479" s="363"/>
      <c r="F479" s="1625">
        <f t="shared" ref="F479:N489" si="48">SUMIFS(F$466:F$471, $C$466:$C$471, $C479)*SUMIFS(F$291:F$302, $C$291:$C$302, $C479, $D$291:$D$302, $D479)</f>
        <v>49.613139086112</v>
      </c>
      <c r="G479" s="1619">
        <f t="shared" si="48"/>
        <v>52.836375423769454</v>
      </c>
      <c r="H479" s="1619">
        <f t="shared" si="48"/>
        <v>54.919046666378762</v>
      </c>
      <c r="I479" s="1619">
        <f t="shared" si="48"/>
        <v>56.719077487140922</v>
      </c>
      <c r="J479" s="1619">
        <f t="shared" si="48"/>
        <v>56.685204978002034</v>
      </c>
      <c r="K479" s="1619">
        <f t="shared" si="48"/>
        <v>56.564072002667153</v>
      </c>
      <c r="L479" s="1619">
        <f t="shared" si="48"/>
        <v>55.954954903528453</v>
      </c>
      <c r="M479" s="1619">
        <f t="shared" si="48"/>
        <v>55.234750725790036</v>
      </c>
      <c r="N479" s="1619">
        <f t="shared" si="48"/>
        <v>53.097691917946968</v>
      </c>
      <c r="O479" s="363"/>
    </row>
    <row r="480" spans="1:24">
      <c r="A480" s="363"/>
      <c r="B480" s="988"/>
      <c r="C480" s="367" t="s">
        <v>1136</v>
      </c>
      <c r="D480" s="1334" t="s">
        <v>1149</v>
      </c>
      <c r="E480" s="363"/>
      <c r="F480" s="1625">
        <f t="shared" si="48"/>
        <v>0</v>
      </c>
      <c r="G480" s="1619">
        <f t="shared" si="48"/>
        <v>0</v>
      </c>
      <c r="H480" s="1619">
        <f t="shared" si="48"/>
        <v>0.19298861780353985</v>
      </c>
      <c r="I480" s="1619">
        <f t="shared" si="48"/>
        <v>0.40023542581651861</v>
      </c>
      <c r="J480" s="1619">
        <f t="shared" si="48"/>
        <v>2.2828246774613792</v>
      </c>
      <c r="K480" s="1619">
        <f t="shared" si="48"/>
        <v>4.3037880871594574</v>
      </c>
      <c r="L480" s="1619">
        <f t="shared" si="48"/>
        <v>6.6764434828073727</v>
      </c>
      <c r="M480" s="1619">
        <f t="shared" si="48"/>
        <v>9.2057917876316733</v>
      </c>
      <c r="N480" s="1619">
        <f t="shared" si="48"/>
        <v>11.17846145640989</v>
      </c>
      <c r="O480" s="363"/>
    </row>
    <row r="481" spans="1:15">
      <c r="A481" s="363"/>
      <c r="B481" s="988"/>
      <c r="C481" s="367" t="s">
        <v>1136</v>
      </c>
      <c r="D481" s="420" t="s">
        <v>1150</v>
      </c>
      <c r="E481" s="363"/>
      <c r="F481" s="1625">
        <f t="shared" si="48"/>
        <v>3.9730241510400003E-3</v>
      </c>
      <c r="G481" s="1619">
        <f t="shared" si="48"/>
        <v>4.2311411750766336E-3</v>
      </c>
      <c r="H481" s="1619">
        <f t="shared" si="48"/>
        <v>2.2055842034690267E-2</v>
      </c>
      <c r="I481" s="1619">
        <f t="shared" si="48"/>
        <v>4.5741191521887839E-2</v>
      </c>
      <c r="J481" s="1619">
        <f t="shared" si="48"/>
        <v>0.26089424885272905</v>
      </c>
      <c r="K481" s="1619">
        <f t="shared" si="48"/>
        <v>0.49186149567536658</v>
      </c>
      <c r="L481" s="1619">
        <f t="shared" si="48"/>
        <v>0.76302211232084249</v>
      </c>
      <c r="M481" s="1619">
        <f t="shared" si="48"/>
        <v>1.0520904900150483</v>
      </c>
      <c r="N481" s="1619">
        <f t="shared" si="48"/>
        <v>1.1836018012669294</v>
      </c>
      <c r="O481" s="363"/>
    </row>
    <row r="482" spans="1:15">
      <c r="A482" s="363"/>
      <c r="B482" s="988"/>
      <c r="C482" s="367" t="s">
        <v>1136</v>
      </c>
      <c r="D482" s="420" t="s">
        <v>1151</v>
      </c>
      <c r="E482" s="363"/>
      <c r="F482" s="1625">
        <f t="shared" si="48"/>
        <v>9.9325603776000007E-4</v>
      </c>
      <c r="G482" s="1619">
        <f t="shared" si="48"/>
        <v>1.0577852937691584E-3</v>
      </c>
      <c r="H482" s="1619">
        <f t="shared" si="48"/>
        <v>5.5139605086725668E-3</v>
      </c>
      <c r="I482" s="1619">
        <f t="shared" si="48"/>
        <v>1.143529788047196E-2</v>
      </c>
      <c r="J482" s="1619">
        <f t="shared" si="48"/>
        <v>6.5223562213182262E-2</v>
      </c>
      <c r="K482" s="1619">
        <f t="shared" si="48"/>
        <v>0.12296537391884164</v>
      </c>
      <c r="L482" s="1619">
        <f t="shared" si="48"/>
        <v>0.19075552808021062</v>
      </c>
      <c r="M482" s="1619">
        <f t="shared" si="48"/>
        <v>0.26302262250376207</v>
      </c>
      <c r="N482" s="1619">
        <f t="shared" si="48"/>
        <v>0.29590045031673234</v>
      </c>
      <c r="O482" s="363"/>
    </row>
    <row r="483" spans="1:15">
      <c r="A483" s="363"/>
      <c r="B483" s="988"/>
      <c r="C483" s="367" t="s">
        <v>1138</v>
      </c>
      <c r="D483" s="420" t="s">
        <v>1148</v>
      </c>
      <c r="E483" s="363"/>
      <c r="F483" s="1625">
        <f t="shared" si="48"/>
        <v>5.8826771284000001</v>
      </c>
      <c r="G483" s="1619">
        <f t="shared" si="48"/>
        <v>6.2648593291685275</v>
      </c>
      <c r="H483" s="1619">
        <f t="shared" si="48"/>
        <v>6.5314175072966716</v>
      </c>
      <c r="I483" s="1619">
        <f t="shared" si="48"/>
        <v>6.3663298259556091</v>
      </c>
      <c r="J483" s="1619">
        <f t="shared" si="48"/>
        <v>6.3211796495567878</v>
      </c>
      <c r="K483" s="1619">
        <f t="shared" si="48"/>
        <v>5.8262165261546395</v>
      </c>
      <c r="L483" s="1619">
        <f t="shared" si="48"/>
        <v>5.6187343582578553</v>
      </c>
      <c r="M483" s="1619">
        <f t="shared" si="48"/>
        <v>5.4366619510442806</v>
      </c>
      <c r="N483" s="1619">
        <f t="shared" si="48"/>
        <v>5.0588996235003725</v>
      </c>
      <c r="O483" s="363"/>
    </row>
    <row r="484" spans="1:15">
      <c r="A484" s="363"/>
      <c r="B484" s="988"/>
      <c r="C484" s="367" t="s">
        <v>1138</v>
      </c>
      <c r="D484" s="1334" t="s">
        <v>1152</v>
      </c>
      <c r="E484" s="363"/>
      <c r="F484" s="1625">
        <f t="shared" si="48"/>
        <v>0</v>
      </c>
      <c r="G484" s="1619">
        <f t="shared" si="48"/>
        <v>0</v>
      </c>
      <c r="H484" s="1619">
        <f t="shared" si="48"/>
        <v>0</v>
      </c>
      <c r="I484" s="1619">
        <f t="shared" si="48"/>
        <v>0.4063614782524857</v>
      </c>
      <c r="J484" s="1619">
        <f t="shared" si="48"/>
        <v>0.70235329439519867</v>
      </c>
      <c r="K484" s="1619">
        <f t="shared" si="48"/>
        <v>1.485685214169433</v>
      </c>
      <c r="L484" s="1619">
        <f t="shared" si="48"/>
        <v>1.9017834121449178</v>
      </c>
      <c r="M484" s="1619">
        <f t="shared" si="48"/>
        <v>2.3444631049632214</v>
      </c>
      <c r="N484" s="1619">
        <f t="shared" si="48"/>
        <v>2.7183309755221403</v>
      </c>
      <c r="O484" s="363"/>
    </row>
    <row r="485" spans="1:15">
      <c r="A485" s="363"/>
      <c r="B485" s="988"/>
      <c r="C485" s="367" t="s">
        <v>1138</v>
      </c>
      <c r="D485" s="420" t="s">
        <v>1150</v>
      </c>
      <c r="E485" s="363"/>
      <c r="F485" s="1625">
        <f t="shared" si="48"/>
        <v>0</v>
      </c>
      <c r="G485" s="1619">
        <f t="shared" si="48"/>
        <v>0</v>
      </c>
      <c r="H485" s="1619">
        <f t="shared" si="48"/>
        <v>1.0450268011674676E-2</v>
      </c>
      <c r="I485" s="1619">
        <f t="shared" si="48"/>
        <v>2.1672612173465906E-2</v>
      </c>
      <c r="J485" s="1619">
        <f t="shared" si="48"/>
        <v>2.2475305420646356E-2</v>
      </c>
      <c r="K485" s="1619">
        <f t="shared" si="48"/>
        <v>2.3304866104618557E-2</v>
      </c>
      <c r="L485" s="1619">
        <f t="shared" si="48"/>
        <v>2.4101809579658365E-2</v>
      </c>
      <c r="M485" s="1619">
        <f t="shared" si="48"/>
        <v>2.4924524703927937E-2</v>
      </c>
      <c r="N485" s="1619">
        <f t="shared" si="48"/>
        <v>2.4924524703927937E-2</v>
      </c>
      <c r="O485" s="363"/>
    </row>
    <row r="486" spans="1:15">
      <c r="A486" s="363"/>
      <c r="B486" s="988"/>
      <c r="C486" s="367" t="s">
        <v>1138</v>
      </c>
      <c r="D486" s="1334" t="s">
        <v>1151</v>
      </c>
      <c r="E486" s="363"/>
      <c r="F486" s="1625">
        <f t="shared" si="48"/>
        <v>0</v>
      </c>
      <c r="G486" s="1619">
        <f t="shared" si="48"/>
        <v>0</v>
      </c>
      <c r="H486" s="1619">
        <f t="shared" si="48"/>
        <v>2.6125670029186689E-3</v>
      </c>
      <c r="I486" s="1619">
        <f t="shared" si="48"/>
        <v>5.4181530433664764E-3</v>
      </c>
      <c r="J486" s="1619">
        <f t="shared" si="48"/>
        <v>5.6188263551615889E-3</v>
      </c>
      <c r="K486" s="1619">
        <f t="shared" si="48"/>
        <v>5.8262165261546393E-3</v>
      </c>
      <c r="L486" s="1619">
        <f t="shared" si="48"/>
        <v>6.0254523949145912E-3</v>
      </c>
      <c r="M486" s="1619">
        <f t="shared" si="48"/>
        <v>6.2311311759819842E-3</v>
      </c>
      <c r="N486" s="1619">
        <f t="shared" si="48"/>
        <v>6.2311311759819842E-3</v>
      </c>
      <c r="O486" s="363"/>
    </row>
    <row r="487" spans="1:15">
      <c r="A487" s="363"/>
      <c r="B487" s="988"/>
      <c r="C487" s="367" t="s">
        <v>1140</v>
      </c>
      <c r="D487" s="420" t="s">
        <v>1153</v>
      </c>
      <c r="E487" s="363"/>
      <c r="F487" s="1625">
        <f t="shared" si="48"/>
        <v>1.4189371968</v>
      </c>
      <c r="G487" s="1619">
        <f t="shared" si="48"/>
        <v>1.5111218482416549</v>
      </c>
      <c r="H487" s="1619">
        <f t="shared" si="48"/>
        <v>1.575417288192162</v>
      </c>
      <c r="I487" s="1619">
        <f t="shared" si="48"/>
        <v>1.6336139829245657</v>
      </c>
      <c r="J487" s="1619">
        <f t="shared" si="48"/>
        <v>1.6941184990436953</v>
      </c>
      <c r="K487" s="1619">
        <f t="shared" si="48"/>
        <v>1.7566481988405949</v>
      </c>
      <c r="L487" s="1619">
        <f t="shared" si="48"/>
        <v>1.816719315049625</v>
      </c>
      <c r="M487" s="1619">
        <f t="shared" si="48"/>
        <v>1.8787330178840151</v>
      </c>
      <c r="N487" s="1619">
        <f t="shared" si="48"/>
        <v>1.8787330178840151</v>
      </c>
      <c r="O487" s="363"/>
    </row>
    <row r="488" spans="1:15">
      <c r="A488" s="363"/>
      <c r="B488" s="988"/>
      <c r="C488" s="382" t="s">
        <v>1140</v>
      </c>
      <c r="D488" s="420" t="s">
        <v>1154</v>
      </c>
      <c r="E488" s="363"/>
      <c r="F488" s="1625">
        <f t="shared" si="48"/>
        <v>0.35473429919999999</v>
      </c>
      <c r="G488" s="1619">
        <f t="shared" si="48"/>
        <v>0.37778046206041371</v>
      </c>
      <c r="H488" s="1619">
        <f t="shared" si="48"/>
        <v>0.39385432204804049</v>
      </c>
      <c r="I488" s="1619">
        <f t="shared" si="48"/>
        <v>0.40840349573114143</v>
      </c>
      <c r="J488" s="1619">
        <f t="shared" si="48"/>
        <v>0.42352962476092382</v>
      </c>
      <c r="K488" s="1619">
        <f t="shared" si="48"/>
        <v>0.43916204971014872</v>
      </c>
      <c r="L488" s="1619">
        <f t="shared" si="48"/>
        <v>0.45417982876240626</v>
      </c>
      <c r="M488" s="1619">
        <f t="shared" si="48"/>
        <v>0.46968325447100379</v>
      </c>
      <c r="N488" s="1619">
        <f t="shared" si="48"/>
        <v>0.46968325447100379</v>
      </c>
      <c r="O488" s="363"/>
    </row>
    <row r="489" spans="1:15">
      <c r="A489" s="363"/>
      <c r="B489" s="988"/>
      <c r="C489" s="382" t="s">
        <v>1142</v>
      </c>
      <c r="D489" s="420" t="s">
        <v>1142</v>
      </c>
      <c r="E489" s="363"/>
      <c r="F489" s="1625">
        <f t="shared" si="48"/>
        <v>2.9561191599999998E-2</v>
      </c>
      <c r="G489" s="1619">
        <f t="shared" si="48"/>
        <v>3.1481705171701138E-2</v>
      </c>
      <c r="H489" s="1619">
        <f t="shared" si="48"/>
        <v>3.2821193504003379E-2</v>
      </c>
      <c r="I489" s="1619">
        <f t="shared" si="48"/>
        <v>3.4033624644261788E-2</v>
      </c>
      <c r="J489" s="1619">
        <f t="shared" si="48"/>
        <v>3.5294135396743649E-2</v>
      </c>
      <c r="K489" s="1619">
        <f t="shared" si="48"/>
        <v>3.6596837475845724E-2</v>
      </c>
      <c r="L489" s="1619">
        <f t="shared" si="48"/>
        <v>3.7848319063533857E-2</v>
      </c>
      <c r="M489" s="1619">
        <f t="shared" si="48"/>
        <v>3.9140271205916982E-2</v>
      </c>
      <c r="N489" s="1619">
        <f t="shared" si="48"/>
        <v>3.9140271205916982E-2</v>
      </c>
      <c r="O489" s="363"/>
    </row>
    <row r="490" spans="1:15">
      <c r="A490" s="363"/>
      <c r="B490" s="988"/>
      <c r="C490" s="382"/>
      <c r="D490" s="420"/>
      <c r="E490" s="363"/>
      <c r="F490" s="1619"/>
      <c r="G490" s="1619"/>
      <c r="H490" s="1619"/>
      <c r="I490" s="1619"/>
      <c r="J490" s="1619"/>
      <c r="K490" s="1619"/>
      <c r="L490" s="1619"/>
      <c r="M490" s="1619"/>
      <c r="N490" s="1619"/>
      <c r="O490" s="363"/>
    </row>
    <row r="491" spans="1:15">
      <c r="A491" s="363"/>
      <c r="B491" s="363" t="s">
        <v>1217</v>
      </c>
      <c r="C491" s="363" t="s">
        <v>1218</v>
      </c>
      <c r="D491" s="363"/>
      <c r="E491" s="363"/>
      <c r="F491" s="2459"/>
      <c r="G491" s="1327"/>
      <c r="H491" s="1327"/>
      <c r="I491" s="1327"/>
      <c r="J491" s="1327"/>
      <c r="K491" s="1327"/>
      <c r="L491" s="1327"/>
      <c r="M491" s="1327"/>
      <c r="N491" s="1327"/>
      <c r="O491" s="363"/>
    </row>
    <row r="492" spans="1:15">
      <c r="A492" s="363"/>
      <c r="B492" s="988"/>
      <c r="C492" s="363"/>
      <c r="D492" s="363"/>
      <c r="E492" s="363"/>
      <c r="F492" s="1327"/>
      <c r="G492" s="1327"/>
      <c r="H492" s="1327"/>
      <c r="I492" s="1327"/>
      <c r="J492" s="1327"/>
      <c r="K492" s="1327"/>
      <c r="L492" s="1327"/>
      <c r="M492" s="1327"/>
      <c r="N492" s="1327"/>
      <c r="O492" s="363"/>
    </row>
    <row r="493" spans="1:15">
      <c r="A493" s="363"/>
      <c r="B493" s="367"/>
      <c r="C493" s="1334" t="s">
        <v>1216</v>
      </c>
      <c r="D493" s="2"/>
      <c r="E493" s="363"/>
      <c r="F493" s="1327"/>
      <c r="G493" s="1327"/>
      <c r="H493" s="1327"/>
      <c r="I493" s="1327"/>
      <c r="J493" s="1327"/>
      <c r="K493" s="1327"/>
      <c r="L493" s="1327"/>
      <c r="M493" s="1327"/>
      <c r="N493" s="382" t="s">
        <v>1219</v>
      </c>
      <c r="O493" s="363"/>
    </row>
    <row r="494" spans="1:15">
      <c r="A494" s="363"/>
      <c r="B494" s="988"/>
      <c r="C494" s="367" t="s">
        <v>1010</v>
      </c>
      <c r="D494" t="s">
        <v>45</v>
      </c>
      <c r="E494" s="363"/>
      <c r="F494" s="1327"/>
      <c r="G494" s="1327"/>
      <c r="H494" s="1327"/>
      <c r="I494" s="1327"/>
      <c r="J494" s="1327"/>
      <c r="K494" s="1327"/>
      <c r="L494" s="1327"/>
      <c r="M494" s="1327"/>
      <c r="N494" s="1327"/>
      <c r="O494" s="363"/>
    </row>
    <row r="495" spans="1:15">
      <c r="A495" s="363"/>
      <c r="B495" s="988"/>
      <c r="C495" s="382" t="s">
        <v>1134</v>
      </c>
      <c r="D495" s="1334" t="s">
        <v>1134</v>
      </c>
      <c r="E495" s="363"/>
      <c r="F495" s="1625">
        <f t="shared" ref="F495:N495" si="49">F478/F$307</f>
        <v>0.29561191599999997</v>
      </c>
      <c r="G495" s="1619">
        <f t="shared" si="49"/>
        <v>0.31481705171701141</v>
      </c>
      <c r="H495" s="1619">
        <f t="shared" si="49"/>
        <v>0.3268990872998736</v>
      </c>
      <c r="I495" s="1619">
        <f t="shared" si="49"/>
        <v>0.33897490145684739</v>
      </c>
      <c r="J495" s="1619">
        <f t="shared" si="49"/>
        <v>0.35152958855156674</v>
      </c>
      <c r="K495" s="1619">
        <f t="shared" si="49"/>
        <v>0.36450450125942341</v>
      </c>
      <c r="L495" s="1619">
        <f t="shared" si="49"/>
        <v>0.37696925787279723</v>
      </c>
      <c r="M495" s="1619">
        <f t="shared" si="49"/>
        <v>0.38983710121093312</v>
      </c>
      <c r="N495" s="1619">
        <f t="shared" si="49"/>
        <v>0.38983710121093312</v>
      </c>
      <c r="O495" s="363"/>
    </row>
    <row r="496" spans="1:15">
      <c r="A496" s="363"/>
      <c r="B496" s="988"/>
      <c r="C496" s="367" t="s">
        <v>1136</v>
      </c>
      <c r="D496" s="420" t="s">
        <v>1148</v>
      </c>
      <c r="E496" s="363"/>
      <c r="F496" s="1625">
        <f t="shared" ref="F496:N499" si="50">F479/F$308</f>
        <v>34.453568809800004</v>
      </c>
      <c r="G496" s="1619">
        <f t="shared" si="50"/>
        <v>36.816306792457056</v>
      </c>
      <c r="H496" s="1619">
        <f t="shared" si="50"/>
        <v>38.594581702868268</v>
      </c>
      <c r="I496" s="1619">
        <f t="shared" si="50"/>
        <v>40.2031775291995</v>
      </c>
      <c r="J496" s="1619">
        <f t="shared" si="50"/>
        <v>40.528552351421745</v>
      </c>
      <c r="K496" s="1619">
        <f t="shared" si="50"/>
        <v>40.796699105237515</v>
      </c>
      <c r="L496" s="1619">
        <f t="shared" si="50"/>
        <v>40.714519792144593</v>
      </c>
      <c r="M496" s="1619">
        <f t="shared" si="50"/>
        <v>40.549320969329983</v>
      </c>
      <c r="N496" s="1619">
        <f t="shared" si="50"/>
        <v>39.331623642923674</v>
      </c>
      <c r="O496" s="363"/>
    </row>
    <row r="497" spans="1:15">
      <c r="A497" s="363"/>
      <c r="B497" s="988"/>
      <c r="C497" s="367" t="s">
        <v>1136</v>
      </c>
      <c r="D497" s="1334" t="s">
        <v>1149</v>
      </c>
      <c r="E497" s="363"/>
      <c r="F497" s="1625">
        <f t="shared" si="50"/>
        <v>0</v>
      </c>
      <c r="G497" s="1619">
        <f t="shared" si="50"/>
        <v>0</v>
      </c>
      <c r="H497" s="1619">
        <f t="shared" si="50"/>
        <v>0.13562353008036038</v>
      </c>
      <c r="I497" s="1619">
        <f t="shared" si="50"/>
        <v>0.28369177691975456</v>
      </c>
      <c r="J497" s="1619">
        <f t="shared" si="50"/>
        <v>1.6321645036921937</v>
      </c>
      <c r="K497" s="1619">
        <f t="shared" si="50"/>
        <v>3.1040966710506805</v>
      </c>
      <c r="L497" s="1619">
        <f t="shared" si="50"/>
        <v>4.857982475199071</v>
      </c>
      <c r="M497" s="1619">
        <f t="shared" si="50"/>
        <v>6.7582201615549975</v>
      </c>
      <c r="N497" s="1619">
        <f t="shared" si="50"/>
        <v>8.2803418195628815</v>
      </c>
      <c r="O497" s="363"/>
    </row>
    <row r="498" spans="1:15">
      <c r="A498" s="363"/>
      <c r="B498" s="988"/>
      <c r="C498" s="367" t="s">
        <v>1136</v>
      </c>
      <c r="D498" s="420" t="s">
        <v>1150</v>
      </c>
      <c r="E498" s="363"/>
      <c r="F498" s="1625">
        <f t="shared" si="50"/>
        <v>2.7590445493333336E-3</v>
      </c>
      <c r="G498" s="1619">
        <f t="shared" si="50"/>
        <v>2.9482527961927577E-3</v>
      </c>
      <c r="H498" s="1619">
        <f t="shared" si="50"/>
        <v>1.5499832009184044E-2</v>
      </c>
      <c r="I498" s="1619">
        <f t="shared" si="50"/>
        <v>3.2421917362257663E-2</v>
      </c>
      <c r="J498" s="1619">
        <f t="shared" si="50"/>
        <v>0.18653308613625072</v>
      </c>
      <c r="K498" s="1619">
        <f t="shared" si="50"/>
        <v>0.35475390526293493</v>
      </c>
      <c r="L498" s="1619">
        <f t="shared" si="50"/>
        <v>0.55519799716560814</v>
      </c>
      <c r="M498" s="1619">
        <f t="shared" si="50"/>
        <v>0.77236801846342829</v>
      </c>
      <c r="N498" s="1619">
        <f t="shared" si="50"/>
        <v>0.8767420750125402</v>
      </c>
      <c r="O498" s="363"/>
    </row>
    <row r="499" spans="1:15">
      <c r="A499" s="363"/>
      <c r="B499" s="988"/>
      <c r="C499" s="367" t="s">
        <v>1136</v>
      </c>
      <c r="D499" s="420" t="s">
        <v>1151</v>
      </c>
      <c r="E499" s="363"/>
      <c r="F499" s="1625">
        <f t="shared" si="50"/>
        <v>6.897611373333334E-4</v>
      </c>
      <c r="G499" s="1619">
        <f t="shared" si="50"/>
        <v>7.3706319904818943E-4</v>
      </c>
      <c r="H499" s="1619">
        <f t="shared" si="50"/>
        <v>3.874958002296011E-3</v>
      </c>
      <c r="I499" s="1619">
        <f t="shared" si="50"/>
        <v>8.1054793405644157E-3</v>
      </c>
      <c r="J499" s="1619">
        <f t="shared" si="50"/>
        <v>4.663327153406268E-2</v>
      </c>
      <c r="K499" s="1619">
        <f t="shared" si="50"/>
        <v>8.8688476315733733E-2</v>
      </c>
      <c r="L499" s="1619">
        <f t="shared" si="50"/>
        <v>0.13879949929140203</v>
      </c>
      <c r="M499" s="1619">
        <f t="shared" si="50"/>
        <v>0.19309200461585707</v>
      </c>
      <c r="N499" s="1619">
        <f t="shared" si="50"/>
        <v>0.21918551875313505</v>
      </c>
      <c r="O499" s="363"/>
    </row>
    <row r="500" spans="1:15">
      <c r="A500" s="363"/>
      <c r="B500" s="988"/>
      <c r="C500" s="367" t="s">
        <v>1138</v>
      </c>
      <c r="D500" s="420" t="s">
        <v>1148</v>
      </c>
      <c r="E500" s="363"/>
      <c r="F500" s="1625">
        <f t="shared" ref="F500:N503" si="51">F483/F$309</f>
        <v>0.54978290919626172</v>
      </c>
      <c r="G500" s="1619">
        <f t="shared" si="51"/>
        <v>0.58550087188490918</v>
      </c>
      <c r="H500" s="1619">
        <f t="shared" si="51"/>
        <v>0.61041285114922172</v>
      </c>
      <c r="I500" s="1619">
        <f t="shared" si="51"/>
        <v>0.59498409588370182</v>
      </c>
      <c r="J500" s="1619">
        <f t="shared" si="51"/>
        <v>0.59076445322960636</v>
      </c>
      <c r="K500" s="1619">
        <f t="shared" si="51"/>
        <v>0.54450621739762994</v>
      </c>
      <c r="L500" s="1619">
        <f t="shared" si="51"/>
        <v>0.52511536058484631</v>
      </c>
      <c r="M500" s="1619">
        <f t="shared" si="51"/>
        <v>0.50809924776114779</v>
      </c>
      <c r="N500" s="1619">
        <f t="shared" si="51"/>
        <v>0.47279435733648345</v>
      </c>
      <c r="O500" s="363"/>
    </row>
    <row r="501" spans="1:15">
      <c r="A501" s="363"/>
      <c r="B501" s="988"/>
      <c r="C501" s="367" t="s">
        <v>1138</v>
      </c>
      <c r="D501" s="1334" t="s">
        <v>1152</v>
      </c>
      <c r="E501" s="363"/>
      <c r="F501" s="1625">
        <f t="shared" si="51"/>
        <v>0</v>
      </c>
      <c r="G501" s="1619">
        <f t="shared" si="51"/>
        <v>0</v>
      </c>
      <c r="H501" s="1619">
        <f t="shared" si="51"/>
        <v>0</v>
      </c>
      <c r="I501" s="1619">
        <f t="shared" si="51"/>
        <v>3.7977708247895862E-2</v>
      </c>
      <c r="J501" s="1619">
        <f t="shared" si="51"/>
        <v>6.5640494803289595E-2</v>
      </c>
      <c r="K501" s="1619">
        <f t="shared" si="51"/>
        <v>0.13884908543639563</v>
      </c>
      <c r="L501" s="1619">
        <f t="shared" si="51"/>
        <v>0.17773676749017925</v>
      </c>
      <c r="M501" s="1619">
        <f t="shared" si="51"/>
        <v>0.21910870139843192</v>
      </c>
      <c r="N501" s="1619">
        <f t="shared" si="51"/>
        <v>0.25404962388057389</v>
      </c>
      <c r="O501" s="363"/>
    </row>
    <row r="502" spans="1:15">
      <c r="A502" s="363"/>
      <c r="B502" s="988"/>
      <c r="C502" s="367" t="s">
        <v>1138</v>
      </c>
      <c r="D502" s="420" t="s">
        <v>1150</v>
      </c>
      <c r="E502" s="363"/>
      <c r="F502" s="1625">
        <f t="shared" si="51"/>
        <v>0</v>
      </c>
      <c r="G502" s="1619">
        <f t="shared" si="51"/>
        <v>0</v>
      </c>
      <c r="H502" s="1619">
        <f t="shared" si="51"/>
        <v>9.7666056183875485E-4</v>
      </c>
      <c r="I502" s="1619">
        <f t="shared" si="51"/>
        <v>2.0254777732211129E-3</v>
      </c>
      <c r="J502" s="1619">
        <f t="shared" si="51"/>
        <v>2.1004958337052671E-3</v>
      </c>
      <c r="K502" s="1619">
        <f t="shared" si="51"/>
        <v>2.1780248695905196E-3</v>
      </c>
      <c r="L502" s="1619">
        <f t="shared" si="51"/>
        <v>2.2525055681923709E-3</v>
      </c>
      <c r="M502" s="1619">
        <f t="shared" si="51"/>
        <v>2.3293948321427981E-3</v>
      </c>
      <c r="N502" s="1619">
        <f t="shared" si="51"/>
        <v>2.3293948321427981E-3</v>
      </c>
      <c r="O502" s="363"/>
    </row>
    <row r="503" spans="1:15">
      <c r="A503" s="363"/>
      <c r="B503" s="988"/>
      <c r="C503" s="367" t="s">
        <v>1138</v>
      </c>
      <c r="D503" s="1334" t="s">
        <v>1151</v>
      </c>
      <c r="E503" s="363"/>
      <c r="F503" s="1625">
        <f t="shared" si="51"/>
        <v>0</v>
      </c>
      <c r="G503" s="1619">
        <f t="shared" si="51"/>
        <v>0</v>
      </c>
      <c r="H503" s="1619">
        <f t="shared" si="51"/>
        <v>2.4416514045968871E-4</v>
      </c>
      <c r="I503" s="1619">
        <f t="shared" si="51"/>
        <v>5.0636944330527823E-4</v>
      </c>
      <c r="J503" s="1619">
        <f t="shared" si="51"/>
        <v>5.2512395842631678E-4</v>
      </c>
      <c r="K503" s="1619">
        <f t="shared" si="51"/>
        <v>5.4450621739762989E-4</v>
      </c>
      <c r="L503" s="1619">
        <f t="shared" si="51"/>
        <v>5.6312639204809272E-4</v>
      </c>
      <c r="M503" s="1619">
        <f t="shared" si="51"/>
        <v>5.8234870803569952E-4</v>
      </c>
      <c r="N503" s="1619">
        <f t="shared" si="51"/>
        <v>5.8234870803569952E-4</v>
      </c>
      <c r="O503" s="363"/>
    </row>
    <row r="504" spans="1:15">
      <c r="A504" s="363"/>
      <c r="B504" s="988"/>
      <c r="C504" s="367" t="s">
        <v>1140</v>
      </c>
      <c r="D504" s="420" t="s">
        <v>1153</v>
      </c>
      <c r="E504" s="363"/>
      <c r="F504" s="1625">
        <f t="shared" ref="F504:N505" si="52">F487/20</f>
        <v>7.0946859840000001E-2</v>
      </c>
      <c r="G504" s="1619">
        <f t="shared" si="52"/>
        <v>7.5556092412082748E-2</v>
      </c>
      <c r="H504" s="1619">
        <f t="shared" si="52"/>
        <v>7.8770864409608093E-2</v>
      </c>
      <c r="I504" s="1619">
        <f t="shared" si="52"/>
        <v>8.1680699146228289E-2</v>
      </c>
      <c r="J504" s="1619">
        <f t="shared" si="52"/>
        <v>8.4705924952184763E-2</v>
      </c>
      <c r="K504" s="1619">
        <f t="shared" si="52"/>
        <v>8.7832409942029746E-2</v>
      </c>
      <c r="L504" s="1619">
        <f t="shared" si="52"/>
        <v>9.0835965752481249E-2</v>
      </c>
      <c r="M504" s="1619">
        <f t="shared" si="52"/>
        <v>9.3936650894200752E-2</v>
      </c>
      <c r="N504" s="1619">
        <f t="shared" si="52"/>
        <v>9.3936650894200752E-2</v>
      </c>
      <c r="O504" s="1619"/>
    </row>
    <row r="505" spans="1:15">
      <c r="A505" s="363"/>
      <c r="B505" s="988"/>
      <c r="C505" s="382" t="s">
        <v>1140</v>
      </c>
      <c r="D505" s="420" t="s">
        <v>1154</v>
      </c>
      <c r="E505" s="363"/>
      <c r="F505" s="1625">
        <f t="shared" si="52"/>
        <v>1.773671496E-2</v>
      </c>
      <c r="G505" s="1619">
        <f t="shared" si="52"/>
        <v>1.8889023103020687E-2</v>
      </c>
      <c r="H505" s="1619">
        <f t="shared" si="52"/>
        <v>1.9692716102402023E-2</v>
      </c>
      <c r="I505" s="1619">
        <f t="shared" si="52"/>
        <v>2.0420174786557072E-2</v>
      </c>
      <c r="J505" s="1619">
        <f t="shared" si="52"/>
        <v>2.1176481238046191E-2</v>
      </c>
      <c r="K505" s="1619">
        <f t="shared" si="52"/>
        <v>2.1958102485507437E-2</v>
      </c>
      <c r="L505" s="1619">
        <f t="shared" si="52"/>
        <v>2.2708991438120312E-2</v>
      </c>
      <c r="M505" s="1619">
        <f t="shared" si="52"/>
        <v>2.3484162723550188E-2</v>
      </c>
      <c r="N505" s="1619">
        <f t="shared" si="52"/>
        <v>2.3484162723550188E-2</v>
      </c>
      <c r="O505" s="1619"/>
    </row>
    <row r="506" spans="1:15">
      <c r="A506" s="363"/>
      <c r="B506" s="988"/>
      <c r="C506" s="382" t="s">
        <v>1142</v>
      </c>
      <c r="D506" s="420" t="s">
        <v>1142</v>
      </c>
      <c r="E506" s="363"/>
      <c r="F506" s="1625">
        <f t="shared" ref="F506:N506" si="53">F489/64.8</f>
        <v>4.561912283950617E-4</v>
      </c>
      <c r="G506" s="1619">
        <f t="shared" si="53"/>
        <v>4.8582878351390648E-4</v>
      </c>
      <c r="H506" s="1619">
        <f t="shared" si="53"/>
        <v>5.0649989975313863E-4</v>
      </c>
      <c r="I506" s="1619">
        <f t="shared" si="53"/>
        <v>5.2521025685589183E-4</v>
      </c>
      <c r="J506" s="1619">
        <f t="shared" si="53"/>
        <v>5.4466258328308103E-4</v>
      </c>
      <c r="K506" s="1619">
        <f t="shared" si="53"/>
        <v>5.6476601042971804E-4</v>
      </c>
      <c r="L506" s="1619">
        <f t="shared" si="53"/>
        <v>5.8407899789404108E-4</v>
      </c>
      <c r="M506" s="1619">
        <f t="shared" si="53"/>
        <v>6.0401653095550902E-4</v>
      </c>
      <c r="N506" s="1619">
        <f t="shared" si="53"/>
        <v>6.0401653095550902E-4</v>
      </c>
      <c r="O506" s="363"/>
    </row>
    <row r="507" spans="1:15">
      <c r="A507" s="363"/>
      <c r="B507" s="988"/>
      <c r="C507" s="382"/>
      <c r="D507" s="420"/>
      <c r="E507" s="363"/>
      <c r="F507" s="1619"/>
      <c r="G507" s="1619"/>
      <c r="H507" s="1619"/>
      <c r="I507" s="1619"/>
      <c r="J507" s="1619"/>
      <c r="K507" s="1619"/>
      <c r="L507" s="1619"/>
      <c r="M507" s="1619"/>
      <c r="N507" s="1619"/>
      <c r="O507" s="363"/>
    </row>
    <row r="508" spans="1:15">
      <c r="A508" s="363"/>
      <c r="B508" s="363" t="s">
        <v>1220</v>
      </c>
      <c r="C508" s="363" t="s">
        <v>1221</v>
      </c>
      <c r="D508" s="363"/>
      <c r="E508" s="363"/>
      <c r="F508" s="1327"/>
      <c r="G508" s="1327"/>
      <c r="H508" s="1327"/>
      <c r="I508" s="1327"/>
      <c r="J508" s="1327"/>
      <c r="K508" s="1327"/>
      <c r="L508" s="1327"/>
      <c r="M508" s="1327"/>
      <c r="N508" s="1327"/>
      <c r="O508" s="363"/>
    </row>
    <row r="509" spans="1:15">
      <c r="A509" s="363"/>
      <c r="B509" s="988"/>
      <c r="C509" s="363"/>
      <c r="D509" s="363"/>
      <c r="E509" s="363"/>
      <c r="F509" s="1327"/>
      <c r="G509" s="1327"/>
      <c r="H509" s="1327"/>
      <c r="I509" s="1327"/>
      <c r="J509" s="1327"/>
      <c r="K509" s="1327"/>
      <c r="L509" s="1327"/>
      <c r="M509" s="1327"/>
      <c r="N509" s="1327"/>
      <c r="O509" s="363"/>
    </row>
    <row r="510" spans="1:15">
      <c r="A510" s="363"/>
      <c r="B510" s="367"/>
      <c r="C510" s="1334" t="s">
        <v>1216</v>
      </c>
      <c r="D510" s="2"/>
      <c r="E510" s="363"/>
      <c r="F510" s="1327"/>
      <c r="G510" s="1327"/>
      <c r="H510" s="1327"/>
      <c r="I510" s="1327"/>
      <c r="J510" s="1327"/>
      <c r="K510" s="1327"/>
      <c r="L510" s="1327"/>
      <c r="M510" s="1327"/>
      <c r="N510" s="382" t="s">
        <v>1222</v>
      </c>
      <c r="O510" s="363"/>
    </row>
    <row r="511" spans="1:15">
      <c r="A511" s="363"/>
      <c r="B511" s="988"/>
      <c r="C511" s="367" t="s">
        <v>1010</v>
      </c>
      <c r="D511" t="s">
        <v>45</v>
      </c>
      <c r="E511" s="363"/>
      <c r="F511" s="1629">
        <v>2013</v>
      </c>
      <c r="G511" s="1629">
        <v>2015</v>
      </c>
      <c r="H511" s="1629">
        <v>2020</v>
      </c>
      <c r="I511" s="1629">
        <v>2025</v>
      </c>
      <c r="J511" s="1629">
        <v>2030</v>
      </c>
      <c r="K511" s="1629">
        <v>2035</v>
      </c>
      <c r="L511" s="1629">
        <v>2040</v>
      </c>
      <c r="M511" s="1629">
        <v>2045</v>
      </c>
      <c r="N511" s="1629">
        <v>2050</v>
      </c>
      <c r="O511" s="363"/>
    </row>
    <row r="512" spans="1:15">
      <c r="A512" s="363"/>
      <c r="B512" s="988"/>
      <c r="C512" s="382" t="s">
        <v>1134</v>
      </c>
      <c r="D512" s="1334" t="s">
        <v>1134</v>
      </c>
      <c r="E512" s="363"/>
      <c r="F512" s="1619">
        <f t="shared" ref="F512:N520" si="54">F495*1000000/INDEX(F$132:F$136,MATCH($C512,$C$132:$C$136,0))</f>
        <v>1970.7461066666665</v>
      </c>
      <c r="G512" s="1619">
        <f t="shared" si="54"/>
        <v>2227.9395335982967</v>
      </c>
      <c r="H512" s="1619">
        <f t="shared" si="54"/>
        <v>2405.9836251286893</v>
      </c>
      <c r="I512" s="1619">
        <f t="shared" si="54"/>
        <v>2598.8174590079052</v>
      </c>
      <c r="J512" s="1619">
        <f t="shared" si="54"/>
        <v>2812.2509653254801</v>
      </c>
      <c r="K512" s="1619">
        <f t="shared" si="54"/>
        <v>3048.602771589829</v>
      </c>
      <c r="L512" s="1619">
        <f t="shared" si="54"/>
        <v>3302.9950488670192</v>
      </c>
      <c r="M512" s="1619">
        <f t="shared" si="54"/>
        <v>3586.5358773342855</v>
      </c>
      <c r="N512" s="1619">
        <f t="shared" si="54"/>
        <v>3775.3078741285649</v>
      </c>
      <c r="O512" s="363"/>
    </row>
    <row r="513" spans="1:15">
      <c r="A513" s="363"/>
      <c r="B513" s="988"/>
      <c r="C513" s="367" t="s">
        <v>1136</v>
      </c>
      <c r="D513" s="420" t="s">
        <v>1148</v>
      </c>
      <c r="E513" s="363"/>
      <c r="F513" s="1619">
        <f>F496*1000000/INDEX(F$132:F$136,MATCH($C513,$C$132:$C$136,0))</f>
        <v>2055.3342963550681</v>
      </c>
      <c r="G513" s="1619">
        <f t="shared" si="54"/>
        <v>2196.2838866823995</v>
      </c>
      <c r="H513" s="1619">
        <f t="shared" si="54"/>
        <v>2302.3672196425618</v>
      </c>
      <c r="I513" s="1619">
        <f t="shared" si="54"/>
        <v>2398.3283140964922</v>
      </c>
      <c r="J513" s="1619">
        <f t="shared" si="54"/>
        <v>2417.7386119084736</v>
      </c>
      <c r="K513" s="1619">
        <f t="shared" si="54"/>
        <v>2433.7349582555339</v>
      </c>
      <c r="L513" s="1619">
        <f t="shared" si="54"/>
        <v>2428.8325354736376</v>
      </c>
      <c r="M513" s="1619">
        <f t="shared" si="54"/>
        <v>2418.9775678178121</v>
      </c>
      <c r="N513" s="1619">
        <f t="shared" si="54"/>
        <v>2346.3355988142739</v>
      </c>
      <c r="O513" s="363"/>
    </row>
    <row r="514" spans="1:15">
      <c r="A514" s="363"/>
      <c r="B514" s="988"/>
      <c r="C514" s="367" t="s">
        <v>1136</v>
      </c>
      <c r="D514" s="1334" t="s">
        <v>1149</v>
      </c>
      <c r="E514" s="363"/>
      <c r="F514" s="1619">
        <f t="shared" si="54"/>
        <v>0</v>
      </c>
      <c r="G514" s="1619">
        <f t="shared" si="54"/>
        <v>0</v>
      </c>
      <c r="H514" s="1619">
        <f t="shared" si="54"/>
        <v>8.0906478601897263</v>
      </c>
      <c r="I514" s="1619">
        <f t="shared" si="54"/>
        <v>16.923687700277668</v>
      </c>
      <c r="J514" s="1619">
        <f t="shared" si="54"/>
        <v>97.367088450288946</v>
      </c>
      <c r="K514" s="1619">
        <f t="shared" si="54"/>
        <v>185.17548595422539</v>
      </c>
      <c r="L514" s="1619">
        <f t="shared" si="54"/>
        <v>289.80388207355907</v>
      </c>
      <c r="M514" s="1619">
        <f t="shared" si="54"/>
        <v>403.16292796963535</v>
      </c>
      <c r="N514" s="1619">
        <f t="shared" si="54"/>
        <v>493.96538922405784</v>
      </c>
      <c r="O514" s="363"/>
    </row>
    <row r="515" spans="1:15">
      <c r="A515" s="363"/>
      <c r="B515" s="988"/>
      <c r="C515" s="367" t="s">
        <v>1136</v>
      </c>
      <c r="D515" s="420" t="s">
        <v>1150</v>
      </c>
      <c r="E515" s="363"/>
      <c r="F515" s="1619">
        <f t="shared" si="54"/>
        <v>0.16459133504344889</v>
      </c>
      <c r="G515" s="1619">
        <f t="shared" si="54"/>
        <v>0.17587858952411606</v>
      </c>
      <c r="H515" s="1619">
        <f t="shared" si="54"/>
        <v>0.92464546973596873</v>
      </c>
      <c r="I515" s="1619">
        <f t="shared" si="54"/>
        <v>1.9341357371745906</v>
      </c>
      <c r="J515" s="1619">
        <f t="shared" si="54"/>
        <v>11.127667251461595</v>
      </c>
      <c r="K515" s="1619">
        <f t="shared" si="54"/>
        <v>21.162912680482904</v>
      </c>
      <c r="L515" s="1619">
        <f t="shared" si="54"/>
        <v>33.120443665549608</v>
      </c>
      <c r="M515" s="1619">
        <f t="shared" si="54"/>
        <v>46.075763196529756</v>
      </c>
      <c r="N515" s="1619">
        <f t="shared" si="54"/>
        <v>52.302217682547287</v>
      </c>
      <c r="O515" s="363"/>
    </row>
    <row r="516" spans="1:15">
      <c r="A516" s="363"/>
      <c r="B516" s="988"/>
      <c r="C516" s="367" t="s">
        <v>1136</v>
      </c>
      <c r="D516" s="420" t="s">
        <v>1151</v>
      </c>
      <c r="E516" s="363"/>
      <c r="F516" s="1619">
        <f t="shared" si="54"/>
        <v>4.1147833760862222E-2</v>
      </c>
      <c r="G516" s="1619">
        <f t="shared" si="54"/>
        <v>4.3969647381029014E-2</v>
      </c>
      <c r="H516" s="1619">
        <f t="shared" si="54"/>
        <v>0.23116136743399218</v>
      </c>
      <c r="I516" s="1619">
        <f t="shared" si="54"/>
        <v>0.48353393429364766</v>
      </c>
      <c r="J516" s="1619">
        <f t="shared" si="54"/>
        <v>2.7819168128653988</v>
      </c>
      <c r="K516" s="1619">
        <f t="shared" si="54"/>
        <v>5.290728170120726</v>
      </c>
      <c r="L516" s="1619">
        <f t="shared" si="54"/>
        <v>8.280110916387402</v>
      </c>
      <c r="M516" s="1619">
        <f t="shared" si="54"/>
        <v>11.518940799132439</v>
      </c>
      <c r="N516" s="1619">
        <f t="shared" si="54"/>
        <v>13.075554420636822</v>
      </c>
      <c r="O516" s="363"/>
    </row>
    <row r="517" spans="1:15">
      <c r="A517" s="363"/>
      <c r="B517" s="988"/>
      <c r="C517" s="367" t="s">
        <v>1138</v>
      </c>
      <c r="D517" s="420" t="s">
        <v>1148</v>
      </c>
      <c r="E517" s="363"/>
      <c r="F517" s="1619">
        <f t="shared" si="54"/>
        <v>15.265810773484247</v>
      </c>
      <c r="G517" s="1619">
        <f t="shared" si="54"/>
        <v>16.25759071152633</v>
      </c>
      <c r="H517" s="1619">
        <f t="shared" si="54"/>
        <v>16.949321129261449</v>
      </c>
      <c r="I517" s="1619">
        <f t="shared" si="54"/>
        <v>16.520911197970285</v>
      </c>
      <c r="J517" s="1619">
        <f t="shared" si="54"/>
        <v>16.403744466863063</v>
      </c>
      <c r="K517" s="1619">
        <f t="shared" si="54"/>
        <v>15.119292980441772</v>
      </c>
      <c r="L517" s="1619">
        <f t="shared" si="54"/>
        <v>14.580867456679245</v>
      </c>
      <c r="M517" s="1619">
        <f t="shared" si="54"/>
        <v>14.108381400598317</v>
      </c>
      <c r="N517" s="1619">
        <f t="shared" si="54"/>
        <v>13.128071231645567</v>
      </c>
      <c r="O517" s="363"/>
    </row>
    <row r="518" spans="1:15">
      <c r="A518" s="363"/>
      <c r="B518" s="988"/>
      <c r="C518" s="367" t="s">
        <v>1138</v>
      </c>
      <c r="D518" s="1334" t="s">
        <v>1152</v>
      </c>
      <c r="E518" s="363"/>
      <c r="F518" s="1619">
        <f t="shared" si="54"/>
        <v>0</v>
      </c>
      <c r="G518" s="1619">
        <f t="shared" si="54"/>
        <v>0</v>
      </c>
      <c r="H518" s="1619">
        <f t="shared" si="54"/>
        <v>0</v>
      </c>
      <c r="I518" s="1619">
        <f t="shared" si="54"/>
        <v>1.0545262466789544</v>
      </c>
      <c r="J518" s="1619">
        <f t="shared" si="54"/>
        <v>1.8226382740958957</v>
      </c>
      <c r="K518" s="1619">
        <f t="shared" si="54"/>
        <v>3.8554197100126517</v>
      </c>
      <c r="L518" s="1619">
        <f t="shared" si="54"/>
        <v>4.9352131807124797</v>
      </c>
      <c r="M518" s="1619">
        <f t="shared" si="54"/>
        <v>6.0839868217479847</v>
      </c>
      <c r="N518" s="1619">
        <f t="shared" si="54"/>
        <v>7.0541907002991584</v>
      </c>
      <c r="O518" s="363"/>
    </row>
    <row r="519" spans="1:15">
      <c r="A519" s="363"/>
      <c r="B519" s="988"/>
      <c r="C519" s="367" t="s">
        <v>1138</v>
      </c>
      <c r="D519" s="420" t="s">
        <v>1150</v>
      </c>
      <c r="E519" s="363"/>
      <c r="F519" s="1619">
        <f t="shared" si="54"/>
        <v>0</v>
      </c>
      <c r="G519" s="1619">
        <f t="shared" si="54"/>
        <v>0</v>
      </c>
      <c r="H519" s="1619">
        <f t="shared" si="54"/>
        <v>2.7118913806818315E-2</v>
      </c>
      <c r="I519" s="1619">
        <f t="shared" si="54"/>
        <v>5.6241399822877576E-2</v>
      </c>
      <c r="J519" s="1619">
        <f t="shared" si="54"/>
        <v>5.8324424771068674E-2</v>
      </c>
      <c r="K519" s="1619">
        <f t="shared" si="54"/>
        <v>6.0477171921767083E-2</v>
      </c>
      <c r="L519" s="1619">
        <f t="shared" si="54"/>
        <v>6.2545275953583904E-2</v>
      </c>
      <c r="M519" s="1619">
        <f t="shared" si="54"/>
        <v>6.4680258570078239E-2</v>
      </c>
      <c r="N519" s="1619">
        <f t="shared" si="54"/>
        <v>6.4680258570078239E-2</v>
      </c>
      <c r="O519" s="363"/>
    </row>
    <row r="520" spans="1:15">
      <c r="A520" s="363"/>
      <c r="B520" s="988"/>
      <c r="C520" s="367" t="s">
        <v>1138</v>
      </c>
      <c r="D520" s="1334" t="s">
        <v>1151</v>
      </c>
      <c r="E520" s="363"/>
      <c r="F520" s="1619">
        <f t="shared" si="54"/>
        <v>0</v>
      </c>
      <c r="G520" s="1619">
        <f t="shared" si="54"/>
        <v>0</v>
      </c>
      <c r="H520" s="1619">
        <f t="shared" si="54"/>
        <v>6.7797284517045787E-3</v>
      </c>
      <c r="I520" s="1619">
        <f t="shared" si="54"/>
        <v>1.4060349955719394E-2</v>
      </c>
      <c r="J520" s="1619">
        <f t="shared" si="54"/>
        <v>1.4581106192767168E-2</v>
      </c>
      <c r="K520" s="1619">
        <f t="shared" si="54"/>
        <v>1.5119292980441771E-2</v>
      </c>
      <c r="L520" s="1619">
        <f t="shared" si="54"/>
        <v>1.5636318988395976E-2</v>
      </c>
      <c r="M520" s="1619">
        <f t="shared" si="54"/>
        <v>1.617006464251956E-2</v>
      </c>
      <c r="N520" s="1619">
        <f t="shared" si="54"/>
        <v>1.617006464251956E-2</v>
      </c>
      <c r="O520" s="363"/>
    </row>
    <row r="521" spans="1:15">
      <c r="A521" s="363"/>
      <c r="B521" s="988"/>
      <c r="C521" s="367" t="s">
        <v>1140</v>
      </c>
      <c r="D521" s="420" t="s">
        <v>1153</v>
      </c>
      <c r="E521" s="363"/>
      <c r="F521" s="1619">
        <f t="shared" ref="F521:N522" si="55">F504*1000000/INDEX(F$132:F$136,MATCH($C521,$C$132:$C$136,0))*0.8</f>
        <v>1.6970395536552552</v>
      </c>
      <c r="G521" s="1619">
        <f t="shared" si="55"/>
        <v>1.8072917903921724</v>
      </c>
      <c r="H521" s="1619">
        <f t="shared" si="55"/>
        <v>1.8841887136399007</v>
      </c>
      <c r="I521" s="1619">
        <f t="shared" si="55"/>
        <v>1.9537915777241033</v>
      </c>
      <c r="J521" s="1619">
        <f t="shared" si="55"/>
        <v>2.0261545810060642</v>
      </c>
      <c r="K521" s="1619">
        <f t="shared" si="55"/>
        <v>2.100939690645053</v>
      </c>
      <c r="L521" s="1619">
        <f t="shared" si="55"/>
        <v>2.1727843504854238</v>
      </c>
      <c r="M521" s="1619">
        <f t="shared" si="55"/>
        <v>2.2469523311514608</v>
      </c>
      <c r="N521" s="1619">
        <f t="shared" si="55"/>
        <v>2.2469523311514608</v>
      </c>
      <c r="O521" s="363"/>
    </row>
    <row r="522" spans="1:15">
      <c r="A522" s="363"/>
      <c r="B522" s="988"/>
      <c r="C522" s="382" t="s">
        <v>1140</v>
      </c>
      <c r="D522" s="420" t="s">
        <v>1154</v>
      </c>
      <c r="E522" s="363"/>
      <c r="F522" s="1619">
        <f t="shared" si="55"/>
        <v>0.42425988841381379</v>
      </c>
      <c r="G522" s="1619">
        <f t="shared" si="55"/>
        <v>0.45182294759804309</v>
      </c>
      <c r="H522" s="1619">
        <f t="shared" si="55"/>
        <v>0.47104717840997518</v>
      </c>
      <c r="I522" s="1619">
        <f t="shared" si="55"/>
        <v>0.48844789443102582</v>
      </c>
      <c r="J522" s="1619">
        <f t="shared" si="55"/>
        <v>0.50653864525151604</v>
      </c>
      <c r="K522" s="1619">
        <f t="shared" si="55"/>
        <v>0.52523492266126326</v>
      </c>
      <c r="L522" s="1619">
        <f t="shared" si="55"/>
        <v>0.54319608762135596</v>
      </c>
      <c r="M522" s="1619">
        <f t="shared" si="55"/>
        <v>0.56173808278786519</v>
      </c>
      <c r="N522" s="1619">
        <f t="shared" si="55"/>
        <v>0.56173808278786519</v>
      </c>
      <c r="O522" s="363"/>
    </row>
    <row r="523" spans="1:15">
      <c r="A523" s="363"/>
      <c r="B523" s="988"/>
      <c r="C523" s="382" t="s">
        <v>1142</v>
      </c>
      <c r="D523" s="420" t="s">
        <v>1142</v>
      </c>
      <c r="E523" s="363"/>
      <c r="F523" s="1619">
        <f t="shared" ref="F523:N523" si="56">F506*1000000/INDEX(F$132:F$136,MATCH($C523,$C$132:$C$136,0))</f>
        <v>2.972898197426274E-3</v>
      </c>
      <c r="G523" s="1619">
        <f t="shared" si="56"/>
        <v>3.1660396449260768E-3</v>
      </c>
      <c r="H523" s="1619">
        <f t="shared" si="56"/>
        <v>3.3007487764948754E-3</v>
      </c>
      <c r="I523" s="1619">
        <f t="shared" si="56"/>
        <v>3.4226800707454668E-3</v>
      </c>
      <c r="J523" s="1619">
        <f t="shared" si="56"/>
        <v>3.5494466163771984E-3</v>
      </c>
      <c r="K523" s="1619">
        <f t="shared" si="56"/>
        <v>3.6804562426179079E-3</v>
      </c>
      <c r="L523" s="1619">
        <f t="shared" si="56"/>
        <v>3.8063147467842363E-3</v>
      </c>
      <c r="M523" s="1619">
        <f t="shared" si="56"/>
        <v>3.936243277650759E-3</v>
      </c>
      <c r="N523" s="1619">
        <f t="shared" si="56"/>
        <v>3.936243277650759E-3</v>
      </c>
      <c r="O523" s="363"/>
    </row>
    <row r="524" spans="1:15">
      <c r="A524" s="363"/>
      <c r="B524" s="988"/>
      <c r="C524" s="382"/>
      <c r="D524" s="420"/>
      <c r="E524" s="363"/>
      <c r="F524" s="1619"/>
      <c r="G524" s="1619"/>
      <c r="H524" s="1619"/>
      <c r="I524" s="1619"/>
      <c r="J524" s="1619"/>
      <c r="K524" s="1619"/>
      <c r="L524" s="1619"/>
      <c r="M524" s="1619"/>
      <c r="N524" s="1619"/>
      <c r="O524" s="363"/>
    </row>
    <row r="525" spans="1:15">
      <c r="A525" s="408"/>
      <c r="B525" s="408" t="s">
        <v>1223</v>
      </c>
      <c r="C525" s="408" t="s">
        <v>2804</v>
      </c>
      <c r="D525" s="408"/>
      <c r="E525" s="408"/>
      <c r="F525" s="408"/>
      <c r="G525" s="408"/>
      <c r="H525" s="408"/>
      <c r="I525" s="408"/>
      <c r="J525" s="408"/>
      <c r="K525" s="408"/>
      <c r="L525" s="408"/>
      <c r="M525" s="408"/>
      <c r="N525" s="408"/>
      <c r="O525" s="408"/>
    </row>
    <row r="526" spans="1:15" hidden="1">
      <c r="A526" s="408"/>
      <c r="B526" s="1630"/>
      <c r="C526" s="408"/>
      <c r="D526" s="408"/>
      <c r="E526" s="408"/>
      <c r="F526" s="408"/>
      <c r="G526" s="408"/>
      <c r="H526" s="408"/>
      <c r="I526" s="408"/>
      <c r="J526" s="408"/>
      <c r="K526" s="408"/>
      <c r="L526" s="408"/>
      <c r="M526" s="408"/>
      <c r="N526" s="408"/>
      <c r="O526" s="408"/>
    </row>
    <row r="527" spans="1:15" hidden="1">
      <c r="A527" s="408"/>
      <c r="B527" s="1631"/>
      <c r="C527" s="1632" t="s">
        <v>1216</v>
      </c>
      <c r="D527" s="38"/>
      <c r="E527" s="408"/>
      <c r="F527" s="1633"/>
      <c r="G527" s="1633"/>
      <c r="H527" s="1633"/>
      <c r="I527" s="1633"/>
      <c r="J527" s="1633"/>
      <c r="K527" s="1633"/>
      <c r="L527" s="1633"/>
      <c r="M527" s="1633"/>
      <c r="N527" s="1620" t="s">
        <v>1224</v>
      </c>
      <c r="O527" s="408"/>
    </row>
    <row r="528" spans="1:15" hidden="1">
      <c r="A528" s="408"/>
      <c r="B528" s="1630"/>
      <c r="C528" s="1631" t="s">
        <v>1010</v>
      </c>
      <c r="D528" s="39" t="s">
        <v>45</v>
      </c>
      <c r="E528" s="408"/>
      <c r="F528" s="1634"/>
      <c r="G528" s="1629">
        <v>2015</v>
      </c>
      <c r="H528" s="1629">
        <v>2020</v>
      </c>
      <c r="I528" s="1629">
        <v>2025</v>
      </c>
      <c r="J528" s="1629">
        <v>2030</v>
      </c>
      <c r="K528" s="1629">
        <v>2035</v>
      </c>
      <c r="L528" s="1629">
        <v>2040</v>
      </c>
      <c r="M528" s="1629">
        <v>2045</v>
      </c>
      <c r="N528" s="1629">
        <v>2050</v>
      </c>
      <c r="O528" s="408"/>
    </row>
    <row r="529" spans="1:15" hidden="1">
      <c r="A529" s="363"/>
      <c r="B529" s="988"/>
      <c r="C529" s="382" t="s">
        <v>1134</v>
      </c>
      <c r="D529" s="1334" t="s">
        <v>1134</v>
      </c>
      <c r="E529" s="363"/>
      <c r="F529" s="1619"/>
      <c r="G529" s="1619">
        <f>F512/$E243</f>
        <v>394.14922133333329</v>
      </c>
      <c r="H529" s="1619">
        <f t="shared" ref="H529:N540" si="57">G512/$E243</f>
        <v>445.58790671965937</v>
      </c>
      <c r="I529" s="1619">
        <f t="shared" si="57"/>
        <v>481.19672502573786</v>
      </c>
      <c r="J529" s="1619">
        <f t="shared" si="57"/>
        <v>519.76349180158104</v>
      </c>
      <c r="K529" s="1619">
        <f t="shared" si="57"/>
        <v>562.45019306509607</v>
      </c>
      <c r="L529" s="1619">
        <f t="shared" si="57"/>
        <v>609.72055431796582</v>
      </c>
      <c r="M529" s="1619">
        <f t="shared" si="57"/>
        <v>660.59900977340385</v>
      </c>
      <c r="N529" s="1619">
        <f t="shared" si="57"/>
        <v>717.30717546685707</v>
      </c>
      <c r="O529" s="363"/>
    </row>
    <row r="530" spans="1:15" hidden="1">
      <c r="A530" s="408"/>
      <c r="B530" s="1630"/>
      <c r="C530" s="1631" t="s">
        <v>1136</v>
      </c>
      <c r="D530" s="1635" t="s">
        <v>1148</v>
      </c>
      <c r="E530" s="408"/>
      <c r="F530" s="1619"/>
      <c r="G530" s="1619">
        <f t="shared" ref="G530:G540" si="58">F513/$E244</f>
        <v>171.277858029589</v>
      </c>
      <c r="H530" s="1619">
        <f t="shared" si="57"/>
        <v>183.02365722353329</v>
      </c>
      <c r="I530" s="1619">
        <f t="shared" si="57"/>
        <v>191.86393497021348</v>
      </c>
      <c r="J530" s="1619">
        <f t="shared" si="57"/>
        <v>199.86069284137434</v>
      </c>
      <c r="K530" s="1619">
        <f t="shared" si="57"/>
        <v>201.47821765903947</v>
      </c>
      <c r="L530" s="1619">
        <f t="shared" si="57"/>
        <v>202.81124652129449</v>
      </c>
      <c r="M530" s="1619">
        <f t="shared" si="57"/>
        <v>202.40271128946981</v>
      </c>
      <c r="N530" s="1619">
        <f t="shared" si="57"/>
        <v>201.58146398481767</v>
      </c>
      <c r="O530" s="408"/>
    </row>
    <row r="531" spans="1:15" hidden="1">
      <c r="A531" s="408"/>
      <c r="B531" s="1630"/>
      <c r="C531" s="1631" t="s">
        <v>1136</v>
      </c>
      <c r="D531" s="1632" t="s">
        <v>1149</v>
      </c>
      <c r="E531" s="408"/>
      <c r="F531" s="1619"/>
      <c r="G531" s="1619">
        <f t="shared" si="58"/>
        <v>0</v>
      </c>
      <c r="H531" s="1619">
        <f t="shared" si="57"/>
        <v>0</v>
      </c>
      <c r="I531" s="1619">
        <f t="shared" si="57"/>
        <v>0.67422065501581052</v>
      </c>
      <c r="J531" s="1619">
        <f t="shared" si="57"/>
        <v>1.4103073083564723</v>
      </c>
      <c r="K531" s="1619">
        <f t="shared" si="57"/>
        <v>8.1139240375240789</v>
      </c>
      <c r="L531" s="1619">
        <f t="shared" si="57"/>
        <v>15.431290496185449</v>
      </c>
      <c r="M531" s="1619">
        <f t="shared" si="57"/>
        <v>24.150323506129922</v>
      </c>
      <c r="N531" s="1619">
        <f t="shared" si="57"/>
        <v>33.596910664136281</v>
      </c>
      <c r="O531" s="408"/>
    </row>
    <row r="532" spans="1:15" hidden="1">
      <c r="A532" s="408"/>
      <c r="B532" s="1630"/>
      <c r="C532" s="1631" t="s">
        <v>1136</v>
      </c>
      <c r="D532" s="1635" t="s">
        <v>1150</v>
      </c>
      <c r="E532" s="408"/>
      <c r="F532" s="1619"/>
      <c r="G532" s="1619">
        <f t="shared" si="58"/>
        <v>1.3715944586954075E-2</v>
      </c>
      <c r="H532" s="1619">
        <f t="shared" si="57"/>
        <v>1.4656549127009671E-2</v>
      </c>
      <c r="I532" s="1619">
        <f t="shared" si="57"/>
        <v>7.7053789144664056E-2</v>
      </c>
      <c r="J532" s="1619">
        <f t="shared" si="57"/>
        <v>0.16117797809788256</v>
      </c>
      <c r="K532" s="1619">
        <f t="shared" si="57"/>
        <v>0.92730560428846631</v>
      </c>
      <c r="L532" s="1619">
        <f t="shared" si="57"/>
        <v>1.7635760567069088</v>
      </c>
      <c r="M532" s="1619">
        <f t="shared" si="57"/>
        <v>2.760036972129134</v>
      </c>
      <c r="N532" s="1619">
        <f t="shared" si="57"/>
        <v>3.8396469330441465</v>
      </c>
      <c r="O532" s="408"/>
    </row>
    <row r="533" spans="1:15" hidden="1">
      <c r="A533" s="408"/>
      <c r="B533" s="1630"/>
      <c r="C533" s="1631" t="s">
        <v>1136</v>
      </c>
      <c r="D533" s="1635" t="s">
        <v>1151</v>
      </c>
      <c r="E533" s="408"/>
      <c r="F533" s="1619"/>
      <c r="G533" s="1619">
        <f t="shared" si="58"/>
        <v>3.4289861467385187E-3</v>
      </c>
      <c r="H533" s="1619">
        <f t="shared" si="57"/>
        <v>3.6641372817524179E-3</v>
      </c>
      <c r="I533" s="1619">
        <f t="shared" si="57"/>
        <v>1.9263447286166014E-2</v>
      </c>
      <c r="J533" s="1619">
        <f t="shared" si="57"/>
        <v>4.0294494524470641E-2</v>
      </c>
      <c r="K533" s="1619">
        <f t="shared" si="57"/>
        <v>0.23182640107211658</v>
      </c>
      <c r="L533" s="1619">
        <f t="shared" si="57"/>
        <v>0.44089401417672719</v>
      </c>
      <c r="M533" s="1619">
        <f t="shared" si="57"/>
        <v>0.6900092430322835</v>
      </c>
      <c r="N533" s="1619">
        <f t="shared" si="57"/>
        <v>0.95991173326103663</v>
      </c>
      <c r="O533" s="408"/>
    </row>
    <row r="534" spans="1:15" hidden="1">
      <c r="A534" s="408"/>
      <c r="B534" s="1630"/>
      <c r="C534" s="1631" t="s">
        <v>1138</v>
      </c>
      <c r="D534" s="1635" t="s">
        <v>1148</v>
      </c>
      <c r="E534" s="408"/>
      <c r="F534" s="1619"/>
      <c r="G534" s="1619">
        <f t="shared" si="58"/>
        <v>1.0177207182322832</v>
      </c>
      <c r="H534" s="1619">
        <f t="shared" si="57"/>
        <v>1.0838393807684219</v>
      </c>
      <c r="I534" s="1619">
        <f t="shared" si="57"/>
        <v>1.1299547419507632</v>
      </c>
      <c r="J534" s="1619">
        <f t="shared" si="57"/>
        <v>1.1013940798646857</v>
      </c>
      <c r="K534" s="1619">
        <f t="shared" si="57"/>
        <v>1.0935829644575377</v>
      </c>
      <c r="L534" s="1619">
        <f t="shared" si="57"/>
        <v>1.0079528653627847</v>
      </c>
      <c r="M534" s="1619">
        <f t="shared" si="57"/>
        <v>0.97205783044528304</v>
      </c>
      <c r="N534" s="1619">
        <f t="shared" si="57"/>
        <v>0.94055876003988781</v>
      </c>
      <c r="O534" s="408"/>
    </row>
    <row r="535" spans="1:15" hidden="1">
      <c r="A535" s="408"/>
      <c r="B535" s="1630"/>
      <c r="C535" s="1631" t="s">
        <v>1138</v>
      </c>
      <c r="D535" s="1632" t="s">
        <v>1152</v>
      </c>
      <c r="E535" s="408"/>
      <c r="F535" s="1619"/>
      <c r="G535" s="1619">
        <f t="shared" si="58"/>
        <v>0</v>
      </c>
      <c r="H535" s="1619">
        <f t="shared" si="57"/>
        <v>0</v>
      </c>
      <c r="I535" s="1619">
        <f t="shared" si="57"/>
        <v>0</v>
      </c>
      <c r="J535" s="1619">
        <f t="shared" si="57"/>
        <v>7.0301749778596961E-2</v>
      </c>
      <c r="K535" s="1619">
        <f t="shared" si="57"/>
        <v>0.12150921827305972</v>
      </c>
      <c r="L535" s="1619">
        <f t="shared" si="57"/>
        <v>0.25702798066751009</v>
      </c>
      <c r="M535" s="1619">
        <f t="shared" si="57"/>
        <v>0.32901421204749864</v>
      </c>
      <c r="N535" s="1619">
        <f t="shared" si="57"/>
        <v>0.40559912144986565</v>
      </c>
      <c r="O535" s="408"/>
    </row>
    <row r="536" spans="1:15" hidden="1">
      <c r="A536" s="408"/>
      <c r="B536" s="1630"/>
      <c r="C536" s="1631" t="s">
        <v>1138</v>
      </c>
      <c r="D536" s="1635" t="s">
        <v>1150</v>
      </c>
      <c r="E536" s="408"/>
      <c r="F536" s="1619"/>
      <c r="G536" s="1619">
        <f t="shared" si="58"/>
        <v>0</v>
      </c>
      <c r="H536" s="1619">
        <f t="shared" si="57"/>
        <v>0</v>
      </c>
      <c r="I536" s="1619">
        <f t="shared" si="57"/>
        <v>1.807927587121221E-3</v>
      </c>
      <c r="J536" s="1619">
        <f t="shared" si="57"/>
        <v>3.7494266548585052E-3</v>
      </c>
      <c r="K536" s="1619">
        <f t="shared" si="57"/>
        <v>3.8882949847379115E-3</v>
      </c>
      <c r="L536" s="1619">
        <f t="shared" si="57"/>
        <v>4.0318114614511392E-3</v>
      </c>
      <c r="M536" s="1619">
        <f t="shared" si="57"/>
        <v>4.1696850635722605E-3</v>
      </c>
      <c r="N536" s="1619">
        <f t="shared" si="57"/>
        <v>4.3120172380052158E-3</v>
      </c>
      <c r="O536" s="408"/>
    </row>
    <row r="537" spans="1:15" hidden="1">
      <c r="A537" s="408"/>
      <c r="B537" s="1630"/>
      <c r="C537" s="1631" t="s">
        <v>1138</v>
      </c>
      <c r="D537" s="1632" t="s">
        <v>1151</v>
      </c>
      <c r="E537" s="408"/>
      <c r="F537" s="1619"/>
      <c r="G537" s="1619">
        <f t="shared" si="58"/>
        <v>0</v>
      </c>
      <c r="H537" s="1619">
        <f t="shared" si="57"/>
        <v>0</v>
      </c>
      <c r="I537" s="1619">
        <f t="shared" si="57"/>
        <v>4.5198189678030524E-4</v>
      </c>
      <c r="J537" s="1619">
        <f t="shared" si="57"/>
        <v>9.3735666371462631E-4</v>
      </c>
      <c r="K537" s="1619">
        <f t="shared" si="57"/>
        <v>9.7207374618447787E-4</v>
      </c>
      <c r="L537" s="1619">
        <f t="shared" si="57"/>
        <v>1.0079528653627848E-3</v>
      </c>
      <c r="M537" s="1619">
        <f t="shared" si="57"/>
        <v>1.0424212658930651E-3</v>
      </c>
      <c r="N537" s="1619">
        <f t="shared" si="57"/>
        <v>1.078004309501304E-3</v>
      </c>
      <c r="O537" s="408"/>
    </row>
    <row r="538" spans="1:15" hidden="1">
      <c r="A538" s="408"/>
      <c r="B538" s="1630"/>
      <c r="C538" s="1631" t="s">
        <v>1140</v>
      </c>
      <c r="D538" s="1635" t="s">
        <v>1153</v>
      </c>
      <c r="E538" s="408"/>
      <c r="F538" s="1619"/>
      <c r="G538" s="1619">
        <f t="shared" si="58"/>
        <v>4.2425988841381379E-2</v>
      </c>
      <c r="H538" s="1619">
        <f t="shared" si="57"/>
        <v>4.5182294759804308E-2</v>
      </c>
      <c r="I538" s="1619">
        <f t="shared" si="57"/>
        <v>4.7104717840997519E-2</v>
      </c>
      <c r="J538" s="1619">
        <f t="shared" si="57"/>
        <v>4.8844789443102582E-2</v>
      </c>
      <c r="K538" s="1619">
        <f t="shared" si="57"/>
        <v>5.0653864525151603E-2</v>
      </c>
      <c r="L538" s="1619">
        <f t="shared" si="57"/>
        <v>5.2523492266126327E-2</v>
      </c>
      <c r="M538" s="1619">
        <f t="shared" si="57"/>
        <v>5.4319608762135596E-2</v>
      </c>
      <c r="N538" s="1619">
        <f t="shared" si="57"/>
        <v>5.617380827878652E-2</v>
      </c>
      <c r="O538" s="408"/>
    </row>
    <row r="539" spans="1:15" hidden="1">
      <c r="A539" s="408"/>
      <c r="B539" s="1630"/>
      <c r="C539" s="1620" t="s">
        <v>1140</v>
      </c>
      <c r="D539" s="1635" t="s">
        <v>1154</v>
      </c>
      <c r="E539" s="408"/>
      <c r="F539" s="1619"/>
      <c r="G539" s="1619">
        <f t="shared" si="58"/>
        <v>1.0606497210345345E-2</v>
      </c>
      <c r="H539" s="1619">
        <f t="shared" si="57"/>
        <v>1.1295573689951077E-2</v>
      </c>
      <c r="I539" s="1619">
        <f t="shared" si="57"/>
        <v>1.177617946024938E-2</v>
      </c>
      <c r="J539" s="1619">
        <f t="shared" si="57"/>
        <v>1.2211197360775645E-2</v>
      </c>
      <c r="K539" s="1619">
        <f t="shared" si="57"/>
        <v>1.2663466131287901E-2</v>
      </c>
      <c r="L539" s="1619">
        <f t="shared" si="57"/>
        <v>1.3130873066531582E-2</v>
      </c>
      <c r="M539" s="1619">
        <f t="shared" si="57"/>
        <v>1.3579902190533899E-2</v>
      </c>
      <c r="N539" s="1619">
        <f t="shared" si="57"/>
        <v>1.404345206969663E-2</v>
      </c>
      <c r="O539" s="408"/>
    </row>
    <row r="540" spans="1:15" hidden="1">
      <c r="A540" s="408"/>
      <c r="B540" s="1630"/>
      <c r="C540" s="1620" t="s">
        <v>1142</v>
      </c>
      <c r="D540" s="1635" t="s">
        <v>1142</v>
      </c>
      <c r="E540" s="408"/>
      <c r="F540" s="1619"/>
      <c r="G540" s="1619">
        <f t="shared" si="58"/>
        <v>9.9096606580875794E-5</v>
      </c>
      <c r="H540" s="1619">
        <f t="shared" si="57"/>
        <v>1.0553465483086923E-4</v>
      </c>
      <c r="I540" s="1619">
        <f t="shared" si="57"/>
        <v>1.1002495921649584E-4</v>
      </c>
      <c r="J540" s="1619">
        <f t="shared" si="57"/>
        <v>1.1408933569151556E-4</v>
      </c>
      <c r="K540" s="1619">
        <f t="shared" si="57"/>
        <v>1.1831488721257328E-4</v>
      </c>
      <c r="L540" s="1619">
        <f t="shared" si="57"/>
        <v>1.2268187475393026E-4</v>
      </c>
      <c r="M540" s="1619">
        <f t="shared" si="57"/>
        <v>1.2687715822614121E-4</v>
      </c>
      <c r="N540" s="1619">
        <f t="shared" si="57"/>
        <v>1.3120810925502531E-4</v>
      </c>
      <c r="O540" s="408"/>
    </row>
    <row r="541" spans="1:15" hidden="1">
      <c r="A541" s="408"/>
      <c r="B541" s="1630"/>
      <c r="C541" s="1620"/>
      <c r="D541" s="1635"/>
      <c r="E541" s="408"/>
      <c r="F541" s="1636"/>
      <c r="G541" s="1636"/>
      <c r="H541" s="1636"/>
      <c r="I541" s="1636"/>
      <c r="J541" s="1636"/>
      <c r="K541" s="1636"/>
      <c r="L541" s="1636"/>
      <c r="M541" s="1636"/>
      <c r="N541" s="1636"/>
      <c r="O541" s="408"/>
    </row>
    <row r="542" spans="1:15" hidden="1">
      <c r="A542" s="408"/>
      <c r="B542" s="408" t="s">
        <v>1225</v>
      </c>
      <c r="C542" s="408" t="s">
        <v>1226</v>
      </c>
      <c r="D542" s="408"/>
      <c r="E542" s="408"/>
      <c r="F542" s="1633"/>
      <c r="G542" s="1633"/>
      <c r="H542" s="1633"/>
      <c r="I542" s="1633"/>
      <c r="J542" s="1633"/>
      <c r="K542" s="1633"/>
      <c r="L542" s="1633"/>
      <c r="M542" s="1633"/>
      <c r="N542" s="1633"/>
      <c r="O542" s="408"/>
    </row>
    <row r="543" spans="1:15" hidden="1">
      <c r="A543" s="408"/>
      <c r="B543" s="1630"/>
      <c r="C543" s="408"/>
      <c r="D543" s="408"/>
      <c r="E543" s="408"/>
      <c r="F543" s="408"/>
      <c r="G543" s="408"/>
      <c r="H543" s="408"/>
      <c r="I543" s="408"/>
      <c r="J543" s="408"/>
      <c r="K543" s="408"/>
      <c r="L543" s="408"/>
      <c r="M543" s="408"/>
      <c r="N543" s="408"/>
      <c r="O543" s="408"/>
    </row>
    <row r="544" spans="1:15" hidden="1">
      <c r="A544" s="408"/>
      <c r="B544" s="1631"/>
      <c r="C544" s="1632" t="s">
        <v>1216</v>
      </c>
      <c r="D544" s="38"/>
      <c r="E544" s="408"/>
      <c r="F544" s="1633"/>
      <c r="G544" s="1633"/>
      <c r="H544" s="1633"/>
      <c r="I544" s="1633"/>
      <c r="J544" s="1633"/>
      <c r="K544" s="1633"/>
      <c r="L544" s="1633"/>
      <c r="M544" s="1633"/>
      <c r="N544" s="1620" t="s">
        <v>1227</v>
      </c>
      <c r="O544" s="408"/>
    </row>
    <row r="545" spans="1:15" hidden="1">
      <c r="A545" s="408"/>
      <c r="B545" s="1630"/>
      <c r="C545" s="1631" t="s">
        <v>1010</v>
      </c>
      <c r="D545" s="39" t="s">
        <v>45</v>
      </c>
      <c r="E545" s="408"/>
      <c r="F545" s="1629">
        <v>2013</v>
      </c>
      <c r="G545" s="1629">
        <v>2015</v>
      </c>
      <c r="H545" s="1629">
        <v>2020</v>
      </c>
      <c r="I545" s="1629">
        <v>2025</v>
      </c>
      <c r="J545" s="1629">
        <v>2030</v>
      </c>
      <c r="K545" s="1629">
        <v>2035</v>
      </c>
      <c r="L545" s="1629">
        <v>2040</v>
      </c>
      <c r="M545" s="1629">
        <v>2045</v>
      </c>
      <c r="N545" s="1629">
        <v>2050</v>
      </c>
      <c r="O545" s="408"/>
    </row>
    <row r="546" spans="1:15" hidden="1">
      <c r="A546" s="363"/>
      <c r="B546" s="988"/>
      <c r="C546" s="382" t="s">
        <v>1134</v>
      </c>
      <c r="D546" s="1334" t="s">
        <v>1134</v>
      </c>
      <c r="E546" s="363"/>
      <c r="F546" s="1619"/>
      <c r="G546" s="1619">
        <f>MAX(((G512-F512)/(G$511-F$511))+G529,0)</f>
        <v>522.74593479914847</v>
      </c>
      <c r="H546" s="1619">
        <f t="shared" ref="H546:N557" si="59">MAX(((H512-G512)/(H$511-G$511))+H529,0)</f>
        <v>481.19672502573786</v>
      </c>
      <c r="I546" s="1619">
        <f t="shared" si="59"/>
        <v>519.76349180158104</v>
      </c>
      <c r="J546" s="1619">
        <f t="shared" si="59"/>
        <v>562.45019306509607</v>
      </c>
      <c r="K546" s="1619">
        <f t="shared" si="59"/>
        <v>609.72055431796582</v>
      </c>
      <c r="L546" s="1619">
        <f t="shared" si="59"/>
        <v>660.59900977340385</v>
      </c>
      <c r="M546" s="1619">
        <f t="shared" si="59"/>
        <v>717.30717546685707</v>
      </c>
      <c r="N546" s="1619">
        <f t="shared" si="59"/>
        <v>755.06157482571291</v>
      </c>
      <c r="O546" s="363"/>
    </row>
    <row r="547" spans="1:15" hidden="1">
      <c r="A547" s="408"/>
      <c r="B547" s="1630"/>
      <c r="C547" s="1631" t="s">
        <v>1136</v>
      </c>
      <c r="D547" s="1635" t="s">
        <v>1148</v>
      </c>
      <c r="E547" s="408"/>
      <c r="F547" s="1637"/>
      <c r="G547" s="1619">
        <f t="shared" ref="G547:G557" si="60">MAX(((G513-F513)/(G$511-F$511))+G530,0)</f>
        <v>241.7526531932547</v>
      </c>
      <c r="H547" s="1619">
        <f t="shared" si="59"/>
        <v>204.24032381556577</v>
      </c>
      <c r="I547" s="1619">
        <f t="shared" si="59"/>
        <v>211.05615386099956</v>
      </c>
      <c r="J547" s="1619">
        <f t="shared" si="59"/>
        <v>203.7427524037706</v>
      </c>
      <c r="K547" s="1619">
        <f t="shared" si="59"/>
        <v>204.67748692845154</v>
      </c>
      <c r="L547" s="1619">
        <f t="shared" si="59"/>
        <v>201.83076196491521</v>
      </c>
      <c r="M547" s="1619">
        <f t="shared" si="59"/>
        <v>200.4317177583047</v>
      </c>
      <c r="N547" s="1619">
        <f t="shared" si="59"/>
        <v>187.05307018411003</v>
      </c>
      <c r="O547" s="408"/>
    </row>
    <row r="548" spans="1:15" hidden="1">
      <c r="A548" s="408"/>
      <c r="B548" s="1630"/>
      <c r="C548" s="1631" t="s">
        <v>1136</v>
      </c>
      <c r="D548" s="1632" t="s">
        <v>1149</v>
      </c>
      <c r="E548" s="408"/>
      <c r="F548" s="1637"/>
      <c r="G548" s="1619">
        <f t="shared" si="60"/>
        <v>0</v>
      </c>
      <c r="H548" s="1619">
        <f t="shared" si="59"/>
        <v>1.6181295720379452</v>
      </c>
      <c r="I548" s="1619">
        <f t="shared" si="59"/>
        <v>2.4408286230333989</v>
      </c>
      <c r="J548" s="1619">
        <f t="shared" si="59"/>
        <v>17.498987458358727</v>
      </c>
      <c r="K548" s="1619">
        <f t="shared" si="59"/>
        <v>25.675603538311368</v>
      </c>
      <c r="L548" s="1619">
        <f t="shared" si="59"/>
        <v>36.356969720052184</v>
      </c>
      <c r="M548" s="1619">
        <f t="shared" si="59"/>
        <v>46.822132685345181</v>
      </c>
      <c r="N548" s="1619">
        <f t="shared" si="59"/>
        <v>51.757402915020776</v>
      </c>
      <c r="O548" s="408"/>
    </row>
    <row r="549" spans="1:15" hidden="1">
      <c r="A549" s="408"/>
      <c r="B549" s="1630"/>
      <c r="C549" s="1631" t="s">
        <v>1136</v>
      </c>
      <c r="D549" s="1635" t="s">
        <v>1150</v>
      </c>
      <c r="E549" s="408"/>
      <c r="F549" s="1637"/>
      <c r="G549" s="1619">
        <f t="shared" si="60"/>
        <v>1.9359571827287661E-2</v>
      </c>
      <c r="H549" s="1619">
        <f t="shared" si="59"/>
        <v>0.16440992516938022</v>
      </c>
      <c r="I549" s="1619">
        <f t="shared" si="59"/>
        <v>0.27895184263238842</v>
      </c>
      <c r="J549" s="1619">
        <f t="shared" si="59"/>
        <v>1.9998842809552835</v>
      </c>
      <c r="K549" s="1619">
        <f t="shared" si="59"/>
        <v>2.9343546900927282</v>
      </c>
      <c r="L549" s="1619">
        <f t="shared" si="59"/>
        <v>4.1550822537202494</v>
      </c>
      <c r="M549" s="1619">
        <f t="shared" si="59"/>
        <v>5.3511008783251635</v>
      </c>
      <c r="N549" s="1619">
        <f t="shared" si="59"/>
        <v>5.0849378302476529</v>
      </c>
      <c r="O549" s="408"/>
    </row>
    <row r="550" spans="1:15" hidden="1">
      <c r="A550" s="408"/>
      <c r="B550" s="1630"/>
      <c r="C550" s="1631" t="s">
        <v>1136</v>
      </c>
      <c r="D550" s="1635" t="s">
        <v>1151</v>
      </c>
      <c r="E550" s="408"/>
      <c r="F550" s="1637"/>
      <c r="G550" s="1619">
        <f t="shared" si="60"/>
        <v>4.8398929568219153E-3</v>
      </c>
      <c r="H550" s="1619">
        <f t="shared" si="59"/>
        <v>4.1102481292345054E-2</v>
      </c>
      <c r="I550" s="1619">
        <f t="shared" si="59"/>
        <v>6.9737960658097106E-2</v>
      </c>
      <c r="J550" s="1619">
        <f t="shared" si="59"/>
        <v>0.49997107023882087</v>
      </c>
      <c r="K550" s="1619">
        <f t="shared" si="59"/>
        <v>0.73358867252318205</v>
      </c>
      <c r="L550" s="1619">
        <f t="shared" si="59"/>
        <v>1.0387705634300624</v>
      </c>
      <c r="M550" s="1619">
        <f t="shared" si="59"/>
        <v>1.3377752195812909</v>
      </c>
      <c r="N550" s="1619">
        <f t="shared" si="59"/>
        <v>1.2712344575619132</v>
      </c>
      <c r="O550" s="408"/>
    </row>
    <row r="551" spans="1:15" hidden="1">
      <c r="A551" s="408"/>
      <c r="B551" s="1630"/>
      <c r="C551" s="1631" t="s">
        <v>1138</v>
      </c>
      <c r="D551" s="1635" t="s">
        <v>1148</v>
      </c>
      <c r="E551" s="408"/>
      <c r="F551" s="1637"/>
      <c r="G551" s="1619">
        <f t="shared" si="60"/>
        <v>1.5136106872533244</v>
      </c>
      <c r="H551" s="1619">
        <f t="shared" si="59"/>
        <v>1.2221854643154457</v>
      </c>
      <c r="I551" s="1619">
        <f t="shared" si="59"/>
        <v>1.0442727556925304</v>
      </c>
      <c r="J551" s="1619">
        <f t="shared" si="59"/>
        <v>1.0779607336432413</v>
      </c>
      <c r="K551" s="1619">
        <f t="shared" si="59"/>
        <v>0.83669266717327939</v>
      </c>
      <c r="L551" s="1619">
        <f t="shared" si="59"/>
        <v>0.90026776061027936</v>
      </c>
      <c r="M551" s="1619">
        <f t="shared" si="59"/>
        <v>0.87756061922909734</v>
      </c>
      <c r="N551" s="1619">
        <f t="shared" si="59"/>
        <v>0.74449672624933783</v>
      </c>
      <c r="O551" s="408"/>
    </row>
    <row r="552" spans="1:15" hidden="1">
      <c r="A552" s="408"/>
      <c r="B552" s="1630"/>
      <c r="C552" s="1631" t="s">
        <v>1138</v>
      </c>
      <c r="D552" s="1632" t="s">
        <v>1152</v>
      </c>
      <c r="E552" s="408"/>
      <c r="F552" s="1637"/>
      <c r="G552" s="1619">
        <f t="shared" si="60"/>
        <v>0</v>
      </c>
      <c r="H552" s="1619">
        <f t="shared" si="59"/>
        <v>0</v>
      </c>
      <c r="I552" s="1619">
        <f t="shared" si="59"/>
        <v>0.21090524933579088</v>
      </c>
      <c r="J552" s="1619">
        <f t="shared" si="59"/>
        <v>0.22392415526198522</v>
      </c>
      <c r="K552" s="1619">
        <f t="shared" si="59"/>
        <v>0.52806550545641096</v>
      </c>
      <c r="L552" s="1619">
        <f t="shared" si="59"/>
        <v>0.47298667480747569</v>
      </c>
      <c r="M552" s="1619">
        <f t="shared" si="59"/>
        <v>0.55876894025459967</v>
      </c>
      <c r="N552" s="1619">
        <f t="shared" si="59"/>
        <v>0.59963989716010047</v>
      </c>
      <c r="O552" s="408"/>
    </row>
    <row r="553" spans="1:15" hidden="1">
      <c r="A553" s="408"/>
      <c r="B553" s="1630"/>
      <c r="C553" s="1631" t="s">
        <v>1138</v>
      </c>
      <c r="D553" s="1635" t="s">
        <v>1150</v>
      </c>
      <c r="E553" s="408"/>
      <c r="F553" s="1637"/>
      <c r="G553" s="1619">
        <f t="shared" si="60"/>
        <v>0</v>
      </c>
      <c r="H553" s="1619">
        <f t="shared" si="59"/>
        <v>5.4237827613636633E-3</v>
      </c>
      <c r="I553" s="1619">
        <f t="shared" si="59"/>
        <v>7.6324247903330738E-3</v>
      </c>
      <c r="J553" s="1619">
        <f t="shared" si="59"/>
        <v>4.1660316444967248E-3</v>
      </c>
      <c r="K553" s="1619">
        <f t="shared" si="59"/>
        <v>4.3188444148775929E-3</v>
      </c>
      <c r="L553" s="1619">
        <f t="shared" si="59"/>
        <v>4.4454322678145032E-3</v>
      </c>
      <c r="M553" s="1619">
        <f t="shared" si="59"/>
        <v>4.5966815868711272E-3</v>
      </c>
      <c r="N553" s="1619">
        <f t="shared" si="59"/>
        <v>4.3120172380052158E-3</v>
      </c>
      <c r="O553" s="408"/>
    </row>
    <row r="554" spans="1:15" hidden="1">
      <c r="A554" s="408"/>
      <c r="B554" s="1630"/>
      <c r="C554" s="1631" t="s">
        <v>1138</v>
      </c>
      <c r="D554" s="1632" t="s">
        <v>1151</v>
      </c>
      <c r="E554" s="408"/>
      <c r="F554" s="1637"/>
      <c r="G554" s="1619">
        <f t="shared" si="60"/>
        <v>0</v>
      </c>
      <c r="H554" s="1619">
        <f t="shared" si="59"/>
        <v>1.3559456903409158E-3</v>
      </c>
      <c r="I554" s="1619">
        <f t="shared" si="59"/>
        <v>1.9081061975832684E-3</v>
      </c>
      <c r="J554" s="1619">
        <f t="shared" si="59"/>
        <v>1.0415079111241812E-3</v>
      </c>
      <c r="K554" s="1619">
        <f t="shared" si="59"/>
        <v>1.0797111037193982E-3</v>
      </c>
      <c r="L554" s="1619">
        <f t="shared" si="59"/>
        <v>1.1113580669536258E-3</v>
      </c>
      <c r="M554" s="1619">
        <f t="shared" si="59"/>
        <v>1.1491703967177818E-3</v>
      </c>
      <c r="N554" s="1619">
        <f t="shared" si="59"/>
        <v>1.078004309501304E-3</v>
      </c>
      <c r="O554" s="408"/>
    </row>
    <row r="555" spans="1:15" hidden="1">
      <c r="A555" s="408"/>
      <c r="B555" s="1630"/>
      <c r="C555" s="1631" t="s">
        <v>1140</v>
      </c>
      <c r="D555" s="1635" t="s">
        <v>1153</v>
      </c>
      <c r="E555" s="408"/>
      <c r="F555" s="1637"/>
      <c r="G555" s="1619">
        <f t="shared" si="60"/>
        <v>9.7552107209839978E-2</v>
      </c>
      <c r="H555" s="1619">
        <f t="shared" si="59"/>
        <v>6.0561679409349978E-2</v>
      </c>
      <c r="I555" s="1619">
        <f t="shared" si="59"/>
        <v>6.102529065783803E-2</v>
      </c>
      <c r="J555" s="1619">
        <f t="shared" si="59"/>
        <v>6.3317390099494761E-2</v>
      </c>
      <c r="K555" s="1619">
        <f t="shared" si="59"/>
        <v>6.561088645294938E-2</v>
      </c>
      <c r="L555" s="1619">
        <f t="shared" si="59"/>
        <v>6.6892424234200484E-2</v>
      </c>
      <c r="M555" s="1619">
        <f t="shared" si="59"/>
        <v>6.9153204895342976E-2</v>
      </c>
      <c r="N555" s="1619">
        <f t="shared" si="59"/>
        <v>5.617380827878652E-2</v>
      </c>
      <c r="O555" s="408"/>
    </row>
    <row r="556" spans="1:15" hidden="1">
      <c r="A556" s="408"/>
      <c r="B556" s="1630"/>
      <c r="C556" s="1620" t="s">
        <v>1140</v>
      </c>
      <c r="D556" s="1635" t="s">
        <v>1154</v>
      </c>
      <c r="E556" s="408"/>
      <c r="F556" s="1637"/>
      <c r="G556" s="1619">
        <f t="shared" si="60"/>
        <v>2.4388026802459994E-2</v>
      </c>
      <c r="H556" s="1619">
        <f t="shared" si="59"/>
        <v>1.5140419852337494E-2</v>
      </c>
      <c r="I556" s="1619">
        <f t="shared" si="59"/>
        <v>1.5256322664459507E-2</v>
      </c>
      <c r="J556" s="1619">
        <f t="shared" si="59"/>
        <v>1.582934752487369E-2</v>
      </c>
      <c r="K556" s="1619">
        <f t="shared" si="59"/>
        <v>1.6402721613237345E-2</v>
      </c>
      <c r="L556" s="1619">
        <f t="shared" si="59"/>
        <v>1.6723106058550121E-2</v>
      </c>
      <c r="M556" s="1619">
        <f t="shared" si="59"/>
        <v>1.7288301223835744E-2</v>
      </c>
      <c r="N556" s="1619">
        <f t="shared" si="59"/>
        <v>1.404345206969663E-2</v>
      </c>
      <c r="O556" s="408"/>
    </row>
    <row r="557" spans="1:15" hidden="1">
      <c r="A557" s="408"/>
      <c r="B557" s="1630"/>
      <c r="C557" s="1620" t="s">
        <v>1142</v>
      </c>
      <c r="D557" s="1635" t="s">
        <v>1142</v>
      </c>
      <c r="E557" s="408"/>
      <c r="F557" s="1637"/>
      <c r="G557" s="1619">
        <f t="shared" si="60"/>
        <v>1.956673303307772E-4</v>
      </c>
      <c r="H557" s="1619">
        <f t="shared" si="59"/>
        <v>1.3247648114462894E-4</v>
      </c>
      <c r="I557" s="1619">
        <f t="shared" si="59"/>
        <v>1.3441121806661411E-4</v>
      </c>
      <c r="J557" s="1619">
        <f t="shared" si="59"/>
        <v>1.3944264481786188E-4</v>
      </c>
      <c r="K557" s="1619">
        <f t="shared" si="59"/>
        <v>1.4451681246071518E-4</v>
      </c>
      <c r="L557" s="1619">
        <f t="shared" si="59"/>
        <v>1.4785357558719594E-4</v>
      </c>
      <c r="M557" s="1619">
        <f t="shared" si="59"/>
        <v>1.5286286439944574E-4</v>
      </c>
      <c r="N557" s="1619">
        <f t="shared" si="59"/>
        <v>1.3120810925502531E-4</v>
      </c>
      <c r="O557" s="408"/>
    </row>
    <row r="558" spans="1:15">
      <c r="A558" s="408"/>
      <c r="B558" s="1630">
        <v>3</v>
      </c>
      <c r="C558" s="1638" t="s">
        <v>2795</v>
      </c>
      <c r="D558" s="1635"/>
      <c r="E558" s="408"/>
      <c r="F558" s="1637"/>
      <c r="G558" s="1619"/>
      <c r="H558" s="1619"/>
      <c r="I558" s="1619"/>
      <c r="J558" s="1619"/>
      <c r="K558" s="1619"/>
      <c r="L558" s="1619"/>
      <c r="M558" s="1619"/>
      <c r="N558" s="1619"/>
      <c r="O558" s="408"/>
    </row>
    <row r="559" spans="1:15" hidden="1">
      <c r="A559" s="363"/>
      <c r="B559" s="363" t="s">
        <v>1177</v>
      </c>
      <c r="C559" s="363" t="s">
        <v>1228</v>
      </c>
      <c r="D559" s="363"/>
      <c r="E559" s="363"/>
      <c r="F559" s="1327"/>
      <c r="G559" s="1327"/>
      <c r="H559" s="1327"/>
      <c r="I559" s="1327"/>
      <c r="J559" s="1327"/>
      <c r="K559" s="1327"/>
      <c r="L559" s="1327"/>
      <c r="M559" s="1327"/>
      <c r="N559" s="1327"/>
      <c r="O559" s="363"/>
    </row>
    <row r="560" spans="1:15" hidden="1">
      <c r="A560" s="363"/>
      <c r="B560" s="988"/>
      <c r="C560" s="363"/>
      <c r="D560" s="363"/>
      <c r="E560" s="363"/>
      <c r="F560" s="1327"/>
      <c r="G560" s="1327"/>
      <c r="H560" s="1327"/>
      <c r="I560" s="1327"/>
      <c r="J560" s="1327"/>
      <c r="K560" s="1327"/>
      <c r="L560" s="1327"/>
      <c r="M560" s="1327"/>
      <c r="N560" s="1327"/>
      <c r="O560" s="363"/>
    </row>
    <row r="561" spans="1:15" hidden="1">
      <c r="A561" s="363"/>
      <c r="B561" s="367"/>
      <c r="C561" s="1334" t="s">
        <v>1216</v>
      </c>
      <c r="D561" s="2"/>
      <c r="E561" s="363"/>
      <c r="F561" s="1327"/>
      <c r="G561" s="1327"/>
      <c r="H561" s="1327"/>
      <c r="I561" s="1327"/>
      <c r="J561" s="1327"/>
      <c r="K561" s="1327"/>
      <c r="L561" s="1327"/>
      <c r="M561" s="1327"/>
      <c r="N561" s="382" t="s">
        <v>2843</v>
      </c>
      <c r="O561" s="363"/>
    </row>
    <row r="562" spans="1:15" hidden="1">
      <c r="A562" s="363"/>
      <c r="B562" s="988"/>
      <c r="C562" s="367" t="s">
        <v>1010</v>
      </c>
      <c r="D562" t="s">
        <v>45</v>
      </c>
      <c r="E562" s="363"/>
      <c r="F562" s="1629">
        <v>2013</v>
      </c>
      <c r="G562" s="1629">
        <v>2015</v>
      </c>
      <c r="H562" s="1629">
        <v>2020</v>
      </c>
      <c r="I562" s="1629">
        <v>2025</v>
      </c>
      <c r="J562" s="1629">
        <v>2030</v>
      </c>
      <c r="K562" s="1629">
        <v>2035</v>
      </c>
      <c r="L562" s="1629">
        <v>2040</v>
      </c>
      <c r="M562" s="1629">
        <v>2045</v>
      </c>
      <c r="N562" s="1629">
        <v>2050</v>
      </c>
      <c r="O562" s="363"/>
    </row>
    <row r="563" spans="1:15" hidden="1">
      <c r="A563" s="363"/>
      <c r="B563" s="988"/>
      <c r="C563" s="382" t="s">
        <v>1134</v>
      </c>
      <c r="D563" s="1334" t="s">
        <v>1134</v>
      </c>
      <c r="E563" s="363"/>
      <c r="F563" s="1629"/>
      <c r="G563" s="1636">
        <f t="shared" ref="G563:N574" si="61">G546*G343</f>
        <v>261.37296739957424</v>
      </c>
      <c r="H563" s="1636">
        <f t="shared" si="61"/>
        <v>240.59836251286893</v>
      </c>
      <c r="I563" s="1636">
        <f t="shared" si="61"/>
        <v>259.88174590079052</v>
      </c>
      <c r="J563" s="1636">
        <f t="shared" si="61"/>
        <v>281.22509653254804</v>
      </c>
      <c r="K563" s="1636">
        <f t="shared" si="61"/>
        <v>304.86027715898291</v>
      </c>
      <c r="L563" s="1636">
        <f t="shared" si="61"/>
        <v>330.29950488670192</v>
      </c>
      <c r="M563" s="1636">
        <f t="shared" si="61"/>
        <v>358.65358773342854</v>
      </c>
      <c r="N563" s="1636">
        <f t="shared" si="61"/>
        <v>377.53078741285645</v>
      </c>
      <c r="O563" s="363"/>
    </row>
    <row r="564" spans="1:15" hidden="1">
      <c r="A564" s="363"/>
      <c r="B564" s="988"/>
      <c r="C564" s="367" t="s">
        <v>1136</v>
      </c>
      <c r="D564" s="420" t="s">
        <v>1148</v>
      </c>
      <c r="E564" s="363"/>
      <c r="F564" s="1619"/>
      <c r="G564" s="1636">
        <f t="shared" si="61"/>
        <v>4835.0530638650944</v>
      </c>
      <c r="H564" s="1636">
        <f t="shared" si="61"/>
        <v>4084.8064763113152</v>
      </c>
      <c r="I564" s="1636">
        <f t="shared" si="61"/>
        <v>4221.1230772199915</v>
      </c>
      <c r="J564" s="1636">
        <f t="shared" si="61"/>
        <v>4074.855048075412</v>
      </c>
      <c r="K564" s="1636">
        <f t="shared" si="61"/>
        <v>4093.549738569031</v>
      </c>
      <c r="L564" s="1636">
        <f t="shared" si="61"/>
        <v>4036.615239298304</v>
      </c>
      <c r="M564" s="1636">
        <f t="shared" si="61"/>
        <v>4008.6343551660939</v>
      </c>
      <c r="N564" s="1636">
        <f t="shared" si="61"/>
        <v>3741.0614036822008</v>
      </c>
      <c r="O564" s="363"/>
    </row>
    <row r="565" spans="1:15" hidden="1">
      <c r="A565" s="363"/>
      <c r="B565" s="988"/>
      <c r="C565" s="367" t="s">
        <v>1136</v>
      </c>
      <c r="D565" s="1334" t="s">
        <v>1149</v>
      </c>
      <c r="E565" s="363"/>
      <c r="F565" s="1619"/>
      <c r="G565" s="1636">
        <f t="shared" si="61"/>
        <v>0</v>
      </c>
      <c r="H565" s="1636">
        <f t="shared" si="61"/>
        <v>67.961442025593684</v>
      </c>
      <c r="I565" s="1636">
        <f t="shared" si="61"/>
        <v>102.51480216740273</v>
      </c>
      <c r="J565" s="1636">
        <f t="shared" si="61"/>
        <v>734.9574732510664</v>
      </c>
      <c r="K565" s="1636">
        <f t="shared" si="61"/>
        <v>1078.3753486090773</v>
      </c>
      <c r="L565" s="1636">
        <f t="shared" si="61"/>
        <v>1526.9927282421916</v>
      </c>
      <c r="M565" s="1636">
        <f t="shared" si="61"/>
        <v>1966.5295727844973</v>
      </c>
      <c r="N565" s="1636">
        <f t="shared" si="61"/>
        <v>2173.8109224308723</v>
      </c>
      <c r="O565" s="363"/>
    </row>
    <row r="566" spans="1:15" hidden="1">
      <c r="A566" s="363"/>
      <c r="B566" s="988"/>
      <c r="C566" s="367" t="s">
        <v>1136</v>
      </c>
      <c r="D566" s="420" t="s">
        <v>1150</v>
      </c>
      <c r="E566" s="363"/>
      <c r="F566" s="1619"/>
      <c r="G566" s="1636">
        <f t="shared" si="61"/>
        <v>1.1507329494139786</v>
      </c>
      <c r="H566" s="1636">
        <f t="shared" si="61"/>
        <v>9.7725259520679604</v>
      </c>
      <c r="I566" s="1636">
        <f t="shared" si="61"/>
        <v>16.580897526069169</v>
      </c>
      <c r="J566" s="1636">
        <f t="shared" si="61"/>
        <v>118.87312165998205</v>
      </c>
      <c r="K566" s="1636">
        <f t="shared" si="61"/>
        <v>174.41804277911174</v>
      </c>
      <c r="L566" s="1636">
        <f t="shared" si="61"/>
        <v>246.97808916113161</v>
      </c>
      <c r="M566" s="1636">
        <f t="shared" si="61"/>
        <v>318.0694362076477</v>
      </c>
      <c r="N566" s="1636">
        <f t="shared" si="61"/>
        <v>302.2487046299205</v>
      </c>
      <c r="O566" s="363"/>
    </row>
    <row r="567" spans="1:15" hidden="1">
      <c r="A567" s="363"/>
      <c r="B567" s="988"/>
      <c r="C567" s="367" t="s">
        <v>1136</v>
      </c>
      <c r="D567" s="420" t="s">
        <v>1151</v>
      </c>
      <c r="E567" s="363"/>
      <c r="F567" s="1619"/>
      <c r="G567" s="1636">
        <f t="shared" si="61"/>
        <v>0.72598394352328732</v>
      </c>
      <c r="H567" s="1636">
        <f t="shared" si="61"/>
        <v>6.1653721938517583</v>
      </c>
      <c r="I567" s="1636">
        <f t="shared" si="61"/>
        <v>10.460694098714566</v>
      </c>
      <c r="J567" s="1636">
        <f t="shared" si="61"/>
        <v>74.995660535823134</v>
      </c>
      <c r="K567" s="1636">
        <f t="shared" si="61"/>
        <v>110.0383008784773</v>
      </c>
      <c r="L567" s="1636">
        <f t="shared" si="61"/>
        <v>155.81558451450934</v>
      </c>
      <c r="M567" s="1636">
        <f t="shared" si="61"/>
        <v>200.66628293719364</v>
      </c>
      <c r="N567" s="1636">
        <f t="shared" si="61"/>
        <v>190.68516863428698</v>
      </c>
      <c r="O567" s="363"/>
    </row>
    <row r="568" spans="1:15" hidden="1">
      <c r="A568" s="363"/>
      <c r="B568" s="988"/>
      <c r="C568" s="367" t="s">
        <v>1138</v>
      </c>
      <c r="D568" s="420" t="s">
        <v>1148</v>
      </c>
      <c r="E568" s="363"/>
      <c r="F568" s="1619"/>
      <c r="G568" s="1636">
        <f t="shared" si="61"/>
        <v>356.74237151292937</v>
      </c>
      <c r="H568" s="1636">
        <f t="shared" si="61"/>
        <v>288.0564630259849</v>
      </c>
      <c r="I568" s="1636">
        <f t="shared" si="61"/>
        <v>246.12427918840794</v>
      </c>
      <c r="J568" s="1636">
        <f t="shared" si="61"/>
        <v>254.064186885162</v>
      </c>
      <c r="K568" s="1636">
        <f t="shared" si="61"/>
        <v>197.19980099804772</v>
      </c>
      <c r="L568" s="1636">
        <f t="shared" si="61"/>
        <v>212.18379245164112</v>
      </c>
      <c r="M568" s="1636">
        <f t="shared" si="61"/>
        <v>206.83195427104394</v>
      </c>
      <c r="N568" s="1636">
        <f t="shared" si="61"/>
        <v>175.47017204784711</v>
      </c>
      <c r="O568" s="363"/>
    </row>
    <row r="569" spans="1:15" hidden="1">
      <c r="A569" s="363"/>
      <c r="B569" s="988"/>
      <c r="C569" s="367" t="s">
        <v>1138</v>
      </c>
      <c r="D569" s="1334" t="s">
        <v>1152</v>
      </c>
      <c r="E569" s="363"/>
      <c r="F569" s="1619"/>
      <c r="G569" s="1636">
        <f t="shared" si="61"/>
        <v>0</v>
      </c>
      <c r="H569" s="1636">
        <f t="shared" si="61"/>
        <v>0</v>
      </c>
      <c r="I569" s="1636">
        <f t="shared" si="61"/>
        <v>57.364849254906808</v>
      </c>
      <c r="J569" s="1636">
        <f t="shared" si="61"/>
        <v>60.90590656984778</v>
      </c>
      <c r="K569" s="1636">
        <f t="shared" si="61"/>
        <v>143.63036582836978</v>
      </c>
      <c r="L569" s="1636">
        <f t="shared" si="61"/>
        <v>128.64928391000461</v>
      </c>
      <c r="M569" s="1636">
        <f t="shared" si="61"/>
        <v>151.98149940305723</v>
      </c>
      <c r="N569" s="1636">
        <f t="shared" si="61"/>
        <v>163.09813253178027</v>
      </c>
      <c r="O569" s="363"/>
    </row>
    <row r="570" spans="1:15" hidden="1">
      <c r="A570" s="363"/>
      <c r="B570" s="988"/>
      <c r="C570" s="367" t="s">
        <v>1138</v>
      </c>
      <c r="D570" s="420" t="s">
        <v>1150</v>
      </c>
      <c r="E570" s="363"/>
      <c r="F570" s="1619"/>
      <c r="G570" s="1636">
        <f t="shared" si="61"/>
        <v>0</v>
      </c>
      <c r="H570" s="1636">
        <f t="shared" si="61"/>
        <v>2.3953987531852072</v>
      </c>
      <c r="I570" s="1636">
        <f t="shared" si="61"/>
        <v>3.3708394364133829</v>
      </c>
      <c r="J570" s="1636">
        <f t="shared" si="61"/>
        <v>1.8399164284464349</v>
      </c>
      <c r="K570" s="1636">
        <f t="shared" si="61"/>
        <v>1.9074057685890102</v>
      </c>
      <c r="L570" s="1636">
        <f t="shared" si="61"/>
        <v>1.96331294600281</v>
      </c>
      <c r="M570" s="1636">
        <f t="shared" si="61"/>
        <v>2.0301117921640559</v>
      </c>
      <c r="N570" s="1636">
        <f t="shared" si="61"/>
        <v>1.9043905646829167</v>
      </c>
      <c r="O570" s="363"/>
    </row>
    <row r="571" spans="1:15" hidden="1">
      <c r="A571" s="363"/>
      <c r="B571" s="988"/>
      <c r="C571" s="367" t="s">
        <v>1138</v>
      </c>
      <c r="D571" s="1334" t="s">
        <v>1151</v>
      </c>
      <c r="E571" s="363"/>
      <c r="F571" s="1619"/>
      <c r="G571" s="1636">
        <f t="shared" si="61"/>
        <v>0</v>
      </c>
      <c r="H571" s="1636">
        <f t="shared" si="61"/>
        <v>1.4276284119282019</v>
      </c>
      <c r="I571" s="1636">
        <f t="shared" si="61"/>
        <v>2.0089791501614411</v>
      </c>
      <c r="J571" s="1636">
        <f t="shared" si="61"/>
        <v>1.0965677281625021</v>
      </c>
      <c r="K571" s="1636">
        <f t="shared" si="61"/>
        <v>1.1367905509228919</v>
      </c>
      <c r="L571" s="1636">
        <f t="shared" si="61"/>
        <v>1.1701105461013648</v>
      </c>
      <c r="M571" s="1636">
        <f t="shared" si="61"/>
        <v>1.2099218428789926</v>
      </c>
      <c r="N571" s="1636">
        <f t="shared" si="61"/>
        <v>1.1349935262069142</v>
      </c>
      <c r="O571" s="363"/>
    </row>
    <row r="572" spans="1:15" hidden="1">
      <c r="A572" s="363"/>
      <c r="B572" s="988"/>
      <c r="C572" s="367" t="s">
        <v>1140</v>
      </c>
      <c r="D572" s="420" t="s">
        <v>1153</v>
      </c>
      <c r="E572" s="363"/>
      <c r="F572" s="1619"/>
      <c r="G572" s="1636">
        <f t="shared" si="61"/>
        <v>12.105923848419511</v>
      </c>
      <c r="H572" s="1636">
        <f t="shared" si="61"/>
        <v>7.5155227296621039</v>
      </c>
      <c r="I572" s="1636">
        <f t="shared" si="61"/>
        <v>7.5730554947657254</v>
      </c>
      <c r="J572" s="1636">
        <f t="shared" si="61"/>
        <v>7.857498159177001</v>
      </c>
      <c r="K572" s="1636">
        <f t="shared" si="61"/>
        <v>8.142114176151658</v>
      </c>
      <c r="L572" s="1636">
        <f t="shared" si="61"/>
        <v>8.3011491701915769</v>
      </c>
      <c r="M572" s="1636">
        <f t="shared" si="61"/>
        <v>8.5817052678973766</v>
      </c>
      <c r="N572" s="1636">
        <f t="shared" si="61"/>
        <v>6.9710010859725706</v>
      </c>
      <c r="O572" s="363"/>
    </row>
    <row r="573" spans="1:15" hidden="1">
      <c r="A573" s="363"/>
      <c r="B573" s="988"/>
      <c r="C573" s="382" t="s">
        <v>1140</v>
      </c>
      <c r="D573" s="420" t="s">
        <v>1154</v>
      </c>
      <c r="E573" s="363"/>
      <c r="F573" s="1619"/>
      <c r="G573" s="1636">
        <f t="shared" si="61"/>
        <v>8.1308705838329516</v>
      </c>
      <c r="H573" s="1636">
        <f t="shared" si="61"/>
        <v>5.0477554170899106</v>
      </c>
      <c r="I573" s="1636">
        <f t="shared" si="61"/>
        <v>5.0863969510401414</v>
      </c>
      <c r="J573" s="1636">
        <f t="shared" si="61"/>
        <v>5.2774411474027882</v>
      </c>
      <c r="K573" s="1636">
        <f t="shared" si="61"/>
        <v>5.4686017749668769</v>
      </c>
      <c r="L573" s="1636">
        <f t="shared" si="61"/>
        <v>5.5754166674963752</v>
      </c>
      <c r="M573" s="1636">
        <f t="shared" si="61"/>
        <v>5.7638504748219406</v>
      </c>
      <c r="N573" s="1636">
        <f t="shared" si="61"/>
        <v>4.6820307462285768</v>
      </c>
      <c r="O573" s="363"/>
    </row>
    <row r="574" spans="1:15" hidden="1">
      <c r="A574" s="363"/>
      <c r="B574" s="988"/>
      <c r="C574" s="382" t="s">
        <v>1142</v>
      </c>
      <c r="D574" s="420" t="s">
        <v>1142</v>
      </c>
      <c r="E574" s="363"/>
      <c r="F574" s="1619"/>
      <c r="G574" s="1636">
        <f t="shared" si="61"/>
        <v>11.219095852490138</v>
      </c>
      <c r="H574" s="1636">
        <f t="shared" si="61"/>
        <v>7.595883981498849</v>
      </c>
      <c r="I574" s="1636">
        <f t="shared" si="61"/>
        <v>7.70681716048386</v>
      </c>
      <c r="J574" s="1636">
        <f t="shared" si="61"/>
        <v>7.9953071138225491</v>
      </c>
      <c r="K574" s="1636">
        <f t="shared" si="61"/>
        <v>8.2862477274678561</v>
      </c>
      <c r="L574" s="1636">
        <f t="shared" si="61"/>
        <v>8.4775697294073584</v>
      </c>
      <c r="M574" s="1636">
        <f t="shared" si="61"/>
        <v>8.7647903463720347</v>
      </c>
      <c r="N574" s="1636">
        <f t="shared" si="61"/>
        <v>7.5231585766905393</v>
      </c>
      <c r="O574" s="363"/>
    </row>
    <row r="575" spans="1:15" hidden="1">
      <c r="A575" s="363"/>
      <c r="B575" s="988"/>
      <c r="C575" s="382" t="s">
        <v>1229</v>
      </c>
      <c r="D575" s="1334" t="s">
        <v>1229</v>
      </c>
      <c r="E575" s="363"/>
      <c r="F575" s="1619"/>
      <c r="G575" s="1636">
        <f t="shared" ref="G575:N575" si="62">SUM(G563:G574)</f>
        <v>5486.5010099552783</v>
      </c>
      <c r="H575" s="1636">
        <f t="shared" si="62"/>
        <v>4721.3428313150462</v>
      </c>
      <c r="I575" s="1636">
        <f t="shared" si="62"/>
        <v>4939.796433549147</v>
      </c>
      <c r="J575" s="1636">
        <f t="shared" si="62"/>
        <v>5623.9432240868528</v>
      </c>
      <c r="K575" s="1636">
        <f t="shared" si="62"/>
        <v>6127.0130348191969</v>
      </c>
      <c r="L575" s="1636">
        <f t="shared" si="62"/>
        <v>6663.0217815236829</v>
      </c>
      <c r="M575" s="1636">
        <f t="shared" si="62"/>
        <v>7237.7170682270971</v>
      </c>
      <c r="N575" s="1636">
        <f t="shared" si="62"/>
        <v>7146.1208658695468</v>
      </c>
      <c r="O575" s="363"/>
    </row>
    <row r="576" spans="1:15" hidden="1">
      <c r="A576" s="363"/>
      <c r="B576" s="988"/>
      <c r="C576" s="382"/>
      <c r="D576" s="1334"/>
      <c r="E576" s="363"/>
      <c r="F576" s="1619"/>
      <c r="G576" s="1636"/>
      <c r="H576" s="1636"/>
      <c r="I576" s="1636"/>
      <c r="J576" s="1636"/>
      <c r="K576" s="1636"/>
      <c r="L576" s="1636"/>
      <c r="M576" s="1636"/>
      <c r="N576" s="1636"/>
      <c r="O576" s="363"/>
    </row>
    <row r="577" spans="1:15" hidden="1">
      <c r="A577" s="363"/>
      <c r="B577" s="988"/>
      <c r="C577" s="382"/>
      <c r="D577" s="1334"/>
      <c r="E577" s="363"/>
      <c r="F577" s="1619"/>
      <c r="G577" s="1636"/>
      <c r="H577" s="1636"/>
      <c r="I577" s="1636"/>
      <c r="J577" s="1636"/>
      <c r="K577" s="1636"/>
      <c r="L577" s="1636"/>
      <c r="M577" s="1636"/>
      <c r="N577" s="1636"/>
      <c r="O577" s="363"/>
    </row>
    <row r="578" spans="1:15" hidden="1">
      <c r="A578" s="363"/>
      <c r="B578" s="363" t="s">
        <v>1230</v>
      </c>
      <c r="C578" s="363" t="s">
        <v>1231</v>
      </c>
      <c r="D578" s="363"/>
      <c r="E578" s="363"/>
      <c r="F578" s="1327"/>
      <c r="G578" s="1327"/>
      <c r="H578" s="1327"/>
      <c r="I578" s="1327"/>
      <c r="J578" s="1327"/>
      <c r="K578" s="1327"/>
      <c r="L578" s="1327"/>
      <c r="M578" s="1327"/>
      <c r="N578" s="1327"/>
      <c r="O578" s="363"/>
    </row>
    <row r="579" spans="1:15" hidden="1">
      <c r="A579" s="363"/>
      <c r="B579" s="988"/>
      <c r="C579" s="363"/>
      <c r="D579" s="363"/>
      <c r="E579" s="363"/>
      <c r="F579" s="1327"/>
      <c r="G579" s="1327"/>
      <c r="H579" s="1327"/>
      <c r="I579" s="1327"/>
      <c r="J579" s="1327"/>
      <c r="K579" s="1327"/>
      <c r="L579" s="1327"/>
      <c r="M579" s="1327"/>
      <c r="N579" s="1327"/>
      <c r="O579" s="363"/>
    </row>
    <row r="580" spans="1:15" hidden="1">
      <c r="A580" s="363"/>
      <c r="B580" s="988"/>
      <c r="C580" s="1334" t="s">
        <v>1216</v>
      </c>
      <c r="D580" s="2"/>
      <c r="E580" s="363"/>
      <c r="F580" s="1327"/>
      <c r="G580" s="1327"/>
      <c r="H580" s="1327"/>
      <c r="I580" s="1327"/>
      <c r="J580" s="1327"/>
      <c r="K580" s="1327"/>
      <c r="L580" s="1327"/>
      <c r="M580" s="1327"/>
      <c r="N580" s="382" t="s">
        <v>2843</v>
      </c>
      <c r="O580" s="363"/>
    </row>
    <row r="581" spans="1:15" hidden="1">
      <c r="A581" s="363"/>
      <c r="B581" s="988"/>
      <c r="C581" s="367" t="s">
        <v>1010</v>
      </c>
      <c r="D581" t="s">
        <v>45</v>
      </c>
      <c r="E581" s="363"/>
      <c r="F581" s="1629">
        <v>2013</v>
      </c>
      <c r="G581" s="1629">
        <v>2015</v>
      </c>
      <c r="H581" s="1629">
        <v>2020</v>
      </c>
      <c r="I581" s="1629">
        <v>2025</v>
      </c>
      <c r="J581" s="1629">
        <v>2030</v>
      </c>
      <c r="K581" s="1629">
        <v>2035</v>
      </c>
      <c r="L581" s="1629">
        <v>2040</v>
      </c>
      <c r="M581" s="1629">
        <v>2045</v>
      </c>
      <c r="N581" s="1629">
        <v>2050</v>
      </c>
      <c r="O581" s="363"/>
    </row>
    <row r="582" spans="1:15" hidden="1">
      <c r="A582" s="363"/>
      <c r="B582" s="988"/>
      <c r="C582" s="382" t="s">
        <v>1134</v>
      </c>
      <c r="D582" s="1334" t="s">
        <v>1134</v>
      </c>
      <c r="E582" s="363"/>
      <c r="F582" s="1629"/>
      <c r="G582" s="1636">
        <f t="shared" ref="G582:N593" si="63">G546*G358</f>
        <v>244.38372451860192</v>
      </c>
      <c r="H582" s="1636">
        <f t="shared" si="63"/>
        <v>209.320575386196</v>
      </c>
      <c r="I582" s="1636">
        <f t="shared" si="63"/>
        <v>209.2048054501364</v>
      </c>
      <c r="J582" s="1636">
        <f t="shared" si="63"/>
        <v>208.10657143408559</v>
      </c>
      <c r="K582" s="1636">
        <f t="shared" si="63"/>
        <v>205.78068708231353</v>
      </c>
      <c r="L582" s="1636">
        <f t="shared" si="63"/>
        <v>201.48269798088828</v>
      </c>
      <c r="M582" s="1636">
        <f t="shared" si="63"/>
        <v>195.46620531471868</v>
      </c>
      <c r="N582" s="1636">
        <f t="shared" si="63"/>
        <v>181.21477795817108</v>
      </c>
      <c r="O582" s="363"/>
    </row>
    <row r="583" spans="1:15" hidden="1">
      <c r="A583" s="363"/>
      <c r="B583" s="988"/>
      <c r="C583" s="367" t="s">
        <v>1136</v>
      </c>
      <c r="D583" s="420" t="s">
        <v>1148</v>
      </c>
      <c r="E583" s="363"/>
      <c r="F583" s="1619"/>
      <c r="G583" s="1636">
        <f t="shared" si="63"/>
        <v>3880.7817780820083</v>
      </c>
      <c r="H583" s="1636">
        <f t="shared" si="63"/>
        <v>3225.9292674101562</v>
      </c>
      <c r="I583" s="1636">
        <f t="shared" si="63"/>
        <v>3279.1472775368948</v>
      </c>
      <c r="J583" s="1636">
        <f t="shared" si="63"/>
        <v>3112.9699081025433</v>
      </c>
      <c r="K583" s="1636">
        <f t="shared" si="63"/>
        <v>3074.4603884959765</v>
      </c>
      <c r="L583" s="1636">
        <f t="shared" si="63"/>
        <v>2979.6427169675776</v>
      </c>
      <c r="M583" s="1636">
        <f t="shared" si="63"/>
        <v>2907.2923515184721</v>
      </c>
      <c r="N583" s="1636">
        <f t="shared" si="63"/>
        <v>2664.9875519599473</v>
      </c>
      <c r="O583" s="363"/>
    </row>
    <row r="584" spans="1:15" hidden="1">
      <c r="A584" s="363"/>
      <c r="B584" s="988"/>
      <c r="C584" s="367" t="s">
        <v>1136</v>
      </c>
      <c r="D584" s="1334" t="s">
        <v>1149</v>
      </c>
      <c r="E584" s="363"/>
      <c r="F584" s="1619"/>
      <c r="G584" s="1636">
        <f t="shared" si="63"/>
        <v>0</v>
      </c>
      <c r="H584" s="1636">
        <f t="shared" si="63"/>
        <v>44.432503365710815</v>
      </c>
      <c r="I584" s="1636">
        <f t="shared" si="63"/>
        <v>62.640352161919289</v>
      </c>
      <c r="J584" s="1636">
        <f t="shared" si="63"/>
        <v>417.66487219042733</v>
      </c>
      <c r="K584" s="1636">
        <f t="shared" si="63"/>
        <v>566.7203964241545</v>
      </c>
      <c r="L584" s="1636">
        <f t="shared" si="63"/>
        <v>737.19991533259088</v>
      </c>
      <c r="M584" s="1636">
        <f t="shared" si="63"/>
        <v>865.32451769469139</v>
      </c>
      <c r="N584" s="1636">
        <f t="shared" si="63"/>
        <v>863.59736997753544</v>
      </c>
      <c r="O584" s="363"/>
    </row>
    <row r="585" spans="1:15" hidden="1">
      <c r="A585" s="363"/>
      <c r="B585" s="988"/>
      <c r="C585" s="367" t="s">
        <v>1136</v>
      </c>
      <c r="D585" s="420" t="s">
        <v>1150</v>
      </c>
      <c r="E585" s="363"/>
      <c r="F585" s="1619"/>
      <c r="G585" s="1636">
        <f t="shared" si="63"/>
        <v>0.68601622364328285</v>
      </c>
      <c r="H585" s="1636">
        <f t="shared" si="63"/>
        <v>5.5325603647939152</v>
      </c>
      <c r="I585" s="1636">
        <f t="shared" si="63"/>
        <v>8.8892239143781726</v>
      </c>
      <c r="J585" s="1636">
        <f t="shared" si="63"/>
        <v>60.160566936919572</v>
      </c>
      <c r="K585" s="1636">
        <f t="shared" si="63"/>
        <v>83.034989873539672</v>
      </c>
      <c r="L585" s="1636">
        <f t="shared" si="63"/>
        <v>110.16384537584611</v>
      </c>
      <c r="M585" s="1636">
        <f t="shared" si="63"/>
        <v>132.32492281590069</v>
      </c>
      <c r="N585" s="1636">
        <f t="shared" si="63"/>
        <v>116.66905765421799</v>
      </c>
      <c r="O585" s="363"/>
    </row>
    <row r="586" spans="1:15" hidden="1">
      <c r="A586" s="363"/>
      <c r="B586" s="988"/>
      <c r="C586" s="367" t="s">
        <v>1136</v>
      </c>
      <c r="D586" s="420" t="s">
        <v>1151</v>
      </c>
      <c r="E586" s="363"/>
      <c r="F586" s="1619"/>
      <c r="G586" s="1636">
        <f t="shared" si="63"/>
        <v>0.47643028370871227</v>
      </c>
      <c r="H586" s="1636">
        <f t="shared" si="63"/>
        <v>3.57083446515243</v>
      </c>
      <c r="I586" s="1636">
        <f t="shared" si="63"/>
        <v>5.2522837089377079</v>
      </c>
      <c r="J586" s="1636">
        <f t="shared" si="63"/>
        <v>31.874527898327102</v>
      </c>
      <c r="K586" s="1636">
        <f t="shared" si="63"/>
        <v>38.286675514943241</v>
      </c>
      <c r="L586" s="1636">
        <f t="shared" si="63"/>
        <v>42.204330498063293</v>
      </c>
      <c r="M586" s="1636">
        <f t="shared" si="63"/>
        <v>38.885517486239024</v>
      </c>
      <c r="N586" s="1636">
        <f t="shared" si="63"/>
        <v>22.253580813271039</v>
      </c>
      <c r="O586" s="363"/>
    </row>
    <row r="587" spans="1:15" hidden="1">
      <c r="A587" s="363"/>
      <c r="B587" s="988"/>
      <c r="C587" s="367" t="s">
        <v>1138</v>
      </c>
      <c r="D587" s="420" t="s">
        <v>1148</v>
      </c>
      <c r="E587" s="363"/>
      <c r="F587" s="1619"/>
      <c r="G587" s="1636">
        <f t="shared" si="63"/>
        <v>344.00670646241485</v>
      </c>
      <c r="H587" s="1636">
        <f t="shared" si="63"/>
        <v>267.48929230737065</v>
      </c>
      <c r="I587" s="1636">
        <f t="shared" si="63"/>
        <v>219.7644467363555</v>
      </c>
      <c r="J587" s="1636">
        <f t="shared" si="63"/>
        <v>217.78392814518241</v>
      </c>
      <c r="K587" s="1636">
        <f t="shared" si="63"/>
        <v>161.99974047694653</v>
      </c>
      <c r="L587" s="1636">
        <f t="shared" si="63"/>
        <v>166.7341583358228</v>
      </c>
      <c r="M587" s="1636">
        <f t="shared" si="63"/>
        <v>155.14480154742307</v>
      </c>
      <c r="N587" s="1636">
        <f t="shared" si="63"/>
        <v>125.3560389140645</v>
      </c>
      <c r="O587" s="363"/>
    </row>
    <row r="588" spans="1:15" hidden="1">
      <c r="A588" s="363"/>
      <c r="B588" s="988"/>
      <c r="C588" s="367" t="s">
        <v>1138</v>
      </c>
      <c r="D588" s="1334" t="s">
        <v>1152</v>
      </c>
      <c r="E588" s="363"/>
      <c r="F588" s="1619"/>
      <c r="G588" s="1636">
        <f t="shared" si="63"/>
        <v>0</v>
      </c>
      <c r="H588" s="1636">
        <f t="shared" si="63"/>
        <v>0</v>
      </c>
      <c r="I588" s="1636">
        <f t="shared" si="63"/>
        <v>50.076705492702501</v>
      </c>
      <c r="J588" s="1636">
        <f t="shared" si="63"/>
        <v>50.588531410344146</v>
      </c>
      <c r="K588" s="1636">
        <f t="shared" si="63"/>
        <v>113.21688764525236</v>
      </c>
      <c r="L588" s="1636">
        <f t="shared" si="63"/>
        <v>95.959771491890805</v>
      </c>
      <c r="M588" s="1636">
        <f t="shared" si="63"/>
        <v>106.92695689358528</v>
      </c>
      <c r="N588" s="1636">
        <f t="shared" si="63"/>
        <v>107.84094268222027</v>
      </c>
      <c r="O588" s="363"/>
    </row>
    <row r="589" spans="1:15" hidden="1">
      <c r="A589" s="363"/>
      <c r="B589" s="988"/>
      <c r="C589" s="367" t="s">
        <v>1138</v>
      </c>
      <c r="D589" s="420" t="s">
        <v>1150</v>
      </c>
      <c r="E589" s="363"/>
      <c r="F589" s="1619"/>
      <c r="G589" s="1636">
        <f t="shared" si="63"/>
        <v>0</v>
      </c>
      <c r="H589" s="1636">
        <f t="shared" si="63"/>
        <v>2.0748780244819942</v>
      </c>
      <c r="I589" s="1636">
        <f t="shared" si="63"/>
        <v>2.6942773957109205</v>
      </c>
      <c r="J589" s="1636">
        <f t="shared" si="63"/>
        <v>1.347529635963983</v>
      </c>
      <c r="K589" s="1636">
        <f t="shared" si="63"/>
        <v>1.2693459402744962</v>
      </c>
      <c r="L589" s="1636">
        <f t="shared" si="63"/>
        <v>1.1751988644264082</v>
      </c>
      <c r="M589" s="1636">
        <f t="shared" si="63"/>
        <v>1.079361865715027</v>
      </c>
      <c r="N589" s="1636">
        <f>N553*N364</f>
        <v>0.77548543052383101</v>
      </c>
      <c r="O589" s="363"/>
    </row>
    <row r="590" spans="1:15" hidden="1">
      <c r="A590" s="363"/>
      <c r="B590" s="988"/>
      <c r="C590" s="367" t="s">
        <v>1138</v>
      </c>
      <c r="D590" s="1334" t="s">
        <v>1151</v>
      </c>
      <c r="E590" s="363"/>
      <c r="F590" s="1619"/>
      <c r="G590" s="1636">
        <f t="shared" si="63"/>
        <v>0</v>
      </c>
      <c r="H590" s="1636">
        <f t="shared" si="63"/>
        <v>1.2529275004067726</v>
      </c>
      <c r="I590" s="1636">
        <f t="shared" si="63"/>
        <v>1.6402167125814291</v>
      </c>
      <c r="J590" s="1636">
        <f t="shared" si="63"/>
        <v>0.82819063499968204</v>
      </c>
      <c r="K590" s="1636">
        <f t="shared" si="63"/>
        <v>0.7890138749408282</v>
      </c>
      <c r="L590" s="1636">
        <f t="shared" si="63"/>
        <v>0.74054628986332116</v>
      </c>
      <c r="M590" s="1636">
        <f t="shared" si="63"/>
        <v>0.6917123671562071</v>
      </c>
      <c r="N590" s="1636">
        <f>N554*N366</f>
        <v>0.57943046247814034</v>
      </c>
      <c r="O590" s="363"/>
    </row>
    <row r="591" spans="1:15" hidden="1">
      <c r="A591" s="363"/>
      <c r="B591" s="988"/>
      <c r="C591" s="367" t="s">
        <v>1140</v>
      </c>
      <c r="D591" s="420" t="s">
        <v>1153</v>
      </c>
      <c r="E591" s="363"/>
      <c r="F591" s="1619"/>
      <c r="G591" s="1636">
        <f t="shared" si="63"/>
        <v>11.663305549981665</v>
      </c>
      <c r="H591" s="1636">
        <f t="shared" si="63"/>
        <v>6.9659557698619574</v>
      </c>
      <c r="I591" s="1636">
        <f t="shared" si="63"/>
        <v>6.7423944946538992</v>
      </c>
      <c r="J591" s="1636">
        <f t="shared" si="63"/>
        <v>6.7083508462612702</v>
      </c>
      <c r="K591" s="1636">
        <f t="shared" si="63"/>
        <v>6.6536492033584356</v>
      </c>
      <c r="L591" s="1636">
        <f t="shared" si="63"/>
        <v>6.4801032590518197</v>
      </c>
      <c r="M591" s="1636">
        <f t="shared" si="63"/>
        <v>6.3853476155176123</v>
      </c>
      <c r="N591" s="1636">
        <f>N555*N368</f>
        <v>13.250165549183606</v>
      </c>
      <c r="O591" s="363"/>
    </row>
    <row r="592" spans="1:15" hidden="1">
      <c r="A592" s="363"/>
      <c r="B592" s="988"/>
      <c r="C592" s="382" t="s">
        <v>1140</v>
      </c>
      <c r="D592" s="420" t="s">
        <v>1154</v>
      </c>
      <c r="E592" s="363"/>
      <c r="F592" s="1619"/>
      <c r="G592" s="1636">
        <f t="shared" si="63"/>
        <v>7.8335866341176645</v>
      </c>
      <c r="H592" s="1636">
        <f t="shared" si="63"/>
        <v>4.6786395512998489</v>
      </c>
      <c r="I592" s="1636">
        <f t="shared" si="63"/>
        <v>4.528484673442855</v>
      </c>
      <c r="J592" s="1636">
        <f t="shared" si="63"/>
        <v>4.5056179914374717</v>
      </c>
      <c r="K592" s="1636">
        <f t="shared" si="63"/>
        <v>4.4688763960420772</v>
      </c>
      <c r="L592" s="1636">
        <f t="shared" si="63"/>
        <v>4.3523137750331067</v>
      </c>
      <c r="M592" s="1636">
        <f t="shared" si="63"/>
        <v>4.2886699859191779</v>
      </c>
      <c r="N592" s="1636">
        <f>N556*N368</f>
        <v>3.3125413872959015</v>
      </c>
      <c r="O592" s="363"/>
    </row>
    <row r="593" spans="1:15" hidden="1">
      <c r="A593" s="363"/>
      <c r="B593" s="988"/>
      <c r="C593" s="382" t="s">
        <v>1142</v>
      </c>
      <c r="D593" s="420" t="s">
        <v>1142</v>
      </c>
      <c r="E593" s="363"/>
      <c r="F593" s="1619"/>
      <c r="G593" s="1636">
        <f t="shared" si="63"/>
        <v>10.692275202738204</v>
      </c>
      <c r="H593" s="1636">
        <f t="shared" si="63"/>
        <v>6.8825165966065391</v>
      </c>
      <c r="I593" s="1636">
        <f t="shared" si="63"/>
        <v>6.6211386501863601</v>
      </c>
      <c r="J593" s="1636">
        <f t="shared" si="63"/>
        <v>6.4935487033227055</v>
      </c>
      <c r="K593" s="1636">
        <f t="shared" si="63"/>
        <v>6.3407405006884465</v>
      </c>
      <c r="L593" s="1636">
        <f t="shared" si="63"/>
        <v>6.0890570443112173</v>
      </c>
      <c r="M593" s="1636">
        <f t="shared" si="63"/>
        <v>5.8837820867508137</v>
      </c>
      <c r="N593" s="1636">
        <f>N557*N369</f>
        <v>4.6970090604232366</v>
      </c>
      <c r="O593" s="363"/>
    </row>
    <row r="594" spans="1:15" hidden="1">
      <c r="A594" s="363"/>
      <c r="B594" s="988"/>
      <c r="C594" s="382" t="s">
        <v>1229</v>
      </c>
      <c r="D594" s="1334" t="s">
        <v>1229</v>
      </c>
      <c r="E594" s="363"/>
      <c r="F594" s="1619"/>
      <c r="G594" s="1636">
        <f t="shared" ref="G594:N594" si="64">SUM(G582:G593)</f>
        <v>4500.5238229572142</v>
      </c>
      <c r="H594" s="1636">
        <f t="shared" si="64"/>
        <v>3778.1299507420376</v>
      </c>
      <c r="I594" s="1636">
        <f t="shared" si="64"/>
        <v>3857.2016069279007</v>
      </c>
      <c r="J594" s="1636">
        <f t="shared" si="64"/>
        <v>4119.0321439298132</v>
      </c>
      <c r="K594" s="1636">
        <f t="shared" si="64"/>
        <v>4263.0213914284313</v>
      </c>
      <c r="L594" s="1636">
        <f t="shared" si="64"/>
        <v>4352.2246552153665</v>
      </c>
      <c r="M594" s="1636">
        <f t="shared" si="64"/>
        <v>4419.69414719209</v>
      </c>
      <c r="N594" s="1636">
        <f t="shared" si="64"/>
        <v>4104.5339518493329</v>
      </c>
      <c r="O594" s="363"/>
    </row>
    <row r="595" spans="1:15" hidden="1">
      <c r="A595" s="363"/>
      <c r="B595" s="988"/>
      <c r="C595" s="382"/>
      <c r="D595" s="1334"/>
      <c r="E595" s="363"/>
      <c r="F595" s="1619"/>
      <c r="G595" s="1636"/>
      <c r="H595" s="1636"/>
      <c r="I595" s="1636"/>
      <c r="J595" s="1636"/>
      <c r="K595" s="1636"/>
      <c r="L595" s="1636"/>
      <c r="M595" s="1636"/>
      <c r="N595" s="1636"/>
      <c r="O595" s="363"/>
    </row>
    <row r="596" spans="1:15" hidden="1">
      <c r="A596" s="363"/>
    </row>
    <row r="597" spans="1:15" hidden="1">
      <c r="A597" s="363"/>
      <c r="B597" s="363" t="s">
        <v>1232</v>
      </c>
      <c r="C597" s="363" t="s">
        <v>1233</v>
      </c>
      <c r="D597" s="363"/>
      <c r="E597" s="363"/>
      <c r="F597" s="1327"/>
      <c r="G597" s="1327"/>
      <c r="H597" s="1327"/>
      <c r="I597" s="1327"/>
      <c r="J597" s="1327"/>
      <c r="K597" s="1327"/>
      <c r="L597" s="1327"/>
      <c r="M597" s="1327"/>
      <c r="N597" s="1327"/>
    </row>
    <row r="598" spans="1:15" hidden="1">
      <c r="A598" s="363"/>
      <c r="C598" s="363"/>
      <c r="D598" s="363"/>
      <c r="E598" s="363"/>
      <c r="F598" s="1327"/>
      <c r="G598" s="1327"/>
      <c r="H598" s="1327"/>
      <c r="I598" s="1327"/>
      <c r="J598" s="1327"/>
      <c r="K598" s="1327"/>
      <c r="L598" s="1327"/>
      <c r="M598" s="1327"/>
      <c r="N598" s="1327"/>
    </row>
    <row r="599" spans="1:15" hidden="1">
      <c r="A599" s="363"/>
      <c r="C599" s="1334" t="s">
        <v>1216</v>
      </c>
      <c r="D599" s="2"/>
      <c r="E599" s="363"/>
      <c r="F599" s="1327"/>
      <c r="G599" s="1327"/>
      <c r="H599" s="1327"/>
      <c r="I599" s="1327"/>
      <c r="J599" s="1327"/>
      <c r="K599" s="1327"/>
      <c r="L599" s="1327"/>
      <c r="M599" s="1327"/>
      <c r="N599" s="382" t="s">
        <v>2843</v>
      </c>
    </row>
    <row r="600" spans="1:15" hidden="1">
      <c r="A600" s="363"/>
      <c r="C600" s="367" t="s">
        <v>1010</v>
      </c>
      <c r="D600" t="s">
        <v>45</v>
      </c>
      <c r="E600" s="363"/>
      <c r="F600" s="1629">
        <v>2013</v>
      </c>
      <c r="G600" s="1629">
        <v>2015</v>
      </c>
      <c r="H600" s="1629">
        <v>2020</v>
      </c>
      <c r="I600" s="1629">
        <v>2025</v>
      </c>
      <c r="J600" s="1629">
        <v>2030</v>
      </c>
      <c r="K600" s="1629">
        <v>2035</v>
      </c>
      <c r="L600" s="1629">
        <v>2040</v>
      </c>
      <c r="M600" s="1629">
        <v>2045</v>
      </c>
      <c r="N600" s="1629">
        <v>2050</v>
      </c>
    </row>
    <row r="601" spans="1:15" hidden="1">
      <c r="A601" s="363"/>
      <c r="C601" s="382" t="s">
        <v>1134</v>
      </c>
      <c r="D601" s="1334" t="s">
        <v>1134</v>
      </c>
      <c r="E601" s="363"/>
      <c r="F601" s="1629"/>
      <c r="G601" s="1636">
        <f t="shared" ref="G601:N612" si="65">G546*G373</f>
        <v>235.23567065961683</v>
      </c>
      <c r="H601" s="1636">
        <f t="shared" si="65"/>
        <v>192.47869001029517</v>
      </c>
      <c r="I601" s="1636">
        <f t="shared" si="65"/>
        <v>181.91722213055337</v>
      </c>
      <c r="J601" s="1636">
        <f t="shared" si="65"/>
        <v>168.73505791952886</v>
      </c>
      <c r="K601" s="1636">
        <f t="shared" si="65"/>
        <v>152.43013857949148</v>
      </c>
      <c r="L601" s="1636">
        <f t="shared" si="65"/>
        <v>132.11980195468081</v>
      </c>
      <c r="M601" s="1636">
        <f t="shared" si="65"/>
        <v>107.59607632002862</v>
      </c>
      <c r="N601" s="1636">
        <f t="shared" si="65"/>
        <v>75.506157482571282</v>
      </c>
    </row>
    <row r="602" spans="1:15" hidden="1">
      <c r="A602" s="363"/>
      <c r="C602" s="367" t="s">
        <v>1136</v>
      </c>
      <c r="D602" s="420" t="s">
        <v>1148</v>
      </c>
      <c r="E602" s="363"/>
      <c r="F602" s="1619"/>
      <c r="G602" s="1636">
        <f t="shared" si="65"/>
        <v>3626.6524268786106</v>
      </c>
      <c r="H602" s="1636">
        <f t="shared" si="65"/>
        <v>3020.1016682607715</v>
      </c>
      <c r="I602" s="1636">
        <f t="shared" si="65"/>
        <v>3075.6158021394162</v>
      </c>
      <c r="J602" s="1636">
        <f t="shared" si="65"/>
        <v>2925.3384390133388</v>
      </c>
      <c r="K602" s="1636">
        <f t="shared" si="65"/>
        <v>2894.8560363725551</v>
      </c>
      <c r="L602" s="1636">
        <f t="shared" si="65"/>
        <v>2811.3006834093048</v>
      </c>
      <c r="M602" s="1636">
        <f t="shared" si="65"/>
        <v>2748.8207931962706</v>
      </c>
      <c r="N602" s="1636">
        <f t="shared" si="65"/>
        <v>2525.2164474854853</v>
      </c>
    </row>
    <row r="603" spans="1:15" hidden="1">
      <c r="A603" s="363"/>
      <c r="C603" s="367" t="s">
        <v>1136</v>
      </c>
      <c r="D603" s="1334" t="s">
        <v>1149</v>
      </c>
      <c r="E603" s="363"/>
      <c r="F603" s="1619"/>
      <c r="G603" s="1636">
        <f t="shared" si="65"/>
        <v>0</v>
      </c>
      <c r="H603" s="1636">
        <f t="shared" si="65"/>
        <v>33.864620216003125</v>
      </c>
      <c r="I603" s="1636">
        <f t="shared" si="65"/>
        <v>48.314677075056728</v>
      </c>
      <c r="J603" s="1636">
        <f t="shared" si="65"/>
        <v>326.53985546670299</v>
      </c>
      <c r="K603" s="1636">
        <f t="shared" si="65"/>
        <v>450.00667486465647</v>
      </c>
      <c r="L603" s="1636">
        <f t="shared" si="65"/>
        <v>595.9907153783854</v>
      </c>
      <c r="M603" s="1636">
        <f t="shared" si="65"/>
        <v>714.45306987909646</v>
      </c>
      <c r="N603" s="1636">
        <f t="shared" si="65"/>
        <v>731.07331617466832</v>
      </c>
    </row>
    <row r="604" spans="1:15" hidden="1">
      <c r="A604" s="363"/>
      <c r="C604" s="367" t="s">
        <v>1136</v>
      </c>
      <c r="D604" s="420" t="s">
        <v>1150</v>
      </c>
      <c r="E604" s="363"/>
      <c r="F604" s="1619"/>
      <c r="G604" s="1636">
        <f t="shared" si="65"/>
        <v>0.52526148287149033</v>
      </c>
      <c r="H604" s="1636">
        <f t="shared" si="65"/>
        <v>4.1552553462496222</v>
      </c>
      <c r="I604" s="1636">
        <f t="shared" si="65"/>
        <v>6.5318317401390189</v>
      </c>
      <c r="J604" s="1636">
        <f t="shared" si="65"/>
        <v>43.112505386693513</v>
      </c>
      <c r="K604" s="1636">
        <f t="shared" si="65"/>
        <v>57.804953423145413</v>
      </c>
      <c r="L604" s="1636">
        <f t="shared" si="65"/>
        <v>74.131861259186365</v>
      </c>
      <c r="M604" s="1636">
        <f t="shared" si="65"/>
        <v>85.527314225880843</v>
      </c>
      <c r="N604" s="1636">
        <f t="shared" si="65"/>
        <v>71.824746852248083</v>
      </c>
    </row>
    <row r="605" spans="1:15" hidden="1">
      <c r="A605" s="363"/>
      <c r="C605" s="367" t="s">
        <v>1136</v>
      </c>
      <c r="D605" s="420" t="s">
        <v>1151</v>
      </c>
      <c r="E605" s="363"/>
      <c r="F605" s="1619"/>
      <c r="G605" s="1636">
        <f t="shared" si="65"/>
        <v>0.33423483362390394</v>
      </c>
      <c r="H605" s="1636">
        <f t="shared" si="65"/>
        <v>2.5357609543876274</v>
      </c>
      <c r="I605" s="1636">
        <f t="shared" si="65"/>
        <v>3.7887890183021282</v>
      </c>
      <c r="J605" s="1636">
        <f t="shared" si="65"/>
        <v>23.480763585622654</v>
      </c>
      <c r="K605" s="1636">
        <f t="shared" si="65"/>
        <v>29.04978544345165</v>
      </c>
      <c r="L605" s="1636">
        <f t="shared" si="65"/>
        <v>33.484630695990475</v>
      </c>
      <c r="M605" s="1636">
        <f t="shared" si="65"/>
        <v>33.270707667753882</v>
      </c>
      <c r="N605" s="1636">
        <f t="shared" si="65"/>
        <v>22.253580813271039</v>
      </c>
    </row>
    <row r="606" spans="1:15" hidden="1">
      <c r="A606" s="363"/>
      <c r="C606" s="367" t="s">
        <v>1138</v>
      </c>
      <c r="D606" s="420" t="s">
        <v>1148</v>
      </c>
      <c r="E606" s="363"/>
      <c r="F606" s="1619"/>
      <c r="G606" s="1636">
        <f t="shared" si="65"/>
        <v>334.85373538261308</v>
      </c>
      <c r="H606" s="1636">
        <f t="shared" si="65"/>
        <v>252.70791119895208</v>
      </c>
      <c r="I606" s="1636">
        <f t="shared" si="65"/>
        <v>200.81994849891888</v>
      </c>
      <c r="J606" s="1636">
        <f t="shared" si="65"/>
        <v>191.70973746117554</v>
      </c>
      <c r="K606" s="1636">
        <f t="shared" si="65"/>
        <v>136.70187541226392</v>
      </c>
      <c r="L606" s="1636">
        <f t="shared" si="65"/>
        <v>134.0700465678355</v>
      </c>
      <c r="M606" s="1636">
        <f t="shared" si="65"/>
        <v>117.99785930293581</v>
      </c>
      <c r="N606" s="1636">
        <f t="shared" si="65"/>
        <v>89.339607149920539</v>
      </c>
    </row>
    <row r="607" spans="1:15" hidden="1">
      <c r="A607" s="363"/>
      <c r="C607" s="367" t="s">
        <v>1138</v>
      </c>
      <c r="D607" s="1334" t="s">
        <v>1152</v>
      </c>
      <c r="E607" s="363"/>
      <c r="F607" s="1619"/>
      <c r="G607" s="1636">
        <f t="shared" si="65"/>
        <v>0</v>
      </c>
      <c r="H607" s="1636">
        <f t="shared" si="65"/>
        <v>0</v>
      </c>
      <c r="I607" s="1636">
        <f t="shared" si="65"/>
        <v>46.134661689436562</v>
      </c>
      <c r="J607" s="1636">
        <f t="shared" si="65"/>
        <v>45.008023376952927</v>
      </c>
      <c r="K607" s="1636">
        <f t="shared" si="65"/>
        <v>96.766709503972052</v>
      </c>
      <c r="L607" s="1636">
        <f t="shared" si="65"/>
        <v>78.278521771230032</v>
      </c>
      <c r="M607" s="1636">
        <f t="shared" si="65"/>
        <v>82.557654379342864</v>
      </c>
      <c r="N607" s="1636">
        <f t="shared" si="65"/>
        <v>77.953186630813065</v>
      </c>
    </row>
    <row r="608" spans="1:15" hidden="1">
      <c r="A608" s="363"/>
      <c r="C608" s="367" t="s">
        <v>1138</v>
      </c>
      <c r="D608" s="420" t="s">
        <v>1150</v>
      </c>
      <c r="E608" s="363"/>
      <c r="F608" s="1619"/>
      <c r="G608" s="1636">
        <f t="shared" si="65"/>
        <v>0</v>
      </c>
      <c r="H608" s="1636">
        <f t="shared" si="65"/>
        <v>2.0748780246450078</v>
      </c>
      <c r="I608" s="1636">
        <f t="shared" si="65"/>
        <v>2.6942773960550124</v>
      </c>
      <c r="J608" s="1636">
        <f t="shared" si="65"/>
        <v>1.3475296362144054</v>
      </c>
      <c r="K608" s="1636">
        <f t="shared" si="65"/>
        <v>1.2693459405990064</v>
      </c>
      <c r="L608" s="1636">
        <f t="shared" si="65"/>
        <v>1.1751988648272342</v>
      </c>
      <c r="M608" s="1636">
        <f t="shared" si="65"/>
        <v>1.0793618661985678</v>
      </c>
      <c r="N608" s="1636">
        <f t="shared" si="65"/>
        <v>0.88510865947929229</v>
      </c>
    </row>
    <row r="609" spans="1:15" hidden="1">
      <c r="A609" s="363"/>
      <c r="C609" s="367" t="s">
        <v>1138</v>
      </c>
      <c r="D609" s="1334" t="s">
        <v>1151</v>
      </c>
      <c r="E609" s="363"/>
      <c r="F609" s="1619"/>
      <c r="G609" s="1636">
        <f t="shared" si="65"/>
        <v>0</v>
      </c>
      <c r="H609" s="1636">
        <f t="shared" si="65"/>
        <v>1.158857778818311</v>
      </c>
      <c r="I609" s="1636">
        <f t="shared" si="65"/>
        <v>1.4416523231152694</v>
      </c>
      <c r="J609" s="1636">
        <f t="shared" si="65"/>
        <v>0.68367989252739481</v>
      </c>
      <c r="K609" s="1636">
        <f t="shared" si="65"/>
        <v>0.60174951095048679</v>
      </c>
      <c r="L609" s="1636">
        <f t="shared" si="65"/>
        <v>0.50924245958129843</v>
      </c>
      <c r="M609" s="1636">
        <f t="shared" si="65"/>
        <v>0.41267649561316966</v>
      </c>
      <c r="N609" s="1636">
        <f t="shared" si="65"/>
        <v>0.28028112047033904</v>
      </c>
    </row>
    <row r="610" spans="1:15" hidden="1">
      <c r="A610" s="363"/>
      <c r="C610" s="367" t="s">
        <v>1140</v>
      </c>
      <c r="D610" s="420" t="s">
        <v>1153</v>
      </c>
      <c r="E610" s="363"/>
      <c r="F610" s="1619"/>
      <c r="G610" s="1636">
        <f t="shared" si="65"/>
        <v>11.424965631945913</v>
      </c>
      <c r="H610" s="1636">
        <f t="shared" si="65"/>
        <v>6.6700264225751171</v>
      </c>
      <c r="I610" s="1636">
        <f t="shared" si="65"/>
        <v>6.2951023800240087</v>
      </c>
      <c r="J610" s="1636">
        <f t="shared" si="65"/>
        <v>6.0895610733621748</v>
      </c>
      <c r="K610" s="1636">
        <f t="shared" si="65"/>
        <v>5.852144564109004</v>
      </c>
      <c r="L610" s="1636">
        <f t="shared" si="65"/>
        <v>5.4995113252519188</v>
      </c>
      <c r="M610" s="1636">
        <f t="shared" si="65"/>
        <v>5.2026588186627833</v>
      </c>
      <c r="N610" s="1636">
        <f t="shared" si="65"/>
        <v>3.8340505972849139</v>
      </c>
    </row>
    <row r="611" spans="1:15" hidden="1">
      <c r="A611" s="363"/>
      <c r="C611" s="382" t="s">
        <v>1140</v>
      </c>
      <c r="D611" s="420" t="s">
        <v>1154</v>
      </c>
      <c r="E611" s="363"/>
      <c r="F611" s="1619"/>
      <c r="G611" s="1636">
        <f t="shared" si="65"/>
        <v>7.6735091134923472</v>
      </c>
      <c r="H611" s="1636">
        <f t="shared" si="65"/>
        <v>4.4798829326672953</v>
      </c>
      <c r="I611" s="1636">
        <f t="shared" si="65"/>
        <v>4.2280674655521162</v>
      </c>
      <c r="J611" s="1636">
        <f t="shared" si="65"/>
        <v>4.0900168892371589</v>
      </c>
      <c r="K611" s="1636">
        <f t="shared" si="65"/>
        <v>3.930557525757441</v>
      </c>
      <c r="L611" s="1636">
        <f t="shared" si="65"/>
        <v>3.6937135422163472</v>
      </c>
      <c r="M611" s="1636">
        <f t="shared" si="65"/>
        <v>3.4943343503607998</v>
      </c>
      <c r="N611" s="1636">
        <f t="shared" si="65"/>
        <v>2.575116910425717</v>
      </c>
    </row>
    <row r="612" spans="1:15" hidden="1">
      <c r="A612" s="363"/>
      <c r="C612" s="382" t="s">
        <v>1142</v>
      </c>
      <c r="D612" s="420" t="s">
        <v>1142</v>
      </c>
      <c r="E612" s="363"/>
      <c r="F612" s="1619"/>
      <c r="G612" s="1636">
        <f t="shared" si="65"/>
        <v>10.408602545179471</v>
      </c>
      <c r="H612" s="1636">
        <f t="shared" si="65"/>
        <v>6.4983956970491414</v>
      </c>
      <c r="I612" s="1636">
        <f t="shared" si="65"/>
        <v>6.0365425292569341</v>
      </c>
      <c r="J612" s="1636">
        <f t="shared" si="65"/>
        <v>5.6849095592074015</v>
      </c>
      <c r="K612" s="1636">
        <f t="shared" si="65"/>
        <v>5.2931596862687611</v>
      </c>
      <c r="L612" s="1636">
        <f t="shared" si="65"/>
        <v>4.8029348292594438</v>
      </c>
      <c r="M612" s="1636">
        <f t="shared" si="65"/>
        <v>4.3324699469547658</v>
      </c>
      <c r="N612" s="1636">
        <f t="shared" si="65"/>
        <v>3.1752362439716126</v>
      </c>
    </row>
    <row r="613" spans="1:15" hidden="1">
      <c r="A613" s="363"/>
      <c r="C613" s="382" t="s">
        <v>1229</v>
      </c>
      <c r="D613" s="1334" t="s">
        <v>1229</v>
      </c>
      <c r="E613" s="363"/>
      <c r="F613" s="1619"/>
      <c r="G613" s="1636">
        <f t="shared" ref="G613:N613" si="66">SUM(G601:G612)</f>
        <v>4227.1084065279547</v>
      </c>
      <c r="H613" s="1636">
        <f t="shared" si="66"/>
        <v>3526.725946842414</v>
      </c>
      <c r="I613" s="1636">
        <f t="shared" si="66"/>
        <v>3583.8185743858267</v>
      </c>
      <c r="J613" s="1636">
        <f t="shared" si="66"/>
        <v>3741.8200792605644</v>
      </c>
      <c r="K613" s="1636">
        <f t="shared" si="66"/>
        <v>3834.5631308272209</v>
      </c>
      <c r="L613" s="1636">
        <f t="shared" si="66"/>
        <v>3875.0568620577492</v>
      </c>
      <c r="M613" s="1636">
        <f t="shared" si="66"/>
        <v>3904.7449764490993</v>
      </c>
      <c r="N613" s="1636">
        <f t="shared" si="66"/>
        <v>3603.9168361206093</v>
      </c>
    </row>
    <row r="614" spans="1:15" hidden="1">
      <c r="A614" s="363"/>
    </row>
    <row r="615" spans="1:15" hidden="1">
      <c r="A615" s="363"/>
      <c r="B615" s="363" t="s">
        <v>1234</v>
      </c>
      <c r="C615" s="363" t="s">
        <v>1235</v>
      </c>
      <c r="D615" s="363"/>
      <c r="E615" s="363"/>
      <c r="F615" s="1327"/>
      <c r="G615" s="1327"/>
      <c r="H615" s="1327"/>
      <c r="I615" s="1327"/>
      <c r="J615" s="1327"/>
      <c r="K615" s="1327"/>
      <c r="L615" s="1327"/>
      <c r="M615" s="1327"/>
      <c r="N615" s="1327"/>
      <c r="O615" s="363"/>
    </row>
    <row r="616" spans="1:15" hidden="1">
      <c r="A616" s="363"/>
      <c r="B616" s="988"/>
      <c r="C616" s="363"/>
      <c r="D616" s="363"/>
      <c r="E616" s="363"/>
      <c r="F616" s="1327"/>
      <c r="G616" s="1327"/>
      <c r="H616" s="1327"/>
      <c r="I616" s="1327"/>
      <c r="J616" s="1327"/>
      <c r="K616" s="1327"/>
      <c r="L616" s="1327"/>
      <c r="M616" s="1327"/>
      <c r="N616" s="1327"/>
      <c r="O616" s="363"/>
    </row>
    <row r="617" spans="1:15" hidden="1">
      <c r="A617" s="363"/>
      <c r="B617" s="367"/>
      <c r="C617" s="1334" t="s">
        <v>1216</v>
      </c>
      <c r="D617" s="2"/>
      <c r="E617" s="363"/>
      <c r="F617" s="1327"/>
      <c r="G617" s="1327"/>
      <c r="H617" s="1327"/>
      <c r="I617" s="1327"/>
      <c r="J617" s="1327"/>
      <c r="K617" s="1327"/>
      <c r="L617" s="1327"/>
      <c r="M617" s="1327"/>
      <c r="N617" s="382" t="s">
        <v>2824</v>
      </c>
      <c r="O617" s="363"/>
    </row>
    <row r="618" spans="1:15" hidden="1">
      <c r="A618" s="363"/>
      <c r="B618" s="988"/>
      <c r="C618" s="367" t="s">
        <v>1010</v>
      </c>
      <c r="D618" t="s">
        <v>45</v>
      </c>
      <c r="E618" s="363"/>
      <c r="F618" s="1629">
        <v>2013</v>
      </c>
      <c r="G618" s="1629">
        <v>2015</v>
      </c>
      <c r="H618" s="1629">
        <v>2020</v>
      </c>
      <c r="I618" s="1629">
        <v>2025</v>
      </c>
      <c r="J618" s="1629">
        <v>2030</v>
      </c>
      <c r="K618" s="1629">
        <v>2035</v>
      </c>
      <c r="L618" s="1629">
        <v>2040</v>
      </c>
      <c r="M618" s="1629">
        <v>2045</v>
      </c>
      <c r="N618" s="1629">
        <v>2050</v>
      </c>
      <c r="O618" s="363"/>
    </row>
    <row r="619" spans="1:15" hidden="1">
      <c r="A619" s="363"/>
      <c r="B619" s="988"/>
      <c r="C619" s="382" t="s">
        <v>1134</v>
      </c>
      <c r="D619" s="1334" t="s">
        <v>1134</v>
      </c>
      <c r="E619" s="363"/>
      <c r="F619" s="1619"/>
      <c r="G619" s="1619">
        <f t="shared" ref="G619:N630" si="67">G512*G388</f>
        <v>111.39697667991483</v>
      </c>
      <c r="H619" s="1619">
        <f t="shared" si="67"/>
        <v>120.29918125643445</v>
      </c>
      <c r="I619" s="1619">
        <f t="shared" si="67"/>
        <v>129.94087295039526</v>
      </c>
      <c r="J619" s="1619">
        <f t="shared" si="67"/>
        <v>140.61254826627399</v>
      </c>
      <c r="K619" s="1619">
        <f t="shared" si="67"/>
        <v>152.43013857949143</v>
      </c>
      <c r="L619" s="1619">
        <f t="shared" si="67"/>
        <v>165.14975244335096</v>
      </c>
      <c r="M619" s="1619">
        <f t="shared" si="67"/>
        <v>179.32679386671427</v>
      </c>
      <c r="N619" s="1619">
        <f t="shared" si="67"/>
        <v>188.76539370642823</v>
      </c>
      <c r="O619" s="363"/>
    </row>
    <row r="620" spans="1:15" hidden="1">
      <c r="A620" s="363"/>
      <c r="B620" s="988"/>
      <c r="C620" s="367" t="s">
        <v>1136</v>
      </c>
      <c r="D620" s="420" t="s">
        <v>1148</v>
      </c>
      <c r="E620" s="363"/>
      <c r="F620" s="1619"/>
      <c r="G620" s="1619">
        <f t="shared" si="67"/>
        <v>3394.0799494935814</v>
      </c>
      <c r="H620" s="1619">
        <f t="shared" si="67"/>
        <v>3557.9766092199598</v>
      </c>
      <c r="I620" s="1619">
        <f t="shared" si="67"/>
        <v>3706.2271438414868</v>
      </c>
      <c r="J620" s="1619">
        <f t="shared" si="67"/>
        <v>3736.1787543125206</v>
      </c>
      <c r="K620" s="1619">
        <f t="shared" si="67"/>
        <v>3760.854076600579</v>
      </c>
      <c r="L620" s="1619">
        <f t="shared" si="67"/>
        <v>3753.2343001376858</v>
      </c>
      <c r="M620" s="1619">
        <f t="shared" si="67"/>
        <v>3737.9617065798802</v>
      </c>
      <c r="N620" s="1619">
        <f t="shared" si="67"/>
        <v>3625.6680450609606</v>
      </c>
      <c r="O620" s="363"/>
    </row>
    <row r="621" spans="1:15" hidden="1">
      <c r="A621" s="363"/>
      <c r="B621" s="988"/>
      <c r="C621" s="367" t="s">
        <v>1136</v>
      </c>
      <c r="D621" s="1334" t="s">
        <v>1149</v>
      </c>
      <c r="E621" s="363"/>
      <c r="F621" s="1619"/>
      <c r="G621" s="1619">
        <f t="shared" si="67"/>
        <v>0</v>
      </c>
      <c r="H621" s="1619">
        <f t="shared" si="67"/>
        <v>22.901475762576123</v>
      </c>
      <c r="I621" s="1619">
        <f t="shared" si="67"/>
        <v>47.904374331801399</v>
      </c>
      <c r="J621" s="1619">
        <f t="shared" si="67"/>
        <v>275.60833875726331</v>
      </c>
      <c r="K621" s="1619">
        <f t="shared" si="67"/>
        <v>524.15974303750022</v>
      </c>
      <c r="L621" s="1619">
        <f t="shared" si="67"/>
        <v>820.3220181989783</v>
      </c>
      <c r="M621" s="1619">
        <f t="shared" si="67"/>
        <v>1141.1973655035965</v>
      </c>
      <c r="N621" s="1619">
        <f t="shared" si="67"/>
        <v>1398.2237991755783</v>
      </c>
      <c r="O621" s="363"/>
    </row>
    <row r="622" spans="1:15" s="363" customFormat="1" hidden="1">
      <c r="B622" s="988"/>
      <c r="C622" s="367" t="s">
        <v>1136</v>
      </c>
      <c r="D622" s="420" t="s">
        <v>1150</v>
      </c>
      <c r="F622" s="1619"/>
      <c r="G622" s="1619">
        <f t="shared" si="67"/>
        <v>0.36785665655265826</v>
      </c>
      <c r="H622" s="1619">
        <f t="shared" si="67"/>
        <v>1.9339306274513692</v>
      </c>
      <c r="I622" s="1619">
        <f t="shared" si="67"/>
        <v>4.0453173266919951</v>
      </c>
      <c r="J622" s="1619">
        <f t="shared" si="67"/>
        <v>23.27393278186311</v>
      </c>
      <c r="K622" s="1619">
        <f t="shared" si="67"/>
        <v>44.263024411455412</v>
      </c>
      <c r="L622" s="1619">
        <f t="shared" si="67"/>
        <v>69.27264827012479</v>
      </c>
      <c r="M622" s="1619">
        <f t="shared" si="67"/>
        <v>96.36918423924142</v>
      </c>
      <c r="N622" s="1619">
        <f t="shared" si="67"/>
        <v>109.39204697427404</v>
      </c>
    </row>
    <row r="623" spans="1:15" s="363" customFormat="1" hidden="1">
      <c r="B623" s="988"/>
      <c r="C623" s="367" t="s">
        <v>1136</v>
      </c>
      <c r="D623" s="420" t="s">
        <v>1151</v>
      </c>
      <c r="F623" s="1619"/>
      <c r="G623" s="1619">
        <f t="shared" si="67"/>
        <v>0.90341922022589838</v>
      </c>
      <c r="H623" s="1619">
        <f t="shared" si="67"/>
        <v>4.7495405297171676</v>
      </c>
      <c r="I623" s="1619">
        <f t="shared" si="67"/>
        <v>9.9348954538307872</v>
      </c>
      <c r="J623" s="1619">
        <f t="shared" si="67"/>
        <v>57.158455150507471</v>
      </c>
      <c r="K623" s="1619">
        <f t="shared" si="67"/>
        <v>108.70556855863967</v>
      </c>
      <c r="L623" s="1619">
        <f t="shared" si="67"/>
        <v>170.12670769550286</v>
      </c>
      <c r="M623" s="1619">
        <f t="shared" si="67"/>
        <v>236.67309461004314</v>
      </c>
      <c r="N623" s="1619">
        <f t="shared" si="67"/>
        <v>268.6559452330219</v>
      </c>
    </row>
    <row r="624" spans="1:15" s="363" customFormat="1" hidden="1">
      <c r="B624" s="988"/>
      <c r="C624" s="367" t="s">
        <v>1138</v>
      </c>
      <c r="D624" s="420" t="s">
        <v>1148</v>
      </c>
      <c r="F624" s="1619"/>
      <c r="G624" s="1619">
        <f t="shared" si="67"/>
        <v>405.96268729158481</v>
      </c>
      <c r="H624" s="1619">
        <f t="shared" si="67"/>
        <v>423.23564884215364</v>
      </c>
      <c r="I624" s="1619">
        <f t="shared" si="67"/>
        <v>412.5379722887601</v>
      </c>
      <c r="J624" s="1619">
        <f t="shared" si="67"/>
        <v>409.61224227959366</v>
      </c>
      <c r="K624" s="1619">
        <f t="shared" si="67"/>
        <v>377.53864746621412</v>
      </c>
      <c r="L624" s="1619">
        <f t="shared" si="67"/>
        <v>364.09380951872879</v>
      </c>
      <c r="M624" s="1619">
        <f t="shared" si="67"/>
        <v>352.295523263532</v>
      </c>
      <c r="N624" s="1619">
        <f t="shared" si="67"/>
        <v>327.81653633189688</v>
      </c>
    </row>
    <row r="625" spans="2:14" s="363" customFormat="1" hidden="1">
      <c r="B625" s="988"/>
      <c r="C625" s="367" t="s">
        <v>1138</v>
      </c>
      <c r="D625" s="1334" t="s">
        <v>1152</v>
      </c>
      <c r="F625" s="1619"/>
      <c r="G625" s="1619">
        <f t="shared" si="67"/>
        <v>0</v>
      </c>
      <c r="H625" s="1619">
        <f t="shared" si="67"/>
        <v>0</v>
      </c>
      <c r="I625" s="1619">
        <f t="shared" si="67"/>
        <v>26.430941091983996</v>
      </c>
      <c r="J625" s="1619">
        <f t="shared" si="67"/>
        <v>45.683116002413129</v>
      </c>
      <c r="K625" s="1619">
        <f t="shared" si="67"/>
        <v>96.633319048380329</v>
      </c>
      <c r="L625" s="1619">
        <f t="shared" si="67"/>
        <v>123.69756491751606</v>
      </c>
      <c r="M625" s="1619">
        <f t="shared" si="67"/>
        <v>152.49074908894553</v>
      </c>
      <c r="N625" s="1619">
        <f t="shared" si="67"/>
        <v>176.80821073768104</v>
      </c>
    </row>
    <row r="626" spans="2:14" s="363" customFormat="1" hidden="1">
      <c r="B626" s="988"/>
      <c r="C626" s="367" t="s">
        <v>1138</v>
      </c>
      <c r="D626" s="420" t="s">
        <v>1150</v>
      </c>
      <c r="F626" s="1619"/>
      <c r="G626" s="1619">
        <f t="shared" si="67"/>
        <v>0</v>
      </c>
      <c r="H626" s="1619">
        <f t="shared" si="67"/>
        <v>1.0286946026076789</v>
      </c>
      <c r="I626" s="1619">
        <f t="shared" si="67"/>
        <v>2.1333901812228375</v>
      </c>
      <c r="J626" s="1619">
        <f t="shared" si="67"/>
        <v>2.21240501701477</v>
      </c>
      <c r="K626" s="1619">
        <f t="shared" si="67"/>
        <v>2.2940646067194921</v>
      </c>
      <c r="L626" s="1619">
        <f t="shared" si="67"/>
        <v>2.3725134513272086</v>
      </c>
      <c r="M626" s="1619">
        <f t="shared" si="67"/>
        <v>2.4534991836428133</v>
      </c>
      <c r="N626" s="1619">
        <f t="shared" si="67"/>
        <v>2.4534991836428133</v>
      </c>
    </row>
    <row r="627" spans="2:14" s="363" customFormat="1" hidden="1">
      <c r="B627" s="988"/>
      <c r="C627" s="367" t="s">
        <v>1138</v>
      </c>
      <c r="D627" s="1334" t="s">
        <v>1151</v>
      </c>
      <c r="F627" s="1619"/>
      <c r="G627" s="1619">
        <f t="shared" si="67"/>
        <v>0</v>
      </c>
      <c r="H627" s="1619">
        <f t="shared" si="67"/>
        <v>0.63541146913423707</v>
      </c>
      <c r="I627" s="1619">
        <f t="shared" si="67"/>
        <v>1.3177677668873193</v>
      </c>
      <c r="J627" s="1619">
        <f t="shared" si="67"/>
        <v>1.3665742180601754</v>
      </c>
      <c r="K627" s="1619">
        <f t="shared" si="67"/>
        <v>1.4170142998217061</v>
      </c>
      <c r="L627" s="1619">
        <f t="shared" si="67"/>
        <v>1.4654711454955462</v>
      </c>
      <c r="M627" s="1619">
        <f t="shared" si="67"/>
        <v>1.5154949941860363</v>
      </c>
      <c r="N627" s="1619">
        <f t="shared" si="67"/>
        <v>1.5154949941860363</v>
      </c>
    </row>
    <row r="628" spans="2:14" s="363" customFormat="1" hidden="1">
      <c r="B628" s="988"/>
      <c r="C628" s="367" t="s">
        <v>1140</v>
      </c>
      <c r="D628" s="420" t="s">
        <v>1153</v>
      </c>
      <c r="F628" s="1619"/>
      <c r="G628" s="1619">
        <f t="shared" si="67"/>
        <v>1320.3893091426171</v>
      </c>
      <c r="H628" s="1619">
        <f t="shared" si="67"/>
        <v>1376.5694322981749</v>
      </c>
      <c r="I628" s="1619">
        <f t="shared" si="67"/>
        <v>1427.4205887694525</v>
      </c>
      <c r="J628" s="1619">
        <f t="shared" si="67"/>
        <v>1480.2882753372203</v>
      </c>
      <c r="K628" s="1619">
        <f t="shared" si="67"/>
        <v>1534.9255285883692</v>
      </c>
      <c r="L628" s="1619">
        <f t="shared" si="67"/>
        <v>1587.4145186211456</v>
      </c>
      <c r="M628" s="1619">
        <f t="shared" si="67"/>
        <v>1641.6009036159455</v>
      </c>
      <c r="N628" s="1619">
        <f t="shared" si="67"/>
        <v>1641.6009036159455</v>
      </c>
    </row>
    <row r="629" spans="2:14" s="363" customFormat="1" hidden="1">
      <c r="B629" s="988"/>
      <c r="C629" s="382" t="s">
        <v>1140</v>
      </c>
      <c r="D629" s="420" t="s">
        <v>1154</v>
      </c>
      <c r="F629" s="1619"/>
      <c r="G629" s="1619">
        <f t="shared" si="67"/>
        <v>330.09732728565427</v>
      </c>
      <c r="H629" s="1619">
        <f t="shared" si="67"/>
        <v>344.14235807454372</v>
      </c>
      <c r="I629" s="1619">
        <f t="shared" si="67"/>
        <v>356.85514719236312</v>
      </c>
      <c r="J629" s="1619">
        <f t="shared" si="67"/>
        <v>370.07206883430507</v>
      </c>
      <c r="K629" s="1619">
        <f t="shared" si="67"/>
        <v>383.73138214709229</v>
      </c>
      <c r="L629" s="1619">
        <f t="shared" si="67"/>
        <v>396.8536296552864</v>
      </c>
      <c r="M629" s="1619">
        <f t="shared" si="67"/>
        <v>410.40022590398638</v>
      </c>
      <c r="N629" s="1619">
        <f t="shared" si="67"/>
        <v>410.40022590398638</v>
      </c>
    </row>
    <row r="630" spans="2:14" s="363" customFormat="1" hidden="1">
      <c r="B630" s="988"/>
      <c r="C630" s="382" t="s">
        <v>1142</v>
      </c>
      <c r="D630" s="420" t="s">
        <v>1142</v>
      </c>
      <c r="F630" s="1619"/>
      <c r="G630" s="1619">
        <f t="shared" si="67"/>
        <v>4.764756804142781</v>
      </c>
      <c r="H630" s="1619">
        <f t="shared" si="67"/>
        <v>4.9674883941439498</v>
      </c>
      <c r="I630" s="1619">
        <f t="shared" si="67"/>
        <v>5.1509898751975793</v>
      </c>
      <c r="J630" s="1619">
        <f t="shared" si="67"/>
        <v>5.3417682066706114</v>
      </c>
      <c r="K630" s="1619">
        <f t="shared" si="67"/>
        <v>5.5389321964011309</v>
      </c>
      <c r="L630" s="1619">
        <f t="shared" si="67"/>
        <v>5.7283439635742956</v>
      </c>
      <c r="M630" s="1619">
        <f t="shared" si="67"/>
        <v>5.9238809501343592</v>
      </c>
      <c r="N630" s="1619">
        <f t="shared" si="67"/>
        <v>5.9238809501343592</v>
      </c>
    </row>
    <row r="631" spans="2:14" s="363" customFormat="1" hidden="1">
      <c r="B631" s="988"/>
      <c r="C631" s="382" t="s">
        <v>1229</v>
      </c>
      <c r="D631" s="1334" t="s">
        <v>1229</v>
      </c>
      <c r="F631" s="1619"/>
      <c r="G631" s="1636">
        <f t="shared" ref="G631:N631" si="68">SUM(G619:G630)</f>
        <v>5567.9622825742745</v>
      </c>
      <c r="H631" s="1636">
        <f t="shared" si="68"/>
        <v>5858.4397710768981</v>
      </c>
      <c r="I631" s="1636">
        <f t="shared" si="68"/>
        <v>6129.8994010700735</v>
      </c>
      <c r="J631" s="1636">
        <f t="shared" si="68"/>
        <v>6547.4084791637069</v>
      </c>
      <c r="K631" s="1636">
        <f t="shared" si="68"/>
        <v>6992.491439540664</v>
      </c>
      <c r="L631" s="1636">
        <f t="shared" si="68"/>
        <v>7459.7312780187158</v>
      </c>
      <c r="M631" s="1636">
        <f t="shared" si="68"/>
        <v>7958.2084217998481</v>
      </c>
      <c r="N631" s="1636">
        <f t="shared" si="68"/>
        <v>8157.2239818677363</v>
      </c>
    </row>
    <row r="632" spans="2:14" s="363" customFormat="1" hidden="1">
      <c r="B632" s="988"/>
      <c r="C632" s="382"/>
      <c r="D632" s="420"/>
      <c r="F632" s="1619"/>
      <c r="G632" s="1619"/>
      <c r="H632" s="1619"/>
      <c r="I632" s="1619"/>
      <c r="J632" s="1619"/>
      <c r="K632" s="1619"/>
      <c r="L632" s="1619"/>
      <c r="M632" s="1619"/>
      <c r="N632" s="1619"/>
    </row>
    <row r="633" spans="2:14" s="363" customFormat="1" ht="12.75" hidden="1">
      <c r="B633" s="363" t="s">
        <v>1236</v>
      </c>
      <c r="C633" s="363" t="s">
        <v>1237</v>
      </c>
      <c r="F633" s="1327"/>
      <c r="G633" s="1327"/>
      <c r="H633" s="1327"/>
      <c r="I633" s="1327"/>
      <c r="J633" s="1327"/>
      <c r="K633" s="1327"/>
      <c r="L633" s="1327"/>
      <c r="M633" s="1327"/>
      <c r="N633" s="1327"/>
    </row>
    <row r="634" spans="2:14" s="363" customFormat="1" ht="12.75" hidden="1">
      <c r="B634" s="988"/>
      <c r="F634" s="1327"/>
      <c r="G634" s="1327"/>
      <c r="H634" s="1327"/>
      <c r="I634" s="1327"/>
      <c r="J634" s="1327"/>
      <c r="K634" s="1327"/>
      <c r="L634" s="1327"/>
      <c r="M634" s="1327"/>
      <c r="N634" s="1327"/>
    </row>
    <row r="635" spans="2:14" s="363" customFormat="1" hidden="1">
      <c r="B635" s="367"/>
      <c r="C635" s="1334" t="s">
        <v>1216</v>
      </c>
      <c r="D635" s="2"/>
      <c r="F635" s="1327"/>
      <c r="G635" s="1327"/>
      <c r="H635" s="1327"/>
      <c r="I635" s="1327"/>
      <c r="J635" s="1327"/>
      <c r="K635" s="1327"/>
      <c r="L635" s="1327"/>
      <c r="M635" s="1327"/>
      <c r="N635" s="382" t="s">
        <v>2824</v>
      </c>
    </row>
    <row r="636" spans="2:14" s="363" customFormat="1" hidden="1">
      <c r="B636" s="988"/>
      <c r="C636" s="367" t="s">
        <v>1010</v>
      </c>
      <c r="D636" t="s">
        <v>45</v>
      </c>
      <c r="F636" s="1629">
        <v>2013</v>
      </c>
      <c r="G636" s="1629">
        <v>2015</v>
      </c>
      <c r="H636" s="1629">
        <v>2020</v>
      </c>
      <c r="I636" s="1629">
        <v>2025</v>
      </c>
      <c r="J636" s="1629">
        <v>2030</v>
      </c>
      <c r="K636" s="1629">
        <v>2035</v>
      </c>
      <c r="L636" s="1629">
        <v>2040</v>
      </c>
      <c r="M636" s="1629">
        <v>2045</v>
      </c>
      <c r="N636" s="1629">
        <v>2050</v>
      </c>
    </row>
    <row r="637" spans="2:14" s="363" customFormat="1" hidden="1">
      <c r="B637" s="988"/>
      <c r="C637" s="382" t="s">
        <v>1134</v>
      </c>
      <c r="D637" s="1334" t="s">
        <v>1134</v>
      </c>
      <c r="F637" s="1619"/>
      <c r="G637" s="1619">
        <f t="shared" ref="G637:N648" si="69">G512*G403</f>
        <v>111.39697667991483</v>
      </c>
      <c r="H637" s="1619">
        <f t="shared" si="69"/>
        <v>120.29918125643445</v>
      </c>
      <c r="I637" s="1619">
        <f t="shared" si="69"/>
        <v>129.94087295039526</v>
      </c>
      <c r="J637" s="1619">
        <f t="shared" si="69"/>
        <v>140.61254826627399</v>
      </c>
      <c r="K637" s="1619">
        <f t="shared" si="69"/>
        <v>152.43013857949143</v>
      </c>
      <c r="L637" s="1619">
        <f t="shared" si="69"/>
        <v>165.14975244335096</v>
      </c>
      <c r="M637" s="1619">
        <f t="shared" si="69"/>
        <v>179.32679386671427</v>
      </c>
      <c r="N637" s="1619">
        <f>N512*N403</f>
        <v>188.76539370642823</v>
      </c>
    </row>
    <row r="638" spans="2:14" s="363" customFormat="1" hidden="1">
      <c r="B638" s="988"/>
      <c r="C638" s="367" t="s">
        <v>1136</v>
      </c>
      <c r="D638" s="420" t="s">
        <v>1148</v>
      </c>
      <c r="F638" s="1619"/>
      <c r="G638" s="1619">
        <f t="shared" si="69"/>
        <v>3391.3744321279801</v>
      </c>
      <c r="H638" s="1619">
        <f t="shared" si="69"/>
        <v>3552.3042145605041</v>
      </c>
      <c r="I638" s="1619">
        <f t="shared" si="69"/>
        <v>3697.36391954492</v>
      </c>
      <c r="J638" s="1619">
        <f t="shared" si="69"/>
        <v>3724.265478729767</v>
      </c>
      <c r="K638" s="1619">
        <f t="shared" si="69"/>
        <v>3745.8639557133001</v>
      </c>
      <c r="L638" s="1619">
        <f t="shared" si="69"/>
        <v>3735.2823897055964</v>
      </c>
      <c r="M638" s="1619">
        <f t="shared" si="69"/>
        <v>3717.1027907562466</v>
      </c>
      <c r="N638" s="1619">
        <f t="shared" si="69"/>
        <v>3602.5451628266096</v>
      </c>
    </row>
    <row r="639" spans="2:14" s="363" customFormat="1" hidden="1">
      <c r="B639" s="988"/>
      <c r="C639" s="367" t="s">
        <v>1136</v>
      </c>
      <c r="D639" s="1334" t="s">
        <v>1149</v>
      </c>
      <c r="F639" s="1619"/>
      <c r="G639" s="1619">
        <f t="shared" si="69"/>
        <v>0</v>
      </c>
      <c r="H639" s="1619">
        <f t="shared" si="69"/>
        <v>20.11040276124605</v>
      </c>
      <c r="I639" s="1619">
        <f t="shared" si="69"/>
        <v>39.146995076252054</v>
      </c>
      <c r="J639" s="1619">
        <f t="shared" si="69"/>
        <v>208.42987382149099</v>
      </c>
      <c r="K639" s="1619">
        <f t="shared" si="69"/>
        <v>364.45735940697148</v>
      </c>
      <c r="L639" s="1619">
        <f t="shared" si="69"/>
        <v>520.39654687194411</v>
      </c>
      <c r="M639" s="1619">
        <f t="shared" si="69"/>
        <v>654.41310051842538</v>
      </c>
      <c r="N639" s="1619">
        <f t="shared" si="69"/>
        <v>716.60052980123294</v>
      </c>
    </row>
    <row r="640" spans="2:14" s="363" customFormat="1" hidden="1">
      <c r="B640" s="988"/>
      <c r="C640" s="367" t="s">
        <v>1136</v>
      </c>
      <c r="D640" s="420" t="s">
        <v>1150</v>
      </c>
      <c r="F640" s="1619"/>
      <c r="G640" s="1619">
        <f t="shared" si="69"/>
        <v>0.34703660092419625</v>
      </c>
      <c r="H640" s="1619">
        <f t="shared" si="69"/>
        <v>1.715016316521345</v>
      </c>
      <c r="I640" s="1619">
        <f t="shared" si="69"/>
        <v>3.3584432662973427</v>
      </c>
      <c r="J640" s="1619">
        <f t="shared" si="69"/>
        <v>18.004874124585719</v>
      </c>
      <c r="K640" s="1619">
        <f t="shared" si="69"/>
        <v>31.73696821382137</v>
      </c>
      <c r="L640" s="1619">
        <f t="shared" si="69"/>
        <v>45.748370024936847</v>
      </c>
      <c r="M640" s="1619">
        <f t="shared" si="69"/>
        <v>58.188870829300313</v>
      </c>
      <c r="N640" s="1619">
        <f t="shared" si="69"/>
        <v>59.860829577593648</v>
      </c>
    </row>
    <row r="641" spans="2:15" s="363" customFormat="1" hidden="1">
      <c r="B641" s="988"/>
      <c r="C641" s="367" t="s">
        <v>1136</v>
      </c>
      <c r="D641" s="420" t="s">
        <v>1151</v>
      </c>
      <c r="F641" s="1619"/>
      <c r="G641" s="1619">
        <f t="shared" si="69"/>
        <v>0.79861158255539733</v>
      </c>
      <c r="H641" s="1619">
        <f t="shared" si="69"/>
        <v>3.6475313809291094</v>
      </c>
      <c r="I641" s="1619">
        <f t="shared" si="69"/>
        <v>6.4771886670777601</v>
      </c>
      <c r="J641" s="1619">
        <f t="shared" si="69"/>
        <v>30.634146067413027</v>
      </c>
      <c r="K641" s="1619">
        <f t="shared" si="69"/>
        <v>45.649715931268737</v>
      </c>
      <c r="L641" s="1619">
        <f t="shared" si="69"/>
        <v>51.706081219787563</v>
      </c>
      <c r="M641" s="1619">
        <f t="shared" si="69"/>
        <v>44.474354826421951</v>
      </c>
      <c r="N641" s="1619">
        <f t="shared" si="69"/>
        <v>19.317039567783599</v>
      </c>
    </row>
    <row r="642" spans="2:15" s="363" customFormat="1" hidden="1">
      <c r="B642" s="988"/>
      <c r="C642" s="367" t="s">
        <v>1138</v>
      </c>
      <c r="D642" s="420" t="s">
        <v>1148</v>
      </c>
      <c r="F642" s="1619"/>
      <c r="G642" s="1619">
        <f t="shared" si="69"/>
        <v>405.54640170756494</v>
      </c>
      <c r="H642" s="1619">
        <f t="shared" si="69"/>
        <v>422.36765331068381</v>
      </c>
      <c r="I642" s="1619">
        <f t="shared" si="69"/>
        <v>411.26888808890169</v>
      </c>
      <c r="J642" s="1619">
        <f t="shared" si="69"/>
        <v>407.93213051723768</v>
      </c>
      <c r="K642" s="1619">
        <f t="shared" si="69"/>
        <v>375.60295360480183</v>
      </c>
      <c r="L642" s="1619">
        <f t="shared" si="69"/>
        <v>361.85369718015812</v>
      </c>
      <c r="M642" s="1619">
        <f t="shared" si="69"/>
        <v>349.7667469358492</v>
      </c>
      <c r="N642" s="1619">
        <f t="shared" si="69"/>
        <v>325.12731778940008</v>
      </c>
    </row>
    <row r="643" spans="2:15" s="363" customFormat="1" hidden="1">
      <c r="B643" s="988"/>
      <c r="C643" s="367" t="s">
        <v>1138</v>
      </c>
      <c r="D643" s="1334" t="s">
        <v>1152</v>
      </c>
      <c r="F643" s="1619"/>
      <c r="G643" s="1619">
        <f t="shared" si="69"/>
        <v>0</v>
      </c>
      <c r="H643" s="1619">
        <f t="shared" si="69"/>
        <v>0</v>
      </c>
      <c r="I643" s="1619">
        <f t="shared" si="69"/>
        <v>26.312911931964038</v>
      </c>
      <c r="J643" s="1619">
        <f t="shared" si="69"/>
        <v>45.411114598699989</v>
      </c>
      <c r="K643" s="1619">
        <f t="shared" si="69"/>
        <v>95.914114648410361</v>
      </c>
      <c r="L643" s="1619">
        <f t="shared" si="69"/>
        <v>122.59280518664467</v>
      </c>
      <c r="M643" s="1619">
        <f t="shared" si="69"/>
        <v>150.90184759729328</v>
      </c>
      <c r="N643" s="1619">
        <f t="shared" si="69"/>
        <v>174.70274658737588</v>
      </c>
    </row>
    <row r="644" spans="2:15" s="363" customFormat="1" hidden="1">
      <c r="B644" s="988"/>
      <c r="C644" s="367" t="s">
        <v>1138</v>
      </c>
      <c r="D644" s="420" t="s">
        <v>1150</v>
      </c>
      <c r="F644" s="1619"/>
      <c r="G644" s="1619">
        <f t="shared" si="69"/>
        <v>0</v>
      </c>
      <c r="H644" s="1619">
        <f t="shared" si="69"/>
        <v>0.90641844964963181</v>
      </c>
      <c r="I644" s="1619">
        <f t="shared" si="69"/>
        <v>1.7530108974337593</v>
      </c>
      <c r="J644" s="1619">
        <f t="shared" si="69"/>
        <v>1.6864483850272283</v>
      </c>
      <c r="K644" s="1619">
        <f t="shared" si="69"/>
        <v>1.6123525756759729</v>
      </c>
      <c r="L644" s="1619">
        <f t="shared" si="69"/>
        <v>1.526484463907271</v>
      </c>
      <c r="M644" s="1619">
        <f t="shared" si="69"/>
        <v>1.4327729715544959</v>
      </c>
      <c r="N644" s="1619">
        <f t="shared" si="69"/>
        <v>1.2869549412561649</v>
      </c>
    </row>
    <row r="645" spans="2:15" s="363" customFormat="1" hidden="1">
      <c r="B645" s="988"/>
      <c r="C645" s="367" t="s">
        <v>1138</v>
      </c>
      <c r="D645" s="1334" t="s">
        <v>1151</v>
      </c>
      <c r="F645" s="1619"/>
      <c r="G645" s="1619">
        <f t="shared" si="69"/>
        <v>0</v>
      </c>
      <c r="H645" s="1619">
        <f t="shared" si="69"/>
        <v>0.51071874501531145</v>
      </c>
      <c r="I645" s="1619">
        <f t="shared" si="69"/>
        <v>0.9298709616096833</v>
      </c>
      <c r="J645" s="1619">
        <f t="shared" si="69"/>
        <v>0.83022298665168204</v>
      </c>
      <c r="K645" s="1619">
        <f t="shared" si="69"/>
        <v>0.72182944031253371</v>
      </c>
      <c r="L645" s="1619">
        <f t="shared" si="69"/>
        <v>0.6027218965789306</v>
      </c>
      <c r="M645" s="1619">
        <f t="shared" si="69"/>
        <v>0.47459593998899019</v>
      </c>
      <c r="N645" s="1619">
        <f t="shared" si="69"/>
        <v>0.32589607510369761</v>
      </c>
    </row>
    <row r="646" spans="2:15" s="363" customFormat="1" hidden="1">
      <c r="B646" s="988"/>
      <c r="C646" s="367" t="s">
        <v>1140</v>
      </c>
      <c r="D646" s="420" t="s">
        <v>1153</v>
      </c>
      <c r="F646" s="1619"/>
      <c r="G646" s="1619">
        <f t="shared" si="69"/>
        <v>1272.1125750270901</v>
      </c>
      <c r="H646" s="1619">
        <f t="shared" si="69"/>
        <v>1275.9077925613708</v>
      </c>
      <c r="I646" s="1619">
        <f t="shared" si="69"/>
        <v>1270.850392938803</v>
      </c>
      <c r="J646" s="1619">
        <f t="shared" si="69"/>
        <v>1263.7961150691517</v>
      </c>
      <c r="K646" s="1619">
        <f t="shared" si="69"/>
        <v>1254.3219553933077</v>
      </c>
      <c r="L646" s="1619">
        <f t="shared" si="69"/>
        <v>1239.1754585986316</v>
      </c>
      <c r="M646" s="1619">
        <f t="shared" si="69"/>
        <v>1221.453672346739</v>
      </c>
      <c r="N646" s="1619">
        <f t="shared" si="69"/>
        <v>1161.4326393082815</v>
      </c>
    </row>
    <row r="647" spans="2:15" s="363" customFormat="1" hidden="1">
      <c r="B647" s="988"/>
      <c r="C647" s="382" t="s">
        <v>1140</v>
      </c>
      <c r="D647" s="420" t="s">
        <v>1154</v>
      </c>
      <c r="F647" s="1619"/>
      <c r="G647" s="1619">
        <f t="shared" si="69"/>
        <v>318.02814375677252</v>
      </c>
      <c r="H647" s="1619">
        <f t="shared" si="69"/>
        <v>318.9769481403427</v>
      </c>
      <c r="I647" s="1619">
        <f t="shared" si="69"/>
        <v>317.71259823470075</v>
      </c>
      <c r="J647" s="1619">
        <f t="shared" si="69"/>
        <v>315.94902876728793</v>
      </c>
      <c r="K647" s="1619">
        <f t="shared" si="69"/>
        <v>313.58048884832692</v>
      </c>
      <c r="L647" s="1619">
        <f t="shared" si="69"/>
        <v>309.79386464965791</v>
      </c>
      <c r="M647" s="1619">
        <f t="shared" si="69"/>
        <v>305.36341808668476</v>
      </c>
      <c r="N647" s="1619">
        <f t="shared" si="69"/>
        <v>290.35815982707038</v>
      </c>
    </row>
    <row r="648" spans="2:15" s="363" customFormat="1" hidden="1">
      <c r="B648" s="988"/>
      <c r="C648" s="382" t="s">
        <v>1142</v>
      </c>
      <c r="D648" s="420" t="s">
        <v>1142</v>
      </c>
      <c r="F648" s="1619"/>
      <c r="G648" s="1619">
        <f t="shared" si="69"/>
        <v>4.764756804142781</v>
      </c>
      <c r="H648" s="1619">
        <f t="shared" si="69"/>
        <v>4.9674883941439498</v>
      </c>
      <c r="I648" s="1619">
        <f t="shared" si="69"/>
        <v>5.1509898751975793</v>
      </c>
      <c r="J648" s="1619">
        <f t="shared" si="69"/>
        <v>5.3417682066706114</v>
      </c>
      <c r="K648" s="1619">
        <f t="shared" si="69"/>
        <v>5.5389321964011309</v>
      </c>
      <c r="L648" s="1619">
        <f t="shared" si="69"/>
        <v>5.7283439635742956</v>
      </c>
      <c r="M648" s="1619">
        <f t="shared" si="69"/>
        <v>5.9238809501343592</v>
      </c>
      <c r="N648" s="1619">
        <f t="shared" si="69"/>
        <v>5.9238809501343592</v>
      </c>
    </row>
    <row r="649" spans="2:15" s="363" customFormat="1" hidden="1">
      <c r="B649" s="988"/>
      <c r="C649" s="382" t="s">
        <v>1229</v>
      </c>
      <c r="D649" s="1334" t="s">
        <v>1229</v>
      </c>
      <c r="F649" s="1619"/>
      <c r="G649" s="1636">
        <f t="shared" ref="G649:N649" si="70">SUM(G637:G648)</f>
        <v>5504.3689342869457</v>
      </c>
      <c r="H649" s="1636">
        <f t="shared" si="70"/>
        <v>5721.7133658768425</v>
      </c>
      <c r="I649" s="1636">
        <f t="shared" si="70"/>
        <v>5910.2660824335526</v>
      </c>
      <c r="J649" s="1636">
        <f t="shared" si="70"/>
        <v>6162.893749540257</v>
      </c>
      <c r="K649" s="1636">
        <f t="shared" si="70"/>
        <v>6387.4307645520903</v>
      </c>
      <c r="L649" s="1636">
        <f t="shared" si="70"/>
        <v>6559.5565162047687</v>
      </c>
      <c r="M649" s="1636">
        <f t="shared" si="70"/>
        <v>6688.8228456253519</v>
      </c>
      <c r="N649" s="1636">
        <f t="shared" si="70"/>
        <v>6546.2465509582698</v>
      </c>
    </row>
    <row r="650" spans="2:15" s="363" customFormat="1" hidden="1">
      <c r="B650" s="988"/>
      <c r="C650" s="382"/>
      <c r="D650" s="420"/>
      <c r="F650" s="1619"/>
      <c r="G650" s="1619"/>
      <c r="H650" s="1619"/>
      <c r="I650" s="1619"/>
      <c r="J650" s="1619"/>
      <c r="K650" s="1619"/>
      <c r="L650" s="1619"/>
      <c r="M650" s="1619"/>
      <c r="N650" s="1619"/>
    </row>
    <row r="651" spans="2:15" s="363" customFormat="1" ht="12.75" hidden="1">
      <c r="B651" s="363" t="s">
        <v>1238</v>
      </c>
      <c r="C651" s="363" t="s">
        <v>1239</v>
      </c>
      <c r="F651" s="1327"/>
      <c r="G651" s="1327"/>
      <c r="H651" s="1327"/>
      <c r="I651" s="1327"/>
      <c r="J651" s="1327"/>
      <c r="K651" s="1327"/>
      <c r="L651" s="1327"/>
      <c r="M651" s="1327"/>
      <c r="N651" s="1327"/>
    </row>
    <row r="652" spans="2:15" s="363" customFormat="1" ht="12.75" hidden="1">
      <c r="B652" s="988"/>
      <c r="F652" s="1327"/>
      <c r="G652" s="1327"/>
      <c r="H652" s="1327"/>
      <c r="I652" s="1327"/>
      <c r="J652" s="1327"/>
      <c r="K652" s="1327"/>
      <c r="L652" s="1327"/>
      <c r="M652" s="1327"/>
      <c r="N652" s="1327"/>
    </row>
    <row r="653" spans="2:15" s="363" customFormat="1" hidden="1">
      <c r="B653" s="367"/>
      <c r="C653" s="1334" t="s">
        <v>1216</v>
      </c>
      <c r="D653" s="2"/>
      <c r="F653" s="1327"/>
      <c r="G653" s="1327"/>
      <c r="H653" s="1327"/>
      <c r="I653" s="1327"/>
      <c r="J653" s="1327"/>
      <c r="K653" s="1327"/>
      <c r="L653" s="1327"/>
      <c r="M653" s="1327"/>
      <c r="N653" s="382" t="s">
        <v>2824</v>
      </c>
    </row>
    <row r="654" spans="2:15" s="363" customFormat="1" hidden="1">
      <c r="B654" s="988"/>
      <c r="C654" s="367" t="s">
        <v>1010</v>
      </c>
      <c r="D654" t="s">
        <v>45</v>
      </c>
      <c r="F654" s="1629">
        <v>2013</v>
      </c>
      <c r="G654" s="1629">
        <v>2015</v>
      </c>
      <c r="H654" s="1629">
        <v>2020</v>
      </c>
      <c r="I654" s="1629">
        <v>2025</v>
      </c>
      <c r="J654" s="1629">
        <v>2030</v>
      </c>
      <c r="K654" s="1629">
        <v>2035</v>
      </c>
      <c r="L654" s="1629">
        <v>2040</v>
      </c>
      <c r="M654" s="1629">
        <v>2045</v>
      </c>
      <c r="N654" s="1629">
        <v>2050</v>
      </c>
    </row>
    <row r="655" spans="2:15" s="363" customFormat="1" hidden="1">
      <c r="B655" s="988"/>
      <c r="C655" s="382" t="s">
        <v>1134</v>
      </c>
      <c r="D655" s="1334" t="s">
        <v>1134</v>
      </c>
      <c r="F655" s="1629"/>
      <c r="G655" s="1636">
        <f t="shared" ref="G655:N666" si="71">G512*G418</f>
        <v>111.39697667991483</v>
      </c>
      <c r="H655" s="1636">
        <f t="shared" si="71"/>
        <v>120.29918125643445</v>
      </c>
      <c r="I655" s="1636">
        <f t="shared" si="71"/>
        <v>129.94087295039526</v>
      </c>
      <c r="J655" s="1636">
        <f t="shared" si="71"/>
        <v>140.61254826627399</v>
      </c>
      <c r="K655" s="1636">
        <f t="shared" si="71"/>
        <v>152.43013857949143</v>
      </c>
      <c r="L655" s="1636">
        <f t="shared" si="71"/>
        <v>165.14975244335096</v>
      </c>
      <c r="M655" s="1636">
        <f t="shared" si="71"/>
        <v>179.32679386671427</v>
      </c>
      <c r="N655" s="1636">
        <f t="shared" si="71"/>
        <v>188.76539370642823</v>
      </c>
      <c r="O655" s="1636"/>
    </row>
    <row r="656" spans="2:15" s="363" customFormat="1" hidden="1">
      <c r="B656" s="988"/>
      <c r="C656" s="367" t="s">
        <v>1136</v>
      </c>
      <c r="D656" s="420" t="s">
        <v>1148</v>
      </c>
      <c r="F656" s="1619"/>
      <c r="G656" s="1636">
        <f t="shared" si="71"/>
        <v>3024.7619107801015</v>
      </c>
      <c r="H656" s="1636">
        <f t="shared" si="71"/>
        <v>2783.6634604393353</v>
      </c>
      <c r="I656" s="1636">
        <f t="shared" si="71"/>
        <v>2496.3481552589747</v>
      </c>
      <c r="J656" s="1636">
        <f t="shared" si="71"/>
        <v>2109.9509470855014</v>
      </c>
      <c r="K656" s="1636">
        <f t="shared" si="71"/>
        <v>1714.61991948284</v>
      </c>
      <c r="L656" s="1636">
        <f t="shared" si="71"/>
        <v>1302.6995387514573</v>
      </c>
      <c r="M656" s="1636">
        <f t="shared" si="71"/>
        <v>890.60467992744816</v>
      </c>
      <c r="N656" s="1636">
        <f t="shared" si="71"/>
        <v>469.26711976285475</v>
      </c>
      <c r="O656" s="1636"/>
    </row>
    <row r="657" spans="1:15" s="363" customFormat="1" hidden="1">
      <c r="B657" s="988"/>
      <c r="C657" s="367" t="s">
        <v>1136</v>
      </c>
      <c r="D657" s="1334" t="s">
        <v>1149</v>
      </c>
      <c r="F657" s="1619"/>
      <c r="G657" s="1636">
        <f t="shared" si="71"/>
        <v>0</v>
      </c>
      <c r="H657" s="1636">
        <f t="shared" si="71"/>
        <v>17.580639214941581</v>
      </c>
      <c r="I657" s="1636">
        <f t="shared" si="71"/>
        <v>31.209510534896705</v>
      </c>
      <c r="J657" s="1636">
        <f t="shared" si="71"/>
        <v>147.5408782236606</v>
      </c>
      <c r="K657" s="1636">
        <f t="shared" si="71"/>
        <v>219.70683938334082</v>
      </c>
      <c r="L657" s="1636">
        <f t="shared" si="71"/>
        <v>248.55108686077853</v>
      </c>
      <c r="M657" s="1636">
        <f t="shared" si="71"/>
        <v>213.20318308263586</v>
      </c>
      <c r="N657" s="1636">
        <f t="shared" si="71"/>
        <v>98.793077844811563</v>
      </c>
      <c r="O657" s="1636"/>
    </row>
    <row r="658" spans="1:15" s="363" customFormat="1" hidden="1">
      <c r="B658" s="988"/>
      <c r="C658" s="367" t="s">
        <v>1136</v>
      </c>
      <c r="D658" s="420" t="s">
        <v>1150</v>
      </c>
      <c r="F658" s="1619"/>
      <c r="G658" s="1636">
        <f t="shared" si="71"/>
        <v>0.32627153922167884</v>
      </c>
      <c r="H658" s="1636">
        <f t="shared" si="71"/>
        <v>1.4966802440753255</v>
      </c>
      <c r="I658" s="1636">
        <f t="shared" si="71"/>
        <v>2.6733835094705913</v>
      </c>
      <c r="J658" s="1636">
        <f t="shared" si="71"/>
        <v>12.749733116077715</v>
      </c>
      <c r="K658" s="1636">
        <f t="shared" si="71"/>
        <v>19.243998239356145</v>
      </c>
      <c r="L658" s="1636">
        <f t="shared" si="71"/>
        <v>22.286228617363644</v>
      </c>
      <c r="M658" s="1636">
        <f t="shared" si="71"/>
        <v>20.109406589297894</v>
      </c>
      <c r="N658" s="1636">
        <f t="shared" si="71"/>
        <v>10.460443536509457</v>
      </c>
      <c r="O658" s="1636"/>
    </row>
    <row r="659" spans="1:15" s="363" customFormat="1" hidden="1">
      <c r="B659" s="988"/>
      <c r="C659" s="367" t="s">
        <v>1136</v>
      </c>
      <c r="D659" s="420" t="s">
        <v>1151</v>
      </c>
      <c r="F659" s="1619"/>
      <c r="G659" s="1636">
        <f t="shared" si="71"/>
        <v>0.79159105888218684</v>
      </c>
      <c r="H659" s="1636">
        <f t="shared" si="71"/>
        <v>3.573713465659575</v>
      </c>
      <c r="I659" s="1636">
        <f t="shared" si="71"/>
        <v>6.2455747037162652</v>
      </c>
      <c r="J659" s="1636">
        <f t="shared" si="71"/>
        <v>28.857419256540268</v>
      </c>
      <c r="K659" s="1636">
        <f t="shared" si="71"/>
        <v>41.425929230754953</v>
      </c>
      <c r="L659" s="1636">
        <f t="shared" si="71"/>
        <v>43.773693561333801</v>
      </c>
      <c r="M659" s="1636">
        <f t="shared" si="71"/>
        <v>31.59995146610353</v>
      </c>
      <c r="N659" s="1636">
        <f t="shared" si="71"/>
        <v>2.6151108841273643</v>
      </c>
      <c r="O659" s="1636"/>
    </row>
    <row r="660" spans="1:15" s="363" customFormat="1" hidden="1">
      <c r="B660" s="988"/>
      <c r="C660" s="367" t="s">
        <v>1138</v>
      </c>
      <c r="D660" s="420" t="s">
        <v>1148</v>
      </c>
      <c r="F660" s="1619"/>
      <c r="G660" s="1636">
        <f t="shared" si="71"/>
        <v>357.24955021907749</v>
      </c>
      <c r="H660" s="1636">
        <f t="shared" si="71"/>
        <v>321.66406691393058</v>
      </c>
      <c r="I660" s="1636">
        <f t="shared" si="71"/>
        <v>264.0315743797139</v>
      </c>
      <c r="J660" s="1636">
        <f t="shared" si="71"/>
        <v>213.00799337322837</v>
      </c>
      <c r="K660" s="1636">
        <f t="shared" si="71"/>
        <v>151.02655091260641</v>
      </c>
      <c r="L660" s="1636">
        <f t="shared" si="71"/>
        <v>101.95910297219163</v>
      </c>
      <c r="M660" s="1636">
        <f t="shared" si="71"/>
        <v>56.381774133465029</v>
      </c>
      <c r="N660" s="1636">
        <f t="shared" si="71"/>
        <v>13.128071231645567</v>
      </c>
      <c r="O660" s="1636"/>
    </row>
    <row r="661" spans="1:15" s="363" customFormat="1" hidden="1">
      <c r="B661" s="988"/>
      <c r="C661" s="367" t="s">
        <v>1138</v>
      </c>
      <c r="D661" s="1334" t="s">
        <v>1152</v>
      </c>
      <c r="F661" s="1619"/>
      <c r="G661" s="1636">
        <f t="shared" si="71"/>
        <v>0</v>
      </c>
      <c r="H661" s="1636">
        <f t="shared" si="71"/>
        <v>0</v>
      </c>
      <c r="I661" s="1636">
        <f t="shared" si="71"/>
        <v>18.259306489510276</v>
      </c>
      <c r="J661" s="1636">
        <f t="shared" si="71"/>
        <v>26.851362204217541</v>
      </c>
      <c r="K661" s="1636">
        <f t="shared" si="71"/>
        <v>46.839898845677425</v>
      </c>
      <c r="L661" s="1636">
        <f t="shared" si="71"/>
        <v>47.210594725730218</v>
      </c>
      <c r="M661" s="1636">
        <f t="shared" si="71"/>
        <v>42.484692899847957</v>
      </c>
      <c r="N661" s="1636">
        <f t="shared" si="71"/>
        <v>31.038439081316294</v>
      </c>
      <c r="O661" s="1636"/>
    </row>
    <row r="662" spans="1:15" s="363" customFormat="1" hidden="1">
      <c r="B662" s="988"/>
      <c r="C662" s="367" t="s">
        <v>1138</v>
      </c>
      <c r="D662" s="420" t="s">
        <v>1150</v>
      </c>
      <c r="F662" s="1619"/>
      <c r="G662" s="1636">
        <f t="shared" si="71"/>
        <v>0</v>
      </c>
      <c r="H662" s="1636">
        <f t="shared" si="71"/>
        <v>0.90641844964963181</v>
      </c>
      <c r="I662" s="1636">
        <f t="shared" si="71"/>
        <v>1.7530108974337593</v>
      </c>
      <c r="J662" s="1636">
        <f t="shared" si="71"/>
        <v>1.6864483850272283</v>
      </c>
      <c r="K662" s="1636">
        <f t="shared" si="71"/>
        <v>1.6123525756759729</v>
      </c>
      <c r="L662" s="1636">
        <f t="shared" si="71"/>
        <v>1.526484463907271</v>
      </c>
      <c r="M662" s="1636">
        <f t="shared" si="71"/>
        <v>1.4327729715544959</v>
      </c>
      <c r="N662" s="1636">
        <f t="shared" si="71"/>
        <v>1.2869549412561649</v>
      </c>
      <c r="O662" s="1636"/>
    </row>
    <row r="663" spans="1:15" s="363" customFormat="1" hidden="1">
      <c r="B663" s="988"/>
      <c r="C663" s="367" t="s">
        <v>1138</v>
      </c>
      <c r="D663" s="1334" t="s">
        <v>1151</v>
      </c>
      <c r="F663" s="1619"/>
      <c r="G663" s="1636">
        <f t="shared" si="71"/>
        <v>0</v>
      </c>
      <c r="H663" s="1636">
        <f t="shared" si="71"/>
        <v>0.48064338824282971</v>
      </c>
      <c r="I663" s="1636">
        <f t="shared" si="71"/>
        <v>0.83631189557705576</v>
      </c>
      <c r="J663" s="1636">
        <f t="shared" si="71"/>
        <v>0.70085734199237193</v>
      </c>
      <c r="K663" s="1636">
        <f t="shared" si="71"/>
        <v>0.55415379748492999</v>
      </c>
      <c r="L663" s="1636">
        <f t="shared" si="71"/>
        <v>0.394630432945412</v>
      </c>
      <c r="M663" s="1636">
        <f t="shared" si="71"/>
        <v>0.22353549808816739</v>
      </c>
      <c r="N663" s="1636">
        <f t="shared" si="71"/>
        <v>3.8969855788472132E-2</v>
      </c>
      <c r="O663" s="1636"/>
    </row>
    <row r="664" spans="1:15" s="363" customFormat="1" hidden="1">
      <c r="B664" s="988"/>
      <c r="C664" s="367" t="s">
        <v>1140</v>
      </c>
      <c r="D664" s="420" t="s">
        <v>1153</v>
      </c>
      <c r="F664" s="1619"/>
      <c r="G664" s="1636">
        <f t="shared" si="71"/>
        <v>1246.1174105033449</v>
      </c>
      <c r="H664" s="1636">
        <f t="shared" si="71"/>
        <v>1221.7053711646304</v>
      </c>
      <c r="I664" s="1636">
        <f t="shared" si="71"/>
        <v>1186.5433644146076</v>
      </c>
      <c r="J664" s="1636">
        <f t="shared" si="71"/>
        <v>1147.2234133863462</v>
      </c>
      <c r="K664" s="1636">
        <f t="shared" si="71"/>
        <v>1103.227723672891</v>
      </c>
      <c r="L664" s="1636">
        <f t="shared" si="71"/>
        <v>1051.6621185865097</v>
      </c>
      <c r="M664" s="1636">
        <f t="shared" si="71"/>
        <v>995.22054781716758</v>
      </c>
      <c r="N664" s="1636">
        <f t="shared" si="71"/>
        <v>902.88049698877012</v>
      </c>
      <c r="O664" s="1636"/>
    </row>
    <row r="665" spans="1:15" s="363" customFormat="1" hidden="1">
      <c r="B665" s="988"/>
      <c r="C665" s="382" t="s">
        <v>1140</v>
      </c>
      <c r="D665" s="420" t="s">
        <v>1154</v>
      </c>
      <c r="F665" s="1619"/>
      <c r="G665" s="1636">
        <f t="shared" si="71"/>
        <v>311.52935262583622</v>
      </c>
      <c r="H665" s="1636">
        <f t="shared" si="71"/>
        <v>305.42634279115759</v>
      </c>
      <c r="I665" s="1636">
        <f t="shared" si="71"/>
        <v>296.6358411036519</v>
      </c>
      <c r="J665" s="1636">
        <f t="shared" si="71"/>
        <v>286.80585334658656</v>
      </c>
      <c r="K665" s="1636">
        <f t="shared" si="71"/>
        <v>275.80693091822275</v>
      </c>
      <c r="L665" s="1636">
        <f t="shared" si="71"/>
        <v>262.91552964662742</v>
      </c>
      <c r="M665" s="1636">
        <f t="shared" si="71"/>
        <v>248.8051369542919</v>
      </c>
      <c r="N665" s="1636">
        <f t="shared" si="71"/>
        <v>225.72012424719253</v>
      </c>
      <c r="O665" s="1636"/>
    </row>
    <row r="666" spans="1:15" s="363" customFormat="1" hidden="1">
      <c r="B666" s="988"/>
      <c r="C666" s="382" t="s">
        <v>1142</v>
      </c>
      <c r="D666" s="420" t="s">
        <v>1142</v>
      </c>
      <c r="F666" s="1619"/>
      <c r="G666" s="1636">
        <f t="shared" si="71"/>
        <v>4.764756804142781</v>
      </c>
      <c r="H666" s="1636">
        <f t="shared" si="71"/>
        <v>4.9674883941439498</v>
      </c>
      <c r="I666" s="1636">
        <f t="shared" si="71"/>
        <v>5.1509898751975793</v>
      </c>
      <c r="J666" s="1636">
        <f t="shared" si="71"/>
        <v>5.3417682066706114</v>
      </c>
      <c r="K666" s="1636">
        <f t="shared" si="71"/>
        <v>5.5389321964011309</v>
      </c>
      <c r="L666" s="1636">
        <f t="shared" si="71"/>
        <v>5.7283439635742956</v>
      </c>
      <c r="M666" s="1636">
        <f t="shared" si="71"/>
        <v>5.9238809501343592</v>
      </c>
      <c r="N666" s="1636">
        <f t="shared" si="71"/>
        <v>5.9238809501343592</v>
      </c>
      <c r="O666" s="1636"/>
    </row>
    <row r="667" spans="1:15" s="363" customFormat="1" hidden="1">
      <c r="B667" s="988"/>
      <c r="C667" s="382" t="s">
        <v>1229</v>
      </c>
      <c r="D667" s="1334" t="s">
        <v>1229</v>
      </c>
      <c r="F667" s="1619"/>
      <c r="G667" s="1636">
        <f t="shared" ref="G667:N667" si="72">SUM(G655:G666)</f>
        <v>5056.9378202105227</v>
      </c>
      <c r="H667" s="1636">
        <f t="shared" si="72"/>
        <v>4781.7640057222015</v>
      </c>
      <c r="I667" s="1636">
        <f t="shared" si="72"/>
        <v>4439.6278960131449</v>
      </c>
      <c r="J667" s="1636">
        <f t="shared" si="72"/>
        <v>4121.329222192122</v>
      </c>
      <c r="K667" s="1636">
        <f t="shared" si="72"/>
        <v>3732.0333678347442</v>
      </c>
      <c r="L667" s="1636">
        <f t="shared" si="72"/>
        <v>3253.8571050257706</v>
      </c>
      <c r="M667" s="1636">
        <f t="shared" si="72"/>
        <v>2685.316356156749</v>
      </c>
      <c r="N667" s="1636">
        <f t="shared" si="72"/>
        <v>1949.9180830308346</v>
      </c>
      <c r="O667" s="1636"/>
    </row>
    <row r="668" spans="1:15" s="363" customFormat="1" ht="12.75"/>
    <row r="669" spans="1:15" s="363" customFormat="1" ht="12.75">
      <c r="B669" s="988">
        <v>4</v>
      </c>
      <c r="C669" s="363" t="s">
        <v>1240</v>
      </c>
      <c r="F669" s="1327"/>
      <c r="G669" s="1327"/>
      <c r="H669" s="1327"/>
      <c r="I669" s="1327"/>
      <c r="J669" s="1327"/>
      <c r="K669" s="1327"/>
      <c r="L669" s="1327"/>
      <c r="M669" s="1327"/>
      <c r="N669" s="1327"/>
    </row>
    <row r="670" spans="1:15" s="363" customFormat="1" ht="12.75">
      <c r="B670" s="988"/>
      <c r="F670" s="1327"/>
      <c r="G670" s="1327"/>
      <c r="H670" s="1327"/>
      <c r="I670" s="1327"/>
      <c r="J670" s="1327"/>
      <c r="K670" s="1327"/>
      <c r="L670" s="1327"/>
      <c r="M670" s="1327"/>
      <c r="N670" s="1327"/>
    </row>
    <row r="671" spans="1:15" s="363" customFormat="1" ht="12.75">
      <c r="B671" s="988"/>
      <c r="C671" s="363" t="s">
        <v>1241</v>
      </c>
      <c r="E671" s="1327" t="s">
        <v>99</v>
      </c>
      <c r="F671" s="1639" t="s">
        <v>89</v>
      </c>
      <c r="G671" s="1327"/>
      <c r="H671" s="1327"/>
      <c r="I671" s="1327"/>
      <c r="J671" s="1327"/>
      <c r="K671" s="1327"/>
      <c r="L671" s="1327"/>
      <c r="M671" s="1327"/>
      <c r="N671" s="1327"/>
    </row>
    <row r="672" spans="1:15" s="408" customFormat="1">
      <c r="A672" s="363"/>
      <c r="B672" s="988"/>
      <c r="C672" s="367" t="s">
        <v>1010</v>
      </c>
      <c r="D672" t="s">
        <v>45</v>
      </c>
      <c r="E672" s="363"/>
      <c r="F672" s="1327"/>
      <c r="G672" s="1327"/>
      <c r="H672" s="1327"/>
      <c r="I672" s="1327"/>
      <c r="J672" s="1327"/>
      <c r="K672" s="1327"/>
      <c r="L672" s="1327"/>
      <c r="M672" s="1327"/>
      <c r="N672" s="382" t="str">
        <f>Preferences.EnergyUnits</f>
        <v>TWh</v>
      </c>
      <c r="O672" s="363"/>
    </row>
    <row r="673" spans="1:15" s="408" customFormat="1">
      <c r="A673" s="363"/>
      <c r="B673" s="988"/>
      <c r="C673" s="367" t="s">
        <v>1136</v>
      </c>
      <c r="D673" s="420" t="s">
        <v>1148</v>
      </c>
      <c r="E673" s="1326"/>
      <c r="F673" s="1326">
        <f t="array" ref="F673:F683">F$479:F$489*SUMIFS(F$316:F$321, $C$316:$C$321, $C673:$C683, $D$316:$D$321, $D673:$D683)</f>
        <v>21.495198763003003</v>
      </c>
      <c r="G673" s="1326">
        <f t="array" ref="G673:G683">G$479:G$489*SUMIFS(H$316:H$321, $C$316:$C$321, $C673:$C683, $D$316:$D$321, $D673:$D683)</f>
        <v>20.177381472643827</v>
      </c>
      <c r="H673" s="1326">
        <f t="array" ref="H673:H683">H$479:H$489*SUMIFS(I$316:I$321, $C$316:$C$321, $C673:$C683, $D$316:$D$321, $D673:$D683)</f>
        <v>18.182336268906827</v>
      </c>
      <c r="I673" s="1326">
        <f t="array" ref="I673:I683">I$479:I$489*SUMIFS(J$316:J$321, $C$316:$C$321, $C673:$C683, $D$316:$D$321, $D673:$D683)</f>
        <v>15.846752476092805</v>
      </c>
      <c r="J673" s="1326">
        <f t="array" ref="J673:J683">J$479:J$489*SUMIFS(K$316:K$321, $C$316:$C$321, $C673:$C683, $D$316:$D$321, $D673:$D683)</f>
        <v>15.085627819695871</v>
      </c>
      <c r="K673" s="1326">
        <f t="array" ref="K673:K683">K$479:K$489*SUMIFS(L$316:L$321, $C$316:$C$321, $C673:$C683, $D$316:$D$321, $D673:$D683)</f>
        <v>14.290177103251253</v>
      </c>
      <c r="L673" s="1326">
        <f t="array" ref="L673:L683">L$479:L$489*SUMIFS(M$316:M$321, $C$316:$C$321, $C673:$C683, $D$316:$D$321, $D673:$D683)</f>
        <v>13.63936413036844</v>
      </c>
      <c r="M673" s="1326">
        <f t="array" ref="M673:M683">M$479:M$489*SUMIFS(N$316:N$321, $C$316:$C$321, $C673:$C683, $D$316:$D$321, $D673:$D683)</f>
        <v>12.975782710185596</v>
      </c>
      <c r="N673" s="1326">
        <f t="array" ref="N673:N683">N$479:N$489*SUMIFS($N$316:$N$321, $C$316:$C$321, $C673:$C683, $D$316:$D$321, $D673:$D683)</f>
        <v>12.473743498184367</v>
      </c>
      <c r="O673" s="363"/>
    </row>
    <row r="674" spans="1:15" s="408" customFormat="1">
      <c r="A674" s="363"/>
      <c r="B674" s="988"/>
      <c r="C674" s="367" t="s">
        <v>1136</v>
      </c>
      <c r="D674" s="1334" t="s">
        <v>1149</v>
      </c>
      <c r="E674" s="363"/>
      <c r="F674" s="1326">
        <v>0</v>
      </c>
      <c r="G674" s="1326">
        <v>0</v>
      </c>
      <c r="H674" s="1326">
        <v>1.0435477175627728E-2</v>
      </c>
      <c r="I674" s="1326">
        <v>1.9464408027549826E-2</v>
      </c>
      <c r="J674" s="1326">
        <v>9.7023112163924854E-2</v>
      </c>
      <c r="K674" s="1326">
        <v>0.15261808632665846</v>
      </c>
      <c r="L674" s="1326">
        <v>0.19162041985507447</v>
      </c>
      <c r="M674" s="1326">
        <v>0.26657423970578048</v>
      </c>
      <c r="N674" s="1326">
        <v>0.32369729107130485</v>
      </c>
      <c r="O674" s="363"/>
    </row>
    <row r="675" spans="1:15" s="408" customFormat="1">
      <c r="A675" s="363"/>
      <c r="B675" s="988"/>
      <c r="C675" s="367" t="s">
        <v>1136</v>
      </c>
      <c r="D675" s="420" t="s">
        <v>1150</v>
      </c>
      <c r="E675" s="363"/>
      <c r="F675" s="1326">
        <v>0</v>
      </c>
      <c r="G675" s="1326">
        <v>0</v>
      </c>
      <c r="H675" s="1326">
        <v>0</v>
      </c>
      <c r="I675" s="1326">
        <v>0</v>
      </c>
      <c r="J675" s="1326">
        <v>0</v>
      </c>
      <c r="K675" s="1326">
        <v>0</v>
      </c>
      <c r="L675" s="1326">
        <v>0</v>
      </c>
      <c r="M675" s="1326">
        <v>0</v>
      </c>
      <c r="N675" s="1326">
        <v>0</v>
      </c>
      <c r="O675" s="363"/>
    </row>
    <row r="676" spans="1:15" s="363" customFormat="1">
      <c r="B676" s="988"/>
      <c r="C676" s="367" t="s">
        <v>1136</v>
      </c>
      <c r="D676" s="420" t="s">
        <v>1151</v>
      </c>
      <c r="F676" s="1326">
        <v>0</v>
      </c>
      <c r="G676" s="1326">
        <v>0</v>
      </c>
      <c r="H676" s="1326">
        <v>0</v>
      </c>
      <c r="I676" s="1326">
        <v>0</v>
      </c>
      <c r="J676" s="1326">
        <v>0</v>
      </c>
      <c r="K676" s="1326">
        <v>0</v>
      </c>
      <c r="L676" s="1326">
        <v>0</v>
      </c>
      <c r="M676" s="1326">
        <v>0</v>
      </c>
      <c r="N676" s="1326">
        <v>0</v>
      </c>
    </row>
    <row r="677" spans="1:15" s="408" customFormat="1">
      <c r="A677" s="363"/>
      <c r="B677" s="988"/>
      <c r="C677" s="367" t="s">
        <v>1138</v>
      </c>
      <c r="D677" s="420" t="s">
        <v>1148</v>
      </c>
      <c r="E677" s="363"/>
      <c r="F677" s="1326">
        <v>1.8474232923742162</v>
      </c>
      <c r="G677" s="1326">
        <v>1.9674455686643739</v>
      </c>
      <c r="H677" s="1326">
        <v>1.879562904163645</v>
      </c>
      <c r="I677" s="1326">
        <v>1.6647985549545912</v>
      </c>
      <c r="J677" s="1326">
        <v>1.6406841676082236</v>
      </c>
      <c r="K677" s="1326">
        <v>1.5008708875657448</v>
      </c>
      <c r="L677" s="1326">
        <v>1.4364822419554351</v>
      </c>
      <c r="M677" s="1326">
        <v>1.3793483189915825</v>
      </c>
      <c r="N677" s="1326">
        <v>1.2835053484026258</v>
      </c>
      <c r="O677" s="363"/>
    </row>
    <row r="678" spans="1:15" s="408" customFormat="1">
      <c r="A678" s="363"/>
      <c r="B678" s="988"/>
      <c r="C678" s="367" t="s">
        <v>1138</v>
      </c>
      <c r="D678" s="1334" t="s">
        <v>1152</v>
      </c>
      <c r="E678" s="363"/>
      <c r="F678" s="1326">
        <v>0</v>
      </c>
      <c r="G678" s="1326">
        <v>0</v>
      </c>
      <c r="H678" s="1326">
        <v>0</v>
      </c>
      <c r="I678" s="1326">
        <v>7.4383561348864924E-2</v>
      </c>
      <c r="J678" s="1326">
        <v>0.12760694524467286</v>
      </c>
      <c r="K678" s="1326">
        <v>0.26790159651144557</v>
      </c>
      <c r="L678" s="1326">
        <v>0.34034122408154183</v>
      </c>
      <c r="M678" s="1326">
        <v>0.41636739618518687</v>
      </c>
      <c r="N678" s="1326">
        <v>0.48276485471305719</v>
      </c>
      <c r="O678" s="363"/>
    </row>
    <row r="679" spans="1:15" s="408" customFormat="1">
      <c r="A679" s="363"/>
      <c r="B679" s="988"/>
      <c r="C679" s="367" t="s">
        <v>1138</v>
      </c>
      <c r="D679" s="420" t="s">
        <v>1150</v>
      </c>
      <c r="E679" s="363"/>
      <c r="F679" s="1326">
        <v>0</v>
      </c>
      <c r="G679" s="1326">
        <v>0</v>
      </c>
      <c r="H679" s="1326">
        <v>0</v>
      </c>
      <c r="I679" s="1326">
        <v>0</v>
      </c>
      <c r="J679" s="1326">
        <v>0</v>
      </c>
      <c r="K679" s="1326">
        <v>0</v>
      </c>
      <c r="L679" s="1326">
        <v>0</v>
      </c>
      <c r="M679" s="1326">
        <v>0</v>
      </c>
      <c r="N679" s="1326">
        <v>0</v>
      </c>
      <c r="O679" s="363"/>
    </row>
    <row r="680" spans="1:15" s="408" customFormat="1">
      <c r="A680" s="363"/>
      <c r="B680" s="988"/>
      <c r="C680" s="382" t="s">
        <v>1138</v>
      </c>
      <c r="D680" s="1334" t="s">
        <v>1151</v>
      </c>
      <c r="E680" s="363"/>
      <c r="F680" s="1326">
        <v>0</v>
      </c>
      <c r="G680" s="1326">
        <v>0</v>
      </c>
      <c r="H680" s="1326">
        <v>0</v>
      </c>
      <c r="I680" s="1326">
        <v>0</v>
      </c>
      <c r="J680" s="1326">
        <v>0</v>
      </c>
      <c r="K680" s="1326">
        <v>0</v>
      </c>
      <c r="L680" s="1326">
        <v>0</v>
      </c>
      <c r="M680" s="1326">
        <v>0</v>
      </c>
      <c r="N680" s="1326">
        <v>0</v>
      </c>
      <c r="O680" s="363"/>
    </row>
    <row r="681" spans="1:15" s="408" customFormat="1">
      <c r="A681" s="363"/>
      <c r="B681" s="988"/>
      <c r="C681" s="367" t="s">
        <v>1140</v>
      </c>
      <c r="D681" s="420" t="s">
        <v>1153</v>
      </c>
      <c r="E681" s="363"/>
      <c r="F681" s="1625">
        <v>0.32693231874607137</v>
      </c>
      <c r="G681" s="1326">
        <v>0.38950755978908747</v>
      </c>
      <c r="H681" s="1326">
        <v>0.37667260840672473</v>
      </c>
      <c r="I681" s="1326">
        <v>0.36116280836295739</v>
      </c>
      <c r="J681" s="1326">
        <v>0.34507729516399827</v>
      </c>
      <c r="K681" s="1326">
        <v>0.32830009351438677</v>
      </c>
      <c r="L681" s="1326">
        <v>0.31002088197293637</v>
      </c>
      <c r="M681" s="1326">
        <v>0.29109067169722724</v>
      </c>
      <c r="N681" s="1326">
        <v>0.29109067169722724</v>
      </c>
      <c r="O681" s="363"/>
    </row>
    <row r="682" spans="1:15" s="408" customFormat="1">
      <c r="A682" s="363"/>
      <c r="B682" s="988"/>
      <c r="C682" s="382" t="s">
        <v>1140</v>
      </c>
      <c r="D682" s="420" t="s">
        <v>1154</v>
      </c>
      <c r="E682" s="363"/>
      <c r="F682" s="1326">
        <v>0</v>
      </c>
      <c r="G682" s="1326">
        <v>0</v>
      </c>
      <c r="H682" s="1326">
        <v>0</v>
      </c>
      <c r="I682" s="1326">
        <v>0</v>
      </c>
      <c r="J682" s="1326">
        <v>0</v>
      </c>
      <c r="K682" s="1326">
        <v>0</v>
      </c>
      <c r="L682" s="1326">
        <v>0</v>
      </c>
      <c r="M682" s="1326">
        <v>0</v>
      </c>
      <c r="N682" s="1326">
        <v>0</v>
      </c>
      <c r="O682" s="363"/>
    </row>
    <row r="683" spans="1:15" s="408" customFormat="1">
      <c r="A683" s="363"/>
      <c r="B683" s="988"/>
      <c r="C683" s="382" t="s">
        <v>1142</v>
      </c>
      <c r="D683" s="420" t="s">
        <v>1142</v>
      </c>
      <c r="E683" s="363"/>
      <c r="F683" s="1625">
        <v>2.7179785187540276E-2</v>
      </c>
      <c r="G683" s="1625">
        <v>2.6979176745363341E-2</v>
      </c>
      <c r="H683" s="1625">
        <v>2.6748583502616049E-2</v>
      </c>
      <c r="I683" s="1625">
        <v>2.6377315657889075E-2</v>
      </c>
      <c r="J683" s="1625">
        <v>2.6013627209398826E-2</v>
      </c>
      <c r="K683" s="1625">
        <v>2.5651802953474499E-2</v>
      </c>
      <c r="L683" s="1625">
        <v>2.5228818186920948E-2</v>
      </c>
      <c r="M683" s="1625">
        <v>2.4811333961622644E-2</v>
      </c>
      <c r="N683" s="1625">
        <v>2.4811333961622644E-2</v>
      </c>
      <c r="O683" s="363"/>
    </row>
    <row r="684" spans="1:15" s="408" customFormat="1">
      <c r="A684" s="363"/>
      <c r="B684" s="988"/>
      <c r="C684" s="382"/>
      <c r="D684" s="420"/>
      <c r="E684" s="363"/>
      <c r="F684" s="2373">
        <f t="shared" ref="F684:N684" si="73">SUM(F673:F683)</f>
        <v>23.696734159310832</v>
      </c>
      <c r="G684" s="1627">
        <f t="shared" si="73"/>
        <v>22.561313777842653</v>
      </c>
      <c r="H684" s="1627">
        <f t="shared" si="73"/>
        <v>20.47575584215544</v>
      </c>
      <c r="I684" s="1627">
        <f t="shared" si="73"/>
        <v>17.992939124444657</v>
      </c>
      <c r="J684" s="1627">
        <f t="shared" si="73"/>
        <v>17.322032967086088</v>
      </c>
      <c r="K684" s="1627">
        <f t="shared" si="73"/>
        <v>16.565519570122962</v>
      </c>
      <c r="L684" s="1627">
        <f t="shared" si="73"/>
        <v>15.943057716420348</v>
      </c>
      <c r="M684" s="1627">
        <f t="shared" si="73"/>
        <v>15.353974670726995</v>
      </c>
      <c r="N684" s="1328">
        <f t="shared" si="73"/>
        <v>14.879612998030204</v>
      </c>
      <c r="O684" s="363"/>
    </row>
    <row r="685" spans="1:15" s="408" customFormat="1" ht="12.75">
      <c r="A685" s="363"/>
      <c r="B685" s="988"/>
      <c r="C685" s="363"/>
      <c r="D685" s="363"/>
      <c r="E685" s="363"/>
      <c r="F685" s="1327"/>
      <c r="G685" s="1327"/>
      <c r="H685" s="1327"/>
      <c r="I685" s="1327"/>
      <c r="J685" s="1327"/>
      <c r="K685" s="1327"/>
      <c r="L685" s="1327"/>
      <c r="M685" s="1327"/>
      <c r="N685" s="1327"/>
      <c r="O685" s="363"/>
    </row>
    <row r="686" spans="1:15" s="408" customFormat="1" ht="12.75">
      <c r="A686" s="363"/>
      <c r="B686" s="988"/>
      <c r="C686" s="363" t="s">
        <v>1242</v>
      </c>
      <c r="D686" s="363"/>
      <c r="E686" s="1327" t="s">
        <v>96</v>
      </c>
      <c r="F686" s="1639" t="s">
        <v>86</v>
      </c>
      <c r="G686" s="1639" t="s">
        <v>86</v>
      </c>
      <c r="H686" s="1327"/>
      <c r="I686" s="1327"/>
      <c r="J686" s="1327"/>
      <c r="K686" s="1327"/>
      <c r="L686" s="1327"/>
      <c r="M686" s="1327"/>
      <c r="N686" s="1327"/>
      <c r="O686" s="363"/>
    </row>
    <row r="687" spans="1:15" s="408" customFormat="1">
      <c r="A687" s="363"/>
      <c r="B687" s="1640"/>
      <c r="C687" s="367" t="s">
        <v>1010</v>
      </c>
      <c r="D687"/>
      <c r="E687" s="363"/>
      <c r="F687" s="1327"/>
      <c r="G687" s="1327"/>
      <c r="H687" s="1327"/>
      <c r="I687" s="1327"/>
      <c r="J687" s="1327"/>
      <c r="K687" s="1327"/>
      <c r="L687" s="1327"/>
      <c r="M687" s="1327"/>
      <c r="N687" s="382" t="str">
        <f>Preferences.EnergyUnits</f>
        <v>TWh</v>
      </c>
      <c r="O687" s="363"/>
    </row>
    <row r="688" spans="1:15" s="408" customFormat="1">
      <c r="A688" s="363"/>
      <c r="B688" s="1640"/>
      <c r="C688" s="367" t="s">
        <v>1136</v>
      </c>
      <c r="D688" s="420" t="s">
        <v>1148</v>
      </c>
      <c r="E688" s="363"/>
      <c r="F688" s="1326">
        <f t="array" ref="F688:F698">F$479:F$489*SUMIFS(F$326:F$329, $C$326:$C$329, $C688:$C698, $D$326:$D$329, $D688:$D698)</f>
        <v>0</v>
      </c>
      <c r="G688" s="1326">
        <f t="array" ref="G688:G698">G$479:G$489*SUMIFS(H$326:H$329, $C$326:$C$329, $C688:$C698, $D$326:$D$329, $D688:$D698)</f>
        <v>0</v>
      </c>
      <c r="H688" s="1326">
        <f t="array" ref="H688:H698">H$479:H$489*SUMIFS(I$326:I$329, $C$326:$C$329, $C688:$C698, $D$326:$D$329, $D688:$D698)</f>
        <v>0</v>
      </c>
      <c r="I688" s="1326">
        <f t="array" ref="I688:I698">I$479:I$489*SUMIFS(J$326:J$329, $C$326:$C$329, $C688:$C698, $D$326:$D$329, $D688:$D698)</f>
        <v>0</v>
      </c>
      <c r="J688" s="1326">
        <f t="array" ref="J688:J698">J$479:J$489*SUMIFS(K$326:K$329, $C$326:$C$329, $C688:$C698, $D$326:$D$329, $D688:$D698)</f>
        <v>0</v>
      </c>
      <c r="K688" s="1326">
        <f t="array" ref="K688:K698">K$479:K$489*SUMIFS(L$326:L$329, $C$326:$C$329, $C688:$C698, $D$326:$D$329, $D688:$D698)</f>
        <v>0</v>
      </c>
      <c r="L688" s="1326">
        <f t="array" ref="L688:L698">L$479:L$489*SUMIFS(M$326:M$329, $C$326:$C$329, $C688:$C698, $D$326:$D$329, $D688:$D698)</f>
        <v>0</v>
      </c>
      <c r="M688" s="1326">
        <f t="array" ref="M688:M698">M$479:M$489*SUMIFS(N$326:N$329, $C$326:$C$329, $C688:$C698, $D$326:$D$329, $D688:$D698)</f>
        <v>0</v>
      </c>
      <c r="N688" s="1326">
        <f t="array" ref="N688:N698">N$479:N$489*SUMIFS($N$326:$N$329, $C$326:$C$329, $C688:$C698, $D$326:$D$329, $D688:$D698)</f>
        <v>0</v>
      </c>
      <c r="O688" s="363"/>
    </row>
    <row r="689" spans="1:15" s="408" customFormat="1">
      <c r="A689" s="363"/>
      <c r="B689" s="988"/>
      <c r="C689" s="367" t="s">
        <v>1136</v>
      </c>
      <c r="D689" s="1334" t="s">
        <v>1149</v>
      </c>
      <c r="E689" s="363"/>
      <c r="F689" s="1326">
        <v>0</v>
      </c>
      <c r="G689" s="1326">
        <v>0</v>
      </c>
      <c r="H689" s="1326">
        <v>1.4202797455637739E-2</v>
      </c>
      <c r="I689" s="1326">
        <v>2.7975161335142461E-2</v>
      </c>
      <c r="J689" s="1326">
        <v>0.15324211173554486</v>
      </c>
      <c r="K689" s="1326">
        <v>0.28195544762043684</v>
      </c>
      <c r="L689" s="1326">
        <v>0.43721842276791645</v>
      </c>
      <c r="M689" s="1326">
        <v>0.6101170979181596</v>
      </c>
      <c r="N689" s="1326">
        <v>0.74085647604347948</v>
      </c>
      <c r="O689" s="363"/>
    </row>
    <row r="690" spans="1:15" s="408" customFormat="1">
      <c r="A690" s="363"/>
      <c r="B690" s="988"/>
      <c r="C690" s="367" t="s">
        <v>1136</v>
      </c>
      <c r="D690" s="420" t="s">
        <v>1150</v>
      </c>
      <c r="E690" s="363"/>
      <c r="F690" s="1326">
        <v>0</v>
      </c>
      <c r="G690" s="1326">
        <v>4.6844461095062705E-4</v>
      </c>
      <c r="H690" s="1326">
        <v>2.2216425879830462E-3</v>
      </c>
      <c r="I690" s="1326">
        <v>4.2328614334058616E-3</v>
      </c>
      <c r="J690" s="1326">
        <v>2.2435785082499046E-2</v>
      </c>
      <c r="K690" s="1326">
        <v>4.0008357093542106E-2</v>
      </c>
      <c r="L690" s="1326">
        <v>5.9992228027061535E-2</v>
      </c>
      <c r="M690" s="1326">
        <v>8.1313188610455361E-2</v>
      </c>
      <c r="N690" s="1326">
        <v>9.1477337186762278E-2</v>
      </c>
      <c r="O690" s="432"/>
    </row>
    <row r="691" spans="1:15" s="408" customFormat="1">
      <c r="A691" s="363"/>
      <c r="B691" s="988"/>
      <c r="C691" s="367" t="s">
        <v>1136</v>
      </c>
      <c r="D691" s="420" t="s">
        <v>1151</v>
      </c>
      <c r="E691" s="363"/>
      <c r="F691" s="1326">
        <v>0</v>
      </c>
      <c r="G691" s="1326">
        <v>0</v>
      </c>
      <c r="H691" s="1326">
        <v>0</v>
      </c>
      <c r="I691" s="1326">
        <v>0</v>
      </c>
      <c r="J691" s="1326">
        <v>0</v>
      </c>
      <c r="K691" s="1326">
        <v>0</v>
      </c>
      <c r="L691" s="1326">
        <v>0</v>
      </c>
      <c r="M691" s="1326">
        <v>0</v>
      </c>
      <c r="N691" s="1326">
        <v>0</v>
      </c>
      <c r="O691" s="432"/>
    </row>
    <row r="692" spans="1:15" s="408" customFormat="1">
      <c r="A692" s="363"/>
      <c r="B692" s="988"/>
      <c r="C692" s="367" t="s">
        <v>1138</v>
      </c>
      <c r="D692" s="420" t="s">
        <v>1148</v>
      </c>
      <c r="E692" s="363"/>
      <c r="F692" s="1326">
        <v>0</v>
      </c>
      <c r="G692" s="1326">
        <v>0</v>
      </c>
      <c r="H692" s="1326">
        <v>0</v>
      </c>
      <c r="I692" s="1326">
        <v>0</v>
      </c>
      <c r="J692" s="1326">
        <v>0</v>
      </c>
      <c r="K692" s="1326">
        <v>0</v>
      </c>
      <c r="L692" s="1326">
        <v>0</v>
      </c>
      <c r="M692" s="1326">
        <v>0</v>
      </c>
      <c r="N692" s="1326">
        <v>0</v>
      </c>
      <c r="O692" s="432"/>
    </row>
    <row r="693" spans="1:15" s="363" customFormat="1">
      <c r="B693" s="988"/>
      <c r="C693" s="367" t="s">
        <v>1138</v>
      </c>
      <c r="D693" s="1334" t="s">
        <v>1152</v>
      </c>
      <c r="F693" s="1326">
        <v>0</v>
      </c>
      <c r="G693" s="1326">
        <v>0</v>
      </c>
      <c r="H693" s="1326">
        <v>0</v>
      </c>
      <c r="I693" s="1326">
        <v>0</v>
      </c>
      <c r="J693" s="1326">
        <v>0</v>
      </c>
      <c r="K693" s="1326">
        <v>0</v>
      </c>
      <c r="L693" s="1326">
        <v>0</v>
      </c>
      <c r="M693" s="1326">
        <v>0</v>
      </c>
      <c r="N693" s="1326">
        <v>0</v>
      </c>
      <c r="O693" s="432"/>
    </row>
    <row r="694" spans="1:15" s="408" customFormat="1">
      <c r="A694"/>
      <c r="B694"/>
      <c r="C694" s="367" t="s">
        <v>1138</v>
      </c>
      <c r="D694" s="420" t="s">
        <v>1150</v>
      </c>
      <c r="E694" s="363"/>
      <c r="F694" s="1326">
        <v>0</v>
      </c>
      <c r="G694" s="1326">
        <v>0</v>
      </c>
      <c r="H694" s="1326">
        <v>7.1567515614739865E-4</v>
      </c>
      <c r="I694" s="1326">
        <v>1.348630617336391E-3</v>
      </c>
      <c r="J694" s="1326">
        <v>1.3883693989726899E-3</v>
      </c>
      <c r="K694" s="1326">
        <v>1.4290263172146685E-3</v>
      </c>
      <c r="L694" s="1326">
        <v>1.4666314032896991E-3</v>
      </c>
      <c r="M694" s="1326">
        <v>1.5050478832122633E-3</v>
      </c>
      <c r="N694" s="1326">
        <v>1.5050478832122633E-3</v>
      </c>
      <c r="O694"/>
    </row>
    <row r="695" spans="1:15" s="408" customFormat="1">
      <c r="A695"/>
      <c r="B695"/>
      <c r="C695" s="382" t="s">
        <v>1138</v>
      </c>
      <c r="D695" s="1334" t="s">
        <v>1151</v>
      </c>
      <c r="E695" s="363"/>
      <c r="F695" s="1326">
        <v>0</v>
      </c>
      <c r="G695" s="1326">
        <v>0</v>
      </c>
      <c r="H695" s="1326">
        <v>0</v>
      </c>
      <c r="I695" s="1326">
        <v>0</v>
      </c>
      <c r="J695" s="1326">
        <v>0</v>
      </c>
      <c r="K695" s="1326">
        <v>0</v>
      </c>
      <c r="L695" s="1326">
        <v>0</v>
      </c>
      <c r="M695" s="1326">
        <v>0</v>
      </c>
      <c r="N695" s="1326">
        <v>0</v>
      </c>
      <c r="O695"/>
    </row>
    <row r="696" spans="1:15" s="408" customFormat="1">
      <c r="A696"/>
      <c r="B696"/>
      <c r="C696" s="367" t="s">
        <v>1140</v>
      </c>
      <c r="D696" s="420" t="s">
        <v>1153</v>
      </c>
      <c r="E696" s="363"/>
      <c r="F696" s="1326">
        <v>0</v>
      </c>
      <c r="G696" s="1326">
        <v>0</v>
      </c>
      <c r="H696" s="1326">
        <v>0</v>
      </c>
      <c r="I696" s="1326">
        <v>0</v>
      </c>
      <c r="J696" s="1326">
        <v>0</v>
      </c>
      <c r="K696" s="1326">
        <v>0</v>
      </c>
      <c r="L696" s="1326">
        <v>0</v>
      </c>
      <c r="M696" s="1326">
        <v>0</v>
      </c>
      <c r="N696" s="1326">
        <v>0</v>
      </c>
      <c r="O696"/>
    </row>
    <row r="697" spans="1:15" s="408" customFormat="1">
      <c r="A697"/>
      <c r="B697"/>
      <c r="C697" s="382" t="s">
        <v>1140</v>
      </c>
      <c r="D697" s="420" t="s">
        <v>1154</v>
      </c>
      <c r="E697" s="363"/>
      <c r="F697" s="1628">
        <v>3.8860497891874922E-2</v>
      </c>
      <c r="G697" s="1628">
        <v>3.4090866603262292E-2</v>
      </c>
      <c r="H697" s="1628">
        <v>3.3491639077635263E-2</v>
      </c>
      <c r="I697" s="1628">
        <v>3.2677956249668856E-2</v>
      </c>
      <c r="J697" s="1628">
        <v>3.1834748144568263E-2</v>
      </c>
      <c r="K697" s="1628">
        <v>3.095263281583973E-2</v>
      </c>
      <c r="L697" s="1628">
        <v>2.9954532250350455E-2</v>
      </c>
      <c r="M697" s="1628">
        <v>2.8919981096798261E-2</v>
      </c>
      <c r="N697" s="1628">
        <v>2.8919981096798261E-2</v>
      </c>
      <c r="O697"/>
    </row>
    <row r="698" spans="1:15" s="408" customFormat="1">
      <c r="A698"/>
      <c r="B698"/>
      <c r="C698" s="382" t="s">
        <v>1142</v>
      </c>
      <c r="D698" s="420" t="s">
        <v>1142</v>
      </c>
      <c r="E698" s="363"/>
      <c r="F698" s="1326">
        <v>0</v>
      </c>
      <c r="G698" s="1326">
        <v>0</v>
      </c>
      <c r="H698" s="1326">
        <v>0</v>
      </c>
      <c r="I698" s="1326">
        <v>0</v>
      </c>
      <c r="J698" s="1326">
        <v>0</v>
      </c>
      <c r="K698" s="1326">
        <v>0</v>
      </c>
      <c r="L698" s="1326">
        <v>0</v>
      </c>
      <c r="M698" s="1326">
        <v>0</v>
      </c>
      <c r="N698" s="1326">
        <v>0</v>
      </c>
      <c r="O698"/>
    </row>
    <row r="699" spans="1:15" s="408" customFormat="1">
      <c r="A699"/>
      <c r="B699"/>
      <c r="C699" s="382"/>
      <c r="D699" s="420"/>
      <c r="E699" s="363"/>
      <c r="F699" s="1627">
        <f t="shared" ref="F699:N699" si="74">SUM(F688:F698)</f>
        <v>3.8860497891874922E-2</v>
      </c>
      <c r="G699" s="1627">
        <f t="shared" si="74"/>
        <v>3.4559311214212921E-2</v>
      </c>
      <c r="H699" s="1627">
        <f t="shared" si="74"/>
        <v>5.0631754277403448E-2</v>
      </c>
      <c r="I699" s="1627">
        <f t="shared" si="74"/>
        <v>6.6234609635553582E-2</v>
      </c>
      <c r="J699" s="1627">
        <f t="shared" si="74"/>
        <v>0.20890101436158487</v>
      </c>
      <c r="K699" s="1627">
        <f t="shared" si="74"/>
        <v>0.3543454638470333</v>
      </c>
      <c r="L699" s="1627">
        <f t="shared" si="74"/>
        <v>0.52863181444861818</v>
      </c>
      <c r="M699" s="1627">
        <f t="shared" si="74"/>
        <v>0.72185531550862547</v>
      </c>
      <c r="N699" s="1627">
        <f t="shared" si="74"/>
        <v>0.86275884221025234</v>
      </c>
      <c r="O699"/>
    </row>
    <row r="700" spans="1:15" s="408" customFormat="1">
      <c r="A700"/>
      <c r="B700"/>
      <c r="C700"/>
      <c r="D700"/>
      <c r="E700"/>
      <c r="F700"/>
      <c r="G700"/>
      <c r="H700"/>
      <c r="I700"/>
      <c r="J700"/>
      <c r="K700"/>
      <c r="L700"/>
      <c r="M700"/>
      <c r="N700"/>
      <c r="O700"/>
    </row>
    <row r="701" spans="1:15" s="408" customFormat="1">
      <c r="A701"/>
      <c r="B701"/>
      <c r="C701" s="363" t="s">
        <v>1243</v>
      </c>
      <c r="D701" s="363"/>
      <c r="E701" s="1327" t="s">
        <v>435</v>
      </c>
      <c r="F701" s="1639" t="s">
        <v>385</v>
      </c>
      <c r="G701" s="1327"/>
      <c r="H701" s="1327"/>
      <c r="I701" s="1327"/>
      <c r="J701" s="1327"/>
      <c r="K701" s="1327"/>
      <c r="L701" s="1327"/>
      <c r="M701" s="1327"/>
      <c r="N701" s="1327"/>
      <c r="O701"/>
    </row>
    <row r="702" spans="1:15" s="408" customFormat="1">
      <c r="A702" s="363"/>
      <c r="B702" s="988"/>
      <c r="C702" s="367" t="s">
        <v>1010</v>
      </c>
      <c r="D702"/>
      <c r="E702" s="363"/>
      <c r="F702" s="1327"/>
      <c r="G702" s="1327"/>
      <c r="H702" s="1327"/>
      <c r="I702" s="1327"/>
      <c r="J702" s="1327"/>
      <c r="K702" s="1327"/>
      <c r="L702" s="1327"/>
      <c r="M702" s="1327"/>
      <c r="N702" s="382" t="str">
        <f>Preferences.EnergyUnits</f>
        <v>TWh</v>
      </c>
      <c r="O702" s="363"/>
    </row>
    <row r="703" spans="1:15" s="408" customFormat="1">
      <c r="A703" s="363"/>
      <c r="B703" s="988"/>
      <c r="C703" s="367" t="s">
        <v>1136</v>
      </c>
      <c r="D703" s="420" t="s">
        <v>1148</v>
      </c>
      <c r="E703" s="363"/>
      <c r="F703" s="1326">
        <f t="array" ref="F703:F713">F$479:N$489*SUMIFS($N$334:$N$335, $C$334:$C$335, $C703:$C713, $D$334:$D$335, $D703:$D713)</f>
        <v>0</v>
      </c>
      <c r="G703" s="1326">
        <f t="array" ref="G703:N713">G$479:N$489*SUMIFS(N$334:N$335, $C$334:$C$335, $C703:$C713, $D$334:$D$335, $D703:$D713)</f>
        <v>0</v>
      </c>
      <c r="H703" s="1326">
        <v>0</v>
      </c>
      <c r="I703" s="1326">
        <v>0</v>
      </c>
      <c r="J703" s="1326">
        <v>0</v>
      </c>
      <c r="K703" s="1326">
        <v>0</v>
      </c>
      <c r="L703" s="1326">
        <v>0</v>
      </c>
      <c r="M703" s="1326">
        <v>0</v>
      </c>
      <c r="N703" s="1326">
        <v>0</v>
      </c>
      <c r="O703" s="363"/>
    </row>
    <row r="704" spans="1:15" s="408" customFormat="1">
      <c r="A704"/>
      <c r="B704" s="988"/>
      <c r="C704" s="367" t="s">
        <v>1136</v>
      </c>
      <c r="D704" s="1334" t="s">
        <v>1149</v>
      </c>
      <c r="E704" s="363"/>
      <c r="F704" s="1326">
        <v>0</v>
      </c>
      <c r="G704" s="1326">
        <v>0</v>
      </c>
      <c r="H704" s="1326">
        <v>0</v>
      </c>
      <c r="I704" s="1326">
        <v>0</v>
      </c>
      <c r="J704" s="1326">
        <v>0</v>
      </c>
      <c r="K704" s="1326">
        <v>0</v>
      </c>
      <c r="L704" s="1326">
        <v>0</v>
      </c>
      <c r="M704" s="1326">
        <v>0</v>
      </c>
      <c r="N704" s="1326">
        <v>0</v>
      </c>
      <c r="O704" s="363"/>
    </row>
    <row r="705" spans="1:15" s="408" customFormat="1">
      <c r="A705"/>
      <c r="B705" s="988"/>
      <c r="C705" s="367" t="s">
        <v>1136</v>
      </c>
      <c r="D705" s="420" t="s">
        <v>1150</v>
      </c>
      <c r="E705" s="363"/>
      <c r="F705" s="1326">
        <v>0</v>
      </c>
      <c r="G705" s="1326">
        <v>0</v>
      </c>
      <c r="H705" s="1326">
        <v>0</v>
      </c>
      <c r="I705" s="1326">
        <v>0</v>
      </c>
      <c r="J705" s="1326">
        <v>0</v>
      </c>
      <c r="K705" s="1326">
        <v>0</v>
      </c>
      <c r="L705" s="1326">
        <v>0</v>
      </c>
      <c r="M705" s="1326">
        <v>0</v>
      </c>
      <c r="N705" s="1326">
        <v>0</v>
      </c>
      <c r="O705" s="363"/>
    </row>
    <row r="706" spans="1:15" s="363" customFormat="1">
      <c r="A706"/>
      <c r="B706" s="988"/>
      <c r="C706" s="367" t="s">
        <v>1136</v>
      </c>
      <c r="D706" s="420" t="s">
        <v>1151</v>
      </c>
      <c r="F706" s="1326">
        <v>9.8843865838814832E-5</v>
      </c>
      <c r="G706" s="1326">
        <v>1.0526549418152516E-4</v>
      </c>
      <c r="H706" s="1326">
        <v>5.4872173139656013E-4</v>
      </c>
      <c r="I706" s="1326">
        <v>1.1379835677347977E-3</v>
      </c>
      <c r="J706" s="1326">
        <v>6.4907222184811455E-3</v>
      </c>
      <c r="K706" s="1326">
        <v>1.2236898101182787E-2</v>
      </c>
      <c r="L706" s="1326">
        <v>1.8983034694754645E-2</v>
      </c>
      <c r="M706" s="1326">
        <v>2.6174693959038403E-2</v>
      </c>
      <c r="N706" s="1326">
        <v>2.9446530703918207E-2</v>
      </c>
    </row>
    <row r="707" spans="1:15" s="363" customFormat="1">
      <c r="A707"/>
      <c r="B707" s="988"/>
      <c r="C707" s="367" t="s">
        <v>1138</v>
      </c>
      <c r="D707" s="420" t="s">
        <v>1148</v>
      </c>
      <c r="F707" s="1326">
        <v>0</v>
      </c>
      <c r="G707" s="1326">
        <v>0</v>
      </c>
      <c r="H707" s="1326">
        <v>0</v>
      </c>
      <c r="I707" s="1326">
        <v>0</v>
      </c>
      <c r="J707" s="1326">
        <v>0</v>
      </c>
      <c r="K707" s="1326">
        <v>0</v>
      </c>
      <c r="L707" s="1326">
        <v>0</v>
      </c>
      <c r="M707" s="1326">
        <v>0</v>
      </c>
      <c r="N707" s="1326">
        <v>0</v>
      </c>
    </row>
    <row r="708" spans="1:15" s="363" customFormat="1">
      <c r="A708"/>
      <c r="B708" s="988"/>
      <c r="C708" s="367" t="s">
        <v>1138</v>
      </c>
      <c r="D708" s="1334" t="s">
        <v>1152</v>
      </c>
      <c r="F708" s="1326">
        <v>0</v>
      </c>
      <c r="G708" s="1326">
        <v>0</v>
      </c>
      <c r="H708" s="1326">
        <v>0</v>
      </c>
      <c r="I708" s="1326">
        <v>0</v>
      </c>
      <c r="J708" s="1326">
        <v>0</v>
      </c>
      <c r="K708" s="1326">
        <v>0</v>
      </c>
      <c r="L708" s="1326">
        <v>0</v>
      </c>
      <c r="M708" s="1326">
        <v>0</v>
      </c>
      <c r="N708" s="1326">
        <v>0</v>
      </c>
    </row>
    <row r="709" spans="1:15" s="363" customFormat="1">
      <c r="A709"/>
      <c r="B709" s="988"/>
      <c r="C709" s="367" t="s">
        <v>1138</v>
      </c>
      <c r="D709" s="420" t="s">
        <v>1150</v>
      </c>
      <c r="F709" s="1326">
        <v>0</v>
      </c>
      <c r="G709" s="1326">
        <v>0</v>
      </c>
      <c r="H709" s="1326">
        <v>0</v>
      </c>
      <c r="I709" s="1326">
        <v>0</v>
      </c>
      <c r="J709" s="1326">
        <v>0</v>
      </c>
      <c r="K709" s="1326">
        <v>0</v>
      </c>
      <c r="L709" s="1326">
        <v>0</v>
      </c>
      <c r="M709" s="1326">
        <v>0</v>
      </c>
      <c r="N709" s="1326">
        <v>0</v>
      </c>
    </row>
    <row r="710" spans="1:15" s="363" customFormat="1">
      <c r="A710"/>
      <c r="B710" s="988"/>
      <c r="C710" s="382" t="s">
        <v>1138</v>
      </c>
      <c r="D710" s="1334" t="s">
        <v>1151</v>
      </c>
      <c r="F710" s="1326">
        <v>0</v>
      </c>
      <c r="G710" s="1326">
        <v>0</v>
      </c>
      <c r="H710" s="1326">
        <v>9.4980239638818901E-4</v>
      </c>
      <c r="I710" s="1326">
        <v>1.9697771344575322E-3</v>
      </c>
      <c r="J710" s="1326">
        <v>2.0427321982783722E-3</v>
      </c>
      <c r="K710" s="1326">
        <v>2.1181291856767802E-3</v>
      </c>
      <c r="L710" s="1326">
        <v>2.1905616650670806E-3</v>
      </c>
      <c r="M710" s="1326">
        <v>2.2653364742588711E-3</v>
      </c>
      <c r="N710" s="1326">
        <v>2.2653364742588711E-3</v>
      </c>
    </row>
    <row r="711" spans="1:15" s="363" customFormat="1">
      <c r="A711"/>
      <c r="B711" s="988"/>
      <c r="C711" s="367" t="s">
        <v>1140</v>
      </c>
      <c r="D711" s="420" t="s">
        <v>1153</v>
      </c>
      <c r="F711" s="1326">
        <v>0</v>
      </c>
      <c r="G711" s="1326">
        <v>0</v>
      </c>
      <c r="H711" s="1326">
        <v>0</v>
      </c>
      <c r="I711" s="1326">
        <v>0</v>
      </c>
      <c r="J711" s="1326">
        <v>0</v>
      </c>
      <c r="K711" s="1326">
        <v>0</v>
      </c>
      <c r="L711" s="1326">
        <v>0</v>
      </c>
      <c r="M711" s="1326">
        <v>0</v>
      </c>
      <c r="N711" s="1326">
        <v>0</v>
      </c>
    </row>
    <row r="712" spans="1:15" s="363" customFormat="1">
      <c r="A712"/>
      <c r="B712" s="988"/>
      <c r="C712" s="382" t="s">
        <v>1140</v>
      </c>
      <c r="D712" s="420" t="s">
        <v>1154</v>
      </c>
      <c r="F712" s="1326">
        <v>0</v>
      </c>
      <c r="G712" s="1326">
        <v>0</v>
      </c>
      <c r="H712" s="1326">
        <v>0</v>
      </c>
      <c r="I712" s="1326">
        <v>0</v>
      </c>
      <c r="J712" s="1326">
        <v>0</v>
      </c>
      <c r="K712" s="1326">
        <v>0</v>
      </c>
      <c r="L712" s="1326">
        <v>0</v>
      </c>
      <c r="M712" s="1326">
        <v>0</v>
      </c>
      <c r="N712" s="1326">
        <v>0</v>
      </c>
    </row>
    <row r="713" spans="1:15" s="363" customFormat="1">
      <c r="A713"/>
      <c r="B713" s="988"/>
      <c r="C713" s="382" t="s">
        <v>1142</v>
      </c>
      <c r="D713" s="420" t="s">
        <v>1142</v>
      </c>
      <c r="E713" s="363">
        <v>0.25</v>
      </c>
      <c r="F713" s="1326">
        <v>0</v>
      </c>
      <c r="G713" s="1326">
        <v>0</v>
      </c>
      <c r="H713" s="1326">
        <v>0</v>
      </c>
      <c r="I713" s="1326">
        <v>0</v>
      </c>
      <c r="J713" s="1326">
        <v>0</v>
      </c>
      <c r="K713" s="1326">
        <v>0</v>
      </c>
      <c r="L713" s="1326">
        <v>0</v>
      </c>
      <c r="M713" s="1326">
        <v>0</v>
      </c>
      <c r="N713" s="1326">
        <v>0</v>
      </c>
    </row>
    <row r="714" spans="1:15" s="363" customFormat="1">
      <c r="A714"/>
      <c r="B714" s="988"/>
      <c r="C714" s="382"/>
      <c r="D714" s="420"/>
      <c r="F714" s="1627">
        <f t="shared" ref="F714:M714" si="75">SUM(F703:F713)</f>
        <v>9.8843865838814832E-5</v>
      </c>
      <c r="G714" s="1627">
        <f t="shared" si="75"/>
        <v>1.0526549418152516E-4</v>
      </c>
      <c r="H714" s="1627">
        <f t="shared" si="75"/>
        <v>1.4985241277847491E-3</v>
      </c>
      <c r="I714" s="1627">
        <f t="shared" si="75"/>
        <v>3.1077607021923297E-3</v>
      </c>
      <c r="J714" s="1627">
        <f t="shared" si="75"/>
        <v>8.5334544167595186E-3</v>
      </c>
      <c r="K714" s="1627">
        <f t="shared" si="75"/>
        <v>1.4355027286859567E-2</v>
      </c>
      <c r="L714" s="1627">
        <f t="shared" si="75"/>
        <v>2.1173596359821727E-2</v>
      </c>
      <c r="M714" s="1627">
        <f t="shared" si="75"/>
        <v>2.8440030433297275E-2</v>
      </c>
      <c r="N714" s="1627">
        <f>SUM(N703:N713)</f>
        <v>3.1711867178177075E-2</v>
      </c>
    </row>
    <row r="715" spans="1:15" s="363" customFormat="1">
      <c r="A715"/>
      <c r="B715" s="988"/>
      <c r="C715" s="382"/>
      <c r="D715" s="420"/>
      <c r="F715" s="1641"/>
      <c r="G715" s="1641"/>
      <c r="H715" s="1641"/>
      <c r="I715" s="1641"/>
      <c r="J715" s="1641"/>
      <c r="K715" s="1641"/>
      <c r="L715" s="1641"/>
      <c r="M715" s="1641"/>
      <c r="N715" s="1641"/>
    </row>
    <row r="716" spans="1:15" s="363" customFormat="1">
      <c r="A716"/>
      <c r="B716" s="988">
        <v>5</v>
      </c>
      <c r="C716" s="412" t="s">
        <v>1244</v>
      </c>
      <c r="D716" s="420"/>
      <c r="F716" s="1621"/>
      <c r="G716" s="1621"/>
      <c r="H716" s="1621"/>
      <c r="I716" s="1621"/>
      <c r="J716" s="1621"/>
      <c r="K716" s="1621"/>
      <c r="L716" s="1621"/>
      <c r="M716" s="1621"/>
      <c r="N716" s="1621"/>
    </row>
    <row r="717" spans="1:15" s="363" customFormat="1">
      <c r="A717"/>
      <c r="B717" s="988"/>
      <c r="C717" s="367"/>
      <c r="D717" s="420"/>
      <c r="F717" s="1621"/>
      <c r="G717" s="1621"/>
      <c r="H717" s="1621"/>
      <c r="I717" s="1621"/>
      <c r="J717" s="1621"/>
      <c r="K717" s="1621"/>
      <c r="L717" s="1621"/>
      <c r="M717" s="1621"/>
      <c r="N717" s="382" t="str">
        <f>Preferences.EnergyUnits</f>
        <v>TWh</v>
      </c>
    </row>
    <row r="718" spans="1:15" s="363" customFormat="1">
      <c r="A718"/>
      <c r="B718" s="988"/>
      <c r="C718" t="s">
        <v>1245</v>
      </c>
      <c r="D718" s="2"/>
      <c r="F718" s="1326">
        <f>SUM(F$673:F$680)+SUM(F$688:F$695)+SUM(F$703:F$710)</f>
        <v>23.342720899243059</v>
      </c>
      <c r="G718" s="1326">
        <f>SUM(G$673:G$680)+SUM(G$688:G$695)+SUM(G$703:G$710)</f>
        <v>22.145400751413334</v>
      </c>
      <c r="H718" s="1326">
        <f t="shared" ref="H718:N718" si="76">SUM(H$673:H$680)+SUM(H$688:H$695)+SUM(H$703:H$710)</f>
        <v>20.090973289573654</v>
      </c>
      <c r="I718" s="1326">
        <f t="shared" si="76"/>
        <v>17.642063414511885</v>
      </c>
      <c r="J718" s="1326">
        <f t="shared" si="76"/>
        <v>17.136541765346468</v>
      </c>
      <c r="K718" s="1326">
        <f t="shared" si="76"/>
        <v>16.549315531973154</v>
      </c>
      <c r="L718" s="1326">
        <f t="shared" si="76"/>
        <v>16.12765889481858</v>
      </c>
      <c r="M718" s="1326">
        <f t="shared" si="76"/>
        <v>15.759448029913269</v>
      </c>
      <c r="N718" s="1326">
        <f t="shared" si="76"/>
        <v>15.429261720662987</v>
      </c>
    </row>
    <row r="719" spans="1:15" s="363" customFormat="1">
      <c r="A719"/>
      <c r="B719" s="988"/>
      <c r="C719" t="s">
        <v>1246</v>
      </c>
      <c r="D719" s="2"/>
      <c r="F719" s="1625">
        <f>SUM(F$681:F$682)+SUM(F$696:F$697)+SUM(F$711:F$712)</f>
        <v>0.36579281663794627</v>
      </c>
      <c r="G719" s="1326">
        <f>SUM(G$681:G$682)+SUM(G$696:G$697)+SUM(G$711:G$712)</f>
        <v>0.42359842639234974</v>
      </c>
      <c r="H719" s="1326">
        <f t="shared" ref="H719:N719" si="77">SUM(H$681:H$682)+SUM(H$696:H$697)+SUM(H$711:H$712)</f>
        <v>0.41016424748435998</v>
      </c>
      <c r="I719" s="1326">
        <f t="shared" si="77"/>
        <v>0.39384076461262624</v>
      </c>
      <c r="J719" s="1326">
        <f t="shared" si="77"/>
        <v>0.37691204330856654</v>
      </c>
      <c r="K719" s="1326">
        <f t="shared" si="77"/>
        <v>0.35925272633022648</v>
      </c>
      <c r="L719" s="1326">
        <f t="shared" si="77"/>
        <v>0.33997541422328681</v>
      </c>
      <c r="M719" s="1326">
        <f t="shared" si="77"/>
        <v>0.32001065279402552</v>
      </c>
      <c r="N719" s="1326">
        <f t="shared" si="77"/>
        <v>0.32001065279402552</v>
      </c>
    </row>
    <row r="720" spans="1:15" s="363" customFormat="1">
      <c r="A720"/>
      <c r="B720" s="988"/>
      <c r="C720" t="s">
        <v>1247</v>
      </c>
      <c r="D720" s="2"/>
      <c r="F720" s="1326">
        <f>F$683+F$698+F$713</f>
        <v>2.7179785187540276E-2</v>
      </c>
      <c r="G720" s="1326">
        <f>G$683+G$698+G$713</f>
        <v>2.6979176745363341E-2</v>
      </c>
      <c r="H720" s="1326">
        <f t="shared" ref="H720:N720" si="78">H$683+H$698+H$713</f>
        <v>2.6748583502616049E-2</v>
      </c>
      <c r="I720" s="1326">
        <f t="shared" si="78"/>
        <v>2.6377315657889075E-2</v>
      </c>
      <c r="J720" s="1326">
        <f t="shared" si="78"/>
        <v>2.6013627209398826E-2</v>
      </c>
      <c r="K720" s="1326">
        <f t="shared" si="78"/>
        <v>2.5651802953474499E-2</v>
      </c>
      <c r="L720" s="1326">
        <f t="shared" si="78"/>
        <v>2.5228818186920948E-2</v>
      </c>
      <c r="M720" s="1326">
        <f t="shared" si="78"/>
        <v>2.4811333961622644E-2</v>
      </c>
      <c r="N720" s="1326">
        <f t="shared" si="78"/>
        <v>2.4811333961622644E-2</v>
      </c>
    </row>
    <row r="721" spans="1:15" s="363" customFormat="1">
      <c r="A721"/>
      <c r="B721"/>
      <c r="C721" s="2"/>
      <c r="D721" s="2"/>
      <c r="E721" s="382"/>
      <c r="F721" s="1382">
        <f t="shared" ref="F721:M721" si="79">SUM(F718:F720)</f>
        <v>23.735693501068546</v>
      </c>
      <c r="G721" s="1327">
        <f t="shared" si="79"/>
        <v>22.595978354551047</v>
      </c>
      <c r="H721" s="1327">
        <f t="shared" si="79"/>
        <v>20.52788612056063</v>
      </c>
      <c r="I721" s="1327">
        <f t="shared" si="79"/>
        <v>18.0622814947824</v>
      </c>
      <c r="J721" s="1327">
        <f t="shared" si="79"/>
        <v>17.539467435864434</v>
      </c>
      <c r="K721" s="1327">
        <f t="shared" si="79"/>
        <v>16.934220061256855</v>
      </c>
      <c r="L721" s="1327">
        <f t="shared" si="79"/>
        <v>16.492863127228787</v>
      </c>
      <c r="M721" s="1327">
        <f t="shared" si="79"/>
        <v>16.104270016668917</v>
      </c>
      <c r="N721" s="1327">
        <f>SUM(N718:N720)</f>
        <v>15.774083707418635</v>
      </c>
      <c r="O721"/>
    </row>
    <row r="722" spans="1:15" s="363" customFormat="1">
      <c r="A722"/>
      <c r="B722"/>
      <c r="C722" s="2"/>
      <c r="D722" s="2"/>
      <c r="E722" s="382"/>
      <c r="F722" s="1621"/>
      <c r="G722" s="1621"/>
      <c r="H722" s="1621"/>
      <c r="I722" s="1621"/>
      <c r="J722" s="1621"/>
      <c r="K722" s="1621"/>
      <c r="L722" s="1621"/>
      <c r="M722" s="1621"/>
      <c r="N722" s="1621"/>
      <c r="O722"/>
    </row>
    <row r="723" spans="1:15" s="363" customFormat="1">
      <c r="A723"/>
      <c r="B723"/>
      <c r="C723" s="363" t="s">
        <v>1248</v>
      </c>
      <c r="D723" s="6"/>
      <c r="E723" s="6"/>
      <c r="F723" s="366"/>
      <c r="G723" s="366"/>
      <c r="H723" s="366"/>
      <c r="I723" s="366"/>
      <c r="J723" s="366"/>
      <c r="K723" s="366"/>
      <c r="L723" s="366"/>
      <c r="M723" s="366"/>
      <c r="N723" s="366"/>
      <c r="O723" s="6"/>
    </row>
    <row r="724" spans="1:15" s="363" customFormat="1">
      <c r="A724"/>
      <c r="B724"/>
      <c r="C724" t="s">
        <v>253</v>
      </c>
      <c r="D724" s="6"/>
      <c r="E724" s="6" t="s">
        <v>254</v>
      </c>
      <c r="F724" s="992">
        <f>F$684*INDEX(EF[CO2], MATCH("V.04", EF[Vector], 0))</f>
        <v>6.2530942099589408</v>
      </c>
      <c r="G724" s="992">
        <f>G$684*INDEX(EF[CO2], MATCH("V.04", EF[Vector], 0))</f>
        <v>5.9534794796971182</v>
      </c>
      <c r="H724" s="992">
        <f>H$684*INDEX(EF[CO2], MATCH("V.04", EF[Vector], 0))</f>
        <v>5.4031424516279767</v>
      </c>
      <c r="I724" s="992">
        <f>I$684*INDEX(EF[CO2], MATCH("V.04", EF[Vector], 0))</f>
        <v>4.7479767761584553</v>
      </c>
      <c r="J724" s="992">
        <f>J$684*INDEX(EF[CO2], MATCH("V.04", EF[Vector], 0))</f>
        <v>4.5709380593546758</v>
      </c>
      <c r="K724" s="992">
        <f>K$684*INDEX(EF[CO2], MATCH("V.04", EF[Vector], 0))</f>
        <v>4.3713093041640461</v>
      </c>
      <c r="L724" s="992">
        <f>L$684*INDEX(EF[CO2], MATCH("V.04", EF[Vector], 0))</f>
        <v>4.2070540702090007</v>
      </c>
      <c r="M724" s="992">
        <f>M$684*INDEX(EF[CO2], MATCH("V.04", EF[Vector], 0))</f>
        <v>4.0516068361114383</v>
      </c>
      <c r="N724" s="992">
        <f>N$684*INDEX(EF[CO2], MATCH("V.04", EF[Vector], 0))</f>
        <v>3.9264322779202097</v>
      </c>
      <c r="O724" s="6"/>
    </row>
    <row r="725" spans="1:15" s="363" customFormat="1">
      <c r="A725"/>
      <c r="B725"/>
      <c r="C725" t="s">
        <v>255</v>
      </c>
      <c r="D725" s="6"/>
      <c r="E725" s="6" t="s">
        <v>254</v>
      </c>
      <c r="F725" s="2414">
        <f>F$684*INDEX(EF[CH4], MATCH("V.04", EF[Vector], 0))</f>
        <v>5.3744193073316966E-3</v>
      </c>
      <c r="G725" s="2414">
        <f>G$684*INDEX(EF[CH4], MATCH("V.04", EF[Vector], 0))</f>
        <v>5.116905964814714E-3</v>
      </c>
      <c r="H725" s="2414">
        <f>H$684*INDEX(EF[CH4], MATCH("V.04", EF[Vector], 0))</f>
        <v>4.6439014250008537E-3</v>
      </c>
      <c r="I725" s="2414">
        <f>I$684*INDEX(EF[CH4], MATCH("V.04", EF[Vector], 0))</f>
        <v>4.0807985934240487E-3</v>
      </c>
      <c r="J725" s="2414">
        <f>J$684*INDEX(EF[CH4], MATCH("V.04", EF[Vector], 0))</f>
        <v>3.9286370769351245E-3</v>
      </c>
      <c r="K725" s="2414">
        <f>K$684*INDEX(EF[CH4], MATCH("V.04", EF[Vector], 0))</f>
        <v>3.7570598385038879E-3</v>
      </c>
      <c r="L725" s="2414">
        <f>L$684*INDEX(EF[CH4], MATCH("V.04", EF[Vector], 0))</f>
        <v>3.6158854900841353E-3</v>
      </c>
      <c r="M725" s="2414">
        <f>M$684*INDEX(EF[CH4], MATCH("V.04", EF[Vector], 0))</f>
        <v>3.4822814553208824E-3</v>
      </c>
      <c r="N725" s="2414">
        <f>N$684*INDEX(EF[CH4], MATCH("V.04", EF[Vector], 0))</f>
        <v>3.3746962279532504E-3</v>
      </c>
      <c r="O725" s="6"/>
    </row>
    <row r="726" spans="1:15" s="363" customFormat="1">
      <c r="A726"/>
      <c r="B726"/>
      <c r="C726" t="s">
        <v>256</v>
      </c>
      <c r="D726" s="6"/>
      <c r="E726" s="6" t="s">
        <v>254</v>
      </c>
      <c r="F726" s="2414">
        <f>F$684*INDEX(EF[N2O], MATCH("V.04", EF[Vector], 0))</f>
        <v>1.5867333193074533E-2</v>
      </c>
      <c r="G726" s="2414">
        <f>G$684*INDEX(EF[N2O], MATCH("V.04", EF[Vector], 0))</f>
        <v>1.5107055705643441E-2</v>
      </c>
      <c r="H726" s="2414">
        <f>H$684*INDEX(EF[N2O], MATCH("V.04", EF[Vector], 0))</f>
        <v>1.3710566111907282E-2</v>
      </c>
      <c r="I726" s="2414">
        <f>I$684*INDEX(EF[N2O], MATCH("V.04", EF[Vector], 0))</f>
        <v>1.2048072037728142E-2</v>
      </c>
      <c r="J726" s="2414">
        <f>J$684*INDEX(EF[N2O], MATCH("V.04", EF[Vector], 0))</f>
        <v>1.1598833274760845E-2</v>
      </c>
      <c r="K726" s="2414">
        <f>K$684*INDEX(EF[N2O], MATCH("V.04", EF[Vector], 0))</f>
        <v>1.1092271904154336E-2</v>
      </c>
      <c r="L726" s="2414">
        <f>L$684*INDEX(EF[N2O], MATCH("V.04", EF[Vector], 0))</f>
        <v>1.0675471446915066E-2</v>
      </c>
      <c r="M726" s="2414">
        <f>M$684*INDEX(EF[N2O], MATCH("V.04", EF[Vector], 0))</f>
        <v>1.0281021439518796E-2</v>
      </c>
      <c r="N726" s="2414">
        <f>N$684*INDEX(EF[N2O], MATCH("V.04", EF[Vector], 0))</f>
        <v>9.9633888634810246E-3</v>
      </c>
      <c r="O726" s="6"/>
    </row>
    <row r="727" spans="1:15" s="363" customFormat="1">
      <c r="A727"/>
      <c r="B727"/>
      <c r="C727"/>
      <c r="D727"/>
      <c r="E727"/>
      <c r="F727"/>
      <c r="G727"/>
      <c r="H727"/>
      <c r="I727"/>
      <c r="J727"/>
      <c r="K727"/>
      <c r="L727"/>
      <c r="M727"/>
      <c r="N727"/>
      <c r="O727"/>
    </row>
    <row r="728" spans="1:15" s="363" customFormat="1" ht="23.25">
      <c r="A728" s="7"/>
      <c r="B728" s="511" t="s">
        <v>299</v>
      </c>
      <c r="C728" s="512"/>
      <c r="D728" s="512"/>
      <c r="E728" s="512"/>
      <c r="F728" s="512"/>
      <c r="G728" s="512"/>
      <c r="H728" s="512"/>
      <c r="I728" s="512"/>
      <c r="J728" s="512"/>
      <c r="K728" s="512"/>
      <c r="L728" s="512"/>
      <c r="M728" s="512"/>
      <c r="N728" s="512"/>
    </row>
    <row r="729" spans="1:15" s="363" customFormat="1">
      <c r="A729"/>
      <c r="B729" s="514"/>
      <c r="C729" s="515"/>
      <c r="D729" s="515"/>
      <c r="E729" s="515"/>
      <c r="F729" s="515"/>
      <c r="G729" s="515"/>
      <c r="H729" s="515"/>
      <c r="I729" s="515"/>
      <c r="J729" s="515"/>
      <c r="K729" s="515"/>
      <c r="L729" s="515"/>
      <c r="M729" s="515"/>
      <c r="N729" s="515"/>
    </row>
    <row r="730" spans="1:15" s="363" customFormat="1">
      <c r="A730"/>
      <c r="B730" s="514"/>
      <c r="C730" s="34" t="s">
        <v>1249</v>
      </c>
      <c r="D730" s="515"/>
      <c r="E730" s="516"/>
      <c r="F730" s="515"/>
      <c r="G730" s="515"/>
      <c r="H730" s="515"/>
      <c r="I730" s="515"/>
      <c r="J730" s="515"/>
      <c r="K730" s="515"/>
      <c r="L730" s="515"/>
      <c r="M730" s="515"/>
      <c r="N730" s="516" t="str">
        <f>Preferences.EnergyUnits</f>
        <v>TWh</v>
      </c>
    </row>
    <row r="731" spans="1:15" s="363" customFormat="1">
      <c r="A731"/>
      <c r="B731" s="514"/>
      <c r="C731" s="515"/>
      <c r="D731" s="515"/>
      <c r="E731" s="515"/>
      <c r="F731" s="515"/>
      <c r="G731" s="515"/>
      <c r="H731" s="515"/>
      <c r="I731" s="515"/>
      <c r="J731" s="515"/>
      <c r="K731" s="515"/>
      <c r="L731" s="515"/>
      <c r="M731" s="515"/>
      <c r="N731" s="515"/>
    </row>
    <row r="732" spans="1:15" s="363" customFormat="1" ht="15.75">
      <c r="A732"/>
      <c r="B732" s="15"/>
      <c r="C732" s="1741" t="s">
        <v>28</v>
      </c>
      <c r="D732" s="1741" t="s">
        <v>29</v>
      </c>
      <c r="E732" s="1741" t="s">
        <v>30</v>
      </c>
      <c r="F732" s="1741" t="s">
        <v>597</v>
      </c>
      <c r="G732" s="1741" t="s">
        <v>133</v>
      </c>
      <c r="H732" s="1741" t="s">
        <v>134</v>
      </c>
      <c r="I732" s="1741" t="s">
        <v>135</v>
      </c>
      <c r="J732" s="1741" t="s">
        <v>136</v>
      </c>
      <c r="K732" s="1741" t="s">
        <v>137</v>
      </c>
      <c r="L732" s="1741" t="s">
        <v>138</v>
      </c>
      <c r="M732" s="1741" t="s">
        <v>139</v>
      </c>
      <c r="N732" s="1741" t="s">
        <v>140</v>
      </c>
    </row>
    <row r="733" spans="1:15" s="363" customFormat="1" ht="15.75">
      <c r="A733"/>
      <c r="B733" s="15"/>
      <c r="C733" s="725" t="s">
        <v>418</v>
      </c>
      <c r="D733" s="1746" t="str">
        <f>INDEX(Vectors[Description], MATCH([Vector], Vectors[Code], 0))</f>
        <v>Road transport</v>
      </c>
      <c r="E733" s="725"/>
      <c r="F733" s="726">
        <f t="shared" ref="F733:N733" si="80">F718</f>
        <v>23.342720899243059</v>
      </c>
      <c r="G733" s="726">
        <f t="shared" si="80"/>
        <v>22.145400751413334</v>
      </c>
      <c r="H733" s="726">
        <f t="shared" si="80"/>
        <v>20.090973289573654</v>
      </c>
      <c r="I733" s="726">
        <f t="shared" si="80"/>
        <v>17.642063414511885</v>
      </c>
      <c r="J733" s="726">
        <f t="shared" si="80"/>
        <v>17.136541765346468</v>
      </c>
      <c r="K733" s="726">
        <f t="shared" si="80"/>
        <v>16.549315531973154</v>
      </c>
      <c r="L733" s="726">
        <f t="shared" si="80"/>
        <v>16.12765889481858</v>
      </c>
      <c r="M733" s="726">
        <f t="shared" si="80"/>
        <v>15.759448029913269</v>
      </c>
      <c r="N733" s="726">
        <f t="shared" si="80"/>
        <v>15.429261720662987</v>
      </c>
    </row>
    <row r="734" spans="1:15" s="363" customFormat="1" ht="15.75">
      <c r="A734"/>
      <c r="B734" s="15"/>
      <c r="C734" s="725" t="s">
        <v>419</v>
      </c>
      <c r="D734" s="1746" t="str">
        <f>INDEX(Vectors[Description], MATCH([Vector], Vectors[Code], 0))</f>
        <v>Rail transport</v>
      </c>
      <c r="E734" s="725"/>
      <c r="F734" s="1743">
        <f>F719+F$165</f>
        <v>0.38905281663794627</v>
      </c>
      <c r="G734" s="726">
        <f t="shared" ref="G734:N734" si="81">G719+H$165</f>
        <v>0.44685842639234974</v>
      </c>
      <c r="H734" s="726">
        <f t="shared" si="81"/>
        <v>0.43342424748435998</v>
      </c>
      <c r="I734" s="726">
        <f t="shared" si="81"/>
        <v>0.41710076461262624</v>
      </c>
      <c r="J734" s="726">
        <f t="shared" si="81"/>
        <v>0.40017204330856654</v>
      </c>
      <c r="K734" s="726">
        <f t="shared" si="81"/>
        <v>0.38251272633022648</v>
      </c>
      <c r="L734" s="726">
        <f t="shared" si="81"/>
        <v>0.36323541422328681</v>
      </c>
      <c r="M734" s="726">
        <f t="shared" si="81"/>
        <v>0.34327065279402552</v>
      </c>
      <c r="N734" s="726">
        <f t="shared" si="81"/>
        <v>0.32001065279402552</v>
      </c>
    </row>
    <row r="735" spans="1:15" s="363" customFormat="1" ht="15.75">
      <c r="A735"/>
      <c r="B735" s="15"/>
      <c r="C735" s="725" t="s">
        <v>420</v>
      </c>
      <c r="D735" s="1746" t="str">
        <f>INDEX(Vectors[Description], MATCH([Vector], Vectors[Code], 0))</f>
        <v>Domestic aviation</v>
      </c>
      <c r="E735" s="725"/>
      <c r="F735" s="1743">
        <f t="shared" ref="F735:N735" si="82">F720</f>
        <v>2.7179785187540276E-2</v>
      </c>
      <c r="G735" s="726">
        <f t="shared" si="82"/>
        <v>2.6979176745363341E-2</v>
      </c>
      <c r="H735" s="726">
        <f t="shared" si="82"/>
        <v>2.6748583502616049E-2</v>
      </c>
      <c r="I735" s="726">
        <f t="shared" si="82"/>
        <v>2.6377315657889075E-2</v>
      </c>
      <c r="J735" s="726">
        <f t="shared" si="82"/>
        <v>2.6013627209398826E-2</v>
      </c>
      <c r="K735" s="726">
        <f t="shared" si="82"/>
        <v>2.5651802953474499E-2</v>
      </c>
      <c r="L735" s="726">
        <f t="shared" si="82"/>
        <v>2.5228818186920948E-2</v>
      </c>
      <c r="M735" s="726">
        <f t="shared" si="82"/>
        <v>2.4811333961622644E-2</v>
      </c>
      <c r="N735" s="726">
        <f t="shared" si="82"/>
        <v>2.4811333961622644E-2</v>
      </c>
    </row>
    <row r="736" spans="1:15" s="363" customFormat="1" ht="15.75">
      <c r="A736"/>
      <c r="B736" s="15"/>
      <c r="C736" s="725" t="s">
        <v>99</v>
      </c>
      <c r="D736" s="1746" t="str">
        <f>INDEX(Vectors[Description], MATCH([Vector], Vectors[Code], 0))</f>
        <v>Liquid hydrocarbons</v>
      </c>
      <c r="E736" s="725"/>
      <c r="F736" s="726">
        <f t="shared" ref="F736:N736" si="83">-F684</f>
        <v>-23.696734159310832</v>
      </c>
      <c r="G736" s="726">
        <f t="shared" si="83"/>
        <v>-22.561313777842653</v>
      </c>
      <c r="H736" s="726">
        <f t="shared" si="83"/>
        <v>-20.47575584215544</v>
      </c>
      <c r="I736" s="726">
        <f t="shared" si="83"/>
        <v>-17.992939124444657</v>
      </c>
      <c r="J736" s="726">
        <f t="shared" si="83"/>
        <v>-17.322032967086088</v>
      </c>
      <c r="K736" s="726">
        <f t="shared" si="83"/>
        <v>-16.565519570122962</v>
      </c>
      <c r="L736" s="726">
        <f t="shared" si="83"/>
        <v>-15.943057716420348</v>
      </c>
      <c r="M736" s="726">
        <f t="shared" si="83"/>
        <v>-15.353974670726995</v>
      </c>
      <c r="N736" s="726">
        <f t="shared" si="83"/>
        <v>-14.879612998030204</v>
      </c>
    </row>
    <row r="737" spans="1:14" s="363" customFormat="1" ht="15.75">
      <c r="A737"/>
      <c r="B737" s="15"/>
      <c r="C737" s="725" t="s">
        <v>96</v>
      </c>
      <c r="D737" s="1746" t="str">
        <f>INDEX(Vectors[Description], MATCH([Vector], Vectors[Code], 0))</f>
        <v>Electricity (delivered to end user)</v>
      </c>
      <c r="E737" s="725"/>
      <c r="F737" s="726">
        <f>-F699-F$165</f>
        <v>-6.2120497891874918E-2</v>
      </c>
      <c r="G737" s="726">
        <f>-G699-H$165</f>
        <v>-5.7819311214212923E-2</v>
      </c>
      <c r="H737" s="726">
        <f t="shared" ref="H737:N737" si="84">-H699-I$165</f>
        <v>-7.3891754277403451E-2</v>
      </c>
      <c r="I737" s="726">
        <f t="shared" si="84"/>
        <v>-8.9494609635553585E-2</v>
      </c>
      <c r="J737" s="726">
        <f t="shared" si="84"/>
        <v>-0.23216101436158487</v>
      </c>
      <c r="K737" s="726">
        <f t="shared" si="84"/>
        <v>-0.37760546384703331</v>
      </c>
      <c r="L737" s="726">
        <f t="shared" si="84"/>
        <v>-0.55189181444861812</v>
      </c>
      <c r="M737" s="726">
        <f t="shared" si="84"/>
        <v>-0.74511531550862542</v>
      </c>
      <c r="N737" s="726">
        <f t="shared" si="84"/>
        <v>-0.86275884221025234</v>
      </c>
    </row>
    <row r="738" spans="1:14" s="363" customFormat="1" ht="15.75">
      <c r="A738"/>
      <c r="B738" s="15"/>
      <c r="C738" s="725" t="s">
        <v>435</v>
      </c>
      <c r="D738" s="1746" t="str">
        <f>INDEX(Vectors[Description], MATCH([Vector], Vectors[Code], 0))</f>
        <v>H2</v>
      </c>
      <c r="E738" s="725"/>
      <c r="F738" s="726">
        <f t="shared" ref="F738:N738" si="85">-F$714</f>
        <v>-9.8843865838814832E-5</v>
      </c>
      <c r="G738" s="726">
        <f t="shared" si="85"/>
        <v>-1.0526549418152516E-4</v>
      </c>
      <c r="H738" s="726">
        <f t="shared" si="85"/>
        <v>-1.4985241277847491E-3</v>
      </c>
      <c r="I738" s="726">
        <f t="shared" si="85"/>
        <v>-3.1077607021923297E-3</v>
      </c>
      <c r="J738" s="726">
        <f t="shared" si="85"/>
        <v>-8.5334544167595186E-3</v>
      </c>
      <c r="K738" s="726">
        <f t="shared" si="85"/>
        <v>-1.4355027286859567E-2</v>
      </c>
      <c r="L738" s="726">
        <f t="shared" si="85"/>
        <v>-2.1173596359821727E-2</v>
      </c>
      <c r="M738" s="726">
        <f t="shared" si="85"/>
        <v>-2.8440030433297275E-2</v>
      </c>
      <c r="N738" s="726">
        <f t="shared" si="85"/>
        <v>-3.1711867178177075E-2</v>
      </c>
    </row>
    <row r="739" spans="1:14" s="363" customFormat="1" ht="15.75">
      <c r="A739"/>
      <c r="B739" s="15"/>
      <c r="C739" s="2463" t="s">
        <v>59</v>
      </c>
      <c r="D739" s="2463"/>
      <c r="E739" s="2463"/>
      <c r="F739" s="2464">
        <f>SUBTOTAL(109,[2013])</f>
        <v>6.4209163160022786E-16</v>
      </c>
      <c r="G739" s="2464">
        <f>SUBTOTAL(109,[2015])</f>
        <v>2.3307636203007132E-16</v>
      </c>
      <c r="H739" s="2464">
        <f>SUBTOTAL(109,[2020])</f>
        <v>2.7686186676589841E-15</v>
      </c>
      <c r="I739" s="2464">
        <f>SUBTOTAL(109,[2025])</f>
        <v>-2.0365653607967715E-15</v>
      </c>
      <c r="J739" s="2464">
        <f>SUBTOTAL(109,[2030])</f>
        <v>-7.2858385991025898E-16</v>
      </c>
      <c r="K739" s="2464">
        <f>SUBTOTAL(109,[2035])</f>
        <v>7.6674777638174874E-16</v>
      </c>
      <c r="L739" s="2464">
        <f>SUBTOTAL(109,[2040])</f>
        <v>-4.2674197509029455E-16</v>
      </c>
      <c r="M739" s="2464">
        <f>SUBTOTAL(109,[2045])</f>
        <v>-4.8225312632155237E-16</v>
      </c>
      <c r="N739" s="2464">
        <f>SUBTOTAL(109,[2050])</f>
        <v>1.3461454173580023E-15</v>
      </c>
    </row>
    <row r="740" spans="1:14" s="363" customFormat="1" ht="15.75">
      <c r="A740"/>
      <c r="B740" s="15"/>
      <c r="C740" s="17"/>
      <c r="D740" s="17"/>
      <c r="E740" s="17"/>
      <c r="F740" s="2461" t="s">
        <v>5</v>
      </c>
      <c r="G740" s="449"/>
      <c r="H740" s="449"/>
      <c r="I740" s="449"/>
      <c r="J740" s="449"/>
      <c r="K740" s="449"/>
      <c r="L740" s="449"/>
      <c r="M740" s="449"/>
      <c r="N740" s="449"/>
    </row>
    <row r="741" spans="1:14" s="363" customFormat="1" ht="15.75">
      <c r="A741"/>
      <c r="B741" s="15"/>
      <c r="C741" s="34" t="s">
        <v>1250</v>
      </c>
      <c r="D741" s="515"/>
      <c r="E741" s="516"/>
      <c r="F741" s="515"/>
      <c r="G741" s="515"/>
      <c r="H741" s="515"/>
      <c r="I741" s="515"/>
      <c r="J741" s="515"/>
      <c r="K741" s="515"/>
      <c r="L741" s="515"/>
      <c r="M741" s="515"/>
      <c r="N741" s="516" t="str">
        <f>Preferences.EnergyUnits</f>
        <v>TWh</v>
      </c>
    </row>
    <row r="742" spans="1:14" s="363" customFormat="1" ht="15.75">
      <c r="A742"/>
      <c r="B742" s="15"/>
      <c r="C742" s="515"/>
      <c r="D742" s="515"/>
      <c r="E742" s="515"/>
      <c r="F742" s="515"/>
      <c r="G742" s="515"/>
      <c r="H742" s="515"/>
      <c r="I742" s="515"/>
      <c r="J742" s="515"/>
      <c r="K742" s="515"/>
      <c r="L742" s="515"/>
      <c r="M742" s="515"/>
      <c r="N742" s="515"/>
    </row>
    <row r="743" spans="1:14" s="363" customFormat="1" ht="15.75">
      <c r="A743"/>
      <c r="B743" s="15"/>
      <c r="C743" s="873" t="s">
        <v>28</v>
      </c>
      <c r="D743" s="873" t="s">
        <v>29</v>
      </c>
      <c r="E743" s="873" t="s">
        <v>30</v>
      </c>
      <c r="F743" s="873" t="s">
        <v>597</v>
      </c>
      <c r="G743" s="873" t="s">
        <v>133</v>
      </c>
      <c r="H743" s="873" t="s">
        <v>134</v>
      </c>
      <c r="I743" s="873" t="s">
        <v>135</v>
      </c>
      <c r="J743" s="873" t="s">
        <v>136</v>
      </c>
      <c r="K743" s="873" t="s">
        <v>137</v>
      </c>
      <c r="L743" s="873" t="s">
        <v>138</v>
      </c>
      <c r="M743" s="873" t="s">
        <v>139</v>
      </c>
      <c r="N743" s="873" t="s">
        <v>140</v>
      </c>
    </row>
    <row r="744" spans="1:14" s="363" customFormat="1" ht="15.75">
      <c r="A744"/>
      <c r="B744" s="15"/>
      <c r="C744" s="17" t="s">
        <v>418</v>
      </c>
      <c r="D744" s="2487" t="str">
        <f>INDEX(Vectors[Description], MATCH([Vector], Vectors[Code], 0))</f>
        <v>Road transport</v>
      </c>
      <c r="E744" s="17"/>
      <c r="F744" s="22">
        <f t="shared" ref="F744:N744" si="86">F718</f>
        <v>23.342720899243059</v>
      </c>
      <c r="G744" s="22">
        <f t="shared" si="86"/>
        <v>22.145400751413334</v>
      </c>
      <c r="H744" s="22">
        <f t="shared" si="86"/>
        <v>20.090973289573654</v>
      </c>
      <c r="I744" s="22">
        <f t="shared" si="86"/>
        <v>17.642063414511885</v>
      </c>
      <c r="J744" s="22">
        <f t="shared" si="86"/>
        <v>17.136541765346468</v>
      </c>
      <c r="K744" s="22">
        <f t="shared" si="86"/>
        <v>16.549315531973154</v>
      </c>
      <c r="L744" s="22">
        <f t="shared" si="86"/>
        <v>16.12765889481858</v>
      </c>
      <c r="M744" s="22">
        <f t="shared" si="86"/>
        <v>15.759448029913269</v>
      </c>
      <c r="N744" s="22">
        <f t="shared" si="86"/>
        <v>15.429261720662987</v>
      </c>
    </row>
    <row r="745" spans="1:14" s="363" customFormat="1" ht="15.75">
      <c r="A745"/>
      <c r="B745" s="15"/>
      <c r="C745" s="17" t="s">
        <v>99</v>
      </c>
      <c r="D745" s="2487" t="str">
        <f>INDEX(Vectors[Description], MATCH([Vector], Vectors[Code], 0))</f>
        <v>Liquid hydrocarbons</v>
      </c>
      <c r="E745" s="17"/>
      <c r="F745" s="22">
        <f t="shared" ref="F745:N745" si="87">-SUM(F673:F680)</f>
        <v>-23.34262205537722</v>
      </c>
      <c r="G745" s="22">
        <f t="shared" si="87"/>
        <v>-22.144827041308201</v>
      </c>
      <c r="H745" s="22">
        <f t="shared" si="87"/>
        <v>-20.072334650246098</v>
      </c>
      <c r="I745" s="22">
        <f t="shared" si="87"/>
        <v>-17.605399000423809</v>
      </c>
      <c r="J745" s="22">
        <f t="shared" si="87"/>
        <v>-16.95094204471269</v>
      </c>
      <c r="K745" s="22">
        <f t="shared" si="87"/>
        <v>-16.2115676736551</v>
      </c>
      <c r="L745" s="22">
        <f t="shared" si="87"/>
        <v>-15.60780801626049</v>
      </c>
      <c r="M745" s="22">
        <f t="shared" si="87"/>
        <v>-15.038072665068146</v>
      </c>
      <c r="N745" s="22">
        <f t="shared" si="87"/>
        <v>-14.563710992371355</v>
      </c>
    </row>
    <row r="746" spans="1:14" s="363" customFormat="1" ht="15.75">
      <c r="A746"/>
      <c r="B746" s="15"/>
      <c r="C746" s="17" t="s">
        <v>96</v>
      </c>
      <c r="D746" s="2487" t="str">
        <f>INDEX(Vectors[Description], MATCH([Vector], Vectors[Code], 0))</f>
        <v>Electricity (delivered to end user)</v>
      </c>
      <c r="E746" s="17"/>
      <c r="F746" s="22">
        <f t="shared" ref="F746:N746" si="88">-SUM(F688:F695)</f>
        <v>0</v>
      </c>
      <c r="G746" s="22">
        <f t="shared" si="88"/>
        <v>-4.6844461095062705E-4</v>
      </c>
      <c r="H746" s="22">
        <f t="shared" si="88"/>
        <v>-1.7140115199768186E-2</v>
      </c>
      <c r="I746" s="22">
        <f t="shared" si="88"/>
        <v>-3.3556653385884719E-2</v>
      </c>
      <c r="J746" s="22">
        <f t="shared" si="88"/>
        <v>-0.1770662662170166</v>
      </c>
      <c r="K746" s="22">
        <f t="shared" si="88"/>
        <v>-0.32339283103119359</v>
      </c>
      <c r="L746" s="22">
        <f t="shared" si="88"/>
        <v>-0.49867728219826768</v>
      </c>
      <c r="M746" s="22">
        <f t="shared" si="88"/>
        <v>-0.6929353344118272</v>
      </c>
      <c r="N746" s="22">
        <f t="shared" si="88"/>
        <v>-0.83383886111345407</v>
      </c>
    </row>
    <row r="747" spans="1:14" s="363" customFormat="1" ht="15.75">
      <c r="A747"/>
      <c r="B747" s="15"/>
      <c r="C747" s="17" t="s">
        <v>435</v>
      </c>
      <c r="D747" s="2487" t="str">
        <f>INDEX(Vectors[Description], MATCH([Vector], Vectors[Code], 0))</f>
        <v>H2</v>
      </c>
      <c r="E747" s="17"/>
      <c r="F747" s="22">
        <f>-SUM(F703:F710)</f>
        <v>-9.8843865838814832E-5</v>
      </c>
      <c r="G747" s="22">
        <f t="shared" ref="G747:N747" si="89">-SUM(G703:G710)</f>
        <v>-1.0526549418152516E-4</v>
      </c>
      <c r="H747" s="22">
        <f t="shared" si="89"/>
        <v>-1.4985241277847491E-3</v>
      </c>
      <c r="I747" s="22">
        <f t="shared" si="89"/>
        <v>-3.1077607021923297E-3</v>
      </c>
      <c r="J747" s="22">
        <f t="shared" si="89"/>
        <v>-8.5334544167595186E-3</v>
      </c>
      <c r="K747" s="22">
        <f t="shared" si="89"/>
        <v>-1.4355027286859567E-2</v>
      </c>
      <c r="L747" s="22">
        <f t="shared" si="89"/>
        <v>-2.1173596359821727E-2</v>
      </c>
      <c r="M747" s="22">
        <f t="shared" si="89"/>
        <v>-2.8440030433297275E-2</v>
      </c>
      <c r="N747" s="22">
        <f t="shared" si="89"/>
        <v>-3.1711867178177075E-2</v>
      </c>
    </row>
    <row r="748" spans="1:14" s="363" customFormat="1" ht="15.75">
      <c r="A748"/>
      <c r="B748" s="15"/>
      <c r="C748" s="2462" t="s">
        <v>59</v>
      </c>
      <c r="D748" s="2462"/>
      <c r="E748" s="2462"/>
      <c r="F748" s="2465">
        <f>SUBTOTAL(109,[2013])</f>
        <v>1.0085790709546405E-16</v>
      </c>
      <c r="G748" s="2465">
        <f>SUBTOTAL(109,[2015])</f>
        <v>9.2176158199286373E-16</v>
      </c>
      <c r="H748" s="2465">
        <f>SUBTOTAL(109,[2020])</f>
        <v>2.5604518505417673E-15</v>
      </c>
      <c r="I748" s="2465">
        <f>SUBTOTAL(109,[2025])</f>
        <v>-1.1900203045200897E-15</v>
      </c>
      <c r="J748" s="2465">
        <f>SUBTOTAL(109,[2030])</f>
        <v>2.157996004115148E-15</v>
      </c>
      <c r="K748" s="2465">
        <f>SUBTOTAL(109,[2035])</f>
        <v>1.5612511283791264E-16</v>
      </c>
      <c r="L748" s="2465">
        <f>SUBTOTAL(109,[2040])</f>
        <v>7.9450335199737765E-16</v>
      </c>
      <c r="M748" s="2465">
        <f>SUBTOTAL(109,[2045])</f>
        <v>-1.3704315460216776E-15</v>
      </c>
      <c r="N748" s="2465">
        <f>SUBTOTAL(109,[2050])</f>
        <v>1.0130785099704553E-15</v>
      </c>
    </row>
    <row r="749" spans="1:14" s="363" customFormat="1" ht="15.75">
      <c r="A749"/>
      <c r="B749" s="15"/>
      <c r="C749" s="17"/>
      <c r="D749" s="17"/>
      <c r="E749" s="17"/>
      <c r="F749" s="449"/>
      <c r="G749" s="449"/>
      <c r="H749" s="449"/>
      <c r="I749" s="449"/>
      <c r="J749" s="449"/>
      <c r="K749" s="449"/>
      <c r="L749" s="449"/>
      <c r="M749" s="449"/>
      <c r="N749" s="449"/>
    </row>
    <row r="750" spans="1:14" s="363" customFormat="1" ht="15.75">
      <c r="A750"/>
      <c r="B750" s="15"/>
      <c r="C750" s="34" t="s">
        <v>1251</v>
      </c>
      <c r="D750" s="515"/>
      <c r="E750" s="516"/>
      <c r="F750" s="515"/>
      <c r="G750" s="515"/>
      <c r="H750" s="515"/>
      <c r="I750" s="515"/>
      <c r="J750" s="515"/>
      <c r="K750" s="515"/>
      <c r="L750" s="515"/>
      <c r="M750" s="515"/>
      <c r="N750" s="516" t="str">
        <f>Preferences.EnergyUnits</f>
        <v>TWh</v>
      </c>
    </row>
    <row r="751" spans="1:14" s="363" customFormat="1" ht="15.75">
      <c r="A751"/>
      <c r="B751" s="15"/>
      <c r="C751" s="515"/>
      <c r="D751" s="515"/>
      <c r="E751" s="515"/>
      <c r="F751" s="515"/>
      <c r="G751" s="515"/>
      <c r="H751" s="515"/>
      <c r="I751" s="515"/>
      <c r="J751" s="515"/>
      <c r="K751" s="515"/>
      <c r="L751" s="515"/>
      <c r="M751" s="515"/>
      <c r="N751" s="515"/>
    </row>
    <row r="752" spans="1:14" s="363" customFormat="1" ht="15.75">
      <c r="A752"/>
      <c r="B752" s="15"/>
      <c r="C752" s="873" t="s">
        <v>28</v>
      </c>
      <c r="D752" s="873" t="s">
        <v>29</v>
      </c>
      <c r="E752" s="873" t="s">
        <v>30</v>
      </c>
      <c r="F752" s="873" t="s">
        <v>597</v>
      </c>
      <c r="G752" s="873" t="s">
        <v>133</v>
      </c>
      <c r="H752" s="873" t="s">
        <v>134</v>
      </c>
      <c r="I752" s="873" t="s">
        <v>135</v>
      </c>
      <c r="J752" s="873" t="s">
        <v>136</v>
      </c>
      <c r="K752" s="873" t="s">
        <v>137</v>
      </c>
      <c r="L752" s="873" t="s">
        <v>138</v>
      </c>
      <c r="M752" s="873" t="s">
        <v>139</v>
      </c>
      <c r="N752" s="873" t="s">
        <v>140</v>
      </c>
    </row>
    <row r="753" spans="1:15" s="363" customFormat="1" ht="15.75">
      <c r="A753"/>
      <c r="B753" s="15"/>
      <c r="C753" s="17" t="s">
        <v>419</v>
      </c>
      <c r="D753" s="2487" t="str">
        <f>INDEX(Vectors[Description], MATCH([Vector], Vectors[Code], 0))</f>
        <v>Rail transport</v>
      </c>
      <c r="E753" s="17"/>
      <c r="F753" s="22">
        <f>F719+F$165</f>
        <v>0.38905281663794627</v>
      </c>
      <c r="G753" s="22">
        <f t="shared" ref="G753:N753" si="90">G719+H$165</f>
        <v>0.44685842639234974</v>
      </c>
      <c r="H753" s="22">
        <f t="shared" si="90"/>
        <v>0.43342424748435998</v>
      </c>
      <c r="I753" s="22">
        <f t="shared" si="90"/>
        <v>0.41710076461262624</v>
      </c>
      <c r="J753" s="22">
        <f t="shared" si="90"/>
        <v>0.40017204330856654</v>
      </c>
      <c r="K753" s="22">
        <f t="shared" si="90"/>
        <v>0.38251272633022648</v>
      </c>
      <c r="L753" s="22">
        <f t="shared" si="90"/>
        <v>0.36323541422328681</v>
      </c>
      <c r="M753" s="22">
        <f t="shared" si="90"/>
        <v>0.34327065279402552</v>
      </c>
      <c r="N753" s="22">
        <f t="shared" si="90"/>
        <v>0.32001065279402552</v>
      </c>
    </row>
    <row r="754" spans="1:15" s="363" customFormat="1" ht="15.75">
      <c r="A754"/>
      <c r="B754" s="15"/>
      <c r="C754" s="17" t="s">
        <v>99</v>
      </c>
      <c r="D754" s="2487" t="str">
        <f>INDEX(Vectors[Description], MATCH([Vector], Vectors[Code], 0))</f>
        <v>Liquid hydrocarbons</v>
      </c>
      <c r="E754" s="17"/>
      <c r="F754" s="22">
        <f t="shared" ref="F754:N754" si="91">-SUM(F681:F682)</f>
        <v>-0.32693231874607137</v>
      </c>
      <c r="G754" s="22">
        <f t="shared" si="91"/>
        <v>-0.38950755978908747</v>
      </c>
      <c r="H754" s="22">
        <f t="shared" si="91"/>
        <v>-0.37667260840672473</v>
      </c>
      <c r="I754" s="22">
        <f t="shared" si="91"/>
        <v>-0.36116280836295739</v>
      </c>
      <c r="J754" s="22">
        <f t="shared" si="91"/>
        <v>-0.34507729516399827</v>
      </c>
      <c r="K754" s="22">
        <f t="shared" si="91"/>
        <v>-0.32830009351438677</v>
      </c>
      <c r="L754" s="22">
        <f t="shared" si="91"/>
        <v>-0.31002088197293637</v>
      </c>
      <c r="M754" s="22">
        <f t="shared" si="91"/>
        <v>-0.29109067169722724</v>
      </c>
      <c r="N754" s="22">
        <f t="shared" si="91"/>
        <v>-0.29109067169722724</v>
      </c>
    </row>
    <row r="755" spans="1:15" s="363" customFormat="1" ht="15.75">
      <c r="A755"/>
      <c r="B755" s="15"/>
      <c r="C755" s="17" t="s">
        <v>96</v>
      </c>
      <c r="D755" s="2487" t="str">
        <f>INDEX(Vectors[Description], MATCH([Vector], Vectors[Code], 0))</f>
        <v>Electricity (delivered to end user)</v>
      </c>
      <c r="E755" s="17"/>
      <c r="F755" s="22">
        <f>-(SUM(F696:F697)+F165)</f>
        <v>-6.2120497891874918E-2</v>
      </c>
      <c r="G755" s="22">
        <f t="shared" ref="G755:N755" si="92">-(SUM(G696:G697)+H165)</f>
        <v>-5.7350866603262288E-2</v>
      </c>
      <c r="H755" s="22">
        <f t="shared" si="92"/>
        <v>-5.6751639077635266E-2</v>
      </c>
      <c r="I755" s="22">
        <f t="shared" si="92"/>
        <v>-5.5937956249668852E-2</v>
      </c>
      <c r="J755" s="22">
        <f t="shared" si="92"/>
        <v>-5.5094748144568259E-2</v>
      </c>
      <c r="K755" s="22">
        <f t="shared" si="92"/>
        <v>-5.4212632815839726E-2</v>
      </c>
      <c r="L755" s="22">
        <f t="shared" si="92"/>
        <v>-5.3214532250350458E-2</v>
      </c>
      <c r="M755" s="22">
        <f t="shared" si="92"/>
        <v>-5.2179981096798264E-2</v>
      </c>
      <c r="N755" s="22">
        <f t="shared" si="92"/>
        <v>-2.8919981096798261E-2</v>
      </c>
    </row>
    <row r="756" spans="1:15" s="363" customFormat="1" ht="15.75">
      <c r="A756"/>
      <c r="B756" s="15"/>
      <c r="C756" s="17" t="s">
        <v>435</v>
      </c>
      <c r="D756" s="2487" t="str">
        <f>INDEX(Vectors[Description], MATCH([Vector], Vectors[Code], 0))</f>
        <v>H2</v>
      </c>
      <c r="E756" s="17"/>
      <c r="F756" s="22">
        <v>0</v>
      </c>
      <c r="G756" s="22">
        <v>0</v>
      </c>
      <c r="H756" s="22">
        <v>0</v>
      </c>
      <c r="I756" s="22">
        <v>0</v>
      </c>
      <c r="J756" s="22">
        <v>0</v>
      </c>
      <c r="K756" s="22">
        <v>0</v>
      </c>
      <c r="L756" s="22">
        <v>0</v>
      </c>
      <c r="M756" s="22">
        <v>0</v>
      </c>
      <c r="N756" s="22">
        <v>0</v>
      </c>
    </row>
    <row r="757" spans="1:15" s="363" customFormat="1" ht="15.75">
      <c r="A757"/>
      <c r="B757" s="15"/>
      <c r="C757" s="2462" t="s">
        <v>59</v>
      </c>
      <c r="D757" s="2462"/>
      <c r="E757" s="2462"/>
      <c r="F757" s="2465">
        <f>SUBTOTAL(109,[2013])</f>
        <v>-1.3877787807814457E-17</v>
      </c>
      <c r="G757" s="2465">
        <f>SUBTOTAL(109,[2015])</f>
        <v>-1.3877787807814457E-17</v>
      </c>
      <c r="H757" s="2465">
        <f>SUBTOTAL(109,[2020])</f>
        <v>-1.3877787807814457E-17</v>
      </c>
      <c r="I757" s="2465">
        <f>SUBTOTAL(109,[2025])</f>
        <v>0</v>
      </c>
      <c r="J757" s="2465">
        <f>SUBTOTAL(109,[2030])</f>
        <v>1.3877787807814457E-17</v>
      </c>
      <c r="K757" s="2465">
        <f>SUBTOTAL(109,[2035])</f>
        <v>-1.3877787807814457E-17</v>
      </c>
      <c r="L757" s="2465">
        <f>SUBTOTAL(109,[2040])</f>
        <v>-1.3877787807814457E-17</v>
      </c>
      <c r="M757" s="2465">
        <f>SUBTOTAL(109,[2045])</f>
        <v>1.3877787807814457E-17</v>
      </c>
      <c r="N757" s="2465">
        <f>SUBTOTAL(109,[2050])</f>
        <v>1.3877787807814457E-17</v>
      </c>
    </row>
    <row r="758" spans="1:15" s="363" customFormat="1" ht="15.75">
      <c r="A758"/>
      <c r="B758" s="15"/>
      <c r="C758" s="17"/>
      <c r="D758" s="17"/>
      <c r="E758" s="17"/>
      <c r="F758" s="449"/>
      <c r="G758" s="449"/>
      <c r="H758" s="449"/>
      <c r="I758" s="449"/>
      <c r="J758" s="449"/>
      <c r="K758" s="449"/>
      <c r="L758" s="449"/>
      <c r="M758" s="449"/>
      <c r="N758" s="449"/>
    </row>
    <row r="759" spans="1:15" s="363" customFormat="1" ht="15.75">
      <c r="A759"/>
      <c r="B759" s="15"/>
      <c r="C759" s="34" t="s">
        <v>1252</v>
      </c>
      <c r="D759" s="515"/>
      <c r="E759" s="516"/>
      <c r="F759" s="515"/>
      <c r="G759" s="515"/>
      <c r="H759" s="515"/>
      <c r="I759" s="515"/>
      <c r="J759" s="515"/>
      <c r="K759" s="515"/>
      <c r="L759" s="515"/>
      <c r="M759" s="515"/>
      <c r="N759" s="516" t="str">
        <f>Preferences.EnergyUnits</f>
        <v>TWh</v>
      </c>
    </row>
    <row r="760" spans="1:15" s="363" customFormat="1" ht="15.75">
      <c r="A760"/>
      <c r="B760" s="15"/>
      <c r="C760" s="515"/>
      <c r="D760" s="515"/>
      <c r="E760" s="515"/>
      <c r="F760" s="515"/>
      <c r="G760" s="515"/>
      <c r="H760" s="515"/>
      <c r="I760" s="515"/>
      <c r="J760" s="515"/>
      <c r="K760" s="515"/>
      <c r="L760" s="515"/>
      <c r="M760" s="515"/>
      <c r="N760" s="515"/>
    </row>
    <row r="761" spans="1:15" s="363" customFormat="1" ht="15.75">
      <c r="A761"/>
      <c r="B761" s="15"/>
      <c r="C761" s="1770" t="s">
        <v>28</v>
      </c>
      <c r="D761" s="1770" t="s">
        <v>29</v>
      </c>
      <c r="E761" s="1770" t="s">
        <v>30</v>
      </c>
      <c r="F761" s="1770" t="s">
        <v>597</v>
      </c>
      <c r="G761" s="1770" t="s">
        <v>133</v>
      </c>
      <c r="H761" s="1770" t="s">
        <v>134</v>
      </c>
      <c r="I761" s="1770" t="s">
        <v>135</v>
      </c>
      <c r="J761" s="1770" t="s">
        <v>136</v>
      </c>
      <c r="K761" s="1770" t="s">
        <v>137</v>
      </c>
      <c r="L761" s="1770" t="s">
        <v>138</v>
      </c>
      <c r="M761" s="1770" t="s">
        <v>139</v>
      </c>
      <c r="N761" s="1770" t="s">
        <v>140</v>
      </c>
    </row>
    <row r="762" spans="1:15" s="363" customFormat="1" ht="15.75">
      <c r="A762"/>
      <c r="B762" s="15"/>
      <c r="C762" s="725" t="s">
        <v>420</v>
      </c>
      <c r="D762" s="1746" t="str">
        <f>INDEX(Vectors[Description], MATCH([Vector], Vectors[Code], 0))</f>
        <v>Domestic aviation</v>
      </c>
      <c r="E762" s="725"/>
      <c r="F762" s="726">
        <f t="shared" ref="F762:N762" si="93">F720</f>
        <v>2.7179785187540276E-2</v>
      </c>
      <c r="G762" s="726">
        <f t="shared" si="93"/>
        <v>2.6979176745363341E-2</v>
      </c>
      <c r="H762" s="726">
        <f t="shared" si="93"/>
        <v>2.6748583502616049E-2</v>
      </c>
      <c r="I762" s="726">
        <f t="shared" si="93"/>
        <v>2.6377315657889075E-2</v>
      </c>
      <c r="J762" s="726">
        <f t="shared" si="93"/>
        <v>2.6013627209398826E-2</v>
      </c>
      <c r="K762" s="726">
        <f t="shared" si="93"/>
        <v>2.5651802953474499E-2</v>
      </c>
      <c r="L762" s="726">
        <f t="shared" si="93"/>
        <v>2.5228818186920948E-2</v>
      </c>
      <c r="M762" s="726">
        <f t="shared" si="93"/>
        <v>2.4811333961622644E-2</v>
      </c>
      <c r="N762" s="726">
        <f t="shared" si="93"/>
        <v>2.4811333961622644E-2</v>
      </c>
    </row>
    <row r="763" spans="1:15" s="363" customFormat="1" ht="15.75">
      <c r="A763"/>
      <c r="B763" s="15"/>
      <c r="C763" s="725" t="s">
        <v>99</v>
      </c>
      <c r="D763" s="1746" t="str">
        <f>INDEX(Vectors[Description], MATCH([Vector], Vectors[Code], 0))</f>
        <v>Liquid hydrocarbons</v>
      </c>
      <c r="E763" s="725"/>
      <c r="F763" s="726">
        <f t="shared" ref="F763:N763" si="94">-F683</f>
        <v>-2.7179785187540276E-2</v>
      </c>
      <c r="G763" s="726">
        <f t="shared" si="94"/>
        <v>-2.6979176745363341E-2</v>
      </c>
      <c r="H763" s="726">
        <f t="shared" si="94"/>
        <v>-2.6748583502616049E-2</v>
      </c>
      <c r="I763" s="726">
        <f t="shared" si="94"/>
        <v>-2.6377315657889075E-2</v>
      </c>
      <c r="J763" s="726">
        <f t="shared" si="94"/>
        <v>-2.6013627209398826E-2</v>
      </c>
      <c r="K763" s="726">
        <f t="shared" si="94"/>
        <v>-2.5651802953474499E-2</v>
      </c>
      <c r="L763" s="726">
        <f t="shared" si="94"/>
        <v>-2.5228818186920948E-2</v>
      </c>
      <c r="M763" s="726">
        <f t="shared" si="94"/>
        <v>-2.4811333961622644E-2</v>
      </c>
      <c r="N763" s="726">
        <f t="shared" si="94"/>
        <v>-2.4811333961622644E-2</v>
      </c>
    </row>
    <row r="764" spans="1:15" s="363" customFormat="1" ht="15.75">
      <c r="A764" s="443"/>
      <c r="B764" s="15"/>
      <c r="C764" s="725" t="s">
        <v>96</v>
      </c>
      <c r="D764" s="1746" t="str">
        <f>INDEX(Vectors[Description], MATCH([Vector], Vectors[Code], 0))</f>
        <v>Electricity (delivered to end user)</v>
      </c>
      <c r="E764" s="725"/>
      <c r="F764" s="726">
        <v>0</v>
      </c>
      <c r="G764" s="726">
        <v>0</v>
      </c>
      <c r="H764" s="726">
        <v>0</v>
      </c>
      <c r="I764" s="726">
        <v>0</v>
      </c>
      <c r="J764" s="726">
        <v>0</v>
      </c>
      <c r="K764" s="726">
        <v>0</v>
      </c>
      <c r="L764" s="726">
        <v>0</v>
      </c>
      <c r="M764" s="726">
        <v>0</v>
      </c>
      <c r="N764" s="726">
        <v>0</v>
      </c>
    </row>
    <row r="765" spans="1:15" s="408" customFormat="1" ht="15.75">
      <c r="A765" s="1642"/>
      <c r="B765" s="35"/>
      <c r="C765" s="725" t="s">
        <v>435</v>
      </c>
      <c r="D765" s="1746" t="str">
        <f>INDEX(Vectors[Description], MATCH([Vector], Vectors[Code], 0))</f>
        <v>H2</v>
      </c>
      <c r="E765" s="725"/>
      <c r="F765" s="726">
        <v>0</v>
      </c>
      <c r="G765" s="726">
        <v>0</v>
      </c>
      <c r="H765" s="726">
        <v>0</v>
      </c>
      <c r="I765" s="726">
        <v>0</v>
      </c>
      <c r="J765" s="726">
        <v>0</v>
      </c>
      <c r="K765" s="726">
        <v>0</v>
      </c>
      <c r="L765" s="726">
        <v>0</v>
      </c>
      <c r="M765" s="726">
        <v>0</v>
      </c>
      <c r="N765" s="726">
        <v>0</v>
      </c>
      <c r="O765" s="39"/>
    </row>
    <row r="766" spans="1:15" s="363" customFormat="1" ht="15.75">
      <c r="A766" s="2"/>
      <c r="B766" s="35"/>
      <c r="C766" s="2463" t="s">
        <v>59</v>
      </c>
      <c r="D766" s="2463"/>
      <c r="E766" s="2463"/>
      <c r="F766" s="2464">
        <f>SUBTOTAL(109,[2013])</f>
        <v>0</v>
      </c>
      <c r="G766" s="2464">
        <f>SUBTOTAL(109,[2015])</f>
        <v>0</v>
      </c>
      <c r="H766" s="2464">
        <f>SUBTOTAL(109,[2020])</f>
        <v>0</v>
      </c>
      <c r="I766" s="2464">
        <f>SUBTOTAL(109,[2025])</f>
        <v>0</v>
      </c>
      <c r="J766" s="2464">
        <f>SUBTOTAL(109,[2030])</f>
        <v>0</v>
      </c>
      <c r="K766" s="2464">
        <f>SUBTOTAL(109,[2035])</f>
        <v>0</v>
      </c>
      <c r="L766" s="2464">
        <f>SUBTOTAL(109,[2040])</f>
        <v>0</v>
      </c>
      <c r="M766" s="2464">
        <f>SUBTOTAL(109,[2045])</f>
        <v>0</v>
      </c>
      <c r="N766" s="2464">
        <f>SUBTOTAL(109,[2050])</f>
        <v>0</v>
      </c>
      <c r="O766"/>
    </row>
    <row r="767" spans="1:15" s="363" customFormat="1" ht="15.75">
      <c r="A767"/>
      <c r="B767" s="35"/>
      <c r="C767" s="452"/>
      <c r="D767" s="452"/>
      <c r="E767" s="452"/>
      <c r="F767" s="452"/>
      <c r="G767" s="452"/>
      <c r="H767" s="452"/>
      <c r="I767" s="452"/>
      <c r="J767" s="452"/>
      <c r="K767" s="452"/>
      <c r="L767" s="452"/>
      <c r="M767" s="452"/>
      <c r="N767" s="452"/>
      <c r="O767"/>
    </row>
    <row r="768" spans="1:15" s="363" customFormat="1">
      <c r="A768"/>
      <c r="B768"/>
      <c r="C768" s="39" t="s">
        <v>5</v>
      </c>
      <c r="D768" s="39"/>
      <c r="E768" s="39"/>
      <c r="F768" s="39"/>
      <c r="G768" s="39"/>
      <c r="H768" s="39"/>
      <c r="I768" s="39"/>
      <c r="J768" s="39"/>
      <c r="K768" s="39"/>
      <c r="L768" s="39"/>
      <c r="M768" s="39"/>
      <c r="N768" s="39"/>
      <c r="O768"/>
    </row>
    <row r="769" spans="1:16" s="363" customFormat="1" ht="23.25">
      <c r="A769" s="7"/>
      <c r="B769" s="1128"/>
      <c r="C769" s="1128"/>
      <c r="D769" s="1129"/>
      <c r="E769" s="1129"/>
      <c r="F769" s="1129"/>
      <c r="G769" s="1129"/>
      <c r="H769" s="1129"/>
      <c r="I769" s="1129"/>
      <c r="J769" s="1129"/>
      <c r="K769" s="1129"/>
      <c r="L769" s="1129"/>
      <c r="M769" s="1129"/>
      <c r="N769" s="1129"/>
      <c r="O769"/>
      <c r="P769" s="363" t="s">
        <v>5</v>
      </c>
    </row>
    <row r="770" spans="1:16" s="363" customFormat="1" ht="15.75">
      <c r="A770"/>
      <c r="B770" s="467"/>
      <c r="C770" s="1132"/>
      <c r="D770" s="1132"/>
      <c r="E770" s="1132"/>
      <c r="F770" s="1132"/>
      <c r="G770" s="1132"/>
      <c r="H770" s="1132"/>
      <c r="I770" s="1132"/>
      <c r="J770" s="1132"/>
      <c r="K770" s="1132"/>
      <c r="L770" s="1132"/>
      <c r="M770" s="1132"/>
      <c r="N770" s="1132"/>
      <c r="O770"/>
    </row>
    <row r="771" spans="1:16" s="363" customFormat="1" ht="15.75">
      <c r="A771"/>
      <c r="B771" s="467"/>
      <c r="C771" s="462" t="s">
        <v>1253</v>
      </c>
      <c r="D771" s="1135"/>
      <c r="E771" s="1136"/>
      <c r="F771" s="1135"/>
      <c r="G771" s="1135"/>
      <c r="H771" s="1135"/>
      <c r="I771" s="1135"/>
      <c r="J771" s="1135"/>
      <c r="K771" s="1135"/>
      <c r="L771" s="1135"/>
      <c r="M771" s="1135"/>
      <c r="N771" s="1136" t="s">
        <v>254</v>
      </c>
      <c r="O771"/>
    </row>
    <row r="772" spans="1:16" s="363" customFormat="1" ht="15.75">
      <c r="A772"/>
      <c r="B772" s="467"/>
      <c r="C772" s="1135"/>
      <c r="D772" s="1135"/>
      <c r="E772" s="1135"/>
      <c r="F772" s="1135"/>
      <c r="G772" s="1135"/>
      <c r="H772" s="1135"/>
      <c r="I772" s="1135"/>
      <c r="J772" s="1135"/>
      <c r="K772" s="1135"/>
      <c r="L772" s="1135"/>
      <c r="M772" s="1135"/>
      <c r="N772" s="1135"/>
      <c r="O772"/>
    </row>
    <row r="773" spans="1:16" s="363" customFormat="1" ht="15.75">
      <c r="A773"/>
      <c r="B773" s="467"/>
      <c r="C773" s="1339" t="s">
        <v>305</v>
      </c>
      <c r="D773" s="1339" t="s">
        <v>306</v>
      </c>
      <c r="E773" s="1339" t="s">
        <v>30</v>
      </c>
      <c r="F773" s="1339" t="s">
        <v>597</v>
      </c>
      <c r="G773" s="1339" t="s">
        <v>133</v>
      </c>
      <c r="H773" s="1339" t="s">
        <v>134</v>
      </c>
      <c r="I773" s="1339" t="s">
        <v>135</v>
      </c>
      <c r="J773" s="1339" t="s">
        <v>136</v>
      </c>
      <c r="K773" s="1339" t="s">
        <v>137</v>
      </c>
      <c r="L773" s="1339" t="s">
        <v>138</v>
      </c>
      <c r="M773" s="1339" t="s">
        <v>139</v>
      </c>
      <c r="N773" s="1339" t="s">
        <v>140</v>
      </c>
      <c r="O773"/>
    </row>
    <row r="774" spans="1:16" s="363" customFormat="1" ht="15.75">
      <c r="A774"/>
      <c r="B774" s="467"/>
      <c r="C774" s="1140" t="s">
        <v>253</v>
      </c>
      <c r="D774" s="1141" t="s">
        <v>307</v>
      </c>
      <c r="E774" s="1140" t="s">
        <v>308</v>
      </c>
      <c r="F774" s="470">
        <f>F724</f>
        <v>6.2530942099589408</v>
      </c>
      <c r="G774" s="470">
        <f t="shared" ref="G774:N774" si="95">G$724</f>
        <v>5.9534794796971182</v>
      </c>
      <c r="H774" s="470">
        <f t="shared" si="95"/>
        <v>5.4031424516279767</v>
      </c>
      <c r="I774" s="470">
        <f t="shared" si="95"/>
        <v>4.7479767761584553</v>
      </c>
      <c r="J774" s="470">
        <f t="shared" si="95"/>
        <v>4.5709380593546758</v>
      </c>
      <c r="K774" s="470">
        <f t="shared" si="95"/>
        <v>4.3713093041640461</v>
      </c>
      <c r="L774" s="470">
        <f t="shared" si="95"/>
        <v>4.2070540702090007</v>
      </c>
      <c r="M774" s="470">
        <f t="shared" si="95"/>
        <v>4.0516068361114383</v>
      </c>
      <c r="N774" s="470">
        <f t="shared" si="95"/>
        <v>3.9264322779202097</v>
      </c>
      <c r="O774"/>
    </row>
    <row r="775" spans="1:16" s="363" customFormat="1" ht="15.75">
      <c r="A775"/>
      <c r="B775" s="467"/>
      <c r="C775" s="1140" t="s">
        <v>255</v>
      </c>
      <c r="D775" s="1141" t="s">
        <v>307</v>
      </c>
      <c r="E775" s="1140" t="s">
        <v>308</v>
      </c>
      <c r="F775" s="470">
        <f>F725</f>
        <v>5.3744193073316966E-3</v>
      </c>
      <c r="G775" s="470">
        <f t="shared" ref="G775:N775" si="96">G$725</f>
        <v>5.116905964814714E-3</v>
      </c>
      <c r="H775" s="470">
        <f t="shared" si="96"/>
        <v>4.6439014250008537E-3</v>
      </c>
      <c r="I775" s="470">
        <f t="shared" si="96"/>
        <v>4.0807985934240487E-3</v>
      </c>
      <c r="J775" s="470">
        <f t="shared" si="96"/>
        <v>3.9286370769351245E-3</v>
      </c>
      <c r="K775" s="470">
        <f t="shared" si="96"/>
        <v>3.7570598385038879E-3</v>
      </c>
      <c r="L775" s="470">
        <f t="shared" si="96"/>
        <v>3.6158854900841353E-3</v>
      </c>
      <c r="M775" s="470">
        <f t="shared" si="96"/>
        <v>3.4822814553208824E-3</v>
      </c>
      <c r="N775" s="470">
        <f t="shared" si="96"/>
        <v>3.3746962279532504E-3</v>
      </c>
      <c r="O775"/>
    </row>
    <row r="776" spans="1:16" s="363" customFormat="1" ht="15.75">
      <c r="A776"/>
      <c r="B776" s="467"/>
      <c r="C776" s="1140" t="s">
        <v>256</v>
      </c>
      <c r="D776" s="1141" t="s">
        <v>307</v>
      </c>
      <c r="E776" s="1140" t="s">
        <v>308</v>
      </c>
      <c r="F776" s="470">
        <f>F726</f>
        <v>1.5867333193074533E-2</v>
      </c>
      <c r="G776" s="470">
        <f t="shared" ref="G776:N776" si="97">G$726</f>
        <v>1.5107055705643441E-2</v>
      </c>
      <c r="H776" s="470">
        <f t="shared" si="97"/>
        <v>1.3710566111907282E-2</v>
      </c>
      <c r="I776" s="470">
        <f t="shared" si="97"/>
        <v>1.2048072037728142E-2</v>
      </c>
      <c r="J776" s="470">
        <f t="shared" si="97"/>
        <v>1.1598833274760845E-2</v>
      </c>
      <c r="K776" s="470">
        <f t="shared" si="97"/>
        <v>1.1092271904154336E-2</v>
      </c>
      <c r="L776" s="470">
        <f t="shared" si="97"/>
        <v>1.0675471446915066E-2</v>
      </c>
      <c r="M776" s="470">
        <f t="shared" si="97"/>
        <v>1.0281021439518796E-2</v>
      </c>
      <c r="N776" s="470">
        <f t="shared" si="97"/>
        <v>9.9633888634810246E-3</v>
      </c>
      <c r="O776"/>
    </row>
    <row r="777" spans="1:16" s="363" customFormat="1" ht="15.75">
      <c r="A777"/>
      <c r="B777" s="467"/>
      <c r="C777" s="2466" t="s">
        <v>59</v>
      </c>
      <c r="D777" s="2466"/>
      <c r="E777" s="2466"/>
      <c r="F777" s="2467">
        <f>SUBTOTAL(109,[2013])</f>
        <v>6.2743359624593467</v>
      </c>
      <c r="G777" s="2467">
        <f>SUBTOTAL(109,[2015])</f>
        <v>5.9737034413675758</v>
      </c>
      <c r="H777" s="2467">
        <f>SUBTOTAL(109,[2020])</f>
        <v>5.421496919164885</v>
      </c>
      <c r="I777" s="2467">
        <f>SUBTOTAL(109,[2025])</f>
        <v>4.7641056467896075</v>
      </c>
      <c r="J777" s="2467">
        <f>SUBTOTAL(109,[2030])</f>
        <v>4.5864655297063717</v>
      </c>
      <c r="K777" s="2467">
        <f>SUBTOTAL(109,[2035])</f>
        <v>4.3861586359067042</v>
      </c>
      <c r="L777" s="2467">
        <f>SUBTOTAL(109,[2040])</f>
        <v>4.2213454271459998</v>
      </c>
      <c r="M777" s="2467">
        <f>SUBTOTAL(109,[2045])</f>
        <v>4.0653701390062782</v>
      </c>
      <c r="N777" s="2467">
        <f>SUBTOTAL(109,[2050])</f>
        <v>3.9397703630116436</v>
      </c>
      <c r="O777"/>
    </row>
    <row r="778" spans="1:16" s="363" customFormat="1" ht="15.75">
      <c r="A778"/>
      <c r="B778" s="467"/>
      <c r="C778" s="1140"/>
      <c r="D778" s="1140"/>
      <c r="E778" s="1140"/>
      <c r="F778" s="471"/>
      <c r="G778" s="471"/>
      <c r="H778" s="471"/>
      <c r="I778" s="471"/>
      <c r="J778" s="471"/>
      <c r="K778" s="471"/>
      <c r="L778" s="471"/>
      <c r="M778" s="471"/>
      <c r="N778" s="471"/>
      <c r="O778"/>
    </row>
    <row r="779" spans="1:16" s="363" customFormat="1" ht="15.75">
      <c r="A779"/>
      <c r="B779" s="467"/>
      <c r="C779" s="462" t="s">
        <v>1254</v>
      </c>
      <c r="D779" s="1135"/>
      <c r="E779" s="1136"/>
      <c r="F779" s="1135"/>
      <c r="G779" s="1135"/>
      <c r="H779" s="1135"/>
      <c r="I779" s="1135"/>
      <c r="J779" s="1135"/>
      <c r="K779" s="1135"/>
      <c r="L779" s="1135"/>
      <c r="M779" s="1135"/>
      <c r="N779" s="1136" t="s">
        <v>254</v>
      </c>
      <c r="O779"/>
    </row>
    <row r="780" spans="1:16" s="363" customFormat="1" ht="15.75">
      <c r="A780"/>
      <c r="B780" s="467"/>
      <c r="C780" s="1135"/>
      <c r="D780" s="1135"/>
      <c r="E780" s="1135"/>
      <c r="F780" s="1135"/>
      <c r="G780" s="1135"/>
      <c r="H780" s="1135"/>
      <c r="I780" s="1135"/>
      <c r="J780" s="1135"/>
      <c r="K780" s="1135"/>
      <c r="L780" s="1135"/>
      <c r="M780" s="1135"/>
      <c r="N780" s="1135"/>
      <c r="O780"/>
    </row>
    <row r="781" spans="1:16" s="363" customFormat="1" ht="15.75">
      <c r="A781"/>
      <c r="B781" s="467"/>
      <c r="C781" s="1339" t="s">
        <v>305</v>
      </c>
      <c r="D781" s="1339" t="s">
        <v>306</v>
      </c>
      <c r="E781" s="1339" t="s">
        <v>30</v>
      </c>
      <c r="F781" s="1339" t="s">
        <v>597</v>
      </c>
      <c r="G781" s="1339" t="s">
        <v>133</v>
      </c>
      <c r="H781" s="1339" t="s">
        <v>134</v>
      </c>
      <c r="I781" s="1339" t="s">
        <v>135</v>
      </c>
      <c r="J781" s="1339" t="s">
        <v>136</v>
      </c>
      <c r="K781" s="1339" t="s">
        <v>137</v>
      </c>
      <c r="L781" s="1339" t="s">
        <v>138</v>
      </c>
      <c r="M781" s="1339" t="s">
        <v>139</v>
      </c>
      <c r="N781" s="1339" t="s">
        <v>140</v>
      </c>
      <c r="O781"/>
    </row>
    <row r="782" spans="1:16" s="363" customFormat="1" ht="15.75">
      <c r="A782"/>
      <c r="B782" s="467"/>
      <c r="C782" s="1140" t="s">
        <v>253</v>
      </c>
      <c r="D782" s="1141" t="s">
        <v>307</v>
      </c>
      <c r="E782" s="1140" t="s">
        <v>308</v>
      </c>
      <c r="F782" s="470">
        <f>F774*(F$745/F$736)</f>
        <v>6.1596511079729392</v>
      </c>
      <c r="G782" s="470">
        <f t="shared" ref="G782:N782" si="98">G$774*(G745/G736)</f>
        <v>5.8435769596604077</v>
      </c>
      <c r="H782" s="470">
        <f t="shared" si="98"/>
        <v>5.2966876675069399</v>
      </c>
      <c r="I782" s="470">
        <f t="shared" si="98"/>
        <v>4.6457126882318338</v>
      </c>
      <c r="J782" s="470">
        <f t="shared" si="98"/>
        <v>4.4730145867587838</v>
      </c>
      <c r="K782" s="470">
        <f t="shared" si="98"/>
        <v>4.2779084777241065</v>
      </c>
      <c r="L782" s="470">
        <f t="shared" si="98"/>
        <v>4.1185883793308173</v>
      </c>
      <c r="M782" s="470">
        <f t="shared" si="98"/>
        <v>3.9682466148581814</v>
      </c>
      <c r="N782" s="470">
        <f t="shared" si="98"/>
        <v>3.8430720566669527</v>
      </c>
      <c r="O782"/>
    </row>
    <row r="783" spans="1:16" s="363" customFormat="1" ht="15.75">
      <c r="A783"/>
      <c r="B783" s="467"/>
      <c r="C783" s="1140" t="s">
        <v>255</v>
      </c>
      <c r="D783" s="1141" t="s">
        <v>307</v>
      </c>
      <c r="E783" s="1140" t="s">
        <v>308</v>
      </c>
      <c r="F783" s="470">
        <f>F775*(F$745/F$736)</f>
        <v>5.2941066821595535E-3</v>
      </c>
      <c r="G783" s="470">
        <f t="shared" ref="G783:N784" si="99">G775*(G$745/G$736)</f>
        <v>5.0224467729687002E-3</v>
      </c>
      <c r="H783" s="470">
        <f t="shared" si="99"/>
        <v>4.5524054986758149E-3</v>
      </c>
      <c r="I783" s="470">
        <f t="shared" si="99"/>
        <v>3.9929044932961203E-3</v>
      </c>
      <c r="J783" s="470">
        <f t="shared" si="99"/>
        <v>3.8444736557408381E-3</v>
      </c>
      <c r="K783" s="470">
        <f t="shared" si="99"/>
        <v>3.6767835483849766E-3</v>
      </c>
      <c r="L783" s="470">
        <f t="shared" si="99"/>
        <v>3.5398508580878796E-3</v>
      </c>
      <c r="M783" s="470">
        <f t="shared" si="99"/>
        <v>3.4106348804374556E-3</v>
      </c>
      <c r="N783" s="470">
        <f t="shared" si="99"/>
        <v>3.3030496530698237E-3</v>
      </c>
      <c r="O783"/>
    </row>
    <row r="784" spans="1:16" s="363" customFormat="1" ht="15.75">
      <c r="A784"/>
      <c r="B784" s="467"/>
      <c r="C784" s="1140" t="s">
        <v>256</v>
      </c>
      <c r="D784" s="1141" t="s">
        <v>307</v>
      </c>
      <c r="E784" s="1140" t="s">
        <v>308</v>
      </c>
      <c r="F784" s="470">
        <f>F776*(F$745/F$736)</f>
        <v>1.5630219728280586E-2</v>
      </c>
      <c r="G784" s="470">
        <f t="shared" si="99"/>
        <v>1.4828176186859972E-2</v>
      </c>
      <c r="H784" s="470">
        <f t="shared" si="99"/>
        <v>1.3440435281804787E-2</v>
      </c>
      <c r="I784" s="470">
        <f t="shared" si="99"/>
        <v>1.1788575170683782E-2</v>
      </c>
      <c r="J784" s="470">
        <f t="shared" si="99"/>
        <v>1.1350350793139619E-2</v>
      </c>
      <c r="K784" s="470">
        <f t="shared" si="99"/>
        <v>1.0855265714279454E-2</v>
      </c>
      <c r="L784" s="470">
        <f t="shared" si="99"/>
        <v>1.0450988247688026E-2</v>
      </c>
      <c r="M784" s="470">
        <f t="shared" si="99"/>
        <v>1.0069493456529631E-2</v>
      </c>
      <c r="N784" s="470">
        <f t="shared" si="99"/>
        <v>9.7518608804918593E-3</v>
      </c>
      <c r="O784"/>
    </row>
    <row r="785" spans="1:15" s="363" customFormat="1" ht="15.75">
      <c r="A785"/>
      <c r="B785" s="467"/>
      <c r="C785" s="2466" t="s">
        <v>59</v>
      </c>
      <c r="D785" s="2466"/>
      <c r="E785" s="2466"/>
      <c r="F785" s="2467">
        <f>SUBTOTAL(109,[2013])</f>
        <v>6.1805754343833792</v>
      </c>
      <c r="G785" s="2467">
        <f>SUBTOTAL(109,[2015])</f>
        <v>5.8634275826202362</v>
      </c>
      <c r="H785" s="2467">
        <f>SUBTOTAL(109,[2020])</f>
        <v>5.3146805082874202</v>
      </c>
      <c r="I785" s="2467">
        <f>SUBTOTAL(109,[2025])</f>
        <v>4.6614941678958139</v>
      </c>
      <c r="J785" s="2467">
        <f>SUBTOTAL(109,[2030])</f>
        <v>4.4882094112076647</v>
      </c>
      <c r="K785" s="2467">
        <f>SUBTOTAL(109,[2035])</f>
        <v>4.2924405269867707</v>
      </c>
      <c r="L785" s="2467">
        <f>SUBTOTAL(109,[2040])</f>
        <v>4.132579218436593</v>
      </c>
      <c r="M785" s="2467">
        <f>SUBTOTAL(109,[2045])</f>
        <v>3.9817267431951482</v>
      </c>
      <c r="N785" s="2467">
        <f>SUBTOTAL(109,[2050])</f>
        <v>3.8561269672005145</v>
      </c>
      <c r="O785"/>
    </row>
    <row r="786" spans="1:15" s="363" customFormat="1" ht="15.75">
      <c r="A786"/>
      <c r="B786" s="467"/>
      <c r="C786" s="1140"/>
      <c r="D786" s="1140"/>
      <c r="E786" s="1140"/>
      <c r="F786" s="471"/>
      <c r="G786" s="471"/>
      <c r="H786" s="471"/>
      <c r="I786" s="471"/>
      <c r="J786" s="471"/>
      <c r="K786" s="471"/>
      <c r="L786" s="471"/>
      <c r="M786" s="471"/>
      <c r="N786" s="471"/>
      <c r="O786"/>
    </row>
    <row r="787" spans="1:15" s="363" customFormat="1" ht="15.75">
      <c r="A787"/>
      <c r="B787" s="467"/>
      <c r="C787" s="462" t="s">
        <v>1255</v>
      </c>
      <c r="D787" s="1135"/>
      <c r="E787" s="1136"/>
      <c r="F787" s="1135"/>
      <c r="G787" s="1135"/>
      <c r="H787" s="1135"/>
      <c r="I787" s="1135"/>
      <c r="J787" s="1135"/>
      <c r="K787" s="1135"/>
      <c r="L787" s="1135"/>
      <c r="M787" s="1135"/>
      <c r="N787" s="1136" t="s">
        <v>254</v>
      </c>
      <c r="O787"/>
    </row>
    <row r="788" spans="1:15" s="363" customFormat="1" ht="15.75">
      <c r="A788"/>
      <c r="B788" s="467"/>
      <c r="C788" s="1135"/>
      <c r="D788" s="1135"/>
      <c r="E788" s="1135"/>
      <c r="F788" s="1135"/>
      <c r="G788" s="1135"/>
      <c r="H788" s="1135"/>
      <c r="I788" s="1135"/>
      <c r="J788" s="1135"/>
      <c r="K788" s="1135"/>
      <c r="L788" s="1135"/>
      <c r="M788" s="1135"/>
      <c r="N788" s="1135"/>
      <c r="O788"/>
    </row>
    <row r="789" spans="1:15" s="363" customFormat="1" ht="15.75">
      <c r="A789"/>
      <c r="B789" s="467"/>
      <c r="C789" s="1339" t="s">
        <v>305</v>
      </c>
      <c r="D789" s="1339" t="s">
        <v>306</v>
      </c>
      <c r="E789" s="1339" t="s">
        <v>30</v>
      </c>
      <c r="F789" s="1339" t="s">
        <v>597</v>
      </c>
      <c r="G789" s="1339" t="s">
        <v>133</v>
      </c>
      <c r="H789" s="1339" t="s">
        <v>134</v>
      </c>
      <c r="I789" s="1339" t="s">
        <v>135</v>
      </c>
      <c r="J789" s="1339" t="s">
        <v>136</v>
      </c>
      <c r="K789" s="1339" t="s">
        <v>137</v>
      </c>
      <c r="L789" s="1339" t="s">
        <v>138</v>
      </c>
      <c r="M789" s="1339" t="s">
        <v>139</v>
      </c>
      <c r="N789" s="1339" t="s">
        <v>140</v>
      </c>
      <c r="O789"/>
    </row>
    <row r="790" spans="1:15" s="363" customFormat="1" ht="15.75">
      <c r="A790"/>
      <c r="B790" s="467"/>
      <c r="C790" s="1140" t="s">
        <v>253</v>
      </c>
      <c r="D790" s="1141" t="s">
        <v>307</v>
      </c>
      <c r="E790" s="1140" t="s">
        <v>308</v>
      </c>
      <c r="F790" s="1383">
        <f t="shared" ref="F790:N790" si="100">F774*(F$754/F$736)</f>
        <v>8.6270900270713297E-2</v>
      </c>
      <c r="G790" s="470">
        <f t="shared" si="100"/>
        <v>0.10278325487714438</v>
      </c>
      <c r="H790" s="470">
        <f t="shared" si="100"/>
        <v>9.9396367906366509E-2</v>
      </c>
      <c r="I790" s="470">
        <f t="shared" si="100"/>
        <v>9.5303641870817177E-2</v>
      </c>
      <c r="J790" s="470">
        <f t="shared" si="100"/>
        <v>9.1058996647875839E-2</v>
      </c>
      <c r="K790" s="470">
        <f t="shared" si="100"/>
        <v>8.6631828676576358E-2</v>
      </c>
      <c r="L790" s="470">
        <f t="shared" si="100"/>
        <v>8.1808310335018439E-2</v>
      </c>
      <c r="M790" s="470">
        <f t="shared" si="100"/>
        <v>7.6813006447464305E-2</v>
      </c>
      <c r="N790" s="470">
        <f t="shared" si="100"/>
        <v>7.6813006447464319E-2</v>
      </c>
      <c r="O790"/>
    </row>
    <row r="791" spans="1:15" s="363" customFormat="1" ht="15.75">
      <c r="A791"/>
      <c r="B791" s="467"/>
      <c r="C791" s="1140" t="s">
        <v>255</v>
      </c>
      <c r="D791" s="1141" t="s">
        <v>307</v>
      </c>
      <c r="E791" s="1140" t="s">
        <v>308</v>
      </c>
      <c r="F791" s="1383">
        <f t="shared" ref="F791:N791" si="101">F775*(F$754/F$736)</f>
        <v>7.4148249891608988E-5</v>
      </c>
      <c r="G791" s="470">
        <f t="shared" si="101"/>
        <v>8.8340314560165036E-5</v>
      </c>
      <c r="H791" s="470">
        <f t="shared" si="101"/>
        <v>8.5429347586645174E-5</v>
      </c>
      <c r="I791" s="470">
        <f t="shared" si="101"/>
        <v>8.1911724936718737E-5</v>
      </c>
      <c r="J791" s="470">
        <f t="shared" si="101"/>
        <v>7.8263530543194805E-5</v>
      </c>
      <c r="K791" s="470">
        <f t="shared" si="101"/>
        <v>7.4458461209062922E-5</v>
      </c>
      <c r="L791" s="470">
        <f t="shared" si="101"/>
        <v>7.0312736031461975E-5</v>
      </c>
      <c r="M791" s="470">
        <f t="shared" si="101"/>
        <v>6.6019364340931142E-5</v>
      </c>
      <c r="N791" s="470">
        <f t="shared" si="101"/>
        <v>6.6019364340931142E-5</v>
      </c>
      <c r="O791"/>
    </row>
    <row r="792" spans="1:15" s="363" customFormat="1" ht="15.75">
      <c r="A792"/>
      <c r="B792" s="467"/>
      <c r="C792" s="1140" t="s">
        <v>256</v>
      </c>
      <c r="D792" s="1141" t="s">
        <v>307</v>
      </c>
      <c r="E792" s="1140" t="s">
        <v>308</v>
      </c>
      <c r="F792" s="1383">
        <f t="shared" ref="F792:N792" si="102">F776*(F$754/F$736)</f>
        <v>2.1891388063236938E-4</v>
      </c>
      <c r="G792" s="470">
        <f t="shared" si="102"/>
        <v>2.6081426203477295E-4</v>
      </c>
      <c r="H792" s="470">
        <f t="shared" si="102"/>
        <v>2.5221997858914286E-4</v>
      </c>
      <c r="I792" s="470">
        <f t="shared" si="102"/>
        <v>2.4183461647983624E-4</v>
      </c>
      <c r="J792" s="470">
        <f t="shared" si="102"/>
        <v>2.3106375684181325E-4</v>
      </c>
      <c r="K792" s="470">
        <f t="shared" si="102"/>
        <v>2.1982974261723338E-4</v>
      </c>
      <c r="L792" s="470">
        <f t="shared" si="102"/>
        <v>2.0758998256907823E-4</v>
      </c>
      <c r="M792" s="470">
        <f t="shared" si="102"/>
        <v>1.9491431376846336E-4</v>
      </c>
      <c r="N792" s="470">
        <f t="shared" si="102"/>
        <v>1.9491431376846338E-4</v>
      </c>
      <c r="O792"/>
    </row>
    <row r="793" spans="1:15" s="363" customFormat="1" ht="15.75">
      <c r="A793"/>
      <c r="B793" s="467"/>
      <c r="C793" s="2466" t="s">
        <v>59</v>
      </c>
      <c r="D793" s="2466"/>
      <c r="E793" s="2466"/>
      <c r="F793" s="2468">
        <f>SUBTOTAL(109,[2013])</f>
        <v>8.6563962401237274E-2</v>
      </c>
      <c r="G793" s="2468">
        <f>SUBTOTAL(109,[2015])</f>
        <v>0.1031324094537393</v>
      </c>
      <c r="H793" s="2468">
        <f>SUBTOTAL(109,[2020])</f>
        <v>9.9734017232542299E-2</v>
      </c>
      <c r="I793" s="2468">
        <f>SUBTOTAL(109,[2025])</f>
        <v>9.5627388212233724E-2</v>
      </c>
      <c r="J793" s="2468">
        <f>SUBTOTAL(109,[2030])</f>
        <v>9.1368323935260856E-2</v>
      </c>
      <c r="K793" s="2468">
        <f>SUBTOTAL(109,[2035])</f>
        <v>8.6926116880402651E-2</v>
      </c>
      <c r="L793" s="2468">
        <f>SUBTOTAL(109,[2040])</f>
        <v>8.2086213053618975E-2</v>
      </c>
      <c r="M793" s="2468">
        <f>SUBTOTAL(109,[2045])</f>
        <v>7.7073940125573698E-2</v>
      </c>
      <c r="N793" s="2468">
        <f>SUBTOTAL(109,[2050])</f>
        <v>7.7073940125573712E-2</v>
      </c>
      <c r="O793"/>
    </row>
    <row r="794" spans="1:15" s="363" customFormat="1" ht="15.75">
      <c r="A794"/>
      <c r="B794" s="467"/>
      <c r="C794" s="1140"/>
      <c r="D794" s="1140"/>
      <c r="E794" s="1140"/>
      <c r="F794" s="471"/>
      <c r="G794" s="471"/>
      <c r="H794" s="471"/>
      <c r="I794" s="471"/>
      <c r="J794" s="471"/>
      <c r="K794" s="471"/>
      <c r="L794" s="471"/>
      <c r="M794" s="471"/>
      <c r="N794" s="471"/>
      <c r="O794"/>
    </row>
    <row r="795" spans="1:15" s="363" customFormat="1" ht="15.75">
      <c r="A795"/>
      <c r="B795" s="467"/>
      <c r="C795" s="462" t="s">
        <v>1256</v>
      </c>
      <c r="D795" s="1135"/>
      <c r="E795" s="1136"/>
      <c r="F795" s="1135"/>
      <c r="G795" s="1135"/>
      <c r="H795" s="1135"/>
      <c r="I795" s="1135"/>
      <c r="J795" s="1135"/>
      <c r="K795" s="1135"/>
      <c r="L795" s="1135"/>
      <c r="M795" s="1135"/>
      <c r="N795" s="1136" t="s">
        <v>254</v>
      </c>
      <c r="O795"/>
    </row>
    <row r="796" spans="1:15" ht="15.75">
      <c r="B796" s="467"/>
      <c r="C796" s="1135"/>
      <c r="D796" s="1135"/>
      <c r="E796" s="1135"/>
      <c r="F796" s="1135"/>
      <c r="G796" s="1135"/>
      <c r="H796" s="1135"/>
      <c r="I796" s="1135"/>
      <c r="J796" s="1135"/>
      <c r="K796" s="1135"/>
      <c r="L796" s="1135"/>
      <c r="M796" s="1135"/>
      <c r="N796" s="1135"/>
    </row>
    <row r="797" spans="1:15" ht="15.75">
      <c r="B797" s="467"/>
      <c r="C797" s="1339" t="s">
        <v>305</v>
      </c>
      <c r="D797" s="1339" t="s">
        <v>306</v>
      </c>
      <c r="E797" s="1339" t="s">
        <v>30</v>
      </c>
      <c r="F797" s="1339" t="s">
        <v>597</v>
      </c>
      <c r="G797" s="1339" t="s">
        <v>133</v>
      </c>
      <c r="H797" s="1339" t="s">
        <v>134</v>
      </c>
      <c r="I797" s="1339" t="s">
        <v>135</v>
      </c>
      <c r="J797" s="1339" t="s">
        <v>136</v>
      </c>
      <c r="K797" s="1339" t="s">
        <v>137</v>
      </c>
      <c r="L797" s="1339" t="s">
        <v>138</v>
      </c>
      <c r="M797" s="1339" t="s">
        <v>139</v>
      </c>
      <c r="N797" s="1339" t="s">
        <v>140</v>
      </c>
    </row>
    <row r="798" spans="1:15" ht="15.75">
      <c r="B798" s="467"/>
      <c r="C798" s="1140" t="s">
        <v>253</v>
      </c>
      <c r="D798" s="1141" t="s">
        <v>307</v>
      </c>
      <c r="E798" s="1140" t="s">
        <v>308</v>
      </c>
      <c r="F798" s="1383">
        <f t="shared" ref="F798:N798" si="103">F774*(F$763/F$736)</f>
        <v>7.172201715288126E-3</v>
      </c>
      <c r="G798" s="470">
        <f t="shared" si="103"/>
        <v>7.1192651595664768E-3</v>
      </c>
      <c r="H798" s="470">
        <f t="shared" si="103"/>
        <v>7.058416214670322E-3</v>
      </c>
      <c r="I798" s="470">
        <f t="shared" si="103"/>
        <v>6.9604460558037673E-3</v>
      </c>
      <c r="J798" s="470">
        <f t="shared" si="103"/>
        <v>6.8644759480161605E-3</v>
      </c>
      <c r="K798" s="470">
        <f t="shared" si="103"/>
        <v>6.7689977633628483E-3</v>
      </c>
      <c r="L798" s="470">
        <f t="shared" si="103"/>
        <v>6.6573805431646982E-3</v>
      </c>
      <c r="M798" s="470">
        <f t="shared" si="103"/>
        <v>6.5472148057929809E-3</v>
      </c>
      <c r="N798" s="470">
        <f t="shared" si="103"/>
        <v>6.5472148057929818E-3</v>
      </c>
    </row>
    <row r="799" spans="1:15" ht="15.75">
      <c r="B799" s="467"/>
      <c r="C799" s="1140" t="s">
        <v>255</v>
      </c>
      <c r="D799" s="1141" t="s">
        <v>307</v>
      </c>
      <c r="E799" s="1140" t="s">
        <v>308</v>
      </c>
      <c r="F799" s="1383">
        <f t="shared" ref="F799:N799" si="104">F775*(F$763/F$736)</f>
        <v>6.1643752805341338E-6</v>
      </c>
      <c r="G799" s="470">
        <f t="shared" si="104"/>
        <v>6.1188772858484056E-6</v>
      </c>
      <c r="H799" s="470">
        <f t="shared" si="104"/>
        <v>6.0665787383933191E-6</v>
      </c>
      <c r="I799" s="470">
        <f t="shared" si="104"/>
        <v>5.9823751912092425E-6</v>
      </c>
      <c r="J799" s="470">
        <f t="shared" si="104"/>
        <v>5.8998906510916533E-6</v>
      </c>
      <c r="K799" s="470">
        <f t="shared" si="104"/>
        <v>5.8178289098480165E-6</v>
      </c>
      <c r="L799" s="470">
        <f t="shared" si="104"/>
        <v>5.7218959647936711E-6</v>
      </c>
      <c r="M799" s="470">
        <f t="shared" si="104"/>
        <v>5.6272105424960153E-6</v>
      </c>
      <c r="N799" s="470">
        <f t="shared" si="104"/>
        <v>5.6272105424960153E-6</v>
      </c>
    </row>
    <row r="800" spans="1:15" ht="15.75">
      <c r="B800" s="467"/>
      <c r="C800" s="1140" t="s">
        <v>256</v>
      </c>
      <c r="D800" s="1141" t="s">
        <v>307</v>
      </c>
      <c r="E800" s="1140" t="s">
        <v>308</v>
      </c>
      <c r="F800" s="1383">
        <f t="shared" ref="F800:N800" si="105">F776*(F$763/F$736)</f>
        <v>1.8199584161576966E-5</v>
      </c>
      <c r="G800" s="470">
        <f t="shared" si="105"/>
        <v>1.8065256748695293E-5</v>
      </c>
      <c r="H800" s="470">
        <f t="shared" si="105"/>
        <v>1.7910851513351705E-5</v>
      </c>
      <c r="I800" s="470">
        <f t="shared" si="105"/>
        <v>1.7662250564522525E-5</v>
      </c>
      <c r="J800" s="470">
        <f t="shared" si="105"/>
        <v>1.7418724779413455E-5</v>
      </c>
      <c r="K800" s="470">
        <f t="shared" si="105"/>
        <v>1.7176447257646524E-5</v>
      </c>
      <c r="L800" s="470">
        <f t="shared" si="105"/>
        <v>1.6893216657962268E-5</v>
      </c>
      <c r="M800" s="470">
        <f t="shared" si="105"/>
        <v>1.661366922070252E-5</v>
      </c>
      <c r="N800" s="470">
        <f t="shared" si="105"/>
        <v>1.6613669220702524E-5</v>
      </c>
    </row>
    <row r="801" spans="1:15" ht="15.75">
      <c r="A801" s="39"/>
      <c r="B801" s="467"/>
      <c r="C801" s="2466" t="s">
        <v>59</v>
      </c>
      <c r="D801" s="2466"/>
      <c r="E801" s="2466"/>
      <c r="F801" s="2468">
        <f>SUBTOTAL(109,[2013])</f>
        <v>7.1965656747302372E-3</v>
      </c>
      <c r="G801" s="2468">
        <f>SUBTOTAL(109,[2015])</f>
        <v>7.1434492936010207E-3</v>
      </c>
      <c r="H801" s="2468">
        <f>SUBTOTAL(109,[2020])</f>
        <v>7.0823936449220665E-3</v>
      </c>
      <c r="I801" s="2468">
        <f>SUBTOTAL(109,[2025])</f>
        <v>6.984090681559499E-3</v>
      </c>
      <c r="J801" s="2468">
        <f>SUBTOTAL(109,[2030])</f>
        <v>6.8877945634466652E-3</v>
      </c>
      <c r="K801" s="2468">
        <f>SUBTOTAL(109,[2035])</f>
        <v>6.7919920395303427E-3</v>
      </c>
      <c r="L801" s="2468">
        <f>SUBTOTAL(109,[2040])</f>
        <v>6.6799956557874541E-3</v>
      </c>
      <c r="M801" s="2468">
        <f>SUBTOTAL(109,[2045])</f>
        <v>6.5694556855561796E-3</v>
      </c>
      <c r="N801" s="2468">
        <f>SUBTOTAL(109,[2050])</f>
        <v>6.5694556855561805E-3</v>
      </c>
    </row>
    <row r="802" spans="1:15" ht="15.75">
      <c r="B802" s="467"/>
      <c r="C802" s="1135"/>
      <c r="D802" s="1135"/>
      <c r="E802" s="1135"/>
      <c r="F802" s="1135"/>
      <c r="G802" s="1135"/>
      <c r="H802" s="1135"/>
      <c r="I802" s="1135"/>
      <c r="J802" s="1135"/>
      <c r="K802" s="1135"/>
      <c r="L802" s="1135"/>
      <c r="M802" s="1135"/>
      <c r="N802" s="1135"/>
    </row>
    <row r="803" spans="1:15" s="2446" customFormat="1" ht="15.75">
      <c r="B803" s="467"/>
      <c r="C803" s="1135"/>
      <c r="D803" s="1135"/>
      <c r="E803" s="1135"/>
      <c r="F803" s="1135"/>
      <c r="G803" s="1135"/>
      <c r="H803" s="1135"/>
      <c r="I803" s="1135"/>
      <c r="J803" s="1135"/>
      <c r="K803" s="1135"/>
      <c r="L803" s="1135"/>
      <c r="M803" s="1135"/>
      <c r="N803" s="1135"/>
    </row>
    <row r="804" spans="1:15" s="363" customFormat="1">
      <c r="A804"/>
      <c r="C804"/>
      <c r="D804"/>
      <c r="E804"/>
      <c r="F804"/>
      <c r="G804"/>
      <c r="H804"/>
      <c r="I804"/>
      <c r="J804"/>
      <c r="K804"/>
      <c r="L804"/>
      <c r="M804"/>
      <c r="N804"/>
    </row>
    <row r="805" spans="1:15" s="363" customFormat="1" ht="15.75">
      <c r="A805" s="2446" t="s">
        <v>5</v>
      </c>
      <c r="B805" s="995" t="s">
        <v>313</v>
      </c>
      <c r="C805" s="996"/>
      <c r="D805" s="997"/>
      <c r="E805" s="997"/>
      <c r="F805" s="997"/>
      <c r="G805" s="997"/>
      <c r="H805" s="997"/>
      <c r="I805" s="997"/>
      <c r="J805" s="997"/>
      <c r="K805" s="997"/>
      <c r="L805" s="997"/>
      <c r="M805" s="997"/>
      <c r="N805" s="997"/>
    </row>
    <row r="806" spans="1:15" s="363" customFormat="1" ht="15.75">
      <c r="A806"/>
      <c r="B806" s="492"/>
      <c r="C806" s="1000"/>
      <c r="D806" s="1000"/>
      <c r="E806" s="1000"/>
      <c r="F806" s="1000"/>
      <c r="G806" s="1000"/>
      <c r="H806" s="1000"/>
      <c r="I806" s="1000"/>
      <c r="J806" s="1000"/>
      <c r="K806" s="1000"/>
      <c r="L806" s="1000"/>
      <c r="M806" s="1000"/>
      <c r="N806" s="1000"/>
    </row>
    <row r="807" spans="1:15" s="363" customFormat="1" ht="15.75">
      <c r="A807" s="39"/>
      <c r="B807" s="492"/>
      <c r="C807" s="488" t="s">
        <v>1257</v>
      </c>
      <c r="D807" s="1003"/>
      <c r="E807" s="1004"/>
      <c r="F807" s="1003"/>
      <c r="G807" s="1003"/>
      <c r="H807" s="1003"/>
      <c r="I807" s="1003"/>
      <c r="J807" s="1003"/>
      <c r="K807" s="1003"/>
      <c r="L807" s="1003"/>
      <c r="M807" s="1003"/>
      <c r="N807" s="1004"/>
    </row>
    <row r="808" spans="1:15" s="363" customFormat="1" ht="15.75">
      <c r="A808"/>
      <c r="B808" s="492"/>
      <c r="C808" s="1003"/>
      <c r="D808" s="1003"/>
      <c r="E808" s="1003"/>
      <c r="F808" s="1003"/>
      <c r="G808" s="1003"/>
      <c r="H808" s="1003"/>
      <c r="I808" s="1003"/>
      <c r="J808" s="1003"/>
      <c r="K808" s="1003"/>
      <c r="L808" s="1003"/>
      <c r="M808" s="1003"/>
      <c r="N808" s="1003"/>
    </row>
    <row r="809" spans="1:15" s="363" customFormat="1">
      <c r="A809"/>
      <c r="B809" s="1002"/>
      <c r="C809" s="1006" t="s">
        <v>28</v>
      </c>
      <c r="D809" s="1006" t="s">
        <v>315</v>
      </c>
      <c r="E809" s="1006" t="s">
        <v>30</v>
      </c>
      <c r="F809" s="1006" t="s">
        <v>597</v>
      </c>
      <c r="G809" s="1006" t="s">
        <v>133</v>
      </c>
      <c r="H809" s="1006" t="s">
        <v>134</v>
      </c>
      <c r="I809" s="1006" t="s">
        <v>135</v>
      </c>
      <c r="J809" s="1006" t="s">
        <v>136</v>
      </c>
      <c r="K809" s="1006" t="s">
        <v>137</v>
      </c>
      <c r="L809" s="1006" t="s">
        <v>138</v>
      </c>
      <c r="M809" s="1006" t="s">
        <v>139</v>
      </c>
      <c r="N809" s="1006" t="s">
        <v>140</v>
      </c>
    </row>
    <row r="810" spans="1:15" s="363" customFormat="1">
      <c r="A810"/>
      <c r="B810" s="1002"/>
      <c r="C810" s="1007" t="s">
        <v>1258</v>
      </c>
      <c r="D810" s="494" t="s">
        <v>1259</v>
      </c>
      <c r="E810" s="494" t="str">
        <f>Preferences.PowerUnits</f>
        <v>GW</v>
      </c>
      <c r="F810" s="2438">
        <f t="shared" ref="F810:N810" si="106">F689*Conversion.to.average.power</f>
        <v>0</v>
      </c>
      <c r="G810" s="2438">
        <f t="shared" si="106"/>
        <v>0</v>
      </c>
      <c r="H810" s="2438">
        <f t="shared" si="106"/>
        <v>1.6202141747248158E-3</v>
      </c>
      <c r="I810" s="2438">
        <f t="shared" si="106"/>
        <v>3.1913257283986375E-3</v>
      </c>
      <c r="J810" s="2438">
        <f t="shared" si="106"/>
        <v>1.7481418176539452E-2</v>
      </c>
      <c r="K810" s="2438">
        <f t="shared" si="106"/>
        <v>3.216466434182487E-2</v>
      </c>
      <c r="L810" s="2438">
        <f t="shared" si="106"/>
        <v>4.9876616788491486E-2</v>
      </c>
      <c r="M810" s="2438">
        <f t="shared" si="106"/>
        <v>6.9600399032416091E-2</v>
      </c>
      <c r="N810" s="2438">
        <f t="shared" si="106"/>
        <v>8.4514770253648105E-2</v>
      </c>
    </row>
    <row r="811" spans="1:15" s="363" customFormat="1" ht="15.75">
      <c r="A811"/>
      <c r="B811" s="492"/>
      <c r="C811" s="1007"/>
      <c r="D811" s="494"/>
      <c r="E811" s="1007"/>
      <c r="F811" s="495"/>
      <c r="G811" s="495"/>
      <c r="H811" s="495"/>
      <c r="I811" s="495"/>
      <c r="J811" s="495"/>
      <c r="K811" s="495"/>
      <c r="L811" s="495"/>
      <c r="M811" s="495"/>
      <c r="N811" s="495"/>
    </row>
    <row r="812" spans="1:15" s="363" customFormat="1" ht="15.75">
      <c r="A812"/>
      <c r="B812" s="492"/>
      <c r="C812" s="488" t="s">
        <v>1260</v>
      </c>
      <c r="D812" s="1003"/>
      <c r="E812" s="1004"/>
      <c r="F812" s="1003"/>
      <c r="G812" s="1003"/>
      <c r="H812" s="1003"/>
      <c r="I812" s="1003"/>
      <c r="J812" s="1003"/>
      <c r="K812" s="1003"/>
      <c r="L812" s="1003"/>
      <c r="M812" s="1003"/>
      <c r="N812" s="1004"/>
    </row>
    <row r="813" spans="1:15" s="363" customFormat="1" ht="15.75">
      <c r="A813"/>
      <c r="B813" s="492"/>
      <c r="C813" s="1003"/>
      <c r="D813" s="1003"/>
      <c r="E813" s="1003"/>
      <c r="F813" s="1003"/>
      <c r="G813" s="1003"/>
      <c r="H813" s="1003"/>
      <c r="I813" s="1003"/>
      <c r="J813" s="1003"/>
      <c r="K813" s="1003"/>
      <c r="L813" s="1003"/>
      <c r="M813" s="1003"/>
      <c r="N813" s="1003"/>
    </row>
    <row r="814" spans="1:15" s="363" customFormat="1" ht="15.75">
      <c r="A814"/>
      <c r="B814" s="2469"/>
      <c r="C814" s="1006" t="s">
        <v>28</v>
      </c>
      <c r="D814" s="1006" t="s">
        <v>315</v>
      </c>
      <c r="E814" s="1006" t="s">
        <v>30</v>
      </c>
      <c r="F814" s="1006" t="s">
        <v>597</v>
      </c>
      <c r="G814" s="1006" t="s">
        <v>133</v>
      </c>
      <c r="H814" s="1006" t="s">
        <v>134</v>
      </c>
      <c r="I814" s="1006" t="s">
        <v>135</v>
      </c>
      <c r="J814" s="1006" t="s">
        <v>136</v>
      </c>
      <c r="K814" s="1006" t="s">
        <v>137</v>
      </c>
      <c r="L814" s="1006" t="s">
        <v>138</v>
      </c>
      <c r="M814" s="1006" t="s">
        <v>139</v>
      </c>
      <c r="N814" s="1006" t="s">
        <v>140</v>
      </c>
    </row>
    <row r="815" spans="1:15" s="363" customFormat="1">
      <c r="A815"/>
      <c r="B815" s="1003"/>
      <c r="C815" s="1007" t="s">
        <v>1258</v>
      </c>
      <c r="D815" s="494" t="s">
        <v>1259</v>
      </c>
      <c r="E815" s="494" t="str">
        <f>Preferences.PowerUnits</f>
        <v>GW</v>
      </c>
      <c r="F815" s="2438">
        <f t="shared" ref="F815:N815" si="107">F690*Conversion.to.average.power</f>
        <v>0</v>
      </c>
      <c r="G815" s="2438">
        <f t="shared" si="107"/>
        <v>5.3438810284123543E-5</v>
      </c>
      <c r="H815" s="2438">
        <f t="shared" si="107"/>
        <v>2.5343857950981582E-4</v>
      </c>
      <c r="I815" s="2438">
        <f t="shared" si="107"/>
        <v>4.8287262530297294E-4</v>
      </c>
      <c r="J815" s="2438">
        <f t="shared" si="107"/>
        <v>2.5594096603352772E-3</v>
      </c>
      <c r="K815" s="2438">
        <f t="shared" si="107"/>
        <v>4.5640379983506842E-3</v>
      </c>
      <c r="L815" s="2438">
        <f t="shared" si="107"/>
        <v>6.8437403635707873E-3</v>
      </c>
      <c r="M815" s="2438">
        <f t="shared" si="107"/>
        <v>9.2759740600565077E-3</v>
      </c>
      <c r="N815" s="2438">
        <f t="shared" si="107"/>
        <v>1.0435470817563571E-2</v>
      </c>
      <c r="O815"/>
    </row>
    <row r="816" spans="1:15" s="363" customFormat="1">
      <c r="A816"/>
      <c r="B816" s="1003"/>
      <c r="C816" s="1007"/>
      <c r="D816" s="494"/>
      <c r="E816" s="1007"/>
      <c r="F816" s="495"/>
      <c r="G816" s="495"/>
      <c r="H816" s="495"/>
      <c r="I816" s="495"/>
      <c r="J816" s="495"/>
      <c r="K816" s="495"/>
      <c r="L816" s="495"/>
      <c r="M816" s="495"/>
      <c r="N816" s="495"/>
      <c r="O816"/>
    </row>
    <row r="817" spans="1:14" s="363" customFormat="1">
      <c r="A817"/>
      <c r="B817" s="488"/>
      <c r="C817" s="488" t="s">
        <v>314</v>
      </c>
      <c r="D817" s="1003"/>
      <c r="E817" s="1004"/>
      <c r="F817" s="1003"/>
      <c r="G817" s="1003"/>
      <c r="H817" s="1003"/>
      <c r="I817" s="1003"/>
      <c r="J817" s="1003"/>
      <c r="K817" s="1003"/>
      <c r="L817" s="1003"/>
      <c r="M817" s="1003"/>
      <c r="N817" s="1004"/>
    </row>
    <row r="818" spans="1:14" s="363" customFormat="1">
      <c r="A818"/>
      <c r="B818" s="488"/>
      <c r="C818" s="1003"/>
      <c r="D818" s="1003"/>
      <c r="E818" s="1003"/>
      <c r="F818" s="1003"/>
      <c r="G818" s="1003"/>
      <c r="H818" s="1003"/>
      <c r="I818" s="1003"/>
      <c r="J818" s="1003"/>
      <c r="K818" s="1003"/>
      <c r="L818" s="1003"/>
      <c r="M818" s="1003"/>
      <c r="N818" s="1003"/>
    </row>
    <row r="819" spans="1:14" s="363" customFormat="1">
      <c r="A819"/>
      <c r="B819" s="488"/>
      <c r="C819" s="1006" t="s">
        <v>28</v>
      </c>
      <c r="D819" s="1006" t="s">
        <v>315</v>
      </c>
      <c r="E819" s="1006" t="s">
        <v>30</v>
      </c>
      <c r="F819" s="1006" t="s">
        <v>597</v>
      </c>
      <c r="G819" s="1006" t="s">
        <v>133</v>
      </c>
      <c r="H819" s="1006" t="s">
        <v>134</v>
      </c>
      <c r="I819" s="1006" t="s">
        <v>135</v>
      </c>
      <c r="J819" s="1006" t="s">
        <v>136</v>
      </c>
      <c r="K819" s="1006" t="s">
        <v>137</v>
      </c>
      <c r="L819" s="1006" t="s">
        <v>138</v>
      </c>
      <c r="M819" s="1006" t="s">
        <v>139</v>
      </c>
      <c r="N819" s="1006" t="s">
        <v>140</v>
      </c>
    </row>
    <row r="820" spans="1:14" s="363" customFormat="1">
      <c r="A820"/>
      <c r="B820" s="488"/>
      <c r="C820" s="1007" t="s">
        <v>887</v>
      </c>
      <c r="D820" s="1007" t="s">
        <v>1870</v>
      </c>
      <c r="E820" s="494"/>
      <c r="F820" s="1008"/>
      <c r="G820" s="1008"/>
      <c r="H820" s="1008"/>
      <c r="I820" s="1008"/>
      <c r="J820" s="1008"/>
      <c r="K820" s="1008"/>
      <c r="L820" s="1008"/>
      <c r="M820" s="1008"/>
      <c r="N820" s="1008"/>
    </row>
    <row r="821" spans="1:14" s="363" customFormat="1">
      <c r="A821"/>
      <c r="B821" s="488"/>
      <c r="C821" s="1007" t="s">
        <v>316</v>
      </c>
      <c r="D821" s="494" t="s">
        <v>317</v>
      </c>
      <c r="E821" s="494"/>
      <c r="F821" s="1008"/>
      <c r="G821" s="1008"/>
      <c r="H821" s="1008"/>
      <c r="I821" s="1008"/>
      <c r="J821" s="1008"/>
      <c r="K821" s="1008"/>
      <c r="L821" s="1008"/>
      <c r="M821" s="1008"/>
      <c r="N821" s="1008"/>
    </row>
    <row r="822" spans="1:14" s="363" customFormat="1">
      <c r="A822"/>
      <c r="B822" s="488"/>
      <c r="C822" s="1010"/>
      <c r="D822" s="1010"/>
      <c r="E822" s="1010"/>
      <c r="F822" s="1010"/>
      <c r="G822" s="1010"/>
      <c r="H822" s="1010"/>
      <c r="I822" s="1010"/>
      <c r="J822" s="1010"/>
      <c r="K822" s="1010"/>
      <c r="L822" s="1010"/>
      <c r="M822" s="1010"/>
      <c r="N822" s="1010"/>
    </row>
    <row r="823" spans="1:14" s="363" customFormat="1">
      <c r="A823"/>
      <c r="C823"/>
      <c r="D823"/>
      <c r="E823"/>
      <c r="F823"/>
      <c r="G823" s="3084" t="s">
        <v>5</v>
      </c>
      <c r="H823"/>
      <c r="I823"/>
      <c r="J823"/>
      <c r="K823"/>
      <c r="L823"/>
      <c r="M823"/>
      <c r="N823"/>
    </row>
    <row r="825" spans="1:14" ht="15.75">
      <c r="B825" s="995" t="s">
        <v>2795</v>
      </c>
      <c r="C825" s="997"/>
      <c r="D825" s="997"/>
      <c r="E825" s="997"/>
      <c r="F825" s="997"/>
      <c r="G825" s="997"/>
      <c r="H825" s="997"/>
      <c r="I825" s="997"/>
      <c r="J825" s="997"/>
      <c r="K825" s="997"/>
      <c r="L825" s="997"/>
      <c r="M825" s="997"/>
      <c r="N825" s="997"/>
    </row>
    <row r="826" spans="1:14" hidden="1">
      <c r="B826" s="1002"/>
      <c r="C826" s="1003"/>
      <c r="D826" s="1003"/>
      <c r="E826" s="1003"/>
      <c r="F826" s="1003"/>
      <c r="G826" s="1003"/>
      <c r="H826" s="1003"/>
      <c r="I826" s="1003"/>
      <c r="J826" s="1003"/>
      <c r="K826" s="1003"/>
      <c r="L826" s="1003"/>
      <c r="M826" s="1003"/>
      <c r="N826" s="1003"/>
    </row>
    <row r="827" spans="1:14" hidden="1">
      <c r="B827" s="1002"/>
      <c r="C827" s="500" t="s">
        <v>1262</v>
      </c>
      <c r="D827" s="1012"/>
      <c r="E827" s="1012"/>
      <c r="F827" s="1012"/>
      <c r="G827" s="1012"/>
      <c r="H827" s="1012"/>
      <c r="I827" s="1012"/>
      <c r="J827" s="1012"/>
      <c r="K827" s="1012"/>
      <c r="L827" s="1012"/>
      <c r="M827" s="1012"/>
      <c r="N827" s="1012"/>
    </row>
    <row r="828" spans="1:14" hidden="1">
      <c r="B828" s="1002"/>
      <c r="C828" s="1003"/>
      <c r="D828" s="1003"/>
      <c r="E828" s="1003"/>
      <c r="F828" s="1003"/>
      <c r="G828" s="1003"/>
      <c r="H828" s="1003"/>
      <c r="I828" s="1003"/>
      <c r="J828" s="1003"/>
      <c r="K828" s="1003"/>
      <c r="L828" s="1003"/>
      <c r="M828" s="1003"/>
      <c r="N828" s="1003"/>
    </row>
    <row r="829" spans="1:14" ht="15.75" hidden="1">
      <c r="B829" s="492"/>
      <c r="C829" s="1389" t="s">
        <v>28</v>
      </c>
      <c r="D829" s="1389" t="s">
        <v>29</v>
      </c>
      <c r="E829" s="1389" t="s">
        <v>30</v>
      </c>
      <c r="F829" s="1389">
        <v>2013</v>
      </c>
      <c r="G829" s="1389" t="s">
        <v>133</v>
      </c>
      <c r="H829" s="1389" t="s">
        <v>134</v>
      </c>
      <c r="I829" s="1389" t="s">
        <v>135</v>
      </c>
      <c r="J829" s="1389" t="s">
        <v>136</v>
      </c>
      <c r="K829" s="1389" t="s">
        <v>137</v>
      </c>
      <c r="L829" s="1389" t="s">
        <v>138</v>
      </c>
      <c r="M829" s="1389" t="s">
        <v>139</v>
      </c>
      <c r="N829" s="1389" t="s">
        <v>140</v>
      </c>
    </row>
    <row r="830" spans="1:14" ht="15.75" hidden="1">
      <c r="B830" s="492"/>
      <c r="C830" s="1352" t="s">
        <v>324</v>
      </c>
      <c r="D830" s="1353" t="s">
        <v>325</v>
      </c>
      <c r="E830" s="1353"/>
      <c r="F830" s="1643"/>
      <c r="G830" s="1643"/>
      <c r="H830" s="1643"/>
      <c r="I830" s="1643"/>
      <c r="J830" s="1643"/>
      <c r="K830" s="1643"/>
      <c r="L830" s="1643"/>
      <c r="M830" s="1643"/>
      <c r="N830" s="1643"/>
    </row>
    <row r="831" spans="1:14" ht="15.75" hidden="1">
      <c r="B831" s="492"/>
      <c r="C831" s="1007" t="s">
        <v>331</v>
      </c>
      <c r="D831" s="494" t="s">
        <v>332</v>
      </c>
      <c r="E831" s="494"/>
      <c r="F831" s="495"/>
      <c r="G831" s="495"/>
      <c r="H831" s="495"/>
      <c r="I831" s="495"/>
      <c r="J831" s="495"/>
      <c r="K831" s="495"/>
      <c r="L831" s="495"/>
      <c r="M831" s="495"/>
      <c r="N831" s="495"/>
    </row>
    <row r="832" spans="1:14" hidden="1">
      <c r="B832" s="503"/>
      <c r="C832" s="1007" t="s">
        <v>326</v>
      </c>
      <c r="D832" s="494" t="s">
        <v>327</v>
      </c>
      <c r="E832" s="494"/>
      <c r="F832" s="495"/>
      <c r="G832" s="495"/>
      <c r="H832" s="495"/>
      <c r="I832" s="495"/>
      <c r="J832" s="495"/>
      <c r="K832" s="495"/>
      <c r="L832" s="495"/>
      <c r="M832" s="495"/>
      <c r="N832" s="495"/>
    </row>
    <row r="833" spans="2:14" hidden="1">
      <c r="B833" s="503"/>
      <c r="C833" s="1007" t="s">
        <v>333</v>
      </c>
      <c r="D833" s="494" t="s">
        <v>334</v>
      </c>
      <c r="E833" s="494"/>
      <c r="F833" s="495"/>
      <c r="G833" s="495"/>
      <c r="H833" s="495"/>
      <c r="I833" s="495"/>
      <c r="J833" s="495"/>
      <c r="K833" s="495"/>
      <c r="L833" s="495"/>
      <c r="M833" s="495"/>
      <c r="N833" s="495"/>
    </row>
    <row r="834" spans="2:14" hidden="1">
      <c r="B834" s="503"/>
      <c r="C834" s="1007" t="s">
        <v>328</v>
      </c>
      <c r="D834" s="494" t="s">
        <v>329</v>
      </c>
      <c r="E834" s="494"/>
      <c r="F834" s="495"/>
      <c r="G834" s="495"/>
      <c r="H834" s="495"/>
      <c r="I834" s="495"/>
      <c r="J834" s="495"/>
      <c r="K834" s="495"/>
      <c r="L834" s="495"/>
      <c r="M834" s="495"/>
      <c r="N834" s="495"/>
    </row>
    <row r="835" spans="2:14" hidden="1">
      <c r="B835" s="503"/>
      <c r="C835" s="1355" t="s">
        <v>335</v>
      </c>
      <c r="D835" s="1356" t="s">
        <v>336</v>
      </c>
      <c r="E835" s="1356"/>
      <c r="F835" s="496"/>
      <c r="G835" s="496"/>
      <c r="H835" s="496"/>
      <c r="I835" s="496"/>
      <c r="J835" s="496"/>
      <c r="K835" s="496"/>
      <c r="L835" s="496"/>
      <c r="M835" s="496"/>
      <c r="N835" s="496"/>
    </row>
    <row r="836" spans="2:14" hidden="1">
      <c r="B836" s="1002"/>
      <c r="C836" s="1003"/>
      <c r="D836" s="1003"/>
      <c r="E836" s="1003"/>
      <c r="F836" s="1003"/>
      <c r="G836" s="1003"/>
      <c r="H836" s="1003"/>
      <c r="I836" s="1003"/>
      <c r="J836" s="1003"/>
      <c r="K836" s="1003"/>
      <c r="L836" s="1003"/>
      <c r="M836" s="1003"/>
      <c r="N836" s="1003"/>
    </row>
    <row r="837" spans="2:14" hidden="1">
      <c r="B837" s="1002"/>
      <c r="C837" s="500" t="s">
        <v>1263</v>
      </c>
      <c r="D837" s="1012"/>
      <c r="E837" s="1012"/>
      <c r="F837" s="1012"/>
      <c r="G837" s="1012"/>
      <c r="H837" s="1012"/>
      <c r="I837" s="1012"/>
      <c r="J837" s="1012"/>
      <c r="K837" s="1012"/>
      <c r="L837" s="1012"/>
      <c r="M837" s="1012"/>
      <c r="N837" s="1012"/>
    </row>
    <row r="838" spans="2:14" hidden="1">
      <c r="B838" s="1002"/>
      <c r="C838" s="1003"/>
      <c r="D838" s="1003"/>
      <c r="E838" s="1003"/>
      <c r="F838" s="1003"/>
      <c r="G838" s="1003"/>
      <c r="H838" s="1003"/>
      <c r="I838" s="1003"/>
      <c r="J838" s="1003"/>
      <c r="K838" s="1003"/>
      <c r="L838" s="1003"/>
      <c r="M838" s="1003"/>
      <c r="N838" s="1003"/>
    </row>
    <row r="839" spans="2:14" ht="15.75" hidden="1">
      <c r="B839" s="492"/>
      <c r="C839" s="1389" t="s">
        <v>28</v>
      </c>
      <c r="D839" s="1389" t="s">
        <v>29</v>
      </c>
      <c r="E839" s="1389" t="s">
        <v>30</v>
      </c>
      <c r="F839" s="1389">
        <v>2013</v>
      </c>
      <c r="G839" s="1389" t="s">
        <v>133</v>
      </c>
      <c r="H839" s="1389" t="s">
        <v>134</v>
      </c>
      <c r="I839" s="1389" t="s">
        <v>135</v>
      </c>
      <c r="J839" s="1389" t="s">
        <v>136</v>
      </c>
      <c r="K839" s="1389" t="s">
        <v>137</v>
      </c>
      <c r="L839" s="1389" t="s">
        <v>138</v>
      </c>
      <c r="M839" s="1389" t="s">
        <v>139</v>
      </c>
      <c r="N839" s="1389" t="s">
        <v>140</v>
      </c>
    </row>
    <row r="840" spans="2:14" ht="15.75" hidden="1">
      <c r="B840" s="492"/>
      <c r="C840" s="1352" t="s">
        <v>324</v>
      </c>
      <c r="D840" s="1353" t="s">
        <v>325</v>
      </c>
      <c r="E840" s="1353"/>
      <c r="F840" s="1643"/>
      <c r="G840" s="1643"/>
      <c r="H840" s="1643"/>
      <c r="I840" s="1643"/>
      <c r="J840" s="1643"/>
      <c r="K840" s="1643"/>
      <c r="L840" s="1643"/>
      <c r="M840" s="1643"/>
      <c r="N840" s="1643"/>
    </row>
    <row r="841" spans="2:14" ht="15.75" hidden="1">
      <c r="B841" s="492"/>
      <c r="C841" s="1007" t="s">
        <v>331</v>
      </c>
      <c r="D841" s="494" t="s">
        <v>332</v>
      </c>
      <c r="E841" s="494"/>
      <c r="F841" s="495"/>
      <c r="G841" s="495"/>
      <c r="H841" s="495"/>
      <c r="I841" s="495"/>
      <c r="J841" s="495"/>
      <c r="K841" s="495"/>
      <c r="L841" s="495"/>
      <c r="M841" s="495"/>
      <c r="N841" s="495"/>
    </row>
    <row r="842" spans="2:14" ht="15.75" hidden="1">
      <c r="B842" s="492"/>
      <c r="C842" s="1007" t="s">
        <v>326</v>
      </c>
      <c r="D842" s="494" t="s">
        <v>327</v>
      </c>
      <c r="E842" s="494"/>
      <c r="F842" s="495"/>
      <c r="G842" s="495"/>
      <c r="H842" s="495"/>
      <c r="I842" s="495"/>
      <c r="J842" s="495"/>
      <c r="K842" s="495"/>
      <c r="L842" s="495"/>
      <c r="M842" s="495"/>
      <c r="N842" s="495"/>
    </row>
    <row r="843" spans="2:14" ht="15.75" hidden="1">
      <c r="B843" s="492"/>
      <c r="C843" s="1007" t="s">
        <v>333</v>
      </c>
      <c r="D843" s="494" t="s">
        <v>334</v>
      </c>
      <c r="E843" s="494"/>
      <c r="F843" s="495"/>
      <c r="G843" s="495"/>
      <c r="H843" s="495"/>
      <c r="I843" s="495"/>
      <c r="J843" s="495"/>
      <c r="K843" s="495"/>
      <c r="L843" s="495"/>
      <c r="M843" s="495"/>
      <c r="N843" s="495"/>
    </row>
    <row r="844" spans="2:14" hidden="1">
      <c r="B844" s="503"/>
      <c r="C844" s="1007" t="s">
        <v>328</v>
      </c>
      <c r="D844" s="494" t="s">
        <v>329</v>
      </c>
      <c r="E844" s="494"/>
      <c r="F844" s="495"/>
      <c r="G844" s="495"/>
      <c r="H844" s="495"/>
      <c r="I844" s="495"/>
      <c r="J844" s="495"/>
      <c r="K844" s="495"/>
      <c r="L844" s="495"/>
      <c r="M844" s="495"/>
      <c r="N844" s="495"/>
    </row>
    <row r="845" spans="2:14" hidden="1">
      <c r="B845" s="503"/>
      <c r="C845" s="1355" t="s">
        <v>335</v>
      </c>
      <c r="D845" s="1356" t="s">
        <v>336</v>
      </c>
      <c r="E845" s="1356"/>
      <c r="F845" s="496"/>
      <c r="G845" s="496"/>
      <c r="H845" s="496"/>
      <c r="I845" s="496"/>
      <c r="J845" s="496"/>
      <c r="K845" s="496"/>
      <c r="L845" s="496"/>
      <c r="M845" s="496"/>
      <c r="N845" s="496"/>
    </row>
    <row r="846" spans="2:14" hidden="1">
      <c r="B846" s="1002"/>
      <c r="C846" s="1003"/>
      <c r="D846" s="1003"/>
      <c r="E846" s="1003"/>
      <c r="F846" s="1003"/>
      <c r="G846" s="1003"/>
      <c r="H846" s="1003"/>
      <c r="I846" s="1003"/>
      <c r="J846" s="1003"/>
      <c r="K846" s="1003"/>
      <c r="L846" s="1003"/>
      <c r="M846" s="1003"/>
      <c r="N846" s="1003"/>
    </row>
    <row r="847" spans="2:14" hidden="1">
      <c r="B847" s="1002"/>
      <c r="C847" s="500" t="s">
        <v>1264</v>
      </c>
      <c r="D847" s="1012"/>
      <c r="E847" s="1012"/>
      <c r="F847" s="1012"/>
      <c r="G847" s="1012"/>
      <c r="H847" s="1012"/>
      <c r="I847" s="1012"/>
      <c r="J847" s="1012"/>
      <c r="K847" s="1012"/>
      <c r="L847" s="1012"/>
      <c r="M847" s="1012"/>
      <c r="N847" s="1012"/>
    </row>
    <row r="848" spans="2:14" hidden="1">
      <c r="B848" s="1002"/>
      <c r="C848" s="1003"/>
      <c r="D848" s="1003"/>
      <c r="E848" s="1003"/>
      <c r="F848" s="1003"/>
      <c r="G848" s="1003"/>
      <c r="H848" s="1003"/>
      <c r="I848" s="1003"/>
      <c r="J848" s="1003"/>
      <c r="K848" s="1003"/>
      <c r="L848" s="1003"/>
      <c r="M848" s="1003"/>
      <c r="N848" s="1003"/>
    </row>
    <row r="849" spans="2:14" ht="15.75" hidden="1">
      <c r="B849" s="492"/>
      <c r="C849" s="1389" t="s">
        <v>28</v>
      </c>
      <c r="D849" s="1389" t="s">
        <v>29</v>
      </c>
      <c r="E849" s="1389" t="s">
        <v>30</v>
      </c>
      <c r="F849" s="1389">
        <v>2013</v>
      </c>
      <c r="G849" s="1389" t="s">
        <v>133</v>
      </c>
      <c r="H849" s="1389" t="s">
        <v>134</v>
      </c>
      <c r="I849" s="1389" t="s">
        <v>135</v>
      </c>
      <c r="J849" s="1389" t="s">
        <v>136</v>
      </c>
      <c r="K849" s="1389" t="s">
        <v>137</v>
      </c>
      <c r="L849" s="1389" t="s">
        <v>138</v>
      </c>
      <c r="M849" s="1389" t="s">
        <v>139</v>
      </c>
      <c r="N849" s="1389" t="s">
        <v>140</v>
      </c>
    </row>
    <row r="850" spans="2:14" ht="15.75" hidden="1">
      <c r="B850" s="492"/>
      <c r="C850" s="1352" t="s">
        <v>324</v>
      </c>
      <c r="D850" s="1353" t="s">
        <v>325</v>
      </c>
      <c r="E850" s="1353"/>
      <c r="F850" s="1643"/>
      <c r="G850" s="1643"/>
      <c r="H850" s="1643"/>
      <c r="I850" s="1643"/>
      <c r="J850" s="1643"/>
      <c r="K850" s="1643"/>
      <c r="L850" s="1643"/>
      <c r="M850" s="1643"/>
      <c r="N850" s="1643"/>
    </row>
    <row r="851" spans="2:14" ht="15.75" hidden="1">
      <c r="B851" s="492"/>
      <c r="C851" s="1007" t="s">
        <v>331</v>
      </c>
      <c r="D851" s="494" t="s">
        <v>332</v>
      </c>
      <c r="E851" s="494"/>
      <c r="F851" s="495"/>
      <c r="G851" s="495"/>
      <c r="H851" s="495"/>
      <c r="I851" s="495"/>
      <c r="J851" s="495"/>
      <c r="K851" s="495"/>
      <c r="L851" s="495"/>
      <c r="M851" s="495"/>
      <c r="N851" s="495"/>
    </row>
    <row r="852" spans="2:14" ht="15.75" hidden="1">
      <c r="B852" s="492"/>
      <c r="C852" s="1007" t="s">
        <v>326</v>
      </c>
      <c r="D852" s="494" t="s">
        <v>327</v>
      </c>
      <c r="E852" s="494"/>
      <c r="F852" s="495"/>
      <c r="G852" s="495"/>
      <c r="H852" s="495"/>
      <c r="I852" s="495"/>
      <c r="J852" s="495"/>
      <c r="K852" s="495"/>
      <c r="L852" s="495"/>
      <c r="M852" s="495"/>
      <c r="N852" s="495"/>
    </row>
    <row r="853" spans="2:14" ht="15.75" hidden="1">
      <c r="B853" s="492"/>
      <c r="C853" s="1007" t="s">
        <v>333</v>
      </c>
      <c r="D853" s="494" t="s">
        <v>334</v>
      </c>
      <c r="E853" s="494"/>
      <c r="F853" s="495"/>
      <c r="G853" s="495"/>
      <c r="H853" s="495"/>
      <c r="I853" s="495"/>
      <c r="J853" s="495"/>
      <c r="K853" s="495"/>
      <c r="L853" s="495"/>
      <c r="M853" s="495"/>
      <c r="N853" s="495"/>
    </row>
    <row r="854" spans="2:14" hidden="1">
      <c r="B854" s="503"/>
      <c r="C854" s="1007" t="s">
        <v>328</v>
      </c>
      <c r="D854" s="494" t="s">
        <v>329</v>
      </c>
      <c r="E854" s="494"/>
      <c r="F854" s="495"/>
      <c r="G854" s="495"/>
      <c r="H854" s="495"/>
      <c r="I854" s="495"/>
      <c r="J854" s="495"/>
      <c r="K854" s="495"/>
      <c r="L854" s="495"/>
      <c r="M854" s="495"/>
      <c r="N854" s="495"/>
    </row>
    <row r="855" spans="2:14" hidden="1">
      <c r="B855" s="503"/>
      <c r="C855" s="1355" t="s">
        <v>335</v>
      </c>
      <c r="D855" s="1356" t="s">
        <v>336</v>
      </c>
      <c r="E855" s="1356"/>
      <c r="F855" s="496"/>
      <c r="G855" s="496"/>
      <c r="H855" s="496"/>
      <c r="I855" s="496"/>
      <c r="J855" s="496"/>
      <c r="K855" s="496"/>
      <c r="L855" s="496"/>
      <c r="M855" s="496"/>
      <c r="N855" s="496"/>
    </row>
    <row r="856" spans="2:14" hidden="1">
      <c r="B856" s="1002"/>
      <c r="C856" s="1003"/>
      <c r="D856" s="1003"/>
      <c r="E856" s="1003"/>
      <c r="F856" s="1003"/>
      <c r="G856" s="1003"/>
      <c r="H856" s="1003"/>
      <c r="I856" s="1003"/>
      <c r="J856" s="1003"/>
      <c r="K856" s="1003"/>
      <c r="L856" s="1003"/>
      <c r="M856" s="1003"/>
      <c r="N856" s="1003"/>
    </row>
    <row r="857" spans="2:14" hidden="1">
      <c r="B857" s="1002"/>
      <c r="C857" s="500" t="s">
        <v>1265</v>
      </c>
      <c r="D857" s="1012"/>
      <c r="E857" s="1012"/>
      <c r="F857" s="1012"/>
      <c r="G857" s="1012"/>
      <c r="H857" s="1012"/>
      <c r="I857" s="1012"/>
      <c r="J857" s="1012"/>
      <c r="K857" s="1012"/>
      <c r="L857" s="1012"/>
      <c r="M857" s="1012"/>
      <c r="N857" s="1012"/>
    </row>
    <row r="858" spans="2:14" hidden="1">
      <c r="B858" s="1002"/>
      <c r="C858" s="1003"/>
      <c r="D858" s="1003"/>
      <c r="E858" s="1003"/>
      <c r="F858" s="1003"/>
      <c r="G858" s="1003"/>
      <c r="H858" s="1003"/>
      <c r="I858" s="1003"/>
      <c r="J858" s="1003"/>
      <c r="K858" s="1003"/>
      <c r="L858" s="1003"/>
      <c r="M858" s="1003"/>
      <c r="N858" s="1003"/>
    </row>
    <row r="859" spans="2:14" ht="15.75" hidden="1">
      <c r="B859" s="492"/>
      <c r="C859" s="1389" t="s">
        <v>28</v>
      </c>
      <c r="D859" s="1389" t="s">
        <v>29</v>
      </c>
      <c r="E859" s="1389" t="s">
        <v>30</v>
      </c>
      <c r="F859" s="1389">
        <v>2013</v>
      </c>
      <c r="G859" s="1389" t="s">
        <v>133</v>
      </c>
      <c r="H859" s="1389" t="s">
        <v>134</v>
      </c>
      <c r="I859" s="1389" t="s">
        <v>135</v>
      </c>
      <c r="J859" s="1389" t="s">
        <v>136</v>
      </c>
      <c r="K859" s="1389" t="s">
        <v>137</v>
      </c>
      <c r="L859" s="1389" t="s">
        <v>138</v>
      </c>
      <c r="M859" s="1389" t="s">
        <v>139</v>
      </c>
      <c r="N859" s="1389" t="s">
        <v>140</v>
      </c>
    </row>
    <row r="860" spans="2:14" ht="15.75" hidden="1">
      <c r="B860" s="492"/>
      <c r="C860" s="1352" t="s">
        <v>324</v>
      </c>
      <c r="D860" s="1353" t="s">
        <v>325</v>
      </c>
      <c r="E860" s="1353"/>
      <c r="F860" s="1643"/>
      <c r="G860" s="1643"/>
      <c r="H860" s="1643"/>
      <c r="I860" s="1643"/>
      <c r="J860" s="1643"/>
      <c r="K860" s="1643"/>
      <c r="L860" s="1643"/>
      <c r="M860" s="1643"/>
      <c r="N860" s="1643"/>
    </row>
    <row r="861" spans="2:14" ht="15.75" hidden="1">
      <c r="B861" s="492"/>
      <c r="C861" s="1007" t="s">
        <v>331</v>
      </c>
      <c r="D861" s="494" t="s">
        <v>332</v>
      </c>
      <c r="E861" s="494"/>
      <c r="F861" s="495"/>
      <c r="G861" s="495"/>
      <c r="H861" s="495"/>
      <c r="I861" s="495"/>
      <c r="J861" s="495"/>
      <c r="K861" s="495"/>
      <c r="L861" s="495"/>
      <c r="M861" s="495"/>
      <c r="N861" s="495"/>
    </row>
    <row r="862" spans="2:14" ht="15.75" hidden="1">
      <c r="B862" s="492"/>
      <c r="C862" s="1007" t="s">
        <v>326</v>
      </c>
      <c r="D862" s="494" t="s">
        <v>327</v>
      </c>
      <c r="E862" s="494"/>
      <c r="F862" s="495"/>
      <c r="G862" s="495"/>
      <c r="H862" s="495"/>
      <c r="I862" s="495"/>
      <c r="J862" s="495"/>
      <c r="K862" s="495"/>
      <c r="L862" s="495"/>
      <c r="M862" s="495"/>
      <c r="N862" s="495"/>
    </row>
    <row r="863" spans="2:14" ht="15.75" hidden="1">
      <c r="B863" s="492"/>
      <c r="C863" s="1007" t="s">
        <v>333</v>
      </c>
      <c r="D863" s="494" t="s">
        <v>334</v>
      </c>
      <c r="E863" s="494"/>
      <c r="F863" s="495"/>
      <c r="G863" s="495"/>
      <c r="H863" s="495"/>
      <c r="I863" s="495"/>
      <c r="J863" s="495"/>
      <c r="K863" s="495"/>
      <c r="L863" s="495"/>
      <c r="M863" s="495"/>
      <c r="N863" s="495"/>
    </row>
    <row r="864" spans="2:14" hidden="1">
      <c r="B864" s="503"/>
      <c r="C864" s="1007" t="s">
        <v>328</v>
      </c>
      <c r="D864" s="494" t="s">
        <v>329</v>
      </c>
      <c r="E864" s="494"/>
      <c r="F864" s="495"/>
      <c r="G864" s="495"/>
      <c r="H864" s="495"/>
      <c r="I864" s="495"/>
      <c r="J864" s="495"/>
      <c r="K864" s="495"/>
      <c r="L864" s="495"/>
      <c r="M864" s="495"/>
      <c r="N864" s="495"/>
    </row>
    <row r="865" spans="2:14" hidden="1">
      <c r="B865" s="503"/>
      <c r="C865" s="1355" t="s">
        <v>335</v>
      </c>
      <c r="D865" s="1356" t="s">
        <v>336</v>
      </c>
      <c r="E865" s="1356"/>
      <c r="F865" s="496"/>
      <c r="G865" s="496"/>
      <c r="H865" s="496"/>
      <c r="I865" s="496"/>
      <c r="J865" s="496"/>
      <c r="K865" s="496"/>
      <c r="L865" s="496"/>
      <c r="M865" s="496"/>
      <c r="N865" s="496"/>
    </row>
    <row r="866" spans="2:14" hidden="1">
      <c r="B866" s="1002"/>
      <c r="C866" s="1003"/>
      <c r="D866" s="1003"/>
      <c r="E866" s="1003"/>
      <c r="F866" s="1003"/>
      <c r="G866" s="1003"/>
      <c r="H866" s="1003"/>
      <c r="I866" s="1003"/>
      <c r="J866" s="1003"/>
      <c r="K866" s="1003"/>
      <c r="L866" s="1003"/>
      <c r="M866" s="1003"/>
      <c r="N866" s="1003"/>
    </row>
    <row r="867" spans="2:14" hidden="1">
      <c r="B867" s="1002"/>
      <c r="C867" s="500" t="s">
        <v>1266</v>
      </c>
      <c r="D867" s="1012"/>
      <c r="E867" s="1012"/>
      <c r="F867" s="1012"/>
      <c r="G867" s="1012"/>
      <c r="H867" s="1012"/>
      <c r="I867" s="1012"/>
      <c r="J867" s="1012"/>
      <c r="K867" s="1012"/>
      <c r="L867" s="1012"/>
      <c r="M867" s="1012"/>
      <c r="N867" s="1012"/>
    </row>
    <row r="868" spans="2:14" hidden="1">
      <c r="B868" s="1002"/>
      <c r="C868" s="1003"/>
      <c r="D868" s="1003"/>
      <c r="E868" s="1003"/>
      <c r="F868" s="1003"/>
      <c r="G868" s="1003"/>
      <c r="H868" s="1003"/>
      <c r="I868" s="1003"/>
      <c r="J868" s="1003"/>
      <c r="K868" s="1003"/>
      <c r="L868" s="1003"/>
      <c r="M868" s="1003"/>
      <c r="N868" s="1003"/>
    </row>
    <row r="869" spans="2:14" ht="15.75" hidden="1">
      <c r="B869" s="492"/>
      <c r="C869" s="1389" t="s">
        <v>28</v>
      </c>
      <c r="D869" s="1389" t="s">
        <v>29</v>
      </c>
      <c r="E869" s="1389" t="s">
        <v>30</v>
      </c>
      <c r="F869" s="1389">
        <v>2013</v>
      </c>
      <c r="G869" s="1389" t="s">
        <v>133</v>
      </c>
      <c r="H869" s="1389" t="s">
        <v>134</v>
      </c>
      <c r="I869" s="1389" t="s">
        <v>135</v>
      </c>
      <c r="J869" s="1389" t="s">
        <v>136</v>
      </c>
      <c r="K869" s="1389" t="s">
        <v>137</v>
      </c>
      <c r="L869" s="1389" t="s">
        <v>138</v>
      </c>
      <c r="M869" s="1389" t="s">
        <v>139</v>
      </c>
      <c r="N869" s="1389" t="s">
        <v>140</v>
      </c>
    </row>
    <row r="870" spans="2:14" ht="15.75" hidden="1">
      <c r="B870" s="492"/>
      <c r="C870" s="1352" t="s">
        <v>324</v>
      </c>
      <c r="D870" s="1353" t="s">
        <v>325</v>
      </c>
      <c r="E870" s="1353"/>
      <c r="F870" s="1643"/>
      <c r="G870" s="1643"/>
      <c r="H870" s="1643"/>
      <c r="I870" s="1643"/>
      <c r="J870" s="1643"/>
      <c r="K870" s="1643"/>
      <c r="L870" s="1643"/>
      <c r="M870" s="1643"/>
      <c r="N870" s="1643"/>
    </row>
    <row r="871" spans="2:14" ht="15.75" hidden="1">
      <c r="B871" s="492"/>
      <c r="C871" s="1007" t="s">
        <v>331</v>
      </c>
      <c r="D871" s="494" t="s">
        <v>332</v>
      </c>
      <c r="E871" s="494"/>
      <c r="F871" s="495"/>
      <c r="G871" s="495"/>
      <c r="H871" s="495"/>
      <c r="I871" s="495"/>
      <c r="J871" s="495"/>
      <c r="K871" s="495"/>
      <c r="L871" s="495"/>
      <c r="M871" s="495"/>
      <c r="N871" s="495"/>
    </row>
    <row r="872" spans="2:14" ht="15.75" hidden="1">
      <c r="B872" s="492"/>
      <c r="C872" s="1007" t="s">
        <v>326</v>
      </c>
      <c r="D872" s="494" t="s">
        <v>327</v>
      </c>
      <c r="E872" s="494"/>
      <c r="F872" s="495"/>
      <c r="G872" s="495"/>
      <c r="H872" s="495"/>
      <c r="I872" s="495"/>
      <c r="J872" s="495"/>
      <c r="K872" s="495"/>
      <c r="L872" s="495"/>
      <c r="M872" s="495"/>
      <c r="N872" s="495"/>
    </row>
    <row r="873" spans="2:14" ht="15.75" hidden="1">
      <c r="B873" s="492"/>
      <c r="C873" s="1007" t="s">
        <v>333</v>
      </c>
      <c r="D873" s="494" t="s">
        <v>334</v>
      </c>
      <c r="E873" s="494"/>
      <c r="F873" s="495"/>
      <c r="G873" s="495"/>
      <c r="H873" s="495"/>
      <c r="I873" s="495"/>
      <c r="J873" s="495"/>
      <c r="K873" s="495"/>
      <c r="L873" s="495"/>
      <c r="M873" s="495"/>
      <c r="N873" s="495"/>
    </row>
    <row r="874" spans="2:14" hidden="1">
      <c r="B874" s="503"/>
      <c r="C874" s="1007" t="s">
        <v>328</v>
      </c>
      <c r="D874" s="494" t="s">
        <v>329</v>
      </c>
      <c r="E874" s="494"/>
      <c r="F874" s="495"/>
      <c r="G874" s="495"/>
      <c r="H874" s="495"/>
      <c r="I874" s="495"/>
      <c r="J874" s="495"/>
      <c r="K874" s="495"/>
      <c r="L874" s="495"/>
      <c r="M874" s="495"/>
      <c r="N874" s="495"/>
    </row>
    <row r="875" spans="2:14" hidden="1">
      <c r="B875" s="503"/>
      <c r="C875" s="1355" t="s">
        <v>335</v>
      </c>
      <c r="D875" s="1356" t="s">
        <v>336</v>
      </c>
      <c r="E875" s="1356"/>
      <c r="F875" s="496"/>
      <c r="G875" s="496"/>
      <c r="H875" s="496"/>
      <c r="I875" s="496"/>
      <c r="J875" s="496"/>
      <c r="K875" s="496"/>
      <c r="L875" s="496"/>
      <c r="M875" s="496"/>
      <c r="N875" s="496"/>
    </row>
    <row r="876" spans="2:14" hidden="1">
      <c r="B876" s="1002"/>
      <c r="C876" s="1003"/>
      <c r="D876" s="1003"/>
      <c r="E876" s="1003"/>
      <c r="F876" s="1003"/>
      <c r="G876" s="1003"/>
      <c r="H876" s="1003"/>
      <c r="I876" s="1003"/>
      <c r="J876" s="1003"/>
      <c r="K876" s="1003"/>
      <c r="L876" s="1003"/>
      <c r="M876" s="1003"/>
      <c r="N876" s="1003"/>
    </row>
    <row r="877" spans="2:14" hidden="1">
      <c r="B877" s="1002"/>
      <c r="C877" s="500" t="s">
        <v>1267</v>
      </c>
      <c r="D877" s="1012"/>
      <c r="E877" s="1012"/>
      <c r="F877" s="1012"/>
      <c r="G877" s="1012"/>
      <c r="H877" s="1012"/>
      <c r="I877" s="1012"/>
      <c r="J877" s="1012"/>
      <c r="K877" s="1012"/>
      <c r="L877" s="1012"/>
      <c r="M877" s="1012"/>
      <c r="N877" s="1012"/>
    </row>
    <row r="878" spans="2:14" hidden="1">
      <c r="B878" s="1002"/>
      <c r="C878" s="1003"/>
      <c r="D878" s="1003"/>
      <c r="E878" s="1003"/>
      <c r="F878" s="1003"/>
      <c r="G878" s="1003"/>
      <c r="H878" s="1003"/>
      <c r="I878" s="1003"/>
      <c r="J878" s="1003"/>
      <c r="K878" s="1003"/>
      <c r="L878" s="1003"/>
      <c r="M878" s="1003"/>
      <c r="N878" s="1003"/>
    </row>
    <row r="879" spans="2:14" ht="15.75" hidden="1">
      <c r="B879" s="492"/>
      <c r="C879" s="1389" t="s">
        <v>28</v>
      </c>
      <c r="D879" s="1389" t="s">
        <v>29</v>
      </c>
      <c r="E879" s="1389" t="s">
        <v>30</v>
      </c>
      <c r="F879" s="1389">
        <v>2013</v>
      </c>
      <c r="G879" s="1389" t="s">
        <v>133</v>
      </c>
      <c r="H879" s="1389" t="s">
        <v>134</v>
      </c>
      <c r="I879" s="1389" t="s">
        <v>135</v>
      </c>
      <c r="J879" s="1389" t="s">
        <v>136</v>
      </c>
      <c r="K879" s="1389" t="s">
        <v>137</v>
      </c>
      <c r="L879" s="1389" t="s">
        <v>138</v>
      </c>
      <c r="M879" s="1389" t="s">
        <v>139</v>
      </c>
      <c r="N879" s="1389" t="s">
        <v>140</v>
      </c>
    </row>
    <row r="880" spans="2:14" ht="15.75" hidden="1">
      <c r="B880" s="492"/>
      <c r="C880" s="1352" t="s">
        <v>324</v>
      </c>
      <c r="D880" s="1353" t="s">
        <v>325</v>
      </c>
      <c r="E880" s="1353"/>
      <c r="F880" s="1643"/>
      <c r="G880" s="1643"/>
      <c r="H880" s="1643"/>
      <c r="I880" s="1643"/>
      <c r="J880" s="1643"/>
      <c r="K880" s="1643"/>
      <c r="L880" s="1643"/>
      <c r="M880" s="1643"/>
      <c r="N880" s="1643"/>
    </row>
    <row r="881" spans="1:14" ht="15.75" hidden="1">
      <c r="B881" s="492"/>
      <c r="C881" s="1007" t="s">
        <v>331</v>
      </c>
      <c r="D881" s="494" t="s">
        <v>332</v>
      </c>
      <c r="E881" s="494"/>
      <c r="F881" s="495"/>
      <c r="G881" s="495"/>
      <c r="H881" s="495"/>
      <c r="I881" s="495"/>
      <c r="J881" s="495"/>
      <c r="K881" s="495"/>
      <c r="L881" s="495"/>
      <c r="M881" s="495"/>
      <c r="N881" s="495"/>
    </row>
    <row r="882" spans="1:14" ht="15.75" hidden="1">
      <c r="B882" s="492"/>
      <c r="C882" s="1007" t="s">
        <v>326</v>
      </c>
      <c r="D882" s="494" t="s">
        <v>327</v>
      </c>
      <c r="E882" s="494"/>
      <c r="F882" s="495"/>
      <c r="G882" s="495"/>
      <c r="H882" s="495"/>
      <c r="I882" s="495"/>
      <c r="J882" s="495"/>
      <c r="K882" s="495"/>
      <c r="L882" s="495"/>
      <c r="M882" s="495"/>
      <c r="N882" s="495"/>
    </row>
    <row r="883" spans="1:14" ht="15.75" hidden="1">
      <c r="B883" s="492"/>
      <c r="C883" s="1007" t="s">
        <v>333</v>
      </c>
      <c r="D883" s="494" t="s">
        <v>334</v>
      </c>
      <c r="E883" s="494"/>
      <c r="F883" s="495"/>
      <c r="G883" s="495"/>
      <c r="H883" s="495"/>
      <c r="I883" s="495"/>
      <c r="J883" s="495"/>
      <c r="K883" s="495"/>
      <c r="L883" s="495"/>
      <c r="M883" s="495"/>
      <c r="N883" s="495"/>
    </row>
    <row r="884" spans="1:14" hidden="1">
      <c r="B884" s="503"/>
      <c r="C884" s="1007" t="s">
        <v>328</v>
      </c>
      <c r="D884" s="494" t="s">
        <v>329</v>
      </c>
      <c r="E884" s="494"/>
      <c r="F884" s="495"/>
      <c r="G884" s="495"/>
      <c r="H884" s="495"/>
      <c r="I884" s="495"/>
      <c r="J884" s="495"/>
      <c r="K884" s="495"/>
      <c r="L884" s="495"/>
      <c r="M884" s="495"/>
      <c r="N884" s="495"/>
    </row>
    <row r="885" spans="1:14" hidden="1">
      <c r="B885" s="503"/>
      <c r="C885" s="1355" t="s">
        <v>335</v>
      </c>
      <c r="D885" s="1356" t="s">
        <v>336</v>
      </c>
      <c r="E885" s="1356"/>
      <c r="F885" s="496"/>
      <c r="G885" s="496"/>
      <c r="H885" s="496"/>
      <c r="I885" s="496"/>
      <c r="J885" s="496"/>
      <c r="K885" s="496"/>
      <c r="L885" s="496"/>
      <c r="M885" s="496"/>
      <c r="N885" s="496"/>
    </row>
    <row r="886" spans="1:14" hidden="1">
      <c r="B886" s="503"/>
      <c r="C886" s="1007"/>
      <c r="D886" s="494"/>
      <c r="E886" s="494"/>
      <c r="F886" s="495"/>
      <c r="G886" s="495"/>
      <c r="H886" s="495"/>
      <c r="I886" s="495"/>
      <c r="J886" s="495"/>
      <c r="K886" s="495"/>
      <c r="L886" s="495"/>
      <c r="M886" s="495"/>
      <c r="N886" s="495"/>
    </row>
    <row r="887" spans="1:14" hidden="1">
      <c r="B887" s="1002"/>
      <c r="C887" s="500" t="s">
        <v>1268</v>
      </c>
      <c r="D887" s="1012"/>
      <c r="E887" s="1012"/>
      <c r="F887" s="1012"/>
      <c r="G887" s="1012"/>
      <c r="H887" s="1012"/>
      <c r="I887" s="1012"/>
      <c r="J887" s="1012"/>
      <c r="K887" s="1012"/>
      <c r="L887" s="1012"/>
      <c r="M887" s="1012"/>
      <c r="N887" s="1012"/>
    </row>
    <row r="888" spans="1:14" hidden="1">
      <c r="B888" s="1002"/>
      <c r="C888" s="1003"/>
      <c r="D888" s="1003"/>
      <c r="E888" s="1003"/>
      <c r="F888" s="1003"/>
      <c r="G888" s="1003"/>
      <c r="H888" s="1003"/>
      <c r="I888" s="1003"/>
      <c r="J888" s="1003"/>
      <c r="K888" s="1003"/>
      <c r="L888" s="1003"/>
      <c r="M888" s="1003"/>
      <c r="N888" s="1003"/>
    </row>
    <row r="889" spans="1:14" ht="15.75" hidden="1">
      <c r="B889" s="492"/>
      <c r="C889" s="1389" t="s">
        <v>28</v>
      </c>
      <c r="D889" s="1389" t="s">
        <v>29</v>
      </c>
      <c r="E889" s="1389" t="s">
        <v>30</v>
      </c>
      <c r="F889" s="1389">
        <v>2013</v>
      </c>
      <c r="G889" s="1389" t="s">
        <v>133</v>
      </c>
      <c r="H889" s="1389" t="s">
        <v>134</v>
      </c>
      <c r="I889" s="1389" t="s">
        <v>135</v>
      </c>
      <c r="J889" s="1389" t="s">
        <v>136</v>
      </c>
      <c r="K889" s="1389" t="s">
        <v>137</v>
      </c>
      <c r="L889" s="1389" t="s">
        <v>138</v>
      </c>
      <c r="M889" s="1389" t="s">
        <v>139</v>
      </c>
      <c r="N889" s="1389" t="s">
        <v>140</v>
      </c>
    </row>
    <row r="890" spans="1:14" ht="15.75" hidden="1">
      <c r="B890" s="492"/>
      <c r="C890" s="1352" t="s">
        <v>324</v>
      </c>
      <c r="D890" s="1353" t="s">
        <v>325</v>
      </c>
      <c r="E890" s="1353"/>
      <c r="F890" s="1643"/>
      <c r="G890" s="1643"/>
      <c r="H890" s="1643"/>
      <c r="I890" s="1643"/>
      <c r="J890" s="1643"/>
      <c r="K890" s="1643"/>
      <c r="L890" s="1643"/>
      <c r="M890" s="1643"/>
      <c r="N890" s="1643"/>
    </row>
    <row r="891" spans="1:14" ht="15.75" hidden="1">
      <c r="A891" s="2446" t="s">
        <v>5</v>
      </c>
      <c r="B891" s="492"/>
      <c r="C891" s="1007" t="s">
        <v>331</v>
      </c>
      <c r="D891" s="494" t="s">
        <v>332</v>
      </c>
      <c r="E891" s="494"/>
      <c r="F891" s="495"/>
      <c r="G891" s="495"/>
      <c r="H891" s="495"/>
      <c r="I891" s="495"/>
      <c r="J891" s="495"/>
      <c r="K891" s="495"/>
      <c r="L891" s="495"/>
      <c r="M891" s="495"/>
      <c r="N891" s="495"/>
    </row>
    <row r="892" spans="1:14" ht="15.75" hidden="1">
      <c r="B892" s="492"/>
      <c r="C892" s="1007" t="s">
        <v>326</v>
      </c>
      <c r="D892" s="494" t="s">
        <v>327</v>
      </c>
      <c r="E892" s="494"/>
      <c r="F892" s="495"/>
      <c r="G892" s="495"/>
      <c r="H892" s="495"/>
      <c r="I892" s="495"/>
      <c r="J892" s="495"/>
      <c r="K892" s="495"/>
      <c r="L892" s="495"/>
      <c r="M892" s="495"/>
      <c r="N892" s="495"/>
    </row>
    <row r="893" spans="1:14" ht="15.75" hidden="1">
      <c r="B893" s="492"/>
      <c r="C893" s="1007" t="s">
        <v>333</v>
      </c>
      <c r="D893" s="494" t="s">
        <v>334</v>
      </c>
      <c r="E893" s="494"/>
      <c r="F893" s="495"/>
      <c r="G893" s="495"/>
      <c r="H893" s="495"/>
      <c r="I893" s="495"/>
      <c r="J893" s="495"/>
      <c r="K893" s="495"/>
      <c r="L893" s="495"/>
      <c r="M893" s="495"/>
      <c r="N893" s="495"/>
    </row>
    <row r="894" spans="1:14" hidden="1">
      <c r="B894" s="503"/>
      <c r="C894" s="1007" t="s">
        <v>328</v>
      </c>
      <c r="D894" s="494" t="s">
        <v>329</v>
      </c>
      <c r="E894" s="494"/>
      <c r="F894" s="495"/>
      <c r="G894" s="495"/>
      <c r="H894" s="495"/>
      <c r="I894" s="495"/>
      <c r="J894" s="495"/>
      <c r="K894" s="495"/>
      <c r="L894" s="495"/>
      <c r="M894" s="495"/>
      <c r="N894" s="495"/>
    </row>
    <row r="895" spans="1:14" hidden="1">
      <c r="B895" s="503"/>
      <c r="C895" s="1355" t="s">
        <v>335</v>
      </c>
      <c r="D895" s="1356" t="s">
        <v>336</v>
      </c>
      <c r="E895" s="1356"/>
      <c r="F895" s="496"/>
      <c r="G895" s="496"/>
      <c r="H895" s="496"/>
      <c r="I895" s="496"/>
      <c r="J895" s="496"/>
      <c r="K895" s="496"/>
      <c r="L895" s="496"/>
      <c r="M895" s="496"/>
      <c r="N895" s="496"/>
    </row>
    <row r="896" spans="1:14">
      <c r="B896" s="1002"/>
      <c r="C896" s="1003"/>
      <c r="D896" s="1003"/>
      <c r="E896" s="1003"/>
      <c r="F896" s="1003"/>
      <c r="G896" s="1003"/>
      <c r="H896" s="1003"/>
      <c r="I896" s="1003"/>
      <c r="J896" s="1003"/>
      <c r="K896" s="1003"/>
      <c r="L896" s="1003"/>
      <c r="M896" s="1003"/>
      <c r="N896" s="1003"/>
    </row>
    <row r="898" spans="2:14" ht="15.75">
      <c r="B898" s="1357" t="s">
        <v>995</v>
      </c>
      <c r="C898" s="1644"/>
      <c r="D898" s="1644"/>
      <c r="E898" s="1644"/>
      <c r="F898" s="1644"/>
      <c r="G898" s="1644"/>
      <c r="H898" s="1644"/>
      <c r="I898" s="1644"/>
      <c r="J898" s="1644"/>
      <c r="K898" s="1644"/>
      <c r="L898" s="1644"/>
      <c r="M898" s="1644"/>
      <c r="N898" s="1644"/>
    </row>
    <row r="899" spans="2:14">
      <c r="B899" s="1358"/>
      <c r="C899" s="1358"/>
      <c r="D899" s="1358"/>
      <c r="E899" s="1358"/>
      <c r="F899" s="1358"/>
      <c r="G899" s="1358"/>
      <c r="H899" s="1358"/>
      <c r="I899" s="1358"/>
      <c r="J899" s="1358"/>
      <c r="K899" s="1358"/>
      <c r="L899" s="1358"/>
      <c r="M899" s="1358"/>
      <c r="N899" s="1358"/>
    </row>
    <row r="900" spans="2:14">
      <c r="B900" s="1358"/>
      <c r="C900" s="1645" t="s">
        <v>1253</v>
      </c>
      <c r="D900" s="1358"/>
      <c r="E900" s="1358"/>
      <c r="F900" s="1358"/>
      <c r="G900" s="1358"/>
      <c r="H900" s="1358"/>
      <c r="I900" s="1358"/>
      <c r="J900" s="1358"/>
      <c r="K900" s="1358"/>
      <c r="L900" s="1358"/>
      <c r="M900" s="1358"/>
      <c r="N900" s="1358"/>
    </row>
    <row r="901" spans="2:14">
      <c r="B901" s="1358"/>
      <c r="C901" s="1358"/>
      <c r="D901" s="1358"/>
      <c r="E901" s="1358"/>
      <c r="F901" s="1358"/>
      <c r="G901" s="1358"/>
      <c r="H901" s="1358"/>
      <c r="I901" s="1358"/>
      <c r="J901" s="1358"/>
      <c r="K901" s="1358"/>
      <c r="L901" s="1358"/>
      <c r="M901" s="1358"/>
      <c r="N901" s="1358"/>
    </row>
    <row r="902" spans="2:14">
      <c r="B902" s="1358"/>
      <c r="C902" s="2470" t="s">
        <v>28</v>
      </c>
      <c r="D902" s="1734" t="s">
        <v>29</v>
      </c>
      <c r="E902" s="1734" t="s">
        <v>306</v>
      </c>
      <c r="F902" s="1734" t="s">
        <v>597</v>
      </c>
      <c r="G902" s="1734" t="s">
        <v>133</v>
      </c>
      <c r="H902" s="1734" t="s">
        <v>134</v>
      </c>
      <c r="I902" s="1734" t="s">
        <v>135</v>
      </c>
      <c r="J902" s="1734" t="s">
        <v>136</v>
      </c>
      <c r="K902" s="1734" t="s">
        <v>137</v>
      </c>
      <c r="L902" s="1734" t="s">
        <v>138</v>
      </c>
      <c r="M902" s="1734" t="s">
        <v>139</v>
      </c>
      <c r="N902" s="1735" t="s">
        <v>140</v>
      </c>
    </row>
    <row r="903" spans="2:14">
      <c r="B903" s="1358"/>
      <c r="C903" s="1648" t="s">
        <v>260</v>
      </c>
      <c r="D903" s="1649" t="s">
        <v>261</v>
      </c>
      <c r="E903" s="1650" t="s">
        <v>307</v>
      </c>
      <c r="F903" s="1651">
        <f>SUMPRODUCT(F$673:F$683,F$170:F$180)-F$683*(1-F$230)*F$180</f>
        <v>1.4516932248383274</v>
      </c>
      <c r="G903" s="1651">
        <f t="shared" ref="G903:N903" si="108">SUMPRODUCT(G$673:G$683,G$170:G$180)-G$683*(1-G$230)*G$180</f>
        <v>1.1591300492801471</v>
      </c>
      <c r="H903" s="1651">
        <f t="shared" si="108"/>
        <v>0.94210134116336164</v>
      </c>
      <c r="I903" s="1651">
        <f t="shared" si="108"/>
        <v>0.801098657744725</v>
      </c>
      <c r="J903" s="1651">
        <f t="shared" si="108"/>
        <v>0.77102933020736086</v>
      </c>
      <c r="K903" s="1651">
        <f t="shared" si="108"/>
        <v>0.73971377889056744</v>
      </c>
      <c r="L903" s="1651">
        <f t="shared" si="108"/>
        <v>0.70361708514453525</v>
      </c>
      <c r="M903" s="1651">
        <f t="shared" si="108"/>
        <v>0.67524450981135475</v>
      </c>
      <c r="N903" s="1651">
        <f t="shared" si="108"/>
        <v>0.65384680194088329</v>
      </c>
    </row>
    <row r="904" spans="2:14">
      <c r="B904" s="1358"/>
      <c r="C904" s="1648" t="s">
        <v>262</v>
      </c>
      <c r="D904" s="1649" t="s">
        <v>263</v>
      </c>
      <c r="E904" s="1650" t="s">
        <v>307</v>
      </c>
      <c r="F904" s="1651">
        <f>SUMPRODUCT(F$673:F$683,F$185:F$195)-F$683*(1-F$230)*F$195</f>
        <v>20.924066531635646</v>
      </c>
      <c r="G904" s="1651">
        <f>SUMPRODUCT(G$673:G$683,G$185:G$195)-G$683*(1-G$230)*G$195</f>
        <v>17.22514164638492</v>
      </c>
      <c r="H904" s="1651">
        <f t="shared" ref="H904:N904" si="109">SUMPRODUCT(H$673:H$683,H$185:H$195)-H$683*(1-H$230)*H$195</f>
        <v>12.040919705098194</v>
      </c>
      <c r="I904" s="1651">
        <f t="shared" si="109"/>
        <v>8.659343126490624</v>
      </c>
      <c r="J904" s="1651">
        <f t="shared" si="109"/>
        <v>7.3932574265878834</v>
      </c>
      <c r="K904" s="1651">
        <f t="shared" si="109"/>
        <v>6.6038247846538232</v>
      </c>
      <c r="L904" s="1651">
        <f t="shared" si="109"/>
        <v>6.2190106553342019</v>
      </c>
      <c r="M904" s="1651">
        <f t="shared" si="109"/>
        <v>5.9551980367468405</v>
      </c>
      <c r="N904" s="1651">
        <f t="shared" si="109"/>
        <v>5.7936029135276241</v>
      </c>
    </row>
    <row r="905" spans="2:14">
      <c r="B905" s="1358"/>
      <c r="C905" s="1648" t="s">
        <v>264</v>
      </c>
      <c r="D905" s="1649" t="s">
        <v>265</v>
      </c>
      <c r="E905" s="1650" t="s">
        <v>307</v>
      </c>
      <c r="F905" s="1651">
        <f>SUMPRODUCT(F$673:F$683,F$200:F$210)-F$683*(1-F$230)*F$210</f>
        <v>5.397620425831532E-2</v>
      </c>
      <c r="G905" s="1651">
        <f t="shared" ref="G905:N905" si="110">SUMPRODUCT(G$673:G$683,G$200:G$210)-G$683*(1-G$230)*G$210</f>
        <v>2.5362872530191618E-2</v>
      </c>
      <c r="H905" s="1651">
        <f t="shared" si="110"/>
        <v>2.3180558934064545E-2</v>
      </c>
      <c r="I905" s="1651">
        <f t="shared" si="110"/>
        <v>1.9952442964756675E-2</v>
      </c>
      <c r="J905" s="1651">
        <f t="shared" si="110"/>
        <v>1.8748151026720835E-2</v>
      </c>
      <c r="K905" s="1651">
        <f t="shared" si="110"/>
        <v>1.7498578693313886E-2</v>
      </c>
      <c r="L905" s="1651">
        <f t="shared" si="110"/>
        <v>1.6869867975421553E-2</v>
      </c>
      <c r="M905" s="1651">
        <f t="shared" si="110"/>
        <v>1.62771659931212E-2</v>
      </c>
      <c r="N905" s="1651">
        <f t="shared" si="110"/>
        <v>1.5800422974273944E-2</v>
      </c>
    </row>
    <row r="906" spans="2:14">
      <c r="B906" s="1358"/>
      <c r="C906" s="1652" t="s">
        <v>266</v>
      </c>
      <c r="D906" s="1653" t="s">
        <v>267</v>
      </c>
      <c r="E906" s="1650" t="s">
        <v>307</v>
      </c>
      <c r="F906" s="1651">
        <f>SUMPRODUCT(F$673:F$683,F$215:F$225)-F$683*(1-F$230)*F$225</f>
        <v>4.2651640985840826</v>
      </c>
      <c r="G906" s="1651">
        <f t="shared" ref="G906:N906" si="111">SUMPRODUCT(G$673:G$683,G$215:G$225)-G$683*(1-G$230)*G$225</f>
        <v>2.2232753507749057</v>
      </c>
      <c r="H906" s="1651">
        <f t="shared" si="111"/>
        <v>1.779853209653097</v>
      </c>
      <c r="I906" s="1651">
        <f t="shared" si="111"/>
        <v>1.6701986725202518</v>
      </c>
      <c r="J906" s="1651">
        <f t="shared" si="111"/>
        <v>1.6998895048256124</v>
      </c>
      <c r="K906" s="1651">
        <f t="shared" si="111"/>
        <v>1.6006100076426772</v>
      </c>
      <c r="L906" s="1651">
        <f t="shared" si="111"/>
        <v>1.5186808224379589</v>
      </c>
      <c r="M906" s="1651">
        <f t="shared" si="111"/>
        <v>1.4513576024981598</v>
      </c>
      <c r="N906" s="1651">
        <f t="shared" si="111"/>
        <v>1.4050813877782151</v>
      </c>
    </row>
    <row r="907" spans="2:14">
      <c r="B907" s="1654"/>
      <c r="C907" s="1654"/>
      <c r="D907" s="1654"/>
      <c r="E907" s="1654"/>
      <c r="F907" s="1654"/>
      <c r="G907" s="1654"/>
      <c r="H907" s="1654"/>
      <c r="I907" s="1654"/>
      <c r="J907" s="1654"/>
      <c r="K907" s="1654"/>
      <c r="L907" s="1654"/>
      <c r="M907" s="1654"/>
      <c r="N907" s="1654"/>
    </row>
    <row r="908" spans="2:14">
      <c r="B908" s="1654"/>
      <c r="C908" s="1654"/>
      <c r="D908" s="1654"/>
      <c r="E908" s="1654"/>
      <c r="F908" s="1654"/>
      <c r="G908" s="1654"/>
      <c r="H908" s="1654"/>
      <c r="I908" s="1654"/>
      <c r="J908" s="1654"/>
      <c r="K908" s="1654"/>
      <c r="L908" s="1654"/>
      <c r="M908" s="1654"/>
      <c r="N908" s="1654"/>
    </row>
    <row r="909" spans="2:14">
      <c r="B909" s="1654"/>
      <c r="C909" s="1655" t="s">
        <v>1254</v>
      </c>
      <c r="D909" s="1654"/>
      <c r="E909" s="1654"/>
      <c r="F909" s="1654"/>
      <c r="G909" s="1654"/>
      <c r="H909" s="1654"/>
      <c r="I909" s="1654"/>
      <c r="J909" s="1654"/>
      <c r="K909" s="1654"/>
      <c r="L909" s="1654"/>
      <c r="M909" s="1654"/>
      <c r="N909" s="1654"/>
    </row>
    <row r="910" spans="2:14">
      <c r="B910" s="1654"/>
      <c r="C910" s="1654"/>
      <c r="D910" s="1654"/>
      <c r="E910" s="1654"/>
      <c r="F910" s="1654"/>
      <c r="G910" s="1654"/>
      <c r="H910" s="1654"/>
      <c r="I910" s="1654"/>
      <c r="J910" s="1654"/>
      <c r="K910" s="1654"/>
      <c r="L910" s="1654"/>
      <c r="M910" s="1654"/>
      <c r="N910" s="1654"/>
    </row>
    <row r="911" spans="2:14">
      <c r="B911" s="1654"/>
      <c r="C911" s="2470" t="s">
        <v>28</v>
      </c>
      <c r="D911" s="1734" t="s">
        <v>29</v>
      </c>
      <c r="E911" s="1734" t="s">
        <v>306</v>
      </c>
      <c r="F911" s="1734" t="s">
        <v>597</v>
      </c>
      <c r="G911" s="1734" t="s">
        <v>133</v>
      </c>
      <c r="H911" s="1734" t="s">
        <v>134</v>
      </c>
      <c r="I911" s="1734" t="s">
        <v>135</v>
      </c>
      <c r="J911" s="1734" t="s">
        <v>136</v>
      </c>
      <c r="K911" s="1734" t="s">
        <v>137</v>
      </c>
      <c r="L911" s="1734" t="s">
        <v>138</v>
      </c>
      <c r="M911" s="1734" t="s">
        <v>139</v>
      </c>
      <c r="N911" s="1735" t="s">
        <v>140</v>
      </c>
    </row>
    <row r="912" spans="2:14">
      <c r="B912" s="1654"/>
      <c r="C912" s="1656" t="s">
        <v>260</v>
      </c>
      <c r="D912" s="1657" t="s">
        <v>261</v>
      </c>
      <c r="E912" s="1650" t="s">
        <v>307</v>
      </c>
      <c r="F912" s="1651">
        <f>SUMPRODUCT(F$673:F$680,F$170:F$177)</f>
        <v>1.3857997389988761</v>
      </c>
      <c r="G912" s="1651">
        <f t="shared" ref="G912:N912" si="112">SUMPRODUCT(G$673:G$680,G$170:G$177)</f>
        <v>1.0908713598703568</v>
      </c>
      <c r="H912" s="1651">
        <f t="shared" si="112"/>
        <v>0.88763597041841569</v>
      </c>
      <c r="I912" s="1651">
        <f t="shared" si="112"/>
        <v>0.75994443786890686</v>
      </c>
      <c r="J912" s="1651">
        <f t="shared" si="112"/>
        <v>0.74228328638521968</v>
      </c>
      <c r="K912" s="1651">
        <f t="shared" si="112"/>
        <v>0.72242609509357691</v>
      </c>
      <c r="L912" s="1651">
        <f t="shared" si="112"/>
        <v>0.69444663717211175</v>
      </c>
      <c r="M912" s="1651">
        <f t="shared" si="112"/>
        <v>0.66790588183904431</v>
      </c>
      <c r="N912" s="1651">
        <f t="shared" si="112"/>
        <v>0.64650817396857285</v>
      </c>
    </row>
    <row r="913" spans="2:14">
      <c r="B913" s="1654"/>
      <c r="C913" s="1656" t="s">
        <v>262</v>
      </c>
      <c r="D913" s="1657" t="s">
        <v>263</v>
      </c>
      <c r="E913" s="1650" t="s">
        <v>307</v>
      </c>
      <c r="F913" s="1651">
        <f>SUMPRODUCT(F$673:F$680,F$185:F$192)</f>
        <v>18.427647766751381</v>
      </c>
      <c r="G913" s="1651">
        <f t="shared" ref="G913:N913" si="113">SUMPRODUCT(G$673:G$680,G$185:G$192)</f>
        <v>14.621854483167986</v>
      </c>
      <c r="H913" s="1651">
        <f t="shared" si="113"/>
        <v>9.9021977089509114</v>
      </c>
      <c r="I913" s="1651">
        <f t="shared" si="113"/>
        <v>6.9718475096572128</v>
      </c>
      <c r="J913" s="1651">
        <f t="shared" si="113"/>
        <v>6.1278815825912298</v>
      </c>
      <c r="K913" s="1651">
        <f t="shared" si="113"/>
        <v>5.7300324952369142</v>
      </c>
      <c r="L913" s="1651">
        <f t="shared" si="113"/>
        <v>5.5098045187020137</v>
      </c>
      <c r="M913" s="1651">
        <f t="shared" si="113"/>
        <v>5.3055894761942843</v>
      </c>
      <c r="N913" s="1651">
        <f t="shared" si="113"/>
        <v>5.143994352975068</v>
      </c>
    </row>
    <row r="914" spans="2:14">
      <c r="B914" s="1654"/>
      <c r="C914" s="1656" t="s">
        <v>264</v>
      </c>
      <c r="D914" s="1657" t="s">
        <v>265</v>
      </c>
      <c r="E914" s="1650" t="s">
        <v>307</v>
      </c>
      <c r="F914" s="1651">
        <f>SUMPRODUCT(F$673:F$680,F$200:F$207)</f>
        <v>2.4422335395783468E-2</v>
      </c>
      <c r="G914" s="1651">
        <f t="shared" ref="G914:N914" si="114">SUMPRODUCT(G$673:G$680,G$200:G$207)</f>
        <v>2.4277260366658893E-2</v>
      </c>
      <c r="H914" s="1651">
        <f t="shared" si="114"/>
        <v>2.2119234742089232E-2</v>
      </c>
      <c r="I914" s="1651">
        <f t="shared" si="114"/>
        <v>1.8922083989435359E-2</v>
      </c>
      <c r="J914" s="1651">
        <f t="shared" si="114"/>
        <v>1.7749534080728855E-2</v>
      </c>
      <c r="K914" s="1651">
        <f t="shared" si="114"/>
        <v>1.6532763399030155E-2</v>
      </c>
      <c r="L914" s="1651">
        <f t="shared" si="114"/>
        <v>1.5940292755746391E-2</v>
      </c>
      <c r="M914" s="1651">
        <f t="shared" si="114"/>
        <v>1.5384762794352889E-2</v>
      </c>
      <c r="N914" s="1651">
        <f t="shared" si="114"/>
        <v>1.4908019775505632E-2</v>
      </c>
    </row>
    <row r="915" spans="2:14">
      <c r="B915" s="1654"/>
      <c r="C915" s="1658" t="s">
        <v>266</v>
      </c>
      <c r="D915" s="1659" t="s">
        <v>267</v>
      </c>
      <c r="E915" s="1650" t="s">
        <v>307</v>
      </c>
      <c r="F915" s="1651">
        <f>SUMPRODUCT(F$673:F$680,F$215:F$222)</f>
        <v>4.0127532356729345</v>
      </c>
      <c r="G915" s="1651">
        <f t="shared" ref="G915:N915" si="115">SUMPRODUCT(G$673:G$680,G$215:G$222)</f>
        <v>1.9597764174363239</v>
      </c>
      <c r="H915" s="1651">
        <f t="shared" si="115"/>
        <v>1.5630990850212905</v>
      </c>
      <c r="I915" s="1651">
        <f t="shared" si="115"/>
        <v>1.4988578680325428</v>
      </c>
      <c r="J915" s="1651">
        <f t="shared" si="115"/>
        <v>1.5710355699398395</v>
      </c>
      <c r="K915" s="1651">
        <f t="shared" si="115"/>
        <v>1.511173141373489</v>
      </c>
      <c r="L915" s="1651">
        <f t="shared" si="115"/>
        <v>1.4474679296249053</v>
      </c>
      <c r="M915" s="1651">
        <f t="shared" si="115"/>
        <v>1.3863151100316571</v>
      </c>
      <c r="N915" s="1651">
        <f t="shared" si="115"/>
        <v>1.3400388953117124</v>
      </c>
    </row>
    <row r="916" spans="2:14">
      <c r="B916" s="1654"/>
      <c r="C916" s="1654"/>
      <c r="D916" s="1654"/>
      <c r="E916" s="1654"/>
      <c r="F916" s="1654"/>
      <c r="G916" s="1654"/>
      <c r="H916" s="1654"/>
      <c r="I916" s="1654"/>
      <c r="J916" s="1654"/>
      <c r="K916" s="1654"/>
      <c r="L916" s="1654"/>
      <c r="M916" s="1654"/>
      <c r="N916" s="1654"/>
    </row>
    <row r="917" spans="2:14">
      <c r="B917" s="1654"/>
      <c r="C917" s="1654"/>
      <c r="D917" s="1654"/>
      <c r="E917" s="1654"/>
      <c r="F917" s="1654"/>
      <c r="G917" s="1654"/>
      <c r="H917" s="1654"/>
      <c r="I917" s="1654"/>
      <c r="J917" s="1654"/>
      <c r="K917" s="1654"/>
      <c r="L917" s="1654"/>
      <c r="M917" s="1654"/>
      <c r="N917" s="1654"/>
    </row>
    <row r="918" spans="2:14">
      <c r="B918" s="1654"/>
      <c r="C918" s="1655" t="s">
        <v>1255</v>
      </c>
      <c r="D918" s="1654"/>
      <c r="E918" s="1654"/>
      <c r="F918" s="1654"/>
      <c r="G918" s="1654"/>
      <c r="H918" s="1654"/>
      <c r="I918" s="1654"/>
      <c r="J918" s="1654"/>
      <c r="K918" s="1654"/>
      <c r="L918" s="1654"/>
      <c r="M918" s="1654"/>
      <c r="N918" s="1654"/>
    </row>
    <row r="919" spans="2:14">
      <c r="B919" s="1654"/>
      <c r="C919" s="1654"/>
      <c r="D919" s="1654"/>
      <c r="E919" s="1654"/>
      <c r="F919" s="1654"/>
      <c r="G919" s="1654"/>
      <c r="H919" s="1654"/>
      <c r="I919" s="1654"/>
      <c r="J919" s="1654"/>
      <c r="K919" s="1654"/>
      <c r="L919" s="1654"/>
      <c r="M919" s="1654"/>
      <c r="N919" s="1654"/>
    </row>
    <row r="920" spans="2:14">
      <c r="B920" s="1654"/>
      <c r="C920" s="2470" t="s">
        <v>28</v>
      </c>
      <c r="D920" s="1734" t="s">
        <v>29</v>
      </c>
      <c r="E920" s="1734" t="s">
        <v>306</v>
      </c>
      <c r="F920" s="1734" t="s">
        <v>597</v>
      </c>
      <c r="G920" s="1734" t="s">
        <v>133</v>
      </c>
      <c r="H920" s="1734" t="s">
        <v>134</v>
      </c>
      <c r="I920" s="1734" t="s">
        <v>135</v>
      </c>
      <c r="J920" s="1734" t="s">
        <v>136</v>
      </c>
      <c r="K920" s="1734" t="s">
        <v>137</v>
      </c>
      <c r="L920" s="1734" t="s">
        <v>138</v>
      </c>
      <c r="M920" s="1734" t="s">
        <v>139</v>
      </c>
      <c r="N920" s="1735" t="s">
        <v>140</v>
      </c>
    </row>
    <row r="921" spans="2:14">
      <c r="B921" s="1654"/>
      <c r="C921" s="1656" t="s">
        <v>260</v>
      </c>
      <c r="D921" s="1657" t="s">
        <v>261</v>
      </c>
      <c r="E921" s="1660" t="s">
        <v>307</v>
      </c>
      <c r="F921" s="1651">
        <f>SUMPRODUCT(F$681:F$682,F$178:F$179)</f>
        <v>6.5826267217084442E-2</v>
      </c>
      <c r="G921" s="1651">
        <f t="shared" ref="G921:N921" si="116">SUMPRODUCT(G$681:G$682,G$178:G$179)</f>
        <v>6.8191966914343552E-2</v>
      </c>
      <c r="H921" s="1651">
        <f t="shared" si="116"/>
        <v>5.4399218532156027E-2</v>
      </c>
      <c r="I921" s="1651">
        <f t="shared" si="116"/>
        <v>4.1088985849572983E-2</v>
      </c>
      <c r="J921" s="1651">
        <f t="shared" si="116"/>
        <v>2.8681709237753702E-2</v>
      </c>
      <c r="K921" s="1651">
        <f t="shared" si="116"/>
        <v>1.7224244044105708E-2</v>
      </c>
      <c r="L921" s="1651">
        <f t="shared" si="116"/>
        <v>9.108054307765432E-3</v>
      </c>
      <c r="M921" s="1651">
        <f t="shared" si="116"/>
        <v>7.2772667924306811E-3</v>
      </c>
      <c r="N921" s="1651">
        <f t="shared" si="116"/>
        <v>7.2772667924306811E-3</v>
      </c>
    </row>
    <row r="922" spans="2:14">
      <c r="B922" s="1654"/>
      <c r="C922" s="1656" t="s">
        <v>262</v>
      </c>
      <c r="D922" s="1657" t="s">
        <v>263</v>
      </c>
      <c r="E922" s="1660" t="s">
        <v>307</v>
      </c>
      <c r="F922" s="1651">
        <f>SUMPRODUCT(F$681:F$682,F$193:F$194)</f>
        <v>2.4901225414971786</v>
      </c>
      <c r="G922" s="1651">
        <f t="shared" ref="G922:N922" si="117">SUMPRODUCT(G$681:G$682,G$193:G$194)</f>
        <v>2.5970374109684764</v>
      </c>
      <c r="H922" s="1651">
        <f t="shared" si="117"/>
        <v>2.1325256610453471</v>
      </c>
      <c r="I922" s="1651">
        <f t="shared" si="117"/>
        <v>1.6813852862848875</v>
      </c>
      <c r="J922" s="1651">
        <f t="shared" si="117"/>
        <v>1.2593497622271095</v>
      </c>
      <c r="K922" s="1651">
        <f t="shared" si="117"/>
        <v>0.8678500245843439</v>
      </c>
      <c r="L922" s="1651">
        <f t="shared" si="117"/>
        <v>0.70336185662772899</v>
      </c>
      <c r="M922" s="1651">
        <f t="shared" si="117"/>
        <v>0.64386099117053019</v>
      </c>
      <c r="N922" s="1651">
        <f t="shared" si="117"/>
        <v>0.64386099117053019</v>
      </c>
    </row>
    <row r="923" spans="2:14">
      <c r="B923" s="1654"/>
      <c r="C923" s="1656" t="s">
        <v>264</v>
      </c>
      <c r="D923" s="1657" t="s">
        <v>265</v>
      </c>
      <c r="E923" s="1660" t="s">
        <v>307</v>
      </c>
      <c r="F923" s="1651">
        <f>SUMPRODUCT(F$681:F$682,F$208:F$209)</f>
        <v>2.9079769404255811E-2</v>
      </c>
      <c r="G923" s="1651">
        <f t="shared" ref="G923:N923" si="118">SUMPRODUCT(G$681:G$682,G$208:G$209)</f>
        <v>6.1501193650908442E-4</v>
      </c>
      <c r="H923" s="1651">
        <f t="shared" si="118"/>
        <v>5.9474622380009071E-4</v>
      </c>
      <c r="I923" s="1651">
        <f t="shared" si="118"/>
        <v>5.702570658362476E-4</v>
      </c>
      <c r="J923" s="1651">
        <f t="shared" si="118"/>
        <v>5.4485888710104893E-4</v>
      </c>
      <c r="K923" s="1651">
        <f t="shared" si="118"/>
        <v>5.1836856870692558E-4</v>
      </c>
      <c r="L923" s="1651">
        <f t="shared" si="118"/>
        <v>4.8950665574674077E-4</v>
      </c>
      <c r="M923" s="1651">
        <f t="shared" si="118"/>
        <v>4.596168500482528E-4</v>
      </c>
      <c r="N923" s="1651">
        <f t="shared" si="118"/>
        <v>4.596168500482528E-4</v>
      </c>
    </row>
    <row r="924" spans="2:14">
      <c r="B924" s="1654"/>
      <c r="C924" s="1658" t="s">
        <v>266</v>
      </c>
      <c r="D924" s="1659" t="s">
        <v>267</v>
      </c>
      <c r="E924" s="1660" t="s">
        <v>307</v>
      </c>
      <c r="F924" s="1651">
        <f>SUMPRODUCT(F$681:F$682,F$223:F$224)</f>
        <v>0.25061451803131946</v>
      </c>
      <c r="G924" s="1651">
        <f t="shared" ref="G924:N924" si="119">SUMPRODUCT(G$681:G$682,G$223:G$224)</f>
        <v>0.26171584691335331</v>
      </c>
      <c r="H924" s="1651">
        <f t="shared" si="119"/>
        <v>0.21498627839291778</v>
      </c>
      <c r="I924" s="1651">
        <f t="shared" si="119"/>
        <v>0.1695974957897653</v>
      </c>
      <c r="J924" s="1651">
        <f t="shared" si="119"/>
        <v>0.12713466279730912</v>
      </c>
      <c r="K924" s="1651">
        <f t="shared" si="119"/>
        <v>8.7741507583462344E-2</v>
      </c>
      <c r="L924" s="1651">
        <f t="shared" si="119"/>
        <v>6.9545489702193583E-2</v>
      </c>
      <c r="M924" s="1651">
        <f t="shared" si="119"/>
        <v>6.3402681393083235E-2</v>
      </c>
      <c r="N924" s="1651">
        <f t="shared" si="119"/>
        <v>6.3402681393083235E-2</v>
      </c>
    </row>
    <row r="925" spans="2:14">
      <c r="B925" s="1654"/>
      <c r="C925" s="1654"/>
      <c r="D925" s="1654"/>
      <c r="E925" s="1654"/>
      <c r="F925" s="1654"/>
      <c r="G925" s="1654"/>
      <c r="H925" s="1654"/>
      <c r="I925" s="1654"/>
      <c r="J925" s="1654"/>
      <c r="K925" s="1654"/>
      <c r="L925" s="1654"/>
      <c r="M925" s="1654"/>
      <c r="N925" s="1654"/>
    </row>
    <row r="926" spans="2:14">
      <c r="B926" s="1654"/>
      <c r="C926" s="1654"/>
      <c r="D926" s="1654"/>
      <c r="E926" s="1654"/>
      <c r="F926" s="1654"/>
      <c r="G926" s="1654"/>
      <c r="H926" s="1654"/>
      <c r="I926" s="1654"/>
      <c r="J926" s="1654"/>
      <c r="K926" s="1654"/>
      <c r="L926" s="1654"/>
      <c r="M926" s="1654"/>
      <c r="N926" s="1654"/>
    </row>
    <row r="927" spans="2:14">
      <c r="B927" s="1654"/>
      <c r="C927" s="1655" t="s">
        <v>1256</v>
      </c>
      <c r="D927" s="1654"/>
      <c r="E927" s="1654"/>
      <c r="F927" s="1654"/>
      <c r="G927" s="1654"/>
      <c r="H927" s="1654"/>
      <c r="I927" s="1654"/>
      <c r="J927" s="1654"/>
      <c r="K927" s="1654"/>
      <c r="L927" s="1654"/>
      <c r="M927" s="1654"/>
      <c r="N927" s="1654"/>
    </row>
    <row r="928" spans="2:14">
      <c r="B928" s="1654"/>
      <c r="C928" s="1654"/>
      <c r="D928" s="1654"/>
      <c r="E928" s="1654"/>
      <c r="F928" s="1654"/>
      <c r="G928" s="1654"/>
      <c r="H928" s="1654"/>
      <c r="I928" s="1654"/>
      <c r="J928" s="1654"/>
      <c r="K928" s="1654"/>
      <c r="L928" s="1654"/>
      <c r="M928" s="1654"/>
      <c r="N928" s="1654"/>
    </row>
    <row r="929" spans="2:14">
      <c r="B929" s="1654"/>
      <c r="C929" s="2470" t="s">
        <v>28</v>
      </c>
      <c r="D929" s="1734" t="s">
        <v>29</v>
      </c>
      <c r="E929" s="1734" t="s">
        <v>306</v>
      </c>
      <c r="F929" s="1734" t="s">
        <v>597</v>
      </c>
      <c r="G929" s="1734" t="s">
        <v>133</v>
      </c>
      <c r="H929" s="1734" t="s">
        <v>134</v>
      </c>
      <c r="I929" s="1734" t="s">
        <v>135</v>
      </c>
      <c r="J929" s="1734" t="s">
        <v>136</v>
      </c>
      <c r="K929" s="1734" t="s">
        <v>137</v>
      </c>
      <c r="L929" s="1734" t="s">
        <v>138</v>
      </c>
      <c r="M929" s="1734" t="s">
        <v>139</v>
      </c>
      <c r="N929" s="1735" t="s">
        <v>140</v>
      </c>
    </row>
    <row r="930" spans="2:14">
      <c r="B930" s="1654"/>
      <c r="C930" s="1656" t="s">
        <v>260</v>
      </c>
      <c r="D930" s="1657" t="s">
        <v>261</v>
      </c>
      <c r="E930" s="1660" t="s">
        <v>307</v>
      </c>
      <c r="F930" s="1651">
        <f>F$683*F$230*F$180</f>
        <v>6.7218622366905847E-5</v>
      </c>
      <c r="G930" s="1651">
        <f t="shared" ref="G930:N930" si="120">G$683*G$230*G$180</f>
        <v>6.6722495446650194E-5</v>
      </c>
      <c r="H930" s="1651">
        <f t="shared" si="120"/>
        <v>6.6152212789975771E-5</v>
      </c>
      <c r="I930" s="1651">
        <f t="shared" si="120"/>
        <v>6.5234026245104999E-5</v>
      </c>
      <c r="J930" s="1651">
        <f t="shared" si="120"/>
        <v>6.4334584387504192E-5</v>
      </c>
      <c r="K930" s="1651">
        <f t="shared" si="120"/>
        <v>6.3439752884813982E-5</v>
      </c>
      <c r="L930" s="1651">
        <f t="shared" si="120"/>
        <v>6.2393664658077339E-5</v>
      </c>
      <c r="M930" s="1651">
        <f t="shared" si="120"/>
        <v>6.1361179879745401E-5</v>
      </c>
      <c r="N930" s="1651">
        <f t="shared" si="120"/>
        <v>6.1361179879745401E-5</v>
      </c>
    </row>
    <row r="931" spans="2:14">
      <c r="B931" s="1654"/>
      <c r="C931" s="1656" t="s">
        <v>262</v>
      </c>
      <c r="D931" s="1657" t="s">
        <v>263</v>
      </c>
      <c r="E931" s="1660" t="s">
        <v>307</v>
      </c>
      <c r="F931" s="1651">
        <f>F$683*F$230*F$195</f>
        <v>6.2962233870859693E-3</v>
      </c>
      <c r="G931" s="1651">
        <f t="shared" ref="G931:N931" si="121">G$683*G$230*G$195</f>
        <v>6.2497522484597405E-3</v>
      </c>
      <c r="H931" s="1651">
        <f t="shared" si="121"/>
        <v>6.1963351019344226E-3</v>
      </c>
      <c r="I931" s="1651">
        <f t="shared" si="121"/>
        <v>6.1103305485240983E-3</v>
      </c>
      <c r="J931" s="1651">
        <f t="shared" si="121"/>
        <v>6.0260817695437898E-3</v>
      </c>
      <c r="K931" s="1651">
        <f t="shared" si="121"/>
        <v>5.9422648325648305E-3</v>
      </c>
      <c r="L931" s="1651">
        <f t="shared" si="121"/>
        <v>5.8442800044589622E-3</v>
      </c>
      <c r="M931" s="1651">
        <f t="shared" si="121"/>
        <v>5.747569382026683E-3</v>
      </c>
      <c r="N931" s="1651">
        <f t="shared" si="121"/>
        <v>5.747569382026683E-3</v>
      </c>
    </row>
    <row r="932" spans="2:14">
      <c r="B932" s="1654"/>
      <c r="C932" s="1656" t="s">
        <v>264</v>
      </c>
      <c r="D932" s="1657" t="s">
        <v>265</v>
      </c>
      <c r="E932" s="1660" t="s">
        <v>307</v>
      </c>
      <c r="F932" s="1651">
        <f>F$683*F$230*F$210</f>
        <v>4.74099458276036E-4</v>
      </c>
      <c r="G932" s="1651">
        <f t="shared" ref="G932:N932" si="122">G$683*G$230*G$210</f>
        <v>4.7060022702363877E-4</v>
      </c>
      <c r="H932" s="1651">
        <f t="shared" si="122"/>
        <v>4.6657796817522362E-4</v>
      </c>
      <c r="I932" s="1651">
        <f t="shared" si="122"/>
        <v>4.6010190948506672E-4</v>
      </c>
      <c r="J932" s="1651">
        <f t="shared" si="122"/>
        <v>4.5375805889093018E-4</v>
      </c>
      <c r="K932" s="1651">
        <f t="shared" si="122"/>
        <v>4.4744672557680637E-4</v>
      </c>
      <c r="L932" s="1651">
        <f t="shared" si="122"/>
        <v>4.4006856392842127E-4</v>
      </c>
      <c r="M932" s="1651">
        <f t="shared" si="122"/>
        <v>4.3278634872005934E-4</v>
      </c>
      <c r="N932" s="1651">
        <f t="shared" si="122"/>
        <v>4.3278634872005934E-4</v>
      </c>
    </row>
    <row r="933" spans="2:14">
      <c r="B933" s="1654"/>
      <c r="C933" s="1658" t="s">
        <v>266</v>
      </c>
      <c r="D933" s="1659" t="s">
        <v>267</v>
      </c>
      <c r="E933" s="1660" t="s">
        <v>307</v>
      </c>
      <c r="F933" s="1651">
        <f>F$683*F$230*F$225</f>
        <v>1.7963448798289088E-3</v>
      </c>
      <c r="G933" s="1651">
        <f t="shared" ref="G933:N933" si="123">G$683*G$230*G$225</f>
        <v>1.7830864252286057E-3</v>
      </c>
      <c r="H933" s="1651">
        <f t="shared" si="123"/>
        <v>1.7678462388888649E-3</v>
      </c>
      <c r="I933" s="1651">
        <f t="shared" si="123"/>
        <v>1.7433086979436868E-3</v>
      </c>
      <c r="J933" s="1651">
        <f t="shared" si="123"/>
        <v>1.7192720884638638E-3</v>
      </c>
      <c r="K933" s="1651">
        <f t="shared" si="123"/>
        <v>1.6953586857256582E-3</v>
      </c>
      <c r="L933" s="1651">
        <f t="shared" si="123"/>
        <v>1.6674031108599519E-3</v>
      </c>
      <c r="M933" s="1651">
        <f t="shared" si="123"/>
        <v>1.6398110734192829E-3</v>
      </c>
      <c r="N933" s="1651">
        <f t="shared" si="123"/>
        <v>1.6398110734192829E-3</v>
      </c>
    </row>
    <row r="934" spans="2:14">
      <c r="B934" s="1654"/>
      <c r="C934" s="1654"/>
      <c r="D934" s="1654"/>
      <c r="E934" s="1654"/>
      <c r="F934" s="1654"/>
      <c r="G934" s="1654"/>
      <c r="H934" s="1654"/>
      <c r="I934" s="1654"/>
      <c r="J934" s="1654"/>
      <c r="K934" s="1654"/>
      <c r="L934" s="1654"/>
      <c r="M934" s="1654"/>
      <c r="N934" s="1654"/>
    </row>
  </sheetData>
  <conditionalFormatting sqref="G161:N161 G316:N317 G326:N327 G334:N336 F165:N165 G151:N152 G159:N159 F141:N142">
    <cfRule type="cellIs" dxfId="1158" priority="6" operator="equal">
      <formula>TRUE</formula>
    </cfRule>
  </conditionalFormatting>
  <pageMargins left="0.7" right="0.7" top="0.75" bottom="0.75" header="0.3" footer="0.3"/>
  <pageSetup orientation="portrait" r:id="rId1"/>
  <tableParts count="19">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s>
</worksheet>
</file>

<file path=xl/worksheets/sheet39.xml><?xml version="1.0" encoding="utf-8"?>
<worksheet xmlns="http://schemas.openxmlformats.org/spreadsheetml/2006/main" xmlns:r="http://schemas.openxmlformats.org/officeDocument/2006/relationships">
  <sheetPr codeName="Sheet20">
    <tabColor theme="9"/>
  </sheetPr>
  <dimension ref="A1:T666"/>
  <sheetViews>
    <sheetView showGridLines="0" topLeftCell="B1" zoomScale="80" zoomScaleNormal="80" workbookViewId="0">
      <selection activeCell="L2" sqref="L2"/>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2" customWidth="1"/>
    <col min="16" max="16" width="10.85546875" customWidth="1"/>
  </cols>
  <sheetData>
    <row r="1" spans="1:16" ht="22.5">
      <c r="A1" s="1661" t="s">
        <v>490</v>
      </c>
      <c r="B1" s="1016" t="s">
        <v>491</v>
      </c>
      <c r="C1" s="1016"/>
    </row>
    <row r="2" spans="1:16" s="6" customFormat="1" ht="15.75">
      <c r="A2" s="864" t="s">
        <v>480</v>
      </c>
      <c r="B2" s="864" t="s">
        <v>481</v>
      </c>
      <c r="C2" s="864"/>
      <c r="E2" s="5"/>
    </row>
    <row r="4" spans="1:16" ht="23.25">
      <c r="A4" s="7"/>
      <c r="B4" s="511" t="s">
        <v>6</v>
      </c>
      <c r="C4" s="512"/>
      <c r="D4" s="512"/>
      <c r="E4" s="512"/>
      <c r="F4" s="512"/>
      <c r="G4" s="512"/>
      <c r="H4" s="512"/>
      <c r="I4" s="512"/>
      <c r="J4" s="512"/>
      <c r="K4" s="512"/>
      <c r="L4" s="512"/>
      <c r="M4" s="512"/>
      <c r="N4" s="512"/>
      <c r="O4" s="866"/>
    </row>
    <row r="5" spans="1:16">
      <c r="B5" s="514"/>
      <c r="C5" s="515"/>
      <c r="D5" s="515"/>
      <c r="E5" s="515"/>
      <c r="F5" s="515"/>
      <c r="G5" s="515"/>
      <c r="H5" s="515"/>
      <c r="I5" s="515"/>
      <c r="J5" s="515"/>
      <c r="K5" s="515"/>
      <c r="L5" s="515"/>
      <c r="M5" s="515"/>
      <c r="N5" s="515"/>
      <c r="O5" s="867"/>
    </row>
    <row r="6" spans="1:16">
      <c r="B6" s="514"/>
      <c r="C6" s="12"/>
      <c r="D6" s="515"/>
      <c r="E6" s="516"/>
      <c r="F6" s="515"/>
      <c r="G6" s="515"/>
      <c r="H6" s="515"/>
      <c r="I6" s="515"/>
      <c r="J6" s="515"/>
      <c r="K6" s="515"/>
      <c r="L6" s="515"/>
      <c r="M6" s="515"/>
      <c r="N6" s="515"/>
      <c r="O6" s="867"/>
    </row>
    <row r="7" spans="1:16" ht="15.75">
      <c r="B7" s="15"/>
      <c r="C7" s="515"/>
      <c r="D7" s="16" t="s">
        <v>7</v>
      </c>
      <c r="E7" s="16" t="s">
        <v>8</v>
      </c>
      <c r="F7" s="515"/>
      <c r="G7" s="515"/>
      <c r="H7" s="515"/>
      <c r="I7" s="515"/>
      <c r="J7" s="515"/>
      <c r="K7" s="515"/>
      <c r="L7" s="515"/>
      <c r="M7" s="515"/>
      <c r="N7" s="515"/>
      <c r="O7" s="867"/>
    </row>
    <row r="8" spans="1:16" ht="15.75">
      <c r="B8" s="15"/>
      <c r="C8" s="515"/>
      <c r="D8" s="868" t="s">
        <v>1269</v>
      </c>
      <c r="E8" s="868">
        <f>XII.b.Scenario</f>
        <v>1</v>
      </c>
      <c r="F8" s="515"/>
      <c r="G8" s="515"/>
      <c r="H8" s="515"/>
      <c r="I8" s="515"/>
      <c r="J8" s="515"/>
      <c r="K8" s="515"/>
      <c r="L8" s="515"/>
      <c r="M8" s="515"/>
      <c r="N8" s="515"/>
      <c r="O8" s="867"/>
    </row>
    <row r="9" spans="1:16">
      <c r="B9" s="1252"/>
      <c r="C9" s="869"/>
      <c r="D9" s="869"/>
      <c r="E9" s="869"/>
      <c r="F9" s="869"/>
      <c r="G9" s="869"/>
      <c r="H9" s="869"/>
      <c r="I9" s="869"/>
      <c r="J9" s="869"/>
      <c r="K9" s="869"/>
      <c r="L9" s="869"/>
      <c r="M9" s="869"/>
      <c r="N9" s="869"/>
      <c r="O9" s="870"/>
    </row>
    <row r="11" spans="1:16" s="6" customFormat="1" ht="23.25">
      <c r="A11" s="40"/>
      <c r="B11" s="878" t="s">
        <v>33</v>
      </c>
      <c r="C11" s="879"/>
      <c r="D11" s="879"/>
      <c r="E11" s="879"/>
      <c r="F11" s="879"/>
      <c r="G11" s="879"/>
      <c r="H11" s="879"/>
      <c r="I11" s="879"/>
      <c r="J11" s="879"/>
      <c r="K11" s="879"/>
      <c r="L11" s="879"/>
      <c r="M11" s="879"/>
      <c r="N11" s="879"/>
      <c r="O11" s="880"/>
    </row>
    <row r="12" spans="1:16">
      <c r="B12" s="110"/>
      <c r="C12" s="67"/>
      <c r="D12" s="67"/>
      <c r="E12" s="67"/>
      <c r="F12" s="67"/>
      <c r="G12" s="67"/>
      <c r="H12" s="67"/>
      <c r="I12" s="67"/>
      <c r="J12" s="67"/>
      <c r="K12" s="67"/>
      <c r="L12" s="67"/>
      <c r="M12" s="67"/>
      <c r="N12" s="67"/>
      <c r="O12" s="885"/>
    </row>
    <row r="13" spans="1:16">
      <c r="B13" s="110"/>
      <c r="C13" s="49" t="s">
        <v>3154</v>
      </c>
      <c r="D13" s="67"/>
      <c r="E13" s="51"/>
      <c r="F13" s="67"/>
      <c r="G13" s="67"/>
      <c r="H13" s="67"/>
      <c r="I13" s="67"/>
      <c r="J13" s="67"/>
      <c r="K13" s="67"/>
      <c r="L13" s="67"/>
      <c r="M13" s="67"/>
      <c r="N13" s="51" t="s">
        <v>1270</v>
      </c>
      <c r="O13" s="885"/>
    </row>
    <row r="14" spans="1:16">
      <c r="B14" s="110"/>
      <c r="C14" s="67"/>
      <c r="D14" s="67"/>
      <c r="E14" s="67"/>
      <c r="F14" s="67"/>
      <c r="G14" s="67"/>
      <c r="H14" s="67"/>
      <c r="I14" s="67"/>
      <c r="J14" s="67"/>
      <c r="K14" s="67"/>
      <c r="L14" s="67"/>
      <c r="M14" s="67"/>
      <c r="N14" s="67"/>
      <c r="O14" s="885"/>
    </row>
    <row r="15" spans="1:16">
      <c r="B15" s="110"/>
      <c r="C15" s="887" t="s">
        <v>8</v>
      </c>
      <c r="D15" s="887" t="s">
        <v>34</v>
      </c>
      <c r="E15" s="887" t="s">
        <v>30</v>
      </c>
      <c r="F15" s="92">
        <v>2013</v>
      </c>
      <c r="G15" s="92">
        <v>2015</v>
      </c>
      <c r="H15" s="92">
        <v>2020</v>
      </c>
      <c r="I15" s="92">
        <v>2025</v>
      </c>
      <c r="J15" s="92">
        <v>2030</v>
      </c>
      <c r="K15" s="92">
        <v>2035</v>
      </c>
      <c r="L15" s="92">
        <v>2040</v>
      </c>
      <c r="M15" s="92">
        <v>2045</v>
      </c>
      <c r="N15" s="92">
        <v>2050</v>
      </c>
      <c r="O15" s="885"/>
    </row>
    <row r="16" spans="1:16" ht="15.75">
      <c r="B16" s="55"/>
      <c r="C16" s="65">
        <v>1</v>
      </c>
      <c r="D16" s="108" t="s">
        <v>1271</v>
      </c>
      <c r="E16" s="1267"/>
      <c r="F16" s="1662">
        <v>529069.53332918952</v>
      </c>
      <c r="G16" s="1662">
        <v>550893.65157901857</v>
      </c>
      <c r="H16" s="1662">
        <v>572717.76982884773</v>
      </c>
      <c r="I16" s="1662">
        <v>594541.88807867677</v>
      </c>
      <c r="J16" s="1662">
        <v>616366.00632850581</v>
      </c>
      <c r="K16" s="1662">
        <v>638190.12457833486</v>
      </c>
      <c r="L16" s="1662">
        <v>660014.24282816402</v>
      </c>
      <c r="M16" s="1662">
        <v>681838.36107799306</v>
      </c>
      <c r="N16" s="1662">
        <v>703662.4793278221</v>
      </c>
      <c r="O16" s="885"/>
      <c r="P16" s="400"/>
    </row>
    <row r="17" spans="2:16" ht="15.75">
      <c r="B17" s="55"/>
      <c r="C17" s="65">
        <v>2</v>
      </c>
      <c r="D17" s="108" t="s">
        <v>1271</v>
      </c>
      <c r="E17" s="1267"/>
      <c r="F17" s="1662">
        <v>529069.53332918952</v>
      </c>
      <c r="G17" s="1662">
        <v>545602.95624572667</v>
      </c>
      <c r="H17" s="1662">
        <v>562136.37916226394</v>
      </c>
      <c r="I17" s="1662">
        <v>578669.80207880109</v>
      </c>
      <c r="J17" s="1662">
        <v>595203.22499533824</v>
      </c>
      <c r="K17" s="1662">
        <v>611736.64791187539</v>
      </c>
      <c r="L17" s="1662">
        <v>628270.07082841266</v>
      </c>
      <c r="M17" s="1662">
        <v>644803.49374494981</v>
      </c>
      <c r="N17" s="1662">
        <v>661336.91666148696</v>
      </c>
      <c r="O17" s="885"/>
      <c r="P17" s="400"/>
    </row>
    <row r="18" spans="2:16" ht="15.75">
      <c r="B18" s="55"/>
      <c r="C18" s="65">
        <v>3</v>
      </c>
      <c r="D18" s="108" t="s">
        <v>1271</v>
      </c>
      <c r="E18" s="1267"/>
      <c r="F18" s="1662">
        <v>529069.53332918952</v>
      </c>
      <c r="G18" s="1662">
        <v>535682.90249580448</v>
      </c>
      <c r="H18" s="1662">
        <v>542296.27166241931</v>
      </c>
      <c r="I18" s="1662">
        <v>548909.64082903415</v>
      </c>
      <c r="J18" s="1662">
        <v>555523.0099956491</v>
      </c>
      <c r="K18" s="1662">
        <v>562136.37916226394</v>
      </c>
      <c r="L18" s="1662">
        <v>568749.74832887878</v>
      </c>
      <c r="M18" s="1662">
        <v>575363.11749549373</v>
      </c>
      <c r="N18" s="1662">
        <v>581976.48666210857</v>
      </c>
      <c r="O18" s="885"/>
      <c r="P18" s="400"/>
    </row>
    <row r="19" spans="2:16" ht="15.75">
      <c r="B19" s="55"/>
      <c r="C19" s="896">
        <v>4</v>
      </c>
      <c r="D19" s="897" t="s">
        <v>1271</v>
      </c>
      <c r="E19" s="897"/>
      <c r="F19" s="1663">
        <v>0</v>
      </c>
      <c r="G19" s="1663">
        <v>0</v>
      </c>
      <c r="H19" s="1663">
        <v>0</v>
      </c>
      <c r="I19" s="1663">
        <v>0</v>
      </c>
      <c r="J19" s="1663">
        <v>0</v>
      </c>
      <c r="K19" s="1663">
        <v>0</v>
      </c>
      <c r="L19" s="1663">
        <v>0</v>
      </c>
      <c r="M19" s="1663">
        <v>0</v>
      </c>
      <c r="N19" s="1663">
        <v>0</v>
      </c>
      <c r="O19" s="885"/>
      <c r="P19" s="400"/>
    </row>
    <row r="20" spans="2:16" ht="15.75">
      <c r="B20" s="55"/>
      <c r="C20" s="65"/>
      <c r="D20" s="108"/>
      <c r="E20" s="108"/>
      <c r="F20" s="1199"/>
      <c r="G20" s="109"/>
      <c r="H20" s="109"/>
      <c r="I20" s="109"/>
      <c r="J20" s="109"/>
      <c r="K20" s="109"/>
      <c r="L20" s="109"/>
      <c r="M20" s="109"/>
      <c r="N20" s="109"/>
      <c r="O20" s="885"/>
    </row>
    <row r="21" spans="2:16" ht="15.75">
      <c r="B21" s="55"/>
      <c r="C21" s="49" t="s">
        <v>1272</v>
      </c>
      <c r="D21" s="67"/>
      <c r="E21" s="51"/>
      <c r="F21" s="200"/>
      <c r="G21" s="200" t="s">
        <v>5</v>
      </c>
      <c r="H21" s="200"/>
      <c r="I21" s="200"/>
      <c r="J21" s="200"/>
      <c r="K21" s="200"/>
      <c r="L21" s="200"/>
      <c r="M21" s="200"/>
      <c r="N21" s="1664" t="str">
        <f>Preferences.EnergyUnits</f>
        <v>TWh</v>
      </c>
      <c r="O21" s="885"/>
    </row>
    <row r="22" spans="2:16" ht="15.75">
      <c r="B22" s="55"/>
      <c r="C22" s="67"/>
      <c r="D22" s="67"/>
      <c r="E22" s="67"/>
      <c r="F22" s="200"/>
      <c r="G22" s="200"/>
      <c r="H22" s="200"/>
      <c r="I22" s="200"/>
      <c r="J22" s="200"/>
      <c r="K22" s="200"/>
      <c r="L22" s="200"/>
      <c r="M22" s="200"/>
      <c r="N22" s="200"/>
      <c r="O22" s="885"/>
      <c r="P22" t="s">
        <v>5</v>
      </c>
    </row>
    <row r="23" spans="2:16" ht="15.75">
      <c r="B23" s="55"/>
      <c r="C23" s="887" t="s">
        <v>8</v>
      </c>
      <c r="D23" s="887" t="s">
        <v>34</v>
      </c>
      <c r="E23" s="887" t="s">
        <v>30</v>
      </c>
      <c r="F23" s="92">
        <v>2013</v>
      </c>
      <c r="G23" s="92">
        <v>2015</v>
      </c>
      <c r="H23" s="92">
        <v>2020</v>
      </c>
      <c r="I23" s="92">
        <v>2025</v>
      </c>
      <c r="J23" s="92">
        <v>2030</v>
      </c>
      <c r="K23" s="92">
        <v>2035</v>
      </c>
      <c r="L23" s="92">
        <v>2040</v>
      </c>
      <c r="M23" s="92">
        <v>2045</v>
      </c>
      <c r="N23" s="92">
        <v>2050</v>
      </c>
      <c r="O23" s="885"/>
    </row>
    <row r="24" spans="2:16" ht="15.75">
      <c r="B24" s="55"/>
      <c r="C24" s="65">
        <v>1</v>
      </c>
      <c r="D24" s="108" t="s">
        <v>1007</v>
      </c>
      <c r="E24" s="1267"/>
      <c r="F24" s="1665">
        <v>0</v>
      </c>
      <c r="G24" s="1666">
        <v>0</v>
      </c>
      <c r="H24" s="1666">
        <v>0</v>
      </c>
      <c r="I24" s="1666">
        <v>0</v>
      </c>
      <c r="J24" s="1666">
        <v>0</v>
      </c>
      <c r="K24" s="1666">
        <v>0</v>
      </c>
      <c r="L24" s="1666">
        <v>0</v>
      </c>
      <c r="M24" s="1666">
        <v>0</v>
      </c>
      <c r="N24" s="1666">
        <v>0</v>
      </c>
      <c r="O24" s="885"/>
    </row>
    <row r="25" spans="2:16" ht="15.75">
      <c r="B25" s="55"/>
      <c r="C25" s="65">
        <v>2</v>
      </c>
      <c r="D25" s="108" t="s">
        <v>1007</v>
      </c>
      <c r="E25" s="1267"/>
      <c r="F25" s="1665">
        <v>0</v>
      </c>
      <c r="G25" s="1667">
        <v>0</v>
      </c>
      <c r="H25" s="1667">
        <v>0</v>
      </c>
      <c r="I25" s="1667">
        <v>0</v>
      </c>
      <c r="J25" s="1667">
        <v>0</v>
      </c>
      <c r="K25" s="1667">
        <v>0</v>
      </c>
      <c r="L25" s="1667">
        <v>0</v>
      </c>
      <c r="M25" s="1667">
        <v>0</v>
      </c>
      <c r="N25" s="1667">
        <v>0</v>
      </c>
      <c r="O25" s="885"/>
    </row>
    <row r="26" spans="2:16" ht="15.75">
      <c r="B26" s="55"/>
      <c r="C26" s="65">
        <v>3</v>
      </c>
      <c r="D26" s="108" t="s">
        <v>1007</v>
      </c>
      <c r="E26" s="1267"/>
      <c r="F26" s="1665">
        <v>0</v>
      </c>
      <c r="G26" s="1667">
        <v>0</v>
      </c>
      <c r="H26" s="1667">
        <v>0</v>
      </c>
      <c r="I26" s="1667">
        <v>0</v>
      </c>
      <c r="J26" s="1667">
        <v>0</v>
      </c>
      <c r="K26" s="1667">
        <v>0</v>
      </c>
      <c r="L26" s="1667">
        <v>0</v>
      </c>
      <c r="M26" s="1667">
        <v>0</v>
      </c>
      <c r="N26" s="1667">
        <v>0</v>
      </c>
      <c r="O26" s="885"/>
    </row>
    <row r="27" spans="2:16" ht="15.75">
      <c r="B27" s="55"/>
      <c r="C27" s="896">
        <v>4</v>
      </c>
      <c r="D27" s="897" t="s">
        <v>1007</v>
      </c>
      <c r="E27" s="897"/>
      <c r="F27" s="1668">
        <v>0</v>
      </c>
      <c r="G27" s="1669">
        <f>(Unit.TWh)*0.0000089092664092664</f>
        <v>8.9092664092663995E-6</v>
      </c>
      <c r="H27" s="1669">
        <f>(Unit.TWh)*0.0000170656370656371</f>
        <v>1.7065637065637101E-5</v>
      </c>
      <c r="I27" s="1669">
        <f>(Unit.TWh)*0.000024469111969112</f>
        <v>2.4469111969112E-5</v>
      </c>
      <c r="J27" s="1669">
        <f>(Unit.TWh)*0.0000311196911196911</f>
        <v>3.1119691119691097E-5</v>
      </c>
      <c r="K27" s="1669">
        <f>(Unit.TWh)*0.0000370173745173745</f>
        <v>3.7017374517374498E-5</v>
      </c>
      <c r="L27" s="1669">
        <f>(Unit.TWh)*0.0000421621621621622</f>
        <v>4.2162162162162198E-5</v>
      </c>
      <c r="M27" s="1669">
        <f>(Unit.TWh)*0.000046554054054054</f>
        <v>4.6554054054054E-5</v>
      </c>
      <c r="N27" s="1669">
        <f>(Unit.TWh)*0.0000501930501930502</f>
        <v>5.0193050193050202E-5</v>
      </c>
      <c r="O27" s="885"/>
    </row>
    <row r="28" spans="2:16" ht="15.75">
      <c r="B28" s="55"/>
      <c r="C28" s="65"/>
      <c r="D28" s="108"/>
      <c r="E28" s="108"/>
      <c r="F28" s="59"/>
      <c r="G28" s="1226"/>
      <c r="H28" s="1226"/>
      <c r="I28" s="1226"/>
      <c r="J28" s="1226"/>
      <c r="K28" s="1226"/>
      <c r="L28" s="1226"/>
      <c r="M28" s="1226"/>
      <c r="N28" s="1226"/>
      <c r="O28" s="885"/>
    </row>
    <row r="29" spans="2:16" ht="15.75">
      <c r="B29" s="55"/>
      <c r="C29" s="49" t="s">
        <v>3156</v>
      </c>
      <c r="D29" s="67"/>
      <c r="E29" s="51"/>
      <c r="F29" s="67"/>
      <c r="G29" s="67"/>
      <c r="H29" s="67"/>
      <c r="I29" s="67"/>
      <c r="J29" s="67"/>
      <c r="K29" s="67"/>
      <c r="L29" s="67"/>
      <c r="M29" s="67"/>
      <c r="N29" s="51" t="s">
        <v>1273</v>
      </c>
      <c r="O29" s="885"/>
    </row>
    <row r="30" spans="2:16" ht="15.75">
      <c r="B30" s="55"/>
      <c r="C30" s="67"/>
      <c r="D30" s="67"/>
      <c r="E30" s="67"/>
      <c r="F30" s="67"/>
      <c r="G30" s="67"/>
      <c r="H30" s="67"/>
      <c r="I30" s="67"/>
      <c r="J30" s="67"/>
      <c r="K30" s="67"/>
      <c r="L30" s="67"/>
      <c r="M30" s="67"/>
      <c r="N30" s="67"/>
      <c r="O30" s="885"/>
    </row>
    <row r="31" spans="2:16" ht="15.75">
      <c r="B31" s="55"/>
      <c r="C31" s="887" t="s">
        <v>8</v>
      </c>
      <c r="D31" s="887" t="s">
        <v>34</v>
      </c>
      <c r="E31" s="887" t="s">
        <v>30</v>
      </c>
      <c r="F31" s="92">
        <v>2013</v>
      </c>
      <c r="G31" s="92">
        <v>2015</v>
      </c>
      <c r="H31" s="92">
        <v>2020</v>
      </c>
      <c r="I31" s="92">
        <v>2025</v>
      </c>
      <c r="J31" s="92">
        <v>2030</v>
      </c>
      <c r="K31" s="92">
        <v>2035</v>
      </c>
      <c r="L31" s="92">
        <v>2040</v>
      </c>
      <c r="M31" s="92">
        <v>2045</v>
      </c>
      <c r="N31" s="92">
        <v>2050</v>
      </c>
      <c r="O31" s="885"/>
    </row>
    <row r="32" spans="2:16" ht="15.75">
      <c r="B32" s="55"/>
      <c r="C32" s="65">
        <v>1</v>
      </c>
      <c r="D32" s="108" t="s">
        <v>1274</v>
      </c>
      <c r="E32" s="1267"/>
      <c r="F32" s="1670">
        <v>1.9299999999999997E-4</v>
      </c>
      <c r="G32" s="1670">
        <v>2.0096124999999999E-4</v>
      </c>
      <c r="H32" s="1670">
        <v>2.0892249999999998E-4</v>
      </c>
      <c r="I32" s="1670">
        <v>2.1688375E-4</v>
      </c>
      <c r="J32" s="1670">
        <v>2.2484499999999999E-4</v>
      </c>
      <c r="K32" s="1670">
        <v>2.3280624999999998E-4</v>
      </c>
      <c r="L32" s="1670">
        <v>2.4076749999999997E-4</v>
      </c>
      <c r="M32" s="1670">
        <v>2.4872874999999997E-4</v>
      </c>
      <c r="N32" s="1670">
        <v>2.5669000000000001E-4</v>
      </c>
      <c r="O32" s="885"/>
      <c r="P32" s="400"/>
    </row>
    <row r="33" spans="1:16" ht="15.75">
      <c r="B33" s="55"/>
      <c r="C33" s="65">
        <v>2</v>
      </c>
      <c r="D33" s="108" t="s">
        <v>1274</v>
      </c>
      <c r="E33" s="1267"/>
      <c r="F33" s="1670">
        <v>1.93E-4</v>
      </c>
      <c r="G33" s="1670">
        <v>1.9903125000000002E-4</v>
      </c>
      <c r="H33" s="1670">
        <v>2.050625E-4</v>
      </c>
      <c r="I33" s="1670">
        <v>2.1109375000000002E-4</v>
      </c>
      <c r="J33" s="1670">
        <v>2.1712500000000001E-4</v>
      </c>
      <c r="K33" s="1670">
        <v>2.2315625000000002E-4</v>
      </c>
      <c r="L33" s="1670">
        <v>2.2918750000000001E-4</v>
      </c>
      <c r="M33" s="1670">
        <v>2.3521875000000002E-4</v>
      </c>
      <c r="N33" s="1670">
        <v>2.4125000000000001E-4</v>
      </c>
      <c r="O33" s="885"/>
      <c r="P33" s="400"/>
    </row>
    <row r="34" spans="1:16" ht="15.75">
      <c r="B34" s="55"/>
      <c r="C34" s="65">
        <v>3</v>
      </c>
      <c r="D34" s="108" t="s">
        <v>1274</v>
      </c>
      <c r="E34" s="1267"/>
      <c r="F34" s="1670">
        <v>1.9300000000000003E-4</v>
      </c>
      <c r="G34" s="1670">
        <v>1.9541250000000001E-4</v>
      </c>
      <c r="H34" s="1670">
        <v>1.9782500000000002E-4</v>
      </c>
      <c r="I34" s="1670">
        <v>2.0023750000000001E-4</v>
      </c>
      <c r="J34" s="1670">
        <v>2.0265000000000002E-4</v>
      </c>
      <c r="K34" s="1670">
        <v>2.0506250000000003E-4</v>
      </c>
      <c r="L34" s="1670">
        <v>2.0747500000000002E-4</v>
      </c>
      <c r="M34" s="1670">
        <v>2.0988750000000003E-4</v>
      </c>
      <c r="N34" s="1670">
        <v>2.1230000000000001E-4</v>
      </c>
      <c r="O34" s="885"/>
      <c r="P34" s="400"/>
    </row>
    <row r="35" spans="1:16" ht="15.75">
      <c r="B35" s="55"/>
      <c r="C35" s="896">
        <v>4</v>
      </c>
      <c r="D35" s="897" t="s">
        <v>1274</v>
      </c>
      <c r="E35" s="1322"/>
      <c r="F35" s="1671">
        <v>1.93E-4</v>
      </c>
      <c r="G35" s="1671">
        <v>1.9541250000000001E-4</v>
      </c>
      <c r="H35" s="1671">
        <v>1.4475000000000002E-4</v>
      </c>
      <c r="I35" s="1671">
        <v>1.20625E-4</v>
      </c>
      <c r="J35" s="1671">
        <v>9.6500000000000001E-5</v>
      </c>
      <c r="K35" s="1671">
        <v>7.2375000000000011E-5</v>
      </c>
      <c r="L35" s="1671">
        <v>4.8250000000000007E-5</v>
      </c>
      <c r="M35" s="1671">
        <v>2.4125000000000004E-5</v>
      </c>
      <c r="N35" s="1671">
        <v>0</v>
      </c>
      <c r="O35" s="885"/>
      <c r="P35" s="400"/>
    </row>
    <row r="36" spans="1:16">
      <c r="B36" s="45"/>
      <c r="C36" s="65"/>
      <c r="D36" s="108"/>
      <c r="E36" s="108"/>
      <c r="F36" s="76" t="s">
        <v>5</v>
      </c>
      <c r="G36" s="80"/>
      <c r="H36" s="80"/>
      <c r="I36" s="80"/>
      <c r="J36" s="80"/>
      <c r="K36" s="80"/>
      <c r="L36" s="80"/>
      <c r="M36" s="80"/>
      <c r="N36" s="80"/>
      <c r="O36" s="885"/>
    </row>
    <row r="37" spans="1:16">
      <c r="B37" s="45"/>
      <c r="C37" s="49" t="s">
        <v>1275</v>
      </c>
      <c r="D37" s="67"/>
      <c r="E37" s="51"/>
      <c r="F37" s="67"/>
      <c r="G37" s="67"/>
      <c r="H37" s="67"/>
      <c r="I37" s="67"/>
      <c r="J37" s="67"/>
      <c r="K37" s="67"/>
      <c r="L37" s="67"/>
      <c r="M37" s="67"/>
      <c r="N37" s="51" t="s">
        <v>1273</v>
      </c>
      <c r="O37" s="885"/>
    </row>
    <row r="38" spans="1:16">
      <c r="B38" s="45"/>
      <c r="C38" s="67"/>
      <c r="D38" s="67"/>
      <c r="E38" s="67"/>
      <c r="F38" s="67"/>
      <c r="G38" s="67"/>
      <c r="H38" s="67"/>
      <c r="I38" s="67"/>
      <c r="J38" s="67"/>
      <c r="K38" s="67"/>
      <c r="L38" s="67"/>
      <c r="M38" s="67"/>
      <c r="N38" s="67"/>
      <c r="O38" s="885"/>
    </row>
    <row r="39" spans="1:16" ht="15.75">
      <c r="B39" s="55"/>
      <c r="C39" s="887" t="s">
        <v>8</v>
      </c>
      <c r="D39" s="887" t="s">
        <v>34</v>
      </c>
      <c r="E39" s="887" t="s">
        <v>30</v>
      </c>
      <c r="F39" s="92">
        <v>2013</v>
      </c>
      <c r="G39" s="92">
        <v>2015</v>
      </c>
      <c r="H39" s="92">
        <v>2020</v>
      </c>
      <c r="I39" s="92">
        <v>2025</v>
      </c>
      <c r="J39" s="92">
        <v>2030</v>
      </c>
      <c r="K39" s="92">
        <v>2035</v>
      </c>
      <c r="L39" s="92">
        <v>2040</v>
      </c>
      <c r="M39" s="92">
        <v>2045</v>
      </c>
      <c r="N39" s="92">
        <v>2050</v>
      </c>
      <c r="O39" s="885"/>
    </row>
    <row r="40" spans="1:16" ht="15.75">
      <c r="B40" s="55"/>
      <c r="C40" s="65">
        <v>1</v>
      </c>
      <c r="D40" s="108" t="s">
        <v>1007</v>
      </c>
      <c r="E40" s="1267"/>
      <c r="F40" s="1665">
        <v>0</v>
      </c>
      <c r="G40" s="1199">
        <v>0</v>
      </c>
      <c r="H40" s="1199">
        <v>0</v>
      </c>
      <c r="I40" s="1199">
        <v>0</v>
      </c>
      <c r="J40" s="1199">
        <v>0</v>
      </c>
      <c r="K40" s="1199">
        <v>0</v>
      </c>
      <c r="L40" s="1199">
        <v>0</v>
      </c>
      <c r="M40" s="1199">
        <v>0</v>
      </c>
      <c r="N40" s="1199">
        <v>0</v>
      </c>
      <c r="O40" s="885"/>
    </row>
    <row r="41" spans="1:16" ht="15.75">
      <c r="B41" s="55"/>
      <c r="C41" s="65">
        <v>2</v>
      </c>
      <c r="D41" s="108" t="s">
        <v>1007</v>
      </c>
      <c r="E41" s="1267"/>
      <c r="F41" s="1665">
        <v>0</v>
      </c>
      <c r="G41" s="1672">
        <v>0</v>
      </c>
      <c r="H41" s="1672">
        <v>0</v>
      </c>
      <c r="I41" s="1672">
        <v>0</v>
      </c>
      <c r="J41" s="1672">
        <v>0</v>
      </c>
      <c r="K41" s="1672">
        <v>0</v>
      </c>
      <c r="L41" s="1672">
        <v>0</v>
      </c>
      <c r="M41" s="1672">
        <v>0</v>
      </c>
      <c r="N41" s="1672">
        <v>0</v>
      </c>
      <c r="O41" s="885"/>
    </row>
    <row r="42" spans="1:16" ht="15.75">
      <c r="B42" s="55"/>
      <c r="C42" s="65">
        <v>3</v>
      </c>
      <c r="D42" s="108" t="s">
        <v>1007</v>
      </c>
      <c r="E42" s="1267"/>
      <c r="F42" s="1665">
        <v>0</v>
      </c>
      <c r="G42" s="1672">
        <v>0</v>
      </c>
      <c r="H42" s="1672">
        <v>0</v>
      </c>
      <c r="I42" s="1672">
        <v>0</v>
      </c>
      <c r="J42" s="1672">
        <v>0</v>
      </c>
      <c r="K42" s="1672">
        <v>0</v>
      </c>
      <c r="L42" s="1672">
        <v>0</v>
      </c>
      <c r="M42" s="1672">
        <v>0</v>
      </c>
      <c r="N42" s="1672">
        <v>0</v>
      </c>
      <c r="O42" s="885"/>
    </row>
    <row r="43" spans="1:16" ht="15.75">
      <c r="B43" s="55"/>
      <c r="C43" s="896">
        <v>4</v>
      </c>
      <c r="D43" s="897" t="s">
        <v>1007</v>
      </c>
      <c r="E43" s="897"/>
      <c r="F43" s="1671">
        <f>F34-F35</f>
        <v>0</v>
      </c>
      <c r="G43" s="1671">
        <v>0</v>
      </c>
      <c r="H43" s="1671">
        <f t="shared" ref="H43:N43" si="0">H34-H35</f>
        <v>5.3075000000000003E-5</v>
      </c>
      <c r="I43" s="1671">
        <f t="shared" si="0"/>
        <v>7.9612500000000004E-5</v>
      </c>
      <c r="J43" s="1671">
        <f t="shared" si="0"/>
        <v>1.0615000000000002E-4</v>
      </c>
      <c r="K43" s="1671">
        <f t="shared" si="0"/>
        <v>1.3268750000000002E-4</v>
      </c>
      <c r="L43" s="1671">
        <f t="shared" si="0"/>
        <v>1.5922500000000001E-4</v>
      </c>
      <c r="M43" s="1671">
        <f t="shared" si="0"/>
        <v>1.8576250000000002E-4</v>
      </c>
      <c r="N43" s="1671">
        <f t="shared" si="0"/>
        <v>2.1230000000000001E-4</v>
      </c>
      <c r="O43" s="1670"/>
    </row>
    <row r="44" spans="1:16" ht="15.75">
      <c r="A44" s="1673"/>
      <c r="B44" s="1674"/>
      <c r="C44" s="1205"/>
      <c r="D44" s="1206"/>
      <c r="E44" s="1206"/>
      <c r="F44" s="59"/>
      <c r="G44" s="1675"/>
      <c r="H44" s="1675"/>
      <c r="I44" s="1675"/>
      <c r="J44" s="1675"/>
      <c r="K44" s="1675"/>
      <c r="L44" s="1675"/>
      <c r="M44" s="1675"/>
      <c r="N44" s="1675"/>
      <c r="O44" s="885"/>
    </row>
    <row r="45" spans="1:16" ht="15.75">
      <c r="B45" s="55"/>
      <c r="C45" s="49" t="s">
        <v>1276</v>
      </c>
      <c r="D45" s="67"/>
      <c r="E45" s="51"/>
      <c r="F45" s="67"/>
      <c r="G45" s="67"/>
      <c r="H45" s="67"/>
      <c r="I45" s="67"/>
      <c r="J45" s="67"/>
      <c r="K45" s="67"/>
      <c r="L45" s="67"/>
      <c r="M45" s="67"/>
      <c r="N45" s="51" t="s">
        <v>1273</v>
      </c>
      <c r="O45" s="885"/>
    </row>
    <row r="46" spans="1:16" ht="15.75">
      <c r="B46" s="55"/>
      <c r="C46" s="67"/>
      <c r="D46" s="67"/>
      <c r="E46" s="67"/>
      <c r="F46" s="67" t="s">
        <v>5</v>
      </c>
      <c r="G46" s="67"/>
      <c r="H46" s="67"/>
      <c r="I46" s="67"/>
      <c r="J46" s="67"/>
      <c r="K46" s="67"/>
      <c r="L46" s="67"/>
      <c r="M46" s="67"/>
      <c r="N46" s="67"/>
      <c r="O46" s="885"/>
    </row>
    <row r="47" spans="1:16" ht="15.75">
      <c r="B47" s="55"/>
      <c r="C47" s="887" t="s">
        <v>8</v>
      </c>
      <c r="D47" s="887" t="s">
        <v>34</v>
      </c>
      <c r="E47" s="887" t="s">
        <v>30</v>
      </c>
      <c r="F47" s="92">
        <v>2013</v>
      </c>
      <c r="G47" s="92">
        <v>2015</v>
      </c>
      <c r="H47" s="92">
        <v>2020</v>
      </c>
      <c r="I47" s="92">
        <v>2025</v>
      </c>
      <c r="J47" s="92">
        <v>2030</v>
      </c>
      <c r="K47" s="92">
        <v>2035</v>
      </c>
      <c r="L47" s="92">
        <v>2040</v>
      </c>
      <c r="M47" s="92">
        <v>2045</v>
      </c>
      <c r="N47" s="92">
        <v>2050</v>
      </c>
      <c r="O47" s="885"/>
    </row>
    <row r="48" spans="1:16" ht="15.75">
      <c r="B48" s="55"/>
      <c r="C48" s="65">
        <v>1</v>
      </c>
      <c r="D48" s="108" t="s">
        <v>1274</v>
      </c>
      <c r="E48" s="1267"/>
      <c r="F48" s="1676">
        <v>6.2999999999999989</v>
      </c>
      <c r="G48" s="1676">
        <v>6.559874999999999</v>
      </c>
      <c r="H48" s="1676">
        <v>6.8197499999999991</v>
      </c>
      <c r="I48" s="1676">
        <v>7.0796249999999992</v>
      </c>
      <c r="J48" s="1676">
        <v>7.3394999999999992</v>
      </c>
      <c r="K48" s="1676">
        <v>7.5993749999999984</v>
      </c>
      <c r="L48" s="1676">
        <v>7.8592499999999994</v>
      </c>
      <c r="M48" s="1676">
        <v>8.1191249999999986</v>
      </c>
      <c r="N48" s="1676">
        <v>8.3789999999999996</v>
      </c>
      <c r="O48" s="885"/>
      <c r="P48" s="400"/>
    </row>
    <row r="49" spans="2:18" ht="15.75">
      <c r="B49" s="55"/>
      <c r="C49" s="65">
        <v>2</v>
      </c>
      <c r="D49" s="108" t="s">
        <v>1274</v>
      </c>
      <c r="E49" s="1267"/>
      <c r="F49" s="1676">
        <v>6.3000000000000007</v>
      </c>
      <c r="G49" s="1676">
        <v>6.5125000000000002</v>
      </c>
      <c r="H49" s="1676">
        <v>6.7250000000000005</v>
      </c>
      <c r="I49" s="1676">
        <v>6.9375000000000009</v>
      </c>
      <c r="J49" s="1676">
        <v>7.15</v>
      </c>
      <c r="K49" s="1676">
        <v>7.3625000000000007</v>
      </c>
      <c r="L49" s="1676">
        <v>7.5750000000000011</v>
      </c>
      <c r="M49" s="1676">
        <v>7.7875000000000005</v>
      </c>
      <c r="N49" s="1676">
        <v>7.875</v>
      </c>
      <c r="O49" s="885"/>
      <c r="P49" s="400"/>
    </row>
    <row r="50" spans="2:18" ht="15.75">
      <c r="B50" s="55"/>
      <c r="C50" s="65">
        <v>3</v>
      </c>
      <c r="D50" s="108" t="s">
        <v>1274</v>
      </c>
      <c r="E50" s="1267"/>
      <c r="F50" s="1677">
        <v>6.3000000000000007</v>
      </c>
      <c r="G50" s="1677">
        <v>6.3875000000000002</v>
      </c>
      <c r="H50" s="1677">
        <v>6.4750000000000005</v>
      </c>
      <c r="I50" s="1677">
        <v>6.5625</v>
      </c>
      <c r="J50" s="1677">
        <v>6.65</v>
      </c>
      <c r="K50" s="1677">
        <v>6.7375000000000007</v>
      </c>
      <c r="L50" s="1677">
        <v>6.8250000000000002</v>
      </c>
      <c r="M50" s="1677">
        <v>6.9125000000000005</v>
      </c>
      <c r="N50" s="1677">
        <v>6.93</v>
      </c>
      <c r="O50" s="885"/>
      <c r="P50" s="400"/>
    </row>
    <row r="51" spans="2:18" ht="15.75">
      <c r="B51" s="55"/>
      <c r="C51" s="896">
        <v>4</v>
      </c>
      <c r="D51" s="897" t="s">
        <v>1274</v>
      </c>
      <c r="E51" s="897"/>
      <c r="F51" s="1678">
        <v>6.3000000000000007</v>
      </c>
      <c r="G51" s="1678">
        <v>6.3025000000000002</v>
      </c>
      <c r="H51" s="1678">
        <v>6.3050000000000006</v>
      </c>
      <c r="I51" s="1678">
        <v>6.3075000000000001</v>
      </c>
      <c r="J51" s="1678">
        <v>6.3100000000000005</v>
      </c>
      <c r="K51" s="1678">
        <v>6.3125000000000009</v>
      </c>
      <c r="L51" s="1678">
        <v>6.3150000000000004</v>
      </c>
      <c r="M51" s="1678">
        <v>6.3175000000000008</v>
      </c>
      <c r="N51" s="1678">
        <v>6.3200000000000012</v>
      </c>
      <c r="O51" s="885"/>
      <c r="P51" s="400"/>
    </row>
    <row r="52" spans="2:18">
      <c r="B52" s="45"/>
      <c r="C52" s="65"/>
      <c r="D52" s="108"/>
      <c r="E52" s="108"/>
      <c r="F52" s="76"/>
      <c r="G52" s="80"/>
      <c r="H52" s="80"/>
      <c r="I52" s="80"/>
      <c r="J52" s="80"/>
      <c r="K52" s="80"/>
      <c r="L52" s="80"/>
      <c r="M52" s="80"/>
      <c r="N52" s="80"/>
      <c r="O52" s="885"/>
      <c r="Q52" s="3936" t="s">
        <v>5</v>
      </c>
      <c r="R52" t="s">
        <v>5</v>
      </c>
    </row>
    <row r="53" spans="2:18">
      <c r="B53" s="45"/>
      <c r="C53" s="49" t="s">
        <v>1277</v>
      </c>
      <c r="D53" s="67"/>
      <c r="E53" s="51"/>
      <c r="F53" s="67"/>
      <c r="G53" s="67"/>
      <c r="H53" s="67"/>
      <c r="I53" s="67"/>
      <c r="J53" s="67"/>
      <c r="K53" s="67"/>
      <c r="L53" s="67"/>
      <c r="M53" s="67"/>
      <c r="N53" s="51" t="s">
        <v>1273</v>
      </c>
      <c r="O53" s="885"/>
    </row>
    <row r="54" spans="2:18">
      <c r="B54" s="45"/>
      <c r="C54" s="67"/>
      <c r="D54" s="67"/>
      <c r="E54" s="67"/>
      <c r="F54" s="67"/>
      <c r="G54" s="67"/>
      <c r="H54" s="67"/>
      <c r="I54" s="67"/>
      <c r="J54" s="67"/>
      <c r="K54" s="67"/>
      <c r="L54" s="67"/>
      <c r="M54" s="67"/>
      <c r="N54" s="67"/>
      <c r="O54" s="885"/>
    </row>
    <row r="55" spans="2:18" ht="15.75">
      <c r="B55" s="55"/>
      <c r="C55" s="887" t="s">
        <v>8</v>
      </c>
      <c r="D55" s="887" t="s">
        <v>34</v>
      </c>
      <c r="E55" s="887" t="s">
        <v>30</v>
      </c>
      <c r="F55" s="92">
        <v>2013</v>
      </c>
      <c r="G55" s="92">
        <v>2015</v>
      </c>
      <c r="H55" s="92">
        <v>2020</v>
      </c>
      <c r="I55" s="92">
        <v>2025</v>
      </c>
      <c r="J55" s="92">
        <v>2030</v>
      </c>
      <c r="K55" s="92">
        <v>2035</v>
      </c>
      <c r="L55" s="92">
        <v>2040</v>
      </c>
      <c r="M55" s="92">
        <v>2045</v>
      </c>
      <c r="N55" s="92">
        <v>2050</v>
      </c>
      <c r="O55" s="885"/>
    </row>
    <row r="56" spans="2:18" ht="15.75">
      <c r="B56" s="55"/>
      <c r="C56" s="65">
        <v>1</v>
      </c>
      <c r="D56" s="108" t="s">
        <v>1007</v>
      </c>
      <c r="E56" s="1267"/>
      <c r="F56" s="1676">
        <v>0</v>
      </c>
      <c r="G56" s="59">
        <v>0</v>
      </c>
      <c r="H56" s="59">
        <v>0</v>
      </c>
      <c r="I56" s="59">
        <v>0</v>
      </c>
      <c r="J56" s="59">
        <v>0</v>
      </c>
      <c r="K56" s="59">
        <v>0</v>
      </c>
      <c r="L56" s="59">
        <v>0</v>
      </c>
      <c r="M56" s="59">
        <v>0</v>
      </c>
      <c r="N56" s="59">
        <v>0</v>
      </c>
      <c r="O56" s="885"/>
    </row>
    <row r="57" spans="2:18" ht="15.75">
      <c r="B57" s="55"/>
      <c r="C57" s="65">
        <v>2</v>
      </c>
      <c r="D57" s="108" t="s">
        <v>1007</v>
      </c>
      <c r="E57" s="1267"/>
      <c r="F57" s="1676">
        <v>0</v>
      </c>
      <c r="G57" s="60">
        <v>0</v>
      </c>
      <c r="H57" s="59">
        <v>0</v>
      </c>
      <c r="I57" s="60">
        <v>0</v>
      </c>
      <c r="J57" s="59">
        <v>0</v>
      </c>
      <c r="K57" s="60">
        <v>0</v>
      </c>
      <c r="L57" s="59">
        <v>0</v>
      </c>
      <c r="M57" s="59">
        <v>0</v>
      </c>
      <c r="N57" s="59">
        <v>0</v>
      </c>
      <c r="O57" s="885"/>
    </row>
    <row r="58" spans="2:18" ht="15.75">
      <c r="B58" s="55"/>
      <c r="C58" s="65">
        <v>3</v>
      </c>
      <c r="D58" s="108" t="s">
        <v>1007</v>
      </c>
      <c r="E58" s="1267"/>
      <c r="F58" s="1677">
        <v>0</v>
      </c>
      <c r="G58" s="60">
        <v>0</v>
      </c>
      <c r="H58" s="60">
        <v>0</v>
      </c>
      <c r="I58" s="60">
        <v>0</v>
      </c>
      <c r="J58" s="60">
        <v>0</v>
      </c>
      <c r="K58" s="60">
        <v>0</v>
      </c>
      <c r="L58" s="60">
        <v>0</v>
      </c>
      <c r="M58" s="60">
        <v>0</v>
      </c>
      <c r="N58" s="60">
        <v>0</v>
      </c>
      <c r="O58" s="885"/>
    </row>
    <row r="59" spans="2:18" ht="15.75">
      <c r="B59" s="55"/>
      <c r="C59" s="896">
        <v>4</v>
      </c>
      <c r="D59" s="897" t="s">
        <v>1007</v>
      </c>
      <c r="E59" s="897"/>
      <c r="F59" s="1678">
        <v>0</v>
      </c>
      <c r="G59" s="907">
        <v>0</v>
      </c>
      <c r="H59" s="907">
        <v>0</v>
      </c>
      <c r="I59" s="907">
        <v>0</v>
      </c>
      <c r="J59" s="907">
        <v>0</v>
      </c>
      <c r="K59" s="907">
        <v>0</v>
      </c>
      <c r="L59" s="907">
        <v>0</v>
      </c>
      <c r="M59" s="907">
        <v>0</v>
      </c>
      <c r="N59" s="907">
        <v>0</v>
      </c>
      <c r="O59" s="885"/>
    </row>
    <row r="60" spans="2:18" ht="15.75">
      <c r="B60" s="55"/>
      <c r="C60" s="65"/>
      <c r="D60" s="108"/>
      <c r="E60" s="108"/>
      <c r="F60" s="1677"/>
      <c r="G60" s="60"/>
      <c r="H60" s="60"/>
      <c r="I60" s="60"/>
      <c r="J60" s="60"/>
      <c r="K60" s="60"/>
      <c r="L60" s="60"/>
      <c r="M60" s="60"/>
      <c r="N60" s="60"/>
      <c r="O60" s="885"/>
    </row>
    <row r="61" spans="2:18">
      <c r="B61" s="45"/>
      <c r="C61" s="49" t="s">
        <v>1882</v>
      </c>
      <c r="D61" s="67"/>
      <c r="E61" s="51"/>
      <c r="F61" s="67"/>
      <c r="G61" s="67"/>
      <c r="H61" s="67"/>
      <c r="I61" s="67"/>
      <c r="J61" s="67"/>
      <c r="K61" s="67"/>
      <c r="L61" s="67"/>
      <c r="M61" s="67"/>
      <c r="N61" s="51" t="str">
        <f>Preferences.EnergyUnits &amp; " / bn vehicle-km"</f>
        <v>TWh / bn vehicle-km</v>
      </c>
      <c r="O61" s="885"/>
    </row>
    <row r="62" spans="2:18">
      <c r="B62" s="45"/>
      <c r="C62" s="67"/>
      <c r="D62" s="67"/>
      <c r="E62" s="67"/>
      <c r="F62" s="67"/>
      <c r="G62" s="67"/>
      <c r="H62" s="67"/>
      <c r="I62" s="67"/>
      <c r="J62" s="67"/>
      <c r="K62" s="67"/>
      <c r="L62" s="67"/>
      <c r="M62" s="67"/>
      <c r="N62" s="67"/>
      <c r="O62" s="885"/>
    </row>
    <row r="63" spans="2:18" ht="15.75">
      <c r="B63" s="55"/>
      <c r="C63" s="887" t="s">
        <v>8</v>
      </c>
      <c r="D63" s="887" t="s">
        <v>34</v>
      </c>
      <c r="E63" s="887" t="s">
        <v>30</v>
      </c>
      <c r="F63" s="92">
        <v>2013</v>
      </c>
      <c r="G63" s="92">
        <v>2015</v>
      </c>
      <c r="H63" s="92">
        <v>2020</v>
      </c>
      <c r="I63" s="92">
        <v>2025</v>
      </c>
      <c r="J63" s="92">
        <v>2030</v>
      </c>
      <c r="K63" s="92">
        <v>2035</v>
      </c>
      <c r="L63" s="92">
        <v>2040</v>
      </c>
      <c r="M63" s="92">
        <v>2045</v>
      </c>
      <c r="N63" s="92">
        <v>2050</v>
      </c>
      <c r="O63" s="885"/>
    </row>
    <row r="64" spans="2:18" ht="15.75">
      <c r="B64" s="55"/>
      <c r="C64" s="65">
        <v>1</v>
      </c>
      <c r="D64" s="108" t="s">
        <v>1271</v>
      </c>
      <c r="E64" s="1267"/>
      <c r="F64" s="1679">
        <f>Unit.TWh*2.45</f>
        <v>2.4500000000000002</v>
      </c>
      <c r="G64" s="1679">
        <f>Unit.TWh*2.40125</f>
        <v>2.4012500000000001</v>
      </c>
      <c r="H64" s="1679">
        <f>Unit.TWh*2.3525</f>
        <v>2.3525</v>
      </c>
      <c r="I64" s="1679">
        <f>Unit.TWh*2.30375</f>
        <v>2.30375</v>
      </c>
      <c r="J64" s="1679">
        <f>Unit.TWh*2.255</f>
        <v>2.2549999999999999</v>
      </c>
      <c r="K64" s="1679">
        <f>Unit.TWh*2.20625</f>
        <v>2.2062499999999998</v>
      </c>
      <c r="L64" s="1679">
        <f>Unit.TWh*2.1575</f>
        <v>2.1575000000000002</v>
      </c>
      <c r="M64" s="1679">
        <f>Unit.TWh*2.10875</f>
        <v>2.1087500000000001</v>
      </c>
      <c r="N64" s="1679">
        <f>Unit.TWh*2.06</f>
        <v>2.06</v>
      </c>
      <c r="O64" s="885"/>
      <c r="P64" s="400"/>
    </row>
    <row r="65" spans="2:16" ht="15.75">
      <c r="B65" s="55"/>
      <c r="C65" s="65">
        <v>2</v>
      </c>
      <c r="D65" s="108" t="s">
        <v>1271</v>
      </c>
      <c r="E65" s="1267"/>
      <c r="F65" s="1679">
        <f>Unit.TWh*2.45</f>
        <v>2.4500000000000002</v>
      </c>
      <c r="G65" s="1566">
        <f>Unit.TWh*2.352</f>
        <v>2.3519999999999999</v>
      </c>
      <c r="H65" s="1566">
        <f>Unit.TWh*2.254</f>
        <v>2.254</v>
      </c>
      <c r="I65" s="1566">
        <f>Unit.TWh*2.156</f>
        <v>2.1560000000000001</v>
      </c>
      <c r="J65" s="1566">
        <f>Unit.TWh*2.058</f>
        <v>2.0579999999999998</v>
      </c>
      <c r="K65" s="1566">
        <f>Unit.TWh*1.96</f>
        <v>1.96</v>
      </c>
      <c r="L65" s="1566">
        <f>Unit.TWh*1.96</f>
        <v>1.96</v>
      </c>
      <c r="M65" s="1566">
        <f>Unit.TWh*1.96</f>
        <v>1.96</v>
      </c>
      <c r="N65" s="1566">
        <f>Unit.TWh*1.96</f>
        <v>1.96</v>
      </c>
      <c r="O65" s="885"/>
      <c r="P65" s="400"/>
    </row>
    <row r="66" spans="2:16" ht="15.75">
      <c r="B66" s="55"/>
      <c r="C66" s="65">
        <v>3</v>
      </c>
      <c r="D66" s="108" t="s">
        <v>1271</v>
      </c>
      <c r="E66" s="1267"/>
      <c r="F66" s="1679">
        <f>Unit.TWh*2.45</f>
        <v>2.4500000000000002</v>
      </c>
      <c r="G66" s="1566">
        <f>Unit.TWh*2.254</f>
        <v>2.254</v>
      </c>
      <c r="H66" s="1566">
        <f>Unit.TWh*2.058</f>
        <v>2.0579999999999998</v>
      </c>
      <c r="I66" s="1566">
        <f>Unit.TWh*1.862</f>
        <v>1.8620000000000001</v>
      </c>
      <c r="J66" s="1566">
        <f>Unit.TWh*1.666</f>
        <v>1.6659999999999999</v>
      </c>
      <c r="K66" s="1566">
        <f>Unit.TWh*1.47</f>
        <v>1.47</v>
      </c>
      <c r="L66" s="1566">
        <f>Unit.TWh*1.47</f>
        <v>1.47</v>
      </c>
      <c r="M66" s="1566">
        <f>Unit.TWh*1.47</f>
        <v>1.47</v>
      </c>
      <c r="N66" s="1566">
        <f>Unit.TWh*1.47</f>
        <v>1.47</v>
      </c>
      <c r="O66" s="885"/>
      <c r="P66" s="400"/>
    </row>
    <row r="67" spans="2:16" ht="15.75">
      <c r="B67" s="55"/>
      <c r="C67" s="896">
        <v>4</v>
      </c>
      <c r="D67" s="897" t="s">
        <v>1271</v>
      </c>
      <c r="E67" s="897"/>
      <c r="F67" s="3855">
        <f>Unit.TWh*2.45</f>
        <v>2.4500000000000002</v>
      </c>
      <c r="G67" s="1682">
        <f>Unit.TWh*2.254</f>
        <v>2.254</v>
      </c>
      <c r="H67" s="1682">
        <f>Unit.TWh*2.058</f>
        <v>2.0579999999999998</v>
      </c>
      <c r="I67" s="1682">
        <f>Unit.TWh*1.862</f>
        <v>1.8620000000000001</v>
      </c>
      <c r="J67" s="1682">
        <f>Unit.TWh*1.666</f>
        <v>1.6659999999999999</v>
      </c>
      <c r="K67" s="1682">
        <f>Unit.TWh*1.47</f>
        <v>1.47</v>
      </c>
      <c r="L67" s="1682">
        <f>Unit.TWh*1.38833333333333</f>
        <v>1.3883333333333301</v>
      </c>
      <c r="M67" s="1682">
        <f>Unit.TWh*1.30666666666667</f>
        <v>1.30666666666667</v>
      </c>
      <c r="N67" s="1682">
        <f>Unit.TWh*1.225</f>
        <v>1.2250000000000001</v>
      </c>
      <c r="O67" s="885"/>
      <c r="P67" s="400"/>
    </row>
    <row r="68" spans="2:16">
      <c r="B68" s="45"/>
      <c r="C68" s="65"/>
      <c r="D68" s="108"/>
      <c r="E68" s="108"/>
      <c r="F68" s="76"/>
      <c r="G68" s="80"/>
      <c r="H68" s="80"/>
      <c r="I68" s="80"/>
      <c r="J68" s="80"/>
      <c r="K68" s="80"/>
      <c r="L68" s="80"/>
      <c r="M68" s="80"/>
      <c r="N68" s="80"/>
      <c r="O68" s="885"/>
    </row>
    <row r="69" spans="2:16">
      <c r="B69" s="45"/>
      <c r="C69" s="49" t="s">
        <v>1881</v>
      </c>
      <c r="D69" s="67"/>
      <c r="E69" s="51"/>
      <c r="F69" s="67"/>
      <c r="G69" s="67" t="s">
        <v>5</v>
      </c>
      <c r="H69" s="67" t="s">
        <v>5</v>
      </c>
      <c r="I69" s="67"/>
      <c r="J69" s="67"/>
      <c r="K69" s="67"/>
      <c r="L69" s="67"/>
      <c r="M69" s="67"/>
      <c r="N69" s="51" t="str">
        <f>Preferences.EnergyUnits &amp; " / bn vehicle-km"</f>
        <v>TWh / bn vehicle-km</v>
      </c>
      <c r="O69" s="885"/>
    </row>
    <row r="70" spans="2:16">
      <c r="B70" s="45"/>
      <c r="C70" s="67"/>
      <c r="D70" s="67"/>
      <c r="E70" s="67"/>
      <c r="F70" s="67"/>
      <c r="G70" s="67"/>
      <c r="H70" s="67"/>
      <c r="I70" s="67"/>
      <c r="J70" s="67"/>
      <c r="K70" s="67"/>
      <c r="L70" s="67"/>
      <c r="M70" s="67"/>
      <c r="N70" s="67"/>
      <c r="O70" s="885"/>
    </row>
    <row r="71" spans="2:16" ht="15.75">
      <c r="B71" s="55"/>
      <c r="C71" s="887" t="s">
        <v>8</v>
      </c>
      <c r="D71" s="887" t="s">
        <v>34</v>
      </c>
      <c r="E71" s="887" t="s">
        <v>30</v>
      </c>
      <c r="F71" s="92">
        <v>2013</v>
      </c>
      <c r="G71" s="92">
        <v>2015</v>
      </c>
      <c r="H71" s="92">
        <v>2020</v>
      </c>
      <c r="I71" s="92">
        <v>2025</v>
      </c>
      <c r="J71" s="92">
        <v>2030</v>
      </c>
      <c r="K71" s="92">
        <v>2035</v>
      </c>
      <c r="L71" s="92">
        <v>2040</v>
      </c>
      <c r="M71" s="92">
        <v>2045</v>
      </c>
      <c r="N71" s="92">
        <v>2050</v>
      </c>
      <c r="O71" s="885"/>
    </row>
    <row r="72" spans="2:16" ht="15.75">
      <c r="B72" s="55"/>
      <c r="C72" s="65">
        <v>1</v>
      </c>
      <c r="D72" s="108" t="s">
        <v>1007</v>
      </c>
      <c r="E72" s="1267"/>
      <c r="F72" s="1679"/>
      <c r="G72" s="3856">
        <f>Unit.TWh*0.670516080235401</f>
        <v>0.67051608023540099</v>
      </c>
      <c r="H72" s="3856">
        <f>Unit.TWh*0.570138629864478</f>
        <v>0.57013862986447805</v>
      </c>
      <c r="I72" s="3856">
        <f>Unit.TWh*0.469761179493555</f>
        <v>0.469761179493555</v>
      </c>
      <c r="J72" s="3856">
        <f>Unit.TWh*0.369383729122633</f>
        <v>0.36938372912263301</v>
      </c>
      <c r="K72" s="3856">
        <f>Unit.TWh*0.356592792904803</f>
        <v>0.356592792904803</v>
      </c>
      <c r="L72" s="3856">
        <f>Unit.TWh*0.343801856686974</f>
        <v>0.34380185668697399</v>
      </c>
      <c r="M72" s="3856">
        <f>Unit.TWh*0.33104397198392</f>
        <v>0.33104397198391999</v>
      </c>
      <c r="N72" s="3856">
        <f>Unit.TWh*0.318286087280865</f>
        <v>0.31828608728086499</v>
      </c>
      <c r="O72" s="885"/>
    </row>
    <row r="73" spans="2:16" ht="15.75">
      <c r="B73" s="55"/>
      <c r="C73" s="65">
        <v>2</v>
      </c>
      <c r="D73" s="108" t="s">
        <v>1007</v>
      </c>
      <c r="E73" s="1267"/>
      <c r="F73" s="1679"/>
      <c r="G73" s="3857">
        <f>Unit.TWh*0.670516080235401</f>
        <v>0.67051608023540099</v>
      </c>
      <c r="H73" s="3856">
        <f>Unit.TWh*0.570138629864478</f>
        <v>0.57013862986447805</v>
      </c>
      <c r="I73" s="3857">
        <f>Unit.TWh*0.469761179493555</f>
        <v>0.469761179493555</v>
      </c>
      <c r="J73" s="3856">
        <f>Unit.TWh*0.369383729122633</f>
        <v>0.36938372912263301</v>
      </c>
      <c r="K73" s="3857">
        <f>Unit.TWh*0.356592792904803</f>
        <v>0.356592792904803</v>
      </c>
      <c r="L73" s="3856">
        <f>Unit.TWh*0.343801856686974</f>
        <v>0.34380185668697399</v>
      </c>
      <c r="M73" s="3856">
        <f>Unit.TWh*0.33104397198392</f>
        <v>0.33104397198391999</v>
      </c>
      <c r="N73" s="3856">
        <f>Unit.TWh*0.318286087280865</f>
        <v>0.31828608728086499</v>
      </c>
      <c r="O73" s="885"/>
    </row>
    <row r="74" spans="2:16" ht="15.75">
      <c r="B74" s="55"/>
      <c r="C74" s="65">
        <v>3</v>
      </c>
      <c r="D74" s="108" t="s">
        <v>1007</v>
      </c>
      <c r="E74" s="1267"/>
      <c r="F74" s="1680"/>
      <c r="G74" s="3857">
        <f>Unit.TWh*0.670516080235401</f>
        <v>0.67051608023540099</v>
      </c>
      <c r="H74" s="3857">
        <f>Unit.TWh*0.570138629864478</f>
        <v>0.57013862986447805</v>
      </c>
      <c r="I74" s="3857">
        <f>Unit.TWh*0.469761179493555</f>
        <v>0.469761179493555</v>
      </c>
      <c r="J74" s="3857">
        <f>Unit.TWh*0.369383729122633</f>
        <v>0.36938372912263301</v>
      </c>
      <c r="K74" s="3857">
        <f>Unit.TWh*0.356592792904803</f>
        <v>0.356592792904803</v>
      </c>
      <c r="L74" s="3857">
        <f>Unit.TWh*0.343801856686974</f>
        <v>0.34380185668697399</v>
      </c>
      <c r="M74" s="3857">
        <f>Unit.TWh*0.33104397198392</f>
        <v>0.33104397198391999</v>
      </c>
      <c r="N74" s="3857">
        <f>Unit.TWh*0.318286087280865</f>
        <v>0.31828608728086499</v>
      </c>
      <c r="O74" s="885"/>
    </row>
    <row r="75" spans="2:16" ht="15.75">
      <c r="B75" s="55"/>
      <c r="C75" s="896">
        <v>4</v>
      </c>
      <c r="D75" s="897" t="s">
        <v>1007</v>
      </c>
      <c r="E75" s="897"/>
      <c r="F75" s="1681"/>
      <c r="G75" s="3858">
        <f>Unit.TWh*0.670516080235401</f>
        <v>0.67051608023540099</v>
      </c>
      <c r="H75" s="3858">
        <f>Unit.TWh*0.570138629864478</f>
        <v>0.57013862986447805</v>
      </c>
      <c r="I75" s="3858">
        <f>Unit.TWh*0.469761179493555</f>
        <v>0.469761179493555</v>
      </c>
      <c r="J75" s="3858">
        <f>Unit.TWh*0.369383729122633</f>
        <v>0.36938372912263301</v>
      </c>
      <c r="K75" s="3858">
        <f>Unit.TWh*0.356592792904803</f>
        <v>0.356592792904803</v>
      </c>
      <c r="L75" s="3858">
        <f>Unit.TWh*0.343801856686974</f>
        <v>0.34380185668697399</v>
      </c>
      <c r="M75" s="3858">
        <f>Unit.TWh*0.33104397198392</f>
        <v>0.33104397198391999</v>
      </c>
      <c r="N75" s="3858">
        <f>Unit.TWh*0.318286087280865</f>
        <v>0.31828608728086499</v>
      </c>
      <c r="O75" s="885"/>
    </row>
    <row r="76" spans="2:16" ht="15.75">
      <c r="B76" s="55"/>
      <c r="C76" s="65"/>
      <c r="D76" s="108"/>
      <c r="E76" s="108"/>
      <c r="F76" s="1680"/>
      <c r="G76" s="895"/>
      <c r="H76" s="895"/>
      <c r="I76" s="895"/>
      <c r="J76" s="895"/>
      <c r="K76" s="895"/>
      <c r="L76" s="895"/>
      <c r="M76" s="895"/>
      <c r="N76" s="895"/>
      <c r="O76" s="885"/>
    </row>
    <row r="77" spans="2:16">
      <c r="B77" s="45"/>
      <c r="C77" s="49" t="s">
        <v>1278</v>
      </c>
      <c r="D77" s="67"/>
      <c r="E77" s="51"/>
      <c r="F77" s="67"/>
      <c r="G77" s="67"/>
      <c r="H77" s="67"/>
      <c r="I77" s="67"/>
      <c r="J77" s="67"/>
      <c r="K77" s="67"/>
      <c r="L77" s="67"/>
      <c r="M77" s="67"/>
      <c r="N77" s="51" t="str">
        <f>Preferences.EnergyUnits</f>
        <v>TWh</v>
      </c>
      <c r="O77" s="885"/>
    </row>
    <row r="78" spans="2:16">
      <c r="B78" s="45"/>
      <c r="C78" s="67"/>
      <c r="D78" s="67"/>
      <c r="E78" s="67"/>
      <c r="F78" s="67"/>
      <c r="G78" s="67"/>
      <c r="H78" s="67"/>
      <c r="I78" s="67"/>
      <c r="J78" s="67"/>
      <c r="K78" s="67"/>
      <c r="L78" s="67"/>
      <c r="M78" s="67"/>
      <c r="N78" s="67"/>
      <c r="O78" s="885"/>
    </row>
    <row r="79" spans="2:16" ht="15.75">
      <c r="B79" s="55"/>
      <c r="C79" s="887" t="s">
        <v>8</v>
      </c>
      <c r="D79" s="887" t="s">
        <v>34</v>
      </c>
      <c r="E79" s="887" t="s">
        <v>30</v>
      </c>
      <c r="F79" s="92">
        <v>2013</v>
      </c>
      <c r="G79" s="92">
        <v>2015</v>
      </c>
      <c r="H79" s="92">
        <v>2020</v>
      </c>
      <c r="I79" s="92">
        <v>2025</v>
      </c>
      <c r="J79" s="92">
        <v>2030</v>
      </c>
      <c r="K79" s="92">
        <v>2035</v>
      </c>
      <c r="L79" s="92">
        <v>2040</v>
      </c>
      <c r="M79" s="92">
        <v>2045</v>
      </c>
      <c r="N79" s="92">
        <v>2050</v>
      </c>
      <c r="O79" s="885"/>
    </row>
    <row r="80" spans="2:16" ht="15.75">
      <c r="B80" s="55"/>
      <c r="C80" s="65">
        <v>1</v>
      </c>
      <c r="D80" s="108" t="s">
        <v>1271</v>
      </c>
      <c r="E80" s="1267"/>
      <c r="F80" s="1676">
        <f t="shared" ref="F80:N83" si="1">(Unit.TWh)*0.66</f>
        <v>0.66</v>
      </c>
      <c r="G80" s="1493">
        <f t="shared" si="1"/>
        <v>0.66</v>
      </c>
      <c r="H80" s="1493">
        <f t="shared" si="1"/>
        <v>0.66</v>
      </c>
      <c r="I80" s="1493">
        <f t="shared" si="1"/>
        <v>0.66</v>
      </c>
      <c r="J80" s="1493">
        <f t="shared" si="1"/>
        <v>0.66</v>
      </c>
      <c r="K80" s="1493">
        <f t="shared" si="1"/>
        <v>0.66</v>
      </c>
      <c r="L80" s="1493">
        <f t="shared" si="1"/>
        <v>0.66</v>
      </c>
      <c r="M80" s="1493">
        <f t="shared" si="1"/>
        <v>0.66</v>
      </c>
      <c r="N80" s="1493">
        <f t="shared" si="1"/>
        <v>0.66</v>
      </c>
      <c r="O80" s="885"/>
    </row>
    <row r="81" spans="1:18" ht="15.75">
      <c r="B81" s="55"/>
      <c r="C81" s="65">
        <v>2</v>
      </c>
      <c r="D81" s="108" t="s">
        <v>1271</v>
      </c>
      <c r="E81" s="1267"/>
      <c r="F81" s="1676">
        <f t="shared" si="1"/>
        <v>0.66</v>
      </c>
      <c r="G81" s="1493">
        <f t="shared" si="1"/>
        <v>0.66</v>
      </c>
      <c r="H81" s="1493">
        <f t="shared" si="1"/>
        <v>0.66</v>
      </c>
      <c r="I81" s="1493">
        <f t="shared" si="1"/>
        <v>0.66</v>
      </c>
      <c r="J81" s="1493">
        <f t="shared" si="1"/>
        <v>0.66</v>
      </c>
      <c r="K81" s="1493">
        <f t="shared" si="1"/>
        <v>0.66</v>
      </c>
      <c r="L81" s="1493">
        <f t="shared" si="1"/>
        <v>0.66</v>
      </c>
      <c r="M81" s="1493">
        <f t="shared" si="1"/>
        <v>0.66</v>
      </c>
      <c r="N81" s="1493">
        <f t="shared" si="1"/>
        <v>0.66</v>
      </c>
      <c r="O81" s="885"/>
    </row>
    <row r="82" spans="1:18" ht="15.75">
      <c r="B82" s="55"/>
      <c r="C82" s="65">
        <v>3</v>
      </c>
      <c r="D82" s="108" t="s">
        <v>1271</v>
      </c>
      <c r="E82" s="1267"/>
      <c r="F82" s="1677">
        <f t="shared" si="1"/>
        <v>0.66</v>
      </c>
      <c r="G82" s="1492">
        <f t="shared" si="1"/>
        <v>0.66</v>
      </c>
      <c r="H82" s="1492">
        <f t="shared" si="1"/>
        <v>0.66</v>
      </c>
      <c r="I82" s="1492">
        <f t="shared" si="1"/>
        <v>0.66</v>
      </c>
      <c r="J82" s="1492">
        <f t="shared" si="1"/>
        <v>0.66</v>
      </c>
      <c r="K82" s="1492">
        <f t="shared" si="1"/>
        <v>0.66</v>
      </c>
      <c r="L82" s="1492">
        <f t="shared" si="1"/>
        <v>0.66</v>
      </c>
      <c r="M82" s="1492">
        <f t="shared" si="1"/>
        <v>0.66</v>
      </c>
      <c r="N82" s="1492">
        <f t="shared" si="1"/>
        <v>0.66</v>
      </c>
      <c r="O82" s="885"/>
    </row>
    <row r="83" spans="1:18" ht="15.75">
      <c r="B83" s="55"/>
      <c r="C83" s="896">
        <v>4</v>
      </c>
      <c r="D83" s="897" t="s">
        <v>1271</v>
      </c>
      <c r="E83" s="897"/>
      <c r="F83" s="1678">
        <f t="shared" si="1"/>
        <v>0.66</v>
      </c>
      <c r="G83" s="1683">
        <f t="shared" si="1"/>
        <v>0.66</v>
      </c>
      <c r="H83" s="1683">
        <f t="shared" si="1"/>
        <v>0.66</v>
      </c>
      <c r="I83" s="1683">
        <f t="shared" si="1"/>
        <v>0.66</v>
      </c>
      <c r="J83" s="1683">
        <f t="shared" si="1"/>
        <v>0.66</v>
      </c>
      <c r="K83" s="1683">
        <f t="shared" si="1"/>
        <v>0.66</v>
      </c>
      <c r="L83" s="1683">
        <f t="shared" si="1"/>
        <v>0.66</v>
      </c>
      <c r="M83" s="1683">
        <f t="shared" si="1"/>
        <v>0.66</v>
      </c>
      <c r="N83" s="1683">
        <f t="shared" si="1"/>
        <v>0.66</v>
      </c>
      <c r="O83" s="885"/>
    </row>
    <row r="84" spans="1:18">
      <c r="B84" s="45"/>
      <c r="C84" s="65"/>
      <c r="D84" s="108"/>
      <c r="E84" s="108"/>
      <c r="F84" s="76"/>
      <c r="G84" s="80"/>
      <c r="H84" s="80"/>
      <c r="I84" s="80"/>
      <c r="J84" s="80"/>
      <c r="K84" s="80"/>
      <c r="L84" s="80"/>
      <c r="M84" s="80"/>
      <c r="N84" s="80"/>
      <c r="O84" s="885"/>
    </row>
    <row r="85" spans="1:18">
      <c r="B85" s="45"/>
      <c r="C85" s="3886" t="s">
        <v>64</v>
      </c>
      <c r="D85" s="200"/>
      <c r="E85" s="67"/>
      <c r="F85" s="67"/>
      <c r="G85" s="67"/>
      <c r="H85" s="67"/>
      <c r="I85" s="67"/>
      <c r="J85" s="67"/>
      <c r="K85" s="67"/>
      <c r="L85" s="67"/>
      <c r="M85" s="67"/>
      <c r="N85" s="67"/>
      <c r="O85" s="885"/>
    </row>
    <row r="86" spans="1:18">
      <c r="B86" s="45"/>
      <c r="C86" s="929" t="s">
        <v>65</v>
      </c>
      <c r="D86" s="3884" t="s">
        <v>3160</v>
      </c>
      <c r="E86" s="67"/>
      <c r="F86" s="67"/>
      <c r="G86" s="67"/>
      <c r="H86" s="67"/>
      <c r="I86" s="67"/>
      <c r="J86" s="67"/>
      <c r="K86" s="67"/>
      <c r="L86" s="67"/>
      <c r="M86" s="67"/>
      <c r="N86" s="67"/>
      <c r="O86" s="885"/>
    </row>
    <row r="87" spans="1:18">
      <c r="B87" s="45"/>
      <c r="C87" s="929"/>
      <c r="D87" s="1081" t="s">
        <v>3155</v>
      </c>
      <c r="E87" s="67"/>
      <c r="F87" s="67"/>
      <c r="G87" s="67"/>
      <c r="H87" s="67"/>
      <c r="I87" s="67"/>
      <c r="J87" s="67"/>
      <c r="K87" s="67"/>
      <c r="L87" s="67"/>
      <c r="M87" s="67"/>
      <c r="N87" s="67"/>
      <c r="O87" s="885"/>
    </row>
    <row r="88" spans="1:18" ht="15.75">
      <c r="B88" s="1106"/>
      <c r="C88" s="929" t="s">
        <v>67</v>
      </c>
      <c r="D88" s="1081" t="s">
        <v>3157</v>
      </c>
      <c r="E88" s="1269"/>
      <c r="F88" s="113"/>
      <c r="G88" s="1270"/>
      <c r="H88" s="1270"/>
      <c r="I88" s="1270"/>
      <c r="J88" s="1270"/>
      <c r="K88" s="1270"/>
      <c r="L88" s="1270"/>
      <c r="M88" s="1270"/>
      <c r="N88" s="1270"/>
      <c r="O88" s="1109"/>
    </row>
    <row r="90" spans="1:18" s="6" customFormat="1" ht="23.25">
      <c r="A90" s="40"/>
      <c r="B90" s="878" t="s">
        <v>70</v>
      </c>
      <c r="C90" s="879"/>
      <c r="D90" s="879"/>
      <c r="E90" s="879"/>
      <c r="F90" s="879"/>
      <c r="G90" s="879"/>
      <c r="H90" s="879"/>
      <c r="I90" s="879"/>
      <c r="J90" s="879"/>
      <c r="K90" s="879"/>
      <c r="L90" s="879"/>
      <c r="M90" s="879"/>
      <c r="N90" s="879"/>
      <c r="O90" s="880"/>
      <c r="Q90"/>
      <c r="R90"/>
    </row>
    <row r="91" spans="1:18">
      <c r="B91" s="110"/>
      <c r="C91" s="67"/>
      <c r="D91" s="67"/>
      <c r="E91" s="67"/>
      <c r="F91" s="67"/>
      <c r="G91" s="67"/>
      <c r="H91" s="67"/>
      <c r="I91" s="67"/>
      <c r="J91" s="67"/>
      <c r="K91" s="67"/>
      <c r="L91" s="67"/>
      <c r="M91" s="67"/>
      <c r="N91" s="67"/>
      <c r="O91" s="885"/>
    </row>
    <row r="92" spans="1:18">
      <c r="A92" s="927"/>
      <c r="B92" s="135"/>
      <c r="C92" s="49" t="s">
        <v>1879</v>
      </c>
      <c r="D92" s="67"/>
      <c r="E92" s="51"/>
      <c r="F92" s="67"/>
      <c r="G92" s="1311"/>
      <c r="H92" s="1311"/>
      <c r="I92" s="190"/>
      <c r="J92" s="1069"/>
      <c r="K92" s="1069"/>
      <c r="L92" s="1069"/>
      <c r="M92" s="1069"/>
      <c r="N92" s="190" t="s">
        <v>1162</v>
      </c>
      <c r="O92" s="885"/>
    </row>
    <row r="93" spans="1:18" ht="15.75">
      <c r="A93" s="927"/>
      <c r="B93" s="55"/>
      <c r="C93" s="67"/>
      <c r="D93" s="67"/>
      <c r="E93" s="67"/>
      <c r="F93" s="67"/>
      <c r="G93" s="1311"/>
      <c r="H93" s="1311"/>
      <c r="I93" s="1311"/>
      <c r="J93" s="1069"/>
      <c r="K93" s="1069"/>
      <c r="L93" s="1069"/>
      <c r="M93" s="1069"/>
      <c r="N93" s="1069"/>
      <c r="O93" s="885"/>
    </row>
    <row r="94" spans="1:18" ht="15.75">
      <c r="A94" s="927"/>
      <c r="B94" s="55"/>
      <c r="C94" s="909" t="s">
        <v>44</v>
      </c>
      <c r="D94" s="887" t="s">
        <v>1010</v>
      </c>
      <c r="E94" s="887" t="s">
        <v>30</v>
      </c>
      <c r="F94" s="92">
        <v>2013</v>
      </c>
      <c r="G94" s="92">
        <v>2015</v>
      </c>
      <c r="H94" s="92">
        <v>2020</v>
      </c>
      <c r="I94" s="92">
        <v>2025</v>
      </c>
      <c r="J94" s="92">
        <v>2030</v>
      </c>
      <c r="K94" s="92">
        <v>2035</v>
      </c>
      <c r="L94" s="92">
        <v>2040</v>
      </c>
      <c r="M94" s="92">
        <v>2045</v>
      </c>
      <c r="N94" s="92">
        <v>2050</v>
      </c>
      <c r="O94" s="885"/>
    </row>
    <row r="95" spans="1:18" ht="15.75">
      <c r="A95" s="927"/>
      <c r="B95" s="55"/>
      <c r="C95" s="66" t="s">
        <v>1245</v>
      </c>
      <c r="D95" s="108" t="s">
        <v>1279</v>
      </c>
      <c r="E95" s="923"/>
      <c r="F95" s="1522">
        <v>20220</v>
      </c>
      <c r="G95" s="1522">
        <v>20220</v>
      </c>
      <c r="H95" s="1522">
        <v>20220</v>
      </c>
      <c r="I95" s="1522">
        <v>20220</v>
      </c>
      <c r="J95" s="1522">
        <v>20220</v>
      </c>
      <c r="K95" s="1522">
        <v>20220</v>
      </c>
      <c r="L95" s="1522">
        <v>20220</v>
      </c>
      <c r="M95" s="1522">
        <v>20220</v>
      </c>
      <c r="N95" s="1522">
        <v>20220</v>
      </c>
      <c r="O95" s="885"/>
    </row>
    <row r="96" spans="1:18" ht="15.75">
      <c r="A96" s="927"/>
      <c r="B96" s="55"/>
      <c r="C96" s="109" t="s">
        <v>1246</v>
      </c>
      <c r="D96" s="108" t="s">
        <v>1280</v>
      </c>
      <c r="E96" s="1267"/>
      <c r="F96" s="1522">
        <v>48489.414199999999</v>
      </c>
      <c r="G96" s="1522">
        <v>48489.414199999999</v>
      </c>
      <c r="H96" s="1522">
        <v>48489.414199999999</v>
      </c>
      <c r="I96" s="1522">
        <v>48489.414199999999</v>
      </c>
      <c r="J96" s="1522">
        <v>48489.414199999999</v>
      </c>
      <c r="K96" s="1522">
        <v>48489.414199999999</v>
      </c>
      <c r="L96" s="1522">
        <v>48489.414199999999</v>
      </c>
      <c r="M96" s="1522">
        <v>48489.414199999999</v>
      </c>
      <c r="N96" s="1522">
        <v>48489.414199999999</v>
      </c>
      <c r="O96" s="1522">
        <v>48489.414199999999</v>
      </c>
    </row>
    <row r="97" spans="2:16">
      <c r="B97" s="110"/>
      <c r="C97" s="67"/>
      <c r="D97" s="67"/>
      <c r="E97" s="67"/>
      <c r="F97" s="67"/>
      <c r="G97" s="67"/>
      <c r="H97" s="67"/>
      <c r="I97" s="67"/>
      <c r="J97" s="67"/>
      <c r="K97" s="67"/>
      <c r="L97" s="67"/>
      <c r="M97" s="67"/>
      <c r="N97" s="67"/>
      <c r="O97" s="885"/>
    </row>
    <row r="98" spans="2:16">
      <c r="B98" s="110"/>
      <c r="C98" s="49" t="s">
        <v>1281</v>
      </c>
      <c r="D98" s="67"/>
      <c r="E98" s="51"/>
      <c r="F98" s="51" t="s">
        <v>1282</v>
      </c>
      <c r="G98" s="67"/>
      <c r="H98" s="67"/>
      <c r="I98" s="67"/>
      <c r="J98" s="67"/>
      <c r="K98" s="67"/>
      <c r="L98" s="67"/>
      <c r="M98" s="67"/>
      <c r="N98" s="51" t="str">
        <f>Preferences.EnergyUnits &amp; " / bn vehicle-km"</f>
        <v>TWh / bn vehicle-km</v>
      </c>
      <c r="O98" s="885"/>
    </row>
    <row r="99" spans="2:16">
      <c r="B99" s="110"/>
      <c r="C99" s="67"/>
      <c r="D99" s="67"/>
      <c r="E99" s="67"/>
      <c r="F99" s="67"/>
      <c r="G99" s="67"/>
      <c r="H99" s="67"/>
      <c r="I99" s="67"/>
      <c r="J99" s="67"/>
      <c r="K99" s="67"/>
      <c r="L99" s="67"/>
      <c r="M99" s="67"/>
      <c r="N99" s="67"/>
      <c r="O99" s="885"/>
    </row>
    <row r="100" spans="2:16" ht="15.75">
      <c r="B100" s="55"/>
      <c r="C100" s="887" t="s">
        <v>28</v>
      </c>
      <c r="D100" s="887" t="s">
        <v>34</v>
      </c>
      <c r="E100" s="887" t="s">
        <v>30</v>
      </c>
      <c r="F100" s="92">
        <v>2013</v>
      </c>
      <c r="G100" s="92">
        <v>2015</v>
      </c>
      <c r="H100" s="92">
        <v>2020</v>
      </c>
      <c r="I100" s="92">
        <v>2025</v>
      </c>
      <c r="J100" s="92">
        <v>2030</v>
      </c>
      <c r="K100" s="92">
        <v>2035</v>
      </c>
      <c r="L100" s="92">
        <v>2040</v>
      </c>
      <c r="M100" s="92">
        <v>2045</v>
      </c>
      <c r="N100" s="92">
        <v>2050</v>
      </c>
      <c r="O100" s="885"/>
    </row>
    <row r="101" spans="2:16" ht="15.75">
      <c r="B101" s="55"/>
      <c r="C101" s="1092" t="s">
        <v>99</v>
      </c>
      <c r="D101" s="890" t="s">
        <v>89</v>
      </c>
      <c r="E101" s="1317" t="s">
        <v>65</v>
      </c>
      <c r="F101" s="1684">
        <f>Unit.TWh*2.45</f>
        <v>2.4500000000000002</v>
      </c>
      <c r="G101" s="1534">
        <f>Unit.TWh*2.45</f>
        <v>2.4500000000000002</v>
      </c>
      <c r="H101" s="1685">
        <f>Unit.TWh*2.45</f>
        <v>2.4500000000000002</v>
      </c>
      <c r="I101" s="1534">
        <f>Unit.TWh*2.0985575674974</f>
        <v>2.0985575674974002</v>
      </c>
      <c r="J101" s="1685">
        <f>Unit.TWh*1.65014278296989</f>
        <v>1.65014278296989</v>
      </c>
      <c r="K101" s="1534">
        <f>Unit.TWh*1.59300201194185</f>
        <v>1.59300201194185</v>
      </c>
      <c r="L101" s="1685">
        <f>Unit.TWh*1.53586124091381</f>
        <v>1.5358612409138099</v>
      </c>
      <c r="M101" s="1534">
        <f>Unit.TWh*1.47886812045691</f>
        <v>1.4788681204569101</v>
      </c>
      <c r="N101" s="1685">
        <f>Unit.TWh*1.421875</f>
        <v>1.421875</v>
      </c>
      <c r="O101" s="885"/>
      <c r="P101" s="1686"/>
    </row>
    <row r="102" spans="2:16" ht="15.75">
      <c r="B102" s="55"/>
      <c r="C102" s="926" t="s">
        <v>96</v>
      </c>
      <c r="D102" s="199" t="s">
        <v>86</v>
      </c>
      <c r="E102" s="1322"/>
      <c r="F102" s="1687"/>
      <c r="G102" s="1540">
        <f t="shared" ref="G102:N102" si="2">Unit.TWh*G101*(2552/10724)</f>
        <v>0.58302872062663191</v>
      </c>
      <c r="H102" s="1540">
        <f t="shared" si="2"/>
        <v>0.58302872062663191</v>
      </c>
      <c r="I102" s="1540">
        <f t="shared" si="2"/>
        <v>0.49939564642422279</v>
      </c>
      <c r="J102" s="1540">
        <f t="shared" si="2"/>
        <v>0.39268597371681829</v>
      </c>
      <c r="K102" s="1540">
        <f t="shared" si="2"/>
        <v>0.37908813264412544</v>
      </c>
      <c r="L102" s="1540">
        <f t="shared" si="2"/>
        <v>0.36549029157143259</v>
      </c>
      <c r="M102" s="1540">
        <f t="shared" si="2"/>
        <v>0.35192758703898119</v>
      </c>
      <c r="N102" s="1540">
        <f t="shared" si="2"/>
        <v>0.33836488250652741</v>
      </c>
      <c r="O102" s="885"/>
      <c r="P102" s="1686"/>
    </row>
    <row r="103" spans="2:16">
      <c r="B103" s="110"/>
      <c r="C103" s="67"/>
      <c r="D103" s="67"/>
      <c r="E103" s="67"/>
      <c r="F103" s="67"/>
      <c r="G103" s="67"/>
      <c r="H103" s="67"/>
      <c r="I103" s="67"/>
      <c r="J103" s="67"/>
      <c r="K103" s="67"/>
      <c r="L103" s="67"/>
      <c r="M103" s="67"/>
      <c r="N103" s="67"/>
      <c r="O103" s="885"/>
    </row>
    <row r="104" spans="2:16">
      <c r="B104" s="110"/>
      <c r="C104" s="49" t="s">
        <v>798</v>
      </c>
      <c r="D104" s="67"/>
      <c r="E104" s="67"/>
      <c r="F104" s="67"/>
      <c r="G104" s="67"/>
      <c r="H104" s="67"/>
      <c r="I104" s="67"/>
      <c r="J104" s="67"/>
      <c r="K104" s="67"/>
      <c r="L104" s="67"/>
      <c r="M104" s="67"/>
      <c r="N104" s="67" t="str">
        <f>"kt per "&amp;Preferences.EnergyUnits</f>
        <v>kt per TWh</v>
      </c>
      <c r="O104" s="885"/>
    </row>
    <row r="105" spans="2:16">
      <c r="B105" s="110"/>
      <c r="C105" s="67"/>
      <c r="D105" s="67"/>
      <c r="E105" s="1364"/>
      <c r="F105" s="67"/>
      <c r="G105" s="67"/>
      <c r="H105" s="67"/>
      <c r="I105" s="67"/>
      <c r="J105" s="67"/>
      <c r="K105" s="67"/>
      <c r="L105" s="67"/>
      <c r="M105" s="67"/>
      <c r="N105" s="67"/>
      <c r="O105" s="885"/>
    </row>
    <row r="106" spans="2:16">
      <c r="B106" s="110"/>
      <c r="C106" s="1541" t="s">
        <v>44</v>
      </c>
      <c r="D106" s="1541" t="s">
        <v>1010</v>
      </c>
      <c r="E106" s="1542" t="s">
        <v>45</v>
      </c>
      <c r="F106" s="1369" t="s">
        <v>597</v>
      </c>
      <c r="G106" s="1369" t="s">
        <v>133</v>
      </c>
      <c r="H106" s="1369" t="s">
        <v>134</v>
      </c>
      <c r="I106" s="1369" t="s">
        <v>135</v>
      </c>
      <c r="J106" s="1369" t="s">
        <v>136</v>
      </c>
      <c r="K106" s="1369" t="s">
        <v>137</v>
      </c>
      <c r="L106" s="1369" t="s">
        <v>138</v>
      </c>
      <c r="M106" s="1369" t="s">
        <v>139</v>
      </c>
      <c r="N106" s="1369" t="s">
        <v>140</v>
      </c>
      <c r="O106" s="885"/>
    </row>
    <row r="107" spans="2:16">
      <c r="B107" s="110"/>
      <c r="C107" s="1374" t="s">
        <v>480</v>
      </c>
      <c r="D107" s="194" t="s">
        <v>1140</v>
      </c>
      <c r="E107" s="2471" t="s">
        <v>1153</v>
      </c>
      <c r="F107" s="2460">
        <f>0.284*(1/Unit.TWh)</f>
        <v>0.28399999999999997</v>
      </c>
      <c r="G107" s="2460">
        <f>0.245666666666667*(1/Unit.TWh)</f>
        <v>0.24566666666666701</v>
      </c>
      <c r="H107" s="2460">
        <f>0.2015*(1/Unit.TWh)</f>
        <v>0.20150000000000001</v>
      </c>
      <c r="I107" s="2460">
        <f>0.157333333333333*(1/Unit.TWh)</f>
        <v>0.15733333333333299</v>
      </c>
      <c r="J107" s="2460">
        <f>0.113166666666667*(1/Unit.TWh)</f>
        <v>0.113166666666667</v>
      </c>
      <c r="K107" s="2460">
        <f>0.069*(1/Unit.TWh)</f>
        <v>6.9000000000000006E-2</v>
      </c>
      <c r="L107" s="2460">
        <f>0.0308333333333333*(1/Unit.TWh)</f>
        <v>3.0833333333333299E-2</v>
      </c>
      <c r="M107" s="2460">
        <f>0.025*(1/Unit.TWh)</f>
        <v>2.5000000000000001E-2</v>
      </c>
      <c r="N107" s="2460">
        <f>0.025*(1/Unit.TWh)</f>
        <v>2.5000000000000001E-2</v>
      </c>
      <c r="O107" s="885"/>
    </row>
    <row r="108" spans="2:16">
      <c r="B108" s="110"/>
      <c r="C108" s="1374" t="s">
        <v>480</v>
      </c>
      <c r="D108" s="194" t="s">
        <v>1140</v>
      </c>
      <c r="E108" s="85" t="s">
        <v>1154</v>
      </c>
      <c r="F108" s="2442">
        <f t="shared" ref="F108:N108" si="3">0*(1/Unit.TWh)</f>
        <v>0</v>
      </c>
      <c r="G108" s="2442">
        <f t="shared" si="3"/>
        <v>0</v>
      </c>
      <c r="H108" s="2442">
        <f t="shared" si="3"/>
        <v>0</v>
      </c>
      <c r="I108" s="2442">
        <f t="shared" si="3"/>
        <v>0</v>
      </c>
      <c r="J108" s="2442">
        <f t="shared" si="3"/>
        <v>0</v>
      </c>
      <c r="K108" s="2442">
        <f t="shared" si="3"/>
        <v>0</v>
      </c>
      <c r="L108" s="2442">
        <f t="shared" si="3"/>
        <v>0</v>
      </c>
      <c r="M108" s="2442">
        <f t="shared" si="3"/>
        <v>0</v>
      </c>
      <c r="N108" s="2442">
        <f t="shared" si="3"/>
        <v>0</v>
      </c>
      <c r="O108" s="885"/>
    </row>
    <row r="109" spans="2:16">
      <c r="B109" s="110"/>
      <c r="C109" s="1374" t="s">
        <v>480</v>
      </c>
      <c r="D109" s="85" t="s">
        <v>1283</v>
      </c>
      <c r="E109" s="85" t="s">
        <v>1153</v>
      </c>
      <c r="F109" s="2460">
        <f>0.0510659286834548*(1/Unit.TWh)</f>
        <v>5.1065928683454803E-2</v>
      </c>
      <c r="G109" s="2460">
        <f>0.0376329218937318*(1/Unit.TWh)</f>
        <v>3.7632921893731797E-2</v>
      </c>
      <c r="H109" s="2460">
        <f>0.0314237522645619*(1/Unit.TWh)</f>
        <v>3.1423752264561899E-2</v>
      </c>
      <c r="I109" s="2460">
        <f>0.0304830293892288*(1/Unit.TWh)</f>
        <v>3.04830293892288E-2</v>
      </c>
      <c r="J109" s="2460">
        <f>0.0304215804075059*(1/Unit.TWh)</f>
        <v>3.0421580407505901E-2</v>
      </c>
      <c r="K109" s="2460">
        <f>0.0302205363536633*(1/Unit.TWh)</f>
        <v>3.0220536353663299E-2</v>
      </c>
      <c r="L109" s="2460">
        <f>0.0302205363536633*(1/Unit.TWh)</f>
        <v>3.0220536353663299E-2</v>
      </c>
      <c r="M109" s="2460">
        <f>0.0302205363536633*(1/Unit.TWh)</f>
        <v>3.0220536353663299E-2</v>
      </c>
      <c r="N109" s="2460">
        <f>0.0302205363536633*(1/Unit.TWh)</f>
        <v>3.0220536353663299E-2</v>
      </c>
      <c r="O109" s="885"/>
    </row>
    <row r="110" spans="2:16">
      <c r="B110" s="110"/>
      <c r="C110" s="1374" t="s">
        <v>480</v>
      </c>
      <c r="D110" s="85" t="s">
        <v>1283</v>
      </c>
      <c r="E110" s="85" t="s">
        <v>1154</v>
      </c>
      <c r="F110" s="2460">
        <f>0.0282952669019321*(1/Unit.TWh)</f>
        <v>2.8295266901932101E-2</v>
      </c>
      <c r="G110" s="2460">
        <f>0.0297294445846166*(1/Unit.TWh)</f>
        <v>2.9729444584616599E-2</v>
      </c>
      <c r="H110" s="2460">
        <f>0.0297426011530885*(1/Unit.TWh)</f>
        <v>2.9742601153088501E-2</v>
      </c>
      <c r="I110" s="2460">
        <f>0.0296209641445674*(1/Unit.TWh)</f>
        <v>2.9620964144567399E-2</v>
      </c>
      <c r="J110" s="2460">
        <f>0.0296297521509535*(1/Unit.TWh)</f>
        <v>2.9629752150953498E-2</v>
      </c>
      <c r="K110" s="2460">
        <f>0.0294306205859705*(1/Unit.TWh)</f>
        <v>2.9430620585970499E-2</v>
      </c>
      <c r="L110" s="2460">
        <f>0.0294306205859705*(1/Unit.TWh)</f>
        <v>2.9430620585970499E-2</v>
      </c>
      <c r="M110" s="2460">
        <f>0.0294306205859705*(1/Unit.TWh)</f>
        <v>2.9430620585970499E-2</v>
      </c>
      <c r="N110" s="2460">
        <f>0.0294306205859705*(1/Unit.TWh)</f>
        <v>2.9430620585970499E-2</v>
      </c>
      <c r="O110" s="885"/>
    </row>
    <row r="111" spans="2:16">
      <c r="B111" s="110"/>
      <c r="C111" s="1374" t="s">
        <v>480</v>
      </c>
      <c r="D111" s="85" t="s">
        <v>1284</v>
      </c>
      <c r="E111" s="85" t="s">
        <v>1153</v>
      </c>
      <c r="F111" s="2460">
        <f>0.232276077116459*(1/Unit.TWh)</f>
        <v>0.23227607711645901</v>
      </c>
      <c r="G111" s="2460">
        <f>0.163782197079641*(1/Unit.TWh)</f>
        <v>0.16378219707964101</v>
      </c>
      <c r="H111" s="2460">
        <f t="shared" ref="H111:N111" si="4">0.101877930768909*(1/Unit.TWh)</f>
        <v>0.101877930768909</v>
      </c>
      <c r="I111" s="2460">
        <f t="shared" si="4"/>
        <v>0.101877930768909</v>
      </c>
      <c r="J111" s="2460">
        <f t="shared" si="4"/>
        <v>0.101877930768909</v>
      </c>
      <c r="K111" s="2460">
        <f t="shared" si="4"/>
        <v>0.101877930768909</v>
      </c>
      <c r="L111" s="2460">
        <f t="shared" si="4"/>
        <v>0.101877930768909</v>
      </c>
      <c r="M111" s="2460">
        <f t="shared" si="4"/>
        <v>0.101877930768909</v>
      </c>
      <c r="N111" s="2460">
        <f t="shared" si="4"/>
        <v>0.101877930768909</v>
      </c>
      <c r="O111" s="885"/>
    </row>
    <row r="112" spans="2:16" s="927" customFormat="1" ht="15.75">
      <c r="B112" s="1219"/>
      <c r="C112" s="952"/>
      <c r="D112" s="108"/>
      <c r="E112" s="1267"/>
      <c r="F112" s="3852"/>
      <c r="G112" s="3852"/>
      <c r="H112" s="3852"/>
      <c r="I112" s="3852"/>
      <c r="J112" s="3851"/>
      <c r="K112" s="3851"/>
      <c r="L112" s="3851"/>
      <c r="M112" s="3851"/>
      <c r="N112" s="3851"/>
      <c r="O112" s="932"/>
    </row>
    <row r="113" spans="2:15">
      <c r="B113" s="110"/>
      <c r="C113" s="49" t="s">
        <v>800</v>
      </c>
      <c r="D113" s="67"/>
      <c r="E113" s="67"/>
      <c r="F113" s="67"/>
      <c r="G113" s="67"/>
      <c r="H113" s="67"/>
      <c r="I113" s="67"/>
      <c r="J113" s="67"/>
      <c r="K113" s="67"/>
      <c r="L113" s="67"/>
      <c r="M113" s="67"/>
      <c r="N113" s="67" t="str">
        <f>"kt per "&amp;Preferences.EnergyUnits</f>
        <v>kt per TWh</v>
      </c>
      <c r="O113" s="885"/>
    </row>
    <row r="114" spans="2:15">
      <c r="B114" s="110"/>
      <c r="C114" s="67"/>
      <c r="D114" s="67"/>
      <c r="E114" s="1364"/>
      <c r="F114" s="67"/>
      <c r="G114" s="67"/>
      <c r="H114" s="67"/>
      <c r="I114" s="67"/>
      <c r="J114" s="67"/>
      <c r="K114" s="67"/>
      <c r="L114" s="67"/>
      <c r="M114" s="67"/>
      <c r="N114" s="67"/>
      <c r="O114" s="885" t="s">
        <v>5</v>
      </c>
    </row>
    <row r="115" spans="2:15">
      <c r="B115" s="110"/>
      <c r="C115" s="1541" t="s">
        <v>44</v>
      </c>
      <c r="D115" s="1541" t="s">
        <v>1010</v>
      </c>
      <c r="E115" s="1542" t="s">
        <v>45</v>
      </c>
      <c r="F115" s="1369" t="s">
        <v>597</v>
      </c>
      <c r="G115" s="1369" t="s">
        <v>133</v>
      </c>
      <c r="H115" s="1369" t="s">
        <v>134</v>
      </c>
      <c r="I115" s="1369" t="s">
        <v>135</v>
      </c>
      <c r="J115" s="1369" t="s">
        <v>136</v>
      </c>
      <c r="K115" s="1369" t="s">
        <v>137</v>
      </c>
      <c r="L115" s="1369" t="s">
        <v>138</v>
      </c>
      <c r="M115" s="1369" t="s">
        <v>139</v>
      </c>
      <c r="N115" s="1369" t="s">
        <v>140</v>
      </c>
      <c r="O115" s="885"/>
    </row>
    <row r="116" spans="2:15">
      <c r="B116" s="110"/>
      <c r="C116" s="1374" t="s">
        <v>480</v>
      </c>
      <c r="D116" s="194" t="s">
        <v>1140</v>
      </c>
      <c r="E116" s="1544" t="s">
        <v>1153</v>
      </c>
      <c r="F116" s="2460">
        <f>13.588*(1/Unit.TWh)</f>
        <v>13.587999999999999</v>
      </c>
      <c r="G116" s="2460">
        <f>11.9763333333333*(1/Unit.TWh)</f>
        <v>11.976333333333301</v>
      </c>
      <c r="H116" s="2460">
        <f>10.238*(1/Unit.TWh)</f>
        <v>10.238</v>
      </c>
      <c r="I116" s="2460">
        <f>8.49966666666667*(1/Unit.TWh)</f>
        <v>8.4996666666666698</v>
      </c>
      <c r="J116" s="2460">
        <f>6.76133333333333*(1/Unit.TWh)</f>
        <v>6.7613333333333303</v>
      </c>
      <c r="K116" s="2460">
        <f>5.023*(1/Unit.TWh)</f>
        <v>5.0229999999999997</v>
      </c>
      <c r="L116" s="2460">
        <f>3.72666666666667*(1/Unit.TWh)</f>
        <v>3.7266666666666701</v>
      </c>
      <c r="M116" s="2460">
        <f>3.6*(1/Unit.TWh)</f>
        <v>3.6</v>
      </c>
      <c r="N116" s="2460">
        <f>3.6*(1/Unit.TWh)</f>
        <v>3.6</v>
      </c>
      <c r="O116" s="885"/>
    </row>
    <row r="117" spans="2:15">
      <c r="B117" s="110"/>
      <c r="C117" s="1374" t="s">
        <v>480</v>
      </c>
      <c r="D117" s="194" t="s">
        <v>1140</v>
      </c>
      <c r="E117" s="85" t="s">
        <v>1154</v>
      </c>
      <c r="F117" s="2442">
        <f t="shared" ref="F117:N117" si="5">0*(1/Unit.TWh)</f>
        <v>0</v>
      </c>
      <c r="G117" s="2442">
        <f t="shared" si="5"/>
        <v>0</v>
      </c>
      <c r="H117" s="2442">
        <f t="shared" si="5"/>
        <v>0</v>
      </c>
      <c r="I117" s="2442">
        <f t="shared" si="5"/>
        <v>0</v>
      </c>
      <c r="J117" s="2442">
        <f t="shared" si="5"/>
        <v>0</v>
      </c>
      <c r="K117" s="2442">
        <f t="shared" si="5"/>
        <v>0</v>
      </c>
      <c r="L117" s="2442">
        <f t="shared" si="5"/>
        <v>0</v>
      </c>
      <c r="M117" s="2442">
        <f t="shared" si="5"/>
        <v>0</v>
      </c>
      <c r="N117" s="2442">
        <f t="shared" si="5"/>
        <v>0</v>
      </c>
      <c r="O117" s="885"/>
    </row>
    <row r="118" spans="2:15">
      <c r="B118" s="110"/>
      <c r="C118" s="1374" t="s">
        <v>480</v>
      </c>
      <c r="D118" s="85" t="s">
        <v>1283</v>
      </c>
      <c r="E118" s="85" t="s">
        <v>1153</v>
      </c>
      <c r="F118" s="2460">
        <f>1.35630425930133*(1/Unit.TWh)</f>
        <v>1.3563042593013299</v>
      </c>
      <c r="G118" s="2460">
        <f>0.600487696866041*(1/Unit.TWh)</f>
        <v>0.60048769686604098</v>
      </c>
      <c r="H118" s="2460">
        <f>0.16047711449102*(1/Unit.TWh)</f>
        <v>0.16047711449102001</v>
      </c>
      <c r="I118" s="2460">
        <f>0.0839169806445128*(1/Unit.TWh)</f>
        <v>8.3916980644512806E-2</v>
      </c>
      <c r="J118" s="2460">
        <f>0.077332183695044*(1/Unit.TWh)</f>
        <v>7.7332183695043993E-2</v>
      </c>
      <c r="K118" s="2460">
        <f>0.0765312356472111*(1/Unit.TWh)</f>
        <v>7.6531235647211093E-2</v>
      </c>
      <c r="L118" s="2460">
        <f>0.0765312356472111*(1/Unit.TWh)</f>
        <v>7.6531235647211093E-2</v>
      </c>
      <c r="M118" s="2460">
        <f>0.0765312356472111*(1/Unit.TWh)</f>
        <v>7.6531235647211093E-2</v>
      </c>
      <c r="N118" s="2460">
        <f>0.0765312356472111*(1/Unit.TWh)</f>
        <v>7.6531235647211093E-2</v>
      </c>
      <c r="O118" s="885"/>
    </row>
    <row r="119" spans="2:15">
      <c r="B119" s="110"/>
      <c r="C119" s="1374" t="s">
        <v>480</v>
      </c>
      <c r="D119" s="85" t="s">
        <v>1283</v>
      </c>
      <c r="E119" s="85" t="s">
        <v>1154</v>
      </c>
      <c r="F119" s="2460">
        <f t="shared" ref="F119:N119" si="6">0*(1/Unit.TWh)</f>
        <v>0</v>
      </c>
      <c r="G119" s="2460">
        <f t="shared" si="6"/>
        <v>0</v>
      </c>
      <c r="H119" s="2460">
        <f t="shared" si="6"/>
        <v>0</v>
      </c>
      <c r="I119" s="2460">
        <f t="shared" si="6"/>
        <v>0</v>
      </c>
      <c r="J119" s="2460">
        <f t="shared" si="6"/>
        <v>0</v>
      </c>
      <c r="K119" s="2460">
        <f t="shared" si="6"/>
        <v>0</v>
      </c>
      <c r="L119" s="2460">
        <f t="shared" si="6"/>
        <v>0</v>
      </c>
      <c r="M119" s="2460">
        <f t="shared" si="6"/>
        <v>0</v>
      </c>
      <c r="N119" s="2460">
        <f t="shared" si="6"/>
        <v>0</v>
      </c>
      <c r="O119" s="885"/>
    </row>
    <row r="120" spans="2:15">
      <c r="B120" s="110"/>
      <c r="C120" s="1374" t="s">
        <v>480</v>
      </c>
      <c r="D120" s="85" t="s">
        <v>1284</v>
      </c>
      <c r="E120" s="85" t="s">
        <v>1153</v>
      </c>
      <c r="F120" s="2460">
        <f>5.2743658010897*(1/Unit.TWh)</f>
        <v>5.2743658010896999</v>
      </c>
      <c r="G120" s="2460">
        <f>4.93418827412335*(1/Unit.TWh)</f>
        <v>4.9341882741233496</v>
      </c>
      <c r="H120" s="2460">
        <f t="shared" ref="H120:N120" si="7">4.62673832077086*(1/Unit.TWh)</f>
        <v>4.6267383207708601</v>
      </c>
      <c r="I120" s="2460">
        <f t="shared" si="7"/>
        <v>4.6267383207708601</v>
      </c>
      <c r="J120" s="2460">
        <f t="shared" si="7"/>
        <v>4.6267383207708601</v>
      </c>
      <c r="K120" s="2460">
        <f t="shared" si="7"/>
        <v>4.6267383207708601</v>
      </c>
      <c r="L120" s="2460">
        <f t="shared" si="7"/>
        <v>4.6267383207708601</v>
      </c>
      <c r="M120" s="2460">
        <f t="shared" si="7"/>
        <v>4.6267383207708601</v>
      </c>
      <c r="N120" s="2460">
        <f t="shared" si="7"/>
        <v>4.6267383207708601</v>
      </c>
      <c r="O120" s="885"/>
    </row>
    <row r="121" spans="2:15">
      <c r="B121" s="110"/>
      <c r="C121" s="1374"/>
      <c r="D121" s="85"/>
      <c r="E121" s="85"/>
      <c r="F121" s="2460"/>
      <c r="G121" s="2460"/>
      <c r="H121" s="2460"/>
      <c r="I121" s="2460"/>
      <c r="J121" s="2460"/>
      <c r="K121" s="2460"/>
      <c r="L121" s="2460"/>
      <c r="M121" s="2460"/>
      <c r="N121" s="2460"/>
      <c r="O121" s="885"/>
    </row>
    <row r="122" spans="2:15">
      <c r="B122" s="110"/>
      <c r="C122" s="49" t="s">
        <v>801</v>
      </c>
      <c r="D122" s="67"/>
      <c r="E122" s="67"/>
      <c r="F122" s="67"/>
      <c r="G122" s="67"/>
      <c r="H122" s="67"/>
      <c r="I122" s="67"/>
      <c r="J122" s="67"/>
      <c r="K122" s="67"/>
      <c r="L122" s="67"/>
      <c r="M122" s="67"/>
      <c r="N122" s="67" t="str">
        <f>"kt per "&amp;Preferences.EnergyUnits</f>
        <v>kt per TWh</v>
      </c>
      <c r="O122" s="885"/>
    </row>
    <row r="123" spans="2:15">
      <c r="B123" s="110"/>
      <c r="C123" s="67"/>
      <c r="D123" s="67"/>
      <c r="E123" s="1364"/>
      <c r="F123" s="67"/>
      <c r="G123" s="67"/>
      <c r="H123" s="67"/>
      <c r="I123" s="67"/>
      <c r="J123" s="67"/>
      <c r="K123" s="67"/>
      <c r="L123" s="67"/>
      <c r="M123" s="67"/>
      <c r="N123" s="67"/>
      <c r="O123" s="885"/>
    </row>
    <row r="124" spans="2:15">
      <c r="B124" s="110"/>
      <c r="C124" s="1541" t="s">
        <v>44</v>
      </c>
      <c r="D124" s="1541" t="s">
        <v>1010</v>
      </c>
      <c r="E124" s="1542" t="s">
        <v>45</v>
      </c>
      <c r="F124" s="1369" t="s">
        <v>597</v>
      </c>
      <c r="G124" s="1369" t="s">
        <v>133</v>
      </c>
      <c r="H124" s="1369" t="s">
        <v>134</v>
      </c>
      <c r="I124" s="1369" t="s">
        <v>135</v>
      </c>
      <c r="J124" s="1369" t="s">
        <v>136</v>
      </c>
      <c r="K124" s="1369" t="s">
        <v>137</v>
      </c>
      <c r="L124" s="1369" t="s">
        <v>138</v>
      </c>
      <c r="M124" s="1369" t="s">
        <v>139</v>
      </c>
      <c r="N124" s="1369" t="s">
        <v>140</v>
      </c>
      <c r="O124" s="885"/>
    </row>
    <row r="125" spans="2:15">
      <c r="B125" s="110"/>
      <c r="C125" s="1374" t="s">
        <v>480</v>
      </c>
      <c r="D125" s="194" t="s">
        <v>1140</v>
      </c>
      <c r="E125" s="2471" t="s">
        <v>1153</v>
      </c>
      <c r="F125" s="2460">
        <f>0.0889473684210526*(1/Unit.TWh)</f>
        <v>8.8947368421052594E-2</v>
      </c>
      <c r="G125" s="2460">
        <f t="shared" ref="G125:N125" si="8">0.00157894736842105*(1/Unit.TWh)</f>
        <v>1.57894736842105E-3</v>
      </c>
      <c r="H125" s="2460">
        <f t="shared" si="8"/>
        <v>1.57894736842105E-3</v>
      </c>
      <c r="I125" s="2460">
        <f t="shared" si="8"/>
        <v>1.57894736842105E-3</v>
      </c>
      <c r="J125" s="2460">
        <f t="shared" si="8"/>
        <v>1.57894736842105E-3</v>
      </c>
      <c r="K125" s="2460">
        <f t="shared" si="8"/>
        <v>1.57894736842105E-3</v>
      </c>
      <c r="L125" s="2460">
        <f t="shared" si="8"/>
        <v>1.57894736842105E-3</v>
      </c>
      <c r="M125" s="2460">
        <f t="shared" si="8"/>
        <v>1.57894736842105E-3</v>
      </c>
      <c r="N125" s="2460">
        <f t="shared" si="8"/>
        <v>1.57894736842105E-3</v>
      </c>
      <c r="O125" s="885"/>
    </row>
    <row r="126" spans="2:15">
      <c r="B126" s="110"/>
      <c r="C126" s="1374" t="s">
        <v>480</v>
      </c>
      <c r="D126" s="194" t="s">
        <v>1140</v>
      </c>
      <c r="E126" s="85" t="s">
        <v>1154</v>
      </c>
      <c r="F126" s="2442">
        <f t="shared" ref="F126:N126" si="9">0*(1/Unit.TWh)</f>
        <v>0</v>
      </c>
      <c r="G126" s="2442">
        <f t="shared" si="9"/>
        <v>0</v>
      </c>
      <c r="H126" s="2442">
        <f t="shared" si="9"/>
        <v>0</v>
      </c>
      <c r="I126" s="2442">
        <f t="shared" si="9"/>
        <v>0</v>
      </c>
      <c r="J126" s="2442">
        <f t="shared" si="9"/>
        <v>0</v>
      </c>
      <c r="K126" s="2442">
        <f t="shared" si="9"/>
        <v>0</v>
      </c>
      <c r="L126" s="2442">
        <f t="shared" si="9"/>
        <v>0</v>
      </c>
      <c r="M126" s="2442">
        <f t="shared" si="9"/>
        <v>0</v>
      </c>
      <c r="N126" s="2442">
        <f t="shared" si="9"/>
        <v>0</v>
      </c>
      <c r="O126" s="885"/>
    </row>
    <row r="127" spans="2:15">
      <c r="B127" s="110"/>
      <c r="C127" s="1374" t="s">
        <v>480</v>
      </c>
      <c r="D127" s="85" t="s">
        <v>1283</v>
      </c>
      <c r="E127" s="85" t="s">
        <v>1153</v>
      </c>
      <c r="F127" s="2460">
        <f>0.00116842105263158*(1/Unit.TWh)</f>
        <v>1.1684210526315801E-3</v>
      </c>
      <c r="G127" s="2460">
        <f>0.00107424570114252*(1/Unit.TWh)</f>
        <v>1.0742457011425201E-3</v>
      </c>
      <c r="H127" s="2460">
        <f>0.00102350454301691*(1/Unit.TWh)</f>
        <v>1.02350454301691E-3</v>
      </c>
      <c r="I127" s="2460">
        <f>0.00096964891038593*(1/Unit.TWh)</f>
        <v>9.6964891038592998E-4</v>
      </c>
      <c r="J127" s="2460">
        <f>0.000928493149890139*(1/Unit.TWh)</f>
        <v>9.28493149890139E-4</v>
      </c>
      <c r="K127" s="2460">
        <f>0.000871867628299022*(1/Unit.TWh)</f>
        <v>8.7186762829902199E-4</v>
      </c>
      <c r="L127" s="2460">
        <f>0.000871867628299022*(1/Unit.TWh)</f>
        <v>8.7186762829902199E-4</v>
      </c>
      <c r="M127" s="2460">
        <f>0.000871867628299022*(1/Unit.TWh)</f>
        <v>8.7186762829902199E-4</v>
      </c>
      <c r="N127" s="2460">
        <f>0.000871867628299022*(1/Unit.TWh)</f>
        <v>8.7186762829902199E-4</v>
      </c>
      <c r="O127" s="885"/>
    </row>
    <row r="128" spans="2:15">
      <c r="B128" s="110"/>
      <c r="C128" s="1374" t="s">
        <v>480</v>
      </c>
      <c r="D128" s="85" t="s">
        <v>1283</v>
      </c>
      <c r="E128" s="85" t="s">
        <v>1154</v>
      </c>
      <c r="F128" s="2460">
        <f t="shared" ref="F128:N128" si="10">0*(1/Unit.TWh)</f>
        <v>0</v>
      </c>
      <c r="G128" s="2460">
        <f t="shared" si="10"/>
        <v>0</v>
      </c>
      <c r="H128" s="2460">
        <f t="shared" si="10"/>
        <v>0</v>
      </c>
      <c r="I128" s="2460">
        <f t="shared" si="10"/>
        <v>0</v>
      </c>
      <c r="J128" s="2460">
        <f t="shared" si="10"/>
        <v>0</v>
      </c>
      <c r="K128" s="2460">
        <f t="shared" si="10"/>
        <v>0</v>
      </c>
      <c r="L128" s="2460">
        <f t="shared" si="10"/>
        <v>0</v>
      </c>
      <c r="M128" s="2460">
        <f t="shared" si="10"/>
        <v>0</v>
      </c>
      <c r="N128" s="2460">
        <f t="shared" si="10"/>
        <v>0</v>
      </c>
      <c r="O128" s="885"/>
    </row>
    <row r="129" spans="2:15">
      <c r="B129" s="110"/>
      <c r="C129" s="1374" t="s">
        <v>480</v>
      </c>
      <c r="D129" s="85" t="s">
        <v>1284</v>
      </c>
      <c r="E129" s="85" t="s">
        <v>1153</v>
      </c>
      <c r="F129" s="2460">
        <f>2.20284079971256*(1/Unit.TWh)</f>
        <v>2.2028407997125599</v>
      </c>
      <c r="G129" s="2460">
        <f>1.20995257256538*(1/Unit.TWh)</f>
        <v>1.2099525725653799</v>
      </c>
      <c r="H129" s="2460">
        <f t="shared" ref="H129:N129" si="11">0.31258747663168*(1/Unit.TWh)</f>
        <v>0.31258747663168002</v>
      </c>
      <c r="I129" s="2460">
        <f t="shared" si="11"/>
        <v>0.31258747663168002</v>
      </c>
      <c r="J129" s="2460">
        <f t="shared" si="11"/>
        <v>0.31258747663168002</v>
      </c>
      <c r="K129" s="2460">
        <f t="shared" si="11"/>
        <v>0.31258747663168002</v>
      </c>
      <c r="L129" s="2460">
        <f t="shared" si="11"/>
        <v>0.31258747663168002</v>
      </c>
      <c r="M129" s="2460">
        <f t="shared" si="11"/>
        <v>0.31258747663168002</v>
      </c>
      <c r="N129" s="2460">
        <f t="shared" si="11"/>
        <v>0.31258747663168002</v>
      </c>
      <c r="O129" s="885"/>
    </row>
    <row r="130" spans="2:15" s="927" customFormat="1" ht="15.75">
      <c r="B130" s="1219"/>
      <c r="C130" s="952"/>
      <c r="D130" s="108"/>
      <c r="E130" s="1267"/>
      <c r="F130" s="3852"/>
      <c r="G130" s="3852"/>
      <c r="H130" s="3852"/>
      <c r="I130" s="3852"/>
      <c r="J130" s="3851"/>
      <c r="K130" s="3851"/>
      <c r="L130" s="3851"/>
      <c r="M130" s="3851"/>
      <c r="N130" s="3851"/>
      <c r="O130" s="932"/>
    </row>
    <row r="131" spans="2:15">
      <c r="B131" s="110"/>
      <c r="C131" s="49" t="s">
        <v>802</v>
      </c>
      <c r="D131" s="67"/>
      <c r="E131" s="67"/>
      <c r="F131" s="67"/>
      <c r="G131" s="67"/>
      <c r="H131" s="67"/>
      <c r="I131" s="67"/>
      <c r="J131" s="67"/>
      <c r="K131" s="67"/>
      <c r="L131" s="67"/>
      <c r="M131" s="67"/>
      <c r="N131" s="67" t="str">
        <f>"kt per "&amp;Preferences.EnergyUnits</f>
        <v>kt per TWh</v>
      </c>
      <c r="O131" s="885"/>
    </row>
    <row r="132" spans="2:15">
      <c r="B132" s="110"/>
      <c r="C132" s="67"/>
      <c r="D132" s="67"/>
      <c r="E132" s="1364"/>
      <c r="F132" s="67"/>
      <c r="G132" s="67"/>
      <c r="H132" s="67"/>
      <c r="I132" s="67"/>
      <c r="J132" s="67"/>
      <c r="K132" s="67"/>
      <c r="L132" s="67"/>
      <c r="M132" s="67"/>
      <c r="N132" s="67"/>
      <c r="O132" s="885"/>
    </row>
    <row r="133" spans="2:15">
      <c r="B133" s="110"/>
      <c r="C133" s="1541" t="s">
        <v>44</v>
      </c>
      <c r="D133" s="1541" t="s">
        <v>1010</v>
      </c>
      <c r="E133" s="1542" t="s">
        <v>45</v>
      </c>
      <c r="F133" s="1369" t="s">
        <v>597</v>
      </c>
      <c r="G133" s="1369" t="s">
        <v>133</v>
      </c>
      <c r="H133" s="1369" t="s">
        <v>134</v>
      </c>
      <c r="I133" s="1369" t="s">
        <v>135</v>
      </c>
      <c r="J133" s="1369" t="s">
        <v>136</v>
      </c>
      <c r="K133" s="1369" t="s">
        <v>137</v>
      </c>
      <c r="L133" s="1369" t="s">
        <v>138</v>
      </c>
      <c r="M133" s="1369" t="s">
        <v>139</v>
      </c>
      <c r="N133" s="1369" t="s">
        <v>140</v>
      </c>
      <c r="O133" s="885"/>
    </row>
    <row r="134" spans="2:15">
      <c r="B134" s="110"/>
      <c r="C134" s="1374" t="s">
        <v>480</v>
      </c>
      <c r="D134" s="194" t="s">
        <v>1140</v>
      </c>
      <c r="E134" s="1544" t="s">
        <v>1153</v>
      </c>
      <c r="F134" s="2460">
        <f>1.33613333333333*(1/Unit.TWh)</f>
        <v>1.3361333333333301</v>
      </c>
      <c r="G134" s="2460">
        <f>1.16896666666667*(1/Unit.TWh)</f>
        <v>1.16896666666667</v>
      </c>
      <c r="H134" s="2460">
        <f>1.0018*(1/Unit.TWh)</f>
        <v>1.0018</v>
      </c>
      <c r="I134" s="2460">
        <f>0.834633333333333*(1/Unit.TWh)</f>
        <v>0.83463333333333301</v>
      </c>
      <c r="J134" s="2460">
        <f>0.667466666666667*(1/Unit.TWh)</f>
        <v>0.66746666666666699</v>
      </c>
      <c r="K134" s="2460">
        <f>0.5003*(1/Unit.TWh)</f>
        <v>0.50029999999999997</v>
      </c>
      <c r="L134" s="2460">
        <f>0.4*(1/Unit.TWh)</f>
        <v>0.4</v>
      </c>
      <c r="M134" s="2460">
        <f>0.4*(1/Unit.TWh)</f>
        <v>0.4</v>
      </c>
      <c r="N134" s="2460">
        <f>0.4*(1/Unit.TWh)</f>
        <v>0.4</v>
      </c>
      <c r="O134" s="885"/>
    </row>
    <row r="135" spans="2:15">
      <c r="B135" s="110"/>
      <c r="C135" s="1374" t="s">
        <v>480</v>
      </c>
      <c r="D135" s="194" t="s">
        <v>1140</v>
      </c>
      <c r="E135" s="85" t="s">
        <v>1154</v>
      </c>
      <c r="F135" s="2442">
        <f t="shared" ref="F135:N135" si="12">0*(1/Unit.TWh)</f>
        <v>0</v>
      </c>
      <c r="G135" s="2442">
        <f t="shared" si="12"/>
        <v>0</v>
      </c>
      <c r="H135" s="2442">
        <f t="shared" si="12"/>
        <v>0</v>
      </c>
      <c r="I135" s="2442">
        <f t="shared" si="12"/>
        <v>0</v>
      </c>
      <c r="J135" s="2442">
        <f t="shared" si="12"/>
        <v>0</v>
      </c>
      <c r="K135" s="2442">
        <f t="shared" si="12"/>
        <v>0</v>
      </c>
      <c r="L135" s="2442">
        <f t="shared" si="12"/>
        <v>0</v>
      </c>
      <c r="M135" s="2442">
        <f t="shared" si="12"/>
        <v>0</v>
      </c>
      <c r="N135" s="2442">
        <f t="shared" si="12"/>
        <v>0</v>
      </c>
      <c r="O135" s="885"/>
    </row>
    <row r="136" spans="2:15">
      <c r="B136" s="110"/>
      <c r="C136" s="1374" t="s">
        <v>480</v>
      </c>
      <c r="D136" s="85" t="s">
        <v>1283</v>
      </c>
      <c r="E136" s="85" t="s">
        <v>1153</v>
      </c>
      <c r="F136" s="2460">
        <f>0.0381333780809245*(1/Unit.TWh)</f>
        <v>3.8133378080924499E-2</v>
      </c>
      <c r="G136" s="2460">
        <f>0.0101807957568558*(1/Unit.TWh)</f>
        <v>1.01807957568558E-2</v>
      </c>
      <c r="H136" s="2460">
        <f>0.0016789558507987*(1/Unit.TWh)</f>
        <v>1.6789558507986999E-3</v>
      </c>
      <c r="I136" s="2460">
        <f>0.00108706449039611*(1/Unit.TWh)</f>
        <v>1.08706449039611E-3</v>
      </c>
      <c r="J136" s="2460">
        <f>0.00105877611882696*(1/Unit.TWh)</f>
        <v>1.05877611882696E-3</v>
      </c>
      <c r="K136" s="2460">
        <f>0.00105050041725171*(1/Unit.TWh)</f>
        <v>1.05050041725171E-3</v>
      </c>
      <c r="L136" s="2460">
        <f>0.00105050041725171*(1/Unit.TWh)</f>
        <v>1.05050041725171E-3</v>
      </c>
      <c r="M136" s="2460">
        <f>0.00105050041725171*(1/Unit.TWh)</f>
        <v>1.05050041725171E-3</v>
      </c>
      <c r="N136" s="2460">
        <f>0.00105050041725171*(1/Unit.TWh)</f>
        <v>1.05050041725171E-3</v>
      </c>
      <c r="O136" s="885"/>
    </row>
    <row r="137" spans="2:15">
      <c r="B137" s="110"/>
      <c r="C137" s="1374" t="s">
        <v>480</v>
      </c>
      <c r="D137" s="85" t="s">
        <v>1283</v>
      </c>
      <c r="E137" s="85" t="s">
        <v>1154</v>
      </c>
      <c r="F137" s="2460">
        <f t="shared" ref="F137:N137" si="13">0*(1/Unit.TWh)</f>
        <v>0</v>
      </c>
      <c r="G137" s="2460">
        <f t="shared" si="13"/>
        <v>0</v>
      </c>
      <c r="H137" s="2460">
        <f t="shared" si="13"/>
        <v>0</v>
      </c>
      <c r="I137" s="2460">
        <f t="shared" si="13"/>
        <v>0</v>
      </c>
      <c r="J137" s="2460">
        <f t="shared" si="13"/>
        <v>0</v>
      </c>
      <c r="K137" s="2460">
        <f t="shared" si="13"/>
        <v>0</v>
      </c>
      <c r="L137" s="2460">
        <f t="shared" si="13"/>
        <v>0</v>
      </c>
      <c r="M137" s="2460">
        <f t="shared" si="13"/>
        <v>0</v>
      </c>
      <c r="N137" s="2460">
        <f t="shared" si="13"/>
        <v>0</v>
      </c>
      <c r="O137" s="885"/>
    </row>
    <row r="138" spans="2:15">
      <c r="B138" s="110"/>
      <c r="C138" s="1374" t="s">
        <v>480</v>
      </c>
      <c r="D138" s="85" t="s">
        <v>1284</v>
      </c>
      <c r="E138" s="85" t="s">
        <v>1153</v>
      </c>
      <c r="F138" s="2460">
        <f>0.235549656254945*(1/Unit.TWh)</f>
        <v>0.23554965625494501</v>
      </c>
      <c r="G138" s="2460">
        <f>0.227593183398212*(1/Unit.TWh)</f>
        <v>0.227593183398212</v>
      </c>
      <c r="H138" s="2460">
        <f t="shared" ref="H138:N138" si="14">0.220402181598452*(1/Unit.TWh)</f>
        <v>0.22040218159845201</v>
      </c>
      <c r="I138" s="2460">
        <f t="shared" si="14"/>
        <v>0.22040218159845201</v>
      </c>
      <c r="J138" s="2460">
        <f t="shared" si="14"/>
        <v>0.22040218159845201</v>
      </c>
      <c r="K138" s="2460">
        <f t="shared" si="14"/>
        <v>0.22040218159845201</v>
      </c>
      <c r="L138" s="2460">
        <f t="shared" si="14"/>
        <v>0.22040218159845201</v>
      </c>
      <c r="M138" s="2460">
        <f t="shared" si="14"/>
        <v>0.22040218159845201</v>
      </c>
      <c r="N138" s="2460">
        <f t="shared" si="14"/>
        <v>0.22040218159845201</v>
      </c>
      <c r="O138" s="885"/>
    </row>
    <row r="139" spans="2:15">
      <c r="B139" s="110"/>
      <c r="C139" s="1374"/>
      <c r="D139" s="85"/>
      <c r="E139" s="85"/>
      <c r="F139" s="1071"/>
      <c r="G139" s="195"/>
      <c r="H139" s="195"/>
      <c r="I139" s="195"/>
      <c r="J139" s="195"/>
      <c r="K139" s="195"/>
      <c r="L139" s="195"/>
      <c r="M139" s="195"/>
      <c r="N139" s="195"/>
      <c r="O139" s="885"/>
    </row>
    <row r="140" spans="2:15">
      <c r="B140" s="110"/>
      <c r="C140" s="1476" t="s">
        <v>1172</v>
      </c>
      <c r="D140" s="85"/>
      <c r="E140" s="85"/>
      <c r="F140" s="1071"/>
      <c r="G140" s="195"/>
      <c r="H140" s="195"/>
      <c r="I140" s="195"/>
      <c r="J140" s="195"/>
      <c r="K140" s="195"/>
      <c r="L140" s="195"/>
      <c r="M140" s="195"/>
      <c r="N140" s="195"/>
      <c r="O140" s="885"/>
    </row>
    <row r="141" spans="2:15">
      <c r="B141" s="110"/>
      <c r="C141" s="1689" t="s">
        <v>972</v>
      </c>
      <c r="D141" s="85"/>
      <c r="E141" s="85"/>
      <c r="F141" s="1071"/>
      <c r="G141" s="195"/>
      <c r="H141" s="195"/>
      <c r="I141" s="195"/>
      <c r="J141" s="195"/>
      <c r="K141" s="195"/>
      <c r="L141" s="195"/>
      <c r="M141" s="195"/>
      <c r="N141" s="195"/>
      <c r="O141" s="885"/>
    </row>
    <row r="142" spans="2:15">
      <c r="B142" s="110"/>
      <c r="C142" s="1690">
        <v>30</v>
      </c>
      <c r="D142" s="85"/>
      <c r="E142" s="85"/>
      <c r="F142" s="1071"/>
      <c r="G142" s="195"/>
      <c r="H142" s="195"/>
      <c r="I142" s="195"/>
      <c r="J142" s="195"/>
      <c r="K142" s="195"/>
      <c r="L142" s="195"/>
      <c r="M142" s="195"/>
      <c r="N142" s="195"/>
      <c r="O142" s="885"/>
    </row>
    <row r="143" spans="2:15">
      <c r="B143" s="110"/>
      <c r="C143" s="1691">
        <v>30</v>
      </c>
      <c r="D143" s="85"/>
      <c r="E143" s="85"/>
      <c r="F143" s="1071"/>
      <c r="G143" s="195"/>
      <c r="H143" s="195"/>
      <c r="I143" s="195"/>
      <c r="J143" s="195"/>
      <c r="K143" s="195"/>
      <c r="L143" s="195"/>
      <c r="M143" s="195"/>
      <c r="N143" s="195"/>
      <c r="O143" s="885"/>
    </row>
    <row r="144" spans="2:15">
      <c r="B144" s="110"/>
      <c r="C144" s="1691">
        <v>7</v>
      </c>
      <c r="D144" s="85"/>
      <c r="E144" s="85"/>
      <c r="F144" s="1071"/>
      <c r="G144" s="195"/>
      <c r="H144" s="195"/>
      <c r="I144" s="195"/>
      <c r="J144" s="195"/>
      <c r="K144" s="195"/>
      <c r="L144" s="195"/>
      <c r="M144" s="195"/>
      <c r="N144" s="195"/>
      <c r="O144" s="885"/>
    </row>
    <row r="145" spans="1:16">
      <c r="B145" s="110"/>
      <c r="C145" s="1692">
        <v>7</v>
      </c>
      <c r="D145" s="85"/>
      <c r="E145" s="85"/>
      <c r="F145" s="1071"/>
      <c r="G145" s="195"/>
      <c r="H145" s="195"/>
      <c r="I145" s="195"/>
      <c r="J145" s="195"/>
      <c r="K145" s="195"/>
      <c r="L145" s="195"/>
      <c r="M145" s="195"/>
      <c r="N145" s="195"/>
      <c r="O145" s="885"/>
    </row>
    <row r="146" spans="1:16">
      <c r="B146" s="110"/>
      <c r="C146" s="1374"/>
      <c r="D146" s="85"/>
      <c r="E146" s="85"/>
      <c r="F146" s="1071"/>
      <c r="G146" s="195"/>
      <c r="H146" s="195"/>
      <c r="I146" s="195"/>
      <c r="J146" s="195"/>
      <c r="K146" s="195"/>
      <c r="L146" s="195"/>
      <c r="M146" s="195"/>
      <c r="N146" s="195"/>
      <c r="O146" s="885"/>
    </row>
    <row r="147" spans="1:16">
      <c r="B147" s="110"/>
      <c r="C147" s="3862" t="s">
        <v>64</v>
      </c>
      <c r="D147" s="67"/>
      <c r="E147" s="67"/>
      <c r="F147" s="67"/>
      <c r="G147" s="67"/>
      <c r="H147" s="67"/>
      <c r="I147" s="67"/>
      <c r="J147" s="67"/>
      <c r="K147" s="67"/>
      <c r="L147" s="67"/>
      <c r="M147" s="67"/>
      <c r="N147" s="67"/>
      <c r="O147" s="885"/>
    </row>
    <row r="148" spans="1:16">
      <c r="B148" s="110"/>
      <c r="C148" s="3863"/>
      <c r="D148" s="3864" t="s">
        <v>3158</v>
      </c>
      <c r="E148" s="67"/>
      <c r="F148" s="67"/>
      <c r="G148" s="67"/>
      <c r="H148" s="67"/>
      <c r="I148" s="67"/>
      <c r="J148" s="67"/>
      <c r="K148" s="67"/>
      <c r="L148" s="67"/>
      <c r="M148" s="67"/>
      <c r="N148" s="67"/>
      <c r="O148" s="885"/>
    </row>
    <row r="149" spans="1:16">
      <c r="B149" s="110"/>
      <c r="C149" s="3863" t="s">
        <v>65</v>
      </c>
      <c r="D149" s="3864" t="s">
        <v>3159</v>
      </c>
      <c r="E149" s="67"/>
      <c r="F149" s="67"/>
      <c r="G149" s="67"/>
      <c r="H149" s="67"/>
      <c r="I149" s="67"/>
      <c r="J149" s="67"/>
      <c r="K149" s="67"/>
      <c r="L149" s="67"/>
      <c r="M149" s="67"/>
      <c r="N149" s="67"/>
      <c r="O149" s="885"/>
    </row>
    <row r="150" spans="1:16">
      <c r="B150" s="110"/>
      <c r="C150" s="3863"/>
      <c r="D150" s="3864"/>
      <c r="E150" s="67"/>
      <c r="F150" s="67"/>
      <c r="G150" s="67"/>
      <c r="H150" s="67"/>
      <c r="I150" s="67"/>
      <c r="J150" s="67"/>
      <c r="K150" s="67"/>
      <c r="L150" s="67"/>
      <c r="M150" s="67"/>
      <c r="N150" s="67"/>
      <c r="O150" s="885"/>
    </row>
    <row r="151" spans="1:16" s="927" customFormat="1">
      <c r="B151" s="931"/>
      <c r="C151" s="51"/>
      <c r="D151" s="200"/>
      <c r="E151" s="931"/>
      <c r="F151" s="931"/>
      <c r="G151" s="931"/>
      <c r="H151" s="931"/>
      <c r="I151" s="931"/>
      <c r="J151" s="931"/>
      <c r="K151" s="931"/>
      <c r="L151" s="931"/>
      <c r="M151" s="931"/>
      <c r="N151" s="931"/>
      <c r="O151" s="931"/>
    </row>
    <row r="152" spans="1:16">
      <c r="B152" s="877"/>
    </row>
    <row r="153" spans="1:16" ht="23.25">
      <c r="A153" s="40"/>
      <c r="B153" s="878" t="s">
        <v>2794</v>
      </c>
      <c r="C153" s="879"/>
      <c r="D153" s="879"/>
      <c r="E153" s="879"/>
      <c r="F153" s="879"/>
      <c r="G153" s="879"/>
      <c r="H153" s="879"/>
      <c r="I153" s="879"/>
      <c r="J153" s="879"/>
      <c r="K153" s="879"/>
      <c r="L153" s="879"/>
      <c r="M153" s="879"/>
      <c r="N153" s="879"/>
      <c r="O153" s="880"/>
    </row>
    <row r="154" spans="1:16" hidden="1">
      <c r="B154" s="110"/>
      <c r="C154" s="67"/>
      <c r="D154" s="67"/>
      <c r="E154" s="67"/>
      <c r="F154" s="67"/>
      <c r="G154" s="67"/>
      <c r="H154" s="67"/>
      <c r="I154" s="67"/>
      <c r="J154" s="67"/>
      <c r="K154" s="67"/>
      <c r="L154" s="67"/>
      <c r="M154" s="67"/>
      <c r="N154" s="67"/>
      <c r="O154" s="67"/>
      <c r="P154" s="1077"/>
    </row>
    <row r="155" spans="1:16" hidden="1">
      <c r="B155" s="67"/>
      <c r="C155" s="49" t="s">
        <v>169</v>
      </c>
      <c r="D155" s="67"/>
      <c r="E155" s="67"/>
      <c r="F155" s="67"/>
      <c r="G155" s="67"/>
      <c r="H155" s="67"/>
      <c r="I155" s="67"/>
      <c r="J155" s="67"/>
      <c r="K155" s="67"/>
      <c r="L155" s="67"/>
      <c r="M155" s="67"/>
      <c r="N155" s="1693" t="s">
        <v>2841</v>
      </c>
      <c r="O155" s="67"/>
      <c r="P155" s="1077"/>
    </row>
    <row r="156" spans="1:16" hidden="1">
      <c r="B156" s="67"/>
      <c r="C156" s="49"/>
      <c r="D156" s="67"/>
      <c r="E156" s="67"/>
      <c r="F156" s="67"/>
      <c r="G156" s="67"/>
      <c r="H156" s="67"/>
      <c r="I156" s="67"/>
      <c r="J156" s="67"/>
      <c r="K156" s="67"/>
      <c r="L156" s="67"/>
      <c r="M156" s="67"/>
      <c r="N156" s="1693"/>
      <c r="O156" s="67"/>
      <c r="P156" s="1077"/>
    </row>
    <row r="157" spans="1:16" hidden="1">
      <c r="B157" s="47"/>
      <c r="C157" s="1694" t="s">
        <v>1285</v>
      </c>
      <c r="D157" s="982"/>
      <c r="E157" s="1592" t="s">
        <v>160</v>
      </c>
      <c r="F157" s="1593">
        <v>2013</v>
      </c>
      <c r="G157" s="1695">
        <v>2015</v>
      </c>
      <c r="H157" s="1695">
        <v>2020</v>
      </c>
      <c r="I157" s="1695">
        <v>2025</v>
      </c>
      <c r="J157" s="1695">
        <v>2030</v>
      </c>
      <c r="K157" s="1695">
        <v>2035</v>
      </c>
      <c r="L157" s="1695">
        <v>2040</v>
      </c>
      <c r="M157" s="1695">
        <v>2045</v>
      </c>
      <c r="N157" s="1695">
        <v>2050</v>
      </c>
      <c r="O157" s="67"/>
      <c r="P157" s="1077"/>
    </row>
    <row r="158" spans="1:16" hidden="1">
      <c r="B158" s="47"/>
      <c r="C158" s="973" t="s">
        <v>1286</v>
      </c>
      <c r="D158" s="977" t="s">
        <v>1287</v>
      </c>
      <c r="E158" s="973"/>
      <c r="F158" s="1582"/>
      <c r="G158" s="1582"/>
      <c r="H158" s="1582"/>
      <c r="I158" s="1582"/>
      <c r="J158" s="1582"/>
      <c r="K158" s="1582"/>
      <c r="L158" s="1582"/>
      <c r="M158" s="1582"/>
      <c r="N158" s="1582"/>
      <c r="O158" s="67"/>
      <c r="P158" s="1077"/>
    </row>
    <row r="159" spans="1:16" hidden="1">
      <c r="B159" s="47"/>
      <c r="C159" s="67" t="s">
        <v>1286</v>
      </c>
      <c r="D159" s="108" t="s">
        <v>1288</v>
      </c>
      <c r="E159" s="67"/>
      <c r="F159" s="1584"/>
      <c r="G159" s="1584"/>
      <c r="H159" s="1584"/>
      <c r="I159" s="1584"/>
      <c r="J159" s="1584"/>
      <c r="K159" s="1584"/>
      <c r="L159" s="1584"/>
      <c r="M159" s="1584"/>
      <c r="N159" s="1584"/>
      <c r="O159" s="67"/>
      <c r="P159" s="1077"/>
    </row>
    <row r="160" spans="1:16" hidden="1">
      <c r="B160" s="47"/>
      <c r="C160" s="67" t="s">
        <v>1289</v>
      </c>
      <c r="D160" s="108" t="s">
        <v>1290</v>
      </c>
      <c r="E160" s="67"/>
      <c r="F160" s="1584"/>
      <c r="G160" s="1584"/>
      <c r="H160" s="1584"/>
      <c r="I160" s="1584"/>
      <c r="J160" s="1584"/>
      <c r="K160" s="1584"/>
      <c r="L160" s="1584"/>
      <c r="M160" s="1584"/>
      <c r="N160" s="1584"/>
      <c r="O160" s="67"/>
      <c r="P160" s="1077"/>
    </row>
    <row r="161" spans="1:18" hidden="1">
      <c r="B161" s="67"/>
      <c r="C161" s="978" t="s">
        <v>1289</v>
      </c>
      <c r="D161" s="199" t="s">
        <v>1291</v>
      </c>
      <c r="E161" s="978"/>
      <c r="F161" s="1586"/>
      <c r="G161" s="1586"/>
      <c r="H161" s="1586"/>
      <c r="I161" s="1586"/>
      <c r="J161" s="1586"/>
      <c r="K161" s="1586"/>
      <c r="L161" s="1586"/>
      <c r="M161" s="1586"/>
      <c r="N161" s="1586"/>
      <c r="O161" s="67"/>
      <c r="P161" s="1077"/>
      <c r="Q161" s="1173"/>
      <c r="R161" s="1173"/>
    </row>
    <row r="162" spans="1:18" hidden="1">
      <c r="B162" s="67"/>
      <c r="C162" s="47"/>
      <c r="D162" s="47"/>
      <c r="E162" s="47"/>
      <c r="F162" s="47"/>
      <c r="G162" s="47"/>
      <c r="H162" s="47"/>
      <c r="I162" s="47"/>
      <c r="J162" s="47"/>
      <c r="K162" s="47"/>
      <c r="L162" s="47"/>
      <c r="M162" s="47"/>
      <c r="N162" s="47"/>
      <c r="O162" s="67"/>
      <c r="P162" s="1077"/>
      <c r="Q162" s="1173"/>
      <c r="R162" s="1173"/>
    </row>
    <row r="163" spans="1:18" hidden="1">
      <c r="B163" s="67"/>
      <c r="C163" s="108"/>
      <c r="D163" s="108"/>
      <c r="E163" s="67"/>
      <c r="F163" s="1522"/>
      <c r="G163" s="1584"/>
      <c r="H163" s="1584"/>
      <c r="I163" s="1584"/>
      <c r="J163" s="1584"/>
      <c r="K163" s="1584"/>
      <c r="L163" s="1584"/>
      <c r="M163" s="1584"/>
      <c r="N163" s="1693" t="s">
        <v>2841</v>
      </c>
      <c r="O163" s="67"/>
      <c r="P163" s="1077"/>
      <c r="Q163" s="1173"/>
      <c r="R163" s="1173"/>
    </row>
    <row r="164" spans="1:18" hidden="1">
      <c r="B164" s="67"/>
      <c r="C164" s="1591" t="s">
        <v>1180</v>
      </c>
      <c r="D164" s="982"/>
      <c r="E164" s="1592" t="s">
        <v>160</v>
      </c>
      <c r="F164" s="1593">
        <v>2013</v>
      </c>
      <c r="G164" s="1593">
        <v>2015</v>
      </c>
      <c r="H164" s="1593">
        <v>2020</v>
      </c>
      <c r="I164" s="1593">
        <v>2025</v>
      </c>
      <c r="J164" s="1593">
        <v>2030</v>
      </c>
      <c r="K164" s="1593">
        <v>2035</v>
      </c>
      <c r="L164" s="1593">
        <v>2040</v>
      </c>
      <c r="M164" s="1578">
        <v>2045</v>
      </c>
      <c r="N164" s="1578">
        <v>2050</v>
      </c>
      <c r="O164" s="67"/>
      <c r="P164" s="1077"/>
      <c r="Q164" s="1173"/>
      <c r="R164" s="1173"/>
    </row>
    <row r="165" spans="1:18" hidden="1">
      <c r="B165" s="67"/>
      <c r="C165" s="973" t="s">
        <v>1286</v>
      </c>
      <c r="D165" s="977" t="s">
        <v>1287</v>
      </c>
      <c r="E165" s="973"/>
      <c r="F165" s="1582"/>
      <c r="G165" s="1582"/>
      <c r="H165" s="1582"/>
      <c r="I165" s="1582"/>
      <c r="J165" s="1582"/>
      <c r="K165" s="1582"/>
      <c r="L165" s="1582"/>
      <c r="M165" s="1582"/>
      <c r="N165" s="1582"/>
      <c r="O165" s="67"/>
      <c r="Q165" s="1173"/>
      <c r="R165" s="1173"/>
    </row>
    <row r="166" spans="1:18" hidden="1">
      <c r="B166" s="67"/>
      <c r="C166" s="67" t="s">
        <v>1286</v>
      </c>
      <c r="D166" s="108" t="s">
        <v>1288</v>
      </c>
      <c r="E166" s="67"/>
      <c r="F166" s="1584"/>
      <c r="G166" s="1584"/>
      <c r="H166" s="1584"/>
      <c r="I166" s="1584"/>
      <c r="J166" s="1584"/>
      <c r="K166" s="1584"/>
      <c r="L166" s="1584"/>
      <c r="M166" s="1584"/>
      <c r="N166" s="1584"/>
      <c r="O166" s="67"/>
      <c r="Q166" s="1173"/>
      <c r="R166" s="1173"/>
    </row>
    <row r="167" spans="1:18" hidden="1">
      <c r="B167" s="67"/>
      <c r="C167" s="67" t="s">
        <v>1289</v>
      </c>
      <c r="D167" s="108" t="s">
        <v>1290</v>
      </c>
      <c r="E167" s="67"/>
      <c r="F167" s="1584"/>
      <c r="G167" s="1584"/>
      <c r="H167" s="1584"/>
      <c r="I167" s="1584"/>
      <c r="J167" s="1584"/>
      <c r="K167" s="1584"/>
      <c r="L167" s="1584"/>
      <c r="M167" s="1584"/>
      <c r="N167" s="1584"/>
      <c r="O167" s="67"/>
      <c r="Q167" s="1173"/>
      <c r="R167" s="1173"/>
    </row>
    <row r="168" spans="1:18" hidden="1">
      <c r="B168" s="67"/>
      <c r="C168" s="978" t="s">
        <v>1289</v>
      </c>
      <c r="D168" s="199" t="s">
        <v>1291</v>
      </c>
      <c r="E168" s="978"/>
      <c r="F168" s="1587"/>
      <c r="G168" s="1586"/>
      <c r="H168" s="1586"/>
      <c r="I168" s="1586"/>
      <c r="J168" s="1586"/>
      <c r="K168" s="1586"/>
      <c r="L168" s="1586"/>
      <c r="M168" s="1586"/>
      <c r="N168" s="1587"/>
      <c r="O168" s="67"/>
      <c r="Q168" s="1173"/>
      <c r="R168" s="1173"/>
    </row>
    <row r="169" spans="1:18" hidden="1">
      <c r="B169" s="67"/>
      <c r="C169" s="47"/>
      <c r="D169" s="47"/>
      <c r="E169" s="47"/>
      <c r="F169" s="47"/>
      <c r="G169" s="47"/>
      <c r="H169" s="47"/>
      <c r="I169" s="47"/>
      <c r="J169" s="47"/>
      <c r="K169" s="47"/>
      <c r="L169" s="47"/>
      <c r="M169" s="47"/>
      <c r="N169" s="47"/>
      <c r="O169" s="67"/>
      <c r="Q169" s="1173"/>
      <c r="R169" s="1173"/>
    </row>
    <row r="170" spans="1:18" hidden="1">
      <c r="B170" s="67"/>
      <c r="C170" s="199"/>
      <c r="D170" s="199"/>
      <c r="E170" s="978"/>
      <c r="F170" s="1529"/>
      <c r="G170" s="1586"/>
      <c r="H170" s="1586"/>
      <c r="I170" s="1586"/>
      <c r="J170" s="1586"/>
      <c r="K170" s="1586"/>
      <c r="L170" s="1586"/>
      <c r="M170" s="1586"/>
      <c r="N170" s="1693" t="s">
        <v>2841</v>
      </c>
      <c r="O170" s="67"/>
      <c r="P170" s="1077"/>
      <c r="Q170" s="1173"/>
      <c r="R170" s="1173"/>
    </row>
    <row r="171" spans="1:18" hidden="1">
      <c r="B171" s="47"/>
      <c r="C171" s="1694" t="s">
        <v>1292</v>
      </c>
      <c r="D171" s="1696"/>
      <c r="E171" s="971" t="s">
        <v>160</v>
      </c>
      <c r="F171" s="1695">
        <v>2013</v>
      </c>
      <c r="G171" s="1695">
        <v>2015</v>
      </c>
      <c r="H171" s="1695">
        <v>2020</v>
      </c>
      <c r="I171" s="1695">
        <v>2025</v>
      </c>
      <c r="J171" s="1695">
        <v>2030</v>
      </c>
      <c r="K171" s="1695">
        <v>2035</v>
      </c>
      <c r="L171" s="1695">
        <v>2040</v>
      </c>
      <c r="M171" s="1695">
        <v>2045</v>
      </c>
      <c r="N171" s="1578">
        <v>2050</v>
      </c>
      <c r="O171" s="67"/>
      <c r="P171" s="1077"/>
      <c r="Q171" s="1173"/>
      <c r="R171" s="1173"/>
    </row>
    <row r="172" spans="1:18" hidden="1">
      <c r="B172" s="359"/>
      <c r="C172" s="973" t="s">
        <v>1286</v>
      </c>
      <c r="D172" s="977" t="s">
        <v>1287</v>
      </c>
      <c r="E172" s="973"/>
      <c r="F172" s="1582"/>
      <c r="G172" s="1582"/>
      <c r="H172" s="1582"/>
      <c r="I172" s="1582"/>
      <c r="J172" s="1582"/>
      <c r="K172" s="1582"/>
      <c r="L172" s="1582"/>
      <c r="M172" s="1582"/>
      <c r="N172" s="1584"/>
      <c r="O172" s="67"/>
      <c r="P172" s="1077"/>
      <c r="Q172" s="1173"/>
      <c r="R172" s="1173"/>
    </row>
    <row r="173" spans="1:18" hidden="1">
      <c r="B173" s="359"/>
      <c r="C173" s="67" t="s">
        <v>1286</v>
      </c>
      <c r="D173" s="108" t="s">
        <v>1288</v>
      </c>
      <c r="E173" s="67"/>
      <c r="F173" s="1584"/>
      <c r="G173" s="1584"/>
      <c r="H173" s="1584"/>
      <c r="I173" s="1584"/>
      <c r="J173" s="1584"/>
      <c r="K173" s="1584"/>
      <c r="L173" s="1584"/>
      <c r="M173" s="1584"/>
      <c r="N173" s="1584"/>
      <c r="O173" s="67"/>
      <c r="P173" s="1077"/>
      <c r="Q173" s="1173"/>
      <c r="R173" s="1173"/>
    </row>
    <row r="174" spans="1:18" s="39" customFormat="1" hidden="1">
      <c r="A174"/>
      <c r="B174" s="359"/>
      <c r="C174" s="67" t="s">
        <v>1289</v>
      </c>
      <c r="D174" s="108" t="s">
        <v>1290</v>
      </c>
      <c r="E174" s="67"/>
      <c r="F174" s="1584"/>
      <c r="G174" s="1584"/>
      <c r="H174" s="1584"/>
      <c r="I174" s="1584"/>
      <c r="J174" s="1584"/>
      <c r="K174" s="1584"/>
      <c r="L174" s="1584"/>
      <c r="M174" s="1584"/>
      <c r="N174" s="1584"/>
      <c r="O174" s="67"/>
      <c r="P174" s="1077"/>
      <c r="Q174" s="1173"/>
      <c r="R174" s="1173"/>
    </row>
    <row r="175" spans="1:18" s="39" customFormat="1" hidden="1">
      <c r="A175"/>
      <c r="B175" s="359"/>
      <c r="C175" s="978" t="s">
        <v>1289</v>
      </c>
      <c r="D175" s="199" t="s">
        <v>1291</v>
      </c>
      <c r="E175" s="978"/>
      <c r="F175" s="1586"/>
      <c r="G175" s="1586"/>
      <c r="H175" s="1586"/>
      <c r="I175" s="1586"/>
      <c r="J175" s="1586"/>
      <c r="K175" s="1586"/>
      <c r="L175" s="1586"/>
      <c r="M175" s="1586"/>
      <c r="N175" s="1586"/>
      <c r="O175" s="67"/>
      <c r="P175" s="1077"/>
      <c r="Q175" s="1173"/>
      <c r="R175" s="1173"/>
    </row>
    <row r="176" spans="1:18" s="39" customFormat="1" hidden="1">
      <c r="A176"/>
      <c r="B176" s="359"/>
      <c r="C176" s="108"/>
      <c r="D176" s="108"/>
      <c r="E176" s="67"/>
      <c r="F176" s="1522"/>
      <c r="G176" s="1584"/>
      <c r="H176" s="1584"/>
      <c r="I176" s="1584"/>
      <c r="J176" s="1584"/>
      <c r="K176" s="1584"/>
      <c r="L176" s="1584"/>
      <c r="M176" s="1584"/>
      <c r="N176" s="1522"/>
      <c r="O176" s="67"/>
      <c r="P176" s="1077"/>
      <c r="Q176" s="1173"/>
      <c r="R176" s="1173"/>
    </row>
    <row r="177" spans="1:18" s="39" customFormat="1" hidden="1">
      <c r="A177"/>
      <c r="B177" s="359"/>
      <c r="C177" s="122" t="s">
        <v>173</v>
      </c>
      <c r="D177" s="47"/>
      <c r="E177" s="47"/>
      <c r="F177" s="47"/>
      <c r="G177" s="47"/>
      <c r="H177" s="47"/>
      <c r="I177" s="47"/>
      <c r="J177" s="47"/>
      <c r="K177" s="47"/>
      <c r="L177" s="47"/>
      <c r="M177" s="47"/>
      <c r="N177" s="47"/>
      <c r="O177" s="67"/>
      <c r="P177" s="1077"/>
      <c r="Q177" s="1173"/>
      <c r="R177" s="1173"/>
    </row>
    <row r="178" spans="1:18" s="39" customFormat="1" hidden="1">
      <c r="A178"/>
      <c r="B178" s="359"/>
      <c r="C178" s="47"/>
      <c r="D178" s="108"/>
      <c r="E178" s="67"/>
      <c r="F178" s="1522"/>
      <c r="G178" s="1584"/>
      <c r="H178" s="1584"/>
      <c r="I178" s="1584"/>
      <c r="J178" s="1584"/>
      <c r="K178" s="1584"/>
      <c r="L178" s="1584"/>
      <c r="M178" s="1584"/>
      <c r="N178" s="1693" t="s">
        <v>2841</v>
      </c>
      <c r="O178" s="67"/>
      <c r="P178" s="1077"/>
      <c r="Q178" s="1173"/>
      <c r="R178" s="1173"/>
    </row>
    <row r="179" spans="1:18" s="39" customFormat="1" hidden="1">
      <c r="A179"/>
      <c r="B179" s="359"/>
      <c r="C179" s="1591" t="s">
        <v>1293</v>
      </c>
      <c r="D179" s="1576"/>
      <c r="E179" s="1577" t="s">
        <v>160</v>
      </c>
      <c r="F179" s="1578">
        <v>2013</v>
      </c>
      <c r="G179" s="1695">
        <v>2015</v>
      </c>
      <c r="H179" s="1695">
        <v>2020</v>
      </c>
      <c r="I179" s="1695">
        <v>2025</v>
      </c>
      <c r="J179" s="1695">
        <v>2030</v>
      </c>
      <c r="K179" s="1695">
        <v>2035</v>
      </c>
      <c r="L179" s="1695">
        <v>2040</v>
      </c>
      <c r="M179" s="1695">
        <v>2045</v>
      </c>
      <c r="N179" s="1695">
        <v>2050</v>
      </c>
      <c r="O179" s="67"/>
      <c r="P179" s="1077"/>
      <c r="Q179" s="1173"/>
      <c r="R179" s="1173"/>
    </row>
    <row r="180" spans="1:18" s="39" customFormat="1" hidden="1">
      <c r="A180"/>
      <c r="B180" s="359"/>
      <c r="C180" s="973" t="s">
        <v>1286</v>
      </c>
      <c r="D180" s="977" t="s">
        <v>1287</v>
      </c>
      <c r="E180" s="973"/>
      <c r="F180" s="1582"/>
      <c r="G180" s="1582"/>
      <c r="H180" s="1582"/>
      <c r="I180" s="1582"/>
      <c r="J180" s="1582"/>
      <c r="K180" s="1582"/>
      <c r="L180" s="1582"/>
      <c r="M180" s="1582"/>
      <c r="N180" s="1582"/>
      <c r="O180" s="67"/>
      <c r="P180" s="1077"/>
      <c r="Q180" s="1173"/>
      <c r="R180" s="1173"/>
    </row>
    <row r="181" spans="1:18" s="39" customFormat="1" hidden="1">
      <c r="A181"/>
      <c r="B181" s="359"/>
      <c r="C181" s="67" t="s">
        <v>1286</v>
      </c>
      <c r="D181" s="108" t="s">
        <v>1288</v>
      </c>
      <c r="E181" s="67"/>
      <c r="F181" s="1584"/>
      <c r="G181" s="1584"/>
      <c r="H181" s="1584"/>
      <c r="I181" s="1584"/>
      <c r="J181" s="1584"/>
      <c r="K181" s="1584"/>
      <c r="L181" s="1584"/>
      <c r="M181" s="1584"/>
      <c r="N181" s="1584"/>
      <c r="O181" s="67"/>
      <c r="P181" s="1077"/>
      <c r="Q181" s="1173"/>
      <c r="R181" s="1173"/>
    </row>
    <row r="182" spans="1:18" s="39" customFormat="1" hidden="1">
      <c r="A182"/>
      <c r="B182" s="359"/>
      <c r="C182" s="67" t="s">
        <v>1289</v>
      </c>
      <c r="D182" s="108" t="s">
        <v>1290</v>
      </c>
      <c r="E182" s="67"/>
      <c r="F182" s="1584"/>
      <c r="G182" s="1584"/>
      <c r="H182" s="1584"/>
      <c r="I182" s="1584"/>
      <c r="J182" s="1584"/>
      <c r="K182" s="1584"/>
      <c r="L182" s="1584"/>
      <c r="M182" s="1584"/>
      <c r="N182" s="1584"/>
      <c r="O182" s="67"/>
      <c r="P182" s="1077"/>
      <c r="Q182" s="1173"/>
      <c r="R182" s="1173"/>
    </row>
    <row r="183" spans="1:18" s="39" customFormat="1" hidden="1">
      <c r="A183"/>
      <c r="B183" s="359"/>
      <c r="C183" s="978" t="s">
        <v>1289</v>
      </c>
      <c r="D183" s="199" t="s">
        <v>1291</v>
      </c>
      <c r="E183" s="978"/>
      <c r="F183" s="1586"/>
      <c r="G183" s="1586"/>
      <c r="H183" s="1586"/>
      <c r="I183" s="1586"/>
      <c r="J183" s="1586"/>
      <c r="K183" s="1586"/>
      <c r="L183" s="1586"/>
      <c r="M183" s="1586"/>
      <c r="N183" s="1586"/>
      <c r="O183" s="67"/>
      <c r="P183" s="1077"/>
      <c r="Q183" s="1173"/>
      <c r="R183" s="1173"/>
    </row>
    <row r="184" spans="1:18" s="39" customFormat="1" hidden="1">
      <c r="A184"/>
      <c r="B184" s="359"/>
      <c r="C184" s="67"/>
      <c r="D184" s="108"/>
      <c r="E184" s="67"/>
      <c r="F184" s="1522"/>
      <c r="G184" s="1584"/>
      <c r="H184" s="1584"/>
      <c r="I184" s="1584"/>
      <c r="J184" s="1584"/>
      <c r="K184" s="1584"/>
      <c r="L184" s="1584"/>
      <c r="M184" s="1584"/>
      <c r="N184" s="1522"/>
      <c r="O184" s="67"/>
      <c r="P184" s="1077"/>
      <c r="Q184" s="1173"/>
      <c r="R184" s="1173"/>
    </row>
    <row r="185" spans="1:18" s="39" customFormat="1" hidden="1">
      <c r="A185"/>
      <c r="B185" s="359"/>
      <c r="C185" s="108"/>
      <c r="D185" s="108"/>
      <c r="E185" s="67"/>
      <c r="F185" s="1522"/>
      <c r="G185" s="1584"/>
      <c r="H185" s="1584"/>
      <c r="I185" s="1584"/>
      <c r="J185" s="1584"/>
      <c r="K185" s="1584"/>
      <c r="L185" s="1584"/>
      <c r="M185" s="1584"/>
      <c r="N185" s="1693" t="s">
        <v>2841</v>
      </c>
      <c r="O185" s="67"/>
      <c r="P185" s="1077"/>
      <c r="Q185" s="1173"/>
      <c r="R185" s="1173"/>
    </row>
    <row r="186" spans="1:18" s="39" customFormat="1" hidden="1">
      <c r="A186"/>
      <c r="B186" s="359"/>
      <c r="C186" s="1591" t="s">
        <v>1294</v>
      </c>
      <c r="D186" s="982"/>
      <c r="E186" s="1592" t="s">
        <v>160</v>
      </c>
      <c r="F186" s="1593">
        <v>2013</v>
      </c>
      <c r="G186" s="1593">
        <v>2015</v>
      </c>
      <c r="H186" s="1593">
        <v>2020</v>
      </c>
      <c r="I186" s="1593">
        <v>2025</v>
      </c>
      <c r="J186" s="1593">
        <v>2030</v>
      </c>
      <c r="K186" s="1593">
        <v>2035</v>
      </c>
      <c r="L186" s="1593">
        <v>2040</v>
      </c>
      <c r="M186" s="1593">
        <v>2045</v>
      </c>
      <c r="N186" s="1593">
        <v>2050</v>
      </c>
      <c r="O186" s="67"/>
      <c r="P186" s="1077"/>
      <c r="Q186" s="1173"/>
      <c r="R186" s="1173"/>
    </row>
    <row r="187" spans="1:18" s="39" customFormat="1" hidden="1">
      <c r="A187"/>
      <c r="B187" s="359"/>
      <c r="C187" s="973" t="s">
        <v>1286</v>
      </c>
      <c r="D187" s="977" t="s">
        <v>1287</v>
      </c>
      <c r="E187" s="973"/>
      <c r="F187" s="1582"/>
      <c r="G187" s="1582"/>
      <c r="H187" s="1582"/>
      <c r="I187" s="1582"/>
      <c r="J187" s="1582"/>
      <c r="K187" s="1582"/>
      <c r="L187" s="1582"/>
      <c r="M187" s="1582"/>
      <c r="N187" s="1582"/>
      <c r="O187" s="67"/>
      <c r="P187" s="1077"/>
      <c r="Q187" s="1173"/>
      <c r="R187" s="1173"/>
    </row>
    <row r="188" spans="1:18" s="39" customFormat="1" hidden="1">
      <c r="A188"/>
      <c r="B188" s="359"/>
      <c r="C188" s="67" t="s">
        <v>1286</v>
      </c>
      <c r="D188" s="108" t="s">
        <v>1288</v>
      </c>
      <c r="E188" s="67"/>
      <c r="F188" s="1584"/>
      <c r="G188" s="1584"/>
      <c r="H188" s="1584"/>
      <c r="I188" s="1584"/>
      <c r="J188" s="1584"/>
      <c r="K188" s="1584"/>
      <c r="L188" s="1584"/>
      <c r="M188" s="1584"/>
      <c r="N188" s="1584"/>
      <c r="O188" s="67"/>
      <c r="P188" s="1077"/>
      <c r="Q188" s="1173"/>
      <c r="R188" s="1173"/>
    </row>
    <row r="189" spans="1:18" s="39" customFormat="1" hidden="1">
      <c r="A189"/>
      <c r="B189" s="359"/>
      <c r="C189" s="67" t="s">
        <v>1289</v>
      </c>
      <c r="D189" s="108" t="s">
        <v>1290</v>
      </c>
      <c r="E189" s="67"/>
      <c r="F189" s="1584"/>
      <c r="G189" s="1584"/>
      <c r="H189" s="1584"/>
      <c r="I189" s="1584"/>
      <c r="J189" s="1584"/>
      <c r="K189" s="1584"/>
      <c r="L189" s="1584"/>
      <c r="M189" s="1584"/>
      <c r="N189" s="1584"/>
      <c r="O189" s="67"/>
      <c r="P189" s="1077"/>
      <c r="Q189" s="1173"/>
      <c r="R189" s="1173"/>
    </row>
    <row r="190" spans="1:18" s="39" customFormat="1" hidden="1">
      <c r="A190"/>
      <c r="B190" s="359"/>
      <c r="C190" s="978" t="s">
        <v>1289</v>
      </c>
      <c r="D190" s="199" t="s">
        <v>1291</v>
      </c>
      <c r="E190" s="978"/>
      <c r="F190" s="1586"/>
      <c r="G190" s="1586"/>
      <c r="H190" s="1586"/>
      <c r="I190" s="1586"/>
      <c r="J190" s="1586"/>
      <c r="K190" s="1586"/>
      <c r="L190" s="1586"/>
      <c r="M190" s="1586"/>
      <c r="N190" s="1586"/>
      <c r="O190" s="67"/>
      <c r="P190" s="1077"/>
      <c r="Q190" s="1173"/>
      <c r="R190" s="1173"/>
    </row>
    <row r="191" spans="1:18" s="39" customFormat="1" hidden="1">
      <c r="A191"/>
      <c r="B191" s="359"/>
      <c r="C191" s="67"/>
      <c r="D191" s="108"/>
      <c r="E191" s="67"/>
      <c r="F191" s="1522"/>
      <c r="G191" s="1584"/>
      <c r="H191" s="1584"/>
      <c r="I191" s="1584"/>
      <c r="J191" s="1584"/>
      <c r="K191" s="1584"/>
      <c r="L191" s="1584"/>
      <c r="M191" s="1584"/>
      <c r="N191" s="1522"/>
      <c r="O191" s="67"/>
      <c r="P191" s="656"/>
      <c r="Q191" s="1173"/>
      <c r="R191" s="1173"/>
    </row>
    <row r="192" spans="1:18" s="39" customFormat="1" hidden="1">
      <c r="A192"/>
      <c r="B192" s="359"/>
      <c r="C192" s="108"/>
      <c r="D192" s="108"/>
      <c r="E192" s="67"/>
      <c r="F192" s="1522"/>
      <c r="G192" s="1584"/>
      <c r="H192" s="1584"/>
      <c r="I192" s="1584"/>
      <c r="J192" s="1584"/>
      <c r="K192" s="1584"/>
      <c r="L192" s="1584"/>
      <c r="M192" s="1584"/>
      <c r="N192" s="1693" t="s">
        <v>2841</v>
      </c>
      <c r="O192" s="67"/>
      <c r="P192" s="656"/>
      <c r="Q192" s="1173"/>
      <c r="R192" s="1173"/>
    </row>
    <row r="193" spans="1:20" s="39" customFormat="1" hidden="1">
      <c r="A193"/>
      <c r="B193" s="359"/>
      <c r="C193" s="1575" t="s">
        <v>1295</v>
      </c>
      <c r="D193" s="1576"/>
      <c r="E193" s="1577" t="s">
        <v>160</v>
      </c>
      <c r="F193" s="1578">
        <v>2013</v>
      </c>
      <c r="G193" s="1578">
        <v>2015</v>
      </c>
      <c r="H193" s="1578">
        <v>2020</v>
      </c>
      <c r="I193" s="1578">
        <v>2025</v>
      </c>
      <c r="J193" s="1578">
        <v>2030</v>
      </c>
      <c r="K193" s="1578">
        <v>2035</v>
      </c>
      <c r="L193" s="1578">
        <v>2040</v>
      </c>
      <c r="M193" s="1578">
        <v>2045</v>
      </c>
      <c r="N193" s="1578">
        <v>2050</v>
      </c>
      <c r="O193" s="67"/>
      <c r="P193" s="656"/>
      <c r="Q193" s="1173"/>
      <c r="R193" s="1173"/>
    </row>
    <row r="194" spans="1:20" s="39" customFormat="1" hidden="1">
      <c r="A194"/>
      <c r="B194" s="359"/>
      <c r="C194" s="973" t="s">
        <v>1286</v>
      </c>
      <c r="D194" s="977" t="s">
        <v>1287</v>
      </c>
      <c r="E194" s="973"/>
      <c r="F194" s="1582"/>
      <c r="G194" s="1582"/>
      <c r="H194" s="1582"/>
      <c r="I194" s="1582"/>
      <c r="J194" s="1582"/>
      <c r="K194" s="1582"/>
      <c r="L194" s="1582"/>
      <c r="M194" s="1582"/>
      <c r="N194" s="1582"/>
      <c r="O194" s="67"/>
      <c r="P194" s="656"/>
      <c r="Q194" s="1173"/>
      <c r="R194" s="1173"/>
    </row>
    <row r="195" spans="1:20" s="39" customFormat="1" hidden="1">
      <c r="A195"/>
      <c r="B195" s="359"/>
      <c r="C195" s="67" t="s">
        <v>1286</v>
      </c>
      <c r="D195" s="108" t="s">
        <v>1288</v>
      </c>
      <c r="E195" s="67"/>
      <c r="F195" s="1584"/>
      <c r="G195" s="1584"/>
      <c r="H195" s="1584"/>
      <c r="I195" s="1584"/>
      <c r="J195" s="1584"/>
      <c r="K195" s="1584"/>
      <c r="L195" s="1584"/>
      <c r="M195" s="1584"/>
      <c r="N195" s="1584"/>
      <c r="O195" s="67"/>
      <c r="P195" s="656"/>
      <c r="Q195" s="1173"/>
      <c r="R195" s="1173"/>
    </row>
    <row r="196" spans="1:20" s="39" customFormat="1" hidden="1">
      <c r="A196"/>
      <c r="B196" s="359"/>
      <c r="C196" s="67" t="s">
        <v>1289</v>
      </c>
      <c r="D196" s="108" t="s">
        <v>1290</v>
      </c>
      <c r="E196" s="67"/>
      <c r="F196" s="1584"/>
      <c r="G196" s="1584"/>
      <c r="H196" s="1584"/>
      <c r="I196" s="1584"/>
      <c r="J196" s="1584"/>
      <c r="K196" s="1584"/>
      <c r="L196" s="1584"/>
      <c r="M196" s="1584"/>
      <c r="N196" s="1584"/>
      <c r="O196" s="67"/>
      <c r="P196" s="656"/>
      <c r="Q196" s="1173"/>
      <c r="R196" s="1173"/>
    </row>
    <row r="197" spans="1:20" s="39" customFormat="1" hidden="1">
      <c r="A197"/>
      <c r="B197" s="359"/>
      <c r="C197" s="978" t="s">
        <v>1289</v>
      </c>
      <c r="D197" s="199" t="s">
        <v>1291</v>
      </c>
      <c r="E197" s="978"/>
      <c r="F197" s="1586"/>
      <c r="G197" s="1586"/>
      <c r="H197" s="1586"/>
      <c r="I197" s="1586"/>
      <c r="J197" s="1586"/>
      <c r="K197" s="1586"/>
      <c r="L197" s="1586"/>
      <c r="M197" s="1586"/>
      <c r="N197" s="1586"/>
      <c r="O197" s="67"/>
      <c r="P197" s="656"/>
      <c r="Q197" s="1173"/>
      <c r="R197" s="1173"/>
    </row>
    <row r="198" spans="1:20" s="39" customFormat="1" hidden="1">
      <c r="A198"/>
      <c r="B198" s="359"/>
      <c r="C198" s="108"/>
      <c r="D198" s="108"/>
      <c r="E198" s="1607"/>
      <c r="F198" s="1522"/>
      <c r="G198" s="1584"/>
      <c r="H198" s="1584"/>
      <c r="I198" s="1584"/>
      <c r="J198" s="1584"/>
      <c r="K198" s="1584"/>
      <c r="L198" s="1584"/>
      <c r="M198" s="1584"/>
      <c r="N198" s="1522"/>
      <c r="O198" s="67"/>
      <c r="P198" s="656"/>
      <c r="Q198" s="1173"/>
      <c r="R198" s="1173"/>
    </row>
    <row r="199" spans="1:20" s="39" customFormat="1" hidden="1">
      <c r="A199"/>
      <c r="B199" s="359"/>
      <c r="C199" s="67" t="s">
        <v>30</v>
      </c>
      <c r="D199" s="67"/>
      <c r="E199" s="67"/>
      <c r="F199" s="67"/>
      <c r="G199" s="67"/>
      <c r="H199" s="67"/>
      <c r="I199" s="67"/>
      <c r="J199" s="67"/>
      <c r="K199" s="67"/>
      <c r="L199" s="67"/>
      <c r="M199" s="67"/>
      <c r="N199" s="67"/>
      <c r="O199" s="67"/>
      <c r="P199" s="1077"/>
      <c r="Q199" s="1173"/>
      <c r="R199" s="1173"/>
    </row>
    <row r="200" spans="1:20" s="39" customFormat="1" hidden="1">
      <c r="A200"/>
      <c r="B200" s="359"/>
      <c r="C200" s="104" t="s">
        <v>65</v>
      </c>
      <c r="D200" s="1618" t="s">
        <v>1185</v>
      </c>
      <c r="E200" s="67"/>
      <c r="F200" s="67"/>
      <c r="G200" s="67"/>
      <c r="H200" s="67"/>
      <c r="I200" s="67"/>
      <c r="J200" s="67"/>
      <c r="K200" s="67"/>
      <c r="L200" s="67"/>
      <c r="M200" s="67"/>
      <c r="N200" s="67"/>
      <c r="O200" s="67"/>
      <c r="P200" s="1077"/>
      <c r="Q200" s="1173"/>
      <c r="R200" s="1173"/>
    </row>
    <row r="201" spans="1:20" s="39" customFormat="1" hidden="1">
      <c r="A201"/>
      <c r="B201" s="359"/>
      <c r="C201" s="51" t="s">
        <v>67</v>
      </c>
      <c r="D201" s="67" t="s">
        <v>1186</v>
      </c>
      <c r="E201" s="67"/>
      <c r="F201" s="67"/>
      <c r="G201" s="67"/>
      <c r="H201" s="67"/>
      <c r="I201" s="67"/>
      <c r="J201" s="67"/>
      <c r="K201" s="67"/>
      <c r="L201" s="67"/>
      <c r="M201" s="67"/>
      <c r="N201" s="67"/>
      <c r="O201" s="67"/>
      <c r="P201" s="1077"/>
      <c r="Q201" s="1173"/>
      <c r="R201" s="1173"/>
    </row>
    <row r="202" spans="1:20" s="39" customFormat="1" hidden="1">
      <c r="A202"/>
      <c r="B202" s="359"/>
      <c r="C202" s="51" t="s">
        <v>106</v>
      </c>
      <c r="D202" s="67" t="s">
        <v>1296</v>
      </c>
      <c r="E202" s="67"/>
      <c r="F202" s="67"/>
      <c r="G202" s="67"/>
      <c r="H202" s="67"/>
      <c r="I202" s="67"/>
      <c r="J202" s="67"/>
      <c r="K202" s="67"/>
      <c r="L202" s="67"/>
      <c r="M202" s="67"/>
      <c r="N202" s="67"/>
      <c r="O202" s="67"/>
      <c r="P202" s="1077"/>
      <c r="Q202" s="1173"/>
      <c r="R202" s="1173"/>
    </row>
    <row r="203" spans="1:20" s="39" customFormat="1" hidden="1">
      <c r="A203"/>
      <c r="B203" s="359"/>
      <c r="C203" s="51" t="s">
        <v>80</v>
      </c>
      <c r="D203" s="67" t="s">
        <v>1297</v>
      </c>
      <c r="E203" s="67"/>
      <c r="F203" s="67"/>
      <c r="G203" s="67"/>
      <c r="H203" s="67"/>
      <c r="I203" s="67"/>
      <c r="J203" s="67"/>
      <c r="K203" s="67"/>
      <c r="L203" s="67"/>
      <c r="M203" s="67"/>
      <c r="N203" s="67"/>
      <c r="O203" s="67"/>
      <c r="P203" s="1077"/>
      <c r="Q203" s="1173"/>
      <c r="R203" s="1173"/>
    </row>
    <row r="204" spans="1:20" s="39" customFormat="1" hidden="1">
      <c r="A204"/>
      <c r="B204" s="359"/>
      <c r="C204" s="1574"/>
      <c r="D204" s="359"/>
      <c r="E204" s="359"/>
      <c r="F204" s="359"/>
      <c r="G204" s="359"/>
      <c r="H204" s="359"/>
      <c r="I204" s="359"/>
      <c r="J204" s="359"/>
      <c r="K204" s="359"/>
      <c r="L204" s="359"/>
      <c r="M204" s="359"/>
      <c r="N204" s="359"/>
      <c r="O204" s="67"/>
      <c r="P204" s="1077"/>
    </row>
    <row r="205" spans="1:20" s="39" customFormat="1">
      <c r="B205" s="1697"/>
      <c r="P205" s="1077"/>
      <c r="Q205" s="1698"/>
      <c r="R205" s="1077"/>
      <c r="S205" s="1077"/>
      <c r="T205" s="1077"/>
    </row>
    <row r="206" spans="1:20" ht="18.75" collapsed="1">
      <c r="A206" s="355"/>
      <c r="B206" s="1110" t="s">
        <v>207</v>
      </c>
      <c r="P206" s="1077"/>
      <c r="Q206" s="1699"/>
      <c r="R206" s="1077"/>
      <c r="S206" s="1077"/>
      <c r="T206" s="1077"/>
    </row>
    <row r="207" spans="1:20" s="2" customFormat="1">
      <c r="B207" s="363">
        <v>1</v>
      </c>
      <c r="C207" t="s">
        <v>1298</v>
      </c>
      <c r="P207" s="86"/>
      <c r="Q207" s="1699"/>
      <c r="R207" s="1077"/>
      <c r="S207" s="86"/>
      <c r="T207" s="86"/>
    </row>
    <row r="208" spans="1:20" s="2" customFormat="1">
      <c r="B208" s="363">
        <v>2</v>
      </c>
      <c r="C208" t="s">
        <v>1299</v>
      </c>
      <c r="P208" s="86"/>
      <c r="Q208" s="1699"/>
      <c r="R208" s="1077"/>
      <c r="S208" s="86"/>
      <c r="T208" s="86"/>
    </row>
    <row r="209" spans="2:20" s="2" customFormat="1">
      <c r="B209" s="363">
        <v>3</v>
      </c>
      <c r="C209" t="s">
        <v>1300</v>
      </c>
      <c r="P209" s="86"/>
      <c r="Q209" s="1699"/>
      <c r="R209" s="1077"/>
      <c r="S209" s="86"/>
      <c r="T209" s="86"/>
    </row>
    <row r="210" spans="2:20" s="2" customFormat="1">
      <c r="B210" s="363">
        <v>4</v>
      </c>
      <c r="C210" s="39" t="s">
        <v>1301</v>
      </c>
      <c r="D210" s="38"/>
      <c r="P210" s="86"/>
      <c r="Q210" s="1700"/>
      <c r="R210" s="1077"/>
      <c r="S210" s="86"/>
      <c r="T210" s="86"/>
    </row>
    <row r="211" spans="2:20" s="2" customFormat="1">
      <c r="B211" s="363">
        <v>5</v>
      </c>
      <c r="C211" t="s">
        <v>1078</v>
      </c>
      <c r="P211" s="86"/>
      <c r="Q211" s="1701"/>
      <c r="R211" s="1077"/>
      <c r="S211" s="86"/>
      <c r="T211" s="86"/>
    </row>
    <row r="212" spans="2:20">
      <c r="P212" s="1077"/>
      <c r="Q212" s="1702"/>
      <c r="R212" s="1077"/>
      <c r="S212" s="1077"/>
      <c r="T212" s="1077"/>
    </row>
    <row r="213" spans="2:20">
      <c r="B213" s="363">
        <v>1</v>
      </c>
      <c r="C213" s="363" t="s">
        <v>1302</v>
      </c>
      <c r="F213" s="1325">
        <v>2013</v>
      </c>
      <c r="G213" s="1325">
        <v>2015</v>
      </c>
      <c r="H213" s="1325">
        <v>2020</v>
      </c>
      <c r="I213" s="1325">
        <v>2025</v>
      </c>
      <c r="J213" s="1325">
        <v>2030</v>
      </c>
      <c r="K213" s="1325">
        <v>2035</v>
      </c>
      <c r="L213" s="1325">
        <v>2040</v>
      </c>
      <c r="M213" s="1325">
        <v>2045</v>
      </c>
      <c r="N213" s="1325">
        <v>2050</v>
      </c>
      <c r="P213" s="1077"/>
      <c r="Q213" s="1698"/>
      <c r="R213" s="1077"/>
      <c r="S213" s="1077"/>
      <c r="T213" s="1077"/>
    </row>
    <row r="214" spans="2:20">
      <c r="C214" t="s">
        <v>1286</v>
      </c>
      <c r="E214" s="382" t="s">
        <v>1270</v>
      </c>
      <c r="F214" s="1703">
        <f>INDEX(F$16:F$19, MATCH($E$8, $C$16:$C$19, 0))</f>
        <v>529069.53332918952</v>
      </c>
      <c r="G214" s="1703">
        <f t="shared" ref="G214:N214" si="15">INDEX(G$16:G$19, MATCH($E$8, $C$16:$C$19, 0))</f>
        <v>550893.65157901857</v>
      </c>
      <c r="H214" s="1703">
        <f t="shared" si="15"/>
        <v>572717.76982884773</v>
      </c>
      <c r="I214" s="1703">
        <f t="shared" si="15"/>
        <v>594541.88807867677</v>
      </c>
      <c r="J214" s="1703">
        <f t="shared" si="15"/>
        <v>616366.00632850581</v>
      </c>
      <c r="K214" s="1703">
        <f t="shared" si="15"/>
        <v>638190.12457833486</v>
      </c>
      <c r="L214" s="1703">
        <f t="shared" si="15"/>
        <v>660014.24282816402</v>
      </c>
      <c r="M214" s="1703">
        <f t="shared" si="15"/>
        <v>681838.36107799306</v>
      </c>
      <c r="N214" s="1703">
        <f t="shared" si="15"/>
        <v>703662.4793278221</v>
      </c>
      <c r="P214" s="1077"/>
      <c r="Q214" s="1699"/>
      <c r="R214" s="1077"/>
      <c r="S214" s="1077"/>
      <c r="T214" s="1077"/>
    </row>
    <row r="215" spans="2:20" s="414" customFormat="1">
      <c r="B215" s="414" t="s">
        <v>219</v>
      </c>
      <c r="C215" s="414" t="s">
        <v>1303</v>
      </c>
      <c r="E215" s="1381" t="str">
        <f>Preferences.EnergyUnits &amp;" / litre"</f>
        <v>TWh / litre</v>
      </c>
      <c r="F215" s="1704">
        <f>Constants.GCV.Diesel*Constants.Density.Diesel</f>
        <v>9.3233058E-9</v>
      </c>
      <c r="G215" s="1705"/>
      <c r="H215" s="1705"/>
      <c r="I215" s="1705"/>
      <c r="J215" s="1705"/>
      <c r="K215" s="1705"/>
      <c r="L215" s="1705"/>
      <c r="M215" s="1705"/>
      <c r="N215" s="1705"/>
      <c r="P215" s="1706"/>
      <c r="Q215" s="1699"/>
      <c r="R215" s="1077"/>
      <c r="S215" s="1706"/>
      <c r="T215" s="1706"/>
    </row>
    <row r="216" spans="2:20">
      <c r="B216" s="991" t="s">
        <v>221</v>
      </c>
      <c r="C216" s="363" t="s">
        <v>1304</v>
      </c>
      <c r="D216" s="363"/>
      <c r="E216" s="364" t="str">
        <f>Preferences.EnergyUnits</f>
        <v>TWh</v>
      </c>
      <c r="F216" s="1382">
        <f>F214*$F$215</f>
        <v>4.932677048691326E-3</v>
      </c>
      <c r="G216" s="1382">
        <f t="shared" ref="G216:N216" si="16">G214*$F$215</f>
        <v>5.1361499769498426E-3</v>
      </c>
      <c r="H216" s="1382">
        <f t="shared" si="16"/>
        <v>5.339622905208361E-3</v>
      </c>
      <c r="I216" s="1382">
        <f t="shared" si="16"/>
        <v>5.5430958334668776E-3</v>
      </c>
      <c r="J216" s="1382">
        <f t="shared" si="16"/>
        <v>5.7465687617253951E-3</v>
      </c>
      <c r="K216" s="1382">
        <f t="shared" si="16"/>
        <v>5.9500416899839117E-3</v>
      </c>
      <c r="L216" s="1382">
        <f t="shared" si="16"/>
        <v>6.15351461824243E-3</v>
      </c>
      <c r="M216" s="1382">
        <f t="shared" si="16"/>
        <v>6.3569875465009466E-3</v>
      </c>
      <c r="N216" s="1382">
        <f t="shared" si="16"/>
        <v>6.5604604747594641E-3</v>
      </c>
      <c r="P216" s="1077"/>
      <c r="Q216" s="1699"/>
      <c r="R216" s="1077"/>
      <c r="S216" s="1077"/>
      <c r="T216" s="1077"/>
    </row>
    <row r="217" spans="2:20">
      <c r="E217" s="382"/>
      <c r="F217" s="1625"/>
      <c r="G217" s="1625"/>
      <c r="H217" s="1625"/>
      <c r="I217" s="1625"/>
      <c r="J217" s="1625"/>
      <c r="K217" s="1625"/>
      <c r="L217" s="1625"/>
      <c r="M217" s="1625"/>
      <c r="N217" s="1625"/>
      <c r="P217" s="1077"/>
      <c r="Q217" s="1699"/>
      <c r="R217" s="1077"/>
      <c r="S217" s="1077"/>
      <c r="T217" s="1077"/>
    </row>
    <row r="218" spans="2:20" s="6" customFormat="1">
      <c r="B218" s="363">
        <v>2</v>
      </c>
      <c r="C218" s="363" t="s">
        <v>1305</v>
      </c>
      <c r="E218" s="364" t="str">
        <f>Preferences.EnergyUnits</f>
        <v>TWh</v>
      </c>
      <c r="F218" s="1382">
        <f>INDEX(F$24:F$27, MATCH($E$8, $C$24:$C$27, 0))</f>
        <v>0</v>
      </c>
      <c r="G218" s="1382">
        <f t="shared" ref="G218:M218" si="17">INDEX(G$24:G$27, MATCH($E$8, $C$24:$C$27, 0))</f>
        <v>0</v>
      </c>
      <c r="H218" s="1382">
        <f t="shared" si="17"/>
        <v>0</v>
      </c>
      <c r="I218" s="1382">
        <f t="shared" si="17"/>
        <v>0</v>
      </c>
      <c r="J218" s="1382">
        <f t="shared" si="17"/>
        <v>0</v>
      </c>
      <c r="K218" s="1382">
        <f t="shared" si="17"/>
        <v>0</v>
      </c>
      <c r="L218" s="1382">
        <f t="shared" si="17"/>
        <v>0</v>
      </c>
      <c r="M218" s="1382">
        <f t="shared" si="17"/>
        <v>0</v>
      </c>
      <c r="N218" s="1382">
        <f>INDEX(N$24:N$27, MATCH($E$8, $C$24:$C$27, 0))</f>
        <v>0</v>
      </c>
      <c r="P218" s="656"/>
      <c r="Q218" s="1699"/>
      <c r="R218" s="1077"/>
      <c r="S218" s="656"/>
      <c r="T218" s="656"/>
    </row>
    <row r="219" spans="2:20" s="6" customFormat="1">
      <c r="B219" s="363"/>
      <c r="C219"/>
      <c r="E219" s="363"/>
      <c r="F219" s="1382"/>
      <c r="G219" s="1382"/>
      <c r="H219" s="1382"/>
      <c r="I219" s="1382"/>
      <c r="J219" s="1382"/>
      <c r="K219" s="1382"/>
      <c r="L219" s="1382"/>
      <c r="M219" s="1382"/>
      <c r="N219" s="1382"/>
      <c r="P219" s="656"/>
      <c r="Q219" s="1699"/>
      <c r="R219" s="1077"/>
      <c r="S219" s="656"/>
      <c r="T219" s="656"/>
    </row>
    <row r="220" spans="2:20" s="6" customFormat="1">
      <c r="B220" s="363">
        <v>3</v>
      </c>
      <c r="C220" s="363" t="s">
        <v>1306</v>
      </c>
      <c r="E220" s="363"/>
      <c r="F220" s="1382"/>
      <c r="G220" s="1382"/>
      <c r="H220" s="1382"/>
      <c r="I220" s="1382"/>
      <c r="J220" s="1382"/>
      <c r="K220" s="1382"/>
      <c r="L220" s="1382"/>
      <c r="M220" s="1382"/>
      <c r="N220" s="1382"/>
      <c r="P220" s="656"/>
      <c r="Q220" s="1699"/>
      <c r="R220" s="1077"/>
      <c r="S220" s="656"/>
      <c r="T220" s="656"/>
    </row>
    <row r="221" spans="2:20" s="6" customFormat="1">
      <c r="B221" s="363"/>
      <c r="C221" t="s">
        <v>1289</v>
      </c>
      <c r="D221"/>
      <c r="E221" s="382" t="s">
        <v>1273</v>
      </c>
      <c r="F221" s="1703">
        <f t="shared" ref="F221:N221" si="18">INDEX(F$48:F$51, MATCH($E$8, $C$48:$C$51, 0))</f>
        <v>6.2999999999999989</v>
      </c>
      <c r="G221" s="1703">
        <f t="shared" si="18"/>
        <v>6.559874999999999</v>
      </c>
      <c r="H221" s="1703">
        <f t="shared" si="18"/>
        <v>6.8197499999999991</v>
      </c>
      <c r="I221" s="1703">
        <f t="shared" si="18"/>
        <v>7.0796249999999992</v>
      </c>
      <c r="J221" s="1703">
        <f t="shared" si="18"/>
        <v>7.3394999999999992</v>
      </c>
      <c r="K221" s="1703">
        <f t="shared" si="18"/>
        <v>7.5993749999999984</v>
      </c>
      <c r="L221" s="1703">
        <f t="shared" si="18"/>
        <v>7.8592499999999994</v>
      </c>
      <c r="M221" s="1703">
        <f t="shared" si="18"/>
        <v>8.1191249999999986</v>
      </c>
      <c r="N221" s="1703">
        <f t="shared" si="18"/>
        <v>8.3789999999999996</v>
      </c>
      <c r="P221" s="656"/>
      <c r="Q221" s="1699"/>
      <c r="R221" s="1077"/>
      <c r="S221" s="656"/>
      <c r="T221" s="656"/>
    </row>
    <row r="222" spans="2:20" s="833" customFormat="1">
      <c r="B222" s="414" t="s">
        <v>219</v>
      </c>
      <c r="C222" s="414" t="s">
        <v>1307</v>
      </c>
      <c r="E222" s="414" t="str">
        <f>Preferences.EnergyUnits &amp; " / bn vehicle-km"</f>
        <v>TWh / bn vehicle-km</v>
      </c>
      <c r="F222" s="1707">
        <f t="shared" ref="F222:N222" si="19">INDEX(F$64:F$67, MATCH($E$8, $C$64:$C$67, 0))</f>
        <v>2.4500000000000002</v>
      </c>
      <c r="G222" s="1707">
        <f t="shared" si="19"/>
        <v>2.4012500000000001</v>
      </c>
      <c r="H222" s="1707">
        <f t="shared" si="19"/>
        <v>2.3525</v>
      </c>
      <c r="I222" s="1707">
        <f t="shared" si="19"/>
        <v>2.30375</v>
      </c>
      <c r="J222" s="1707">
        <f t="shared" si="19"/>
        <v>2.2549999999999999</v>
      </c>
      <c r="K222" s="1707">
        <f t="shared" si="19"/>
        <v>2.2062499999999998</v>
      </c>
      <c r="L222" s="1707">
        <f t="shared" si="19"/>
        <v>2.1575000000000002</v>
      </c>
      <c r="M222" s="1707">
        <f t="shared" si="19"/>
        <v>2.1087500000000001</v>
      </c>
      <c r="N222" s="1707">
        <f t="shared" si="19"/>
        <v>2.06</v>
      </c>
      <c r="P222" s="1708"/>
      <c r="Q222" s="1699"/>
      <c r="R222" s="1077"/>
      <c r="S222" s="1708"/>
      <c r="T222" s="1708"/>
    </row>
    <row r="223" spans="2:20" s="6" customFormat="1">
      <c r="B223" s="991" t="s">
        <v>221</v>
      </c>
      <c r="C223" s="363" t="s">
        <v>1304</v>
      </c>
      <c r="E223" s="364" t="str">
        <f>Preferences.EnergyUnits</f>
        <v>TWh</v>
      </c>
      <c r="F223" s="1327">
        <f>F221*F222</f>
        <v>15.434999999999999</v>
      </c>
      <c r="G223" s="1327">
        <f t="shared" ref="G223:N223" si="20">G221*G222</f>
        <v>15.751899843749998</v>
      </c>
      <c r="H223" s="1327">
        <f t="shared" si="20"/>
        <v>16.043461874999998</v>
      </c>
      <c r="I223" s="1327">
        <f t="shared" si="20"/>
        <v>16.309686093749999</v>
      </c>
      <c r="J223" s="1327">
        <f t="shared" si="20"/>
        <v>16.550572499999998</v>
      </c>
      <c r="K223" s="1327">
        <f t="shared" si="20"/>
        <v>16.766121093749994</v>
      </c>
      <c r="L223" s="1327">
        <f t="shared" si="20"/>
        <v>16.956331875</v>
      </c>
      <c r="M223" s="1327">
        <f t="shared" si="20"/>
        <v>17.121204843749997</v>
      </c>
      <c r="N223" s="1327">
        <f t="shared" si="20"/>
        <v>17.260739999999998</v>
      </c>
      <c r="P223" s="656"/>
      <c r="Q223" s="1699"/>
      <c r="R223" s="1077"/>
      <c r="S223" s="656"/>
      <c r="T223" s="656"/>
    </row>
    <row r="224" spans="2:20" s="6" customFormat="1">
      <c r="B224" s="363"/>
      <c r="C224"/>
      <c r="E224" s="363"/>
      <c r="F224" s="1327"/>
      <c r="G224" s="1327"/>
      <c r="H224" s="1327"/>
      <c r="I224" s="1327"/>
      <c r="J224" s="1327"/>
      <c r="K224" s="1327"/>
      <c r="L224" s="1327"/>
      <c r="M224" s="1327"/>
      <c r="N224" s="1327"/>
      <c r="P224" s="656"/>
      <c r="Q224" s="1699"/>
      <c r="R224" s="1077"/>
      <c r="S224" s="656"/>
      <c r="T224" s="656"/>
    </row>
    <row r="225" spans="2:20" s="6" customFormat="1">
      <c r="B225" s="363"/>
      <c r="C225" s="363" t="s">
        <v>1308</v>
      </c>
      <c r="E225" s="363"/>
      <c r="F225" s="1327"/>
      <c r="G225" s="1327"/>
      <c r="H225" s="1327"/>
      <c r="I225" s="1327"/>
      <c r="J225" s="1327"/>
      <c r="K225" s="1327"/>
      <c r="L225" s="1327"/>
      <c r="M225" s="1327"/>
      <c r="N225" s="1327"/>
      <c r="P225" s="656"/>
      <c r="Q225" s="1077"/>
      <c r="R225" s="1077"/>
      <c r="S225" s="656"/>
      <c r="T225" s="656"/>
    </row>
    <row r="226" spans="2:20" s="6" customFormat="1">
      <c r="B226" s="363"/>
      <c r="C226" t="s">
        <v>1289</v>
      </c>
      <c r="D226"/>
      <c r="E226" s="382" t="s">
        <v>1273</v>
      </c>
      <c r="F226" s="1703">
        <f t="shared" ref="F226:N226" si="21">INDEX(F$56:F$59, MATCH($E$8, $C$56:$C$59, 0))</f>
        <v>0</v>
      </c>
      <c r="G226" s="1703">
        <f t="shared" si="21"/>
        <v>0</v>
      </c>
      <c r="H226" s="1703">
        <f t="shared" si="21"/>
        <v>0</v>
      </c>
      <c r="I226" s="1703">
        <f t="shared" si="21"/>
        <v>0</v>
      </c>
      <c r="J226" s="1703">
        <f t="shared" si="21"/>
        <v>0</v>
      </c>
      <c r="K226" s="1703">
        <f t="shared" si="21"/>
        <v>0</v>
      </c>
      <c r="L226" s="1703">
        <f t="shared" si="21"/>
        <v>0</v>
      </c>
      <c r="M226" s="1703">
        <f t="shared" si="21"/>
        <v>0</v>
      </c>
      <c r="N226" s="1703">
        <f t="shared" si="21"/>
        <v>0</v>
      </c>
      <c r="P226" s="656"/>
      <c r="Q226" s="1701"/>
      <c r="R226" s="1077"/>
      <c r="S226" s="656"/>
      <c r="T226" s="656"/>
    </row>
    <row r="227" spans="2:20" s="833" customFormat="1">
      <c r="B227" s="414" t="s">
        <v>219</v>
      </c>
      <c r="C227" s="414" t="s">
        <v>1307</v>
      </c>
      <c r="E227" s="414" t="str">
        <f>Preferences.EnergyUnits &amp; " / bn vehicle-km"</f>
        <v>TWh / bn vehicle-km</v>
      </c>
      <c r="F227" s="1707">
        <f t="shared" ref="F227:N227" si="22">INDEX(F$72:F$75, MATCH($E$8, $C$72:$C$75, 0))</f>
        <v>0</v>
      </c>
      <c r="G227" s="1707">
        <f t="shared" si="22"/>
        <v>0.67051608023540099</v>
      </c>
      <c r="H227" s="1707">
        <f t="shared" si="22"/>
        <v>0.57013862986447805</v>
      </c>
      <c r="I227" s="1707">
        <f t="shared" si="22"/>
        <v>0.469761179493555</v>
      </c>
      <c r="J227" s="1707">
        <f t="shared" si="22"/>
        <v>0.36938372912263301</v>
      </c>
      <c r="K227" s="1707">
        <f t="shared" si="22"/>
        <v>0.356592792904803</v>
      </c>
      <c r="L227" s="1707">
        <f t="shared" si="22"/>
        <v>0.34380185668697399</v>
      </c>
      <c r="M227" s="1707">
        <f t="shared" si="22"/>
        <v>0.33104397198391999</v>
      </c>
      <c r="N227" s="1707">
        <f t="shared" si="22"/>
        <v>0.31828608728086499</v>
      </c>
      <c r="P227" s="1708"/>
      <c r="Q227" s="1702"/>
      <c r="R227" s="1077"/>
      <c r="S227" s="1708"/>
      <c r="T227" s="1708"/>
    </row>
    <row r="228" spans="2:20" s="6" customFormat="1">
      <c r="B228" s="991" t="s">
        <v>221</v>
      </c>
      <c r="C228" s="363" t="s">
        <v>1304</v>
      </c>
      <c r="E228" s="364" t="str">
        <f>Preferences.EnergyUnits</f>
        <v>TWh</v>
      </c>
      <c r="F228" s="1327">
        <f>F226*F227</f>
        <v>0</v>
      </c>
      <c r="G228" s="1327">
        <f t="shared" ref="G228:N228" si="23">G226*G227</f>
        <v>0</v>
      </c>
      <c r="H228" s="1327">
        <f t="shared" si="23"/>
        <v>0</v>
      </c>
      <c r="I228" s="1327">
        <f t="shared" si="23"/>
        <v>0</v>
      </c>
      <c r="J228" s="1327">
        <f t="shared" si="23"/>
        <v>0</v>
      </c>
      <c r="K228" s="1327">
        <f t="shared" si="23"/>
        <v>0</v>
      </c>
      <c r="L228" s="1327">
        <f t="shared" si="23"/>
        <v>0</v>
      </c>
      <c r="M228" s="1327">
        <f t="shared" si="23"/>
        <v>0</v>
      </c>
      <c r="N228" s="1327">
        <f t="shared" si="23"/>
        <v>0</v>
      </c>
      <c r="P228" s="656"/>
      <c r="Q228" s="1698"/>
      <c r="R228" s="1077"/>
      <c r="S228" s="656"/>
      <c r="T228" s="656"/>
    </row>
    <row r="229" spans="2:20" s="6" customFormat="1">
      <c r="B229" s="991"/>
      <c r="C229" s="363"/>
      <c r="E229" s="364"/>
      <c r="F229" s="1327"/>
      <c r="G229" s="1327"/>
      <c r="H229" s="1327"/>
      <c r="I229" s="1327"/>
      <c r="J229" s="1327"/>
      <c r="K229" s="1327"/>
      <c r="L229" s="1327"/>
      <c r="M229" s="1327"/>
      <c r="N229" s="1327"/>
      <c r="P229" s="656"/>
      <c r="Q229" s="1699"/>
      <c r="R229" s="1077"/>
      <c r="S229" s="656"/>
      <c r="T229" s="656"/>
    </row>
    <row r="230" spans="2:20" s="6" customFormat="1">
      <c r="B230" s="363"/>
      <c r="C230"/>
      <c r="E230" s="363"/>
      <c r="F230" s="1327"/>
      <c r="G230" s="1327"/>
      <c r="H230" s="1327"/>
      <c r="I230" s="1327"/>
      <c r="J230" s="1327"/>
      <c r="K230" s="1327"/>
      <c r="L230" s="1327"/>
      <c r="M230" s="1327"/>
      <c r="N230" s="1327"/>
      <c r="P230" s="656"/>
      <c r="Q230" s="1699"/>
      <c r="R230" s="1077"/>
      <c r="S230" s="656"/>
      <c r="T230" s="656"/>
    </row>
    <row r="231" spans="2:20" s="6" customFormat="1">
      <c r="B231" s="363">
        <v>4</v>
      </c>
      <c r="C231" s="363" t="s">
        <v>1284</v>
      </c>
      <c r="E231" s="364" t="str">
        <f>Preferences.EnergyUnits</f>
        <v>TWh</v>
      </c>
      <c r="F231" s="1327">
        <f>INDEX(F$80:F$83, MATCH($E$8, $C$80:$C$83, 0))</f>
        <v>0.66</v>
      </c>
      <c r="G231" s="1327">
        <f t="shared" ref="G231:N231" si="24">INDEX(G$80:G$83, MATCH($E$8, $C$80:$C$83, 0))</f>
        <v>0.66</v>
      </c>
      <c r="H231" s="1327">
        <f t="shared" si="24"/>
        <v>0.66</v>
      </c>
      <c r="I231" s="1327">
        <f t="shared" si="24"/>
        <v>0.66</v>
      </c>
      <c r="J231" s="1327">
        <f t="shared" si="24"/>
        <v>0.66</v>
      </c>
      <c r="K231" s="1327">
        <f t="shared" si="24"/>
        <v>0.66</v>
      </c>
      <c r="L231" s="1327">
        <f t="shared" si="24"/>
        <v>0.66</v>
      </c>
      <c r="M231" s="1327">
        <f t="shared" si="24"/>
        <v>0.66</v>
      </c>
      <c r="N231" s="1327">
        <f t="shared" si="24"/>
        <v>0.66</v>
      </c>
      <c r="P231" s="656"/>
      <c r="Q231" s="1699"/>
      <c r="R231" s="1077"/>
      <c r="S231" s="656"/>
      <c r="T231" s="656"/>
    </row>
    <row r="232" spans="2:20" s="6" customFormat="1">
      <c r="B232" s="363"/>
      <c r="C232"/>
      <c r="E232" s="363"/>
      <c r="F232" s="1382"/>
      <c r="G232" s="1382"/>
      <c r="H232" s="1382"/>
      <c r="I232" s="1382"/>
      <c r="J232" s="1382"/>
      <c r="K232" s="1382"/>
      <c r="L232" s="1382"/>
      <c r="M232" s="1382"/>
      <c r="N232" s="1382"/>
      <c r="P232" s="656"/>
      <c r="Q232" s="1699"/>
      <c r="R232" s="1077"/>
      <c r="S232" s="656"/>
      <c r="T232" s="656"/>
    </row>
    <row r="233" spans="2:20" s="6" customFormat="1">
      <c r="B233" s="381">
        <v>5</v>
      </c>
      <c r="C233" s="363" t="s">
        <v>1309</v>
      </c>
      <c r="F233" s="366"/>
      <c r="G233" s="366"/>
      <c r="H233" s="366"/>
      <c r="I233" s="366"/>
      <c r="J233" s="366"/>
      <c r="K233" s="366"/>
      <c r="L233" s="366"/>
      <c r="M233" s="366"/>
      <c r="N233" s="366"/>
      <c r="P233" s="656"/>
      <c r="Q233" s="1699"/>
      <c r="R233" s="1077"/>
      <c r="S233" s="656"/>
      <c r="T233" s="656"/>
    </row>
    <row r="234" spans="2:20" s="6" customFormat="1">
      <c r="B234" s="363"/>
      <c r="C234"/>
      <c r="F234" s="992"/>
      <c r="G234" s="992"/>
      <c r="H234" s="992"/>
      <c r="I234" s="992"/>
      <c r="J234" s="992"/>
      <c r="K234" s="992"/>
      <c r="L234" s="992"/>
      <c r="M234" s="992"/>
      <c r="N234" s="992"/>
      <c r="P234" s="656"/>
      <c r="Q234" s="1699"/>
      <c r="R234" s="1077"/>
      <c r="S234" s="656"/>
      <c r="T234" s="656"/>
    </row>
    <row r="235" spans="2:20" s="6" customFormat="1">
      <c r="B235" s="363"/>
      <c r="C235" t="s">
        <v>1310</v>
      </c>
      <c r="F235" s="992"/>
      <c r="G235" s="992"/>
      <c r="H235" s="992"/>
      <c r="I235" s="992"/>
      <c r="J235" s="992"/>
      <c r="K235" s="992"/>
      <c r="L235" s="992"/>
      <c r="M235" s="992"/>
      <c r="N235" s="992"/>
      <c r="P235" s="656"/>
      <c r="Q235" s="1699"/>
      <c r="R235" s="1077"/>
      <c r="S235" s="656"/>
      <c r="T235" s="656"/>
    </row>
    <row r="236" spans="2:20" s="6" customFormat="1">
      <c r="B236"/>
      <c r="C236" t="s">
        <v>253</v>
      </c>
      <c r="E236" s="6" t="s">
        <v>254</v>
      </c>
      <c r="F236" s="992">
        <f>(F$216+F$223+F$231)*INDEX(EF[CO2],MATCH("V.04",EF[Vector],0))</f>
        <v>4.2484502348196074</v>
      </c>
      <c r="G236" s="992">
        <f>(G$216+G$223+G$231)*INDEX(EF[CO2],MATCH("V.04",EF[Vector],0))</f>
        <v>4.332127458024666</v>
      </c>
      <c r="H236" s="992">
        <f>(H$216+H$223+H$231)*INDEX(EF[CO2],MATCH("V.04",EF[Vector],0))</f>
        <v>4.409118539267225</v>
      </c>
      <c r="I236" s="992">
        <f>(I$216+I$223+I$231)*INDEX(EF[CO2],MATCH("V.04",EF[Vector],0))</f>
        <v>4.4794234785472842</v>
      </c>
      <c r="J236" s="992">
        <f>(J$216+J$223+J$231)*INDEX(EF[CO2],MATCH("V.04",EF[Vector],0))</f>
        <v>4.5430422758648428</v>
      </c>
      <c r="K236" s="992">
        <f>(K$216+K$223+K$231)*INDEX(EF[CO2],MATCH("V.04",EF[Vector],0))</f>
        <v>4.5999749312199008</v>
      </c>
      <c r="L236" s="992">
        <f>(L$216+L$223+L$231)*INDEX(EF[CO2],MATCH("V.04",EF[Vector],0))</f>
        <v>4.6502214446124608</v>
      </c>
      <c r="M236" s="992">
        <f>(M$216+M$223+M$231)*INDEX(EF[CO2],MATCH("V.04",EF[Vector],0))</f>
        <v>4.6937818160425184</v>
      </c>
      <c r="N236" s="992">
        <f>(N$216+N$223+N$231)*INDEX(EF[CO2],MATCH("V.04",EF[Vector],0))</f>
        <v>4.7306560455100781</v>
      </c>
      <c r="P236" s="656"/>
      <c r="Q236" s="1699"/>
      <c r="R236" s="1077"/>
      <c r="S236" s="656"/>
      <c r="T236" s="656"/>
    </row>
    <row r="237" spans="2:20" s="6" customFormat="1">
      <c r="B237"/>
      <c r="C237" t="s">
        <v>255</v>
      </c>
      <c r="E237" s="6" t="s">
        <v>254</v>
      </c>
      <c r="F237" s="992">
        <f>(F$216+F$223+F$231)*INDEX(EF[CH4],MATCH("V.04",EF[Vector],0))</f>
        <v>3.6514647311546426E-3</v>
      </c>
      <c r="G237" s="992">
        <f>(G$216+G$223+G$231)*INDEX(EF[CH4],MATCH("V.04",EF[Vector],0))</f>
        <v>3.7233837633772718E-3</v>
      </c>
      <c r="H237" s="992">
        <f>(H$216+H$223+H$231)*INDEX(EF[CH4],MATCH("V.04",EF[Vector],0))</f>
        <v>3.7895561797249011E-3</v>
      </c>
      <c r="I237" s="992">
        <f>(I$216+I$223+I$231)*INDEX(EF[CH4],MATCH("V.04",EF[Vector],0))</f>
        <v>3.8499819801975301E-3</v>
      </c>
      <c r="J237" s="992">
        <f>(J$216+J$223+J$231)*INDEX(EF[CH4],MATCH("V.04",EF[Vector],0))</f>
        <v>3.9046611647951591E-3</v>
      </c>
      <c r="K237" s="992">
        <f>(K$216+K$223+K$231)*INDEX(EF[CH4],MATCH("V.04",EF[Vector],0))</f>
        <v>3.9535937335177873E-3</v>
      </c>
      <c r="L237" s="992">
        <f>(L$216+L$223+L$231)*INDEX(EF[CH4],MATCH("V.04",EF[Vector],0))</f>
        <v>3.9967796863654174E-3</v>
      </c>
      <c r="M237" s="992">
        <f>(M$216+M$223+M$231)*INDEX(EF[CH4],MATCH("V.04",EF[Vector],0))</f>
        <v>4.0342190233380454E-3</v>
      </c>
      <c r="N237" s="992">
        <f>(N$216+N$223+N$231)*INDEX(EF[CH4],MATCH("V.04",EF[Vector],0))</f>
        <v>4.0659117444356756E-3</v>
      </c>
      <c r="P237" s="656"/>
      <c r="Q237" s="1699"/>
      <c r="R237" s="1077"/>
      <c r="S237" s="656"/>
      <c r="T237" s="656"/>
    </row>
    <row r="238" spans="2:20" s="6" customFormat="1">
      <c r="B238"/>
      <c r="C238" t="s">
        <v>256</v>
      </c>
      <c r="E238" s="6" t="s">
        <v>254</v>
      </c>
      <c r="F238" s="992">
        <f>(F$216+F$223+F$231)*INDEX(EF[N2O],MATCH("V.04",EF[Vector],0))</f>
        <v>1.0780514920551801E-2</v>
      </c>
      <c r="G238" s="992">
        <f>(G$216+G$223+G$231)*INDEX(EF[N2O],MATCH("V.04",EF[Vector],0))</f>
        <v>1.0992847301399565E-2</v>
      </c>
      <c r="H238" s="992">
        <f>(H$216+H$223+H$231)*INDEX(EF[N2O],MATCH("V.04",EF[Vector],0))</f>
        <v>1.1188213482997327E-2</v>
      </c>
      <c r="I238" s="992">
        <f>(I$216+I$223+I$231)*INDEX(EF[N2O],MATCH("V.04",EF[Vector],0))</f>
        <v>1.1366613465345088E-2</v>
      </c>
      <c r="J238" s="992">
        <f>(J$216+J$223+J$231)*INDEX(EF[N2O],MATCH("V.04",EF[Vector],0))</f>
        <v>1.1528047248442851E-2</v>
      </c>
      <c r="K238" s="992">
        <f>(K$216+K$223+K$231)*INDEX(EF[N2O],MATCH("V.04",EF[Vector],0))</f>
        <v>1.167251483229061E-2</v>
      </c>
      <c r="L238" s="992">
        <f>(L$216+L$223+L$231)*INDEX(EF[N2O],MATCH("V.04",EF[Vector],0))</f>
        <v>1.1800016216888374E-2</v>
      </c>
      <c r="M238" s="992">
        <f>(M$216+M$223+M$231)*INDEX(EF[N2O],MATCH("V.04",EF[Vector],0))</f>
        <v>1.1910551402236135E-2</v>
      </c>
      <c r="N238" s="992">
        <f>(N$216+N$223+N$231)*INDEX(EF[N2O],MATCH("V.04",EF[Vector],0))</f>
        <v>1.2004120388333898E-2</v>
      </c>
      <c r="P238" s="656"/>
      <c r="Q238" s="1699"/>
      <c r="R238" s="1077"/>
      <c r="S238" s="656"/>
      <c r="T238" s="656"/>
    </row>
    <row r="239" spans="2:20" s="6" customFormat="1">
      <c r="B239" s="363"/>
      <c r="C239"/>
      <c r="F239" s="992"/>
      <c r="G239" s="992"/>
      <c r="H239" s="992"/>
      <c r="I239" s="992"/>
      <c r="J239" s="992"/>
      <c r="K239" s="992"/>
      <c r="L239" s="992"/>
      <c r="M239" s="992"/>
      <c r="N239" s="992"/>
      <c r="P239" s="656"/>
      <c r="Q239" s="1699"/>
      <c r="R239" s="1077"/>
      <c r="S239" s="656"/>
      <c r="T239" s="656"/>
    </row>
    <row r="240" spans="2:20" s="6" customFormat="1">
      <c r="B240" s="363">
        <v>6</v>
      </c>
      <c r="C240" s="363" t="s">
        <v>1311</v>
      </c>
      <c r="D240" s="363"/>
      <c r="E240" s="363"/>
      <c r="F240" s="1327"/>
      <c r="G240" s="1327"/>
      <c r="H240" s="1327"/>
      <c r="I240" s="1327"/>
      <c r="J240" s="1327"/>
      <c r="K240" s="1327"/>
      <c r="L240" s="1327"/>
      <c r="M240" s="1327"/>
      <c r="N240" s="1327"/>
      <c r="P240" s="656"/>
      <c r="Q240" s="1700"/>
      <c r="R240" s="1077"/>
      <c r="S240" s="656"/>
      <c r="T240" s="656"/>
    </row>
    <row r="241" spans="1:20" s="6" customFormat="1">
      <c r="B241" s="363"/>
      <c r="C241" s="363"/>
      <c r="D241" s="363"/>
      <c r="E241" s="363"/>
      <c r="F241" s="1327"/>
      <c r="G241" s="1327"/>
      <c r="H241" s="1327"/>
      <c r="I241" s="1327"/>
      <c r="J241" s="1327"/>
      <c r="K241" s="1327"/>
      <c r="L241" s="1327"/>
      <c r="M241" s="1327"/>
      <c r="N241" s="1327"/>
      <c r="P241" s="656"/>
      <c r="Q241" s="1077"/>
      <c r="R241" s="1077"/>
      <c r="S241" s="656"/>
      <c r="T241" s="656"/>
    </row>
    <row r="242" spans="1:20" s="6" customFormat="1">
      <c r="B242" s="363"/>
      <c r="C242" s="1334" t="s">
        <v>1216</v>
      </c>
      <c r="D242" s="2"/>
      <c r="E242" s="363"/>
      <c r="F242" s="1327"/>
      <c r="G242" s="1327"/>
      <c r="H242" s="1327"/>
      <c r="I242" s="1327"/>
      <c r="J242" s="1327"/>
      <c r="K242" s="1327"/>
      <c r="L242" s="1327"/>
      <c r="M242" s="1327"/>
      <c r="N242" s="382" t="s">
        <v>1273</v>
      </c>
      <c r="P242" s="656"/>
      <c r="Q242" s="1077"/>
      <c r="R242" s="1077"/>
      <c r="S242" s="656"/>
      <c r="T242" s="656"/>
    </row>
    <row r="243" spans="1:20" s="6" customFormat="1">
      <c r="B243" s="363"/>
      <c r="C243" s="367" t="s">
        <v>1010</v>
      </c>
      <c r="D243" t="s">
        <v>45</v>
      </c>
      <c r="E243" s="363"/>
      <c r="F243" s="1327"/>
      <c r="G243" s="1327"/>
      <c r="H243" s="1327"/>
      <c r="I243" s="1327"/>
      <c r="J243" s="1327"/>
      <c r="K243" s="1327"/>
      <c r="L243" s="1327"/>
      <c r="M243" s="1327"/>
      <c r="N243" s="1327"/>
      <c r="P243" s="656"/>
      <c r="Q243" s="1077"/>
      <c r="R243" s="1077"/>
      <c r="S243" s="656"/>
      <c r="T243" s="656"/>
    </row>
    <row r="244" spans="1:20" s="6" customFormat="1">
      <c r="B244" s="363"/>
      <c r="C244" s="1077" t="s">
        <v>1286</v>
      </c>
      <c r="D244" s="1709" t="s">
        <v>1287</v>
      </c>
      <c r="E244" s="363"/>
      <c r="F244" s="1619">
        <f>IF($E$8=1,F32,IF($E$8=2,F33,IF($E$8=3,F34,IF($E$8=4,F35))))</f>
        <v>1.9299999999999997E-4</v>
      </c>
      <c r="G244" s="1619">
        <f t="shared" ref="G244:N244" si="25">IF($E$8=1,G32,IF($E$8=2,G33,IF($E$8=3,G34,IF($E$8=4,G35))))</f>
        <v>2.0096124999999999E-4</v>
      </c>
      <c r="H244" s="1619">
        <f t="shared" si="25"/>
        <v>2.0892249999999998E-4</v>
      </c>
      <c r="I244" s="1619">
        <f t="shared" si="25"/>
        <v>2.1688375E-4</v>
      </c>
      <c r="J244" s="1619">
        <f t="shared" si="25"/>
        <v>2.2484499999999999E-4</v>
      </c>
      <c r="K244" s="1619">
        <f t="shared" si="25"/>
        <v>2.3280624999999998E-4</v>
      </c>
      <c r="L244" s="1619">
        <f t="shared" si="25"/>
        <v>2.4076749999999997E-4</v>
      </c>
      <c r="M244" s="1619">
        <f t="shared" si="25"/>
        <v>2.4872874999999997E-4</v>
      </c>
      <c r="N244" s="1619">
        <f t="shared" si="25"/>
        <v>2.5669000000000001E-4</v>
      </c>
      <c r="P244" s="656"/>
      <c r="Q244" s="1077"/>
      <c r="R244" s="1077"/>
      <c r="S244" s="656"/>
      <c r="T244" s="656"/>
    </row>
    <row r="245" spans="1:20" s="6" customFormat="1">
      <c r="B245" s="363"/>
      <c r="C245" s="1077" t="s">
        <v>1286</v>
      </c>
      <c r="D245" s="656" t="s">
        <v>1288</v>
      </c>
      <c r="E245" s="363"/>
      <c r="F245" s="1619">
        <f>IF($E$8=1,F40,IF($E$8=2,F41,IF($E$8=3,F42,IF($E$8=4,F43))))</f>
        <v>0</v>
      </c>
      <c r="G245" s="1619">
        <f t="shared" ref="G245:N245" si="26">IF($E$8=1,G40,IF($E$8=2,G41,IF($E$8=3,G42,IF($E$8=4,G43))))</f>
        <v>0</v>
      </c>
      <c r="H245" s="1619">
        <f t="shared" si="26"/>
        <v>0</v>
      </c>
      <c r="I245" s="1619">
        <f t="shared" si="26"/>
        <v>0</v>
      </c>
      <c r="J245" s="1619">
        <f t="shared" si="26"/>
        <v>0</v>
      </c>
      <c r="K245" s="1619">
        <f t="shared" si="26"/>
        <v>0</v>
      </c>
      <c r="L245" s="1619">
        <f t="shared" si="26"/>
        <v>0</v>
      </c>
      <c r="M245" s="1619">
        <f t="shared" si="26"/>
        <v>0</v>
      </c>
      <c r="N245" s="1619">
        <f t="shared" si="26"/>
        <v>0</v>
      </c>
      <c r="P245" s="656"/>
      <c r="Q245" s="1077"/>
      <c r="R245" s="1077"/>
      <c r="S245" s="656"/>
      <c r="T245" s="656"/>
    </row>
    <row r="246" spans="1:20" s="6" customFormat="1">
      <c r="B246" s="363"/>
      <c r="C246" s="1077" t="s">
        <v>1289</v>
      </c>
      <c r="D246" s="656" t="s">
        <v>1290</v>
      </c>
      <c r="E246" s="363"/>
      <c r="F246" s="1619">
        <f>IF($E$8=1,F48,IF($E$8=2,F49,IF($E$8=3,F50,IF($E$8=4,F51))))</f>
        <v>6.2999999999999989</v>
      </c>
      <c r="G246" s="1619">
        <f t="shared" ref="G246:N246" si="27">IF($E$8=1,G48,IF($E$8=2,G49,IF($E$8=3,G50,IF($E$8=4,G51))))</f>
        <v>6.559874999999999</v>
      </c>
      <c r="H246" s="1619">
        <f t="shared" si="27"/>
        <v>6.8197499999999991</v>
      </c>
      <c r="I246" s="1619">
        <f t="shared" si="27"/>
        <v>7.0796249999999992</v>
      </c>
      <c r="J246" s="1619">
        <f t="shared" si="27"/>
        <v>7.3394999999999992</v>
      </c>
      <c r="K246" s="1619">
        <f t="shared" si="27"/>
        <v>7.5993749999999984</v>
      </c>
      <c r="L246" s="1619">
        <f t="shared" si="27"/>
        <v>7.8592499999999994</v>
      </c>
      <c r="M246" s="1619">
        <f t="shared" si="27"/>
        <v>8.1191249999999986</v>
      </c>
      <c r="N246" s="1619">
        <f t="shared" si="27"/>
        <v>8.3789999999999996</v>
      </c>
      <c r="P246" s="656"/>
      <c r="Q246" s="1077"/>
      <c r="R246" s="1077"/>
      <c r="S246" s="656"/>
      <c r="T246" s="656"/>
    </row>
    <row r="247" spans="1:20" s="6" customFormat="1">
      <c r="B247" s="363"/>
      <c r="C247" s="1077" t="s">
        <v>1289</v>
      </c>
      <c r="D247" s="1710" t="s">
        <v>1291</v>
      </c>
      <c r="E247" s="363"/>
      <c r="F247" s="1619">
        <f>IF($E$8=1,F56,IF($E$8=2,F57,IF($E$8=3,F58,IF($E$8=4,F59))))</f>
        <v>0</v>
      </c>
      <c r="G247" s="1619">
        <f t="shared" ref="G247:N247" si="28">IF($E$8=1,G56,IF($E$8=2,G57,IF($E$8=3,G58,IF($E$8=4,G59))))</f>
        <v>0</v>
      </c>
      <c r="H247" s="1619">
        <f t="shared" si="28"/>
        <v>0</v>
      </c>
      <c r="I247" s="1619">
        <f t="shared" si="28"/>
        <v>0</v>
      </c>
      <c r="J247" s="1619">
        <f t="shared" si="28"/>
        <v>0</v>
      </c>
      <c r="K247" s="1619">
        <f t="shared" si="28"/>
        <v>0</v>
      </c>
      <c r="L247" s="1619">
        <f t="shared" si="28"/>
        <v>0</v>
      </c>
      <c r="M247" s="1619">
        <f t="shared" si="28"/>
        <v>0</v>
      </c>
      <c r="N247" s="1619">
        <f t="shared" si="28"/>
        <v>0</v>
      </c>
      <c r="P247" s="656"/>
      <c r="Q247" s="1077"/>
      <c r="R247" s="1077"/>
      <c r="S247" s="656"/>
      <c r="T247" s="656"/>
    </row>
    <row r="248" spans="1:20" s="6" customFormat="1">
      <c r="B248" s="363"/>
      <c r="C248"/>
      <c r="F248" s="992"/>
      <c r="G248" s="992"/>
      <c r="H248" s="992"/>
      <c r="I248" s="992"/>
      <c r="J248" s="992"/>
      <c r="K248" s="992"/>
      <c r="L248" s="992"/>
      <c r="M248" s="992"/>
      <c r="N248" s="992"/>
      <c r="P248" s="656"/>
      <c r="Q248" s="1077"/>
      <c r="R248" s="1077"/>
      <c r="S248" s="656"/>
      <c r="T248" s="656"/>
    </row>
    <row r="249" spans="1:20" s="6" customFormat="1">
      <c r="A249" s="363"/>
      <c r="B249" s="363" t="s">
        <v>1312</v>
      </c>
      <c r="C249" s="363" t="s">
        <v>2805</v>
      </c>
      <c r="D249" s="363"/>
      <c r="E249" s="363"/>
      <c r="F249" s="1327"/>
      <c r="G249" s="1327"/>
      <c r="H249" s="1327"/>
      <c r="I249" s="1327"/>
      <c r="J249" s="1327"/>
      <c r="K249" s="1327"/>
      <c r="L249" s="1327"/>
      <c r="M249" s="1327"/>
      <c r="N249" s="1327"/>
      <c r="P249" s="656"/>
      <c r="Q249" s="1077"/>
      <c r="R249" s="1077"/>
      <c r="S249" s="656"/>
      <c r="T249" s="656"/>
    </row>
    <row r="250" spans="1:20" s="6" customFormat="1" hidden="1">
      <c r="A250" s="363"/>
      <c r="B250" s="988"/>
      <c r="C250" s="363"/>
      <c r="D250" s="363"/>
      <c r="E250" s="363"/>
      <c r="F250" s="1327"/>
      <c r="G250" s="1327"/>
      <c r="H250" s="1327"/>
      <c r="I250" s="1327"/>
      <c r="J250" s="1327"/>
      <c r="K250" s="1327"/>
      <c r="L250" s="1327"/>
      <c r="M250" s="1327"/>
      <c r="N250" s="1327"/>
      <c r="P250" s="656"/>
      <c r="Q250" s="1077"/>
      <c r="R250" s="1077"/>
      <c r="S250" s="656"/>
      <c r="T250" s="656"/>
    </row>
    <row r="251" spans="1:20" s="6" customFormat="1" hidden="1">
      <c r="A251" s="363"/>
      <c r="B251" s="367"/>
      <c r="C251" s="1334" t="s">
        <v>1216</v>
      </c>
      <c r="D251" s="2"/>
      <c r="E251" s="363"/>
      <c r="F251" s="1327"/>
      <c r="G251" s="1327"/>
      <c r="H251" s="1327"/>
      <c r="I251" s="1327"/>
      <c r="J251" s="1327"/>
      <c r="K251" s="1327"/>
      <c r="L251" s="1327"/>
      <c r="M251" s="1327"/>
      <c r="N251" s="382" t="s">
        <v>1313</v>
      </c>
      <c r="P251" s="656"/>
      <c r="Q251" s="1077"/>
      <c r="R251" s="1077"/>
      <c r="S251" s="656"/>
      <c r="T251" s="656"/>
    </row>
    <row r="252" spans="1:20" s="6" customFormat="1" hidden="1">
      <c r="A252" s="363"/>
      <c r="B252" s="988"/>
      <c r="C252" s="367" t="s">
        <v>1010</v>
      </c>
      <c r="D252" t="s">
        <v>45</v>
      </c>
      <c r="E252" s="363"/>
      <c r="F252" s="1629">
        <v>2013</v>
      </c>
      <c r="G252" s="1629">
        <v>2015</v>
      </c>
      <c r="H252" s="1629">
        <v>2020</v>
      </c>
      <c r="I252" s="1629">
        <v>2025</v>
      </c>
      <c r="J252" s="1629">
        <v>2030</v>
      </c>
      <c r="K252" s="1629">
        <v>2035</v>
      </c>
      <c r="L252" s="1629">
        <v>2040</v>
      </c>
      <c r="M252" s="1629">
        <v>2045</v>
      </c>
      <c r="N252" s="1629">
        <v>2050</v>
      </c>
      <c r="P252" s="656"/>
      <c r="Q252" s="656"/>
      <c r="R252" s="656"/>
      <c r="S252" s="656"/>
      <c r="T252" s="656"/>
    </row>
    <row r="253" spans="1:20" s="6" customFormat="1" hidden="1">
      <c r="A253" s="363"/>
      <c r="B253" s="988"/>
      <c r="C253" s="1077" t="s">
        <v>1286</v>
      </c>
      <c r="D253" s="1709" t="s">
        <v>1287</v>
      </c>
      <c r="E253" s="363"/>
      <c r="F253" s="1619">
        <f>F244*1000000000/F$96</f>
        <v>3.980250188297799</v>
      </c>
      <c r="G253" s="1619">
        <f t="shared" ref="G253:N254" si="29">G244*1000000000/G$96</f>
        <v>4.1444355085650839</v>
      </c>
      <c r="H253" s="1619">
        <f t="shared" si="29"/>
        <v>4.3086208288323675</v>
      </c>
      <c r="I253" s="1619">
        <f t="shared" si="29"/>
        <v>4.472806149099652</v>
      </c>
      <c r="J253" s="1619">
        <f t="shared" si="29"/>
        <v>4.6369914693669365</v>
      </c>
      <c r="K253" s="1619">
        <f t="shared" si="29"/>
        <v>4.8011767896342201</v>
      </c>
      <c r="L253" s="1619">
        <f t="shared" si="29"/>
        <v>4.9653621099015046</v>
      </c>
      <c r="M253" s="1619">
        <f t="shared" si="29"/>
        <v>5.1295474301687891</v>
      </c>
      <c r="N253" s="1619">
        <f t="shared" si="29"/>
        <v>5.2937327504360736</v>
      </c>
      <c r="P253" s="656"/>
      <c r="Q253" s="656"/>
      <c r="R253" s="656"/>
      <c r="S253" s="656"/>
      <c r="T253" s="656"/>
    </row>
    <row r="254" spans="1:20" s="6" customFormat="1" hidden="1">
      <c r="A254" s="363"/>
      <c r="B254" s="988"/>
      <c r="C254" s="1077" t="s">
        <v>1286</v>
      </c>
      <c r="D254" s="656" t="s">
        <v>1288</v>
      </c>
      <c r="E254" s="363"/>
      <c r="F254" s="1619">
        <f>F245*1000000000/F$96</f>
        <v>0</v>
      </c>
      <c r="G254" s="1619">
        <f t="shared" si="29"/>
        <v>0</v>
      </c>
      <c r="H254" s="1619">
        <f t="shared" si="29"/>
        <v>0</v>
      </c>
      <c r="I254" s="1619">
        <f t="shared" si="29"/>
        <v>0</v>
      </c>
      <c r="J254" s="1619">
        <f t="shared" si="29"/>
        <v>0</v>
      </c>
      <c r="K254" s="1619">
        <f t="shared" si="29"/>
        <v>0</v>
      </c>
      <c r="L254" s="1619">
        <f t="shared" si="29"/>
        <v>0</v>
      </c>
      <c r="M254" s="1619">
        <f t="shared" si="29"/>
        <v>0</v>
      </c>
      <c r="N254" s="1619">
        <f t="shared" si="29"/>
        <v>0</v>
      </c>
      <c r="P254" s="656"/>
      <c r="Q254" s="656"/>
      <c r="R254" s="656"/>
      <c r="S254" s="656"/>
      <c r="T254" s="656"/>
    </row>
    <row r="255" spans="1:20" s="6" customFormat="1" hidden="1">
      <c r="A255" s="363"/>
      <c r="B255" s="988"/>
      <c r="C255" s="1077" t="s">
        <v>1289</v>
      </c>
      <c r="D255" s="656" t="s">
        <v>1290</v>
      </c>
      <c r="E255" s="363"/>
      <c r="F255" s="1619">
        <f>F246*1000000000/F$95*0.82</f>
        <v>255489.61424332339</v>
      </c>
      <c r="G255" s="1619">
        <f t="shared" ref="G255:N256" si="30">G246*1000000000/G$95*0.82</f>
        <v>266028.56083086046</v>
      </c>
      <c r="H255" s="1619">
        <f t="shared" si="30"/>
        <v>276567.50741839758</v>
      </c>
      <c r="I255" s="1619">
        <f t="shared" si="30"/>
        <v>287106.45400593471</v>
      </c>
      <c r="J255" s="1619">
        <f t="shared" si="30"/>
        <v>297645.40059347177</v>
      </c>
      <c r="K255" s="1619">
        <f t="shared" si="30"/>
        <v>308184.34718100884</v>
      </c>
      <c r="L255" s="1619">
        <f t="shared" si="30"/>
        <v>318723.2937685459</v>
      </c>
      <c r="M255" s="1619">
        <f t="shared" si="30"/>
        <v>329262.24035608303</v>
      </c>
      <c r="N255" s="1619">
        <f t="shared" si="30"/>
        <v>339801.18694362015</v>
      </c>
      <c r="P255" s="656"/>
      <c r="Q255" s="656"/>
      <c r="R255" s="656"/>
      <c r="S255" s="656"/>
      <c r="T255" s="656"/>
    </row>
    <row r="256" spans="1:20" s="6" customFormat="1" hidden="1">
      <c r="A256" s="363"/>
      <c r="B256" s="988"/>
      <c r="C256" s="1077" t="s">
        <v>1289</v>
      </c>
      <c r="D256" s="1710" t="s">
        <v>1291</v>
      </c>
      <c r="E256" s="363"/>
      <c r="F256" s="1619">
        <f>F247*1000000000/F$95*0.82</f>
        <v>0</v>
      </c>
      <c r="G256" s="1619">
        <f t="shared" si="30"/>
        <v>0</v>
      </c>
      <c r="H256" s="1619">
        <f t="shared" si="30"/>
        <v>0</v>
      </c>
      <c r="I256" s="1619">
        <f t="shared" si="30"/>
        <v>0</v>
      </c>
      <c r="J256" s="1619">
        <f t="shared" si="30"/>
        <v>0</v>
      </c>
      <c r="K256" s="1619">
        <f t="shared" si="30"/>
        <v>0</v>
      </c>
      <c r="L256" s="1619">
        <f t="shared" si="30"/>
        <v>0</v>
      </c>
      <c r="M256" s="1619">
        <f t="shared" si="30"/>
        <v>0</v>
      </c>
      <c r="N256" s="1619">
        <f t="shared" si="30"/>
        <v>0</v>
      </c>
      <c r="P256" s="656"/>
      <c r="Q256" s="656"/>
      <c r="R256" s="656"/>
      <c r="S256" s="656"/>
      <c r="T256" s="656"/>
    </row>
    <row r="257" spans="1:20" s="6" customFormat="1" hidden="1">
      <c r="A257" s="363"/>
      <c r="B257" s="988"/>
      <c r="C257" s="382"/>
      <c r="D257" s="420"/>
      <c r="E257" s="363"/>
      <c r="F257" s="1619"/>
      <c r="G257" s="1619"/>
      <c r="H257" s="1619"/>
      <c r="I257" s="1619"/>
      <c r="J257" s="1619"/>
      <c r="K257" s="1619"/>
      <c r="L257" s="1619"/>
      <c r="M257" s="1619"/>
      <c r="N257" s="1619"/>
      <c r="P257" s="656"/>
      <c r="Q257" s="656"/>
      <c r="R257" s="656"/>
      <c r="S257" s="656"/>
      <c r="T257" s="656"/>
    </row>
    <row r="258" spans="1:20" s="6" customFormat="1" hidden="1">
      <c r="A258" s="408"/>
      <c r="B258" s="408" t="s">
        <v>1314</v>
      </c>
      <c r="C258" s="408" t="s">
        <v>1315</v>
      </c>
      <c r="D258" s="408"/>
      <c r="E258" s="408"/>
      <c r="F258" s="408"/>
      <c r="G258" s="408"/>
      <c r="H258" s="408"/>
      <c r="I258" s="408"/>
      <c r="J258" s="408"/>
      <c r="K258" s="408"/>
      <c r="L258" s="408"/>
      <c r="M258" s="408"/>
      <c r="N258" s="408"/>
      <c r="P258" s="656"/>
      <c r="Q258" s="656"/>
      <c r="R258" s="656"/>
      <c r="S258" s="656"/>
      <c r="T258" s="656"/>
    </row>
    <row r="259" spans="1:20" s="6" customFormat="1" hidden="1">
      <c r="A259" s="408"/>
      <c r="B259" s="1630"/>
      <c r="C259" s="408"/>
      <c r="D259" s="408"/>
      <c r="E259" s="408"/>
      <c r="F259" s="408"/>
      <c r="G259" s="408"/>
      <c r="H259" s="408"/>
      <c r="I259" s="408"/>
      <c r="J259" s="408"/>
      <c r="K259" s="408"/>
      <c r="L259" s="408"/>
      <c r="M259" s="408"/>
      <c r="N259" s="1620" t="s">
        <v>1316</v>
      </c>
      <c r="P259" s="656"/>
      <c r="Q259" s="656"/>
      <c r="R259" s="656"/>
      <c r="S259" s="656"/>
      <c r="T259" s="656"/>
    </row>
    <row r="260" spans="1:20" s="6" customFormat="1" hidden="1">
      <c r="A260" s="408"/>
      <c r="B260" s="1631"/>
      <c r="C260" s="1632" t="s">
        <v>1216</v>
      </c>
      <c r="D260" s="38"/>
      <c r="E260" s="408"/>
      <c r="F260" s="1629">
        <v>2013</v>
      </c>
      <c r="G260" s="1629">
        <v>2015</v>
      </c>
      <c r="H260" s="1629">
        <v>2020</v>
      </c>
      <c r="I260" s="1629">
        <v>2025</v>
      </c>
      <c r="J260" s="1629">
        <v>2030</v>
      </c>
      <c r="K260" s="1629">
        <v>2035</v>
      </c>
      <c r="L260" s="1629">
        <v>2040</v>
      </c>
      <c r="M260" s="1629">
        <v>2045</v>
      </c>
      <c r="N260" s="1629">
        <v>2050</v>
      </c>
      <c r="P260" s="656"/>
      <c r="Q260" s="656"/>
      <c r="R260" s="656"/>
      <c r="S260" s="656"/>
      <c r="T260" s="656"/>
    </row>
    <row r="261" spans="1:20" s="6" customFormat="1" hidden="1">
      <c r="A261" s="408"/>
      <c r="B261" s="988"/>
      <c r="C261" s="1077" t="s">
        <v>1286</v>
      </c>
      <c r="D261" s="1709" t="s">
        <v>1287</v>
      </c>
      <c r="E261" s="408"/>
      <c r="F261" s="1711"/>
      <c r="G261" s="1711">
        <f t="shared" ref="G261:N262" si="31">F253/$C$142</f>
        <v>0.13267500627659329</v>
      </c>
      <c r="H261" s="1711">
        <f t="shared" si="31"/>
        <v>0.1381478502855028</v>
      </c>
      <c r="I261" s="1711">
        <f t="shared" si="31"/>
        <v>0.14362069429441224</v>
      </c>
      <c r="J261" s="1711">
        <f t="shared" si="31"/>
        <v>0.14909353830332173</v>
      </c>
      <c r="K261" s="1711">
        <f t="shared" si="31"/>
        <v>0.15456638231223122</v>
      </c>
      <c r="L261" s="1711">
        <f t="shared" si="31"/>
        <v>0.16003922632114068</v>
      </c>
      <c r="M261" s="1711">
        <f t="shared" si="31"/>
        <v>0.16551207033005017</v>
      </c>
      <c r="N261" s="1711">
        <f t="shared" si="31"/>
        <v>0.17098491433895963</v>
      </c>
      <c r="P261" s="656"/>
      <c r="Q261" s="656"/>
      <c r="R261" s="656"/>
      <c r="S261" s="656"/>
      <c r="T261" s="656"/>
    </row>
    <row r="262" spans="1:20" s="6" customFormat="1" hidden="1">
      <c r="A262" s="363"/>
      <c r="B262" s="988"/>
      <c r="C262" s="1077" t="s">
        <v>1286</v>
      </c>
      <c r="D262" s="656" t="s">
        <v>1288</v>
      </c>
      <c r="E262" s="363"/>
      <c r="F262" s="1712"/>
      <c r="G262" s="1711">
        <f t="shared" si="31"/>
        <v>0</v>
      </c>
      <c r="H262" s="1711">
        <f t="shared" si="31"/>
        <v>0</v>
      </c>
      <c r="I262" s="1711">
        <f t="shared" si="31"/>
        <v>0</v>
      </c>
      <c r="J262" s="1711">
        <f t="shared" si="31"/>
        <v>0</v>
      </c>
      <c r="K262" s="1711">
        <f t="shared" si="31"/>
        <v>0</v>
      </c>
      <c r="L262" s="1711">
        <f t="shared" si="31"/>
        <v>0</v>
      </c>
      <c r="M262" s="1711">
        <f t="shared" si="31"/>
        <v>0</v>
      </c>
      <c r="N262" s="1711">
        <f t="shared" si="31"/>
        <v>0</v>
      </c>
      <c r="P262" s="656"/>
    </row>
    <row r="263" spans="1:20" s="6" customFormat="1" hidden="1">
      <c r="A263" s="408"/>
      <c r="B263" s="988"/>
      <c r="C263" s="1077" t="s">
        <v>1289</v>
      </c>
      <c r="D263" s="656" t="s">
        <v>1290</v>
      </c>
      <c r="E263" s="408"/>
      <c r="F263" s="1712"/>
      <c r="G263" s="1713">
        <f t="shared" ref="G263:N264" si="32">F255/$C$144</f>
        <v>36498.516320474773</v>
      </c>
      <c r="H263" s="1713">
        <f t="shared" si="32"/>
        <v>38004.08011869435</v>
      </c>
      <c r="I263" s="1713">
        <f t="shared" si="32"/>
        <v>39509.643916913941</v>
      </c>
      <c r="J263" s="1713">
        <f t="shared" si="32"/>
        <v>41015.207715133532</v>
      </c>
      <c r="K263" s="1713">
        <f t="shared" si="32"/>
        <v>42520.771513353109</v>
      </c>
      <c r="L263" s="1713">
        <f t="shared" si="32"/>
        <v>44026.335311572693</v>
      </c>
      <c r="M263" s="1713">
        <f t="shared" si="32"/>
        <v>45531.89910979227</v>
      </c>
      <c r="N263" s="1713">
        <f t="shared" si="32"/>
        <v>47037.462908011861</v>
      </c>
      <c r="P263" s="656"/>
    </row>
    <row r="264" spans="1:20" s="6" customFormat="1" hidden="1">
      <c r="A264" s="408"/>
      <c r="B264" s="988"/>
      <c r="C264" s="1077" t="s">
        <v>1289</v>
      </c>
      <c r="D264" s="1710" t="s">
        <v>1291</v>
      </c>
      <c r="E264" s="408"/>
      <c r="F264" s="1712"/>
      <c r="G264" s="1713">
        <f t="shared" si="32"/>
        <v>0</v>
      </c>
      <c r="H264" s="1713">
        <f t="shared" si="32"/>
        <v>0</v>
      </c>
      <c r="I264" s="1713">
        <f t="shared" si="32"/>
        <v>0</v>
      </c>
      <c r="J264" s="1713">
        <f t="shared" si="32"/>
        <v>0</v>
      </c>
      <c r="K264" s="1713">
        <f t="shared" si="32"/>
        <v>0</v>
      </c>
      <c r="L264" s="1713">
        <f t="shared" si="32"/>
        <v>0</v>
      </c>
      <c r="M264" s="1713">
        <f t="shared" si="32"/>
        <v>0</v>
      </c>
      <c r="N264" s="1713">
        <f t="shared" si="32"/>
        <v>0</v>
      </c>
      <c r="P264" s="656"/>
    </row>
    <row r="265" spans="1:20" s="6" customFormat="1" hidden="1">
      <c r="A265" s="408"/>
      <c r="B265" s="1630"/>
      <c r="C265" s="1620"/>
      <c r="D265" s="1635"/>
      <c r="E265" s="408"/>
      <c r="F265" s="1636"/>
      <c r="G265" s="1636"/>
      <c r="H265" s="1636"/>
      <c r="I265" s="1636"/>
      <c r="J265" s="1636"/>
      <c r="K265" s="1636"/>
      <c r="L265" s="1636"/>
      <c r="M265" s="1636"/>
      <c r="N265" s="1636"/>
      <c r="P265" s="656"/>
    </row>
    <row r="266" spans="1:20" s="6" customFormat="1" hidden="1">
      <c r="A266" s="408"/>
      <c r="B266" s="408" t="s">
        <v>1317</v>
      </c>
      <c r="C266" s="408" t="s">
        <v>1226</v>
      </c>
      <c r="D266" s="408"/>
      <c r="E266" s="408"/>
      <c r="F266" s="1633"/>
      <c r="G266" s="1633"/>
      <c r="H266" s="1633"/>
      <c r="I266" s="1633"/>
      <c r="J266" s="1633"/>
      <c r="K266" s="1633"/>
      <c r="L266" s="1633"/>
      <c r="M266" s="1633"/>
      <c r="N266" s="1620" t="s">
        <v>1318</v>
      </c>
      <c r="P266" s="656"/>
    </row>
    <row r="267" spans="1:20" s="6" customFormat="1" hidden="1">
      <c r="A267" s="408"/>
      <c r="B267" s="1630"/>
      <c r="C267" s="408"/>
      <c r="D267" s="408"/>
      <c r="E267" s="408"/>
      <c r="F267" s="1629">
        <v>2013</v>
      </c>
      <c r="G267" s="1629">
        <v>2015</v>
      </c>
      <c r="H267" s="1629">
        <v>2020</v>
      </c>
      <c r="I267" s="1629">
        <v>2025</v>
      </c>
      <c r="J267" s="1629">
        <v>2030</v>
      </c>
      <c r="K267" s="1629">
        <v>2035</v>
      </c>
      <c r="L267" s="1629">
        <v>2040</v>
      </c>
      <c r="M267" s="1629">
        <v>2045</v>
      </c>
      <c r="N267" s="1629">
        <v>2050</v>
      </c>
      <c r="P267" s="656"/>
    </row>
    <row r="268" spans="1:20" s="6" customFormat="1" hidden="1">
      <c r="A268" s="408"/>
      <c r="B268" s="988"/>
      <c r="C268" s="1077" t="s">
        <v>1286</v>
      </c>
      <c r="D268" s="1709" t="s">
        <v>1287</v>
      </c>
      <c r="E268" s="408"/>
      <c r="F268" s="1633"/>
      <c r="G268" s="1714">
        <f t="shared" ref="G268:N271" si="33">MAX(((G253-F253)/(G$252-F$252))+G261,0)</f>
        <v>0.21476766641023576</v>
      </c>
      <c r="H268" s="1714">
        <f t="shared" si="33"/>
        <v>0.17098491433895951</v>
      </c>
      <c r="I268" s="1714">
        <f t="shared" si="33"/>
        <v>0.17645775834786914</v>
      </c>
      <c r="J268" s="1714">
        <f t="shared" si="33"/>
        <v>0.18193060235677863</v>
      </c>
      <c r="K268" s="1714">
        <f t="shared" si="33"/>
        <v>0.18740344636568795</v>
      </c>
      <c r="L268" s="1714">
        <f t="shared" si="33"/>
        <v>0.19287629037459758</v>
      </c>
      <c r="M268" s="1714">
        <f t="shared" si="33"/>
        <v>0.19834913438350707</v>
      </c>
      <c r="N268" s="1714">
        <f t="shared" si="33"/>
        <v>0.20382197839241653</v>
      </c>
      <c r="P268" s="656"/>
    </row>
    <row r="269" spans="1:20" s="6" customFormat="1" hidden="1">
      <c r="A269" s="408"/>
      <c r="B269" s="988"/>
      <c r="C269" s="1077" t="s">
        <v>1286</v>
      </c>
      <c r="D269" s="656" t="s">
        <v>1288</v>
      </c>
      <c r="E269" s="408"/>
      <c r="F269" s="1629"/>
      <c r="G269" s="1714">
        <f t="shared" si="33"/>
        <v>0</v>
      </c>
      <c r="H269" s="1714">
        <f t="shared" si="33"/>
        <v>0</v>
      </c>
      <c r="I269" s="1714">
        <f t="shared" si="33"/>
        <v>0</v>
      </c>
      <c r="J269" s="1714">
        <f t="shared" si="33"/>
        <v>0</v>
      </c>
      <c r="K269" s="1714">
        <f t="shared" si="33"/>
        <v>0</v>
      </c>
      <c r="L269" s="1714">
        <f t="shared" si="33"/>
        <v>0</v>
      </c>
      <c r="M269" s="1714">
        <f t="shared" si="33"/>
        <v>0</v>
      </c>
      <c r="N269" s="1714">
        <f t="shared" si="33"/>
        <v>0</v>
      </c>
      <c r="P269" s="656"/>
    </row>
    <row r="270" spans="1:20" s="6" customFormat="1" hidden="1">
      <c r="A270" s="363"/>
      <c r="B270" s="988"/>
      <c r="C270" s="1077" t="s">
        <v>1289</v>
      </c>
      <c r="D270" s="656" t="s">
        <v>1290</v>
      </c>
      <c r="E270" s="363"/>
      <c r="F270" s="1619"/>
      <c r="G270" s="1715">
        <f t="shared" si="33"/>
        <v>41767.989614243306</v>
      </c>
      <c r="H270" s="1715">
        <f t="shared" si="33"/>
        <v>40111.869436201778</v>
      </c>
      <c r="I270" s="1715">
        <f t="shared" si="33"/>
        <v>41617.433234421369</v>
      </c>
      <c r="J270" s="1715">
        <f t="shared" si="33"/>
        <v>43122.997032640946</v>
      </c>
      <c r="K270" s="1715">
        <f t="shared" si="33"/>
        <v>44628.560830860522</v>
      </c>
      <c r="L270" s="1715">
        <f t="shared" si="33"/>
        <v>46134.124629080106</v>
      </c>
      <c r="M270" s="1715">
        <f t="shared" si="33"/>
        <v>47639.688427299698</v>
      </c>
      <c r="N270" s="1715">
        <f t="shared" si="33"/>
        <v>49145.252225519289</v>
      </c>
      <c r="P270" s="656"/>
    </row>
    <row r="271" spans="1:20" s="6" customFormat="1" hidden="1">
      <c r="A271" s="408"/>
      <c r="B271" s="988"/>
      <c r="C271" s="1077" t="s">
        <v>1289</v>
      </c>
      <c r="D271" s="1710" t="s">
        <v>1291</v>
      </c>
      <c r="E271" s="408"/>
      <c r="F271" s="1637"/>
      <c r="G271" s="1715">
        <f t="shared" si="33"/>
        <v>0</v>
      </c>
      <c r="H271" s="1715">
        <f t="shared" si="33"/>
        <v>0</v>
      </c>
      <c r="I271" s="1715">
        <f t="shared" si="33"/>
        <v>0</v>
      </c>
      <c r="J271" s="1715">
        <f t="shared" si="33"/>
        <v>0</v>
      </c>
      <c r="K271" s="1715">
        <f t="shared" si="33"/>
        <v>0</v>
      </c>
      <c r="L271" s="1715">
        <f t="shared" si="33"/>
        <v>0</v>
      </c>
      <c r="M271" s="1715">
        <f t="shared" si="33"/>
        <v>0</v>
      </c>
      <c r="N271" s="1715">
        <f t="shared" si="33"/>
        <v>0</v>
      </c>
      <c r="P271" s="656"/>
    </row>
    <row r="272" spans="1:20" s="6" customFormat="1" hidden="1">
      <c r="A272" s="363"/>
      <c r="B272" s="988"/>
      <c r="C272" s="382"/>
      <c r="D272" s="420"/>
      <c r="E272" s="363"/>
      <c r="F272" s="1619"/>
      <c r="G272" s="1619"/>
      <c r="H272" s="1619"/>
      <c r="I272" s="1619"/>
      <c r="J272" s="1619"/>
      <c r="K272" s="1619"/>
      <c r="L272" s="1619"/>
      <c r="M272" s="1619"/>
      <c r="N272" s="1619"/>
      <c r="P272" s="656"/>
    </row>
    <row r="273" spans="1:16" s="6" customFormat="1" hidden="1">
      <c r="A273" s="363"/>
      <c r="B273" s="363">
        <v>8</v>
      </c>
      <c r="C273" s="363" t="s">
        <v>1319</v>
      </c>
      <c r="D273" s="363"/>
      <c r="E273" s="363"/>
      <c r="F273" s="1327"/>
      <c r="G273" s="1327"/>
      <c r="H273" s="1327"/>
      <c r="I273" s="1327"/>
      <c r="J273" s="1327"/>
      <c r="K273" s="1327"/>
      <c r="L273" s="1327"/>
      <c r="M273" s="1327"/>
      <c r="N273" s="1327"/>
      <c r="P273" s="656"/>
    </row>
    <row r="274" spans="1:16" s="6" customFormat="1" hidden="1">
      <c r="A274" s="363"/>
      <c r="B274" s="988"/>
      <c r="C274" s="1334" t="s">
        <v>1216</v>
      </c>
      <c r="D274" s="2"/>
      <c r="E274" s="363"/>
      <c r="F274" s="1327"/>
      <c r="G274" s="1327"/>
      <c r="H274" s="1327"/>
      <c r="I274" s="1327"/>
      <c r="J274" s="1327"/>
      <c r="K274" s="1327"/>
      <c r="L274" s="1327"/>
      <c r="M274" s="1327"/>
      <c r="N274" s="1327"/>
      <c r="P274" s="656"/>
    </row>
    <row r="275" spans="1:16" s="6" customFormat="1" hidden="1">
      <c r="A275" s="363"/>
      <c r="B275" s="367"/>
      <c r="C275" s="367" t="s">
        <v>1010</v>
      </c>
      <c r="D275" t="s">
        <v>45</v>
      </c>
      <c r="E275" s="363"/>
      <c r="F275" s="1327"/>
      <c r="G275" s="1327"/>
      <c r="H275" s="1327"/>
      <c r="I275" s="1327"/>
      <c r="J275" s="1327"/>
      <c r="K275" s="1327"/>
      <c r="L275" s="1327"/>
      <c r="M275" s="1327"/>
      <c r="N275" s="382" t="str">
        <f>Preferences.moneyunits&amp;"/yr, preceeding 5 years"</f>
        <v>/yr, preceeding 5 years</v>
      </c>
      <c r="P275" s="656"/>
    </row>
    <row r="276" spans="1:16" s="6" customFormat="1" hidden="1">
      <c r="A276" s="363"/>
      <c r="B276" s="988"/>
      <c r="E276" s="363"/>
      <c r="F276" s="1327"/>
      <c r="G276" s="1327"/>
      <c r="H276" s="1327"/>
      <c r="I276" s="1327"/>
      <c r="J276" s="1327"/>
      <c r="K276" s="1327"/>
      <c r="L276" s="1327"/>
      <c r="M276" s="1327"/>
      <c r="N276" s="1327"/>
      <c r="P276" s="656"/>
    </row>
    <row r="277" spans="1:16" s="6" customFormat="1" hidden="1">
      <c r="A277" s="363"/>
      <c r="B277" s="988"/>
      <c r="C277" s="1077" t="s">
        <v>1286</v>
      </c>
      <c r="D277" s="1709" t="s">
        <v>1287</v>
      </c>
      <c r="E277" s="363"/>
      <c r="F277" s="1619"/>
      <c r="G277" s="1619"/>
      <c r="H277" s="1619"/>
      <c r="I277" s="1619"/>
      <c r="J277" s="1619"/>
      <c r="K277" s="1619"/>
      <c r="L277" s="1619"/>
      <c r="M277" s="1619"/>
      <c r="N277" s="1619"/>
      <c r="P277" s="656"/>
    </row>
    <row r="278" spans="1:16" s="6" customFormat="1" hidden="1">
      <c r="A278" s="363"/>
      <c r="B278" s="988"/>
      <c r="C278" s="1077" t="s">
        <v>1286</v>
      </c>
      <c r="D278" s="656" t="s">
        <v>1288</v>
      </c>
      <c r="E278" s="363"/>
      <c r="F278" s="1619"/>
      <c r="G278" s="1619"/>
      <c r="H278" s="1619"/>
      <c r="I278" s="1619"/>
      <c r="J278" s="1619"/>
      <c r="K278" s="1619"/>
      <c r="L278" s="1619"/>
      <c r="M278" s="1619"/>
      <c r="N278" s="1619"/>
      <c r="P278" s="656"/>
    </row>
    <row r="279" spans="1:16" s="6" customFormat="1" hidden="1">
      <c r="A279" s="363"/>
      <c r="B279" s="988"/>
      <c r="C279" s="1077" t="s">
        <v>1289</v>
      </c>
      <c r="D279" s="656" t="s">
        <v>1290</v>
      </c>
      <c r="E279" s="363"/>
      <c r="F279" s="1619"/>
      <c r="G279" s="1619"/>
      <c r="H279" s="1619"/>
      <c r="I279" s="1619"/>
      <c r="J279" s="1619"/>
      <c r="K279" s="1619"/>
      <c r="L279" s="1619"/>
      <c r="M279" s="1619"/>
      <c r="N279" s="1619"/>
      <c r="P279" s="656"/>
    </row>
    <row r="280" spans="1:16" s="6" customFormat="1" hidden="1">
      <c r="A280" s="363"/>
      <c r="B280" s="988"/>
      <c r="C280" s="1077" t="s">
        <v>1289</v>
      </c>
      <c r="D280" s="1710" t="s">
        <v>1291</v>
      </c>
      <c r="E280" s="363"/>
      <c r="F280" s="1619"/>
      <c r="G280" s="1619"/>
      <c r="H280" s="1619"/>
      <c r="I280" s="1619"/>
      <c r="J280" s="1619"/>
      <c r="K280" s="1619"/>
      <c r="L280" s="1619"/>
      <c r="M280" s="1619"/>
      <c r="N280" s="1619"/>
      <c r="P280" s="656"/>
    </row>
    <row r="281" spans="1:16" s="6" customFormat="1" hidden="1">
      <c r="A281" s="363"/>
      <c r="B281" s="988"/>
      <c r="C281" s="1077"/>
      <c r="D281" s="656"/>
      <c r="E281" s="363"/>
      <c r="F281" s="1619"/>
      <c r="G281" s="1619"/>
      <c r="H281" s="1619"/>
      <c r="I281" s="1619"/>
      <c r="J281" s="1619"/>
      <c r="K281" s="1619"/>
      <c r="L281" s="1619"/>
      <c r="M281" s="1619"/>
      <c r="N281" s="1619"/>
      <c r="P281" s="656"/>
    </row>
    <row r="282" spans="1:16" s="859" customFormat="1" hidden="1">
      <c r="A282" s="408"/>
      <c r="B282" s="1630"/>
      <c r="E282" s="408"/>
      <c r="F282" s="1636"/>
      <c r="G282" s="1636"/>
      <c r="H282" s="1636"/>
      <c r="I282" s="1636"/>
      <c r="J282" s="1636"/>
      <c r="K282" s="1636"/>
      <c r="L282" s="1636"/>
      <c r="M282" s="1636"/>
      <c r="N282" s="1636"/>
      <c r="P282" s="656"/>
    </row>
    <row r="283" spans="1:16" s="859" customFormat="1" hidden="1">
      <c r="A283" s="408"/>
      <c r="B283" s="1630">
        <v>9</v>
      </c>
      <c r="C283" s="207" t="s">
        <v>1320</v>
      </c>
      <c r="D283" s="656"/>
      <c r="E283" s="408"/>
      <c r="F283" s="1636"/>
      <c r="G283" s="1636"/>
      <c r="H283" s="1636"/>
      <c r="I283" s="1636"/>
      <c r="J283" s="1636"/>
      <c r="K283" s="1636"/>
      <c r="L283" s="1636"/>
      <c r="M283" s="1636"/>
      <c r="N283" s="1636"/>
      <c r="P283" s="656"/>
    </row>
    <row r="284" spans="1:16" s="859" customFormat="1" hidden="1">
      <c r="A284" s="408"/>
      <c r="B284" s="1630"/>
      <c r="C284" s="1334" t="s">
        <v>1216</v>
      </c>
      <c r="D284" s="2"/>
      <c r="E284" s="408"/>
      <c r="F284" s="1636"/>
      <c r="G284" s="1636"/>
      <c r="H284" s="1636"/>
      <c r="I284" s="1636"/>
      <c r="J284" s="1636"/>
      <c r="K284" s="1636"/>
      <c r="L284" s="1636"/>
      <c r="M284" s="1636"/>
      <c r="N284" s="382" t="str">
        <f>Preferences.moneyunits&amp;"/yr, preceeding 5 years"</f>
        <v>/yr, preceeding 5 years</v>
      </c>
      <c r="P284" s="656"/>
    </row>
    <row r="285" spans="1:16" s="859" customFormat="1" hidden="1">
      <c r="A285" s="408"/>
      <c r="B285" s="1630"/>
      <c r="C285" s="367" t="s">
        <v>1010</v>
      </c>
      <c r="D285" t="s">
        <v>45</v>
      </c>
      <c r="E285" s="408"/>
      <c r="F285" s="1636"/>
      <c r="G285" s="1636"/>
      <c r="H285" s="1636"/>
      <c r="I285" s="1636"/>
      <c r="J285" s="1636"/>
      <c r="K285" s="1636"/>
      <c r="L285" s="1636"/>
      <c r="M285" s="1636"/>
      <c r="N285" s="1636"/>
      <c r="P285" s="656"/>
    </row>
    <row r="286" spans="1:16" s="859" customFormat="1" hidden="1">
      <c r="A286" s="408"/>
      <c r="B286" s="1630"/>
      <c r="E286" s="408"/>
      <c r="F286" s="1636"/>
      <c r="G286" s="1636"/>
      <c r="H286" s="1636"/>
      <c r="I286" s="1636"/>
      <c r="J286" s="1636"/>
      <c r="K286" s="1636"/>
      <c r="L286" s="1636"/>
      <c r="M286" s="1636"/>
      <c r="N286" s="1636"/>
      <c r="P286" s="656"/>
    </row>
    <row r="287" spans="1:16" s="859" customFormat="1" hidden="1">
      <c r="A287" s="408"/>
      <c r="B287" s="1630"/>
      <c r="C287" s="1077" t="s">
        <v>1286</v>
      </c>
      <c r="D287" s="1709" t="s">
        <v>1287</v>
      </c>
      <c r="E287" s="408"/>
      <c r="F287" s="1619"/>
      <c r="G287" s="1619"/>
      <c r="H287" s="1619"/>
      <c r="I287" s="1619"/>
      <c r="J287" s="1619"/>
      <c r="K287" s="1619"/>
      <c r="L287" s="1619"/>
      <c r="M287" s="1619"/>
      <c r="N287" s="1619"/>
      <c r="P287" s="656"/>
    </row>
    <row r="288" spans="1:16" s="859" customFormat="1" hidden="1">
      <c r="A288" s="408"/>
      <c r="B288" s="1630"/>
      <c r="C288" s="1077" t="s">
        <v>1286</v>
      </c>
      <c r="D288" s="656" t="s">
        <v>1288</v>
      </c>
      <c r="E288" s="408"/>
      <c r="F288" s="1619"/>
      <c r="G288" s="1619"/>
      <c r="H288" s="1619"/>
      <c r="I288" s="1619"/>
      <c r="J288" s="1619"/>
      <c r="K288" s="1619"/>
      <c r="L288" s="1619"/>
      <c r="M288" s="1619"/>
      <c r="N288" s="1619"/>
      <c r="P288" s="656"/>
    </row>
    <row r="289" spans="1:14" hidden="1">
      <c r="C289" s="1077" t="s">
        <v>1289</v>
      </c>
      <c r="D289" s="656" t="s">
        <v>1290</v>
      </c>
      <c r="F289" s="1619"/>
      <c r="G289" s="1619"/>
      <c r="H289" s="1619"/>
      <c r="I289" s="1619"/>
      <c r="J289" s="1619"/>
      <c r="K289" s="1619"/>
      <c r="L289" s="1619"/>
      <c r="M289" s="1619"/>
      <c r="N289" s="1619"/>
    </row>
    <row r="290" spans="1:14" s="6" customFormat="1" hidden="1">
      <c r="A290" s="363"/>
      <c r="B290" s="988"/>
      <c r="C290" s="1077" t="s">
        <v>1289</v>
      </c>
      <c r="D290" s="1710" t="s">
        <v>1291</v>
      </c>
      <c r="E290" s="363"/>
      <c r="F290" s="1619"/>
      <c r="G290" s="1619"/>
      <c r="H290" s="1619"/>
      <c r="I290" s="1619"/>
      <c r="J290" s="1619"/>
      <c r="K290" s="1619"/>
      <c r="L290" s="1619"/>
      <c r="M290" s="1619"/>
      <c r="N290" s="1619"/>
    </row>
    <row r="291" spans="1:14" s="6" customFormat="1" hidden="1">
      <c r="A291" s="363"/>
      <c r="B291" s="988"/>
      <c r="C291" s="382"/>
      <c r="D291" s="420"/>
      <c r="E291" s="363"/>
      <c r="F291" s="1619"/>
      <c r="G291" s="1619"/>
      <c r="H291" s="1619"/>
      <c r="I291" s="1619"/>
      <c r="J291" s="1619"/>
      <c r="K291" s="1619"/>
      <c r="L291" s="1619"/>
      <c r="M291" s="1619"/>
      <c r="N291" s="1619"/>
    </row>
    <row r="292" spans="1:14" s="6" customFormat="1" hidden="1">
      <c r="A292" s="363"/>
      <c r="B292" s="363">
        <v>9</v>
      </c>
      <c r="C292" s="363" t="s">
        <v>1321</v>
      </c>
      <c r="D292" s="363"/>
      <c r="E292" s="363"/>
      <c r="F292" s="1327"/>
      <c r="G292" s="1327"/>
      <c r="H292" s="1327"/>
      <c r="I292" s="1327"/>
      <c r="J292" s="1327"/>
      <c r="K292" s="1327"/>
      <c r="L292" s="1327"/>
      <c r="M292" s="1327"/>
      <c r="N292" s="1327"/>
    </row>
    <row r="293" spans="1:14" s="6" customFormat="1" hidden="1">
      <c r="A293" s="363"/>
      <c r="B293" s="988"/>
      <c r="C293" s="363"/>
      <c r="D293" s="363"/>
      <c r="E293" s="363"/>
      <c r="F293" s="1327"/>
      <c r="G293" s="1327"/>
      <c r="H293" s="1327"/>
      <c r="I293" s="1327"/>
      <c r="J293" s="1327"/>
      <c r="K293" s="1327"/>
      <c r="L293" s="1327"/>
      <c r="M293" s="1327"/>
      <c r="N293" s="1327"/>
    </row>
    <row r="294" spans="1:14" s="6" customFormat="1" hidden="1">
      <c r="A294" s="363"/>
      <c r="B294" s="367"/>
      <c r="C294" s="1334" t="s">
        <v>1216</v>
      </c>
      <c r="D294" s="2"/>
      <c r="E294" s="363"/>
      <c r="F294" s="1327"/>
      <c r="G294" s="1327"/>
      <c r="H294" s="1327"/>
      <c r="I294" s="1327"/>
      <c r="J294" s="1327"/>
      <c r="K294" s="1327"/>
      <c r="L294" s="1327"/>
      <c r="M294" s="1327"/>
      <c r="N294" s="382" t="str">
        <f>Preferences.moneyunits&amp;"/yr, preceeding 5 years"</f>
        <v>/yr, preceeding 5 years</v>
      </c>
    </row>
    <row r="295" spans="1:14" s="6" customFormat="1" hidden="1">
      <c r="A295" s="363"/>
      <c r="B295" s="988"/>
      <c r="C295" s="367" t="s">
        <v>1010</v>
      </c>
      <c r="D295" t="s">
        <v>45</v>
      </c>
      <c r="E295" s="363"/>
      <c r="F295" s="1327"/>
      <c r="G295" s="1327"/>
      <c r="H295" s="1327"/>
      <c r="I295" s="1327"/>
      <c r="J295" s="1327"/>
      <c r="K295" s="1327"/>
      <c r="L295" s="1327"/>
      <c r="M295" s="1327"/>
      <c r="N295" s="1327"/>
    </row>
    <row r="296" spans="1:14" s="6" customFormat="1" hidden="1">
      <c r="A296" s="363"/>
      <c r="B296" s="988"/>
      <c r="C296" s="1077" t="s">
        <v>1286</v>
      </c>
      <c r="D296" s="1709" t="s">
        <v>1287</v>
      </c>
      <c r="E296" s="363"/>
      <c r="F296" s="1619"/>
      <c r="G296" s="1619"/>
      <c r="H296" s="1619"/>
      <c r="I296" s="1619"/>
      <c r="J296" s="1619"/>
      <c r="K296" s="1619"/>
      <c r="L296" s="1619"/>
      <c r="M296" s="1619"/>
      <c r="N296" s="1619"/>
    </row>
    <row r="297" spans="1:14" s="6" customFormat="1" hidden="1">
      <c r="A297" s="363"/>
      <c r="B297" s="988"/>
      <c r="C297" s="1077" t="s">
        <v>1286</v>
      </c>
      <c r="D297" s="656" t="s">
        <v>1288</v>
      </c>
      <c r="E297" s="363"/>
      <c r="F297" s="1619"/>
      <c r="G297" s="1619"/>
      <c r="H297" s="1619"/>
      <c r="I297" s="1619"/>
      <c r="J297" s="1619"/>
      <c r="K297" s="1619"/>
      <c r="L297" s="1619"/>
      <c r="M297" s="1619"/>
      <c r="N297" s="1619"/>
    </row>
    <row r="298" spans="1:14" s="6" customFormat="1" hidden="1">
      <c r="A298" s="363"/>
      <c r="B298" s="988"/>
      <c r="C298" s="1077" t="s">
        <v>1289</v>
      </c>
      <c r="D298" s="656" t="s">
        <v>1290</v>
      </c>
      <c r="E298" s="363"/>
      <c r="F298" s="1619"/>
      <c r="G298" s="1619"/>
      <c r="H298" s="1619"/>
      <c r="I298" s="1619"/>
      <c r="J298" s="1619"/>
      <c r="K298" s="1619"/>
      <c r="L298" s="1619"/>
      <c r="M298" s="1619"/>
      <c r="N298" s="1619"/>
    </row>
    <row r="299" spans="1:14" s="6" customFormat="1" hidden="1">
      <c r="A299" s="363"/>
      <c r="B299" s="988"/>
      <c r="C299" s="1077" t="s">
        <v>1289</v>
      </c>
      <c r="D299" s="1710" t="s">
        <v>1291</v>
      </c>
      <c r="E299" s="363"/>
      <c r="F299" s="1619"/>
      <c r="G299" s="1619"/>
      <c r="H299" s="1619"/>
      <c r="I299" s="1619"/>
      <c r="J299" s="1619"/>
      <c r="K299" s="1619"/>
      <c r="L299" s="1619"/>
      <c r="M299" s="1619"/>
      <c r="N299" s="1619"/>
    </row>
    <row r="300" spans="1:14" s="6" customFormat="1" hidden="1">
      <c r="A300" s="363"/>
      <c r="B300" s="988"/>
      <c r="C300" s="382"/>
      <c r="D300" s="420"/>
      <c r="E300" s="363"/>
      <c r="F300" s="1619"/>
      <c r="G300" s="1619"/>
      <c r="H300" s="1619"/>
      <c r="I300" s="1619"/>
      <c r="J300" s="1619"/>
      <c r="K300" s="1619"/>
      <c r="L300" s="1619"/>
      <c r="M300" s="1619"/>
      <c r="N300" s="1619"/>
    </row>
    <row r="301" spans="1:14" s="6" customFormat="1" hidden="1">
      <c r="A301" s="363"/>
      <c r="B301" s="363">
        <v>10</v>
      </c>
      <c r="C301" s="363" t="s">
        <v>1322</v>
      </c>
      <c r="D301" s="363"/>
      <c r="E301" s="363"/>
      <c r="F301" s="1327"/>
      <c r="G301" s="1327"/>
      <c r="H301" s="1327"/>
      <c r="I301" s="1327"/>
      <c r="J301" s="1327"/>
      <c r="K301" s="1327"/>
      <c r="L301" s="1327"/>
      <c r="M301" s="1327"/>
      <c r="N301" s="1327"/>
    </row>
    <row r="302" spans="1:14" s="6" customFormat="1" hidden="1">
      <c r="A302" s="363"/>
      <c r="B302" s="988"/>
      <c r="C302" s="363"/>
      <c r="D302" s="363"/>
      <c r="E302" s="363"/>
      <c r="F302" s="1327"/>
      <c r="G302" s="1327"/>
      <c r="H302" s="1327"/>
      <c r="I302" s="1327"/>
      <c r="J302" s="1327"/>
      <c r="K302" s="1327"/>
      <c r="L302" s="1327"/>
      <c r="M302" s="1327"/>
      <c r="N302" s="1327"/>
    </row>
    <row r="303" spans="1:14" s="6" customFormat="1" hidden="1">
      <c r="A303" s="363"/>
      <c r="B303" s="367"/>
      <c r="C303" s="1334" t="s">
        <v>1216</v>
      </c>
      <c r="D303" s="2"/>
      <c r="E303" s="363"/>
      <c r="F303" s="1327"/>
      <c r="G303" s="1327"/>
      <c r="H303" s="1327"/>
      <c r="I303" s="1327"/>
      <c r="J303" s="1327"/>
      <c r="K303" s="1327"/>
      <c r="L303" s="1327"/>
      <c r="M303" s="1327"/>
      <c r="N303" s="382" t="str">
        <f>Preferences.moneyunits&amp;"/yr, preceeding 5 years"</f>
        <v>/yr, preceeding 5 years</v>
      </c>
    </row>
    <row r="304" spans="1:14" s="6" customFormat="1" hidden="1">
      <c r="A304" s="363"/>
      <c r="B304" s="988"/>
      <c r="C304" s="367" t="s">
        <v>1010</v>
      </c>
      <c r="D304" t="s">
        <v>45</v>
      </c>
      <c r="E304" s="363"/>
      <c r="F304" s="1327"/>
      <c r="G304" s="1327"/>
      <c r="H304" s="1327"/>
      <c r="I304" s="1327"/>
      <c r="J304" s="1327"/>
      <c r="K304" s="1327"/>
      <c r="L304" s="1327"/>
      <c r="M304" s="1327"/>
      <c r="N304" s="1327"/>
    </row>
    <row r="305" spans="1:14" s="6" customFormat="1" hidden="1">
      <c r="A305" s="363"/>
      <c r="B305" s="988"/>
      <c r="C305" s="1077" t="s">
        <v>1286</v>
      </c>
      <c r="D305" s="1709" t="s">
        <v>1287</v>
      </c>
      <c r="E305" s="363"/>
      <c r="F305" s="1619"/>
      <c r="G305" s="1619"/>
      <c r="H305" s="1619"/>
      <c r="I305" s="1619"/>
      <c r="J305" s="1619"/>
      <c r="K305" s="1619"/>
      <c r="L305" s="1619"/>
      <c r="M305" s="1619"/>
      <c r="N305" s="1619"/>
    </row>
    <row r="306" spans="1:14" s="6" customFormat="1" hidden="1">
      <c r="A306" s="363"/>
      <c r="B306" s="988"/>
      <c r="C306" s="1077" t="s">
        <v>1286</v>
      </c>
      <c r="D306" s="656" t="s">
        <v>1288</v>
      </c>
      <c r="E306" s="363"/>
      <c r="F306" s="1619"/>
      <c r="G306" s="1619"/>
      <c r="H306" s="1619"/>
      <c r="I306" s="1619"/>
      <c r="J306" s="1619"/>
      <c r="K306" s="1619"/>
      <c r="L306" s="1619"/>
      <c r="M306" s="1619"/>
      <c r="N306" s="1619"/>
    </row>
    <row r="307" spans="1:14" s="6" customFormat="1" hidden="1">
      <c r="A307" s="363"/>
      <c r="B307" s="988"/>
      <c r="C307" s="1077" t="s">
        <v>1289</v>
      </c>
      <c r="D307" s="656" t="s">
        <v>1290</v>
      </c>
      <c r="E307" s="363"/>
      <c r="F307" s="1619"/>
      <c r="G307" s="1619"/>
      <c r="H307" s="1619"/>
      <c r="I307" s="1619"/>
      <c r="J307" s="1619"/>
      <c r="K307" s="1619"/>
      <c r="L307" s="1619"/>
      <c r="M307" s="1619"/>
      <c r="N307" s="1619"/>
    </row>
    <row r="308" spans="1:14" s="6" customFormat="1" hidden="1">
      <c r="A308" s="363"/>
      <c r="B308" s="988"/>
      <c r="C308" s="1077" t="s">
        <v>1289</v>
      </c>
      <c r="D308" s="1710" t="s">
        <v>1291</v>
      </c>
      <c r="E308" s="363"/>
      <c r="F308" s="1619"/>
      <c r="G308" s="1619"/>
      <c r="H308" s="1619"/>
      <c r="I308" s="1619"/>
      <c r="J308" s="1619"/>
      <c r="K308" s="1619"/>
      <c r="L308" s="1619"/>
      <c r="M308" s="1619"/>
      <c r="N308" s="1619"/>
    </row>
    <row r="309" spans="1:14" s="6" customFormat="1" hidden="1">
      <c r="A309" s="363"/>
      <c r="B309" s="988"/>
      <c r="C309" s="382"/>
      <c r="D309" s="420"/>
      <c r="E309" s="363"/>
      <c r="F309" s="1619"/>
      <c r="G309" s="1619"/>
      <c r="H309" s="1619"/>
      <c r="I309" s="1619"/>
      <c r="J309" s="1619"/>
      <c r="K309" s="1619"/>
      <c r="L309" s="1619"/>
      <c r="M309" s="1619"/>
      <c r="N309" s="1619"/>
    </row>
    <row r="310" spans="1:14" s="6" customFormat="1" hidden="1">
      <c r="A310" s="363"/>
      <c r="B310" s="988">
        <v>11</v>
      </c>
      <c r="C310" s="363" t="s">
        <v>1323</v>
      </c>
      <c r="D310" s="420"/>
      <c r="E310" s="363"/>
      <c r="F310" s="1619"/>
      <c r="G310" s="1619"/>
      <c r="H310" s="1619"/>
      <c r="I310" s="1619"/>
      <c r="J310" s="1619"/>
      <c r="K310" s="1619"/>
      <c r="L310" s="1619"/>
      <c r="M310" s="1619"/>
      <c r="N310" s="1619"/>
    </row>
    <row r="311" spans="1:14" s="6" customFormat="1" hidden="1">
      <c r="A311" s="363"/>
      <c r="B311" s="988"/>
      <c r="C311" s="382"/>
      <c r="D311" s="420"/>
      <c r="E311" s="363"/>
      <c r="F311" s="1619"/>
      <c r="G311" s="1619"/>
      <c r="H311" s="1619"/>
      <c r="I311" s="1619"/>
      <c r="J311" s="1619"/>
      <c r="K311" s="1619"/>
      <c r="L311" s="1619"/>
      <c r="M311" s="1619"/>
      <c r="N311" s="1619"/>
    </row>
    <row r="312" spans="1:14" s="6" customFormat="1" hidden="1">
      <c r="A312" s="363"/>
      <c r="B312" s="988"/>
      <c r="C312" s="1334" t="s">
        <v>1216</v>
      </c>
      <c r="D312" s="2"/>
      <c r="E312" s="363"/>
      <c r="F312" s="1327"/>
      <c r="G312" s="1327"/>
      <c r="H312" s="1327"/>
      <c r="I312" s="1327"/>
      <c r="J312" s="1327"/>
      <c r="K312" s="1327"/>
      <c r="L312" s="1327"/>
      <c r="M312" s="1327"/>
      <c r="N312" s="382" t="str">
        <f>Preferences.moneyunits&amp;"/yr, preceeding 5 years"</f>
        <v>/yr, preceeding 5 years</v>
      </c>
    </row>
    <row r="313" spans="1:14" s="6" customFormat="1" hidden="1">
      <c r="A313" s="363"/>
      <c r="B313" s="988"/>
      <c r="C313" s="367" t="s">
        <v>1010</v>
      </c>
      <c r="D313" t="s">
        <v>45</v>
      </c>
      <c r="E313" s="363"/>
      <c r="F313" s="1327"/>
      <c r="G313" s="1327"/>
      <c r="H313" s="1327"/>
      <c r="I313" s="1327"/>
      <c r="J313" s="1327"/>
      <c r="K313" s="1327"/>
      <c r="L313" s="1327"/>
      <c r="M313" s="1327"/>
      <c r="N313" s="1327"/>
    </row>
    <row r="314" spans="1:14" s="6" customFormat="1" hidden="1">
      <c r="A314" s="363"/>
      <c r="B314" s="988"/>
      <c r="C314" s="1077" t="s">
        <v>1286</v>
      </c>
      <c r="D314" s="1709" t="s">
        <v>1287</v>
      </c>
      <c r="E314" s="363"/>
      <c r="F314" s="1619"/>
      <c r="G314" s="1619"/>
      <c r="H314" s="1619"/>
      <c r="I314" s="1619"/>
      <c r="J314" s="1619"/>
      <c r="K314" s="1619"/>
      <c r="L314" s="1619"/>
      <c r="M314" s="1619"/>
      <c r="N314" s="1619"/>
    </row>
    <row r="315" spans="1:14" s="6" customFormat="1" hidden="1">
      <c r="A315" s="363"/>
      <c r="B315" s="988"/>
      <c r="C315" s="1077" t="s">
        <v>1286</v>
      </c>
      <c r="D315" s="656" t="s">
        <v>1288</v>
      </c>
      <c r="E315" s="363"/>
      <c r="F315" s="1619"/>
      <c r="G315" s="1619"/>
      <c r="H315" s="1619"/>
      <c r="I315" s="1619"/>
      <c r="J315" s="1619"/>
      <c r="K315" s="1619"/>
      <c r="L315" s="1619"/>
      <c r="M315" s="1619"/>
      <c r="N315" s="1619"/>
    </row>
    <row r="316" spans="1:14" s="6" customFormat="1" hidden="1">
      <c r="A316" s="363"/>
      <c r="B316" s="988"/>
      <c r="C316" s="1077" t="s">
        <v>1289</v>
      </c>
      <c r="D316" s="656" t="s">
        <v>1290</v>
      </c>
      <c r="E316" s="363"/>
      <c r="F316" s="1619"/>
      <c r="G316" s="1619"/>
      <c r="H316" s="1619"/>
      <c r="I316" s="1619"/>
      <c r="J316" s="1619"/>
      <c r="K316" s="1619"/>
      <c r="L316" s="1619"/>
      <c r="M316" s="1619"/>
      <c r="N316" s="1619"/>
    </row>
    <row r="317" spans="1:14" s="6" customFormat="1" hidden="1">
      <c r="A317" s="363"/>
      <c r="B317" s="988"/>
      <c r="C317" s="1077" t="s">
        <v>1289</v>
      </c>
      <c r="D317" s="1710" t="s">
        <v>1291</v>
      </c>
      <c r="E317" s="363"/>
      <c r="F317" s="1619"/>
      <c r="G317" s="1619"/>
      <c r="H317" s="1619"/>
      <c r="I317" s="1619"/>
      <c r="J317" s="1619"/>
      <c r="K317" s="1619"/>
      <c r="L317" s="1619"/>
      <c r="M317" s="1619"/>
      <c r="N317" s="1619"/>
    </row>
    <row r="318" spans="1:14" s="6" customFormat="1" hidden="1">
      <c r="A318" s="363"/>
      <c r="B318" s="988"/>
      <c r="C318" s="382"/>
      <c r="D318" s="420"/>
      <c r="E318" s="363"/>
      <c r="F318" s="1619"/>
      <c r="G318" s="1619"/>
      <c r="H318" s="1619"/>
      <c r="I318" s="1619"/>
      <c r="J318" s="1619"/>
      <c r="K318" s="1619"/>
      <c r="L318" s="1619"/>
      <c r="M318" s="1619"/>
      <c r="N318" s="1619"/>
    </row>
    <row r="319" spans="1:14" s="6" customFormat="1" hidden="1">
      <c r="A319" s="363"/>
      <c r="B319" s="363">
        <v>12</v>
      </c>
      <c r="C319" s="363" t="s">
        <v>1324</v>
      </c>
      <c r="D319" s="363"/>
      <c r="E319" s="363"/>
      <c r="F319" s="1327"/>
      <c r="G319" s="1327"/>
      <c r="H319" s="1327"/>
      <c r="I319" s="1327"/>
      <c r="J319" s="1327"/>
      <c r="K319" s="1327"/>
      <c r="L319" s="1327"/>
      <c r="M319" s="1327"/>
      <c r="N319" s="1327"/>
    </row>
    <row r="320" spans="1:14" s="6" customFormat="1" hidden="1">
      <c r="A320" s="363"/>
      <c r="B320" s="988"/>
      <c r="C320" s="363"/>
      <c r="D320" s="363"/>
      <c r="E320" s="363"/>
      <c r="F320" s="1327"/>
      <c r="G320" s="1327"/>
      <c r="H320" s="1327"/>
      <c r="I320" s="1327"/>
      <c r="J320" s="1327"/>
      <c r="K320" s="1327"/>
      <c r="L320" s="1327"/>
      <c r="M320" s="1327"/>
      <c r="N320" s="1327"/>
    </row>
    <row r="321" spans="1:14" s="6" customFormat="1" hidden="1">
      <c r="A321" s="363"/>
      <c r="B321" s="367"/>
      <c r="C321" s="1334" t="s">
        <v>1216</v>
      </c>
      <c r="D321" s="2"/>
      <c r="E321" s="363"/>
      <c r="F321" s="1327"/>
      <c r="G321" s="1327"/>
      <c r="H321" s="1327"/>
      <c r="I321" s="1327"/>
      <c r="J321" s="1327"/>
      <c r="K321" s="1327"/>
      <c r="L321" s="1327"/>
      <c r="M321" s="1327"/>
      <c r="N321" s="382" t="str">
        <f>Preferences.moneyunits&amp;"/yr, preceeding 5 years"</f>
        <v>/yr, preceeding 5 years</v>
      </c>
    </row>
    <row r="322" spans="1:14" s="6" customFormat="1" hidden="1">
      <c r="A322" s="363"/>
      <c r="B322" s="988"/>
      <c r="C322" s="367" t="s">
        <v>1010</v>
      </c>
      <c r="D322" t="s">
        <v>45</v>
      </c>
      <c r="E322" s="363"/>
      <c r="F322" s="1327"/>
      <c r="G322" s="1327"/>
      <c r="H322" s="1327"/>
      <c r="I322" s="1327"/>
      <c r="J322" s="1327"/>
      <c r="K322" s="1327"/>
      <c r="L322" s="1327"/>
      <c r="M322" s="1327"/>
      <c r="N322" s="1327"/>
    </row>
    <row r="323" spans="1:14" s="6" customFormat="1" hidden="1">
      <c r="A323" s="363"/>
      <c r="B323" s="988"/>
      <c r="C323" s="1077" t="s">
        <v>1286</v>
      </c>
      <c r="D323" s="1709" t="s">
        <v>1287</v>
      </c>
      <c r="E323" s="363"/>
      <c r="F323" s="1619"/>
      <c r="G323" s="1619"/>
      <c r="H323" s="1619"/>
      <c r="I323" s="1619"/>
      <c r="J323" s="1619"/>
      <c r="K323" s="1619"/>
      <c r="L323" s="1619"/>
      <c r="M323" s="1619"/>
      <c r="N323" s="1619"/>
    </row>
    <row r="324" spans="1:14" s="6" customFormat="1" hidden="1">
      <c r="A324" s="408"/>
      <c r="B324" s="1630"/>
      <c r="C324" s="1077" t="s">
        <v>1286</v>
      </c>
      <c r="D324" s="656" t="s">
        <v>1288</v>
      </c>
      <c r="E324" s="363"/>
      <c r="F324" s="1619"/>
      <c r="G324" s="1619"/>
      <c r="H324" s="1619"/>
      <c r="I324" s="1619"/>
      <c r="J324" s="1619"/>
      <c r="K324" s="1619"/>
      <c r="L324" s="1619"/>
      <c r="M324" s="1619"/>
      <c r="N324" s="1619"/>
    </row>
    <row r="325" spans="1:14" s="6" customFormat="1" hidden="1">
      <c r="A325" s="207"/>
      <c r="B325" s="1630"/>
      <c r="C325" s="1077" t="s">
        <v>1289</v>
      </c>
      <c r="D325" s="656" t="s">
        <v>1290</v>
      </c>
      <c r="E325" s="363"/>
      <c r="F325" s="1619"/>
      <c r="G325" s="1619"/>
      <c r="H325" s="1619"/>
      <c r="I325" s="1619"/>
      <c r="J325" s="1619"/>
      <c r="K325" s="1619"/>
      <c r="L325" s="1619"/>
      <c r="M325" s="1619"/>
      <c r="N325" s="1619"/>
    </row>
    <row r="326" spans="1:14" s="6" customFormat="1" hidden="1">
      <c r="A326" s="207"/>
      <c r="B326" s="1630"/>
      <c r="C326" s="1077" t="s">
        <v>1289</v>
      </c>
      <c r="D326" s="1710" t="s">
        <v>1291</v>
      </c>
      <c r="E326" s="363"/>
      <c r="F326" s="1619"/>
      <c r="G326" s="1619"/>
      <c r="H326" s="1619"/>
      <c r="I326" s="1619"/>
      <c r="J326" s="1619"/>
      <c r="K326" s="1619"/>
      <c r="L326" s="1619"/>
      <c r="M326" s="1619"/>
      <c r="N326" s="1619"/>
    </row>
    <row r="327" spans="1:14" s="6" customFormat="1" hidden="1">
      <c r="A327" s="656"/>
      <c r="B327" s="408"/>
      <c r="C327"/>
      <c r="F327" s="992"/>
      <c r="G327" s="992"/>
      <c r="H327" s="992"/>
      <c r="I327" s="992"/>
      <c r="J327" s="992"/>
      <c r="K327" s="992"/>
      <c r="L327" s="992"/>
      <c r="M327" s="992"/>
      <c r="N327" s="992"/>
    </row>
    <row r="328" spans="1:14" s="6" customFormat="1" hidden="1">
      <c r="A328" s="1077"/>
      <c r="B328" t="s">
        <v>293</v>
      </c>
      <c r="C328"/>
      <c r="D328"/>
      <c r="E328"/>
      <c r="F328" s="1716"/>
      <c r="G328" s="1716"/>
      <c r="H328" s="1716"/>
      <c r="I328" s="1716"/>
      <c r="J328" s="1716"/>
      <c r="K328" s="1716"/>
      <c r="L328" s="993"/>
      <c r="M328" s="993"/>
      <c r="N328" s="993"/>
    </row>
    <row r="329" spans="1:14" s="6" customFormat="1" hidden="1">
      <c r="A329" s="656"/>
      <c r="B329"/>
      <c r="C329" t="s">
        <v>169</v>
      </c>
      <c r="D329"/>
      <c r="E329" s="382" t="s">
        <v>2843</v>
      </c>
      <c r="F329" s="1716">
        <f t="shared" ref="F329:N329" si="34">SUM(F277:F280)</f>
        <v>0</v>
      </c>
      <c r="G329" s="1716">
        <f t="shared" si="34"/>
        <v>0</v>
      </c>
      <c r="H329" s="1716">
        <f t="shared" si="34"/>
        <v>0</v>
      </c>
      <c r="I329" s="1716">
        <f t="shared" si="34"/>
        <v>0</v>
      </c>
      <c r="J329" s="1716">
        <f t="shared" si="34"/>
        <v>0</v>
      </c>
      <c r="K329" s="1716">
        <f t="shared" si="34"/>
        <v>0</v>
      </c>
      <c r="L329" s="993">
        <f t="shared" si="34"/>
        <v>0</v>
      </c>
      <c r="M329" s="993">
        <f t="shared" si="34"/>
        <v>0</v>
      </c>
      <c r="N329" s="993">
        <f t="shared" si="34"/>
        <v>0</v>
      </c>
    </row>
    <row r="330" spans="1:14" s="6" customFormat="1" hidden="1">
      <c r="A330" s="1036"/>
      <c r="B330"/>
      <c r="C330" t="s">
        <v>173</v>
      </c>
      <c r="D330"/>
      <c r="E330" s="382" t="s">
        <v>2843</v>
      </c>
      <c r="F330" s="1716">
        <f t="shared" ref="F330:N330" si="35">SUM(F305:F308)</f>
        <v>0</v>
      </c>
      <c r="G330" s="1716">
        <f t="shared" si="35"/>
        <v>0</v>
      </c>
      <c r="H330" s="1716">
        <f t="shared" si="35"/>
        <v>0</v>
      </c>
      <c r="I330" s="1716">
        <f t="shared" si="35"/>
        <v>0</v>
      </c>
      <c r="J330" s="1716">
        <f>SUM(J305:J308)</f>
        <v>0</v>
      </c>
      <c r="K330" s="1716">
        <f t="shared" si="35"/>
        <v>0</v>
      </c>
      <c r="L330" s="993">
        <f t="shared" si="35"/>
        <v>0</v>
      </c>
      <c r="M330" s="993">
        <f t="shared" si="35"/>
        <v>0</v>
      </c>
      <c r="N330" s="993">
        <f t="shared" si="35"/>
        <v>0</v>
      </c>
    </row>
    <row r="331" spans="1:14" s="6" customFormat="1" hidden="1">
      <c r="B331"/>
      <c r="C331" t="s">
        <v>294</v>
      </c>
      <c r="D331"/>
      <c r="E331" s="382" t="s">
        <v>2843</v>
      </c>
      <c r="F331" s="1716">
        <f>SUM(F329:F330)</f>
        <v>0</v>
      </c>
      <c r="G331" s="1716">
        <f t="shared" ref="G331:N331" si="36">SUM(G329:G330)</f>
        <v>0</v>
      </c>
      <c r="H331" s="1716">
        <f t="shared" si="36"/>
        <v>0</v>
      </c>
      <c r="I331" s="1716">
        <f t="shared" si="36"/>
        <v>0</v>
      </c>
      <c r="J331" s="1716">
        <f t="shared" si="36"/>
        <v>0</v>
      </c>
      <c r="K331" s="1716">
        <f t="shared" si="36"/>
        <v>0</v>
      </c>
      <c r="L331" s="993">
        <f t="shared" si="36"/>
        <v>0</v>
      </c>
      <c r="M331" s="993">
        <f t="shared" si="36"/>
        <v>0</v>
      </c>
      <c r="N331" s="993">
        <f t="shared" si="36"/>
        <v>0</v>
      </c>
    </row>
    <row r="332" spans="1:14" s="6" customFormat="1" hidden="1">
      <c r="F332" s="1717"/>
      <c r="G332" s="1717"/>
      <c r="H332" s="1717"/>
      <c r="I332" s="1717"/>
      <c r="J332" s="1717"/>
      <c r="K332" s="1717"/>
    </row>
    <row r="333" spans="1:14" s="6" customFormat="1" hidden="1">
      <c r="B333" t="s">
        <v>295</v>
      </c>
      <c r="C333"/>
      <c r="D333"/>
      <c r="E333"/>
      <c r="F333" s="1716"/>
      <c r="G333" s="1716"/>
      <c r="H333" s="1716"/>
      <c r="I333" s="1716"/>
      <c r="J333" s="1716"/>
      <c r="K333" s="1716"/>
      <c r="L333" s="993"/>
      <c r="M333" s="993"/>
      <c r="N333" s="993"/>
    </row>
    <row r="334" spans="1:14" s="6" customFormat="1" hidden="1">
      <c r="B334"/>
      <c r="C334" t="s">
        <v>169</v>
      </c>
      <c r="D334"/>
      <c r="E334" s="382" t="s">
        <v>2843</v>
      </c>
      <c r="F334" s="1716">
        <f>SUM(F282:F285)</f>
        <v>0</v>
      </c>
      <c r="G334" s="1716">
        <f t="shared" ref="G334:N334" si="37">SUM(G287:G290)</f>
        <v>0</v>
      </c>
      <c r="H334" s="1716">
        <f t="shared" si="37"/>
        <v>0</v>
      </c>
      <c r="I334" s="1716">
        <f t="shared" si="37"/>
        <v>0</v>
      </c>
      <c r="J334" s="1716">
        <f t="shared" si="37"/>
        <v>0</v>
      </c>
      <c r="K334" s="1716">
        <f t="shared" si="37"/>
        <v>0</v>
      </c>
      <c r="L334" s="993">
        <f t="shared" si="37"/>
        <v>0</v>
      </c>
      <c r="M334" s="993">
        <f t="shared" si="37"/>
        <v>0</v>
      </c>
      <c r="N334" s="993">
        <f t="shared" si="37"/>
        <v>0</v>
      </c>
    </row>
    <row r="335" spans="1:14" s="6" customFormat="1" hidden="1">
      <c r="B335"/>
      <c r="C335" t="s">
        <v>173</v>
      </c>
      <c r="D335"/>
      <c r="E335" s="382" t="s">
        <v>2843</v>
      </c>
      <c r="F335" s="1716">
        <f>SUM(F314:F317)</f>
        <v>0</v>
      </c>
      <c r="G335" s="1716">
        <f t="shared" ref="G335:N335" si="38">SUM(G314:G317)</f>
        <v>0</v>
      </c>
      <c r="H335" s="1716">
        <f t="shared" si="38"/>
        <v>0</v>
      </c>
      <c r="I335" s="1716">
        <f t="shared" si="38"/>
        <v>0</v>
      </c>
      <c r="J335" s="1716">
        <f t="shared" si="38"/>
        <v>0</v>
      </c>
      <c r="K335" s="1716">
        <f t="shared" si="38"/>
        <v>0</v>
      </c>
      <c r="L335" s="993">
        <f t="shared" si="38"/>
        <v>0</v>
      </c>
      <c r="M335" s="993">
        <f t="shared" si="38"/>
        <v>0</v>
      </c>
      <c r="N335" s="993">
        <f t="shared" si="38"/>
        <v>0</v>
      </c>
    </row>
    <row r="336" spans="1:14" s="6" customFormat="1" hidden="1">
      <c r="B336"/>
      <c r="C336" t="s">
        <v>294</v>
      </c>
      <c r="D336"/>
      <c r="E336" s="382" t="s">
        <v>2843</v>
      </c>
      <c r="F336" s="1716">
        <f>SUM(F334:F335)</f>
        <v>0</v>
      </c>
      <c r="G336" s="1716">
        <f t="shared" ref="G336:N336" si="39">SUM(G334:G335)</f>
        <v>0</v>
      </c>
      <c r="H336" s="1716">
        <f t="shared" si="39"/>
        <v>0</v>
      </c>
      <c r="I336" s="1716">
        <f t="shared" si="39"/>
        <v>0</v>
      </c>
      <c r="J336" s="1716">
        <f t="shared" si="39"/>
        <v>0</v>
      </c>
      <c r="K336" s="1716">
        <f t="shared" si="39"/>
        <v>0</v>
      </c>
      <c r="L336" s="993">
        <f t="shared" si="39"/>
        <v>0</v>
      </c>
      <c r="M336" s="993">
        <f t="shared" si="39"/>
        <v>0</v>
      </c>
      <c r="N336" s="993">
        <f t="shared" si="39"/>
        <v>0</v>
      </c>
    </row>
    <row r="337" spans="1:17" s="6" customFormat="1" hidden="1">
      <c r="B337"/>
      <c r="C337"/>
      <c r="D337"/>
      <c r="E337" s="382"/>
      <c r="F337" s="1716"/>
      <c r="G337" s="1716"/>
      <c r="H337" s="1716"/>
      <c r="I337" s="1716"/>
      <c r="J337" s="1716"/>
      <c r="K337" s="1716"/>
      <c r="L337" s="993"/>
      <c r="M337" s="993"/>
      <c r="N337" s="993"/>
    </row>
    <row r="338" spans="1:17" s="6" customFormat="1" hidden="1">
      <c r="B338" s="39" t="s">
        <v>296</v>
      </c>
      <c r="C338"/>
      <c r="D338"/>
      <c r="E338"/>
      <c r="F338" s="1716"/>
      <c r="G338" s="1716"/>
      <c r="H338" s="1716"/>
      <c r="I338" s="1716"/>
      <c r="J338" s="1716"/>
      <c r="K338" s="1716"/>
      <c r="L338" s="993"/>
      <c r="M338" s="993"/>
      <c r="N338" s="993"/>
    </row>
    <row r="339" spans="1:17" s="6" customFormat="1" hidden="1">
      <c r="B339"/>
      <c r="C339" t="s">
        <v>169</v>
      </c>
      <c r="D339"/>
      <c r="E339" s="382" t="s">
        <v>2843</v>
      </c>
      <c r="F339" s="1716">
        <f t="shared" ref="F339:N339" si="40">SUM(F296:F299)</f>
        <v>0</v>
      </c>
      <c r="G339" s="1716">
        <f t="shared" si="40"/>
        <v>0</v>
      </c>
      <c r="H339" s="1716">
        <f t="shared" si="40"/>
        <v>0</v>
      </c>
      <c r="I339" s="1716">
        <f t="shared" si="40"/>
        <v>0</v>
      </c>
      <c r="J339" s="1716">
        <f t="shared" si="40"/>
        <v>0</v>
      </c>
      <c r="K339" s="1716">
        <f t="shared" si="40"/>
        <v>0</v>
      </c>
      <c r="L339" s="993">
        <f t="shared" si="40"/>
        <v>0</v>
      </c>
      <c r="M339" s="993">
        <f t="shared" si="40"/>
        <v>0</v>
      </c>
      <c r="N339" s="993">
        <f t="shared" si="40"/>
        <v>0</v>
      </c>
    </row>
    <row r="340" spans="1:17" s="6" customFormat="1" hidden="1">
      <c r="B340"/>
      <c r="C340" t="s">
        <v>173</v>
      </c>
      <c r="D340"/>
      <c r="E340" s="382" t="s">
        <v>2843</v>
      </c>
      <c r="F340" s="1716">
        <f t="shared" ref="F340:N340" si="41">SUM(F323:F326)</f>
        <v>0</v>
      </c>
      <c r="G340" s="1716">
        <f t="shared" si="41"/>
        <v>0</v>
      </c>
      <c r="H340" s="1716">
        <f t="shared" si="41"/>
        <v>0</v>
      </c>
      <c r="I340" s="1716">
        <f t="shared" si="41"/>
        <v>0</v>
      </c>
      <c r="J340" s="1716">
        <f t="shared" si="41"/>
        <v>0</v>
      </c>
      <c r="K340" s="1716">
        <f t="shared" si="41"/>
        <v>0</v>
      </c>
      <c r="L340" s="993">
        <f t="shared" si="41"/>
        <v>0</v>
      </c>
      <c r="M340" s="993">
        <f t="shared" si="41"/>
        <v>0</v>
      </c>
      <c r="N340" s="993">
        <f t="shared" si="41"/>
        <v>0</v>
      </c>
    </row>
    <row r="341" spans="1:17" s="6" customFormat="1" hidden="1">
      <c r="B341"/>
      <c r="C341" t="s">
        <v>294</v>
      </c>
      <c r="D341"/>
      <c r="E341" s="382" t="s">
        <v>2843</v>
      </c>
      <c r="F341" s="1716">
        <f>SUM(F339:F340)</f>
        <v>0</v>
      </c>
      <c r="G341" s="1716">
        <f t="shared" ref="G341:N341" si="42">SUM(G339:G340)</f>
        <v>0</v>
      </c>
      <c r="H341" s="1716">
        <f t="shared" si="42"/>
        <v>0</v>
      </c>
      <c r="I341" s="1716">
        <f t="shared" si="42"/>
        <v>0</v>
      </c>
      <c r="J341" s="1716">
        <f t="shared" si="42"/>
        <v>0</v>
      </c>
      <c r="K341" s="1716">
        <f t="shared" si="42"/>
        <v>0</v>
      </c>
      <c r="L341" s="993">
        <f t="shared" si="42"/>
        <v>0</v>
      </c>
      <c r="M341" s="993">
        <f t="shared" si="42"/>
        <v>0</v>
      </c>
      <c r="N341" s="993">
        <f t="shared" si="42"/>
        <v>0</v>
      </c>
    </row>
    <row r="342" spans="1:17" s="6" customFormat="1">
      <c r="B342" s="363"/>
      <c r="C342"/>
      <c r="F342" s="992"/>
      <c r="G342" s="992"/>
      <c r="H342" s="992"/>
      <c r="I342" s="992"/>
      <c r="J342" s="992"/>
      <c r="K342" s="992"/>
      <c r="L342" s="992"/>
      <c r="M342" s="992"/>
      <c r="N342" s="992"/>
    </row>
    <row r="343" spans="1:17" ht="23.25">
      <c r="A343" s="7"/>
      <c r="B343" s="511" t="s">
        <v>299</v>
      </c>
      <c r="C343" s="512"/>
      <c r="D343" s="512"/>
      <c r="E343" s="512"/>
      <c r="F343" s="512"/>
      <c r="G343" s="512"/>
      <c r="H343" s="512"/>
      <c r="I343" s="512"/>
      <c r="J343" s="512"/>
      <c r="K343" s="512"/>
      <c r="L343" s="512"/>
      <c r="M343" s="512"/>
      <c r="N343" s="512"/>
      <c r="O343" s="866"/>
    </row>
    <row r="344" spans="1:17">
      <c r="B344" s="514"/>
      <c r="C344" s="515"/>
      <c r="D344" s="515"/>
      <c r="E344" s="515"/>
      <c r="F344" s="515"/>
      <c r="G344" s="515"/>
      <c r="H344" s="515"/>
      <c r="I344" s="515"/>
      <c r="J344" s="515"/>
      <c r="K344" s="515"/>
      <c r="L344" s="515"/>
      <c r="M344" s="515"/>
      <c r="N344" s="515"/>
      <c r="O344" s="867"/>
    </row>
    <row r="345" spans="1:17">
      <c r="B345" s="514"/>
      <c r="C345" s="34" t="s">
        <v>1325</v>
      </c>
      <c r="D345" s="515"/>
      <c r="E345" s="516"/>
      <c r="F345" s="515"/>
      <c r="G345" s="515"/>
      <c r="H345" s="515"/>
      <c r="I345" s="515"/>
      <c r="J345" s="515"/>
      <c r="K345" s="515"/>
      <c r="L345" s="515"/>
      <c r="M345" s="515"/>
      <c r="N345" s="516" t="str">
        <f>Preferences.EnergyUnits</f>
        <v>TWh</v>
      </c>
      <c r="O345" s="867"/>
    </row>
    <row r="346" spans="1:17">
      <c r="B346" s="514"/>
      <c r="C346" s="515"/>
      <c r="D346" s="515"/>
      <c r="E346" s="515"/>
      <c r="F346" s="515"/>
      <c r="G346" s="515"/>
      <c r="H346" s="515"/>
      <c r="I346" s="515"/>
      <c r="J346" s="515"/>
      <c r="K346" s="515"/>
      <c r="L346" s="515"/>
      <c r="M346" s="515"/>
      <c r="N346" s="515"/>
      <c r="O346" s="867"/>
      <c r="P346" t="s">
        <v>5</v>
      </c>
    </row>
    <row r="347" spans="1:17" ht="15.75">
      <c r="A347" s="443"/>
      <c r="B347" s="15"/>
      <c r="C347" s="1741" t="s">
        <v>28</v>
      </c>
      <c r="D347" s="1741" t="s">
        <v>29</v>
      </c>
      <c r="E347" s="1741" t="s">
        <v>30</v>
      </c>
      <c r="F347" s="1741" t="s">
        <v>597</v>
      </c>
      <c r="G347" s="1741" t="s">
        <v>133</v>
      </c>
      <c r="H347" s="1741" t="s">
        <v>134</v>
      </c>
      <c r="I347" s="1741" t="s">
        <v>135</v>
      </c>
      <c r="J347" s="1741" t="s">
        <v>136</v>
      </c>
      <c r="K347" s="1741" t="s">
        <v>137</v>
      </c>
      <c r="L347" s="1741" t="s">
        <v>138</v>
      </c>
      <c r="M347" s="1741" t="s">
        <v>139</v>
      </c>
      <c r="N347" s="1741" t="s">
        <v>140</v>
      </c>
      <c r="O347" s="867"/>
    </row>
    <row r="348" spans="1:17" ht="15.75">
      <c r="A348" s="443"/>
      <c r="B348" s="15"/>
      <c r="C348" s="725" t="s">
        <v>418</v>
      </c>
      <c r="D348" s="1746" t="str">
        <f>INDEX(Vectors[Description], MATCH([Vector], Vectors[Code], 0))</f>
        <v>Road transport</v>
      </c>
      <c r="E348" s="725"/>
      <c r="F348" s="726">
        <f>F$223+F$228</f>
        <v>15.434999999999999</v>
      </c>
      <c r="G348" s="726">
        <f t="shared" ref="G348:M348" si="43">G$223+G$228</f>
        <v>15.751899843749998</v>
      </c>
      <c r="H348" s="726">
        <f t="shared" si="43"/>
        <v>16.043461874999998</v>
      </c>
      <c r="I348" s="726">
        <f t="shared" si="43"/>
        <v>16.309686093749999</v>
      </c>
      <c r="J348" s="726">
        <f t="shared" si="43"/>
        <v>16.550572499999998</v>
      </c>
      <c r="K348" s="726">
        <f t="shared" si="43"/>
        <v>16.766121093749994</v>
      </c>
      <c r="L348" s="726">
        <f t="shared" si="43"/>
        <v>16.956331875</v>
      </c>
      <c r="M348" s="726">
        <f t="shared" si="43"/>
        <v>17.121204843749997</v>
      </c>
      <c r="N348" s="726">
        <f>N$223+N$228</f>
        <v>17.260739999999998</v>
      </c>
      <c r="O348" s="867"/>
    </row>
    <row r="349" spans="1:17" ht="15.75">
      <c r="A349" s="443"/>
      <c r="B349" s="15"/>
      <c r="C349" s="725" t="s">
        <v>419</v>
      </c>
      <c r="D349" s="1746" t="str">
        <f>INDEX(Vectors[Description], MATCH([Vector], Vectors[Code], 0))</f>
        <v>Rail transport</v>
      </c>
      <c r="E349" s="725"/>
      <c r="F349" s="1743">
        <f>F$218+F$216</f>
        <v>4.932677048691326E-3</v>
      </c>
      <c r="G349" s="1743">
        <f t="shared" ref="G349:N349" si="44">G$218+G$216</f>
        <v>5.1361499769498426E-3</v>
      </c>
      <c r="H349" s="1743">
        <f t="shared" si="44"/>
        <v>5.339622905208361E-3</v>
      </c>
      <c r="I349" s="1743">
        <f t="shared" si="44"/>
        <v>5.5430958334668776E-3</v>
      </c>
      <c r="J349" s="1743">
        <f t="shared" si="44"/>
        <v>5.7465687617253951E-3</v>
      </c>
      <c r="K349" s="1743">
        <f t="shared" si="44"/>
        <v>5.9500416899839117E-3</v>
      </c>
      <c r="L349" s="1743">
        <f t="shared" si="44"/>
        <v>6.15351461824243E-3</v>
      </c>
      <c r="M349" s="1743">
        <f t="shared" si="44"/>
        <v>6.3569875465009466E-3</v>
      </c>
      <c r="N349" s="1743">
        <f t="shared" si="44"/>
        <v>6.5604604747594641E-3</v>
      </c>
      <c r="O349" s="867"/>
    </row>
    <row r="350" spans="1:17" ht="15.75">
      <c r="A350" s="443"/>
      <c r="B350" s="15"/>
      <c r="C350" s="725" t="s">
        <v>421</v>
      </c>
      <c r="D350" s="1746" t="str">
        <f>INDEX(Vectors[Description], MATCH([Vector], Vectors[Code], 0))</f>
        <v>National navigation</v>
      </c>
      <c r="E350" s="725"/>
      <c r="F350" s="726">
        <f>F$231</f>
        <v>0.66</v>
      </c>
      <c r="G350" s="726">
        <f t="shared" ref="G350:N350" si="45">G$231</f>
        <v>0.66</v>
      </c>
      <c r="H350" s="726">
        <f t="shared" si="45"/>
        <v>0.66</v>
      </c>
      <c r="I350" s="726">
        <f t="shared" si="45"/>
        <v>0.66</v>
      </c>
      <c r="J350" s="726">
        <f t="shared" si="45"/>
        <v>0.66</v>
      </c>
      <c r="K350" s="726">
        <f t="shared" si="45"/>
        <v>0.66</v>
      </c>
      <c r="L350" s="726">
        <f t="shared" si="45"/>
        <v>0.66</v>
      </c>
      <c r="M350" s="726">
        <f t="shared" si="45"/>
        <v>0.66</v>
      </c>
      <c r="N350" s="726">
        <f t="shared" si="45"/>
        <v>0.66</v>
      </c>
      <c r="O350" s="867"/>
      <c r="Q350" s="2446" t="s">
        <v>5</v>
      </c>
    </row>
    <row r="351" spans="1:17" ht="15.75">
      <c r="A351" s="443"/>
      <c r="B351" s="15"/>
      <c r="C351" s="725" t="s">
        <v>96</v>
      </c>
      <c r="D351" s="1746" t="str">
        <f>INDEX(Vectors[Description], MATCH([Vector], Vectors[Code], 0))</f>
        <v>Electricity (delivered to end user)</v>
      </c>
      <c r="E351" s="725"/>
      <c r="F351" s="726">
        <f>-F$218-F$228</f>
        <v>0</v>
      </c>
      <c r="G351" s="726">
        <f t="shared" ref="G351:N351" si="46">-G$218-G$228</f>
        <v>0</v>
      </c>
      <c r="H351" s="726">
        <f t="shared" si="46"/>
        <v>0</v>
      </c>
      <c r="I351" s="726">
        <f t="shared" si="46"/>
        <v>0</v>
      </c>
      <c r="J351" s="726">
        <f t="shared" si="46"/>
        <v>0</v>
      </c>
      <c r="K351" s="726">
        <f t="shared" si="46"/>
        <v>0</v>
      </c>
      <c r="L351" s="726">
        <f t="shared" si="46"/>
        <v>0</v>
      </c>
      <c r="M351" s="726">
        <f t="shared" si="46"/>
        <v>0</v>
      </c>
      <c r="N351" s="726">
        <f t="shared" si="46"/>
        <v>0</v>
      </c>
      <c r="O351" s="867"/>
    </row>
    <row r="352" spans="1:17" ht="15.75">
      <c r="A352" s="443"/>
      <c r="B352" s="15"/>
      <c r="C352" s="725" t="s">
        <v>99</v>
      </c>
      <c r="D352" s="1746" t="str">
        <f>INDEX(Vectors[Description], MATCH([Vector], Vectors[Code], 0))</f>
        <v>Liquid hydrocarbons</v>
      </c>
      <c r="E352" s="725"/>
      <c r="F352" s="726">
        <f t="shared" ref="F352:N352" si="47">-(F$216+F$223+F$231)</f>
        <v>-16.099932677048688</v>
      </c>
      <c r="G352" s="726">
        <f t="shared" si="47"/>
        <v>-16.417035993726948</v>
      </c>
      <c r="H352" s="726">
        <f t="shared" si="47"/>
        <v>-16.708801497905206</v>
      </c>
      <c r="I352" s="726">
        <f t="shared" si="47"/>
        <v>-16.975229189583466</v>
      </c>
      <c r="J352" s="726">
        <f t="shared" si="47"/>
        <v>-17.216319068761724</v>
      </c>
      <c r="K352" s="726">
        <f t="shared" si="47"/>
        <v>-17.43207113543998</v>
      </c>
      <c r="L352" s="726">
        <f t="shared" si="47"/>
        <v>-17.622485389618241</v>
      </c>
      <c r="M352" s="726">
        <f t="shared" si="47"/>
        <v>-17.787561831296497</v>
      </c>
      <c r="N352" s="726">
        <f t="shared" si="47"/>
        <v>-17.927300460474758</v>
      </c>
      <c r="O352" s="867"/>
    </row>
    <row r="353" spans="1:15" ht="15.75">
      <c r="A353" s="443"/>
      <c r="B353" s="15"/>
      <c r="C353" s="2463" t="s">
        <v>59</v>
      </c>
      <c r="D353" s="2463"/>
      <c r="E353" s="2463"/>
      <c r="F353" s="2464">
        <f>SUBTOTAL(109,[2013])</f>
        <v>0</v>
      </c>
      <c r="G353" s="2464">
        <f>SUBTOTAL(109,[2015])</f>
        <v>0</v>
      </c>
      <c r="H353" s="2464">
        <f>SUBTOTAL(109,[2020])</f>
        <v>0</v>
      </c>
      <c r="I353" s="2464">
        <f>SUBTOTAL(109,[2025])</f>
        <v>0</v>
      </c>
      <c r="J353" s="2464">
        <f>SUBTOTAL(109,[2030])</f>
        <v>0</v>
      </c>
      <c r="K353" s="2464">
        <f>SUBTOTAL(109,[2035])</f>
        <v>0</v>
      </c>
      <c r="L353" s="2464">
        <f>SUBTOTAL(109,[2040])</f>
        <v>0</v>
      </c>
      <c r="M353" s="2464">
        <f>SUBTOTAL(109,[2045])</f>
        <v>0</v>
      </c>
      <c r="N353" s="2464">
        <f>SUBTOTAL(109,[2050])</f>
        <v>0</v>
      </c>
      <c r="O353" s="867"/>
    </row>
    <row r="354" spans="1:15" ht="15.75">
      <c r="A354" s="443"/>
      <c r="B354" s="15"/>
      <c r="C354" s="17"/>
      <c r="D354" s="17"/>
      <c r="E354" s="17"/>
      <c r="F354" s="449"/>
      <c r="G354" s="449"/>
      <c r="H354" s="449"/>
      <c r="I354" s="449"/>
      <c r="J354" s="449"/>
      <c r="K354" s="449"/>
      <c r="L354" s="449"/>
      <c r="M354" s="449"/>
      <c r="N354" s="449"/>
      <c r="O354" s="867"/>
    </row>
    <row r="355" spans="1:15" ht="15.75">
      <c r="A355" s="443"/>
      <c r="B355" s="15"/>
      <c r="C355" s="34" t="s">
        <v>1326</v>
      </c>
      <c r="D355" s="515"/>
      <c r="E355" s="516"/>
      <c r="F355" s="515"/>
      <c r="G355" s="515"/>
      <c r="H355" s="515"/>
      <c r="I355" s="515"/>
      <c r="J355" s="515"/>
      <c r="K355" s="515"/>
      <c r="L355" s="515"/>
      <c r="M355" s="515"/>
      <c r="N355" s="516" t="str">
        <f>Preferences.EnergyUnits</f>
        <v>TWh</v>
      </c>
      <c r="O355" s="867"/>
    </row>
    <row r="356" spans="1:15" ht="15.75">
      <c r="A356" s="443"/>
      <c r="B356" s="15"/>
      <c r="C356" s="515"/>
      <c r="D356" s="515"/>
      <c r="E356" s="515"/>
      <c r="F356" s="515"/>
      <c r="G356" s="515"/>
      <c r="H356" s="515"/>
      <c r="I356" s="515"/>
      <c r="J356" s="515"/>
      <c r="K356" s="515"/>
      <c r="L356" s="515"/>
      <c r="M356" s="515"/>
      <c r="N356" s="515"/>
      <c r="O356" s="867"/>
    </row>
    <row r="357" spans="1:15" ht="15.75">
      <c r="A357" s="443"/>
      <c r="B357" s="15"/>
      <c r="C357" s="1741" t="s">
        <v>28</v>
      </c>
      <c r="D357" s="1741" t="s">
        <v>29</v>
      </c>
      <c r="E357" s="1741" t="s">
        <v>30</v>
      </c>
      <c r="F357" s="1741" t="s">
        <v>597</v>
      </c>
      <c r="G357" s="1741" t="s">
        <v>133</v>
      </c>
      <c r="H357" s="1741" t="s">
        <v>134</v>
      </c>
      <c r="I357" s="1741" t="s">
        <v>135</v>
      </c>
      <c r="J357" s="1741" t="s">
        <v>136</v>
      </c>
      <c r="K357" s="1741" t="s">
        <v>137</v>
      </c>
      <c r="L357" s="1741" t="s">
        <v>138</v>
      </c>
      <c r="M357" s="1741" t="s">
        <v>139</v>
      </c>
      <c r="N357" s="1741" t="s">
        <v>140</v>
      </c>
      <c r="O357" s="867"/>
    </row>
    <row r="358" spans="1:15" ht="15.75">
      <c r="A358" s="443"/>
      <c r="B358" s="15"/>
      <c r="C358" s="725" t="s">
        <v>418</v>
      </c>
      <c r="D358" s="1746" t="str">
        <f>INDEX(Vectors[Description], MATCH([Vector], Vectors[Code], 0))</f>
        <v>Road transport</v>
      </c>
      <c r="E358" s="725"/>
      <c r="F358" s="726">
        <f>F348</f>
        <v>15.434999999999999</v>
      </c>
      <c r="G358" s="726">
        <f t="shared" ref="G358:N358" si="48">G348</f>
        <v>15.751899843749998</v>
      </c>
      <c r="H358" s="726">
        <f t="shared" si="48"/>
        <v>16.043461874999998</v>
      </c>
      <c r="I358" s="726">
        <f t="shared" si="48"/>
        <v>16.309686093749999</v>
      </c>
      <c r="J358" s="726">
        <f t="shared" si="48"/>
        <v>16.550572499999998</v>
      </c>
      <c r="K358" s="726">
        <f t="shared" si="48"/>
        <v>16.766121093749994</v>
      </c>
      <c r="L358" s="726">
        <f t="shared" si="48"/>
        <v>16.956331875</v>
      </c>
      <c r="M358" s="726">
        <f t="shared" si="48"/>
        <v>17.121204843749997</v>
      </c>
      <c r="N358" s="726">
        <f t="shared" si="48"/>
        <v>17.260739999999998</v>
      </c>
      <c r="O358" s="867"/>
    </row>
    <row r="359" spans="1:15" ht="15.75">
      <c r="A359" s="443"/>
      <c r="B359" s="15"/>
      <c r="C359" s="725" t="s">
        <v>96</v>
      </c>
      <c r="D359" s="1746" t="str">
        <f>INDEX(Vectors[Description], MATCH([Vector], Vectors[Code], 0))</f>
        <v>Electricity (delivered to end user)</v>
      </c>
      <c r="E359" s="725"/>
      <c r="F359" s="726">
        <f>-F$228</f>
        <v>0</v>
      </c>
      <c r="G359" s="726">
        <f t="shared" ref="G359:N359" si="49">-G$228</f>
        <v>0</v>
      </c>
      <c r="H359" s="726">
        <f t="shared" si="49"/>
        <v>0</v>
      </c>
      <c r="I359" s="726">
        <f t="shared" si="49"/>
        <v>0</v>
      </c>
      <c r="J359" s="726">
        <f t="shared" si="49"/>
        <v>0</v>
      </c>
      <c r="K359" s="726">
        <f t="shared" si="49"/>
        <v>0</v>
      </c>
      <c r="L359" s="726">
        <f t="shared" si="49"/>
        <v>0</v>
      </c>
      <c r="M359" s="726">
        <f t="shared" si="49"/>
        <v>0</v>
      </c>
      <c r="N359" s="726">
        <f t="shared" si="49"/>
        <v>0</v>
      </c>
      <c r="O359" s="867"/>
    </row>
    <row r="360" spans="1:15" ht="15.75">
      <c r="A360" s="443"/>
      <c r="B360" s="15"/>
      <c r="C360" s="725" t="s">
        <v>99</v>
      </c>
      <c r="D360" s="1746" t="str">
        <f>INDEX(Vectors[Description], MATCH([Vector], Vectors[Code], 0))</f>
        <v>Liquid hydrocarbons</v>
      </c>
      <c r="E360" s="725"/>
      <c r="F360" s="726">
        <f>-F223</f>
        <v>-15.434999999999999</v>
      </c>
      <c r="G360" s="726">
        <f t="shared" ref="G360:N360" si="50">-G223</f>
        <v>-15.751899843749998</v>
      </c>
      <c r="H360" s="726">
        <f t="shared" si="50"/>
        <v>-16.043461874999998</v>
      </c>
      <c r="I360" s="726">
        <f t="shared" si="50"/>
        <v>-16.309686093749999</v>
      </c>
      <c r="J360" s="726">
        <f t="shared" si="50"/>
        <v>-16.550572499999998</v>
      </c>
      <c r="K360" s="726">
        <f t="shared" si="50"/>
        <v>-16.766121093749994</v>
      </c>
      <c r="L360" s="726">
        <f t="shared" si="50"/>
        <v>-16.956331875</v>
      </c>
      <c r="M360" s="726">
        <f t="shared" si="50"/>
        <v>-17.121204843749997</v>
      </c>
      <c r="N360" s="726">
        <f t="shared" si="50"/>
        <v>-17.260739999999998</v>
      </c>
      <c r="O360" s="867"/>
    </row>
    <row r="361" spans="1:15" ht="15.75">
      <c r="A361" s="443"/>
      <c r="B361" s="15"/>
      <c r="C361" s="2463" t="s">
        <v>59</v>
      </c>
      <c r="D361" s="2463"/>
      <c r="E361" s="2463"/>
      <c r="F361" s="2464">
        <f>SUBTOTAL(109,[2013])</f>
        <v>0</v>
      </c>
      <c r="G361" s="2464">
        <f>SUBTOTAL(109,[2015])</f>
        <v>0</v>
      </c>
      <c r="H361" s="2464">
        <f>SUBTOTAL(109,[2020])</f>
        <v>0</v>
      </c>
      <c r="I361" s="2464">
        <f>SUBTOTAL(109,[2025])</f>
        <v>0</v>
      </c>
      <c r="J361" s="2464">
        <f>SUBTOTAL(109,[2030])</f>
        <v>0</v>
      </c>
      <c r="K361" s="2464">
        <f>SUBTOTAL(109,[2035])</f>
        <v>0</v>
      </c>
      <c r="L361" s="2464">
        <f>SUBTOTAL(109,[2040])</f>
        <v>0</v>
      </c>
      <c r="M361" s="2464">
        <f>SUBTOTAL(109,[2045])</f>
        <v>0</v>
      </c>
      <c r="N361" s="2464">
        <f>SUBTOTAL(109,[2050])</f>
        <v>0</v>
      </c>
      <c r="O361" s="867"/>
    </row>
    <row r="362" spans="1:15" ht="15.75">
      <c r="A362" s="443"/>
      <c r="B362" s="15"/>
      <c r="C362" s="17"/>
      <c r="D362" s="17"/>
      <c r="E362" s="17"/>
      <c r="F362" s="449"/>
      <c r="G362" s="449"/>
      <c r="H362" s="449"/>
      <c r="I362" s="449"/>
      <c r="J362" s="449"/>
      <c r="K362" s="449"/>
      <c r="L362" s="449"/>
      <c r="M362" s="449"/>
      <c r="N362" s="449"/>
      <c r="O362" s="867"/>
    </row>
    <row r="363" spans="1:15" ht="15.75">
      <c r="A363" s="443"/>
      <c r="B363" s="15"/>
      <c r="C363" s="34" t="s">
        <v>1327</v>
      </c>
      <c r="D363" s="515"/>
      <c r="E363" s="516"/>
      <c r="F363" s="515"/>
      <c r="G363" s="515"/>
      <c r="H363" s="515"/>
      <c r="I363" s="515"/>
      <c r="J363" s="515"/>
      <c r="K363" s="515"/>
      <c r="L363" s="515"/>
      <c r="M363" s="515"/>
      <c r="N363" s="516" t="str">
        <f>Preferences.EnergyUnits</f>
        <v>TWh</v>
      </c>
      <c r="O363" s="867"/>
    </row>
    <row r="364" spans="1:15" ht="15.75">
      <c r="A364" s="443"/>
      <c r="B364" s="15"/>
      <c r="C364" s="515"/>
      <c r="D364" s="515"/>
      <c r="E364" s="515"/>
      <c r="F364" s="515"/>
      <c r="G364" s="515"/>
      <c r="H364" s="515"/>
      <c r="I364" s="515"/>
      <c r="J364" s="515"/>
      <c r="K364" s="515"/>
      <c r="L364" s="515"/>
      <c r="M364" s="515"/>
      <c r="N364" s="515"/>
      <c r="O364" s="867"/>
    </row>
    <row r="365" spans="1:15" ht="15.75">
      <c r="A365" s="443"/>
      <c r="B365" s="15"/>
      <c r="C365" s="1741" t="s">
        <v>28</v>
      </c>
      <c r="D365" s="1741" t="s">
        <v>29</v>
      </c>
      <c r="E365" s="1741" t="s">
        <v>30</v>
      </c>
      <c r="F365" s="1741" t="s">
        <v>597</v>
      </c>
      <c r="G365" s="1741" t="s">
        <v>133</v>
      </c>
      <c r="H365" s="1741" t="s">
        <v>134</v>
      </c>
      <c r="I365" s="1741" t="s">
        <v>135</v>
      </c>
      <c r="J365" s="1741" t="s">
        <v>136</v>
      </c>
      <c r="K365" s="1741" t="s">
        <v>137</v>
      </c>
      <c r="L365" s="1741" t="s">
        <v>138</v>
      </c>
      <c r="M365" s="1741" t="s">
        <v>139</v>
      </c>
      <c r="N365" s="1741" t="s">
        <v>140</v>
      </c>
      <c r="O365" s="867"/>
    </row>
    <row r="366" spans="1:15" ht="15.75">
      <c r="A366" s="443"/>
      <c r="B366" s="15"/>
      <c r="C366" s="725" t="s">
        <v>419</v>
      </c>
      <c r="D366" s="1746" t="str">
        <f>INDEX(Vectors[Description], MATCH([Vector], Vectors[Code], 0))</f>
        <v>Rail transport</v>
      </c>
      <c r="E366" s="725"/>
      <c r="F366" s="726">
        <f>F349</f>
        <v>4.932677048691326E-3</v>
      </c>
      <c r="G366" s="726">
        <f t="shared" ref="G366:N366" si="51">G349</f>
        <v>5.1361499769498426E-3</v>
      </c>
      <c r="H366" s="726">
        <f t="shared" si="51"/>
        <v>5.339622905208361E-3</v>
      </c>
      <c r="I366" s="726">
        <f t="shared" si="51"/>
        <v>5.5430958334668776E-3</v>
      </c>
      <c r="J366" s="726">
        <f t="shared" si="51"/>
        <v>5.7465687617253951E-3</v>
      </c>
      <c r="K366" s="726">
        <f t="shared" si="51"/>
        <v>5.9500416899839117E-3</v>
      </c>
      <c r="L366" s="726">
        <f t="shared" si="51"/>
        <v>6.15351461824243E-3</v>
      </c>
      <c r="M366" s="726">
        <f t="shared" si="51"/>
        <v>6.3569875465009466E-3</v>
      </c>
      <c r="N366" s="726">
        <f t="shared" si="51"/>
        <v>6.5604604747594641E-3</v>
      </c>
      <c r="O366" s="867"/>
    </row>
    <row r="367" spans="1:15" ht="15.75">
      <c r="A367" s="443"/>
      <c r="B367" s="15"/>
      <c r="C367" s="725" t="s">
        <v>96</v>
      </c>
      <c r="D367" s="1746" t="str">
        <f>INDEX(Vectors[Description], MATCH([Vector], Vectors[Code], 0))</f>
        <v>Electricity (delivered to end user)</v>
      </c>
      <c r="E367" s="725"/>
      <c r="F367" s="726">
        <f>-F$218</f>
        <v>0</v>
      </c>
      <c r="G367" s="726">
        <f t="shared" ref="G367:N367" si="52">-G$218</f>
        <v>0</v>
      </c>
      <c r="H367" s="726">
        <f t="shared" si="52"/>
        <v>0</v>
      </c>
      <c r="I367" s="726">
        <f t="shared" si="52"/>
        <v>0</v>
      </c>
      <c r="J367" s="726">
        <f t="shared" si="52"/>
        <v>0</v>
      </c>
      <c r="K367" s="726">
        <f t="shared" si="52"/>
        <v>0</v>
      </c>
      <c r="L367" s="726">
        <f t="shared" si="52"/>
        <v>0</v>
      </c>
      <c r="M367" s="726">
        <f t="shared" si="52"/>
        <v>0</v>
      </c>
      <c r="N367" s="726">
        <f t="shared" si="52"/>
        <v>0</v>
      </c>
      <c r="O367" s="867"/>
    </row>
    <row r="368" spans="1:15" ht="15.75">
      <c r="A368" s="443"/>
      <c r="B368" s="15"/>
      <c r="C368" s="725" t="s">
        <v>99</v>
      </c>
      <c r="D368" s="1746" t="str">
        <f>INDEX(Vectors[Description], MATCH([Vector], Vectors[Code], 0))</f>
        <v>Liquid hydrocarbons</v>
      </c>
      <c r="E368" s="725"/>
      <c r="F368" s="726">
        <f>-F216</f>
        <v>-4.932677048691326E-3</v>
      </c>
      <c r="G368" s="726">
        <f t="shared" ref="G368:N368" si="53">-G216</f>
        <v>-5.1361499769498426E-3</v>
      </c>
      <c r="H368" s="726">
        <f t="shared" si="53"/>
        <v>-5.339622905208361E-3</v>
      </c>
      <c r="I368" s="726">
        <f t="shared" si="53"/>
        <v>-5.5430958334668776E-3</v>
      </c>
      <c r="J368" s="726">
        <f t="shared" si="53"/>
        <v>-5.7465687617253951E-3</v>
      </c>
      <c r="K368" s="726">
        <f t="shared" si="53"/>
        <v>-5.9500416899839117E-3</v>
      </c>
      <c r="L368" s="726">
        <f t="shared" si="53"/>
        <v>-6.15351461824243E-3</v>
      </c>
      <c r="M368" s="726">
        <f t="shared" si="53"/>
        <v>-6.3569875465009466E-3</v>
      </c>
      <c r="N368" s="726">
        <f t="shared" si="53"/>
        <v>-6.5604604747594641E-3</v>
      </c>
      <c r="O368" s="867"/>
    </row>
    <row r="369" spans="1:15" ht="15.75">
      <c r="A369" s="443"/>
      <c r="B369" s="15"/>
      <c r="C369" s="2463" t="s">
        <v>59</v>
      </c>
      <c r="D369" s="2463"/>
      <c r="E369" s="2463"/>
      <c r="F369" s="2464">
        <f>SUBTOTAL(109,[2013])</f>
        <v>0</v>
      </c>
      <c r="G369" s="2464">
        <f>SUBTOTAL(109,[2015])</f>
        <v>0</v>
      </c>
      <c r="H369" s="2464">
        <f>SUBTOTAL(109,[2020])</f>
        <v>0</v>
      </c>
      <c r="I369" s="2464">
        <f>SUBTOTAL(109,[2025])</f>
        <v>0</v>
      </c>
      <c r="J369" s="2464">
        <f>SUBTOTAL(109,[2030])</f>
        <v>0</v>
      </c>
      <c r="K369" s="2464">
        <f>SUBTOTAL(109,[2035])</f>
        <v>0</v>
      </c>
      <c r="L369" s="2464">
        <f>SUBTOTAL(109,[2040])</f>
        <v>0</v>
      </c>
      <c r="M369" s="2464">
        <f>SUBTOTAL(109,[2045])</f>
        <v>0</v>
      </c>
      <c r="N369" s="2464">
        <f>SUBTOTAL(109,[2050])</f>
        <v>0</v>
      </c>
      <c r="O369" s="867"/>
    </row>
    <row r="370" spans="1:15" ht="15.75">
      <c r="A370" s="443"/>
      <c r="B370" s="15"/>
      <c r="C370" s="17"/>
      <c r="D370" s="17"/>
      <c r="E370" s="17"/>
      <c r="F370" s="449"/>
      <c r="G370" s="449"/>
      <c r="H370" s="449"/>
      <c r="I370" s="449"/>
      <c r="J370" s="449"/>
      <c r="K370" s="449"/>
      <c r="L370" s="449"/>
      <c r="M370" s="449"/>
      <c r="N370" s="449"/>
      <c r="O370" s="867"/>
    </row>
    <row r="371" spans="1:15" ht="15.75">
      <c r="A371" s="443"/>
      <c r="B371" s="15"/>
      <c r="C371" s="34" t="s">
        <v>1328</v>
      </c>
      <c r="D371" s="515"/>
      <c r="E371" s="516"/>
      <c r="F371" s="515"/>
      <c r="G371" s="515"/>
      <c r="H371" s="515"/>
      <c r="I371" s="515"/>
      <c r="J371" s="515"/>
      <c r="K371" s="515"/>
      <c r="L371" s="515"/>
      <c r="M371" s="515"/>
      <c r="N371" s="516" t="str">
        <f>Preferences.EnergyUnits</f>
        <v>TWh</v>
      </c>
      <c r="O371" s="867"/>
    </row>
    <row r="372" spans="1:15" ht="15.75">
      <c r="A372" s="443"/>
      <c r="B372" s="15"/>
      <c r="C372" s="515"/>
      <c r="D372" s="515"/>
      <c r="E372" s="515"/>
      <c r="F372" s="515"/>
      <c r="G372" s="515"/>
      <c r="H372" s="515"/>
      <c r="I372" s="515"/>
      <c r="J372" s="515"/>
      <c r="K372" s="515"/>
      <c r="L372" s="515"/>
      <c r="M372" s="515"/>
      <c r="N372" s="515"/>
      <c r="O372" s="867"/>
    </row>
    <row r="373" spans="1:15" ht="15.75">
      <c r="A373" s="443"/>
      <c r="B373" s="15"/>
      <c r="C373" s="1741" t="s">
        <v>28</v>
      </c>
      <c r="D373" s="1741" t="s">
        <v>29</v>
      </c>
      <c r="E373" s="1741" t="s">
        <v>30</v>
      </c>
      <c r="F373" s="1741" t="s">
        <v>597</v>
      </c>
      <c r="G373" s="1741" t="s">
        <v>133</v>
      </c>
      <c r="H373" s="1741" t="s">
        <v>134</v>
      </c>
      <c r="I373" s="1741" t="s">
        <v>135</v>
      </c>
      <c r="J373" s="1741" t="s">
        <v>136</v>
      </c>
      <c r="K373" s="1741" t="s">
        <v>137</v>
      </c>
      <c r="L373" s="1741" t="s">
        <v>138</v>
      </c>
      <c r="M373" s="1741" t="s">
        <v>139</v>
      </c>
      <c r="N373" s="1741" t="s">
        <v>140</v>
      </c>
      <c r="O373" s="867"/>
    </row>
    <row r="374" spans="1:15" ht="15.75">
      <c r="A374" s="443"/>
      <c r="B374" s="15"/>
      <c r="C374" s="725" t="s">
        <v>421</v>
      </c>
      <c r="D374" s="1746" t="str">
        <f>INDEX(Vectors[Description], MATCH([Vector], Vectors[Code], 0))</f>
        <v>National navigation</v>
      </c>
      <c r="E374" s="725"/>
      <c r="F374" s="726">
        <f>F$231</f>
        <v>0.66</v>
      </c>
      <c r="G374" s="726">
        <f t="shared" ref="G374:N374" si="54">G$231</f>
        <v>0.66</v>
      </c>
      <c r="H374" s="726">
        <f t="shared" si="54"/>
        <v>0.66</v>
      </c>
      <c r="I374" s="726">
        <f t="shared" si="54"/>
        <v>0.66</v>
      </c>
      <c r="J374" s="726">
        <f t="shared" si="54"/>
        <v>0.66</v>
      </c>
      <c r="K374" s="726">
        <f t="shared" si="54"/>
        <v>0.66</v>
      </c>
      <c r="L374" s="726">
        <f t="shared" si="54"/>
        <v>0.66</v>
      </c>
      <c r="M374" s="726">
        <f t="shared" si="54"/>
        <v>0.66</v>
      </c>
      <c r="N374" s="726">
        <f t="shared" si="54"/>
        <v>0.66</v>
      </c>
      <c r="O374" s="867"/>
    </row>
    <row r="375" spans="1:15" ht="15.75">
      <c r="A375" s="443"/>
      <c r="B375" s="15"/>
      <c r="C375" s="725" t="s">
        <v>99</v>
      </c>
      <c r="D375" s="1746" t="str">
        <f>INDEX(Vectors[Description], MATCH([Vector], Vectors[Code], 0))</f>
        <v>Liquid hydrocarbons</v>
      </c>
      <c r="E375" s="725"/>
      <c r="F375" s="726">
        <f>-F231</f>
        <v>-0.66</v>
      </c>
      <c r="G375" s="726">
        <f t="shared" ref="G375:N375" si="55">-G231</f>
        <v>-0.66</v>
      </c>
      <c r="H375" s="726">
        <f t="shared" si="55"/>
        <v>-0.66</v>
      </c>
      <c r="I375" s="726">
        <f t="shared" si="55"/>
        <v>-0.66</v>
      </c>
      <c r="J375" s="726">
        <f t="shared" si="55"/>
        <v>-0.66</v>
      </c>
      <c r="K375" s="726">
        <f t="shared" si="55"/>
        <v>-0.66</v>
      </c>
      <c r="L375" s="726">
        <f t="shared" si="55"/>
        <v>-0.66</v>
      </c>
      <c r="M375" s="726">
        <f t="shared" si="55"/>
        <v>-0.66</v>
      </c>
      <c r="N375" s="726">
        <f t="shared" si="55"/>
        <v>-0.66</v>
      </c>
      <c r="O375" s="867"/>
    </row>
    <row r="376" spans="1:15" ht="15.75">
      <c r="B376" s="35"/>
      <c r="C376" s="2463" t="s">
        <v>59</v>
      </c>
      <c r="D376" s="2463"/>
      <c r="E376" s="2463"/>
      <c r="F376" s="2464">
        <f>SUBTOTAL(109,[2013])</f>
        <v>0</v>
      </c>
      <c r="G376" s="2464">
        <f>SUBTOTAL(109,[2015])</f>
        <v>0</v>
      </c>
      <c r="H376" s="2464">
        <f>SUBTOTAL(109,[2020])</f>
        <v>0</v>
      </c>
      <c r="I376" s="2464">
        <f>SUBTOTAL(109,[2025])</f>
        <v>0</v>
      </c>
      <c r="J376" s="2464">
        <f>SUBTOTAL(109,[2030])</f>
        <v>0</v>
      </c>
      <c r="K376" s="2464">
        <f>SUBTOTAL(109,[2035])</f>
        <v>0</v>
      </c>
      <c r="L376" s="2464">
        <f>SUBTOTAL(109,[2040])</f>
        <v>0</v>
      </c>
      <c r="M376" s="2464">
        <f>SUBTOTAL(109,[2045])</f>
        <v>0</v>
      </c>
      <c r="N376" s="2464">
        <f>SUBTOTAL(109,[2050])</f>
        <v>0</v>
      </c>
      <c r="O376" s="515"/>
    </row>
    <row r="377" spans="1:15" ht="15.75">
      <c r="B377" s="35"/>
      <c r="C377" s="17"/>
      <c r="D377" s="17"/>
      <c r="E377" s="17"/>
      <c r="F377" s="449"/>
      <c r="G377" s="449"/>
      <c r="H377" s="449"/>
      <c r="I377" s="449"/>
      <c r="J377" s="449"/>
      <c r="K377" s="449"/>
      <c r="L377" s="449"/>
      <c r="M377" s="449"/>
      <c r="N377" s="449"/>
      <c r="O377" s="515"/>
    </row>
    <row r="378" spans="1:15" ht="15.75">
      <c r="B378" s="35"/>
      <c r="C378" s="452"/>
      <c r="D378" s="452"/>
      <c r="E378" s="452"/>
      <c r="F378" s="452"/>
      <c r="G378" s="452"/>
      <c r="H378" s="452"/>
      <c r="I378" s="452"/>
      <c r="J378" s="452"/>
      <c r="K378" s="452"/>
      <c r="L378" s="452"/>
      <c r="M378" s="452"/>
      <c r="N378" s="452"/>
      <c r="O378" s="515"/>
    </row>
    <row r="380" spans="1:15" ht="15.75">
      <c r="B380" s="1127" t="s">
        <v>303</v>
      </c>
      <c r="C380" s="1128"/>
      <c r="D380" s="1129"/>
      <c r="E380" s="1129"/>
      <c r="F380" s="1129"/>
      <c r="G380" s="1129"/>
      <c r="H380" s="1129"/>
      <c r="I380" s="1129"/>
      <c r="J380" s="1129"/>
      <c r="K380" s="1129"/>
      <c r="L380" s="1129"/>
      <c r="M380" s="1129"/>
      <c r="N380" s="1129"/>
      <c r="O380" s="1130"/>
    </row>
    <row r="381" spans="1:15">
      <c r="B381" s="1134"/>
      <c r="C381" s="1132"/>
      <c r="D381" s="1132"/>
      <c r="E381" s="1132"/>
      <c r="F381" s="1132"/>
      <c r="G381" s="1132"/>
      <c r="H381" s="1132"/>
      <c r="I381" s="1132"/>
      <c r="J381" s="1132"/>
      <c r="K381" s="1132"/>
      <c r="L381" s="1132"/>
      <c r="M381" s="1132"/>
      <c r="N381" s="1132"/>
      <c r="O381" s="1133"/>
    </row>
    <row r="382" spans="1:15" ht="15.75">
      <c r="B382" s="467"/>
      <c r="C382" s="462" t="s">
        <v>1329</v>
      </c>
      <c r="D382" s="1135"/>
      <c r="E382" s="1136"/>
      <c r="F382" s="1135"/>
      <c r="G382" s="1135"/>
      <c r="H382" s="1135"/>
      <c r="I382" s="1135"/>
      <c r="J382" s="1135"/>
      <c r="K382" s="1135"/>
      <c r="L382" s="1135"/>
      <c r="M382" s="1135"/>
      <c r="N382" s="1136" t="s">
        <v>254</v>
      </c>
      <c r="O382" s="1138"/>
    </row>
    <row r="383" spans="1:15" ht="15.75">
      <c r="B383" s="467"/>
      <c r="C383" s="1135"/>
      <c r="D383" s="1135"/>
      <c r="E383" s="1135"/>
      <c r="F383" s="1135"/>
      <c r="G383" s="1135"/>
      <c r="H383" s="1135"/>
      <c r="I383" s="1135"/>
      <c r="J383" s="1135"/>
      <c r="K383" s="1135"/>
      <c r="L383" s="1135"/>
      <c r="M383" s="1135"/>
      <c r="N383" s="1135"/>
      <c r="O383" s="1138"/>
    </row>
    <row r="384" spans="1:15" ht="15.75">
      <c r="B384" s="467"/>
      <c r="C384" s="1339" t="s">
        <v>305</v>
      </c>
      <c r="D384" s="1339" t="s">
        <v>306</v>
      </c>
      <c r="E384" s="1339" t="s">
        <v>30</v>
      </c>
      <c r="F384" s="1339" t="s">
        <v>597</v>
      </c>
      <c r="G384" s="1339" t="s">
        <v>133</v>
      </c>
      <c r="H384" s="1339" t="s">
        <v>134</v>
      </c>
      <c r="I384" s="1339" t="s">
        <v>135</v>
      </c>
      <c r="J384" s="1339" t="s">
        <v>136</v>
      </c>
      <c r="K384" s="1339" t="s">
        <v>137</v>
      </c>
      <c r="L384" s="1339" t="s">
        <v>138</v>
      </c>
      <c r="M384" s="1339" t="s">
        <v>139</v>
      </c>
      <c r="N384" s="1339" t="s">
        <v>140</v>
      </c>
      <c r="O384" s="1138"/>
    </row>
    <row r="385" spans="2:15" ht="15.75">
      <c r="B385" s="467"/>
      <c r="C385" s="1140" t="s">
        <v>253</v>
      </c>
      <c r="D385" s="1141" t="s">
        <v>307</v>
      </c>
      <c r="E385" s="1140" t="s">
        <v>308</v>
      </c>
      <c r="F385" s="470">
        <f t="shared" ref="F385:N387" si="56">F236</f>
        <v>4.2484502348196074</v>
      </c>
      <c r="G385" s="470">
        <f t="shared" si="56"/>
        <v>4.332127458024666</v>
      </c>
      <c r="H385" s="470">
        <f t="shared" si="56"/>
        <v>4.409118539267225</v>
      </c>
      <c r="I385" s="470">
        <f t="shared" si="56"/>
        <v>4.4794234785472842</v>
      </c>
      <c r="J385" s="470">
        <f t="shared" si="56"/>
        <v>4.5430422758648428</v>
      </c>
      <c r="K385" s="470">
        <f t="shared" si="56"/>
        <v>4.5999749312199008</v>
      </c>
      <c r="L385" s="470">
        <f t="shared" si="56"/>
        <v>4.6502214446124608</v>
      </c>
      <c r="M385" s="470">
        <f t="shared" si="56"/>
        <v>4.6937818160425184</v>
      </c>
      <c r="N385" s="470">
        <f>N236</f>
        <v>4.7306560455100781</v>
      </c>
      <c r="O385" s="1138"/>
    </row>
    <row r="386" spans="2:15" ht="15.75">
      <c r="B386" s="467"/>
      <c r="C386" s="1140" t="s">
        <v>255</v>
      </c>
      <c r="D386" s="1141" t="s">
        <v>307</v>
      </c>
      <c r="E386" s="1140" t="s">
        <v>308</v>
      </c>
      <c r="F386" s="470">
        <f t="shared" si="56"/>
        <v>3.6514647311546426E-3</v>
      </c>
      <c r="G386" s="470">
        <f t="shared" si="56"/>
        <v>3.7233837633772718E-3</v>
      </c>
      <c r="H386" s="470">
        <f t="shared" si="56"/>
        <v>3.7895561797249011E-3</v>
      </c>
      <c r="I386" s="470">
        <f t="shared" si="56"/>
        <v>3.8499819801975301E-3</v>
      </c>
      <c r="J386" s="470">
        <f t="shared" si="56"/>
        <v>3.9046611647951591E-3</v>
      </c>
      <c r="K386" s="470">
        <f t="shared" si="56"/>
        <v>3.9535937335177873E-3</v>
      </c>
      <c r="L386" s="470">
        <f t="shared" si="56"/>
        <v>3.9967796863654174E-3</v>
      </c>
      <c r="M386" s="470">
        <f t="shared" si="56"/>
        <v>4.0342190233380454E-3</v>
      </c>
      <c r="N386" s="470">
        <f t="shared" si="56"/>
        <v>4.0659117444356756E-3</v>
      </c>
      <c r="O386" s="1138"/>
    </row>
    <row r="387" spans="2:15" ht="15.75">
      <c r="B387" s="467"/>
      <c r="C387" s="1140" t="s">
        <v>256</v>
      </c>
      <c r="D387" s="1141" t="s">
        <v>307</v>
      </c>
      <c r="E387" s="1140" t="s">
        <v>308</v>
      </c>
      <c r="F387" s="470">
        <f t="shared" si="56"/>
        <v>1.0780514920551801E-2</v>
      </c>
      <c r="G387" s="470">
        <f t="shared" si="56"/>
        <v>1.0992847301399565E-2</v>
      </c>
      <c r="H387" s="470">
        <f t="shared" si="56"/>
        <v>1.1188213482997327E-2</v>
      </c>
      <c r="I387" s="470">
        <f t="shared" si="56"/>
        <v>1.1366613465345088E-2</v>
      </c>
      <c r="J387" s="470">
        <f t="shared" si="56"/>
        <v>1.1528047248442851E-2</v>
      </c>
      <c r="K387" s="470">
        <f t="shared" si="56"/>
        <v>1.167251483229061E-2</v>
      </c>
      <c r="L387" s="470">
        <f t="shared" si="56"/>
        <v>1.1800016216888374E-2</v>
      </c>
      <c r="M387" s="470">
        <f t="shared" si="56"/>
        <v>1.1910551402236135E-2</v>
      </c>
      <c r="N387" s="470">
        <f t="shared" si="56"/>
        <v>1.2004120388333898E-2</v>
      </c>
      <c r="O387" s="1138"/>
    </row>
    <row r="388" spans="2:15" ht="15.75">
      <c r="B388" s="467"/>
      <c r="C388" s="2466" t="s">
        <v>59</v>
      </c>
      <c r="D388" s="2466"/>
      <c r="E388" s="2466"/>
      <c r="F388" s="2467">
        <f>SUBTOTAL(109,[2013])</f>
        <v>4.2628822144713139</v>
      </c>
      <c r="G388" s="2467">
        <f>SUBTOTAL(109,[2015])</f>
        <v>4.3468436890894431</v>
      </c>
      <c r="H388" s="2467">
        <f>SUBTOTAL(109,[2020])</f>
        <v>4.424096308929947</v>
      </c>
      <c r="I388" s="2467">
        <f>SUBTOTAL(109,[2025])</f>
        <v>4.4946400739928265</v>
      </c>
      <c r="J388" s="2467">
        <f>SUBTOTAL(109,[2030])</f>
        <v>4.5584749842780807</v>
      </c>
      <c r="K388" s="2467">
        <f>SUBTOTAL(109,[2035])</f>
        <v>4.6156010397857088</v>
      </c>
      <c r="L388" s="2467">
        <f>SUBTOTAL(109,[2040])</f>
        <v>4.6660182405157142</v>
      </c>
      <c r="M388" s="2467">
        <f>SUBTOTAL(109,[2045])</f>
        <v>4.7097265864680926</v>
      </c>
      <c r="N388" s="2467">
        <f>SUBTOTAL(109,[2050])</f>
        <v>4.7467260776428475</v>
      </c>
      <c r="O388" s="1138"/>
    </row>
    <row r="389" spans="2:15" ht="15.75">
      <c r="B389" s="467"/>
      <c r="C389" s="1140"/>
      <c r="D389" s="1140"/>
      <c r="E389" s="1140"/>
      <c r="F389" s="471"/>
      <c r="G389" s="471"/>
      <c r="H389" s="471"/>
      <c r="I389" s="471"/>
      <c r="J389" s="471"/>
      <c r="K389" s="471"/>
      <c r="L389" s="471"/>
      <c r="M389" s="471"/>
      <c r="N389" s="471"/>
      <c r="O389" s="1138"/>
    </row>
    <row r="390" spans="2:15" ht="15.75">
      <c r="B390" s="467"/>
      <c r="C390" s="462" t="s">
        <v>1254</v>
      </c>
      <c r="D390" s="1135"/>
      <c r="E390" s="1136"/>
      <c r="F390" s="1135"/>
      <c r="G390" s="1135"/>
      <c r="H390" s="1135"/>
      <c r="I390" s="1135"/>
      <c r="J390" s="1135"/>
      <c r="K390" s="1135"/>
      <c r="L390" s="1135"/>
      <c r="M390" s="1135"/>
      <c r="N390" s="1136" t="s">
        <v>254</v>
      </c>
      <c r="O390" s="1138"/>
    </row>
    <row r="391" spans="2:15" ht="15.75">
      <c r="B391" s="467"/>
      <c r="C391" s="1135"/>
      <c r="D391" s="1135"/>
      <c r="E391" s="1135"/>
      <c r="F391" s="1135"/>
      <c r="G391" s="1135"/>
      <c r="H391" s="1135"/>
      <c r="I391" s="1135"/>
      <c r="J391" s="1135"/>
      <c r="K391" s="1135"/>
      <c r="L391" s="1135"/>
      <c r="M391" s="1135"/>
      <c r="N391" s="1135"/>
      <c r="O391" s="1138"/>
    </row>
    <row r="392" spans="2:15" ht="15.75">
      <c r="B392" s="467"/>
      <c r="C392" s="1339" t="s">
        <v>305</v>
      </c>
      <c r="D392" s="1339" t="s">
        <v>306</v>
      </c>
      <c r="E392" s="1339" t="s">
        <v>30</v>
      </c>
      <c r="F392" s="1339" t="s">
        <v>597</v>
      </c>
      <c r="G392" s="1339" t="s">
        <v>133</v>
      </c>
      <c r="H392" s="1339" t="s">
        <v>134</v>
      </c>
      <c r="I392" s="1339" t="s">
        <v>135</v>
      </c>
      <c r="J392" s="1339" t="s">
        <v>136</v>
      </c>
      <c r="K392" s="1339" t="s">
        <v>137</v>
      </c>
      <c r="L392" s="1339" t="s">
        <v>138</v>
      </c>
      <c r="M392" s="1339" t="s">
        <v>139</v>
      </c>
      <c r="N392" s="1339" t="s">
        <v>140</v>
      </c>
      <c r="O392" s="1138"/>
    </row>
    <row r="393" spans="2:15" ht="15.75">
      <c r="B393" s="467"/>
      <c r="C393" s="1140" t="s">
        <v>253</v>
      </c>
      <c r="D393" s="1141" t="s">
        <v>307</v>
      </c>
      <c r="E393" s="1140" t="s">
        <v>308</v>
      </c>
      <c r="F393" s="470">
        <f>(F236*(F$223/(F$216+F$223+F$231)))</f>
        <v>4.072987799999999</v>
      </c>
      <c r="G393" s="470">
        <f t="shared" ref="G393:N395" si="57">(G236*(G$223/(G$216+G$223+G$231)))</f>
        <v>4.1566113307687482</v>
      </c>
      <c r="H393" s="470">
        <f t="shared" si="57"/>
        <v>4.2335487195749986</v>
      </c>
      <c r="I393" s="470">
        <f t="shared" si="57"/>
        <v>4.3037999664187492</v>
      </c>
      <c r="J393" s="470">
        <f t="shared" si="57"/>
        <v>4.3673650712999983</v>
      </c>
      <c r="K393" s="470">
        <f t="shared" si="57"/>
        <v>4.4242440342187477</v>
      </c>
      <c r="L393" s="470">
        <f t="shared" si="57"/>
        <v>4.4744368551749991</v>
      </c>
      <c r="M393" s="470">
        <f t="shared" si="57"/>
        <v>4.5179435341687482</v>
      </c>
      <c r="N393" s="470">
        <f t="shared" si="57"/>
        <v>4.5547640711999984</v>
      </c>
      <c r="O393" s="1138"/>
    </row>
    <row r="394" spans="2:15" ht="15.75">
      <c r="B394" s="467"/>
      <c r="C394" s="1140" t="s">
        <v>255</v>
      </c>
      <c r="D394" s="1141" t="s">
        <v>307</v>
      </c>
      <c r="E394" s="1140" t="s">
        <v>308</v>
      </c>
      <c r="F394" s="470">
        <f>(F237*(F$223/(F$216+F$223+F$231)))</f>
        <v>3.5006579999999998E-3</v>
      </c>
      <c r="G394" s="470">
        <f t="shared" si="57"/>
        <v>3.5725308845624996E-3</v>
      </c>
      <c r="H394" s="470">
        <f t="shared" si="57"/>
        <v>3.6386571532499999E-3</v>
      </c>
      <c r="I394" s="470">
        <f t="shared" si="57"/>
        <v>3.6990368060624999E-3</v>
      </c>
      <c r="J394" s="470">
        <f t="shared" si="57"/>
        <v>3.7536698429999995E-3</v>
      </c>
      <c r="K394" s="470">
        <f t="shared" si="57"/>
        <v>3.8025562640624983E-3</v>
      </c>
      <c r="L394" s="470">
        <f t="shared" si="57"/>
        <v>3.8456960692500003E-3</v>
      </c>
      <c r="M394" s="470">
        <f t="shared" si="57"/>
        <v>3.8830892585624993E-3</v>
      </c>
      <c r="N394" s="470">
        <f t="shared" si="57"/>
        <v>3.9147358320000001E-3</v>
      </c>
      <c r="O394" s="1138"/>
    </row>
    <row r="395" spans="2:15" ht="15.75">
      <c r="B395" s="467"/>
      <c r="C395" s="1140" t="s">
        <v>256</v>
      </c>
      <c r="D395" s="1141" t="s">
        <v>307</v>
      </c>
      <c r="E395" s="1140" t="s">
        <v>308</v>
      </c>
      <c r="F395" s="470">
        <f>(F238*(F$223/(F$216+F$223+F$231)))</f>
        <v>1.0335275999999997E-2</v>
      </c>
      <c r="G395" s="470">
        <f t="shared" si="57"/>
        <v>1.0547472135375E-2</v>
      </c>
      <c r="H395" s="470">
        <f t="shared" si="57"/>
        <v>1.07427020715E-2</v>
      </c>
      <c r="I395" s="470">
        <f t="shared" si="57"/>
        <v>1.0920965808374998E-2</v>
      </c>
      <c r="J395" s="470">
        <f t="shared" si="57"/>
        <v>1.1082263345999998E-2</v>
      </c>
      <c r="K395" s="470">
        <f t="shared" si="57"/>
        <v>1.1226594684374995E-2</v>
      </c>
      <c r="L395" s="470">
        <f t="shared" si="57"/>
        <v>1.1353959823499999E-2</v>
      </c>
      <c r="M395" s="470">
        <f t="shared" si="57"/>
        <v>1.1464358763374998E-2</v>
      </c>
      <c r="N395" s="470">
        <f t="shared" si="57"/>
        <v>1.1557791503999999E-2</v>
      </c>
      <c r="O395" s="1138"/>
    </row>
    <row r="396" spans="2:15" ht="15.75">
      <c r="B396" s="467"/>
      <c r="C396" s="2466" t="s">
        <v>59</v>
      </c>
      <c r="D396" s="2466"/>
      <c r="E396" s="2466"/>
      <c r="F396" s="2467">
        <f>SUBTOTAL(109,[2013])</f>
        <v>4.0868237339999993</v>
      </c>
      <c r="G396" s="2467">
        <f>SUBTOTAL(109,[2015])</f>
        <v>4.1707313337886855</v>
      </c>
      <c r="H396" s="2467">
        <f>SUBTOTAL(109,[2020])</f>
        <v>4.2479300787997483</v>
      </c>
      <c r="I396" s="2467">
        <f>SUBTOTAL(109,[2025])</f>
        <v>4.3184199690331866</v>
      </c>
      <c r="J396" s="2467">
        <f>SUBTOTAL(109,[2030])</f>
        <v>4.3822010044889987</v>
      </c>
      <c r="K396" s="2467">
        <f>SUBTOTAL(109,[2035])</f>
        <v>4.4392731851671856</v>
      </c>
      <c r="L396" s="2467">
        <f>SUBTOTAL(109,[2040])</f>
        <v>4.4896365110677499</v>
      </c>
      <c r="M396" s="2467">
        <f>SUBTOTAL(109,[2045])</f>
        <v>4.5332909821906853</v>
      </c>
      <c r="N396" s="2467">
        <f>SUBTOTAL(109,[2050])</f>
        <v>4.5702365985359981</v>
      </c>
      <c r="O396" s="1138"/>
    </row>
    <row r="397" spans="2:15" ht="15.75">
      <c r="B397" s="467"/>
      <c r="C397" s="1140"/>
      <c r="D397" s="1140"/>
      <c r="E397" s="1140"/>
      <c r="F397" s="471"/>
      <c r="G397" s="471"/>
      <c r="H397" s="471"/>
      <c r="I397" s="471"/>
      <c r="J397" s="471"/>
      <c r="K397" s="471"/>
      <c r="L397" s="471"/>
      <c r="M397" s="471"/>
      <c r="N397" s="471"/>
      <c r="O397" s="1138"/>
    </row>
    <row r="398" spans="2:15" ht="15.75">
      <c r="B398" s="467"/>
      <c r="C398" s="462" t="s">
        <v>1255</v>
      </c>
      <c r="D398" s="1135"/>
      <c r="E398" s="1136"/>
      <c r="F398" s="1135"/>
      <c r="G398" s="1135"/>
      <c r="H398" s="1135"/>
      <c r="I398" s="1135"/>
      <c r="J398" s="1135"/>
      <c r="K398" s="1135"/>
      <c r="L398" s="1135"/>
      <c r="M398" s="1135"/>
      <c r="N398" s="1136" t="s">
        <v>254</v>
      </c>
      <c r="O398" s="1138"/>
    </row>
    <row r="399" spans="2:15" ht="15.75">
      <c r="B399" s="467"/>
      <c r="C399" s="1135"/>
      <c r="D399" s="1135"/>
      <c r="E399" s="1135"/>
      <c r="F399" s="1135"/>
      <c r="G399" s="1135"/>
      <c r="H399" s="1135"/>
      <c r="I399" s="1135"/>
      <c r="J399" s="1135"/>
      <c r="K399" s="1135"/>
      <c r="L399" s="1135"/>
      <c r="M399" s="1135"/>
      <c r="N399" s="1135"/>
      <c r="O399" s="1138"/>
    </row>
    <row r="400" spans="2:15" ht="15.75">
      <c r="B400" s="467"/>
      <c r="C400" s="1339" t="s">
        <v>305</v>
      </c>
      <c r="D400" s="1339" t="s">
        <v>306</v>
      </c>
      <c r="E400" s="1339" t="s">
        <v>30</v>
      </c>
      <c r="F400" s="1339" t="s">
        <v>597</v>
      </c>
      <c r="G400" s="1339" t="s">
        <v>133</v>
      </c>
      <c r="H400" s="1339" t="s">
        <v>134</v>
      </c>
      <c r="I400" s="1339" t="s">
        <v>135</v>
      </c>
      <c r="J400" s="1339" t="s">
        <v>136</v>
      </c>
      <c r="K400" s="1339" t="s">
        <v>137</v>
      </c>
      <c r="L400" s="1339" t="s">
        <v>138</v>
      </c>
      <c r="M400" s="1339" t="s">
        <v>139</v>
      </c>
      <c r="N400" s="1339" t="s">
        <v>140</v>
      </c>
      <c r="O400" s="1138"/>
    </row>
    <row r="401" spans="2:15" ht="15.75">
      <c r="B401" s="467"/>
      <c r="C401" s="1140" t="s">
        <v>253</v>
      </c>
      <c r="D401" s="1141" t="s">
        <v>307</v>
      </c>
      <c r="E401" s="1140" t="s">
        <v>308</v>
      </c>
      <c r="F401" s="470">
        <f t="shared" ref="F401:N403" si="58">(F236*(F$216/(F$216+F$223+F$231)))</f>
        <v>1.3016348196086668E-3</v>
      </c>
      <c r="G401" s="470">
        <f t="shared" si="58"/>
        <v>1.3553272559175241E-3</v>
      </c>
      <c r="H401" s="470">
        <f t="shared" si="58"/>
        <v>1.4090196922263822E-3</v>
      </c>
      <c r="I401" s="470">
        <f t="shared" si="58"/>
        <v>1.4627121285352392E-3</v>
      </c>
      <c r="J401" s="470">
        <f t="shared" si="58"/>
        <v>1.5164045648440969E-3</v>
      </c>
      <c r="K401" s="470">
        <f t="shared" si="58"/>
        <v>1.5700970011529542E-3</v>
      </c>
      <c r="L401" s="470">
        <f t="shared" si="58"/>
        <v>1.623789437461812E-3</v>
      </c>
      <c r="M401" s="470">
        <f t="shared" si="58"/>
        <v>1.6774818737706695E-3</v>
      </c>
      <c r="N401" s="470">
        <f t="shared" si="58"/>
        <v>1.731174310079527E-3</v>
      </c>
      <c r="O401" s="1138"/>
    </row>
    <row r="402" spans="2:15" ht="15.75">
      <c r="B402" s="467"/>
      <c r="C402" s="1140" t="s">
        <v>255</v>
      </c>
      <c r="D402" s="1141" t="s">
        <v>307</v>
      </c>
      <c r="E402" s="1140" t="s">
        <v>308</v>
      </c>
      <c r="F402" s="470">
        <f t="shared" si="58"/>
        <v>1.1187311546431927E-6</v>
      </c>
      <c r="G402" s="470">
        <f t="shared" si="58"/>
        <v>1.1648788147722243E-6</v>
      </c>
      <c r="H402" s="470">
        <f t="shared" si="58"/>
        <v>1.2110264749012564E-6</v>
      </c>
      <c r="I402" s="470">
        <f t="shared" si="58"/>
        <v>1.2571741350302877E-6</v>
      </c>
      <c r="J402" s="470">
        <f t="shared" si="58"/>
        <v>1.3033217951593195E-6</v>
      </c>
      <c r="K402" s="470">
        <f t="shared" si="58"/>
        <v>1.349469455288351E-6</v>
      </c>
      <c r="L402" s="470">
        <f t="shared" si="58"/>
        <v>1.3956171154173831E-6</v>
      </c>
      <c r="M402" s="470">
        <f t="shared" si="58"/>
        <v>1.4417647755464147E-6</v>
      </c>
      <c r="N402" s="470">
        <f t="shared" si="58"/>
        <v>1.4879124356754466E-6</v>
      </c>
      <c r="O402" s="1138"/>
    </row>
    <row r="403" spans="2:15" ht="15.75">
      <c r="B403" s="467"/>
      <c r="C403" s="1140" t="s">
        <v>256</v>
      </c>
      <c r="D403" s="1141" t="s">
        <v>307</v>
      </c>
      <c r="E403" s="1140" t="s">
        <v>308</v>
      </c>
      <c r="F403" s="470">
        <f t="shared" si="58"/>
        <v>3.3029205518037117E-6</v>
      </c>
      <c r="G403" s="470">
        <f t="shared" si="58"/>
        <v>3.4391660245656148E-6</v>
      </c>
      <c r="H403" s="470">
        <f t="shared" si="58"/>
        <v>3.575411497327519E-6</v>
      </c>
      <c r="I403" s="470">
        <f t="shared" si="58"/>
        <v>3.7116569700894208E-6</v>
      </c>
      <c r="J403" s="470">
        <f t="shared" si="58"/>
        <v>3.8479024428513251E-6</v>
      </c>
      <c r="K403" s="470">
        <f t="shared" si="58"/>
        <v>3.9841479156132272E-6</v>
      </c>
      <c r="L403" s="470">
        <f t="shared" si="58"/>
        <v>4.1203933883751303E-6</v>
      </c>
      <c r="M403" s="470">
        <f t="shared" si="58"/>
        <v>4.2566388611370341E-6</v>
      </c>
      <c r="N403" s="470">
        <f t="shared" si="58"/>
        <v>4.3928843338989371E-6</v>
      </c>
      <c r="O403" s="1138"/>
    </row>
    <row r="404" spans="2:15" ht="15.75">
      <c r="B404" s="467"/>
      <c r="C404" s="2466" t="s">
        <v>59</v>
      </c>
      <c r="D404" s="2466"/>
      <c r="E404" s="2466"/>
      <c r="F404" s="2467">
        <f>SUBTOTAL(109,[2013])</f>
        <v>1.3060564713151138E-3</v>
      </c>
      <c r="G404" s="2467">
        <f>SUBTOTAL(109,[2015])</f>
        <v>1.3599313007568619E-3</v>
      </c>
      <c r="H404" s="2467">
        <f>SUBTOTAL(109,[2020])</f>
        <v>1.4138061301986111E-3</v>
      </c>
      <c r="I404" s="2467">
        <f>SUBTOTAL(109,[2025])</f>
        <v>1.467680959640359E-3</v>
      </c>
      <c r="J404" s="2467">
        <f>SUBTOTAL(109,[2030])</f>
        <v>1.5215557890821076E-3</v>
      </c>
      <c r="K404" s="2467">
        <f>SUBTOTAL(109,[2035])</f>
        <v>1.5754306185238557E-3</v>
      </c>
      <c r="L404" s="2467">
        <f>SUBTOTAL(109,[2040])</f>
        <v>1.6293054479656044E-3</v>
      </c>
      <c r="M404" s="2467">
        <f>SUBTOTAL(109,[2045])</f>
        <v>1.683180277407353E-3</v>
      </c>
      <c r="N404" s="2467">
        <f>SUBTOTAL(109,[2050])</f>
        <v>1.7370551068491013E-3</v>
      </c>
      <c r="O404" s="1138"/>
    </row>
    <row r="405" spans="2:15" ht="15.75">
      <c r="B405" s="467"/>
      <c r="C405" s="1140"/>
      <c r="D405" s="1140"/>
      <c r="E405" s="1140"/>
      <c r="F405" s="471"/>
      <c r="G405" s="471"/>
      <c r="H405" s="471"/>
      <c r="I405" s="471"/>
      <c r="J405" s="471"/>
      <c r="K405" s="471"/>
      <c r="L405" s="471"/>
      <c r="M405" s="471"/>
      <c r="N405" s="471"/>
      <c r="O405" s="1138"/>
    </row>
    <row r="406" spans="2:15" ht="15.75">
      <c r="B406" s="467"/>
      <c r="C406" s="462" t="s">
        <v>1330</v>
      </c>
      <c r="D406" s="1135"/>
      <c r="E406" s="1136"/>
      <c r="F406" s="1135"/>
      <c r="G406" s="1135"/>
      <c r="H406" s="1135"/>
      <c r="I406" s="1135"/>
      <c r="J406" s="1135"/>
      <c r="K406" s="1135"/>
      <c r="L406" s="1135"/>
      <c r="M406" s="1135"/>
      <c r="N406" s="1136" t="s">
        <v>254</v>
      </c>
      <c r="O406" s="1138"/>
    </row>
    <row r="407" spans="2:15" ht="15.75">
      <c r="B407" s="467"/>
      <c r="C407" s="1135"/>
      <c r="D407" s="1135"/>
      <c r="E407" s="1135"/>
      <c r="F407" s="1135"/>
      <c r="G407" s="1135"/>
      <c r="H407" s="1135"/>
      <c r="I407" s="1135"/>
      <c r="J407" s="1135"/>
      <c r="K407" s="1135"/>
      <c r="L407" s="1135"/>
      <c r="M407" s="1135"/>
      <c r="N407" s="1135"/>
      <c r="O407" s="1138"/>
    </row>
    <row r="408" spans="2:15" ht="15.75">
      <c r="B408" s="467"/>
      <c r="C408" s="1339" t="s">
        <v>305</v>
      </c>
      <c r="D408" s="1339" t="s">
        <v>306</v>
      </c>
      <c r="E408" s="1339" t="s">
        <v>30</v>
      </c>
      <c r="F408" s="1339" t="s">
        <v>597</v>
      </c>
      <c r="G408" s="1339" t="s">
        <v>133</v>
      </c>
      <c r="H408" s="1339" t="s">
        <v>134</v>
      </c>
      <c r="I408" s="1339" t="s">
        <v>135</v>
      </c>
      <c r="J408" s="1339" t="s">
        <v>136</v>
      </c>
      <c r="K408" s="1339" t="s">
        <v>137</v>
      </c>
      <c r="L408" s="1339" t="s">
        <v>138</v>
      </c>
      <c r="M408" s="1339" t="s">
        <v>139</v>
      </c>
      <c r="N408" s="1339" t="s">
        <v>140</v>
      </c>
      <c r="O408" s="1138"/>
    </row>
    <row r="409" spans="2:15" ht="15.75">
      <c r="B409" s="467"/>
      <c r="C409" s="1140" t="s">
        <v>253</v>
      </c>
      <c r="D409" s="1141" t="s">
        <v>307</v>
      </c>
      <c r="E409" s="1140" t="s">
        <v>308</v>
      </c>
      <c r="F409" s="470">
        <f t="shared" ref="F409:N411" si="59">(F236*(F$231/(F$216+F$223+F$231)))</f>
        <v>0.17416079999999998</v>
      </c>
      <c r="G409" s="470">
        <f t="shared" si="59"/>
        <v>0.17416079999999998</v>
      </c>
      <c r="H409" s="470">
        <f t="shared" si="59"/>
        <v>0.17416079999999998</v>
      </c>
      <c r="I409" s="470">
        <f t="shared" si="59"/>
        <v>0.17416079999999998</v>
      </c>
      <c r="J409" s="470">
        <f t="shared" si="59"/>
        <v>0.17416079999999995</v>
      </c>
      <c r="K409" s="470">
        <f t="shared" si="59"/>
        <v>0.17416079999999995</v>
      </c>
      <c r="L409" s="470">
        <f t="shared" si="59"/>
        <v>0.17416079999999998</v>
      </c>
      <c r="M409" s="470">
        <f t="shared" si="59"/>
        <v>0.17416079999999998</v>
      </c>
      <c r="N409" s="470">
        <f t="shared" si="59"/>
        <v>0.17416079999999998</v>
      </c>
      <c r="O409" s="1138"/>
    </row>
    <row r="410" spans="2:15" ht="15.75">
      <c r="B410" s="467"/>
      <c r="C410" s="1140" t="s">
        <v>255</v>
      </c>
      <c r="D410" s="1141" t="s">
        <v>307</v>
      </c>
      <c r="E410" s="1140" t="s">
        <v>308</v>
      </c>
      <c r="F410" s="470">
        <f t="shared" si="59"/>
        <v>1.4968800000000001E-4</v>
      </c>
      <c r="G410" s="470">
        <f t="shared" si="59"/>
        <v>1.4968800000000001E-4</v>
      </c>
      <c r="H410" s="470">
        <f t="shared" si="59"/>
        <v>1.4968800000000001E-4</v>
      </c>
      <c r="I410" s="470">
        <f t="shared" si="59"/>
        <v>1.4968800000000001E-4</v>
      </c>
      <c r="J410" s="470">
        <f t="shared" si="59"/>
        <v>1.4968800000000001E-4</v>
      </c>
      <c r="K410" s="470">
        <f t="shared" si="59"/>
        <v>1.4968800000000001E-4</v>
      </c>
      <c r="L410" s="470">
        <f t="shared" si="59"/>
        <v>1.4968800000000001E-4</v>
      </c>
      <c r="M410" s="470">
        <f t="shared" si="59"/>
        <v>1.4968800000000001E-4</v>
      </c>
      <c r="N410" s="470">
        <f t="shared" si="59"/>
        <v>1.4968800000000001E-4</v>
      </c>
      <c r="O410" s="1138"/>
    </row>
    <row r="411" spans="2:15" ht="15.75">
      <c r="B411" s="467"/>
      <c r="C411" s="1140" t="s">
        <v>256</v>
      </c>
      <c r="D411" s="1141" t="s">
        <v>307</v>
      </c>
      <c r="E411" s="1140" t="s">
        <v>308</v>
      </c>
      <c r="F411" s="470">
        <f t="shared" si="59"/>
        <v>4.4193599999999998E-4</v>
      </c>
      <c r="G411" s="470">
        <f t="shared" si="59"/>
        <v>4.4193600000000003E-4</v>
      </c>
      <c r="H411" s="470">
        <f t="shared" si="59"/>
        <v>4.4193600000000003E-4</v>
      </c>
      <c r="I411" s="470">
        <f t="shared" si="59"/>
        <v>4.4193599999999998E-4</v>
      </c>
      <c r="J411" s="470">
        <f t="shared" si="59"/>
        <v>4.4193600000000003E-4</v>
      </c>
      <c r="K411" s="470">
        <f t="shared" si="59"/>
        <v>4.4193599999999998E-4</v>
      </c>
      <c r="L411" s="470">
        <f t="shared" si="59"/>
        <v>4.4193599999999998E-4</v>
      </c>
      <c r="M411" s="470">
        <f t="shared" si="59"/>
        <v>4.4193600000000009E-4</v>
      </c>
      <c r="N411" s="470">
        <f t="shared" si="59"/>
        <v>4.4193600000000003E-4</v>
      </c>
      <c r="O411" s="1138"/>
    </row>
    <row r="412" spans="2:15" ht="15.75">
      <c r="B412" s="467"/>
      <c r="C412" s="2466" t="s">
        <v>59</v>
      </c>
      <c r="D412" s="2466"/>
      <c r="E412" s="2466"/>
      <c r="F412" s="2467">
        <f>SUBTOTAL(109,[2013])</f>
        <v>0.17475242399999999</v>
      </c>
      <c r="G412" s="2467">
        <f>SUBTOTAL(109,[2015])</f>
        <v>0.17475242399999999</v>
      </c>
      <c r="H412" s="2467">
        <f>SUBTOTAL(109,[2020])</f>
        <v>0.17475242399999999</v>
      </c>
      <c r="I412" s="2467">
        <f>SUBTOTAL(109,[2025])</f>
        <v>0.17475242399999999</v>
      </c>
      <c r="J412" s="2467">
        <f>SUBTOTAL(109,[2030])</f>
        <v>0.17475242399999996</v>
      </c>
      <c r="K412" s="2467">
        <f>SUBTOTAL(109,[2035])</f>
        <v>0.17475242399999996</v>
      </c>
      <c r="L412" s="2467">
        <f>SUBTOTAL(109,[2040])</f>
        <v>0.17475242399999999</v>
      </c>
      <c r="M412" s="2467">
        <f>SUBTOTAL(109,[2045])</f>
        <v>0.17475242399999999</v>
      </c>
      <c r="N412" s="2467">
        <f>SUBTOTAL(109,[2050])</f>
        <v>0.17475242399999999</v>
      </c>
      <c r="O412" s="1138"/>
    </row>
    <row r="413" spans="2:15" ht="15.75">
      <c r="B413" s="467"/>
      <c r="C413" s="1135"/>
      <c r="D413" s="1135"/>
      <c r="E413" s="1135"/>
      <c r="F413" s="1135"/>
      <c r="G413" s="1135"/>
      <c r="H413" s="1135"/>
      <c r="I413" s="1135"/>
      <c r="J413" s="1135"/>
      <c r="K413" s="1135"/>
      <c r="L413" s="1135"/>
      <c r="M413" s="1135"/>
      <c r="N413" s="1135"/>
      <c r="O413" s="1138"/>
    </row>
    <row r="414" spans="2:15">
      <c r="N414" s="2446" t="s">
        <v>5</v>
      </c>
    </row>
    <row r="416" spans="2:15" ht="15.75">
      <c r="B416" s="995" t="s">
        <v>313</v>
      </c>
      <c r="C416" s="996"/>
      <c r="D416" s="997"/>
      <c r="E416" s="997"/>
      <c r="F416" s="997"/>
      <c r="G416" s="997"/>
      <c r="H416" s="997"/>
      <c r="I416" s="997"/>
      <c r="J416" s="997"/>
      <c r="K416" s="997"/>
      <c r="L416" s="997"/>
      <c r="M416" s="997"/>
      <c r="N416" s="997"/>
      <c r="O416" s="998"/>
    </row>
    <row r="417" spans="2:15">
      <c r="B417" s="999"/>
      <c r="C417" s="1000"/>
      <c r="D417" s="1000"/>
      <c r="E417" s="1000"/>
      <c r="F417" s="1000"/>
      <c r="G417" s="1000"/>
      <c r="H417" s="1000"/>
      <c r="I417" s="1000"/>
      <c r="J417" s="1000"/>
      <c r="K417" s="1000"/>
      <c r="L417" s="1000"/>
      <c r="M417" s="1000"/>
      <c r="N417" s="1000"/>
      <c r="O417" s="1001"/>
    </row>
    <row r="418" spans="2:15">
      <c r="B418" s="1002"/>
      <c r="C418" s="488" t="s">
        <v>314</v>
      </c>
      <c r="D418" s="1003"/>
      <c r="E418" s="1004"/>
      <c r="F418" s="1003"/>
      <c r="G418" s="1003"/>
      <c r="H418" s="1003"/>
      <c r="I418" s="1003"/>
      <c r="J418" s="1003"/>
      <c r="K418" s="1003"/>
      <c r="L418" s="1003"/>
      <c r="M418" s="1003"/>
      <c r="N418" s="1004"/>
      <c r="O418" s="1005"/>
    </row>
    <row r="419" spans="2:15">
      <c r="B419" s="1002"/>
      <c r="C419" s="1003"/>
      <c r="D419" s="1003"/>
      <c r="E419" s="1003"/>
      <c r="F419" s="1003"/>
      <c r="G419" s="1003"/>
      <c r="H419" s="1003"/>
      <c r="I419" s="1003"/>
      <c r="J419" s="1003"/>
      <c r="K419" s="1003"/>
      <c r="L419" s="1003"/>
      <c r="M419" s="1003"/>
      <c r="N419" s="1003"/>
      <c r="O419" s="1005"/>
    </row>
    <row r="420" spans="2:15" ht="15.75">
      <c r="B420" s="492"/>
      <c r="C420" s="1006" t="s">
        <v>28</v>
      </c>
      <c r="D420" s="1006" t="s">
        <v>315</v>
      </c>
      <c r="E420" s="1006" t="s">
        <v>30</v>
      </c>
      <c r="F420" s="1006">
        <v>2013</v>
      </c>
      <c r="G420" s="1006" t="s">
        <v>133</v>
      </c>
      <c r="H420" s="1006" t="s">
        <v>134</v>
      </c>
      <c r="I420" s="1006" t="s">
        <v>135</v>
      </c>
      <c r="J420" s="1006" t="s">
        <v>136</v>
      </c>
      <c r="K420" s="1006" t="s">
        <v>137</v>
      </c>
      <c r="L420" s="1006" t="s">
        <v>138</v>
      </c>
      <c r="M420" s="1006" t="s">
        <v>139</v>
      </c>
      <c r="N420" s="1006" t="s">
        <v>140</v>
      </c>
      <c r="O420" s="1005"/>
    </row>
    <row r="421" spans="2:15" ht="15.75">
      <c r="B421" s="492"/>
      <c r="C421" s="1007" t="s">
        <v>887</v>
      </c>
      <c r="D421" s="1007" t="s">
        <v>2760</v>
      </c>
      <c r="E421" s="494"/>
      <c r="F421" s="1008"/>
      <c r="G421" s="1008"/>
      <c r="H421" s="1008"/>
      <c r="I421" s="1008"/>
      <c r="J421" s="1008"/>
      <c r="K421" s="1008"/>
      <c r="L421" s="1008"/>
      <c r="M421" s="1008"/>
      <c r="N421" s="1008"/>
      <c r="O421" s="1005"/>
    </row>
    <row r="422" spans="2:15" ht="15.75">
      <c r="B422" s="492"/>
      <c r="C422" s="1007" t="s">
        <v>767</v>
      </c>
      <c r="D422" s="494" t="s">
        <v>768</v>
      </c>
      <c r="E422" s="494"/>
      <c r="F422" s="1008"/>
      <c r="G422" s="1008"/>
      <c r="H422" s="1008"/>
      <c r="I422" s="1008"/>
      <c r="J422" s="1008"/>
      <c r="K422" s="1008"/>
      <c r="L422" s="1008"/>
      <c r="M422" s="1008"/>
      <c r="N422" s="1008"/>
      <c r="O422" s="1005"/>
    </row>
    <row r="423" spans="2:15" ht="15.75">
      <c r="B423" s="492"/>
      <c r="C423" s="1007" t="s">
        <v>316</v>
      </c>
      <c r="D423" s="494" t="s">
        <v>317</v>
      </c>
      <c r="E423" s="494"/>
      <c r="F423" s="1008"/>
      <c r="G423" s="1008"/>
      <c r="H423" s="1008"/>
      <c r="I423" s="1008"/>
      <c r="J423" s="1008"/>
      <c r="K423" s="1008"/>
      <c r="L423" s="1008"/>
      <c r="M423" s="1008"/>
      <c r="N423" s="1008"/>
      <c r="O423" s="1005"/>
    </row>
    <row r="424" spans="2:15" ht="15.75">
      <c r="B424" s="497"/>
      <c r="C424" s="1010"/>
      <c r="D424" s="1010"/>
      <c r="E424" s="1010"/>
      <c r="F424" s="1010"/>
      <c r="G424" s="1010"/>
      <c r="H424" s="1010"/>
      <c r="I424" s="1010"/>
      <c r="J424" s="1010"/>
      <c r="K424" s="1010"/>
      <c r="L424" s="1010"/>
      <c r="M424" s="1010"/>
      <c r="N424" s="1010" t="s">
        <v>5</v>
      </c>
      <c r="O424" s="1005"/>
    </row>
    <row r="427" spans="2:15" ht="15.75">
      <c r="B427" s="995" t="s">
        <v>2795</v>
      </c>
      <c r="C427" s="997"/>
      <c r="D427" s="997"/>
      <c r="E427" s="997"/>
      <c r="F427" s="997"/>
      <c r="G427" s="997"/>
      <c r="H427" s="997"/>
      <c r="I427" s="997"/>
      <c r="J427" s="997"/>
      <c r="K427" s="997"/>
      <c r="L427" s="997"/>
      <c r="M427" s="997"/>
      <c r="N427" s="997"/>
    </row>
    <row r="428" spans="2:15" hidden="1">
      <c r="B428" s="1002"/>
      <c r="C428" s="1003"/>
      <c r="D428" s="1003"/>
      <c r="E428" s="1003"/>
      <c r="F428" s="1003"/>
      <c r="G428" s="1003"/>
      <c r="H428" s="1003"/>
      <c r="I428" s="1003"/>
      <c r="J428" s="1003"/>
      <c r="K428" s="1003"/>
      <c r="L428" s="1003"/>
      <c r="M428" s="1003"/>
      <c r="N428" s="1003"/>
      <c r="O428" s="1005"/>
    </row>
    <row r="429" spans="2:15" hidden="1">
      <c r="B429" s="1002"/>
      <c r="C429" s="500" t="s">
        <v>770</v>
      </c>
      <c r="D429" s="1012"/>
      <c r="E429" s="1012"/>
      <c r="F429" s="1012"/>
      <c r="G429" s="1012"/>
      <c r="H429" s="1012"/>
      <c r="I429" s="1012"/>
      <c r="J429" s="1012"/>
      <c r="K429" s="1012"/>
      <c r="L429" s="1012"/>
      <c r="M429" s="1012"/>
      <c r="N429" s="1012"/>
      <c r="O429" s="1005"/>
    </row>
    <row r="430" spans="2:15" hidden="1">
      <c r="B430" s="1002"/>
      <c r="C430" s="1003"/>
      <c r="D430" s="1003"/>
      <c r="E430" s="1003"/>
      <c r="F430" s="1003"/>
      <c r="G430" s="1003"/>
      <c r="H430" s="1003"/>
      <c r="I430" s="1003"/>
      <c r="J430" s="1003"/>
      <c r="K430" s="1003"/>
      <c r="L430" s="1003"/>
      <c r="M430" s="1003"/>
      <c r="N430" s="1003"/>
      <c r="O430" s="1005"/>
    </row>
    <row r="431" spans="2:15" s="39" customFormat="1" ht="15.75" hidden="1">
      <c r="B431" s="492"/>
      <c r="C431" s="1006" t="s">
        <v>28</v>
      </c>
      <c r="D431" s="1006" t="s">
        <v>29</v>
      </c>
      <c r="E431" s="1006" t="s">
        <v>30</v>
      </c>
      <c r="F431" s="1006">
        <v>2013</v>
      </c>
      <c r="G431" s="1006" t="s">
        <v>133</v>
      </c>
      <c r="H431" s="1006" t="s">
        <v>134</v>
      </c>
      <c r="I431" s="1006" t="s">
        <v>135</v>
      </c>
      <c r="J431" s="1006" t="s">
        <v>136</v>
      </c>
      <c r="K431" s="1006" t="s">
        <v>137</v>
      </c>
      <c r="L431" s="1006" t="s">
        <v>138</v>
      </c>
      <c r="M431" s="1006" t="s">
        <v>139</v>
      </c>
      <c r="N431" s="1006" t="s">
        <v>140</v>
      </c>
      <c r="O431" s="1005"/>
    </row>
    <row r="432" spans="2:15" ht="15.75" hidden="1">
      <c r="B432" s="492"/>
      <c r="C432" s="1007" t="s">
        <v>324</v>
      </c>
      <c r="D432" s="494" t="s">
        <v>325</v>
      </c>
      <c r="E432" s="494"/>
      <c r="F432" s="495"/>
      <c r="G432" s="495"/>
      <c r="H432" s="495"/>
      <c r="I432" s="495"/>
      <c r="J432" s="495"/>
      <c r="K432" s="495"/>
      <c r="L432" s="495"/>
      <c r="M432" s="495"/>
      <c r="N432" s="495"/>
      <c r="O432" s="1005"/>
    </row>
    <row r="433" spans="2:15" ht="15.75" hidden="1">
      <c r="B433" s="492"/>
      <c r="C433" s="1007" t="s">
        <v>331</v>
      </c>
      <c r="D433" s="494" t="s">
        <v>332</v>
      </c>
      <c r="E433" s="494"/>
      <c r="F433" s="495"/>
      <c r="G433" s="495"/>
      <c r="H433" s="495"/>
      <c r="I433" s="495"/>
      <c r="J433" s="495"/>
      <c r="K433" s="495"/>
      <c r="L433" s="495"/>
      <c r="M433" s="495"/>
      <c r="N433" s="495"/>
      <c r="O433" s="1005"/>
    </row>
    <row r="434" spans="2:15" hidden="1">
      <c r="B434" s="503"/>
      <c r="C434" s="1007" t="s">
        <v>326</v>
      </c>
      <c r="D434" s="494" t="s">
        <v>327</v>
      </c>
      <c r="E434" s="494"/>
      <c r="F434" s="495"/>
      <c r="G434" s="495"/>
      <c r="H434" s="495"/>
      <c r="I434" s="495"/>
      <c r="J434" s="495"/>
      <c r="K434" s="495"/>
      <c r="L434" s="495"/>
      <c r="M434" s="495"/>
      <c r="N434" s="495"/>
      <c r="O434" s="1005"/>
    </row>
    <row r="435" spans="2:15" hidden="1">
      <c r="B435" s="503"/>
      <c r="C435" s="1007" t="s">
        <v>333</v>
      </c>
      <c r="D435" s="494" t="s">
        <v>334</v>
      </c>
      <c r="E435" s="494"/>
      <c r="F435" s="495"/>
      <c r="G435" s="495"/>
      <c r="H435" s="495"/>
      <c r="I435" s="495"/>
      <c r="J435" s="495"/>
      <c r="K435" s="495"/>
      <c r="L435" s="495"/>
      <c r="M435" s="495"/>
      <c r="N435" s="495"/>
      <c r="O435" s="1005"/>
    </row>
    <row r="436" spans="2:15" hidden="1">
      <c r="B436" s="1012"/>
      <c r="C436" s="1007" t="s">
        <v>328</v>
      </c>
      <c r="D436" s="494" t="s">
        <v>329</v>
      </c>
      <c r="E436" s="494"/>
      <c r="F436" s="495"/>
      <c r="G436" s="495"/>
      <c r="H436" s="495"/>
      <c r="I436" s="495"/>
      <c r="J436" s="495"/>
      <c r="K436" s="495"/>
      <c r="L436" s="495"/>
      <c r="M436" s="495"/>
      <c r="N436" s="495"/>
      <c r="O436" s="1005"/>
    </row>
    <row r="437" spans="2:15" hidden="1">
      <c r="B437" s="1012"/>
      <c r="C437" s="1007" t="s">
        <v>335</v>
      </c>
      <c r="D437" s="494" t="s">
        <v>336</v>
      </c>
      <c r="E437" s="494"/>
      <c r="F437" s="495"/>
      <c r="G437" s="495"/>
      <c r="H437" s="495"/>
      <c r="I437" s="495"/>
      <c r="J437" s="495"/>
      <c r="K437" s="495"/>
      <c r="L437" s="495"/>
      <c r="M437" s="495"/>
      <c r="N437" s="495"/>
      <c r="O437" s="1005"/>
    </row>
    <row r="438" spans="2:15" hidden="1">
      <c r="B438" s="1014"/>
      <c r="C438" s="1010"/>
      <c r="D438" s="1010"/>
      <c r="E438" s="1010"/>
      <c r="F438" s="1010"/>
      <c r="G438" s="1010"/>
      <c r="H438" s="1010"/>
      <c r="I438" s="1010"/>
      <c r="J438" s="1010"/>
      <c r="K438" s="1010"/>
      <c r="L438" s="1010"/>
      <c r="M438" s="1010"/>
      <c r="N438" s="1010"/>
      <c r="O438" s="1005"/>
    </row>
    <row r="439" spans="2:15">
      <c r="B439" s="1718"/>
      <c r="C439" s="1077"/>
      <c r="D439" s="1077"/>
      <c r="E439" s="1077"/>
      <c r="F439" s="1077"/>
      <c r="G439" s="1077"/>
      <c r="H439" s="1077"/>
      <c r="I439" s="1077"/>
      <c r="J439" s="1077"/>
      <c r="K439" s="1077"/>
      <c r="L439" s="1077"/>
      <c r="M439" s="1077"/>
      <c r="N439" s="1077"/>
    </row>
    <row r="440" spans="2:15">
      <c r="B440" s="363" t="s">
        <v>1331</v>
      </c>
      <c r="C440" s="363"/>
      <c r="D440" s="363" t="s">
        <v>1010</v>
      </c>
      <c r="E440" s="363" t="s">
        <v>45</v>
      </c>
    </row>
    <row r="441" spans="2:15">
      <c r="D441" t="s">
        <v>1140</v>
      </c>
      <c r="E441" t="s">
        <v>1153</v>
      </c>
      <c r="F441" s="1719">
        <f t="shared" ref="F441:N441" si="60">F216</f>
        <v>4.932677048691326E-3</v>
      </c>
      <c r="G441" s="1719">
        <f t="shared" si="60"/>
        <v>5.1361499769498426E-3</v>
      </c>
      <c r="H441" s="1719">
        <f t="shared" si="60"/>
        <v>5.339622905208361E-3</v>
      </c>
      <c r="I441" s="1719">
        <f t="shared" si="60"/>
        <v>5.5430958334668776E-3</v>
      </c>
      <c r="J441" s="1719">
        <f t="shared" si="60"/>
        <v>5.7465687617253951E-3</v>
      </c>
      <c r="K441" s="1719">
        <f t="shared" si="60"/>
        <v>5.9500416899839117E-3</v>
      </c>
      <c r="L441" s="1719">
        <f t="shared" si="60"/>
        <v>6.15351461824243E-3</v>
      </c>
      <c r="M441" s="1719">
        <f t="shared" si="60"/>
        <v>6.3569875465009466E-3</v>
      </c>
      <c r="N441" s="1719">
        <f t="shared" si="60"/>
        <v>6.5604604747594641E-3</v>
      </c>
    </row>
    <row r="442" spans="2:15">
      <c r="C442" t="s">
        <v>5</v>
      </c>
      <c r="D442" t="s">
        <v>1140</v>
      </c>
      <c r="E442" t="s">
        <v>1154</v>
      </c>
      <c r="F442" s="1719">
        <f t="shared" ref="F442:N442" si="61">F218</f>
        <v>0</v>
      </c>
      <c r="G442" s="1719">
        <f t="shared" si="61"/>
        <v>0</v>
      </c>
      <c r="H442" s="1719">
        <f t="shared" si="61"/>
        <v>0</v>
      </c>
      <c r="I442" s="1719">
        <f t="shared" si="61"/>
        <v>0</v>
      </c>
      <c r="J442" s="1719">
        <f t="shared" si="61"/>
        <v>0</v>
      </c>
      <c r="K442" s="1719">
        <f t="shared" si="61"/>
        <v>0</v>
      </c>
      <c r="L442" s="1719">
        <f t="shared" si="61"/>
        <v>0</v>
      </c>
      <c r="M442" s="1719">
        <f t="shared" si="61"/>
        <v>0</v>
      </c>
      <c r="N442" s="1719">
        <f t="shared" si="61"/>
        <v>0</v>
      </c>
    </row>
    <row r="443" spans="2:15">
      <c r="D443" t="s">
        <v>1283</v>
      </c>
      <c r="E443" t="s">
        <v>1153</v>
      </c>
      <c r="F443" s="723">
        <f t="shared" ref="F443:N443" si="62">F223</f>
        <v>15.434999999999999</v>
      </c>
      <c r="G443" s="723">
        <f t="shared" si="62"/>
        <v>15.751899843749998</v>
      </c>
      <c r="H443" s="723">
        <f t="shared" si="62"/>
        <v>16.043461874999998</v>
      </c>
      <c r="I443" s="723">
        <f t="shared" si="62"/>
        <v>16.309686093749999</v>
      </c>
      <c r="J443" s="723">
        <f t="shared" si="62"/>
        <v>16.550572499999998</v>
      </c>
      <c r="K443" s="723">
        <f t="shared" si="62"/>
        <v>16.766121093749994</v>
      </c>
      <c r="L443" s="723">
        <f t="shared" si="62"/>
        <v>16.956331875</v>
      </c>
      <c r="M443" s="723">
        <f t="shared" si="62"/>
        <v>17.121204843749997</v>
      </c>
      <c r="N443" s="723">
        <f t="shared" si="62"/>
        <v>17.260739999999998</v>
      </c>
    </row>
    <row r="444" spans="2:15">
      <c r="D444" t="s">
        <v>1283</v>
      </c>
      <c r="E444" t="s">
        <v>1154</v>
      </c>
      <c r="F444" s="723">
        <f t="shared" ref="F444:N444" si="63">F228</f>
        <v>0</v>
      </c>
      <c r="G444" s="723">
        <f t="shared" si="63"/>
        <v>0</v>
      </c>
      <c r="H444" s="723">
        <f t="shared" si="63"/>
        <v>0</v>
      </c>
      <c r="I444" s="723">
        <f t="shared" si="63"/>
        <v>0</v>
      </c>
      <c r="J444" s="723">
        <f t="shared" si="63"/>
        <v>0</v>
      </c>
      <c r="K444" s="723">
        <f t="shared" si="63"/>
        <v>0</v>
      </c>
      <c r="L444" s="723">
        <f t="shared" si="63"/>
        <v>0</v>
      </c>
      <c r="M444" s="723">
        <f t="shared" si="63"/>
        <v>0</v>
      </c>
      <c r="N444" s="723">
        <f t="shared" si="63"/>
        <v>0</v>
      </c>
    </row>
    <row r="445" spans="2:15">
      <c r="D445" t="s">
        <v>1284</v>
      </c>
      <c r="E445" t="s">
        <v>1153</v>
      </c>
      <c r="F445" s="723">
        <f t="shared" ref="F445:N445" si="64">F231</f>
        <v>0.66</v>
      </c>
      <c r="G445" s="723">
        <f t="shared" si="64"/>
        <v>0.66</v>
      </c>
      <c r="H445" s="723">
        <f t="shared" si="64"/>
        <v>0.66</v>
      </c>
      <c r="I445" s="723">
        <f t="shared" si="64"/>
        <v>0.66</v>
      </c>
      <c r="J445" s="723">
        <f t="shared" si="64"/>
        <v>0.66</v>
      </c>
      <c r="K445" s="723">
        <f t="shared" si="64"/>
        <v>0.66</v>
      </c>
      <c r="L445" s="723">
        <f t="shared" si="64"/>
        <v>0.66</v>
      </c>
      <c r="M445" s="723">
        <f t="shared" si="64"/>
        <v>0.66</v>
      </c>
      <c r="N445" s="723">
        <f t="shared" si="64"/>
        <v>0.66</v>
      </c>
    </row>
    <row r="664" spans="6:14">
      <c r="F664">
        <v>0</v>
      </c>
      <c r="G664">
        <v>0</v>
      </c>
      <c r="H664">
        <v>0</v>
      </c>
      <c r="I664">
        <v>0</v>
      </c>
      <c r="J664">
        <v>0</v>
      </c>
      <c r="K664">
        <v>0</v>
      </c>
      <c r="L664">
        <v>0</v>
      </c>
      <c r="M664">
        <v>0</v>
      </c>
      <c r="N664">
        <v>0</v>
      </c>
    </row>
    <row r="665" spans="6:14">
      <c r="F665">
        <v>0</v>
      </c>
      <c r="G665">
        <v>0</v>
      </c>
      <c r="H665">
        <v>0</v>
      </c>
      <c r="I665">
        <v>0</v>
      </c>
      <c r="J665">
        <v>0</v>
      </c>
      <c r="K665">
        <v>0</v>
      </c>
      <c r="L665">
        <v>0</v>
      </c>
      <c r="M665">
        <v>0</v>
      </c>
      <c r="N665">
        <v>0</v>
      </c>
    </row>
    <row r="666" spans="6:14">
      <c r="F666">
        <v>0</v>
      </c>
      <c r="G666">
        <v>0</v>
      </c>
      <c r="H666">
        <v>0</v>
      </c>
      <c r="I666">
        <v>0</v>
      </c>
      <c r="J666">
        <v>0</v>
      </c>
      <c r="K666">
        <v>0</v>
      </c>
      <c r="L666">
        <v>0</v>
      </c>
      <c r="M666">
        <v>0</v>
      </c>
      <c r="N666">
        <v>0</v>
      </c>
    </row>
  </sheetData>
  <pageMargins left="0.7" right="0.7" top="0.75" bottom="0.75" header="0.3" footer="0.3"/>
  <pageSetup orientation="portrait" r:id="rId1"/>
  <legacyDrawing r:id="rId2"/>
  <tableParts count="12">
    <tablePart r:id="rId3"/>
    <tablePart r:id="rId4"/>
    <tablePart r:id="rId5"/>
    <tablePart r:id="rId6"/>
    <tablePart r:id="rId7"/>
    <tablePart r:id="rId8"/>
    <tablePart r:id="rId9"/>
    <tablePart r:id="rId10"/>
    <tablePart r:id="rId11"/>
    <tablePart r:id="rId12"/>
    <tablePart r:id="rId13"/>
    <tablePart r:id="rId14"/>
  </tableParts>
</worksheet>
</file>

<file path=xl/worksheets/sheet40.xml><?xml version="1.0" encoding="utf-8"?>
<worksheet xmlns="http://schemas.openxmlformats.org/spreadsheetml/2006/main" xmlns:r="http://schemas.openxmlformats.org/officeDocument/2006/relationships">
  <sheetPr codeName="Sheet21">
    <tabColor theme="9"/>
  </sheetPr>
  <dimension ref="A1:BE665"/>
  <sheetViews>
    <sheetView showGridLines="0" topLeftCell="A20" zoomScale="80" zoomScaleNormal="80" workbookViewId="0">
      <selection activeCell="D35" sqref="D35"/>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2" customWidth="1"/>
    <col min="16" max="16" width="10.85546875" customWidth="1"/>
    <col min="17" max="17" width="18.7109375" bestFit="1" customWidth="1"/>
    <col min="18" max="18" width="9.28515625" bestFit="1" customWidth="1"/>
    <col min="19" max="26" width="11.7109375" bestFit="1" customWidth="1"/>
    <col min="27" max="54" width="9.28515625" bestFit="1" customWidth="1"/>
  </cols>
  <sheetData>
    <row r="1" spans="1:57" ht="20.25">
      <c r="A1" s="1016" t="s">
        <v>490</v>
      </c>
      <c r="B1" s="1016" t="s">
        <v>491</v>
      </c>
      <c r="C1" s="1016"/>
      <c r="G1" s="3859"/>
    </row>
    <row r="2" spans="1:57" s="6" customFormat="1" ht="15.75">
      <c r="A2" s="864" t="s">
        <v>482</v>
      </c>
      <c r="B2" s="864" t="s">
        <v>373</v>
      </c>
      <c r="C2" s="864"/>
      <c r="E2" s="5"/>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row>
    <row r="4" spans="1:57" ht="23.25">
      <c r="A4" s="7"/>
      <c r="B4" s="511" t="s">
        <v>6</v>
      </c>
      <c r="C4" s="512"/>
      <c r="D4" s="512"/>
      <c r="E4" s="512"/>
      <c r="F4" s="512"/>
      <c r="G4" s="512"/>
      <c r="H4" s="512"/>
      <c r="I4" s="512"/>
      <c r="J4" s="512"/>
      <c r="K4" s="512"/>
      <c r="L4" s="512"/>
      <c r="M4" s="512"/>
      <c r="N4" s="512"/>
      <c r="O4" s="866"/>
    </row>
    <row r="5" spans="1:57">
      <c r="B5" s="514"/>
      <c r="C5" s="515"/>
      <c r="D5" s="515"/>
      <c r="E5" s="515"/>
      <c r="F5" s="515"/>
      <c r="G5" s="515"/>
      <c r="H5" s="515"/>
      <c r="I5" s="515"/>
      <c r="J5" s="515"/>
      <c r="K5" s="515"/>
      <c r="L5" s="515"/>
      <c r="M5" s="515"/>
      <c r="N5" s="515"/>
      <c r="O5" s="867"/>
    </row>
    <row r="6" spans="1:57">
      <c r="B6" s="514"/>
      <c r="C6" s="12"/>
      <c r="D6" s="515"/>
      <c r="E6" s="516"/>
      <c r="F6" s="515"/>
      <c r="G6" s="515"/>
      <c r="H6" s="515"/>
      <c r="I6" s="515"/>
      <c r="J6" s="515"/>
      <c r="K6" s="515"/>
      <c r="L6" s="515"/>
      <c r="M6" s="515"/>
      <c r="N6" s="515"/>
      <c r="O6" s="867"/>
    </row>
    <row r="7" spans="1:57" ht="15.75">
      <c r="B7" s="15"/>
      <c r="C7" s="515"/>
      <c r="D7" s="16" t="s">
        <v>7</v>
      </c>
      <c r="E7" s="16" t="s">
        <v>8</v>
      </c>
      <c r="F7" s="515"/>
      <c r="G7" s="515"/>
      <c r="H7" s="515"/>
      <c r="I7" s="515"/>
      <c r="J7" s="515"/>
      <c r="K7" s="515"/>
      <c r="L7" s="515"/>
      <c r="M7" s="515"/>
      <c r="N7" s="515"/>
      <c r="O7" s="867"/>
    </row>
    <row r="8" spans="1:57" ht="15.75">
      <c r="B8" s="15"/>
      <c r="C8" s="515"/>
      <c r="D8" s="868" t="s">
        <v>1269</v>
      </c>
      <c r="E8" s="868">
        <f>XII.c.Scenario</f>
        <v>1</v>
      </c>
      <c r="F8" s="515"/>
      <c r="G8" s="515"/>
      <c r="H8" s="515"/>
      <c r="I8" s="515"/>
      <c r="J8" s="515"/>
      <c r="K8" s="515"/>
      <c r="L8" s="515"/>
      <c r="M8" s="515"/>
      <c r="N8" s="515"/>
      <c r="O8" s="867"/>
    </row>
    <row r="9" spans="1:57">
      <c r="B9" s="1252"/>
      <c r="C9" s="869"/>
      <c r="D9" s="869"/>
      <c r="E9" s="869"/>
      <c r="F9" s="869"/>
      <c r="G9" s="869"/>
      <c r="H9" s="869"/>
      <c r="I9" s="869"/>
      <c r="J9" s="869"/>
      <c r="K9" s="869"/>
      <c r="L9" s="869"/>
      <c r="M9" s="869"/>
      <c r="N9" s="869"/>
      <c r="O9" s="870"/>
    </row>
    <row r="11" spans="1:57" s="6" customFormat="1" ht="23.25">
      <c r="A11" s="40"/>
      <c r="B11" s="878" t="s">
        <v>33</v>
      </c>
      <c r="C11" s="879"/>
      <c r="D11" s="879"/>
      <c r="E11" s="879"/>
      <c r="F11" s="879"/>
      <c r="G11" s="879"/>
      <c r="H11" s="879"/>
      <c r="I11" s="879"/>
      <c r="J11" s="879"/>
      <c r="K11" s="879"/>
      <c r="L11" s="879"/>
      <c r="M11" s="879"/>
      <c r="N11" s="879"/>
      <c r="O11" s="880"/>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row>
    <row r="12" spans="1:57">
      <c r="B12" s="110"/>
      <c r="C12" s="67"/>
      <c r="D12" s="67"/>
      <c r="E12" s="67"/>
      <c r="F12" s="67"/>
      <c r="G12" s="67"/>
      <c r="H12" s="67"/>
      <c r="I12" s="67"/>
      <c r="J12" s="67"/>
      <c r="K12" s="67"/>
      <c r="L12" s="67"/>
      <c r="M12" s="67"/>
      <c r="N12" s="67"/>
      <c r="O12" s="885"/>
    </row>
    <row r="13" spans="1:57" s="3929" customFormat="1">
      <c r="B13" s="110"/>
      <c r="C13" s="49" t="s">
        <v>3237</v>
      </c>
      <c r="D13" s="67"/>
      <c r="E13" s="51"/>
      <c r="F13" s="67"/>
      <c r="G13" s="67"/>
      <c r="H13" s="67"/>
      <c r="I13" s="67"/>
      <c r="J13" s="67"/>
      <c r="K13" s="67"/>
      <c r="L13" s="67"/>
      <c r="M13" s="67"/>
      <c r="N13" s="51"/>
      <c r="O13" s="885"/>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row>
    <row r="14" spans="1:57" s="3929" customFormat="1">
      <c r="B14" s="110"/>
      <c r="C14" s="67"/>
      <c r="D14" s="67"/>
      <c r="E14" s="67"/>
      <c r="F14" s="67"/>
      <c r="G14" s="67"/>
      <c r="H14" s="67"/>
      <c r="I14" s="67"/>
      <c r="J14" s="67"/>
      <c r="K14" s="67"/>
      <c r="L14" s="67"/>
      <c r="M14" s="67"/>
      <c r="N14" s="67"/>
      <c r="O14" s="885"/>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row>
    <row r="15" spans="1:57" s="3929" customFormat="1">
      <c r="B15" s="110"/>
      <c r="C15" s="887" t="s">
        <v>8</v>
      </c>
      <c r="D15" s="887" t="s">
        <v>34</v>
      </c>
      <c r="E15" s="887" t="s">
        <v>30</v>
      </c>
      <c r="F15" s="92">
        <v>2013</v>
      </c>
      <c r="G15" s="92">
        <v>2015</v>
      </c>
      <c r="H15" s="92">
        <v>2020</v>
      </c>
      <c r="I15" s="92">
        <v>2025</v>
      </c>
      <c r="J15" s="92">
        <v>2030</v>
      </c>
      <c r="K15" s="92">
        <v>2035</v>
      </c>
      <c r="L15" s="92">
        <v>2040</v>
      </c>
      <c r="M15" s="92">
        <v>2045</v>
      </c>
      <c r="N15" s="92">
        <v>2050</v>
      </c>
      <c r="O15" s="88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row>
    <row r="16" spans="1:57" s="3929" customFormat="1">
      <c r="B16" s="110"/>
      <c r="C16" s="65">
        <v>1</v>
      </c>
      <c r="D16" s="108" t="s">
        <v>3236</v>
      </c>
      <c r="E16" s="1267"/>
      <c r="F16" s="1223">
        <v>24.5731</v>
      </c>
      <c r="G16" s="1223">
        <v>25.817113187499999</v>
      </c>
      <c r="H16" s="1223">
        <v>29.209693893464351</v>
      </c>
      <c r="I16" s="1223">
        <v>33.048087567086696</v>
      </c>
      <c r="J16" s="1223">
        <v>37.390877693730431</v>
      </c>
      <c r="K16" s="1223">
        <v>42.304346109875468</v>
      </c>
      <c r="L16" s="1223">
        <v>47.863484629680649</v>
      </c>
      <c r="M16" s="1223">
        <v>54.153139607584862</v>
      </c>
      <c r="N16" s="1223">
        <v>61.269306905834092</v>
      </c>
      <c r="O16" s="885"/>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row>
    <row r="17" spans="2:57" s="3929" customFormat="1">
      <c r="B17" s="110"/>
      <c r="C17" s="65">
        <v>2</v>
      </c>
      <c r="D17" s="108" t="s">
        <v>3236</v>
      </c>
      <c r="E17" s="1267"/>
      <c r="F17" s="1223">
        <v>24.5731</v>
      </c>
      <c r="G17" s="1223">
        <v>25.817113187499999</v>
      </c>
      <c r="H17" s="1223">
        <v>29.209693893464351</v>
      </c>
      <c r="I17" s="1223">
        <v>33.048087567086696</v>
      </c>
      <c r="J17" s="1223">
        <v>37.390877693730431</v>
      </c>
      <c r="K17" s="1223">
        <v>42.304346109875468</v>
      </c>
      <c r="L17" s="1223">
        <v>47.863484629680649</v>
      </c>
      <c r="M17" s="1223">
        <v>54.153139607584862</v>
      </c>
      <c r="N17" s="1223">
        <v>61.269306905834092</v>
      </c>
      <c r="O17" s="885"/>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row>
    <row r="18" spans="2:57" s="3929" customFormat="1">
      <c r="B18" s="110"/>
      <c r="C18" s="65">
        <v>3</v>
      </c>
      <c r="D18" s="108" t="s">
        <v>3236</v>
      </c>
      <c r="E18" s="1267"/>
      <c r="F18" s="1223">
        <v>24.5731</v>
      </c>
      <c r="G18" s="1223">
        <v>25.817113187499999</v>
      </c>
      <c r="H18" s="1223">
        <v>29.209693893464351</v>
      </c>
      <c r="I18" s="1223">
        <v>33.048087567086696</v>
      </c>
      <c r="J18" s="1223">
        <v>36.13143602503559</v>
      </c>
      <c r="K18" s="1223">
        <v>39.502457338299841</v>
      </c>
      <c r="L18" s="1223">
        <v>43.187991052527281</v>
      </c>
      <c r="M18" s="1223">
        <v>47.217380812022505</v>
      </c>
      <c r="N18" s="1223">
        <v>51.622707989263738</v>
      </c>
      <c r="O18" s="885"/>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row>
    <row r="19" spans="2:57" s="3929" customFormat="1">
      <c r="B19" s="110"/>
      <c r="C19" s="896">
        <v>4</v>
      </c>
      <c r="D19" s="108" t="s">
        <v>3236</v>
      </c>
      <c r="E19" s="897"/>
      <c r="F19" s="1223">
        <v>24.5731</v>
      </c>
      <c r="G19" s="1223">
        <v>25.817113187499999</v>
      </c>
      <c r="H19" s="1223">
        <v>29.209693893464351</v>
      </c>
      <c r="I19" s="1223">
        <v>30.246446470146743</v>
      </c>
      <c r="J19" s="1223">
        <v>31.319996964300572</v>
      </c>
      <c r="K19" s="1223">
        <v>32.431651460676129</v>
      </c>
      <c r="L19" s="1223">
        <v>33.582762401467072</v>
      </c>
      <c r="M19" s="1223">
        <v>32.916458945405573</v>
      </c>
      <c r="N19" s="1223">
        <v>32.263375375494363</v>
      </c>
      <c r="O19" s="885"/>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row>
    <row r="20" spans="2:57" s="3929" customFormat="1">
      <c r="B20" s="110"/>
      <c r="C20" s="1024" t="s">
        <v>37</v>
      </c>
      <c r="D20" s="901"/>
      <c r="E20" s="901"/>
      <c r="F20" s="3932">
        <f>(INDEX(F$16:F$19,ROUNDDOWN($E$8,0))*(1-MOD($E$8,1)))+(INDEX(F$16:F$19,ROUNDUP($E$8,0))*MOD($E$8,1))</f>
        <v>24.5731</v>
      </c>
      <c r="G20" s="3932">
        <f t="shared" ref="G20:N20" si="0">(INDEX(G$16:G$19,ROUNDDOWN($E$8,0))*(1-MOD($E$8,1)))+(INDEX(G$16:G$19,ROUNDUP($E$8,0))*MOD($E$8,1))</f>
        <v>25.817113187499999</v>
      </c>
      <c r="H20" s="3932">
        <f t="shared" si="0"/>
        <v>29.209693893464351</v>
      </c>
      <c r="I20" s="3932">
        <f t="shared" si="0"/>
        <v>33.048087567086696</v>
      </c>
      <c r="J20" s="3932">
        <f t="shared" si="0"/>
        <v>37.390877693730431</v>
      </c>
      <c r="K20" s="3932">
        <f t="shared" si="0"/>
        <v>42.304346109875468</v>
      </c>
      <c r="L20" s="3932">
        <f t="shared" si="0"/>
        <v>47.863484629680649</v>
      </c>
      <c r="M20" s="3932">
        <f t="shared" si="0"/>
        <v>54.153139607584862</v>
      </c>
      <c r="N20" s="3932">
        <f t="shared" si="0"/>
        <v>61.269306905834092</v>
      </c>
      <c r="O20" s="885"/>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row>
    <row r="21" spans="2:57" s="3929" customFormat="1">
      <c r="B21" s="110"/>
      <c r="C21" s="67" t="s">
        <v>5</v>
      </c>
      <c r="D21" s="67"/>
      <c r="E21" s="67"/>
      <c r="F21" s="67"/>
      <c r="G21" s="67"/>
      <c r="H21" s="67"/>
      <c r="I21" s="67"/>
      <c r="J21" s="67"/>
      <c r="K21" s="67"/>
      <c r="L21" s="67"/>
      <c r="M21" s="67"/>
      <c r="N21" s="67"/>
      <c r="O21" s="885"/>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row>
    <row r="22" spans="2:57" s="3929" customFormat="1">
      <c r="B22" s="110"/>
      <c r="C22" s="49" t="s">
        <v>3239</v>
      </c>
      <c r="D22" s="67"/>
      <c r="E22" s="51" t="s">
        <v>5</v>
      </c>
      <c r="F22" s="67" t="s">
        <v>5</v>
      </c>
      <c r="G22" s="67"/>
      <c r="H22" s="67"/>
      <c r="I22" s="67"/>
      <c r="J22" s="67"/>
      <c r="K22" s="67"/>
      <c r="L22" s="67"/>
      <c r="M22" s="67"/>
      <c r="N22" s="51"/>
      <c r="O22" s="885"/>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row>
    <row r="23" spans="2:57" s="3929" customFormat="1">
      <c r="B23" s="110"/>
      <c r="C23" s="67"/>
      <c r="D23" s="67"/>
      <c r="E23" s="67"/>
      <c r="F23" s="67"/>
      <c r="G23" s="67"/>
      <c r="H23" s="67"/>
      <c r="I23" s="67"/>
      <c r="J23" s="67"/>
      <c r="K23" s="67"/>
      <c r="L23" s="67"/>
      <c r="M23" s="67"/>
      <c r="N23" s="67"/>
      <c r="O23" s="885"/>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row>
    <row r="24" spans="2:57" s="3929" customFormat="1">
      <c r="B24" s="110"/>
      <c r="C24" s="887" t="s">
        <v>8</v>
      </c>
      <c r="D24" s="887" t="s">
        <v>34</v>
      </c>
      <c r="E24" s="887" t="s">
        <v>30</v>
      </c>
      <c r="F24" s="92">
        <v>2013</v>
      </c>
      <c r="G24" s="92">
        <v>2015</v>
      </c>
      <c r="H24" s="92">
        <v>2020</v>
      </c>
      <c r="I24" s="92">
        <v>2025</v>
      </c>
      <c r="J24" s="92">
        <v>2030</v>
      </c>
      <c r="K24" s="92">
        <v>2035</v>
      </c>
      <c r="L24" s="92">
        <v>2040</v>
      </c>
      <c r="M24" s="92">
        <v>2045</v>
      </c>
      <c r="N24" s="92">
        <v>2050</v>
      </c>
      <c r="O24" s="885"/>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row>
    <row r="25" spans="2:57" s="3929" customFormat="1">
      <c r="B25" s="110"/>
      <c r="C25" s="65">
        <v>1</v>
      </c>
      <c r="D25" s="108" t="s">
        <v>3242</v>
      </c>
      <c r="E25" s="1267"/>
      <c r="F25" s="59">
        <v>0</v>
      </c>
      <c r="G25" s="301">
        <v>8.9999999999999993E-3</v>
      </c>
      <c r="H25" s="301">
        <v>8.9999999999999993E-3</v>
      </c>
      <c r="I25" s="301">
        <v>8.9999999999999993E-3</v>
      </c>
      <c r="J25" s="301">
        <v>8.9999999999999993E-3</v>
      </c>
      <c r="K25" s="301">
        <v>8.9999999999999993E-3</v>
      </c>
      <c r="L25" s="301">
        <v>8.9999999999999993E-3</v>
      </c>
      <c r="M25" s="301">
        <v>8.9999999999999993E-3</v>
      </c>
      <c r="N25" s="301">
        <v>8.9999999999999993E-3</v>
      </c>
      <c r="O25" s="88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row>
    <row r="26" spans="2:57" s="3929" customFormat="1">
      <c r="B26" s="110"/>
      <c r="C26" s="65">
        <v>2</v>
      </c>
      <c r="D26" s="108" t="s">
        <v>3242</v>
      </c>
      <c r="E26" s="1267"/>
      <c r="F26" s="59">
        <v>0</v>
      </c>
      <c r="G26" s="301">
        <v>1.2E-2</v>
      </c>
      <c r="H26" s="301">
        <v>1.2E-2</v>
      </c>
      <c r="I26" s="301">
        <v>1.2E-2</v>
      </c>
      <c r="J26" s="301">
        <v>1.2E-2</v>
      </c>
      <c r="K26" s="301">
        <v>1.2E-2</v>
      </c>
      <c r="L26" s="301">
        <v>1.2E-2</v>
      </c>
      <c r="M26" s="301">
        <v>1.2E-2</v>
      </c>
      <c r="N26" s="301">
        <v>1.2E-2</v>
      </c>
      <c r="O26" s="885"/>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row>
    <row r="27" spans="2:57" s="3929" customFormat="1">
      <c r="B27" s="110"/>
      <c r="C27" s="65">
        <v>3</v>
      </c>
      <c r="D27" s="108" t="s">
        <v>3242</v>
      </c>
      <c r="E27" s="1267"/>
      <c r="F27" s="59">
        <v>0</v>
      </c>
      <c r="G27" s="301">
        <v>1.2E-2</v>
      </c>
      <c r="H27" s="301">
        <v>1.2E-2</v>
      </c>
      <c r="I27" s="301">
        <v>1.2E-2</v>
      </c>
      <c r="J27" s="301">
        <v>1.2E-2</v>
      </c>
      <c r="K27" s="301">
        <v>1.2E-2</v>
      </c>
      <c r="L27" s="301">
        <v>1.2E-2</v>
      </c>
      <c r="M27" s="301">
        <v>1.2E-2</v>
      </c>
      <c r="N27" s="301">
        <v>1.2E-2</v>
      </c>
      <c r="O27" s="885"/>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row>
    <row r="28" spans="2:57" s="3929" customFormat="1">
      <c r="B28" s="110"/>
      <c r="C28" s="926">
        <v>4</v>
      </c>
      <c r="D28" s="199" t="s">
        <v>3242</v>
      </c>
      <c r="E28" s="199"/>
      <c r="F28" s="1187">
        <v>0</v>
      </c>
      <c r="G28" s="1160">
        <v>1.2E-2</v>
      </c>
      <c r="H28" s="1160">
        <v>1.2E-2</v>
      </c>
      <c r="I28" s="1160">
        <v>1.2E-2</v>
      </c>
      <c r="J28" s="1160">
        <v>1.2E-2</v>
      </c>
      <c r="K28" s="1160">
        <v>1.2E-2</v>
      </c>
      <c r="L28" s="1160">
        <v>1.2E-2</v>
      </c>
      <c r="M28" s="1160">
        <v>1.2E-2</v>
      </c>
      <c r="N28" s="1160">
        <v>1.2E-2</v>
      </c>
      <c r="O28" s="885"/>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row>
    <row r="29" spans="2:57" s="3929" customFormat="1" ht="15.75">
      <c r="B29" s="257"/>
      <c r="C29" s="946"/>
      <c r="D29" s="108"/>
      <c r="E29" s="108"/>
      <c r="F29" s="172" t="s">
        <v>5</v>
      </c>
      <c r="G29" s="172"/>
      <c r="H29" s="172"/>
      <c r="I29" s="172"/>
      <c r="J29" s="172"/>
      <c r="K29" s="172"/>
      <c r="L29" s="172"/>
      <c r="M29" s="172"/>
      <c r="N29" s="165"/>
      <c r="O29" s="67"/>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row>
    <row r="30" spans="2:57" s="3929" customFormat="1" ht="15.75">
      <c r="B30" s="257"/>
      <c r="C30" s="3871" t="s">
        <v>64</v>
      </c>
      <c r="D30" s="108"/>
      <c r="E30" s="108"/>
      <c r="F30" s="172"/>
      <c r="G30" s="172"/>
      <c r="H30" s="172"/>
      <c r="I30" s="172"/>
      <c r="J30" s="172"/>
      <c r="K30" s="172"/>
      <c r="L30" s="172"/>
      <c r="M30" s="172"/>
      <c r="N30" s="165"/>
      <c r="O30" s="67"/>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row>
    <row r="31" spans="2:57" s="3929" customFormat="1" ht="15.75">
      <c r="B31" s="257"/>
      <c r="C31" s="3870" t="s">
        <v>65</v>
      </c>
      <c r="D31" s="2278" t="s">
        <v>3238</v>
      </c>
      <c r="E31" s="108"/>
      <c r="F31" s="172"/>
      <c r="G31" s="172"/>
      <c r="H31" s="172"/>
      <c r="I31" s="172"/>
      <c r="J31" s="172"/>
      <c r="K31" s="172"/>
      <c r="L31" s="172"/>
      <c r="M31" s="172"/>
      <c r="N31" s="165"/>
      <c r="O31" s="67"/>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row>
    <row r="32" spans="2:57" s="3929" customFormat="1" ht="15.75">
      <c r="B32" s="257"/>
      <c r="C32" s="109"/>
      <c r="D32" s="2278" t="s">
        <v>3240</v>
      </c>
      <c r="E32" s="108"/>
      <c r="F32" s="172"/>
      <c r="G32" s="172"/>
      <c r="H32" s="172"/>
      <c r="I32" s="172"/>
      <c r="J32" s="172"/>
      <c r="K32" s="172"/>
      <c r="L32" s="172"/>
      <c r="M32" s="172"/>
      <c r="N32" s="165"/>
      <c r="O32" s="67"/>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row>
    <row r="33" spans="1:57" s="3929" customFormat="1" ht="15.75">
      <c r="B33" s="257"/>
      <c r="C33" s="109"/>
      <c r="D33" s="2278" t="s">
        <v>3235</v>
      </c>
      <c r="E33" s="108"/>
      <c r="F33" s="172"/>
      <c r="G33" s="172"/>
      <c r="H33" s="172"/>
      <c r="I33" s="172"/>
      <c r="J33" s="172"/>
      <c r="K33" s="172"/>
      <c r="L33" s="172"/>
      <c r="M33" s="172"/>
      <c r="N33" s="165"/>
      <c r="O33" s="67"/>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row>
    <row r="34" spans="1:57" s="3929" customFormat="1" ht="15.75">
      <c r="B34" s="257"/>
      <c r="C34" s="109" t="s">
        <v>67</v>
      </c>
      <c r="D34" s="2278" t="s">
        <v>3272</v>
      </c>
      <c r="E34" s="108"/>
      <c r="F34" s="172"/>
      <c r="G34" s="172"/>
      <c r="H34" s="172"/>
      <c r="I34" s="172"/>
      <c r="J34" s="172"/>
      <c r="K34" s="172"/>
      <c r="L34" s="172"/>
      <c r="M34" s="172"/>
      <c r="N34" s="165"/>
      <c r="O34" s="67"/>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row>
    <row r="35" spans="1:57" ht="15.75">
      <c r="B35" s="257"/>
      <c r="C35" s="65" t="s">
        <v>5</v>
      </c>
      <c r="D35" s="108"/>
      <c r="E35" s="108"/>
      <c r="F35" s="59"/>
      <c r="G35" s="1226"/>
      <c r="H35" s="1226"/>
      <c r="I35" s="1226"/>
      <c r="J35" s="1226"/>
      <c r="K35" s="1226"/>
      <c r="L35" s="1226"/>
      <c r="M35" s="1226"/>
      <c r="N35" s="1226"/>
      <c r="O35" s="67"/>
    </row>
    <row r="36" spans="1:57">
      <c r="N36" t="s">
        <v>5</v>
      </c>
    </row>
    <row r="37" spans="1:57" s="6" customFormat="1" ht="23.25">
      <c r="A37" s="40"/>
      <c r="B37" s="878" t="s">
        <v>70</v>
      </c>
      <c r="C37" s="879"/>
      <c r="D37" s="879"/>
      <c r="E37" s="879"/>
      <c r="F37" s="879"/>
      <c r="G37" s="879"/>
      <c r="H37" s="879"/>
      <c r="I37" s="879"/>
      <c r="J37" s="879"/>
      <c r="K37" s="879"/>
      <c r="L37" s="879"/>
      <c r="M37" s="879"/>
      <c r="N37" s="879"/>
      <c r="O37" s="880"/>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row>
    <row r="38" spans="1:57">
      <c r="B38" s="110"/>
      <c r="C38" s="67"/>
      <c r="D38" s="67"/>
      <c r="E38" s="67"/>
      <c r="F38" s="67"/>
      <c r="G38" s="67"/>
      <c r="H38" s="67"/>
      <c r="I38" s="67"/>
      <c r="J38" s="67"/>
      <c r="K38" s="67"/>
      <c r="L38" s="67"/>
      <c r="M38" s="67"/>
      <c r="N38" s="67"/>
      <c r="O38" s="885"/>
    </row>
    <row r="39" spans="1:57">
      <c r="B39" s="110"/>
      <c r="C39" s="49" t="s">
        <v>1336</v>
      </c>
      <c r="D39" s="67"/>
      <c r="E39" s="51"/>
      <c r="F39" s="51" t="str">
        <f>Preferences.EnergyUnits</f>
        <v>TWh</v>
      </c>
      <c r="G39" s="67"/>
      <c r="H39" s="67"/>
      <c r="I39" s="67"/>
      <c r="J39" s="67"/>
      <c r="K39" s="67"/>
      <c r="L39" s="67"/>
      <c r="M39" s="67"/>
      <c r="N39" s="51"/>
      <c r="O39" s="885"/>
    </row>
    <row r="40" spans="1:57">
      <c r="B40" s="110"/>
      <c r="C40" s="67"/>
      <c r="D40" s="67"/>
      <c r="E40" s="67"/>
      <c r="F40" s="67"/>
      <c r="G40" s="67"/>
      <c r="H40" s="67"/>
      <c r="I40" s="67"/>
      <c r="J40" s="67"/>
      <c r="K40" s="67"/>
      <c r="L40" s="67"/>
      <c r="M40" s="67"/>
      <c r="N40" s="67"/>
      <c r="O40" s="885"/>
    </row>
    <row r="41" spans="1:57" ht="15.75">
      <c r="B41" s="55"/>
      <c r="C41" s="887" t="s">
        <v>28</v>
      </c>
      <c r="D41" s="887" t="s">
        <v>34</v>
      </c>
      <c r="E41" s="887" t="s">
        <v>30</v>
      </c>
      <c r="F41" s="92">
        <v>2013</v>
      </c>
      <c r="G41" s="920"/>
      <c r="H41" s="920"/>
      <c r="I41" s="920"/>
      <c r="J41" s="920"/>
      <c r="K41" s="920"/>
      <c r="L41" s="920"/>
      <c r="M41" s="920"/>
      <c r="N41" s="920"/>
      <c r="O41" s="885"/>
    </row>
    <row r="42" spans="1:57" ht="15.75">
      <c r="A42" s="39"/>
      <c r="B42" s="55"/>
      <c r="C42" s="916" t="s">
        <v>99</v>
      </c>
      <c r="D42" s="917" t="s">
        <v>1335</v>
      </c>
      <c r="E42" s="1518" t="s">
        <v>65</v>
      </c>
      <c r="F42" s="921">
        <f>Unit.TWh*7.02</f>
        <v>7.02</v>
      </c>
      <c r="G42" s="1722"/>
      <c r="H42" s="1722"/>
      <c r="I42" s="76"/>
      <c r="J42" s="76"/>
      <c r="K42" s="76"/>
      <c r="L42" s="76"/>
      <c r="M42" s="76"/>
      <c r="N42" s="76"/>
      <c r="O42" s="885"/>
    </row>
    <row r="43" spans="1:57">
      <c r="B43" s="110"/>
      <c r="C43" s="67"/>
      <c r="D43" s="67"/>
      <c r="E43" s="67"/>
      <c r="F43" s="67"/>
      <c r="G43" s="67"/>
      <c r="H43" s="67"/>
      <c r="I43" s="67"/>
      <c r="J43" s="67"/>
      <c r="K43" s="67"/>
      <c r="L43" s="67"/>
      <c r="M43" s="67"/>
      <c r="N43" s="67"/>
      <c r="O43" s="885"/>
    </row>
    <row r="44" spans="1:57">
      <c r="B44" s="110"/>
      <c r="C44" s="49" t="s">
        <v>798</v>
      </c>
      <c r="D44" s="67"/>
      <c r="E44" s="67"/>
      <c r="F44" s="67"/>
      <c r="G44" s="67"/>
      <c r="H44" s="67"/>
      <c r="I44" s="67"/>
      <c r="J44" s="67"/>
      <c r="K44" s="67"/>
      <c r="L44" s="67"/>
      <c r="M44" s="67"/>
      <c r="N44" s="51" t="str">
        <f>"kt per "&amp;Preferences.EnergyUnits</f>
        <v>kt per TWh</v>
      </c>
      <c r="O44" s="885"/>
    </row>
    <row r="45" spans="1:57">
      <c r="B45" s="110"/>
      <c r="C45" s="67"/>
      <c r="D45" s="67"/>
      <c r="E45" s="1364"/>
      <c r="F45" s="67"/>
      <c r="G45" s="67"/>
      <c r="H45" s="67"/>
      <c r="I45" s="67"/>
      <c r="J45" s="67"/>
      <c r="K45" s="67"/>
      <c r="L45" s="67"/>
      <c r="M45" s="67"/>
      <c r="N45" s="67"/>
      <c r="O45" s="885"/>
    </row>
    <row r="46" spans="1:57">
      <c r="B46" s="110"/>
      <c r="C46" s="1688" t="s">
        <v>44</v>
      </c>
      <c r="D46" s="1688" t="s">
        <v>1010</v>
      </c>
      <c r="E46" s="1367" t="s">
        <v>45</v>
      </c>
      <c r="F46" s="1369">
        <v>2013</v>
      </c>
      <c r="G46" s="1369" t="s">
        <v>133</v>
      </c>
      <c r="H46" s="1369" t="s">
        <v>134</v>
      </c>
      <c r="I46" s="1369" t="s">
        <v>135</v>
      </c>
      <c r="J46" s="1369" t="s">
        <v>136</v>
      </c>
      <c r="K46" s="1369" t="s">
        <v>137</v>
      </c>
      <c r="L46" s="1369" t="s">
        <v>138</v>
      </c>
      <c r="M46" s="1369" t="s">
        <v>139</v>
      </c>
      <c r="N46" s="1369" t="s">
        <v>140</v>
      </c>
      <c r="O46" s="885"/>
    </row>
    <row r="47" spans="1:57">
      <c r="A47" s="39"/>
      <c r="B47" s="110"/>
      <c r="C47" s="1723" t="s">
        <v>482</v>
      </c>
      <c r="D47" s="1724" t="s">
        <v>1142</v>
      </c>
      <c r="E47" s="1372" t="s">
        <v>1337</v>
      </c>
      <c r="F47" s="2457">
        <f t="shared" ref="F47:N47" si="1">(7.38307948117895E-06*(1/Unit.GWh))</f>
        <v>7.3830794811789498E-3</v>
      </c>
      <c r="G47" s="2457">
        <f t="shared" si="1"/>
        <v>7.3830794811789498E-3</v>
      </c>
      <c r="H47" s="2457">
        <f t="shared" si="1"/>
        <v>7.3830794811789498E-3</v>
      </c>
      <c r="I47" s="2457">
        <f t="shared" si="1"/>
        <v>7.3830794811789498E-3</v>
      </c>
      <c r="J47" s="2457">
        <f t="shared" si="1"/>
        <v>7.3830794811789498E-3</v>
      </c>
      <c r="K47" s="2457">
        <f t="shared" si="1"/>
        <v>7.3830794811789498E-3</v>
      </c>
      <c r="L47" s="2457">
        <f t="shared" si="1"/>
        <v>7.3830794811789498E-3</v>
      </c>
      <c r="M47" s="2457">
        <f t="shared" si="1"/>
        <v>7.3830794811789498E-3</v>
      </c>
      <c r="N47" s="2457">
        <f t="shared" si="1"/>
        <v>7.3830794811789498E-3</v>
      </c>
      <c r="O47" s="885"/>
    </row>
    <row r="48" spans="1:57">
      <c r="B48" s="110"/>
      <c r="C48" s="67"/>
      <c r="D48" s="67"/>
      <c r="E48" s="67"/>
      <c r="F48" s="67"/>
      <c r="G48" s="67"/>
      <c r="H48" s="67"/>
      <c r="I48" s="67"/>
      <c r="J48" s="67"/>
      <c r="K48" s="67"/>
      <c r="L48" s="67"/>
      <c r="M48" s="67"/>
      <c r="N48" s="67"/>
      <c r="O48" s="885"/>
    </row>
    <row r="49" spans="2:15">
      <c r="B49" s="110"/>
      <c r="C49" s="49" t="s">
        <v>800</v>
      </c>
      <c r="D49" s="67"/>
      <c r="E49" s="67"/>
      <c r="F49" s="67"/>
      <c r="G49" s="67"/>
      <c r="H49" s="67"/>
      <c r="I49" s="67"/>
      <c r="J49" s="67"/>
      <c r="K49" s="67"/>
      <c r="L49" s="67"/>
      <c r="M49" s="67"/>
      <c r="N49" s="51" t="str">
        <f>"kt per "&amp;Preferences.EnergyUnits</f>
        <v>kt per TWh</v>
      </c>
      <c r="O49" s="885"/>
    </row>
    <row r="50" spans="2:15">
      <c r="B50" s="110"/>
      <c r="C50" s="67"/>
      <c r="D50" s="67"/>
      <c r="E50" s="1364"/>
      <c r="F50" s="67"/>
      <c r="G50" s="67"/>
      <c r="H50" s="67"/>
      <c r="I50" s="67"/>
      <c r="J50" s="67"/>
      <c r="K50" s="67"/>
      <c r="L50" s="67"/>
      <c r="M50" s="67"/>
      <c r="N50" s="67"/>
      <c r="O50" s="885"/>
    </row>
    <row r="51" spans="2:15">
      <c r="B51" s="110"/>
      <c r="C51" s="1688" t="s">
        <v>44</v>
      </c>
      <c r="D51" s="1688" t="s">
        <v>1010</v>
      </c>
      <c r="E51" s="1367" t="s">
        <v>45</v>
      </c>
      <c r="F51" s="1369">
        <v>2013</v>
      </c>
      <c r="G51" s="1369" t="s">
        <v>133</v>
      </c>
      <c r="H51" s="1369" t="s">
        <v>134</v>
      </c>
      <c r="I51" s="1369" t="s">
        <v>135</v>
      </c>
      <c r="J51" s="1369" t="s">
        <v>136</v>
      </c>
      <c r="K51" s="1369" t="s">
        <v>137</v>
      </c>
      <c r="L51" s="1369" t="s">
        <v>138</v>
      </c>
      <c r="M51" s="1369" t="s">
        <v>139</v>
      </c>
      <c r="N51" s="1369" t="s">
        <v>140</v>
      </c>
      <c r="O51" s="885"/>
    </row>
    <row r="52" spans="2:15">
      <c r="B52" s="110"/>
      <c r="C52" s="1723" t="s">
        <v>482</v>
      </c>
      <c r="D52" s="1724" t="s">
        <v>1142</v>
      </c>
      <c r="E52" s="1372" t="s">
        <v>1337</v>
      </c>
      <c r="F52" s="2457">
        <f t="shared" ref="F52:N52" si="2">(0.00107792216077182*(1/Unit.GWh))</f>
        <v>1.0779221607718199</v>
      </c>
      <c r="G52" s="2457">
        <f t="shared" si="2"/>
        <v>1.0779221607718199</v>
      </c>
      <c r="H52" s="2457">
        <f t="shared" si="2"/>
        <v>1.0779221607718199</v>
      </c>
      <c r="I52" s="2457">
        <f t="shared" si="2"/>
        <v>1.0779221607718199</v>
      </c>
      <c r="J52" s="2457">
        <f t="shared" si="2"/>
        <v>1.0779221607718199</v>
      </c>
      <c r="K52" s="2457">
        <f t="shared" si="2"/>
        <v>1.0779221607718199</v>
      </c>
      <c r="L52" s="2457">
        <f t="shared" si="2"/>
        <v>1.0779221607718199</v>
      </c>
      <c r="M52" s="2457">
        <f t="shared" si="2"/>
        <v>1.0779221607718199</v>
      </c>
      <c r="N52" s="2457">
        <f t="shared" si="2"/>
        <v>1.0779221607718199</v>
      </c>
      <c r="O52" s="885"/>
    </row>
    <row r="53" spans="2:15">
      <c r="B53" s="110"/>
      <c r="C53" s="67"/>
      <c r="D53" s="67"/>
      <c r="E53" s="67"/>
      <c r="F53" s="67"/>
      <c r="G53" s="67"/>
      <c r="H53" s="67"/>
      <c r="I53" s="67"/>
      <c r="J53" s="67"/>
      <c r="K53" s="67"/>
      <c r="L53" s="67"/>
      <c r="M53" s="67"/>
      <c r="N53" s="67"/>
      <c r="O53" s="885"/>
    </row>
    <row r="54" spans="2:15">
      <c r="B54" s="110"/>
      <c r="C54" s="49" t="s">
        <v>801</v>
      </c>
      <c r="D54" s="67"/>
      <c r="E54" s="67"/>
      <c r="F54" s="67"/>
      <c r="G54" s="67"/>
      <c r="H54" s="67"/>
      <c r="I54" s="67"/>
      <c r="J54" s="67"/>
      <c r="K54" s="67"/>
      <c r="L54" s="67"/>
      <c r="M54" s="67"/>
      <c r="N54" s="51" t="str">
        <f>"kt per "&amp;Preferences.EnergyUnits</f>
        <v>kt per TWh</v>
      </c>
      <c r="O54" s="885"/>
    </row>
    <row r="55" spans="2:15">
      <c r="B55" s="110"/>
      <c r="C55" s="67"/>
      <c r="D55" s="67"/>
      <c r="E55" s="1364"/>
      <c r="F55" s="67"/>
      <c r="G55" s="67"/>
      <c r="H55" s="67"/>
      <c r="I55" s="67"/>
      <c r="J55" s="67"/>
      <c r="K55" s="67"/>
      <c r="L55" s="67"/>
      <c r="M55" s="67"/>
      <c r="N55" s="67"/>
      <c r="O55" s="885"/>
    </row>
    <row r="56" spans="2:15">
      <c r="B56" s="110"/>
      <c r="C56" s="1688" t="s">
        <v>44</v>
      </c>
      <c r="D56" s="1688" t="s">
        <v>1010</v>
      </c>
      <c r="E56" s="1367" t="s">
        <v>45</v>
      </c>
      <c r="F56" s="1369">
        <v>2013</v>
      </c>
      <c r="G56" s="1369" t="s">
        <v>133</v>
      </c>
      <c r="H56" s="1369" t="s">
        <v>134</v>
      </c>
      <c r="I56" s="1369" t="s">
        <v>135</v>
      </c>
      <c r="J56" s="1369" t="s">
        <v>136</v>
      </c>
      <c r="K56" s="1369" t="s">
        <v>137</v>
      </c>
      <c r="L56" s="1369" t="s">
        <v>138</v>
      </c>
      <c r="M56" s="1369" t="s">
        <v>139</v>
      </c>
      <c r="N56" s="1369" t="s">
        <v>140</v>
      </c>
      <c r="O56" s="885"/>
    </row>
    <row r="57" spans="2:15">
      <c r="B57" s="110"/>
      <c r="C57" s="1723" t="s">
        <v>482</v>
      </c>
      <c r="D57" s="1724" t="s">
        <v>1142</v>
      </c>
      <c r="E57" s="1372" t="s">
        <v>1337</v>
      </c>
      <c r="F57" s="2457">
        <f t="shared" ref="F57:N57" si="3">(0.0000638960072850081*(1/Unit.GWh))</f>
        <v>6.3896007285008105E-2</v>
      </c>
      <c r="G57" s="2457">
        <f t="shared" si="3"/>
        <v>6.3896007285008105E-2</v>
      </c>
      <c r="H57" s="2457">
        <f t="shared" si="3"/>
        <v>6.3896007285008105E-2</v>
      </c>
      <c r="I57" s="2457">
        <f t="shared" si="3"/>
        <v>6.3896007285008105E-2</v>
      </c>
      <c r="J57" s="2457">
        <f t="shared" si="3"/>
        <v>6.3896007285008105E-2</v>
      </c>
      <c r="K57" s="2457">
        <f t="shared" si="3"/>
        <v>6.3896007285008105E-2</v>
      </c>
      <c r="L57" s="2457">
        <f t="shared" si="3"/>
        <v>6.3896007285008105E-2</v>
      </c>
      <c r="M57" s="2457">
        <f t="shared" si="3"/>
        <v>6.3896007285008105E-2</v>
      </c>
      <c r="N57" s="2457">
        <f t="shared" si="3"/>
        <v>6.3896007285008105E-2</v>
      </c>
      <c r="O57" s="885"/>
    </row>
    <row r="58" spans="2:15">
      <c r="B58" s="110"/>
      <c r="C58" s="67"/>
      <c r="D58" s="67"/>
      <c r="E58" s="67"/>
      <c r="F58" s="67"/>
      <c r="G58" s="67"/>
      <c r="H58" s="67"/>
      <c r="I58" s="67"/>
      <c r="J58" s="67"/>
      <c r="K58" s="67"/>
      <c r="L58" s="67"/>
      <c r="M58" s="67"/>
      <c r="N58" s="67"/>
      <c r="O58" s="885"/>
    </row>
    <row r="59" spans="2:15">
      <c r="B59" s="110"/>
      <c r="C59" s="49" t="s">
        <v>802</v>
      </c>
      <c r="D59" s="67"/>
      <c r="E59" s="67"/>
      <c r="F59" s="67"/>
      <c r="G59" s="67"/>
      <c r="H59" s="67"/>
      <c r="I59" s="67"/>
      <c r="J59" s="67"/>
      <c r="K59" s="67"/>
      <c r="L59" s="67"/>
      <c r="M59" s="67"/>
      <c r="N59" s="51" t="str">
        <f>"kt per "&amp;Preferences.EnergyUnits</f>
        <v>kt per TWh</v>
      </c>
      <c r="O59" s="885"/>
    </row>
    <row r="60" spans="2:15">
      <c r="B60" s="110"/>
      <c r="C60" s="67"/>
      <c r="D60" s="67"/>
      <c r="E60" s="1364"/>
      <c r="F60" s="67"/>
      <c r="G60" s="67"/>
      <c r="H60" s="67"/>
      <c r="I60" s="67"/>
      <c r="J60" s="67"/>
      <c r="K60" s="67"/>
      <c r="L60" s="67"/>
      <c r="M60" s="67"/>
      <c r="N60" s="67"/>
      <c r="O60" s="885"/>
    </row>
    <row r="61" spans="2:15">
      <c r="B61" s="110"/>
      <c r="C61" s="1688" t="s">
        <v>44</v>
      </c>
      <c r="D61" s="1688" t="s">
        <v>1010</v>
      </c>
      <c r="E61" s="1367" t="s">
        <v>45</v>
      </c>
      <c r="F61" s="1369">
        <v>2013</v>
      </c>
      <c r="G61" s="1369" t="s">
        <v>133</v>
      </c>
      <c r="H61" s="1369" t="s">
        <v>134</v>
      </c>
      <c r="I61" s="1369" t="s">
        <v>135</v>
      </c>
      <c r="J61" s="1369" t="s">
        <v>136</v>
      </c>
      <c r="K61" s="1369" t="s">
        <v>137</v>
      </c>
      <c r="L61" s="1369" t="s">
        <v>138</v>
      </c>
      <c r="M61" s="1369" t="s">
        <v>139</v>
      </c>
      <c r="N61" s="1369" t="s">
        <v>140</v>
      </c>
      <c r="O61" s="885"/>
    </row>
    <row r="62" spans="2:15">
      <c r="B62" s="110"/>
      <c r="C62" s="1723" t="s">
        <v>482</v>
      </c>
      <c r="D62" s="1724" t="s">
        <v>1142</v>
      </c>
      <c r="E62" s="1372" t="s">
        <v>1337</v>
      </c>
      <c r="F62" s="2457">
        <f t="shared" ref="F62:N62" si="4">(0.0000995128057609398*(1/Unit.GWh))</f>
        <v>9.9512805760939807E-2</v>
      </c>
      <c r="G62" s="2457">
        <f t="shared" si="4"/>
        <v>9.9512805760939807E-2</v>
      </c>
      <c r="H62" s="2457">
        <f t="shared" si="4"/>
        <v>9.9512805760939807E-2</v>
      </c>
      <c r="I62" s="2457">
        <f t="shared" si="4"/>
        <v>9.9512805760939807E-2</v>
      </c>
      <c r="J62" s="2457">
        <f t="shared" si="4"/>
        <v>9.9512805760939807E-2</v>
      </c>
      <c r="K62" s="2457">
        <f t="shared" si="4"/>
        <v>9.9512805760939807E-2</v>
      </c>
      <c r="L62" s="2457">
        <f t="shared" si="4"/>
        <v>9.9512805760939807E-2</v>
      </c>
      <c r="M62" s="2457">
        <f t="shared" si="4"/>
        <v>9.9512805760939807E-2</v>
      </c>
      <c r="N62" s="2457">
        <f t="shared" si="4"/>
        <v>9.9512805760939807E-2</v>
      </c>
      <c r="O62" s="885"/>
    </row>
    <row r="63" spans="2:15">
      <c r="B63" s="110"/>
      <c r="C63" s="67"/>
      <c r="D63" s="67"/>
      <c r="E63" s="67"/>
      <c r="F63" s="67"/>
      <c r="G63" s="67"/>
      <c r="H63" s="67"/>
      <c r="I63" s="67"/>
      <c r="J63" s="67"/>
      <c r="K63" s="67"/>
      <c r="L63" s="67"/>
      <c r="M63" s="67"/>
      <c r="N63" s="67"/>
      <c r="O63" s="885"/>
    </row>
    <row r="64" spans="2:15">
      <c r="B64" s="110"/>
      <c r="C64" s="49" t="s">
        <v>1169</v>
      </c>
      <c r="D64" s="67"/>
      <c r="E64" s="67"/>
      <c r="F64" s="67"/>
      <c r="G64" s="67"/>
      <c r="H64" s="67"/>
      <c r="I64" s="67"/>
      <c r="J64" s="67"/>
      <c r="K64" s="67"/>
      <c r="L64" s="67"/>
      <c r="M64" s="67"/>
      <c r="N64" s="51" t="s">
        <v>1170</v>
      </c>
      <c r="O64" s="885"/>
    </row>
    <row r="65" spans="1:57" ht="5.25" customHeight="1">
      <c r="B65" s="110"/>
      <c r="C65" s="67"/>
      <c r="D65" s="67"/>
      <c r="E65" s="1364"/>
      <c r="F65" s="1365"/>
      <c r="G65" s="67"/>
      <c r="H65" s="67"/>
      <c r="I65" s="67"/>
      <c r="J65" s="67"/>
      <c r="K65" s="67"/>
      <c r="L65" s="67"/>
      <c r="M65" s="67"/>
      <c r="N65" s="67"/>
      <c r="O65" s="885"/>
    </row>
    <row r="66" spans="1:57">
      <c r="B66" s="110"/>
      <c r="C66" s="1366" t="s">
        <v>44</v>
      </c>
      <c r="D66" s="1366" t="s">
        <v>1010</v>
      </c>
      <c r="E66" s="1367" t="s">
        <v>45</v>
      </c>
      <c r="F66" s="1368">
        <v>2013</v>
      </c>
      <c r="G66" s="1368" t="s">
        <v>133</v>
      </c>
      <c r="H66" s="1368" t="s">
        <v>134</v>
      </c>
      <c r="I66" s="1368" t="s">
        <v>135</v>
      </c>
      <c r="J66" s="1368" t="s">
        <v>136</v>
      </c>
      <c r="K66" s="1368" t="s">
        <v>137</v>
      </c>
      <c r="L66" s="1368" t="s">
        <v>138</v>
      </c>
      <c r="M66" s="1368" t="s">
        <v>139</v>
      </c>
      <c r="N66" s="1369" t="s">
        <v>140</v>
      </c>
      <c r="O66" s="885"/>
    </row>
    <row r="67" spans="1:57">
      <c r="B67" s="110"/>
      <c r="C67" s="1370" t="s">
        <v>478</v>
      </c>
      <c r="D67" s="1545" t="s">
        <v>1142</v>
      </c>
      <c r="E67" s="1545" t="s">
        <v>1142</v>
      </c>
      <c r="F67" s="1546">
        <v>6.9559999999999997E-2</v>
      </c>
      <c r="G67" s="1546">
        <v>6.9559999999999997E-2</v>
      </c>
      <c r="H67" s="1546">
        <v>6.9559999999999997E-2</v>
      </c>
      <c r="I67" s="1546">
        <v>6.9559999999999997E-2</v>
      </c>
      <c r="J67" s="1546">
        <v>6.9559999999999997E-2</v>
      </c>
      <c r="K67" s="1546">
        <v>6.9559999999999997E-2</v>
      </c>
      <c r="L67" s="1546">
        <v>6.9559999999999997E-2</v>
      </c>
      <c r="M67" s="1546">
        <v>6.9559999999999997E-2</v>
      </c>
      <c r="N67" s="1546">
        <v>6.9559999999999997E-2</v>
      </c>
      <c r="O67" s="885"/>
    </row>
    <row r="68" spans="1:57">
      <c r="B68" s="110"/>
      <c r="C68" s="3862" t="s">
        <v>64</v>
      </c>
      <c r="D68" s="67"/>
      <c r="E68" s="85"/>
      <c r="F68" s="1071"/>
      <c r="G68" s="195"/>
      <c r="H68" s="195"/>
      <c r="I68" s="195"/>
      <c r="J68" s="195"/>
      <c r="K68" s="195"/>
      <c r="L68" s="195"/>
      <c r="M68" s="195"/>
      <c r="N68" s="195"/>
      <c r="O68" s="885"/>
    </row>
    <row r="69" spans="1:57">
      <c r="B69" s="110"/>
      <c r="C69" s="3863" t="s">
        <v>65</v>
      </c>
      <c r="D69" s="3864" t="s">
        <v>3244</v>
      </c>
      <c r="E69" s="67"/>
      <c r="F69" s="67"/>
      <c r="G69" s="67"/>
      <c r="H69" s="67"/>
      <c r="I69" s="67"/>
      <c r="J69" s="67"/>
      <c r="K69" s="67"/>
      <c r="L69" s="67"/>
      <c r="M69" s="67"/>
      <c r="N69" s="67"/>
      <c r="O69" s="885"/>
    </row>
    <row r="70" spans="1:57">
      <c r="B70" s="110"/>
      <c r="C70" s="3863"/>
      <c r="D70" s="3866" t="s">
        <v>3243</v>
      </c>
      <c r="E70" s="67"/>
      <c r="F70" s="67"/>
      <c r="G70" s="67"/>
      <c r="H70" s="67"/>
      <c r="I70" s="67"/>
      <c r="J70" s="67"/>
      <c r="K70" s="67"/>
      <c r="L70" s="67"/>
      <c r="M70" s="67"/>
      <c r="N70" s="67"/>
      <c r="O70" s="885"/>
    </row>
    <row r="71" spans="1:57" s="927" customFormat="1">
      <c r="B71" s="1279"/>
      <c r="C71" s="3863"/>
      <c r="D71" s="3866"/>
      <c r="E71" s="931"/>
      <c r="F71" s="931"/>
      <c r="G71" s="931"/>
      <c r="H71" s="1281"/>
      <c r="I71" s="1281" t="s">
        <v>5</v>
      </c>
      <c r="J71" s="1281"/>
      <c r="K71" s="1281"/>
      <c r="L71" s="1281"/>
      <c r="M71" s="1281"/>
      <c r="N71" s="1281"/>
      <c r="O71" s="1282"/>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row>
    <row r="72" spans="1:57">
      <c r="B72" s="877"/>
    </row>
    <row r="73" spans="1:57" ht="23.25" hidden="1">
      <c r="A73" s="40"/>
      <c r="B73" s="878" t="s">
        <v>810</v>
      </c>
      <c r="C73" s="1727"/>
      <c r="D73" s="1727"/>
      <c r="E73" s="1727"/>
      <c r="F73" s="1727"/>
      <c r="G73" s="1727"/>
      <c r="H73" s="1727"/>
      <c r="I73" s="1727"/>
      <c r="J73" s="1727"/>
      <c r="K73" s="1727"/>
      <c r="L73" s="1727"/>
      <c r="M73" s="1727"/>
      <c r="N73" s="1727"/>
      <c r="O73" s="880"/>
    </row>
    <row r="74" spans="1:57" hidden="1">
      <c r="B74" s="110"/>
      <c r="C74" s="1040"/>
      <c r="D74" s="1040"/>
      <c r="E74" s="1040"/>
      <c r="F74" s="1040"/>
      <c r="G74" s="1040"/>
      <c r="H74" s="1040"/>
      <c r="I74" s="1040"/>
      <c r="J74" s="1040"/>
      <c r="K74" s="1040"/>
      <c r="L74" s="1040"/>
      <c r="M74" s="1040"/>
      <c r="N74" s="1040"/>
      <c r="O74" s="885"/>
    </row>
    <row r="75" spans="1:57" hidden="1">
      <c r="B75" s="110"/>
      <c r="C75" s="49" t="s">
        <v>1338</v>
      </c>
      <c r="D75" s="200"/>
      <c r="E75" s="67"/>
      <c r="F75" s="1728"/>
      <c r="G75" s="1728"/>
      <c r="H75" s="4156"/>
      <c r="I75" s="4156"/>
      <c r="J75" s="46"/>
      <c r="K75" s="46"/>
      <c r="L75" s="46"/>
      <c r="M75" s="46"/>
      <c r="N75" s="104" t="s">
        <v>2823</v>
      </c>
      <c r="O75" s="885"/>
    </row>
    <row r="76" spans="1:57" ht="4.5" hidden="1" customHeight="1">
      <c r="B76" s="110"/>
      <c r="C76" s="67"/>
      <c r="D76" s="200"/>
      <c r="E76" s="67"/>
      <c r="F76" s="67"/>
      <c r="G76" s="67"/>
      <c r="H76" s="67"/>
      <c r="I76" s="67"/>
      <c r="J76" s="46"/>
      <c r="K76" s="46"/>
      <c r="L76" s="46"/>
      <c r="M76" s="46"/>
      <c r="N76" s="46"/>
      <c r="O76" s="885"/>
    </row>
    <row r="77" spans="1:57" hidden="1">
      <c r="B77" s="110"/>
      <c r="C77" s="887"/>
      <c r="D77" s="887"/>
      <c r="E77" s="887"/>
      <c r="F77" s="1369">
        <v>2013</v>
      </c>
      <c r="G77" s="1369" t="s">
        <v>133</v>
      </c>
      <c r="H77" s="1369" t="s">
        <v>134</v>
      </c>
      <c r="I77" s="1369" t="s">
        <v>135</v>
      </c>
      <c r="J77" s="1369" t="s">
        <v>136</v>
      </c>
      <c r="K77" s="1369" t="s">
        <v>137</v>
      </c>
      <c r="L77" s="1369" t="s">
        <v>138</v>
      </c>
      <c r="M77" s="1369" t="s">
        <v>139</v>
      </c>
      <c r="N77" s="1369" t="s">
        <v>140</v>
      </c>
      <c r="O77" s="885"/>
    </row>
    <row r="78" spans="1:57" hidden="1">
      <c r="B78" s="110"/>
      <c r="C78" s="1729" t="s">
        <v>20</v>
      </c>
      <c r="D78" s="890"/>
      <c r="E78" s="890"/>
      <c r="F78" s="357">
        <v>0</v>
      </c>
      <c r="G78" s="357">
        <v>0</v>
      </c>
      <c r="H78" s="357">
        <v>0</v>
      </c>
      <c r="I78" s="357">
        <v>0</v>
      </c>
      <c r="J78" s="357">
        <v>0</v>
      </c>
      <c r="K78" s="357">
        <v>0</v>
      </c>
      <c r="L78" s="357">
        <v>0</v>
      </c>
      <c r="M78" s="357">
        <v>0</v>
      </c>
      <c r="N78" s="357">
        <v>0</v>
      </c>
      <c r="O78" s="885"/>
    </row>
    <row r="79" spans="1:57" hidden="1">
      <c r="B79" s="110"/>
      <c r="C79" s="952" t="s">
        <v>161</v>
      </c>
      <c r="D79" s="108"/>
      <c r="E79" s="108"/>
      <c r="F79" s="1574">
        <v>0</v>
      </c>
      <c r="G79" s="359">
        <v>0</v>
      </c>
      <c r="H79" s="359">
        <v>0</v>
      </c>
      <c r="I79" s="359">
        <v>0</v>
      </c>
      <c r="J79" s="359">
        <v>0</v>
      </c>
      <c r="K79" s="359">
        <v>0</v>
      </c>
      <c r="L79" s="359">
        <v>0</v>
      </c>
      <c r="M79" s="359">
        <v>0</v>
      </c>
      <c r="N79" s="359">
        <v>0</v>
      </c>
      <c r="O79" s="885"/>
    </row>
    <row r="80" spans="1:57" hidden="1">
      <c r="B80" s="110"/>
      <c r="C80" s="956" t="s">
        <v>22</v>
      </c>
      <c r="D80" s="199"/>
      <c r="E80" s="199"/>
      <c r="F80" s="361">
        <v>0</v>
      </c>
      <c r="G80" s="361">
        <v>0</v>
      </c>
      <c r="H80" s="361">
        <v>0</v>
      </c>
      <c r="I80" s="361">
        <v>0</v>
      </c>
      <c r="J80" s="361">
        <v>0</v>
      </c>
      <c r="K80" s="361">
        <v>0</v>
      </c>
      <c r="L80" s="361">
        <v>0</v>
      </c>
      <c r="M80" s="361">
        <v>0</v>
      </c>
      <c r="N80" s="361">
        <v>0</v>
      </c>
      <c r="O80" s="885"/>
    </row>
    <row r="81" spans="1:57" hidden="1">
      <c r="B81" s="67"/>
      <c r="C81" s="952"/>
      <c r="D81" s="108"/>
      <c r="E81" s="108"/>
      <c r="F81" s="359"/>
      <c r="G81" s="359"/>
      <c r="H81" s="359"/>
      <c r="I81" s="359"/>
      <c r="J81" s="359"/>
      <c r="K81" s="359"/>
      <c r="L81" s="359"/>
      <c r="M81" s="359"/>
      <c r="N81" s="359"/>
      <c r="O81" s="67"/>
    </row>
    <row r="82" spans="1:57">
      <c r="B82" s="877"/>
    </row>
    <row r="83" spans="1:57" ht="15.75">
      <c r="B83" s="878" t="s">
        <v>178</v>
      </c>
      <c r="C83" s="1283"/>
      <c r="D83" s="1283"/>
      <c r="E83" s="1283"/>
      <c r="F83" s="1283"/>
      <c r="G83" s="1283"/>
      <c r="H83" s="1283"/>
      <c r="I83" s="1283"/>
      <c r="J83" s="1283"/>
      <c r="K83" s="1283"/>
      <c r="L83" s="1283"/>
      <c r="M83" s="1283"/>
      <c r="N83" s="1283"/>
      <c r="O83" s="1284"/>
    </row>
    <row r="84" spans="1:57">
      <c r="B84" s="110"/>
      <c r="C84" s="67"/>
      <c r="D84" s="67"/>
      <c r="E84" s="67"/>
      <c r="F84" s="67"/>
      <c r="G84" s="67"/>
      <c r="H84" s="67"/>
      <c r="I84" s="67"/>
      <c r="J84" s="67"/>
      <c r="K84" s="67"/>
      <c r="L84" s="67"/>
      <c r="M84" s="67"/>
      <c r="N84" s="67"/>
      <c r="O84" s="885"/>
    </row>
    <row r="85" spans="1:57" s="3929" customFormat="1">
      <c r="B85" s="110"/>
      <c r="C85" s="49" t="s">
        <v>3241</v>
      </c>
      <c r="D85" s="67"/>
      <c r="E85" s="67"/>
      <c r="F85" s="67"/>
      <c r="G85" s="67"/>
      <c r="H85" s="67"/>
      <c r="I85" s="67"/>
      <c r="J85" s="67"/>
      <c r="K85" s="67"/>
      <c r="L85" s="67"/>
      <c r="M85" s="67"/>
      <c r="N85" s="51" t="str">
        <f>Preferences.EnergyUnits</f>
        <v>TWh</v>
      </c>
      <c r="O85" s="8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row>
    <row r="86" spans="1:57" s="3929" customFormat="1">
      <c r="B86" s="110"/>
      <c r="C86" s="67"/>
      <c r="D86" s="67"/>
      <c r="E86" s="67"/>
      <c r="F86" s="67"/>
      <c r="G86" s="67"/>
      <c r="H86" s="67"/>
      <c r="I86" s="67"/>
      <c r="J86" s="67"/>
      <c r="K86" s="67"/>
      <c r="L86" s="67"/>
      <c r="M86" s="67"/>
      <c r="N86" s="67"/>
      <c r="O86" s="885"/>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row>
    <row r="87" spans="1:57" s="3929" customFormat="1">
      <c r="B87" s="110"/>
      <c r="C87" s="887" t="s">
        <v>8</v>
      </c>
      <c r="D87" s="887" t="s">
        <v>34</v>
      </c>
      <c r="E87" s="887" t="s">
        <v>30</v>
      </c>
      <c r="F87" s="92">
        <v>2013</v>
      </c>
      <c r="G87" s="92">
        <v>2015</v>
      </c>
      <c r="H87" s="92">
        <v>2020</v>
      </c>
      <c r="I87" s="92">
        <v>2025</v>
      </c>
      <c r="J87" s="92">
        <v>2030</v>
      </c>
      <c r="K87" s="92">
        <v>2035</v>
      </c>
      <c r="L87" s="92">
        <v>2040</v>
      </c>
      <c r="M87" s="92">
        <v>2045</v>
      </c>
      <c r="N87" s="92">
        <v>2050</v>
      </c>
      <c r="O87" s="885"/>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row>
    <row r="88" spans="1:57" s="3929" customFormat="1" ht="15.75">
      <c r="B88" s="55"/>
      <c r="C88" s="65">
        <v>1</v>
      </c>
      <c r="D88" s="108" t="s">
        <v>1335</v>
      </c>
      <c r="E88" s="1267"/>
      <c r="F88" s="172">
        <f>($F$42/$F16)*F16</f>
        <v>7.02</v>
      </c>
      <c r="G88" s="172">
        <f>($F$42/$G16)*G16*((1-G25)^(G$24-F$24))</f>
        <v>6.8942086199999997</v>
      </c>
      <c r="H88" s="172">
        <f t="shared" ref="H88:N88" si="5">($F$42/$G16)*H16*((1-H25)^(H$24-$F$24))</f>
        <v>7.4554183878892841</v>
      </c>
      <c r="I88" s="172">
        <f t="shared" si="5"/>
        <v>8.0623123555082739</v>
      </c>
      <c r="J88" s="172">
        <f t="shared" si="5"/>
        <v>8.7186093571046239</v>
      </c>
      <c r="K88" s="172">
        <f t="shared" si="5"/>
        <v>9.4283309514618914</v>
      </c>
      <c r="L88" s="172">
        <f t="shared" si="5"/>
        <v>10.195826064607054</v>
      </c>
      <c r="M88" s="172">
        <f t="shared" si="5"/>
        <v>11.025797638510145</v>
      </c>
      <c r="N88" s="172">
        <f t="shared" si="5"/>
        <v>11.923331449069897</v>
      </c>
      <c r="O88" s="885"/>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row>
    <row r="89" spans="1:57" s="3929" customFormat="1" ht="15.75">
      <c r="B89" s="55"/>
      <c r="C89" s="65">
        <v>2</v>
      </c>
      <c r="D89" s="108" t="s">
        <v>1335</v>
      </c>
      <c r="E89" s="1267"/>
      <c r="F89" s="172">
        <f>($F$42/$F17)*F17</f>
        <v>7.02</v>
      </c>
      <c r="G89" s="172">
        <f t="shared" ref="G89:N89" si="6">($F$42/$G17)*G17*((1-G26)^(G$24-$F$24))</f>
        <v>6.8525308799999998</v>
      </c>
      <c r="H89" s="172">
        <f t="shared" si="6"/>
        <v>7.2988602976025234</v>
      </c>
      <c r="I89" s="172">
        <f t="shared" si="6"/>
        <v>7.7742607186789359</v>
      </c>
      <c r="J89" s="172">
        <f t="shared" si="6"/>
        <v>8.2806256398477611</v>
      </c>
      <c r="K89" s="172">
        <f t="shared" si="6"/>
        <v>8.8199718878164788</v>
      </c>
      <c r="L89" s="172">
        <f t="shared" si="6"/>
        <v>9.3944476523036204</v>
      </c>
      <c r="M89" s="172">
        <f t="shared" si="6"/>
        <v>10.006341042173331</v>
      </c>
      <c r="N89" s="172">
        <f t="shared" si="6"/>
        <v>10.658089198861015</v>
      </c>
      <c r="O89" s="885"/>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row>
    <row r="90" spans="1:57" s="3929" customFormat="1" ht="15.75">
      <c r="B90" s="55"/>
      <c r="C90" s="65">
        <v>3</v>
      </c>
      <c r="D90" s="108" t="s">
        <v>1335</v>
      </c>
      <c r="E90" s="1267"/>
      <c r="F90" s="172">
        <f>($F$42/$F18)*F18</f>
        <v>7.02</v>
      </c>
      <c r="G90" s="172">
        <f t="shared" ref="G90:N90" si="7">($F$42/$G18)*G18*((1-G27)^(G$24-$F$24))</f>
        <v>6.8525308799999998</v>
      </c>
      <c r="H90" s="172">
        <f t="shared" si="7"/>
        <v>7.2988602976025234</v>
      </c>
      <c r="I90" s="172">
        <f t="shared" si="7"/>
        <v>7.7742607186789359</v>
      </c>
      <c r="J90" s="172">
        <f t="shared" si="7"/>
        <v>8.0017082777277526</v>
      </c>
      <c r="K90" s="172">
        <f t="shared" si="7"/>
        <v>8.2358101533719701</v>
      </c>
      <c r="L90" s="172">
        <f t="shared" si="7"/>
        <v>8.4767610275397498</v>
      </c>
      <c r="M90" s="172">
        <f t="shared" si="7"/>
        <v>8.7247612778685912</v>
      </c>
      <c r="N90" s="172">
        <f t="shared" si="7"/>
        <v>8.980017144341776</v>
      </c>
      <c r="O90" s="885"/>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row>
    <row r="91" spans="1:57" s="3929" customFormat="1" ht="15.75">
      <c r="B91" s="55"/>
      <c r="C91" s="896">
        <v>4</v>
      </c>
      <c r="D91" s="897" t="s">
        <v>1335</v>
      </c>
      <c r="E91" s="897"/>
      <c r="F91" s="172">
        <f>($F$42/$F19)*F19</f>
        <v>7.02</v>
      </c>
      <c r="G91" s="172">
        <f t="shared" ref="G91:N91" si="8">($F$42/$G19)*G19*((1-G28)^(G$24-$F$24))</f>
        <v>6.8525308799999998</v>
      </c>
      <c r="H91" s="172">
        <f t="shared" si="8"/>
        <v>7.2988602976025234</v>
      </c>
      <c r="I91" s="172">
        <f t="shared" si="8"/>
        <v>7.115200242529971</v>
      </c>
      <c r="J91" s="172">
        <f t="shared" si="8"/>
        <v>6.9361615960683398</v>
      </c>
      <c r="K91" s="172">
        <f t="shared" si="8"/>
        <v>6.7616280704514065</v>
      </c>
      <c r="L91" s="172">
        <f t="shared" si="8"/>
        <v>6.5914863040434186</v>
      </c>
      <c r="M91" s="172">
        <f t="shared" si="8"/>
        <v>6.0822570306208465</v>
      </c>
      <c r="N91" s="172">
        <f t="shared" si="8"/>
        <v>5.6123685736619917</v>
      </c>
      <c r="O91" s="885"/>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row>
    <row r="92" spans="1:57" s="3929" customFormat="1" ht="15.75">
      <c r="B92" s="55"/>
      <c r="C92" s="1024" t="s">
        <v>37</v>
      </c>
      <c r="D92" s="901"/>
      <c r="E92" s="901"/>
      <c r="F92" s="1721">
        <f t="shared" ref="F92:N92" si="9">(INDEX(F$88:F$91,ROUNDDOWN($E$8,0))*(1-MOD($E$8,1)))+(INDEX(F$88:F$91,ROUNDUP($E$8,0))*MOD($E$8,1))</f>
        <v>7.02</v>
      </c>
      <c r="G92" s="1721">
        <f t="shared" si="9"/>
        <v>6.8942086199999997</v>
      </c>
      <c r="H92" s="1721">
        <f t="shared" si="9"/>
        <v>7.4554183878892841</v>
      </c>
      <c r="I92" s="1721">
        <f t="shared" si="9"/>
        <v>8.0623123555082739</v>
      </c>
      <c r="J92" s="1721">
        <f t="shared" si="9"/>
        <v>8.7186093571046239</v>
      </c>
      <c r="K92" s="1721">
        <f t="shared" si="9"/>
        <v>9.4283309514618914</v>
      </c>
      <c r="L92" s="1721">
        <f t="shared" si="9"/>
        <v>10.195826064607054</v>
      </c>
      <c r="M92" s="1721">
        <f t="shared" si="9"/>
        <v>11.025797638510145</v>
      </c>
      <c r="N92" s="1721">
        <f t="shared" si="9"/>
        <v>11.923331449069897</v>
      </c>
      <c r="O92" s="885"/>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row>
    <row r="93" spans="1:57">
      <c r="B93" s="359"/>
      <c r="C93" s="359"/>
      <c r="D93" s="359" t="s">
        <v>5</v>
      </c>
      <c r="E93" s="359"/>
      <c r="F93" s="1574"/>
      <c r="G93" s="359"/>
      <c r="H93" s="1574"/>
      <c r="I93" s="359"/>
      <c r="J93" s="359"/>
      <c r="K93" s="359"/>
      <c r="L93" s="359"/>
      <c r="M93" s="359"/>
      <c r="N93" s="359"/>
      <c r="O93" s="885"/>
    </row>
    <row r="95" spans="1:57" ht="18.75">
      <c r="A95" s="355"/>
      <c r="B95" s="1110" t="s">
        <v>207</v>
      </c>
    </row>
    <row r="96" spans="1:57" s="2" customFormat="1">
      <c r="B96" s="363">
        <v>1</v>
      </c>
      <c r="C96" t="s">
        <v>1339</v>
      </c>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row>
    <row r="97" spans="2:57">
      <c r="B97" s="363">
        <v>2</v>
      </c>
      <c r="C97" t="s">
        <v>1078</v>
      </c>
    </row>
    <row r="98" spans="2:57">
      <c r="B98" s="363"/>
    </row>
    <row r="99" spans="2:57">
      <c r="F99" s="1325">
        <v>2013</v>
      </c>
      <c r="G99" s="1325">
        <v>2015</v>
      </c>
      <c r="H99" s="1325">
        <v>2020</v>
      </c>
      <c r="I99" s="1325">
        <v>2025</v>
      </c>
      <c r="J99" s="1325">
        <v>2030</v>
      </c>
      <c r="K99" s="1325">
        <v>2035</v>
      </c>
      <c r="L99" s="1325">
        <v>2040</v>
      </c>
      <c r="M99" s="1325">
        <v>2045</v>
      </c>
      <c r="N99" s="1325">
        <v>2050</v>
      </c>
    </row>
    <row r="100" spans="2:57">
      <c r="B100" s="363" t="s">
        <v>1340</v>
      </c>
      <c r="F100" s="1325"/>
      <c r="G100" s="1325"/>
      <c r="H100" s="1325"/>
      <c r="I100" s="1325"/>
      <c r="J100" s="1325"/>
      <c r="K100" s="1325"/>
      <c r="L100" s="1325"/>
      <c r="M100" s="1325"/>
      <c r="N100" s="1325"/>
    </row>
    <row r="101" spans="2:57" s="363" customFormat="1">
      <c r="B101" s="988" t="s">
        <v>221</v>
      </c>
      <c r="C101" s="363" t="s">
        <v>1304</v>
      </c>
      <c r="E101" s="363" t="str">
        <f>Preferences.EnergyUnits</f>
        <v>TWh</v>
      </c>
      <c r="F101" s="1327">
        <f>F92</f>
        <v>7.02</v>
      </c>
      <c r="G101" s="1327">
        <f t="shared" ref="G101:N101" si="10">G92</f>
        <v>6.8942086199999997</v>
      </c>
      <c r="H101" s="1327">
        <f t="shared" si="10"/>
        <v>7.4554183878892841</v>
      </c>
      <c r="I101" s="1327">
        <f t="shared" si="10"/>
        <v>8.0623123555082739</v>
      </c>
      <c r="J101" s="1327">
        <f t="shared" si="10"/>
        <v>8.7186093571046239</v>
      </c>
      <c r="K101" s="1327">
        <f t="shared" si="10"/>
        <v>9.4283309514618914</v>
      </c>
      <c r="L101" s="1327">
        <f t="shared" si="10"/>
        <v>10.195826064607054</v>
      </c>
      <c r="M101" s="1327">
        <f t="shared" si="10"/>
        <v>11.025797638510145</v>
      </c>
      <c r="N101" s="1327">
        <f t="shared" si="10"/>
        <v>11.923331449069897</v>
      </c>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row>
    <row r="102" spans="2:57" s="363" customFormat="1">
      <c r="F102" s="1730"/>
      <c r="G102" s="1730"/>
      <c r="H102" s="1730"/>
      <c r="I102" s="1730"/>
      <c r="J102" s="1730"/>
      <c r="K102" s="1730"/>
      <c r="L102" s="1730"/>
      <c r="M102" s="1730"/>
      <c r="N102" s="1730"/>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row>
    <row r="103" spans="2:57" s="363" customFormat="1">
      <c r="B103" s="363" t="s">
        <v>1341</v>
      </c>
      <c r="C103"/>
      <c r="D103" s="6"/>
      <c r="E103" s="6"/>
      <c r="F103" s="366"/>
      <c r="G103" s="366"/>
      <c r="H103" s="366"/>
      <c r="I103" s="366"/>
      <c r="J103" s="366"/>
      <c r="K103" s="366"/>
      <c r="L103" s="366"/>
      <c r="M103" s="366"/>
      <c r="N103" s="366"/>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row>
    <row r="104" spans="2:57" s="363" customFormat="1">
      <c r="C104" t="s">
        <v>253</v>
      </c>
      <c r="D104" s="6"/>
      <c r="E104" s="6" t="s">
        <v>254</v>
      </c>
      <c r="F104" s="2414">
        <f>F$101*INDEX(EF[CO2], MATCH("V.04", EF[Vector], 0))</f>
        <v>1.8524375999999996</v>
      </c>
      <c r="G104" s="2414">
        <f>G$101*INDEX(EF[CO2], MATCH("V.04", EF[Vector], 0))</f>
        <v>1.8192437706455995</v>
      </c>
      <c r="H104" s="2414">
        <f>H$101*INDEX(EF[CO2], MATCH("V.04", EF[Vector], 0))</f>
        <v>1.9673358041962239</v>
      </c>
      <c r="I104" s="2414">
        <f>I$101*INDEX(EF[CO2], MATCH("V.04", EF[Vector], 0))</f>
        <v>2.1274829843715231</v>
      </c>
      <c r="J104" s="2414">
        <f>J$101*INDEX(EF[CO2], MATCH("V.04", EF[Vector], 0))</f>
        <v>2.3006666371527675</v>
      </c>
      <c r="K104" s="2414">
        <f>K$101*INDEX(EF[CO2], MATCH("V.04", EF[Vector], 0))</f>
        <v>2.4879479714717636</v>
      </c>
      <c r="L104" s="2414">
        <f>L$101*INDEX(EF[CO2], MATCH("V.04", EF[Vector], 0))</f>
        <v>2.690474581928509</v>
      </c>
      <c r="M104" s="2414">
        <f>M$101*INDEX(EF[CO2], MATCH("V.04", EF[Vector], 0))</f>
        <v>2.9094874808500566</v>
      </c>
      <c r="N104" s="2414">
        <f>N$101*INDEX(EF[CO2], MATCH("V.04", EF[Vector], 0))</f>
        <v>3.146328702780564</v>
      </c>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row>
    <row r="105" spans="2:57" s="363" customFormat="1">
      <c r="C105" t="s">
        <v>255</v>
      </c>
      <c r="D105" s="6"/>
      <c r="E105" s="6" t="s">
        <v>254</v>
      </c>
      <c r="F105" s="2414">
        <f>F$101*INDEX(EF[CH4], MATCH("V.04", EF[Vector], 0))</f>
        <v>1.5921360000000001E-3</v>
      </c>
      <c r="G105" s="2414">
        <f>G$101*INDEX(EF[CH4], MATCH("V.04", EF[Vector], 0))</f>
        <v>1.5636065150160001E-3</v>
      </c>
      <c r="H105" s="2414">
        <f>H$101*INDEX(EF[CH4], MATCH("V.04", EF[Vector], 0))</f>
        <v>1.6908888903732896E-3</v>
      </c>
      <c r="I105" s="2414">
        <f>I$101*INDEX(EF[CH4], MATCH("V.04", EF[Vector], 0))</f>
        <v>1.8285324422292765E-3</v>
      </c>
      <c r="J105" s="2414">
        <f>J$101*INDEX(EF[CH4], MATCH("V.04", EF[Vector], 0))</f>
        <v>1.9773806021913289E-3</v>
      </c>
      <c r="K105" s="2414">
        <f>K$101*INDEX(EF[CH4], MATCH("V.04", EF[Vector], 0))</f>
        <v>2.1383454597915571E-3</v>
      </c>
      <c r="L105" s="2414">
        <f>L$101*INDEX(EF[CH4], MATCH("V.04", EF[Vector], 0))</f>
        <v>2.31241335145288E-3</v>
      </c>
      <c r="M105" s="2414">
        <f>M$101*INDEX(EF[CH4], MATCH("V.04", EF[Vector], 0))</f>
        <v>2.500650904414101E-3</v>
      </c>
      <c r="N105" s="2414">
        <f>N$101*INDEX(EF[CH4], MATCH("V.04", EF[Vector], 0))</f>
        <v>2.7042115726490529E-3</v>
      </c>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row>
    <row r="106" spans="2:57" s="363" customFormat="1">
      <c r="C106" t="s">
        <v>256</v>
      </c>
      <c r="D106" s="6"/>
      <c r="E106" s="6" t="s">
        <v>254</v>
      </c>
      <c r="F106" s="2414">
        <f>F$101*INDEX(EF[N2O], MATCH("V.04", EF[Vector], 0))</f>
        <v>4.700592E-3</v>
      </c>
      <c r="G106" s="2414">
        <f>G$101*INDEX(EF[N2O], MATCH("V.04", EF[Vector], 0))</f>
        <v>4.6163620919519996E-3</v>
      </c>
      <c r="H106" s="2414">
        <f>H$101*INDEX(EF[N2O], MATCH("V.04", EF[Vector], 0))</f>
        <v>4.9921481525306644E-3</v>
      </c>
      <c r="I106" s="2414">
        <f>I$101*INDEX(EF[N2O], MATCH("V.04", EF[Vector], 0))</f>
        <v>5.3985243532483403E-3</v>
      </c>
      <c r="J106" s="2414">
        <f>J$101*INDEX(EF[N2O], MATCH("V.04", EF[Vector], 0))</f>
        <v>5.8379808255172565E-3</v>
      </c>
      <c r="K106" s="2414">
        <f>K$101*INDEX(EF[N2O], MATCH("V.04", EF[Vector], 0))</f>
        <v>6.3132104050988829E-3</v>
      </c>
      <c r="L106" s="2414">
        <f>L$101*INDEX(EF[N2O], MATCH("V.04", EF[Vector], 0))</f>
        <v>6.8271251328608836E-3</v>
      </c>
      <c r="M106" s="2414">
        <f>M$101*INDEX(EF[N2O], MATCH("V.04", EF[Vector], 0))</f>
        <v>7.3828740987463932E-3</v>
      </c>
      <c r="N106" s="2414">
        <f>N$101*INDEX(EF[N2O], MATCH("V.04", EF[Vector], 0))</f>
        <v>7.9838627382972024E-3</v>
      </c>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row>
    <row r="107" spans="2:57">
      <c r="E107" s="382"/>
      <c r="F107" s="1326"/>
      <c r="G107" s="1326"/>
      <c r="H107" s="1326"/>
      <c r="I107" s="1326"/>
      <c r="J107" s="1326"/>
      <c r="K107" s="1326"/>
      <c r="L107" s="1326"/>
      <c r="M107" s="1326"/>
      <c r="N107" s="1326"/>
    </row>
    <row r="108" spans="2:57">
      <c r="B108" s="412">
        <v>3</v>
      </c>
      <c r="C108" s="363" t="s">
        <v>2806</v>
      </c>
      <c r="E108" s="6"/>
      <c r="F108" s="1325">
        <v>2013</v>
      </c>
      <c r="G108" s="1325">
        <v>2015</v>
      </c>
      <c r="H108" s="1325">
        <v>2020</v>
      </c>
      <c r="I108" s="1325">
        <v>2025</v>
      </c>
      <c r="J108" s="1325">
        <v>2030</v>
      </c>
      <c r="K108" s="1325">
        <v>2035</v>
      </c>
      <c r="L108" s="1325">
        <v>2040</v>
      </c>
      <c r="M108" s="1325">
        <v>2045</v>
      </c>
      <c r="N108" s="1325">
        <v>2050</v>
      </c>
    </row>
    <row r="109" spans="2:57" hidden="1">
      <c r="B109" s="412"/>
      <c r="C109" t="s">
        <v>1342</v>
      </c>
      <c r="E109" s="6"/>
      <c r="F109" s="992" t="e">
        <f>#REF!</f>
        <v>#REF!</v>
      </c>
      <c r="G109" s="992" t="e">
        <f>#REF!</f>
        <v>#REF!</v>
      </c>
      <c r="H109" s="992" t="e">
        <f>#REF!</f>
        <v>#REF!</v>
      </c>
      <c r="I109" s="992" t="e">
        <f>#REF!</f>
        <v>#REF!</v>
      </c>
      <c r="J109" s="992" t="e">
        <f>#REF!</f>
        <v>#REF!</v>
      </c>
      <c r="K109" s="992" t="e">
        <f>#REF!</f>
        <v>#REF!</v>
      </c>
      <c r="L109" s="992" t="e">
        <f>#REF!</f>
        <v>#REF!</v>
      </c>
      <c r="M109" s="992" t="e">
        <f>#REF!</f>
        <v>#REF!</v>
      </c>
      <c r="N109" s="992" t="e">
        <f>#REF!</f>
        <v>#REF!</v>
      </c>
    </row>
    <row r="110" spans="2:57" hidden="1">
      <c r="B110" s="412"/>
      <c r="C110" t="s">
        <v>1343</v>
      </c>
      <c r="E110" s="6"/>
      <c r="F110" s="992" t="e">
        <f>F109-F101</f>
        <v>#REF!</v>
      </c>
      <c r="G110" s="992" t="e">
        <f t="shared" ref="G110:N110" si="11">G109-G101</f>
        <v>#REF!</v>
      </c>
      <c r="H110" s="992" t="e">
        <f t="shared" si="11"/>
        <v>#REF!</v>
      </c>
      <c r="I110" s="992" t="e">
        <f t="shared" si="11"/>
        <v>#REF!</v>
      </c>
      <c r="J110" s="992" t="e">
        <f t="shared" si="11"/>
        <v>#REF!</v>
      </c>
      <c r="K110" s="992" t="e">
        <f t="shared" si="11"/>
        <v>#REF!</v>
      </c>
      <c r="L110" s="992" t="e">
        <f t="shared" si="11"/>
        <v>#REF!</v>
      </c>
      <c r="M110" s="992" t="e">
        <f t="shared" si="11"/>
        <v>#REF!</v>
      </c>
      <c r="N110" s="992" t="e">
        <f t="shared" si="11"/>
        <v>#REF!</v>
      </c>
    </row>
    <row r="111" spans="2:57" hidden="1">
      <c r="B111" s="412"/>
      <c r="C111" t="s">
        <v>1344</v>
      </c>
      <c r="E111" s="6"/>
      <c r="F111" s="992"/>
      <c r="G111" s="992"/>
      <c r="H111" s="992"/>
      <c r="I111" s="992"/>
      <c r="J111" s="992"/>
      <c r="K111" s="992"/>
      <c r="L111" s="992"/>
      <c r="M111" s="992"/>
      <c r="N111" s="992"/>
    </row>
    <row r="112" spans="2:57" hidden="1">
      <c r="B112" s="412"/>
      <c r="C112" s="363"/>
      <c r="E112" s="6"/>
      <c r="F112" s="992"/>
      <c r="G112" s="992"/>
      <c r="H112" s="992"/>
      <c r="I112" s="992"/>
      <c r="J112" s="992"/>
      <c r="K112" s="992"/>
      <c r="L112" s="992"/>
      <c r="M112" s="992"/>
      <c r="N112" s="992"/>
    </row>
    <row r="113" spans="1:15" hidden="1">
      <c r="C113" t="s">
        <v>1345</v>
      </c>
      <c r="E113" s="6" t="s">
        <v>1346</v>
      </c>
      <c r="F113" s="992" t="e">
        <f>#REF!*INDEX(EF[CO2], MATCH("V.04", EF[Vector], 0))</f>
        <v>#REF!</v>
      </c>
      <c r="G113" s="992" t="e">
        <f>#REF!*INDEX(EF[CO2], MATCH("V.04", EF[Vector], 0))</f>
        <v>#REF!</v>
      </c>
      <c r="H113" s="992" t="e">
        <f>#REF!*INDEX(EF[CO2], MATCH("V.04", EF[Vector], 0))</f>
        <v>#REF!</v>
      </c>
      <c r="I113" s="992" t="e">
        <f>#REF!*INDEX(EF[CO2], MATCH("V.04", EF[Vector], 0))</f>
        <v>#REF!</v>
      </c>
      <c r="J113" s="992" t="e">
        <f>#REF!*INDEX(EF[CO2], MATCH("V.04", EF[Vector], 0))</f>
        <v>#REF!</v>
      </c>
      <c r="K113" s="992" t="e">
        <f>#REF!*INDEX(EF[CO2], MATCH("V.04", EF[Vector], 0))</f>
        <v>#REF!</v>
      </c>
      <c r="L113" s="992" t="e">
        <f>#REF!*INDEX(EF[CO2], MATCH("V.04", EF[Vector], 0))</f>
        <v>#REF!</v>
      </c>
      <c r="M113" s="992" t="e">
        <f>#REF!*INDEX(EF[CO2], MATCH("V.04", EF[Vector], 0))</f>
        <v>#REF!</v>
      </c>
      <c r="N113" s="992" t="e">
        <f>#REF!*INDEX(EF[CO2], MATCH("V.04", EF[Vector], 0))</f>
        <v>#REF!</v>
      </c>
    </row>
    <row r="114" spans="1:15" hidden="1">
      <c r="C114" t="s">
        <v>1347</v>
      </c>
      <c r="E114" s="6" t="s">
        <v>1346</v>
      </c>
      <c r="F114" s="992" t="e">
        <f t="shared" ref="F114:N114" si="12">F113-F104</f>
        <v>#REF!</v>
      </c>
      <c r="G114" s="992" t="e">
        <f t="shared" si="12"/>
        <v>#REF!</v>
      </c>
      <c r="H114" s="992" t="e">
        <f t="shared" si="12"/>
        <v>#REF!</v>
      </c>
      <c r="I114" s="992" t="e">
        <f t="shared" si="12"/>
        <v>#REF!</v>
      </c>
      <c r="J114" s="992" t="e">
        <f t="shared" si="12"/>
        <v>#REF!</v>
      </c>
      <c r="K114" s="992" t="e">
        <f t="shared" si="12"/>
        <v>#REF!</v>
      </c>
      <c r="L114" s="992" t="e">
        <f t="shared" si="12"/>
        <v>#REF!</v>
      </c>
      <c r="M114" s="992" t="e">
        <f t="shared" si="12"/>
        <v>#REF!</v>
      </c>
      <c r="N114" s="992" t="e">
        <f t="shared" si="12"/>
        <v>#REF!</v>
      </c>
    </row>
    <row r="115" spans="1:15" hidden="1">
      <c r="E115" s="6"/>
      <c r="F115" s="992"/>
      <c r="G115" s="992"/>
      <c r="H115" s="992"/>
      <c r="I115" s="992"/>
      <c r="J115" s="992"/>
      <c r="K115" s="992"/>
      <c r="L115" s="992"/>
      <c r="M115" s="992"/>
      <c r="N115" s="992"/>
    </row>
    <row r="116" spans="1:15" hidden="1">
      <c r="C116" t="s">
        <v>1348</v>
      </c>
      <c r="E116" s="6"/>
      <c r="F116" s="992"/>
      <c r="G116" s="992"/>
      <c r="H116" s="992"/>
      <c r="I116" s="992"/>
      <c r="J116" s="992"/>
      <c r="K116" s="992"/>
      <c r="L116" s="992"/>
      <c r="M116" s="992"/>
      <c r="N116" s="992"/>
    </row>
    <row r="117" spans="1:15" hidden="1">
      <c r="C117" t="s">
        <v>336</v>
      </c>
      <c r="E117" s="6" t="s">
        <v>2812</v>
      </c>
      <c r="F117" s="992" t="e">
        <f t="shared" ref="F117:N117" si="13">(F$114*F78)+F111</f>
        <v>#REF!</v>
      </c>
      <c r="G117" s="992" t="e">
        <f t="shared" si="13"/>
        <v>#REF!</v>
      </c>
      <c r="H117" s="992" t="e">
        <f t="shared" si="13"/>
        <v>#REF!</v>
      </c>
      <c r="I117" s="992" t="e">
        <f t="shared" si="13"/>
        <v>#REF!</v>
      </c>
      <c r="J117" s="992" t="e">
        <f t="shared" si="13"/>
        <v>#REF!</v>
      </c>
      <c r="K117" s="992" t="e">
        <f t="shared" si="13"/>
        <v>#REF!</v>
      </c>
      <c r="L117" s="992" t="e">
        <f t="shared" si="13"/>
        <v>#REF!</v>
      </c>
      <c r="M117" s="992" t="e">
        <f t="shared" si="13"/>
        <v>#REF!</v>
      </c>
      <c r="N117" s="992" t="e">
        <f t="shared" si="13"/>
        <v>#REF!</v>
      </c>
    </row>
    <row r="118" spans="1:15" hidden="1">
      <c r="C118" t="s">
        <v>334</v>
      </c>
      <c r="E118" s="6" t="s">
        <v>2812</v>
      </c>
      <c r="F118" s="992" t="e">
        <f t="shared" ref="F118:N118" si="14">(F$114*F79)+F111</f>
        <v>#REF!</v>
      </c>
      <c r="G118" s="992" t="e">
        <f t="shared" si="14"/>
        <v>#REF!</v>
      </c>
      <c r="H118" s="992" t="e">
        <f t="shared" si="14"/>
        <v>#REF!</v>
      </c>
      <c r="I118" s="992" t="e">
        <f t="shared" si="14"/>
        <v>#REF!</v>
      </c>
      <c r="J118" s="992" t="e">
        <f t="shared" si="14"/>
        <v>#REF!</v>
      </c>
      <c r="K118" s="992" t="e">
        <f t="shared" si="14"/>
        <v>#REF!</v>
      </c>
      <c r="L118" s="992" t="e">
        <f t="shared" si="14"/>
        <v>#REF!</v>
      </c>
      <c r="M118" s="992" t="e">
        <f t="shared" si="14"/>
        <v>#REF!</v>
      </c>
      <c r="N118" s="992" t="e">
        <f t="shared" si="14"/>
        <v>#REF!</v>
      </c>
      <c r="O118" s="992"/>
    </row>
    <row r="119" spans="1:15" hidden="1">
      <c r="C119" t="s">
        <v>332</v>
      </c>
      <c r="E119" s="6" t="s">
        <v>2812</v>
      </c>
      <c r="F119" s="992" t="e">
        <f t="shared" ref="F119:N119" si="15">(F$114*F80)+F111</f>
        <v>#REF!</v>
      </c>
      <c r="G119" s="992" t="e">
        <f t="shared" si="15"/>
        <v>#REF!</v>
      </c>
      <c r="H119" s="992" t="e">
        <f t="shared" si="15"/>
        <v>#REF!</v>
      </c>
      <c r="I119" s="992" t="e">
        <f t="shared" si="15"/>
        <v>#REF!</v>
      </c>
      <c r="J119" s="992" t="e">
        <f t="shared" si="15"/>
        <v>#REF!</v>
      </c>
      <c r="K119" s="992" t="e">
        <f t="shared" si="15"/>
        <v>#REF!</v>
      </c>
      <c r="L119" s="992" t="e">
        <f t="shared" si="15"/>
        <v>#REF!</v>
      </c>
      <c r="M119" s="992" t="e">
        <f t="shared" si="15"/>
        <v>#REF!</v>
      </c>
      <c r="N119" s="992" t="e">
        <f t="shared" si="15"/>
        <v>#REF!</v>
      </c>
    </row>
    <row r="120" spans="1:15">
      <c r="E120" s="382"/>
      <c r="F120" s="1326"/>
      <c r="G120" s="1326"/>
      <c r="H120" s="1326"/>
      <c r="I120" s="1326"/>
      <c r="J120" s="1326"/>
      <c r="K120" s="1326"/>
      <c r="L120" s="1326"/>
      <c r="M120" s="1326"/>
      <c r="N120" s="1326"/>
    </row>
    <row r="121" spans="1:15" ht="23.25">
      <c r="A121" s="7"/>
      <c r="B121" s="511" t="s">
        <v>299</v>
      </c>
      <c r="C121" s="512"/>
      <c r="D121" s="512"/>
      <c r="E121" s="512"/>
      <c r="F121" s="512"/>
      <c r="G121" s="512"/>
      <c r="H121" s="512"/>
      <c r="I121" s="512"/>
      <c r="J121" s="512"/>
      <c r="K121" s="512"/>
      <c r="L121" s="512"/>
      <c r="M121" s="512"/>
      <c r="N121" s="512"/>
      <c r="O121" s="866"/>
    </row>
    <row r="122" spans="1:15">
      <c r="B122" s="514"/>
      <c r="C122" s="515"/>
      <c r="D122" s="515"/>
      <c r="E122" s="515"/>
      <c r="F122" s="515"/>
      <c r="G122" s="515"/>
      <c r="H122" s="515"/>
      <c r="I122" s="515"/>
      <c r="J122" s="515"/>
      <c r="K122" s="515"/>
      <c r="L122" s="515"/>
      <c r="M122" s="515"/>
      <c r="N122" s="515"/>
      <c r="O122" s="867"/>
    </row>
    <row r="123" spans="1:15">
      <c r="B123" s="514"/>
      <c r="C123" s="34" t="s">
        <v>765</v>
      </c>
      <c r="D123" s="515"/>
      <c r="E123" s="516"/>
      <c r="F123" s="515"/>
      <c r="G123" s="515"/>
      <c r="H123" s="515"/>
      <c r="I123" s="515"/>
      <c r="J123" s="515"/>
      <c r="K123" s="515"/>
      <c r="L123" s="515"/>
      <c r="M123" s="515"/>
      <c r="N123" s="516" t="str">
        <f>Preferences.EnergyUnits</f>
        <v>TWh</v>
      </c>
      <c r="O123" s="867"/>
    </row>
    <row r="124" spans="1:15">
      <c r="B124" s="514"/>
      <c r="C124" s="515"/>
      <c r="D124" s="515"/>
      <c r="E124" s="515"/>
      <c r="F124" s="515"/>
      <c r="G124" s="515"/>
      <c r="H124" s="515"/>
      <c r="I124" s="515"/>
      <c r="J124" s="515"/>
      <c r="K124" s="515"/>
      <c r="L124" s="515"/>
      <c r="M124" s="515"/>
      <c r="N124" s="515"/>
      <c r="O124" s="867"/>
    </row>
    <row r="125" spans="1:15" ht="15.75">
      <c r="A125" s="443"/>
      <c r="B125" s="15"/>
      <c r="C125" s="1741" t="s">
        <v>28</v>
      </c>
      <c r="D125" s="1741" t="s">
        <v>29</v>
      </c>
      <c r="E125" s="1741" t="s">
        <v>30</v>
      </c>
      <c r="F125" s="1741" t="s">
        <v>597</v>
      </c>
      <c r="G125" s="1741" t="s">
        <v>133</v>
      </c>
      <c r="H125" s="1741" t="s">
        <v>134</v>
      </c>
      <c r="I125" s="1741" t="s">
        <v>135</v>
      </c>
      <c r="J125" s="1741" t="s">
        <v>136</v>
      </c>
      <c r="K125" s="1741" t="s">
        <v>137</v>
      </c>
      <c r="L125" s="1741" t="s">
        <v>138</v>
      </c>
      <c r="M125" s="1741" t="s">
        <v>139</v>
      </c>
      <c r="N125" s="1741" t="s">
        <v>140</v>
      </c>
      <c r="O125" s="867"/>
    </row>
    <row r="126" spans="1:15" ht="15.75">
      <c r="A126" s="443"/>
      <c r="B126" s="15"/>
      <c r="C126" s="725" t="s">
        <v>422</v>
      </c>
      <c r="D126" s="1746" t="str">
        <f>INDEX(Vectors[Description], MATCH([Vector], Vectors[Code], 0))</f>
        <v>International aviation</v>
      </c>
      <c r="E126" s="725"/>
      <c r="F126" s="1743">
        <f>F$101</f>
        <v>7.02</v>
      </c>
      <c r="G126" s="726">
        <f t="shared" ref="G126:N126" si="16">G$101</f>
        <v>6.8942086199999997</v>
      </c>
      <c r="H126" s="726">
        <f t="shared" si="16"/>
        <v>7.4554183878892841</v>
      </c>
      <c r="I126" s="726">
        <f t="shared" si="16"/>
        <v>8.0623123555082739</v>
      </c>
      <c r="J126" s="726">
        <f t="shared" si="16"/>
        <v>8.7186093571046239</v>
      </c>
      <c r="K126" s="726">
        <f t="shared" si="16"/>
        <v>9.4283309514618914</v>
      </c>
      <c r="L126" s="726">
        <f t="shared" si="16"/>
        <v>10.195826064607054</v>
      </c>
      <c r="M126" s="726">
        <f t="shared" si="16"/>
        <v>11.025797638510145</v>
      </c>
      <c r="N126" s="726">
        <f t="shared" si="16"/>
        <v>11.923331449069897</v>
      </c>
      <c r="O126" s="867"/>
    </row>
    <row r="127" spans="1:15" ht="15.75">
      <c r="A127" s="443"/>
      <c r="B127" s="15"/>
      <c r="C127" s="725" t="s">
        <v>99</v>
      </c>
      <c r="D127" s="1746" t="str">
        <f>INDEX(Vectors[Description], MATCH([Vector], Vectors[Code], 0))</f>
        <v>Liquid hydrocarbons</v>
      </c>
      <c r="E127" s="725"/>
      <c r="F127" s="726">
        <f>-F$101</f>
        <v>-7.02</v>
      </c>
      <c r="G127" s="726">
        <f t="shared" ref="G127:N127" si="17">-G$101</f>
        <v>-6.8942086199999997</v>
      </c>
      <c r="H127" s="726">
        <f t="shared" si="17"/>
        <v>-7.4554183878892841</v>
      </c>
      <c r="I127" s="726">
        <f t="shared" si="17"/>
        <v>-8.0623123555082739</v>
      </c>
      <c r="J127" s="726">
        <f t="shared" si="17"/>
        <v>-8.7186093571046239</v>
      </c>
      <c r="K127" s="726">
        <f t="shared" si="17"/>
        <v>-9.4283309514618914</v>
      </c>
      <c r="L127" s="726">
        <f t="shared" si="17"/>
        <v>-10.195826064607054</v>
      </c>
      <c r="M127" s="726">
        <f t="shared" si="17"/>
        <v>-11.025797638510145</v>
      </c>
      <c r="N127" s="726">
        <f t="shared" si="17"/>
        <v>-11.923331449069897</v>
      </c>
      <c r="O127" s="867"/>
    </row>
    <row r="128" spans="1:15" ht="15.75">
      <c r="A128" s="443"/>
      <c r="B128" s="15"/>
      <c r="C128" s="2463" t="s">
        <v>59</v>
      </c>
      <c r="D128" s="2463"/>
      <c r="E128" s="2463"/>
      <c r="F128" s="2472">
        <f>SUBTOTAL(109,[2013])</f>
        <v>0</v>
      </c>
      <c r="G128" s="2472">
        <f>SUBTOTAL(109,[2015])</f>
        <v>0</v>
      </c>
      <c r="H128" s="2472">
        <f>SUBTOTAL(109,[2020])</f>
        <v>0</v>
      </c>
      <c r="I128" s="2472">
        <f>SUBTOTAL(109,[2025])</f>
        <v>0</v>
      </c>
      <c r="J128" s="2472">
        <f>SUBTOTAL(109,[2030])</f>
        <v>0</v>
      </c>
      <c r="K128" s="2472">
        <f>SUBTOTAL(109,[2035])</f>
        <v>0</v>
      </c>
      <c r="L128" s="2472">
        <f>SUBTOTAL(109,[2040])</f>
        <v>0</v>
      </c>
      <c r="M128" s="2472">
        <f>SUBTOTAL(109,[2045])</f>
        <v>0</v>
      </c>
      <c r="N128" s="2472">
        <f>SUBTOTAL(109,[2050])</f>
        <v>0</v>
      </c>
      <c r="O128" s="867"/>
    </row>
    <row r="129" spans="1:15" ht="15.75">
      <c r="B129" s="15"/>
      <c r="C129" s="452"/>
      <c r="D129" s="452"/>
      <c r="E129" s="452" t="s">
        <v>5</v>
      </c>
      <c r="F129" s="452"/>
      <c r="G129" s="452"/>
      <c r="H129" s="452"/>
      <c r="I129" s="452"/>
      <c r="J129" s="452"/>
      <c r="K129" s="452"/>
      <c r="L129" s="452"/>
      <c r="M129" s="452"/>
      <c r="N129" s="452"/>
      <c r="O129" s="867"/>
    </row>
    <row r="130" spans="1:15" ht="23.25">
      <c r="A130" s="7"/>
    </row>
    <row r="131" spans="1:15" ht="15.75">
      <c r="B131" s="1127" t="s">
        <v>303</v>
      </c>
      <c r="C131" s="1128"/>
      <c r="D131" s="1129"/>
      <c r="E131" s="1129"/>
      <c r="F131" s="1129"/>
      <c r="G131" s="1129"/>
      <c r="H131" s="1129"/>
      <c r="I131" s="1129"/>
      <c r="J131" s="1129"/>
      <c r="K131" s="1129"/>
      <c r="L131" s="1129"/>
      <c r="M131" s="1129"/>
      <c r="N131" s="1129"/>
      <c r="O131" s="1130"/>
    </row>
    <row r="132" spans="1:15">
      <c r="B132" s="1131"/>
      <c r="C132" s="1132"/>
      <c r="D132" s="1132"/>
      <c r="E132" s="1132"/>
      <c r="F132" s="1132"/>
      <c r="G132" s="1132"/>
      <c r="H132" s="1132"/>
      <c r="I132" s="1132"/>
      <c r="J132" s="1132"/>
      <c r="K132" s="1132"/>
      <c r="L132" s="1132"/>
      <c r="M132" s="1132"/>
      <c r="N132" s="1132"/>
      <c r="O132" s="1133"/>
    </row>
    <row r="133" spans="1:15">
      <c r="B133" s="1134"/>
      <c r="C133" s="462" t="s">
        <v>1349</v>
      </c>
      <c r="D133" s="1135"/>
      <c r="E133" s="1136"/>
      <c r="F133" s="1135"/>
      <c r="G133" s="1135"/>
      <c r="H133" s="1135"/>
      <c r="I133" s="1135"/>
      <c r="J133" s="1135"/>
      <c r="K133" s="1135"/>
      <c r="L133" s="1135"/>
      <c r="M133" s="1135"/>
      <c r="N133" s="1136" t="s">
        <v>254</v>
      </c>
      <c r="O133" s="1138"/>
    </row>
    <row r="134" spans="1:15" ht="15.75">
      <c r="B134" s="467"/>
      <c r="C134" s="1135"/>
      <c r="D134" s="1135"/>
      <c r="E134" s="1135"/>
      <c r="F134" s="1135"/>
      <c r="G134" s="1135"/>
      <c r="H134" s="1135"/>
      <c r="I134" s="1135"/>
      <c r="J134" s="1135"/>
      <c r="K134" s="1135"/>
      <c r="L134" s="1135"/>
      <c r="M134" s="1135"/>
      <c r="N134" s="1135"/>
      <c r="O134" s="1138"/>
    </row>
    <row r="135" spans="1:15" ht="15.75">
      <c r="B135" s="467"/>
      <c r="C135" s="1339" t="s">
        <v>305</v>
      </c>
      <c r="D135" s="1339" t="s">
        <v>306</v>
      </c>
      <c r="E135" s="1339" t="s">
        <v>30</v>
      </c>
      <c r="F135" s="1339" t="s">
        <v>597</v>
      </c>
      <c r="G135" s="1339" t="s">
        <v>133</v>
      </c>
      <c r="H135" s="1339" t="s">
        <v>134</v>
      </c>
      <c r="I135" s="1339" t="s">
        <v>135</v>
      </c>
      <c r="J135" s="1339" t="s">
        <v>136</v>
      </c>
      <c r="K135" s="1339" t="s">
        <v>137</v>
      </c>
      <c r="L135" s="1339" t="s">
        <v>138</v>
      </c>
      <c r="M135" s="1339" t="s">
        <v>139</v>
      </c>
      <c r="N135" s="1339" t="s">
        <v>140</v>
      </c>
      <c r="O135" s="1138"/>
    </row>
    <row r="136" spans="1:15" ht="15.75">
      <c r="B136" s="467"/>
      <c r="C136" s="1140" t="s">
        <v>253</v>
      </c>
      <c r="D136" s="1141" t="s">
        <v>457</v>
      </c>
      <c r="E136" s="1140" t="s">
        <v>412</v>
      </c>
      <c r="F136" s="2473">
        <f>F$104</f>
        <v>1.8524375999999996</v>
      </c>
      <c r="G136" s="2473">
        <f t="shared" ref="G136:N136" si="18">G$104</f>
        <v>1.8192437706455995</v>
      </c>
      <c r="H136" s="2473">
        <f t="shared" si="18"/>
        <v>1.9673358041962239</v>
      </c>
      <c r="I136" s="2473">
        <f t="shared" si="18"/>
        <v>2.1274829843715231</v>
      </c>
      <c r="J136" s="2473">
        <f t="shared" si="18"/>
        <v>2.3006666371527675</v>
      </c>
      <c r="K136" s="2473">
        <f t="shared" si="18"/>
        <v>2.4879479714717636</v>
      </c>
      <c r="L136" s="2473">
        <f t="shared" si="18"/>
        <v>2.690474581928509</v>
      </c>
      <c r="M136" s="2473">
        <f t="shared" si="18"/>
        <v>2.9094874808500566</v>
      </c>
      <c r="N136" s="2473">
        <f t="shared" si="18"/>
        <v>3.146328702780564</v>
      </c>
      <c r="O136" s="1138"/>
    </row>
    <row r="137" spans="1:15" ht="15.75">
      <c r="B137" s="467"/>
      <c r="C137" s="1140" t="s">
        <v>255</v>
      </c>
      <c r="D137" s="1141" t="s">
        <v>457</v>
      </c>
      <c r="E137" s="1140" t="s">
        <v>412</v>
      </c>
      <c r="F137" s="2473">
        <f>F$105</f>
        <v>1.5921360000000001E-3</v>
      </c>
      <c r="G137" s="2473">
        <f t="shared" ref="G137:N137" si="19">G$105</f>
        <v>1.5636065150160001E-3</v>
      </c>
      <c r="H137" s="2473">
        <f t="shared" si="19"/>
        <v>1.6908888903732896E-3</v>
      </c>
      <c r="I137" s="2473">
        <f t="shared" si="19"/>
        <v>1.8285324422292765E-3</v>
      </c>
      <c r="J137" s="2473">
        <f t="shared" si="19"/>
        <v>1.9773806021913289E-3</v>
      </c>
      <c r="K137" s="2473">
        <f t="shared" si="19"/>
        <v>2.1383454597915571E-3</v>
      </c>
      <c r="L137" s="2473">
        <f t="shared" si="19"/>
        <v>2.31241335145288E-3</v>
      </c>
      <c r="M137" s="2473">
        <f t="shared" si="19"/>
        <v>2.500650904414101E-3</v>
      </c>
      <c r="N137" s="2473">
        <f t="shared" si="19"/>
        <v>2.7042115726490529E-3</v>
      </c>
      <c r="O137" s="1138"/>
    </row>
    <row r="138" spans="1:15" ht="15.75">
      <c r="B138" s="467"/>
      <c r="C138" s="1140" t="s">
        <v>256</v>
      </c>
      <c r="D138" s="1141" t="s">
        <v>457</v>
      </c>
      <c r="E138" s="1140" t="s">
        <v>412</v>
      </c>
      <c r="F138" s="2473">
        <f>F$106</f>
        <v>4.700592E-3</v>
      </c>
      <c r="G138" s="2473">
        <f t="shared" ref="G138:N138" si="20">G$106</f>
        <v>4.6163620919519996E-3</v>
      </c>
      <c r="H138" s="2473">
        <f t="shared" si="20"/>
        <v>4.9921481525306644E-3</v>
      </c>
      <c r="I138" s="2473">
        <f t="shared" si="20"/>
        <v>5.3985243532483403E-3</v>
      </c>
      <c r="J138" s="2473">
        <f t="shared" si="20"/>
        <v>5.8379808255172565E-3</v>
      </c>
      <c r="K138" s="2473">
        <f t="shared" si="20"/>
        <v>6.3132104050988829E-3</v>
      </c>
      <c r="L138" s="2473">
        <f t="shared" si="20"/>
        <v>6.8271251328608836E-3</v>
      </c>
      <c r="M138" s="2473">
        <f t="shared" si="20"/>
        <v>7.3828740987463932E-3</v>
      </c>
      <c r="N138" s="2473">
        <f t="shared" si="20"/>
        <v>7.9838627382972024E-3</v>
      </c>
      <c r="O138" s="1138"/>
    </row>
    <row r="139" spans="1:15" ht="15.75">
      <c r="B139" s="467"/>
      <c r="C139" s="2466" t="s">
        <v>59</v>
      </c>
      <c r="D139" s="2466"/>
      <c r="E139" s="2466"/>
      <c r="F139" s="2467">
        <f>SUBTOTAL(109,[2013])</f>
        <v>1.8587303279999996</v>
      </c>
      <c r="G139" s="2467">
        <f>SUBTOTAL(109,[2015])</f>
        <v>1.8254237392525674</v>
      </c>
      <c r="H139" s="2467">
        <f>SUBTOTAL(109,[2020])</f>
        <v>1.9740188412391277</v>
      </c>
      <c r="I139" s="2467">
        <f>SUBTOTAL(109,[2025])</f>
        <v>2.1347100411670006</v>
      </c>
      <c r="J139" s="2467">
        <f>SUBTOTAL(109,[2030])</f>
        <v>2.3084819985804761</v>
      </c>
      <c r="K139" s="2467">
        <f>SUBTOTAL(109,[2035])</f>
        <v>2.4963995273366537</v>
      </c>
      <c r="L139" s="2467">
        <f>SUBTOTAL(109,[2040])</f>
        <v>2.6996141204128228</v>
      </c>
      <c r="M139" s="2467">
        <f>SUBTOTAL(109,[2045])</f>
        <v>2.9193710058532174</v>
      </c>
      <c r="N139" s="2467">
        <f>SUBTOTAL(109,[2050])</f>
        <v>3.1570167770915103</v>
      </c>
      <c r="O139" s="1138"/>
    </row>
    <row r="140" spans="1:15" ht="15.75">
      <c r="B140" s="467"/>
      <c r="C140" s="1135"/>
      <c r="D140" s="1135"/>
      <c r="E140" s="1135"/>
      <c r="F140" s="1135"/>
      <c r="G140" s="1135"/>
      <c r="H140" s="1135"/>
      <c r="I140" s="1135"/>
      <c r="J140" s="1135"/>
      <c r="K140" s="1135"/>
      <c r="L140" s="1135"/>
      <c r="M140" s="1135"/>
      <c r="N140" s="1135"/>
      <c r="O140" s="1138"/>
    </row>
    <row r="143" spans="1:15" ht="15.75">
      <c r="B143" s="995" t="s">
        <v>313</v>
      </c>
      <c r="C143" s="996"/>
      <c r="D143" s="997"/>
      <c r="E143" s="997"/>
      <c r="F143" s="997"/>
      <c r="G143" s="997"/>
      <c r="H143" s="997"/>
      <c r="I143" s="997"/>
      <c r="J143" s="997"/>
      <c r="K143" s="997"/>
      <c r="L143" s="997"/>
      <c r="M143" s="997"/>
      <c r="N143" s="997"/>
      <c r="O143" s="998"/>
    </row>
    <row r="144" spans="1:15">
      <c r="B144" s="999"/>
      <c r="C144" s="1000"/>
      <c r="D144" s="1000"/>
      <c r="E144" s="1000"/>
      <c r="F144" s="1000"/>
      <c r="G144" s="1000"/>
      <c r="H144" s="1000"/>
      <c r="I144" s="1000"/>
      <c r="J144" s="1000"/>
      <c r="K144" s="1000"/>
      <c r="L144" s="1000"/>
      <c r="M144" s="1000"/>
      <c r="N144" s="1000"/>
      <c r="O144" s="1001"/>
    </row>
    <row r="145" spans="2:15">
      <c r="B145" s="1002"/>
      <c r="C145" s="488" t="s">
        <v>314</v>
      </c>
      <c r="D145" s="1003"/>
      <c r="E145" s="1004"/>
      <c r="F145" s="1003"/>
      <c r="G145" s="1003"/>
      <c r="H145" s="1003"/>
      <c r="I145" s="1003"/>
      <c r="J145" s="1003"/>
      <c r="K145" s="1003"/>
      <c r="L145" s="1003"/>
      <c r="M145" s="1003"/>
      <c r="N145" s="1004"/>
      <c r="O145" s="1005"/>
    </row>
    <row r="146" spans="2:15">
      <c r="B146" s="1002"/>
      <c r="C146" s="1003"/>
      <c r="D146" s="1003"/>
      <c r="E146" s="1003"/>
      <c r="F146" s="1003"/>
      <c r="G146" s="1003"/>
      <c r="H146" s="1003"/>
      <c r="I146" s="1003"/>
      <c r="J146" s="1003"/>
      <c r="K146" s="1003"/>
      <c r="L146" s="1003"/>
      <c r="M146" s="1003"/>
      <c r="N146" s="1003"/>
      <c r="O146" s="1005"/>
    </row>
    <row r="147" spans="2:15" ht="15.75">
      <c r="B147" s="492"/>
      <c r="C147" s="1006" t="s">
        <v>28</v>
      </c>
      <c r="D147" s="1006" t="s">
        <v>315</v>
      </c>
      <c r="E147" s="1006" t="s">
        <v>30</v>
      </c>
      <c r="F147" s="1006" t="s">
        <v>597</v>
      </c>
      <c r="G147" s="1006" t="s">
        <v>133</v>
      </c>
      <c r="H147" s="1006" t="s">
        <v>134</v>
      </c>
      <c r="I147" s="1006" t="s">
        <v>135</v>
      </c>
      <c r="J147" s="1006" t="s">
        <v>136</v>
      </c>
      <c r="K147" s="1006" t="s">
        <v>137</v>
      </c>
      <c r="L147" s="1006" t="s">
        <v>138</v>
      </c>
      <c r="M147" s="1006" t="s">
        <v>139</v>
      </c>
      <c r="N147" s="1006" t="s">
        <v>140</v>
      </c>
      <c r="O147" s="1005"/>
    </row>
    <row r="148" spans="2:15" ht="15.75">
      <c r="B148" s="492"/>
      <c r="C148" s="1007" t="s">
        <v>887</v>
      </c>
      <c r="D148" s="494" t="s">
        <v>1261</v>
      </c>
      <c r="E148" s="494"/>
      <c r="F148" s="1008"/>
      <c r="G148" s="1008"/>
      <c r="H148" s="1008"/>
      <c r="I148" s="1008"/>
      <c r="J148" s="1008"/>
      <c r="K148" s="1008"/>
      <c r="L148" s="1008"/>
      <c r="M148" s="1008"/>
      <c r="N148" s="1008"/>
      <c r="O148" s="1005"/>
    </row>
    <row r="149" spans="2:15" ht="15.75">
      <c r="B149" s="492"/>
      <c r="C149" s="1007" t="s">
        <v>316</v>
      </c>
      <c r="D149" s="494" t="s">
        <v>317</v>
      </c>
      <c r="E149" s="494"/>
      <c r="F149" s="1008"/>
      <c r="G149" s="1008"/>
      <c r="H149" s="1008"/>
      <c r="I149" s="1008"/>
      <c r="J149" s="1008"/>
      <c r="K149" s="1008"/>
      <c r="L149" s="1008"/>
      <c r="M149" s="1008"/>
      <c r="N149" s="1008"/>
      <c r="O149" s="1005"/>
    </row>
    <row r="150" spans="2:15" ht="15.75">
      <c r="B150" s="497"/>
      <c r="C150" s="1010"/>
      <c r="D150" s="1010"/>
      <c r="E150" s="1010"/>
      <c r="F150" s="1010"/>
      <c r="G150" s="1010"/>
      <c r="H150" s="1010"/>
      <c r="I150" s="1010"/>
      <c r="J150" s="1010"/>
      <c r="K150" s="1010"/>
      <c r="L150" s="1010"/>
      <c r="M150" s="1010"/>
      <c r="N150" s="1010"/>
      <c r="O150" s="1011"/>
    </row>
    <row r="153" spans="2:15" ht="15.75">
      <c r="B153" s="995" t="s">
        <v>2795</v>
      </c>
      <c r="C153" s="997"/>
      <c r="D153" s="997"/>
      <c r="E153" s="997"/>
      <c r="F153" s="997"/>
      <c r="G153" s="997"/>
      <c r="H153" s="997"/>
      <c r="I153" s="997"/>
      <c r="J153" s="997"/>
      <c r="K153" s="997"/>
      <c r="L153" s="997"/>
      <c r="M153" s="997"/>
      <c r="N153" s="997"/>
      <c r="O153" s="998"/>
    </row>
    <row r="154" spans="2:15" hidden="1">
      <c r="B154" s="1002"/>
      <c r="C154" s="1003"/>
      <c r="D154" s="1003"/>
      <c r="E154" s="1003"/>
      <c r="F154" s="1003"/>
      <c r="G154" s="1003"/>
      <c r="H154" s="1003"/>
      <c r="I154" s="1003"/>
      <c r="J154" s="1003"/>
      <c r="K154" s="1003"/>
      <c r="L154" s="1003"/>
      <c r="M154" s="1003"/>
      <c r="N154" s="1003"/>
      <c r="O154" s="1005"/>
    </row>
    <row r="155" spans="2:15" hidden="1">
      <c r="B155" s="1002"/>
      <c r="C155" s="500" t="s">
        <v>770</v>
      </c>
      <c r="D155" s="1012"/>
      <c r="E155" s="1012"/>
      <c r="F155" s="1012"/>
      <c r="G155" s="1012"/>
      <c r="H155" s="1012"/>
      <c r="I155" s="1012"/>
      <c r="J155" s="1012"/>
      <c r="K155" s="1012"/>
      <c r="L155" s="1012"/>
      <c r="M155" s="1012"/>
      <c r="N155" s="1012"/>
      <c r="O155" s="1005"/>
    </row>
    <row r="156" spans="2:15" hidden="1">
      <c r="B156" s="1002"/>
      <c r="C156" s="1003"/>
      <c r="D156" s="1003"/>
      <c r="E156" s="1003"/>
      <c r="F156" s="1003"/>
      <c r="G156" s="1003"/>
      <c r="H156" s="1003"/>
      <c r="I156" s="1003"/>
      <c r="J156" s="1003"/>
      <c r="K156" s="1003"/>
      <c r="L156" s="1003"/>
      <c r="M156" s="1003"/>
      <c r="N156" s="1003"/>
      <c r="O156" s="1005"/>
    </row>
    <row r="157" spans="2:15" ht="15.75" hidden="1">
      <c r="B157" s="492"/>
      <c r="C157" s="1006" t="s">
        <v>28</v>
      </c>
      <c r="D157" s="1006" t="s">
        <v>29</v>
      </c>
      <c r="E157" s="1006" t="s">
        <v>30</v>
      </c>
      <c r="F157" s="1006">
        <v>2013</v>
      </c>
      <c r="G157" s="1006" t="s">
        <v>133</v>
      </c>
      <c r="H157" s="1006" t="s">
        <v>134</v>
      </c>
      <c r="I157" s="1006" t="s">
        <v>135</v>
      </c>
      <c r="J157" s="1006" t="s">
        <v>136</v>
      </c>
      <c r="K157" s="1006" t="s">
        <v>137</v>
      </c>
      <c r="L157" s="1006" t="s">
        <v>138</v>
      </c>
      <c r="M157" s="1006" t="s">
        <v>139</v>
      </c>
      <c r="N157" s="1006" t="s">
        <v>140</v>
      </c>
      <c r="O157" s="1150"/>
    </row>
    <row r="158" spans="2:15" ht="15.75" hidden="1">
      <c r="B158" s="492"/>
      <c r="C158" s="1007" t="s">
        <v>335</v>
      </c>
      <c r="D158" s="494" t="s">
        <v>336</v>
      </c>
      <c r="E158" s="494"/>
      <c r="F158" s="495"/>
      <c r="G158" s="495"/>
      <c r="H158" s="495"/>
      <c r="I158" s="495"/>
      <c r="J158" s="495"/>
      <c r="K158" s="495"/>
      <c r="L158" s="495"/>
      <c r="M158" s="495"/>
      <c r="N158" s="495"/>
      <c r="O158" s="1150"/>
    </row>
    <row r="159" spans="2:15" ht="15.75" hidden="1">
      <c r="B159" s="492"/>
      <c r="C159" s="1007" t="s">
        <v>333</v>
      </c>
      <c r="D159" s="494" t="s">
        <v>334</v>
      </c>
      <c r="E159" s="494"/>
      <c r="F159" s="495"/>
      <c r="G159" s="495"/>
      <c r="H159" s="495"/>
      <c r="I159" s="495"/>
      <c r="J159" s="495"/>
      <c r="K159" s="495"/>
      <c r="L159" s="495"/>
      <c r="M159" s="495"/>
      <c r="N159" s="495"/>
      <c r="O159" s="1150"/>
    </row>
    <row r="160" spans="2:15" ht="15.75" hidden="1">
      <c r="B160" s="492"/>
      <c r="C160" s="1007" t="s">
        <v>331</v>
      </c>
      <c r="D160" s="494" t="s">
        <v>332</v>
      </c>
      <c r="E160" s="494"/>
      <c r="F160" s="1731"/>
      <c r="G160" s="1731"/>
      <c r="H160" s="1731"/>
      <c r="I160" s="1731"/>
      <c r="J160" s="1731"/>
      <c r="K160" s="1731"/>
      <c r="L160" s="1731"/>
      <c r="M160" s="1731"/>
      <c r="N160" s="1731"/>
      <c r="O160" s="1150"/>
    </row>
    <row r="161" spans="2:15" hidden="1">
      <c r="B161" s="1014"/>
      <c r="C161" s="1010"/>
      <c r="D161" s="1010"/>
      <c r="E161" s="1010"/>
      <c r="F161" s="1010"/>
      <c r="G161" s="1010"/>
      <c r="H161" s="1010"/>
      <c r="I161" s="1010"/>
      <c r="J161" s="1010"/>
      <c r="K161" s="1010"/>
      <c r="L161" s="1010"/>
      <c r="M161" s="1010"/>
      <c r="N161" s="1010"/>
      <c r="O161" s="1015"/>
    </row>
    <row r="163" spans="2:15" ht="15.75">
      <c r="B163" s="1357" t="s">
        <v>1350</v>
      </c>
      <c r="C163" s="1644"/>
      <c r="D163" s="1644"/>
      <c r="E163" s="1644"/>
      <c r="F163" s="1644"/>
      <c r="G163" s="1644"/>
      <c r="H163" s="1644"/>
      <c r="I163" s="1644"/>
      <c r="J163" s="1644"/>
      <c r="K163" s="1644"/>
      <c r="L163" s="1644"/>
      <c r="M163" s="1644"/>
      <c r="N163" s="1644"/>
      <c r="O163" s="1644"/>
    </row>
    <row r="164" spans="2:15">
      <c r="B164" s="1358"/>
      <c r="C164" s="1358"/>
      <c r="D164" s="1358"/>
      <c r="E164" s="1358"/>
      <c r="F164" s="1358"/>
      <c r="G164" s="1358"/>
      <c r="H164" s="1358"/>
      <c r="I164" s="1358"/>
      <c r="J164" s="1358"/>
      <c r="K164" s="1358"/>
      <c r="L164" s="1358"/>
      <c r="M164" s="1358"/>
      <c r="N164" s="1358"/>
      <c r="O164" s="1358"/>
    </row>
    <row r="165" spans="2:15">
      <c r="B165" s="1358"/>
      <c r="C165" s="1645" t="s">
        <v>1349</v>
      </c>
      <c r="D165" s="1358"/>
      <c r="E165" s="1358"/>
      <c r="F165" s="1358"/>
      <c r="G165" s="1358"/>
      <c r="H165" s="1358"/>
      <c r="I165" s="1358"/>
      <c r="J165" s="1358"/>
      <c r="K165" s="1358"/>
      <c r="L165" s="1358"/>
      <c r="M165" s="1358"/>
      <c r="N165" s="1732" t="s">
        <v>994</v>
      </c>
      <c r="O165" s="1358"/>
    </row>
    <row r="166" spans="2:15">
      <c r="B166" s="1358"/>
      <c r="C166" s="1358"/>
      <c r="D166" s="1358"/>
      <c r="E166" s="1358"/>
      <c r="F166" s="1358"/>
      <c r="G166" s="1358"/>
      <c r="H166" s="1358"/>
      <c r="I166" s="1358"/>
      <c r="J166" s="1358"/>
      <c r="K166" s="1358"/>
      <c r="L166" s="1358"/>
      <c r="M166" s="1358"/>
      <c r="N166" s="1358"/>
      <c r="O166" s="1358"/>
    </row>
    <row r="167" spans="2:15">
      <c r="B167" s="1358"/>
      <c r="C167" s="1646" t="s">
        <v>28</v>
      </c>
      <c r="D167" s="1647" t="s">
        <v>29</v>
      </c>
      <c r="E167" s="1647" t="s">
        <v>1351</v>
      </c>
      <c r="F167" s="1733" t="s">
        <v>597</v>
      </c>
      <c r="G167" s="1734" t="s">
        <v>133</v>
      </c>
      <c r="H167" s="1734" t="s">
        <v>134</v>
      </c>
      <c r="I167" s="1734" t="s">
        <v>135</v>
      </c>
      <c r="J167" s="1734" t="s">
        <v>136</v>
      </c>
      <c r="K167" s="1734" t="s">
        <v>137</v>
      </c>
      <c r="L167" s="1734" t="s">
        <v>138</v>
      </c>
      <c r="M167" s="1734" t="s">
        <v>139</v>
      </c>
      <c r="N167" s="1735" t="s">
        <v>140</v>
      </c>
      <c r="O167" s="1358"/>
    </row>
    <row r="168" spans="2:15" ht="15.75">
      <c r="B168" s="1736"/>
      <c r="C168" s="1648" t="s">
        <v>260</v>
      </c>
      <c r="D168" s="1649" t="s">
        <v>261</v>
      </c>
      <c r="E168" s="1737" t="s">
        <v>307</v>
      </c>
      <c r="F168" s="1738">
        <f t="shared" ref="F168:N168" si="21">F$101*F47*F$67</f>
        <v>3.6052404011498703E-3</v>
      </c>
      <c r="G168" s="1738">
        <f t="shared" si="21"/>
        <v>3.5406380984016653E-3</v>
      </c>
      <c r="H168" s="1738">
        <f t="shared" si="21"/>
        <v>3.828856920155852E-3</v>
      </c>
      <c r="I168" s="1738">
        <f t="shared" si="21"/>
        <v>4.1405376397105707E-3</v>
      </c>
      <c r="J168" s="1738">
        <f t="shared" si="21"/>
        <v>4.4775901276462799E-3</v>
      </c>
      <c r="K168" s="1738">
        <f t="shared" si="21"/>
        <v>4.8420797238778075E-3</v>
      </c>
      <c r="L168" s="1738">
        <f t="shared" si="21"/>
        <v>5.2362398933359314E-3</v>
      </c>
      <c r="M168" s="1738">
        <f t="shared" si="21"/>
        <v>5.6624859118603425E-3</v>
      </c>
      <c r="N168" s="1738">
        <f t="shared" si="21"/>
        <v>6.1234296661663275E-3</v>
      </c>
      <c r="O168" s="1739"/>
    </row>
    <row r="169" spans="2:15" ht="15.75">
      <c r="B169" s="1736"/>
      <c r="C169" s="1648" t="s">
        <v>262</v>
      </c>
      <c r="D169" s="1649" t="s">
        <v>263</v>
      </c>
      <c r="E169" s="1737" t="s">
        <v>307</v>
      </c>
      <c r="F169" s="1738">
        <f t="shared" ref="F169:N169" si="22">F$101*F52*F$67</f>
        <v>0.52636146383308025</v>
      </c>
      <c r="G169" s="1738">
        <f t="shared" si="22"/>
        <v>0.51692959276265527</v>
      </c>
      <c r="H169" s="1738">
        <f t="shared" si="22"/>
        <v>0.5590092501620324</v>
      </c>
      <c r="I169" s="1738">
        <f t="shared" si="22"/>
        <v>0.60451432098644797</v>
      </c>
      <c r="J169" s="1738">
        <f t="shared" si="22"/>
        <v>0.65372364441515396</v>
      </c>
      <c r="K169" s="1738">
        <f t="shared" si="22"/>
        <v>0.70693875799347861</v>
      </c>
      <c r="L169" s="1738">
        <f t="shared" si="22"/>
        <v>0.7644857453495788</v>
      </c>
      <c r="M169" s="1738">
        <f t="shared" si="22"/>
        <v>0.82671723432101429</v>
      </c>
      <c r="N169" s="1738">
        <f t="shared" si="22"/>
        <v>0.89401455773496208</v>
      </c>
      <c r="O169" s="1739"/>
    </row>
    <row r="170" spans="2:15" ht="15.75">
      <c r="B170" s="1736"/>
      <c r="C170" s="1648" t="s">
        <v>264</v>
      </c>
      <c r="D170" s="1649" t="s">
        <v>265</v>
      </c>
      <c r="E170" s="1737" t="s">
        <v>307</v>
      </c>
      <c r="F170" s="1738">
        <f t="shared" ref="F170:N170" si="23">F$101*F57*F$67</f>
        <v>3.120113599255105E-2</v>
      </c>
      <c r="G170" s="1738">
        <f t="shared" si="23"/>
        <v>3.0642042836700526E-2</v>
      </c>
      <c r="H170" s="1738">
        <f t="shared" si="23"/>
        <v>3.3136399288019841E-2</v>
      </c>
      <c r="I170" s="1738">
        <f t="shared" si="23"/>
        <v>3.5833804019749033E-2</v>
      </c>
      <c r="J170" s="1738">
        <f t="shared" si="23"/>
        <v>3.8750785785890231E-2</v>
      </c>
      <c r="K170" s="1738">
        <f t="shared" si="23"/>
        <v>4.190521883181491E-2</v>
      </c>
      <c r="L170" s="1738">
        <f t="shared" si="23"/>
        <v>4.5316432421396192E-2</v>
      </c>
      <c r="M170" s="1738">
        <f t="shared" si="23"/>
        <v>4.9005329279986215E-2</v>
      </c>
      <c r="N170" s="1738">
        <f t="shared" si="23"/>
        <v>5.2994513679015753E-2</v>
      </c>
      <c r="O170" s="1739"/>
    </row>
    <row r="171" spans="2:15" ht="15.75">
      <c r="B171" s="1736"/>
      <c r="C171" s="1652" t="s">
        <v>266</v>
      </c>
      <c r="D171" s="1653" t="s">
        <v>267</v>
      </c>
      <c r="E171" s="1737" t="s">
        <v>307</v>
      </c>
      <c r="F171" s="1738">
        <f t="shared" ref="F171:N171" si="24">F$101*F62*F$67</f>
        <v>4.8593217596491427E-2</v>
      </c>
      <c r="G171" s="1738">
        <f t="shared" si="24"/>
        <v>4.7722475730379889E-2</v>
      </c>
      <c r="H171" s="1738">
        <f t="shared" si="24"/>
        <v>5.1607231908203322E-2</v>
      </c>
      <c r="I171" s="1738">
        <f t="shared" si="24"/>
        <v>5.5808219176936597E-2</v>
      </c>
      <c r="J171" s="1738">
        <f t="shared" si="24"/>
        <v>6.0351179719172539E-2</v>
      </c>
      <c r="K171" s="1738">
        <f t="shared" si="24"/>
        <v>6.5263951210273896E-2</v>
      </c>
      <c r="L171" s="1738">
        <f t="shared" si="24"/>
        <v>7.0576637397924427E-2</v>
      </c>
      <c r="M171" s="1738">
        <f t="shared" si="24"/>
        <v>7.6321792567379601E-2</v>
      </c>
      <c r="N171" s="1738">
        <f t="shared" si="24"/>
        <v>8.2534621022755397E-2</v>
      </c>
      <c r="O171" s="1739"/>
    </row>
    <row r="172" spans="2:15" ht="15.75">
      <c r="B172" s="1736"/>
      <c r="C172" s="2474" t="s">
        <v>59</v>
      </c>
      <c r="D172" s="2475"/>
      <c r="E172" s="2476"/>
      <c r="F172" s="2477">
        <f>SUBTOTAL(109,[2013])</f>
        <v>0.6097610578232725</v>
      </c>
      <c r="G172" s="2477">
        <f>SUBTOTAL(109,[2015])</f>
        <v>0.59883474942813741</v>
      </c>
      <c r="H172" s="2477">
        <f>SUBTOTAL(109,[2020])</f>
        <v>0.64758173827841148</v>
      </c>
      <c r="I172" s="2477">
        <f>SUBTOTAL(109,[2025])</f>
        <v>0.70029688182284411</v>
      </c>
      <c r="J172" s="2477">
        <f>SUBTOTAL(109,[2030])</f>
        <v>0.757303200047863</v>
      </c>
      <c r="K172" s="2477">
        <f>SUBTOTAL(109,[2035])</f>
        <v>0.81895000775944515</v>
      </c>
      <c r="L172" s="2477">
        <f>SUBTOTAL(109,[2040])</f>
        <v>0.88561505506223526</v>
      </c>
      <c r="M172" s="2477">
        <f>SUBTOTAL(109,[2045])</f>
        <v>0.95770684208024048</v>
      </c>
      <c r="N172" s="2477">
        <f>SUBTOTAL(109,[2050])</f>
        <v>1.0356671221028995</v>
      </c>
      <c r="O172" s="1739"/>
    </row>
    <row r="173" spans="2:15" ht="15.75">
      <c r="B173" s="1736"/>
      <c r="C173" s="1737"/>
      <c r="D173" s="1737"/>
      <c r="E173" s="1737"/>
      <c r="F173" s="1740"/>
      <c r="G173" s="1740"/>
      <c r="H173" s="1740"/>
      <c r="I173" s="1740"/>
      <c r="J173" s="1740"/>
      <c r="K173" s="1740"/>
      <c r="L173" s="1740"/>
      <c r="M173" s="1740"/>
      <c r="N173" s="1740"/>
      <c r="O173" s="1739"/>
    </row>
    <row r="663" spans="6:14">
      <c r="F663">
        <v>0</v>
      </c>
      <c r="G663">
        <v>0</v>
      </c>
      <c r="H663">
        <v>0</v>
      </c>
      <c r="I663">
        <v>0</v>
      </c>
      <c r="J663">
        <v>0</v>
      </c>
      <c r="K663">
        <v>0</v>
      </c>
      <c r="L663">
        <v>0</v>
      </c>
      <c r="M663">
        <v>0</v>
      </c>
      <c r="N663">
        <v>0</v>
      </c>
    </row>
    <row r="664" spans="6:14">
      <c r="F664">
        <v>0</v>
      </c>
      <c r="G664">
        <v>0</v>
      </c>
      <c r="H664">
        <v>0</v>
      </c>
      <c r="I664">
        <v>0</v>
      </c>
      <c r="J664">
        <v>0</v>
      </c>
      <c r="K664">
        <v>0</v>
      </c>
      <c r="L664">
        <v>0</v>
      </c>
      <c r="M664">
        <v>0</v>
      </c>
      <c r="N664">
        <v>0</v>
      </c>
    </row>
    <row r="665" spans="6:14">
      <c r="F665">
        <v>0</v>
      </c>
      <c r="G665">
        <v>0</v>
      </c>
      <c r="H665">
        <v>0</v>
      </c>
      <c r="I665">
        <v>0</v>
      </c>
      <c r="J665">
        <v>0</v>
      </c>
      <c r="K665">
        <v>0</v>
      </c>
      <c r="L665">
        <v>0</v>
      </c>
      <c r="M665">
        <v>0</v>
      </c>
      <c r="N665">
        <v>0</v>
      </c>
    </row>
  </sheetData>
  <mergeCells count="1">
    <mergeCell ref="H75:I75"/>
  </mergeCells>
  <pageMargins left="0.7" right="0.7" top="0.75" bottom="0.75" header="0.3" footer="0.3"/>
  <tableParts count="4">
    <tablePart r:id="rId1"/>
    <tablePart r:id="rId2"/>
    <tablePart r:id="rId3"/>
    <tablePart r:id="rId4"/>
  </tableParts>
</worksheet>
</file>

<file path=xl/worksheets/sheet41.xml><?xml version="1.0" encoding="utf-8"?>
<worksheet xmlns="http://schemas.openxmlformats.org/spreadsheetml/2006/main" xmlns:r="http://schemas.openxmlformats.org/officeDocument/2006/relationships">
  <sheetPr>
    <tabColor theme="9"/>
  </sheetPr>
  <dimension ref="A1:DI728"/>
  <sheetViews>
    <sheetView showGridLines="0" zoomScale="80" zoomScaleNormal="80" workbookViewId="0">
      <selection activeCell="O182" sqref="O182"/>
    </sheetView>
  </sheetViews>
  <sheetFormatPr defaultColWidth="8.85546875" defaultRowHeight="15"/>
  <cols>
    <col min="1" max="1" width="7.7109375" style="3759" customWidth="1"/>
    <col min="2" max="2" width="5.85546875" style="3759" customWidth="1"/>
    <col min="3" max="3" width="20.42578125" style="3759" customWidth="1"/>
    <col min="4" max="4" width="30.7109375" style="3759" customWidth="1"/>
    <col min="5" max="5" width="20.7109375" style="3759" customWidth="1"/>
    <col min="6" max="14" width="17.7109375" style="3759" customWidth="1"/>
    <col min="15" max="15" width="2" style="3759" customWidth="1"/>
    <col min="16" max="16" width="10.85546875" style="3759" customWidth="1"/>
    <col min="17" max="16384" width="8.85546875" style="3759"/>
  </cols>
  <sheetData>
    <row r="1" spans="1:15" ht="20.25">
      <c r="A1" s="1016" t="s">
        <v>496</v>
      </c>
      <c r="B1" s="1016" t="s">
        <v>495</v>
      </c>
      <c r="C1" s="1016"/>
    </row>
    <row r="2" spans="1:15" s="6" customFormat="1" ht="15.75">
      <c r="A2" s="864" t="s">
        <v>494</v>
      </c>
      <c r="B2" s="864" t="s">
        <v>495</v>
      </c>
      <c r="C2" s="864"/>
      <c r="E2" s="5"/>
    </row>
    <row r="4" spans="1:15" ht="23.25">
      <c r="A4" s="7"/>
      <c r="B4" s="511" t="s">
        <v>6</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12"/>
      <c r="D6" s="515"/>
      <c r="E6" s="516"/>
      <c r="F6" s="515"/>
      <c r="G6" s="515"/>
      <c r="H6" s="515"/>
      <c r="I6" s="515"/>
      <c r="J6" s="515"/>
      <c r="K6" s="515"/>
      <c r="L6" s="515"/>
      <c r="M6" s="515"/>
      <c r="N6" s="515"/>
      <c r="O6" s="867"/>
    </row>
    <row r="7" spans="1:15" ht="15.75">
      <c r="B7" s="15"/>
      <c r="C7" s="515"/>
      <c r="D7" s="16" t="s">
        <v>7</v>
      </c>
      <c r="E7" s="16" t="s">
        <v>8</v>
      </c>
      <c r="F7" s="515"/>
      <c r="G7" s="515"/>
      <c r="H7" s="515"/>
      <c r="I7" s="515"/>
      <c r="J7" s="515"/>
      <c r="K7" s="515"/>
      <c r="L7" s="515"/>
      <c r="M7" s="515"/>
      <c r="N7" s="515"/>
      <c r="O7" s="867"/>
    </row>
    <row r="8" spans="1:15" ht="15.75">
      <c r="B8" s="15"/>
      <c r="C8" s="515"/>
      <c r="D8" s="868" t="s">
        <v>1269</v>
      </c>
      <c r="E8" s="868">
        <f>XIV.a.Scenario</f>
        <v>1</v>
      </c>
      <c r="F8" s="515"/>
      <c r="G8" s="515"/>
      <c r="H8" s="515"/>
      <c r="I8" s="515"/>
      <c r="J8" s="515"/>
      <c r="K8" s="515"/>
      <c r="L8" s="515"/>
      <c r="M8" s="515"/>
      <c r="N8" s="515"/>
      <c r="O8" s="867"/>
    </row>
    <row r="9" spans="1:15">
      <c r="B9" s="1252"/>
      <c r="C9" s="869"/>
      <c r="D9" s="869"/>
      <c r="E9" s="869"/>
      <c r="F9" s="869"/>
      <c r="G9" s="869"/>
      <c r="H9" s="869"/>
      <c r="I9" s="869"/>
      <c r="J9" s="869"/>
      <c r="K9" s="869"/>
      <c r="L9" s="869"/>
      <c r="M9" s="869"/>
      <c r="N9" s="869"/>
      <c r="O9" s="870"/>
    </row>
    <row r="11" spans="1:15" s="6" customFormat="1" ht="23.25">
      <c r="A11" s="40"/>
      <c r="B11" s="878" t="s">
        <v>33</v>
      </c>
      <c r="C11" s="879"/>
      <c r="D11" s="879"/>
      <c r="E11" s="879"/>
      <c r="F11" s="879"/>
      <c r="G11" s="879"/>
      <c r="H11" s="879"/>
      <c r="I11" s="879"/>
      <c r="J11" s="879"/>
      <c r="K11" s="879"/>
      <c r="L11" s="879"/>
      <c r="M11" s="879"/>
      <c r="N11" s="879"/>
      <c r="O11" s="880"/>
    </row>
    <row r="12" spans="1:15">
      <c r="B12" s="110"/>
      <c r="C12" s="67"/>
      <c r="D12" s="67"/>
      <c r="E12" s="67"/>
      <c r="F12" s="67"/>
      <c r="G12" s="67"/>
      <c r="H12" s="67"/>
      <c r="I12" s="67"/>
      <c r="J12" s="67"/>
      <c r="K12" s="67"/>
      <c r="L12" s="67"/>
      <c r="M12" s="67"/>
      <c r="N12" s="67"/>
      <c r="O12" s="885"/>
    </row>
    <row r="13" spans="1:15">
      <c r="B13" s="110"/>
      <c r="C13" s="49" t="s">
        <v>2999</v>
      </c>
      <c r="D13" s="67"/>
      <c r="E13" s="50"/>
      <c r="F13" s="67"/>
      <c r="G13" s="67"/>
      <c r="H13" s="67"/>
      <c r="I13" s="67"/>
      <c r="J13" s="67"/>
      <c r="K13" s="67"/>
      <c r="L13" s="67"/>
      <c r="M13" s="67"/>
      <c r="N13" s="51" t="s">
        <v>3000</v>
      </c>
      <c r="O13" s="885"/>
    </row>
    <row r="14" spans="1:15">
      <c r="B14" s="110"/>
      <c r="C14" s="67"/>
      <c r="D14" s="67"/>
      <c r="E14" s="67"/>
      <c r="F14" s="67"/>
      <c r="G14" s="67"/>
      <c r="H14" s="67"/>
      <c r="I14" s="67"/>
      <c r="J14" s="67"/>
      <c r="K14" s="67"/>
      <c r="L14" s="67"/>
      <c r="M14" s="67"/>
      <c r="N14" s="67"/>
      <c r="O14" s="885"/>
    </row>
    <row r="15" spans="1:15" ht="15.75">
      <c r="B15" s="55"/>
      <c r="C15" s="887" t="s">
        <v>8</v>
      </c>
      <c r="D15" s="887" t="s">
        <v>34</v>
      </c>
      <c r="E15" s="887" t="s">
        <v>30</v>
      </c>
      <c r="F15" s="92">
        <v>2013</v>
      </c>
      <c r="G15" s="92">
        <v>2015</v>
      </c>
      <c r="H15" s="92">
        <v>2020</v>
      </c>
      <c r="I15" s="92">
        <v>2025</v>
      </c>
      <c r="J15" s="92">
        <v>2030</v>
      </c>
      <c r="K15" s="92">
        <v>2035</v>
      </c>
      <c r="L15" s="92">
        <v>2040</v>
      </c>
      <c r="M15" s="92">
        <v>2045</v>
      </c>
      <c r="N15" s="92">
        <v>2050</v>
      </c>
      <c r="O15" s="885"/>
    </row>
    <row r="16" spans="1:15" ht="15.75">
      <c r="B16" s="55"/>
      <c r="C16" s="65">
        <v>1</v>
      </c>
      <c r="D16" s="108" t="s">
        <v>253</v>
      </c>
      <c r="E16" s="1267"/>
      <c r="F16" s="2670">
        <v>0</v>
      </c>
      <c r="G16" s="2670">
        <v>0</v>
      </c>
      <c r="H16" s="2670">
        <v>0</v>
      </c>
      <c r="I16" s="2670">
        <v>0</v>
      </c>
      <c r="J16" s="2670">
        <v>0</v>
      </c>
      <c r="K16" s="2670">
        <v>0</v>
      </c>
      <c r="L16" s="2670">
        <v>0</v>
      </c>
      <c r="M16" s="2670">
        <v>0</v>
      </c>
      <c r="N16" s="2670">
        <v>0</v>
      </c>
      <c r="O16" s="885"/>
    </row>
    <row r="17" spans="2:15" ht="15.75">
      <c r="B17" s="55"/>
      <c r="C17" s="65">
        <v>2</v>
      </c>
      <c r="D17" s="108" t="s">
        <v>253</v>
      </c>
      <c r="E17" s="108"/>
      <c r="F17" s="2670">
        <v>0</v>
      </c>
      <c r="G17" s="2950">
        <v>0</v>
      </c>
      <c r="H17" s="2950">
        <v>0</v>
      </c>
      <c r="I17" s="2950">
        <v>0</v>
      </c>
      <c r="J17" s="2950"/>
      <c r="K17" s="2950">
        <v>0.1</v>
      </c>
      <c r="L17" s="2950">
        <v>0.1</v>
      </c>
      <c r="M17" s="2950">
        <v>0.2</v>
      </c>
      <c r="N17" s="2950">
        <v>0.3</v>
      </c>
      <c r="O17" s="885"/>
    </row>
    <row r="18" spans="2:15" ht="15.75">
      <c r="B18" s="55"/>
      <c r="C18" s="65">
        <v>3</v>
      </c>
      <c r="D18" s="108" t="s">
        <v>253</v>
      </c>
      <c r="E18" s="108"/>
      <c r="F18" s="2670">
        <v>0</v>
      </c>
      <c r="G18" s="2950">
        <v>0</v>
      </c>
      <c r="H18" s="2950">
        <v>0</v>
      </c>
      <c r="I18" s="2950">
        <v>0</v>
      </c>
      <c r="J18" s="2950">
        <v>0.1</v>
      </c>
      <c r="K18" s="2950">
        <v>0.1</v>
      </c>
      <c r="L18" s="2950">
        <v>0.2</v>
      </c>
      <c r="M18" s="2950">
        <v>0.3</v>
      </c>
      <c r="N18" s="2950">
        <v>0.4</v>
      </c>
      <c r="O18" s="885"/>
    </row>
    <row r="19" spans="2:15" ht="15.75">
      <c r="B19" s="55"/>
      <c r="C19" s="896">
        <v>4</v>
      </c>
      <c r="D19" s="897" t="s">
        <v>253</v>
      </c>
      <c r="E19" s="897"/>
      <c r="F19" s="2671">
        <v>0</v>
      </c>
      <c r="G19" s="3509">
        <v>0</v>
      </c>
      <c r="H19" s="3509">
        <v>0</v>
      </c>
      <c r="I19" s="3509">
        <v>0</v>
      </c>
      <c r="J19" s="3811">
        <v>0.1</v>
      </c>
      <c r="K19" s="3811">
        <v>0.1</v>
      </c>
      <c r="L19" s="3811">
        <v>0.2</v>
      </c>
      <c r="M19" s="3811">
        <v>0.3</v>
      </c>
      <c r="N19" s="3811">
        <v>0.4</v>
      </c>
      <c r="O19" s="885"/>
    </row>
    <row r="20" spans="2:15">
      <c r="B20" s="110"/>
      <c r="C20" s="67"/>
      <c r="D20" s="67"/>
      <c r="E20" s="67"/>
      <c r="F20" s="67"/>
      <c r="G20" s="67"/>
      <c r="H20" s="67"/>
      <c r="I20" s="67"/>
      <c r="J20" s="67"/>
      <c r="K20" s="67"/>
      <c r="L20" s="67"/>
      <c r="M20" s="67"/>
      <c r="N20" s="67"/>
      <c r="O20" s="885"/>
    </row>
    <row r="21" spans="2:15" ht="15.75">
      <c r="B21" s="55"/>
      <c r="C21" s="49" t="s">
        <v>3001</v>
      </c>
      <c r="D21" s="67"/>
      <c r="E21" s="50"/>
      <c r="F21" s="67"/>
      <c r="G21" s="67"/>
      <c r="H21" s="67"/>
      <c r="I21" s="67"/>
      <c r="J21" s="67"/>
      <c r="K21" s="67"/>
      <c r="L21" s="67"/>
      <c r="M21" s="67"/>
      <c r="N21" s="51" t="s">
        <v>3000</v>
      </c>
      <c r="O21" s="885"/>
    </row>
    <row r="22" spans="2:15" ht="15.75">
      <c r="B22" s="55"/>
      <c r="C22" s="67"/>
      <c r="D22" s="67"/>
      <c r="E22" s="67"/>
      <c r="F22" s="67"/>
      <c r="G22" s="67"/>
      <c r="H22" s="67"/>
      <c r="I22" s="67"/>
      <c r="J22" s="67"/>
      <c r="K22" s="67"/>
      <c r="L22" s="67"/>
      <c r="M22" s="67"/>
      <c r="N22" s="67"/>
      <c r="O22" s="885"/>
    </row>
    <row r="23" spans="2:15" ht="15.75">
      <c r="B23" s="55"/>
      <c r="C23" s="887" t="s">
        <v>8</v>
      </c>
      <c r="D23" s="887" t="s">
        <v>34</v>
      </c>
      <c r="E23" s="887" t="s">
        <v>30</v>
      </c>
      <c r="F23" s="92">
        <v>2013</v>
      </c>
      <c r="G23" s="92">
        <v>2015</v>
      </c>
      <c r="H23" s="92">
        <v>2020</v>
      </c>
      <c r="I23" s="92">
        <v>2025</v>
      </c>
      <c r="J23" s="92">
        <v>2030</v>
      </c>
      <c r="K23" s="92">
        <v>2035</v>
      </c>
      <c r="L23" s="92">
        <v>2040</v>
      </c>
      <c r="M23" s="92">
        <v>2045</v>
      </c>
      <c r="N23" s="92">
        <v>2050</v>
      </c>
      <c r="O23" s="885"/>
    </row>
    <row r="24" spans="2:15" ht="15.75">
      <c r="B24" s="55"/>
      <c r="C24" s="65">
        <v>1</v>
      </c>
      <c r="D24" s="108" t="s">
        <v>253</v>
      </c>
      <c r="E24" s="1267"/>
      <c r="F24" s="2670">
        <v>0</v>
      </c>
      <c r="G24" s="2670">
        <v>0</v>
      </c>
      <c r="H24" s="2670">
        <v>0</v>
      </c>
      <c r="I24" s="2670">
        <v>0</v>
      </c>
      <c r="J24" s="2670">
        <v>0</v>
      </c>
      <c r="K24" s="2670">
        <v>0</v>
      </c>
      <c r="L24" s="2670">
        <v>0</v>
      </c>
      <c r="M24" s="2670">
        <v>0</v>
      </c>
      <c r="N24" s="2670">
        <v>0</v>
      </c>
      <c r="O24" s="885"/>
    </row>
    <row r="25" spans="2:15" ht="15.75">
      <c r="B25" s="55"/>
      <c r="C25" s="65">
        <v>2</v>
      </c>
      <c r="D25" s="108" t="s">
        <v>253</v>
      </c>
      <c r="E25" s="108"/>
      <c r="F25" s="2670">
        <v>0</v>
      </c>
      <c r="G25" s="2950">
        <v>0</v>
      </c>
      <c r="H25" s="2950">
        <v>0</v>
      </c>
      <c r="I25" s="2950">
        <v>0</v>
      </c>
      <c r="J25" s="2950">
        <v>0</v>
      </c>
      <c r="K25" s="2950">
        <v>0</v>
      </c>
      <c r="L25" s="2950">
        <v>0</v>
      </c>
      <c r="M25" s="2950">
        <v>0</v>
      </c>
      <c r="N25" s="2950">
        <v>0</v>
      </c>
      <c r="O25" s="885"/>
    </row>
    <row r="26" spans="2:15" ht="15.75">
      <c r="B26" s="55"/>
      <c r="C26" s="65">
        <v>3</v>
      </c>
      <c r="D26" s="108" t="s">
        <v>253</v>
      </c>
      <c r="E26" s="108"/>
      <c r="F26" s="2670">
        <v>0</v>
      </c>
      <c r="G26" s="2950">
        <v>0</v>
      </c>
      <c r="H26" s="2950">
        <v>0</v>
      </c>
      <c r="I26" s="2950">
        <v>0</v>
      </c>
      <c r="J26" s="2950">
        <v>0</v>
      </c>
      <c r="K26" s="2950">
        <v>0</v>
      </c>
      <c r="L26" s="2950">
        <v>0</v>
      </c>
      <c r="M26" s="2950">
        <v>0</v>
      </c>
      <c r="N26" s="2950">
        <v>0</v>
      </c>
      <c r="O26" s="885"/>
    </row>
    <row r="27" spans="2:15" ht="15.75">
      <c r="B27" s="55"/>
      <c r="C27" s="896">
        <v>4</v>
      </c>
      <c r="D27" s="897" t="s">
        <v>253</v>
      </c>
      <c r="E27" s="897"/>
      <c r="F27" s="2671">
        <v>0</v>
      </c>
      <c r="G27" s="3509">
        <v>0</v>
      </c>
      <c r="H27" s="3509">
        <v>0</v>
      </c>
      <c r="I27" s="3509">
        <v>0</v>
      </c>
      <c r="J27" s="3509">
        <v>1</v>
      </c>
      <c r="K27" s="3509">
        <v>2</v>
      </c>
      <c r="L27" s="3509">
        <v>3</v>
      </c>
      <c r="M27" s="3509">
        <v>4</v>
      </c>
      <c r="N27" s="3509">
        <v>5</v>
      </c>
      <c r="O27" s="885"/>
    </row>
    <row r="28" spans="2:15" ht="15.75">
      <c r="B28" s="55"/>
      <c r="C28" s="65"/>
      <c r="D28" s="108"/>
      <c r="E28" s="108"/>
      <c r="F28" s="2670"/>
      <c r="G28" s="1226"/>
      <c r="H28" s="1226"/>
      <c r="I28" s="1226"/>
      <c r="J28" s="1226"/>
      <c r="K28" s="1226"/>
      <c r="L28" s="1226"/>
      <c r="M28" s="1226"/>
      <c r="N28" s="1226"/>
      <c r="O28" s="885"/>
    </row>
    <row r="29" spans="2:15" ht="15.75">
      <c r="B29" s="55"/>
      <c r="C29" s="49" t="s">
        <v>3002</v>
      </c>
      <c r="D29" s="67"/>
      <c r="E29" s="50"/>
      <c r="F29" s="67"/>
      <c r="G29" s="67"/>
      <c r="H29" s="67"/>
      <c r="I29" s="67"/>
      <c r="J29" s="67"/>
      <c r="K29" s="67"/>
      <c r="L29" s="67"/>
      <c r="M29" s="67"/>
      <c r="N29" s="51" t="s">
        <v>3000</v>
      </c>
      <c r="O29" s="885"/>
    </row>
    <row r="30" spans="2:15" ht="15.75">
      <c r="B30" s="55"/>
      <c r="C30" s="67"/>
      <c r="D30" s="67"/>
      <c r="E30" s="67"/>
      <c r="F30" s="67"/>
      <c r="G30" s="67"/>
      <c r="H30" s="67"/>
      <c r="I30" s="67"/>
      <c r="J30" s="67"/>
      <c r="K30" s="67"/>
      <c r="L30" s="67"/>
      <c r="M30" s="67"/>
      <c r="N30" s="67"/>
      <c r="O30" s="885"/>
    </row>
    <row r="31" spans="2:15" ht="15.75">
      <c r="B31" s="55"/>
      <c r="C31" s="887" t="s">
        <v>8</v>
      </c>
      <c r="D31" s="887" t="s">
        <v>34</v>
      </c>
      <c r="E31" s="887" t="s">
        <v>30</v>
      </c>
      <c r="F31" s="92">
        <v>2013</v>
      </c>
      <c r="G31" s="92">
        <v>2015</v>
      </c>
      <c r="H31" s="92">
        <v>2020</v>
      </c>
      <c r="I31" s="92">
        <v>2025</v>
      </c>
      <c r="J31" s="92">
        <v>2030</v>
      </c>
      <c r="K31" s="92">
        <v>2035</v>
      </c>
      <c r="L31" s="92">
        <v>2040</v>
      </c>
      <c r="M31" s="92">
        <v>2045</v>
      </c>
      <c r="N31" s="92">
        <v>2050</v>
      </c>
      <c r="O31" s="885"/>
    </row>
    <row r="32" spans="2:15" ht="15.75">
      <c r="B32" s="55"/>
      <c r="C32" s="65">
        <v>1</v>
      </c>
      <c r="D32" s="108" t="s">
        <v>253</v>
      </c>
      <c r="E32" s="1267"/>
      <c r="F32" s="2670">
        <v>0</v>
      </c>
      <c r="G32" s="2670">
        <v>0</v>
      </c>
      <c r="H32" s="2670">
        <v>0</v>
      </c>
      <c r="I32" s="2670">
        <v>0</v>
      </c>
      <c r="J32" s="2670">
        <v>0</v>
      </c>
      <c r="K32" s="2670">
        <v>0</v>
      </c>
      <c r="L32" s="2670">
        <v>0</v>
      </c>
      <c r="M32" s="2670">
        <v>0</v>
      </c>
      <c r="N32" s="2670">
        <v>0</v>
      </c>
      <c r="O32" s="885"/>
    </row>
    <row r="33" spans="1:17" ht="15.75">
      <c r="B33" s="55"/>
      <c r="C33" s="65">
        <v>2</v>
      </c>
      <c r="D33" s="108" t="s">
        <v>253</v>
      </c>
      <c r="E33" s="108"/>
      <c r="F33" s="2670">
        <v>0</v>
      </c>
      <c r="G33" s="2950">
        <v>0</v>
      </c>
      <c r="H33" s="2950">
        <v>0</v>
      </c>
      <c r="I33" s="2950">
        <v>0</v>
      </c>
      <c r="J33" s="2950">
        <v>0</v>
      </c>
      <c r="K33" s="2950">
        <v>0</v>
      </c>
      <c r="L33" s="2950">
        <v>0</v>
      </c>
      <c r="M33" s="2950">
        <v>0</v>
      </c>
      <c r="N33" s="2950">
        <v>0</v>
      </c>
      <c r="O33" s="885"/>
    </row>
    <row r="34" spans="1:17" ht="15.75">
      <c r="B34" s="55"/>
      <c r="C34" s="65">
        <v>3</v>
      </c>
      <c r="D34" s="108" t="s">
        <v>253</v>
      </c>
      <c r="E34" s="108"/>
      <c r="F34" s="2670">
        <v>0</v>
      </c>
      <c r="G34" s="2950">
        <v>0</v>
      </c>
      <c r="H34" s="2950">
        <v>0</v>
      </c>
      <c r="I34" s="2950">
        <v>0</v>
      </c>
      <c r="J34" s="2950">
        <v>0</v>
      </c>
      <c r="K34" s="2950">
        <v>0</v>
      </c>
      <c r="L34" s="2950">
        <v>0</v>
      </c>
      <c r="M34" s="2950">
        <v>0</v>
      </c>
      <c r="N34" s="2950">
        <v>0</v>
      </c>
      <c r="O34" s="885"/>
    </row>
    <row r="35" spans="1:17" ht="15.75">
      <c r="B35" s="55"/>
      <c r="C35" s="896">
        <v>4</v>
      </c>
      <c r="D35" s="897" t="s">
        <v>253</v>
      </c>
      <c r="E35" s="897"/>
      <c r="F35" s="2671">
        <v>0</v>
      </c>
      <c r="G35" s="3509">
        <v>0</v>
      </c>
      <c r="H35" s="3509">
        <v>0</v>
      </c>
      <c r="I35" s="3509">
        <v>0</v>
      </c>
      <c r="J35" s="3509">
        <v>0</v>
      </c>
      <c r="K35" s="3509">
        <v>0</v>
      </c>
      <c r="L35" s="3509">
        <v>0</v>
      </c>
      <c r="M35" s="3509">
        <v>0</v>
      </c>
      <c r="N35" s="3509">
        <v>0</v>
      </c>
      <c r="O35" s="885"/>
    </row>
    <row r="36" spans="1:17" ht="15.75">
      <c r="B36" s="55"/>
      <c r="C36" s="65"/>
      <c r="D36" s="108"/>
      <c r="E36" s="108"/>
      <c r="F36" s="2670"/>
      <c r="G36" s="1226"/>
      <c r="H36" s="1226"/>
      <c r="I36" s="1226"/>
      <c r="J36" s="1226"/>
      <c r="K36" s="1226"/>
      <c r="L36" s="1226"/>
      <c r="M36" s="1226"/>
      <c r="N36" s="1226"/>
      <c r="O36" s="885"/>
    </row>
    <row r="37" spans="1:17">
      <c r="B37" s="45"/>
      <c r="C37" s="3886" t="s">
        <v>64</v>
      </c>
      <c r="D37" s="200"/>
      <c r="E37" s="67"/>
      <c r="F37" s="67"/>
      <c r="G37" s="67"/>
      <c r="H37" s="67"/>
      <c r="I37" s="67"/>
      <c r="J37" s="67"/>
      <c r="K37" s="67"/>
      <c r="L37" s="67"/>
      <c r="M37" s="67"/>
      <c r="N37" s="67"/>
      <c r="O37" s="885"/>
      <c r="Q37" s="3009"/>
    </row>
    <row r="38" spans="1:17">
      <c r="B38" s="45"/>
      <c r="C38" s="929" t="s">
        <v>65</v>
      </c>
      <c r="D38" s="3884" t="s">
        <v>3137</v>
      </c>
      <c r="E38" s="67"/>
      <c r="F38" s="67"/>
      <c r="G38" s="67"/>
      <c r="H38" s="67"/>
      <c r="I38" s="67"/>
      <c r="J38" s="67"/>
      <c r="K38" s="67"/>
      <c r="L38" s="67"/>
      <c r="M38" s="67"/>
      <c r="N38" s="67"/>
      <c r="O38" s="885"/>
      <c r="Q38" s="3009"/>
    </row>
    <row r="39" spans="1:17">
      <c r="B39" s="45"/>
      <c r="C39" s="930"/>
      <c r="D39" s="200"/>
      <c r="E39" s="67"/>
      <c r="F39" s="67"/>
      <c r="G39" s="67"/>
      <c r="H39" s="67"/>
      <c r="I39" s="67"/>
      <c r="J39" s="67"/>
      <c r="K39" s="67"/>
      <c r="L39" s="67"/>
      <c r="M39" s="67"/>
      <c r="N39" s="67"/>
      <c r="O39" s="885"/>
    </row>
    <row r="41" spans="1:17" s="6" customFormat="1" ht="23.25">
      <c r="A41" s="40"/>
      <c r="B41" s="878" t="s">
        <v>70</v>
      </c>
      <c r="C41" s="879"/>
      <c r="D41" s="879"/>
      <c r="E41" s="879"/>
      <c r="F41" s="879"/>
      <c r="G41" s="879"/>
      <c r="H41" s="879"/>
      <c r="I41" s="879"/>
      <c r="J41" s="879"/>
      <c r="K41" s="879"/>
      <c r="L41" s="879"/>
      <c r="M41" s="879"/>
      <c r="N41" s="879"/>
      <c r="O41" s="880"/>
    </row>
    <row r="42" spans="1:17">
      <c r="B42" s="110"/>
      <c r="C42" s="67"/>
      <c r="D42" s="67"/>
      <c r="E42" s="67"/>
      <c r="F42" s="67"/>
      <c r="G42" s="67"/>
      <c r="H42" s="67"/>
      <c r="I42" s="67"/>
      <c r="J42" s="67"/>
      <c r="K42" s="67"/>
      <c r="L42" s="67"/>
      <c r="M42" s="67"/>
      <c r="N42" s="67"/>
      <c r="O42" s="885"/>
    </row>
    <row r="43" spans="1:17">
      <c r="B43" s="110"/>
      <c r="C43" s="49" t="s">
        <v>3003</v>
      </c>
      <c r="D43" s="67"/>
      <c r="E43" s="50"/>
      <c r="F43" s="67"/>
      <c r="G43" s="67"/>
      <c r="H43" s="67"/>
      <c r="I43" s="67"/>
      <c r="J43" s="67"/>
      <c r="K43" s="67"/>
      <c r="L43" s="67"/>
      <c r="M43" s="67"/>
      <c r="N43" s="1226" t="str">
        <f>Preferences.EnergyUnits &amp; " / Mt CO2"</f>
        <v>TWh / Mt CO2</v>
      </c>
      <c r="O43" s="885"/>
    </row>
    <row r="44" spans="1:17">
      <c r="B44" s="110"/>
      <c r="C44" s="67"/>
      <c r="D44" s="67"/>
      <c r="E44" s="67"/>
      <c r="F44" s="67"/>
      <c r="G44" s="67"/>
      <c r="H44" s="67"/>
      <c r="I44" s="67"/>
      <c r="J44" s="67"/>
      <c r="K44" s="67"/>
      <c r="L44" s="67"/>
      <c r="M44" s="67"/>
      <c r="N44" s="67"/>
      <c r="O44" s="885"/>
    </row>
    <row r="45" spans="1:17" ht="15.75">
      <c r="B45" s="55"/>
      <c r="C45" s="887" t="s">
        <v>8</v>
      </c>
      <c r="D45" s="887" t="s">
        <v>34</v>
      </c>
      <c r="E45" s="887" t="s">
        <v>30</v>
      </c>
      <c r="F45" s="92">
        <v>2013</v>
      </c>
      <c r="G45" s="92">
        <v>2015</v>
      </c>
      <c r="H45" s="92">
        <v>2020</v>
      </c>
      <c r="I45" s="92">
        <v>2025</v>
      </c>
      <c r="J45" s="92">
        <v>2030</v>
      </c>
      <c r="K45" s="92">
        <v>2035</v>
      </c>
      <c r="L45" s="92">
        <v>2040</v>
      </c>
      <c r="M45" s="92">
        <v>2045</v>
      </c>
      <c r="N45" s="92">
        <v>2050</v>
      </c>
      <c r="O45" s="885"/>
    </row>
    <row r="46" spans="1:17" ht="15.75">
      <c r="B46" s="55"/>
      <c r="C46" s="926" t="s">
        <v>253</v>
      </c>
      <c r="D46" s="199" t="s">
        <v>3003</v>
      </c>
      <c r="E46" s="1322"/>
      <c r="F46" s="2676">
        <f t="shared" ref="F46:N46" si="0">3.3*Unit.TWh</f>
        <v>3.3</v>
      </c>
      <c r="G46" s="2677">
        <f t="shared" si="0"/>
        <v>3.3</v>
      </c>
      <c r="H46" s="2676">
        <f t="shared" si="0"/>
        <v>3.3</v>
      </c>
      <c r="I46" s="2676">
        <f t="shared" si="0"/>
        <v>3.3</v>
      </c>
      <c r="J46" s="2676">
        <f t="shared" si="0"/>
        <v>3.3</v>
      </c>
      <c r="K46" s="2676">
        <f t="shared" si="0"/>
        <v>3.3</v>
      </c>
      <c r="L46" s="2676">
        <f t="shared" si="0"/>
        <v>3.3</v>
      </c>
      <c r="M46" s="2676">
        <f t="shared" si="0"/>
        <v>3.3</v>
      </c>
      <c r="N46" s="2676">
        <f t="shared" si="0"/>
        <v>3.3</v>
      </c>
      <c r="O46" s="885"/>
    </row>
    <row r="47" spans="1:17">
      <c r="B47" s="110"/>
      <c r="C47" s="67"/>
      <c r="D47" s="67"/>
      <c r="E47" s="67"/>
      <c r="F47" s="67"/>
      <c r="G47" s="67"/>
      <c r="H47" s="67"/>
      <c r="I47" s="67"/>
      <c r="J47" s="67"/>
      <c r="K47" s="67"/>
      <c r="L47" s="67"/>
      <c r="M47" s="67"/>
      <c r="N47" s="67"/>
      <c r="O47" s="885"/>
    </row>
    <row r="48" spans="1:17" s="927" customFormat="1" ht="12.75">
      <c r="B48" s="931"/>
      <c r="C48" s="962"/>
      <c r="D48" s="962"/>
      <c r="E48" s="962" t="s">
        <v>3004</v>
      </c>
      <c r="F48" s="3770"/>
      <c r="G48" s="931"/>
      <c r="H48" s="931"/>
      <c r="I48" s="931"/>
      <c r="J48" s="931"/>
      <c r="K48" s="931"/>
      <c r="L48" s="931"/>
      <c r="M48" s="931"/>
      <c r="N48" s="931"/>
      <c r="O48" s="931"/>
    </row>
    <row r="49" spans="1:113" s="927" customFormat="1" ht="12.75">
      <c r="B49" s="931"/>
      <c r="C49" s="962" t="s">
        <v>3005</v>
      </c>
      <c r="D49" s="962"/>
      <c r="E49" s="962">
        <f>0.1/8</f>
        <v>1.2500000000000001E-2</v>
      </c>
      <c r="F49" s="3770"/>
      <c r="G49" s="931"/>
      <c r="H49" s="931"/>
      <c r="I49" s="931"/>
      <c r="J49" s="931"/>
      <c r="K49" s="931"/>
      <c r="L49" s="931"/>
      <c r="M49" s="931"/>
      <c r="N49" s="931"/>
      <c r="O49" s="931"/>
    </row>
    <row r="50" spans="1:113" s="927" customFormat="1" ht="12.75">
      <c r="B50" s="931"/>
      <c r="C50" s="924"/>
      <c r="D50" s="924"/>
      <c r="E50" s="924"/>
      <c r="F50" s="931"/>
      <c r="G50" s="931"/>
      <c r="H50" s="931"/>
      <c r="I50" s="931"/>
      <c r="J50" s="931"/>
      <c r="K50" s="931"/>
      <c r="L50" s="931"/>
      <c r="M50" s="931"/>
      <c r="N50" s="931"/>
      <c r="O50" s="931"/>
    </row>
    <row r="51" spans="1:113" s="927" customFormat="1">
      <c r="B51" s="931"/>
      <c r="C51" s="1476" t="s">
        <v>3006</v>
      </c>
      <c r="D51" s="200"/>
      <c r="E51" s="931"/>
      <c r="F51" s="931"/>
      <c r="G51" s="931"/>
      <c r="H51" s="931"/>
      <c r="I51" s="931"/>
      <c r="J51" s="931"/>
      <c r="K51" s="931"/>
      <c r="L51" s="931"/>
      <c r="M51" s="931"/>
      <c r="N51" s="931"/>
      <c r="O51" s="931"/>
    </row>
    <row r="52" spans="1:113" s="927" customFormat="1">
      <c r="B52" s="931"/>
      <c r="C52" s="51"/>
      <c r="D52" s="200"/>
      <c r="E52" s="931"/>
      <c r="F52" s="931"/>
      <c r="G52" s="931"/>
      <c r="H52" s="931"/>
      <c r="I52" s="931"/>
      <c r="J52" s="931"/>
      <c r="K52" s="931"/>
      <c r="L52" s="931"/>
      <c r="M52" s="931"/>
      <c r="N52" s="931"/>
      <c r="O52" s="931"/>
    </row>
    <row r="53" spans="1:113">
      <c r="R53" s="927"/>
    </row>
    <row r="54" spans="1:113" s="6" customFormat="1" ht="23.25">
      <c r="A54" s="40"/>
      <c r="B54" s="878" t="s">
        <v>2794</v>
      </c>
      <c r="C54" s="879"/>
      <c r="D54" s="879"/>
      <c r="E54" s="879"/>
      <c r="F54" s="879"/>
      <c r="G54" s="2187"/>
      <c r="H54" s="2187"/>
      <c r="I54" s="2187"/>
      <c r="J54" s="879"/>
      <c r="K54" s="879"/>
      <c r="L54" s="879"/>
      <c r="M54" s="879"/>
      <c r="N54" s="879"/>
      <c r="O54" s="879"/>
      <c r="P54" s="656"/>
      <c r="Q54" s="656"/>
      <c r="R54" s="656"/>
      <c r="S54" s="656"/>
      <c r="T54" s="656"/>
      <c r="U54" s="656"/>
      <c r="V54" s="656"/>
      <c r="W54" s="656"/>
      <c r="X54" s="656"/>
      <c r="Y54" s="656"/>
      <c r="Z54" s="656"/>
      <c r="AA54" s="656"/>
      <c r="AB54" s="656"/>
      <c r="AC54" s="656"/>
      <c r="AD54" s="656"/>
    </row>
    <row r="55" spans="1:113" s="859" customFormat="1" ht="15.75" customHeight="1">
      <c r="A55" s="1075"/>
      <c r="B55" s="3771"/>
      <c r="C55" s="108"/>
      <c r="D55" s="108"/>
      <c r="E55" s="108"/>
      <c r="F55" s="108"/>
      <c r="G55" s="108"/>
      <c r="H55" s="108"/>
      <c r="I55" s="108"/>
      <c r="J55" s="108"/>
      <c r="K55" s="108"/>
      <c r="L55" s="108"/>
      <c r="M55" s="108"/>
      <c r="N55" s="108"/>
      <c r="O55" s="108"/>
      <c r="P55" s="656"/>
      <c r="Q55" s="656"/>
      <c r="R55" s="656"/>
      <c r="S55" s="656"/>
      <c r="T55" s="656"/>
      <c r="U55" s="656"/>
      <c r="V55" s="656"/>
      <c r="W55" s="656"/>
      <c r="X55" s="656"/>
      <c r="Y55" s="656"/>
      <c r="Z55" s="3772"/>
      <c r="AA55" s="656"/>
      <c r="AB55" s="656"/>
      <c r="AC55" s="656"/>
      <c r="AD55" s="656"/>
    </row>
    <row r="56" spans="1:113" s="6" customFormat="1" ht="15.75" hidden="1" customHeight="1">
      <c r="A56" s="40"/>
      <c r="B56" s="3771"/>
      <c r="C56" s="3773" t="s">
        <v>169</v>
      </c>
      <c r="D56" s="108"/>
      <c r="E56" s="108"/>
      <c r="F56" s="108"/>
      <c r="G56" s="108"/>
      <c r="H56" s="108"/>
      <c r="I56" s="108"/>
      <c r="J56" s="108"/>
      <c r="K56" s="108"/>
      <c r="L56" s="108"/>
      <c r="M56" s="108"/>
      <c r="N56" s="108"/>
      <c r="O56" s="108"/>
      <c r="P56" s="656"/>
      <c r="Q56" s="656"/>
      <c r="R56" s="656"/>
      <c r="S56" s="656"/>
      <c r="T56" s="656"/>
      <c r="U56" s="656"/>
      <c r="V56" s="656"/>
      <c r="W56" s="656"/>
      <c r="X56" s="656"/>
      <c r="Y56" s="656"/>
      <c r="Z56" s="3772"/>
      <c r="AA56" s="656"/>
      <c r="AB56" s="656"/>
      <c r="AC56" s="656"/>
      <c r="AD56" s="656"/>
    </row>
    <row r="57" spans="1:113" s="6" customFormat="1" hidden="1">
      <c r="A57" s="3759"/>
      <c r="B57" s="3774"/>
      <c r="C57" s="49" t="s">
        <v>738</v>
      </c>
      <c r="D57" s="924"/>
      <c r="E57" s="941"/>
      <c r="F57" s="2519"/>
      <c r="G57" s="943"/>
      <c r="H57" s="943"/>
      <c r="I57" s="943"/>
      <c r="J57" s="943"/>
      <c r="K57" s="943"/>
      <c r="L57" s="943"/>
      <c r="M57" s="943"/>
      <c r="N57" s="944" t="s">
        <v>2812</v>
      </c>
      <c r="O57" s="3775"/>
      <c r="P57" s="1173"/>
      <c r="Q57" s="656"/>
      <c r="R57" s="656"/>
      <c r="S57" s="656"/>
      <c r="T57" s="656"/>
      <c r="U57" s="656"/>
      <c r="V57" s="656"/>
      <c r="W57" s="656"/>
      <c r="X57" s="656"/>
      <c r="Y57" s="656"/>
      <c r="Z57" s="3772"/>
      <c r="AA57" s="656"/>
      <c r="AB57" s="656"/>
      <c r="AC57" s="656"/>
      <c r="AD57" s="1173"/>
      <c r="AE57" s="3759"/>
      <c r="AF57" s="3759"/>
      <c r="AG57" s="3759"/>
      <c r="AH57" s="3759"/>
      <c r="AI57" s="3759"/>
      <c r="AJ57" s="3759"/>
      <c r="AK57" s="3759"/>
      <c r="AL57" s="3759"/>
      <c r="AM57" s="3759"/>
      <c r="AN57" s="3759"/>
      <c r="AO57" s="3759"/>
      <c r="AP57" s="3759"/>
      <c r="AQ57" s="3759"/>
      <c r="AR57" s="3759"/>
      <c r="AS57" s="3759"/>
      <c r="AT57" s="3759"/>
      <c r="AU57" s="3759"/>
      <c r="AV57" s="3759"/>
      <c r="AW57" s="3759"/>
      <c r="AX57" s="3759"/>
      <c r="AY57" s="3759"/>
      <c r="AZ57" s="3759"/>
      <c r="BA57" s="3759"/>
      <c r="BB57" s="3759"/>
      <c r="BC57" s="3759"/>
      <c r="BD57" s="3759"/>
      <c r="BE57" s="3759"/>
      <c r="BF57" s="3759"/>
      <c r="BG57" s="3759"/>
      <c r="BH57" s="3759"/>
      <c r="BI57" s="3759"/>
      <c r="BJ57" s="3759"/>
      <c r="BK57" s="3759"/>
      <c r="BL57" s="3759"/>
      <c r="BM57" s="3759"/>
      <c r="BN57" s="3759"/>
      <c r="BO57" s="3759"/>
      <c r="BP57" s="3759"/>
      <c r="BQ57" s="3759"/>
      <c r="BR57" s="3759"/>
      <c r="BS57" s="3759"/>
      <c r="BT57" s="3759"/>
      <c r="BU57" s="3759"/>
      <c r="BV57" s="3759"/>
      <c r="BW57" s="3759"/>
      <c r="BX57" s="3759"/>
      <c r="BY57" s="3759"/>
      <c r="BZ57" s="3759"/>
      <c r="CA57" s="3759"/>
      <c r="CB57" s="3759"/>
      <c r="CC57" s="3759"/>
      <c r="CD57" s="3759"/>
      <c r="CE57" s="3759"/>
      <c r="CF57" s="3759"/>
      <c r="CG57" s="3759"/>
      <c r="CH57" s="3759"/>
      <c r="CI57" s="3759"/>
      <c r="CJ57" s="3759"/>
      <c r="CK57" s="3759"/>
      <c r="CL57" s="3759"/>
      <c r="CM57" s="3759"/>
      <c r="CN57" s="3759"/>
      <c r="CO57" s="3759"/>
      <c r="CP57" s="3759"/>
      <c r="CQ57" s="3759"/>
      <c r="CR57" s="3759"/>
      <c r="CS57" s="3759"/>
      <c r="CT57" s="3759"/>
      <c r="CU57" s="3759"/>
      <c r="CV57" s="3759"/>
      <c r="CW57" s="3759"/>
      <c r="CX57" s="3759"/>
      <c r="CY57" s="3759"/>
      <c r="CZ57" s="3759"/>
      <c r="DA57" s="3759"/>
      <c r="DB57" s="3759"/>
      <c r="DC57" s="3759"/>
      <c r="DD57" s="3759"/>
      <c r="DE57" s="3759"/>
      <c r="DF57" s="3759"/>
      <c r="DG57" s="3759"/>
      <c r="DH57" s="3759"/>
      <c r="DI57" s="3759"/>
    </row>
    <row r="58" spans="1:113" s="6" customFormat="1" ht="4.5" hidden="1" customHeight="1">
      <c r="A58" s="3759"/>
      <c r="B58" s="3774"/>
      <c r="C58" s="946"/>
      <c r="D58" s="924"/>
      <c r="E58" s="941"/>
      <c r="F58" s="2519"/>
      <c r="G58" s="943"/>
      <c r="H58" s="943"/>
      <c r="I58" s="943"/>
      <c r="J58" s="943"/>
      <c r="K58" s="943"/>
      <c r="L58" s="943"/>
      <c r="M58" s="943"/>
      <c r="N58" s="67"/>
      <c r="O58" s="3775"/>
      <c r="P58" s="1173"/>
      <c r="Q58" s="656"/>
      <c r="R58" s="656"/>
      <c r="S58" s="656"/>
      <c r="T58" s="656"/>
      <c r="U58" s="656"/>
      <c r="V58" s="656"/>
      <c r="W58" s="656"/>
      <c r="X58" s="656"/>
      <c r="Y58" s="656"/>
      <c r="Z58" s="656"/>
      <c r="AA58" s="656"/>
      <c r="AB58" s="656"/>
      <c r="AC58" s="656"/>
      <c r="AD58" s="1173"/>
      <c r="AE58" s="3759"/>
      <c r="AF58" s="3759"/>
      <c r="AG58" s="3759"/>
      <c r="AH58" s="3759"/>
      <c r="AI58" s="3759"/>
      <c r="AJ58" s="3759"/>
      <c r="AK58" s="3759"/>
      <c r="AL58" s="3759"/>
      <c r="AM58" s="3759"/>
      <c r="AN58" s="3759"/>
      <c r="AO58" s="3759"/>
      <c r="AP58" s="3759"/>
      <c r="AQ58" s="3759"/>
      <c r="AR58" s="3759"/>
      <c r="AS58" s="3759"/>
      <c r="AT58" s="3759"/>
      <c r="AU58" s="3759"/>
      <c r="AV58" s="3759"/>
      <c r="AW58" s="3759"/>
      <c r="AX58" s="3759"/>
      <c r="AY58" s="3759"/>
      <c r="AZ58" s="3759"/>
      <c r="BA58" s="3759"/>
      <c r="BB58" s="3759"/>
      <c r="BC58" s="3759"/>
      <c r="BD58" s="3759"/>
      <c r="BE58" s="3759"/>
      <c r="BF58" s="3759"/>
      <c r="BG58" s="3759"/>
      <c r="BH58" s="3759"/>
      <c r="BI58" s="3759"/>
      <c r="BJ58" s="3759"/>
      <c r="BK58" s="3759"/>
      <c r="BL58" s="3759"/>
      <c r="BM58" s="3759"/>
      <c r="BN58" s="3759"/>
      <c r="BO58" s="3759"/>
      <c r="BP58" s="3759"/>
      <c r="BQ58" s="3759"/>
      <c r="BR58" s="3759"/>
      <c r="BS58" s="3759"/>
      <c r="BT58" s="3759"/>
      <c r="BU58" s="3759"/>
      <c r="BV58" s="3759"/>
      <c r="BW58" s="3759"/>
      <c r="BX58" s="3759"/>
      <c r="BY58" s="3759"/>
      <c r="BZ58" s="3759"/>
      <c r="CA58" s="3759"/>
      <c r="CB58" s="3759"/>
      <c r="CC58" s="3759"/>
      <c r="CD58" s="3759"/>
      <c r="CE58" s="3759"/>
      <c r="CF58" s="3759"/>
      <c r="CG58" s="3759"/>
      <c r="CH58" s="3759"/>
      <c r="CI58" s="3759"/>
      <c r="CJ58" s="3759"/>
      <c r="CK58" s="3759"/>
      <c r="CL58" s="3759"/>
      <c r="CM58" s="3759"/>
      <c r="CN58" s="3759"/>
      <c r="CO58" s="3759"/>
      <c r="CP58" s="3759"/>
      <c r="CQ58" s="3759"/>
      <c r="CR58" s="3759"/>
      <c r="CS58" s="3759"/>
      <c r="CT58" s="3759"/>
      <c r="CU58" s="3759"/>
      <c r="CV58" s="3759"/>
      <c r="CW58" s="3759"/>
      <c r="CX58" s="3759"/>
      <c r="CY58" s="3759"/>
      <c r="CZ58" s="3759"/>
      <c r="DA58" s="3759"/>
      <c r="DB58" s="3759"/>
      <c r="DC58" s="3759"/>
      <c r="DD58" s="3759"/>
      <c r="DE58" s="3759"/>
      <c r="DF58" s="3759"/>
      <c r="DG58" s="3759"/>
      <c r="DH58" s="3759"/>
      <c r="DI58" s="3759"/>
    </row>
    <row r="59" spans="1:113" s="6" customFormat="1" hidden="1">
      <c r="A59" s="3759"/>
      <c r="B59" s="3774"/>
      <c r="C59" s="1179"/>
      <c r="D59" s="980" t="s">
        <v>1491</v>
      </c>
      <c r="E59" s="980" t="s">
        <v>160</v>
      </c>
      <c r="F59" s="2940">
        <v>2013</v>
      </c>
      <c r="G59" s="974">
        <v>2015</v>
      </c>
      <c r="H59" s="974">
        <v>2020</v>
      </c>
      <c r="I59" s="974">
        <v>2025</v>
      </c>
      <c r="J59" s="974">
        <v>2030</v>
      </c>
      <c r="K59" s="974">
        <v>2035</v>
      </c>
      <c r="L59" s="974">
        <v>2040</v>
      </c>
      <c r="M59" s="974">
        <v>2045</v>
      </c>
      <c r="N59" s="974">
        <v>2050</v>
      </c>
      <c r="O59" s="3775"/>
      <c r="P59" s="1173"/>
      <c r="Q59" s="3428"/>
      <c r="R59" s="3772"/>
      <c r="S59" s="3772"/>
      <c r="T59" s="3772"/>
      <c r="U59" s="3772"/>
      <c r="V59" s="3772"/>
      <c r="W59" s="3772"/>
      <c r="X59" s="3772"/>
      <c r="Y59" s="3772"/>
      <c r="Z59" s="3772"/>
      <c r="AA59" s="3772"/>
      <c r="AB59" s="3772"/>
      <c r="AC59" s="3772"/>
      <c r="AD59" s="1173"/>
      <c r="AE59" s="3759"/>
      <c r="AF59" s="3759"/>
      <c r="AG59" s="3759"/>
      <c r="AH59" s="3759"/>
      <c r="AI59" s="3759"/>
      <c r="AJ59" s="3759"/>
      <c r="AK59" s="3759"/>
      <c r="AL59" s="3759"/>
      <c r="AM59" s="3759"/>
      <c r="AN59" s="3759"/>
      <c r="AO59" s="3759"/>
      <c r="AP59" s="3759"/>
      <c r="AQ59" s="3759"/>
      <c r="AR59" s="3759"/>
      <c r="AS59" s="3759"/>
      <c r="AT59" s="3759"/>
      <c r="AU59" s="3759"/>
      <c r="AV59" s="3759"/>
      <c r="AW59" s="3759"/>
      <c r="AX59" s="3759"/>
      <c r="AY59" s="3759"/>
      <c r="AZ59" s="3759"/>
      <c r="BA59" s="3759"/>
      <c r="BB59" s="3759"/>
      <c r="BC59" s="3759"/>
      <c r="BD59" s="3759"/>
      <c r="BE59" s="3759"/>
      <c r="BF59" s="3759"/>
      <c r="BG59" s="3759"/>
      <c r="BH59" s="3759"/>
      <c r="BI59" s="3759"/>
      <c r="BJ59" s="3759"/>
      <c r="BK59" s="3759"/>
      <c r="BL59" s="3759"/>
      <c r="BM59" s="3759"/>
      <c r="BN59" s="3759"/>
      <c r="BO59" s="3759"/>
      <c r="BP59" s="3759"/>
      <c r="BQ59" s="3759"/>
      <c r="BR59" s="3759"/>
      <c r="BS59" s="3759"/>
      <c r="BT59" s="3759"/>
      <c r="BU59" s="3759"/>
      <c r="BV59" s="3759"/>
      <c r="BW59" s="3759"/>
      <c r="BX59" s="3759"/>
      <c r="BY59" s="3759"/>
      <c r="BZ59" s="3759"/>
      <c r="CA59" s="3759"/>
      <c r="CB59" s="3759"/>
      <c r="CC59" s="3759"/>
      <c r="CD59" s="3759"/>
      <c r="CE59" s="3759"/>
      <c r="CF59" s="3759"/>
      <c r="CG59" s="3759"/>
      <c r="CH59" s="3759"/>
      <c r="CI59" s="3759"/>
      <c r="CJ59" s="3759"/>
      <c r="CK59" s="3759"/>
      <c r="CL59" s="3759"/>
      <c r="CM59" s="3759"/>
      <c r="CN59" s="3759"/>
      <c r="CO59" s="3759"/>
      <c r="CP59" s="3759"/>
      <c r="CQ59" s="3759"/>
      <c r="CR59" s="3759"/>
      <c r="CS59" s="3759"/>
      <c r="CT59" s="3759"/>
      <c r="CU59" s="3759"/>
      <c r="CV59" s="3759"/>
      <c r="CW59" s="3759"/>
      <c r="CX59" s="3759"/>
      <c r="CY59" s="3759"/>
      <c r="CZ59" s="3759"/>
      <c r="DA59" s="3759"/>
      <c r="DB59" s="3759"/>
      <c r="DC59" s="3759"/>
      <c r="DD59" s="3759"/>
      <c r="DE59" s="3759"/>
      <c r="DF59" s="3759"/>
      <c r="DG59" s="3759"/>
      <c r="DH59" s="3759"/>
      <c r="DI59" s="3759"/>
    </row>
    <row r="60" spans="1:113" s="6" customFormat="1" hidden="1">
      <c r="A60" s="3759"/>
      <c r="B60" s="3774"/>
      <c r="C60" s="1079" t="s">
        <v>3005</v>
      </c>
      <c r="D60" s="980" t="s">
        <v>3007</v>
      </c>
      <c r="E60" s="3405"/>
      <c r="F60" s="3776"/>
      <c r="G60" s="3405"/>
      <c r="H60" s="3405"/>
      <c r="I60" s="3405"/>
      <c r="J60" s="3405"/>
      <c r="K60" s="3405"/>
      <c r="L60" s="3405"/>
      <c r="M60" s="3405"/>
      <c r="N60" s="3405"/>
      <c r="O60" s="3775"/>
      <c r="P60" s="1173"/>
      <c r="Q60" s="3772"/>
      <c r="R60" s="3772"/>
      <c r="S60" s="3772"/>
      <c r="T60" s="3772"/>
      <c r="U60" s="3772"/>
      <c r="V60" s="3772"/>
      <c r="W60" s="3772"/>
      <c r="X60" s="3772"/>
      <c r="Y60" s="3772"/>
      <c r="Z60" s="3772"/>
      <c r="AA60" s="3772"/>
      <c r="AB60" s="3772"/>
      <c r="AC60" s="3772"/>
      <c r="AD60" s="1173"/>
      <c r="AE60" s="3759"/>
      <c r="AF60" s="3759"/>
      <c r="AG60" s="3759"/>
      <c r="AH60" s="3759"/>
      <c r="AI60" s="3759"/>
      <c r="AJ60" s="3759"/>
      <c r="AK60" s="3759"/>
      <c r="AL60" s="3759"/>
      <c r="AM60" s="3759"/>
      <c r="AN60" s="3759"/>
      <c r="AO60" s="3759"/>
      <c r="AP60" s="3759"/>
      <c r="AQ60" s="3759"/>
      <c r="AR60" s="3759"/>
      <c r="AS60" s="3759"/>
      <c r="AT60" s="3759"/>
      <c r="AU60" s="3759"/>
      <c r="AV60" s="3759"/>
      <c r="AW60" s="3759"/>
      <c r="AX60" s="3759"/>
      <c r="AY60" s="3759"/>
      <c r="AZ60" s="3759"/>
      <c r="BA60" s="3759"/>
      <c r="BB60" s="3759"/>
      <c r="BC60" s="3759"/>
      <c r="BD60" s="3759"/>
      <c r="BE60" s="3759"/>
      <c r="BF60" s="3759"/>
      <c r="BG60" s="3759"/>
      <c r="BH60" s="3759"/>
      <c r="BI60" s="3759"/>
      <c r="BJ60" s="3759"/>
      <c r="BK60" s="3759"/>
      <c r="BL60" s="3759"/>
      <c r="BM60" s="3759"/>
      <c r="BN60" s="3759"/>
      <c r="BO60" s="3759"/>
      <c r="BP60" s="3759"/>
      <c r="BQ60" s="3759"/>
      <c r="BR60" s="3759"/>
      <c r="BS60" s="3759"/>
      <c r="BT60" s="3759"/>
      <c r="BU60" s="3759"/>
      <c r="BV60" s="3759"/>
      <c r="BW60" s="3759"/>
      <c r="BX60" s="3759"/>
      <c r="BY60" s="3759"/>
      <c r="BZ60" s="3759"/>
      <c r="CA60" s="3759"/>
      <c r="CB60" s="3759"/>
      <c r="CC60" s="3759"/>
      <c r="CD60" s="3759"/>
      <c r="CE60" s="3759"/>
      <c r="CF60" s="3759"/>
      <c r="CG60" s="3759"/>
      <c r="CH60" s="3759"/>
      <c r="CI60" s="3759"/>
      <c r="CJ60" s="3759"/>
      <c r="CK60" s="3759"/>
      <c r="CL60" s="3759"/>
      <c r="CM60" s="3759"/>
      <c r="CN60" s="3759"/>
      <c r="CO60" s="3759"/>
      <c r="CP60" s="3759"/>
      <c r="CQ60" s="3759"/>
      <c r="CR60" s="3759"/>
      <c r="CS60" s="3759"/>
      <c r="CT60" s="3759"/>
      <c r="CU60" s="3759"/>
      <c r="CV60" s="3759"/>
      <c r="CW60" s="3759"/>
      <c r="CX60" s="3759"/>
      <c r="CY60" s="3759"/>
      <c r="CZ60" s="3759"/>
      <c r="DA60" s="3759"/>
      <c r="DB60" s="3759"/>
      <c r="DC60" s="3759"/>
      <c r="DD60" s="3759"/>
      <c r="DE60" s="3759"/>
      <c r="DF60" s="3759"/>
      <c r="DG60" s="3759"/>
      <c r="DH60" s="3759"/>
      <c r="DI60" s="3759"/>
    </row>
    <row r="61" spans="1:113" s="6" customFormat="1" hidden="1">
      <c r="A61" s="3759"/>
      <c r="B61" s="3774"/>
      <c r="C61" s="924" t="s">
        <v>3008</v>
      </c>
      <c r="D61" s="941" t="s">
        <v>3009</v>
      </c>
      <c r="E61" s="3777"/>
      <c r="F61" s="3778"/>
      <c r="G61" s="3779"/>
      <c r="H61" s="3779"/>
      <c r="I61" s="3779"/>
      <c r="J61" s="3779"/>
      <c r="K61" s="3779"/>
      <c r="L61" s="3779"/>
      <c r="M61" s="3779"/>
      <c r="N61" s="3779"/>
      <c r="O61" s="3775"/>
      <c r="P61" s="3780"/>
      <c r="Q61" s="3772"/>
      <c r="R61" s="3772"/>
      <c r="S61" s="3772"/>
      <c r="T61" s="3772"/>
      <c r="U61" s="3772"/>
      <c r="V61" s="3772"/>
      <c r="W61" s="3772"/>
      <c r="X61" s="3772"/>
      <c r="Y61" s="3772"/>
      <c r="Z61" s="3772"/>
      <c r="AA61" s="3772"/>
      <c r="AB61" s="3772"/>
      <c r="AC61" s="3772"/>
      <c r="AD61" s="1173"/>
      <c r="AE61" s="3759"/>
      <c r="AF61" s="3759"/>
      <c r="AG61" s="3759"/>
      <c r="AH61" s="3759"/>
      <c r="AI61" s="3759"/>
      <c r="AJ61" s="3759"/>
      <c r="AK61" s="3759"/>
      <c r="AL61" s="3759"/>
      <c r="AM61" s="3759"/>
      <c r="AN61" s="3759"/>
      <c r="AO61" s="3759"/>
      <c r="AP61" s="3759"/>
      <c r="AQ61" s="3759"/>
      <c r="AR61" s="3759"/>
      <c r="AS61" s="3759"/>
      <c r="AT61" s="3759"/>
      <c r="AU61" s="3759"/>
      <c r="AV61" s="3759"/>
      <c r="AW61" s="3759"/>
      <c r="AX61" s="3759"/>
      <c r="AY61" s="3759"/>
      <c r="AZ61" s="3759"/>
      <c r="BA61" s="3759"/>
      <c r="BB61" s="3759"/>
      <c r="BC61" s="3759"/>
      <c r="BD61" s="3759"/>
      <c r="BE61" s="3759"/>
      <c r="BF61" s="3759"/>
      <c r="BG61" s="3759"/>
      <c r="BH61" s="3759"/>
      <c r="BI61" s="3759"/>
      <c r="BJ61" s="3759"/>
      <c r="BK61" s="3759"/>
      <c r="BL61" s="3759"/>
      <c r="BM61" s="3759"/>
      <c r="BN61" s="3759"/>
      <c r="BO61" s="3759"/>
      <c r="BP61" s="3759"/>
      <c r="BQ61" s="3759"/>
      <c r="BR61" s="3759"/>
      <c r="BS61" s="3759"/>
      <c r="BT61" s="3759"/>
      <c r="BU61" s="3759"/>
      <c r="BV61" s="3759"/>
      <c r="BW61" s="3759"/>
      <c r="BX61" s="3759"/>
      <c r="BY61" s="3759"/>
      <c r="BZ61" s="3759"/>
      <c r="CA61" s="3759"/>
      <c r="CB61" s="3759"/>
      <c r="CC61" s="3759"/>
      <c r="CD61" s="3759"/>
      <c r="CE61" s="3759"/>
      <c r="CF61" s="3759"/>
      <c r="CG61" s="3759"/>
      <c r="CH61" s="3759"/>
      <c r="CI61" s="3759"/>
      <c r="CJ61" s="3759"/>
      <c r="CK61" s="3759"/>
      <c r="CL61" s="3759"/>
      <c r="CM61" s="3759"/>
      <c r="CN61" s="3759"/>
      <c r="CO61" s="3759"/>
      <c r="CP61" s="3759"/>
      <c r="CQ61" s="3759"/>
      <c r="CR61" s="3759"/>
      <c r="CS61" s="3759"/>
      <c r="CT61" s="3759"/>
      <c r="CU61" s="3759"/>
      <c r="CV61" s="3759"/>
      <c r="CW61" s="3759"/>
      <c r="CX61" s="3759"/>
      <c r="CY61" s="3759"/>
      <c r="CZ61" s="3759"/>
      <c r="DA61" s="3759"/>
      <c r="DB61" s="3759"/>
      <c r="DC61" s="3759"/>
      <c r="DD61" s="3759"/>
      <c r="DE61" s="3759"/>
      <c r="DF61" s="3759"/>
      <c r="DG61" s="3759"/>
      <c r="DH61" s="3759"/>
      <c r="DI61" s="3759"/>
    </row>
    <row r="62" spans="1:113" s="6" customFormat="1" ht="15.75" hidden="1" customHeight="1">
      <c r="A62" s="40"/>
      <c r="B62" s="3771"/>
      <c r="C62" s="3781" t="s">
        <v>3010</v>
      </c>
      <c r="D62" s="1439" t="s">
        <v>3011</v>
      </c>
      <c r="E62" s="3407"/>
      <c r="F62" s="3782"/>
      <c r="G62" s="3407"/>
      <c r="H62" s="3407"/>
      <c r="I62" s="3407"/>
      <c r="J62" s="3407"/>
      <c r="K62" s="3407"/>
      <c r="L62" s="3407"/>
      <c r="M62" s="3407"/>
      <c r="N62" s="3407"/>
      <c r="O62" s="108"/>
      <c r="P62" s="3780"/>
      <c r="Q62" s="3772"/>
      <c r="R62" s="3772"/>
      <c r="S62" s="3772"/>
      <c r="T62" s="3772"/>
      <c r="U62" s="3772"/>
      <c r="V62" s="3772"/>
      <c r="W62" s="3772"/>
      <c r="X62" s="3772"/>
      <c r="Y62" s="3772"/>
      <c r="Z62" s="3772"/>
      <c r="AA62" s="3772"/>
      <c r="AB62" s="3772"/>
      <c r="AC62" s="3772"/>
      <c r="AD62" s="656"/>
    </row>
    <row r="63" spans="1:113" s="6" customFormat="1" ht="15.75" hidden="1" customHeight="1">
      <c r="A63" s="40"/>
      <c r="B63" s="3771"/>
      <c r="C63" s="946"/>
      <c r="D63" s="924"/>
      <c r="E63" s="941"/>
      <c r="F63" s="2519"/>
      <c r="G63" s="943"/>
      <c r="H63" s="943"/>
      <c r="I63" s="943"/>
      <c r="J63" s="943"/>
      <c r="K63" s="943"/>
      <c r="L63" s="943"/>
      <c r="M63" s="943"/>
      <c r="N63" s="67"/>
      <c r="O63" s="108"/>
      <c r="P63" s="3780"/>
      <c r="Q63" s="3428"/>
      <c r="R63" s="656"/>
      <c r="S63" s="656"/>
      <c r="T63" s="656"/>
      <c r="U63" s="656"/>
      <c r="V63" s="656"/>
      <c r="W63" s="656"/>
      <c r="X63" s="656"/>
      <c r="Y63" s="656"/>
      <c r="Z63" s="656"/>
      <c r="AA63" s="656"/>
      <c r="AB63" s="656"/>
      <c r="AC63" s="656"/>
      <c r="AD63" s="656"/>
    </row>
    <row r="64" spans="1:113" hidden="1">
      <c r="B64" s="2192"/>
      <c r="C64" s="49" t="s">
        <v>739</v>
      </c>
      <c r="D64" s="924"/>
      <c r="E64" s="941"/>
      <c r="F64" s="2519"/>
      <c r="G64" s="943"/>
      <c r="H64" s="943"/>
      <c r="I64" s="943"/>
      <c r="J64" s="943"/>
      <c r="K64" s="943"/>
      <c r="L64" s="943"/>
      <c r="M64" s="943"/>
      <c r="N64" s="944" t="s">
        <v>2812</v>
      </c>
      <c r="O64" s="67"/>
      <c r="P64" s="3780"/>
      <c r="Q64" s="656"/>
      <c r="R64" s="656"/>
      <c r="S64" s="656"/>
      <c r="T64" s="656"/>
      <c r="U64" s="656"/>
      <c r="V64" s="656"/>
      <c r="W64" s="656"/>
      <c r="X64" s="656"/>
      <c r="Y64" s="656"/>
      <c r="Z64" s="656"/>
      <c r="AA64" s="656"/>
      <c r="AB64" s="656"/>
      <c r="AC64" s="656"/>
      <c r="AD64" s="1173"/>
    </row>
    <row r="65" spans="2:30" hidden="1">
      <c r="B65" s="2192"/>
      <c r="C65" s="946"/>
      <c r="D65" s="924"/>
      <c r="E65" s="941"/>
      <c r="F65" s="2519"/>
      <c r="G65" s="943"/>
      <c r="H65" s="943"/>
      <c r="I65" s="943"/>
      <c r="J65" s="943"/>
      <c r="K65" s="943"/>
      <c r="L65" s="943"/>
      <c r="M65" s="943"/>
      <c r="N65" s="67"/>
      <c r="O65" s="67"/>
      <c r="P65" s="3780"/>
      <c r="Q65" s="1173"/>
      <c r="R65" s="1173"/>
      <c r="S65" s="1173"/>
      <c r="T65" s="1173"/>
      <c r="U65" s="1173"/>
      <c r="V65" s="1173"/>
      <c r="W65" s="1173"/>
      <c r="X65" s="1173"/>
      <c r="Y65" s="1173"/>
      <c r="Z65" s="1173"/>
      <c r="AA65" s="1173"/>
      <c r="AB65" s="3783"/>
      <c r="AC65" s="3783"/>
      <c r="AD65" s="1173"/>
    </row>
    <row r="66" spans="2:30" hidden="1">
      <c r="B66" s="2192"/>
      <c r="C66" s="1179"/>
      <c r="D66" s="980" t="s">
        <v>1491</v>
      </c>
      <c r="E66" s="980" t="s">
        <v>160</v>
      </c>
      <c r="F66" s="2940">
        <v>2013</v>
      </c>
      <c r="G66" s="974">
        <v>2015</v>
      </c>
      <c r="H66" s="974">
        <v>2020</v>
      </c>
      <c r="I66" s="974">
        <v>2025</v>
      </c>
      <c r="J66" s="974">
        <v>2030</v>
      </c>
      <c r="K66" s="974">
        <v>2035</v>
      </c>
      <c r="L66" s="974">
        <v>2040</v>
      </c>
      <c r="M66" s="974">
        <v>2045</v>
      </c>
      <c r="N66" s="974">
        <v>2050</v>
      </c>
      <c r="O66" s="67"/>
      <c r="P66" s="3780"/>
      <c r="Q66" s="3783"/>
      <c r="R66" s="3783"/>
      <c r="S66" s="3783"/>
      <c r="T66" s="3783"/>
      <c r="U66" s="3784"/>
      <c r="V66" s="3784"/>
      <c r="W66" s="3784"/>
      <c r="X66" s="3784"/>
      <c r="Y66" s="3783"/>
      <c r="Z66" s="3783"/>
      <c r="AA66" s="3783"/>
      <c r="AB66" s="3783"/>
      <c r="AC66" s="3783"/>
      <c r="AD66" s="1173"/>
    </row>
    <row r="67" spans="2:30" hidden="1">
      <c r="B67" s="2192"/>
      <c r="C67" s="1079" t="s">
        <v>3005</v>
      </c>
      <c r="D67" s="980" t="s">
        <v>3007</v>
      </c>
      <c r="E67" s="3405"/>
      <c r="F67" s="3785"/>
      <c r="G67" s="3405"/>
      <c r="H67" s="3405"/>
      <c r="I67" s="3405"/>
      <c r="J67" s="3405"/>
      <c r="K67" s="3405"/>
      <c r="L67" s="3405"/>
      <c r="M67" s="3405"/>
      <c r="N67" s="3404"/>
      <c r="O67" s="67"/>
      <c r="P67" s="3780"/>
      <c r="Q67" s="3786"/>
      <c r="R67" s="3787"/>
      <c r="S67" s="3783"/>
      <c r="T67" s="3788"/>
      <c r="U67" s="3788"/>
      <c r="V67" s="3788"/>
      <c r="W67" s="3788"/>
      <c r="X67" s="3788"/>
      <c r="Y67" s="3786"/>
      <c r="Z67" s="3783"/>
      <c r="AA67" s="3783"/>
      <c r="AB67" s="3783"/>
      <c r="AC67" s="3783"/>
      <c r="AD67" s="1173"/>
    </row>
    <row r="68" spans="2:30" hidden="1">
      <c r="B68" s="2192"/>
      <c r="C68" s="924" t="s">
        <v>3008</v>
      </c>
      <c r="D68" s="941" t="s">
        <v>3009</v>
      </c>
      <c r="E68" s="3777"/>
      <c r="F68" s="3789"/>
      <c r="G68" s="3777"/>
      <c r="H68" s="3777"/>
      <c r="I68" s="3777"/>
      <c r="J68" s="3777"/>
      <c r="K68" s="3777"/>
      <c r="L68" s="3777"/>
      <c r="M68" s="3777"/>
      <c r="N68" s="3777"/>
      <c r="O68" s="67"/>
      <c r="P68" s="3780"/>
      <c r="Q68" s="3783"/>
      <c r="R68" s="3787"/>
      <c r="S68" s="3783"/>
      <c r="T68" s="3783"/>
      <c r="U68" s="3788"/>
      <c r="V68" s="3788"/>
      <c r="W68" s="3788"/>
      <c r="X68" s="3788"/>
      <c r="Y68" s="3783"/>
      <c r="Z68" s="3783"/>
      <c r="AA68" s="3783"/>
      <c r="AB68" s="2856"/>
      <c r="AC68" s="3783"/>
      <c r="AD68" s="1173"/>
    </row>
    <row r="69" spans="2:30" hidden="1">
      <c r="B69" s="2192"/>
      <c r="C69" s="3781" t="s">
        <v>3010</v>
      </c>
      <c r="D69" s="1439" t="s">
        <v>3011</v>
      </c>
      <c r="E69" s="3407"/>
      <c r="F69" s="3790"/>
      <c r="G69" s="3407"/>
      <c r="H69" s="3407"/>
      <c r="I69" s="3407"/>
      <c r="J69" s="3407"/>
      <c r="K69" s="3407"/>
      <c r="L69" s="3407"/>
      <c r="M69" s="3407"/>
      <c r="N69" s="3406"/>
      <c r="O69" s="67"/>
      <c r="P69" s="3780"/>
      <c r="Q69" s="2572"/>
      <c r="R69" s="2572"/>
      <c r="S69" s="2572"/>
      <c r="T69" s="2856"/>
      <c r="U69" s="2856"/>
      <c r="V69" s="2856"/>
      <c r="W69" s="2856"/>
      <c r="X69" s="2856"/>
      <c r="Y69" s="2856"/>
      <c r="Z69" s="2856"/>
      <c r="AA69" s="2856"/>
      <c r="AB69" s="3791"/>
      <c r="AC69" s="3783"/>
      <c r="AD69" s="1173"/>
    </row>
    <row r="70" spans="2:30" hidden="1">
      <c r="B70" s="2192"/>
      <c r="C70" s="47"/>
      <c r="D70" s="47"/>
      <c r="E70" s="47"/>
      <c r="F70" s="47"/>
      <c r="G70" s="47"/>
      <c r="H70" s="47"/>
      <c r="I70" s="47"/>
      <c r="J70" s="47"/>
      <c r="K70" s="47"/>
      <c r="L70" s="47"/>
      <c r="M70" s="47"/>
      <c r="N70" s="47"/>
      <c r="O70" s="67"/>
      <c r="P70" s="3780"/>
      <c r="Q70" s="521"/>
      <c r="R70" s="521"/>
      <c r="S70" s="521"/>
      <c r="T70" s="3791"/>
      <c r="U70" s="3792"/>
      <c r="V70" s="3792"/>
      <c r="W70" s="3792"/>
      <c r="X70" s="3792"/>
      <c r="Y70" s="3791"/>
      <c r="Z70" s="3791"/>
      <c r="AA70" s="3791"/>
      <c r="AB70" s="3791"/>
      <c r="AC70" s="3783"/>
      <c r="AD70" s="1173"/>
    </row>
    <row r="71" spans="2:30" hidden="1">
      <c r="B71" s="2192"/>
      <c r="C71" s="49" t="s">
        <v>740</v>
      </c>
      <c r="D71" s="924"/>
      <c r="E71" s="941"/>
      <c r="F71" s="2519"/>
      <c r="G71" s="943"/>
      <c r="H71" s="943"/>
      <c r="I71" s="943"/>
      <c r="J71" s="943"/>
      <c r="K71" s="943"/>
      <c r="L71" s="943"/>
      <c r="M71" s="943"/>
      <c r="N71" s="944" t="s">
        <v>2812</v>
      </c>
      <c r="O71" s="67"/>
      <c r="P71" s="3780"/>
      <c r="Q71" s="521"/>
      <c r="R71" s="521"/>
      <c r="S71" s="521"/>
      <c r="T71" s="3791"/>
      <c r="U71" s="3792"/>
      <c r="V71" s="3791"/>
      <c r="W71" s="3792"/>
      <c r="X71" s="3792"/>
      <c r="Y71" s="1173"/>
      <c r="Z71" s="1173"/>
      <c r="AA71" s="3791"/>
      <c r="AB71" s="3791"/>
      <c r="AC71" s="3783"/>
      <c r="AD71" s="1173"/>
    </row>
    <row r="72" spans="2:30" hidden="1">
      <c r="B72" s="2192"/>
      <c r="C72" s="946"/>
      <c r="D72" s="924"/>
      <c r="E72" s="941"/>
      <c r="F72" s="2519"/>
      <c r="G72" s="943"/>
      <c r="H72" s="943"/>
      <c r="I72" s="943"/>
      <c r="J72" s="943"/>
      <c r="K72" s="943"/>
      <c r="L72" s="943"/>
      <c r="M72" s="943"/>
      <c r="N72" s="67"/>
      <c r="O72" s="67"/>
      <c r="P72" s="3780"/>
      <c r="Q72" s="1173"/>
      <c r="R72" s="1173"/>
      <c r="S72" s="1173"/>
      <c r="T72" s="3791"/>
      <c r="U72" s="3792"/>
      <c r="V72" s="3791"/>
      <c r="W72" s="3792"/>
      <c r="X72" s="3792"/>
      <c r="Y72" s="3791"/>
      <c r="Z72" s="3791"/>
      <c r="AA72" s="3791"/>
      <c r="AB72" s="3791"/>
      <c r="AC72" s="3783"/>
      <c r="AD72" s="1173"/>
    </row>
    <row r="73" spans="2:30" hidden="1">
      <c r="B73" s="2192"/>
      <c r="C73" s="1179"/>
      <c r="D73" s="980" t="s">
        <v>1491</v>
      </c>
      <c r="E73" s="980" t="s">
        <v>160</v>
      </c>
      <c r="F73" s="2940">
        <v>2013</v>
      </c>
      <c r="G73" s="974">
        <v>2015</v>
      </c>
      <c r="H73" s="974">
        <v>2020</v>
      </c>
      <c r="I73" s="974">
        <v>2025</v>
      </c>
      <c r="J73" s="974">
        <v>2030</v>
      </c>
      <c r="K73" s="974">
        <v>2035</v>
      </c>
      <c r="L73" s="974">
        <v>2040</v>
      </c>
      <c r="M73" s="974">
        <v>2045</v>
      </c>
      <c r="N73" s="974">
        <v>2050</v>
      </c>
      <c r="O73" s="67"/>
      <c r="P73" s="3780"/>
      <c r="Q73" s="1173"/>
      <c r="R73" s="1173"/>
      <c r="S73" s="1173"/>
      <c r="T73" s="3791"/>
      <c r="U73" s="3792"/>
      <c r="V73" s="3791"/>
      <c r="W73" s="3792"/>
      <c r="X73" s="3792"/>
      <c r="Y73" s="3791"/>
      <c r="Z73" s="3791"/>
      <c r="AA73" s="3791"/>
      <c r="AB73" s="3791"/>
      <c r="AC73" s="3783"/>
      <c r="AD73" s="1173"/>
    </row>
    <row r="74" spans="2:30" hidden="1">
      <c r="B74" s="2192"/>
      <c r="C74" s="1079" t="s">
        <v>3005</v>
      </c>
      <c r="D74" s="980" t="s">
        <v>3007</v>
      </c>
      <c r="E74" s="3405"/>
      <c r="F74" s="3776"/>
      <c r="G74" s="3405"/>
      <c r="H74" s="3405"/>
      <c r="I74" s="3405"/>
      <c r="J74" s="3405"/>
      <c r="K74" s="3405"/>
      <c r="L74" s="3405"/>
      <c r="M74" s="3405"/>
      <c r="N74" s="3405"/>
      <c r="O74" s="67"/>
      <c r="P74" s="3780"/>
      <c r="Q74" s="521"/>
      <c r="R74" s="521"/>
      <c r="S74" s="521"/>
      <c r="T74" s="3791"/>
      <c r="U74" s="3792"/>
      <c r="V74" s="3791"/>
      <c r="W74" s="3792"/>
      <c r="X74" s="3792"/>
      <c r="Y74" s="3791"/>
      <c r="Z74" s="3791"/>
      <c r="AA74" s="3791"/>
      <c r="AB74" s="3791"/>
      <c r="AC74" s="3783"/>
      <c r="AD74" s="1173"/>
    </row>
    <row r="75" spans="2:30" hidden="1">
      <c r="B75" s="2192"/>
      <c r="C75" s="924" t="s">
        <v>3008</v>
      </c>
      <c r="D75" s="941" t="s">
        <v>3009</v>
      </c>
      <c r="E75" s="3777"/>
      <c r="F75" s="3793"/>
      <c r="G75" s="3779"/>
      <c r="H75" s="3779"/>
      <c r="I75" s="3779"/>
      <c r="J75" s="3779"/>
      <c r="K75" s="3779"/>
      <c r="L75" s="3779"/>
      <c r="M75" s="3779"/>
      <c r="N75" s="3779"/>
      <c r="O75" s="67"/>
      <c r="P75" s="3780"/>
      <c r="Q75" s="2572"/>
      <c r="R75" s="521"/>
      <c r="S75" s="521"/>
      <c r="T75" s="3791"/>
      <c r="U75" s="3792"/>
      <c r="V75" s="3791"/>
      <c r="W75" s="3792"/>
      <c r="X75" s="3792"/>
      <c r="Y75" s="3791"/>
      <c r="Z75" s="3791"/>
      <c r="AA75" s="3791"/>
      <c r="AB75" s="3791"/>
      <c r="AC75" s="3783"/>
      <c r="AD75" s="1173"/>
    </row>
    <row r="76" spans="2:30" hidden="1">
      <c r="B76" s="110"/>
      <c r="C76" s="3781" t="s">
        <v>3010</v>
      </c>
      <c r="D76" s="1439" t="s">
        <v>3011</v>
      </c>
      <c r="E76" s="3407"/>
      <c r="F76" s="3782"/>
      <c r="G76" s="3407"/>
      <c r="H76" s="3407"/>
      <c r="I76" s="3407"/>
      <c r="J76" s="3407"/>
      <c r="K76" s="3407"/>
      <c r="L76" s="3407"/>
      <c r="M76" s="3407"/>
      <c r="N76" s="3407"/>
      <c r="O76" s="67"/>
      <c r="P76" s="3780"/>
      <c r="Q76" s="521"/>
      <c r="R76" s="521"/>
      <c r="S76" s="521"/>
      <c r="T76" s="3791"/>
      <c r="U76" s="3792"/>
      <c r="V76" s="3791"/>
      <c r="W76" s="3792"/>
      <c r="X76" s="3792"/>
      <c r="Y76" s="3791"/>
      <c r="Z76" s="3791"/>
      <c r="AA76" s="3791"/>
      <c r="AB76" s="3791"/>
      <c r="AC76" s="3783"/>
      <c r="AD76" s="1173"/>
    </row>
    <row r="77" spans="2:30" hidden="1">
      <c r="B77" s="110"/>
      <c r="C77" s="47"/>
      <c r="D77" s="47"/>
      <c r="E77" s="47"/>
      <c r="F77" s="47"/>
      <c r="G77" s="47"/>
      <c r="H77" s="47"/>
      <c r="I77" s="47"/>
      <c r="J77" s="47"/>
      <c r="K77" s="47"/>
      <c r="L77" s="47"/>
      <c r="M77" s="47"/>
      <c r="N77" s="47"/>
      <c r="O77" s="67"/>
      <c r="P77" s="3780"/>
      <c r="Q77" s="3794"/>
      <c r="R77" s="1178"/>
      <c r="S77" s="3795"/>
      <c r="T77" s="1178"/>
      <c r="U77" s="1178"/>
      <c r="V77" s="3795"/>
      <c r="W77" s="1173"/>
      <c r="X77" s="1173"/>
      <c r="Y77" s="1173"/>
      <c r="Z77" s="1173"/>
      <c r="AA77" s="1173"/>
      <c r="AB77" s="1173"/>
      <c r="AC77" s="1173"/>
      <c r="AD77" s="1173"/>
    </row>
    <row r="78" spans="2:30" ht="18.75" hidden="1">
      <c r="B78" s="110"/>
      <c r="C78" s="3773" t="s">
        <v>173</v>
      </c>
      <c r="D78" s="108"/>
      <c r="E78" s="108"/>
      <c r="F78" s="108"/>
      <c r="G78" s="108"/>
      <c r="H78" s="108"/>
      <c r="I78" s="108"/>
      <c r="J78" s="108"/>
      <c r="K78" s="108"/>
      <c r="L78" s="108"/>
      <c r="M78" s="108"/>
      <c r="N78" s="108"/>
      <c r="O78" s="67"/>
      <c r="P78" s="3780"/>
      <c r="Q78" s="1178"/>
      <c r="R78" s="1178"/>
      <c r="S78" s="1178"/>
      <c r="T78" s="1178"/>
      <c r="U78" s="1178"/>
      <c r="V78" s="1178"/>
      <c r="W78" s="1173"/>
      <c r="X78" s="1173"/>
      <c r="Y78" s="1173"/>
      <c r="Z78" s="1173"/>
      <c r="AA78" s="1173"/>
      <c r="AB78" s="1173"/>
      <c r="AC78" s="1173"/>
      <c r="AD78" s="1173"/>
    </row>
    <row r="79" spans="2:30" hidden="1">
      <c r="B79" s="110"/>
      <c r="C79" s="49" t="s">
        <v>738</v>
      </c>
      <c r="D79" s="924"/>
      <c r="E79" s="941"/>
      <c r="F79" s="2519"/>
      <c r="G79" s="943"/>
      <c r="H79" s="943"/>
      <c r="I79" s="943"/>
      <c r="J79" s="943"/>
      <c r="K79" s="943"/>
      <c r="L79" s="943"/>
      <c r="M79" s="943"/>
      <c r="N79" s="944" t="s">
        <v>2812</v>
      </c>
      <c r="O79" s="67"/>
      <c r="P79" s="3780"/>
      <c r="Q79" s="617"/>
      <c r="R79" s="616"/>
      <c r="S79" s="212"/>
      <c r="T79" s="212"/>
      <c r="U79" s="2539"/>
      <c r="V79" s="2539"/>
      <c r="W79" s="1173"/>
      <c r="X79" s="1173"/>
      <c r="Y79" s="1173"/>
      <c r="Z79" s="1173"/>
      <c r="AA79" s="1173"/>
      <c r="AB79" s="1173"/>
      <c r="AC79" s="1173"/>
      <c r="AD79" s="1173"/>
    </row>
    <row r="80" spans="2:30" hidden="1">
      <c r="B80" s="110"/>
      <c r="C80" s="946"/>
      <c r="D80" s="924"/>
      <c r="E80" s="941"/>
      <c r="F80" s="2519"/>
      <c r="G80" s="943"/>
      <c r="H80" s="943"/>
      <c r="I80" s="943"/>
      <c r="J80" s="943"/>
      <c r="K80" s="943"/>
      <c r="L80" s="943"/>
      <c r="M80" s="943"/>
      <c r="N80" s="67"/>
      <c r="O80" s="67"/>
      <c r="P80" s="3780"/>
      <c r="Q80" s="519"/>
      <c r="R80" s="1085"/>
      <c r="S80" s="3796"/>
      <c r="T80" s="3796"/>
      <c r="U80" s="2539"/>
      <c r="V80" s="2539"/>
      <c r="W80" s="1173"/>
      <c r="X80" s="1173"/>
      <c r="Y80" s="1173"/>
      <c r="Z80" s="1173"/>
      <c r="AA80" s="1173"/>
      <c r="AB80" s="1173"/>
      <c r="AC80" s="1173"/>
      <c r="AD80" s="1173"/>
    </row>
    <row r="81" spans="2:30" hidden="1">
      <c r="B81" s="110"/>
      <c r="C81" s="1179"/>
      <c r="D81" s="980" t="s">
        <v>1491</v>
      </c>
      <c r="E81" s="980" t="s">
        <v>160</v>
      </c>
      <c r="F81" s="2940">
        <v>2013</v>
      </c>
      <c r="G81" s="974">
        <v>2015</v>
      </c>
      <c r="H81" s="974">
        <v>2020</v>
      </c>
      <c r="I81" s="974">
        <v>2025</v>
      </c>
      <c r="J81" s="974">
        <v>2030</v>
      </c>
      <c r="K81" s="974">
        <v>2035</v>
      </c>
      <c r="L81" s="974">
        <v>2040</v>
      </c>
      <c r="M81" s="974">
        <v>2045</v>
      </c>
      <c r="N81" s="974">
        <v>2050</v>
      </c>
      <c r="O81" s="67"/>
      <c r="P81" s="3780"/>
      <c r="Q81" s="519"/>
      <c r="R81" s="1085"/>
      <c r="S81" s="3796"/>
      <c r="T81" s="3796"/>
      <c r="U81" s="1087"/>
      <c r="V81" s="1087"/>
      <c r="W81" s="1173"/>
      <c r="X81" s="1173"/>
      <c r="Y81" s="1173"/>
      <c r="Z81" s="1173"/>
      <c r="AA81" s="1173"/>
      <c r="AB81" s="1173"/>
      <c r="AC81" s="1173"/>
      <c r="AD81" s="1173"/>
    </row>
    <row r="82" spans="2:30" hidden="1">
      <c r="B82" s="2192"/>
      <c r="C82" s="1079" t="s">
        <v>3005</v>
      </c>
      <c r="D82" s="980" t="s">
        <v>3007</v>
      </c>
      <c r="E82" s="3405"/>
      <c r="F82" s="3776"/>
      <c r="G82" s="3405"/>
      <c r="H82" s="3405"/>
      <c r="I82" s="3405"/>
      <c r="J82" s="3405"/>
      <c r="K82" s="3405"/>
      <c r="L82" s="3405"/>
      <c r="M82" s="3405"/>
      <c r="N82" s="3405"/>
      <c r="O82" s="67"/>
      <c r="P82" s="3780"/>
      <c r="Q82" s="2572"/>
      <c r="R82" s="2572"/>
      <c r="S82" s="2556"/>
      <c r="T82" s="2556"/>
      <c r="U82" s="3797"/>
      <c r="V82" s="3797"/>
      <c r="W82" s="1173"/>
      <c r="X82" s="1173"/>
      <c r="Y82" s="1173"/>
      <c r="Z82" s="1173"/>
      <c r="AA82" s="1173"/>
      <c r="AB82" s="1173"/>
      <c r="AC82" s="1173"/>
      <c r="AD82" s="1173"/>
    </row>
    <row r="83" spans="2:30" hidden="1">
      <c r="B83" s="2192"/>
      <c r="C83" s="924" t="s">
        <v>3008</v>
      </c>
      <c r="D83" s="941" t="s">
        <v>3009</v>
      </c>
      <c r="E83" s="3777"/>
      <c r="F83" s="3793"/>
      <c r="G83" s="3777"/>
      <c r="H83" s="3777"/>
      <c r="I83" s="3777"/>
      <c r="J83" s="3777"/>
      <c r="K83" s="3777"/>
      <c r="L83" s="3777"/>
      <c r="M83" s="3777"/>
      <c r="N83" s="3779"/>
      <c r="O83" s="67"/>
      <c r="P83" s="3780"/>
      <c r="Q83" s="3428"/>
      <c r="R83" s="3792"/>
      <c r="S83" s="3792"/>
      <c r="T83" s="3792"/>
      <c r="U83" s="3792"/>
      <c r="V83" s="3791"/>
      <c r="W83" s="3792"/>
      <c r="X83" s="3792"/>
      <c r="Y83" s="3791"/>
      <c r="Z83" s="3791"/>
      <c r="AA83" s="3791"/>
      <c r="AB83" s="3791"/>
      <c r="AC83" s="3783"/>
      <c r="AD83" s="1173"/>
    </row>
    <row r="84" spans="2:30" hidden="1">
      <c r="B84" s="2192"/>
      <c r="C84" s="3781" t="s">
        <v>3010</v>
      </c>
      <c r="D84" s="1439" t="s">
        <v>3011</v>
      </c>
      <c r="E84" s="3407"/>
      <c r="F84" s="3782"/>
      <c r="G84" s="3407"/>
      <c r="H84" s="3407"/>
      <c r="I84" s="3407"/>
      <c r="J84" s="3407"/>
      <c r="K84" s="3407"/>
      <c r="L84" s="3407"/>
      <c r="M84" s="3407"/>
      <c r="N84" s="3407"/>
      <c r="O84" s="67"/>
      <c r="P84" s="3780"/>
      <c r="Q84" s="521"/>
      <c r="R84" s="521"/>
      <c r="S84" s="521"/>
      <c r="T84" s="3791"/>
      <c r="U84" s="3792"/>
      <c r="V84" s="3791"/>
      <c r="W84" s="3792"/>
      <c r="X84" s="3792"/>
      <c r="Y84" s="3791"/>
      <c r="Z84" s="3791"/>
      <c r="AA84" s="3791"/>
      <c r="AB84" s="3791"/>
      <c r="AC84" s="3783"/>
      <c r="AD84" s="1173"/>
    </row>
    <row r="85" spans="2:30" hidden="1">
      <c r="B85" s="2192"/>
      <c r="C85" s="946"/>
      <c r="D85" s="924"/>
      <c r="E85" s="941"/>
      <c r="F85" s="3401"/>
      <c r="G85" s="943"/>
      <c r="H85" s="943"/>
      <c r="I85" s="943"/>
      <c r="J85" s="943"/>
      <c r="K85" s="943"/>
      <c r="L85" s="943"/>
      <c r="M85" s="943"/>
      <c r="N85" s="67"/>
      <c r="O85" s="67"/>
      <c r="P85" s="3780"/>
      <c r="Q85" s="3786"/>
      <c r="R85" s="3798"/>
      <c r="S85" s="3798"/>
      <c r="T85" s="3798"/>
      <c r="U85" s="3799"/>
      <c r="V85" s="3799"/>
      <c r="W85" s="3799"/>
      <c r="X85" s="3799"/>
      <c r="Y85" s="3799"/>
      <c r="Z85" s="3799"/>
      <c r="AA85" s="3799"/>
      <c r="AB85" s="3799"/>
      <c r="AC85" s="3799"/>
      <c r="AD85" s="1173"/>
    </row>
    <row r="86" spans="2:30" hidden="1">
      <c r="B86" s="2192"/>
      <c r="C86" s="49" t="s">
        <v>739</v>
      </c>
      <c r="D86" s="924"/>
      <c r="E86" s="941"/>
      <c r="F86" s="2519"/>
      <c r="G86" s="943"/>
      <c r="H86" s="943"/>
      <c r="I86" s="943"/>
      <c r="J86" s="943"/>
      <c r="K86" s="943"/>
      <c r="L86" s="943"/>
      <c r="M86" s="943"/>
      <c r="N86" s="944" t="s">
        <v>2812</v>
      </c>
      <c r="O86" s="67"/>
      <c r="P86" s="3780"/>
      <c r="Q86" s="3800"/>
      <c r="R86" s="521"/>
      <c r="S86" s="2552"/>
      <c r="T86" s="3801"/>
      <c r="U86" s="3801"/>
      <c r="V86" s="3802"/>
      <c r="W86" s="3802"/>
      <c r="X86" s="3802"/>
      <c r="Y86" s="3802"/>
      <c r="Z86" s="3802"/>
      <c r="AA86" s="3802"/>
      <c r="AB86" s="3802"/>
      <c r="AC86" s="3802"/>
      <c r="AD86" s="1173"/>
    </row>
    <row r="87" spans="2:30" hidden="1">
      <c r="B87" s="2192"/>
      <c r="C87" s="946"/>
      <c r="D87" s="924"/>
      <c r="E87" s="941"/>
      <c r="F87" s="2519"/>
      <c r="G87" s="943"/>
      <c r="H87" s="943"/>
      <c r="I87" s="943"/>
      <c r="J87" s="943"/>
      <c r="K87" s="943"/>
      <c r="L87" s="943"/>
      <c r="M87" s="943"/>
      <c r="N87" s="67"/>
      <c r="O87" s="67"/>
      <c r="P87" s="3780"/>
      <c r="Q87" s="3800"/>
      <c r="R87" s="521"/>
      <c r="S87" s="2552"/>
      <c r="T87" s="3801"/>
      <c r="U87" s="3801"/>
      <c r="V87" s="3802"/>
      <c r="W87" s="3802"/>
      <c r="X87" s="3802"/>
      <c r="Y87" s="3802"/>
      <c r="Z87" s="3802"/>
      <c r="AA87" s="3802"/>
      <c r="AB87" s="3802"/>
      <c r="AC87" s="3802"/>
      <c r="AD87" s="1173"/>
    </row>
    <row r="88" spans="2:30" hidden="1">
      <c r="B88" s="2192"/>
      <c r="C88" s="1179"/>
      <c r="D88" s="980" t="s">
        <v>1491</v>
      </c>
      <c r="E88" s="980" t="s">
        <v>160</v>
      </c>
      <c r="F88" s="2940">
        <v>2013</v>
      </c>
      <c r="G88" s="974">
        <v>2015</v>
      </c>
      <c r="H88" s="974">
        <v>2020</v>
      </c>
      <c r="I88" s="974">
        <v>2025</v>
      </c>
      <c r="J88" s="974">
        <v>2030</v>
      </c>
      <c r="K88" s="974">
        <v>2035</v>
      </c>
      <c r="L88" s="974">
        <v>2040</v>
      </c>
      <c r="M88" s="974">
        <v>2045</v>
      </c>
      <c r="N88" s="974">
        <v>2050</v>
      </c>
      <c r="O88" s="67"/>
      <c r="P88" s="3780"/>
      <c r="Q88" s="3800"/>
      <c r="R88" s="521"/>
      <c r="S88" s="2552"/>
      <c r="T88" s="3801"/>
      <c r="U88" s="3801"/>
      <c r="V88" s="3802"/>
      <c r="W88" s="3802"/>
      <c r="X88" s="3802"/>
      <c r="Y88" s="3802"/>
      <c r="Z88" s="3802"/>
      <c r="AA88" s="3802"/>
      <c r="AB88" s="3802"/>
      <c r="AC88" s="3802"/>
      <c r="AD88" s="1173"/>
    </row>
    <row r="89" spans="2:30" hidden="1">
      <c r="B89" s="2192"/>
      <c r="C89" s="1079" t="s">
        <v>3005</v>
      </c>
      <c r="D89" s="980" t="s">
        <v>3007</v>
      </c>
      <c r="E89" s="3405"/>
      <c r="F89" s="3785"/>
      <c r="G89" s="3405"/>
      <c r="H89" s="3405"/>
      <c r="I89" s="3405"/>
      <c r="J89" s="3405"/>
      <c r="K89" s="3405"/>
      <c r="L89" s="3405"/>
      <c r="M89" s="3405"/>
      <c r="N89" s="3404"/>
      <c r="O89" s="67"/>
      <c r="P89" s="3780"/>
      <c r="Q89" s="3800"/>
      <c r="R89" s="521"/>
      <c r="S89" s="2552"/>
      <c r="T89" s="3801"/>
      <c r="U89" s="3801"/>
      <c r="V89" s="3802"/>
      <c r="W89" s="3802"/>
      <c r="X89" s="3802"/>
      <c r="Y89" s="3802"/>
      <c r="Z89" s="3802"/>
      <c r="AA89" s="3802"/>
      <c r="AB89" s="3802"/>
      <c r="AC89" s="3802"/>
      <c r="AD89" s="1173"/>
    </row>
    <row r="90" spans="2:30" hidden="1">
      <c r="B90" s="2192"/>
      <c r="C90" s="924" t="s">
        <v>3008</v>
      </c>
      <c r="D90" s="941" t="s">
        <v>3009</v>
      </c>
      <c r="E90" s="3777"/>
      <c r="F90" s="2970"/>
      <c r="G90" s="3777"/>
      <c r="H90" s="3777"/>
      <c r="I90" s="3777"/>
      <c r="J90" s="3777"/>
      <c r="K90" s="3777"/>
      <c r="L90" s="3777"/>
      <c r="M90" s="3777"/>
      <c r="N90" s="2971"/>
      <c r="O90" s="67"/>
      <c r="P90" s="3780"/>
      <c r="Q90" s="3800"/>
      <c r="R90" s="521"/>
      <c r="S90" s="2552"/>
      <c r="T90" s="3801"/>
      <c r="U90" s="3801"/>
      <c r="V90" s="3802"/>
      <c r="W90" s="3802"/>
      <c r="X90" s="3802"/>
      <c r="Y90" s="3802"/>
      <c r="Z90" s="3802"/>
      <c r="AA90" s="3802"/>
      <c r="AB90" s="3802"/>
      <c r="AC90" s="3802"/>
      <c r="AD90" s="1173"/>
    </row>
    <row r="91" spans="2:30" hidden="1">
      <c r="B91" s="2192"/>
      <c r="C91" s="3781" t="s">
        <v>3010</v>
      </c>
      <c r="D91" s="1439" t="s">
        <v>3011</v>
      </c>
      <c r="E91" s="3407"/>
      <c r="F91" s="3790"/>
      <c r="G91" s="3407"/>
      <c r="H91" s="3407"/>
      <c r="I91" s="3407"/>
      <c r="J91" s="3407"/>
      <c r="K91" s="3407"/>
      <c r="L91" s="3407"/>
      <c r="M91" s="3407"/>
      <c r="N91" s="3406"/>
      <c r="O91" s="67"/>
      <c r="P91" s="3780"/>
      <c r="Q91" s="3800"/>
      <c r="R91" s="521"/>
      <c r="S91" s="2552"/>
      <c r="T91" s="3801"/>
      <c r="U91" s="3801"/>
      <c r="V91" s="3802"/>
      <c r="W91" s="3802"/>
      <c r="X91" s="3802"/>
      <c r="Y91" s="3802"/>
      <c r="Z91" s="3802"/>
      <c r="AA91" s="3802"/>
      <c r="AB91" s="3802"/>
      <c r="AC91" s="3802"/>
      <c r="AD91" s="1173"/>
    </row>
    <row r="92" spans="2:30" hidden="1">
      <c r="B92" s="2192"/>
      <c r="C92" s="47"/>
      <c r="D92" s="47"/>
      <c r="E92" s="47"/>
      <c r="F92" s="47"/>
      <c r="G92" s="47"/>
      <c r="H92" s="47"/>
      <c r="I92" s="47"/>
      <c r="J92" s="47"/>
      <c r="K92" s="47"/>
      <c r="L92" s="47"/>
      <c r="M92" s="47"/>
      <c r="N92" s="47"/>
      <c r="O92" s="67"/>
      <c r="P92" s="3780"/>
      <c r="Q92" s="3800"/>
      <c r="R92" s="521"/>
      <c r="S92" s="2552"/>
      <c r="T92" s="3801"/>
      <c r="U92" s="3801"/>
      <c r="V92" s="3802"/>
      <c r="W92" s="3802"/>
      <c r="X92" s="3802"/>
      <c r="Y92" s="3802"/>
      <c r="Z92" s="3802"/>
      <c r="AA92" s="3802"/>
      <c r="AB92" s="3802"/>
      <c r="AC92" s="3802"/>
      <c r="AD92" s="1173"/>
    </row>
    <row r="93" spans="2:30" hidden="1">
      <c r="B93" s="2192"/>
      <c r="C93" s="49" t="s">
        <v>740</v>
      </c>
      <c r="D93" s="924"/>
      <c r="E93" s="941"/>
      <c r="F93" s="2519"/>
      <c r="G93" s="943"/>
      <c r="H93" s="943"/>
      <c r="I93" s="943"/>
      <c r="J93" s="943"/>
      <c r="K93" s="943"/>
      <c r="L93" s="943"/>
      <c r="M93" s="943"/>
      <c r="N93" s="944" t="s">
        <v>2812</v>
      </c>
      <c r="O93" s="67"/>
      <c r="P93" s="3780"/>
      <c r="Q93" s="3803"/>
      <c r="R93" s="521"/>
      <c r="S93" s="2552"/>
      <c r="T93" s="3801"/>
      <c r="U93" s="3801"/>
      <c r="V93" s="3802"/>
      <c r="W93" s="3802"/>
      <c r="X93" s="3802"/>
      <c r="Y93" s="3802"/>
      <c r="Z93" s="3802"/>
      <c r="AA93" s="3802"/>
      <c r="AB93" s="3802"/>
      <c r="AC93" s="3802"/>
      <c r="AD93" s="1173"/>
    </row>
    <row r="94" spans="2:30" hidden="1">
      <c r="B94" s="110"/>
      <c r="C94" s="946"/>
      <c r="D94" s="924"/>
      <c r="E94" s="941"/>
      <c r="F94" s="2519"/>
      <c r="G94" s="943"/>
      <c r="H94" s="943"/>
      <c r="I94" s="943"/>
      <c r="J94" s="943"/>
      <c r="K94" s="943"/>
      <c r="L94" s="943"/>
      <c r="M94" s="943"/>
      <c r="N94" s="67"/>
      <c r="O94" s="67"/>
      <c r="P94" s="3780"/>
      <c r="Q94" s="521"/>
      <c r="R94" s="521"/>
      <c r="S94" s="521"/>
      <c r="T94" s="3791"/>
      <c r="U94" s="3792"/>
      <c r="V94" s="3791"/>
      <c r="W94" s="3792"/>
      <c r="X94" s="3792"/>
      <c r="Y94" s="3791"/>
      <c r="Z94" s="3791"/>
      <c r="AA94" s="3791"/>
      <c r="AB94" s="3791"/>
      <c r="AC94" s="3783"/>
      <c r="AD94" s="1173"/>
    </row>
    <row r="95" spans="2:30" hidden="1">
      <c r="B95" s="45"/>
      <c r="C95" s="1179"/>
      <c r="D95" s="980" t="s">
        <v>1491</v>
      </c>
      <c r="E95" s="980" t="s">
        <v>160</v>
      </c>
      <c r="F95" s="2940">
        <v>2013</v>
      </c>
      <c r="G95" s="974">
        <v>2015</v>
      </c>
      <c r="H95" s="974">
        <v>2020</v>
      </c>
      <c r="I95" s="974">
        <v>2025</v>
      </c>
      <c r="J95" s="974">
        <v>2030</v>
      </c>
      <c r="K95" s="974">
        <v>2035</v>
      </c>
      <c r="L95" s="974">
        <v>2040</v>
      </c>
      <c r="M95" s="974">
        <v>2045</v>
      </c>
      <c r="N95" s="974">
        <v>2050</v>
      </c>
      <c r="O95" s="67"/>
      <c r="P95" s="3780"/>
      <c r="Q95" s="1173"/>
      <c r="R95" s="1173"/>
      <c r="S95" s="1173"/>
      <c r="T95" s="1173"/>
      <c r="U95" s="1173"/>
      <c r="V95" s="1173"/>
      <c r="W95" s="1173"/>
      <c r="X95" s="1173"/>
      <c r="Y95" s="1173"/>
      <c r="Z95" s="1173"/>
      <c r="AA95" s="1173"/>
      <c r="AB95" s="1173"/>
      <c r="AC95" s="1173"/>
      <c r="AD95" s="1173"/>
    </row>
    <row r="96" spans="2:30" hidden="1">
      <c r="B96" s="110"/>
      <c r="C96" s="1079" t="s">
        <v>3005</v>
      </c>
      <c r="D96" s="980" t="s">
        <v>3007</v>
      </c>
      <c r="E96" s="3405"/>
      <c r="F96" s="3776"/>
      <c r="G96" s="3405"/>
      <c r="H96" s="3405"/>
      <c r="I96" s="3405"/>
      <c r="J96" s="3405"/>
      <c r="K96" s="3405"/>
      <c r="L96" s="3405"/>
      <c r="M96" s="3405"/>
      <c r="N96" s="3405"/>
      <c r="O96" s="67"/>
      <c r="P96" s="3780"/>
      <c r="Q96" s="208"/>
      <c r="R96" s="2549"/>
      <c r="S96" s="1173"/>
      <c r="T96" s="1173"/>
      <c r="U96" s="1173"/>
      <c r="V96" s="1173"/>
      <c r="W96" s="1173"/>
      <c r="X96" s="1173"/>
      <c r="Y96" s="1173"/>
      <c r="Z96" s="1173"/>
      <c r="AA96" s="1173"/>
      <c r="AB96" s="1173"/>
      <c r="AC96" s="1173"/>
      <c r="AD96" s="1173"/>
    </row>
    <row r="97" spans="1:30" hidden="1">
      <c r="B97" s="47"/>
      <c r="C97" s="924" t="s">
        <v>3008</v>
      </c>
      <c r="D97" s="941" t="s">
        <v>3009</v>
      </c>
      <c r="E97" s="3777"/>
      <c r="F97" s="3793"/>
      <c r="G97" s="3777"/>
      <c r="H97" s="3777"/>
      <c r="I97" s="3777"/>
      <c r="J97" s="3777"/>
      <c r="K97" s="3777"/>
      <c r="L97" s="3777"/>
      <c r="M97" s="3777"/>
      <c r="N97" s="3779"/>
      <c r="O97" s="67"/>
      <c r="P97" s="3780"/>
      <c r="Q97" s="1173"/>
      <c r="R97" s="1173"/>
      <c r="S97" s="1173"/>
      <c r="T97" s="1173"/>
      <c r="U97" s="1173"/>
      <c r="V97" s="1173"/>
      <c r="W97" s="1173"/>
      <c r="X97" s="1173"/>
      <c r="Y97" s="1173"/>
      <c r="Z97" s="1173"/>
      <c r="AA97" s="1173"/>
      <c r="AB97" s="1173"/>
      <c r="AC97" s="1173"/>
      <c r="AD97" s="1173"/>
    </row>
    <row r="98" spans="1:30" ht="18.75" hidden="1">
      <c r="A98" s="355"/>
      <c r="B98" s="47"/>
      <c r="C98" s="3781" t="s">
        <v>3010</v>
      </c>
      <c r="D98" s="1439" t="s">
        <v>3011</v>
      </c>
      <c r="E98" s="3407"/>
      <c r="F98" s="3782"/>
      <c r="G98" s="3407"/>
      <c r="H98" s="3407"/>
      <c r="I98" s="3407"/>
      <c r="J98" s="3407"/>
      <c r="K98" s="3407"/>
      <c r="L98" s="3407"/>
      <c r="M98" s="3407"/>
      <c r="N98" s="3407"/>
      <c r="O98" s="67"/>
      <c r="P98" s="3780"/>
      <c r="Q98" s="1173"/>
      <c r="R98" s="1173"/>
      <c r="S98" s="1173"/>
      <c r="T98" s="1173"/>
      <c r="U98" s="1173"/>
      <c r="V98" s="1173"/>
      <c r="W98" s="1173"/>
      <c r="X98" s="1173"/>
      <c r="Y98" s="1173"/>
      <c r="Z98" s="1173"/>
      <c r="AA98" s="1173"/>
      <c r="AB98" s="1173"/>
      <c r="AC98" s="1173"/>
      <c r="AD98" s="1173"/>
    </row>
    <row r="99" spans="1:30" ht="18.75" hidden="1">
      <c r="A99" s="355"/>
      <c r="B99" s="47"/>
      <c r="C99" s="952"/>
      <c r="D99" s="941"/>
      <c r="E99" s="2425"/>
      <c r="F99" s="2428"/>
      <c r="G99" s="2428"/>
      <c r="H99" s="2428"/>
      <c r="I99" s="2428"/>
      <c r="J99" s="2428"/>
      <c r="K99" s="2428"/>
      <c r="L99" s="2428"/>
      <c r="M99" s="2428"/>
      <c r="N99" s="2428"/>
      <c r="O99" s="67"/>
      <c r="P99" s="1173"/>
      <c r="Q99" s="1173"/>
      <c r="R99" s="1173"/>
      <c r="S99" s="1173"/>
      <c r="T99" s="1173"/>
      <c r="U99" s="1173"/>
      <c r="V99" s="1173"/>
      <c r="W99" s="1173"/>
      <c r="X99" s="1173"/>
      <c r="Y99" s="1173"/>
      <c r="Z99" s="1173"/>
      <c r="AA99" s="1173"/>
      <c r="AB99" s="1173"/>
      <c r="AC99" s="1173"/>
      <c r="AD99" s="1173"/>
    </row>
    <row r="100" spans="1:30" ht="18.75">
      <c r="A100" s="3804"/>
      <c r="B100" s="39"/>
      <c r="C100" s="2557"/>
      <c r="D100" s="2552"/>
      <c r="E100" s="3359"/>
      <c r="F100" s="3399"/>
      <c r="G100" s="3399"/>
      <c r="H100" s="3399"/>
      <c r="I100" s="3399"/>
      <c r="J100" s="3399"/>
      <c r="K100" s="3399"/>
      <c r="L100" s="3399"/>
      <c r="M100" s="3399"/>
      <c r="N100" s="3399"/>
      <c r="O100" s="39"/>
      <c r="P100" s="39"/>
    </row>
    <row r="101" spans="1:30" s="2" customFormat="1" ht="15.75">
      <c r="B101" s="1110" t="s">
        <v>207</v>
      </c>
      <c r="C101" s="3759"/>
    </row>
    <row r="103" spans="1:30">
      <c r="B103" s="363" t="s">
        <v>3012</v>
      </c>
      <c r="F103" s="1325">
        <v>2013</v>
      </c>
      <c r="G103" s="1325">
        <v>2015</v>
      </c>
      <c r="H103" s="1325">
        <v>2020</v>
      </c>
      <c r="I103" s="1325">
        <v>2025</v>
      </c>
      <c r="J103" s="1325">
        <v>2030</v>
      </c>
      <c r="K103" s="1325">
        <v>2035</v>
      </c>
      <c r="L103" s="1325">
        <v>2040</v>
      </c>
      <c r="M103" s="1325">
        <v>2045</v>
      </c>
      <c r="N103" s="1325">
        <v>2050</v>
      </c>
    </row>
    <row r="104" spans="1:30">
      <c r="B104" s="363"/>
      <c r="C104" s="3759" t="s">
        <v>3005</v>
      </c>
      <c r="E104" s="3805" t="s">
        <v>1346</v>
      </c>
      <c r="F104" s="3806">
        <f>INDEX(F$16:F$19, MATCH($E$8, $C$16:$C$19, 0))</f>
        <v>0</v>
      </c>
      <c r="G104" s="3806">
        <f t="shared" ref="G104:N104" si="1">INDEX(G$16:G$19, MATCH($E$8, $C$16:$C$19, 0))</f>
        <v>0</v>
      </c>
      <c r="H104" s="3806">
        <f t="shared" si="1"/>
        <v>0</v>
      </c>
      <c r="I104" s="3806">
        <f t="shared" si="1"/>
        <v>0</v>
      </c>
      <c r="J104" s="3806">
        <f t="shared" si="1"/>
        <v>0</v>
      </c>
      <c r="K104" s="3806">
        <f t="shared" si="1"/>
        <v>0</v>
      </c>
      <c r="L104" s="3806">
        <f t="shared" si="1"/>
        <v>0</v>
      </c>
      <c r="M104" s="3806">
        <f t="shared" si="1"/>
        <v>0</v>
      </c>
      <c r="N104" s="3806">
        <f t="shared" si="1"/>
        <v>0</v>
      </c>
    </row>
    <row r="105" spans="1:30">
      <c r="B105" s="363"/>
      <c r="C105" s="3759" t="s">
        <v>3013</v>
      </c>
      <c r="E105" s="3805" t="s">
        <v>1346</v>
      </c>
      <c r="F105" s="3806">
        <f>INDEX(F$24:F$27, MATCH($E$8, $C$24:$C$27, 0))</f>
        <v>0</v>
      </c>
      <c r="G105" s="3806">
        <f t="shared" ref="G105:N105" si="2">INDEX(G$24:G$27, MATCH($E$8, $C$24:$C$27, 0))</f>
        <v>0</v>
      </c>
      <c r="H105" s="3806">
        <f t="shared" si="2"/>
        <v>0</v>
      </c>
      <c r="I105" s="3806">
        <f t="shared" si="2"/>
        <v>0</v>
      </c>
      <c r="J105" s="3806">
        <f t="shared" si="2"/>
        <v>0</v>
      </c>
      <c r="K105" s="3806">
        <f t="shared" si="2"/>
        <v>0</v>
      </c>
      <c r="L105" s="3806">
        <f t="shared" si="2"/>
        <v>0</v>
      </c>
      <c r="M105" s="3806">
        <f t="shared" si="2"/>
        <v>0</v>
      </c>
      <c r="N105" s="3806">
        <f t="shared" si="2"/>
        <v>0</v>
      </c>
    </row>
    <row r="106" spans="1:30">
      <c r="B106" s="363"/>
      <c r="C106" s="3759" t="s">
        <v>3008</v>
      </c>
      <c r="E106" s="3805" t="s">
        <v>1346</v>
      </c>
      <c r="F106" s="3806">
        <f t="shared" ref="F106:N106" si="3">INDEX(F$32:F$35, MATCH($E$8, $C$32:$C$35, 0))</f>
        <v>0</v>
      </c>
      <c r="G106" s="3806">
        <f t="shared" si="3"/>
        <v>0</v>
      </c>
      <c r="H106" s="3806">
        <f t="shared" si="3"/>
        <v>0</v>
      </c>
      <c r="I106" s="3806">
        <f t="shared" si="3"/>
        <v>0</v>
      </c>
      <c r="J106" s="3806">
        <f t="shared" si="3"/>
        <v>0</v>
      </c>
      <c r="K106" s="3806">
        <f t="shared" si="3"/>
        <v>0</v>
      </c>
      <c r="L106" s="3806">
        <f t="shared" si="3"/>
        <v>0</v>
      </c>
      <c r="M106" s="3806">
        <f t="shared" si="3"/>
        <v>0</v>
      </c>
      <c r="N106" s="3806">
        <f t="shared" si="3"/>
        <v>0</v>
      </c>
    </row>
    <row r="107" spans="1:30">
      <c r="B107" s="363"/>
      <c r="C107" s="363" t="s">
        <v>59</v>
      </c>
      <c r="E107" s="3805"/>
      <c r="F107" s="3807">
        <f>SUM(F104:F106)</f>
        <v>0</v>
      </c>
      <c r="G107" s="3807">
        <f t="shared" ref="G107:N107" si="4">SUM(G104:G106)</f>
        <v>0</v>
      </c>
      <c r="H107" s="3807">
        <f t="shared" si="4"/>
        <v>0</v>
      </c>
      <c r="I107" s="3807">
        <f t="shared" si="4"/>
        <v>0</v>
      </c>
      <c r="J107" s="3807">
        <f t="shared" si="4"/>
        <v>0</v>
      </c>
      <c r="K107" s="3807">
        <f t="shared" si="4"/>
        <v>0</v>
      </c>
      <c r="L107" s="3807">
        <f t="shared" si="4"/>
        <v>0</v>
      </c>
      <c r="M107" s="3807">
        <f t="shared" si="4"/>
        <v>0</v>
      </c>
      <c r="N107" s="3807">
        <f t="shared" si="4"/>
        <v>0</v>
      </c>
    </row>
    <row r="108" spans="1:30">
      <c r="E108" s="3805"/>
    </row>
    <row r="109" spans="1:30">
      <c r="B109" s="363" t="s">
        <v>3014</v>
      </c>
      <c r="E109" s="1451" t="str">
        <f>Preferences.EnergyUnits</f>
        <v>TWh</v>
      </c>
      <c r="F109" s="3618">
        <f>F105*F$46</f>
        <v>0</v>
      </c>
      <c r="G109" s="3618">
        <f>G105*G$46</f>
        <v>0</v>
      </c>
      <c r="H109" s="3618">
        <f t="shared" ref="H109:N109" si="5">H105*H$46</f>
        <v>0</v>
      </c>
      <c r="I109" s="3618">
        <f t="shared" si="5"/>
        <v>0</v>
      </c>
      <c r="J109" s="3618">
        <f t="shared" si="5"/>
        <v>0</v>
      </c>
      <c r="K109" s="3618">
        <f t="shared" si="5"/>
        <v>0</v>
      </c>
      <c r="L109" s="3618">
        <f t="shared" si="5"/>
        <v>0</v>
      </c>
      <c r="M109" s="3618">
        <f t="shared" si="5"/>
        <v>0</v>
      </c>
      <c r="N109" s="3618">
        <f t="shared" si="5"/>
        <v>0</v>
      </c>
    </row>
    <row r="110" spans="1:30">
      <c r="B110" s="363"/>
      <c r="E110" s="1451"/>
      <c r="F110" s="3618"/>
      <c r="G110" s="3618"/>
      <c r="H110" s="3618"/>
      <c r="I110" s="3618"/>
      <c r="J110" s="3618"/>
      <c r="K110" s="3618"/>
      <c r="L110" s="3618"/>
      <c r="M110" s="3618"/>
      <c r="N110" s="3618"/>
    </row>
    <row r="111" spans="1:30">
      <c r="B111" s="363" t="s">
        <v>3015</v>
      </c>
      <c r="E111" s="1451"/>
      <c r="F111" s="3618"/>
      <c r="G111" s="3618"/>
      <c r="H111" s="3618"/>
      <c r="I111" s="3618"/>
      <c r="J111" s="3618"/>
      <c r="K111" s="3618"/>
      <c r="L111" s="3618"/>
      <c r="M111" s="3618"/>
      <c r="N111" s="3618"/>
    </row>
    <row r="112" spans="1:30">
      <c r="B112" s="363"/>
      <c r="C112" s="3759" t="s">
        <v>989</v>
      </c>
      <c r="E112" s="399" t="s">
        <v>2883</v>
      </c>
      <c r="F112" s="3618"/>
      <c r="G112" s="3808"/>
      <c r="H112" s="3808">
        <f>H104-G104</f>
        <v>0</v>
      </c>
      <c r="I112" s="3808">
        <f t="shared" ref="I112:N112" si="6">I104-H104</f>
        <v>0</v>
      </c>
      <c r="J112" s="3808">
        <f t="shared" si="6"/>
        <v>0</v>
      </c>
      <c r="K112" s="3808">
        <f t="shared" si="6"/>
        <v>0</v>
      </c>
      <c r="L112" s="3808">
        <f t="shared" si="6"/>
        <v>0</v>
      </c>
      <c r="M112" s="3808">
        <f t="shared" si="6"/>
        <v>0</v>
      </c>
      <c r="N112" s="3808">
        <f t="shared" si="6"/>
        <v>0</v>
      </c>
    </row>
    <row r="113" spans="2:16">
      <c r="B113" s="367"/>
      <c r="C113" s="3759" t="s">
        <v>838</v>
      </c>
      <c r="E113" s="399" t="s">
        <v>2883</v>
      </c>
      <c r="F113" s="389"/>
      <c r="G113" s="418"/>
      <c r="H113" s="418"/>
      <c r="I113" s="418"/>
      <c r="J113" s="418"/>
      <c r="K113" s="418"/>
      <c r="L113" s="418">
        <f>H112</f>
        <v>0</v>
      </c>
      <c r="M113" s="418">
        <f>I112</f>
        <v>0</v>
      </c>
      <c r="N113" s="418">
        <f>J112</f>
        <v>0</v>
      </c>
    </row>
    <row r="114" spans="2:16">
      <c r="B114" s="367"/>
      <c r="C114" s="3759" t="s">
        <v>3016</v>
      </c>
      <c r="E114" s="399" t="s">
        <v>2883</v>
      </c>
      <c r="F114" s="389"/>
      <c r="G114" s="418"/>
      <c r="H114" s="418">
        <f t="shared" ref="H114:M114" si="7">H112+H113</f>
        <v>0</v>
      </c>
      <c r="I114" s="418">
        <f>I112+I113</f>
        <v>0</v>
      </c>
      <c r="J114" s="418">
        <f t="shared" si="7"/>
        <v>0</v>
      </c>
      <c r="K114" s="418">
        <f t="shared" si="7"/>
        <v>0</v>
      </c>
      <c r="L114" s="418">
        <f t="shared" si="7"/>
        <v>0</v>
      </c>
      <c r="M114" s="418">
        <f t="shared" si="7"/>
        <v>0</v>
      </c>
      <c r="N114" s="418">
        <f>N112+N113</f>
        <v>0</v>
      </c>
    </row>
    <row r="115" spans="2:16">
      <c r="B115" s="367"/>
      <c r="E115" s="1451"/>
      <c r="F115" s="389"/>
      <c r="G115" s="418"/>
      <c r="H115" s="418"/>
      <c r="I115" s="418"/>
      <c r="J115" s="418"/>
      <c r="K115" s="418"/>
      <c r="L115" s="418"/>
      <c r="M115" s="418"/>
      <c r="N115" s="418"/>
    </row>
    <row r="116" spans="2:16">
      <c r="B116" s="363" t="s">
        <v>3017</v>
      </c>
      <c r="E116" s="1451"/>
      <c r="F116" s="3618"/>
      <c r="G116" s="3809"/>
      <c r="H116" s="3809"/>
      <c r="I116" s="3809"/>
      <c r="J116" s="3809"/>
      <c r="K116" s="3809"/>
      <c r="L116" s="3809"/>
      <c r="M116" s="3809"/>
      <c r="N116" s="3809"/>
    </row>
    <row r="117" spans="2:16">
      <c r="B117" s="363"/>
      <c r="C117" s="3759" t="s">
        <v>989</v>
      </c>
      <c r="E117" s="399" t="s">
        <v>2883</v>
      </c>
      <c r="F117" s="3618"/>
      <c r="G117" s="3808"/>
      <c r="H117" s="3808">
        <f t="shared" ref="H117:N117" si="8">H105-G105</f>
        <v>0</v>
      </c>
      <c r="I117" s="3808">
        <f t="shared" si="8"/>
        <v>0</v>
      </c>
      <c r="J117" s="3808">
        <f t="shared" si="8"/>
        <v>0</v>
      </c>
      <c r="K117" s="3808">
        <f t="shared" si="8"/>
        <v>0</v>
      </c>
      <c r="L117" s="3808">
        <f t="shared" si="8"/>
        <v>0</v>
      </c>
      <c r="M117" s="3808">
        <f t="shared" si="8"/>
        <v>0</v>
      </c>
      <c r="N117" s="3808">
        <f t="shared" si="8"/>
        <v>0</v>
      </c>
    </row>
    <row r="118" spans="2:16">
      <c r="B118" s="367"/>
      <c r="C118" s="3759" t="s">
        <v>838</v>
      </c>
      <c r="E118" s="399" t="s">
        <v>2883</v>
      </c>
      <c r="F118" s="389"/>
      <c r="G118" s="418"/>
      <c r="H118" s="418"/>
      <c r="I118" s="418"/>
      <c r="J118" s="418"/>
      <c r="K118" s="418"/>
      <c r="L118" s="418">
        <f>H117</f>
        <v>0</v>
      </c>
      <c r="M118" s="418">
        <f>I117</f>
        <v>0</v>
      </c>
      <c r="N118" s="418">
        <f>J117</f>
        <v>0</v>
      </c>
    </row>
    <row r="119" spans="2:16">
      <c r="B119" s="367"/>
      <c r="C119" s="3759" t="s">
        <v>3016</v>
      </c>
      <c r="E119" s="399" t="s">
        <v>2883</v>
      </c>
      <c r="F119" s="389"/>
      <c r="G119" s="418"/>
      <c r="H119" s="418">
        <f t="shared" ref="H119:N119" si="9">H117+H118</f>
        <v>0</v>
      </c>
      <c r="I119" s="418">
        <f t="shared" si="9"/>
        <v>0</v>
      </c>
      <c r="J119" s="418">
        <f t="shared" si="9"/>
        <v>0</v>
      </c>
      <c r="K119" s="418">
        <f t="shared" si="9"/>
        <v>0</v>
      </c>
      <c r="L119" s="418">
        <f t="shared" si="9"/>
        <v>0</v>
      </c>
      <c r="M119" s="418">
        <f t="shared" si="9"/>
        <v>0</v>
      </c>
      <c r="N119" s="418">
        <f t="shared" si="9"/>
        <v>0</v>
      </c>
    </row>
    <row r="120" spans="2:16">
      <c r="B120" s="367"/>
      <c r="E120" s="399"/>
      <c r="F120" s="389"/>
      <c r="G120" s="418"/>
      <c r="H120" s="418"/>
      <c r="I120" s="418"/>
      <c r="J120" s="418"/>
      <c r="K120" s="418"/>
      <c r="L120" s="418"/>
      <c r="M120" s="418"/>
      <c r="N120" s="418"/>
    </row>
    <row r="121" spans="2:16">
      <c r="B121" s="363" t="s">
        <v>3018</v>
      </c>
      <c r="E121" s="399"/>
      <c r="F121" s="3618"/>
      <c r="G121" s="3809"/>
      <c r="H121" s="3809"/>
      <c r="I121" s="3809"/>
      <c r="J121" s="3809"/>
      <c r="K121" s="3809"/>
      <c r="L121" s="3809"/>
      <c r="M121" s="3809"/>
      <c r="N121" s="3809"/>
    </row>
    <row r="122" spans="2:16">
      <c r="B122" s="363"/>
      <c r="C122" s="3759" t="s">
        <v>989</v>
      </c>
      <c r="E122" s="399" t="s">
        <v>2883</v>
      </c>
      <c r="F122" s="3618"/>
      <c r="G122" s="3808"/>
      <c r="H122" s="3808">
        <f>H114-G114</f>
        <v>0</v>
      </c>
      <c r="I122" s="3808">
        <f t="shared" ref="I122:N122" si="10">I114-H114</f>
        <v>0</v>
      </c>
      <c r="J122" s="3808">
        <f t="shared" si="10"/>
        <v>0</v>
      </c>
      <c r="K122" s="3808">
        <f t="shared" si="10"/>
        <v>0</v>
      </c>
      <c r="L122" s="3808">
        <f t="shared" si="10"/>
        <v>0</v>
      </c>
      <c r="M122" s="3808">
        <f t="shared" si="10"/>
        <v>0</v>
      </c>
      <c r="N122" s="3808">
        <f t="shared" si="10"/>
        <v>0</v>
      </c>
    </row>
    <row r="123" spans="2:16">
      <c r="B123" s="367"/>
      <c r="C123" s="3759" t="s">
        <v>838</v>
      </c>
      <c r="E123" s="399" t="s">
        <v>2883</v>
      </c>
      <c r="F123" s="389"/>
      <c r="G123" s="418"/>
      <c r="H123" s="418"/>
      <c r="I123" s="418"/>
      <c r="J123" s="418"/>
      <c r="K123" s="418"/>
      <c r="L123" s="418">
        <f>G122</f>
        <v>0</v>
      </c>
      <c r="M123" s="418">
        <f>H122</f>
        <v>0</v>
      </c>
      <c r="N123" s="418">
        <f>I122</f>
        <v>0</v>
      </c>
    </row>
    <row r="124" spans="2:16">
      <c r="B124" s="367"/>
      <c r="C124" s="3759" t="s">
        <v>3016</v>
      </c>
      <c r="E124" s="399" t="s">
        <v>2883</v>
      </c>
      <c r="F124" s="389"/>
      <c r="G124" s="418"/>
      <c r="H124" s="418">
        <f t="shared" ref="H124:N124" si="11">H122+H123</f>
        <v>0</v>
      </c>
      <c r="I124" s="418">
        <f t="shared" si="11"/>
        <v>0</v>
      </c>
      <c r="J124" s="418">
        <f t="shared" si="11"/>
        <v>0</v>
      </c>
      <c r="K124" s="418">
        <f t="shared" si="11"/>
        <v>0</v>
      </c>
      <c r="L124" s="418">
        <f t="shared" si="11"/>
        <v>0</v>
      </c>
      <c r="M124" s="418">
        <f t="shared" si="11"/>
        <v>0</v>
      </c>
      <c r="N124" s="418">
        <f t="shared" si="11"/>
        <v>0</v>
      </c>
    </row>
    <row r="125" spans="2:16">
      <c r="B125" s="367"/>
      <c r="E125" s="1451"/>
      <c r="F125" s="389"/>
      <c r="G125" s="389"/>
      <c r="H125" s="389"/>
      <c r="I125" s="389"/>
      <c r="J125" s="389"/>
      <c r="K125" s="389"/>
      <c r="L125" s="389"/>
      <c r="M125" s="389"/>
      <c r="N125" s="389"/>
    </row>
    <row r="126" spans="2:16">
      <c r="B126" s="412" t="s">
        <v>2795</v>
      </c>
      <c r="F126" s="389"/>
      <c r="G126" s="389"/>
      <c r="H126" s="389"/>
      <c r="I126" s="389"/>
      <c r="J126" s="389"/>
      <c r="K126" s="389"/>
      <c r="L126" s="389"/>
      <c r="M126" s="389"/>
      <c r="N126" s="389"/>
    </row>
    <row r="127" spans="2:16" hidden="1">
      <c r="B127" s="367"/>
      <c r="C127" s="363" t="s">
        <v>2916</v>
      </c>
      <c r="E127" s="364" t="s">
        <v>2812</v>
      </c>
      <c r="F127" s="1325">
        <v>2013</v>
      </c>
      <c r="G127" s="1325">
        <v>2015</v>
      </c>
      <c r="H127" s="1325">
        <v>2020</v>
      </c>
      <c r="I127" s="1325">
        <v>2025</v>
      </c>
      <c r="J127" s="1325">
        <v>2030</v>
      </c>
      <c r="K127" s="1325">
        <v>2035</v>
      </c>
      <c r="L127" s="1325">
        <v>2040</v>
      </c>
      <c r="M127" s="1325">
        <v>2045</v>
      </c>
      <c r="N127" s="1325">
        <v>2050</v>
      </c>
      <c r="P127" s="367"/>
    </row>
    <row r="128" spans="2:16" hidden="1">
      <c r="B128" s="367"/>
      <c r="C128" s="3759" t="s">
        <v>3005</v>
      </c>
      <c r="F128" s="2510"/>
      <c r="G128" s="2510">
        <v>0</v>
      </c>
      <c r="H128" s="2510">
        <v>0</v>
      </c>
      <c r="I128" s="2510">
        <v>0</v>
      </c>
      <c r="J128" s="2510">
        <v>0</v>
      </c>
      <c r="K128" s="2510">
        <v>0</v>
      </c>
      <c r="L128" s="2510">
        <v>0</v>
      </c>
      <c r="M128" s="2510">
        <v>0</v>
      </c>
      <c r="N128" s="2510">
        <v>0</v>
      </c>
      <c r="P128" s="367"/>
    </row>
    <row r="129" spans="2:16" hidden="1">
      <c r="B129" s="367"/>
      <c r="C129" s="3759" t="s">
        <v>3013</v>
      </c>
      <c r="F129" s="2510"/>
      <c r="G129" s="2510">
        <v>0</v>
      </c>
      <c r="H129" s="2510">
        <v>0</v>
      </c>
      <c r="I129" s="2510">
        <v>0</v>
      </c>
      <c r="J129" s="2510">
        <v>0</v>
      </c>
      <c r="K129" s="2510">
        <v>0</v>
      </c>
      <c r="L129" s="2510">
        <v>0</v>
      </c>
      <c r="M129" s="2510">
        <v>0</v>
      </c>
      <c r="N129" s="2510">
        <v>0</v>
      </c>
      <c r="P129" s="367"/>
    </row>
    <row r="130" spans="2:16" hidden="1">
      <c r="B130" s="367"/>
      <c r="C130" s="3759" t="s">
        <v>3008</v>
      </c>
      <c r="F130" s="2510"/>
      <c r="G130" s="2510">
        <v>0</v>
      </c>
      <c r="H130" s="2510">
        <v>0</v>
      </c>
      <c r="I130" s="2510">
        <v>0</v>
      </c>
      <c r="J130" s="2510">
        <v>0</v>
      </c>
      <c r="K130" s="2510">
        <v>0</v>
      </c>
      <c r="L130" s="2510">
        <v>0</v>
      </c>
      <c r="M130" s="2510">
        <v>0</v>
      </c>
      <c r="N130" s="2510">
        <v>0</v>
      </c>
      <c r="P130" s="367"/>
    </row>
    <row r="131" spans="2:16" hidden="1">
      <c r="B131" s="367"/>
      <c r="C131" s="3759" t="s">
        <v>59</v>
      </c>
      <c r="F131" s="2121"/>
      <c r="G131" s="2121">
        <v>0</v>
      </c>
      <c r="H131" s="2121">
        <v>0</v>
      </c>
      <c r="I131" s="2121">
        <v>0</v>
      </c>
      <c r="J131" s="2121">
        <v>0</v>
      </c>
      <c r="K131" s="2121">
        <v>0</v>
      </c>
      <c r="L131" s="2121">
        <v>0</v>
      </c>
      <c r="M131" s="2121">
        <v>0</v>
      </c>
      <c r="N131" s="2121">
        <v>0</v>
      </c>
      <c r="P131" s="367"/>
    </row>
    <row r="132" spans="2:16" hidden="1">
      <c r="B132" s="367"/>
      <c r="F132" s="389"/>
      <c r="G132" s="389"/>
      <c r="H132" s="389"/>
      <c r="I132" s="389"/>
      <c r="J132" s="389"/>
      <c r="K132" s="389"/>
      <c r="L132" s="389"/>
      <c r="M132" s="389"/>
      <c r="N132" s="389"/>
      <c r="P132" s="367"/>
    </row>
    <row r="133" spans="2:16" hidden="1">
      <c r="B133" s="367"/>
      <c r="C133" s="363" t="s">
        <v>2917</v>
      </c>
      <c r="E133" s="364" t="s">
        <v>2812</v>
      </c>
      <c r="F133" s="1325">
        <v>2013</v>
      </c>
      <c r="G133" s="1325">
        <v>2015</v>
      </c>
      <c r="H133" s="1325">
        <v>2020</v>
      </c>
      <c r="I133" s="1325">
        <v>2025</v>
      </c>
      <c r="J133" s="1325">
        <v>2030</v>
      </c>
      <c r="K133" s="1325">
        <v>2035</v>
      </c>
      <c r="L133" s="1325">
        <v>2040</v>
      </c>
      <c r="M133" s="1325">
        <v>2045</v>
      </c>
      <c r="N133" s="1325">
        <v>2050</v>
      </c>
    </row>
    <row r="134" spans="2:16" hidden="1">
      <c r="B134" s="367"/>
      <c r="C134" s="3759" t="s">
        <v>3005</v>
      </c>
      <c r="F134" s="2510"/>
      <c r="G134" s="2510">
        <v>0</v>
      </c>
      <c r="H134" s="2510">
        <v>0</v>
      </c>
      <c r="I134" s="2510">
        <v>0</v>
      </c>
      <c r="J134" s="2510">
        <v>0</v>
      </c>
      <c r="K134" s="2510">
        <v>0</v>
      </c>
      <c r="L134" s="2510">
        <v>0</v>
      </c>
      <c r="M134" s="2510">
        <v>0</v>
      </c>
      <c r="N134" s="2510">
        <v>0</v>
      </c>
    </row>
    <row r="135" spans="2:16" hidden="1">
      <c r="B135" s="367"/>
      <c r="C135" s="3759" t="s">
        <v>3013</v>
      </c>
      <c r="F135" s="2510"/>
      <c r="G135" s="2510">
        <v>0</v>
      </c>
      <c r="H135" s="2510">
        <v>0</v>
      </c>
      <c r="I135" s="2510">
        <v>0</v>
      </c>
      <c r="J135" s="2510">
        <v>0</v>
      </c>
      <c r="K135" s="2510">
        <v>0</v>
      </c>
      <c r="L135" s="2510">
        <v>0</v>
      </c>
      <c r="M135" s="2510">
        <v>0</v>
      </c>
      <c r="N135" s="2510">
        <v>0</v>
      </c>
    </row>
    <row r="136" spans="2:16" hidden="1">
      <c r="B136" s="367"/>
      <c r="C136" s="3759" t="s">
        <v>3008</v>
      </c>
      <c r="F136" s="2510"/>
      <c r="G136" s="2510">
        <v>0</v>
      </c>
      <c r="H136" s="2510">
        <v>0</v>
      </c>
      <c r="I136" s="2510">
        <v>0</v>
      </c>
      <c r="J136" s="2510">
        <v>0</v>
      </c>
      <c r="K136" s="2510">
        <v>0</v>
      </c>
      <c r="L136" s="2510">
        <v>0</v>
      </c>
      <c r="M136" s="2510">
        <v>0</v>
      </c>
      <c r="N136" s="2510">
        <v>0</v>
      </c>
    </row>
    <row r="137" spans="2:16" hidden="1">
      <c r="B137" s="367"/>
      <c r="C137" s="3759" t="s">
        <v>59</v>
      </c>
      <c r="F137" s="2121"/>
      <c r="G137" s="2121">
        <v>0</v>
      </c>
      <c r="H137" s="2121">
        <v>0</v>
      </c>
      <c r="I137" s="2121">
        <v>0</v>
      </c>
      <c r="J137" s="2121">
        <v>0</v>
      </c>
      <c r="K137" s="2121">
        <v>0</v>
      </c>
      <c r="L137" s="2121">
        <v>0</v>
      </c>
      <c r="M137" s="2121">
        <v>0</v>
      </c>
      <c r="N137" s="2121">
        <v>0</v>
      </c>
    </row>
    <row r="138" spans="2:16" hidden="1">
      <c r="B138" s="367"/>
    </row>
    <row r="139" spans="2:16" hidden="1">
      <c r="B139" s="367"/>
      <c r="C139" s="363" t="s">
        <v>2302</v>
      </c>
      <c r="E139" s="364" t="s">
        <v>2812</v>
      </c>
      <c r="F139" s="1325">
        <v>2013</v>
      </c>
      <c r="G139" s="1325">
        <v>2015</v>
      </c>
      <c r="H139" s="1325">
        <v>2020</v>
      </c>
      <c r="I139" s="1325">
        <v>2025</v>
      </c>
      <c r="J139" s="1325">
        <v>2030</v>
      </c>
      <c r="K139" s="1325">
        <v>2035</v>
      </c>
      <c r="L139" s="1325">
        <v>2040</v>
      </c>
      <c r="M139" s="1325">
        <v>2045</v>
      </c>
      <c r="N139" s="1325">
        <v>2050</v>
      </c>
    </row>
    <row r="140" spans="2:16" hidden="1">
      <c r="C140" s="3759" t="s">
        <v>3005</v>
      </c>
      <c r="F140" s="2510"/>
      <c r="G140" s="2510">
        <v>0</v>
      </c>
      <c r="H140" s="2510">
        <v>0</v>
      </c>
      <c r="I140" s="2510">
        <v>0</v>
      </c>
      <c r="J140" s="2510">
        <v>0</v>
      </c>
      <c r="K140" s="2510">
        <v>0</v>
      </c>
      <c r="L140" s="2510">
        <v>0</v>
      </c>
      <c r="M140" s="2510">
        <v>0</v>
      </c>
      <c r="N140" s="2510">
        <v>0</v>
      </c>
    </row>
    <row r="141" spans="2:16" hidden="1">
      <c r="C141" s="3759" t="s">
        <v>3013</v>
      </c>
      <c r="F141" s="2510"/>
      <c r="G141" s="2510">
        <v>0</v>
      </c>
      <c r="H141" s="2510">
        <v>0</v>
      </c>
      <c r="I141" s="2510">
        <v>0</v>
      </c>
      <c r="J141" s="2510">
        <v>0</v>
      </c>
      <c r="K141" s="2510">
        <v>0</v>
      </c>
      <c r="L141" s="2510">
        <v>0</v>
      </c>
      <c r="M141" s="2510">
        <v>0</v>
      </c>
      <c r="N141" s="2510">
        <v>0</v>
      </c>
    </row>
    <row r="142" spans="2:16" hidden="1">
      <c r="C142" s="3759" t="s">
        <v>3008</v>
      </c>
      <c r="F142" s="2510"/>
      <c r="G142" s="2510">
        <v>0</v>
      </c>
      <c r="H142" s="2510">
        <v>0</v>
      </c>
      <c r="I142" s="2510">
        <v>0</v>
      </c>
      <c r="J142" s="2510">
        <v>0</v>
      </c>
      <c r="K142" s="2510">
        <v>0</v>
      </c>
      <c r="L142" s="2510">
        <v>0</v>
      </c>
      <c r="M142" s="2510">
        <v>0</v>
      </c>
      <c r="N142" s="2510">
        <v>0</v>
      </c>
    </row>
    <row r="143" spans="2:16" hidden="1">
      <c r="C143" s="3759" t="s">
        <v>59</v>
      </c>
      <c r="F143" s="2121"/>
      <c r="G143" s="2121">
        <v>0</v>
      </c>
      <c r="H143" s="2121">
        <v>0</v>
      </c>
      <c r="I143" s="2121">
        <v>0</v>
      </c>
      <c r="J143" s="2121">
        <v>0</v>
      </c>
      <c r="K143" s="2121">
        <v>0</v>
      </c>
      <c r="L143" s="2121">
        <v>0</v>
      </c>
      <c r="M143" s="2121">
        <v>0</v>
      </c>
      <c r="N143" s="2121">
        <v>0</v>
      </c>
    </row>
    <row r="144" spans="2:16" hidden="1">
      <c r="F144" s="2121"/>
      <c r="G144" s="2121"/>
      <c r="H144" s="2121"/>
      <c r="I144" s="2121"/>
      <c r="J144" s="2121"/>
      <c r="K144" s="2121"/>
      <c r="L144" s="2121"/>
      <c r="M144" s="2121"/>
      <c r="N144" s="2121"/>
    </row>
    <row r="145" spans="2:14" hidden="1">
      <c r="C145" s="363" t="s">
        <v>2303</v>
      </c>
      <c r="E145" s="364" t="s">
        <v>2812</v>
      </c>
      <c r="F145" s="1325">
        <v>2013</v>
      </c>
      <c r="G145" s="1325">
        <v>2015</v>
      </c>
      <c r="H145" s="1325">
        <v>2020</v>
      </c>
      <c r="I145" s="1325">
        <v>2025</v>
      </c>
      <c r="J145" s="1325">
        <v>2030</v>
      </c>
      <c r="K145" s="1325">
        <v>2035</v>
      </c>
      <c r="L145" s="1325">
        <v>2040</v>
      </c>
      <c r="M145" s="1325">
        <v>2045</v>
      </c>
      <c r="N145" s="1325">
        <v>2050</v>
      </c>
    </row>
    <row r="146" spans="2:14" hidden="1">
      <c r="C146" s="3759" t="s">
        <v>3005</v>
      </c>
      <c r="F146" s="2510">
        <v>0</v>
      </c>
      <c r="G146" s="2510">
        <v>0</v>
      </c>
      <c r="H146" s="2510">
        <v>0</v>
      </c>
      <c r="I146" s="2510">
        <v>0</v>
      </c>
      <c r="J146" s="2510">
        <v>0</v>
      </c>
      <c r="K146" s="2510">
        <v>0</v>
      </c>
      <c r="L146" s="2510">
        <v>0</v>
      </c>
      <c r="M146" s="2510">
        <v>0</v>
      </c>
      <c r="N146" s="2510">
        <v>0</v>
      </c>
    </row>
    <row r="147" spans="2:14" hidden="1">
      <c r="C147" s="3759" t="s">
        <v>3013</v>
      </c>
      <c r="F147" s="2510">
        <v>0</v>
      </c>
      <c r="G147" s="2510">
        <v>0</v>
      </c>
      <c r="H147" s="2510">
        <v>0</v>
      </c>
      <c r="I147" s="2510">
        <v>0</v>
      </c>
      <c r="J147" s="2510">
        <v>0</v>
      </c>
      <c r="K147" s="2510">
        <v>0</v>
      </c>
      <c r="L147" s="2510">
        <v>0</v>
      </c>
      <c r="M147" s="2510">
        <v>0</v>
      </c>
      <c r="N147" s="2510">
        <v>0</v>
      </c>
    </row>
    <row r="148" spans="2:14" hidden="1">
      <c r="C148" s="3759" t="s">
        <v>3008</v>
      </c>
      <c r="F148" s="2510">
        <v>0</v>
      </c>
      <c r="G148" s="2510">
        <v>0</v>
      </c>
      <c r="H148" s="2510">
        <v>0</v>
      </c>
      <c r="I148" s="2510">
        <v>0</v>
      </c>
      <c r="J148" s="2510">
        <v>0</v>
      </c>
      <c r="K148" s="2510">
        <v>0</v>
      </c>
      <c r="L148" s="2510">
        <v>0</v>
      </c>
      <c r="M148" s="2510">
        <v>0</v>
      </c>
      <c r="N148" s="2510">
        <v>0</v>
      </c>
    </row>
    <row r="149" spans="2:14" hidden="1">
      <c r="C149" s="3759" t="s">
        <v>59</v>
      </c>
      <c r="F149" s="2121">
        <v>0</v>
      </c>
      <c r="G149" s="2121">
        <v>0</v>
      </c>
      <c r="H149" s="2121">
        <v>0</v>
      </c>
      <c r="I149" s="2121">
        <v>0</v>
      </c>
      <c r="J149" s="2121">
        <v>0</v>
      </c>
      <c r="K149" s="2121">
        <v>0</v>
      </c>
      <c r="L149" s="2121">
        <v>0</v>
      </c>
      <c r="M149" s="2121">
        <v>0</v>
      </c>
      <c r="N149" s="2121">
        <v>0</v>
      </c>
    </row>
    <row r="150" spans="2:14" hidden="1">
      <c r="F150" s="389"/>
      <c r="G150" s="389"/>
      <c r="H150" s="389"/>
      <c r="I150" s="389"/>
      <c r="J150" s="389"/>
      <c r="K150" s="389"/>
      <c r="L150" s="389"/>
      <c r="M150" s="389"/>
      <c r="N150" s="389"/>
    </row>
    <row r="151" spans="2:14" hidden="1">
      <c r="B151" s="367"/>
      <c r="C151" s="363" t="s">
        <v>2918</v>
      </c>
      <c r="E151" s="364" t="s">
        <v>2812</v>
      </c>
      <c r="F151" s="1325">
        <v>2013</v>
      </c>
      <c r="G151" s="1325">
        <v>2015</v>
      </c>
      <c r="H151" s="1325">
        <v>2020</v>
      </c>
      <c r="I151" s="1325">
        <v>2025</v>
      </c>
      <c r="J151" s="1325">
        <v>2030</v>
      </c>
      <c r="K151" s="1325">
        <v>2035</v>
      </c>
      <c r="L151" s="1325">
        <v>2040</v>
      </c>
      <c r="M151" s="1325">
        <v>2045</v>
      </c>
      <c r="N151" s="1325">
        <v>2050</v>
      </c>
    </row>
    <row r="152" spans="2:14" hidden="1">
      <c r="B152" s="367"/>
      <c r="C152" s="3759" t="s">
        <v>3005</v>
      </c>
      <c r="F152" s="2510">
        <v>0</v>
      </c>
      <c r="G152" s="2510">
        <v>0</v>
      </c>
      <c r="H152" s="2510">
        <v>0</v>
      </c>
      <c r="I152" s="2510">
        <v>0</v>
      </c>
      <c r="J152" s="2510">
        <v>0</v>
      </c>
      <c r="K152" s="2510">
        <v>0</v>
      </c>
      <c r="L152" s="2510">
        <v>0</v>
      </c>
      <c r="M152" s="2510">
        <v>0</v>
      </c>
      <c r="N152" s="2510">
        <v>0</v>
      </c>
    </row>
    <row r="153" spans="2:14" hidden="1">
      <c r="B153" s="367"/>
      <c r="C153" s="3759" t="s">
        <v>3013</v>
      </c>
      <c r="F153" s="2510">
        <v>0</v>
      </c>
      <c r="G153" s="2510">
        <v>0</v>
      </c>
      <c r="H153" s="2510">
        <v>0</v>
      </c>
      <c r="I153" s="2510">
        <v>0</v>
      </c>
      <c r="J153" s="2510">
        <v>0</v>
      </c>
      <c r="K153" s="2510">
        <v>0</v>
      </c>
      <c r="L153" s="2510">
        <v>0</v>
      </c>
      <c r="M153" s="2510">
        <v>0</v>
      </c>
      <c r="N153" s="2510">
        <v>0</v>
      </c>
    </row>
    <row r="154" spans="2:14" hidden="1">
      <c r="B154" s="367"/>
      <c r="C154" s="3759" t="s">
        <v>3008</v>
      </c>
      <c r="F154" s="2510">
        <v>0</v>
      </c>
      <c r="G154" s="2510">
        <v>0</v>
      </c>
      <c r="H154" s="2510">
        <v>0</v>
      </c>
      <c r="I154" s="2510">
        <v>0</v>
      </c>
      <c r="J154" s="2510">
        <v>0</v>
      </c>
      <c r="K154" s="2510">
        <v>0</v>
      </c>
      <c r="L154" s="2510">
        <v>0</v>
      </c>
      <c r="M154" s="2510">
        <v>0</v>
      </c>
      <c r="N154" s="2510">
        <v>0</v>
      </c>
    </row>
    <row r="155" spans="2:14" hidden="1">
      <c r="B155" s="367"/>
      <c r="C155" s="3759" t="s">
        <v>59</v>
      </c>
      <c r="F155" s="2121">
        <v>0</v>
      </c>
      <c r="G155" s="2121">
        <v>0</v>
      </c>
      <c r="H155" s="2121">
        <v>0</v>
      </c>
      <c r="I155" s="2121">
        <v>0</v>
      </c>
      <c r="J155" s="2121">
        <v>0</v>
      </c>
      <c r="K155" s="2121">
        <v>0</v>
      </c>
      <c r="L155" s="2121">
        <v>0</v>
      </c>
      <c r="M155" s="2121">
        <v>0</v>
      </c>
      <c r="N155" s="2121">
        <v>0</v>
      </c>
    </row>
    <row r="156" spans="2:14" hidden="1">
      <c r="B156" s="367"/>
      <c r="F156" s="389"/>
      <c r="G156" s="389"/>
      <c r="H156" s="389"/>
      <c r="I156" s="389"/>
      <c r="J156" s="389"/>
      <c r="K156" s="389"/>
      <c r="L156" s="389"/>
      <c r="M156" s="389"/>
      <c r="N156" s="389"/>
    </row>
    <row r="157" spans="2:14" hidden="1">
      <c r="B157" s="367"/>
      <c r="C157" s="363" t="s">
        <v>2919</v>
      </c>
      <c r="E157" s="364" t="s">
        <v>2812</v>
      </c>
      <c r="F157" s="1325">
        <v>2013</v>
      </c>
      <c r="G157" s="1325">
        <v>2015</v>
      </c>
      <c r="H157" s="1325">
        <v>2020</v>
      </c>
      <c r="I157" s="1325">
        <v>2025</v>
      </c>
      <c r="J157" s="1325">
        <v>2030</v>
      </c>
      <c r="K157" s="1325">
        <v>2035</v>
      </c>
      <c r="L157" s="1325">
        <v>2040</v>
      </c>
      <c r="M157" s="1325">
        <v>2045</v>
      </c>
      <c r="N157" s="1325">
        <v>2050</v>
      </c>
    </row>
    <row r="158" spans="2:14" hidden="1">
      <c r="B158" s="367"/>
      <c r="C158" s="3759" t="s">
        <v>3005</v>
      </c>
      <c r="F158" s="2510">
        <v>0</v>
      </c>
      <c r="G158" s="2510">
        <v>0</v>
      </c>
      <c r="H158" s="2510">
        <v>0</v>
      </c>
      <c r="I158" s="2510">
        <v>0</v>
      </c>
      <c r="J158" s="2510">
        <v>0</v>
      </c>
      <c r="K158" s="2510">
        <v>0</v>
      </c>
      <c r="L158" s="2510">
        <v>0</v>
      </c>
      <c r="M158" s="2510">
        <v>0</v>
      </c>
      <c r="N158" s="2510">
        <v>0</v>
      </c>
    </row>
    <row r="159" spans="2:14" hidden="1">
      <c r="B159" s="367"/>
      <c r="C159" s="3759" t="s">
        <v>3013</v>
      </c>
      <c r="F159" s="2510">
        <v>0</v>
      </c>
      <c r="G159" s="2510">
        <v>0</v>
      </c>
      <c r="H159" s="2510">
        <v>0</v>
      </c>
      <c r="I159" s="2510">
        <v>0</v>
      </c>
      <c r="J159" s="2510">
        <v>0</v>
      </c>
      <c r="K159" s="2510">
        <v>0</v>
      </c>
      <c r="L159" s="2510">
        <v>0</v>
      </c>
      <c r="M159" s="2510">
        <v>0</v>
      </c>
      <c r="N159" s="2510">
        <v>0</v>
      </c>
    </row>
    <row r="160" spans="2:14" hidden="1">
      <c r="B160" s="367"/>
      <c r="C160" s="3759" t="s">
        <v>3008</v>
      </c>
      <c r="F160" s="2510">
        <v>0</v>
      </c>
      <c r="G160" s="2510">
        <v>0</v>
      </c>
      <c r="H160" s="2510">
        <v>0</v>
      </c>
      <c r="I160" s="2510">
        <v>0</v>
      </c>
      <c r="J160" s="2510">
        <v>0</v>
      </c>
      <c r="K160" s="2510">
        <v>0</v>
      </c>
      <c r="L160" s="2510">
        <v>0</v>
      </c>
      <c r="M160" s="2510">
        <v>0</v>
      </c>
      <c r="N160" s="2510">
        <v>0</v>
      </c>
    </row>
    <row r="161" spans="1:18" hidden="1">
      <c r="B161" s="367"/>
      <c r="C161" s="3759" t="s">
        <v>59</v>
      </c>
      <c r="F161" s="2121">
        <v>0</v>
      </c>
      <c r="G161" s="2121">
        <v>0</v>
      </c>
      <c r="H161" s="2121">
        <v>0</v>
      </c>
      <c r="I161" s="2121">
        <v>0</v>
      </c>
      <c r="J161" s="2121">
        <v>0</v>
      </c>
      <c r="K161" s="2121">
        <v>0</v>
      </c>
      <c r="L161" s="2121">
        <v>0</v>
      </c>
      <c r="M161" s="2121">
        <v>0</v>
      </c>
      <c r="N161" s="2121">
        <v>0</v>
      </c>
    </row>
    <row r="162" spans="1:18">
      <c r="B162" s="367"/>
      <c r="F162" s="389"/>
      <c r="G162" s="389"/>
      <c r="H162" s="389"/>
      <c r="I162" s="389"/>
      <c r="J162" s="389"/>
      <c r="K162" s="389"/>
      <c r="L162" s="389"/>
      <c r="M162" s="389"/>
      <c r="N162" s="389"/>
    </row>
    <row r="163" spans="1:18" ht="23.25">
      <c r="A163" s="7"/>
      <c r="B163" s="511" t="s">
        <v>299</v>
      </c>
      <c r="C163" s="512"/>
      <c r="D163" s="512"/>
      <c r="E163" s="512"/>
      <c r="F163" s="512"/>
      <c r="G163" s="512"/>
      <c r="H163" s="512"/>
      <c r="I163" s="512"/>
      <c r="J163" s="512"/>
      <c r="K163" s="512"/>
      <c r="L163" s="512"/>
      <c r="M163" s="512"/>
      <c r="N163" s="512"/>
      <c r="O163" s="866"/>
      <c r="R163" s="2510"/>
    </row>
    <row r="164" spans="1:18">
      <c r="B164" s="514"/>
      <c r="C164" s="515"/>
      <c r="D164" s="515"/>
      <c r="E164" s="515"/>
      <c r="F164" s="515"/>
      <c r="G164" s="515"/>
      <c r="H164" s="515"/>
      <c r="I164" s="515"/>
      <c r="J164" s="515"/>
      <c r="K164" s="515"/>
      <c r="L164" s="515"/>
      <c r="M164" s="515"/>
      <c r="N164" s="515"/>
      <c r="O164" s="867"/>
      <c r="R164" s="2510"/>
    </row>
    <row r="165" spans="1:18">
      <c r="B165" s="514"/>
      <c r="C165" s="34" t="s">
        <v>765</v>
      </c>
      <c r="D165" s="515"/>
      <c r="E165" s="516"/>
      <c r="F165" s="515"/>
      <c r="G165" s="515"/>
      <c r="H165" s="515"/>
      <c r="I165" s="515"/>
      <c r="J165" s="515"/>
      <c r="K165" s="515"/>
      <c r="L165" s="515"/>
      <c r="M165" s="515"/>
      <c r="N165" s="516" t="str">
        <f>Preferences.EnergyUnits</f>
        <v>TWh</v>
      </c>
      <c r="O165" s="867"/>
      <c r="R165" s="2510"/>
    </row>
    <row r="166" spans="1:18">
      <c r="B166" s="514"/>
      <c r="C166" s="515"/>
      <c r="D166" s="515"/>
      <c r="E166" s="515"/>
      <c r="F166" s="515"/>
      <c r="G166" s="515"/>
      <c r="H166" s="515"/>
      <c r="I166" s="515"/>
      <c r="J166" s="515"/>
      <c r="K166" s="515"/>
      <c r="L166" s="515"/>
      <c r="M166" s="515"/>
      <c r="N166" s="515"/>
      <c r="O166" s="867"/>
      <c r="R166" s="2510"/>
    </row>
    <row r="167" spans="1:18" ht="15.75">
      <c r="A167" s="443"/>
      <c r="B167" s="15"/>
      <c r="C167" s="873" t="s">
        <v>28</v>
      </c>
      <c r="D167" s="873" t="s">
        <v>29</v>
      </c>
      <c r="E167" s="873" t="s">
        <v>30</v>
      </c>
      <c r="F167" s="873" t="s">
        <v>597</v>
      </c>
      <c r="G167" s="873" t="s">
        <v>133</v>
      </c>
      <c r="H167" s="873" t="s">
        <v>134</v>
      </c>
      <c r="I167" s="873" t="s">
        <v>135</v>
      </c>
      <c r="J167" s="873" t="s">
        <v>136</v>
      </c>
      <c r="K167" s="873" t="s">
        <v>137</v>
      </c>
      <c r="L167" s="873" t="s">
        <v>138</v>
      </c>
      <c r="M167" s="873" t="s">
        <v>139</v>
      </c>
      <c r="N167" s="873" t="s">
        <v>140</v>
      </c>
      <c r="O167" s="867"/>
    </row>
    <row r="168" spans="1:18" ht="15.75">
      <c r="A168" s="443"/>
      <c r="B168" s="15"/>
      <c r="C168" s="17" t="s">
        <v>96</v>
      </c>
      <c r="D168" s="2487" t="str">
        <f>INDEX(Vectors[Description], MATCH([Vector], Vectors[Code], 0))</f>
        <v>Electricity (delivered to end user)</v>
      </c>
      <c r="E168" s="17"/>
      <c r="F168" s="3810">
        <f>-F109</f>
        <v>0</v>
      </c>
      <c r="G168" s="3810">
        <f t="shared" ref="G168:N168" si="12">-G109</f>
        <v>0</v>
      </c>
      <c r="H168" s="3810">
        <f t="shared" si="12"/>
        <v>0</v>
      </c>
      <c r="I168" s="3810">
        <f t="shared" si="12"/>
        <v>0</v>
      </c>
      <c r="J168" s="3810">
        <f t="shared" si="12"/>
        <v>0</v>
      </c>
      <c r="K168" s="3810">
        <f t="shared" si="12"/>
        <v>0</v>
      </c>
      <c r="L168" s="3810">
        <f t="shared" si="12"/>
        <v>0</v>
      </c>
      <c r="M168" s="3810">
        <f t="shared" si="12"/>
        <v>0</v>
      </c>
      <c r="N168" s="3810">
        <f t="shared" si="12"/>
        <v>0</v>
      </c>
      <c r="O168" s="867"/>
    </row>
    <row r="169" spans="1:18" ht="15.75">
      <c r="A169" s="443"/>
      <c r="B169" s="15"/>
      <c r="C169" s="17" t="s">
        <v>104</v>
      </c>
      <c r="D169" s="2487" t="str">
        <f>INDEX(Vectors[Description], MATCH([Vector], Vectors[Code], 0))</f>
        <v>Conversion losses</v>
      </c>
      <c r="E169" s="17"/>
      <c r="F169" s="3810">
        <f>F109</f>
        <v>0</v>
      </c>
      <c r="G169" s="3810">
        <f t="shared" ref="G169:N169" si="13">G109</f>
        <v>0</v>
      </c>
      <c r="H169" s="3810">
        <f t="shared" si="13"/>
        <v>0</v>
      </c>
      <c r="I169" s="3810">
        <f t="shared" si="13"/>
        <v>0</v>
      </c>
      <c r="J169" s="3810">
        <f t="shared" si="13"/>
        <v>0</v>
      </c>
      <c r="K169" s="3810">
        <f t="shared" si="13"/>
        <v>0</v>
      </c>
      <c r="L169" s="3810">
        <f t="shared" si="13"/>
        <v>0</v>
      </c>
      <c r="M169" s="3810">
        <f t="shared" si="13"/>
        <v>0</v>
      </c>
      <c r="N169" s="3810">
        <f t="shared" si="13"/>
        <v>0</v>
      </c>
      <c r="O169" s="867"/>
    </row>
    <row r="170" spans="1:18" ht="15.75">
      <c r="A170" s="443"/>
      <c r="B170" s="15"/>
      <c r="C170" s="2462" t="s">
        <v>59</v>
      </c>
      <c r="D170" s="2462"/>
      <c r="E170" s="2462"/>
      <c r="F170" s="3812">
        <f>SUBTOTAL(109,[2013])</f>
        <v>0</v>
      </c>
      <c r="G170" s="3812">
        <f>SUBTOTAL(109,[2015])</f>
        <v>0</v>
      </c>
      <c r="H170" s="3812">
        <f>SUBTOTAL(109,[2020])</f>
        <v>0</v>
      </c>
      <c r="I170" s="3812">
        <f>SUBTOTAL(109,[2025])</f>
        <v>0</v>
      </c>
      <c r="J170" s="3812">
        <f>SUBTOTAL(109,[2030])</f>
        <v>0</v>
      </c>
      <c r="K170" s="3812">
        <f>SUBTOTAL(109,[2035])</f>
        <v>0</v>
      </c>
      <c r="L170" s="3812">
        <f>SUBTOTAL(109,[2040])</f>
        <v>0</v>
      </c>
      <c r="M170" s="3812">
        <f>SUBTOTAL(109,[2045])</f>
        <v>0</v>
      </c>
      <c r="N170" s="3812">
        <f>SUBTOTAL(109,[2050])</f>
        <v>0</v>
      </c>
      <c r="O170" s="867"/>
    </row>
    <row r="171" spans="1:18" ht="15.75">
      <c r="B171" s="15"/>
      <c r="C171" s="452"/>
      <c r="D171" s="452"/>
      <c r="E171" s="452"/>
      <c r="F171" s="452"/>
      <c r="G171" s="452"/>
      <c r="H171" s="452"/>
      <c r="I171" s="452"/>
      <c r="J171" s="452"/>
      <c r="K171" s="452"/>
      <c r="L171" s="452"/>
      <c r="M171" s="452"/>
      <c r="N171" s="452"/>
      <c r="O171" s="35"/>
    </row>
    <row r="172" spans="1:18" ht="23.25">
      <c r="A172" s="7"/>
    </row>
    <row r="173" spans="1:18" ht="15.75">
      <c r="B173" s="1127" t="s">
        <v>303</v>
      </c>
      <c r="C173" s="1128"/>
      <c r="D173" s="1129"/>
      <c r="E173" s="1129"/>
      <c r="F173" s="1129"/>
      <c r="G173" s="1129"/>
      <c r="H173" s="1129"/>
      <c r="I173" s="1129"/>
      <c r="J173" s="1129"/>
      <c r="K173" s="1129"/>
      <c r="L173" s="1129"/>
      <c r="M173" s="1129"/>
      <c r="N173" s="1129"/>
      <c r="O173" s="1130"/>
    </row>
    <row r="174" spans="1:18">
      <c r="B174" s="1131"/>
      <c r="C174" s="1132"/>
      <c r="D174" s="1132"/>
      <c r="E174" s="1132"/>
      <c r="F174" s="1132"/>
      <c r="G174" s="1132"/>
      <c r="H174" s="1132"/>
      <c r="I174" s="1132"/>
      <c r="J174" s="1132"/>
      <c r="K174" s="1132"/>
      <c r="L174" s="1132"/>
      <c r="M174" s="1132"/>
      <c r="N174" s="1132"/>
      <c r="O174" s="1133"/>
    </row>
    <row r="175" spans="1:18">
      <c r="B175" s="1134"/>
      <c r="C175" s="462" t="s">
        <v>1349</v>
      </c>
      <c r="D175" s="1135"/>
      <c r="E175" s="1136"/>
      <c r="F175" s="1135"/>
      <c r="G175" s="1135"/>
      <c r="H175" s="1135"/>
      <c r="I175" s="1135"/>
      <c r="J175" s="1135"/>
      <c r="K175" s="1135"/>
      <c r="L175" s="1135"/>
      <c r="M175" s="1135"/>
      <c r="N175" s="1136" t="s">
        <v>254</v>
      </c>
      <c r="O175" s="1138"/>
    </row>
    <row r="176" spans="1:18">
      <c r="B176" s="1134"/>
      <c r="C176" s="1135"/>
      <c r="D176" s="1135"/>
      <c r="E176" s="1135"/>
      <c r="F176" s="1135"/>
      <c r="G176" s="1135"/>
      <c r="H176" s="1135"/>
      <c r="I176" s="1135"/>
      <c r="J176" s="1135"/>
      <c r="K176" s="1135"/>
      <c r="L176" s="1135"/>
      <c r="M176" s="1135"/>
      <c r="N176" s="1135"/>
      <c r="O176" s="1138"/>
    </row>
    <row r="177" spans="2:21" ht="15.75">
      <c r="B177" s="467"/>
      <c r="C177" s="1339" t="s">
        <v>305</v>
      </c>
      <c r="D177" s="1339" t="s">
        <v>306</v>
      </c>
      <c r="E177" s="1339" t="s">
        <v>30</v>
      </c>
      <c r="F177" s="1339" t="s">
        <v>597</v>
      </c>
      <c r="G177" s="1339" t="s">
        <v>133</v>
      </c>
      <c r="H177" s="1339" t="s">
        <v>134</v>
      </c>
      <c r="I177" s="1339" t="s">
        <v>135</v>
      </c>
      <c r="J177" s="1339" t="s">
        <v>136</v>
      </c>
      <c r="K177" s="1339" t="s">
        <v>137</v>
      </c>
      <c r="L177" s="1339" t="s">
        <v>138</v>
      </c>
      <c r="M177" s="1339" t="s">
        <v>139</v>
      </c>
      <c r="N177" s="1339" t="s">
        <v>140</v>
      </c>
      <c r="O177" s="1138"/>
    </row>
    <row r="178" spans="2:21" ht="15.75">
      <c r="B178" s="467"/>
      <c r="C178" s="1140" t="s">
        <v>253</v>
      </c>
      <c r="D178" s="1141" t="s">
        <v>459</v>
      </c>
      <c r="E178" s="1140" t="str">
        <f>INDEX(IPCC[Sector_description], MATCH([IPCC Sector], IPCC[Sector_code], 0))</f>
        <v>Carbon capture</v>
      </c>
      <c r="F178" s="2799">
        <f>-F107</f>
        <v>0</v>
      </c>
      <c r="G178" s="2799">
        <f t="shared" ref="G178:N178" si="14">-G107</f>
        <v>0</v>
      </c>
      <c r="H178" s="2799">
        <f t="shared" si="14"/>
        <v>0</v>
      </c>
      <c r="I178" s="2799">
        <f t="shared" si="14"/>
        <v>0</v>
      </c>
      <c r="J178" s="2799">
        <f t="shared" si="14"/>
        <v>0</v>
      </c>
      <c r="K178" s="2799">
        <f t="shared" si="14"/>
        <v>0</v>
      </c>
      <c r="L178" s="2799">
        <f t="shared" si="14"/>
        <v>0</v>
      </c>
      <c r="M178" s="2799">
        <f t="shared" si="14"/>
        <v>0</v>
      </c>
      <c r="N178" s="2799">
        <f t="shared" si="14"/>
        <v>0</v>
      </c>
      <c r="O178" s="1138"/>
    </row>
    <row r="179" spans="2:21" ht="15.75">
      <c r="B179" s="467"/>
      <c r="C179" s="2466" t="s">
        <v>59</v>
      </c>
      <c r="D179" s="2466"/>
      <c r="E179" s="2466"/>
      <c r="F179" s="2467">
        <f>SUBTOTAL(109,[2013])</f>
        <v>0</v>
      </c>
      <c r="G179" s="2467">
        <f>SUBTOTAL(109,[2015])</f>
        <v>0</v>
      </c>
      <c r="H179" s="2467">
        <f>SUBTOTAL(109,[2020])</f>
        <v>0</v>
      </c>
      <c r="I179" s="2467">
        <f>SUBTOTAL(109,[2025])</f>
        <v>0</v>
      </c>
      <c r="J179" s="2467">
        <f>SUBTOTAL(109,[2030])</f>
        <v>0</v>
      </c>
      <c r="K179" s="2467">
        <f>SUBTOTAL(109,[2035])</f>
        <v>0</v>
      </c>
      <c r="L179" s="2467">
        <f>SUBTOTAL(109,[2040])</f>
        <v>0</v>
      </c>
      <c r="M179" s="2467">
        <f>SUBTOTAL(109,[2045])</f>
        <v>0</v>
      </c>
      <c r="N179" s="2467">
        <f>SUBTOTAL(109,[2050])</f>
        <v>0</v>
      </c>
      <c r="O179" s="1138"/>
    </row>
    <row r="180" spans="2:21" ht="15.75">
      <c r="B180" s="478"/>
      <c r="C180" s="1149"/>
      <c r="D180" s="1149"/>
      <c r="E180" s="1149"/>
      <c r="F180" s="1149"/>
      <c r="G180" s="1149"/>
      <c r="H180" s="1149"/>
      <c r="I180" s="1149"/>
      <c r="J180" s="1149"/>
      <c r="K180" s="1149"/>
      <c r="L180" s="1149"/>
      <c r="M180" s="1149"/>
      <c r="N180" s="1149"/>
      <c r="O180" s="474"/>
      <c r="R180" s="1152"/>
      <c r="S180" s="1153"/>
      <c r="T180" s="1152"/>
      <c r="U180" s="1152"/>
    </row>
    <row r="181" spans="2:21">
      <c r="S181" s="6"/>
    </row>
    <row r="182" spans="2:21" ht="15.75">
      <c r="B182" s="995" t="s">
        <v>313</v>
      </c>
      <c r="C182" s="996"/>
      <c r="D182" s="997"/>
      <c r="E182" s="997"/>
      <c r="F182" s="997"/>
      <c r="G182" s="997"/>
      <c r="H182" s="997"/>
      <c r="I182" s="997"/>
      <c r="J182" s="997"/>
      <c r="K182" s="997"/>
      <c r="L182" s="997"/>
      <c r="M182" s="997"/>
      <c r="N182" s="997"/>
      <c r="O182" s="998"/>
      <c r="S182" s="6"/>
    </row>
    <row r="183" spans="2:21">
      <c r="B183" s="999"/>
      <c r="C183" s="1000"/>
      <c r="D183" s="1000"/>
      <c r="E183" s="1000"/>
      <c r="F183" s="1000"/>
      <c r="G183" s="1000"/>
      <c r="H183" s="1000"/>
      <c r="I183" s="1000"/>
      <c r="J183" s="1000"/>
      <c r="K183" s="1000"/>
      <c r="L183" s="1000"/>
      <c r="M183" s="1000"/>
      <c r="N183" s="1000"/>
      <c r="O183" s="1001"/>
      <c r="S183" s="6"/>
    </row>
    <row r="184" spans="2:21">
      <c r="B184" s="1002"/>
      <c r="C184" s="488" t="s">
        <v>314</v>
      </c>
      <c r="D184" s="1003"/>
      <c r="E184" s="1004"/>
      <c r="F184" s="1003"/>
      <c r="G184" s="1003"/>
      <c r="H184" s="1003"/>
      <c r="I184" s="1003"/>
      <c r="J184" s="1003"/>
      <c r="K184" s="1003"/>
      <c r="L184" s="1003"/>
      <c r="M184" s="1003"/>
      <c r="N184" s="1004"/>
      <c r="O184" s="1005"/>
    </row>
    <row r="185" spans="2:21">
      <c r="B185" s="1002"/>
      <c r="C185" s="1003"/>
      <c r="D185" s="1003"/>
      <c r="E185" s="1003"/>
      <c r="F185" s="1003"/>
      <c r="G185" s="1003"/>
      <c r="H185" s="1003"/>
      <c r="I185" s="1003"/>
      <c r="J185" s="1003"/>
      <c r="K185" s="1003"/>
      <c r="L185" s="1003"/>
      <c r="M185" s="1003"/>
      <c r="N185" s="1003"/>
      <c r="O185" s="1005"/>
    </row>
    <row r="186" spans="2:21" ht="15.75">
      <c r="B186" s="492"/>
      <c r="C186" s="1006" t="s">
        <v>28</v>
      </c>
      <c r="D186" s="1006" t="s">
        <v>315</v>
      </c>
      <c r="E186" s="1006" t="s">
        <v>30</v>
      </c>
      <c r="F186" s="1006">
        <v>2013</v>
      </c>
      <c r="G186" s="1006" t="s">
        <v>133</v>
      </c>
      <c r="H186" s="1006" t="s">
        <v>134</v>
      </c>
      <c r="I186" s="1006" t="s">
        <v>135</v>
      </c>
      <c r="J186" s="1006" t="s">
        <v>136</v>
      </c>
      <c r="K186" s="1006" t="s">
        <v>137</v>
      </c>
      <c r="L186" s="1006" t="s">
        <v>138</v>
      </c>
      <c r="M186" s="1006" t="s">
        <v>139</v>
      </c>
      <c r="N186" s="1006" t="s">
        <v>140</v>
      </c>
      <c r="O186" s="1005"/>
    </row>
    <row r="187" spans="2:21" ht="15.75">
      <c r="B187" s="492"/>
      <c r="C187" s="1007" t="s">
        <v>887</v>
      </c>
      <c r="D187" s="494" t="s">
        <v>1261</v>
      </c>
      <c r="E187" s="494">
        <v>0</v>
      </c>
      <c r="F187" s="2438"/>
      <c r="G187" s="2438"/>
      <c r="H187" s="2438"/>
      <c r="I187" s="2438"/>
      <c r="J187" s="2438"/>
      <c r="K187" s="2438"/>
      <c r="L187" s="2438"/>
      <c r="M187" s="2438"/>
      <c r="N187" s="2438"/>
      <c r="O187" s="1005"/>
    </row>
    <row r="188" spans="2:21" ht="15.75">
      <c r="B188" s="492"/>
      <c r="C188" s="1007" t="s">
        <v>316</v>
      </c>
      <c r="D188" s="494" t="s">
        <v>317</v>
      </c>
      <c r="E188" s="494"/>
      <c r="F188" s="2438"/>
      <c r="G188" s="2438"/>
      <c r="H188" s="2438"/>
      <c r="I188" s="2438"/>
      <c r="J188" s="2438"/>
      <c r="K188" s="2438"/>
      <c r="L188" s="2438"/>
      <c r="M188" s="2438"/>
      <c r="N188" s="2438"/>
      <c r="O188" s="1005"/>
    </row>
    <row r="189" spans="2:21" ht="15.75">
      <c r="B189" s="497"/>
      <c r="C189" s="1010"/>
      <c r="D189" s="1010"/>
      <c r="E189" s="1010"/>
      <c r="F189" s="1010"/>
      <c r="G189" s="1010"/>
      <c r="H189" s="1010"/>
      <c r="I189" s="1010"/>
      <c r="J189" s="1010"/>
      <c r="K189" s="1010"/>
      <c r="L189" s="1010"/>
      <c r="M189" s="1010"/>
      <c r="N189" s="1010"/>
      <c r="O189" s="1011"/>
      <c r="P189" s="39"/>
    </row>
    <row r="190" spans="2:21">
      <c r="P190" s="39"/>
    </row>
    <row r="191" spans="2:21" ht="15.75">
      <c r="B191" s="995" t="s">
        <v>2795</v>
      </c>
      <c r="C191" s="997"/>
      <c r="D191" s="997"/>
      <c r="E191" s="997"/>
      <c r="F191" s="997"/>
      <c r="G191" s="997"/>
      <c r="H191" s="997"/>
      <c r="I191" s="997"/>
      <c r="J191" s="997"/>
      <c r="K191" s="997"/>
      <c r="L191" s="997"/>
      <c r="M191" s="997"/>
      <c r="N191" s="997"/>
      <c r="O191" s="998"/>
      <c r="P191" s="39"/>
    </row>
    <row r="192" spans="2:21" hidden="1">
      <c r="B192" s="1002"/>
      <c r="C192" s="1003"/>
      <c r="D192" s="1003"/>
      <c r="E192" s="1003"/>
      <c r="F192" s="1003"/>
      <c r="G192" s="1003"/>
      <c r="H192" s="1003"/>
      <c r="I192" s="1003"/>
      <c r="J192" s="1003"/>
      <c r="K192" s="1003"/>
      <c r="L192" s="1003"/>
      <c r="M192" s="1003"/>
      <c r="N192" s="1003"/>
      <c r="O192" s="1005"/>
      <c r="P192" s="39"/>
    </row>
    <row r="193" spans="2:16" hidden="1">
      <c r="B193" s="1002"/>
      <c r="C193" s="500" t="s">
        <v>770</v>
      </c>
      <c r="D193" s="1012"/>
      <c r="E193" s="1012"/>
      <c r="F193" s="1012"/>
      <c r="G193" s="1012"/>
      <c r="H193" s="1012"/>
      <c r="I193" s="1012"/>
      <c r="J193" s="1012"/>
      <c r="K193" s="1012"/>
      <c r="L193" s="1012"/>
      <c r="M193" s="1012"/>
      <c r="N193" s="1012"/>
      <c r="O193" s="1005"/>
      <c r="P193" s="39"/>
    </row>
    <row r="194" spans="2:16" hidden="1">
      <c r="B194" s="1002"/>
      <c r="C194" s="1003" t="s">
        <v>2812</v>
      </c>
      <c r="D194" s="1003"/>
      <c r="E194" s="1003"/>
      <c r="F194" s="1003"/>
      <c r="G194" s="1003"/>
      <c r="H194" s="1003"/>
      <c r="I194" s="1003"/>
      <c r="J194" s="1003"/>
      <c r="K194" s="1003"/>
      <c r="L194" s="1003"/>
      <c r="M194" s="1003"/>
      <c r="N194" s="1003"/>
      <c r="O194" s="1005"/>
      <c r="P194" s="39"/>
    </row>
    <row r="195" spans="2:16" ht="15.75" hidden="1">
      <c r="B195" s="492"/>
      <c r="C195" s="1006" t="s">
        <v>28</v>
      </c>
      <c r="D195" s="1006" t="s">
        <v>29</v>
      </c>
      <c r="E195" s="1006" t="s">
        <v>30</v>
      </c>
      <c r="F195" s="1006">
        <v>2013</v>
      </c>
      <c r="G195" s="1006" t="s">
        <v>133</v>
      </c>
      <c r="H195" s="1006" t="s">
        <v>134</v>
      </c>
      <c r="I195" s="1006" t="s">
        <v>135</v>
      </c>
      <c r="J195" s="1006" t="s">
        <v>136</v>
      </c>
      <c r="K195" s="1006" t="s">
        <v>137</v>
      </c>
      <c r="L195" s="1006" t="s">
        <v>138</v>
      </c>
      <c r="M195" s="1006" t="s">
        <v>139</v>
      </c>
      <c r="N195" s="1006" t="s">
        <v>140</v>
      </c>
      <c r="O195" s="1150"/>
      <c r="P195" s="39"/>
    </row>
    <row r="196" spans="2:16" ht="15.75" hidden="1">
      <c r="B196" s="492"/>
      <c r="C196" s="1007" t="s">
        <v>324</v>
      </c>
      <c r="D196" s="494" t="s">
        <v>325</v>
      </c>
      <c r="E196" s="494"/>
      <c r="F196" s="3456">
        <v>0</v>
      </c>
      <c r="G196" s="2440">
        <v>0</v>
      </c>
      <c r="H196" s="2440">
        <v>0</v>
      </c>
      <c r="I196" s="2440">
        <v>0</v>
      </c>
      <c r="J196" s="2440">
        <v>0</v>
      </c>
      <c r="K196" s="2440">
        <v>0</v>
      </c>
      <c r="L196" s="2440">
        <v>0</v>
      </c>
      <c r="M196" s="2440">
        <v>0</v>
      </c>
      <c r="N196" s="2440">
        <v>0</v>
      </c>
      <c r="O196" s="1150"/>
      <c r="P196" s="39"/>
    </row>
    <row r="197" spans="2:16" ht="15.75" hidden="1">
      <c r="B197" s="492"/>
      <c r="C197" s="1007" t="s">
        <v>331</v>
      </c>
      <c r="D197" s="494" t="s">
        <v>332</v>
      </c>
      <c r="E197" s="494"/>
      <c r="F197" s="3456">
        <v>0</v>
      </c>
      <c r="G197" s="2440">
        <v>0</v>
      </c>
      <c r="H197" s="2440">
        <v>0</v>
      </c>
      <c r="I197" s="2440">
        <v>0</v>
      </c>
      <c r="J197" s="2440">
        <v>0</v>
      </c>
      <c r="K197" s="2440">
        <v>0</v>
      </c>
      <c r="L197" s="2440">
        <v>0</v>
      </c>
      <c r="M197" s="2440">
        <v>0</v>
      </c>
      <c r="N197" s="2440">
        <v>0</v>
      </c>
      <c r="O197" s="1150"/>
      <c r="P197" s="39"/>
    </row>
    <row r="198" spans="2:16" ht="15.75" hidden="1">
      <c r="B198" s="492"/>
      <c r="C198" s="1007" t="s">
        <v>326</v>
      </c>
      <c r="D198" s="494" t="s">
        <v>327</v>
      </c>
      <c r="E198" s="494"/>
      <c r="F198" s="3456">
        <v>0</v>
      </c>
      <c r="G198" s="3456">
        <v>0</v>
      </c>
      <c r="H198" s="3456">
        <v>0</v>
      </c>
      <c r="I198" s="3456">
        <v>0</v>
      </c>
      <c r="J198" s="3456">
        <v>0</v>
      </c>
      <c r="K198" s="3456">
        <v>0</v>
      </c>
      <c r="L198" s="3456">
        <v>0</v>
      </c>
      <c r="M198" s="3456">
        <v>0</v>
      </c>
      <c r="N198" s="3456">
        <v>0</v>
      </c>
      <c r="O198" s="1150"/>
      <c r="P198" s="39"/>
    </row>
    <row r="199" spans="2:16" ht="15.75" hidden="1">
      <c r="B199" s="492"/>
      <c r="C199" s="1007" t="s">
        <v>333</v>
      </c>
      <c r="D199" s="494" t="s">
        <v>334</v>
      </c>
      <c r="E199" s="494"/>
      <c r="F199" s="3456">
        <v>0</v>
      </c>
      <c r="G199" s="3456">
        <v>0</v>
      </c>
      <c r="H199" s="3456">
        <v>0</v>
      </c>
      <c r="I199" s="3456">
        <v>0</v>
      </c>
      <c r="J199" s="3456">
        <v>0</v>
      </c>
      <c r="K199" s="3456">
        <v>0</v>
      </c>
      <c r="L199" s="3456">
        <v>0</v>
      </c>
      <c r="M199" s="3456">
        <v>0</v>
      </c>
      <c r="N199" s="3456">
        <v>0</v>
      </c>
      <c r="O199" s="1150"/>
      <c r="P199" s="39"/>
    </row>
    <row r="200" spans="2:16" hidden="1">
      <c r="B200" s="503"/>
      <c r="C200" s="1007" t="s">
        <v>328</v>
      </c>
      <c r="D200" s="494" t="s">
        <v>329</v>
      </c>
      <c r="E200" s="494"/>
      <c r="F200" s="3456">
        <v>0</v>
      </c>
      <c r="G200" s="2440">
        <v>0</v>
      </c>
      <c r="H200" s="2440">
        <v>0</v>
      </c>
      <c r="I200" s="2440">
        <v>0</v>
      </c>
      <c r="J200" s="2440">
        <v>0</v>
      </c>
      <c r="K200" s="2440">
        <v>0</v>
      </c>
      <c r="L200" s="2440">
        <v>0</v>
      </c>
      <c r="M200" s="2440">
        <v>0</v>
      </c>
      <c r="N200" s="2440">
        <v>0</v>
      </c>
      <c r="O200" s="1151"/>
      <c r="P200" s="39"/>
    </row>
    <row r="201" spans="2:16" hidden="1">
      <c r="B201" s="503"/>
      <c r="C201" s="1007" t="s">
        <v>335</v>
      </c>
      <c r="D201" s="494" t="s">
        <v>336</v>
      </c>
      <c r="E201" s="494"/>
      <c r="F201" s="3456">
        <v>0</v>
      </c>
      <c r="G201" s="2440">
        <v>0</v>
      </c>
      <c r="H201" s="2440">
        <v>0</v>
      </c>
      <c r="I201" s="2440">
        <v>0</v>
      </c>
      <c r="J201" s="2440">
        <v>0</v>
      </c>
      <c r="K201" s="2440">
        <v>0</v>
      </c>
      <c r="L201" s="2440">
        <v>0</v>
      </c>
      <c r="M201" s="2440">
        <v>0</v>
      </c>
      <c r="N201" s="2440">
        <v>0</v>
      </c>
      <c r="O201" s="1151"/>
    </row>
    <row r="202" spans="2:16" hidden="1">
      <c r="B202" s="1014"/>
      <c r="C202" s="1010"/>
      <c r="D202" s="1010"/>
      <c r="E202" s="1010"/>
      <c r="F202" s="1010"/>
      <c r="G202" s="1010"/>
      <c r="H202" s="1010"/>
      <c r="I202" s="1010"/>
      <c r="J202" s="1010"/>
      <c r="K202" s="1010"/>
      <c r="L202" s="1010"/>
      <c r="M202" s="1010"/>
      <c r="N202" s="1010"/>
      <c r="O202" s="1015"/>
    </row>
    <row r="726" spans="6:14">
      <c r="F726" s="3759">
        <v>0</v>
      </c>
      <c r="G726" s="3759">
        <v>0</v>
      </c>
      <c r="H726" s="3759">
        <v>0</v>
      </c>
      <c r="I726" s="3759">
        <v>0</v>
      </c>
      <c r="J726" s="3759">
        <v>0</v>
      </c>
      <c r="K726" s="3759">
        <v>0</v>
      </c>
      <c r="L726" s="3759">
        <v>0</v>
      </c>
      <c r="M726" s="3759">
        <v>0</v>
      </c>
      <c r="N726" s="3759">
        <v>0</v>
      </c>
    </row>
    <row r="727" spans="6:14">
      <c r="F727" s="3759">
        <v>0</v>
      </c>
      <c r="G727" s="3759">
        <v>0</v>
      </c>
      <c r="H727" s="3759">
        <v>0</v>
      </c>
      <c r="I727" s="3759">
        <v>0</v>
      </c>
      <c r="J727" s="3759">
        <v>0</v>
      </c>
      <c r="K727" s="3759">
        <v>0</v>
      </c>
      <c r="L727" s="3759">
        <v>0</v>
      </c>
      <c r="M727" s="3759">
        <v>0</v>
      </c>
      <c r="N727" s="3759">
        <v>0</v>
      </c>
    </row>
    <row r="728" spans="6:14">
      <c r="F728" s="3759">
        <v>0</v>
      </c>
      <c r="G728" s="3759">
        <v>0</v>
      </c>
      <c r="H728" s="3759">
        <v>0</v>
      </c>
      <c r="I728" s="3759">
        <v>0</v>
      </c>
      <c r="J728" s="3759">
        <v>0</v>
      </c>
      <c r="K728" s="3759">
        <v>0</v>
      </c>
      <c r="L728" s="3759">
        <v>0</v>
      </c>
      <c r="M728" s="3759">
        <v>0</v>
      </c>
      <c r="N728" s="3759">
        <v>0</v>
      </c>
    </row>
  </sheetData>
  <pageMargins left="0.7" right="0.7" top="0.75" bottom="0.75" header="0.3" footer="0.3"/>
  <tableParts count="2">
    <tablePart r:id="rId1"/>
    <tablePart r:id="rId2"/>
  </tableParts>
</worksheet>
</file>

<file path=xl/worksheets/sheet42.xml><?xml version="1.0" encoding="utf-8"?>
<worksheet xmlns="http://schemas.openxmlformats.org/spreadsheetml/2006/main" xmlns:r="http://schemas.openxmlformats.org/officeDocument/2006/relationships">
  <sheetPr>
    <tabColor theme="9"/>
  </sheetPr>
  <dimension ref="A1:W732"/>
  <sheetViews>
    <sheetView showGridLines="0" zoomScale="80" zoomScaleNormal="80" workbookViewId="0">
      <selection activeCell="D71" sqref="D71"/>
    </sheetView>
  </sheetViews>
  <sheetFormatPr defaultColWidth="8.85546875" defaultRowHeight="15"/>
  <cols>
    <col min="1" max="1" width="7.7109375" style="3889" customWidth="1"/>
    <col min="2" max="2" width="5.85546875" style="3889" customWidth="1"/>
    <col min="3" max="3" width="20.42578125" style="3889" customWidth="1"/>
    <col min="4" max="4" width="30.7109375" style="3889" customWidth="1"/>
    <col min="5" max="5" width="20.7109375" style="3889" customWidth="1"/>
    <col min="6" max="15" width="17.7109375" style="3889" customWidth="1"/>
    <col min="16" max="16" width="2" style="3889" customWidth="1"/>
    <col min="17" max="17" width="10.85546875" style="3889" customWidth="1"/>
    <col min="18" max="18" width="16" style="3889" customWidth="1"/>
    <col min="19" max="19" width="22.42578125" style="3889" customWidth="1"/>
    <col min="20" max="20" width="8.85546875" style="3889"/>
    <col min="21" max="21" width="12.28515625" style="3889" customWidth="1"/>
    <col min="22" max="22" width="11.85546875" style="3889" customWidth="1"/>
    <col min="23" max="16384" width="8.85546875" style="3889"/>
  </cols>
  <sheetData>
    <row r="1" spans="1:15" ht="20.25">
      <c r="A1" s="863" t="s">
        <v>518</v>
      </c>
      <c r="B1" s="863" t="s">
        <v>519</v>
      </c>
      <c r="C1" s="863"/>
    </row>
    <row r="2" spans="1:15" s="6" customFormat="1" ht="15.75">
      <c r="A2" s="864" t="s">
        <v>514</v>
      </c>
      <c r="B2" s="864" t="s">
        <v>515</v>
      </c>
      <c r="C2" s="864"/>
      <c r="E2" s="5"/>
    </row>
    <row r="4" spans="1:15" ht="23.25">
      <c r="A4" s="7"/>
      <c r="B4" s="511" t="s">
        <v>24</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34" t="s">
        <v>3192</v>
      </c>
      <c r="D6" s="515"/>
      <c r="E6" s="516"/>
      <c r="F6" s="515"/>
      <c r="G6" s="515"/>
      <c r="H6" s="515"/>
      <c r="I6" s="515"/>
      <c r="J6" s="515"/>
      <c r="K6" s="515"/>
      <c r="L6" s="515"/>
      <c r="M6" s="515"/>
      <c r="N6" s="516" t="str">
        <f>Preferences.EnergyUnits</f>
        <v>TWh</v>
      </c>
      <c r="O6" s="867"/>
    </row>
    <row r="7" spans="1:15">
      <c r="B7" s="514"/>
      <c r="C7" s="12"/>
      <c r="D7" s="515"/>
      <c r="E7" s="516"/>
      <c r="F7" s="515"/>
      <c r="G7" s="515"/>
      <c r="H7" s="515"/>
      <c r="I7" s="515"/>
      <c r="J7" s="515"/>
      <c r="K7" s="515"/>
      <c r="L7" s="515"/>
      <c r="M7" s="515"/>
      <c r="N7" s="515"/>
      <c r="O7" s="867"/>
    </row>
    <row r="8" spans="1:15" s="6" customFormat="1" ht="15.75">
      <c r="A8" s="3"/>
      <c r="B8" s="19"/>
      <c r="C8" s="873" t="s">
        <v>28</v>
      </c>
      <c r="D8" s="873" t="s">
        <v>29</v>
      </c>
      <c r="E8" s="873" t="s">
        <v>30</v>
      </c>
      <c r="F8" s="873" t="s">
        <v>597</v>
      </c>
      <c r="G8" s="873" t="s">
        <v>133</v>
      </c>
      <c r="H8" s="873" t="s">
        <v>134</v>
      </c>
      <c r="I8" s="873" t="s">
        <v>135</v>
      </c>
      <c r="J8" s="873" t="s">
        <v>136</v>
      </c>
      <c r="K8" s="873" t="s">
        <v>137</v>
      </c>
      <c r="L8" s="873" t="s">
        <v>138</v>
      </c>
      <c r="M8" s="873" t="s">
        <v>139</v>
      </c>
      <c r="N8" s="873" t="s">
        <v>140</v>
      </c>
      <c r="O8" s="874"/>
    </row>
    <row r="9" spans="1:15" s="6" customFormat="1" ht="15.75">
      <c r="A9" s="3"/>
      <c r="B9" s="19"/>
      <c r="C9" s="17" t="s">
        <v>437</v>
      </c>
      <c r="D9" s="17" t="str">
        <f>INDEX(Vectors[Description], MATCH([Vector], Vectors[Code], 0))</f>
        <v>Oil reserves</v>
      </c>
      <c r="E9" s="17"/>
      <c r="F9" s="2800">
        <f ca="1">INDEX(INDIRECT("'"&amp;XV.a.Inputs[#Headers]&amp;"'!Year.NetBalance"), MATCH([Vector], INDIRECT("'"&amp;XV.a.Inputs[#Headers]&amp;"'!Year.Vectors"), 0))</f>
        <v>0</v>
      </c>
      <c r="G9" s="2800">
        <f ca="1">INDEX(INDIRECT("'"&amp;XV.a.Inputs[#Headers]&amp;"'!Year.NetBalance"), MATCH([Vector], INDIRECT("'"&amp;XV.a.Inputs[#Headers]&amp;"'!Year.Vectors"), 0))</f>
        <v>0</v>
      </c>
      <c r="H9" s="2800">
        <f ca="1">INDEX(INDIRECT("'"&amp;XV.a.Inputs[#Headers]&amp;"'!Year.NetBalance"), MATCH([Vector], INDIRECT("'"&amp;XV.a.Inputs[#Headers]&amp;"'!Year.Vectors"), 0))</f>
        <v>0</v>
      </c>
      <c r="I9" s="2800">
        <f ca="1">INDEX(INDIRECT("'"&amp;XV.a.Inputs[#Headers]&amp;"'!Year.NetBalance"), MATCH([Vector], INDIRECT("'"&amp;XV.a.Inputs[#Headers]&amp;"'!Year.Vectors"), 0))</f>
        <v>0</v>
      </c>
      <c r="J9" s="2800">
        <f ca="1">INDEX(INDIRECT("'"&amp;XV.a.Inputs[#Headers]&amp;"'!Year.NetBalance"), MATCH([Vector], INDIRECT("'"&amp;XV.a.Inputs[#Headers]&amp;"'!Year.Vectors"), 0))</f>
        <v>0</v>
      </c>
      <c r="K9" s="2800">
        <f ca="1">INDEX(INDIRECT("'"&amp;XV.a.Inputs[#Headers]&amp;"'!Year.NetBalance"), MATCH([Vector], INDIRECT("'"&amp;XV.a.Inputs[#Headers]&amp;"'!Year.Vectors"), 0))</f>
        <v>0</v>
      </c>
      <c r="L9" s="2800">
        <f ca="1">INDEX(INDIRECT("'"&amp;XV.a.Inputs[#Headers]&amp;"'!Year.NetBalance"), MATCH([Vector], INDIRECT("'"&amp;XV.a.Inputs[#Headers]&amp;"'!Year.Vectors"), 0))</f>
        <v>0</v>
      </c>
      <c r="M9" s="2800">
        <f ca="1">INDEX(INDIRECT("'"&amp;XV.a.Inputs[#Headers]&amp;"'!Year.NetBalance"), MATCH([Vector], INDIRECT("'"&amp;XV.a.Inputs[#Headers]&amp;"'!Year.Vectors"), 0))</f>
        <v>0</v>
      </c>
      <c r="N9" s="2800">
        <f ca="1">INDEX(INDIRECT("'"&amp;XV.a.Inputs[#Headers]&amp;"'!Year.NetBalance"), MATCH([Vector], INDIRECT("'"&amp;XV.a.Inputs[#Headers]&amp;"'!Year.Vectors"), 0))</f>
        <v>0</v>
      </c>
      <c r="O9" s="875"/>
    </row>
    <row r="10" spans="1:15">
      <c r="B10" s="1252"/>
      <c r="C10" s="869"/>
      <c r="D10" s="869"/>
      <c r="E10" s="869"/>
      <c r="F10" s="869"/>
      <c r="G10" s="869"/>
      <c r="H10" s="869"/>
      <c r="I10" s="869"/>
      <c r="J10" s="869"/>
      <c r="K10" s="869"/>
      <c r="L10" s="869"/>
      <c r="M10" s="869"/>
      <c r="N10" s="869"/>
      <c r="O10" s="870"/>
    </row>
    <row r="11" spans="1:15" s="39" customFormat="1">
      <c r="B11" s="2960"/>
      <c r="C11" s="2961"/>
      <c r="D11" s="2961"/>
      <c r="E11" s="2961"/>
      <c r="F11" s="2961"/>
      <c r="G11" s="2961"/>
      <c r="H11" s="2961"/>
      <c r="I11" s="2961"/>
      <c r="J11" s="2961"/>
      <c r="K11" s="2961"/>
      <c r="L11" s="2961"/>
      <c r="M11" s="2961"/>
      <c r="N11" s="2961"/>
      <c r="O11" s="2962"/>
    </row>
    <row r="12" spans="1:15" s="6" customFormat="1" ht="23.25">
      <c r="A12" s="40"/>
      <c r="B12" s="878" t="s">
        <v>70</v>
      </c>
      <c r="C12" s="879"/>
      <c r="D12" s="879"/>
      <c r="E12" s="879"/>
      <c r="F12" s="879"/>
      <c r="G12" s="879"/>
      <c r="H12" s="879"/>
      <c r="I12" s="879"/>
      <c r="J12" s="879"/>
      <c r="K12" s="879"/>
      <c r="L12" s="879"/>
      <c r="M12" s="879"/>
      <c r="N12" s="879"/>
      <c r="O12" s="880"/>
    </row>
    <row r="13" spans="1:15">
      <c r="B13" s="110"/>
      <c r="C13" s="67"/>
      <c r="D13" s="67"/>
      <c r="E13" s="67"/>
      <c r="F13" s="67"/>
      <c r="G13" s="67"/>
      <c r="H13" s="67"/>
      <c r="I13" s="67"/>
      <c r="J13" s="67"/>
      <c r="K13" s="67"/>
      <c r="L13" s="67"/>
      <c r="M13" s="67"/>
      <c r="N13" s="67"/>
      <c r="O13" s="885"/>
    </row>
    <row r="14" spans="1:15">
      <c r="B14" s="110"/>
      <c r="C14" s="49" t="s">
        <v>3193</v>
      </c>
      <c r="D14" s="67"/>
      <c r="E14" s="51"/>
      <c r="F14" s="67"/>
      <c r="G14" s="67"/>
      <c r="H14" s="67"/>
      <c r="I14" s="67"/>
      <c r="J14" s="67"/>
      <c r="K14" s="67"/>
      <c r="L14" s="67"/>
      <c r="M14" s="67"/>
      <c r="N14" s="51" t="str">
        <f>Preferences.EnergyUnits</f>
        <v>TWh</v>
      </c>
      <c r="O14" s="885"/>
    </row>
    <row r="15" spans="1:15">
      <c r="B15" s="110"/>
      <c r="C15" s="67"/>
      <c r="D15" s="67"/>
      <c r="E15" s="67"/>
      <c r="F15" s="67"/>
      <c r="G15" s="67"/>
      <c r="H15" s="67"/>
      <c r="I15" s="67"/>
      <c r="J15" s="67"/>
      <c r="K15" s="67"/>
      <c r="L15" s="67"/>
      <c r="M15" s="67"/>
      <c r="N15" s="67"/>
      <c r="O15" s="885"/>
    </row>
    <row r="16" spans="1:15" ht="15.75">
      <c r="B16" s="55"/>
      <c r="C16" s="887" t="s">
        <v>28</v>
      </c>
      <c r="D16" s="887" t="s">
        <v>29</v>
      </c>
      <c r="E16" s="887" t="s">
        <v>30</v>
      </c>
      <c r="F16" s="92">
        <v>2013</v>
      </c>
      <c r="G16" s="92">
        <v>2015</v>
      </c>
      <c r="H16" s="92">
        <v>2020</v>
      </c>
      <c r="I16" s="92">
        <v>2025</v>
      </c>
      <c r="J16" s="92">
        <v>2030</v>
      </c>
      <c r="K16" s="92">
        <v>2035</v>
      </c>
      <c r="L16" s="92">
        <v>2040</v>
      </c>
      <c r="M16" s="92">
        <v>2045</v>
      </c>
      <c r="N16" s="92">
        <v>2050</v>
      </c>
      <c r="O16" s="885"/>
    </row>
    <row r="17" spans="2:15" ht="15.75">
      <c r="B17" s="55"/>
      <c r="C17" s="910" t="s">
        <v>426</v>
      </c>
      <c r="D17" s="910" t="s">
        <v>377</v>
      </c>
      <c r="E17" s="910" t="s">
        <v>65</v>
      </c>
      <c r="F17" s="2893">
        <f>'Irl. Energy Balance 2013 (TWh)'!M3*Unit.TWh</f>
        <v>37.50371883684231</v>
      </c>
      <c r="G17" s="2893">
        <f>$F$17</f>
        <v>37.50371883684231</v>
      </c>
      <c r="H17" s="2893">
        <f t="shared" ref="H17:N17" si="0">$F$17</f>
        <v>37.50371883684231</v>
      </c>
      <c r="I17" s="2893">
        <f t="shared" si="0"/>
        <v>37.50371883684231</v>
      </c>
      <c r="J17" s="2893">
        <f t="shared" si="0"/>
        <v>37.50371883684231</v>
      </c>
      <c r="K17" s="2893">
        <f t="shared" si="0"/>
        <v>37.50371883684231</v>
      </c>
      <c r="L17" s="2893">
        <f t="shared" si="0"/>
        <v>37.50371883684231</v>
      </c>
      <c r="M17" s="2893">
        <f t="shared" si="0"/>
        <v>37.50371883684231</v>
      </c>
      <c r="N17" s="2893">
        <f t="shared" si="0"/>
        <v>37.50371883684231</v>
      </c>
      <c r="O17" s="885"/>
    </row>
    <row r="18" spans="2:15">
      <c r="B18" s="110"/>
      <c r="C18" s="67"/>
      <c r="D18" s="67"/>
      <c r="E18" s="67"/>
      <c r="F18" s="67"/>
      <c r="G18" s="67"/>
      <c r="H18" s="67"/>
      <c r="I18" s="67"/>
      <c r="J18" s="67"/>
      <c r="K18" s="67"/>
      <c r="L18" s="67"/>
      <c r="M18" s="67"/>
      <c r="N18" s="67"/>
      <c r="O18" s="885"/>
    </row>
    <row r="19" spans="2:15">
      <c r="B19" s="110"/>
      <c r="C19" s="49" t="s">
        <v>3194</v>
      </c>
      <c r="D19" s="67"/>
      <c r="E19" s="51"/>
      <c r="F19" s="51" t="str">
        <f>Preferences.EnergyUnits</f>
        <v>TWh</v>
      </c>
      <c r="G19" s="67"/>
      <c r="H19" s="67"/>
      <c r="I19" s="67"/>
      <c r="J19" s="67"/>
      <c r="K19" s="67"/>
      <c r="L19" s="67"/>
      <c r="M19" s="67"/>
      <c r="N19" s="51"/>
      <c r="O19" s="67"/>
    </row>
    <row r="20" spans="2:15">
      <c r="B20" s="110"/>
      <c r="C20" s="67"/>
      <c r="D20" s="67"/>
      <c r="E20" s="67"/>
      <c r="F20" s="67"/>
      <c r="G20" s="67"/>
      <c r="H20" s="67"/>
      <c r="I20" s="67"/>
      <c r="J20" s="67"/>
      <c r="K20" s="67"/>
      <c r="L20" s="67"/>
      <c r="M20" s="67"/>
      <c r="N20" s="67"/>
      <c r="O20" s="67"/>
    </row>
    <row r="21" spans="2:15" ht="15.75">
      <c r="B21" s="55"/>
      <c r="C21" s="887" t="s">
        <v>28</v>
      </c>
      <c r="D21" s="887" t="s">
        <v>29</v>
      </c>
      <c r="E21" s="887" t="s">
        <v>30</v>
      </c>
      <c r="F21" s="92">
        <v>2013</v>
      </c>
      <c r="G21" s="920"/>
      <c r="H21" s="920"/>
      <c r="I21" s="920"/>
      <c r="J21" s="920"/>
      <c r="K21" s="920"/>
      <c r="L21" s="920"/>
      <c r="M21" s="920"/>
      <c r="N21" s="920"/>
      <c r="O21" s="67"/>
    </row>
    <row r="22" spans="2:15" ht="15.75">
      <c r="B22" s="55"/>
      <c r="C22" s="910" t="s">
        <v>426</v>
      </c>
      <c r="D22" s="910" t="s">
        <v>377</v>
      </c>
      <c r="E22" s="910" t="s">
        <v>65</v>
      </c>
      <c r="F22" s="2893">
        <f>'Irl. Energy Balance 2013 (TWh)'!M4*Unit.TWh</f>
        <v>2.6430624261587581</v>
      </c>
      <c r="G22" s="2425"/>
      <c r="H22" s="2425"/>
      <c r="I22" s="2425"/>
      <c r="J22" s="2425"/>
      <c r="K22" s="2425"/>
      <c r="L22" s="2425"/>
      <c r="M22" s="2425"/>
      <c r="N22" s="2425"/>
      <c r="O22" s="67"/>
    </row>
    <row r="23" spans="2:15">
      <c r="B23" s="110"/>
      <c r="C23" s="67"/>
      <c r="D23" s="67"/>
      <c r="E23" s="67"/>
      <c r="F23" s="67"/>
      <c r="G23" s="67"/>
      <c r="H23" s="67"/>
      <c r="I23" s="67"/>
      <c r="J23" s="67"/>
      <c r="K23" s="67"/>
      <c r="L23" s="67"/>
      <c r="M23" s="67"/>
      <c r="N23" s="67"/>
      <c r="O23" s="67"/>
    </row>
    <row r="24" spans="2:15">
      <c r="B24" s="110"/>
      <c r="C24" s="49" t="s">
        <v>3195</v>
      </c>
      <c r="D24" s="67"/>
      <c r="E24" s="51"/>
      <c r="F24" s="67"/>
      <c r="G24" s="67"/>
      <c r="H24" s="67"/>
      <c r="I24" s="67"/>
      <c r="J24" s="67"/>
      <c r="K24" s="67"/>
      <c r="L24" s="67"/>
      <c r="M24" s="67"/>
      <c r="N24" s="51" t="s">
        <v>3196</v>
      </c>
      <c r="O24" s="885"/>
    </row>
    <row r="25" spans="2:15">
      <c r="B25" s="110"/>
      <c r="C25" s="67"/>
      <c r="D25" s="67"/>
      <c r="E25" s="67"/>
      <c r="F25" s="67"/>
      <c r="G25" s="67"/>
      <c r="H25" s="67"/>
      <c r="I25" s="67"/>
      <c r="J25" s="67"/>
      <c r="K25" s="67"/>
      <c r="L25" s="67"/>
      <c r="M25" s="67"/>
      <c r="N25" s="67"/>
      <c r="O25" s="885"/>
    </row>
    <row r="26" spans="2:15" ht="15.75">
      <c r="B26" s="55"/>
      <c r="C26" s="887" t="s">
        <v>28</v>
      </c>
      <c r="D26" s="887" t="s">
        <v>29</v>
      </c>
      <c r="E26" s="887" t="s">
        <v>30</v>
      </c>
      <c r="F26" s="92">
        <v>2013</v>
      </c>
      <c r="G26" s="92">
        <v>2015</v>
      </c>
      <c r="H26" s="92">
        <v>2020</v>
      </c>
      <c r="I26" s="92">
        <v>2025</v>
      </c>
      <c r="J26" s="92">
        <v>2030</v>
      </c>
      <c r="K26" s="92">
        <v>2035</v>
      </c>
      <c r="L26" s="92">
        <v>2040</v>
      </c>
      <c r="M26" s="92">
        <v>2045</v>
      </c>
      <c r="N26" s="92">
        <v>2050</v>
      </c>
      <c r="O26" s="885"/>
    </row>
    <row r="27" spans="2:15" s="6" customFormat="1" ht="15.75">
      <c r="B27" s="975"/>
      <c r="C27" s="910" t="s">
        <v>104</v>
      </c>
      <c r="D27" s="910" t="s">
        <v>94</v>
      </c>
      <c r="E27" s="910"/>
      <c r="F27" s="3911">
        <v>0</v>
      </c>
      <c r="G27" s="3911">
        <v>0</v>
      </c>
      <c r="H27" s="3911">
        <v>0</v>
      </c>
      <c r="I27" s="3911">
        <v>0</v>
      </c>
      <c r="J27" s="3911">
        <v>0</v>
      </c>
      <c r="K27" s="3911">
        <v>0</v>
      </c>
      <c r="L27" s="3911">
        <v>0</v>
      </c>
      <c r="M27" s="3911">
        <v>0</v>
      </c>
      <c r="N27" s="3911">
        <v>0</v>
      </c>
      <c r="O27" s="893"/>
    </row>
    <row r="28" spans="2:15">
      <c r="B28" s="45"/>
      <c r="C28" s="67"/>
      <c r="D28" s="200"/>
      <c r="E28" s="67"/>
      <c r="F28" s="67"/>
      <c r="G28" s="67"/>
      <c r="H28" s="67"/>
      <c r="I28" s="67"/>
      <c r="J28" s="67"/>
      <c r="K28" s="67"/>
      <c r="L28" s="67"/>
      <c r="M28" s="67"/>
      <c r="N28" s="67"/>
      <c r="O28" s="885"/>
    </row>
    <row r="29" spans="2:15">
      <c r="B29" s="45"/>
      <c r="C29" s="49" t="s">
        <v>3197</v>
      </c>
      <c r="D29" s="67"/>
      <c r="E29" s="51"/>
      <c r="F29" s="67"/>
      <c r="G29" s="67"/>
      <c r="H29" s="67"/>
      <c r="I29" s="67"/>
      <c r="J29" s="67"/>
      <c r="K29" s="67"/>
      <c r="L29" s="67"/>
      <c r="M29" s="67"/>
      <c r="N29" s="51" t="s">
        <v>3198</v>
      </c>
      <c r="O29" s="885"/>
    </row>
    <row r="30" spans="2:15">
      <c r="B30" s="45"/>
      <c r="C30" s="67"/>
      <c r="D30" s="67"/>
      <c r="E30" s="67"/>
      <c r="F30" s="67"/>
      <c r="G30" s="67"/>
      <c r="H30" s="67"/>
      <c r="I30" s="67"/>
      <c r="J30" s="67"/>
      <c r="K30" s="67"/>
      <c r="L30" s="67"/>
      <c r="M30" s="67"/>
      <c r="N30" s="67"/>
      <c r="O30" s="885"/>
    </row>
    <row r="31" spans="2:15" ht="15.75">
      <c r="B31" s="55"/>
      <c r="C31" s="887" t="s">
        <v>28</v>
      </c>
      <c r="D31" s="887" t="s">
        <v>29</v>
      </c>
      <c r="E31" s="887" t="s">
        <v>30</v>
      </c>
      <c r="F31" s="92">
        <v>2013</v>
      </c>
      <c r="G31" s="92">
        <v>2015</v>
      </c>
      <c r="H31" s="92">
        <v>2020</v>
      </c>
      <c r="I31" s="92">
        <v>2025</v>
      </c>
      <c r="J31" s="92">
        <v>2030</v>
      </c>
      <c r="K31" s="92">
        <v>2035</v>
      </c>
      <c r="L31" s="92">
        <v>2040</v>
      </c>
      <c r="M31" s="92">
        <v>2045</v>
      </c>
      <c r="N31" s="92">
        <v>2050</v>
      </c>
      <c r="O31" s="885"/>
    </row>
    <row r="32" spans="2:15" ht="15.75">
      <c r="B32" s="55"/>
      <c r="C32" s="924" t="s">
        <v>96</v>
      </c>
      <c r="D32" s="924" t="s">
        <v>86</v>
      </c>
      <c r="E32" s="924"/>
      <c r="F32" s="2708">
        <v>6.4826118636814581E-3</v>
      </c>
      <c r="G32" s="2708">
        <v>6.4826118636814581E-3</v>
      </c>
      <c r="H32" s="2708">
        <v>6.4826118636814581E-3</v>
      </c>
      <c r="I32" s="2708">
        <v>6.4826118636814581E-3</v>
      </c>
      <c r="J32" s="2708">
        <v>6.4826118636814581E-3</v>
      </c>
      <c r="K32" s="2708">
        <v>6.4826118636814581E-3</v>
      </c>
      <c r="L32" s="2708">
        <v>6.4826118636814581E-3</v>
      </c>
      <c r="M32" s="2708">
        <v>6.4826118636814581E-3</v>
      </c>
      <c r="N32" s="2708">
        <v>6.4826118636814581E-3</v>
      </c>
      <c r="O32" s="885"/>
    </row>
    <row r="33" spans="2:16" ht="15.75">
      <c r="B33" s="55"/>
      <c r="C33" s="924" t="s">
        <v>99</v>
      </c>
      <c r="D33" s="924" t="s">
        <v>89</v>
      </c>
      <c r="E33" s="924"/>
      <c r="F33" s="2708">
        <v>5.3133991275655136E-2</v>
      </c>
      <c r="G33" s="2708">
        <v>5.3133991275655136E-2</v>
      </c>
      <c r="H33" s="2708">
        <v>5.3133991275655136E-2</v>
      </c>
      <c r="I33" s="2708">
        <v>5.3133991275655136E-2</v>
      </c>
      <c r="J33" s="2708">
        <v>5.3133991275655136E-2</v>
      </c>
      <c r="K33" s="2708">
        <v>5.3133991275655136E-2</v>
      </c>
      <c r="L33" s="2708">
        <v>5.3133991275655136E-2</v>
      </c>
      <c r="M33" s="2708">
        <v>5.3133991275655136E-2</v>
      </c>
      <c r="N33" s="2708">
        <v>5.3133991275655136E-2</v>
      </c>
      <c r="O33" s="885"/>
    </row>
    <row r="34" spans="2:16" ht="15.75">
      <c r="B34" s="55"/>
      <c r="C34" s="924" t="s">
        <v>100</v>
      </c>
      <c r="D34" s="924" t="s">
        <v>90</v>
      </c>
      <c r="E34" s="924"/>
      <c r="F34" s="2708">
        <v>2.3637521989818468E-3</v>
      </c>
      <c r="G34" s="2708">
        <v>2.3637521989818468E-3</v>
      </c>
      <c r="H34" s="2708">
        <v>2.3637521989818468E-3</v>
      </c>
      <c r="I34" s="2708">
        <v>2.3637521989818468E-3</v>
      </c>
      <c r="J34" s="2708">
        <v>2.3637521989818468E-3</v>
      </c>
      <c r="K34" s="2708">
        <v>2.3637521989818468E-3</v>
      </c>
      <c r="L34" s="2708">
        <v>2.3637521989818468E-3</v>
      </c>
      <c r="M34" s="2708">
        <v>2.3637521989818468E-3</v>
      </c>
      <c r="N34" s="2708">
        <v>2.3637521989818468E-3</v>
      </c>
      <c r="O34" s="885"/>
    </row>
    <row r="35" spans="2:16" ht="15.75">
      <c r="B35" s="55"/>
      <c r="C35" s="896" t="s">
        <v>101</v>
      </c>
      <c r="D35" s="897" t="s">
        <v>91</v>
      </c>
      <c r="E35" s="897"/>
      <c r="F35" s="2680">
        <v>7.6125932374258029E-4</v>
      </c>
      <c r="G35" s="2680">
        <v>7.6125932374258029E-4</v>
      </c>
      <c r="H35" s="2680">
        <v>7.6125932374258029E-4</v>
      </c>
      <c r="I35" s="2680">
        <v>7.6125932374258029E-4</v>
      </c>
      <c r="J35" s="2680">
        <v>7.6125932374258029E-4</v>
      </c>
      <c r="K35" s="2680">
        <v>7.6125932374258029E-4</v>
      </c>
      <c r="L35" s="2680">
        <v>7.6125932374258029E-4</v>
      </c>
      <c r="M35" s="2680">
        <v>7.6125932374258029E-4</v>
      </c>
      <c r="N35" s="2680">
        <v>7.6125932374258029E-4</v>
      </c>
      <c r="O35" s="885"/>
    </row>
    <row r="36" spans="2:16">
      <c r="B36" s="45"/>
      <c r="C36" s="67"/>
      <c r="D36" s="200"/>
      <c r="E36" s="67"/>
      <c r="F36" s="67"/>
      <c r="G36" s="67"/>
      <c r="H36" s="67"/>
      <c r="I36" s="67"/>
      <c r="J36" s="67"/>
      <c r="K36" s="67"/>
      <c r="L36" s="67"/>
      <c r="M36" s="67"/>
      <c r="N36" s="67"/>
      <c r="O36" s="67"/>
      <c r="P36"/>
    </row>
    <row r="37" spans="2:16" ht="15.75">
      <c r="B37" s="55"/>
      <c r="C37" s="49" t="s">
        <v>735</v>
      </c>
      <c r="D37" s="67"/>
      <c r="E37" s="67"/>
      <c r="F37" s="67"/>
      <c r="G37" s="51"/>
      <c r="H37" s="67"/>
      <c r="I37" s="67"/>
      <c r="J37" s="67"/>
      <c r="K37" s="67"/>
      <c r="L37" s="67"/>
      <c r="M37" s="67"/>
      <c r="N37" s="67"/>
      <c r="O37" s="67"/>
      <c r="P37"/>
    </row>
    <row r="38" spans="2:16" ht="15.75">
      <c r="B38" s="55"/>
      <c r="C38" s="67"/>
      <c r="D38" s="67"/>
      <c r="E38" s="67"/>
      <c r="F38" s="67"/>
      <c r="G38" s="67"/>
      <c r="H38" s="67"/>
      <c r="I38" s="67"/>
      <c r="J38" s="67"/>
      <c r="K38" s="67"/>
      <c r="L38" s="67"/>
      <c r="M38" s="67"/>
      <c r="N38" s="67"/>
      <c r="O38" s="67"/>
      <c r="P38"/>
    </row>
    <row r="39" spans="2:16" ht="15.75">
      <c r="B39" s="55"/>
      <c r="C39" s="887"/>
      <c r="D39" s="887"/>
      <c r="E39" s="887"/>
      <c r="F39" s="92" t="s">
        <v>1609</v>
      </c>
      <c r="G39" s="92" t="s">
        <v>27</v>
      </c>
      <c r="H39" s="92" t="s">
        <v>280</v>
      </c>
      <c r="I39" s="67"/>
      <c r="J39" s="920"/>
      <c r="K39" s="920"/>
      <c r="L39" s="920"/>
      <c r="M39" s="920"/>
      <c r="N39" s="920"/>
      <c r="O39" s="920"/>
      <c r="P39"/>
    </row>
    <row r="40" spans="2:16" ht="15.75">
      <c r="B40" s="55"/>
      <c r="C40" s="926"/>
      <c r="D40" s="199" t="s">
        <v>3199</v>
      </c>
      <c r="E40" s="199" t="s">
        <v>80</v>
      </c>
      <c r="F40" s="2520">
        <v>3</v>
      </c>
      <c r="G40" s="2909">
        <f>F40*Unit.Mtoe</f>
        <v>34.89</v>
      </c>
      <c r="H40" s="2909">
        <f>F40*Unit.Mtoe.y</f>
        <v>3.9801505817932918</v>
      </c>
      <c r="I40" s="67"/>
      <c r="J40" s="2478"/>
      <c r="K40" s="2478"/>
      <c r="L40" s="2478"/>
      <c r="M40" s="2478"/>
      <c r="N40" s="2478"/>
      <c r="O40" s="2478"/>
      <c r="P40"/>
    </row>
    <row r="41" spans="2:16">
      <c r="B41" s="45"/>
      <c r="C41" s="67"/>
      <c r="D41" s="200"/>
      <c r="E41" s="67"/>
      <c r="F41" s="67"/>
      <c r="G41" s="67"/>
      <c r="H41" s="67"/>
      <c r="I41" s="67"/>
      <c r="J41" s="67"/>
      <c r="K41" s="67"/>
      <c r="L41" s="67"/>
      <c r="M41" s="67"/>
      <c r="N41" s="67"/>
      <c r="O41" s="67"/>
      <c r="P41"/>
    </row>
    <row r="42" spans="2:16">
      <c r="B42" s="110"/>
      <c r="C42" s="49" t="s">
        <v>798</v>
      </c>
      <c r="D42" s="67"/>
      <c r="E42" s="67"/>
      <c r="F42" s="67"/>
      <c r="G42" s="67"/>
      <c r="H42" s="67"/>
      <c r="I42" s="67"/>
      <c r="J42" s="67"/>
      <c r="K42" s="67"/>
      <c r="L42" s="67"/>
      <c r="M42" s="67"/>
      <c r="N42" s="67" t="str">
        <f>"kt per "&amp;Preferences.EnergyUnits</f>
        <v>kt per TWh</v>
      </c>
      <c r="O42" s="885"/>
      <c r="P42"/>
    </row>
    <row r="43" spans="2:16">
      <c r="B43" s="110"/>
      <c r="C43" s="67"/>
      <c r="D43" s="67"/>
      <c r="E43" s="1364"/>
      <c r="F43" s="67"/>
      <c r="G43" s="67"/>
      <c r="H43" s="67"/>
      <c r="I43" s="67"/>
      <c r="J43" s="67"/>
      <c r="K43" s="67"/>
      <c r="L43" s="67"/>
      <c r="M43" s="67"/>
      <c r="N43" s="67"/>
      <c r="O43" s="885"/>
    </row>
    <row r="44" spans="2:16">
      <c r="B44" s="110"/>
      <c r="C44" s="1541" t="s">
        <v>44</v>
      </c>
      <c r="D44" s="1541" t="s">
        <v>1010</v>
      </c>
      <c r="E44" s="1542" t="s">
        <v>45</v>
      </c>
      <c r="F44" s="1543">
        <v>2013</v>
      </c>
      <c r="G44" s="1543" t="s">
        <v>133</v>
      </c>
      <c r="H44" s="1543" t="s">
        <v>134</v>
      </c>
      <c r="I44" s="1543" t="s">
        <v>135</v>
      </c>
      <c r="J44" s="1543" t="s">
        <v>136</v>
      </c>
      <c r="K44" s="1543" t="s">
        <v>137</v>
      </c>
      <c r="L44" s="1543" t="s">
        <v>138</v>
      </c>
      <c r="M44" s="1543" t="s">
        <v>139</v>
      </c>
      <c r="N44" s="1543" t="s">
        <v>140</v>
      </c>
      <c r="O44" s="885"/>
    </row>
    <row r="45" spans="2:16">
      <c r="B45" s="110"/>
      <c r="C45" s="1374" t="s">
        <v>514</v>
      </c>
      <c r="D45" s="194" t="s">
        <v>515</v>
      </c>
      <c r="E45" s="1544" t="s">
        <v>89</v>
      </c>
      <c r="F45" s="2460">
        <f>0.0066126989586634*(1/Unit.TWh)</f>
        <v>6.6126989586633997E-3</v>
      </c>
      <c r="G45" s="2460">
        <f>0.00716151223624281*(1/Unit.TWh)</f>
        <v>7.1615122362428101E-3</v>
      </c>
      <c r="H45" s="2460">
        <f>0.00724303744192708*(1/Unit.TWh)</f>
        <v>7.2430374419270799E-3</v>
      </c>
      <c r="I45" s="2460">
        <f t="shared" ref="I45:N45" si="1">0.00802258601976468*(1/Unit.TWh)</f>
        <v>8.0225860197646794E-3</v>
      </c>
      <c r="J45" s="2460">
        <f t="shared" si="1"/>
        <v>8.0225860197646794E-3</v>
      </c>
      <c r="K45" s="2460">
        <f t="shared" si="1"/>
        <v>8.0225860197646794E-3</v>
      </c>
      <c r="L45" s="2460">
        <f t="shared" si="1"/>
        <v>8.0225860197646794E-3</v>
      </c>
      <c r="M45" s="2460">
        <f t="shared" si="1"/>
        <v>8.0225860197646794E-3</v>
      </c>
      <c r="N45" s="2460">
        <f t="shared" si="1"/>
        <v>8.0225860197646794E-3</v>
      </c>
      <c r="O45" s="885"/>
    </row>
    <row r="46" spans="2:16">
      <c r="B46" s="110"/>
      <c r="C46" s="1374" t="s">
        <v>514</v>
      </c>
      <c r="D46" s="194" t="s">
        <v>515</v>
      </c>
      <c r="E46" s="1544" t="s">
        <v>90</v>
      </c>
      <c r="F46" s="2460">
        <f t="shared" ref="F46:N46" si="2">0.0027499086722332*(1/Unit.TWh)</f>
        <v>2.7499086722331998E-3</v>
      </c>
      <c r="G46" s="2460">
        <f t="shared" si="2"/>
        <v>2.7499086722331998E-3</v>
      </c>
      <c r="H46" s="2460">
        <f t="shared" si="2"/>
        <v>2.7499086722331998E-3</v>
      </c>
      <c r="I46" s="2460">
        <f t="shared" si="2"/>
        <v>2.7499086722331998E-3</v>
      </c>
      <c r="J46" s="2460">
        <f t="shared" si="2"/>
        <v>2.7499086722331998E-3</v>
      </c>
      <c r="K46" s="2460">
        <f t="shared" si="2"/>
        <v>2.7499086722331998E-3</v>
      </c>
      <c r="L46" s="2460">
        <f t="shared" si="2"/>
        <v>2.7499086722331998E-3</v>
      </c>
      <c r="M46" s="2460">
        <f t="shared" si="2"/>
        <v>2.7499086722331998E-3</v>
      </c>
      <c r="N46" s="2460">
        <f t="shared" si="2"/>
        <v>2.7499086722331998E-3</v>
      </c>
      <c r="O46" s="885"/>
    </row>
    <row r="47" spans="2:16">
      <c r="B47" s="110"/>
      <c r="C47" s="67"/>
      <c r="D47" s="67"/>
      <c r="E47" s="67"/>
      <c r="F47" s="67"/>
      <c r="G47" s="67"/>
      <c r="H47" s="67"/>
      <c r="I47" s="67"/>
      <c r="J47" s="67"/>
      <c r="K47" s="67"/>
      <c r="L47" s="67"/>
      <c r="M47" s="67"/>
      <c r="N47" s="67"/>
      <c r="O47" s="885"/>
    </row>
    <row r="48" spans="2:16">
      <c r="B48" s="110"/>
      <c r="C48" s="49" t="s">
        <v>800</v>
      </c>
      <c r="D48" s="67"/>
      <c r="E48" s="67"/>
      <c r="F48" s="67"/>
      <c r="G48" s="67"/>
      <c r="H48" s="67"/>
      <c r="I48" s="67"/>
      <c r="J48" s="67"/>
      <c r="K48" s="67"/>
      <c r="L48" s="67"/>
      <c r="M48" s="67"/>
      <c r="N48" s="67" t="str">
        <f>"kt per "&amp;Preferences.EnergyUnits</f>
        <v>kt per TWh</v>
      </c>
      <c r="O48" s="885"/>
    </row>
    <row r="49" spans="2:15">
      <c r="B49" s="110"/>
      <c r="C49" s="67"/>
      <c r="D49" s="67"/>
      <c r="E49" s="1364"/>
      <c r="F49" s="67"/>
      <c r="G49" s="67"/>
      <c r="H49" s="67"/>
      <c r="I49" s="67"/>
      <c r="J49" s="67"/>
      <c r="K49" s="67"/>
      <c r="L49" s="67"/>
      <c r="M49" s="67"/>
      <c r="N49" s="67"/>
      <c r="O49" s="885"/>
    </row>
    <row r="50" spans="2:15">
      <c r="B50" s="110"/>
      <c r="C50" s="1541" t="s">
        <v>44</v>
      </c>
      <c r="D50" s="1541" t="s">
        <v>1010</v>
      </c>
      <c r="E50" s="1542" t="s">
        <v>45</v>
      </c>
      <c r="F50" s="1543">
        <v>2013</v>
      </c>
      <c r="G50" s="1543" t="s">
        <v>133</v>
      </c>
      <c r="H50" s="1543" t="s">
        <v>134</v>
      </c>
      <c r="I50" s="1543" t="s">
        <v>135</v>
      </c>
      <c r="J50" s="1543" t="s">
        <v>136</v>
      </c>
      <c r="K50" s="1543" t="s">
        <v>137</v>
      </c>
      <c r="L50" s="1543" t="s">
        <v>138</v>
      </c>
      <c r="M50" s="1543" t="s">
        <v>139</v>
      </c>
      <c r="N50" s="1543" t="s">
        <v>140</v>
      </c>
      <c r="O50" s="885"/>
    </row>
    <row r="51" spans="2:15">
      <c r="B51" s="110"/>
      <c r="C51" s="1374" t="s">
        <v>514</v>
      </c>
      <c r="D51" s="194" t="s">
        <v>515</v>
      </c>
      <c r="E51" s="1544" t="s">
        <v>89</v>
      </c>
      <c r="F51" s="2460">
        <f>0.252637328783166*(1/Unit.TWh)</f>
        <v>0.25263732878316603</v>
      </c>
      <c r="G51" s="2460">
        <f>0.386853299197486*(1/Unit.TWh)</f>
        <v>0.38685329919748601</v>
      </c>
      <c r="H51" s="2460">
        <f>0.379276941246195*(1/Unit.TWh)</f>
        <v>0.37927694124619499</v>
      </c>
      <c r="I51" s="2460">
        <f t="shared" ref="I51:N51" si="3">0.376364736609819*(1/Unit.TWh)</f>
        <v>0.37636473660981901</v>
      </c>
      <c r="J51" s="2460">
        <f t="shared" si="3"/>
        <v>0.37636473660981901</v>
      </c>
      <c r="K51" s="2460">
        <f t="shared" si="3"/>
        <v>0.37636473660981901</v>
      </c>
      <c r="L51" s="2460">
        <f t="shared" si="3"/>
        <v>0.37636473660981901</v>
      </c>
      <c r="M51" s="2460">
        <f t="shared" si="3"/>
        <v>0.37636473660981901</v>
      </c>
      <c r="N51" s="2460">
        <f t="shared" si="3"/>
        <v>0.37636473660981901</v>
      </c>
      <c r="O51" s="885"/>
    </row>
    <row r="52" spans="2:15">
      <c r="B52" s="110"/>
      <c r="C52" s="1374" t="s">
        <v>514</v>
      </c>
      <c r="D52" s="194" t="s">
        <v>515</v>
      </c>
      <c r="E52" s="1544" t="s">
        <v>90</v>
      </c>
      <c r="F52" s="2460">
        <f>0.252014656914339*(1/Unit.TWh)</f>
        <v>0.252014656914339</v>
      </c>
      <c r="G52" s="2460">
        <f>0.23970636067584*(1/Unit.TWh)</f>
        <v>0.23970636067584</v>
      </c>
      <c r="H52" s="2460">
        <f>0.235967791015797*(1/Unit.TWh)</f>
        <v>0.23596779101579701</v>
      </c>
      <c r="I52" s="2460">
        <f>0.204724112238833*(1/Unit.TWh)</f>
        <v>0.20472411223883299</v>
      </c>
      <c r="J52" s="2460">
        <f>0.20245710030239*(1/Unit.TWh)</f>
        <v>0.20245710030239</v>
      </c>
      <c r="K52" s="2460">
        <f>0.20245710030239*(1/Unit.TWh)</f>
        <v>0.20245710030239</v>
      </c>
      <c r="L52" s="2460">
        <f>0.20245710030239*(1/Unit.TWh)</f>
        <v>0.20245710030239</v>
      </c>
      <c r="M52" s="2460">
        <f>0.20245710030239*(1/Unit.TWh)</f>
        <v>0.20245710030239</v>
      </c>
      <c r="N52" s="2460">
        <f>0.20245710030239*(1/Unit.TWh)</f>
        <v>0.20245710030239</v>
      </c>
      <c r="O52" s="885"/>
    </row>
    <row r="53" spans="2:15">
      <c r="B53" s="110"/>
      <c r="C53" s="67"/>
      <c r="D53" s="67"/>
      <c r="E53" s="67"/>
      <c r="F53" s="67"/>
      <c r="G53" s="67"/>
      <c r="H53" s="67"/>
      <c r="I53" s="67"/>
      <c r="J53" s="67"/>
      <c r="K53" s="67"/>
      <c r="L53" s="67"/>
      <c r="M53" s="67"/>
      <c r="N53" s="67"/>
      <c r="O53" s="885"/>
    </row>
    <row r="54" spans="2:15">
      <c r="B54" s="110"/>
      <c r="C54" s="49" t="s">
        <v>801</v>
      </c>
      <c r="D54" s="67"/>
      <c r="E54" s="67"/>
      <c r="F54" s="67"/>
      <c r="G54" s="67"/>
      <c r="H54" s="67"/>
      <c r="I54" s="67"/>
      <c r="J54" s="67"/>
      <c r="K54" s="67"/>
      <c r="L54" s="67"/>
      <c r="M54" s="67"/>
      <c r="N54" s="67" t="str">
        <f>"kt per "&amp;Preferences.EnergyUnits</f>
        <v>kt per TWh</v>
      </c>
      <c r="O54" s="885"/>
    </row>
    <row r="55" spans="2:15">
      <c r="B55" s="110"/>
      <c r="C55" s="67"/>
      <c r="D55" s="67"/>
      <c r="E55" s="1364"/>
      <c r="F55" s="67"/>
      <c r="G55" s="67"/>
      <c r="H55" s="67"/>
      <c r="I55" s="67"/>
      <c r="J55" s="67"/>
      <c r="K55" s="67"/>
      <c r="L55" s="67"/>
      <c r="M55" s="67"/>
      <c r="N55" s="67"/>
      <c r="O55" s="885"/>
    </row>
    <row r="56" spans="2:15">
      <c r="B56" s="110"/>
      <c r="C56" s="1541" t="s">
        <v>44</v>
      </c>
      <c r="D56" s="1541" t="s">
        <v>1010</v>
      </c>
      <c r="E56" s="1542" t="s">
        <v>45</v>
      </c>
      <c r="F56" s="1543">
        <v>2013</v>
      </c>
      <c r="G56" s="1543" t="s">
        <v>133</v>
      </c>
      <c r="H56" s="1543" t="s">
        <v>134</v>
      </c>
      <c r="I56" s="1543" t="s">
        <v>135</v>
      </c>
      <c r="J56" s="1543" t="s">
        <v>136</v>
      </c>
      <c r="K56" s="1543" t="s">
        <v>137</v>
      </c>
      <c r="L56" s="1543" t="s">
        <v>138</v>
      </c>
      <c r="M56" s="1543" t="s">
        <v>139</v>
      </c>
      <c r="N56" s="1543" t="s">
        <v>140</v>
      </c>
      <c r="O56" s="885"/>
    </row>
    <row r="57" spans="2:15">
      <c r="B57" s="110"/>
      <c r="C57" s="1374" t="s">
        <v>514</v>
      </c>
      <c r="D57" s="194" t="s">
        <v>515</v>
      </c>
      <c r="E57" s="1544" t="s">
        <v>89</v>
      </c>
      <c r="F57" s="2460">
        <f>0.346443436605897*(1/Unit.TWh)</f>
        <v>0.34644343660589699</v>
      </c>
      <c r="G57" s="2460">
        <f>0.337456947070651*(1/Unit.TWh)</f>
        <v>0.33745694707065099</v>
      </c>
      <c r="H57" s="2460">
        <f>0.342062741773662*(1/Unit.TWh)</f>
        <v>0.34206274177366203</v>
      </c>
      <c r="I57" s="2460">
        <f t="shared" ref="I57:N57" si="4">0.386103608403904*(1/Unit.TWh)</f>
        <v>0.38610360840390401</v>
      </c>
      <c r="J57" s="2460">
        <f t="shared" si="4"/>
        <v>0.38610360840390401</v>
      </c>
      <c r="K57" s="2460">
        <f t="shared" si="4"/>
        <v>0.38610360840390401</v>
      </c>
      <c r="L57" s="2460">
        <f t="shared" si="4"/>
        <v>0.38610360840390401</v>
      </c>
      <c r="M57" s="2460">
        <f t="shared" si="4"/>
        <v>0.38610360840390401</v>
      </c>
      <c r="N57" s="2460">
        <f t="shared" si="4"/>
        <v>0.38610360840390401</v>
      </c>
      <c r="O57" s="885"/>
    </row>
    <row r="58" spans="2:15">
      <c r="B58" s="110"/>
      <c r="C58" s="1374" t="s">
        <v>514</v>
      </c>
      <c r="D58" s="194" t="s">
        <v>515</v>
      </c>
      <c r="E58" s="1544" t="s">
        <v>90</v>
      </c>
      <c r="F58" s="2460">
        <f t="shared" ref="F58:N58" si="5">0*(1/Unit.TWh)</f>
        <v>0</v>
      </c>
      <c r="G58" s="2460">
        <f t="shared" si="5"/>
        <v>0</v>
      </c>
      <c r="H58" s="2460">
        <f t="shared" si="5"/>
        <v>0</v>
      </c>
      <c r="I58" s="2460">
        <f t="shared" si="5"/>
        <v>0</v>
      </c>
      <c r="J58" s="2460">
        <f t="shared" si="5"/>
        <v>0</v>
      </c>
      <c r="K58" s="2460">
        <f t="shared" si="5"/>
        <v>0</v>
      </c>
      <c r="L58" s="2460">
        <f t="shared" si="5"/>
        <v>0</v>
      </c>
      <c r="M58" s="2460">
        <f t="shared" si="5"/>
        <v>0</v>
      </c>
      <c r="N58" s="2460">
        <f t="shared" si="5"/>
        <v>0</v>
      </c>
      <c r="O58" s="885"/>
    </row>
    <row r="59" spans="2:15">
      <c r="B59" s="110"/>
      <c r="C59" s="67"/>
      <c r="D59" s="67"/>
      <c r="E59" s="67"/>
      <c r="F59" s="67"/>
      <c r="G59" s="67"/>
      <c r="H59" s="67"/>
      <c r="I59" s="67"/>
      <c r="J59" s="67"/>
      <c r="K59" s="67"/>
      <c r="L59" s="67"/>
      <c r="M59" s="67"/>
      <c r="N59" s="67"/>
      <c r="O59" s="885"/>
    </row>
    <row r="60" spans="2:15">
      <c r="B60" s="110"/>
      <c r="C60" s="49" t="s">
        <v>802</v>
      </c>
      <c r="D60" s="67"/>
      <c r="E60" s="67"/>
      <c r="F60" s="67"/>
      <c r="G60" s="67"/>
      <c r="H60" s="67"/>
      <c r="I60" s="67"/>
      <c r="J60" s="67"/>
      <c r="K60" s="67"/>
      <c r="L60" s="67"/>
      <c r="M60" s="67"/>
      <c r="N60" s="67" t="str">
        <f>"kt per "&amp;Preferences.EnergyUnits</f>
        <v>kt per TWh</v>
      </c>
      <c r="O60" s="885"/>
    </row>
    <row r="61" spans="2:15">
      <c r="B61" s="110"/>
      <c r="C61" s="67"/>
      <c r="D61" s="67"/>
      <c r="E61" s="1364"/>
      <c r="F61" s="67"/>
      <c r="G61" s="67"/>
      <c r="H61" s="67"/>
      <c r="I61" s="67"/>
      <c r="J61" s="67"/>
      <c r="K61" s="67"/>
      <c r="L61" s="67"/>
      <c r="M61" s="67"/>
      <c r="N61" s="67"/>
      <c r="O61" s="885"/>
    </row>
    <row r="62" spans="2:15">
      <c r="B62" s="110"/>
      <c r="C62" s="1541" t="s">
        <v>44</v>
      </c>
      <c r="D62" s="1541" t="s">
        <v>1010</v>
      </c>
      <c r="E62" s="1542" t="s">
        <v>45</v>
      </c>
      <c r="F62" s="1543">
        <v>2013</v>
      </c>
      <c r="G62" s="1543" t="s">
        <v>133</v>
      </c>
      <c r="H62" s="1543" t="s">
        <v>134</v>
      </c>
      <c r="I62" s="1543" t="s">
        <v>135</v>
      </c>
      <c r="J62" s="1543" t="s">
        <v>136</v>
      </c>
      <c r="K62" s="1543" t="s">
        <v>137</v>
      </c>
      <c r="L62" s="1543" t="s">
        <v>138</v>
      </c>
      <c r="M62" s="1543" t="s">
        <v>139</v>
      </c>
      <c r="N62" s="1543" t="s">
        <v>140</v>
      </c>
      <c r="O62" s="885"/>
    </row>
    <row r="63" spans="2:15">
      <c r="B63" s="110"/>
      <c r="C63" s="1374" t="s">
        <v>514</v>
      </c>
      <c r="D63" s="194" t="s">
        <v>515</v>
      </c>
      <c r="E63" s="1544" t="s">
        <v>89</v>
      </c>
      <c r="F63" s="2460">
        <f>0.012112329171065*(1/Unit.TWh)</f>
        <v>1.2112329171065001E-2</v>
      </c>
      <c r="G63" s="2460">
        <f>0.0121292383251863*(1/Unit.TWh)</f>
        <v>1.21292383251863E-2</v>
      </c>
      <c r="H63" s="2460">
        <f>0.0121091404628352*(1/Unit.TWh)</f>
        <v>1.21091404628352E-2</v>
      </c>
      <c r="I63" s="2460">
        <f>0.0119169635786204*(1/Unit.TWh)</f>
        <v>1.1916963578620401E-2</v>
      </c>
      <c r="J63" s="2460">
        <f>0.00294858550518024*(1/Unit.TWh)</f>
        <v>2.9485855051802402E-3</v>
      </c>
      <c r="K63" s="2460">
        <f>0.00294858550518024*(1/Unit.TWh)</f>
        <v>2.9485855051802402E-3</v>
      </c>
      <c r="L63" s="2460">
        <f>0.00294858550518024*(1/Unit.TWh)</f>
        <v>2.9485855051802402E-3</v>
      </c>
      <c r="M63" s="2460">
        <f>0.00294858550518024*(1/Unit.TWh)</f>
        <v>2.9485855051802402E-3</v>
      </c>
      <c r="N63" s="2460">
        <f>0.00294858550518024*(1/Unit.TWh)</f>
        <v>2.9485855051802402E-3</v>
      </c>
      <c r="O63" s="885"/>
    </row>
    <row r="64" spans="2:15">
      <c r="B64" s="110"/>
      <c r="C64" s="1374" t="s">
        <v>514</v>
      </c>
      <c r="D64" s="194" t="s">
        <v>515</v>
      </c>
      <c r="E64" s="1544" t="s">
        <v>90</v>
      </c>
      <c r="F64" s="2460">
        <f>0.00802071964139669*(1/Unit.TWh)</f>
        <v>8.02071964139669E-3</v>
      </c>
      <c r="G64" s="2460">
        <f t="shared" ref="G64:N64" si="6">0.00802071964139672*(1/Unit.TWh)</f>
        <v>8.0207196413967195E-3</v>
      </c>
      <c r="H64" s="2460">
        <f t="shared" si="6"/>
        <v>8.0207196413967195E-3</v>
      </c>
      <c r="I64" s="2460">
        <f t="shared" si="6"/>
        <v>8.0207196413967195E-3</v>
      </c>
      <c r="J64" s="2460">
        <f t="shared" si="6"/>
        <v>8.0207196413967195E-3</v>
      </c>
      <c r="K64" s="2460">
        <f t="shared" si="6"/>
        <v>8.0207196413967195E-3</v>
      </c>
      <c r="L64" s="2460">
        <f t="shared" si="6"/>
        <v>8.0207196413967195E-3</v>
      </c>
      <c r="M64" s="2460">
        <f t="shared" si="6"/>
        <v>8.0207196413967195E-3</v>
      </c>
      <c r="N64" s="2460">
        <f t="shared" si="6"/>
        <v>8.0207196413967195E-3</v>
      </c>
      <c r="O64" s="885"/>
    </row>
    <row r="65" spans="2:17">
      <c r="B65" s="110"/>
      <c r="C65" s="1374"/>
      <c r="D65" s="194"/>
      <c r="E65" s="2471"/>
      <c r="F65" s="2460"/>
      <c r="G65" s="2460"/>
      <c r="H65" s="2460"/>
      <c r="I65" s="2460"/>
      <c r="J65" s="2460"/>
      <c r="K65" s="2460"/>
      <c r="L65" s="2460"/>
      <c r="M65" s="2460"/>
      <c r="N65" s="2460"/>
      <c r="O65" s="885"/>
    </row>
    <row r="66" spans="2:17">
      <c r="B66" s="110"/>
      <c r="C66" s="49" t="s">
        <v>1172</v>
      </c>
      <c r="D66" s="49">
        <v>30</v>
      </c>
      <c r="E66" s="3912" t="s">
        <v>2367</v>
      </c>
      <c r="F66" s="2460"/>
      <c r="G66" s="2460"/>
      <c r="H66" s="2460"/>
      <c r="I66" s="2460"/>
      <c r="J66" s="2460"/>
      <c r="K66" s="2460"/>
      <c r="L66" s="2460"/>
      <c r="M66" s="2460"/>
      <c r="N66" s="2460"/>
      <c r="O66" s="885"/>
    </row>
    <row r="67" spans="2:17">
      <c r="B67" s="110"/>
      <c r="C67" s="1374"/>
      <c r="D67" s="194"/>
      <c r="E67" s="2471"/>
      <c r="F67" s="2460"/>
      <c r="G67" s="2460"/>
      <c r="H67" s="2460"/>
      <c r="I67" s="2460"/>
      <c r="J67" s="2460"/>
      <c r="K67" s="2460"/>
      <c r="L67" s="2460"/>
      <c r="M67" s="2460"/>
      <c r="N67" s="2460"/>
      <c r="O67" s="885"/>
    </row>
    <row r="68" spans="2:17">
      <c r="B68" s="45"/>
      <c r="C68" s="3862" t="s">
        <v>64</v>
      </c>
      <c r="D68" s="200"/>
      <c r="E68" s="67"/>
      <c r="F68" s="67"/>
      <c r="G68" s="67"/>
      <c r="H68" s="67"/>
      <c r="I68" s="67"/>
      <c r="J68" s="67"/>
      <c r="K68" s="67"/>
      <c r="L68" s="67"/>
      <c r="M68" s="67"/>
      <c r="N68" s="67"/>
      <c r="O68" s="885"/>
    </row>
    <row r="69" spans="2:17">
      <c r="B69" s="45"/>
      <c r="C69" s="929" t="s">
        <v>65</v>
      </c>
      <c r="D69" s="930" t="s">
        <v>3221</v>
      </c>
      <c r="E69" s="67"/>
      <c r="F69" s="67"/>
      <c r="G69" s="67"/>
      <c r="H69" s="67"/>
      <c r="I69" s="67"/>
      <c r="J69" s="67"/>
      <c r="K69" s="67"/>
      <c r="L69" s="67"/>
      <c r="M69" s="67"/>
      <c r="N69" s="67"/>
      <c r="O69" s="885"/>
    </row>
    <row r="70" spans="2:17" s="927" customFormat="1" ht="12.75">
      <c r="B70" s="1169"/>
      <c r="C70" s="929" t="s">
        <v>67</v>
      </c>
      <c r="D70" s="930" t="s">
        <v>3222</v>
      </c>
      <c r="E70" s="931"/>
      <c r="F70" s="931"/>
      <c r="G70" s="931"/>
      <c r="H70" s="931"/>
      <c r="I70" s="931"/>
      <c r="J70" s="931"/>
      <c r="K70" s="931"/>
      <c r="L70" s="931"/>
      <c r="M70" s="931"/>
      <c r="N70" s="931"/>
      <c r="O70" s="932"/>
    </row>
    <row r="71" spans="2:17" s="927" customFormat="1" ht="12.75">
      <c r="B71" s="1169"/>
      <c r="C71" s="929" t="s">
        <v>106</v>
      </c>
      <c r="D71" s="930" t="s">
        <v>3223</v>
      </c>
      <c r="E71" s="931"/>
      <c r="F71" s="931"/>
      <c r="G71" s="931"/>
      <c r="H71" s="931"/>
      <c r="I71" s="931"/>
      <c r="J71" s="931"/>
      <c r="K71" s="931"/>
      <c r="L71" s="931"/>
      <c r="M71" s="931"/>
      <c r="N71" s="931"/>
      <c r="O71" s="932"/>
    </row>
    <row r="72" spans="2:17">
      <c r="B72" s="1172"/>
      <c r="C72" s="3890" t="s">
        <v>80</v>
      </c>
      <c r="D72" s="3876" t="s">
        <v>3225</v>
      </c>
      <c r="E72" s="1074"/>
      <c r="F72" s="1074"/>
      <c r="G72" s="1074"/>
      <c r="H72" s="1074"/>
      <c r="I72" s="1074"/>
      <c r="J72" s="1074"/>
      <c r="K72" s="1074"/>
      <c r="L72" s="1074"/>
      <c r="M72" s="1074"/>
      <c r="N72" s="1074"/>
      <c r="O72" s="1109"/>
    </row>
    <row r="73" spans="2:17">
      <c r="B73" s="1077"/>
      <c r="C73" s="1077"/>
      <c r="D73" s="1077"/>
      <c r="E73" s="1077"/>
      <c r="F73" s="1077"/>
      <c r="G73" s="1077"/>
      <c r="H73" s="1077"/>
      <c r="I73" s="1077"/>
      <c r="J73" s="1077"/>
      <c r="K73" s="1077"/>
      <c r="L73" s="1077"/>
      <c r="M73" s="1077"/>
      <c r="N73" s="1077"/>
      <c r="O73" s="1077"/>
    </row>
    <row r="74" spans="2:17" ht="15.75">
      <c r="B74" s="878" t="s">
        <v>2794</v>
      </c>
      <c r="C74" s="879"/>
      <c r="D74" s="879"/>
      <c r="E74" s="879"/>
      <c r="F74" s="879"/>
      <c r="G74" s="879"/>
      <c r="H74" s="879"/>
      <c r="I74" s="879"/>
      <c r="J74" s="879"/>
      <c r="K74" s="879"/>
      <c r="L74" s="879"/>
      <c r="M74" s="879"/>
      <c r="N74" s="879"/>
      <c r="O74" s="880"/>
    </row>
    <row r="75" spans="2:17" hidden="1">
      <c r="B75" s="110"/>
      <c r="C75" s="67"/>
      <c r="D75" s="67"/>
      <c r="E75" s="67"/>
      <c r="F75" s="67"/>
      <c r="G75" s="67"/>
      <c r="H75" s="67"/>
      <c r="I75" s="67"/>
      <c r="J75" s="67"/>
      <c r="K75" s="67"/>
      <c r="L75" s="67"/>
      <c r="M75" s="67"/>
      <c r="N75" s="67"/>
      <c r="O75" s="885"/>
    </row>
    <row r="76" spans="2:17" hidden="1">
      <c r="B76" s="110"/>
      <c r="C76" s="49" t="s">
        <v>3200</v>
      </c>
      <c r="D76" s="924"/>
      <c r="E76" s="941"/>
      <c r="F76" s="2519"/>
      <c r="G76" s="943"/>
      <c r="H76" s="943"/>
      <c r="I76" s="943"/>
      <c r="J76" s="943"/>
      <c r="K76" s="943"/>
      <c r="L76" s="943"/>
      <c r="M76" s="943"/>
      <c r="N76" s="944" t="s">
        <v>2817</v>
      </c>
      <c r="O76" s="885"/>
    </row>
    <row r="77" spans="2:17" hidden="1">
      <c r="B77" s="110"/>
      <c r="C77" s="946"/>
      <c r="D77" s="924"/>
      <c r="E77" s="941"/>
      <c r="F77" s="2519"/>
      <c r="G77" s="943"/>
      <c r="H77" s="943"/>
      <c r="I77" s="943"/>
      <c r="J77" s="943"/>
      <c r="K77" s="943"/>
      <c r="L77" s="943"/>
      <c r="M77" s="943"/>
      <c r="N77" s="67"/>
      <c r="O77" s="885"/>
    </row>
    <row r="78" spans="2:17" hidden="1">
      <c r="B78" s="110"/>
      <c r="C78" s="961"/>
      <c r="D78" s="962"/>
      <c r="E78" s="980" t="s">
        <v>160</v>
      </c>
      <c r="F78" s="981">
        <v>2013</v>
      </c>
      <c r="G78" s="974">
        <v>2015</v>
      </c>
      <c r="H78" s="974">
        <v>2020</v>
      </c>
      <c r="I78" s="974">
        <v>2025</v>
      </c>
      <c r="J78" s="974">
        <v>2030</v>
      </c>
      <c r="K78" s="974">
        <v>2035</v>
      </c>
      <c r="L78" s="974">
        <v>2040</v>
      </c>
      <c r="M78" s="974">
        <v>2045</v>
      </c>
      <c r="N78" s="974">
        <v>2050</v>
      </c>
      <c r="O78" s="885"/>
      <c r="Q78" s="3913"/>
    </row>
    <row r="79" spans="2:17" hidden="1">
      <c r="B79" s="110"/>
      <c r="C79" s="952" t="s">
        <v>738</v>
      </c>
      <c r="D79" s="924"/>
      <c r="E79" s="3390"/>
      <c r="F79" s="3914"/>
      <c r="G79" s="3405"/>
      <c r="H79" s="3405"/>
      <c r="I79" s="3405"/>
      <c r="J79" s="3405"/>
      <c r="K79" s="3405"/>
      <c r="L79" s="3405"/>
      <c r="M79" s="3405"/>
      <c r="N79" s="3914"/>
      <c r="O79" s="885"/>
      <c r="Q79" s="3913"/>
    </row>
    <row r="80" spans="2:17" hidden="1">
      <c r="B80" s="110"/>
      <c r="C80" s="952" t="s">
        <v>739</v>
      </c>
      <c r="D80" s="924"/>
      <c r="E80" s="3496"/>
      <c r="F80" s="1607"/>
      <c r="G80" s="3777"/>
      <c r="H80" s="3777"/>
      <c r="I80" s="3777"/>
      <c r="J80" s="3777"/>
      <c r="K80" s="3777"/>
      <c r="L80" s="3777"/>
      <c r="M80" s="3777"/>
      <c r="N80" s="1607"/>
      <c r="O80" s="885"/>
      <c r="Q80" s="3913"/>
    </row>
    <row r="81" spans="1:17" hidden="1">
      <c r="B81" s="110"/>
      <c r="C81" s="956" t="s">
        <v>740</v>
      </c>
      <c r="D81" s="957"/>
      <c r="E81" s="3498"/>
      <c r="F81" s="979"/>
      <c r="G81" s="3407"/>
      <c r="H81" s="3407"/>
      <c r="I81" s="3407"/>
      <c r="J81" s="3407"/>
      <c r="K81" s="3407"/>
      <c r="L81" s="3407"/>
      <c r="M81" s="3407"/>
      <c r="N81" s="979"/>
      <c r="O81" s="885"/>
      <c r="Q81" s="3913"/>
    </row>
    <row r="82" spans="1:17" hidden="1">
      <c r="B82" s="110"/>
      <c r="C82" s="946"/>
      <c r="D82" s="924"/>
      <c r="E82" s="941"/>
      <c r="F82" s="2519"/>
      <c r="G82" s="943"/>
      <c r="H82" s="943"/>
      <c r="I82" s="943"/>
      <c r="J82" s="943"/>
      <c r="K82" s="943"/>
      <c r="L82" s="943"/>
      <c r="M82" s="943"/>
      <c r="N82" s="67"/>
      <c r="O82" s="885"/>
      <c r="Q82" s="3913"/>
    </row>
    <row r="83" spans="1:17" ht="15.75" hidden="1">
      <c r="B83" s="55"/>
      <c r="C83" s="49" t="s">
        <v>3201</v>
      </c>
      <c r="D83" s="924"/>
      <c r="E83" s="941"/>
      <c r="F83" s="2519"/>
      <c r="G83" s="943"/>
      <c r="H83" s="943"/>
      <c r="I83" s="943"/>
      <c r="J83" s="943"/>
      <c r="K83" s="943"/>
      <c r="L83" s="943"/>
      <c r="M83" s="943"/>
      <c r="N83" s="944" t="s">
        <v>2817</v>
      </c>
      <c r="O83" s="885"/>
      <c r="Q83" s="3913"/>
    </row>
    <row r="84" spans="1:17" ht="15.75" hidden="1">
      <c r="B84" s="975"/>
      <c r="C84" s="946"/>
      <c r="D84" s="924"/>
      <c r="E84" s="941"/>
      <c r="F84" s="2519"/>
      <c r="G84" s="943"/>
      <c r="H84" s="943"/>
      <c r="I84" s="943"/>
      <c r="J84" s="943"/>
      <c r="K84" s="943"/>
      <c r="L84" s="943"/>
      <c r="M84" s="943"/>
      <c r="N84" s="67"/>
      <c r="O84" s="893"/>
      <c r="Q84" s="3913"/>
    </row>
    <row r="85" spans="1:17" hidden="1">
      <c r="B85" s="45"/>
      <c r="C85" s="961"/>
      <c r="D85" s="962"/>
      <c r="E85" s="980" t="s">
        <v>160</v>
      </c>
      <c r="F85" s="981">
        <v>2013</v>
      </c>
      <c r="G85" s="974">
        <v>2015</v>
      </c>
      <c r="H85" s="974">
        <v>2020</v>
      </c>
      <c r="I85" s="974">
        <v>2025</v>
      </c>
      <c r="J85" s="974">
        <v>2030</v>
      </c>
      <c r="K85" s="974">
        <v>2035</v>
      </c>
      <c r="L85" s="974">
        <v>2040</v>
      </c>
      <c r="M85" s="974">
        <v>2045</v>
      </c>
      <c r="N85" s="974">
        <v>2050</v>
      </c>
      <c r="O85" s="885"/>
      <c r="Q85" s="3913"/>
    </row>
    <row r="86" spans="1:17" hidden="1">
      <c r="B86" s="110"/>
      <c r="C86" s="952" t="s">
        <v>738</v>
      </c>
      <c r="D86" s="924"/>
      <c r="E86" s="2424"/>
      <c r="F86" s="3401"/>
      <c r="G86" s="3401"/>
      <c r="H86" s="3401"/>
      <c r="I86" s="3401"/>
      <c r="J86" s="3401"/>
      <c r="K86" s="3401"/>
      <c r="L86" s="3401"/>
      <c r="M86" s="3401"/>
      <c r="N86" s="3401"/>
      <c r="O86" s="885"/>
      <c r="Q86" s="3913"/>
    </row>
    <row r="87" spans="1:17" hidden="1">
      <c r="B87" s="47"/>
      <c r="C87" s="952" t="s">
        <v>739</v>
      </c>
      <c r="D87" s="924"/>
      <c r="E87" s="2425"/>
      <c r="F87" s="1607"/>
      <c r="G87" s="2519"/>
      <c r="H87" s="2519"/>
      <c r="I87" s="2519"/>
      <c r="J87" s="2519"/>
      <c r="K87" s="2519"/>
      <c r="L87" s="2519"/>
      <c r="M87" s="2519"/>
      <c r="N87" s="1607"/>
      <c r="O87" s="47"/>
      <c r="Q87" s="3913"/>
    </row>
    <row r="88" spans="1:17" hidden="1">
      <c r="B88" s="47"/>
      <c r="C88" s="956" t="s">
        <v>740</v>
      </c>
      <c r="D88" s="957"/>
      <c r="E88" s="2426"/>
      <c r="F88" s="3403"/>
      <c r="G88" s="3403"/>
      <c r="H88" s="3403"/>
      <c r="I88" s="3403"/>
      <c r="J88" s="3403"/>
      <c r="K88" s="3403"/>
      <c r="L88" s="3403"/>
      <c r="M88" s="3403"/>
      <c r="N88" s="3403"/>
      <c r="O88" s="47"/>
      <c r="Q88" s="3913"/>
    </row>
    <row r="89" spans="1:17" hidden="1">
      <c r="B89" s="110"/>
      <c r="C89" s="67" t="s">
        <v>64</v>
      </c>
      <c r="D89" s="1618"/>
      <c r="E89" s="67"/>
      <c r="F89" s="67"/>
      <c r="G89" s="67"/>
      <c r="H89" s="67"/>
      <c r="I89" s="67"/>
      <c r="J89" s="67"/>
      <c r="K89" s="67"/>
      <c r="L89" s="67"/>
      <c r="M89" s="67"/>
      <c r="N89" s="67"/>
      <c r="O89" s="885"/>
    </row>
    <row r="90" spans="1:17" hidden="1">
      <c r="B90" s="1172"/>
      <c r="C90" s="1074"/>
      <c r="D90" s="1074"/>
      <c r="E90" s="1074"/>
      <c r="F90" s="1074"/>
      <c r="G90" s="1074"/>
      <c r="H90" s="1074"/>
      <c r="I90" s="1074"/>
      <c r="J90" s="1074"/>
      <c r="K90" s="1074"/>
      <c r="L90" s="1074"/>
      <c r="M90" s="1074"/>
      <c r="N90" s="1074"/>
      <c r="O90" s="1109"/>
    </row>
    <row r="91" spans="1:17">
      <c r="B91" s="1077"/>
      <c r="C91" s="1077"/>
      <c r="D91" s="1077"/>
      <c r="E91" s="1077"/>
      <c r="F91" s="1077"/>
      <c r="G91" s="1077"/>
      <c r="H91" s="1077"/>
      <c r="I91" s="1077"/>
      <c r="J91" s="1077"/>
      <c r="K91" s="1077"/>
      <c r="L91" s="1077"/>
      <c r="M91" s="1077"/>
      <c r="N91" s="1077"/>
      <c r="O91" s="1077"/>
    </row>
    <row r="93" spans="1:17" s="6" customFormat="1" ht="23.25">
      <c r="A93" s="40"/>
      <c r="B93" s="878" t="s">
        <v>178</v>
      </c>
      <c r="C93" s="879"/>
      <c r="D93" s="879"/>
      <c r="E93" s="879"/>
      <c r="F93" s="879"/>
      <c r="G93" s="879"/>
      <c r="H93" s="879"/>
      <c r="I93" s="879"/>
      <c r="J93" s="879"/>
      <c r="K93" s="879"/>
      <c r="L93" s="879"/>
      <c r="M93" s="879"/>
      <c r="N93" s="879"/>
      <c r="O93" s="880"/>
    </row>
    <row r="94" spans="1:17">
      <c r="B94" s="110"/>
      <c r="C94" s="67"/>
      <c r="D94" s="67"/>
      <c r="E94" s="67"/>
      <c r="F94" s="67"/>
      <c r="G94" s="67"/>
      <c r="H94" s="67"/>
      <c r="I94" s="67"/>
      <c r="J94" s="67"/>
      <c r="K94" s="67"/>
      <c r="L94" s="67"/>
      <c r="M94" s="67"/>
      <c r="N94" s="67"/>
      <c r="O94" s="885"/>
    </row>
    <row r="95" spans="1:17">
      <c r="B95" s="110"/>
      <c r="C95" s="49" t="s">
        <v>3193</v>
      </c>
      <c r="D95" s="67"/>
      <c r="E95" s="51"/>
      <c r="F95" s="67"/>
      <c r="G95" s="67"/>
      <c r="H95" s="67"/>
      <c r="I95" s="67"/>
      <c r="J95" s="67"/>
      <c r="K95" s="67"/>
      <c r="L95" s="67"/>
      <c r="M95" s="67"/>
      <c r="N95" s="51" t="s">
        <v>27</v>
      </c>
      <c r="O95" s="885"/>
    </row>
    <row r="96" spans="1:17">
      <c r="B96" s="110"/>
      <c r="C96" s="67"/>
      <c r="D96" s="67"/>
      <c r="E96" s="67"/>
      <c r="F96" s="67"/>
      <c r="G96" s="67"/>
      <c r="H96" s="67"/>
      <c r="I96" s="67"/>
      <c r="J96" s="67"/>
      <c r="K96" s="67"/>
      <c r="L96" s="67"/>
      <c r="M96" s="67"/>
      <c r="N96" s="67"/>
      <c r="O96" s="885"/>
    </row>
    <row r="97" spans="2:15" ht="15.75">
      <c r="B97" s="55"/>
      <c r="C97" s="887" t="s">
        <v>28</v>
      </c>
      <c r="D97" s="887" t="s">
        <v>29</v>
      </c>
      <c r="E97" s="887" t="s">
        <v>30</v>
      </c>
      <c r="F97" s="92">
        <v>2013</v>
      </c>
      <c r="G97" s="92">
        <v>2015</v>
      </c>
      <c r="H97" s="92">
        <v>2020</v>
      </c>
      <c r="I97" s="92">
        <v>2025</v>
      </c>
      <c r="J97" s="92">
        <v>2030</v>
      </c>
      <c r="K97" s="92">
        <v>2035</v>
      </c>
      <c r="L97" s="92">
        <v>2040</v>
      </c>
      <c r="M97" s="92">
        <v>2045</v>
      </c>
      <c r="N97" s="92">
        <v>2050</v>
      </c>
      <c r="O97" s="885"/>
    </row>
    <row r="98" spans="2:15" ht="15.75">
      <c r="B98" s="55"/>
      <c r="C98" s="910" t="s">
        <v>426</v>
      </c>
      <c r="D98" s="910" t="s">
        <v>377</v>
      </c>
      <c r="E98" s="910"/>
      <c r="F98" s="2893">
        <f>F17</f>
        <v>37.50371883684231</v>
      </c>
      <c r="G98" s="2893">
        <f t="shared" ref="G98:N98" si="7">G17</f>
        <v>37.50371883684231</v>
      </c>
      <c r="H98" s="2893">
        <f t="shared" si="7"/>
        <v>37.50371883684231</v>
      </c>
      <c r="I98" s="2893">
        <f t="shared" si="7"/>
        <v>37.50371883684231</v>
      </c>
      <c r="J98" s="2893">
        <f t="shared" si="7"/>
        <v>37.50371883684231</v>
      </c>
      <c r="K98" s="2893">
        <f t="shared" si="7"/>
        <v>37.50371883684231</v>
      </c>
      <c r="L98" s="2893">
        <f t="shared" si="7"/>
        <v>37.50371883684231</v>
      </c>
      <c r="M98" s="2893">
        <f t="shared" si="7"/>
        <v>37.50371883684231</v>
      </c>
      <c r="N98" s="2893">
        <f t="shared" si="7"/>
        <v>37.50371883684231</v>
      </c>
      <c r="O98" s="885"/>
    </row>
    <row r="99" spans="2:15">
      <c r="B99" s="110"/>
      <c r="C99" s="67"/>
      <c r="D99" s="67"/>
      <c r="E99" s="67"/>
      <c r="F99" s="67"/>
      <c r="G99" s="67"/>
      <c r="H99" s="67"/>
      <c r="I99" s="67"/>
      <c r="J99" s="67"/>
      <c r="K99" s="67"/>
      <c r="L99" s="67"/>
      <c r="M99" s="67"/>
      <c r="N99" s="67"/>
      <c r="O99" s="885"/>
    </row>
    <row r="100" spans="2:15">
      <c r="B100" s="110"/>
      <c r="C100" s="49" t="s">
        <v>3203</v>
      </c>
      <c r="D100" s="67"/>
      <c r="E100" s="51"/>
      <c r="F100" s="67"/>
      <c r="G100" s="67"/>
      <c r="H100" s="67"/>
      <c r="I100" s="67"/>
      <c r="J100" s="67"/>
      <c r="K100" s="67"/>
      <c r="L100" s="67"/>
      <c r="M100" s="67"/>
      <c r="N100" s="51" t="s">
        <v>27</v>
      </c>
      <c r="O100" s="885"/>
    </row>
    <row r="101" spans="2:15">
      <c r="B101" s="110"/>
      <c r="C101" s="67"/>
      <c r="D101" s="67"/>
      <c r="E101" s="67"/>
      <c r="F101" s="67"/>
      <c r="G101" s="67"/>
      <c r="H101" s="67"/>
      <c r="I101" s="67"/>
      <c r="J101" s="67"/>
      <c r="K101" s="67"/>
      <c r="L101" s="67"/>
      <c r="M101" s="67"/>
      <c r="N101" s="67"/>
      <c r="O101" s="885"/>
    </row>
    <row r="102" spans="2:15" ht="15.75">
      <c r="B102" s="55"/>
      <c r="C102" s="887" t="s">
        <v>28</v>
      </c>
      <c r="D102" s="887" t="s">
        <v>29</v>
      </c>
      <c r="E102" s="887" t="s">
        <v>30</v>
      </c>
      <c r="F102" s="92">
        <v>2013</v>
      </c>
      <c r="G102" s="92">
        <v>2015</v>
      </c>
      <c r="H102" s="92">
        <v>2020</v>
      </c>
      <c r="I102" s="92">
        <v>2025</v>
      </c>
      <c r="J102" s="92">
        <v>2030</v>
      </c>
      <c r="K102" s="92">
        <v>2035</v>
      </c>
      <c r="L102" s="92">
        <v>2040</v>
      </c>
      <c r="M102" s="92">
        <v>2045</v>
      </c>
      <c r="N102" s="92">
        <v>2050</v>
      </c>
      <c r="O102" s="885"/>
    </row>
    <row r="103" spans="2:15" ht="15.75">
      <c r="B103" s="55"/>
      <c r="C103" s="910" t="s">
        <v>426</v>
      </c>
      <c r="D103" s="910" t="s">
        <v>377</v>
      </c>
      <c r="E103" s="910"/>
      <c r="F103" s="2893">
        <f>$F$22/$F$98*F$98</f>
        <v>2.6430624261587581</v>
      </c>
      <c r="G103" s="2893">
        <f t="shared" ref="G103:N103" si="8">$F$22/$F$98*G$98</f>
        <v>2.6430624261587581</v>
      </c>
      <c r="H103" s="2893">
        <f t="shared" si="8"/>
        <v>2.6430624261587581</v>
      </c>
      <c r="I103" s="2893">
        <f t="shared" si="8"/>
        <v>2.6430624261587581</v>
      </c>
      <c r="J103" s="2893">
        <f t="shared" si="8"/>
        <v>2.6430624261587581</v>
      </c>
      <c r="K103" s="2893">
        <f t="shared" si="8"/>
        <v>2.6430624261587581</v>
      </c>
      <c r="L103" s="2893">
        <f t="shared" si="8"/>
        <v>2.6430624261587581</v>
      </c>
      <c r="M103" s="2893">
        <f t="shared" si="8"/>
        <v>2.6430624261587581</v>
      </c>
      <c r="N103" s="2893">
        <f t="shared" si="8"/>
        <v>2.6430624261587581</v>
      </c>
      <c r="O103" s="885"/>
    </row>
    <row r="104" spans="2:15" ht="15.75">
      <c r="B104" s="55"/>
      <c r="C104" s="924"/>
      <c r="D104" s="924"/>
      <c r="E104" s="924"/>
      <c r="F104" s="2425"/>
      <c r="G104" s="2425"/>
      <c r="H104" s="2425"/>
      <c r="I104" s="2425"/>
      <c r="J104" s="2425"/>
      <c r="K104" s="2425"/>
      <c r="L104" s="2425"/>
      <c r="M104" s="2425"/>
      <c r="N104" s="2425"/>
      <c r="O104" s="885"/>
    </row>
    <row r="105" spans="2:15" ht="15.75">
      <c r="B105" s="55"/>
      <c r="C105" s="924" t="s">
        <v>30</v>
      </c>
      <c r="D105" s="924"/>
      <c r="E105" s="924"/>
      <c r="F105" s="2425"/>
      <c r="G105" s="2425"/>
      <c r="H105" s="2425"/>
      <c r="I105" s="2425"/>
      <c r="J105" s="2425"/>
      <c r="K105" s="2425"/>
      <c r="L105" s="2425"/>
      <c r="M105" s="2425"/>
      <c r="N105" s="2425"/>
      <c r="O105" s="885"/>
    </row>
    <row r="106" spans="2:15" ht="15.75">
      <c r="B106" s="55"/>
      <c r="C106" s="941" t="s">
        <v>65</v>
      </c>
      <c r="D106" s="924" t="s">
        <v>3224</v>
      </c>
      <c r="E106" s="924"/>
      <c r="F106" s="2425"/>
      <c r="G106" s="2425"/>
      <c r="H106" s="2425"/>
      <c r="I106" s="2425"/>
      <c r="J106" s="2425"/>
      <c r="K106" s="2425"/>
      <c r="L106" s="2425"/>
      <c r="M106" s="2425"/>
      <c r="N106" s="2425"/>
      <c r="O106" s="885"/>
    </row>
    <row r="107" spans="2:15">
      <c r="B107" s="110"/>
      <c r="C107" s="67"/>
      <c r="D107" s="67"/>
      <c r="E107" s="67"/>
      <c r="F107" s="67"/>
      <c r="G107" s="67"/>
      <c r="H107" s="67"/>
      <c r="I107" s="67"/>
      <c r="J107" s="67"/>
      <c r="K107" s="67"/>
      <c r="L107" s="67"/>
      <c r="M107" s="67"/>
      <c r="N107" s="67"/>
      <c r="O107" s="885"/>
    </row>
    <row r="109" spans="2:15" ht="15.75">
      <c r="B109" s="1110" t="s">
        <v>207</v>
      </c>
    </row>
    <row r="110" spans="2:15">
      <c r="B110" s="2913"/>
      <c r="C110" s="3889" t="s">
        <v>3204</v>
      </c>
    </row>
    <row r="111" spans="2:15">
      <c r="B111" s="2913"/>
      <c r="C111" s="3889" t="s">
        <v>3205</v>
      </c>
    </row>
    <row r="112" spans="2:15">
      <c r="B112" s="2913"/>
      <c r="C112" s="3889" t="s">
        <v>3206</v>
      </c>
    </row>
    <row r="113" spans="2:14">
      <c r="B113" s="2913"/>
      <c r="C113" s="3889" t="s">
        <v>3207</v>
      </c>
    </row>
    <row r="114" spans="2:14">
      <c r="B114" s="2913"/>
    </row>
    <row r="115" spans="2:14">
      <c r="B115" s="363">
        <v>1</v>
      </c>
      <c r="C115" s="3889" t="s">
        <v>3208</v>
      </c>
    </row>
    <row r="116" spans="2:14">
      <c r="B116" s="363">
        <v>2</v>
      </c>
      <c r="C116" s="3889" t="s">
        <v>3209</v>
      </c>
    </row>
    <row r="117" spans="2:14">
      <c r="B117" s="363">
        <v>3</v>
      </c>
      <c r="C117" s="3889" t="s">
        <v>214</v>
      </c>
    </row>
    <row r="119" spans="2:14">
      <c r="B119" s="363">
        <v>1</v>
      </c>
      <c r="C119" s="363" t="s">
        <v>3210</v>
      </c>
      <c r="F119" s="554">
        <v>2013</v>
      </c>
      <c r="G119" s="554">
        <v>2015</v>
      </c>
      <c r="H119" s="554">
        <v>2020</v>
      </c>
      <c r="I119" s="554">
        <v>2025</v>
      </c>
      <c r="J119" s="554">
        <v>2030</v>
      </c>
      <c r="K119" s="554">
        <v>2035</v>
      </c>
      <c r="L119" s="554">
        <v>2040</v>
      </c>
      <c r="M119" s="554">
        <v>2045</v>
      </c>
      <c r="N119" s="554">
        <v>2050</v>
      </c>
    </row>
    <row r="121" spans="2:14">
      <c r="C121" s="3889" t="s">
        <v>3202</v>
      </c>
      <c r="F121" s="723">
        <f ca="1">XV.a.Inputs[2013]</f>
        <v>0</v>
      </c>
      <c r="G121" s="723">
        <f ca="1">XV.a.Inputs[2013]</f>
        <v>0</v>
      </c>
      <c r="H121" s="723">
        <f ca="1">XV.a.Inputs[2013]</f>
        <v>0</v>
      </c>
      <c r="I121" s="723">
        <f ca="1">XV.a.Inputs[2013]</f>
        <v>0</v>
      </c>
      <c r="J121" s="723">
        <f ca="1">XV.a.Inputs[2013]</f>
        <v>0</v>
      </c>
      <c r="K121" s="723">
        <f ca="1">XV.a.Inputs[2013]</f>
        <v>0</v>
      </c>
      <c r="L121" s="723">
        <f ca="1">XV.a.Inputs[2013]</f>
        <v>0</v>
      </c>
      <c r="M121" s="723">
        <f ca="1">XV.a.Inputs[2013]</f>
        <v>0</v>
      </c>
      <c r="N121" s="723">
        <f ca="1">XV.a.Inputs[2013]</f>
        <v>0</v>
      </c>
    </row>
    <row r="122" spans="2:14">
      <c r="C122" s="3889" t="s">
        <v>1412</v>
      </c>
      <c r="F122" s="723">
        <f>F$17</f>
        <v>37.50371883684231</v>
      </c>
      <c r="G122" s="723">
        <f t="shared" ref="G122:N122" si="9">G$17</f>
        <v>37.50371883684231</v>
      </c>
      <c r="H122" s="723">
        <f t="shared" si="9"/>
        <v>37.50371883684231</v>
      </c>
      <c r="I122" s="723">
        <f t="shared" si="9"/>
        <v>37.50371883684231</v>
      </c>
      <c r="J122" s="723">
        <f t="shared" si="9"/>
        <v>37.50371883684231</v>
      </c>
      <c r="K122" s="723">
        <f t="shared" si="9"/>
        <v>37.50371883684231</v>
      </c>
      <c r="L122" s="723">
        <f t="shared" si="9"/>
        <v>37.50371883684231</v>
      </c>
      <c r="M122" s="723">
        <f t="shared" si="9"/>
        <v>37.50371883684231</v>
      </c>
      <c r="N122" s="723">
        <f t="shared" si="9"/>
        <v>37.50371883684231</v>
      </c>
    </row>
    <row r="123" spans="2:14">
      <c r="C123" s="3889" t="s">
        <v>1413</v>
      </c>
      <c r="F123" s="723">
        <f>-F103</f>
        <v>-2.6430624261587581</v>
      </c>
      <c r="G123" s="723">
        <f t="shared" ref="G123:N123" si="10">-G103</f>
        <v>-2.6430624261587581</v>
      </c>
      <c r="H123" s="723">
        <f t="shared" si="10"/>
        <v>-2.6430624261587581</v>
      </c>
      <c r="I123" s="723">
        <f t="shared" si="10"/>
        <v>-2.6430624261587581</v>
      </c>
      <c r="J123" s="723">
        <f t="shared" si="10"/>
        <v>-2.6430624261587581</v>
      </c>
      <c r="K123" s="723">
        <f t="shared" si="10"/>
        <v>-2.6430624261587581</v>
      </c>
      <c r="L123" s="723">
        <f t="shared" si="10"/>
        <v>-2.6430624261587581</v>
      </c>
      <c r="M123" s="723">
        <f t="shared" si="10"/>
        <v>-2.6430624261587581</v>
      </c>
      <c r="N123" s="723">
        <f t="shared" si="10"/>
        <v>-2.6430624261587581</v>
      </c>
    </row>
    <row r="124" spans="2:14">
      <c r="C124" s="363" t="s">
        <v>3211</v>
      </c>
      <c r="F124" s="2872">
        <f ca="1">SUM(F121:F123)</f>
        <v>34.860656410683553</v>
      </c>
      <c r="G124" s="2872">
        <f t="shared" ref="G124:N124" ca="1" si="11">SUM(G121:G123)</f>
        <v>34.860656410683553</v>
      </c>
      <c r="H124" s="2872">
        <f t="shared" ca="1" si="11"/>
        <v>34.860656410683553</v>
      </c>
      <c r="I124" s="2872">
        <f t="shared" ca="1" si="11"/>
        <v>34.860656410683553</v>
      </c>
      <c r="J124" s="2872">
        <f t="shared" ca="1" si="11"/>
        <v>34.860656410683553</v>
      </c>
      <c r="K124" s="2872">
        <f t="shared" ca="1" si="11"/>
        <v>34.860656410683553</v>
      </c>
      <c r="L124" s="2872">
        <f t="shared" ca="1" si="11"/>
        <v>34.860656410683553</v>
      </c>
      <c r="M124" s="2872">
        <f t="shared" ca="1" si="11"/>
        <v>34.860656410683553</v>
      </c>
      <c r="N124" s="2872">
        <f t="shared" ca="1" si="11"/>
        <v>34.860656410683553</v>
      </c>
    </row>
    <row r="126" spans="2:14">
      <c r="B126" s="363">
        <v>2</v>
      </c>
      <c r="C126" s="363" t="s">
        <v>3212</v>
      </c>
    </row>
    <row r="127" spans="2:14">
      <c r="C127" s="363" t="s">
        <v>3213</v>
      </c>
      <c r="E127" s="3889" t="str">
        <f>Preferences.EnergyUnits</f>
        <v>TWh</v>
      </c>
      <c r="F127" s="2490">
        <f ca="1">F$124</f>
        <v>34.860656410683553</v>
      </c>
      <c r="G127" s="2490">
        <f t="shared" ref="G127:N127" ca="1" si="12">G$124</f>
        <v>34.860656410683553</v>
      </c>
      <c r="H127" s="2490">
        <f t="shared" ca="1" si="12"/>
        <v>34.860656410683553</v>
      </c>
      <c r="I127" s="2490">
        <f t="shared" ca="1" si="12"/>
        <v>34.860656410683553</v>
      </c>
      <c r="J127" s="2490">
        <f t="shared" ca="1" si="12"/>
        <v>34.860656410683553</v>
      </c>
      <c r="K127" s="2490">
        <f t="shared" ca="1" si="12"/>
        <v>34.860656410683553</v>
      </c>
      <c r="L127" s="2490">
        <f t="shared" ca="1" si="12"/>
        <v>34.860656410683553</v>
      </c>
      <c r="M127" s="2490">
        <f t="shared" ca="1" si="12"/>
        <v>34.860656410683553</v>
      </c>
      <c r="N127" s="2490">
        <f t="shared" ca="1" si="12"/>
        <v>34.860656410683553</v>
      </c>
    </row>
    <row r="128" spans="2:14">
      <c r="B128" s="2" t="s">
        <v>223</v>
      </c>
      <c r="C128" s="3889" t="s">
        <v>94</v>
      </c>
      <c r="F128" s="2414">
        <f ca="1">F$27*F127</f>
        <v>0</v>
      </c>
      <c r="G128" s="2414">
        <f t="shared" ref="G128:N128" ca="1" si="13">G$27*G127</f>
        <v>0</v>
      </c>
      <c r="H128" s="2414">
        <f t="shared" ca="1" si="13"/>
        <v>0</v>
      </c>
      <c r="I128" s="2414">
        <f t="shared" ca="1" si="13"/>
        <v>0</v>
      </c>
      <c r="J128" s="2414">
        <f t="shared" ca="1" si="13"/>
        <v>0</v>
      </c>
      <c r="K128" s="2414">
        <f t="shared" ca="1" si="13"/>
        <v>0</v>
      </c>
      <c r="L128" s="2414">
        <f t="shared" ca="1" si="13"/>
        <v>0</v>
      </c>
      <c r="M128" s="2414">
        <f t="shared" ca="1" si="13"/>
        <v>0</v>
      </c>
      <c r="N128" s="2414">
        <f t="shared" ca="1" si="13"/>
        <v>0</v>
      </c>
    </row>
    <row r="129" spans="2:15">
      <c r="B129" s="1624" t="s">
        <v>221</v>
      </c>
      <c r="C129" s="363" t="s">
        <v>3214</v>
      </c>
      <c r="F129" s="2490">
        <f ca="1">F127-F128</f>
        <v>34.860656410683553</v>
      </c>
      <c r="G129" s="2490">
        <f t="shared" ref="G129:N129" ca="1" si="14">G127-G128</f>
        <v>34.860656410683553</v>
      </c>
      <c r="H129" s="2490">
        <f t="shared" ca="1" si="14"/>
        <v>34.860656410683553</v>
      </c>
      <c r="I129" s="2490">
        <f t="shared" ca="1" si="14"/>
        <v>34.860656410683553</v>
      </c>
      <c r="J129" s="2490">
        <f t="shared" ca="1" si="14"/>
        <v>34.860656410683553</v>
      </c>
      <c r="K129" s="2490">
        <f t="shared" ca="1" si="14"/>
        <v>34.860656410683553</v>
      </c>
      <c r="L129" s="2490">
        <f t="shared" ca="1" si="14"/>
        <v>34.860656410683553</v>
      </c>
      <c r="M129" s="2490">
        <f t="shared" ca="1" si="14"/>
        <v>34.860656410683553</v>
      </c>
      <c r="N129" s="2490">
        <f t="shared" ca="1" si="14"/>
        <v>34.860656410683553</v>
      </c>
    </row>
    <row r="130" spans="2:15">
      <c r="F130" s="3411"/>
      <c r="G130" s="3411"/>
      <c r="H130" s="3411"/>
      <c r="I130" s="3411"/>
      <c r="J130" s="3411"/>
      <c r="K130" s="3411"/>
      <c r="L130" s="3411"/>
      <c r="M130" s="3411"/>
      <c r="N130" s="3411"/>
    </row>
    <row r="131" spans="2:15">
      <c r="C131" s="363" t="s">
        <v>3215</v>
      </c>
      <c r="D131" s="988"/>
      <c r="F131" s="2490"/>
      <c r="G131" s="2490"/>
      <c r="H131" s="2490"/>
      <c r="I131" s="2490"/>
      <c r="J131" s="2490"/>
      <c r="K131" s="2490"/>
      <c r="L131" s="2490"/>
      <c r="M131" s="2490"/>
      <c r="N131" s="2490"/>
    </row>
    <row r="132" spans="2:15">
      <c r="D132" s="2" t="s">
        <v>2912</v>
      </c>
      <c r="F132" s="2414">
        <f t="shared" ref="F132:N132" ca="1" si="15">F$129*F$32</f>
        <v>0.22598810482362028</v>
      </c>
      <c r="G132" s="2414">
        <f t="shared" ca="1" si="15"/>
        <v>0.22598810482362028</v>
      </c>
      <c r="H132" s="2414">
        <f t="shared" ca="1" si="15"/>
        <v>0.22598810482362028</v>
      </c>
      <c r="I132" s="2414">
        <f t="shared" ca="1" si="15"/>
        <v>0.22598810482362028</v>
      </c>
      <c r="J132" s="2414">
        <f t="shared" ca="1" si="15"/>
        <v>0.22598810482362028</v>
      </c>
      <c r="K132" s="2414">
        <f t="shared" ca="1" si="15"/>
        <v>0.22598810482362028</v>
      </c>
      <c r="L132" s="2414">
        <f t="shared" ca="1" si="15"/>
        <v>0.22598810482362028</v>
      </c>
      <c r="M132" s="2414">
        <f t="shared" ca="1" si="15"/>
        <v>0.22598810482362028</v>
      </c>
      <c r="N132" s="2414">
        <f t="shared" ca="1" si="15"/>
        <v>0.22598810482362028</v>
      </c>
    </row>
    <row r="133" spans="2:15">
      <c r="D133" s="3889" t="s">
        <v>3216</v>
      </c>
      <c r="F133" s="2414">
        <f t="shared" ref="F133:N133" ca="1" si="16">F$129*F$33</f>
        <v>1.8522858135888711</v>
      </c>
      <c r="G133" s="2414">
        <f t="shared" ca="1" si="16"/>
        <v>1.8522858135888711</v>
      </c>
      <c r="H133" s="2414">
        <f t="shared" ca="1" si="16"/>
        <v>1.8522858135888711</v>
      </c>
      <c r="I133" s="2414">
        <f t="shared" ca="1" si="16"/>
        <v>1.8522858135888711</v>
      </c>
      <c r="J133" s="2414">
        <f t="shared" ca="1" si="16"/>
        <v>1.8522858135888711</v>
      </c>
      <c r="K133" s="2414">
        <f t="shared" ca="1" si="16"/>
        <v>1.8522858135888711</v>
      </c>
      <c r="L133" s="2414">
        <f t="shared" ca="1" si="16"/>
        <v>1.8522858135888711</v>
      </c>
      <c r="M133" s="2414">
        <f t="shared" ca="1" si="16"/>
        <v>1.8522858135888711</v>
      </c>
      <c r="N133" s="2414">
        <f t="shared" ca="1" si="16"/>
        <v>1.8522858135888711</v>
      </c>
    </row>
    <row r="134" spans="2:15">
      <c r="D134" s="3889" t="s">
        <v>3217</v>
      </c>
      <c r="F134" s="2414">
        <f t="shared" ref="F134:N134" ca="1" si="17">F$129*F$34</f>
        <v>8.2401953248703863E-2</v>
      </c>
      <c r="G134" s="2414">
        <f t="shared" ca="1" si="17"/>
        <v>8.2401953248703863E-2</v>
      </c>
      <c r="H134" s="2414">
        <f t="shared" ca="1" si="17"/>
        <v>8.2401953248703863E-2</v>
      </c>
      <c r="I134" s="2414">
        <f t="shared" ca="1" si="17"/>
        <v>8.2401953248703863E-2</v>
      </c>
      <c r="J134" s="2414">
        <f t="shared" ca="1" si="17"/>
        <v>8.2401953248703863E-2</v>
      </c>
      <c r="K134" s="2414">
        <f t="shared" ca="1" si="17"/>
        <v>8.2401953248703863E-2</v>
      </c>
      <c r="L134" s="2414">
        <f t="shared" ca="1" si="17"/>
        <v>8.2401953248703863E-2</v>
      </c>
      <c r="M134" s="2414">
        <f t="shared" ca="1" si="17"/>
        <v>8.2401953248703863E-2</v>
      </c>
      <c r="N134" s="2414">
        <f t="shared" ca="1" si="17"/>
        <v>8.2401953248703863E-2</v>
      </c>
    </row>
    <row r="135" spans="2:15">
      <c r="D135" s="3889" t="s">
        <v>3190</v>
      </c>
      <c r="F135" s="2414">
        <f t="shared" ref="F135:N135" ca="1" si="18">F$129*F$35</f>
        <v>2.6537999724419409E-2</v>
      </c>
      <c r="G135" s="2414">
        <f t="shared" ca="1" si="18"/>
        <v>2.6537999724419409E-2</v>
      </c>
      <c r="H135" s="2414">
        <f t="shared" ca="1" si="18"/>
        <v>2.6537999724419409E-2</v>
      </c>
      <c r="I135" s="2414">
        <f t="shared" ca="1" si="18"/>
        <v>2.6537999724419409E-2</v>
      </c>
      <c r="J135" s="2414">
        <f t="shared" ca="1" si="18"/>
        <v>2.6537999724419409E-2</v>
      </c>
      <c r="K135" s="2414">
        <f t="shared" ca="1" si="18"/>
        <v>2.6537999724419409E-2</v>
      </c>
      <c r="L135" s="2414">
        <f t="shared" ca="1" si="18"/>
        <v>2.6537999724419409E-2</v>
      </c>
      <c r="M135" s="2414">
        <f t="shared" ca="1" si="18"/>
        <v>2.6537999724419409E-2</v>
      </c>
      <c r="N135" s="2414">
        <f t="shared" ca="1" si="18"/>
        <v>2.6537999724419409E-2</v>
      </c>
    </row>
    <row r="136" spans="2:15">
      <c r="F136" s="2414"/>
      <c r="G136" s="2414"/>
      <c r="H136" s="2414"/>
      <c r="I136" s="2414"/>
      <c r="J136" s="2414"/>
      <c r="K136" s="2414"/>
      <c r="L136" s="2414"/>
      <c r="M136" s="2414"/>
      <c r="N136" s="2414"/>
    </row>
    <row r="137" spans="2:15">
      <c r="B137" s="363">
        <v>3</v>
      </c>
      <c r="C137" s="363" t="s">
        <v>252</v>
      </c>
      <c r="F137" s="2414"/>
      <c r="G137" s="2414"/>
      <c r="H137" s="2414"/>
      <c r="I137" s="2414"/>
      <c r="J137" s="2414"/>
      <c r="K137" s="2414"/>
      <c r="L137" s="2414"/>
      <c r="M137" s="2414"/>
      <c r="N137" s="2414"/>
    </row>
    <row r="138" spans="2:15">
      <c r="C138" s="3889" t="s">
        <v>3218</v>
      </c>
      <c r="F138" s="2414"/>
      <c r="G138" s="2414"/>
      <c r="H138" s="2414"/>
      <c r="I138" s="2414"/>
      <c r="J138" s="2414"/>
      <c r="K138" s="2414"/>
      <c r="L138" s="2414"/>
      <c r="M138" s="2414"/>
      <c r="N138" s="2414"/>
    </row>
    <row r="139" spans="2:15">
      <c r="C139" s="3889" t="s">
        <v>253</v>
      </c>
      <c r="E139" s="6" t="s">
        <v>2099</v>
      </c>
      <c r="F139" s="2414">
        <f ca="1">F$133*INDEX(EF[CO2], MATCH("V.04", EF[Vector], 0))+F$134*INDEX(EF[CO2], MATCH("V.05", EF[Vector], 0))</f>
        <v>0.50565060724124977</v>
      </c>
      <c r="G139" s="2414">
        <f ca="1">G$133*INDEX(EF[CO2], MATCH("V.04", EF[Vector], 0))+G$134*INDEX(EF[CO2], MATCH("V.05", EF[Vector], 0))</f>
        <v>0.50565060724124977</v>
      </c>
      <c r="H139" s="2414">
        <f ca="1">H$133*INDEX(EF[CO2], MATCH("V.04", EF[Vector], 0))+H$134*INDEX(EF[CO2], MATCH("V.05", EF[Vector], 0))</f>
        <v>0.50565060724124977</v>
      </c>
      <c r="I139" s="2414">
        <f ca="1">I$133*INDEX(EF[CO2], MATCH("V.04", EF[Vector], 0))+I$134*INDEX(EF[CO2], MATCH("V.05", EF[Vector], 0))</f>
        <v>0.50565060724124977</v>
      </c>
      <c r="J139" s="2414">
        <f ca="1">J$133*INDEX(EF[CO2], MATCH("V.04", EF[Vector], 0))+J$134*INDEX(EF[CO2], MATCH("V.05", EF[Vector], 0))</f>
        <v>0.50565060724124977</v>
      </c>
      <c r="K139" s="2414">
        <f ca="1">K$133*INDEX(EF[CO2], MATCH("V.04", EF[Vector], 0))+K$134*INDEX(EF[CO2], MATCH("V.05", EF[Vector], 0))</f>
        <v>0.50565060724124977</v>
      </c>
      <c r="L139" s="2414">
        <f ca="1">L$133*INDEX(EF[CO2], MATCH("V.04", EF[Vector], 0))+L$134*INDEX(EF[CO2], MATCH("V.05", EF[Vector], 0))</f>
        <v>0.50565060724124977</v>
      </c>
      <c r="M139" s="2414">
        <f ca="1">M$133*INDEX(EF[CO2], MATCH("V.04", EF[Vector], 0))+M$134*INDEX(EF[CO2], MATCH("V.05", EF[Vector], 0))</f>
        <v>0.50565060724124977</v>
      </c>
      <c r="N139" s="2414">
        <f ca="1">N$133*INDEX(EF[CO2], MATCH("V.04", EF[Vector], 0))+N$134*INDEX(EF[CO2], MATCH("V.05", EF[Vector], 0))</f>
        <v>0.50565060724124977</v>
      </c>
      <c r="O139"/>
    </row>
    <row r="140" spans="2:15">
      <c r="C140" s="3889" t="s">
        <v>255</v>
      </c>
      <c r="E140" s="6" t="s">
        <v>2099</v>
      </c>
      <c r="F140" s="2414">
        <f ca="1">F$133*INDEX(EF[CH4], MATCH("V.04", EF[Vector], 0))+F$134*INDEX(EF[CH4], MATCH("V.05", EF[Vector], 0))</f>
        <v>4.2632801018755801E-4</v>
      </c>
      <c r="G140" s="2414">
        <f ca="1">G$133*INDEX(EF[CH4], MATCH("V.04", EF[Vector], 0))+G$134*INDEX(EF[CH4], MATCH("V.05", EF[Vector], 0))</f>
        <v>4.2632801018755801E-4</v>
      </c>
      <c r="H140" s="2414">
        <f ca="1">H$133*INDEX(EF[CH4], MATCH("V.04", EF[Vector], 0))+H$134*INDEX(EF[CH4], MATCH("V.05", EF[Vector], 0))</f>
        <v>4.2632801018755801E-4</v>
      </c>
      <c r="I140" s="2414">
        <f ca="1">I$133*INDEX(EF[CH4], MATCH("V.04", EF[Vector], 0))+I$134*INDEX(EF[CH4], MATCH("V.05", EF[Vector], 0))</f>
        <v>4.2632801018755801E-4</v>
      </c>
      <c r="J140" s="2414">
        <f ca="1">J$133*INDEX(EF[CH4], MATCH("V.04", EF[Vector], 0))+J$134*INDEX(EF[CH4], MATCH("V.05", EF[Vector], 0))</f>
        <v>4.2632801018755801E-4</v>
      </c>
      <c r="K140" s="2414">
        <f ca="1">K$133*INDEX(EF[CH4], MATCH("V.04", EF[Vector], 0))+K$134*INDEX(EF[CH4], MATCH("V.05", EF[Vector], 0))</f>
        <v>4.2632801018755801E-4</v>
      </c>
      <c r="L140" s="2414">
        <f ca="1">L$133*INDEX(EF[CH4], MATCH("V.04", EF[Vector], 0))+L$134*INDEX(EF[CH4], MATCH("V.05", EF[Vector], 0))</f>
        <v>4.2632801018755801E-4</v>
      </c>
      <c r="M140" s="2414">
        <f ca="1">M$133*INDEX(EF[CH4], MATCH("V.04", EF[Vector], 0))+M$134*INDEX(EF[CH4], MATCH("V.05", EF[Vector], 0))</f>
        <v>4.2632801018755801E-4</v>
      </c>
      <c r="N140" s="2414">
        <f ca="1">N$133*INDEX(EF[CH4], MATCH("V.04", EF[Vector], 0))+N$134*INDEX(EF[CH4], MATCH("V.05", EF[Vector], 0))</f>
        <v>4.2632801018755801E-4</v>
      </c>
      <c r="O140"/>
    </row>
    <row r="141" spans="2:15">
      <c r="C141" s="3889" t="s">
        <v>256</v>
      </c>
      <c r="E141" s="6" t="s">
        <v>2099</v>
      </c>
      <c r="F141" s="2414">
        <f ca="1">F$133*INDEX(EF[N2O], MATCH("V.04", EF[Vector], 0))+F$134*INDEX(EF[N2O], MATCH("V.05", EF[Vector], 0))</f>
        <v>1.5069762622732133E-3</v>
      </c>
      <c r="G141" s="2414">
        <f ca="1">G$133*INDEX(EF[N2O], MATCH("V.04", EF[Vector], 0))+G$134*INDEX(EF[N2O], MATCH("V.05", EF[Vector], 0))</f>
        <v>1.5069762622732133E-3</v>
      </c>
      <c r="H141" s="2414">
        <f ca="1">H$133*INDEX(EF[N2O], MATCH("V.04", EF[Vector], 0))+H$134*INDEX(EF[N2O], MATCH("V.05", EF[Vector], 0))</f>
        <v>1.5069762622732133E-3</v>
      </c>
      <c r="I141" s="2414">
        <f ca="1">I$133*INDEX(EF[N2O], MATCH("V.04", EF[Vector], 0))+I$134*INDEX(EF[N2O], MATCH("V.05", EF[Vector], 0))</f>
        <v>1.5069762622732133E-3</v>
      </c>
      <c r="J141" s="2414">
        <f ca="1">J$133*INDEX(EF[N2O], MATCH("V.04", EF[Vector], 0))+J$134*INDEX(EF[N2O], MATCH("V.05", EF[Vector], 0))</f>
        <v>1.5069762622732133E-3</v>
      </c>
      <c r="K141" s="2414">
        <f ca="1">K$133*INDEX(EF[N2O], MATCH("V.04", EF[Vector], 0))+K$134*INDEX(EF[N2O], MATCH("V.05", EF[Vector], 0))</f>
        <v>1.5069762622732133E-3</v>
      </c>
      <c r="L141" s="2414">
        <f ca="1">L$133*INDEX(EF[N2O], MATCH("V.04", EF[Vector], 0))+L$134*INDEX(EF[N2O], MATCH("V.05", EF[Vector], 0))</f>
        <v>1.5069762622732133E-3</v>
      </c>
      <c r="M141" s="2414">
        <f ca="1">M$133*INDEX(EF[N2O], MATCH("V.04", EF[Vector], 0))+M$134*INDEX(EF[N2O], MATCH("V.05", EF[Vector], 0))</f>
        <v>1.5069762622732133E-3</v>
      </c>
      <c r="N141" s="2414">
        <f ca="1">N$133*INDEX(EF[N2O], MATCH("V.04", EF[Vector], 0))+N$134*INDEX(EF[N2O], MATCH("V.05", EF[Vector], 0))</f>
        <v>1.5069762622732133E-3</v>
      </c>
      <c r="O141"/>
    </row>
    <row r="142" spans="2:15">
      <c r="E142" s="6"/>
      <c r="F142" s="2414"/>
      <c r="G142" s="2414"/>
      <c r="H142" s="2414"/>
      <c r="I142" s="2414"/>
      <c r="J142" s="2414"/>
      <c r="K142" s="2414"/>
      <c r="L142" s="2414"/>
      <c r="M142" s="2414"/>
      <c r="N142" s="2414"/>
      <c r="O142" s="2414"/>
    </row>
    <row r="143" spans="2:15">
      <c r="E143" s="6"/>
      <c r="F143" s="2414"/>
      <c r="G143" s="2414"/>
      <c r="H143" s="2414"/>
      <c r="I143" s="2414"/>
      <c r="J143" s="2414"/>
      <c r="K143" s="2414"/>
      <c r="L143" s="2414"/>
      <c r="M143" s="2414"/>
      <c r="N143" s="2414"/>
      <c r="O143" s="2414"/>
    </row>
    <row r="144" spans="2:15">
      <c r="B144" s="363">
        <v>4</v>
      </c>
      <c r="C144" s="363" t="s">
        <v>3219</v>
      </c>
      <c r="F144" s="2414"/>
      <c r="G144" s="2414"/>
      <c r="H144" s="2414"/>
      <c r="I144" s="2414"/>
      <c r="J144" s="2414"/>
      <c r="K144" s="2414"/>
      <c r="L144" s="2414"/>
      <c r="M144" s="2414"/>
      <c r="N144" s="2414"/>
      <c r="O144" s="2414"/>
    </row>
    <row r="145" spans="2:15">
      <c r="B145" s="363"/>
      <c r="C145" s="363"/>
      <c r="E145" s="363" t="s">
        <v>760</v>
      </c>
      <c r="F145" s="554">
        <v>2013</v>
      </c>
      <c r="G145" s="554">
        <v>2015</v>
      </c>
      <c r="H145" s="554">
        <v>2020</v>
      </c>
      <c r="I145" s="554">
        <v>2025</v>
      </c>
      <c r="J145" s="554">
        <v>2030</v>
      </c>
      <c r="K145" s="554">
        <v>2035</v>
      </c>
      <c r="L145" s="554">
        <v>2040</v>
      </c>
      <c r="M145" s="554">
        <v>2045</v>
      </c>
      <c r="N145" s="554">
        <v>2050</v>
      </c>
      <c r="O145" s="2414"/>
    </row>
    <row r="146" spans="2:15">
      <c r="C146" s="3889" t="s">
        <v>3220</v>
      </c>
      <c r="F146" s="2515">
        <f ca="1" xml:space="preserve"> (F129*0.1141) / 13</f>
        <v>0.30596929972761483</v>
      </c>
      <c r="G146" s="2515">
        <f t="shared" ref="G146:N146" ca="1" si="19" xml:space="preserve"> (G129*0.1141) / 13</f>
        <v>0.30596929972761483</v>
      </c>
      <c r="H146" s="2515">
        <f t="shared" ca="1" si="19"/>
        <v>0.30596929972761483</v>
      </c>
      <c r="I146" s="2515">
        <f t="shared" ca="1" si="19"/>
        <v>0.30596929972761483</v>
      </c>
      <c r="J146" s="2515">
        <f t="shared" ca="1" si="19"/>
        <v>0.30596929972761483</v>
      </c>
      <c r="K146" s="2515">
        <f t="shared" ca="1" si="19"/>
        <v>0.30596929972761483</v>
      </c>
      <c r="L146" s="2515">
        <f t="shared" ca="1" si="19"/>
        <v>0.30596929972761483</v>
      </c>
      <c r="M146" s="2515">
        <f t="shared" ca="1" si="19"/>
        <v>0.30596929972761483</v>
      </c>
      <c r="N146" s="2515">
        <f t="shared" ca="1" si="19"/>
        <v>0.30596929972761483</v>
      </c>
      <c r="O146" s="2414"/>
    </row>
    <row r="147" spans="2:15">
      <c r="C147" s="3889" t="s">
        <v>2380</v>
      </c>
      <c r="E147" s="3889" t="s">
        <v>2381</v>
      </c>
      <c r="F147" s="2414"/>
      <c r="G147" s="2515">
        <f ca="1">F146*(1/$D$66)</f>
        <v>1.019897665758716E-2</v>
      </c>
      <c r="H147" s="2515">
        <f t="shared" ref="H147:N147" ca="1" si="20">G146*(1/$D$66)</f>
        <v>1.019897665758716E-2</v>
      </c>
      <c r="I147" s="2515">
        <f t="shared" ca="1" si="20"/>
        <v>1.019897665758716E-2</v>
      </c>
      <c r="J147" s="2515">
        <f t="shared" ca="1" si="20"/>
        <v>1.019897665758716E-2</v>
      </c>
      <c r="K147" s="2515">
        <f t="shared" ca="1" si="20"/>
        <v>1.019897665758716E-2</v>
      </c>
      <c r="L147" s="2515">
        <f t="shared" ca="1" si="20"/>
        <v>1.019897665758716E-2</v>
      </c>
      <c r="M147" s="2515">
        <f t="shared" ca="1" si="20"/>
        <v>1.019897665758716E-2</v>
      </c>
      <c r="N147" s="2515">
        <f t="shared" ca="1" si="20"/>
        <v>1.019897665758716E-2</v>
      </c>
    </row>
    <row r="148" spans="2:15">
      <c r="C148" s="3889" t="s">
        <v>2382</v>
      </c>
      <c r="E148" s="3889" t="s">
        <v>2381</v>
      </c>
      <c r="F148" s="2414"/>
      <c r="G148" s="2515">
        <f ca="1">MAX((G146-F146)/(G145-F145),0)</f>
        <v>0</v>
      </c>
      <c r="H148" s="2515">
        <f t="shared" ref="H148:N148" ca="1" si="21">MAX((H146-G146)/(H145-G145),0)</f>
        <v>0</v>
      </c>
      <c r="I148" s="2515">
        <f t="shared" ca="1" si="21"/>
        <v>0</v>
      </c>
      <c r="J148" s="2515">
        <f t="shared" ca="1" si="21"/>
        <v>0</v>
      </c>
      <c r="K148" s="2515">
        <f t="shared" ca="1" si="21"/>
        <v>0</v>
      </c>
      <c r="L148" s="2515">
        <f t="shared" ca="1" si="21"/>
        <v>0</v>
      </c>
      <c r="M148" s="2515">
        <f t="shared" ca="1" si="21"/>
        <v>0</v>
      </c>
      <c r="N148" s="2515">
        <f t="shared" ca="1" si="21"/>
        <v>0</v>
      </c>
    </row>
    <row r="149" spans="2:15">
      <c r="C149" s="3889" t="s">
        <v>2383</v>
      </c>
      <c r="E149" s="3889" t="s">
        <v>2381</v>
      </c>
      <c r="F149" s="2414"/>
      <c r="G149" s="2515">
        <f ca="1">SUM(G147:G148)</f>
        <v>1.019897665758716E-2</v>
      </c>
      <c r="H149" s="2515">
        <f ca="1">SUM(H147:H148)</f>
        <v>1.019897665758716E-2</v>
      </c>
      <c r="I149" s="2515">
        <f t="shared" ref="I149:N149" ca="1" si="22">SUM(I147:I148)</f>
        <v>1.019897665758716E-2</v>
      </c>
      <c r="J149" s="2515">
        <f t="shared" ca="1" si="22"/>
        <v>1.019897665758716E-2</v>
      </c>
      <c r="K149" s="2515">
        <f t="shared" ca="1" si="22"/>
        <v>1.019897665758716E-2</v>
      </c>
      <c r="L149" s="2515">
        <f t="shared" ca="1" si="22"/>
        <v>1.019897665758716E-2</v>
      </c>
      <c r="M149" s="2515">
        <f t="shared" ca="1" si="22"/>
        <v>1.019897665758716E-2</v>
      </c>
      <c r="N149" s="2515">
        <f t="shared" ca="1" si="22"/>
        <v>1.019897665758716E-2</v>
      </c>
    </row>
    <row r="150" spans="2:15">
      <c r="E150" s="6"/>
      <c r="F150" s="2414"/>
      <c r="G150" s="2414"/>
      <c r="H150" s="2414"/>
      <c r="I150" s="2414"/>
      <c r="J150" s="2414"/>
      <c r="K150" s="2414"/>
      <c r="L150" s="2414"/>
      <c r="M150" s="2414"/>
      <c r="N150" s="2414"/>
      <c r="O150" s="2414"/>
    </row>
    <row r="151" spans="2:15">
      <c r="B151" s="363">
        <v>5</v>
      </c>
      <c r="C151" s="363" t="s">
        <v>2791</v>
      </c>
      <c r="E151" s="6"/>
      <c r="F151" s="2414"/>
      <c r="G151" s="2414"/>
      <c r="H151" s="2414"/>
      <c r="I151" s="2414"/>
      <c r="J151" s="2414"/>
      <c r="K151" s="2414"/>
      <c r="L151" s="2414"/>
      <c r="M151" s="2414"/>
      <c r="N151" s="2414"/>
      <c r="O151" s="2414"/>
    </row>
    <row r="152" spans="2:15" hidden="1">
      <c r="E152" s="6"/>
      <c r="F152" s="2414"/>
      <c r="G152" s="2414"/>
      <c r="H152" s="2414"/>
      <c r="I152" s="2414"/>
      <c r="J152" s="2414"/>
      <c r="K152" s="2414"/>
      <c r="L152" s="2414"/>
      <c r="M152" s="2414"/>
      <c r="N152" s="2414"/>
      <c r="O152" s="2414"/>
    </row>
    <row r="153" spans="2:15" hidden="1">
      <c r="C153" s="3889" t="s">
        <v>293</v>
      </c>
      <c r="E153" s="363" t="s">
        <v>2812</v>
      </c>
      <c r="F153" s="554">
        <v>2013</v>
      </c>
      <c r="G153" s="554">
        <v>2015</v>
      </c>
      <c r="H153" s="554">
        <v>2020</v>
      </c>
      <c r="I153" s="554">
        <v>2025</v>
      </c>
      <c r="J153" s="554">
        <v>2030</v>
      </c>
      <c r="K153" s="554">
        <v>2035</v>
      </c>
      <c r="L153" s="554">
        <v>2040</v>
      </c>
      <c r="M153" s="554">
        <v>2045</v>
      </c>
      <c r="N153" s="554">
        <v>2050</v>
      </c>
      <c r="O153" s="2414"/>
    </row>
    <row r="154" spans="2:15" hidden="1">
      <c r="C154" s="3889" t="s">
        <v>169</v>
      </c>
      <c r="F154" s="2414"/>
      <c r="G154" s="2414"/>
      <c r="H154" s="2414"/>
      <c r="I154" s="2414"/>
      <c r="J154" s="2414"/>
      <c r="K154" s="2414"/>
      <c r="L154" s="2414"/>
      <c r="M154" s="2414"/>
      <c r="N154" s="2414"/>
      <c r="O154" s="2414"/>
    </row>
    <row r="155" spans="2:15" hidden="1">
      <c r="C155" s="3889" t="s">
        <v>173</v>
      </c>
      <c r="F155" s="2414"/>
      <c r="G155" s="2414"/>
      <c r="H155" s="2414"/>
      <c r="I155" s="2414"/>
      <c r="J155" s="2414"/>
      <c r="K155" s="2414"/>
      <c r="L155" s="2414"/>
      <c r="M155" s="2414"/>
      <c r="N155" s="2414"/>
      <c r="O155" s="2414"/>
    </row>
    <row r="156" spans="2:15" hidden="1">
      <c r="C156" s="3889" t="s">
        <v>294</v>
      </c>
      <c r="F156" s="2414"/>
      <c r="G156" s="2414"/>
      <c r="H156" s="2414"/>
      <c r="I156" s="2414"/>
      <c r="J156" s="2414"/>
      <c r="K156" s="2414"/>
      <c r="L156" s="2414"/>
      <c r="M156" s="2414"/>
      <c r="N156" s="2414"/>
      <c r="O156" s="2414"/>
    </row>
    <row r="157" spans="2:15" hidden="1">
      <c r="F157" s="2414"/>
      <c r="G157" s="2414"/>
      <c r="H157" s="2414"/>
      <c r="I157" s="2414"/>
      <c r="J157" s="2414"/>
      <c r="K157" s="2414"/>
      <c r="L157" s="2414"/>
      <c r="M157" s="2414"/>
      <c r="N157" s="2414"/>
      <c r="O157" s="2414"/>
    </row>
    <row r="158" spans="2:15" hidden="1">
      <c r="C158" s="3889" t="s">
        <v>295</v>
      </c>
      <c r="E158" s="363" t="s">
        <v>2812</v>
      </c>
      <c r="F158" s="554">
        <v>2013</v>
      </c>
      <c r="G158" s="554">
        <v>2015</v>
      </c>
      <c r="H158" s="554">
        <v>2020</v>
      </c>
      <c r="I158" s="554">
        <v>2025</v>
      </c>
      <c r="J158" s="554">
        <v>2030</v>
      </c>
      <c r="K158" s="554">
        <v>2035</v>
      </c>
      <c r="L158" s="554">
        <v>2040</v>
      </c>
      <c r="M158" s="554">
        <v>2045</v>
      </c>
      <c r="N158" s="554">
        <v>2050</v>
      </c>
      <c r="O158" s="2414"/>
    </row>
    <row r="159" spans="2:15" hidden="1">
      <c r="C159" s="3889" t="s">
        <v>169</v>
      </c>
      <c r="F159" s="2414"/>
      <c r="G159" s="2414"/>
      <c r="H159" s="2414"/>
      <c r="I159" s="2414"/>
      <c r="J159" s="2414"/>
      <c r="K159" s="2414"/>
      <c r="L159" s="2414"/>
      <c r="M159" s="2414"/>
      <c r="N159" s="2414"/>
      <c r="O159" s="2414"/>
    </row>
    <row r="160" spans="2:15" hidden="1">
      <c r="C160" s="3889" t="s">
        <v>173</v>
      </c>
      <c r="F160" s="2414"/>
      <c r="G160" s="2414"/>
      <c r="H160" s="2414"/>
      <c r="I160" s="2414"/>
      <c r="J160" s="2414"/>
      <c r="K160" s="2414"/>
      <c r="L160" s="2414"/>
      <c r="M160" s="2414"/>
      <c r="N160" s="2414"/>
      <c r="O160" s="2414"/>
    </row>
    <row r="161" spans="1:15" hidden="1">
      <c r="C161" s="3889" t="s">
        <v>294</v>
      </c>
      <c r="F161" s="2414"/>
      <c r="G161" s="2414"/>
      <c r="H161" s="2414"/>
      <c r="I161" s="2414"/>
      <c r="J161" s="2414"/>
      <c r="K161" s="2414"/>
      <c r="L161" s="2414"/>
      <c r="M161" s="2414"/>
      <c r="N161" s="2414"/>
      <c r="O161" s="2414"/>
    </row>
    <row r="162" spans="1:15" hidden="1">
      <c r="F162" s="2414"/>
      <c r="G162" s="2414"/>
      <c r="H162" s="2414"/>
      <c r="I162" s="2414"/>
      <c r="J162" s="2414"/>
      <c r="K162" s="2414"/>
      <c r="L162" s="2414"/>
      <c r="M162" s="2414"/>
      <c r="N162" s="2414"/>
      <c r="O162" s="2414"/>
    </row>
    <row r="163" spans="1:15" hidden="1">
      <c r="C163" s="3889" t="s">
        <v>296</v>
      </c>
      <c r="E163" s="363" t="s">
        <v>2812</v>
      </c>
      <c r="F163" s="554">
        <v>2013</v>
      </c>
      <c r="G163" s="554">
        <v>2015</v>
      </c>
      <c r="H163" s="554">
        <v>2020</v>
      </c>
      <c r="I163" s="554">
        <v>2025</v>
      </c>
      <c r="J163" s="554">
        <v>2030</v>
      </c>
      <c r="K163" s="554">
        <v>2035</v>
      </c>
      <c r="L163" s="554">
        <v>2040</v>
      </c>
      <c r="M163" s="554">
        <v>2045</v>
      </c>
      <c r="N163" s="554">
        <v>2050</v>
      </c>
      <c r="O163" s="2414"/>
    </row>
    <row r="164" spans="1:15" hidden="1">
      <c r="C164" s="3889" t="s">
        <v>169</v>
      </c>
      <c r="F164" s="2414"/>
      <c r="G164" s="2414"/>
      <c r="H164" s="2414"/>
      <c r="I164" s="2414"/>
      <c r="J164" s="2414"/>
      <c r="K164" s="2414"/>
      <c r="L164" s="2414"/>
      <c r="M164" s="2414"/>
      <c r="N164" s="2414"/>
      <c r="O164" s="2414"/>
    </row>
    <row r="165" spans="1:15" hidden="1">
      <c r="C165" s="3889" t="s">
        <v>173</v>
      </c>
      <c r="F165" s="2414"/>
      <c r="G165" s="2414"/>
      <c r="H165" s="2414"/>
      <c r="I165" s="2414"/>
      <c r="J165" s="2414"/>
      <c r="K165" s="2414"/>
      <c r="L165" s="2414"/>
      <c r="M165" s="2414"/>
      <c r="N165" s="2414"/>
      <c r="O165" s="2414"/>
    </row>
    <row r="166" spans="1:15" hidden="1">
      <c r="C166" s="3889" t="s">
        <v>294</v>
      </c>
      <c r="F166" s="2414"/>
      <c r="G166" s="2414"/>
      <c r="H166" s="2414"/>
      <c r="I166" s="2414"/>
      <c r="J166" s="2414"/>
      <c r="K166" s="2414"/>
      <c r="L166" s="2414"/>
      <c r="M166" s="2414"/>
      <c r="N166" s="2414"/>
      <c r="O166" s="2414"/>
    </row>
    <row r="167" spans="1:15">
      <c r="E167" s="6"/>
      <c r="F167" s="2414"/>
      <c r="G167" s="2414"/>
      <c r="H167" s="2414"/>
      <c r="I167" s="2414"/>
      <c r="J167" s="2414"/>
      <c r="K167" s="2414"/>
      <c r="L167" s="2414"/>
      <c r="M167" s="2414"/>
      <c r="N167" s="2414"/>
      <c r="O167" s="2414"/>
    </row>
    <row r="168" spans="1:15" ht="23.25">
      <c r="A168" s="7"/>
      <c r="B168" s="511" t="s">
        <v>299</v>
      </c>
      <c r="C168" s="512"/>
      <c r="D168" s="512"/>
      <c r="E168" s="512"/>
      <c r="F168" s="512"/>
      <c r="G168" s="512"/>
      <c r="H168" s="512"/>
      <c r="I168" s="512"/>
      <c r="J168" s="512"/>
      <c r="K168" s="512"/>
      <c r="L168" s="512"/>
      <c r="M168" s="512"/>
      <c r="N168" s="512"/>
      <c r="O168" s="866"/>
    </row>
    <row r="169" spans="1:15">
      <c r="B169" s="514"/>
      <c r="C169" s="515"/>
      <c r="D169" s="515"/>
      <c r="E169" s="515"/>
      <c r="F169" s="515"/>
      <c r="G169" s="515"/>
      <c r="H169" s="515"/>
      <c r="I169" s="515"/>
      <c r="J169" s="515"/>
      <c r="K169" s="515"/>
      <c r="L169" s="515"/>
      <c r="M169" s="515"/>
      <c r="N169" s="515"/>
      <c r="O169" s="867"/>
    </row>
    <row r="170" spans="1:15">
      <c r="B170" s="514"/>
      <c r="C170" s="515"/>
      <c r="D170" s="515"/>
      <c r="E170" s="515"/>
      <c r="F170" s="515"/>
      <c r="G170" s="515"/>
      <c r="H170" s="515"/>
      <c r="I170" s="515"/>
      <c r="J170" s="515"/>
      <c r="K170" s="515"/>
      <c r="L170" s="515"/>
      <c r="M170" s="515"/>
      <c r="N170" s="515"/>
      <c r="O170" s="867"/>
    </row>
    <row r="171" spans="1:15" ht="15.75">
      <c r="A171" s="443"/>
      <c r="B171" s="15"/>
      <c r="C171" s="873" t="s">
        <v>28</v>
      </c>
      <c r="D171" s="873" t="s">
        <v>29</v>
      </c>
      <c r="E171" s="873" t="s">
        <v>30</v>
      </c>
      <c r="F171" s="873" t="s">
        <v>597</v>
      </c>
      <c r="G171" s="873" t="s">
        <v>133</v>
      </c>
      <c r="H171" s="873" t="s">
        <v>134</v>
      </c>
      <c r="I171" s="873" t="s">
        <v>135</v>
      </c>
      <c r="J171" s="873" t="s">
        <v>136</v>
      </c>
      <c r="K171" s="873" t="s">
        <v>137</v>
      </c>
      <c r="L171" s="873" t="s">
        <v>138</v>
      </c>
      <c r="M171" s="873" t="s">
        <v>139</v>
      </c>
      <c r="N171" s="873" t="s">
        <v>140</v>
      </c>
      <c r="O171" s="867"/>
    </row>
    <row r="172" spans="1:15" ht="15.75">
      <c r="A172" s="443"/>
      <c r="B172" s="15"/>
      <c r="C172" s="17" t="s">
        <v>96</v>
      </c>
      <c r="D172" s="2487" t="str">
        <f>INDEX(Vectors[Description], MATCH([Vector], Vectors[Code], 0))</f>
        <v>Electricity (delivered to end user)</v>
      </c>
      <c r="E172" s="17"/>
      <c r="F172" s="2521">
        <f ca="1">-F$132</f>
        <v>-0.22598810482362028</v>
      </c>
      <c r="G172" s="2521">
        <f t="shared" ref="G172:N172" ca="1" si="23">-G$132</f>
        <v>-0.22598810482362028</v>
      </c>
      <c r="H172" s="2521">
        <f t="shared" ca="1" si="23"/>
        <v>-0.22598810482362028</v>
      </c>
      <c r="I172" s="2521">
        <f t="shared" ca="1" si="23"/>
        <v>-0.22598810482362028</v>
      </c>
      <c r="J172" s="2521">
        <f t="shared" ca="1" si="23"/>
        <v>-0.22598810482362028</v>
      </c>
      <c r="K172" s="2521">
        <f t="shared" ca="1" si="23"/>
        <v>-0.22598810482362028</v>
      </c>
      <c r="L172" s="2521">
        <f t="shared" ca="1" si="23"/>
        <v>-0.22598810482362028</v>
      </c>
      <c r="M172" s="2521">
        <f t="shared" ca="1" si="23"/>
        <v>-0.22598810482362028</v>
      </c>
      <c r="N172" s="2521">
        <f t="shared" ca="1" si="23"/>
        <v>-0.22598810482362028</v>
      </c>
      <c r="O172" s="867"/>
    </row>
    <row r="173" spans="1:15" ht="15.75">
      <c r="A173" s="443"/>
      <c r="B173" s="15"/>
      <c r="C173" s="17" t="s">
        <v>99</v>
      </c>
      <c r="D173" s="2487" t="str">
        <f>INDEX(Vectors[Description], MATCH([Vector], Vectors[Code], 0))</f>
        <v>Liquid hydrocarbons</v>
      </c>
      <c r="E173" s="17"/>
      <c r="F173" s="2521">
        <f ca="1">-F$133</f>
        <v>-1.8522858135888711</v>
      </c>
      <c r="G173" s="2521">
        <f t="shared" ref="G173:N173" ca="1" si="24">-G$133</f>
        <v>-1.8522858135888711</v>
      </c>
      <c r="H173" s="2521">
        <f t="shared" ca="1" si="24"/>
        <v>-1.8522858135888711</v>
      </c>
      <c r="I173" s="2521">
        <f t="shared" ca="1" si="24"/>
        <v>-1.8522858135888711</v>
      </c>
      <c r="J173" s="2521">
        <f t="shared" ca="1" si="24"/>
        <v>-1.8522858135888711</v>
      </c>
      <c r="K173" s="2521">
        <f t="shared" ca="1" si="24"/>
        <v>-1.8522858135888711</v>
      </c>
      <c r="L173" s="2521">
        <f t="shared" ca="1" si="24"/>
        <v>-1.8522858135888711</v>
      </c>
      <c r="M173" s="2521">
        <f t="shared" ca="1" si="24"/>
        <v>-1.8522858135888711</v>
      </c>
      <c r="N173" s="2521">
        <f t="shared" ca="1" si="24"/>
        <v>-1.8522858135888711</v>
      </c>
      <c r="O173" s="867"/>
    </row>
    <row r="174" spans="1:15" ht="15.75">
      <c r="A174" s="443"/>
      <c r="B174" s="15"/>
      <c r="C174" s="17" t="s">
        <v>100</v>
      </c>
      <c r="D174" s="2487" t="str">
        <f>INDEX(Vectors[Description], MATCH([Vector], Vectors[Code], 0))</f>
        <v>Gaseous hydrocarbons</v>
      </c>
      <c r="E174" s="17"/>
      <c r="F174" s="2521">
        <f ca="1">-F$134</f>
        <v>-8.2401953248703863E-2</v>
      </c>
      <c r="G174" s="2521">
        <f t="shared" ref="G174:N174" ca="1" si="25">-G$134</f>
        <v>-8.2401953248703863E-2</v>
      </c>
      <c r="H174" s="2521">
        <f t="shared" ca="1" si="25"/>
        <v>-8.2401953248703863E-2</v>
      </c>
      <c r="I174" s="2521">
        <f t="shared" ca="1" si="25"/>
        <v>-8.2401953248703863E-2</v>
      </c>
      <c r="J174" s="2521">
        <f t="shared" ca="1" si="25"/>
        <v>-8.2401953248703863E-2</v>
      </c>
      <c r="K174" s="2521">
        <f t="shared" ca="1" si="25"/>
        <v>-8.2401953248703863E-2</v>
      </c>
      <c r="L174" s="2521">
        <f t="shared" ca="1" si="25"/>
        <v>-8.2401953248703863E-2</v>
      </c>
      <c r="M174" s="2521">
        <f t="shared" ca="1" si="25"/>
        <v>-8.2401953248703863E-2</v>
      </c>
      <c r="N174" s="2521">
        <f t="shared" ca="1" si="25"/>
        <v>-8.2401953248703863E-2</v>
      </c>
      <c r="O174" s="867"/>
    </row>
    <row r="175" spans="1:15" ht="15.75">
      <c r="A175" s="443"/>
      <c r="B175" s="15"/>
      <c r="C175" s="17" t="s">
        <v>101</v>
      </c>
      <c r="D175" s="2487" t="str">
        <f>INDEX(Vectors[Description], MATCH([Vector], Vectors[Code], 0))</f>
        <v>Heat transport</v>
      </c>
      <c r="E175" s="17"/>
      <c r="F175" s="2521">
        <f ca="1">-F135</f>
        <v>-2.6537999724419409E-2</v>
      </c>
      <c r="G175" s="2521">
        <f t="shared" ref="G175:N175" ca="1" si="26">-G135</f>
        <v>-2.6537999724419409E-2</v>
      </c>
      <c r="H175" s="2521">
        <f t="shared" ca="1" si="26"/>
        <v>-2.6537999724419409E-2</v>
      </c>
      <c r="I175" s="2521">
        <f t="shared" ca="1" si="26"/>
        <v>-2.6537999724419409E-2</v>
      </c>
      <c r="J175" s="2521">
        <f t="shared" ca="1" si="26"/>
        <v>-2.6537999724419409E-2</v>
      </c>
      <c r="K175" s="2521">
        <f t="shared" ca="1" si="26"/>
        <v>-2.6537999724419409E-2</v>
      </c>
      <c r="L175" s="2521">
        <f t="shared" ca="1" si="26"/>
        <v>-2.6537999724419409E-2</v>
      </c>
      <c r="M175" s="2521">
        <f t="shared" ca="1" si="26"/>
        <v>-2.6537999724419409E-2</v>
      </c>
      <c r="N175" s="2521">
        <f t="shared" ca="1" si="26"/>
        <v>-2.6537999724419409E-2</v>
      </c>
      <c r="O175" s="867"/>
    </row>
    <row r="176" spans="1:15" ht="15.75">
      <c r="A176" s="443"/>
      <c r="B176" s="15"/>
      <c r="C176" s="17" t="s">
        <v>426</v>
      </c>
      <c r="D176" s="2487" t="str">
        <f>INDEX(Vectors[Description], MATCH([Vector], Vectors[Code], 0))</f>
        <v>Oil and petroleum products</v>
      </c>
      <c r="E176" s="17"/>
      <c r="F176" s="2521">
        <f ca="1">-F$127+F$129</f>
        <v>0</v>
      </c>
      <c r="G176" s="2521">
        <f t="shared" ref="G176:N176" ca="1" si="27">-G$127+G$129</f>
        <v>0</v>
      </c>
      <c r="H176" s="2521">
        <f t="shared" ca="1" si="27"/>
        <v>0</v>
      </c>
      <c r="I176" s="2521">
        <f t="shared" ca="1" si="27"/>
        <v>0</v>
      </c>
      <c r="J176" s="2521">
        <f t="shared" ca="1" si="27"/>
        <v>0</v>
      </c>
      <c r="K176" s="2521">
        <f t="shared" ca="1" si="27"/>
        <v>0</v>
      </c>
      <c r="L176" s="2521">
        <f t="shared" ca="1" si="27"/>
        <v>0</v>
      </c>
      <c r="M176" s="2521">
        <f t="shared" ca="1" si="27"/>
        <v>0</v>
      </c>
      <c r="N176" s="2521">
        <f t="shared" ca="1" si="27"/>
        <v>0</v>
      </c>
      <c r="O176" s="867"/>
    </row>
    <row r="177" spans="1:23" ht="15.75">
      <c r="A177" s="443"/>
      <c r="B177" s="15"/>
      <c r="C177" s="17" t="s">
        <v>104</v>
      </c>
      <c r="D177" s="2487" t="str">
        <f>INDEX(Vectors[Description], MATCH([Vector], Vectors[Code], 0))</f>
        <v>Conversion losses</v>
      </c>
      <c r="E177" s="17"/>
      <c r="F177" s="2521">
        <f ca="1">F$128</f>
        <v>0</v>
      </c>
      <c r="G177" s="2521">
        <f t="shared" ref="G177:N177" ca="1" si="28">G$128</f>
        <v>0</v>
      </c>
      <c r="H177" s="2521">
        <f t="shared" ca="1" si="28"/>
        <v>0</v>
      </c>
      <c r="I177" s="2521">
        <f t="shared" ca="1" si="28"/>
        <v>0</v>
      </c>
      <c r="J177" s="2521">
        <f t="shared" ca="1" si="28"/>
        <v>0</v>
      </c>
      <c r="K177" s="2521">
        <f t="shared" ca="1" si="28"/>
        <v>0</v>
      </c>
      <c r="L177" s="2521">
        <f t="shared" ca="1" si="28"/>
        <v>0</v>
      </c>
      <c r="M177" s="2521">
        <f t="shared" ca="1" si="28"/>
        <v>0</v>
      </c>
      <c r="N177" s="2521">
        <f t="shared" ca="1" si="28"/>
        <v>0</v>
      </c>
      <c r="O177" s="867"/>
    </row>
    <row r="178" spans="1:23" ht="15.75">
      <c r="A178" s="443"/>
      <c r="B178" s="15"/>
      <c r="C178" s="17" t="s">
        <v>454</v>
      </c>
      <c r="D178" s="2487" t="str">
        <f>INDEX(Vectors[Description], MATCH([Vector], Vectors[Code], 0))</f>
        <v>Distribution losses and own use</v>
      </c>
      <c r="E178" s="17"/>
      <c r="F178" s="2521">
        <f ca="1">F$132+F$133+F$134+F$135</f>
        <v>2.1872138713856146</v>
      </c>
      <c r="G178" s="2521">
        <f t="shared" ref="G178:N178" ca="1" si="29">G$132+G$133+G$134+G$135</f>
        <v>2.1872138713856146</v>
      </c>
      <c r="H178" s="2521">
        <f t="shared" ca="1" si="29"/>
        <v>2.1872138713856146</v>
      </c>
      <c r="I178" s="2521">
        <f t="shared" ca="1" si="29"/>
        <v>2.1872138713856146</v>
      </c>
      <c r="J178" s="2521">
        <f t="shared" ca="1" si="29"/>
        <v>2.1872138713856146</v>
      </c>
      <c r="K178" s="2521">
        <f t="shared" ca="1" si="29"/>
        <v>2.1872138713856146</v>
      </c>
      <c r="L178" s="2521">
        <f t="shared" ca="1" si="29"/>
        <v>2.1872138713856146</v>
      </c>
      <c r="M178" s="2521">
        <f t="shared" ca="1" si="29"/>
        <v>2.1872138713856146</v>
      </c>
      <c r="N178" s="2521">
        <f t="shared" ca="1" si="29"/>
        <v>2.1872138713856146</v>
      </c>
      <c r="O178" s="867"/>
    </row>
    <row r="179" spans="1:23" ht="15.75">
      <c r="A179" s="443"/>
      <c r="B179" s="15"/>
      <c r="C179" s="2462" t="s">
        <v>59</v>
      </c>
      <c r="D179" s="2462"/>
      <c r="E179" s="2462"/>
      <c r="F179" s="2465">
        <f ca="1">SUBTOTAL(109,[2013])</f>
        <v>0</v>
      </c>
      <c r="G179" s="2465">
        <f ca="1">SUBTOTAL(109,[2015])</f>
        <v>0</v>
      </c>
      <c r="H179" s="2465">
        <f ca="1">SUBTOTAL(109,[2020])</f>
        <v>0</v>
      </c>
      <c r="I179" s="2465">
        <f ca="1">SUBTOTAL(109,[2025])</f>
        <v>0</v>
      </c>
      <c r="J179" s="2465">
        <f ca="1">SUBTOTAL(109,[2030])</f>
        <v>0</v>
      </c>
      <c r="K179" s="2465">
        <f ca="1">SUBTOTAL(109,[2035])</f>
        <v>0</v>
      </c>
      <c r="L179" s="2465">
        <f ca="1">SUBTOTAL(109,[2040])</f>
        <v>0</v>
      </c>
      <c r="M179" s="2465">
        <f ca="1">SUBTOTAL(109,[2045])</f>
        <v>0</v>
      </c>
      <c r="N179" s="2465">
        <f ca="1">SUBTOTAL(109,[2050])</f>
        <v>0</v>
      </c>
      <c r="O179" s="867"/>
    </row>
    <row r="180" spans="1:23" ht="15.75">
      <c r="B180" s="15"/>
      <c r="C180" s="2920"/>
      <c r="D180" s="2921"/>
      <c r="E180" s="2921"/>
      <c r="F180" s="2921"/>
      <c r="G180" s="2921"/>
      <c r="H180" s="2921"/>
      <c r="I180" s="2921"/>
      <c r="J180" s="2921"/>
      <c r="K180" s="2921"/>
      <c r="L180" s="2921"/>
      <c r="M180" s="2921"/>
      <c r="N180" s="2921"/>
      <c r="O180" s="35"/>
    </row>
    <row r="181" spans="1:23" ht="23.25">
      <c r="A181" s="7"/>
    </row>
    <row r="182" spans="1:23" ht="22.5" customHeight="1">
      <c r="B182" s="1127" t="s">
        <v>303</v>
      </c>
      <c r="C182" s="1128"/>
      <c r="D182" s="1129"/>
      <c r="E182" s="1129"/>
      <c r="F182" s="1129"/>
      <c r="G182" s="1129"/>
      <c r="H182" s="1129"/>
      <c r="I182" s="1129"/>
      <c r="J182" s="1129"/>
      <c r="K182" s="1129"/>
      <c r="L182" s="1129"/>
      <c r="M182" s="1129"/>
      <c r="N182" s="1129"/>
      <c r="O182" s="1130"/>
    </row>
    <row r="183" spans="1:23" ht="9.75" customHeight="1">
      <c r="B183" s="1131"/>
      <c r="C183" s="1132"/>
      <c r="D183" s="1132"/>
      <c r="E183" s="1132"/>
      <c r="F183" s="1132"/>
      <c r="G183" s="1132"/>
      <c r="H183" s="1132"/>
      <c r="I183" s="1132"/>
      <c r="J183" s="1132"/>
      <c r="K183" s="1132"/>
      <c r="L183" s="1132"/>
      <c r="M183" s="1132"/>
      <c r="N183" s="1132"/>
      <c r="O183" s="1133"/>
    </row>
    <row r="184" spans="1:23" ht="21" customHeight="1">
      <c r="B184" s="1134"/>
      <c r="C184" s="462" t="s">
        <v>1349</v>
      </c>
      <c r="D184" s="1135"/>
      <c r="E184" s="1136"/>
      <c r="F184" s="1135"/>
      <c r="G184" s="1135"/>
      <c r="H184" s="1135"/>
      <c r="I184" s="1135"/>
      <c r="J184" s="1135"/>
      <c r="K184" s="1135"/>
      <c r="L184" s="1135"/>
      <c r="M184" s="1135"/>
      <c r="N184" s="1136" t="s">
        <v>254</v>
      </c>
      <c r="O184" s="1138"/>
    </row>
    <row r="185" spans="1:23">
      <c r="B185" s="1134"/>
      <c r="C185" s="1135"/>
      <c r="D185" s="1135"/>
      <c r="E185" s="1135"/>
      <c r="F185" s="1135"/>
      <c r="G185" s="1135"/>
      <c r="H185" s="1135"/>
      <c r="I185" s="1135"/>
      <c r="J185" s="1135"/>
      <c r="K185" s="1135"/>
      <c r="L185" s="1135"/>
      <c r="M185" s="1135"/>
      <c r="N185" s="1135"/>
      <c r="O185" s="1138"/>
    </row>
    <row r="186" spans="1:23" ht="15.75">
      <c r="B186" s="467"/>
      <c r="C186" s="1339" t="s">
        <v>305</v>
      </c>
      <c r="D186" s="1339" t="s">
        <v>306</v>
      </c>
      <c r="E186" s="1339" t="s">
        <v>30</v>
      </c>
      <c r="F186" s="1339" t="s">
        <v>597</v>
      </c>
      <c r="G186" s="1339" t="s">
        <v>133</v>
      </c>
      <c r="H186" s="1339" t="s">
        <v>134</v>
      </c>
      <c r="I186" s="1339" t="s">
        <v>135</v>
      </c>
      <c r="J186" s="1339" t="s">
        <v>136</v>
      </c>
      <c r="K186" s="1339" t="s">
        <v>137</v>
      </c>
      <c r="L186" s="1339" t="s">
        <v>138</v>
      </c>
      <c r="M186" s="1339" t="s">
        <v>139</v>
      </c>
      <c r="N186" s="1339" t="s">
        <v>140</v>
      </c>
      <c r="O186" s="1138"/>
    </row>
    <row r="187" spans="1:23" ht="15.75">
      <c r="B187" s="467"/>
      <c r="C187" s="1140" t="s">
        <v>253</v>
      </c>
      <c r="D187" s="1141" t="s">
        <v>307</v>
      </c>
      <c r="E187" s="1140" t="s">
        <v>308</v>
      </c>
      <c r="F187" s="2473">
        <f ca="1">F$139</f>
        <v>0.50565060724124977</v>
      </c>
      <c r="G187" s="2473">
        <f t="shared" ref="G187:N187" ca="1" si="30">G$139</f>
        <v>0.50565060724124977</v>
      </c>
      <c r="H187" s="2473">
        <f t="shared" ca="1" si="30"/>
        <v>0.50565060724124977</v>
      </c>
      <c r="I187" s="2473">
        <f t="shared" ca="1" si="30"/>
        <v>0.50565060724124977</v>
      </c>
      <c r="J187" s="2473">
        <f t="shared" ca="1" si="30"/>
        <v>0.50565060724124977</v>
      </c>
      <c r="K187" s="2473">
        <f t="shared" ca="1" si="30"/>
        <v>0.50565060724124977</v>
      </c>
      <c r="L187" s="2473">
        <f t="shared" ca="1" si="30"/>
        <v>0.50565060724124977</v>
      </c>
      <c r="M187" s="2473">
        <f t="shared" ca="1" si="30"/>
        <v>0.50565060724124977</v>
      </c>
      <c r="N187" s="2473">
        <f t="shared" ca="1" si="30"/>
        <v>0.50565060724124977</v>
      </c>
      <c r="O187" s="1138"/>
      <c r="R187" s="39"/>
      <c r="S187" s="39"/>
      <c r="T187" s="39"/>
      <c r="U187" s="39"/>
      <c r="V187" s="39"/>
      <c r="W187" s="39"/>
    </row>
    <row r="188" spans="1:23" ht="15.75">
      <c r="B188" s="467"/>
      <c r="C188" s="1140" t="s">
        <v>255</v>
      </c>
      <c r="D188" s="1141" t="s">
        <v>307</v>
      </c>
      <c r="E188" s="1140" t="s">
        <v>308</v>
      </c>
      <c r="F188" s="2473">
        <f ca="1">F$140</f>
        <v>4.2632801018755801E-4</v>
      </c>
      <c r="G188" s="2473">
        <f t="shared" ref="G188:N188" ca="1" si="31">G$140</f>
        <v>4.2632801018755801E-4</v>
      </c>
      <c r="H188" s="2473">
        <f t="shared" ca="1" si="31"/>
        <v>4.2632801018755801E-4</v>
      </c>
      <c r="I188" s="2473">
        <f t="shared" ca="1" si="31"/>
        <v>4.2632801018755801E-4</v>
      </c>
      <c r="J188" s="2473">
        <f t="shared" ca="1" si="31"/>
        <v>4.2632801018755801E-4</v>
      </c>
      <c r="K188" s="2473">
        <f t="shared" ca="1" si="31"/>
        <v>4.2632801018755801E-4</v>
      </c>
      <c r="L188" s="2473">
        <f t="shared" ca="1" si="31"/>
        <v>4.2632801018755801E-4</v>
      </c>
      <c r="M188" s="2473">
        <f t="shared" ca="1" si="31"/>
        <v>4.2632801018755801E-4</v>
      </c>
      <c r="N188" s="2473">
        <f t="shared" ca="1" si="31"/>
        <v>4.2632801018755801E-4</v>
      </c>
      <c r="O188" s="1138"/>
      <c r="R188" s="39"/>
      <c r="S188" s="39"/>
      <c r="T188" s="39"/>
      <c r="U188" s="39"/>
      <c r="V188" s="39"/>
      <c r="W188" s="39"/>
    </row>
    <row r="189" spans="1:23" ht="15.75">
      <c r="B189" s="467"/>
      <c r="C189" s="1140" t="s">
        <v>256</v>
      </c>
      <c r="D189" s="1141" t="s">
        <v>307</v>
      </c>
      <c r="E189" s="1140" t="s">
        <v>308</v>
      </c>
      <c r="F189" s="2473">
        <f ca="1">F$141</f>
        <v>1.5069762622732133E-3</v>
      </c>
      <c r="G189" s="2473">
        <f t="shared" ref="G189:N189" ca="1" si="32">G$141</f>
        <v>1.5069762622732133E-3</v>
      </c>
      <c r="H189" s="2473">
        <f t="shared" ca="1" si="32"/>
        <v>1.5069762622732133E-3</v>
      </c>
      <c r="I189" s="2473">
        <f t="shared" ca="1" si="32"/>
        <v>1.5069762622732133E-3</v>
      </c>
      <c r="J189" s="2473">
        <f t="shared" ca="1" si="32"/>
        <v>1.5069762622732133E-3</v>
      </c>
      <c r="K189" s="2473">
        <f t="shared" ca="1" si="32"/>
        <v>1.5069762622732133E-3</v>
      </c>
      <c r="L189" s="2473">
        <f t="shared" ca="1" si="32"/>
        <v>1.5069762622732133E-3</v>
      </c>
      <c r="M189" s="2473">
        <f t="shared" ca="1" si="32"/>
        <v>1.5069762622732133E-3</v>
      </c>
      <c r="N189" s="2473">
        <f t="shared" ca="1" si="32"/>
        <v>1.5069762622732133E-3</v>
      </c>
      <c r="O189" s="1138"/>
      <c r="R189" s="39"/>
      <c r="S189" s="39"/>
      <c r="T189" s="39"/>
      <c r="U189" s="39"/>
      <c r="V189" s="39"/>
      <c r="W189" s="39"/>
    </row>
    <row r="190" spans="1:23" ht="15.75">
      <c r="B190" s="467"/>
      <c r="C190" s="2466" t="s">
        <v>59</v>
      </c>
      <c r="D190" s="2466"/>
      <c r="E190" s="2466"/>
      <c r="F190" s="2467">
        <f ca="1">SUBTOTAL(109,[2013])</f>
        <v>0.50758391151371063</v>
      </c>
      <c r="G190" s="2467">
        <f ca="1">SUBTOTAL(109,[2015])</f>
        <v>0.50758391151371063</v>
      </c>
      <c r="H190" s="2467">
        <f ca="1">SUBTOTAL(109,[2020])</f>
        <v>0.50758391151371063</v>
      </c>
      <c r="I190" s="2467">
        <f ca="1">SUBTOTAL(109,[2025])</f>
        <v>0.50758391151371063</v>
      </c>
      <c r="J190" s="2467">
        <f ca="1">SUBTOTAL(109,[2030])</f>
        <v>0.50758391151371063</v>
      </c>
      <c r="K190" s="2467">
        <f ca="1">SUBTOTAL(109,[2035])</f>
        <v>0.50758391151371063</v>
      </c>
      <c r="L190" s="2467">
        <f ca="1">SUBTOTAL(109,[2040])</f>
        <v>0.50758391151371063</v>
      </c>
      <c r="M190" s="2467">
        <f ca="1">SUBTOTAL(109,[2045])</f>
        <v>0.50758391151371063</v>
      </c>
      <c r="N190" s="2467">
        <f ca="1">SUBTOTAL(109,[2050])</f>
        <v>0.50758391151371063</v>
      </c>
      <c r="O190" s="1138"/>
      <c r="R190" s="39"/>
      <c r="S190" s="39"/>
      <c r="T190" s="39"/>
      <c r="U190" s="39"/>
      <c r="V190" s="39"/>
      <c r="W190" s="39"/>
    </row>
    <row r="191" spans="1:23" ht="15.75">
      <c r="B191" s="467"/>
      <c r="C191" s="1135"/>
      <c r="D191" s="1135"/>
      <c r="E191" s="1135"/>
      <c r="F191" s="1135"/>
      <c r="G191" s="1135"/>
      <c r="H191" s="1135"/>
      <c r="I191" s="1135"/>
      <c r="J191" s="1135"/>
      <c r="K191" s="1135"/>
      <c r="L191" s="1135"/>
      <c r="M191" s="1135"/>
      <c r="N191" s="1135"/>
      <c r="O191" s="474"/>
      <c r="R191" s="39"/>
      <c r="S191" s="39"/>
      <c r="T191" s="39"/>
      <c r="U191" s="39"/>
      <c r="V191" s="39"/>
      <c r="W191" s="39"/>
    </row>
    <row r="192" spans="1:23" ht="21.75" customHeight="1" collapsed="1">
      <c r="R192" s="39"/>
      <c r="S192" s="39"/>
      <c r="T192" s="859"/>
      <c r="U192" s="39"/>
      <c r="V192" s="39"/>
      <c r="W192" s="39"/>
    </row>
    <row r="193" spans="2:23">
      <c r="R193" s="39"/>
      <c r="S193" s="39"/>
      <c r="T193" s="859"/>
      <c r="U193" s="39"/>
      <c r="V193" s="39"/>
      <c r="W193" s="39"/>
    </row>
    <row r="194" spans="2:23" ht="15.75">
      <c r="B194" s="995" t="s">
        <v>313</v>
      </c>
      <c r="C194" s="996"/>
      <c r="D194" s="997"/>
      <c r="E194" s="997"/>
      <c r="F194" s="997"/>
      <c r="G194" s="997"/>
      <c r="H194" s="997"/>
      <c r="I194" s="997"/>
      <c r="J194" s="997"/>
      <c r="K194" s="997"/>
      <c r="L194" s="997"/>
      <c r="M194" s="997"/>
      <c r="N194" s="997"/>
      <c r="O194" s="998"/>
      <c r="R194" s="39"/>
      <c r="S194" s="39"/>
      <c r="T194" s="859"/>
      <c r="U194" s="39"/>
      <c r="V194" s="39"/>
      <c r="W194" s="39"/>
    </row>
    <row r="195" spans="2:23" ht="6" customHeight="1">
      <c r="B195" s="999"/>
      <c r="C195" s="1000"/>
      <c r="D195" s="1000"/>
      <c r="E195" s="1000"/>
      <c r="F195" s="1000"/>
      <c r="G195" s="1000"/>
      <c r="H195" s="1000"/>
      <c r="I195" s="1000"/>
      <c r="J195" s="1000"/>
      <c r="K195" s="1000"/>
      <c r="L195" s="1000"/>
      <c r="M195" s="1000"/>
      <c r="N195" s="1000"/>
      <c r="O195" s="1001"/>
      <c r="R195" s="39"/>
      <c r="S195" s="39"/>
      <c r="T195" s="859"/>
      <c r="U195" s="39"/>
      <c r="V195" s="39"/>
      <c r="W195" s="39"/>
    </row>
    <row r="196" spans="2:23">
      <c r="B196" s="1002"/>
      <c r="C196" s="488" t="s">
        <v>314</v>
      </c>
      <c r="D196" s="1003"/>
      <c r="E196" s="1004"/>
      <c r="F196" s="1003"/>
      <c r="G196" s="1003"/>
      <c r="H196" s="1003"/>
      <c r="I196" s="1003"/>
      <c r="J196" s="1003"/>
      <c r="K196" s="1003"/>
      <c r="L196" s="1003"/>
      <c r="M196" s="1003"/>
      <c r="N196" s="1004"/>
      <c r="O196" s="1005"/>
      <c r="R196" s="39"/>
      <c r="S196" s="39"/>
      <c r="T196" s="39"/>
      <c r="U196" s="39"/>
      <c r="V196" s="39"/>
      <c r="W196" s="39"/>
    </row>
    <row r="197" spans="2:23">
      <c r="B197" s="1002"/>
      <c r="C197" s="1003"/>
      <c r="D197" s="1003"/>
      <c r="E197" s="1003"/>
      <c r="F197" s="1003"/>
      <c r="G197" s="1003"/>
      <c r="H197" s="1003"/>
      <c r="I197" s="1003"/>
      <c r="J197" s="1003"/>
      <c r="K197" s="1003"/>
      <c r="L197" s="1003"/>
      <c r="M197" s="1003"/>
      <c r="N197" s="1003"/>
      <c r="O197" s="1005"/>
      <c r="R197" s="39"/>
      <c r="S197" s="39"/>
      <c r="T197" s="39"/>
      <c r="U197" s="39"/>
      <c r="V197" s="39"/>
      <c r="W197" s="39"/>
    </row>
    <row r="198" spans="2:23" ht="15.75">
      <c r="B198" s="492"/>
      <c r="C198" s="1006" t="s">
        <v>28</v>
      </c>
      <c r="D198" s="1006" t="s">
        <v>315</v>
      </c>
      <c r="E198" s="1006" t="s">
        <v>30</v>
      </c>
      <c r="F198" s="1006">
        <v>2013</v>
      </c>
      <c r="G198" s="1006" t="s">
        <v>133</v>
      </c>
      <c r="H198" s="1006" t="s">
        <v>134</v>
      </c>
      <c r="I198" s="1006" t="s">
        <v>135</v>
      </c>
      <c r="J198" s="1006" t="s">
        <v>136</v>
      </c>
      <c r="K198" s="1006" t="s">
        <v>137</v>
      </c>
      <c r="L198" s="1006" t="s">
        <v>138</v>
      </c>
      <c r="M198" s="1006" t="s">
        <v>139</v>
      </c>
      <c r="N198" s="1006" t="s">
        <v>140</v>
      </c>
      <c r="O198" s="1005"/>
    </row>
    <row r="199" spans="2:23" ht="15.75">
      <c r="B199" s="492"/>
      <c r="C199" s="1007" t="s">
        <v>887</v>
      </c>
      <c r="D199" s="494" t="s">
        <v>1261</v>
      </c>
      <c r="E199" s="494"/>
      <c r="F199" s="2438"/>
      <c r="G199" s="2438"/>
      <c r="H199" s="2438"/>
      <c r="I199" s="2438"/>
      <c r="J199" s="2438"/>
      <c r="K199" s="2438"/>
      <c r="L199" s="2438"/>
      <c r="M199" s="2438"/>
      <c r="N199" s="2438"/>
      <c r="O199" s="1005"/>
    </row>
    <row r="200" spans="2:23" ht="15.75">
      <c r="B200" s="492"/>
      <c r="C200" s="1007" t="s">
        <v>767</v>
      </c>
      <c r="D200" s="494" t="s">
        <v>768</v>
      </c>
      <c r="E200" s="494"/>
      <c r="F200" s="2438"/>
      <c r="G200" s="2438"/>
      <c r="H200" s="2438"/>
      <c r="I200" s="2438"/>
      <c r="J200" s="2438"/>
      <c r="K200" s="2438"/>
      <c r="L200" s="2438"/>
      <c r="M200" s="2438"/>
      <c r="N200" s="2438"/>
      <c r="O200" s="1005"/>
    </row>
    <row r="201" spans="2:23" ht="15.75">
      <c r="B201" s="492"/>
      <c r="C201" s="1007" t="s">
        <v>316</v>
      </c>
      <c r="D201" s="494" t="s">
        <v>317</v>
      </c>
      <c r="E201" s="494"/>
      <c r="F201" s="2438"/>
      <c r="G201" s="2438"/>
      <c r="H201" s="2438"/>
      <c r="I201" s="2438"/>
      <c r="J201" s="2438"/>
      <c r="K201" s="2438"/>
      <c r="L201" s="2438"/>
      <c r="M201" s="2438"/>
      <c r="N201" s="2438"/>
      <c r="O201" s="1005"/>
    </row>
    <row r="202" spans="2:23" ht="15.75">
      <c r="B202" s="497"/>
      <c r="C202" s="1010"/>
      <c r="D202" s="1010"/>
      <c r="E202" s="1010"/>
      <c r="F202" s="1010"/>
      <c r="G202" s="1010"/>
      <c r="H202" s="1010"/>
      <c r="I202" s="1010"/>
      <c r="J202" s="1010"/>
      <c r="K202" s="1010"/>
      <c r="L202" s="1010"/>
      <c r="M202" s="1010"/>
      <c r="N202" s="1010"/>
      <c r="O202" s="1011"/>
    </row>
    <row r="205" spans="2:23" ht="15.75">
      <c r="B205" s="995" t="s">
        <v>2795</v>
      </c>
      <c r="C205" s="997"/>
      <c r="D205" s="997"/>
      <c r="E205" s="997"/>
      <c r="F205" s="997"/>
      <c r="G205" s="997"/>
      <c r="H205" s="997"/>
      <c r="I205" s="997"/>
      <c r="J205" s="997"/>
      <c r="K205" s="997"/>
      <c r="L205" s="997"/>
      <c r="M205" s="997"/>
      <c r="N205" s="997"/>
      <c r="O205" s="998"/>
    </row>
    <row r="206" spans="2:23" ht="4.5" customHeight="1">
      <c r="B206" s="1002"/>
      <c r="C206" s="1003"/>
      <c r="D206" s="1003"/>
      <c r="E206" s="1003"/>
      <c r="F206" s="1003"/>
      <c r="G206" s="1003"/>
      <c r="H206" s="1003"/>
      <c r="I206" s="1003"/>
      <c r="J206" s="1003"/>
      <c r="K206" s="1003"/>
      <c r="L206" s="1003"/>
      <c r="M206" s="1003"/>
      <c r="N206" s="1003"/>
      <c r="O206" s="1005"/>
    </row>
    <row r="207" spans="2:23" hidden="1">
      <c r="B207" s="1002"/>
      <c r="C207" s="500" t="s">
        <v>770</v>
      </c>
      <c r="D207" s="1012"/>
      <c r="E207" s="1012"/>
      <c r="F207" s="1012"/>
      <c r="G207" s="1012"/>
      <c r="H207" s="1012"/>
      <c r="I207" s="1012"/>
      <c r="J207" s="1012"/>
      <c r="K207" s="1012"/>
      <c r="L207" s="1012"/>
      <c r="M207" s="1012"/>
      <c r="N207" s="1013" t="s">
        <v>2812</v>
      </c>
      <c r="O207" s="1005"/>
    </row>
    <row r="208" spans="2:23" hidden="1">
      <c r="B208" s="1002"/>
      <c r="C208" s="1003"/>
      <c r="D208" s="1003"/>
      <c r="E208" s="1003"/>
      <c r="F208" s="1003"/>
      <c r="G208" s="1003"/>
      <c r="H208" s="1003"/>
      <c r="I208" s="1003"/>
      <c r="J208" s="1003"/>
      <c r="K208" s="1003"/>
      <c r="L208" s="1003"/>
      <c r="M208" s="1003"/>
      <c r="N208" s="1003"/>
      <c r="O208" s="1005"/>
    </row>
    <row r="209" spans="2:15" ht="15.75" hidden="1">
      <c r="B209" s="492"/>
      <c r="C209" s="1006" t="s">
        <v>28</v>
      </c>
      <c r="D209" s="1006" t="s">
        <v>29</v>
      </c>
      <c r="E209" s="1006" t="s">
        <v>30</v>
      </c>
      <c r="F209" s="1006">
        <v>2013</v>
      </c>
      <c r="G209" s="1006" t="s">
        <v>133</v>
      </c>
      <c r="H209" s="1006" t="s">
        <v>134</v>
      </c>
      <c r="I209" s="1006" t="s">
        <v>135</v>
      </c>
      <c r="J209" s="1006" t="s">
        <v>136</v>
      </c>
      <c r="K209" s="1006" t="s">
        <v>137</v>
      </c>
      <c r="L209" s="1006" t="s">
        <v>138</v>
      </c>
      <c r="M209" s="1006" t="s">
        <v>139</v>
      </c>
      <c r="N209" s="1006" t="s">
        <v>140</v>
      </c>
      <c r="O209" s="1150"/>
    </row>
    <row r="210" spans="2:15" ht="15.75" hidden="1">
      <c r="B210" s="492"/>
      <c r="C210" s="1007" t="s">
        <v>324</v>
      </c>
      <c r="D210" s="494" t="s">
        <v>325</v>
      </c>
      <c r="E210" s="494"/>
      <c r="F210" s="2440"/>
      <c r="G210" s="2440"/>
      <c r="H210" s="2440"/>
      <c r="I210" s="2440"/>
      <c r="J210" s="2440"/>
      <c r="K210" s="2440"/>
      <c r="L210" s="2440"/>
      <c r="M210" s="2440"/>
      <c r="N210" s="2440"/>
      <c r="O210" s="1150"/>
    </row>
    <row r="211" spans="2:15" ht="15.75" hidden="1">
      <c r="B211" s="492"/>
      <c r="C211" s="1007" t="s">
        <v>331</v>
      </c>
      <c r="D211" s="494" t="s">
        <v>332</v>
      </c>
      <c r="E211" s="494"/>
      <c r="F211" s="2440"/>
      <c r="G211" s="2440"/>
      <c r="H211" s="2440"/>
      <c r="I211" s="2440"/>
      <c r="J211" s="2440"/>
      <c r="K211" s="2440"/>
      <c r="L211" s="2440"/>
      <c r="M211" s="2440"/>
      <c r="N211" s="2440"/>
      <c r="O211" s="1150"/>
    </row>
    <row r="212" spans="2:15" ht="15.75" hidden="1">
      <c r="B212" s="492"/>
      <c r="C212" s="1007" t="s">
        <v>326</v>
      </c>
      <c r="D212" s="494" t="s">
        <v>327</v>
      </c>
      <c r="E212" s="494"/>
      <c r="F212" s="2440"/>
      <c r="G212" s="2440"/>
      <c r="H212" s="2440"/>
      <c r="I212" s="2440"/>
      <c r="J212" s="2440"/>
      <c r="K212" s="2440"/>
      <c r="L212" s="2440"/>
      <c r="M212" s="2440"/>
      <c r="N212" s="2440"/>
      <c r="O212" s="1150"/>
    </row>
    <row r="213" spans="2:15" hidden="1">
      <c r="B213" s="503"/>
      <c r="C213" s="1007" t="s">
        <v>333</v>
      </c>
      <c r="D213" s="494" t="s">
        <v>334</v>
      </c>
      <c r="E213" s="494"/>
      <c r="F213" s="2440"/>
      <c r="G213" s="2440"/>
      <c r="H213" s="2440"/>
      <c r="I213" s="2440"/>
      <c r="J213" s="2440"/>
      <c r="K213" s="2440"/>
      <c r="L213" s="2440"/>
      <c r="M213" s="2440"/>
      <c r="N213" s="2440"/>
      <c r="O213" s="1151"/>
    </row>
    <row r="214" spans="2:15" hidden="1">
      <c r="B214" s="503"/>
      <c r="C214" s="1007" t="s">
        <v>328</v>
      </c>
      <c r="D214" s="494" t="s">
        <v>329</v>
      </c>
      <c r="E214" s="494"/>
      <c r="F214" s="2440"/>
      <c r="G214" s="2440"/>
      <c r="H214" s="2440"/>
      <c r="I214" s="2440"/>
      <c r="J214" s="2440"/>
      <c r="K214" s="2440"/>
      <c r="L214" s="2440"/>
      <c r="M214" s="2440"/>
      <c r="N214" s="2440"/>
      <c r="O214" s="1151"/>
    </row>
    <row r="215" spans="2:15" hidden="1">
      <c r="B215" s="503"/>
      <c r="C215" s="1007" t="s">
        <v>335</v>
      </c>
      <c r="D215" s="494" t="s">
        <v>336</v>
      </c>
      <c r="E215" s="494"/>
      <c r="F215" s="2440"/>
      <c r="G215" s="2440"/>
      <c r="H215" s="2440"/>
      <c r="I215" s="2440"/>
      <c r="J215" s="2440"/>
      <c r="K215" s="2440"/>
      <c r="L215" s="2440"/>
      <c r="M215" s="2440"/>
      <c r="N215" s="2440"/>
      <c r="O215" s="1151"/>
    </row>
    <row r="216" spans="2:15" hidden="1">
      <c r="B216" s="1014"/>
      <c r="C216" s="1010"/>
      <c r="D216" s="1010"/>
      <c r="E216" s="1010"/>
      <c r="F216" s="1010"/>
      <c r="G216" s="1010"/>
      <c r="H216" s="1010"/>
      <c r="I216" s="1010"/>
      <c r="J216" s="1010"/>
      <c r="K216" s="1010"/>
      <c r="L216" s="1010"/>
      <c r="M216" s="1010"/>
      <c r="N216" s="1010"/>
      <c r="O216" s="1015"/>
    </row>
    <row r="218" spans="2:15">
      <c r="C218" s="3889" t="s">
        <v>28</v>
      </c>
      <c r="D218" s="3889" t="s">
        <v>29</v>
      </c>
      <c r="E218" s="3889" t="s">
        <v>306</v>
      </c>
      <c r="F218" s="3889">
        <v>2013</v>
      </c>
      <c r="G218" s="3889" t="s">
        <v>133</v>
      </c>
      <c r="H218" s="3889" t="s">
        <v>134</v>
      </c>
      <c r="I218" s="3889" t="s">
        <v>135</v>
      </c>
      <c r="J218" s="3889" t="s">
        <v>136</v>
      </c>
      <c r="K218" s="3889" t="s">
        <v>137</v>
      </c>
      <c r="L218" s="3889" t="s">
        <v>138</v>
      </c>
      <c r="M218" s="3889" t="s">
        <v>139</v>
      </c>
      <c r="N218" s="3889" t="s">
        <v>140</v>
      </c>
    </row>
    <row r="219" spans="2:15">
      <c r="C219" s="3889" t="s">
        <v>260</v>
      </c>
      <c r="D219" s="3889" t="s">
        <v>261</v>
      </c>
      <c r="E219" s="3889" t="s">
        <v>307</v>
      </c>
      <c r="F219" s="2919">
        <f t="shared" ref="F219:N219" ca="1" si="33">SUMPRODUCT(F$45:F$46,F$133:F$134)</f>
        <v>1.2475206316513682E-2</v>
      </c>
      <c r="G219" s="2919">
        <f t="shared" ca="1" si="33"/>
        <v>1.3491765364883236E-2</v>
      </c>
      <c r="H219" s="2919">
        <f t="shared" ca="1" si="33"/>
        <v>1.3642773346822124E-2</v>
      </c>
      <c r="I219" s="2919">
        <f t="shared" ca="1" si="33"/>
        <v>1.5086720118554088E-2</v>
      </c>
      <c r="J219" s="2919">
        <f t="shared" ca="1" si="33"/>
        <v>1.5086720118554088E-2</v>
      </c>
      <c r="K219" s="2919">
        <f t="shared" ca="1" si="33"/>
        <v>1.5086720118554088E-2</v>
      </c>
      <c r="L219" s="2919">
        <f t="shared" ca="1" si="33"/>
        <v>1.5086720118554088E-2</v>
      </c>
      <c r="M219" s="2919">
        <f t="shared" ca="1" si="33"/>
        <v>1.5086720118554088E-2</v>
      </c>
      <c r="N219" s="2919">
        <f t="shared" ca="1" si="33"/>
        <v>1.5086720118554088E-2</v>
      </c>
    </row>
    <row r="220" spans="2:15">
      <c r="C220" s="3889" t="s">
        <v>262</v>
      </c>
      <c r="D220" s="3889" t="s">
        <v>263</v>
      </c>
      <c r="E220" s="3889" t="s">
        <v>307</v>
      </c>
      <c r="F220" s="2919">
        <f t="shared" ref="F220:N220" ca="1" si="34">SUMPRODUCT(F$51:F$52,F$133:F$134)</f>
        <v>0.48872304006508932</v>
      </c>
      <c r="G220" s="2919">
        <f t="shared" ca="1" si="34"/>
        <v>0.73631515036938189</v>
      </c>
      <c r="H220" s="2919">
        <f t="shared" ca="1" si="34"/>
        <v>0.72197350457519038</v>
      </c>
      <c r="I220" s="2919">
        <f t="shared" ca="1" si="34"/>
        <v>0.71400472908306656</v>
      </c>
      <c r="J220" s="2919">
        <f t="shared" ca="1" si="34"/>
        <v>0.7138179228714655</v>
      </c>
      <c r="K220" s="2919">
        <f t="shared" ca="1" si="34"/>
        <v>0.7138179228714655</v>
      </c>
      <c r="L220" s="2919">
        <f t="shared" ca="1" si="34"/>
        <v>0.7138179228714655</v>
      </c>
      <c r="M220" s="2919">
        <f t="shared" ca="1" si="34"/>
        <v>0.7138179228714655</v>
      </c>
      <c r="N220" s="2919">
        <f t="shared" ca="1" si="34"/>
        <v>0.7138179228714655</v>
      </c>
    </row>
    <row r="221" spans="2:15">
      <c r="C221" s="3889" t="s">
        <v>264</v>
      </c>
      <c r="D221" s="3889" t="s">
        <v>265</v>
      </c>
      <c r="E221" s="3889" t="s">
        <v>307</v>
      </c>
      <c r="F221" s="2919">
        <f t="shared" ref="F221:N221" ca="1" si="35">SUMPRODUCT(F$57:F$58,F$133:F$134)</f>
        <v>0.64171226283607841</v>
      </c>
      <c r="G221" s="2919">
        <f t="shared" ca="1" si="35"/>
        <v>0.62506671575597739</v>
      </c>
      <c r="H221" s="2919">
        <f t="shared" ca="1" si="35"/>
        <v>0.6335979639446675</v>
      </c>
      <c r="I221" s="2919">
        <f t="shared" ca="1" si="35"/>
        <v>0.71517423642202427</v>
      </c>
      <c r="J221" s="2919">
        <f t="shared" ca="1" si="35"/>
        <v>0.71517423642202427</v>
      </c>
      <c r="K221" s="2919">
        <f t="shared" ca="1" si="35"/>
        <v>0.71517423642202427</v>
      </c>
      <c r="L221" s="2919">
        <f t="shared" ca="1" si="35"/>
        <v>0.71517423642202427</v>
      </c>
      <c r="M221" s="2919">
        <f t="shared" ca="1" si="35"/>
        <v>0.71517423642202427</v>
      </c>
      <c r="N221" s="2919">
        <f t="shared" ca="1" si="35"/>
        <v>0.71517423642202427</v>
      </c>
    </row>
    <row r="222" spans="2:15">
      <c r="C222" s="3889" t="s">
        <v>266</v>
      </c>
      <c r="D222" s="3889" t="s">
        <v>267</v>
      </c>
      <c r="E222" s="3889" t="s">
        <v>307</v>
      </c>
      <c r="F222" s="2919">
        <f t="shared" ref="F222:N222" ca="1" si="36">SUMPRODUCT(F$63:F$64,F$133:F$134)</f>
        <v>2.3096418457993682E-2</v>
      </c>
      <c r="G222" s="2919">
        <f t="shared" ca="1" si="36"/>
        <v>2.3127739044292356E-2</v>
      </c>
      <c r="H222" s="2919">
        <f t="shared" ca="1" si="36"/>
        <v>2.309051205897595E-2</v>
      </c>
      <c r="I222" s="2919">
        <f t="shared" ca="1" si="36"/>
        <v>2.2734545542645167E-2</v>
      </c>
      <c r="J222" s="2919">
        <f t="shared" ca="1" si="36"/>
        <v>6.1225460663104671E-3</v>
      </c>
      <c r="K222" s="2919">
        <f t="shared" ca="1" si="36"/>
        <v>6.1225460663104671E-3</v>
      </c>
      <c r="L222" s="2919">
        <f t="shared" ca="1" si="36"/>
        <v>6.1225460663104671E-3</v>
      </c>
      <c r="M222" s="2919">
        <f t="shared" ca="1" si="36"/>
        <v>6.1225460663104671E-3</v>
      </c>
      <c r="N222" s="2919">
        <f t="shared" ca="1" si="36"/>
        <v>6.1225460663104671E-3</v>
      </c>
    </row>
    <row r="224" spans="2:15" ht="15.75">
      <c r="B224" s="1357" t="s">
        <v>995</v>
      </c>
      <c r="C224" s="1644"/>
      <c r="D224" s="1644"/>
      <c r="E224" s="1644"/>
      <c r="F224" s="1644"/>
      <c r="G224" s="1644"/>
      <c r="H224" s="1644"/>
      <c r="I224" s="1644"/>
      <c r="J224" s="1644"/>
      <c r="K224" s="1644"/>
      <c r="L224" s="1644"/>
      <c r="M224" s="1644"/>
      <c r="N224" s="1644"/>
      <c r="O224" s="1644"/>
    </row>
    <row r="225" spans="2:15">
      <c r="B225" s="1358"/>
      <c r="C225" s="1358"/>
      <c r="D225" s="1358"/>
      <c r="E225" s="1358"/>
      <c r="F225" s="1358"/>
      <c r="G225" s="1358"/>
      <c r="H225" s="1358"/>
      <c r="I225" s="1358"/>
      <c r="J225" s="1358"/>
      <c r="K225" s="1358"/>
      <c r="L225" s="1358"/>
      <c r="M225" s="1358"/>
      <c r="N225" s="1358"/>
      <c r="O225" s="1358"/>
    </row>
    <row r="226" spans="2:15">
      <c r="B226" s="1358"/>
      <c r="C226" s="2926" t="s">
        <v>28</v>
      </c>
      <c r="D226" s="2927" t="s">
        <v>29</v>
      </c>
      <c r="E226" s="2927" t="s">
        <v>306</v>
      </c>
      <c r="F226" s="2927" t="s">
        <v>597</v>
      </c>
      <c r="G226" s="2927" t="s">
        <v>133</v>
      </c>
      <c r="H226" s="2927" t="s">
        <v>134</v>
      </c>
      <c r="I226" s="2927" t="s">
        <v>135</v>
      </c>
      <c r="J226" s="2927" t="s">
        <v>136</v>
      </c>
      <c r="K226" s="2927" t="s">
        <v>137</v>
      </c>
      <c r="L226" s="2927" t="s">
        <v>138</v>
      </c>
      <c r="M226" s="2927" t="s">
        <v>139</v>
      </c>
      <c r="N226" s="2928" t="s">
        <v>140</v>
      </c>
      <c r="O226" s="1358"/>
    </row>
    <row r="227" spans="2:15">
      <c r="B227" s="1358"/>
      <c r="C227" s="1648" t="s">
        <v>260</v>
      </c>
      <c r="D227" s="1649" t="s">
        <v>261</v>
      </c>
      <c r="E227" s="1650" t="s">
        <v>307</v>
      </c>
      <c r="F227" s="2955">
        <f t="shared" ref="F227:N230" ca="1" si="37">F219</f>
        <v>1.2475206316513682E-2</v>
      </c>
      <c r="G227" s="2955">
        <f t="shared" ca="1" si="37"/>
        <v>1.3491765364883236E-2</v>
      </c>
      <c r="H227" s="2955">
        <f t="shared" ca="1" si="37"/>
        <v>1.3642773346822124E-2</v>
      </c>
      <c r="I227" s="2955">
        <f t="shared" ca="1" si="37"/>
        <v>1.5086720118554088E-2</v>
      </c>
      <c r="J227" s="2955">
        <f t="shared" ca="1" si="37"/>
        <v>1.5086720118554088E-2</v>
      </c>
      <c r="K227" s="2955">
        <f t="shared" ca="1" si="37"/>
        <v>1.5086720118554088E-2</v>
      </c>
      <c r="L227" s="2955">
        <f t="shared" ca="1" si="37"/>
        <v>1.5086720118554088E-2</v>
      </c>
      <c r="M227" s="2955">
        <f t="shared" ca="1" si="37"/>
        <v>1.5086720118554088E-2</v>
      </c>
      <c r="N227" s="2955">
        <f t="shared" ca="1" si="37"/>
        <v>1.5086720118554088E-2</v>
      </c>
      <c r="O227" s="1358"/>
    </row>
    <row r="228" spans="2:15">
      <c r="B228" s="1358"/>
      <c r="C228" s="1648" t="s">
        <v>262</v>
      </c>
      <c r="D228" s="1649" t="s">
        <v>263</v>
      </c>
      <c r="E228" s="1650" t="s">
        <v>307</v>
      </c>
      <c r="F228" s="2955">
        <f t="shared" ca="1" si="37"/>
        <v>0.48872304006508932</v>
      </c>
      <c r="G228" s="2955">
        <f t="shared" ca="1" si="37"/>
        <v>0.73631515036938189</v>
      </c>
      <c r="H228" s="2955">
        <f t="shared" ca="1" si="37"/>
        <v>0.72197350457519038</v>
      </c>
      <c r="I228" s="2955">
        <f t="shared" ca="1" si="37"/>
        <v>0.71400472908306656</v>
      </c>
      <c r="J228" s="2955">
        <f t="shared" ca="1" si="37"/>
        <v>0.7138179228714655</v>
      </c>
      <c r="K228" s="2955">
        <f t="shared" ca="1" si="37"/>
        <v>0.7138179228714655</v>
      </c>
      <c r="L228" s="2955">
        <f t="shared" ca="1" si="37"/>
        <v>0.7138179228714655</v>
      </c>
      <c r="M228" s="2955">
        <f t="shared" ca="1" si="37"/>
        <v>0.7138179228714655</v>
      </c>
      <c r="N228" s="2955">
        <f t="shared" ca="1" si="37"/>
        <v>0.7138179228714655</v>
      </c>
      <c r="O228" s="1358"/>
    </row>
    <row r="229" spans="2:15">
      <c r="B229" s="1358"/>
      <c r="C229" s="1648" t="s">
        <v>264</v>
      </c>
      <c r="D229" s="1649" t="s">
        <v>265</v>
      </c>
      <c r="E229" s="1650" t="s">
        <v>307</v>
      </c>
      <c r="F229" s="2955">
        <f t="shared" ca="1" si="37"/>
        <v>0.64171226283607841</v>
      </c>
      <c r="G229" s="2955">
        <f t="shared" ca="1" si="37"/>
        <v>0.62506671575597739</v>
      </c>
      <c r="H229" s="2955">
        <f t="shared" ca="1" si="37"/>
        <v>0.6335979639446675</v>
      </c>
      <c r="I229" s="2955">
        <f t="shared" ca="1" si="37"/>
        <v>0.71517423642202427</v>
      </c>
      <c r="J229" s="2955">
        <f t="shared" ca="1" si="37"/>
        <v>0.71517423642202427</v>
      </c>
      <c r="K229" s="2955">
        <f t="shared" ca="1" si="37"/>
        <v>0.71517423642202427</v>
      </c>
      <c r="L229" s="2955">
        <f t="shared" ca="1" si="37"/>
        <v>0.71517423642202427</v>
      </c>
      <c r="M229" s="2955">
        <f t="shared" ca="1" si="37"/>
        <v>0.71517423642202427</v>
      </c>
      <c r="N229" s="2955">
        <f t="shared" ca="1" si="37"/>
        <v>0.71517423642202427</v>
      </c>
      <c r="O229" s="1358"/>
    </row>
    <row r="230" spans="2:15">
      <c r="B230" s="1358"/>
      <c r="C230" s="1652" t="s">
        <v>266</v>
      </c>
      <c r="D230" s="1649" t="s">
        <v>267</v>
      </c>
      <c r="E230" s="1650" t="s">
        <v>307</v>
      </c>
      <c r="F230" s="2955">
        <f t="shared" ca="1" si="37"/>
        <v>2.3096418457993682E-2</v>
      </c>
      <c r="G230" s="2955">
        <f t="shared" ca="1" si="37"/>
        <v>2.3127739044292356E-2</v>
      </c>
      <c r="H230" s="2955">
        <f t="shared" ca="1" si="37"/>
        <v>2.309051205897595E-2</v>
      </c>
      <c r="I230" s="2955">
        <f t="shared" ca="1" si="37"/>
        <v>2.2734545542645167E-2</v>
      </c>
      <c r="J230" s="2955">
        <f t="shared" ca="1" si="37"/>
        <v>6.1225460663104671E-3</v>
      </c>
      <c r="K230" s="2955">
        <f t="shared" ca="1" si="37"/>
        <v>6.1225460663104671E-3</v>
      </c>
      <c r="L230" s="2955">
        <f t="shared" ca="1" si="37"/>
        <v>6.1225460663104671E-3</v>
      </c>
      <c r="M230" s="2955">
        <f t="shared" ca="1" si="37"/>
        <v>6.1225460663104671E-3</v>
      </c>
      <c r="N230" s="2955">
        <f t="shared" ca="1" si="37"/>
        <v>6.1225460663104671E-3</v>
      </c>
      <c r="O230" s="1358"/>
    </row>
    <row r="231" spans="2:15">
      <c r="B231" s="1358"/>
      <c r="C231" s="1358"/>
      <c r="D231" s="1358"/>
      <c r="E231" s="1358"/>
      <c r="F231" s="1358"/>
      <c r="G231" s="1358"/>
      <c r="H231" s="1358"/>
      <c r="I231" s="1358"/>
      <c r="J231" s="1358"/>
      <c r="K231" s="1358"/>
      <c r="L231" s="1358"/>
      <c r="M231" s="1358"/>
      <c r="N231" s="1358"/>
      <c r="O231" s="1358"/>
    </row>
    <row r="728" spans="6:15">
      <c r="O728" s="3889">
        <v>0</v>
      </c>
    </row>
    <row r="729" spans="6:15">
      <c r="O729" s="3889">
        <v>0</v>
      </c>
    </row>
    <row r="730" spans="6:15">
      <c r="F730" s="3889">
        <v>0</v>
      </c>
      <c r="G730" s="3889">
        <v>0</v>
      </c>
      <c r="H730" s="3889">
        <v>0</v>
      </c>
      <c r="I730" s="3889">
        <v>0</v>
      </c>
      <c r="J730" s="3889">
        <v>0</v>
      </c>
      <c r="K730" s="3889">
        <v>0</v>
      </c>
      <c r="L730" s="3889">
        <v>0</v>
      </c>
      <c r="M730" s="3889">
        <v>0</v>
      </c>
      <c r="N730" s="3889">
        <v>0</v>
      </c>
      <c r="O730" s="3889">
        <v>0</v>
      </c>
    </row>
    <row r="731" spans="6:15">
      <c r="F731" s="3889">
        <v>0</v>
      </c>
      <c r="G731" s="3889">
        <v>0</v>
      </c>
      <c r="H731" s="3889">
        <v>0</v>
      </c>
      <c r="I731" s="3889">
        <v>0</v>
      </c>
      <c r="J731" s="3889">
        <v>0</v>
      </c>
      <c r="K731" s="3889">
        <v>0</v>
      </c>
      <c r="L731" s="3889">
        <v>0</v>
      </c>
      <c r="M731" s="3889">
        <v>0</v>
      </c>
      <c r="N731" s="3889">
        <v>0</v>
      </c>
    </row>
    <row r="732" spans="6:15">
      <c r="F732" s="3889">
        <v>0</v>
      </c>
      <c r="G732" s="3889">
        <v>0</v>
      </c>
      <c r="H732" s="3889">
        <v>0</v>
      </c>
      <c r="I732" s="3889">
        <v>0</v>
      </c>
      <c r="J732" s="3889">
        <v>0</v>
      </c>
      <c r="K732" s="3889">
        <v>0</v>
      </c>
      <c r="L732" s="3889">
        <v>0</v>
      </c>
      <c r="M732" s="3889">
        <v>0</v>
      </c>
      <c r="N732" s="3889">
        <v>0</v>
      </c>
    </row>
  </sheetData>
  <pageMargins left="0.7" right="0.7" top="0.75" bottom="0.75" header="0.3" footer="0.3"/>
  <tableParts count="4">
    <tablePart r:id="rId1"/>
    <tablePart r:id="rId2"/>
    <tablePart r:id="rId3"/>
    <tablePart r:id="rId4"/>
  </tableParts>
</worksheet>
</file>

<file path=xl/worksheets/sheet43.xml><?xml version="1.0" encoding="utf-8"?>
<worksheet xmlns="http://schemas.openxmlformats.org/spreadsheetml/2006/main" xmlns:r="http://schemas.openxmlformats.org/officeDocument/2006/relationships">
  <sheetPr>
    <tabColor theme="9"/>
  </sheetPr>
  <dimension ref="A1:AC725"/>
  <sheetViews>
    <sheetView showGridLines="0" zoomScale="80" zoomScaleNormal="80" workbookViewId="0">
      <selection activeCell="F37" sqref="F37"/>
    </sheetView>
  </sheetViews>
  <sheetFormatPr defaultColWidth="8.85546875" defaultRowHeight="15"/>
  <cols>
    <col min="1" max="1" width="7.7109375" style="2890" customWidth="1"/>
    <col min="2" max="2" width="5.85546875" style="2890" customWidth="1"/>
    <col min="3" max="3" width="20.42578125" style="2890" customWidth="1"/>
    <col min="4" max="4" width="30.7109375" style="2890" customWidth="1"/>
    <col min="5" max="5" width="20.7109375" style="2890" customWidth="1"/>
    <col min="6" max="15" width="17.7109375" style="2890" customWidth="1"/>
    <col min="16" max="16" width="2" style="2890" customWidth="1"/>
    <col min="17" max="17" width="10.85546875" style="2890" customWidth="1"/>
    <col min="18" max="16384" width="8.85546875" style="2890"/>
  </cols>
  <sheetData>
    <row r="1" spans="1:16" ht="20.25">
      <c r="A1" s="863" t="s">
        <v>518</v>
      </c>
      <c r="B1" s="863" t="s">
        <v>519</v>
      </c>
      <c r="C1" s="863"/>
      <c r="F1" s="39" t="s">
        <v>3052</v>
      </c>
      <c r="G1" s="39"/>
      <c r="H1" s="39"/>
      <c r="I1" s="39"/>
    </row>
    <row r="2" spans="1:16" s="6" customFormat="1" ht="15.75">
      <c r="A2" s="864" t="s">
        <v>516</v>
      </c>
      <c r="B2" s="864" t="s">
        <v>517</v>
      </c>
      <c r="C2" s="864"/>
      <c r="E2" s="5"/>
      <c r="H2"/>
      <c r="I2"/>
      <c r="J2"/>
      <c r="K2"/>
      <c r="P2" s="2890"/>
    </row>
    <row r="4" spans="1:16" ht="23.25">
      <c r="A4" s="7"/>
      <c r="B4" s="511" t="s">
        <v>6</v>
      </c>
      <c r="C4" s="512"/>
      <c r="D4" s="512"/>
      <c r="E4" s="512"/>
      <c r="F4" s="512"/>
      <c r="G4" s="512"/>
      <c r="H4" s="512"/>
      <c r="I4" s="512"/>
      <c r="J4" s="512"/>
      <c r="K4" s="512"/>
      <c r="L4" s="512"/>
      <c r="M4" s="512"/>
      <c r="N4" s="512"/>
      <c r="O4" s="512"/>
    </row>
    <row r="5" spans="1:16">
      <c r="B5" s="514"/>
      <c r="C5" s="515"/>
      <c r="D5" s="515"/>
      <c r="E5" s="515"/>
      <c r="F5" s="515"/>
      <c r="G5" s="515"/>
      <c r="H5" s="515"/>
      <c r="I5" s="515"/>
      <c r="J5" s="515"/>
      <c r="K5" s="515"/>
      <c r="L5" s="515"/>
      <c r="M5" s="515"/>
      <c r="N5" s="515"/>
      <c r="O5" s="515"/>
    </row>
    <row r="6" spans="1:16">
      <c r="B6" s="514"/>
      <c r="C6" s="12"/>
      <c r="D6" s="515"/>
      <c r="E6" s="516"/>
      <c r="F6" s="515"/>
      <c r="G6" s="515"/>
      <c r="H6" s="515"/>
      <c r="I6" s="515"/>
      <c r="J6" s="515"/>
      <c r="K6" s="515"/>
      <c r="L6" s="515"/>
      <c r="M6" s="515"/>
      <c r="N6" s="515"/>
      <c r="O6" s="515"/>
    </row>
    <row r="7" spans="1:16" ht="15.75">
      <c r="B7" s="15"/>
      <c r="C7" s="515"/>
      <c r="D7" s="16" t="s">
        <v>7</v>
      </c>
      <c r="E7" s="16" t="s">
        <v>8</v>
      </c>
      <c r="F7" s="515"/>
      <c r="G7" s="515"/>
      <c r="H7" s="515"/>
      <c r="I7" s="515"/>
      <c r="J7" s="515"/>
      <c r="K7" s="515"/>
      <c r="L7" s="515"/>
      <c r="M7" s="515"/>
      <c r="N7" s="515"/>
      <c r="O7" s="515"/>
    </row>
    <row r="8" spans="1:16" ht="15.75">
      <c r="B8" s="15"/>
      <c r="C8" s="515"/>
      <c r="D8" s="868" t="s">
        <v>1269</v>
      </c>
      <c r="E8" s="868">
        <f>MIN(XV.b.Scenario,3)</f>
        <v>1</v>
      </c>
      <c r="F8" s="515"/>
      <c r="G8" s="515"/>
      <c r="H8" s="515"/>
      <c r="I8" s="515"/>
      <c r="J8" s="515"/>
      <c r="K8" s="515"/>
      <c r="L8" s="515"/>
      <c r="M8" s="515"/>
      <c r="N8" s="515"/>
      <c r="O8" s="515"/>
    </row>
    <row r="9" spans="1:16">
      <c r="B9" s="1252"/>
      <c r="C9" s="869"/>
      <c r="D9" s="869"/>
      <c r="E9" s="869"/>
      <c r="F9" s="869"/>
      <c r="G9" s="869"/>
      <c r="H9" s="869"/>
      <c r="I9" s="869"/>
      <c r="J9" s="869"/>
      <c r="K9" s="869"/>
      <c r="L9" s="869"/>
      <c r="M9" s="869"/>
      <c r="N9" s="869"/>
      <c r="O9" s="869"/>
    </row>
    <row r="11" spans="1:16" s="6" customFormat="1" ht="23.25">
      <c r="A11" s="40"/>
      <c r="B11" s="878" t="s">
        <v>33</v>
      </c>
      <c r="C11" s="879"/>
      <c r="D11" s="879"/>
      <c r="E11" s="879"/>
      <c r="F11" s="879"/>
      <c r="G11" s="879"/>
      <c r="H11" s="879"/>
      <c r="I11" s="879"/>
      <c r="J11" s="879"/>
      <c r="K11" s="879"/>
      <c r="L11" s="879"/>
      <c r="M11" s="879"/>
      <c r="N11" s="879"/>
      <c r="O11" s="880"/>
      <c r="P11" s="2890"/>
    </row>
    <row r="12" spans="1:16">
      <c r="B12" s="110"/>
      <c r="C12" s="67"/>
      <c r="D12" s="67"/>
      <c r="E12" s="67"/>
      <c r="F12" s="67"/>
      <c r="G12" s="67"/>
      <c r="H12" s="67"/>
      <c r="I12" s="67"/>
      <c r="J12" s="67"/>
      <c r="K12" s="67"/>
      <c r="L12" s="67"/>
      <c r="M12" s="67"/>
      <c r="N12" s="67"/>
      <c r="O12" s="885"/>
    </row>
    <row r="13" spans="1:16">
      <c r="B13" s="45"/>
      <c r="C13" s="122" t="s">
        <v>2349</v>
      </c>
      <c r="D13" s="67"/>
      <c r="E13" s="51"/>
      <c r="F13" s="67"/>
      <c r="G13" s="67"/>
      <c r="H13" s="67"/>
      <c r="I13" s="67"/>
      <c r="J13" s="67"/>
      <c r="K13" s="67"/>
      <c r="L13" s="67"/>
      <c r="M13" s="67"/>
      <c r="N13" s="51" t="str">
        <f>Preferences.EnergyUnits</f>
        <v>TWh</v>
      </c>
      <c r="O13" s="885"/>
    </row>
    <row r="14" spans="1:16">
      <c r="B14" s="45"/>
      <c r="C14" s="67"/>
      <c r="D14" s="67"/>
      <c r="E14" s="67"/>
      <c r="F14" s="67"/>
      <c r="G14" s="67"/>
      <c r="H14" s="67"/>
      <c r="I14" s="67"/>
      <c r="J14" s="67"/>
      <c r="K14" s="67"/>
      <c r="L14" s="67"/>
      <c r="M14" s="67"/>
      <c r="N14" s="67"/>
      <c r="O14" s="885"/>
    </row>
    <row r="15" spans="1:16" ht="15.75">
      <c r="B15" s="55"/>
      <c r="C15" s="887" t="s">
        <v>8</v>
      </c>
      <c r="D15" s="887" t="s">
        <v>72</v>
      </c>
      <c r="E15" s="887" t="s">
        <v>30</v>
      </c>
      <c r="F15" s="92">
        <v>2013</v>
      </c>
      <c r="G15" s="92">
        <v>2015</v>
      </c>
      <c r="H15" s="92">
        <v>2020</v>
      </c>
      <c r="I15" s="92">
        <v>2025</v>
      </c>
      <c r="J15" s="92">
        <v>2030</v>
      </c>
      <c r="K15" s="92">
        <v>2035</v>
      </c>
      <c r="L15" s="92">
        <v>2040</v>
      </c>
      <c r="M15" s="92">
        <v>2045</v>
      </c>
      <c r="N15" s="92">
        <v>2050</v>
      </c>
      <c r="O15" s="885"/>
    </row>
    <row r="16" spans="1:16" ht="15.75">
      <c r="B16" s="55"/>
      <c r="C16" s="46" t="s">
        <v>2318</v>
      </c>
      <c r="D16" s="108"/>
      <c r="E16" s="890"/>
      <c r="F16" s="165">
        <f>(Unit.TWh)*8.4</f>
        <v>8.4</v>
      </c>
      <c r="G16" s="165">
        <f>(Unit.TWh)*7</f>
        <v>7</v>
      </c>
      <c r="H16" s="165">
        <f>(Unit.TWh)*2</f>
        <v>2</v>
      </c>
      <c r="I16" s="165">
        <f>(Unit.TWh)*2</f>
        <v>2</v>
      </c>
      <c r="J16" s="165">
        <v>0</v>
      </c>
      <c r="K16" s="165">
        <v>0</v>
      </c>
      <c r="L16" s="165">
        <f>'Irl. Energy Balance 2013 (TWh)'!N2</f>
        <v>0</v>
      </c>
      <c r="M16" s="165">
        <f>'Irl. Energy Balance 2013 (TWh)'!O2</f>
        <v>0</v>
      </c>
      <c r="N16" s="165">
        <f>'Irl. Energy Balance 2013 (TWh)'!P2</f>
        <v>0</v>
      </c>
      <c r="O16" s="885"/>
    </row>
    <row r="17" spans="2:20" ht="15.75">
      <c r="B17" s="55"/>
      <c r="C17" s="46" t="s">
        <v>2319</v>
      </c>
      <c r="D17" s="108"/>
      <c r="E17" s="108" t="s">
        <v>5</v>
      </c>
      <c r="F17" s="165">
        <f>(Unit.TWh)*8.4</f>
        <v>8.4</v>
      </c>
      <c r="G17" s="165">
        <f>(Unit.TWh)*7</f>
        <v>7</v>
      </c>
      <c r="H17" s="165">
        <f>(Unit.TWh)*2</f>
        <v>2</v>
      </c>
      <c r="I17" s="165">
        <v>0</v>
      </c>
      <c r="J17" s="165">
        <v>0</v>
      </c>
      <c r="K17" s="165">
        <v>0</v>
      </c>
      <c r="L17" s="165">
        <v>0</v>
      </c>
      <c r="M17" s="165">
        <v>0</v>
      </c>
      <c r="N17" s="165">
        <v>0</v>
      </c>
      <c r="O17" s="885"/>
    </row>
    <row r="18" spans="2:20" ht="15.75">
      <c r="B18" s="55"/>
      <c r="C18" s="181" t="s">
        <v>2320</v>
      </c>
      <c r="D18" s="199"/>
      <c r="E18" s="199"/>
      <c r="F18" s="164">
        <f>(Unit.TWh)*8.4</f>
        <v>8.4</v>
      </c>
      <c r="G18" s="164">
        <f>(Unit.TWh)*7</f>
        <v>7</v>
      </c>
      <c r="H18" s="164">
        <f>(Unit.TWh)*2</f>
        <v>2</v>
      </c>
      <c r="I18" s="164">
        <v>0</v>
      </c>
      <c r="J18" s="164">
        <v>0</v>
      </c>
      <c r="K18" s="164">
        <v>0</v>
      </c>
      <c r="L18" s="164">
        <v>0</v>
      </c>
      <c r="M18" s="164">
        <v>0</v>
      </c>
      <c r="N18" s="164">
        <v>0</v>
      </c>
      <c r="O18" s="885"/>
    </row>
    <row r="19" spans="2:20" ht="15.75">
      <c r="B19" s="55"/>
      <c r="C19" s="926" t="s">
        <v>37</v>
      </c>
      <c r="D19" s="199"/>
      <c r="E19" s="199"/>
      <c r="F19" s="352">
        <f t="shared" ref="F19:N19" si="0">(INDEX(F$16:F$18,ROUNDDOWN($E$8,0))*(1-MOD($E$8,1)))+(INDEX(F$16:F$18,ROUNDUP($E$8,0))*MOD($E$8,1))</f>
        <v>8.4</v>
      </c>
      <c r="G19" s="1445">
        <f t="shared" si="0"/>
        <v>7</v>
      </c>
      <c r="H19" s="352">
        <f t="shared" si="0"/>
        <v>2</v>
      </c>
      <c r="I19" s="352">
        <f t="shared" si="0"/>
        <v>2</v>
      </c>
      <c r="J19" s="352">
        <f t="shared" si="0"/>
        <v>0</v>
      </c>
      <c r="K19" s="352">
        <f t="shared" si="0"/>
        <v>0</v>
      </c>
      <c r="L19" s="352">
        <f t="shared" si="0"/>
        <v>0</v>
      </c>
      <c r="M19" s="352">
        <f t="shared" si="0"/>
        <v>0</v>
      </c>
      <c r="N19" s="352">
        <f t="shared" si="0"/>
        <v>0</v>
      </c>
      <c r="O19" s="885"/>
    </row>
    <row r="20" spans="2:20">
      <c r="B20" s="110"/>
      <c r="C20" s="67"/>
      <c r="D20" s="67"/>
      <c r="E20" s="67"/>
      <c r="F20" s="67"/>
      <c r="G20" s="67"/>
      <c r="H20" s="67"/>
      <c r="I20" s="67"/>
      <c r="J20" s="67"/>
      <c r="K20" s="67"/>
      <c r="L20" s="67"/>
      <c r="M20" s="67"/>
      <c r="N20" s="67"/>
      <c r="O20" s="885"/>
    </row>
    <row r="21" spans="2:20">
      <c r="B21" s="45"/>
      <c r="C21" s="122" t="s">
        <v>377</v>
      </c>
      <c r="D21" s="67"/>
      <c r="E21" s="51"/>
      <c r="F21" s="67"/>
      <c r="G21" s="67"/>
      <c r="H21" s="67"/>
      <c r="I21" s="67"/>
      <c r="J21" s="67"/>
      <c r="K21" s="67"/>
      <c r="L21" s="67"/>
      <c r="M21" s="67"/>
      <c r="N21" s="51" t="str">
        <f>Preferences.EnergyUnits</f>
        <v>TWh</v>
      </c>
      <c r="O21" s="885"/>
    </row>
    <row r="22" spans="2:20">
      <c r="B22" s="45"/>
      <c r="C22" s="67"/>
      <c r="D22" s="67"/>
      <c r="E22" s="67"/>
      <c r="F22" s="67"/>
      <c r="G22" s="67"/>
      <c r="H22" s="67"/>
      <c r="I22" s="67"/>
      <c r="J22" s="67"/>
      <c r="K22" s="67"/>
      <c r="L22" s="67"/>
      <c r="M22" s="67"/>
      <c r="N22" s="67"/>
      <c r="O22" s="885"/>
    </row>
    <row r="23" spans="2:20" ht="15.75">
      <c r="B23" s="55"/>
      <c r="C23" s="887" t="s">
        <v>8</v>
      </c>
      <c r="D23" s="887" t="s">
        <v>72</v>
      </c>
      <c r="E23" s="887" t="s">
        <v>30</v>
      </c>
      <c r="F23" s="92">
        <v>2013</v>
      </c>
      <c r="G23" s="92">
        <v>2015</v>
      </c>
      <c r="H23" s="92">
        <v>2020</v>
      </c>
      <c r="I23" s="92">
        <v>2025</v>
      </c>
      <c r="J23" s="92">
        <v>2030</v>
      </c>
      <c r="K23" s="92">
        <v>2035</v>
      </c>
      <c r="L23" s="92">
        <v>2040</v>
      </c>
      <c r="M23" s="92">
        <v>2045</v>
      </c>
      <c r="N23" s="92">
        <v>2050</v>
      </c>
      <c r="O23" s="885"/>
    </row>
    <row r="24" spans="2:20" ht="15.75">
      <c r="B24" s="55"/>
      <c r="C24" s="46" t="s">
        <v>2318</v>
      </c>
      <c r="D24" s="108"/>
      <c r="E24" s="890"/>
      <c r="F24" s="165">
        <v>0</v>
      </c>
      <c r="G24" s="165">
        <v>0</v>
      </c>
      <c r="H24" s="165">
        <v>0</v>
      </c>
      <c r="I24" s="165">
        <v>0</v>
      </c>
      <c r="J24" s="165">
        <v>0</v>
      </c>
      <c r="K24" s="165">
        <v>0</v>
      </c>
      <c r="L24" s="165">
        <v>0</v>
      </c>
      <c r="M24" s="165">
        <v>0</v>
      </c>
      <c r="N24" s="165">
        <v>0</v>
      </c>
      <c r="O24" s="885"/>
    </row>
    <row r="25" spans="2:20" ht="15.75">
      <c r="B25" s="55"/>
      <c r="C25" s="46" t="s">
        <v>2319</v>
      </c>
      <c r="D25" s="108"/>
      <c r="E25" s="108"/>
      <c r="F25" s="165">
        <v>0</v>
      </c>
      <c r="G25" s="165">
        <v>0</v>
      </c>
      <c r="H25" s="165">
        <v>0</v>
      </c>
      <c r="I25" s="165">
        <v>0</v>
      </c>
      <c r="J25" s="165">
        <v>0</v>
      </c>
      <c r="K25" s="165">
        <v>0</v>
      </c>
      <c r="L25" s="165">
        <v>0</v>
      </c>
      <c r="M25" s="165">
        <v>0</v>
      </c>
      <c r="N25" s="165">
        <v>0</v>
      </c>
      <c r="O25" s="885"/>
    </row>
    <row r="26" spans="2:20" ht="15.75">
      <c r="B26" s="55"/>
      <c r="C26" s="181" t="s">
        <v>2320</v>
      </c>
      <c r="D26" s="199"/>
      <c r="E26" s="199"/>
      <c r="F26" s="164">
        <v>0</v>
      </c>
      <c r="G26" s="164">
        <v>0</v>
      </c>
      <c r="H26" s="164">
        <v>0</v>
      </c>
      <c r="I26" s="164">
        <v>0</v>
      </c>
      <c r="J26" s="164">
        <v>0</v>
      </c>
      <c r="K26" s="164">
        <v>0</v>
      </c>
      <c r="L26" s="164">
        <v>0</v>
      </c>
      <c r="M26" s="164">
        <v>0</v>
      </c>
      <c r="N26" s="164">
        <v>0</v>
      </c>
      <c r="O26" s="885"/>
    </row>
    <row r="27" spans="2:20" ht="15.75">
      <c r="B27" s="55"/>
      <c r="C27" s="926" t="s">
        <v>37</v>
      </c>
      <c r="D27" s="199"/>
      <c r="E27" s="199"/>
      <c r="F27" s="352">
        <f>(INDEX(F$24:F$26,ROUNDDOWN($E$8,0))*(1-MOD($E$8,1)))+(INDEX(F$24:F$26,ROUNDUP($E$8,0))*MOD($E$8,1))</f>
        <v>0</v>
      </c>
      <c r="G27" s="1445">
        <f t="shared" ref="G27:N27" si="1">(INDEX(G$24:G$26,ROUNDDOWN($E$8,0))*(1-MOD($E$8,1)))+(INDEX(G$24:G$26,ROUNDUP($E$8,0))*MOD($E$8,1))</f>
        <v>0</v>
      </c>
      <c r="H27" s="352">
        <f t="shared" si="1"/>
        <v>0</v>
      </c>
      <c r="I27" s="352">
        <f t="shared" si="1"/>
        <v>0</v>
      </c>
      <c r="J27" s="352">
        <f t="shared" si="1"/>
        <v>0</v>
      </c>
      <c r="K27" s="352">
        <f t="shared" si="1"/>
        <v>0</v>
      </c>
      <c r="L27" s="352">
        <f t="shared" si="1"/>
        <v>0</v>
      </c>
      <c r="M27" s="352">
        <f t="shared" si="1"/>
        <v>0</v>
      </c>
      <c r="N27" s="352">
        <f t="shared" si="1"/>
        <v>0</v>
      </c>
      <c r="O27" s="885"/>
    </row>
    <row r="28" spans="2:20">
      <c r="B28" s="110"/>
      <c r="C28" s="67"/>
      <c r="D28" s="67"/>
      <c r="E28" s="67"/>
      <c r="F28" s="67"/>
      <c r="G28" s="67"/>
      <c r="H28" s="67"/>
      <c r="I28" s="67"/>
      <c r="J28" s="67"/>
      <c r="K28" s="67"/>
      <c r="L28" s="67"/>
      <c r="M28" s="67"/>
      <c r="N28" s="67"/>
      <c r="O28" s="885"/>
    </row>
    <row r="29" spans="2:20">
      <c r="B29" s="45"/>
      <c r="C29" s="122" t="s">
        <v>2321</v>
      </c>
      <c r="D29" s="67"/>
      <c r="E29" s="51"/>
      <c r="F29" s="67"/>
      <c r="G29" s="67"/>
      <c r="H29" s="67"/>
      <c r="I29" s="67" t="s">
        <v>5</v>
      </c>
      <c r="J29" s="67"/>
      <c r="K29" s="67"/>
      <c r="L29" s="67"/>
      <c r="M29" s="67"/>
      <c r="N29" s="51" t="str">
        <f>Preferences.EnergyUnits</f>
        <v>TWh</v>
      </c>
      <c r="O29" s="885"/>
    </row>
    <row r="30" spans="2:20">
      <c r="B30" s="45"/>
      <c r="C30" s="67"/>
      <c r="D30" s="67"/>
      <c r="E30" s="67"/>
      <c r="F30" s="67"/>
      <c r="G30" s="67"/>
      <c r="H30" s="67"/>
      <c r="I30" s="67"/>
      <c r="J30" s="67"/>
      <c r="K30" s="67"/>
      <c r="L30" s="67"/>
      <c r="M30" s="67"/>
      <c r="N30" s="67"/>
      <c r="O30" s="885"/>
      <c r="R30"/>
      <c r="S30"/>
      <c r="T30"/>
    </row>
    <row r="31" spans="2:20" ht="15.75">
      <c r="B31" s="55"/>
      <c r="C31" s="887" t="s">
        <v>8</v>
      </c>
      <c r="D31" s="887" t="s">
        <v>72</v>
      </c>
      <c r="E31" s="887" t="s">
        <v>30</v>
      </c>
      <c r="F31" s="92">
        <v>2013</v>
      </c>
      <c r="G31" s="92">
        <v>2015</v>
      </c>
      <c r="H31" s="92">
        <v>2020</v>
      </c>
      <c r="I31" s="92">
        <v>2025</v>
      </c>
      <c r="J31" s="92">
        <v>2030</v>
      </c>
      <c r="K31" s="92">
        <v>2035</v>
      </c>
      <c r="L31" s="92">
        <v>2040</v>
      </c>
      <c r="M31" s="92">
        <v>2045</v>
      </c>
      <c r="N31" s="92">
        <v>2050</v>
      </c>
      <c r="O31" s="885"/>
      <c r="R31"/>
      <c r="S31"/>
      <c r="T31"/>
    </row>
    <row r="32" spans="2:20" ht="15.75">
      <c r="B32" s="55"/>
      <c r="C32" s="46" t="s">
        <v>2318</v>
      </c>
      <c r="D32" s="108"/>
      <c r="E32" s="890"/>
      <c r="F32" s="165">
        <v>0</v>
      </c>
      <c r="G32" s="165">
        <f>(Unit.TWh)*1.75552825141302</f>
        <v>1.7555282514130199</v>
      </c>
      <c r="H32" s="165">
        <f>(Unit.TWh)*35</f>
        <v>35</v>
      </c>
      <c r="I32" s="165">
        <f>(Unit.TWh)*10</f>
        <v>10</v>
      </c>
      <c r="J32" s="165">
        <v>0</v>
      </c>
      <c r="K32" s="165">
        <v>0</v>
      </c>
      <c r="L32" s="165">
        <v>0</v>
      </c>
      <c r="M32" s="165">
        <v>0</v>
      </c>
      <c r="N32" s="165">
        <v>0</v>
      </c>
      <c r="O32" s="885"/>
      <c r="R32"/>
      <c r="S32"/>
      <c r="T32"/>
    </row>
    <row r="33" spans="1:18" ht="15.75">
      <c r="B33" s="55"/>
      <c r="C33" s="46" t="s">
        <v>2319</v>
      </c>
      <c r="D33" s="108"/>
      <c r="E33" s="108"/>
      <c r="F33" s="165">
        <v>0</v>
      </c>
      <c r="G33" s="165">
        <f>(Unit.TWh)*1.75552825141302</f>
        <v>1.7555282514130199</v>
      </c>
      <c r="H33" s="165">
        <f>(Unit.TWh)*35</f>
        <v>35</v>
      </c>
      <c r="I33" s="165">
        <f>(Unit.TWh)*10</f>
        <v>10</v>
      </c>
      <c r="J33" s="165">
        <v>0</v>
      </c>
      <c r="K33" s="165">
        <v>0</v>
      </c>
      <c r="L33" s="165">
        <v>0</v>
      </c>
      <c r="M33" s="165">
        <v>0</v>
      </c>
      <c r="N33" s="165">
        <v>0</v>
      </c>
      <c r="O33" s="885"/>
    </row>
    <row r="34" spans="1:18" ht="15.75">
      <c r="B34" s="55"/>
      <c r="C34" s="181" t="s">
        <v>2320</v>
      </c>
      <c r="D34" s="199"/>
      <c r="E34" s="199"/>
      <c r="F34" s="164">
        <v>0</v>
      </c>
      <c r="G34" s="164">
        <f>(Unit.TWh)*1.75552825141302</f>
        <v>1.7555282514130199</v>
      </c>
      <c r="H34" s="164">
        <f>(Unit.TWh)*35</f>
        <v>35</v>
      </c>
      <c r="I34" s="164">
        <f>(Unit.TWh)*10</f>
        <v>10</v>
      </c>
      <c r="J34" s="164">
        <v>0</v>
      </c>
      <c r="K34" s="164">
        <v>0</v>
      </c>
      <c r="L34" s="164">
        <v>0</v>
      </c>
      <c r="M34" s="164">
        <v>0</v>
      </c>
      <c r="N34" s="164">
        <v>0</v>
      </c>
      <c r="O34" s="885"/>
    </row>
    <row r="35" spans="1:18" ht="15.75">
      <c r="B35" s="55"/>
      <c r="C35" s="926" t="s">
        <v>37</v>
      </c>
      <c r="D35" s="199"/>
      <c r="E35" s="199"/>
      <c r="F35" s="352">
        <v>0</v>
      </c>
      <c r="G35" s="352">
        <f>(INDEX(G$32:G$34,ROUNDDOWN($E$8,0))*(1-MOD($E$8,1)))+(INDEX(G$32:G$34,ROUNDUP($E$8,0))*MOD($E$8,1))</f>
        <v>1.7555282514130199</v>
      </c>
      <c r="H35" s="1445">
        <f t="shared" ref="H35:N35" si="2">(INDEX(H$32:H$34,ROUNDDOWN($E$8,0))*(1-MOD($E$8,1)))+(INDEX(H$32:H$34,ROUNDUP($E$8,0))*MOD($E$8,1))</f>
        <v>35</v>
      </c>
      <c r="I35" s="352">
        <f t="shared" si="2"/>
        <v>10</v>
      </c>
      <c r="J35" s="352">
        <f t="shared" si="2"/>
        <v>0</v>
      </c>
      <c r="K35" s="352">
        <f t="shared" si="2"/>
        <v>0</v>
      </c>
      <c r="L35" s="352">
        <f t="shared" si="2"/>
        <v>0</v>
      </c>
      <c r="M35" s="352">
        <f t="shared" si="2"/>
        <v>0</v>
      </c>
      <c r="N35" s="352">
        <f t="shared" si="2"/>
        <v>0</v>
      </c>
      <c r="O35" s="885"/>
    </row>
    <row r="36" spans="1:18">
      <c r="B36" s="110"/>
      <c r="C36" s="67"/>
      <c r="D36" s="67"/>
      <c r="E36" s="67"/>
      <c r="F36" s="67"/>
      <c r="G36" s="67"/>
      <c r="H36" s="67"/>
      <c r="I36" s="67"/>
      <c r="J36" s="67"/>
      <c r="K36" s="67"/>
      <c r="L36" s="67"/>
      <c r="M36" s="67"/>
      <c r="N36" s="67"/>
      <c r="O36" s="885"/>
    </row>
    <row r="37" spans="1:18">
      <c r="B37" s="45"/>
      <c r="C37" s="930"/>
      <c r="D37" s="200"/>
      <c r="E37" s="67"/>
      <c r="F37" s="67"/>
      <c r="G37" s="67"/>
      <c r="H37" s="67"/>
      <c r="I37" s="67"/>
      <c r="J37" s="67"/>
      <c r="K37" s="67"/>
      <c r="L37" s="67"/>
      <c r="M37" s="67"/>
      <c r="N37" s="67"/>
      <c r="O37" s="885"/>
    </row>
    <row r="39" spans="1:18" s="6" customFormat="1" ht="23.25">
      <c r="A39" s="40"/>
      <c r="B39" s="878" t="s">
        <v>178</v>
      </c>
      <c r="C39" s="879"/>
      <c r="D39" s="879"/>
      <c r="E39" s="879"/>
      <c r="F39" s="879"/>
      <c r="G39" s="879"/>
      <c r="H39" s="879"/>
      <c r="I39" s="879"/>
      <c r="J39" s="879"/>
      <c r="K39" s="879"/>
      <c r="L39" s="879"/>
      <c r="M39" s="879"/>
      <c r="N39" s="879"/>
      <c r="O39" s="880"/>
      <c r="P39" s="2890"/>
    </row>
    <row r="40" spans="1:18">
      <c r="B40" s="110"/>
      <c r="C40" s="67"/>
      <c r="D40" s="67"/>
      <c r="E40" s="67"/>
      <c r="F40" s="67"/>
      <c r="G40" s="67"/>
      <c r="H40" s="67"/>
      <c r="I40" s="67"/>
      <c r="J40" s="67"/>
      <c r="K40" s="67"/>
      <c r="L40" s="67"/>
      <c r="M40" s="67"/>
      <c r="N40" s="67"/>
      <c r="O40" s="885"/>
    </row>
    <row r="41" spans="1:18">
      <c r="B41" s="110"/>
      <c r="C41" s="49" t="s">
        <v>3161</v>
      </c>
      <c r="D41" s="67"/>
      <c r="E41" s="51"/>
      <c r="F41" s="67"/>
      <c r="G41" s="67"/>
      <c r="H41" s="67"/>
      <c r="I41" s="67"/>
      <c r="J41" s="67"/>
      <c r="K41" s="67"/>
      <c r="L41" s="67"/>
      <c r="M41" s="67" t="s">
        <v>5</v>
      </c>
      <c r="N41" s="51" t="str">
        <f>Preferences.EnergyUnits</f>
        <v>TWh</v>
      </c>
      <c r="O41" s="885"/>
    </row>
    <row r="42" spans="1:18">
      <c r="B42" s="110"/>
      <c r="C42" s="67"/>
      <c r="D42" s="67"/>
      <c r="E42" s="67"/>
      <c r="F42" s="67"/>
      <c r="G42" s="67"/>
      <c r="H42" s="67"/>
      <c r="I42" s="67"/>
      <c r="J42" s="67"/>
      <c r="K42" s="67"/>
      <c r="L42" s="67"/>
      <c r="M42" s="67"/>
      <c r="N42" s="67"/>
      <c r="O42" s="885"/>
    </row>
    <row r="43" spans="1:18" ht="15.75">
      <c r="B43" s="55"/>
      <c r="C43" s="887" t="s">
        <v>28</v>
      </c>
      <c r="D43" s="887" t="s">
        <v>29</v>
      </c>
      <c r="E43" s="887" t="s">
        <v>30</v>
      </c>
      <c r="F43" s="92">
        <v>2013</v>
      </c>
      <c r="G43" s="92">
        <v>2015</v>
      </c>
      <c r="H43" s="92">
        <v>2020</v>
      </c>
      <c r="I43" s="92">
        <v>2025</v>
      </c>
      <c r="J43" s="92">
        <v>2030</v>
      </c>
      <c r="K43" s="92">
        <v>2035</v>
      </c>
      <c r="L43" s="92">
        <v>2040</v>
      </c>
      <c r="M43" s="92">
        <v>2045</v>
      </c>
      <c r="N43" s="92">
        <v>2050</v>
      </c>
      <c r="O43" s="885"/>
    </row>
    <row r="44" spans="1:18" ht="15.75">
      <c r="B44" s="55"/>
      <c r="C44" s="57" t="s">
        <v>425</v>
      </c>
      <c r="D44" s="108" t="s">
        <v>1453</v>
      </c>
      <c r="E44" s="57"/>
      <c r="F44" s="60">
        <f>F19</f>
        <v>8.4</v>
      </c>
      <c r="G44" s="60">
        <f t="shared" ref="G44:N44" si="3">G19</f>
        <v>7</v>
      </c>
      <c r="H44" s="60">
        <f t="shared" si="3"/>
        <v>2</v>
      </c>
      <c r="I44" s="60">
        <f t="shared" si="3"/>
        <v>2</v>
      </c>
      <c r="J44" s="60">
        <f t="shared" si="3"/>
        <v>0</v>
      </c>
      <c r="K44" s="60">
        <f t="shared" si="3"/>
        <v>0</v>
      </c>
      <c r="L44" s="60">
        <f t="shared" si="3"/>
        <v>0</v>
      </c>
      <c r="M44" s="60">
        <f t="shared" si="3"/>
        <v>0</v>
      </c>
      <c r="N44" s="60">
        <f t="shared" si="3"/>
        <v>0</v>
      </c>
      <c r="O44" s="885"/>
      <c r="R44" s="1116"/>
    </row>
    <row r="45" spans="1:18" ht="15.75">
      <c r="B45" s="55"/>
      <c r="C45" s="57" t="s">
        <v>426</v>
      </c>
      <c r="D45" s="57" t="s">
        <v>377</v>
      </c>
      <c r="E45" s="57"/>
      <c r="F45" s="60">
        <f>F27</f>
        <v>0</v>
      </c>
      <c r="G45" s="60">
        <f t="shared" ref="G45:N45" si="4">G27</f>
        <v>0</v>
      </c>
      <c r="H45" s="60">
        <f t="shared" si="4"/>
        <v>0</v>
      </c>
      <c r="I45" s="60">
        <f t="shared" si="4"/>
        <v>0</v>
      </c>
      <c r="J45" s="60">
        <f t="shared" si="4"/>
        <v>0</v>
      </c>
      <c r="K45" s="60">
        <f t="shared" si="4"/>
        <v>0</v>
      </c>
      <c r="L45" s="60">
        <f t="shared" si="4"/>
        <v>0</v>
      </c>
      <c r="M45" s="60">
        <f t="shared" si="4"/>
        <v>0</v>
      </c>
      <c r="N45" s="60">
        <f t="shared" si="4"/>
        <v>0</v>
      </c>
      <c r="O45" s="885"/>
    </row>
    <row r="46" spans="1:18" ht="15.75">
      <c r="B46" s="55"/>
      <c r="C46" s="61" t="s">
        <v>427</v>
      </c>
      <c r="D46" s="62" t="s">
        <v>142</v>
      </c>
      <c r="E46" s="62"/>
      <c r="F46" s="129">
        <f>F35</f>
        <v>0</v>
      </c>
      <c r="G46" s="129">
        <f t="shared" ref="G46:N46" si="5">G35</f>
        <v>1.7555282514130199</v>
      </c>
      <c r="H46" s="129">
        <f t="shared" si="5"/>
        <v>35</v>
      </c>
      <c r="I46" s="129">
        <f t="shared" si="5"/>
        <v>10</v>
      </c>
      <c r="J46" s="129">
        <f t="shared" si="5"/>
        <v>0</v>
      </c>
      <c r="K46" s="129">
        <f t="shared" si="5"/>
        <v>0</v>
      </c>
      <c r="L46" s="129">
        <f t="shared" si="5"/>
        <v>0</v>
      </c>
      <c r="M46" s="129">
        <f t="shared" si="5"/>
        <v>0</v>
      </c>
      <c r="N46" s="129">
        <f t="shared" si="5"/>
        <v>0</v>
      </c>
      <c r="O46" s="885"/>
    </row>
    <row r="47" spans="1:18" ht="15.75">
      <c r="B47" s="55"/>
      <c r="C47" s="924"/>
      <c r="D47" s="924"/>
      <c r="E47" s="924"/>
      <c r="F47" s="953"/>
      <c r="G47" s="953"/>
      <c r="H47" s="953"/>
      <c r="I47" s="953"/>
      <c r="J47" s="953"/>
      <c r="K47" s="953"/>
      <c r="L47" s="953"/>
      <c r="M47" s="953"/>
      <c r="N47" s="953"/>
      <c r="O47" s="885"/>
    </row>
    <row r="48" spans="1:18">
      <c r="N48" s="3835" t="s">
        <v>5</v>
      </c>
    </row>
    <row r="49" spans="1:16" s="6" customFormat="1" ht="23.25">
      <c r="A49" s="40"/>
      <c r="B49" s="878" t="s">
        <v>70</v>
      </c>
      <c r="C49" s="879"/>
      <c r="D49" s="879"/>
      <c r="E49" s="879"/>
      <c r="F49" s="879"/>
      <c r="G49" s="879"/>
      <c r="H49" s="879"/>
      <c r="I49" s="879"/>
      <c r="J49" s="879"/>
      <c r="K49" s="879"/>
      <c r="L49" s="879"/>
      <c r="M49" s="879"/>
      <c r="N49" s="879"/>
      <c r="O49" s="880"/>
      <c r="P49" s="2890"/>
    </row>
    <row r="50" spans="1:16">
      <c r="B50" s="110"/>
      <c r="C50" s="67"/>
      <c r="D50" s="67"/>
      <c r="E50" s="67"/>
      <c r="F50" s="67"/>
      <c r="G50" s="67"/>
      <c r="H50" s="67"/>
      <c r="I50" s="67"/>
      <c r="J50" s="67"/>
      <c r="K50" s="67"/>
      <c r="L50" s="67"/>
      <c r="M50" s="67"/>
      <c r="N50" s="67"/>
      <c r="O50" s="885"/>
    </row>
    <row r="51" spans="1:16" ht="15.75">
      <c r="B51" s="55"/>
      <c r="C51" s="49" t="s">
        <v>3162</v>
      </c>
      <c r="D51" s="67"/>
      <c r="E51" s="51"/>
      <c r="F51" s="67"/>
      <c r="G51" s="67"/>
      <c r="H51" s="67"/>
      <c r="I51" s="67"/>
      <c r="J51" s="67"/>
      <c r="K51" s="67"/>
      <c r="L51" s="67"/>
      <c r="M51" s="67"/>
      <c r="N51" s="51" t="s">
        <v>2322</v>
      </c>
      <c r="O51" s="885"/>
    </row>
    <row r="52" spans="1:16" ht="15.75">
      <c r="B52" s="55"/>
      <c r="C52" s="67"/>
      <c r="D52" s="67"/>
      <c r="E52" s="67"/>
      <c r="F52" s="67"/>
      <c r="G52" s="67"/>
      <c r="H52" s="67"/>
      <c r="I52" s="67"/>
      <c r="J52" s="67"/>
      <c r="K52" s="67"/>
      <c r="L52" s="67"/>
      <c r="M52" s="67"/>
      <c r="N52" s="67"/>
      <c r="O52" s="885"/>
    </row>
    <row r="53" spans="1:16" ht="15.75">
      <c r="B53" s="55"/>
      <c r="C53" s="887" t="s">
        <v>28</v>
      </c>
      <c r="D53" s="887" t="s">
        <v>29</v>
      </c>
      <c r="E53" s="887" t="s">
        <v>30</v>
      </c>
      <c r="F53" s="92">
        <v>2013</v>
      </c>
      <c r="G53" s="92">
        <v>2015</v>
      </c>
      <c r="H53" s="92">
        <v>2020</v>
      </c>
      <c r="I53" s="92">
        <v>2025</v>
      </c>
      <c r="J53" s="92">
        <v>2030</v>
      </c>
      <c r="K53" s="92">
        <v>2035</v>
      </c>
      <c r="L53" s="92">
        <v>2040</v>
      </c>
      <c r="M53" s="92">
        <v>2045</v>
      </c>
      <c r="N53" s="92">
        <v>2050</v>
      </c>
      <c r="O53" s="885"/>
    </row>
    <row r="54" spans="1:16" ht="15.75">
      <c r="B54" s="55"/>
      <c r="C54" s="57" t="s">
        <v>96</v>
      </c>
      <c r="D54" s="57" t="s">
        <v>86</v>
      </c>
      <c r="E54" s="57"/>
      <c r="F54" s="915">
        <v>7.9024278455408197E-3</v>
      </c>
      <c r="G54" s="915">
        <v>7.9024278455408197E-3</v>
      </c>
      <c r="H54" s="915">
        <v>7.9024278455408197E-3</v>
      </c>
      <c r="I54" s="915">
        <v>7.9024278455408197E-3</v>
      </c>
      <c r="J54" s="915">
        <v>7.9024278455408197E-3</v>
      </c>
      <c r="K54" s="915">
        <v>7.9024278455408197E-3</v>
      </c>
      <c r="L54" s="915">
        <v>7.9024278455408197E-3</v>
      </c>
      <c r="M54" s="915">
        <v>7.9024278455408197E-3</v>
      </c>
      <c r="N54" s="915">
        <v>7.9024278455408197E-3</v>
      </c>
      <c r="O54" s="885"/>
    </row>
    <row r="55" spans="1:16" ht="15.75">
      <c r="B55" s="55"/>
      <c r="C55" s="108" t="s">
        <v>98</v>
      </c>
      <c r="D55" s="57" t="s">
        <v>88</v>
      </c>
      <c r="E55" s="57"/>
      <c r="F55" s="915">
        <v>3.5927666752850644E-4</v>
      </c>
      <c r="G55" s="915">
        <v>3.5927666752850644E-4</v>
      </c>
      <c r="H55" s="915">
        <v>3.5927666752850644E-4</v>
      </c>
      <c r="I55" s="915">
        <v>3.5927666752850644E-4</v>
      </c>
      <c r="J55" s="915">
        <v>3.5927666752850644E-4</v>
      </c>
      <c r="K55" s="915">
        <v>3.5927666752850644E-4</v>
      </c>
      <c r="L55" s="915">
        <v>3.5927666752850644E-4</v>
      </c>
      <c r="M55" s="915">
        <v>3.5927666752850644E-4</v>
      </c>
      <c r="N55" s="915">
        <v>3.5927666752850644E-4</v>
      </c>
      <c r="O55" s="885"/>
    </row>
    <row r="56" spans="1:16" ht="15.75">
      <c r="B56" s="55"/>
      <c r="C56" s="61" t="s">
        <v>100</v>
      </c>
      <c r="D56" s="62" t="s">
        <v>90</v>
      </c>
      <c r="E56" s="62"/>
      <c r="F56" s="1037">
        <v>7.3153653205117761E-4</v>
      </c>
      <c r="G56" s="1037">
        <v>7.3153653205117761E-4</v>
      </c>
      <c r="H56" s="1037">
        <v>7.3153653205117761E-4</v>
      </c>
      <c r="I56" s="1037">
        <v>7.3153653205117761E-4</v>
      </c>
      <c r="J56" s="1037">
        <v>7.3153653205117761E-4</v>
      </c>
      <c r="K56" s="1037">
        <v>7.3153653205117761E-4</v>
      </c>
      <c r="L56" s="1037">
        <v>7.3153653205117761E-4</v>
      </c>
      <c r="M56" s="1037">
        <v>7.3153653205117761E-4</v>
      </c>
      <c r="N56" s="1037">
        <v>7.3153653205117761E-4</v>
      </c>
      <c r="O56" s="885"/>
    </row>
    <row r="57" spans="1:16">
      <c r="B57" s="45"/>
      <c r="C57" s="65"/>
      <c r="D57" s="108"/>
      <c r="E57" s="108"/>
      <c r="F57" s="301"/>
      <c r="G57" s="301"/>
      <c r="H57" s="301"/>
      <c r="I57" s="301"/>
      <c r="J57" s="301"/>
      <c r="K57" s="301"/>
      <c r="L57" s="301"/>
      <c r="M57" s="301"/>
      <c r="N57" s="301"/>
      <c r="O57" s="885"/>
    </row>
    <row r="58" spans="1:16">
      <c r="B58" s="45"/>
      <c r="C58" s="49" t="s">
        <v>3163</v>
      </c>
      <c r="D58" s="67"/>
      <c r="E58" s="51"/>
      <c r="F58" s="67"/>
      <c r="G58" s="67"/>
      <c r="H58" s="67"/>
      <c r="I58" s="67"/>
      <c r="J58" s="67"/>
      <c r="K58" s="67"/>
      <c r="L58" s="67"/>
      <c r="M58" s="67"/>
      <c r="N58" s="51" t="s">
        <v>2322</v>
      </c>
      <c r="O58" s="885"/>
    </row>
    <row r="59" spans="1:16">
      <c r="B59" s="45"/>
      <c r="C59" s="67"/>
      <c r="D59" s="67"/>
      <c r="E59" s="67"/>
      <c r="F59" s="67"/>
      <c r="G59" s="67"/>
      <c r="H59" s="67"/>
      <c r="I59" s="67"/>
      <c r="J59" s="67"/>
      <c r="K59" s="67"/>
      <c r="L59" s="67"/>
      <c r="M59" s="67"/>
      <c r="N59" s="67"/>
      <c r="O59" s="885"/>
    </row>
    <row r="60" spans="1:16" ht="15.75">
      <c r="B60" s="55"/>
      <c r="C60" s="887" t="s">
        <v>28</v>
      </c>
      <c r="D60" s="887" t="s">
        <v>29</v>
      </c>
      <c r="E60" s="887" t="s">
        <v>30</v>
      </c>
      <c r="F60" s="909">
        <v>2013</v>
      </c>
      <c r="G60" s="909" t="s">
        <v>133</v>
      </c>
      <c r="H60" s="909" t="s">
        <v>134</v>
      </c>
      <c r="I60" s="909" t="s">
        <v>135</v>
      </c>
      <c r="J60" s="909" t="s">
        <v>136</v>
      </c>
      <c r="K60" s="909" t="s">
        <v>137</v>
      </c>
      <c r="L60" s="909" t="s">
        <v>138</v>
      </c>
      <c r="M60" s="909" t="s">
        <v>139</v>
      </c>
      <c r="N60" s="909" t="s">
        <v>140</v>
      </c>
      <c r="O60" s="885"/>
    </row>
    <row r="61" spans="1:16" ht="15.75">
      <c r="B61" s="55"/>
      <c r="C61" s="57" t="s">
        <v>96</v>
      </c>
      <c r="D61" s="57" t="s">
        <v>86</v>
      </c>
      <c r="E61" s="57"/>
      <c r="F61" s="915">
        <v>5.7422811010645301E-4</v>
      </c>
      <c r="G61" s="915">
        <v>5.7422811010645301E-4</v>
      </c>
      <c r="H61" s="915">
        <v>5.7422811010645301E-4</v>
      </c>
      <c r="I61" s="915">
        <v>5.7422811010645301E-4</v>
      </c>
      <c r="J61" s="915">
        <v>5.7422811010645301E-4</v>
      </c>
      <c r="K61" s="915">
        <v>5.7422811010645301E-4</v>
      </c>
      <c r="L61" s="915">
        <v>5.7422811010645301E-4</v>
      </c>
      <c r="M61" s="915">
        <v>5.7422811010645301E-4</v>
      </c>
      <c r="N61" s="915">
        <v>5.7422811010645301E-4</v>
      </c>
      <c r="O61" s="885"/>
    </row>
    <row r="62" spans="1:16" ht="15.75">
      <c r="B62" s="55"/>
      <c r="C62" s="61" t="s">
        <v>100</v>
      </c>
      <c r="D62" s="62" t="s">
        <v>90</v>
      </c>
      <c r="E62" s="62"/>
      <c r="F62" s="1037">
        <v>6.5816549762543738E-2</v>
      </c>
      <c r="G62" s="1037">
        <v>6.5816549762543738E-2</v>
      </c>
      <c r="H62" s="1037">
        <v>6.5816549762543738E-2</v>
      </c>
      <c r="I62" s="1037">
        <v>6.5816549762543738E-2</v>
      </c>
      <c r="J62" s="1037">
        <v>6.5816549762543738E-2</v>
      </c>
      <c r="K62" s="1037">
        <v>6.5816549762543738E-2</v>
      </c>
      <c r="L62" s="1037">
        <v>6.5816549762543738E-2</v>
      </c>
      <c r="M62" s="1037">
        <v>6.5816549762543738E-2</v>
      </c>
      <c r="N62" s="1037">
        <v>6.5816549762543738E-2</v>
      </c>
      <c r="O62" s="885"/>
    </row>
    <row r="63" spans="1:16" ht="15.75">
      <c r="B63" s="55"/>
      <c r="C63" s="65"/>
      <c r="D63" s="108"/>
      <c r="E63" s="108"/>
      <c r="F63" s="301"/>
      <c r="G63" s="301"/>
      <c r="H63" s="301"/>
      <c r="I63" s="301"/>
      <c r="J63" s="301"/>
      <c r="K63" s="301"/>
      <c r="L63" s="301"/>
      <c r="M63" s="301"/>
      <c r="N63" s="301"/>
      <c r="O63" s="885"/>
    </row>
    <row r="64" spans="1:16" ht="15.75">
      <c r="B64" s="55"/>
      <c r="C64" s="49" t="s">
        <v>3164</v>
      </c>
      <c r="D64" s="67"/>
      <c r="E64" s="51"/>
      <c r="F64" s="51" t="s">
        <v>2161</v>
      </c>
      <c r="G64" s="301"/>
      <c r="H64" s="301"/>
      <c r="I64" s="301"/>
      <c r="J64" s="301"/>
      <c r="K64" s="301"/>
      <c r="L64" s="301"/>
      <c r="M64" s="301"/>
      <c r="N64" s="301"/>
      <c r="O64" s="885"/>
    </row>
    <row r="65" spans="2:15" ht="15.75">
      <c r="B65" s="55"/>
      <c r="C65" s="67"/>
      <c r="D65" s="67"/>
      <c r="E65" s="67"/>
      <c r="F65" s="67"/>
      <c r="G65" s="301"/>
      <c r="H65" s="301"/>
      <c r="I65" s="301"/>
      <c r="J65" s="301"/>
      <c r="K65" s="301"/>
      <c r="L65" s="301"/>
      <c r="M65" s="301"/>
      <c r="N65" s="301"/>
      <c r="O65" s="885"/>
    </row>
    <row r="66" spans="2:15" ht="15.75">
      <c r="B66" s="55"/>
      <c r="C66" s="887" t="s">
        <v>28</v>
      </c>
      <c r="D66" s="887" t="s">
        <v>29</v>
      </c>
      <c r="E66" s="887" t="s">
        <v>30</v>
      </c>
      <c r="F66" s="92">
        <v>2013</v>
      </c>
      <c r="G66" s="301"/>
      <c r="H66" s="301"/>
      <c r="I66" s="301"/>
      <c r="J66" s="301"/>
      <c r="K66" s="301"/>
      <c r="L66" s="301"/>
      <c r="M66" s="301"/>
      <c r="N66" s="301"/>
      <c r="O66" s="885"/>
    </row>
    <row r="67" spans="2:15" ht="15.75">
      <c r="B67" s="55"/>
      <c r="C67" s="108" t="s">
        <v>1818</v>
      </c>
      <c r="D67" s="108" t="s">
        <v>2357</v>
      </c>
      <c r="E67" s="108"/>
      <c r="F67" s="60">
        <v>0</v>
      </c>
      <c r="G67" s="59"/>
      <c r="H67" s="301"/>
      <c r="I67" s="301"/>
      <c r="J67" s="301"/>
      <c r="K67" s="301"/>
      <c r="L67" s="301"/>
      <c r="M67" s="301"/>
      <c r="N67" s="301"/>
      <c r="O67" s="885"/>
    </row>
    <row r="68" spans="2:15" ht="15.75">
      <c r="B68" s="55"/>
      <c r="C68" s="896" t="s">
        <v>2323</v>
      </c>
      <c r="D68" s="897" t="s">
        <v>2324</v>
      </c>
      <c r="E68" s="897"/>
      <c r="F68" s="1187">
        <v>0</v>
      </c>
      <c r="G68" s="301"/>
      <c r="H68" s="301" t="s">
        <v>5</v>
      </c>
      <c r="I68" s="301"/>
      <c r="J68" s="301"/>
      <c r="K68" s="301"/>
      <c r="L68" s="301"/>
      <c r="M68" s="301"/>
      <c r="N68" s="301"/>
      <c r="O68" s="885"/>
    </row>
    <row r="69" spans="2:15" ht="15.75">
      <c r="B69" s="55"/>
      <c r="C69" s="65"/>
      <c r="D69" s="108"/>
      <c r="E69" s="108"/>
      <c r="F69" s="301"/>
      <c r="G69" s="301"/>
      <c r="H69" s="301"/>
      <c r="I69" s="301"/>
      <c r="J69" s="301"/>
      <c r="K69" s="301"/>
      <c r="L69" s="301"/>
      <c r="M69" s="301"/>
      <c r="N69" s="301"/>
      <c r="O69" s="885"/>
    </row>
    <row r="70" spans="2:15">
      <c r="B70" s="110"/>
      <c r="C70" s="49" t="s">
        <v>798</v>
      </c>
      <c r="D70" s="67"/>
      <c r="E70" s="67"/>
      <c r="F70" s="67"/>
      <c r="G70" s="67"/>
      <c r="H70" s="67"/>
      <c r="I70" s="67"/>
      <c r="J70" s="67"/>
      <c r="K70" s="67"/>
      <c r="L70" s="67"/>
      <c r="M70" s="67"/>
      <c r="N70" s="67" t="str">
        <f>"kt per "&amp;Preferences.EnergyUnits</f>
        <v>kt per TWh</v>
      </c>
      <c r="O70" s="885"/>
    </row>
    <row r="71" spans="2:15">
      <c r="B71" s="110"/>
      <c r="C71" s="67"/>
      <c r="D71" s="67"/>
      <c r="E71" s="1364"/>
      <c r="F71" s="1365"/>
      <c r="G71" s="67"/>
      <c r="H71" s="67"/>
      <c r="I71" s="67"/>
      <c r="J71" s="67"/>
      <c r="K71" s="67"/>
      <c r="L71" s="67"/>
      <c r="M71" s="67"/>
      <c r="N71" s="67"/>
      <c r="O71" s="885"/>
    </row>
    <row r="72" spans="2:15">
      <c r="B72" s="110"/>
      <c r="C72" s="887" t="s">
        <v>44</v>
      </c>
      <c r="D72" s="887" t="s">
        <v>1010</v>
      </c>
      <c r="E72" s="887" t="s">
        <v>45</v>
      </c>
      <c r="F72" s="909">
        <v>2013</v>
      </c>
      <c r="G72" s="909" t="s">
        <v>133</v>
      </c>
      <c r="H72" s="909" t="s">
        <v>134</v>
      </c>
      <c r="I72" s="909" t="s">
        <v>135</v>
      </c>
      <c r="J72" s="909" t="s">
        <v>136</v>
      </c>
      <c r="K72" s="909" t="s">
        <v>137</v>
      </c>
      <c r="L72" s="909" t="s">
        <v>138</v>
      </c>
      <c r="M72" s="909" t="s">
        <v>139</v>
      </c>
      <c r="N72" s="909" t="s">
        <v>140</v>
      </c>
      <c r="O72" s="885"/>
    </row>
    <row r="73" spans="2:15">
      <c r="B73" s="110"/>
      <c r="C73" s="57" t="s">
        <v>516</v>
      </c>
      <c r="D73" s="57" t="s">
        <v>517</v>
      </c>
      <c r="E73" s="57" t="s">
        <v>88</v>
      </c>
      <c r="F73" s="2950">
        <f>G73</f>
        <v>0.38088737201365103</v>
      </c>
      <c r="G73" s="2951">
        <f>0.380887372013651*(1/Unit.TWh)</f>
        <v>0.38088737201365103</v>
      </c>
      <c r="H73" s="2950">
        <f t="shared" ref="H73:N73" si="6">0.380887372013652*(1/Unit.TWh)</f>
        <v>0.38088737201365203</v>
      </c>
      <c r="I73" s="2950">
        <f t="shared" si="6"/>
        <v>0.38088737201365203</v>
      </c>
      <c r="J73" s="2950">
        <f t="shared" si="6"/>
        <v>0.38088737201365203</v>
      </c>
      <c r="K73" s="2950">
        <f t="shared" si="6"/>
        <v>0.38088737201365203</v>
      </c>
      <c r="L73" s="2950">
        <f t="shared" si="6"/>
        <v>0.38088737201365203</v>
      </c>
      <c r="M73" s="2950">
        <f t="shared" si="6"/>
        <v>0.38088737201365203</v>
      </c>
      <c r="N73" s="2950">
        <f t="shared" si="6"/>
        <v>0.38088737201365203</v>
      </c>
      <c r="O73" s="885"/>
    </row>
    <row r="74" spans="2:15">
      <c r="B74" s="110"/>
      <c r="C74" s="61" t="s">
        <v>516</v>
      </c>
      <c r="D74" s="62" t="s">
        <v>517</v>
      </c>
      <c r="E74" s="62" t="s">
        <v>90</v>
      </c>
      <c r="F74" s="2671">
        <f>G74</f>
        <v>3.6845933520551701E-3</v>
      </c>
      <c r="G74" s="2952">
        <f>0.00368459335205517*(1/Unit.TWh)</f>
        <v>3.6845933520551701E-3</v>
      </c>
      <c r="H74" s="2671">
        <f>0.00475052581508411*(1/Unit.TWh)</f>
        <v>4.7505258150841098E-3</v>
      </c>
      <c r="I74" s="2671">
        <f>0.00475739707736146*(1/Unit.TWh)</f>
        <v>4.7573970773614601E-3</v>
      </c>
      <c r="J74" s="2671">
        <f>0.00486863881812574*(1/Unit.TWh)</f>
        <v>4.8686388181257397E-3</v>
      </c>
      <c r="K74" s="2671">
        <f>0.00500395493366145*(1/Unit.TWh)</f>
        <v>5.0039549336614499E-3</v>
      </c>
      <c r="L74" s="2671">
        <f>0.00500395493366145*(1/Unit.TWh)</f>
        <v>5.0039549336614499E-3</v>
      </c>
      <c r="M74" s="2671">
        <f>0.00500395493366145*(1/Unit.TWh)</f>
        <v>5.0039549336614499E-3</v>
      </c>
      <c r="N74" s="2671">
        <f>0.00500395493366145*(1/Unit.TWh)</f>
        <v>5.0039549336614499E-3</v>
      </c>
      <c r="O74" s="885"/>
    </row>
    <row r="75" spans="2:15">
      <c r="B75" s="110"/>
      <c r="C75" s="67"/>
      <c r="D75" s="67"/>
      <c r="E75" s="67"/>
      <c r="F75" s="67"/>
      <c r="G75" s="67"/>
      <c r="H75" s="67"/>
      <c r="I75" s="67"/>
      <c r="J75" s="67"/>
      <c r="K75" s="67"/>
      <c r="L75" s="67"/>
      <c r="M75" s="67"/>
      <c r="N75" s="67"/>
      <c r="O75" s="885"/>
    </row>
    <row r="76" spans="2:15">
      <c r="B76" s="110"/>
      <c r="C76" s="49" t="s">
        <v>800</v>
      </c>
      <c r="D76" s="67"/>
      <c r="E76" s="67"/>
      <c r="F76" s="67"/>
      <c r="G76" s="67"/>
      <c r="H76" s="67"/>
      <c r="I76" s="67"/>
      <c r="J76" s="67"/>
      <c r="K76" s="67"/>
      <c r="L76" s="67"/>
      <c r="M76" s="67"/>
      <c r="N76" s="67" t="str">
        <f>"kt per "&amp;Preferences.EnergyUnits</f>
        <v>kt per TWh</v>
      </c>
      <c r="O76" s="885"/>
    </row>
    <row r="77" spans="2:15">
      <c r="B77" s="110"/>
      <c r="C77" s="67"/>
      <c r="D77" s="67"/>
      <c r="E77" s="1364"/>
      <c r="F77" s="1365"/>
      <c r="G77" s="67"/>
      <c r="H77" s="67"/>
      <c r="I77" s="67"/>
      <c r="J77" s="67"/>
      <c r="K77" s="67"/>
      <c r="L77" s="67"/>
      <c r="M77" s="67"/>
      <c r="N77" s="67"/>
      <c r="O77" s="885"/>
    </row>
    <row r="78" spans="2:15">
      <c r="B78" s="110"/>
      <c r="C78" s="887" t="s">
        <v>44</v>
      </c>
      <c r="D78" s="887" t="s">
        <v>1010</v>
      </c>
      <c r="E78" s="887" t="s">
        <v>45</v>
      </c>
      <c r="F78" s="909">
        <v>2013</v>
      </c>
      <c r="G78" s="909" t="s">
        <v>133</v>
      </c>
      <c r="H78" s="909" t="s">
        <v>134</v>
      </c>
      <c r="I78" s="909" t="s">
        <v>135</v>
      </c>
      <c r="J78" s="909" t="s">
        <v>136</v>
      </c>
      <c r="K78" s="909" t="s">
        <v>137</v>
      </c>
      <c r="L78" s="909" t="s">
        <v>138</v>
      </c>
      <c r="M78" s="909" t="s">
        <v>139</v>
      </c>
      <c r="N78" s="909" t="s">
        <v>140</v>
      </c>
      <c r="O78" s="885"/>
    </row>
    <row r="79" spans="2:15">
      <c r="B79" s="110"/>
      <c r="C79" s="57" t="s">
        <v>516</v>
      </c>
      <c r="D79" s="57" t="s">
        <v>517</v>
      </c>
      <c r="E79" s="57" t="s">
        <v>88</v>
      </c>
      <c r="F79" s="2950">
        <f>G79</f>
        <v>0.58361774744027295</v>
      </c>
      <c r="G79" s="2951">
        <f t="shared" ref="G79:N79" si="7">0.583617747440273*(1/Unit.TWh)</f>
        <v>0.58361774744027295</v>
      </c>
      <c r="H79" s="2950">
        <f t="shared" si="7"/>
        <v>0.58361774744027295</v>
      </c>
      <c r="I79" s="2950">
        <f t="shared" si="7"/>
        <v>0.58361774744027295</v>
      </c>
      <c r="J79" s="2950">
        <f t="shared" si="7"/>
        <v>0.58361774744027295</v>
      </c>
      <c r="K79" s="2950">
        <f t="shared" si="7"/>
        <v>0.58361774744027295</v>
      </c>
      <c r="L79" s="2950">
        <f t="shared" si="7"/>
        <v>0.58361774744027295</v>
      </c>
      <c r="M79" s="2950">
        <f t="shared" si="7"/>
        <v>0.58361774744027295</v>
      </c>
      <c r="N79" s="2950">
        <f t="shared" si="7"/>
        <v>0.58361774744027295</v>
      </c>
      <c r="O79" s="885"/>
    </row>
    <row r="80" spans="2:15">
      <c r="B80" s="110"/>
      <c r="C80" s="61" t="s">
        <v>516</v>
      </c>
      <c r="D80" s="62" t="s">
        <v>517</v>
      </c>
      <c r="E80" s="62" t="s">
        <v>90</v>
      </c>
      <c r="F80" s="2671">
        <f>G80</f>
        <v>0.60278793292497401</v>
      </c>
      <c r="G80" s="2952">
        <f>0.602787932924974*(1/Unit.TWh)</f>
        <v>0.60278793292497401</v>
      </c>
      <c r="H80" s="2671">
        <f>0.51853607139465*(1/Unit.TWh)</f>
        <v>0.51853607139464997</v>
      </c>
      <c r="I80" s="2671">
        <f>0.518146653987267*(1/Unit.TWh)</f>
        <v>0.518146653987267</v>
      </c>
      <c r="J80" s="2671">
        <f>0.511842212600432*(1/Unit.TWh)</f>
        <v>0.51184221260043195</v>
      </c>
      <c r="K80" s="2671">
        <f>0.50417339590242*(1/Unit.TWh)</f>
        <v>0.50417339590242005</v>
      </c>
      <c r="L80" s="2671">
        <f>0.50417339590242*(1/Unit.TWh)</f>
        <v>0.50417339590242005</v>
      </c>
      <c r="M80" s="2671">
        <f>0.50417339590242*(1/Unit.TWh)</f>
        <v>0.50417339590242005</v>
      </c>
      <c r="N80" s="2671">
        <f>0.50417339590242*(1/Unit.TWh)</f>
        <v>0.50417339590242005</v>
      </c>
      <c r="O80" s="885"/>
    </row>
    <row r="81" spans="2:16">
      <c r="B81" s="110"/>
      <c r="C81" s="67"/>
      <c r="D81" s="67"/>
      <c r="E81" s="67"/>
      <c r="F81" s="67"/>
      <c r="G81" s="67"/>
      <c r="H81" s="67"/>
      <c r="I81" s="67"/>
      <c r="J81" s="67"/>
      <c r="K81" s="67"/>
      <c r="L81" s="67"/>
      <c r="M81" s="67"/>
      <c r="N81" s="67"/>
      <c r="O81" s="885"/>
    </row>
    <row r="82" spans="2:16">
      <c r="B82" s="110"/>
      <c r="C82" s="49" t="s">
        <v>801</v>
      </c>
      <c r="D82" s="67"/>
      <c r="E82" s="67"/>
      <c r="F82" s="67"/>
      <c r="G82" s="67"/>
      <c r="H82" s="67"/>
      <c r="I82" s="67"/>
      <c r="J82" s="67"/>
      <c r="K82" s="67"/>
      <c r="L82" s="67"/>
      <c r="M82" s="67"/>
      <c r="N82" s="67" t="str">
        <f>"kt per "&amp;Preferences.EnergyUnits</f>
        <v>kt per TWh</v>
      </c>
      <c r="O82" s="885"/>
    </row>
    <row r="83" spans="2:16">
      <c r="B83" s="110"/>
      <c r="C83" s="67"/>
      <c r="D83" s="67"/>
      <c r="E83" s="1364"/>
      <c r="F83" s="1365"/>
      <c r="G83" s="67"/>
      <c r="H83" s="67"/>
      <c r="I83" s="67"/>
      <c r="J83" s="67"/>
      <c r="K83" s="67"/>
      <c r="L83" s="67"/>
      <c r="M83" s="67"/>
      <c r="N83" s="67"/>
      <c r="O83" s="885"/>
    </row>
    <row r="84" spans="2:16">
      <c r="B84" s="110"/>
      <c r="C84" s="887" t="s">
        <v>44</v>
      </c>
      <c r="D84" s="887" t="s">
        <v>1010</v>
      </c>
      <c r="E84" s="887" t="s">
        <v>45</v>
      </c>
      <c r="F84" s="909">
        <v>2013</v>
      </c>
      <c r="G84" s="909" t="s">
        <v>133</v>
      </c>
      <c r="H84" s="909" t="s">
        <v>134</v>
      </c>
      <c r="I84" s="909" t="s">
        <v>135</v>
      </c>
      <c r="J84" s="909" t="s">
        <v>136</v>
      </c>
      <c r="K84" s="909" t="s">
        <v>137</v>
      </c>
      <c r="L84" s="909" t="s">
        <v>138</v>
      </c>
      <c r="M84" s="909" t="s">
        <v>139</v>
      </c>
      <c r="N84" s="909" t="s">
        <v>140</v>
      </c>
      <c r="O84" s="885"/>
    </row>
    <row r="85" spans="2:16">
      <c r="B85" s="110"/>
      <c r="C85" s="57" t="s">
        <v>516</v>
      </c>
      <c r="D85" s="57" t="s">
        <v>517</v>
      </c>
      <c r="E85" s="57" t="s">
        <v>88</v>
      </c>
      <c r="F85" s="2950">
        <f>G85</f>
        <v>2.6645140583413802</v>
      </c>
      <c r="G85" s="2951">
        <f>2.66451405834138*(1/Unit.TWh)</f>
        <v>2.6645140583413802</v>
      </c>
      <c r="H85" s="2950">
        <f t="shared" ref="H85:N85" si="8">2.82549586272291*(1/Unit.TWh)</f>
        <v>2.8254958627229101</v>
      </c>
      <c r="I85" s="2950">
        <f t="shared" si="8"/>
        <v>2.8254958627229101</v>
      </c>
      <c r="J85" s="2950">
        <f t="shared" si="8"/>
        <v>2.8254958627229101</v>
      </c>
      <c r="K85" s="2950">
        <f t="shared" si="8"/>
        <v>2.8254958627229101</v>
      </c>
      <c r="L85" s="2950">
        <f t="shared" si="8"/>
        <v>2.8254958627229101</v>
      </c>
      <c r="M85" s="2950">
        <f t="shared" si="8"/>
        <v>2.8254958627229101</v>
      </c>
      <c r="N85" s="2950">
        <f t="shared" si="8"/>
        <v>2.8254958627229101</v>
      </c>
      <c r="O85" s="885"/>
    </row>
    <row r="86" spans="2:16">
      <c r="B86" s="110"/>
      <c r="C86" s="61" t="s">
        <v>516</v>
      </c>
      <c r="D86" s="62" t="s">
        <v>517</v>
      </c>
      <c r="E86" s="62" t="s">
        <v>90</v>
      </c>
      <c r="F86" s="2671">
        <f>G86</f>
        <v>2.1573910849866301E-2</v>
      </c>
      <c r="G86" s="2952">
        <f>0.0215739108498663*(1/Unit.TWh)</f>
        <v>2.1573910849866301E-2</v>
      </c>
      <c r="H86" s="2671">
        <f>0.00688042911256356*(1/Unit.TWh)</f>
        <v>6.8804291125635596E-3</v>
      </c>
      <c r="I86" s="2671">
        <f>0.00686976328914796*(1/Unit.TWh)</f>
        <v>6.86976328914796E-3</v>
      </c>
      <c r="J86" s="2671">
        <f>0.00669708981001941*(1/Unit.TWh)</f>
        <v>6.6970898100194099E-3</v>
      </c>
      <c r="K86" s="2671">
        <f>0.00648704721008183*(1/Unit.TWh)</f>
        <v>6.4870472100818297E-3</v>
      </c>
      <c r="L86" s="2671">
        <f>0.00648704721008183*(1/Unit.TWh)</f>
        <v>6.4870472100818297E-3</v>
      </c>
      <c r="M86" s="2671">
        <f>0.00648704721008183*(1/Unit.TWh)</f>
        <v>6.4870472100818297E-3</v>
      </c>
      <c r="N86" s="2671">
        <f>0.00648704721008183*(1/Unit.TWh)</f>
        <v>6.4870472100818297E-3</v>
      </c>
      <c r="O86" s="885"/>
    </row>
    <row r="87" spans="2:16">
      <c r="B87" s="110"/>
      <c r="C87" s="67"/>
      <c r="D87" s="67"/>
      <c r="E87" s="67"/>
      <c r="F87" s="67"/>
      <c r="G87" s="67"/>
      <c r="H87" s="67"/>
      <c r="I87" s="67"/>
      <c r="J87" s="67"/>
      <c r="K87" s="67"/>
      <c r="L87" s="67"/>
      <c r="M87" s="67"/>
      <c r="N87" s="67"/>
      <c r="O87" s="885"/>
    </row>
    <row r="88" spans="2:16">
      <c r="B88" s="110"/>
      <c r="C88" s="49" t="s">
        <v>802</v>
      </c>
      <c r="D88" s="67"/>
      <c r="E88" s="67"/>
      <c r="F88" s="67"/>
      <c r="G88" s="67"/>
      <c r="H88" s="67"/>
      <c r="I88" s="67"/>
      <c r="J88" s="67"/>
      <c r="K88" s="67"/>
      <c r="L88" s="67"/>
      <c r="M88" s="67"/>
      <c r="N88" s="67" t="str">
        <f>"kt per "&amp;Preferences.EnergyUnits</f>
        <v>kt per TWh</v>
      </c>
      <c r="O88" s="885"/>
    </row>
    <row r="89" spans="2:16">
      <c r="B89" s="110"/>
      <c r="C89" s="67"/>
      <c r="D89" s="67"/>
      <c r="E89" s="1364"/>
      <c r="F89" s="1365"/>
      <c r="G89" s="67"/>
      <c r="H89" s="67"/>
      <c r="I89" s="67"/>
      <c r="J89" s="67"/>
      <c r="K89" s="67"/>
      <c r="L89" s="67"/>
      <c r="M89" s="67"/>
      <c r="N89" s="67"/>
      <c r="O89" s="885"/>
    </row>
    <row r="90" spans="2:16">
      <c r="B90" s="110"/>
      <c r="C90" s="887" t="s">
        <v>44</v>
      </c>
      <c r="D90" s="887" t="s">
        <v>1010</v>
      </c>
      <c r="E90" s="887" t="s">
        <v>45</v>
      </c>
      <c r="F90" s="909">
        <v>2013</v>
      </c>
      <c r="G90" s="909" t="s">
        <v>133</v>
      </c>
      <c r="H90" s="909" t="s">
        <v>134</v>
      </c>
      <c r="I90" s="909" t="s">
        <v>135</v>
      </c>
      <c r="J90" s="909" t="s">
        <v>136</v>
      </c>
      <c r="K90" s="909" t="s">
        <v>137</v>
      </c>
      <c r="L90" s="909" t="s">
        <v>138</v>
      </c>
      <c r="M90" s="909" t="s">
        <v>139</v>
      </c>
      <c r="N90" s="909" t="s">
        <v>140</v>
      </c>
      <c r="O90" s="885"/>
    </row>
    <row r="91" spans="2:16">
      <c r="B91" s="110"/>
      <c r="C91" s="57" t="s">
        <v>516</v>
      </c>
      <c r="D91" s="57" t="s">
        <v>517</v>
      </c>
      <c r="E91" s="57" t="s">
        <v>88</v>
      </c>
      <c r="F91" s="2950">
        <f>G91</f>
        <v>6.1433447098976097E-3</v>
      </c>
      <c r="G91" s="2951">
        <f t="shared" ref="G91:N91" si="9">0.00614334470989761*(1/Unit.TWh)</f>
        <v>6.1433447098976097E-3</v>
      </c>
      <c r="H91" s="2950">
        <f t="shared" si="9"/>
        <v>6.1433447098976097E-3</v>
      </c>
      <c r="I91" s="2950">
        <f t="shared" si="9"/>
        <v>6.1433447098976097E-3</v>
      </c>
      <c r="J91" s="2950">
        <f t="shared" si="9"/>
        <v>6.1433447098976097E-3</v>
      </c>
      <c r="K91" s="2950">
        <f t="shared" si="9"/>
        <v>6.1433447098976097E-3</v>
      </c>
      <c r="L91" s="2950">
        <f t="shared" si="9"/>
        <v>6.1433447098976097E-3</v>
      </c>
      <c r="M91" s="2950">
        <f t="shared" si="9"/>
        <v>6.1433447098976097E-3</v>
      </c>
      <c r="N91" s="2950">
        <f t="shared" si="9"/>
        <v>6.1433447098976097E-3</v>
      </c>
      <c r="O91" s="885"/>
    </row>
    <row r="92" spans="2:16">
      <c r="B92" s="110"/>
      <c r="C92" s="61" t="s">
        <v>516</v>
      </c>
      <c r="D92" s="62" t="s">
        <v>517</v>
      </c>
      <c r="E92" s="62" t="s">
        <v>90</v>
      </c>
      <c r="F92" s="2671">
        <f>G92</f>
        <v>6.5476141878810902E-3</v>
      </c>
      <c r="G92" s="2952">
        <f>0.00654761418788109*(1/Unit.TWh)</f>
        <v>6.5476141878810902E-3</v>
      </c>
      <c r="H92" s="2671">
        <f>0.00807442584993566*(1/Unit.TWh)</f>
        <v>8.0744258499356597E-3</v>
      </c>
      <c r="I92" s="2671">
        <f>0.00807434259627122*(1/Unit.TWh)</f>
        <v>8.0743425962712199E-3</v>
      </c>
      <c r="J92" s="2671">
        <f>0.0080729947678542*(1/Unit.TWh)</f>
        <v>8.0729947678542004E-3</v>
      </c>
      <c r="K92" s="2671">
        <f>0.00807135524922974*(1/Unit.TWh)</f>
        <v>8.0713552492297398E-3</v>
      </c>
      <c r="L92" s="2671">
        <f>0.00807135524922974*(1/Unit.TWh)</f>
        <v>8.0713552492297398E-3</v>
      </c>
      <c r="M92" s="2671">
        <f>0.00807135524922974*(1/Unit.TWh)</f>
        <v>8.0713552492297398E-3</v>
      </c>
      <c r="N92" s="2671">
        <f>0.00807135524922974*(1/Unit.TWh)</f>
        <v>8.0713552492297398E-3</v>
      </c>
      <c r="O92" s="885"/>
    </row>
    <row r="93" spans="2:16">
      <c r="B93" s="110"/>
      <c r="C93" s="1374"/>
      <c r="D93" s="194"/>
      <c r="E93" s="2471"/>
      <c r="F93" s="195"/>
      <c r="G93" s="195"/>
      <c r="H93" s="195"/>
      <c r="I93" s="195"/>
      <c r="J93" s="195"/>
      <c r="K93" s="195"/>
      <c r="L93" s="195"/>
      <c r="M93" s="195"/>
      <c r="N93" s="195"/>
      <c r="O93" s="885"/>
    </row>
    <row r="94" spans="2:16">
      <c r="B94" s="45"/>
      <c r="C94" s="3862" t="s">
        <v>64</v>
      </c>
      <c r="D94" s="200"/>
      <c r="E94" s="67"/>
      <c r="F94" s="67"/>
      <c r="G94" s="67"/>
      <c r="H94" s="67"/>
      <c r="I94" s="67"/>
      <c r="J94" s="67"/>
      <c r="K94" s="67"/>
      <c r="L94" s="67"/>
      <c r="M94" s="67"/>
      <c r="N94" s="67"/>
      <c r="O94" s="885"/>
    </row>
    <row r="95" spans="2:16" s="927" customFormat="1">
      <c r="B95" s="1169"/>
      <c r="C95" s="1170" t="s">
        <v>65</v>
      </c>
      <c r="D95" s="2898" t="s">
        <v>2928</v>
      </c>
      <c r="E95" s="931"/>
      <c r="F95" s="931"/>
      <c r="G95" s="931"/>
      <c r="H95" s="931"/>
      <c r="I95" s="931"/>
      <c r="J95" s="931"/>
      <c r="K95" s="931"/>
      <c r="L95" s="931"/>
      <c r="M95" s="931"/>
      <c r="N95" s="931"/>
      <c r="O95" s="932"/>
      <c r="P95" s="2890"/>
    </row>
    <row r="96" spans="2:16" s="927" customFormat="1">
      <c r="B96" s="1169"/>
      <c r="C96" s="1170"/>
      <c r="D96" s="2898" t="s">
        <v>2929</v>
      </c>
      <c r="E96" s="931"/>
      <c r="F96" s="931"/>
      <c r="G96" s="931"/>
      <c r="H96" s="931"/>
      <c r="I96" s="931"/>
      <c r="J96" s="931"/>
      <c r="K96" s="931"/>
      <c r="L96" s="931"/>
      <c r="M96" s="931"/>
      <c r="N96" s="931"/>
      <c r="O96" s="932"/>
      <c r="P96" s="2890"/>
    </row>
    <row r="97" spans="1:27" s="927" customFormat="1">
      <c r="B97" s="1169"/>
      <c r="C97" s="1170"/>
      <c r="D97" s="2898" t="s">
        <v>2930</v>
      </c>
      <c r="E97" s="931"/>
      <c r="F97" s="931"/>
      <c r="G97" s="931"/>
      <c r="H97" s="931"/>
      <c r="I97" s="931"/>
      <c r="J97" s="931"/>
      <c r="K97" s="931"/>
      <c r="L97" s="931"/>
      <c r="M97" s="931"/>
      <c r="N97" s="931"/>
      <c r="O97" s="932"/>
      <c r="P97" s="2890"/>
    </row>
    <row r="98" spans="1:27" s="927" customFormat="1">
      <c r="B98" s="1169"/>
      <c r="C98" s="1170" t="s">
        <v>67</v>
      </c>
      <c r="D98" s="2898" t="s">
        <v>3273</v>
      </c>
      <c r="E98" s="931"/>
      <c r="F98" s="931"/>
      <c r="G98" s="931"/>
      <c r="H98" s="931"/>
      <c r="I98" s="931"/>
      <c r="J98" s="931"/>
      <c r="K98" s="931"/>
      <c r="L98" s="931"/>
      <c r="M98" s="931"/>
      <c r="N98" s="931"/>
      <c r="O98" s="932"/>
      <c r="P98" s="2890"/>
    </row>
    <row r="99" spans="1:27" s="927" customFormat="1">
      <c r="B99" s="1169"/>
      <c r="C99" s="1170" t="s">
        <v>106</v>
      </c>
      <c r="D99" s="2898" t="s">
        <v>3273</v>
      </c>
      <c r="E99" s="931"/>
      <c r="F99" s="931"/>
      <c r="G99" s="931"/>
      <c r="H99" s="931"/>
      <c r="I99" s="931"/>
      <c r="J99" s="931"/>
      <c r="K99" s="931"/>
      <c r="L99" s="931"/>
      <c r="M99" s="931"/>
      <c r="N99" s="931"/>
      <c r="O99" s="932"/>
      <c r="P99" s="2890"/>
    </row>
    <row r="100" spans="1:27" s="927" customFormat="1">
      <c r="B100" s="1169"/>
      <c r="C100" s="1170" t="s">
        <v>80</v>
      </c>
      <c r="D100" s="2898" t="s">
        <v>2965</v>
      </c>
      <c r="E100" s="931"/>
      <c r="F100" s="931"/>
      <c r="G100" s="931"/>
      <c r="H100" s="931"/>
      <c r="I100" s="931"/>
      <c r="J100" s="931"/>
      <c r="K100" s="931"/>
      <c r="L100" s="931"/>
      <c r="M100" s="931"/>
      <c r="N100" s="931"/>
      <c r="O100" s="932"/>
      <c r="P100" s="2890"/>
    </row>
    <row r="101" spans="1:27" s="927" customFormat="1">
      <c r="B101" s="1169"/>
      <c r="C101" s="1170"/>
      <c r="D101" s="2898"/>
      <c r="E101" s="931"/>
      <c r="F101" s="931"/>
      <c r="G101" s="931"/>
      <c r="H101" s="931"/>
      <c r="I101" s="931"/>
      <c r="J101" s="931"/>
      <c r="K101" s="931"/>
      <c r="L101" s="931"/>
      <c r="M101" s="931"/>
      <c r="N101" s="931"/>
      <c r="O101" s="932"/>
      <c r="P101" s="2890"/>
    </row>
    <row r="102" spans="1:27" s="927" customFormat="1">
      <c r="B102" s="1169"/>
      <c r="C102" s="1170"/>
      <c r="D102" s="2898"/>
      <c r="E102" s="931"/>
      <c r="F102" s="931"/>
      <c r="G102" s="931"/>
      <c r="H102" s="931"/>
      <c r="I102" s="931"/>
      <c r="J102" s="931"/>
      <c r="K102" s="931"/>
      <c r="L102" s="931"/>
      <c r="M102" s="931"/>
      <c r="N102" s="931"/>
      <c r="O102" s="932"/>
      <c r="P102" s="2890"/>
    </row>
    <row r="103" spans="1:27">
      <c r="B103" s="1172"/>
      <c r="C103" s="1074"/>
      <c r="D103" s="1074"/>
      <c r="E103" s="1074"/>
      <c r="F103" s="1074"/>
      <c r="G103" s="1074"/>
      <c r="H103" s="1074"/>
      <c r="I103" s="1074"/>
      <c r="J103" s="1074"/>
      <c r="K103" s="1074"/>
      <c r="L103" s="1074"/>
      <c r="M103" s="1074"/>
      <c r="N103" s="1074"/>
      <c r="O103" s="1109"/>
    </row>
    <row r="105" spans="1:27" s="6" customFormat="1" ht="23.25">
      <c r="A105" s="40"/>
      <c r="B105" s="878" t="s">
        <v>2794</v>
      </c>
      <c r="C105" s="879"/>
      <c r="D105" s="879"/>
      <c r="E105" s="879"/>
      <c r="F105" s="879"/>
      <c r="G105" s="879"/>
      <c r="H105" s="879"/>
      <c r="I105" s="879"/>
      <c r="J105" s="879"/>
      <c r="K105" s="879"/>
      <c r="L105" s="879"/>
      <c r="M105" s="879"/>
      <c r="N105" s="879"/>
      <c r="O105" s="879"/>
      <c r="P105" s="2890"/>
      <c r="Q105" s="656"/>
      <c r="R105" s="656"/>
      <c r="S105" s="656"/>
      <c r="T105" s="656"/>
      <c r="U105" s="656"/>
      <c r="V105" s="656"/>
      <c r="W105" s="656"/>
      <c r="X105" s="656"/>
      <c r="Y105" s="656"/>
      <c r="Z105" s="656"/>
      <c r="AA105" s="656"/>
    </row>
    <row r="106" spans="1:27" hidden="1">
      <c r="B106" s="110"/>
      <c r="C106" s="67"/>
      <c r="D106" s="67"/>
      <c r="E106" s="67"/>
      <c r="F106" s="67"/>
      <c r="G106" s="67"/>
      <c r="H106" s="67"/>
      <c r="I106" s="67"/>
      <c r="J106" s="67"/>
      <c r="K106" s="67"/>
      <c r="L106" s="67"/>
      <c r="M106" s="67"/>
      <c r="N106" s="67"/>
      <c r="O106" s="67"/>
      <c r="Q106" s="1173"/>
      <c r="R106" s="1173"/>
      <c r="S106" s="1173"/>
      <c r="T106" s="1173"/>
      <c r="U106" s="1173"/>
      <c r="V106" s="1173"/>
      <c r="W106" s="1173"/>
      <c r="X106" s="1173"/>
      <c r="Y106" s="1173"/>
      <c r="Z106" s="1173"/>
      <c r="AA106" s="1173"/>
    </row>
    <row r="107" spans="1:27" hidden="1">
      <c r="B107" s="110"/>
      <c r="C107" s="972" t="s">
        <v>2358</v>
      </c>
      <c r="D107" s="973"/>
      <c r="E107" s="972" t="s">
        <v>160</v>
      </c>
      <c r="F107" s="981">
        <v>2013</v>
      </c>
      <c r="G107" s="981">
        <v>2015</v>
      </c>
      <c r="H107" s="981">
        <v>2020</v>
      </c>
      <c r="I107" s="981">
        <v>2025</v>
      </c>
      <c r="J107" s="981">
        <v>2030</v>
      </c>
      <c r="K107" s="981">
        <v>2035</v>
      </c>
      <c r="L107" s="981">
        <v>2040</v>
      </c>
      <c r="M107" s="981">
        <v>2045</v>
      </c>
      <c r="N107" s="981">
        <v>2050</v>
      </c>
      <c r="O107" s="67"/>
      <c r="Q107" s="2891"/>
      <c r="R107" s="1173"/>
      <c r="S107" s="1173"/>
      <c r="T107" s="1173"/>
      <c r="U107" s="1173"/>
      <c r="V107" s="1173"/>
      <c r="W107" s="1173"/>
      <c r="X107" s="1173"/>
      <c r="Y107" s="1173"/>
      <c r="Z107" s="1173"/>
      <c r="AA107" s="1173"/>
    </row>
    <row r="108" spans="1:27" hidden="1">
      <c r="B108" s="110"/>
      <c r="C108" s="973" t="s">
        <v>22</v>
      </c>
      <c r="D108" s="2899" t="s">
        <v>2359</v>
      </c>
      <c r="E108" s="2899"/>
      <c r="F108" s="2900"/>
      <c r="G108" s="2901"/>
      <c r="H108" s="2901"/>
      <c r="I108" s="2901"/>
      <c r="J108" s="2902"/>
      <c r="K108" s="2902"/>
      <c r="L108" s="2902"/>
      <c r="M108" s="2902"/>
      <c r="N108" s="2902"/>
      <c r="O108" s="67"/>
      <c r="Q108" s="2891"/>
      <c r="R108" s="2496"/>
      <c r="S108" s="2496"/>
      <c r="T108" s="1431"/>
      <c r="U108" s="1431"/>
      <c r="V108" s="1431"/>
      <c r="W108" s="1173"/>
      <c r="X108" s="1173"/>
      <c r="Y108" s="1431"/>
      <c r="Z108" s="1431"/>
      <c r="AA108" s="1173"/>
    </row>
    <row r="109" spans="1:27" hidden="1">
      <c r="B109" s="110"/>
      <c r="C109" s="67" t="s">
        <v>161</v>
      </c>
      <c r="D109" s="943" t="s">
        <v>2359</v>
      </c>
      <c r="E109" s="943"/>
      <c r="F109" s="1590"/>
      <c r="G109" s="2903"/>
      <c r="H109" s="2903"/>
      <c r="I109" s="2903"/>
      <c r="J109" s="51"/>
      <c r="K109" s="51"/>
      <c r="L109" s="51"/>
      <c r="M109" s="51"/>
      <c r="N109" s="51"/>
      <c r="O109" s="67"/>
      <c r="Q109" s="2891"/>
      <c r="R109" s="2496"/>
      <c r="S109" s="1173"/>
      <c r="T109" s="1228"/>
      <c r="U109" s="1701"/>
      <c r="V109" s="1701"/>
      <c r="W109" s="1173"/>
      <c r="X109" s="1173"/>
      <c r="Y109" s="2904"/>
      <c r="Z109" s="2904"/>
      <c r="AA109" s="1173"/>
    </row>
    <row r="110" spans="1:27" hidden="1">
      <c r="B110" s="110"/>
      <c r="C110" s="67" t="s">
        <v>20</v>
      </c>
      <c r="D110" s="943" t="s">
        <v>2359</v>
      </c>
      <c r="E110" s="943"/>
      <c r="F110" s="1590"/>
      <c r="G110" s="2903"/>
      <c r="H110" s="2903"/>
      <c r="I110" s="2903"/>
      <c r="J110" s="51"/>
      <c r="K110" s="51"/>
      <c r="L110" s="51"/>
      <c r="M110" s="51"/>
      <c r="N110" s="51"/>
      <c r="O110" s="67"/>
      <c r="Q110" s="2891"/>
      <c r="R110" s="1173"/>
      <c r="S110" s="1173"/>
      <c r="T110" s="1228"/>
      <c r="U110" s="1431"/>
      <c r="V110" s="1431"/>
      <c r="W110" s="1173"/>
      <c r="X110" s="1173"/>
      <c r="Y110" s="2904"/>
      <c r="Z110" s="2904"/>
      <c r="AA110" s="1173"/>
    </row>
    <row r="111" spans="1:27" hidden="1">
      <c r="B111" s="110"/>
      <c r="C111" s="67"/>
      <c r="D111" s="67"/>
      <c r="E111" s="943"/>
      <c r="F111" s="67"/>
      <c r="G111" s="51"/>
      <c r="H111" s="51"/>
      <c r="I111" s="51"/>
      <c r="J111" s="51"/>
      <c r="K111" s="51"/>
      <c r="L111" s="51"/>
      <c r="M111" s="51"/>
      <c r="N111" s="67"/>
      <c r="O111" s="67"/>
      <c r="Q111" s="2891"/>
      <c r="R111" s="1173"/>
      <c r="S111" s="1173"/>
      <c r="T111" s="1228"/>
      <c r="U111" s="1431"/>
      <c r="V111" s="1431"/>
      <c r="W111" s="1173"/>
      <c r="X111" s="1173"/>
      <c r="Y111" s="2904"/>
      <c r="Z111" s="2904"/>
      <c r="AA111" s="1173"/>
    </row>
    <row r="112" spans="1:27" hidden="1">
      <c r="B112" s="110"/>
      <c r="C112" s="67" t="s">
        <v>22</v>
      </c>
      <c r="D112" s="67" t="s">
        <v>2818</v>
      </c>
      <c r="E112" s="2905"/>
      <c r="F112" s="2906"/>
      <c r="G112" s="2903"/>
      <c r="H112" s="2903"/>
      <c r="I112" s="2903"/>
      <c r="J112" s="2906"/>
      <c r="K112" s="359"/>
      <c r="L112" s="359"/>
      <c r="M112" s="359"/>
      <c r="N112" s="359"/>
      <c r="O112" s="67"/>
      <c r="Q112" s="2891"/>
      <c r="R112" s="1173"/>
      <c r="S112" s="1173"/>
      <c r="T112" s="1173"/>
      <c r="U112" s="1173"/>
      <c r="V112" s="1173"/>
      <c r="W112" s="1173"/>
      <c r="X112" s="1173"/>
      <c r="Y112" s="1173"/>
      <c r="Z112" s="1173"/>
      <c r="AA112" s="1173"/>
    </row>
    <row r="113" spans="2:27" hidden="1">
      <c r="B113" s="110"/>
      <c r="C113" s="67" t="s">
        <v>161</v>
      </c>
      <c r="D113" s="67" t="s">
        <v>2818</v>
      </c>
      <c r="E113" s="2905"/>
      <c r="F113" s="2906"/>
      <c r="G113" s="2903"/>
      <c r="H113" s="2903"/>
      <c r="I113" s="2903"/>
      <c r="J113" s="359"/>
      <c r="K113" s="359"/>
      <c r="L113" s="359"/>
      <c r="M113" s="359"/>
      <c r="N113" s="359"/>
      <c r="O113" s="67"/>
      <c r="Q113" s="2891"/>
      <c r="R113" s="1173"/>
      <c r="S113" s="1173"/>
      <c r="T113" s="1173"/>
      <c r="U113" s="1173"/>
      <c r="V113" s="1173"/>
      <c r="W113" s="1173"/>
      <c r="X113" s="1173"/>
      <c r="Y113" s="1173"/>
      <c r="Z113" s="1173"/>
      <c r="AA113" s="1173"/>
    </row>
    <row r="114" spans="2:27" hidden="1">
      <c r="B114" s="110"/>
      <c r="C114" s="978" t="s">
        <v>20</v>
      </c>
      <c r="D114" s="978" t="s">
        <v>2818</v>
      </c>
      <c r="E114" s="2907"/>
      <c r="F114" s="2908"/>
      <c r="G114" s="2909"/>
      <c r="H114" s="2909"/>
      <c r="I114" s="2909"/>
      <c r="J114" s="2908"/>
      <c r="K114" s="361"/>
      <c r="L114" s="361"/>
      <c r="M114" s="361"/>
      <c r="N114" s="361"/>
      <c r="O114" s="67"/>
      <c r="Q114" s="2891"/>
      <c r="R114" s="1173"/>
      <c r="S114" s="1173"/>
      <c r="T114" s="1173"/>
      <c r="U114" s="1173"/>
      <c r="V114" s="1173"/>
      <c r="W114" s="1173"/>
      <c r="X114" s="1173"/>
      <c r="Y114" s="1173"/>
      <c r="Z114" s="1173"/>
      <c r="AA114" s="1173"/>
    </row>
    <row r="115" spans="2:27" hidden="1">
      <c r="B115" s="47"/>
      <c r="C115" s="47"/>
      <c r="D115" s="47"/>
      <c r="E115" s="2910"/>
      <c r="F115" s="47"/>
      <c r="G115" s="47"/>
      <c r="H115" s="47"/>
      <c r="I115" s="47"/>
      <c r="J115" s="47"/>
      <c r="K115" s="47"/>
      <c r="L115" s="47"/>
      <c r="M115" s="47"/>
      <c r="N115" s="47"/>
      <c r="O115" s="47"/>
      <c r="Q115" s="2891"/>
      <c r="R115" s="2496"/>
      <c r="S115" s="1431"/>
      <c r="T115" s="1431"/>
      <c r="U115" s="1431"/>
      <c r="V115" s="1173"/>
      <c r="W115" s="1173"/>
      <c r="X115" s="1431"/>
      <c r="Y115" s="1431"/>
      <c r="Z115" s="1173"/>
      <c r="AA115" s="1173"/>
    </row>
    <row r="116" spans="2:27" hidden="1">
      <c r="B116" s="47"/>
      <c r="C116" s="972" t="s">
        <v>2327</v>
      </c>
      <c r="D116" s="973"/>
      <c r="E116" s="2911" t="s">
        <v>160</v>
      </c>
      <c r="F116" s="981">
        <v>2013</v>
      </c>
      <c r="G116" s="981">
        <v>2015</v>
      </c>
      <c r="H116" s="981">
        <v>2020</v>
      </c>
      <c r="I116" s="981">
        <v>2025</v>
      </c>
      <c r="J116" s="981">
        <v>2030</v>
      </c>
      <c r="K116" s="981">
        <v>2035</v>
      </c>
      <c r="L116" s="981">
        <v>2040</v>
      </c>
      <c r="M116" s="981">
        <v>2045</v>
      </c>
      <c r="N116" s="981">
        <v>2050</v>
      </c>
      <c r="O116" s="47"/>
      <c r="Q116" s="2891"/>
      <c r="R116" s="1173"/>
      <c r="S116" s="1173"/>
      <c r="T116" s="1173"/>
      <c r="U116" s="1173"/>
      <c r="V116" s="1173"/>
      <c r="W116" s="1173"/>
      <c r="X116" s="1173"/>
      <c r="Y116" s="1173"/>
      <c r="Z116" s="1173"/>
      <c r="AA116" s="1173"/>
    </row>
    <row r="117" spans="2:27" hidden="1">
      <c r="B117" s="110"/>
      <c r="C117" s="973" t="s">
        <v>22</v>
      </c>
      <c r="D117" s="2899" t="s">
        <v>2328</v>
      </c>
      <c r="E117" s="2912"/>
      <c r="F117" s="2901"/>
      <c r="G117" s="2901"/>
      <c r="H117" s="2901"/>
      <c r="I117" s="2901"/>
      <c r="J117" s="2901"/>
      <c r="K117" s="2901"/>
      <c r="L117" s="2902"/>
      <c r="M117" s="2902"/>
      <c r="N117" s="2902"/>
      <c r="O117" s="67"/>
      <c r="Q117" s="2891"/>
      <c r="R117" s="1173"/>
      <c r="S117" s="1173"/>
      <c r="T117" s="1173"/>
      <c r="U117" s="1173"/>
      <c r="V117" s="1173"/>
      <c r="W117" s="1173"/>
      <c r="X117" s="1173"/>
      <c r="Y117" s="1173"/>
      <c r="Z117" s="1173"/>
      <c r="AA117" s="1173"/>
    </row>
    <row r="118" spans="2:27" hidden="1">
      <c r="B118" s="110"/>
      <c r="C118" s="67" t="s">
        <v>161</v>
      </c>
      <c r="D118" s="943" t="s">
        <v>2328</v>
      </c>
      <c r="E118" s="2905"/>
      <c r="F118" s="2903"/>
      <c r="G118" s="2903"/>
      <c r="H118" s="2903"/>
      <c r="I118" s="2903"/>
      <c r="J118" s="2903"/>
      <c r="K118" s="2903"/>
      <c r="L118" s="51"/>
      <c r="M118" s="51"/>
      <c r="N118" s="51"/>
      <c r="O118" s="67"/>
      <c r="Q118" s="2891"/>
      <c r="R118" s="1173"/>
      <c r="S118" s="1173"/>
      <c r="T118" s="1173"/>
      <c r="U118" s="1173"/>
      <c r="V118" s="1173"/>
      <c r="W118" s="1173"/>
      <c r="X118" s="1173"/>
      <c r="Y118" s="1173"/>
      <c r="Z118" s="1173"/>
      <c r="AA118" s="1173"/>
    </row>
    <row r="119" spans="2:27" hidden="1">
      <c r="B119" s="47"/>
      <c r="C119" s="67" t="s">
        <v>20</v>
      </c>
      <c r="D119" s="943" t="s">
        <v>2328</v>
      </c>
      <c r="E119" s="2905"/>
      <c r="F119" s="2903"/>
      <c r="G119" s="2903"/>
      <c r="H119" s="2903"/>
      <c r="I119" s="2903"/>
      <c r="J119" s="2903"/>
      <c r="K119" s="2903"/>
      <c r="L119" s="51"/>
      <c r="M119" s="51"/>
      <c r="N119" s="51"/>
      <c r="O119" s="47"/>
      <c r="Q119" s="2891"/>
      <c r="R119" s="1173"/>
      <c r="S119" s="1173"/>
      <c r="T119" s="1173"/>
      <c r="U119" s="1173"/>
      <c r="V119" s="1173"/>
      <c r="W119" s="1173"/>
      <c r="X119" s="1173"/>
      <c r="Y119" s="1173"/>
      <c r="Z119" s="1173"/>
      <c r="AA119" s="1173"/>
    </row>
    <row r="120" spans="2:27" hidden="1">
      <c r="B120" s="47"/>
      <c r="C120" s="67"/>
      <c r="D120" s="67"/>
      <c r="E120" s="2905"/>
      <c r="F120" s="67"/>
      <c r="G120" s="51"/>
      <c r="H120" s="51"/>
      <c r="I120" s="51"/>
      <c r="J120" s="51"/>
      <c r="K120" s="51"/>
      <c r="L120" s="51"/>
      <c r="M120" s="51"/>
      <c r="N120" s="67"/>
      <c r="O120" s="47"/>
      <c r="Q120" s="2891"/>
      <c r="R120" s="1173"/>
      <c r="S120" s="1173"/>
      <c r="T120" s="1173"/>
      <c r="U120" s="1173"/>
      <c r="V120" s="1173"/>
      <c r="W120" s="1173"/>
      <c r="X120" s="1173"/>
      <c r="Y120" s="1173"/>
      <c r="Z120" s="1173"/>
      <c r="AA120" s="1173"/>
    </row>
    <row r="121" spans="2:27" s="39" customFormat="1" hidden="1">
      <c r="B121" s="47"/>
      <c r="C121" s="67" t="s">
        <v>22</v>
      </c>
      <c r="D121" s="67" t="s">
        <v>2818</v>
      </c>
      <c r="E121" s="2905"/>
      <c r="F121" s="2906"/>
      <c r="G121" s="2903"/>
      <c r="H121" s="2903"/>
      <c r="I121" s="2903"/>
      <c r="J121" s="2906"/>
      <c r="K121" s="2906"/>
      <c r="L121" s="2906"/>
      <c r="M121" s="2906"/>
      <c r="N121" s="2906"/>
      <c r="O121" s="47"/>
      <c r="P121" s="2890"/>
      <c r="Q121" s="2891"/>
      <c r="R121" s="1173"/>
      <c r="S121" s="1173"/>
      <c r="T121" s="1173"/>
      <c r="U121" s="1173"/>
      <c r="V121" s="1173"/>
      <c r="W121" s="1173"/>
      <c r="X121" s="1173"/>
      <c r="Y121" s="1173"/>
      <c r="Z121" s="1173"/>
      <c r="AA121" s="1173"/>
    </row>
    <row r="122" spans="2:27" s="39" customFormat="1" hidden="1">
      <c r="B122" s="47"/>
      <c r="C122" s="67" t="s">
        <v>161</v>
      </c>
      <c r="D122" s="67" t="s">
        <v>2818</v>
      </c>
      <c r="E122" s="2905"/>
      <c r="F122" s="2906"/>
      <c r="G122" s="2903"/>
      <c r="H122" s="2903"/>
      <c r="I122" s="2903"/>
      <c r="J122" s="2906"/>
      <c r="K122" s="2906"/>
      <c r="L122" s="2906"/>
      <c r="M122" s="2906"/>
      <c r="N122" s="2906"/>
      <c r="O122" s="47"/>
      <c r="P122" s="2890"/>
      <c r="Q122" s="2891"/>
      <c r="R122" s="1173"/>
      <c r="S122" s="1173"/>
      <c r="T122" s="1173"/>
      <c r="U122" s="1173"/>
      <c r="V122" s="1173"/>
      <c r="W122" s="1173"/>
      <c r="X122" s="1173"/>
      <c r="Y122" s="1173"/>
      <c r="Z122" s="1173"/>
      <c r="AA122" s="1173"/>
    </row>
    <row r="123" spans="2:27" s="39" customFormat="1" hidden="1">
      <c r="B123" s="47"/>
      <c r="C123" s="978" t="s">
        <v>20</v>
      </c>
      <c r="D123" s="978" t="s">
        <v>2818</v>
      </c>
      <c r="E123" s="2907"/>
      <c r="F123" s="2908"/>
      <c r="G123" s="2909"/>
      <c r="H123" s="2909"/>
      <c r="I123" s="2909"/>
      <c r="J123" s="2908"/>
      <c r="K123" s="2908"/>
      <c r="L123" s="2908"/>
      <c r="M123" s="2908"/>
      <c r="N123" s="2908"/>
      <c r="O123" s="47"/>
      <c r="P123" s="2890"/>
      <c r="Q123" s="2891"/>
      <c r="R123" s="1173"/>
      <c r="S123" s="1173"/>
      <c r="T123" s="1173"/>
      <c r="U123" s="1173"/>
      <c r="V123" s="1173"/>
      <c r="W123" s="1173"/>
      <c r="X123" s="1173"/>
      <c r="Y123" s="1173"/>
      <c r="Z123" s="1173"/>
      <c r="AA123" s="1173"/>
    </row>
    <row r="124" spans="2:27" s="39" customFormat="1" hidden="1">
      <c r="B124" s="47"/>
      <c r="C124" s="47"/>
      <c r="D124" s="47"/>
      <c r="E124" s="2910"/>
      <c r="F124" s="47"/>
      <c r="G124" s="47"/>
      <c r="H124" s="47"/>
      <c r="I124" s="47"/>
      <c r="J124" s="47"/>
      <c r="K124" s="47"/>
      <c r="L124" s="47"/>
      <c r="M124" s="47"/>
      <c r="N124" s="47"/>
      <c r="O124" s="47"/>
      <c r="P124" s="2890"/>
      <c r="Q124" s="2891"/>
      <c r="R124" s="1173"/>
      <c r="S124" s="1173"/>
      <c r="T124" s="1173"/>
      <c r="U124" s="1173"/>
      <c r="V124" s="1173"/>
      <c r="W124" s="1173"/>
      <c r="X124" s="1173"/>
      <c r="Y124" s="1173"/>
      <c r="Z124" s="1173"/>
      <c r="AA124" s="1173"/>
    </row>
    <row r="125" spans="2:27" s="39" customFormat="1" hidden="1">
      <c r="B125" s="47"/>
      <c r="C125" s="972" t="s">
        <v>2329</v>
      </c>
      <c r="D125" s="973"/>
      <c r="E125" s="2911" t="s">
        <v>160</v>
      </c>
      <c r="F125" s="981">
        <v>2013</v>
      </c>
      <c r="G125" s="981">
        <v>2015</v>
      </c>
      <c r="H125" s="981">
        <v>2020</v>
      </c>
      <c r="I125" s="981">
        <v>2025</v>
      </c>
      <c r="J125" s="981">
        <v>2030</v>
      </c>
      <c r="K125" s="981">
        <v>2035</v>
      </c>
      <c r="L125" s="981">
        <v>2040</v>
      </c>
      <c r="M125" s="981">
        <v>2045</v>
      </c>
      <c r="N125" s="981">
        <v>2050</v>
      </c>
      <c r="O125" s="47"/>
      <c r="P125" s="2890"/>
      <c r="Q125" s="2891"/>
      <c r="R125" s="1173"/>
      <c r="S125" s="1173"/>
      <c r="T125" s="1173"/>
      <c r="U125" s="1173"/>
      <c r="V125" s="1173"/>
      <c r="W125" s="1173"/>
      <c r="X125" s="1173"/>
      <c r="Y125" s="1173"/>
      <c r="Z125" s="1173"/>
      <c r="AA125" s="1173"/>
    </row>
    <row r="126" spans="2:27" s="39" customFormat="1" hidden="1">
      <c r="B126" s="47"/>
      <c r="C126" s="973" t="s">
        <v>22</v>
      </c>
      <c r="D126" s="2899" t="s">
        <v>2330</v>
      </c>
      <c r="E126" s="2912"/>
      <c r="F126" s="2901"/>
      <c r="G126" s="2901"/>
      <c r="H126" s="2901"/>
      <c r="I126" s="2901"/>
      <c r="J126" s="2901"/>
      <c r="K126" s="2901"/>
      <c r="L126" s="2901"/>
      <c r="M126" s="2901"/>
      <c r="N126" s="2901"/>
      <c r="O126" s="47"/>
      <c r="P126" s="2890"/>
      <c r="Q126" s="2891"/>
      <c r="R126" s="1173"/>
      <c r="S126" s="1173"/>
      <c r="T126" s="1173"/>
      <c r="U126" s="1173"/>
      <c r="V126" s="1173"/>
      <c r="W126" s="1173"/>
      <c r="X126" s="1173"/>
      <c r="Y126" s="1173"/>
      <c r="Z126" s="1173"/>
      <c r="AA126" s="1173"/>
    </row>
    <row r="127" spans="2:27" s="39" customFormat="1" hidden="1">
      <c r="B127" s="47"/>
      <c r="C127" s="67" t="s">
        <v>161</v>
      </c>
      <c r="D127" s="943" t="s">
        <v>2330</v>
      </c>
      <c r="E127" s="2905"/>
      <c r="F127" s="1607"/>
      <c r="G127" s="2903"/>
      <c r="H127" s="2903"/>
      <c r="I127" s="2903"/>
      <c r="J127" s="1607"/>
      <c r="K127" s="1607"/>
      <c r="L127" s="1607"/>
      <c r="M127" s="1607"/>
      <c r="N127" s="1607"/>
      <c r="O127" s="47"/>
      <c r="P127" s="2890"/>
      <c r="Q127" s="2891"/>
      <c r="R127" s="1173"/>
      <c r="S127" s="1173"/>
      <c r="T127" s="1173"/>
      <c r="U127" s="1173"/>
      <c r="V127" s="1173"/>
      <c r="W127" s="1173"/>
      <c r="X127" s="1173"/>
      <c r="Y127" s="1173"/>
      <c r="Z127" s="1173"/>
      <c r="AA127" s="1173"/>
    </row>
    <row r="128" spans="2:27" s="39" customFormat="1" hidden="1">
      <c r="B128" s="47"/>
      <c r="C128" s="67" t="s">
        <v>20</v>
      </c>
      <c r="D128" s="943" t="s">
        <v>2330</v>
      </c>
      <c r="E128" s="2905"/>
      <c r="F128" s="2903"/>
      <c r="G128" s="2903"/>
      <c r="H128" s="2903"/>
      <c r="I128" s="2903"/>
      <c r="J128" s="2903"/>
      <c r="K128" s="2903"/>
      <c r="L128" s="2903"/>
      <c r="M128" s="2903"/>
      <c r="N128" s="2903"/>
      <c r="O128" s="47"/>
      <c r="P128" s="2890"/>
      <c r="Q128" s="2891"/>
      <c r="R128" s="1173"/>
      <c r="S128" s="1173"/>
      <c r="T128" s="1173"/>
      <c r="U128" s="1173"/>
      <c r="V128" s="1173"/>
      <c r="W128" s="1173"/>
      <c r="X128" s="1173"/>
      <c r="Y128" s="1173"/>
      <c r="Z128" s="1173"/>
      <c r="AA128" s="1173"/>
    </row>
    <row r="129" spans="2:27" s="39" customFormat="1" hidden="1">
      <c r="B129" s="47"/>
      <c r="C129" s="67"/>
      <c r="D129" s="67"/>
      <c r="E129" s="2905"/>
      <c r="F129" s="1607"/>
      <c r="G129" s="2903"/>
      <c r="H129" s="2903"/>
      <c r="I129" s="2903"/>
      <c r="J129" s="2903"/>
      <c r="K129" s="2903"/>
      <c r="L129" s="2903"/>
      <c r="M129" s="2903"/>
      <c r="N129" s="1607"/>
      <c r="O129" s="47"/>
      <c r="P129" s="2890"/>
      <c r="Q129" s="2891"/>
      <c r="R129" s="1173"/>
      <c r="S129" s="1173"/>
      <c r="T129" s="1173"/>
      <c r="U129" s="1173"/>
      <c r="V129" s="1173"/>
      <c r="W129" s="1173"/>
      <c r="X129" s="1173"/>
      <c r="Y129" s="1173"/>
      <c r="Z129" s="1173"/>
      <c r="AA129" s="1173"/>
    </row>
    <row r="130" spans="2:27" s="39" customFormat="1" hidden="1">
      <c r="B130" s="47"/>
      <c r="C130" s="67" t="s">
        <v>22</v>
      </c>
      <c r="D130" s="67" t="s">
        <v>2818</v>
      </c>
      <c r="E130" s="2905"/>
      <c r="F130" s="2906"/>
      <c r="G130" s="2903"/>
      <c r="H130" s="2903"/>
      <c r="I130" s="2903"/>
      <c r="J130" s="2906"/>
      <c r="K130" s="2906"/>
      <c r="L130" s="2906"/>
      <c r="M130" s="2906"/>
      <c r="N130" s="2906"/>
      <c r="O130" s="47"/>
      <c r="P130" s="2890"/>
      <c r="Q130" s="2891"/>
      <c r="R130" s="1173"/>
      <c r="S130" s="1173"/>
      <c r="T130" s="1173"/>
      <c r="U130" s="1173"/>
      <c r="V130" s="1173"/>
      <c r="W130" s="1173"/>
      <c r="X130" s="1173"/>
      <c r="Y130" s="1173"/>
      <c r="Z130" s="1173"/>
      <c r="AA130" s="1173"/>
    </row>
    <row r="131" spans="2:27" s="39" customFormat="1" hidden="1">
      <c r="B131" s="47"/>
      <c r="C131" s="67" t="s">
        <v>161</v>
      </c>
      <c r="D131" s="67" t="s">
        <v>2818</v>
      </c>
      <c r="E131" s="2905"/>
      <c r="F131" s="2906"/>
      <c r="G131" s="2903"/>
      <c r="H131" s="2903"/>
      <c r="I131" s="2903"/>
      <c r="J131" s="2906"/>
      <c r="K131" s="2906"/>
      <c r="L131" s="2906"/>
      <c r="M131" s="2906"/>
      <c r="N131" s="2906"/>
      <c r="O131" s="47"/>
      <c r="P131" s="2890"/>
      <c r="Q131" s="2891"/>
      <c r="R131" s="1173"/>
      <c r="S131" s="1173"/>
      <c r="T131" s="1173"/>
      <c r="U131" s="1173"/>
      <c r="V131" s="1173"/>
      <c r="W131" s="1173"/>
      <c r="X131" s="1173"/>
      <c r="Y131" s="1173"/>
      <c r="Z131" s="1173"/>
      <c r="AA131" s="1173"/>
    </row>
    <row r="132" spans="2:27" s="39" customFormat="1" hidden="1">
      <c r="B132" s="47"/>
      <c r="C132" s="978" t="s">
        <v>20</v>
      </c>
      <c r="D132" s="978" t="s">
        <v>2818</v>
      </c>
      <c r="E132" s="2907"/>
      <c r="F132" s="2908"/>
      <c r="G132" s="2909"/>
      <c r="H132" s="2909"/>
      <c r="I132" s="2909"/>
      <c r="J132" s="2908"/>
      <c r="K132" s="2908"/>
      <c r="L132" s="2908"/>
      <c r="M132" s="2908"/>
      <c r="N132" s="2908"/>
      <c r="O132" s="47"/>
      <c r="P132" s="2890"/>
      <c r="Q132" s="2891"/>
      <c r="R132" s="1173"/>
      <c r="S132" s="1173"/>
      <c r="T132" s="1173"/>
      <c r="U132" s="1173"/>
      <c r="V132" s="1173"/>
      <c r="W132" s="1173"/>
      <c r="X132" s="1173"/>
      <c r="Y132" s="1173"/>
      <c r="Z132" s="1173"/>
      <c r="AA132" s="1173"/>
    </row>
    <row r="133" spans="2:27" s="39" customFormat="1" hidden="1">
      <c r="B133" s="47"/>
      <c r="C133" s="47"/>
      <c r="D133" s="47"/>
      <c r="E133" s="47"/>
      <c r="F133" s="47"/>
      <c r="G133" s="47"/>
      <c r="H133" s="47"/>
      <c r="I133" s="47"/>
      <c r="J133" s="47"/>
      <c r="K133" s="47"/>
      <c r="L133" s="47"/>
      <c r="M133" s="47"/>
      <c r="N133" s="47"/>
      <c r="O133" s="47"/>
      <c r="P133" s="2890"/>
    </row>
    <row r="134" spans="2:27" s="39" customFormat="1">
      <c r="P134" s="2890"/>
    </row>
    <row r="135" spans="2:27" s="39" customFormat="1">
      <c r="P135" s="2890"/>
    </row>
    <row r="136" spans="2:27" s="39" customFormat="1">
      <c r="P136" s="2890"/>
    </row>
    <row r="137" spans="2:27" ht="15.75">
      <c r="B137" s="1110" t="s">
        <v>207</v>
      </c>
    </row>
    <row r="138" spans="2:27">
      <c r="B138" s="2913">
        <v>1</v>
      </c>
      <c r="C138" s="2890" t="s">
        <v>2360</v>
      </c>
    </row>
    <row r="139" spans="2:27">
      <c r="B139" s="2913">
        <v>2</v>
      </c>
      <c r="C139" s="2890" t="s">
        <v>2331</v>
      </c>
    </row>
    <row r="140" spans="2:27">
      <c r="B140" s="2913">
        <v>3</v>
      </c>
      <c r="C140" s="2890" t="s">
        <v>2332</v>
      </c>
      <c r="K140" s="2890" t="s">
        <v>5</v>
      </c>
    </row>
    <row r="141" spans="2:27">
      <c r="B141" s="2913">
        <v>4</v>
      </c>
      <c r="C141" s="2890" t="s">
        <v>2333</v>
      </c>
    </row>
    <row r="143" spans="2:27">
      <c r="B143" s="2890">
        <v>1</v>
      </c>
      <c r="C143" s="2890" t="s">
        <v>2364</v>
      </c>
    </row>
    <row r="144" spans="2:27">
      <c r="C144" s="363" t="s">
        <v>2361</v>
      </c>
      <c r="E144" s="2890" t="str">
        <f>Preferences.EnergyUnits</f>
        <v>TWh</v>
      </c>
      <c r="F144" s="2490">
        <f t="shared" ref="F144:N144" si="10">F$44</f>
        <v>8.4</v>
      </c>
      <c r="G144" s="2490">
        <f t="shared" si="10"/>
        <v>7</v>
      </c>
      <c r="H144" s="2490">
        <f t="shared" si="10"/>
        <v>2</v>
      </c>
      <c r="I144" s="2490">
        <f t="shared" si="10"/>
        <v>2</v>
      </c>
      <c r="J144" s="2490">
        <f t="shared" si="10"/>
        <v>0</v>
      </c>
      <c r="K144" s="2490">
        <f t="shared" si="10"/>
        <v>0</v>
      </c>
      <c r="L144" s="2490">
        <f t="shared" si="10"/>
        <v>0</v>
      </c>
      <c r="M144" s="2490">
        <f t="shared" si="10"/>
        <v>0</v>
      </c>
      <c r="N144" s="2490">
        <f t="shared" si="10"/>
        <v>0</v>
      </c>
    </row>
    <row r="145" spans="2:14">
      <c r="B145" s="2"/>
      <c r="C145" s="2890" t="s">
        <v>1288</v>
      </c>
      <c r="F145" s="2414">
        <f t="shared" ref="F145:N145" si="11">F$144*F$54</f>
        <v>6.6380393902542884E-2</v>
      </c>
      <c r="G145" s="2414">
        <f t="shared" si="11"/>
        <v>5.5316994918785736E-2</v>
      </c>
      <c r="H145" s="2414">
        <f t="shared" si="11"/>
        <v>1.5804855691081639E-2</v>
      </c>
      <c r="I145" s="2414">
        <f t="shared" si="11"/>
        <v>1.5804855691081639E-2</v>
      </c>
      <c r="J145" s="2414">
        <f t="shared" si="11"/>
        <v>0</v>
      </c>
      <c r="K145" s="2414">
        <f t="shared" si="11"/>
        <v>0</v>
      </c>
      <c r="L145" s="2414">
        <f t="shared" si="11"/>
        <v>0</v>
      </c>
      <c r="M145" s="2414">
        <f t="shared" si="11"/>
        <v>0</v>
      </c>
      <c r="N145" s="2414">
        <f t="shared" si="11"/>
        <v>0</v>
      </c>
    </row>
    <row r="146" spans="2:14">
      <c r="B146" s="2"/>
      <c r="C146" s="2890" t="s">
        <v>2334</v>
      </c>
      <c r="F146" s="2414">
        <f t="shared" ref="F146:N146" si="12">F$144*F$55</f>
        <v>3.0179240072394542E-3</v>
      </c>
      <c r="G146" s="2414">
        <f t="shared" si="12"/>
        <v>2.5149366726995451E-3</v>
      </c>
      <c r="H146" s="2414">
        <f t="shared" si="12"/>
        <v>7.1855333505701287E-4</v>
      </c>
      <c r="I146" s="2414">
        <f t="shared" si="12"/>
        <v>7.1855333505701287E-4</v>
      </c>
      <c r="J146" s="2414">
        <f t="shared" si="12"/>
        <v>0</v>
      </c>
      <c r="K146" s="2414">
        <f t="shared" si="12"/>
        <v>0</v>
      </c>
      <c r="L146" s="2414">
        <f t="shared" si="12"/>
        <v>0</v>
      </c>
      <c r="M146" s="2414">
        <f t="shared" si="12"/>
        <v>0</v>
      </c>
      <c r="N146" s="2414">
        <f t="shared" si="12"/>
        <v>0</v>
      </c>
    </row>
    <row r="147" spans="2:14">
      <c r="B147" s="1624"/>
      <c r="C147" s="2890" t="s">
        <v>2335</v>
      </c>
      <c r="F147" s="2414">
        <f t="shared" ref="F147:N147" si="13">F144*F$56</f>
        <v>6.1449068692298924E-3</v>
      </c>
      <c r="G147" s="2414">
        <f t="shared" si="13"/>
        <v>5.1207557243582429E-3</v>
      </c>
      <c r="H147" s="2414">
        <f t="shared" si="13"/>
        <v>1.4630730641023552E-3</v>
      </c>
      <c r="I147" s="2414">
        <f t="shared" si="13"/>
        <v>1.4630730641023552E-3</v>
      </c>
      <c r="J147" s="2414">
        <f t="shared" si="13"/>
        <v>0</v>
      </c>
      <c r="K147" s="2414">
        <f t="shared" si="13"/>
        <v>0</v>
      </c>
      <c r="L147" s="2414">
        <f t="shared" si="13"/>
        <v>0</v>
      </c>
      <c r="M147" s="2414">
        <f t="shared" si="13"/>
        <v>0</v>
      </c>
      <c r="N147" s="2414">
        <f t="shared" si="13"/>
        <v>0</v>
      </c>
    </row>
    <row r="148" spans="2:14">
      <c r="F148" s="2914"/>
      <c r="G148" s="2914"/>
      <c r="H148" s="2914"/>
      <c r="I148" s="2914"/>
      <c r="J148" s="2914"/>
      <c r="K148" s="2914"/>
      <c r="L148" s="2914"/>
      <c r="M148" s="2914"/>
      <c r="N148" s="2914"/>
    </row>
    <row r="149" spans="2:14">
      <c r="B149" s="2890">
        <v>2</v>
      </c>
      <c r="C149" s="2" t="s">
        <v>2336</v>
      </c>
      <c r="F149" s="2915"/>
      <c r="G149" s="2915"/>
      <c r="H149" s="2915"/>
      <c r="I149" s="2915"/>
      <c r="J149" s="2915"/>
      <c r="K149" s="2915"/>
      <c r="L149" s="2915"/>
      <c r="M149" s="2915"/>
      <c r="N149" s="2915"/>
    </row>
    <row r="150" spans="2:14">
      <c r="C150" s="363" t="s">
        <v>2337</v>
      </c>
      <c r="F150" s="2490">
        <f t="shared" ref="F150:N150" si="14">F$45</f>
        <v>0</v>
      </c>
      <c r="G150" s="2490">
        <f t="shared" si="14"/>
        <v>0</v>
      </c>
      <c r="H150" s="2490">
        <f t="shared" si="14"/>
        <v>0</v>
      </c>
      <c r="I150" s="2490">
        <f t="shared" si="14"/>
        <v>0</v>
      </c>
      <c r="J150" s="2490">
        <f t="shared" si="14"/>
        <v>0</v>
      </c>
      <c r="K150" s="2490">
        <f t="shared" si="14"/>
        <v>0</v>
      </c>
      <c r="L150" s="2490">
        <f t="shared" si="14"/>
        <v>0</v>
      </c>
      <c r="M150" s="2490">
        <f t="shared" si="14"/>
        <v>0</v>
      </c>
      <c r="N150" s="2490">
        <f t="shared" si="14"/>
        <v>0</v>
      </c>
    </row>
    <row r="151" spans="2:14">
      <c r="C151" s="363" t="s">
        <v>2338</v>
      </c>
      <c r="F151" s="2490">
        <f t="shared" ref="F151:N151" si="15">F$46</f>
        <v>0</v>
      </c>
      <c r="G151" s="2490">
        <f t="shared" si="15"/>
        <v>1.7555282514130199</v>
      </c>
      <c r="H151" s="2490">
        <f t="shared" si="15"/>
        <v>35</v>
      </c>
      <c r="I151" s="2490">
        <f t="shared" si="15"/>
        <v>10</v>
      </c>
      <c r="J151" s="2490">
        <f t="shared" si="15"/>
        <v>0</v>
      </c>
      <c r="K151" s="2490">
        <f t="shared" si="15"/>
        <v>0</v>
      </c>
      <c r="L151" s="2490">
        <f t="shared" si="15"/>
        <v>0</v>
      </c>
      <c r="M151" s="2490">
        <f t="shared" si="15"/>
        <v>0</v>
      </c>
      <c r="N151" s="2490">
        <f t="shared" si="15"/>
        <v>0</v>
      </c>
    </row>
    <row r="152" spans="2:14">
      <c r="C152" s="2890" t="s">
        <v>1288</v>
      </c>
      <c r="F152" s="2414">
        <f>(F$150+F$151)*F$61</f>
        <v>0</v>
      </c>
      <c r="G152" s="2414">
        <f t="shared" ref="G152:M152" si="16">(G$150+G$151)*G$61</f>
        <v>1.0080736700473845E-3</v>
      </c>
      <c r="H152" s="2414">
        <f t="shared" si="16"/>
        <v>2.0097983853725854E-2</v>
      </c>
      <c r="I152" s="2414">
        <f t="shared" si="16"/>
        <v>5.7422811010645301E-3</v>
      </c>
      <c r="J152" s="2414">
        <f t="shared" si="16"/>
        <v>0</v>
      </c>
      <c r="K152" s="2414">
        <f t="shared" si="16"/>
        <v>0</v>
      </c>
      <c r="L152" s="2414">
        <f t="shared" si="16"/>
        <v>0</v>
      </c>
      <c r="M152" s="2414">
        <f t="shared" si="16"/>
        <v>0</v>
      </c>
      <c r="N152" s="2414">
        <f>N$150*N$61</f>
        <v>0</v>
      </c>
    </row>
    <row r="153" spans="2:14">
      <c r="C153" s="2890" t="s">
        <v>2335</v>
      </c>
      <c r="F153" s="2414">
        <f>(F$150+F$151)*F$62</f>
        <v>0</v>
      </c>
      <c r="G153" s="2414">
        <f t="shared" ref="G153:M153" si="17">(G$150+G$151)*G$62</f>
        <v>0.11554281251867642</v>
      </c>
      <c r="H153" s="2414">
        <f t="shared" si="17"/>
        <v>2.3035792416890311</v>
      </c>
      <c r="I153" s="2414">
        <f t="shared" si="17"/>
        <v>0.65816549762543741</v>
      </c>
      <c r="J153" s="2414">
        <f t="shared" si="17"/>
        <v>0</v>
      </c>
      <c r="K153" s="2414">
        <f t="shared" si="17"/>
        <v>0</v>
      </c>
      <c r="L153" s="2414">
        <f t="shared" si="17"/>
        <v>0</v>
      </c>
      <c r="M153" s="2414">
        <f t="shared" si="17"/>
        <v>0</v>
      </c>
      <c r="N153" s="2414">
        <f>N$150*N$62</f>
        <v>0</v>
      </c>
    </row>
    <row r="154" spans="2:14">
      <c r="F154" s="992"/>
      <c r="G154" s="992"/>
      <c r="H154" s="992"/>
      <c r="I154" s="992"/>
      <c r="J154" s="992"/>
      <c r="K154" s="992"/>
      <c r="L154" s="992"/>
      <c r="M154" s="992"/>
      <c r="N154" s="992"/>
    </row>
    <row r="155" spans="2:14">
      <c r="B155" s="2890" t="s">
        <v>1177</v>
      </c>
      <c r="C155" s="2890" t="s">
        <v>2339</v>
      </c>
      <c r="F155" s="992"/>
      <c r="G155" s="992"/>
      <c r="H155" s="992"/>
      <c r="I155" s="992"/>
      <c r="J155" s="992"/>
      <c r="K155" s="992"/>
      <c r="L155" s="992"/>
      <c r="M155" s="992"/>
      <c r="N155" s="992"/>
    </row>
    <row r="156" spans="2:14">
      <c r="C156" s="2890" t="s">
        <v>2362</v>
      </c>
      <c r="E156" s="2890" t="s">
        <v>254</v>
      </c>
      <c r="F156" s="3723">
        <f t="shared" ref="F156:N156" si="18">$F$67*GWP.CH4</f>
        <v>0</v>
      </c>
      <c r="G156" s="3723">
        <f t="shared" si="18"/>
        <v>0</v>
      </c>
      <c r="H156" s="3723">
        <f t="shared" si="18"/>
        <v>0</v>
      </c>
      <c r="I156" s="3723">
        <f t="shared" si="18"/>
        <v>0</v>
      </c>
      <c r="J156" s="3723">
        <f t="shared" si="18"/>
        <v>0</v>
      </c>
      <c r="K156" s="3723">
        <f t="shared" si="18"/>
        <v>0</v>
      </c>
      <c r="L156" s="3723">
        <f t="shared" si="18"/>
        <v>0</v>
      </c>
      <c r="M156" s="3723">
        <f t="shared" si="18"/>
        <v>0</v>
      </c>
      <c r="N156" s="3723">
        <f t="shared" si="18"/>
        <v>0</v>
      </c>
    </row>
    <row r="157" spans="2:14">
      <c r="C157" s="2890" t="s">
        <v>2340</v>
      </c>
      <c r="E157" s="2890" t="s">
        <v>254</v>
      </c>
      <c r="F157" s="2414">
        <f>F$68</f>
        <v>0</v>
      </c>
      <c r="G157" s="2414">
        <f t="shared" ref="G157:N157" si="19">G$68</f>
        <v>0</v>
      </c>
      <c r="H157" s="2414" t="str">
        <f t="shared" si="19"/>
        <v xml:space="preserve"> </v>
      </c>
      <c r="I157" s="2414">
        <f t="shared" si="19"/>
        <v>0</v>
      </c>
      <c r="J157" s="2414">
        <f t="shared" si="19"/>
        <v>0</v>
      </c>
      <c r="K157" s="2414">
        <f t="shared" si="19"/>
        <v>0</v>
      </c>
      <c r="L157" s="2414">
        <f t="shared" si="19"/>
        <v>0</v>
      </c>
      <c r="M157" s="2414">
        <f t="shared" si="19"/>
        <v>0</v>
      </c>
      <c r="N157" s="2414">
        <f t="shared" si="19"/>
        <v>0</v>
      </c>
    </row>
    <row r="158" spans="2:14">
      <c r="C158" s="2890" t="s">
        <v>2341</v>
      </c>
      <c r="F158" s="992"/>
      <c r="G158" s="992"/>
      <c r="H158" s="992"/>
      <c r="I158" s="992"/>
      <c r="J158" s="992"/>
      <c r="K158" s="992"/>
      <c r="L158" s="992"/>
      <c r="M158" s="992"/>
      <c r="N158" s="992"/>
    </row>
    <row r="159" spans="2:14">
      <c r="D159" s="2890" t="s">
        <v>253</v>
      </c>
      <c r="E159" s="2890" t="s">
        <v>254</v>
      </c>
      <c r="F159" s="992">
        <f>F$153*INDEX(EF[CO2], MATCH("V.05",  EF[Vector], 0))</f>
        <v>0</v>
      </c>
      <c r="G159" s="992">
        <f>G$153*INDEX(EF[CO2], MATCH("V.05",  EF[Vector], 0))</f>
        <v>2.3654063230198457E-2</v>
      </c>
      <c r="H159" s="992">
        <f>H$153*INDEX(EF[CO2], MATCH("V.05",  EF[Vector], 0))</f>
        <v>0.47159150665366845</v>
      </c>
      <c r="I159" s="992">
        <f>I$153*INDEX(EF[CO2], MATCH("V.05",  EF[Vector], 0))</f>
        <v>0.13474043047247669</v>
      </c>
      <c r="J159" s="992">
        <f>J$153*INDEX(EF[CO2], MATCH("V.05",  EF[Vector], 0))</f>
        <v>0</v>
      </c>
      <c r="K159" s="992">
        <f>K$153*INDEX(EF[CO2], MATCH("V.05",  EF[Vector], 0))</f>
        <v>0</v>
      </c>
      <c r="L159" s="992">
        <f>L$153*INDEX(EF[CO2], MATCH("V.05",  EF[Vector], 0))</f>
        <v>0</v>
      </c>
      <c r="M159" s="992">
        <f>M$153*INDEX(EF[CO2], MATCH("V.05",  EF[Vector], 0))</f>
        <v>0</v>
      </c>
      <c r="N159" s="992">
        <f>N$153*INDEX(EF[CO2], MATCH("V.05",  EF[Vector], 0))</f>
        <v>0</v>
      </c>
    </row>
    <row r="160" spans="2:14">
      <c r="D160" s="2890" t="s">
        <v>255</v>
      </c>
      <c r="F160" s="992">
        <f>F$153*INDEX(EF[CH4], MATCH("V.05",  EF[Vector], 0))</f>
        <v>0</v>
      </c>
      <c r="G160" s="992">
        <f>G$153*INDEX(EF[CH4], MATCH("V.05",  EF[Vector], 0))</f>
        <v>8.7350366264119374E-6</v>
      </c>
      <c r="H160" s="992">
        <f>H$153*INDEX(EF[CH4], MATCH("V.05",  EF[Vector], 0))</f>
        <v>1.7415059067169076E-4</v>
      </c>
      <c r="I160" s="992">
        <f>I$153*INDEX(EF[CH4], MATCH("V.05",  EF[Vector], 0))</f>
        <v>4.9757311620483071E-5</v>
      </c>
      <c r="J160" s="992">
        <f>J$153*INDEX(EF[CH4], MATCH("V.05",  EF[Vector], 0))</f>
        <v>0</v>
      </c>
      <c r="K160" s="992">
        <f>K$153*INDEX(EF[CH4], MATCH("V.05",  EF[Vector], 0))</f>
        <v>0</v>
      </c>
      <c r="L160" s="992">
        <f>L$153*INDEX(EF[CH4], MATCH("V.05",  EF[Vector], 0))</f>
        <v>0</v>
      </c>
      <c r="M160" s="992">
        <f>M$153*INDEX(EF[CH4], MATCH("V.05",  EF[Vector], 0))</f>
        <v>0</v>
      </c>
      <c r="N160" s="992">
        <f>N$153*INDEX(EF[CH4], MATCH("V.05",  EF[Vector], 0))</f>
        <v>0</v>
      </c>
    </row>
    <row r="161" spans="2:14">
      <c r="D161" s="2890" t="s">
        <v>256</v>
      </c>
      <c r="F161" s="992">
        <f>F$153*INDEX(EF[N2O], MATCH("V.05",  EF[Vector], 0))</f>
        <v>0</v>
      </c>
      <c r="G161" s="992">
        <f>G$153*INDEX(EF[N2O], MATCH("V.05",  EF[Vector], 0))</f>
        <v>3.7394275843544432E-4</v>
      </c>
      <c r="H161" s="992">
        <f>H$153*INDEX(EF[N2O], MATCH("V.05",  EF[Vector], 0))</f>
        <v>7.4553038578023803E-3</v>
      </c>
      <c r="I161" s="992">
        <f>I$153*INDEX(EF[N2O], MATCH("V.05",  EF[Vector], 0))</f>
        <v>2.1300868165149657E-3</v>
      </c>
      <c r="J161" s="992">
        <f>J$153*INDEX(EF[N2O], MATCH("V.05",  EF[Vector], 0))</f>
        <v>0</v>
      </c>
      <c r="K161" s="992">
        <f>K$153*INDEX(EF[N2O], MATCH("V.05",  EF[Vector], 0))</f>
        <v>0</v>
      </c>
      <c r="L161" s="992">
        <f>L$153*INDEX(EF[N2O], MATCH("V.05",  EF[Vector], 0))</f>
        <v>0</v>
      </c>
      <c r="M161" s="992">
        <f>M$153*INDEX(EF[N2O], MATCH("V.05",  EF[Vector], 0))</f>
        <v>0</v>
      </c>
      <c r="N161" s="992">
        <f>N$153*INDEX(EF[N2O], MATCH("V.05",  EF[Vector], 0))</f>
        <v>0</v>
      </c>
    </row>
    <row r="163" spans="2:14">
      <c r="B163" s="2890" t="s">
        <v>1230</v>
      </c>
      <c r="C163" s="2890" t="s">
        <v>2342</v>
      </c>
    </row>
    <row r="164" spans="2:14">
      <c r="C164" s="2890" t="s">
        <v>1248</v>
      </c>
    </row>
    <row r="165" spans="2:14">
      <c r="G165" s="4170"/>
      <c r="H165" s="4170"/>
      <c r="I165" s="4170"/>
    </row>
    <row r="166" spans="2:14">
      <c r="C166" s="2913" t="s">
        <v>28</v>
      </c>
      <c r="D166" s="2913" t="s">
        <v>131</v>
      </c>
      <c r="F166" s="2916">
        <v>2013</v>
      </c>
      <c r="G166" s="2916">
        <v>2015</v>
      </c>
      <c r="H166" s="2916">
        <v>2020</v>
      </c>
      <c r="I166" s="2916">
        <v>2025</v>
      </c>
      <c r="J166" s="2916">
        <v>2030</v>
      </c>
      <c r="K166" s="2916">
        <v>2035</v>
      </c>
      <c r="L166" s="2916">
        <v>2040</v>
      </c>
      <c r="M166" s="2916">
        <v>2045</v>
      </c>
      <c r="N166" s="2916">
        <v>2050</v>
      </c>
    </row>
    <row r="167" spans="2:14">
      <c r="C167" s="2890" t="s">
        <v>260</v>
      </c>
      <c r="D167" s="2890" t="s">
        <v>261</v>
      </c>
      <c r="E167" s="382" t="s">
        <v>994</v>
      </c>
      <c r="F167" s="2917">
        <f>-SUMPRODUCT(F$209:F$210,F73:F74)</f>
        <v>1.1721306270537051E-3</v>
      </c>
      <c r="G167" s="2917">
        <f t="shared" ref="G167:N167" si="20">-SUMPRODUCT(G$209:G$210,G73:G74)</f>
        <v>1.4025038014288261E-3</v>
      </c>
      <c r="H167" s="2917">
        <f t="shared" si="20"/>
        <v>1.1223850912537504E-2</v>
      </c>
      <c r="I167" s="2917">
        <f t="shared" si="20"/>
        <v>3.4118029257840443E-3</v>
      </c>
      <c r="J167" s="2917">
        <f t="shared" si="20"/>
        <v>0</v>
      </c>
      <c r="K167" s="2917">
        <f t="shared" si="20"/>
        <v>0</v>
      </c>
      <c r="L167" s="2917">
        <f t="shared" si="20"/>
        <v>0</v>
      </c>
      <c r="M167" s="2917">
        <f t="shared" si="20"/>
        <v>0</v>
      </c>
      <c r="N167" s="2917">
        <f t="shared" si="20"/>
        <v>0</v>
      </c>
    </row>
    <row r="168" spans="2:14">
      <c r="C168" s="2890" t="s">
        <v>262</v>
      </c>
      <c r="D168" s="2890" t="s">
        <v>263</v>
      </c>
      <c r="F168" s="2917">
        <f>-SUMPRODUCT(F$209:F$210,F79:F80)</f>
        <v>5.4653897207705728E-3</v>
      </c>
      <c r="G168" s="2917">
        <f t="shared" ref="G168:N168" si="21">-SUMPRODUCT(G$209:G$210,G79:G80)</f>
        <v>7.4202304556446247E-2</v>
      </c>
      <c r="H168" s="2917">
        <f t="shared" si="21"/>
        <v>1.1956669467693417</v>
      </c>
      <c r="I168" s="2917">
        <f t="shared" si="21"/>
        <v>0.34220369725601013</v>
      </c>
      <c r="J168" s="2917">
        <f t="shared" si="21"/>
        <v>0</v>
      </c>
      <c r="K168" s="2917">
        <f t="shared" si="21"/>
        <v>0</v>
      </c>
      <c r="L168" s="2917">
        <f t="shared" si="21"/>
        <v>0</v>
      </c>
      <c r="M168" s="2917">
        <f t="shared" si="21"/>
        <v>0</v>
      </c>
      <c r="N168" s="2917">
        <f t="shared" si="21"/>
        <v>0</v>
      </c>
    </row>
    <row r="169" spans="2:14">
      <c r="C169" s="2890" t="s">
        <v>264</v>
      </c>
      <c r="D169" s="2890" t="s">
        <v>265</v>
      </c>
      <c r="F169" s="2917">
        <f>-SUMPRODUCT(F$209:F$210,F85:F86)</f>
        <v>8.1738706172729773E-3</v>
      </c>
      <c r="G169" s="2917">
        <f t="shared" ref="G169:N169" si="22">-SUMPRODUCT(G$209:G$210,G85:G86)</f>
        <v>9.3042691843482211E-3</v>
      </c>
      <c r="H169" s="2917">
        <f t="shared" si="22"/>
        <v>1.7889949723467694E-2</v>
      </c>
      <c r="I169" s="2917">
        <f t="shared" si="22"/>
        <v>6.5617616147454795E-3</v>
      </c>
      <c r="J169" s="2917">
        <f t="shared" si="22"/>
        <v>0</v>
      </c>
      <c r="K169" s="2917">
        <f t="shared" si="22"/>
        <v>0</v>
      </c>
      <c r="L169" s="2917">
        <f t="shared" si="22"/>
        <v>0</v>
      </c>
      <c r="M169" s="2917">
        <f t="shared" si="22"/>
        <v>0</v>
      </c>
      <c r="N169" s="2917">
        <f t="shared" si="22"/>
        <v>0</v>
      </c>
    </row>
    <row r="170" spans="2:14">
      <c r="C170" s="2890" t="s">
        <v>266</v>
      </c>
      <c r="D170" s="2890" t="s">
        <v>267</v>
      </c>
      <c r="F170" s="2917">
        <f>-SUMPRODUCT(F$209:F$210,F91:F92)</f>
        <v>5.8774626884925118E-5</v>
      </c>
      <c r="G170" s="2917">
        <f t="shared" ref="G170:N170" si="23">-SUMPRODUCT(G$209:G$210,G91:G92)</f>
        <v>8.055086142924082E-4</v>
      </c>
      <c r="H170" s="2917">
        <f t="shared" si="23"/>
        <v>1.8616307572267933E-2</v>
      </c>
      <c r="I170" s="2917">
        <f t="shared" si="23"/>
        <v>5.3304813868657536E-3</v>
      </c>
      <c r="J170" s="2917">
        <f t="shared" si="23"/>
        <v>0</v>
      </c>
      <c r="K170" s="2917">
        <f t="shared" si="23"/>
        <v>0</v>
      </c>
      <c r="L170" s="2917">
        <f t="shared" si="23"/>
        <v>0</v>
      </c>
      <c r="M170" s="2917">
        <f t="shared" si="23"/>
        <v>0</v>
      </c>
      <c r="N170" s="2917">
        <f t="shared" si="23"/>
        <v>0</v>
      </c>
    </row>
    <row r="172" spans="2:14">
      <c r="C172" s="2890" t="s">
        <v>2343</v>
      </c>
      <c r="G172" s="4170" t="s">
        <v>2344</v>
      </c>
      <c r="H172" s="4170"/>
      <c r="I172" s="4170"/>
    </row>
    <row r="173" spans="2:14">
      <c r="F173" s="3641" t="s">
        <v>5</v>
      </c>
      <c r="G173" s="4170"/>
      <c r="H173" s="4170"/>
      <c r="I173" s="4170"/>
    </row>
    <row r="174" spans="2:14">
      <c r="C174" s="2913" t="s">
        <v>28</v>
      </c>
      <c r="D174" s="2913" t="s">
        <v>131</v>
      </c>
      <c r="F174" s="2913">
        <v>2013</v>
      </c>
      <c r="G174" s="2918">
        <v>2015</v>
      </c>
      <c r="H174" s="2918">
        <v>2020</v>
      </c>
      <c r="I174" s="2918">
        <v>2025</v>
      </c>
      <c r="J174" s="2918">
        <v>2030</v>
      </c>
      <c r="K174" s="2913">
        <v>2035</v>
      </c>
      <c r="L174" s="2913">
        <v>2040</v>
      </c>
      <c r="M174" s="2913">
        <v>2045</v>
      </c>
      <c r="N174" s="2913">
        <v>2050</v>
      </c>
    </row>
    <row r="175" spans="2:14">
      <c r="C175" s="2890" t="s">
        <v>260</v>
      </c>
      <c r="D175" s="2890" t="s">
        <v>261</v>
      </c>
      <c r="E175" s="382" t="s">
        <v>994</v>
      </c>
      <c r="F175" s="2919">
        <f>(SUMPRODUCT(F$150:F$151,F73:F74)/SUMPRODUCT($G$150:$G$151,G73:G74))*G175</f>
        <v>0</v>
      </c>
      <c r="G175" s="3591"/>
      <c r="H175" s="3591"/>
      <c r="I175" s="3591"/>
      <c r="J175" s="3591"/>
      <c r="K175" s="2919"/>
      <c r="L175" s="2919"/>
      <c r="M175" s="2919"/>
      <c r="N175" s="2919"/>
    </row>
    <row r="176" spans="2:14">
      <c r="C176" s="2890" t="s">
        <v>262</v>
      </c>
      <c r="D176" s="2890" t="s">
        <v>263</v>
      </c>
      <c r="F176" s="2919">
        <f>(SUMPRODUCT(F$150:F$151,F79:F80)/SUMPRODUCT($G$150:$G$151,G79:G80))*G176</f>
        <v>0</v>
      </c>
      <c r="G176" s="3591"/>
      <c r="H176" s="3591"/>
      <c r="I176" s="3591"/>
      <c r="J176" s="3591"/>
      <c r="K176" s="2919"/>
      <c r="L176" s="2919"/>
      <c r="M176" s="2919"/>
      <c r="N176" s="2919"/>
    </row>
    <row r="177" spans="2:29">
      <c r="C177" s="2890" t="s">
        <v>264</v>
      </c>
      <c r="D177" s="2890" t="s">
        <v>265</v>
      </c>
      <c r="F177" s="2919">
        <f>(SUMPRODUCT(F$150:F$151,F85:F86)/SUMPRODUCT($G$150:$G$151,G85:G86))*G177</f>
        <v>0</v>
      </c>
      <c r="G177" s="3591"/>
      <c r="H177" s="3591"/>
      <c r="I177" s="3591"/>
      <c r="J177" s="3591"/>
      <c r="K177" s="2919"/>
      <c r="L177" s="2919"/>
      <c r="M177" s="2919"/>
      <c r="N177" s="2919"/>
    </row>
    <row r="178" spans="2:29">
      <c r="C178" s="2890" t="s">
        <v>266</v>
      </c>
      <c r="D178" s="2890" t="s">
        <v>267</v>
      </c>
      <c r="F178" s="2919">
        <f>(SUMPRODUCT(F$150:F$151,F91:F92)/SUMPRODUCT($G$150:$G$151,G91:G92))*G178</f>
        <v>0</v>
      </c>
      <c r="G178" s="3591"/>
      <c r="H178" s="3591"/>
      <c r="I178" s="3591"/>
      <c r="J178" s="3591"/>
      <c r="K178" s="2919"/>
      <c r="L178" s="2919"/>
      <c r="M178" s="2919"/>
      <c r="N178" s="2919"/>
    </row>
    <row r="181" spans="2:29">
      <c r="B181" s="2">
        <v>4</v>
      </c>
      <c r="C181" s="3611" t="s">
        <v>2807</v>
      </c>
      <c r="F181" s="992"/>
      <c r="G181" s="992"/>
      <c r="H181" s="992"/>
      <c r="I181" s="992"/>
      <c r="J181" s="992"/>
      <c r="K181" s="992"/>
      <c r="L181" s="992"/>
      <c r="M181" s="992"/>
      <c r="N181" s="992"/>
      <c r="O181" s="992"/>
    </row>
    <row r="182" spans="2:29" hidden="1">
      <c r="F182" s="992"/>
      <c r="G182" s="992"/>
      <c r="H182" s="992"/>
      <c r="I182" s="992"/>
      <c r="J182" s="992"/>
      <c r="K182" s="992"/>
      <c r="L182" s="992"/>
      <c r="M182" s="992"/>
      <c r="N182" s="992"/>
      <c r="O182" s="992"/>
    </row>
    <row r="183" spans="2:29" hidden="1">
      <c r="C183" s="363" t="s">
        <v>22</v>
      </c>
      <c r="F183" s="382">
        <v>2013</v>
      </c>
      <c r="G183" s="382" t="s">
        <v>133</v>
      </c>
      <c r="H183" s="382" t="s">
        <v>134</v>
      </c>
      <c r="I183" s="382" t="s">
        <v>135</v>
      </c>
      <c r="J183" s="382" t="s">
        <v>136</v>
      </c>
      <c r="K183" s="382" t="s">
        <v>137</v>
      </c>
      <c r="L183" s="382" t="s">
        <v>138</v>
      </c>
      <c r="M183" s="382" t="s">
        <v>139</v>
      </c>
      <c r="N183" s="382" t="s">
        <v>140</v>
      </c>
    </row>
    <row r="184" spans="2:29" hidden="1">
      <c r="C184" s="2890" t="s">
        <v>2363</v>
      </c>
      <c r="E184" s="3611" t="s">
        <v>2812</v>
      </c>
      <c r="F184" s="993"/>
      <c r="G184" s="993"/>
      <c r="H184" s="993"/>
      <c r="I184" s="993"/>
      <c r="J184" s="993"/>
      <c r="K184" s="993"/>
      <c r="L184" s="993"/>
      <c r="M184" s="993"/>
      <c r="N184" s="993"/>
    </row>
    <row r="185" spans="2:29" hidden="1">
      <c r="C185" s="2890" t="s">
        <v>145</v>
      </c>
      <c r="E185" s="3611" t="s">
        <v>2812</v>
      </c>
      <c r="F185" s="993"/>
      <c r="G185" s="993"/>
      <c r="H185" s="993"/>
      <c r="I185" s="993"/>
      <c r="J185" s="993"/>
      <c r="K185" s="993"/>
      <c r="L185" s="993"/>
      <c r="M185" s="993"/>
      <c r="N185" s="993"/>
    </row>
    <row r="186" spans="2:29" hidden="1">
      <c r="C186" s="2" t="s">
        <v>15</v>
      </c>
      <c r="E186" s="3611" t="s">
        <v>2812</v>
      </c>
      <c r="F186" s="993"/>
      <c r="G186" s="993"/>
      <c r="H186" s="993"/>
      <c r="I186" s="993"/>
      <c r="J186" s="993"/>
      <c r="K186" s="993"/>
      <c r="L186" s="993"/>
      <c r="M186" s="993"/>
      <c r="N186" s="993"/>
    </row>
    <row r="187" spans="2:29" hidden="1">
      <c r="C187" s="2" t="s">
        <v>59</v>
      </c>
      <c r="E187" s="3611" t="s">
        <v>2812</v>
      </c>
      <c r="F187" s="993"/>
      <c r="G187" s="993"/>
      <c r="H187" s="993"/>
      <c r="I187" s="993"/>
      <c r="J187" s="993"/>
      <c r="K187" s="993"/>
      <c r="L187" s="993"/>
      <c r="M187" s="993"/>
      <c r="N187" s="993"/>
    </row>
    <row r="188" spans="2:29" hidden="1">
      <c r="C188" s="2"/>
      <c r="F188" s="993"/>
      <c r="G188" s="993"/>
      <c r="H188" s="993"/>
      <c r="I188" s="993"/>
      <c r="J188" s="993"/>
      <c r="K188" s="993"/>
      <c r="L188" s="993"/>
      <c r="M188" s="993"/>
      <c r="N188" s="993"/>
      <c r="Q188" s="2"/>
      <c r="T188" s="993"/>
      <c r="U188" s="993"/>
      <c r="V188" s="993"/>
      <c r="W188" s="993"/>
      <c r="X188" s="993"/>
      <c r="Y188" s="993"/>
      <c r="Z188" s="993"/>
      <c r="AA188" s="993"/>
      <c r="AB188" s="993"/>
      <c r="AC188" s="993"/>
    </row>
    <row r="189" spans="2:29" hidden="1">
      <c r="C189" s="363" t="s">
        <v>161</v>
      </c>
      <c r="F189" s="382">
        <v>2013</v>
      </c>
      <c r="G189" s="382" t="s">
        <v>133</v>
      </c>
      <c r="H189" s="382" t="s">
        <v>134</v>
      </c>
      <c r="I189" s="382" t="s">
        <v>135</v>
      </c>
      <c r="J189" s="382" t="s">
        <v>136</v>
      </c>
      <c r="K189" s="382" t="s">
        <v>137</v>
      </c>
      <c r="L189" s="382" t="s">
        <v>138</v>
      </c>
      <c r="M189" s="382" t="s">
        <v>139</v>
      </c>
      <c r="N189" s="382" t="s">
        <v>140</v>
      </c>
      <c r="Q189" s="2"/>
      <c r="T189" s="993"/>
      <c r="U189" s="993"/>
      <c r="V189" s="993"/>
      <c r="W189" s="993"/>
      <c r="X189" s="993"/>
      <c r="Y189" s="993"/>
      <c r="Z189" s="993"/>
      <c r="AA189" s="993"/>
      <c r="AB189" s="993"/>
      <c r="AC189" s="993"/>
    </row>
    <row r="190" spans="2:29" hidden="1">
      <c r="C190" s="2890" t="s">
        <v>2363</v>
      </c>
      <c r="E190" s="3611" t="s">
        <v>2812</v>
      </c>
      <c r="F190" s="993"/>
      <c r="G190" s="993"/>
      <c r="H190" s="993"/>
      <c r="I190" s="993"/>
      <c r="J190" s="993"/>
      <c r="K190" s="993"/>
      <c r="L190" s="993"/>
      <c r="M190" s="993"/>
      <c r="N190" s="993"/>
      <c r="Q190" s="2"/>
      <c r="T190" s="993"/>
      <c r="U190" s="993"/>
      <c r="V190" s="993"/>
      <c r="W190" s="993"/>
      <c r="X190" s="993"/>
      <c r="Y190" s="993"/>
      <c r="Z190" s="993"/>
      <c r="AA190" s="993"/>
      <c r="AB190" s="993"/>
      <c r="AC190" s="993"/>
    </row>
    <row r="191" spans="2:29" hidden="1">
      <c r="C191" s="2890" t="s">
        <v>145</v>
      </c>
      <c r="E191" s="3611" t="s">
        <v>2812</v>
      </c>
      <c r="F191" s="993"/>
      <c r="G191" s="993"/>
      <c r="H191" s="993"/>
      <c r="I191" s="993"/>
      <c r="J191" s="993"/>
      <c r="K191" s="993"/>
      <c r="L191" s="993"/>
      <c r="M191" s="993"/>
      <c r="N191" s="993"/>
      <c r="Q191" s="2"/>
      <c r="T191" s="993"/>
      <c r="U191" s="993"/>
      <c r="V191" s="993"/>
      <c r="W191" s="993"/>
      <c r="X191" s="993"/>
      <c r="Y191" s="993"/>
      <c r="Z191" s="993"/>
      <c r="AA191" s="993"/>
      <c r="AB191" s="993"/>
      <c r="AC191" s="993"/>
    </row>
    <row r="192" spans="2:29" hidden="1">
      <c r="C192" s="2" t="s">
        <v>15</v>
      </c>
      <c r="E192" s="3611" t="s">
        <v>2812</v>
      </c>
      <c r="F192" s="993"/>
      <c r="G192" s="993"/>
      <c r="H192" s="993"/>
      <c r="I192" s="993"/>
      <c r="J192" s="993"/>
      <c r="K192" s="993"/>
      <c r="L192" s="993"/>
      <c r="M192" s="993"/>
      <c r="N192" s="993"/>
      <c r="Q192" s="2"/>
      <c r="T192" s="993"/>
      <c r="U192" s="993"/>
      <c r="V192" s="993"/>
      <c r="W192" s="993"/>
      <c r="X192" s="993"/>
      <c r="Y192" s="993"/>
      <c r="Z192" s="993"/>
      <c r="AA192" s="993"/>
      <c r="AB192" s="993"/>
      <c r="AC192" s="993"/>
    </row>
    <row r="193" spans="1:29" hidden="1">
      <c r="C193" s="2" t="s">
        <v>59</v>
      </c>
      <c r="E193" s="3611" t="s">
        <v>2812</v>
      </c>
      <c r="F193" s="993"/>
      <c r="G193" s="993"/>
      <c r="H193" s="993"/>
      <c r="I193" s="993"/>
      <c r="J193" s="993"/>
      <c r="K193" s="993"/>
      <c r="L193" s="993"/>
      <c r="M193" s="993"/>
      <c r="N193" s="993"/>
      <c r="Q193" s="2"/>
      <c r="T193" s="993"/>
      <c r="U193" s="993"/>
      <c r="V193" s="993"/>
      <c r="W193" s="993"/>
      <c r="X193" s="993"/>
      <c r="Y193" s="993"/>
      <c r="Z193" s="993"/>
      <c r="AA193" s="993"/>
      <c r="AB193" s="993"/>
      <c r="AC193" s="993"/>
    </row>
    <row r="194" spans="1:29" hidden="1">
      <c r="C194" s="2"/>
      <c r="F194" s="992"/>
      <c r="G194" s="992"/>
      <c r="H194" s="992"/>
      <c r="I194" s="992"/>
      <c r="J194" s="992"/>
      <c r="K194" s="992"/>
      <c r="L194" s="992"/>
      <c r="M194" s="992"/>
      <c r="N194" s="992"/>
    </row>
    <row r="195" spans="1:29" hidden="1">
      <c r="C195" s="363" t="s">
        <v>20</v>
      </c>
      <c r="F195" s="382">
        <v>2013</v>
      </c>
      <c r="G195" s="382" t="s">
        <v>133</v>
      </c>
      <c r="H195" s="382" t="s">
        <v>134</v>
      </c>
      <c r="I195" s="382" t="s">
        <v>135</v>
      </c>
      <c r="J195" s="382" t="s">
        <v>136</v>
      </c>
      <c r="K195" s="382" t="s">
        <v>137</v>
      </c>
      <c r="L195" s="382" t="s">
        <v>138</v>
      </c>
      <c r="M195" s="382" t="s">
        <v>139</v>
      </c>
      <c r="N195" s="382" t="s">
        <v>140</v>
      </c>
    </row>
    <row r="196" spans="1:29" hidden="1">
      <c r="C196" s="2890" t="s">
        <v>2363</v>
      </c>
      <c r="E196" s="3611" t="s">
        <v>2812</v>
      </c>
      <c r="F196" s="993"/>
      <c r="G196" s="993"/>
      <c r="H196" s="993"/>
      <c r="I196" s="993"/>
      <c r="J196" s="993"/>
      <c r="K196" s="993"/>
      <c r="L196" s="993"/>
      <c r="M196" s="993"/>
      <c r="N196" s="993"/>
    </row>
    <row r="197" spans="1:29" hidden="1">
      <c r="C197" s="2890" t="s">
        <v>145</v>
      </c>
      <c r="E197" s="3611" t="s">
        <v>2812</v>
      </c>
      <c r="F197" s="993" t="s">
        <v>5</v>
      </c>
      <c r="G197" s="993"/>
      <c r="H197" s="993"/>
      <c r="I197" s="993"/>
      <c r="J197" s="993"/>
      <c r="K197" s="993"/>
      <c r="L197" s="993"/>
      <c r="M197" s="993"/>
      <c r="N197" s="993"/>
    </row>
    <row r="198" spans="1:29" hidden="1">
      <c r="C198" s="2" t="s">
        <v>15</v>
      </c>
      <c r="E198" s="3611" t="s">
        <v>2812</v>
      </c>
      <c r="F198" s="993"/>
      <c r="G198" s="993"/>
      <c r="H198" s="993"/>
      <c r="I198" s="993"/>
      <c r="J198" s="993"/>
      <c r="K198" s="993"/>
      <c r="L198" s="993"/>
      <c r="M198" s="993"/>
      <c r="N198" s="993"/>
    </row>
    <row r="199" spans="1:29" hidden="1">
      <c r="C199" s="2" t="s">
        <v>59</v>
      </c>
      <c r="E199" s="3611" t="s">
        <v>2812</v>
      </c>
      <c r="F199" s="993"/>
      <c r="G199" s="993"/>
      <c r="H199" s="993"/>
      <c r="I199" s="993"/>
      <c r="J199" s="993"/>
      <c r="K199" s="993"/>
      <c r="L199" s="993"/>
      <c r="M199" s="993"/>
      <c r="N199" s="993"/>
    </row>
    <row r="200" spans="1:29" hidden="1">
      <c r="D200" s="2890" t="s">
        <v>2345</v>
      </c>
      <c r="F200" s="366"/>
    </row>
    <row r="202" spans="1:29" ht="23.25">
      <c r="A202" s="7"/>
      <c r="B202" s="511" t="s">
        <v>299</v>
      </c>
      <c r="C202" s="512"/>
      <c r="D202" s="512"/>
      <c r="E202" s="512"/>
      <c r="F202" s="512"/>
      <c r="G202" s="512"/>
      <c r="H202" s="512"/>
      <c r="I202" s="512"/>
      <c r="J202" s="512"/>
      <c r="K202" s="512"/>
      <c r="L202" s="512"/>
      <c r="M202" s="512"/>
      <c r="N202" s="512"/>
      <c r="O202" s="866"/>
    </row>
    <row r="203" spans="1:29">
      <c r="B203" s="514"/>
      <c r="C203" s="515"/>
      <c r="D203" s="515"/>
      <c r="E203" s="515"/>
      <c r="F203" s="515"/>
      <c r="G203" s="515"/>
      <c r="H203" s="515"/>
      <c r="I203" s="515"/>
      <c r="J203" s="515"/>
      <c r="K203" s="515"/>
      <c r="L203" s="515"/>
      <c r="M203" s="515"/>
      <c r="N203" s="515"/>
      <c r="O203" s="867"/>
    </row>
    <row r="204" spans="1:29">
      <c r="B204" s="514"/>
      <c r="C204" s="34" t="s">
        <v>2346</v>
      </c>
      <c r="D204" s="515"/>
      <c r="E204" s="516"/>
      <c r="F204" s="515"/>
      <c r="G204" s="515"/>
      <c r="H204" s="515"/>
      <c r="I204" s="515"/>
      <c r="J204" s="515"/>
      <c r="K204" s="515"/>
      <c r="L204" s="515"/>
      <c r="M204" s="515"/>
      <c r="N204" s="516" t="str">
        <f>Preferences.EnergyUnits</f>
        <v>TWh</v>
      </c>
      <c r="O204" s="867"/>
    </row>
    <row r="205" spans="1:29" ht="6" customHeight="1">
      <c r="B205" s="514"/>
      <c r="C205" s="515"/>
      <c r="D205" s="515"/>
      <c r="E205" s="515"/>
      <c r="F205" s="515"/>
      <c r="G205" s="515"/>
      <c r="H205" s="515"/>
      <c r="I205" s="515"/>
      <c r="J205" s="515"/>
      <c r="K205" s="515"/>
      <c r="L205" s="515"/>
      <c r="M205" s="515"/>
      <c r="N205" s="515"/>
      <c r="O205" s="867"/>
    </row>
    <row r="206" spans="1:29" ht="15.75">
      <c r="A206" s="443"/>
      <c r="B206" s="15"/>
      <c r="C206" s="873" t="s">
        <v>28</v>
      </c>
      <c r="D206" s="873" t="s">
        <v>29</v>
      </c>
      <c r="E206" s="873" t="s">
        <v>30</v>
      </c>
      <c r="F206" s="873" t="s">
        <v>597</v>
      </c>
      <c r="G206" s="873" t="s">
        <v>133</v>
      </c>
      <c r="H206" s="873" t="s">
        <v>134</v>
      </c>
      <c r="I206" s="873" t="s">
        <v>135</v>
      </c>
      <c r="J206" s="873" t="s">
        <v>136</v>
      </c>
      <c r="K206" s="873" t="s">
        <v>137</v>
      </c>
      <c r="L206" s="873" t="s">
        <v>138</v>
      </c>
      <c r="M206" s="873" t="s">
        <v>139</v>
      </c>
      <c r="N206" s="873" t="s">
        <v>140</v>
      </c>
      <c r="O206" s="867"/>
    </row>
    <row r="207" spans="1:29" ht="15.75">
      <c r="A207" s="443"/>
      <c r="B207" s="15"/>
      <c r="C207" s="18" t="s">
        <v>417</v>
      </c>
      <c r="D207" s="2954" t="str">
        <f>INDEX(Vectors[Description], MATCH([Vector], Vectors[Code], 0))</f>
        <v>Industry</v>
      </c>
      <c r="E207" s="873"/>
      <c r="F207" s="2800">
        <f>F$145+F$146+F$147+F$152+F$153</f>
        <v>7.5543224779012222E-2</v>
      </c>
      <c r="G207" s="2800">
        <f t="shared" ref="G207:N207" si="24">G$145+G$146+G$147+G$152+G$153</f>
        <v>0.17950357350456733</v>
      </c>
      <c r="H207" s="2800">
        <f t="shared" si="24"/>
        <v>2.341663707632998</v>
      </c>
      <c r="I207" s="2800">
        <f t="shared" si="24"/>
        <v>0.68189426081674298</v>
      </c>
      <c r="J207" s="2800">
        <f t="shared" si="24"/>
        <v>0</v>
      </c>
      <c r="K207" s="2800">
        <f t="shared" si="24"/>
        <v>0</v>
      </c>
      <c r="L207" s="2800">
        <f t="shared" si="24"/>
        <v>0</v>
      </c>
      <c r="M207" s="2800">
        <f t="shared" si="24"/>
        <v>0</v>
      </c>
      <c r="N207" s="2800">
        <f t="shared" si="24"/>
        <v>0</v>
      </c>
      <c r="O207" s="867"/>
    </row>
    <row r="208" spans="1:29" ht="15.75">
      <c r="A208" s="443"/>
      <c r="B208" s="15"/>
      <c r="C208" s="17" t="s">
        <v>96</v>
      </c>
      <c r="D208" s="2487" t="str">
        <f>INDEX(Vectors[Description], MATCH([Vector], Vectors[Code], 0))</f>
        <v>Electricity (delivered to end user)</v>
      </c>
      <c r="E208" s="17"/>
      <c r="F208" s="2521">
        <f t="shared" ref="F208:N208" si="25">-(F$145+F$152)</f>
        <v>-6.6380393902542884E-2</v>
      </c>
      <c r="G208" s="2521">
        <f t="shared" si="25"/>
        <v>-5.632506858883312E-2</v>
      </c>
      <c r="H208" s="2521">
        <f t="shared" si="25"/>
        <v>-3.5902839544807497E-2</v>
      </c>
      <c r="I208" s="2521">
        <f t="shared" si="25"/>
        <v>-2.154713679214617E-2</v>
      </c>
      <c r="J208" s="2521">
        <f t="shared" si="25"/>
        <v>0</v>
      </c>
      <c r="K208" s="2521">
        <f t="shared" si="25"/>
        <v>0</v>
      </c>
      <c r="L208" s="2521">
        <f t="shared" si="25"/>
        <v>0</v>
      </c>
      <c r="M208" s="2521">
        <f t="shared" si="25"/>
        <v>0</v>
      </c>
      <c r="N208" s="2521">
        <f t="shared" si="25"/>
        <v>0</v>
      </c>
      <c r="O208" s="867"/>
    </row>
    <row r="209" spans="1:15" ht="15.75">
      <c r="A209" s="443"/>
      <c r="B209" s="15"/>
      <c r="C209" s="17" t="s">
        <v>98</v>
      </c>
      <c r="D209" s="2487" t="str">
        <f>INDEX(Vectors[Description], MATCH([Vector], Vectors[Code], 0))</f>
        <v>Solid hydrocarbons</v>
      </c>
      <c r="E209" s="17"/>
      <c r="F209" s="2521">
        <f t="shared" ref="F209:N209" si="26">-F$146</f>
        <v>-3.0179240072394542E-3</v>
      </c>
      <c r="G209" s="2521">
        <f t="shared" si="26"/>
        <v>-2.5149366726995451E-3</v>
      </c>
      <c r="H209" s="2521">
        <f t="shared" si="26"/>
        <v>-7.1855333505701287E-4</v>
      </c>
      <c r="I209" s="2521">
        <f t="shared" si="26"/>
        <v>-7.1855333505701287E-4</v>
      </c>
      <c r="J209" s="2521">
        <f t="shared" si="26"/>
        <v>0</v>
      </c>
      <c r="K209" s="2521">
        <f t="shared" si="26"/>
        <v>0</v>
      </c>
      <c r="L209" s="2521">
        <f t="shared" si="26"/>
        <v>0</v>
      </c>
      <c r="M209" s="2521">
        <f t="shared" si="26"/>
        <v>0</v>
      </c>
      <c r="N209" s="2521">
        <f t="shared" si="26"/>
        <v>0</v>
      </c>
      <c r="O209" s="867"/>
    </row>
    <row r="210" spans="1:15" ht="15.75">
      <c r="A210" s="443"/>
      <c r="B210" s="15"/>
      <c r="C210" s="17" t="s">
        <v>100</v>
      </c>
      <c r="D210" s="2487" t="str">
        <f>INDEX(Vectors[Description], MATCH([Vector], Vectors[Code], 0))</f>
        <v>Gaseous hydrocarbons</v>
      </c>
      <c r="E210" s="17"/>
      <c r="F210" s="2521">
        <f>-(F$147+F$153)</f>
        <v>-6.1449068692298924E-3</v>
      </c>
      <c r="G210" s="2521">
        <f t="shared" ref="G210:N210" si="27">-(G$147+G$153)</f>
        <v>-0.12066356824303466</v>
      </c>
      <c r="H210" s="2521">
        <f t="shared" si="27"/>
        <v>-2.3050423147531336</v>
      </c>
      <c r="I210" s="2521">
        <f t="shared" si="27"/>
        <v>-0.65962857068953973</v>
      </c>
      <c r="J210" s="2521">
        <f t="shared" si="27"/>
        <v>0</v>
      </c>
      <c r="K210" s="2521">
        <f t="shared" si="27"/>
        <v>0</v>
      </c>
      <c r="L210" s="2521">
        <f t="shared" si="27"/>
        <v>0</v>
      </c>
      <c r="M210" s="2521">
        <f t="shared" si="27"/>
        <v>0</v>
      </c>
      <c r="N210" s="2521">
        <f t="shared" si="27"/>
        <v>0</v>
      </c>
      <c r="O210" s="867"/>
    </row>
    <row r="211" spans="1:15" ht="15.75">
      <c r="A211" s="443"/>
      <c r="B211" s="15"/>
      <c r="C211" s="17" t="s">
        <v>425</v>
      </c>
      <c r="D211" s="2487" t="str">
        <f>INDEX(Vectors[Description], MATCH([Vector], Vectors[Code], 0))</f>
        <v>Coal, peat and solid fuels</v>
      </c>
      <c r="E211" s="17"/>
      <c r="F211" s="2521">
        <f t="shared" ref="F211:N211" si="28">F$144</f>
        <v>8.4</v>
      </c>
      <c r="G211" s="2521">
        <f t="shared" si="28"/>
        <v>7</v>
      </c>
      <c r="H211" s="2521">
        <f t="shared" si="28"/>
        <v>2</v>
      </c>
      <c r="I211" s="2521">
        <f t="shared" si="28"/>
        <v>2</v>
      </c>
      <c r="J211" s="2521">
        <f t="shared" si="28"/>
        <v>0</v>
      </c>
      <c r="K211" s="2521">
        <f t="shared" si="28"/>
        <v>0</v>
      </c>
      <c r="L211" s="2521">
        <f t="shared" si="28"/>
        <v>0</v>
      </c>
      <c r="M211" s="2521">
        <f t="shared" si="28"/>
        <v>0</v>
      </c>
      <c r="N211" s="2521">
        <f t="shared" si="28"/>
        <v>0</v>
      </c>
      <c r="O211" s="867"/>
    </row>
    <row r="212" spans="1:15" ht="15.75">
      <c r="A212" s="443"/>
      <c r="B212" s="15"/>
      <c r="C212" s="17" t="s">
        <v>427</v>
      </c>
      <c r="D212" s="2487" t="str">
        <f>INDEX(Vectors[Description], MATCH([Vector], Vectors[Code], 0))</f>
        <v>Natural gas</v>
      </c>
      <c r="E212" s="17"/>
      <c r="F212" s="2521">
        <f>F$151</f>
        <v>0</v>
      </c>
      <c r="G212" s="2521">
        <f t="shared" ref="G212:N212" si="29">G$151</f>
        <v>1.7555282514130199</v>
      </c>
      <c r="H212" s="2521">
        <f t="shared" si="29"/>
        <v>35</v>
      </c>
      <c r="I212" s="2521">
        <f t="shared" si="29"/>
        <v>10</v>
      </c>
      <c r="J212" s="2521">
        <f t="shared" si="29"/>
        <v>0</v>
      </c>
      <c r="K212" s="2521">
        <f t="shared" si="29"/>
        <v>0</v>
      </c>
      <c r="L212" s="2521">
        <f t="shared" si="29"/>
        <v>0</v>
      </c>
      <c r="M212" s="2521">
        <f t="shared" si="29"/>
        <v>0</v>
      </c>
      <c r="N212" s="2521">
        <f t="shared" si="29"/>
        <v>0</v>
      </c>
      <c r="O212" s="867"/>
    </row>
    <row r="213" spans="1:15" ht="15.75">
      <c r="A213" s="443"/>
      <c r="B213" s="15"/>
      <c r="C213" s="17" t="s">
        <v>436</v>
      </c>
      <c r="D213" s="2487" t="str">
        <f>INDEX(Vectors[Description], MATCH([Vector], Vectors[Code], 0))</f>
        <v>Peat reserves</v>
      </c>
      <c r="E213" s="17"/>
      <c r="F213" s="2521">
        <f t="shared" ref="F213:N213" si="30">-F$144</f>
        <v>-8.4</v>
      </c>
      <c r="G213" s="2521">
        <f t="shared" si="30"/>
        <v>-7</v>
      </c>
      <c r="H213" s="2521">
        <f t="shared" si="30"/>
        <v>-2</v>
      </c>
      <c r="I213" s="2521">
        <f t="shared" si="30"/>
        <v>-2</v>
      </c>
      <c r="J213" s="2521">
        <f t="shared" si="30"/>
        <v>0</v>
      </c>
      <c r="K213" s="2521">
        <f t="shared" si="30"/>
        <v>0</v>
      </c>
      <c r="L213" s="2521">
        <f t="shared" si="30"/>
        <v>0</v>
      </c>
      <c r="M213" s="2521">
        <f t="shared" si="30"/>
        <v>0</v>
      </c>
      <c r="N213" s="2521">
        <f t="shared" si="30"/>
        <v>0</v>
      </c>
      <c r="O213" s="867"/>
    </row>
    <row r="214" spans="1:15" ht="15.75">
      <c r="A214" s="443"/>
      <c r="B214" s="15"/>
      <c r="C214" s="17" t="s">
        <v>437</v>
      </c>
      <c r="D214" s="2487" t="str">
        <f>INDEX(Vectors[Description], MATCH([Vector], Vectors[Code], 0))</f>
        <v>Oil reserves</v>
      </c>
      <c r="E214" s="17"/>
      <c r="F214" s="2521">
        <f t="shared" ref="F214:N214" si="31">-F$150</f>
        <v>0</v>
      </c>
      <c r="G214" s="2521">
        <f t="shared" si="31"/>
        <v>0</v>
      </c>
      <c r="H214" s="2521">
        <f t="shared" si="31"/>
        <v>0</v>
      </c>
      <c r="I214" s="2521">
        <f t="shared" si="31"/>
        <v>0</v>
      </c>
      <c r="J214" s="2521">
        <f t="shared" si="31"/>
        <v>0</v>
      </c>
      <c r="K214" s="2521">
        <f t="shared" si="31"/>
        <v>0</v>
      </c>
      <c r="L214" s="2521">
        <f t="shared" si="31"/>
        <v>0</v>
      </c>
      <c r="M214" s="2521">
        <f t="shared" si="31"/>
        <v>0</v>
      </c>
      <c r="N214" s="2521">
        <f t="shared" si="31"/>
        <v>0</v>
      </c>
      <c r="O214" s="867"/>
    </row>
    <row r="215" spans="1:15" ht="15.75">
      <c r="A215" s="443"/>
      <c r="B215" s="15"/>
      <c r="C215" s="17" t="s">
        <v>438</v>
      </c>
      <c r="D215" s="2487" t="str">
        <f>INDEX(Vectors[Description], MATCH([Vector], Vectors[Code], 0))</f>
        <v>Gas reserves</v>
      </c>
      <c r="E215" s="17"/>
      <c r="F215" s="2521">
        <f t="shared" ref="F215:N215" si="32">-F$151</f>
        <v>0</v>
      </c>
      <c r="G215" s="2521">
        <f t="shared" si="32"/>
        <v>-1.7555282514130199</v>
      </c>
      <c r="H215" s="2521">
        <f t="shared" si="32"/>
        <v>-35</v>
      </c>
      <c r="I215" s="2521">
        <f t="shared" si="32"/>
        <v>-10</v>
      </c>
      <c r="J215" s="2521">
        <f t="shared" si="32"/>
        <v>0</v>
      </c>
      <c r="K215" s="2521">
        <f t="shared" si="32"/>
        <v>0</v>
      </c>
      <c r="L215" s="2521">
        <f t="shared" si="32"/>
        <v>0</v>
      </c>
      <c r="M215" s="2521">
        <f t="shared" si="32"/>
        <v>0</v>
      </c>
      <c r="N215" s="2521">
        <f t="shared" si="32"/>
        <v>0</v>
      </c>
      <c r="O215" s="867"/>
    </row>
    <row r="216" spans="1:15" ht="15.75">
      <c r="A216" s="443"/>
      <c r="B216" s="15"/>
      <c r="C216" s="2462" t="s">
        <v>59</v>
      </c>
      <c r="D216" s="2462"/>
      <c r="E216" s="2462"/>
      <c r="F216" s="2465">
        <f>SUBTOTAL(109,[2013])</f>
        <v>0</v>
      </c>
      <c r="G216" s="2465">
        <f>SUBTOTAL(109,[2015])</f>
        <v>0</v>
      </c>
      <c r="H216" s="2465">
        <f>SUBTOTAL(109,[2020])</f>
        <v>0</v>
      </c>
      <c r="I216" s="2465">
        <f>SUBTOTAL(109,[2025])</f>
        <v>0</v>
      </c>
      <c r="J216" s="2465">
        <f>SUBTOTAL(109,[2030])</f>
        <v>0</v>
      </c>
      <c r="K216" s="2465">
        <f>SUBTOTAL(109,[2035])</f>
        <v>0</v>
      </c>
      <c r="L216" s="2465">
        <f>SUBTOTAL(109,[2040])</f>
        <v>0</v>
      </c>
      <c r="M216" s="2465">
        <f>SUBTOTAL(109,[2045])</f>
        <v>0</v>
      </c>
      <c r="N216" s="2465">
        <f>SUBTOTAL(109,[2050])</f>
        <v>0</v>
      </c>
      <c r="O216" s="867"/>
    </row>
    <row r="217" spans="1:15" ht="15.75">
      <c r="B217" s="35"/>
      <c r="C217" s="2920"/>
      <c r="D217" s="2921"/>
      <c r="E217" s="2921"/>
      <c r="F217" s="2921"/>
      <c r="G217" s="2921"/>
      <c r="H217" s="2921"/>
      <c r="I217" s="2921"/>
      <c r="J217" s="2921"/>
      <c r="K217" s="2921"/>
      <c r="L217" s="2921"/>
      <c r="M217" s="2921"/>
      <c r="N217" s="2921"/>
      <c r="O217" s="35"/>
    </row>
    <row r="218" spans="1:15" ht="23.25">
      <c r="A218" s="7"/>
    </row>
    <row r="219" spans="1:15" ht="15.75">
      <c r="B219" s="1127" t="s">
        <v>303</v>
      </c>
      <c r="C219" s="1128"/>
      <c r="D219" s="1129"/>
      <c r="E219" s="1129"/>
      <c r="F219" s="1129"/>
      <c r="G219" s="1129"/>
      <c r="H219" s="1129"/>
      <c r="I219" s="1129"/>
      <c r="J219" s="1129"/>
      <c r="K219" s="1129"/>
      <c r="L219" s="1129"/>
      <c r="M219" s="1129"/>
      <c r="N219" s="1129"/>
      <c r="O219" s="1130"/>
    </row>
    <row r="220" spans="1:15">
      <c r="B220" s="1131"/>
      <c r="C220" s="1132"/>
      <c r="D220" s="1132"/>
      <c r="E220" s="1132"/>
      <c r="F220" s="1132"/>
      <c r="G220" s="1132"/>
      <c r="H220" s="1132"/>
      <c r="I220" s="1132"/>
      <c r="J220" s="1132"/>
      <c r="K220" s="1132"/>
      <c r="L220" s="1132"/>
      <c r="M220" s="1132"/>
      <c r="N220" s="1132"/>
      <c r="O220" s="1133"/>
    </row>
    <row r="221" spans="1:15">
      <c r="B221" s="1134"/>
      <c r="C221" s="462" t="s">
        <v>1349</v>
      </c>
      <c r="D221" s="1135"/>
      <c r="E221" s="1136"/>
      <c r="F221" s="1135" t="s">
        <v>5</v>
      </c>
      <c r="G221" s="1135"/>
      <c r="H221" s="1135"/>
      <c r="I221" s="1135"/>
      <c r="J221" s="1135"/>
      <c r="K221" s="1135"/>
      <c r="L221" s="1135"/>
      <c r="M221" s="1135"/>
      <c r="N221" s="1136" t="s">
        <v>254</v>
      </c>
      <c r="O221" s="1138"/>
    </row>
    <row r="222" spans="1:15">
      <c r="B222" s="1134"/>
      <c r="C222" s="1135"/>
      <c r="D222" s="1135"/>
      <c r="E222" s="1135"/>
      <c r="F222" s="1135"/>
      <c r="G222" s="1135"/>
      <c r="H222" s="1135"/>
      <c r="I222" s="1135"/>
      <c r="J222" s="1135"/>
      <c r="K222" s="1135"/>
      <c r="L222" s="1135"/>
      <c r="M222" s="1135"/>
      <c r="N222" s="1135"/>
      <c r="O222" s="1138"/>
    </row>
    <row r="223" spans="1:15" ht="15.75">
      <c r="B223" s="467"/>
      <c r="C223" s="1339" t="s">
        <v>305</v>
      </c>
      <c r="D223" s="1339" t="s">
        <v>306</v>
      </c>
      <c r="E223" s="1339" t="s">
        <v>30</v>
      </c>
      <c r="F223" s="1339" t="s">
        <v>597</v>
      </c>
      <c r="G223" s="1339" t="s">
        <v>133</v>
      </c>
      <c r="H223" s="1339" t="s">
        <v>134</v>
      </c>
      <c r="I223" s="1339" t="s">
        <v>135</v>
      </c>
      <c r="J223" s="1339" t="s">
        <v>136</v>
      </c>
      <c r="K223" s="1339" t="s">
        <v>137</v>
      </c>
      <c r="L223" s="1339" t="s">
        <v>138</v>
      </c>
      <c r="M223" s="1339" t="s">
        <v>139</v>
      </c>
      <c r="N223" s="1339" t="s">
        <v>140</v>
      </c>
      <c r="O223" s="1138"/>
    </row>
    <row r="224" spans="1:15" ht="15.75">
      <c r="B224" s="467"/>
      <c r="C224" s="1140" t="s">
        <v>253</v>
      </c>
      <c r="D224" s="1141" t="s">
        <v>456</v>
      </c>
      <c r="E224" s="1140" t="str">
        <f>INDEX(IPCC[Sector_description], MATCH([IPCC Sector], IPCC[Sector_code], 0))</f>
        <v>Fugitive Emissions from Fuels</v>
      </c>
      <c r="F224" s="2473">
        <f>F$157</f>
        <v>0</v>
      </c>
      <c r="G224" s="2473">
        <f t="shared" ref="G224:N224" si="33">G$157</f>
        <v>0</v>
      </c>
      <c r="H224" s="2473" t="str">
        <f t="shared" si="33"/>
        <v xml:space="preserve"> </v>
      </c>
      <c r="I224" s="2473">
        <f t="shared" si="33"/>
        <v>0</v>
      </c>
      <c r="J224" s="2473">
        <f t="shared" si="33"/>
        <v>0</v>
      </c>
      <c r="K224" s="2473">
        <f t="shared" si="33"/>
        <v>0</v>
      </c>
      <c r="L224" s="2473">
        <f t="shared" si="33"/>
        <v>0</v>
      </c>
      <c r="M224" s="2473">
        <f t="shared" si="33"/>
        <v>0</v>
      </c>
      <c r="N224" s="2473">
        <f t="shared" si="33"/>
        <v>0</v>
      </c>
      <c r="O224" s="1138"/>
    </row>
    <row r="225" spans="2:24" ht="15.75">
      <c r="B225" s="467"/>
      <c r="C225" s="1140" t="s">
        <v>255</v>
      </c>
      <c r="D225" s="1141" t="s">
        <v>456</v>
      </c>
      <c r="E225" s="1140" t="str">
        <f>INDEX(IPCC[Sector_description], MATCH([IPCC Sector], IPCC[Sector_code], 0))</f>
        <v>Fugitive Emissions from Fuels</v>
      </c>
      <c r="F225" s="2473">
        <f t="shared" ref="F225:N225" si="34">F$156</f>
        <v>0</v>
      </c>
      <c r="G225" s="2473">
        <f t="shared" si="34"/>
        <v>0</v>
      </c>
      <c r="H225" s="2473">
        <f t="shared" si="34"/>
        <v>0</v>
      </c>
      <c r="I225" s="2473">
        <f t="shared" si="34"/>
        <v>0</v>
      </c>
      <c r="J225" s="2473">
        <f t="shared" si="34"/>
        <v>0</v>
      </c>
      <c r="K225" s="2473">
        <f t="shared" si="34"/>
        <v>0</v>
      </c>
      <c r="L225" s="2473">
        <f t="shared" si="34"/>
        <v>0</v>
      </c>
      <c r="M225" s="2473">
        <f t="shared" si="34"/>
        <v>0</v>
      </c>
      <c r="N225" s="2473">
        <f t="shared" si="34"/>
        <v>0</v>
      </c>
      <c r="O225" s="1138"/>
    </row>
    <row r="226" spans="2:24" ht="15.75">
      <c r="B226" s="467"/>
      <c r="C226" s="1140" t="s">
        <v>253</v>
      </c>
      <c r="D226" s="1141" t="s">
        <v>307</v>
      </c>
      <c r="E226" s="1140" t="str">
        <f>INDEX(IPCC[Sector_description], MATCH([IPCC Sector], IPCC[Sector_code], 0))</f>
        <v>Fuel Combustion</v>
      </c>
      <c r="F226" s="2473">
        <f>F$159</f>
        <v>0</v>
      </c>
      <c r="G226" s="2473">
        <f t="shared" ref="G226:N226" si="35">G$159</f>
        <v>2.3654063230198457E-2</v>
      </c>
      <c r="H226" s="2473">
        <f t="shared" si="35"/>
        <v>0.47159150665366845</v>
      </c>
      <c r="I226" s="2473">
        <f t="shared" si="35"/>
        <v>0.13474043047247669</v>
      </c>
      <c r="J226" s="2473">
        <f t="shared" si="35"/>
        <v>0</v>
      </c>
      <c r="K226" s="2473">
        <f t="shared" si="35"/>
        <v>0</v>
      </c>
      <c r="L226" s="2473">
        <f t="shared" si="35"/>
        <v>0</v>
      </c>
      <c r="M226" s="2473">
        <f t="shared" si="35"/>
        <v>0</v>
      </c>
      <c r="N226" s="2473">
        <f t="shared" si="35"/>
        <v>0</v>
      </c>
      <c r="O226" s="1138"/>
    </row>
    <row r="227" spans="2:24" ht="15.75">
      <c r="B227" s="467"/>
      <c r="C227" s="1140" t="s">
        <v>255</v>
      </c>
      <c r="D227" s="1141" t="s">
        <v>307</v>
      </c>
      <c r="E227" s="1140" t="str">
        <f>INDEX(IPCC[Sector_description], MATCH([IPCC Sector], IPCC[Sector_code], 0))</f>
        <v>Fuel Combustion</v>
      </c>
      <c r="F227" s="2473">
        <f>F$160</f>
        <v>0</v>
      </c>
      <c r="G227" s="2473">
        <f t="shared" ref="G227:N227" si="36">G$160</f>
        <v>8.7350366264119374E-6</v>
      </c>
      <c r="H227" s="2473">
        <f t="shared" si="36"/>
        <v>1.7415059067169076E-4</v>
      </c>
      <c r="I227" s="2473">
        <f t="shared" si="36"/>
        <v>4.9757311620483071E-5</v>
      </c>
      <c r="J227" s="2473">
        <f t="shared" si="36"/>
        <v>0</v>
      </c>
      <c r="K227" s="2473">
        <f t="shared" si="36"/>
        <v>0</v>
      </c>
      <c r="L227" s="2473">
        <f t="shared" si="36"/>
        <v>0</v>
      </c>
      <c r="M227" s="2473">
        <f t="shared" si="36"/>
        <v>0</v>
      </c>
      <c r="N227" s="2473">
        <f t="shared" si="36"/>
        <v>0</v>
      </c>
      <c r="O227" s="1138"/>
      <c r="R227" s="1077"/>
      <c r="S227" s="1077"/>
      <c r="T227" s="1077"/>
      <c r="U227" s="1077"/>
      <c r="V227" s="1077"/>
      <c r="W227" s="1077"/>
      <c r="X227" s="1077"/>
    </row>
    <row r="228" spans="2:24" ht="15.75">
      <c r="B228" s="467"/>
      <c r="C228" s="1140" t="s">
        <v>256</v>
      </c>
      <c r="D228" s="1141" t="s">
        <v>307</v>
      </c>
      <c r="E228" s="1140" t="str">
        <f>INDEX(IPCC[Sector_description], MATCH([IPCC Sector], IPCC[Sector_code], 0))</f>
        <v>Fuel Combustion</v>
      </c>
      <c r="F228" s="2473">
        <f>F$161</f>
        <v>0</v>
      </c>
      <c r="G228" s="2473">
        <f t="shared" ref="G228:N228" si="37">G$161</f>
        <v>3.7394275843544432E-4</v>
      </c>
      <c r="H228" s="2473">
        <f t="shared" si="37"/>
        <v>7.4553038578023803E-3</v>
      </c>
      <c r="I228" s="2473">
        <f t="shared" si="37"/>
        <v>2.1300868165149657E-3</v>
      </c>
      <c r="J228" s="2473">
        <f t="shared" si="37"/>
        <v>0</v>
      </c>
      <c r="K228" s="2473">
        <f t="shared" si="37"/>
        <v>0</v>
      </c>
      <c r="L228" s="2473">
        <f t="shared" si="37"/>
        <v>0</v>
      </c>
      <c r="M228" s="2473">
        <f t="shared" si="37"/>
        <v>0</v>
      </c>
      <c r="N228" s="2473">
        <f t="shared" si="37"/>
        <v>0</v>
      </c>
      <c r="O228" s="1138"/>
      <c r="R228" s="1077"/>
      <c r="S228" s="1077"/>
      <c r="T228" s="1077"/>
      <c r="U228" s="1077"/>
      <c r="V228" s="1077"/>
      <c r="W228" s="1077"/>
      <c r="X228" s="1077"/>
    </row>
    <row r="229" spans="2:24" ht="15.75">
      <c r="B229" s="467"/>
      <c r="C229" s="2466" t="s">
        <v>59</v>
      </c>
      <c r="D229" s="2466"/>
      <c r="E229" s="2466"/>
      <c r="F229" s="2467">
        <f>SUBTOTAL(109,[2013])</f>
        <v>0</v>
      </c>
      <c r="G229" s="2467">
        <f>SUBTOTAL(109,[2015])</f>
        <v>2.4036741025260315E-2</v>
      </c>
      <c r="H229" s="2467">
        <f>SUBTOTAL(109,[2020])</f>
        <v>0.47922096110214252</v>
      </c>
      <c r="I229" s="2467">
        <f>SUBTOTAL(109,[2025])</f>
        <v>0.13692027460061215</v>
      </c>
      <c r="J229" s="2467">
        <f>SUBTOTAL(109,[2030])</f>
        <v>0</v>
      </c>
      <c r="K229" s="2467">
        <f>SUBTOTAL(109,[2035])</f>
        <v>0</v>
      </c>
      <c r="L229" s="2467">
        <f>SUBTOTAL(109,[2040])</f>
        <v>0</v>
      </c>
      <c r="M229" s="2467">
        <f>SUBTOTAL(109,[2045])</f>
        <v>0</v>
      </c>
      <c r="N229" s="2467">
        <f>SUBTOTAL(109,[2050])</f>
        <v>0</v>
      </c>
      <c r="O229" s="1138"/>
      <c r="R229" s="1077"/>
      <c r="S229" s="1077"/>
      <c r="T229" s="1077"/>
      <c r="U229" s="1077"/>
      <c r="V229" s="1077"/>
      <c r="W229" s="1077"/>
      <c r="X229" s="1077"/>
    </row>
    <row r="230" spans="2:24" ht="15.75">
      <c r="B230" s="467"/>
      <c r="C230" s="1135"/>
      <c r="D230" s="1135"/>
      <c r="E230" s="1135"/>
      <c r="F230" s="1135"/>
      <c r="G230" s="1135"/>
      <c r="H230" s="1135"/>
      <c r="I230" s="1135"/>
      <c r="J230" s="1135"/>
      <c r="K230" s="1135"/>
      <c r="L230" s="1135"/>
      <c r="M230" s="1135"/>
      <c r="N230" s="1135"/>
      <c r="O230" s="474"/>
      <c r="R230" s="1077"/>
      <c r="S230" s="1077"/>
      <c r="T230" s="1077"/>
      <c r="U230" s="1077"/>
      <c r="V230" s="1077"/>
      <c r="W230" s="1077"/>
      <c r="X230" s="1077"/>
    </row>
    <row r="231" spans="2:24">
      <c r="R231" s="1077"/>
      <c r="S231" s="1077"/>
      <c r="T231" s="656"/>
      <c r="U231" s="1077"/>
      <c r="V231" s="1077"/>
      <c r="W231" s="1077"/>
      <c r="X231" s="1077"/>
    </row>
    <row r="232" spans="2:24">
      <c r="R232" s="1077"/>
      <c r="S232" s="1077"/>
      <c r="T232" s="656"/>
      <c r="U232" s="1077"/>
      <c r="V232" s="1077"/>
      <c r="W232" s="1077"/>
      <c r="X232" s="1077"/>
    </row>
    <row r="233" spans="2:24" ht="15.75">
      <c r="B233" s="995" t="s">
        <v>313</v>
      </c>
      <c r="C233" s="996"/>
      <c r="D233" s="997"/>
      <c r="E233" s="997"/>
      <c r="F233" s="997"/>
      <c r="G233" s="997"/>
      <c r="H233" s="997"/>
      <c r="I233" s="997"/>
      <c r="J233" s="997"/>
      <c r="K233" s="997"/>
      <c r="L233" s="997"/>
      <c r="M233" s="997"/>
      <c r="N233" s="997"/>
      <c r="O233" s="998"/>
      <c r="R233" s="1077"/>
      <c r="S233" s="1077"/>
      <c r="T233" s="656"/>
      <c r="U233" s="1077"/>
      <c r="V233" s="1077"/>
      <c r="W233" s="1077"/>
      <c r="X233" s="1077"/>
    </row>
    <row r="234" spans="2:24">
      <c r="B234" s="999"/>
      <c r="C234" s="1000"/>
      <c r="D234" s="1000"/>
      <c r="E234" s="1000"/>
      <c r="F234" s="1000"/>
      <c r="G234" s="1000"/>
      <c r="H234" s="1000"/>
      <c r="I234" s="1000"/>
      <c r="J234" s="1000"/>
      <c r="K234" s="1000"/>
      <c r="L234" s="1000"/>
      <c r="M234" s="1000"/>
      <c r="N234" s="1000"/>
      <c r="O234" s="1001"/>
      <c r="R234" s="1077"/>
      <c r="S234" s="1077"/>
      <c r="T234" s="656"/>
      <c r="U234" s="1077"/>
      <c r="V234" s="1077"/>
      <c r="W234" s="1077"/>
      <c r="X234" s="1077"/>
    </row>
    <row r="235" spans="2:24">
      <c r="B235" s="1002"/>
      <c r="C235" s="488" t="s">
        <v>314</v>
      </c>
      <c r="D235" s="1003"/>
      <c r="E235" s="1004"/>
      <c r="F235" s="1003"/>
      <c r="G235" s="1003"/>
      <c r="H235" s="1003"/>
      <c r="I235" s="1003"/>
      <c r="J235" s="1003"/>
      <c r="K235" s="1003"/>
      <c r="L235" s="1003"/>
      <c r="M235" s="1003"/>
      <c r="N235" s="1004"/>
      <c r="O235" s="1005"/>
      <c r="R235" s="1077"/>
      <c r="S235" s="1077"/>
      <c r="T235" s="1077"/>
      <c r="U235" s="1077"/>
      <c r="V235" s="1077"/>
      <c r="W235" s="1077"/>
      <c r="X235" s="1077"/>
    </row>
    <row r="236" spans="2:24">
      <c r="B236" s="1002"/>
      <c r="C236" s="1003"/>
      <c r="D236" s="1003"/>
      <c r="E236" s="1003"/>
      <c r="F236" s="1003"/>
      <c r="G236" s="1003"/>
      <c r="H236" s="1003"/>
      <c r="I236" s="1003"/>
      <c r="J236" s="1003"/>
      <c r="K236" s="1003"/>
      <c r="L236" s="1003"/>
      <c r="M236" s="1003"/>
      <c r="N236" s="1003"/>
      <c r="O236" s="1005"/>
      <c r="R236" s="1077"/>
      <c r="S236" s="1077"/>
      <c r="T236" s="1077"/>
      <c r="U236" s="1077"/>
      <c r="V236" s="1077"/>
      <c r="W236" s="1077"/>
      <c r="X236" s="1077"/>
    </row>
    <row r="237" spans="2:24" ht="15.75">
      <c r="B237" s="492"/>
      <c r="C237" s="1006" t="s">
        <v>28</v>
      </c>
      <c r="D237" s="1006" t="s">
        <v>315</v>
      </c>
      <c r="E237" s="1006" t="s">
        <v>30</v>
      </c>
      <c r="F237" s="1006">
        <v>2013</v>
      </c>
      <c r="G237" s="1006" t="s">
        <v>133</v>
      </c>
      <c r="H237" s="1006" t="s">
        <v>134</v>
      </c>
      <c r="I237" s="1006" t="s">
        <v>135</v>
      </c>
      <c r="J237" s="1006" t="s">
        <v>136</v>
      </c>
      <c r="K237" s="1006" t="s">
        <v>137</v>
      </c>
      <c r="L237" s="1006" t="s">
        <v>138</v>
      </c>
      <c r="M237" s="1006" t="s">
        <v>139</v>
      </c>
      <c r="N237" s="1006" t="s">
        <v>140</v>
      </c>
      <c r="O237" s="1005"/>
    </row>
    <row r="238" spans="2:24" ht="15.75">
      <c r="B238" s="492"/>
      <c r="C238" s="1007"/>
      <c r="D238" s="494"/>
      <c r="E238" s="494"/>
      <c r="F238" s="1008"/>
      <c r="G238" s="1008"/>
      <c r="H238" s="1008"/>
      <c r="I238" s="1008"/>
      <c r="J238" s="1008"/>
      <c r="K238" s="1008"/>
      <c r="L238" s="1008"/>
      <c r="M238" s="1008"/>
      <c r="N238" s="1008"/>
      <c r="O238" s="1005"/>
    </row>
    <row r="239" spans="2:24" ht="15.75">
      <c r="B239" s="492"/>
      <c r="C239" s="1007"/>
      <c r="D239" s="494"/>
      <c r="E239" s="494"/>
      <c r="F239" s="1008"/>
      <c r="G239" s="1008"/>
      <c r="H239" s="1008"/>
      <c r="I239" s="1008"/>
      <c r="J239" s="1008"/>
      <c r="K239" s="1008"/>
      <c r="L239" s="1008"/>
      <c r="M239" s="1008"/>
      <c r="N239" s="1008"/>
      <c r="O239" s="1005"/>
    </row>
    <row r="240" spans="2:24" ht="15.75">
      <c r="B240" s="497"/>
      <c r="C240" s="1010"/>
      <c r="D240" s="1010"/>
      <c r="E240" s="1010"/>
      <c r="F240" s="1010"/>
      <c r="G240" s="1010"/>
      <c r="H240" s="1010"/>
      <c r="I240" s="1010"/>
      <c r="J240" s="1010"/>
      <c r="K240" s="1010"/>
      <c r="L240" s="1010"/>
      <c r="M240" s="1010"/>
      <c r="N240" s="1010"/>
      <c r="O240" s="1011"/>
    </row>
    <row r="242" spans="2:15" ht="15.75">
      <c r="B242" s="995" t="s">
        <v>2795</v>
      </c>
      <c r="C242" s="997"/>
      <c r="D242" s="997"/>
      <c r="E242" s="997"/>
      <c r="F242" s="997"/>
      <c r="G242" s="997"/>
      <c r="H242" s="997"/>
      <c r="I242" s="997"/>
      <c r="J242" s="997"/>
      <c r="K242" s="997"/>
      <c r="L242" s="997"/>
      <c r="M242" s="997"/>
      <c r="N242" s="997"/>
      <c r="O242" s="998"/>
    </row>
    <row r="243" spans="2:15" hidden="1">
      <c r="B243" s="1002"/>
      <c r="C243" s="1003"/>
      <c r="D243" s="1003"/>
      <c r="E243" s="1003"/>
      <c r="F243" s="1003"/>
      <c r="G243" s="1003"/>
      <c r="H243" s="1003"/>
      <c r="I243" s="1003"/>
      <c r="J243" s="1003"/>
      <c r="K243" s="1003"/>
      <c r="L243" s="1003"/>
      <c r="M243" s="1003"/>
      <c r="N243" s="1003"/>
      <c r="O243" s="1005"/>
    </row>
    <row r="244" spans="2:15" hidden="1">
      <c r="B244" s="1002"/>
      <c r="C244" s="500" t="s">
        <v>2358</v>
      </c>
      <c r="D244" s="1012"/>
      <c r="E244" s="1012"/>
      <c r="F244" s="1012"/>
      <c r="G244" s="1012"/>
      <c r="H244" s="1012"/>
      <c r="I244" s="1012"/>
      <c r="J244" s="1012"/>
      <c r="K244" s="1012"/>
      <c r="L244" s="1012"/>
      <c r="M244" s="1012"/>
      <c r="N244" s="1012"/>
      <c r="O244" s="1005"/>
    </row>
    <row r="245" spans="2:15" hidden="1">
      <c r="B245" s="1002"/>
      <c r="C245" s="1003"/>
      <c r="D245" s="1003"/>
      <c r="E245" s="1003"/>
      <c r="F245" s="1003"/>
      <c r="G245" s="1003"/>
      <c r="H245" s="1003"/>
      <c r="I245" s="1003"/>
      <c r="J245" s="1003"/>
      <c r="K245" s="1003"/>
      <c r="L245" s="1003"/>
      <c r="M245" s="1003"/>
      <c r="N245" s="1003"/>
      <c r="O245" s="1005"/>
    </row>
    <row r="246" spans="2:15" ht="15.75" hidden="1">
      <c r="B246" s="492"/>
      <c r="C246" s="1389" t="s">
        <v>28</v>
      </c>
      <c r="D246" s="1389" t="s">
        <v>29</v>
      </c>
      <c r="E246" s="1389" t="s">
        <v>30</v>
      </c>
      <c r="F246" s="1389">
        <v>2013</v>
      </c>
      <c r="G246" s="1389" t="s">
        <v>133</v>
      </c>
      <c r="H246" s="1389" t="s">
        <v>134</v>
      </c>
      <c r="I246" s="1389" t="s">
        <v>135</v>
      </c>
      <c r="J246" s="1389" t="s">
        <v>136</v>
      </c>
      <c r="K246" s="1389" t="s">
        <v>137</v>
      </c>
      <c r="L246" s="1389" t="s">
        <v>138</v>
      </c>
      <c r="M246" s="1389" t="s">
        <v>139</v>
      </c>
      <c r="N246" s="1389" t="s">
        <v>140</v>
      </c>
      <c r="O246" s="1150"/>
    </row>
    <row r="247" spans="2:15" hidden="1">
      <c r="B247" s="1012"/>
      <c r="C247" s="1352" t="s">
        <v>771</v>
      </c>
      <c r="D247" s="1353" t="s">
        <v>772</v>
      </c>
      <c r="E247" s="1353"/>
      <c r="F247" s="1643"/>
      <c r="G247" s="1643"/>
      <c r="H247" s="1643"/>
      <c r="I247" s="1643"/>
      <c r="J247" s="1643"/>
      <c r="K247" s="1643"/>
      <c r="L247" s="1643"/>
      <c r="M247" s="1643"/>
      <c r="N247" s="1643"/>
      <c r="O247" s="1150"/>
    </row>
    <row r="248" spans="2:15" ht="15.75" hidden="1">
      <c r="B248" s="492"/>
      <c r="C248" s="1007" t="s">
        <v>773</v>
      </c>
      <c r="D248" s="494" t="s">
        <v>774</v>
      </c>
      <c r="E248" s="2922"/>
      <c r="F248" s="2923"/>
      <c r="G248" s="2923"/>
      <c r="H248" s="2923"/>
      <c r="I248" s="2923"/>
      <c r="J248" s="2923"/>
      <c r="K248" s="2923"/>
      <c r="L248" s="2923"/>
      <c r="M248" s="2923"/>
      <c r="N248" s="2923"/>
      <c r="O248" s="1150"/>
    </row>
    <row r="249" spans="2:15" hidden="1">
      <c r="B249" s="503"/>
      <c r="C249" s="1355" t="s">
        <v>775</v>
      </c>
      <c r="D249" s="1356" t="s">
        <v>776</v>
      </c>
      <c r="E249" s="2924"/>
      <c r="F249" s="2925"/>
      <c r="G249" s="2925"/>
      <c r="H249" s="2925"/>
      <c r="I249" s="2925"/>
      <c r="J249" s="2925"/>
      <c r="K249" s="2925"/>
      <c r="L249" s="2925"/>
      <c r="M249" s="2925"/>
      <c r="N249" s="2925"/>
      <c r="O249" s="1151"/>
    </row>
    <row r="250" spans="2:15" hidden="1">
      <c r="B250" s="1002"/>
      <c r="C250" s="1003"/>
      <c r="D250" s="1003"/>
      <c r="E250" s="1003"/>
      <c r="F250" s="1003"/>
      <c r="G250" s="1003"/>
      <c r="H250" s="1003"/>
      <c r="I250" s="1003"/>
      <c r="J250" s="1003"/>
      <c r="K250" s="1003"/>
      <c r="L250" s="1003"/>
      <c r="M250" s="1003"/>
      <c r="N250" s="1003"/>
      <c r="O250" s="1005"/>
    </row>
    <row r="251" spans="2:15" hidden="1">
      <c r="B251" s="1002"/>
      <c r="C251" s="500" t="s">
        <v>2347</v>
      </c>
      <c r="D251" s="1012"/>
      <c r="E251" s="1012"/>
      <c r="F251" s="1012"/>
      <c r="G251" s="1012"/>
      <c r="H251" s="1012"/>
      <c r="I251" s="1012"/>
      <c r="J251" s="1012"/>
      <c r="K251" s="1012"/>
      <c r="L251" s="1012"/>
      <c r="M251" s="1012"/>
      <c r="N251" s="1012"/>
      <c r="O251" s="1005"/>
    </row>
    <row r="252" spans="2:15" hidden="1">
      <c r="B252" s="1002"/>
      <c r="C252" s="1003"/>
      <c r="D252" s="1003"/>
      <c r="E252" s="1003"/>
      <c r="F252" s="1003"/>
      <c r="G252" s="1003"/>
      <c r="H252" s="1003"/>
      <c r="I252" s="1003"/>
      <c r="J252" s="1003"/>
      <c r="K252" s="1003"/>
      <c r="L252" s="1003"/>
      <c r="M252" s="1003"/>
      <c r="N252" s="1003"/>
      <c r="O252" s="1005"/>
    </row>
    <row r="253" spans="2:15" ht="15.75" hidden="1">
      <c r="B253" s="492"/>
      <c r="C253" s="1006" t="s">
        <v>28</v>
      </c>
      <c r="D253" s="1006" t="s">
        <v>29</v>
      </c>
      <c r="E253" s="1006" t="s">
        <v>30</v>
      </c>
      <c r="F253" s="1006">
        <v>2013</v>
      </c>
      <c r="G253" s="1006" t="s">
        <v>133</v>
      </c>
      <c r="H253" s="1006" t="s">
        <v>134</v>
      </c>
      <c r="I253" s="1006" t="s">
        <v>135</v>
      </c>
      <c r="J253" s="1006" t="s">
        <v>136</v>
      </c>
      <c r="K253" s="1006" t="s">
        <v>137</v>
      </c>
      <c r="L253" s="1006" t="s">
        <v>138</v>
      </c>
      <c r="M253" s="1006" t="s">
        <v>139</v>
      </c>
      <c r="N253" s="1006" t="s">
        <v>140</v>
      </c>
      <c r="O253" s="1150"/>
    </row>
    <row r="254" spans="2:15" ht="15.75" hidden="1">
      <c r="B254" s="492"/>
      <c r="C254" s="1007" t="s">
        <v>771</v>
      </c>
      <c r="D254" s="494" t="s">
        <v>772</v>
      </c>
      <c r="E254" s="2669"/>
      <c r="F254" s="506"/>
      <c r="G254" s="506"/>
      <c r="H254" s="506"/>
      <c r="I254" s="506"/>
      <c r="J254" s="506"/>
      <c r="K254" s="506"/>
      <c r="L254" s="506"/>
      <c r="M254" s="506"/>
      <c r="N254" s="506"/>
      <c r="O254" s="1150"/>
    </row>
    <row r="255" spans="2:15" ht="15.75" hidden="1">
      <c r="B255" s="492"/>
      <c r="C255" s="1007" t="s">
        <v>773</v>
      </c>
      <c r="D255" s="494" t="s">
        <v>774</v>
      </c>
      <c r="E255" s="2888"/>
      <c r="F255" s="495"/>
      <c r="G255" s="495"/>
      <c r="H255" s="495"/>
      <c r="I255" s="495"/>
      <c r="J255" s="495"/>
      <c r="K255" s="495"/>
      <c r="L255" s="495"/>
      <c r="M255" s="495"/>
      <c r="N255" s="495"/>
      <c r="O255" s="1150"/>
    </row>
    <row r="256" spans="2:15" hidden="1">
      <c r="B256" s="503"/>
      <c r="C256" s="1007" t="s">
        <v>775</v>
      </c>
      <c r="D256" s="494" t="s">
        <v>776</v>
      </c>
      <c r="E256" s="2669"/>
      <c r="F256" s="506"/>
      <c r="G256" s="506"/>
      <c r="H256" s="506"/>
      <c r="I256" s="506"/>
      <c r="J256" s="506"/>
      <c r="K256" s="506"/>
      <c r="L256" s="506"/>
      <c r="M256" s="506"/>
      <c r="N256" s="506"/>
      <c r="O256" s="1151"/>
    </row>
    <row r="257" spans="2:15" hidden="1">
      <c r="B257" s="1002"/>
      <c r="C257" s="1003"/>
      <c r="D257" s="1003"/>
      <c r="E257" s="1003"/>
      <c r="F257" s="1003"/>
      <c r="G257" s="1003"/>
      <c r="H257" s="1003"/>
      <c r="I257" s="1003"/>
      <c r="J257" s="1003"/>
      <c r="K257" s="1003"/>
      <c r="L257" s="1003"/>
      <c r="M257" s="1003"/>
      <c r="N257" s="1003"/>
      <c r="O257" s="1005"/>
    </row>
    <row r="258" spans="2:15" hidden="1">
      <c r="B258" s="1002"/>
      <c r="C258" s="500" t="s">
        <v>2348</v>
      </c>
      <c r="D258" s="1012"/>
      <c r="E258" s="1012"/>
      <c r="F258" s="1012"/>
      <c r="G258" s="1012"/>
      <c r="H258" s="1012"/>
      <c r="I258" s="1012"/>
      <c r="J258" s="1012"/>
      <c r="K258" s="1012"/>
      <c r="L258" s="1012"/>
      <c r="M258" s="1012"/>
      <c r="N258" s="1012"/>
      <c r="O258" s="1005"/>
    </row>
    <row r="259" spans="2:15" hidden="1">
      <c r="B259" s="1002"/>
      <c r="C259" s="1003"/>
      <c r="D259" s="1003"/>
      <c r="E259" s="1003"/>
      <c r="F259" s="1003"/>
      <c r="G259" s="1003"/>
      <c r="H259" s="1003"/>
      <c r="I259" s="1003"/>
      <c r="J259" s="1003"/>
      <c r="K259" s="1003"/>
      <c r="L259" s="1003"/>
      <c r="M259" s="1003"/>
      <c r="N259" s="1003"/>
      <c r="O259" s="1005"/>
    </row>
    <row r="260" spans="2:15" ht="15.75" hidden="1">
      <c r="B260" s="492"/>
      <c r="C260" s="1006" t="s">
        <v>28</v>
      </c>
      <c r="D260" s="1006" t="s">
        <v>29</v>
      </c>
      <c r="E260" s="1006" t="s">
        <v>30</v>
      </c>
      <c r="F260" s="1006">
        <v>2013</v>
      </c>
      <c r="G260" s="1006" t="s">
        <v>133</v>
      </c>
      <c r="H260" s="1006" t="s">
        <v>134</v>
      </c>
      <c r="I260" s="1006" t="s">
        <v>135</v>
      </c>
      <c r="J260" s="1006" t="s">
        <v>136</v>
      </c>
      <c r="K260" s="1006" t="s">
        <v>137</v>
      </c>
      <c r="L260" s="1006" t="s">
        <v>138</v>
      </c>
      <c r="M260" s="1006" t="s">
        <v>139</v>
      </c>
      <c r="N260" s="1006" t="s">
        <v>140</v>
      </c>
      <c r="O260" s="1150"/>
    </row>
    <row r="261" spans="2:15" ht="15.75" hidden="1">
      <c r="B261" s="492"/>
      <c r="C261" s="1007" t="s">
        <v>771</v>
      </c>
      <c r="D261" s="494" t="s">
        <v>772</v>
      </c>
      <c r="E261" s="2669"/>
      <c r="F261" s="506"/>
      <c r="G261" s="506"/>
      <c r="H261" s="506"/>
      <c r="I261" s="506"/>
      <c r="J261" s="506"/>
      <c r="K261" s="506"/>
      <c r="L261" s="506"/>
      <c r="M261" s="506"/>
      <c r="N261" s="506"/>
      <c r="O261" s="1150"/>
    </row>
    <row r="262" spans="2:15" ht="15.75" hidden="1">
      <c r="B262" s="492"/>
      <c r="C262" s="1007" t="s">
        <v>773</v>
      </c>
      <c r="D262" s="494" t="s">
        <v>774</v>
      </c>
      <c r="E262" s="2888"/>
      <c r="F262" s="495"/>
      <c r="G262" s="495"/>
      <c r="H262" s="495"/>
      <c r="I262" s="495"/>
      <c r="J262" s="495"/>
      <c r="K262" s="495"/>
      <c r="L262" s="495"/>
      <c r="M262" s="495"/>
      <c r="N262" s="495"/>
      <c r="O262" s="1150"/>
    </row>
    <row r="263" spans="2:15" hidden="1">
      <c r="B263" s="503"/>
      <c r="C263" s="1007" t="s">
        <v>775</v>
      </c>
      <c r="D263" s="494" t="s">
        <v>776</v>
      </c>
      <c r="E263" s="2669"/>
      <c r="F263" s="506"/>
      <c r="G263" s="506"/>
      <c r="H263" s="506"/>
      <c r="I263" s="506"/>
      <c r="J263" s="506"/>
      <c r="K263" s="506"/>
      <c r="L263" s="506"/>
      <c r="M263" s="506"/>
      <c r="N263" s="506"/>
      <c r="O263" s="1151"/>
    </row>
    <row r="264" spans="2:15" hidden="1">
      <c r="B264" s="1014"/>
      <c r="C264" s="1010"/>
      <c r="D264" s="1010"/>
      <c r="E264" s="1010"/>
      <c r="F264" s="1010"/>
      <c r="G264" s="1010"/>
      <c r="H264" s="1010"/>
      <c r="I264" s="1010"/>
      <c r="J264" s="1010"/>
      <c r="K264" s="1010"/>
      <c r="L264" s="1010"/>
      <c r="M264" s="1010"/>
      <c r="N264" s="1010"/>
      <c r="O264" s="1015"/>
    </row>
    <row r="266" spans="2:15" ht="15.75">
      <c r="B266" s="1357" t="s">
        <v>995</v>
      </c>
      <c r="C266" s="1644"/>
      <c r="D266" s="1644"/>
      <c r="E266" s="1644"/>
      <c r="F266" s="1644"/>
      <c r="G266" s="1644"/>
      <c r="H266" s="1644"/>
      <c r="I266" s="1644"/>
      <c r="J266" s="1644"/>
      <c r="K266" s="1644"/>
      <c r="L266" s="1644"/>
      <c r="M266" s="1644"/>
      <c r="N266" s="1644"/>
      <c r="O266" s="1644"/>
    </row>
    <row r="267" spans="2:15">
      <c r="B267" s="1358"/>
      <c r="C267" s="1358"/>
      <c r="D267" s="1358"/>
      <c r="E267" s="1358"/>
      <c r="F267" s="1358"/>
      <c r="G267" s="1358"/>
      <c r="H267" s="1358"/>
      <c r="I267" s="1358"/>
      <c r="J267" s="1358"/>
      <c r="K267" s="1358"/>
      <c r="L267" s="1358"/>
      <c r="M267" s="1358"/>
      <c r="N267" s="1358"/>
      <c r="O267" s="1358"/>
    </row>
    <row r="268" spans="2:15">
      <c r="B268" s="1358"/>
      <c r="C268" s="2926" t="s">
        <v>28</v>
      </c>
      <c r="D268" s="2927" t="s">
        <v>29</v>
      </c>
      <c r="E268" s="2927" t="s">
        <v>306</v>
      </c>
      <c r="F268" s="2927" t="s">
        <v>597</v>
      </c>
      <c r="G268" s="2927" t="s">
        <v>133</v>
      </c>
      <c r="H268" s="2927" t="s">
        <v>134</v>
      </c>
      <c r="I268" s="2927" t="s">
        <v>135</v>
      </c>
      <c r="J268" s="2927" t="s">
        <v>136</v>
      </c>
      <c r="K268" s="2927" t="s">
        <v>137</v>
      </c>
      <c r="L268" s="2927" t="s">
        <v>138</v>
      </c>
      <c r="M268" s="2927" t="s">
        <v>139</v>
      </c>
      <c r="N268" s="2928" t="s">
        <v>140</v>
      </c>
      <c r="O268" s="1358"/>
    </row>
    <row r="269" spans="2:15">
      <c r="B269" s="1358"/>
      <c r="C269" s="1648" t="s">
        <v>260</v>
      </c>
      <c r="D269" s="1649" t="str">
        <f>INDEX(AirQualityVectors[Description],MATCH(C269,AirQualityVectors[Code],0))</f>
        <v>PM10</v>
      </c>
      <c r="E269" s="1650" t="s">
        <v>307</v>
      </c>
      <c r="F269" s="2955">
        <f t="shared" ref="F269:N272" si="38">F167+F175</f>
        <v>1.1721306270537051E-3</v>
      </c>
      <c r="G269" s="2955">
        <f t="shared" si="38"/>
        <v>1.4025038014288261E-3</v>
      </c>
      <c r="H269" s="2955">
        <f t="shared" si="38"/>
        <v>1.1223850912537504E-2</v>
      </c>
      <c r="I269" s="2955">
        <f t="shared" si="38"/>
        <v>3.4118029257840443E-3</v>
      </c>
      <c r="J269" s="2955">
        <f t="shared" si="38"/>
        <v>0</v>
      </c>
      <c r="K269" s="2955">
        <f t="shared" si="38"/>
        <v>0</v>
      </c>
      <c r="L269" s="2955">
        <f t="shared" si="38"/>
        <v>0</v>
      </c>
      <c r="M269" s="2955">
        <f t="shared" si="38"/>
        <v>0</v>
      </c>
      <c r="N269" s="2955">
        <f t="shared" si="38"/>
        <v>0</v>
      </c>
      <c r="O269" s="1358"/>
    </row>
    <row r="270" spans="2:15">
      <c r="B270" s="1358"/>
      <c r="C270" s="1648" t="s">
        <v>262</v>
      </c>
      <c r="D270" s="1649" t="str">
        <f>INDEX(AirQualityVectors[Description],MATCH(C270,AirQualityVectors[Code],0))</f>
        <v>NOX</v>
      </c>
      <c r="E270" s="1650" t="s">
        <v>307</v>
      </c>
      <c r="F270" s="2955">
        <f t="shared" si="38"/>
        <v>5.4653897207705728E-3</v>
      </c>
      <c r="G270" s="2955">
        <f t="shared" si="38"/>
        <v>7.4202304556446247E-2</v>
      </c>
      <c r="H270" s="2955">
        <f t="shared" si="38"/>
        <v>1.1956669467693417</v>
      </c>
      <c r="I270" s="2955">
        <f t="shared" si="38"/>
        <v>0.34220369725601013</v>
      </c>
      <c r="J270" s="2955">
        <f t="shared" si="38"/>
        <v>0</v>
      </c>
      <c r="K270" s="2955">
        <f t="shared" si="38"/>
        <v>0</v>
      </c>
      <c r="L270" s="2955">
        <f t="shared" si="38"/>
        <v>0</v>
      </c>
      <c r="M270" s="2955">
        <f t="shared" si="38"/>
        <v>0</v>
      </c>
      <c r="N270" s="2955">
        <f t="shared" si="38"/>
        <v>0</v>
      </c>
      <c r="O270" s="1358"/>
    </row>
    <row r="271" spans="2:15">
      <c r="B271" s="1358"/>
      <c r="C271" s="1648" t="s">
        <v>264</v>
      </c>
      <c r="D271" s="1649" t="str">
        <f>INDEX(AirQualityVectors[Description],MATCH(C271,AirQualityVectors[Code],0))</f>
        <v>SO2</v>
      </c>
      <c r="E271" s="1650" t="s">
        <v>307</v>
      </c>
      <c r="F271" s="2955">
        <f t="shared" si="38"/>
        <v>8.1738706172729773E-3</v>
      </c>
      <c r="G271" s="2955">
        <f t="shared" si="38"/>
        <v>9.3042691843482211E-3</v>
      </c>
      <c r="H271" s="2955">
        <f t="shared" si="38"/>
        <v>1.7889949723467694E-2</v>
      </c>
      <c r="I271" s="2955">
        <f t="shared" si="38"/>
        <v>6.5617616147454795E-3</v>
      </c>
      <c r="J271" s="2955">
        <f t="shared" si="38"/>
        <v>0</v>
      </c>
      <c r="K271" s="2955">
        <f t="shared" si="38"/>
        <v>0</v>
      </c>
      <c r="L271" s="2955">
        <f t="shared" si="38"/>
        <v>0</v>
      </c>
      <c r="M271" s="2955">
        <f t="shared" si="38"/>
        <v>0</v>
      </c>
      <c r="N271" s="2955">
        <f t="shared" si="38"/>
        <v>0</v>
      </c>
      <c r="O271" s="1358"/>
    </row>
    <row r="272" spans="2:15">
      <c r="B272" s="1358"/>
      <c r="C272" s="1652" t="s">
        <v>266</v>
      </c>
      <c r="D272" s="1649" t="str">
        <f>INDEX(AirQualityVectors[Description],MATCH(C272,AirQualityVectors[Code],0))</f>
        <v>NMVOC</v>
      </c>
      <c r="E272" s="1650" t="s">
        <v>307</v>
      </c>
      <c r="F272" s="2955">
        <f t="shared" si="38"/>
        <v>5.8774626884925118E-5</v>
      </c>
      <c r="G272" s="2955">
        <f t="shared" si="38"/>
        <v>8.055086142924082E-4</v>
      </c>
      <c r="H272" s="2955">
        <f t="shared" si="38"/>
        <v>1.8616307572267933E-2</v>
      </c>
      <c r="I272" s="2955">
        <f t="shared" si="38"/>
        <v>5.3304813868657536E-3</v>
      </c>
      <c r="J272" s="2955">
        <f t="shared" si="38"/>
        <v>0</v>
      </c>
      <c r="K272" s="2955">
        <f t="shared" si="38"/>
        <v>0</v>
      </c>
      <c r="L272" s="2955">
        <f t="shared" si="38"/>
        <v>0</v>
      </c>
      <c r="M272" s="2955">
        <f t="shared" si="38"/>
        <v>0</v>
      </c>
      <c r="N272" s="2955">
        <f t="shared" si="38"/>
        <v>0</v>
      </c>
      <c r="O272" s="1358"/>
    </row>
    <row r="273" spans="2:15">
      <c r="B273" s="1358"/>
      <c r="C273" s="2929"/>
      <c r="D273" s="2930"/>
      <c r="E273" s="2929"/>
      <c r="F273" s="2931"/>
      <c r="G273" s="2931"/>
      <c r="H273" s="2931"/>
      <c r="I273" s="2931"/>
      <c r="J273" s="2931"/>
      <c r="K273" s="2931"/>
      <c r="L273" s="2931"/>
      <c r="M273" s="2931"/>
      <c r="N273" s="2931"/>
      <c r="O273" s="1358"/>
    </row>
    <row r="721" spans="6:15">
      <c r="O721" s="2890">
        <v>0</v>
      </c>
    </row>
    <row r="722" spans="6:15">
      <c r="O722" s="2890">
        <v>0</v>
      </c>
    </row>
    <row r="723" spans="6:15">
      <c r="F723" s="2890">
        <v>0</v>
      </c>
      <c r="G723" s="2890">
        <v>0</v>
      </c>
      <c r="H723" s="2890">
        <v>0</v>
      </c>
      <c r="I723" s="2890">
        <v>0</v>
      </c>
      <c r="J723" s="2890">
        <v>0</v>
      </c>
      <c r="K723" s="2890">
        <v>0</v>
      </c>
      <c r="L723" s="2890">
        <v>0</v>
      </c>
      <c r="M723" s="2890">
        <v>0</v>
      </c>
      <c r="N723" s="2890">
        <v>0</v>
      </c>
      <c r="O723" s="2890">
        <v>0</v>
      </c>
    </row>
    <row r="724" spans="6:15">
      <c r="F724" s="2890">
        <v>0</v>
      </c>
      <c r="G724" s="2890">
        <v>0</v>
      </c>
      <c r="H724" s="2890">
        <v>0</v>
      </c>
      <c r="I724" s="2890">
        <v>0</v>
      </c>
      <c r="J724" s="2890">
        <v>0</v>
      </c>
      <c r="K724" s="2890">
        <v>0</v>
      </c>
      <c r="L724" s="2890">
        <v>0</v>
      </c>
      <c r="M724" s="2890">
        <v>0</v>
      </c>
      <c r="N724" s="2890">
        <v>0</v>
      </c>
    </row>
    <row r="725" spans="6:15">
      <c r="F725" s="2890">
        <v>0</v>
      </c>
      <c r="G725" s="2890">
        <v>0</v>
      </c>
      <c r="H725" s="2890">
        <v>0</v>
      </c>
      <c r="I725" s="2890">
        <v>0</v>
      </c>
      <c r="J725" s="2890">
        <v>0</v>
      </c>
      <c r="K725" s="2890">
        <v>0</v>
      </c>
      <c r="L725" s="2890">
        <v>0</v>
      </c>
      <c r="M725" s="2890">
        <v>0</v>
      </c>
      <c r="N725" s="2890">
        <v>0</v>
      </c>
    </row>
  </sheetData>
  <mergeCells count="3">
    <mergeCell ref="G165:I165"/>
    <mergeCell ref="G172:I172"/>
    <mergeCell ref="G173:I173"/>
  </mergeCells>
  <pageMargins left="0.7" right="0.7" top="0.75" bottom="0.75" header="0.3" footer="0.3"/>
  <pageSetup orientation="portrait" r:id="rId1"/>
  <tableParts count="3">
    <tablePart r:id="rId2"/>
    <tablePart r:id="rId3"/>
    <tablePart r:id="rId4"/>
  </tableParts>
</worksheet>
</file>

<file path=xl/worksheets/sheet44.xml><?xml version="1.0" encoding="utf-8"?>
<worksheet xmlns="http://schemas.openxmlformats.org/spreadsheetml/2006/main" xmlns:r="http://schemas.openxmlformats.org/officeDocument/2006/relationships">
  <sheetPr>
    <tabColor theme="9"/>
  </sheetPr>
  <dimension ref="A1:AC727"/>
  <sheetViews>
    <sheetView showGridLines="0" topLeftCell="C1" zoomScale="80" zoomScaleNormal="80" workbookViewId="0">
      <selection activeCell="N9" sqref="N9"/>
    </sheetView>
  </sheetViews>
  <sheetFormatPr defaultColWidth="8.85546875" defaultRowHeight="15"/>
  <cols>
    <col min="1" max="1" width="7.7109375" style="2890" customWidth="1"/>
    <col min="2" max="2" width="5.85546875" style="2890" customWidth="1"/>
    <col min="3" max="3" width="20.42578125" style="2890" customWidth="1"/>
    <col min="4" max="4" width="30.7109375" style="2890" customWidth="1"/>
    <col min="5" max="5" width="20.7109375" style="2890" customWidth="1"/>
    <col min="6" max="14" width="17.7109375" style="2890" customWidth="1"/>
    <col min="15" max="15" width="2" style="2890" customWidth="1"/>
    <col min="16" max="16" width="8.85546875" style="2890"/>
    <col min="17" max="17" width="10.85546875" style="2890" customWidth="1"/>
    <col min="18" max="16384" width="8.85546875" style="2890"/>
  </cols>
  <sheetData>
    <row r="1" spans="1:15" ht="20.25">
      <c r="A1" s="863" t="s">
        <v>588</v>
      </c>
      <c r="B1" s="863" t="s">
        <v>589</v>
      </c>
      <c r="C1" s="863"/>
    </row>
    <row r="2" spans="1:15" s="6" customFormat="1" ht="15.75">
      <c r="A2" s="864" t="s">
        <v>583</v>
      </c>
      <c r="B2" s="864" t="s">
        <v>584</v>
      </c>
      <c r="C2" s="864"/>
      <c r="E2" s="5"/>
    </row>
    <row r="4" spans="1:15" ht="23.25">
      <c r="A4" s="7"/>
      <c r="B4" s="511" t="s">
        <v>24</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34" t="s">
        <v>2365</v>
      </c>
      <c r="D6" s="515"/>
      <c r="E6" s="516"/>
      <c r="F6" s="515"/>
      <c r="G6" s="515"/>
      <c r="H6" s="515"/>
      <c r="I6" s="515"/>
      <c r="J6" s="515"/>
      <c r="K6" s="515"/>
      <c r="L6" s="515"/>
      <c r="M6" s="515"/>
      <c r="N6" s="516" t="str">
        <f>Preferences.EnergyUnits</f>
        <v>TWh</v>
      </c>
      <c r="O6" s="867"/>
    </row>
    <row r="7" spans="1:15">
      <c r="B7" s="514"/>
      <c r="C7" s="12"/>
      <c r="D7" s="515"/>
      <c r="E7" s="516"/>
      <c r="F7" s="515"/>
      <c r="G7" s="515"/>
      <c r="H7" s="515"/>
      <c r="I7" s="515"/>
      <c r="J7" s="515"/>
      <c r="K7" s="515"/>
      <c r="L7" s="515"/>
      <c r="M7" s="515"/>
      <c r="N7" s="515"/>
      <c r="O7" s="867"/>
    </row>
    <row r="8" spans="1:15" s="6" customFormat="1" ht="15.75">
      <c r="A8" s="3"/>
      <c r="B8" s="19"/>
      <c r="C8" s="873" t="s">
        <v>28</v>
      </c>
      <c r="D8" s="873" t="s">
        <v>29</v>
      </c>
      <c r="E8" s="873" t="s">
        <v>30</v>
      </c>
      <c r="F8" s="2932" t="s">
        <v>597</v>
      </c>
      <c r="G8" s="873" t="s">
        <v>133</v>
      </c>
      <c r="H8" s="873" t="s">
        <v>134</v>
      </c>
      <c r="I8" s="873" t="s">
        <v>135</v>
      </c>
      <c r="J8" s="873" t="s">
        <v>136</v>
      </c>
      <c r="K8" s="873" t="s">
        <v>137</v>
      </c>
      <c r="L8" s="873" t="s">
        <v>138</v>
      </c>
      <c r="M8" s="873" t="s">
        <v>139</v>
      </c>
      <c r="N8" s="873" t="s">
        <v>140</v>
      </c>
      <c r="O8" s="874"/>
    </row>
    <row r="9" spans="1:15" s="6" customFormat="1" ht="15.75">
      <c r="A9" s="3"/>
      <c r="B9" s="19"/>
      <c r="C9" s="873" t="s">
        <v>98</v>
      </c>
      <c r="D9" s="2487" t="str">
        <f>INDEX(Vectors[Description], MATCH([Vector], Vectors[Code], 0))</f>
        <v>Solid hydrocarbons</v>
      </c>
      <c r="E9" s="873"/>
      <c r="F9" s="2956">
        <f ca="1">INDEX(INDIRECT("'"&amp;XVI.a.Inputs[#Headers]&amp;"'!Year.Matrix"), MATCH("Subtotal."&amp;$A$2, INDIRECT("'"&amp;XVI.a.Inputs[#Headers]&amp;"'!Year.Modules"), 0), MATCH([Vector], INDIRECT("'"&amp;XVI.a.Inputs[#Headers]&amp;"'!Year.Vectors"), 0))</f>
        <v>-23.066030448009798</v>
      </c>
      <c r="G9" s="2956">
        <f ca="1">INDEX(INDIRECT("'"&amp;XVI.a.Inputs[#Headers]&amp;"'!Year.Matrix"), MATCH("Subtotal."&amp;$A$2, INDIRECT("'"&amp;XVI.a.Inputs[#Headers]&amp;"'!Year.Modules"), 0), MATCH([Vector], INDIRECT("'"&amp;XVI.a.Inputs[#Headers]&amp;"'!Year.Vectors"), 0))</f>
        <v>-20.433572225892757</v>
      </c>
      <c r="H9" s="2956">
        <f ca="1">INDEX(INDIRECT("'"&amp;XVI.a.Inputs[#Headers]&amp;"'!Year.Matrix"), MATCH("Subtotal."&amp;$A$2, INDIRECT("'"&amp;XVI.a.Inputs[#Headers]&amp;"'!Year.Modules"), 0), MATCH([Vector], INDIRECT("'"&amp;XVI.a.Inputs[#Headers]&amp;"'!Year.Vectors"), 0))</f>
        <v>-2.7474595600810865</v>
      </c>
      <c r="I9" s="2956">
        <f ca="1">INDEX(INDIRECT("'"&amp;XVI.a.Inputs[#Headers]&amp;"'!Year.Matrix"), MATCH("Subtotal."&amp;$A$2, INDIRECT("'"&amp;XVI.a.Inputs[#Headers]&amp;"'!Year.Modules"), 0), MATCH([Vector], INDIRECT("'"&amp;XVI.a.Inputs[#Headers]&amp;"'!Year.Vectors"), 0))</f>
        <v>0</v>
      </c>
      <c r="J9" s="2956">
        <f ca="1">INDEX(INDIRECT("'"&amp;XVI.a.Inputs[#Headers]&amp;"'!Year.Matrix"), MATCH("Subtotal."&amp;$A$2, INDIRECT("'"&amp;XVI.a.Inputs[#Headers]&amp;"'!Year.Modules"), 0), MATCH([Vector], INDIRECT("'"&amp;XVI.a.Inputs[#Headers]&amp;"'!Year.Vectors"), 0))</f>
        <v>1.7763568394002505E-15</v>
      </c>
      <c r="K9" s="2956">
        <f ca="1">INDEX(INDIRECT("'"&amp;XVI.a.Inputs[#Headers]&amp;"'!Year.Matrix"), MATCH("Subtotal."&amp;$A$2, INDIRECT("'"&amp;XVI.a.Inputs[#Headers]&amp;"'!Year.Modules"), 0), MATCH([Vector], INDIRECT("'"&amp;XVI.a.Inputs[#Headers]&amp;"'!Year.Vectors"), 0))</f>
        <v>0</v>
      </c>
      <c r="L9" s="2956">
        <f ca="1">INDEX(INDIRECT("'"&amp;XVI.a.Inputs[#Headers]&amp;"'!Year.Matrix"), MATCH("Subtotal."&amp;$A$2, INDIRECT("'"&amp;XVI.a.Inputs[#Headers]&amp;"'!Year.Modules"), 0), MATCH([Vector], INDIRECT("'"&amp;XVI.a.Inputs[#Headers]&amp;"'!Year.Vectors"), 0))</f>
        <v>0</v>
      </c>
      <c r="M9" s="2956">
        <f ca="1">INDEX(INDIRECT("'"&amp;XVI.a.Inputs[#Headers]&amp;"'!Year.Matrix"), MATCH("Subtotal."&amp;$A$2, INDIRECT("'"&amp;XVI.a.Inputs[#Headers]&amp;"'!Year.Modules"), 0), MATCH([Vector], INDIRECT("'"&amp;XVI.a.Inputs[#Headers]&amp;"'!Year.Vectors"), 0))</f>
        <v>0</v>
      </c>
      <c r="N9" s="2956">
        <f ca="1">INDEX(INDIRECT("'"&amp;XVI.a.Inputs[#Headers]&amp;"'!Year.Matrix"), MATCH("Subtotal."&amp;$A$2, INDIRECT("'"&amp;XVI.a.Inputs[#Headers]&amp;"'!Year.Modules"), 0), MATCH([Vector], INDIRECT("'"&amp;XVI.a.Inputs[#Headers]&amp;"'!Year.Vectors"), 0))</f>
        <v>0</v>
      </c>
      <c r="O9" s="874"/>
    </row>
    <row r="10" spans="1:15" s="6" customFormat="1" ht="15.75">
      <c r="A10" s="3"/>
      <c r="B10" s="19"/>
      <c r="C10" s="873" t="s">
        <v>99</v>
      </c>
      <c r="D10" s="2487" t="str">
        <f>INDEX(Vectors[Description], MATCH([Vector], Vectors[Code], 0))</f>
        <v>Liquid hydrocarbons</v>
      </c>
      <c r="E10" s="873"/>
      <c r="F10" s="2956">
        <f ca="1">INDEX(INDIRECT("'"&amp;XVI.a.Inputs[#Headers]&amp;"'!Year.Matrix"), MATCH("Subtotal."&amp;$A$2, INDIRECT("'"&amp;XVI.a.Inputs[#Headers]&amp;"'!Year.Modules"), 0), MATCH([Vector], INDIRECT("'"&amp;XVI.a.Inputs[#Headers]&amp;"'!Year.Vectors"), 0))</f>
        <v>-76.341107777431446</v>
      </c>
      <c r="G10" s="2956">
        <f ca="1">INDEX(INDIRECT("'"&amp;XVI.a.Inputs[#Headers]&amp;"'!Year.Matrix"), MATCH("Subtotal."&amp;$A$2, INDIRECT("'"&amp;XVI.a.Inputs[#Headers]&amp;"'!Year.Modules"), 0), MATCH([Vector], INDIRECT("'"&amp;XVI.a.Inputs[#Headers]&amp;"'!Year.Vectors"), 0))</f>
        <v>-70.428965076712089</v>
      </c>
      <c r="H10" s="2956">
        <f ca="1">INDEX(INDIRECT("'"&amp;XVI.a.Inputs[#Headers]&amp;"'!Year.Matrix"), MATCH("Subtotal."&amp;$A$2, INDIRECT("'"&amp;XVI.a.Inputs[#Headers]&amp;"'!Year.Modules"), 0), MATCH([Vector], INDIRECT("'"&amp;XVI.a.Inputs[#Headers]&amp;"'!Year.Vectors"), 0))</f>
        <v>-66.132600914927124</v>
      </c>
      <c r="I10" s="2956">
        <f ca="1">INDEX(INDIRECT("'"&amp;XVI.a.Inputs[#Headers]&amp;"'!Year.Matrix"), MATCH("Subtotal."&amp;$A$2, INDIRECT("'"&amp;XVI.a.Inputs[#Headers]&amp;"'!Year.Modules"), 0), MATCH([Vector], INDIRECT("'"&amp;XVI.a.Inputs[#Headers]&amp;"'!Year.Vectors"), 0))</f>
        <v>-61.70681606299398</v>
      </c>
      <c r="J10" s="2956">
        <f ca="1">INDEX(INDIRECT("'"&amp;XVI.a.Inputs[#Headers]&amp;"'!Year.Matrix"), MATCH("Subtotal."&amp;$A$2, INDIRECT("'"&amp;XVI.a.Inputs[#Headers]&amp;"'!Year.Modules"), 0), MATCH([Vector], INDIRECT("'"&amp;XVI.a.Inputs[#Headers]&amp;"'!Year.Vectors"), 0))</f>
        <v>-58.853734589724091</v>
      </c>
      <c r="K10" s="2956">
        <f ca="1">INDEX(INDIRECT("'"&amp;XVI.a.Inputs[#Headers]&amp;"'!Year.Matrix"), MATCH("Subtotal."&amp;$A$2, INDIRECT("'"&amp;XVI.a.Inputs[#Headers]&amp;"'!Year.Modules"), 0), MATCH([Vector], INDIRECT("'"&amp;XVI.a.Inputs[#Headers]&amp;"'!Year.Vectors"), 0))</f>
        <v>-56.055550717287325</v>
      </c>
      <c r="L10" s="2956">
        <f ca="1">INDEX(INDIRECT("'"&amp;XVI.a.Inputs[#Headers]&amp;"'!Year.Matrix"), MATCH("Subtotal."&amp;$A$2, INDIRECT("'"&amp;XVI.a.Inputs[#Headers]&amp;"'!Year.Modules"), 0), MATCH([Vector], INDIRECT("'"&amp;XVI.a.Inputs[#Headers]&amp;"'!Year.Vectors"), 0))</f>
        <v>-53.466242556904533</v>
      </c>
      <c r="M10" s="2956">
        <f ca="1">INDEX(INDIRECT("'"&amp;XVI.a.Inputs[#Headers]&amp;"'!Year.Matrix"), MATCH("Subtotal."&amp;$A$2, INDIRECT("'"&amp;XVI.a.Inputs[#Headers]&amp;"'!Year.Modules"), 0), MATCH([Vector], INDIRECT("'"&amp;XVI.a.Inputs[#Headers]&amp;"'!Year.Vectors"), 0))</f>
        <v>-50.942465881243002</v>
      </c>
      <c r="N10" s="2956">
        <f ca="1">INDEX(INDIRECT("'"&amp;XVI.a.Inputs[#Headers]&amp;"'!Year.Matrix"), MATCH("Subtotal."&amp;$A$2, INDIRECT("'"&amp;XVI.a.Inputs[#Headers]&amp;"'!Year.Modules"), 0), MATCH([Vector], INDIRECT("'"&amp;XVI.a.Inputs[#Headers]&amp;"'!Year.Vectors"), 0))</f>
        <v>-48.624578735681354</v>
      </c>
      <c r="O10" s="874"/>
    </row>
    <row r="11" spans="1:15" s="6" customFormat="1" ht="15.75">
      <c r="A11" s="3"/>
      <c r="B11" s="19"/>
      <c r="C11" s="17" t="s">
        <v>100</v>
      </c>
      <c r="D11" s="2487" t="str">
        <f>INDEX(Vectors[Description], MATCH([Vector], Vectors[Code], 0))</f>
        <v>Gaseous hydrocarbons</v>
      </c>
      <c r="E11" s="17"/>
      <c r="F11" s="2956">
        <f ca="1">INDEX(INDIRECT("'"&amp;XVI.a.Inputs[#Headers]&amp;"'!Year.Matrix"), MATCH("Subtotal."&amp;$A$2, INDIRECT("'"&amp;XVI.a.Inputs[#Headers]&amp;"'!Year.Modules"), 0), MATCH([Vector], INDIRECT("'"&amp;XVI.a.Inputs[#Headers]&amp;"'!Year.Vectors"), 0))</f>
        <v>-45.859718897351158</v>
      </c>
      <c r="G11" s="2956">
        <f ca="1">INDEX(INDIRECT("'"&amp;XVI.a.Inputs[#Headers]&amp;"'!Year.Matrix"), MATCH("Subtotal."&amp;$A$2, INDIRECT("'"&amp;XVI.a.Inputs[#Headers]&amp;"'!Year.Modules"), 0), MATCH([Vector], INDIRECT("'"&amp;XVI.a.Inputs[#Headers]&amp;"'!Year.Vectors"), 0))</f>
        <v>-46.699297589470589</v>
      </c>
      <c r="H11" s="2956">
        <f ca="1">INDEX(INDIRECT("'"&amp;XVI.a.Inputs[#Headers]&amp;"'!Year.Matrix"), MATCH("Subtotal."&amp;$A$2, INDIRECT("'"&amp;XVI.a.Inputs[#Headers]&amp;"'!Year.Modules"), 0), MATCH([Vector], INDIRECT("'"&amp;XVI.a.Inputs[#Headers]&amp;"'!Year.Vectors"), 0))</f>
        <v>-45.776429049769959</v>
      </c>
      <c r="I11" s="2956">
        <f ca="1">INDEX(INDIRECT("'"&amp;XVI.a.Inputs[#Headers]&amp;"'!Year.Matrix"), MATCH("Subtotal."&amp;$A$2, INDIRECT("'"&amp;XVI.a.Inputs[#Headers]&amp;"'!Year.Modules"), 0), MATCH([Vector], INDIRECT("'"&amp;XVI.a.Inputs[#Headers]&amp;"'!Year.Vectors"), 0))</f>
        <v>-39.154178827745532</v>
      </c>
      <c r="J11" s="2956">
        <f ca="1">INDEX(INDIRECT("'"&amp;XVI.a.Inputs[#Headers]&amp;"'!Year.Matrix"), MATCH("Subtotal."&amp;$A$2, INDIRECT("'"&amp;XVI.a.Inputs[#Headers]&amp;"'!Year.Modules"), 0), MATCH([Vector], INDIRECT("'"&amp;XVI.a.Inputs[#Headers]&amp;"'!Year.Vectors"), 0))</f>
        <v>-29.27770535522513</v>
      </c>
      <c r="K11" s="2956">
        <f ca="1">INDEX(INDIRECT("'"&amp;XVI.a.Inputs[#Headers]&amp;"'!Year.Matrix"), MATCH("Subtotal."&amp;$A$2, INDIRECT("'"&amp;XVI.a.Inputs[#Headers]&amp;"'!Year.Modules"), 0), MATCH([Vector], INDIRECT("'"&amp;XVI.a.Inputs[#Headers]&amp;"'!Year.Vectors"), 0))</f>
        <v>-37.020258730660807</v>
      </c>
      <c r="L11" s="2956">
        <f ca="1">INDEX(INDIRECT("'"&amp;XVI.a.Inputs[#Headers]&amp;"'!Year.Matrix"), MATCH("Subtotal."&amp;$A$2, INDIRECT("'"&amp;XVI.a.Inputs[#Headers]&amp;"'!Year.Modules"), 0), MATCH([Vector], INDIRECT("'"&amp;XVI.a.Inputs[#Headers]&amp;"'!Year.Vectors"), 0))</f>
        <v>-48.973015352529522</v>
      </c>
      <c r="M11" s="2956">
        <f ca="1">INDEX(INDIRECT("'"&amp;XVI.a.Inputs[#Headers]&amp;"'!Year.Matrix"), MATCH("Subtotal."&amp;$A$2, INDIRECT("'"&amp;XVI.a.Inputs[#Headers]&amp;"'!Year.Modules"), 0), MATCH([Vector], INDIRECT("'"&amp;XVI.a.Inputs[#Headers]&amp;"'!Year.Vectors"), 0))</f>
        <v>-61.263715381020518</v>
      </c>
      <c r="N11" s="2956">
        <f ca="1">INDEX(INDIRECT("'"&amp;XVI.a.Inputs[#Headers]&amp;"'!Year.Matrix"), MATCH("Subtotal."&amp;$A$2, INDIRECT("'"&amp;XVI.a.Inputs[#Headers]&amp;"'!Year.Modules"), 0), MATCH([Vector], INDIRECT("'"&amp;XVI.a.Inputs[#Headers]&amp;"'!Year.Vectors"), 0))</f>
        <v>-73.905684637572634</v>
      </c>
      <c r="O11" s="875"/>
    </row>
    <row r="12" spans="1:15" s="6" customFormat="1" ht="15.75">
      <c r="A12" s="3"/>
      <c r="B12" s="19"/>
      <c r="C12" s="17"/>
      <c r="D12" s="17"/>
      <c r="E12" s="17"/>
      <c r="F12" s="22"/>
      <c r="G12" s="22"/>
      <c r="H12" s="22"/>
      <c r="I12" s="22"/>
      <c r="J12" s="22"/>
      <c r="K12" s="22"/>
      <c r="L12" s="22"/>
      <c r="M12" s="22"/>
      <c r="N12" s="22"/>
      <c r="O12" s="875"/>
    </row>
    <row r="14" spans="1:15" s="6" customFormat="1" ht="23.25">
      <c r="A14" s="40"/>
      <c r="B14" s="878" t="s">
        <v>70</v>
      </c>
      <c r="C14" s="879"/>
      <c r="D14" s="879"/>
      <c r="E14" s="879"/>
      <c r="F14" s="879"/>
      <c r="G14" s="879"/>
      <c r="H14" s="879"/>
      <c r="I14" s="879"/>
      <c r="J14" s="879"/>
      <c r="K14" s="879"/>
      <c r="L14" s="879"/>
      <c r="M14" s="879"/>
      <c r="N14" s="879"/>
      <c r="O14" s="880"/>
    </row>
    <row r="15" spans="1:15">
      <c r="B15" s="110"/>
      <c r="C15" s="67"/>
      <c r="D15" s="67"/>
      <c r="E15" s="67"/>
      <c r="F15" s="67"/>
      <c r="G15" s="67"/>
      <c r="H15" s="67"/>
      <c r="I15" s="67"/>
      <c r="J15" s="67"/>
      <c r="K15" s="67"/>
      <c r="L15" s="67"/>
      <c r="M15" s="67"/>
      <c r="N15" s="67"/>
      <c r="O15" s="885"/>
    </row>
    <row r="16" spans="1:15">
      <c r="B16" s="110"/>
      <c r="C16" s="49" t="s">
        <v>3165</v>
      </c>
      <c r="D16" s="67"/>
      <c r="E16" s="51"/>
      <c r="F16" s="67"/>
      <c r="G16" s="67"/>
      <c r="H16" s="67"/>
      <c r="I16" s="67"/>
      <c r="J16" s="67"/>
      <c r="K16" s="67"/>
      <c r="L16" s="67"/>
      <c r="M16" s="67"/>
      <c r="N16" s="51" t="s">
        <v>2963</v>
      </c>
      <c r="O16" s="885"/>
    </row>
    <row r="17" spans="2:15">
      <c r="B17" s="110"/>
      <c r="C17" s="67"/>
      <c r="D17" s="67"/>
      <c r="E17" s="67"/>
      <c r="F17" s="67"/>
      <c r="G17" s="67"/>
      <c r="H17" s="67"/>
      <c r="I17" s="67"/>
      <c r="J17" s="67"/>
      <c r="K17" s="67"/>
      <c r="L17" s="67"/>
      <c r="M17" s="67"/>
      <c r="N17" s="67"/>
      <c r="O17" s="885"/>
    </row>
    <row r="18" spans="2:15" ht="15.75">
      <c r="B18" s="55"/>
      <c r="C18" s="887" t="s">
        <v>28</v>
      </c>
      <c r="D18" s="887" t="s">
        <v>29</v>
      </c>
      <c r="E18" s="887" t="s">
        <v>30</v>
      </c>
      <c r="F18" s="888">
        <v>2013</v>
      </c>
      <c r="G18" s="92">
        <v>2015</v>
      </c>
      <c r="H18" s="92">
        <v>2020</v>
      </c>
      <c r="I18" s="92">
        <v>2025</v>
      </c>
      <c r="J18" s="92">
        <v>2030</v>
      </c>
      <c r="K18" s="92">
        <v>2035</v>
      </c>
      <c r="L18" s="92">
        <v>2040</v>
      </c>
      <c r="M18" s="92">
        <v>2045</v>
      </c>
      <c r="N18" s="92">
        <v>2050</v>
      </c>
      <c r="O18" s="885"/>
    </row>
    <row r="19" spans="2:15" s="6" customFormat="1" ht="15.75">
      <c r="B19" s="975"/>
      <c r="C19" s="916" t="s">
        <v>100</v>
      </c>
      <c r="D19" s="917" t="s">
        <v>90</v>
      </c>
      <c r="E19" s="917"/>
      <c r="F19" s="3753">
        <v>1.4999999999999999E-2</v>
      </c>
      <c r="G19" s="2590">
        <f>$F19</f>
        <v>1.4999999999999999E-2</v>
      </c>
      <c r="H19" s="2590">
        <f t="shared" ref="H19:N19" si="0">$F19</f>
        <v>1.4999999999999999E-2</v>
      </c>
      <c r="I19" s="2590">
        <f t="shared" si="0"/>
        <v>1.4999999999999999E-2</v>
      </c>
      <c r="J19" s="2590">
        <f t="shared" si="0"/>
        <v>1.4999999999999999E-2</v>
      </c>
      <c r="K19" s="2590">
        <f t="shared" si="0"/>
        <v>1.4999999999999999E-2</v>
      </c>
      <c r="L19" s="2590">
        <f t="shared" si="0"/>
        <v>1.4999999999999999E-2</v>
      </c>
      <c r="M19" s="2590">
        <f t="shared" si="0"/>
        <v>1.4999999999999999E-2</v>
      </c>
      <c r="N19" s="2590">
        <f t="shared" si="0"/>
        <v>1.4999999999999999E-2</v>
      </c>
      <c r="O19" s="893"/>
    </row>
    <row r="20" spans="2:15">
      <c r="B20" s="45"/>
      <c r="C20" s="67"/>
      <c r="D20" s="200"/>
      <c r="E20" s="67"/>
      <c r="F20" s="67"/>
      <c r="G20" s="67"/>
      <c r="H20" s="67"/>
      <c r="I20" s="67"/>
      <c r="J20" s="67"/>
      <c r="K20" s="67"/>
      <c r="L20" s="67"/>
      <c r="M20" s="67"/>
      <c r="N20" s="67"/>
      <c r="O20" s="885"/>
    </row>
    <row r="21" spans="2:15">
      <c r="B21" s="45"/>
      <c r="C21" s="49" t="s">
        <v>2958</v>
      </c>
      <c r="D21" s="200"/>
      <c r="E21" s="67"/>
      <c r="F21" s="51" t="s">
        <v>254</v>
      </c>
      <c r="G21" s="67"/>
      <c r="H21" s="67"/>
      <c r="I21" s="67"/>
      <c r="J21" s="67"/>
      <c r="K21" s="67"/>
      <c r="L21" s="67"/>
      <c r="M21" s="67"/>
      <c r="N21" s="67"/>
      <c r="O21" s="885"/>
    </row>
    <row r="22" spans="2:15">
      <c r="B22" s="45"/>
      <c r="C22" s="67"/>
      <c r="D22" s="200"/>
      <c r="E22" s="67"/>
      <c r="F22" s="67"/>
      <c r="G22" s="67"/>
      <c r="H22" s="67"/>
      <c r="I22" s="67"/>
      <c r="J22" s="67"/>
      <c r="K22" s="67"/>
      <c r="L22" s="67"/>
      <c r="M22" s="67"/>
      <c r="N22" s="67"/>
      <c r="O22" s="885"/>
    </row>
    <row r="23" spans="2:15" ht="15.75">
      <c r="B23" s="55"/>
      <c r="C23" s="1271" t="s">
        <v>305</v>
      </c>
      <c r="D23" s="1271" t="s">
        <v>306</v>
      </c>
      <c r="E23" s="1271" t="s">
        <v>30</v>
      </c>
      <c r="F23" s="922">
        <v>2013</v>
      </c>
      <c r="G23" s="67"/>
      <c r="H23" s="47"/>
      <c r="I23" s="67"/>
      <c r="J23" s="67"/>
      <c r="K23" s="67"/>
      <c r="L23" s="67"/>
      <c r="M23" s="67"/>
      <c r="N23" s="67"/>
      <c r="O23" s="885"/>
    </row>
    <row r="24" spans="2:15" ht="15.75">
      <c r="B24" s="55"/>
      <c r="C24" s="926" t="s">
        <v>255</v>
      </c>
      <c r="D24" s="199" t="s">
        <v>1834</v>
      </c>
      <c r="E24" s="199" t="s">
        <v>67</v>
      </c>
      <c r="F24" s="1157">
        <v>0.02</v>
      </c>
      <c r="G24" s="67"/>
      <c r="H24" s="47"/>
      <c r="I24" s="67"/>
      <c r="J24" s="67"/>
      <c r="K24" s="67"/>
      <c r="L24" s="67"/>
      <c r="M24" s="67"/>
      <c r="N24" s="67"/>
      <c r="O24" s="885"/>
    </row>
    <row r="25" spans="2:15" ht="15.75">
      <c r="B25" s="55"/>
      <c r="C25" s="65"/>
      <c r="D25" s="108"/>
      <c r="E25" s="108"/>
      <c r="F25" s="59"/>
      <c r="G25" s="67"/>
      <c r="H25" s="67"/>
      <c r="I25" s="67"/>
      <c r="J25" s="67"/>
      <c r="K25" s="67"/>
      <c r="L25" s="67"/>
      <c r="M25" s="67"/>
      <c r="N25" s="67"/>
      <c r="O25" s="885"/>
    </row>
    <row r="26" spans="2:15">
      <c r="B26" s="45"/>
      <c r="C26" s="49" t="s">
        <v>2366</v>
      </c>
      <c r="D26" s="200"/>
      <c r="E26" s="67"/>
      <c r="F26" s="51" t="s">
        <v>994</v>
      </c>
      <c r="G26" s="67"/>
      <c r="H26" s="67"/>
      <c r="I26" s="67"/>
      <c r="J26" s="67"/>
      <c r="K26" s="67"/>
      <c r="L26" s="67"/>
      <c r="M26" s="67"/>
      <c r="N26" s="67"/>
      <c r="O26" s="885"/>
    </row>
    <row r="27" spans="2:15">
      <c r="B27" s="45"/>
      <c r="C27" s="67"/>
      <c r="D27" s="200"/>
      <c r="E27" s="67"/>
      <c r="F27" s="67"/>
      <c r="G27" s="67"/>
      <c r="H27" s="67"/>
      <c r="I27" s="67"/>
      <c r="J27" s="67"/>
      <c r="K27" s="67"/>
      <c r="L27" s="67"/>
      <c r="M27" s="67"/>
      <c r="N27" s="67"/>
      <c r="O27" s="885"/>
    </row>
    <row r="28" spans="2:15">
      <c r="B28" s="45"/>
      <c r="C28" s="1271" t="s">
        <v>305</v>
      </c>
      <c r="D28" s="1271" t="s">
        <v>306</v>
      </c>
      <c r="E28" s="1271" t="s">
        <v>30</v>
      </c>
      <c r="F28" s="2957">
        <v>2013</v>
      </c>
      <c r="G28" s="922">
        <v>2015</v>
      </c>
      <c r="H28" s="922">
        <v>2020</v>
      </c>
      <c r="I28" s="922">
        <v>2025</v>
      </c>
      <c r="J28" s="922">
        <v>2030</v>
      </c>
      <c r="K28" s="67" t="s">
        <v>5</v>
      </c>
      <c r="L28" s="67"/>
      <c r="M28" s="67"/>
      <c r="N28" s="67"/>
      <c r="O28" s="885"/>
    </row>
    <row r="29" spans="2:15">
      <c r="B29" s="45"/>
      <c r="C29" s="926" t="s">
        <v>267</v>
      </c>
      <c r="D29" s="199" t="s">
        <v>1834</v>
      </c>
      <c r="E29" s="199"/>
      <c r="F29" s="1022">
        <v>0</v>
      </c>
      <c r="G29" s="1023">
        <v>0</v>
      </c>
      <c r="H29" s="1023">
        <v>0</v>
      </c>
      <c r="I29" s="1023">
        <v>0</v>
      </c>
      <c r="J29" s="1023">
        <v>0</v>
      </c>
      <c r="K29" s="67"/>
      <c r="L29" s="67"/>
      <c r="M29" s="67"/>
      <c r="N29" s="67"/>
      <c r="O29" s="885"/>
    </row>
    <row r="30" spans="2:15">
      <c r="B30" s="45"/>
      <c r="C30" s="67"/>
      <c r="D30" s="200"/>
      <c r="E30" s="67"/>
      <c r="F30" s="67"/>
      <c r="G30" s="67"/>
      <c r="H30" s="67"/>
      <c r="I30" s="67"/>
      <c r="J30" s="67"/>
      <c r="K30" s="67"/>
      <c r="L30" s="67"/>
      <c r="M30" s="67"/>
      <c r="N30" s="67"/>
      <c r="O30" s="885"/>
    </row>
    <row r="31" spans="2:15">
      <c r="B31" s="45"/>
      <c r="C31" s="67"/>
      <c r="D31" s="200"/>
      <c r="E31" s="67"/>
      <c r="F31" s="67"/>
      <c r="G31" s="67"/>
      <c r="H31" s="67"/>
      <c r="I31" s="67"/>
      <c r="J31" s="67"/>
      <c r="K31" s="67"/>
      <c r="L31" s="67"/>
      <c r="M31" s="67"/>
      <c r="N31" s="67"/>
      <c r="O31" s="885"/>
    </row>
    <row r="32" spans="2:15">
      <c r="B32" s="45"/>
      <c r="C32" s="2958" t="s">
        <v>1172</v>
      </c>
      <c r="D32" s="1103">
        <v>30</v>
      </c>
      <c r="E32" s="2959" t="s">
        <v>2367</v>
      </c>
      <c r="F32" s="1103"/>
      <c r="G32" s="1103"/>
      <c r="H32" s="1103"/>
      <c r="I32" s="67"/>
      <c r="J32" s="67"/>
      <c r="K32" s="67"/>
      <c r="L32" s="67"/>
      <c r="M32" s="67"/>
      <c r="N32" s="67"/>
      <c r="O32" s="885"/>
    </row>
    <row r="33" spans="1:29">
      <c r="B33" s="45"/>
      <c r="C33" s="67"/>
      <c r="D33" s="67"/>
      <c r="E33" s="1095"/>
      <c r="F33" s="67"/>
      <c r="G33" s="67"/>
      <c r="H33" s="67"/>
      <c r="I33" s="67"/>
      <c r="J33" s="67"/>
      <c r="K33" s="67"/>
      <c r="L33" s="67"/>
      <c r="M33" s="67"/>
      <c r="N33" s="67"/>
      <c r="O33" s="885"/>
    </row>
    <row r="34" spans="1:29">
      <c r="B34" s="45"/>
      <c r="C34" s="67"/>
      <c r="D34" s="200"/>
      <c r="E34" s="67"/>
      <c r="F34" s="67"/>
      <c r="G34" s="67"/>
      <c r="H34" s="67"/>
      <c r="I34" s="67"/>
      <c r="J34" s="67"/>
      <c r="K34" s="67"/>
      <c r="L34" s="67"/>
      <c r="M34" s="67"/>
      <c r="N34" s="67"/>
      <c r="O34" s="885"/>
    </row>
    <row r="35" spans="1:29">
      <c r="B35" s="45"/>
      <c r="C35" s="67" t="s">
        <v>64</v>
      </c>
      <c r="D35" s="200"/>
      <c r="E35" s="67"/>
      <c r="F35" s="67"/>
      <c r="G35" s="67"/>
      <c r="H35" s="67"/>
      <c r="I35" s="67"/>
      <c r="J35" s="67"/>
      <c r="K35" s="67"/>
      <c r="L35" s="67"/>
      <c r="M35" s="67"/>
      <c r="N35" s="67"/>
      <c r="O35" s="885"/>
    </row>
    <row r="36" spans="1:29" s="927" customFormat="1" ht="11.25">
      <c r="B36" s="1169"/>
      <c r="C36" s="1170" t="s">
        <v>65</v>
      </c>
      <c r="D36" s="2898" t="s">
        <v>1055</v>
      </c>
      <c r="E36" s="931"/>
      <c r="F36" s="931"/>
      <c r="G36" s="931"/>
      <c r="H36" s="931"/>
      <c r="I36" s="931"/>
      <c r="J36" s="931"/>
      <c r="K36" s="931"/>
      <c r="L36" s="931"/>
      <c r="M36" s="931"/>
      <c r="N36" s="931"/>
      <c r="O36" s="932"/>
    </row>
    <row r="37" spans="1:29" s="927" customFormat="1" ht="11.25">
      <c r="B37" s="1169"/>
      <c r="C37" s="1170" t="s">
        <v>67</v>
      </c>
      <c r="D37" s="2898" t="s">
        <v>2959</v>
      </c>
      <c r="E37" s="931"/>
      <c r="F37" s="931"/>
      <c r="G37" s="931"/>
      <c r="H37" s="931"/>
      <c r="I37" s="931"/>
      <c r="J37" s="931"/>
      <c r="K37" s="931"/>
      <c r="L37" s="931"/>
      <c r="M37" s="931"/>
      <c r="N37" s="931"/>
      <c r="O37" s="932"/>
    </row>
    <row r="38" spans="1:29">
      <c r="B38" s="1172"/>
      <c r="C38" s="1074"/>
      <c r="D38" s="1074"/>
      <c r="E38" s="1074"/>
      <c r="F38" s="1074"/>
      <c r="G38" s="1074"/>
      <c r="H38" s="1074"/>
      <c r="I38" s="1074"/>
      <c r="J38" s="1074"/>
      <c r="K38" s="1074"/>
      <c r="L38" s="1074"/>
      <c r="M38" s="1074"/>
      <c r="N38" s="1074"/>
      <c r="O38" s="1109"/>
    </row>
    <row r="39" spans="1:29" s="39" customFormat="1">
      <c r="B39" s="2960"/>
      <c r="C39" s="2961"/>
      <c r="D39" s="2961"/>
      <c r="E39" s="2961"/>
      <c r="F39" s="2961"/>
      <c r="G39" s="2961"/>
      <c r="H39" s="2961"/>
      <c r="I39" s="2961"/>
      <c r="J39" s="2961"/>
      <c r="K39" s="2961"/>
      <c r="L39" s="2961"/>
      <c r="M39" s="2961"/>
      <c r="N39" s="2961"/>
      <c r="O39" s="2962"/>
    </row>
    <row r="40" spans="1:29" s="6" customFormat="1" ht="23.25">
      <c r="A40" s="40"/>
      <c r="B40" s="878" t="s">
        <v>2794</v>
      </c>
      <c r="C40" s="879"/>
      <c r="D40" s="879"/>
      <c r="E40" s="879"/>
      <c r="F40" s="879"/>
      <c r="G40" s="879"/>
      <c r="H40" s="879"/>
      <c r="I40" s="879"/>
      <c r="J40" s="879"/>
      <c r="K40" s="879"/>
      <c r="L40" s="879"/>
      <c r="M40" s="879"/>
      <c r="N40" s="879"/>
      <c r="O40" s="879"/>
      <c r="Q40" s="656"/>
      <c r="R40" s="656"/>
      <c r="S40" s="656"/>
      <c r="T40" s="656"/>
      <c r="U40" s="656"/>
      <c r="V40" s="656"/>
      <c r="W40" s="656"/>
      <c r="X40" s="656"/>
      <c r="Y40" s="656"/>
      <c r="Z40" s="656"/>
      <c r="AA40" s="656"/>
      <c r="AB40" s="656"/>
      <c r="AC40" s="656"/>
    </row>
    <row r="41" spans="1:29" hidden="1">
      <c r="B41" s="110"/>
      <c r="C41" s="47"/>
      <c r="D41" s="47"/>
      <c r="E41" s="47"/>
      <c r="F41" s="47"/>
      <c r="G41" s="47"/>
      <c r="H41" s="47"/>
      <c r="I41" s="47"/>
      <c r="J41" s="47"/>
      <c r="K41" s="47"/>
      <c r="L41" s="47"/>
      <c r="M41" s="47"/>
      <c r="N41" s="47"/>
      <c r="O41" s="67"/>
      <c r="Q41" s="1173"/>
      <c r="R41" s="1173"/>
      <c r="S41" s="1173"/>
      <c r="T41" s="1173"/>
      <c r="U41" s="1077"/>
      <c r="V41" s="1077"/>
      <c r="W41" s="1077"/>
      <c r="X41" s="1077"/>
      <c r="Y41" s="1077"/>
      <c r="Z41" s="1077"/>
      <c r="AA41" s="1077"/>
      <c r="AB41" s="1077"/>
      <c r="AC41" s="1077"/>
    </row>
    <row r="42" spans="1:29" hidden="1">
      <c r="B42" s="110"/>
      <c r="C42" s="970" t="s">
        <v>2368</v>
      </c>
      <c r="D42" s="47"/>
      <c r="E42" s="47"/>
      <c r="F42" s="47"/>
      <c r="G42" s="47"/>
      <c r="H42" s="47"/>
      <c r="I42" s="47"/>
      <c r="J42" s="47"/>
      <c r="K42" s="47"/>
      <c r="L42" s="47"/>
      <c r="M42" s="47"/>
      <c r="N42" s="49" t="s">
        <v>2818</v>
      </c>
      <c r="O42" s="67"/>
      <c r="Q42" s="2496"/>
      <c r="R42" s="1173"/>
      <c r="S42" s="1173"/>
      <c r="T42" s="1431"/>
      <c r="U42" s="1431"/>
      <c r="V42" s="1077"/>
      <c r="W42" s="1077"/>
      <c r="X42" s="1077"/>
      <c r="Y42" s="1077"/>
      <c r="Z42" s="1077"/>
      <c r="AA42" s="1077"/>
      <c r="AB42" s="1077"/>
      <c r="AC42" s="1077"/>
    </row>
    <row r="43" spans="1:29" hidden="1">
      <c r="B43" s="110"/>
      <c r="C43" s="2963"/>
      <c r="D43" s="2609"/>
      <c r="E43" s="2964" t="s">
        <v>160</v>
      </c>
      <c r="F43" s="2965">
        <v>2013</v>
      </c>
      <c r="G43" s="964">
        <v>2015</v>
      </c>
      <c r="H43" s="964">
        <v>2020</v>
      </c>
      <c r="I43" s="964">
        <v>2025</v>
      </c>
      <c r="J43" s="964">
        <v>2030</v>
      </c>
      <c r="K43" s="964">
        <v>2035</v>
      </c>
      <c r="L43" s="964">
        <v>2040</v>
      </c>
      <c r="M43" s="964">
        <v>2045</v>
      </c>
      <c r="N43" s="964">
        <v>2050</v>
      </c>
      <c r="O43" s="67"/>
      <c r="Q43" s="2496"/>
      <c r="R43" s="1173"/>
      <c r="S43" s="1173"/>
      <c r="T43" s="1173"/>
      <c r="U43" s="1077"/>
      <c r="V43" s="1077"/>
      <c r="W43" s="1077"/>
      <c r="X43" s="1077"/>
      <c r="Y43" s="1077"/>
      <c r="Z43" s="1077"/>
      <c r="AA43" s="1077"/>
      <c r="AB43" s="1077"/>
      <c r="AC43" s="1077"/>
    </row>
    <row r="44" spans="1:29" hidden="1">
      <c r="B44" s="67"/>
      <c r="C44" s="976" t="s">
        <v>738</v>
      </c>
      <c r="D44" s="1079"/>
      <c r="E44" s="2966"/>
      <c r="F44" s="2967"/>
      <c r="G44" s="1606"/>
      <c r="H44" s="1606"/>
      <c r="I44" s="1606"/>
      <c r="J44" s="1606"/>
      <c r="K44" s="1606"/>
      <c r="L44" s="1606"/>
      <c r="M44" s="1606"/>
      <c r="N44" s="2968"/>
      <c r="O44" s="67"/>
      <c r="Q44" s="2496"/>
      <c r="R44" s="1173"/>
      <c r="S44" s="1173"/>
      <c r="T44" s="1173"/>
      <c r="U44" s="1077"/>
      <c r="V44" s="1077"/>
      <c r="W44" s="1077"/>
      <c r="X44" s="1077"/>
      <c r="Y44" s="1077"/>
      <c r="Z44" s="1077"/>
      <c r="AA44" s="1077"/>
      <c r="AB44" s="1077"/>
      <c r="AC44" s="1077"/>
    </row>
    <row r="45" spans="1:29" hidden="1">
      <c r="B45" s="67"/>
      <c r="C45" s="952" t="s">
        <v>739</v>
      </c>
      <c r="D45" s="924"/>
      <c r="E45" s="2969"/>
      <c r="F45" s="2970"/>
      <c r="G45" s="2971"/>
      <c r="H45" s="2971"/>
      <c r="I45" s="2971"/>
      <c r="J45" s="2971"/>
      <c r="K45" s="2971"/>
      <c r="L45" s="2971"/>
      <c r="M45" s="2971"/>
      <c r="N45" s="2971"/>
      <c r="O45" s="67"/>
      <c r="Q45" s="2496"/>
      <c r="R45" s="1422"/>
      <c r="S45" s="1422"/>
      <c r="T45" s="2904"/>
      <c r="U45" s="1700"/>
      <c r="V45" s="1077"/>
      <c r="W45" s="1077"/>
      <c r="X45" s="1077"/>
      <c r="Y45" s="1077"/>
      <c r="Z45" s="1077"/>
      <c r="AA45" s="1077"/>
      <c r="AB45" s="1077"/>
      <c r="AC45" s="1077"/>
    </row>
    <row r="46" spans="1:29" hidden="1">
      <c r="B46" s="47"/>
      <c r="C46" s="956" t="s">
        <v>740</v>
      </c>
      <c r="D46" s="957"/>
      <c r="E46" s="2972"/>
      <c r="F46" s="2945"/>
      <c r="G46" s="979"/>
      <c r="H46" s="979"/>
      <c r="I46" s="979"/>
      <c r="J46" s="979"/>
      <c r="K46" s="979"/>
      <c r="L46" s="979"/>
      <c r="M46" s="979"/>
      <c r="N46" s="2908"/>
      <c r="O46" s="47"/>
      <c r="Q46" s="1173"/>
      <c r="R46" s="1173"/>
      <c r="S46" s="1173"/>
      <c r="T46" s="1173"/>
      <c r="U46" s="1400"/>
      <c r="V46" s="1077"/>
      <c r="W46" s="1077"/>
      <c r="X46" s="1077"/>
      <c r="Y46" s="1077"/>
      <c r="Z46" s="1077"/>
      <c r="AA46" s="1077"/>
      <c r="AB46" s="1077"/>
      <c r="AC46" s="1077"/>
    </row>
    <row r="47" spans="1:29" hidden="1">
      <c r="B47" s="47"/>
      <c r="C47" s="47"/>
      <c r="D47" s="47"/>
      <c r="E47" s="47"/>
      <c r="F47" s="47"/>
      <c r="G47" s="47"/>
      <c r="H47" s="47"/>
      <c r="I47" s="47"/>
      <c r="J47" s="47"/>
      <c r="K47" s="47"/>
      <c r="L47" s="47"/>
      <c r="M47" s="47"/>
      <c r="N47" s="47"/>
      <c r="O47" s="47"/>
      <c r="Q47" s="1173"/>
      <c r="R47" s="1173"/>
      <c r="S47" s="1173"/>
      <c r="T47" s="1173"/>
      <c r="U47" s="1400"/>
      <c r="V47" s="1077"/>
      <c r="W47" s="1077"/>
      <c r="X47" s="1077"/>
      <c r="Y47" s="1077"/>
      <c r="Z47" s="1077"/>
      <c r="AA47" s="1077"/>
      <c r="AB47" s="1077"/>
      <c r="AC47" s="1077"/>
    </row>
    <row r="48" spans="1:29" hidden="1">
      <c r="B48" s="47"/>
      <c r="C48" s="970" t="s">
        <v>2369</v>
      </c>
      <c r="D48" s="47"/>
      <c r="E48" s="47"/>
      <c r="F48" s="47"/>
      <c r="G48" s="47"/>
      <c r="H48" s="47"/>
      <c r="I48" s="47"/>
      <c r="J48" s="47"/>
      <c r="K48" s="47"/>
      <c r="L48" s="47"/>
      <c r="M48" s="47"/>
      <c r="N48" s="49" t="s">
        <v>2818</v>
      </c>
      <c r="O48" s="47"/>
      <c r="Q48" s="1173"/>
      <c r="R48" s="1173"/>
      <c r="S48" s="1173"/>
      <c r="T48" s="2973"/>
      <c r="U48" s="1400"/>
      <c r="V48" s="1077"/>
      <c r="W48" s="1077"/>
      <c r="X48" s="1077"/>
      <c r="Y48" s="1077"/>
      <c r="Z48" s="1077"/>
      <c r="AA48" s="1077"/>
      <c r="AB48" s="1077"/>
      <c r="AC48" s="1077"/>
    </row>
    <row r="49" spans="2:29" hidden="1">
      <c r="B49" s="47"/>
      <c r="C49" s="1078"/>
      <c r="D49" s="1548"/>
      <c r="E49" s="1201" t="s">
        <v>160</v>
      </c>
      <c r="F49" s="2974">
        <v>2013</v>
      </c>
      <c r="G49" s="981">
        <v>2015</v>
      </c>
      <c r="H49" s="981">
        <v>2020</v>
      </c>
      <c r="I49" s="981">
        <v>2025</v>
      </c>
      <c r="J49" s="981">
        <v>2030</v>
      </c>
      <c r="K49" s="981">
        <v>2035</v>
      </c>
      <c r="L49" s="981">
        <v>2040</v>
      </c>
      <c r="M49" s="981">
        <v>2045</v>
      </c>
      <c r="N49" s="981">
        <v>2050</v>
      </c>
      <c r="O49" s="47"/>
      <c r="Q49" s="1173"/>
      <c r="R49" s="1173"/>
      <c r="S49" s="1173"/>
      <c r="T49" s="2973"/>
      <c r="U49" s="1400"/>
      <c r="V49" s="1077"/>
      <c r="W49" s="1077"/>
      <c r="X49" s="1077"/>
      <c r="Y49" s="1077"/>
      <c r="Z49" s="1077"/>
      <c r="AA49" s="1077"/>
      <c r="AB49" s="1077"/>
      <c r="AC49" s="1077"/>
    </row>
    <row r="50" spans="2:29" hidden="1">
      <c r="B50" s="47"/>
      <c r="C50" s="976" t="s">
        <v>738</v>
      </c>
      <c r="D50" s="1079"/>
      <c r="E50" s="966"/>
      <c r="F50" s="2967"/>
      <c r="G50" s="1606"/>
      <c r="H50" s="1606"/>
      <c r="I50" s="1606"/>
      <c r="J50" s="1606"/>
      <c r="K50" s="1606"/>
      <c r="L50" s="1606"/>
      <c r="M50" s="1606"/>
      <c r="N50" s="2968"/>
      <c r="O50" s="47"/>
      <c r="Q50" s="1173"/>
      <c r="R50" s="1173"/>
      <c r="S50" s="1173"/>
      <c r="T50" s="2973"/>
      <c r="U50" s="1400"/>
      <c r="V50" s="1077"/>
      <c r="W50" s="1077"/>
      <c r="X50" s="1077"/>
      <c r="Y50" s="1077"/>
      <c r="Z50" s="1077"/>
      <c r="AA50" s="1077"/>
      <c r="AB50" s="1077"/>
      <c r="AC50" s="1077"/>
    </row>
    <row r="51" spans="2:29" hidden="1">
      <c r="B51" s="47"/>
      <c r="C51" s="952" t="s">
        <v>739</v>
      </c>
      <c r="D51" s="924"/>
      <c r="E51" s="953"/>
      <c r="F51" s="2970"/>
      <c r="G51" s="2971"/>
      <c r="H51" s="2971"/>
      <c r="I51" s="2971"/>
      <c r="J51" s="2971"/>
      <c r="K51" s="2971"/>
      <c r="L51" s="2971"/>
      <c r="M51" s="2971"/>
      <c r="N51" s="2971"/>
      <c r="O51" s="47"/>
      <c r="Q51" s="2496"/>
      <c r="R51" s="1422"/>
      <c r="S51" s="1422"/>
      <c r="T51" s="2904"/>
      <c r="U51" s="1400"/>
      <c r="V51" s="1077"/>
      <c r="W51" s="1077"/>
      <c r="X51" s="1077"/>
      <c r="Y51" s="1077"/>
      <c r="Z51" s="1077"/>
      <c r="AA51" s="1077"/>
      <c r="AB51" s="1077"/>
      <c r="AC51" s="1077"/>
    </row>
    <row r="52" spans="2:29" hidden="1">
      <c r="B52" s="47"/>
      <c r="C52" s="956" t="s">
        <v>740</v>
      </c>
      <c r="D52" s="957"/>
      <c r="E52" s="958"/>
      <c r="F52" s="2945"/>
      <c r="G52" s="979"/>
      <c r="H52" s="979"/>
      <c r="I52" s="979"/>
      <c r="J52" s="979"/>
      <c r="K52" s="979"/>
      <c r="L52" s="979"/>
      <c r="M52" s="979"/>
      <c r="N52" s="2908"/>
      <c r="O52" s="47"/>
      <c r="Q52" s="1173"/>
      <c r="R52" s="1173"/>
      <c r="S52" s="1173"/>
      <c r="T52" s="2973"/>
      <c r="U52" s="1400"/>
      <c r="V52" s="1077"/>
      <c r="W52" s="1077"/>
      <c r="X52" s="1077"/>
      <c r="Y52" s="1077"/>
      <c r="Z52" s="1077"/>
      <c r="AA52" s="1077"/>
      <c r="AB52" s="1077"/>
      <c r="AC52" s="1077"/>
    </row>
    <row r="53" spans="2:29" hidden="1">
      <c r="B53" s="47"/>
      <c r="C53" s="47"/>
      <c r="D53" s="47"/>
      <c r="E53" s="47"/>
      <c r="F53" s="47"/>
      <c r="G53" s="47"/>
      <c r="H53" s="47"/>
      <c r="I53" s="47"/>
      <c r="J53" s="47"/>
      <c r="K53" s="47"/>
      <c r="L53" s="47"/>
      <c r="M53" s="47"/>
      <c r="N53" s="47"/>
      <c r="O53" s="47"/>
      <c r="Q53" s="1173"/>
      <c r="R53" s="1173"/>
      <c r="S53" s="1173"/>
      <c r="T53" s="2973"/>
      <c r="U53" s="1400"/>
      <c r="V53" s="1077"/>
      <c r="W53" s="1077"/>
      <c r="X53" s="1077"/>
      <c r="Y53" s="1077"/>
      <c r="Z53" s="1077"/>
      <c r="AA53" s="1077"/>
      <c r="AB53" s="1077"/>
      <c r="AC53" s="1077"/>
    </row>
    <row r="54" spans="2:29">
      <c r="Q54" s="1173"/>
      <c r="R54" s="1173"/>
      <c r="S54" s="1173"/>
      <c r="T54" s="1173"/>
      <c r="U54" s="1077"/>
      <c r="V54" s="1077"/>
      <c r="W54" s="1077"/>
      <c r="X54" s="1077"/>
      <c r="Y54" s="1077"/>
      <c r="Z54" s="1077"/>
      <c r="AA54" s="1077"/>
      <c r="AB54" s="1077"/>
      <c r="AC54" s="1077"/>
    </row>
    <row r="55" spans="2:29" ht="15.75">
      <c r="B55" s="1110" t="s">
        <v>207</v>
      </c>
    </row>
    <row r="56" spans="2:29">
      <c r="B56" s="363">
        <v>1</v>
      </c>
      <c r="C56" s="2890" t="s">
        <v>2370</v>
      </c>
    </row>
    <row r="57" spans="2:29">
      <c r="B57" s="363">
        <v>2</v>
      </c>
      <c r="C57" s="2890" t="s">
        <v>214</v>
      </c>
    </row>
    <row r="59" spans="2:29">
      <c r="B59" s="363">
        <v>1</v>
      </c>
      <c r="C59" s="363" t="s">
        <v>2371</v>
      </c>
    </row>
    <row r="60" spans="2:29">
      <c r="B60" s="363"/>
      <c r="C60" s="363"/>
    </row>
    <row r="61" spans="2:29">
      <c r="C61" s="363" t="s">
        <v>2372</v>
      </c>
      <c r="E61" s="2890" t="str">
        <f>Preferences.EnergyUnits</f>
        <v>TWh</v>
      </c>
      <c r="F61" s="3754">
        <f ca="1">-F$9</f>
        <v>23.066030448009798</v>
      </c>
      <c r="G61" s="3754">
        <f t="shared" ref="G61:N61" ca="1" si="1">-G$9</f>
        <v>20.433572225892757</v>
      </c>
      <c r="H61" s="3754">
        <f t="shared" ca="1" si="1"/>
        <v>2.7474595600810865</v>
      </c>
      <c r="I61" s="3754">
        <f t="shared" ca="1" si="1"/>
        <v>0</v>
      </c>
      <c r="J61" s="3754">
        <f t="shared" ca="1" si="1"/>
        <v>-1.7763568394002505E-15</v>
      </c>
      <c r="K61" s="3754">
        <f t="shared" ca="1" si="1"/>
        <v>0</v>
      </c>
      <c r="L61" s="3754">
        <f t="shared" ca="1" si="1"/>
        <v>0</v>
      </c>
      <c r="M61" s="3754">
        <f t="shared" ca="1" si="1"/>
        <v>0</v>
      </c>
      <c r="N61" s="3754">
        <f t="shared" ca="1" si="1"/>
        <v>0</v>
      </c>
    </row>
    <row r="62" spans="2:29">
      <c r="C62" s="363" t="s">
        <v>2373</v>
      </c>
      <c r="E62" s="2890" t="str">
        <f>Preferences.EnergyUnits</f>
        <v>TWh</v>
      </c>
      <c r="F62" s="2490">
        <f ca="1">-F$10</f>
        <v>76.341107777431446</v>
      </c>
      <c r="G62" s="2490">
        <f t="shared" ref="G62:N62" ca="1" si="2">-G$10</f>
        <v>70.428965076712089</v>
      </c>
      <c r="H62" s="2490">
        <f t="shared" ca="1" si="2"/>
        <v>66.132600914927124</v>
      </c>
      <c r="I62" s="2490">
        <f t="shared" ca="1" si="2"/>
        <v>61.70681606299398</v>
      </c>
      <c r="J62" s="2490">
        <f t="shared" ca="1" si="2"/>
        <v>58.853734589724091</v>
      </c>
      <c r="K62" s="2490">
        <f t="shared" ca="1" si="2"/>
        <v>56.055550717287325</v>
      </c>
      <c r="L62" s="2490">
        <f t="shared" ca="1" si="2"/>
        <v>53.466242556904533</v>
      </c>
      <c r="M62" s="2490">
        <f t="shared" ca="1" si="2"/>
        <v>50.942465881243002</v>
      </c>
      <c r="N62" s="2490">
        <f t="shared" ca="1" si="2"/>
        <v>48.624578735681354</v>
      </c>
    </row>
    <row r="63" spans="2:29">
      <c r="C63" s="363"/>
      <c r="F63" s="2490"/>
      <c r="G63" s="2490"/>
      <c r="H63" s="2490"/>
      <c r="I63" s="2490"/>
      <c r="J63" s="2490"/>
      <c r="K63" s="2490"/>
      <c r="L63" s="2490"/>
      <c r="M63" s="2490"/>
      <c r="N63" s="2490"/>
    </row>
    <row r="64" spans="2:29">
      <c r="C64" s="3702" t="s">
        <v>2374</v>
      </c>
      <c r="E64" s="2890" t="str">
        <f>Preferences.EnergyUnits</f>
        <v>TWh</v>
      </c>
      <c r="F64" s="2510">
        <f ca="1">-F$11</f>
        <v>45.859718897351158</v>
      </c>
      <c r="G64" s="2510">
        <f t="shared" ref="G64:N64" ca="1" si="3">-G$11</f>
        <v>46.699297589470589</v>
      </c>
      <c r="H64" s="2510">
        <f t="shared" ca="1" si="3"/>
        <v>45.776429049769959</v>
      </c>
      <c r="I64" s="2510">
        <f t="shared" ca="1" si="3"/>
        <v>39.154178827745532</v>
      </c>
      <c r="J64" s="2510">
        <f t="shared" ca="1" si="3"/>
        <v>29.27770535522513</v>
      </c>
      <c r="K64" s="2510">
        <f t="shared" ca="1" si="3"/>
        <v>37.020258730660807</v>
      </c>
      <c r="L64" s="2510">
        <f t="shared" ca="1" si="3"/>
        <v>48.973015352529522</v>
      </c>
      <c r="M64" s="2510">
        <f t="shared" ca="1" si="3"/>
        <v>61.263715381020518</v>
      </c>
      <c r="N64" s="2510">
        <f t="shared" ca="1" si="3"/>
        <v>73.905684637572634</v>
      </c>
    </row>
    <row r="65" spans="2:14">
      <c r="B65" s="2" t="s">
        <v>828</v>
      </c>
      <c r="C65" s="2" t="s">
        <v>2375</v>
      </c>
      <c r="F65" s="2517">
        <f ca="1">F64*F$19</f>
        <v>0.68789578346026736</v>
      </c>
      <c r="G65" s="2414">
        <f t="shared" ref="G65:N65" ca="1" si="4">G64*G$19</f>
        <v>0.70048946384205879</v>
      </c>
      <c r="H65" s="2414">
        <f t="shared" ca="1" si="4"/>
        <v>0.68664643574654938</v>
      </c>
      <c r="I65" s="2414">
        <f t="shared" ca="1" si="4"/>
        <v>0.58731268241618295</v>
      </c>
      <c r="J65" s="2414">
        <f t="shared" ca="1" si="4"/>
        <v>0.43916558032837694</v>
      </c>
      <c r="K65" s="2414">
        <f t="shared" ca="1" si="4"/>
        <v>0.55530388095991212</v>
      </c>
      <c r="L65" s="2414">
        <f t="shared" ca="1" si="4"/>
        <v>0.73459523028794282</v>
      </c>
      <c r="M65" s="2414">
        <f t="shared" ca="1" si="4"/>
        <v>0.91895573071530778</v>
      </c>
      <c r="N65" s="2414">
        <f t="shared" ca="1" si="4"/>
        <v>1.1085852695635894</v>
      </c>
    </row>
    <row r="66" spans="2:14">
      <c r="B66" s="363" t="s">
        <v>221</v>
      </c>
      <c r="C66" s="363" t="s">
        <v>2376</v>
      </c>
      <c r="F66" s="2490">
        <f ca="1">F64+F65</f>
        <v>46.547614680811428</v>
      </c>
      <c r="G66" s="2490">
        <f t="shared" ref="G66:N66" ca="1" si="5">G64+G65</f>
        <v>47.39978705331265</v>
      </c>
      <c r="H66" s="2490">
        <f t="shared" ca="1" si="5"/>
        <v>46.463075485516505</v>
      </c>
      <c r="I66" s="2490">
        <f t="shared" ca="1" si="5"/>
        <v>39.741491510161715</v>
      </c>
      <c r="J66" s="2490">
        <f t="shared" ca="1" si="5"/>
        <v>29.716870935553509</v>
      </c>
      <c r="K66" s="2490">
        <f t="shared" ca="1" si="5"/>
        <v>37.575562611620718</v>
      </c>
      <c r="L66" s="2490">
        <f t="shared" ca="1" si="5"/>
        <v>49.707610582817466</v>
      </c>
      <c r="M66" s="2490">
        <f t="shared" ca="1" si="5"/>
        <v>62.182671111735829</v>
      </c>
      <c r="N66" s="2490">
        <f t="shared" ca="1" si="5"/>
        <v>75.014269907136224</v>
      </c>
    </row>
    <row r="67" spans="2:14">
      <c r="C67" s="988"/>
      <c r="F67" s="992"/>
      <c r="G67" s="992"/>
      <c r="H67" s="992"/>
      <c r="I67" s="992"/>
      <c r="J67" s="992"/>
      <c r="K67" s="992"/>
      <c r="L67" s="992"/>
      <c r="M67" s="992"/>
      <c r="N67" s="992"/>
    </row>
    <row r="68" spans="2:14">
      <c r="B68" s="363">
        <v>2</v>
      </c>
      <c r="C68" s="363" t="s">
        <v>252</v>
      </c>
      <c r="F68" s="992"/>
      <c r="G68" s="992"/>
      <c r="H68" s="992"/>
      <c r="I68" s="992"/>
      <c r="J68" s="992"/>
      <c r="K68" s="992"/>
      <c r="L68" s="992"/>
      <c r="M68" s="992"/>
      <c r="N68" s="992"/>
    </row>
    <row r="69" spans="2:14">
      <c r="C69" s="3752" t="s">
        <v>2960</v>
      </c>
      <c r="F69" s="992"/>
      <c r="G69" s="992"/>
      <c r="H69" s="992"/>
      <c r="I69" s="992"/>
      <c r="J69" s="992"/>
      <c r="K69" s="992"/>
      <c r="L69" s="992"/>
      <c r="M69" s="992"/>
      <c r="N69" s="992"/>
    </row>
    <row r="70" spans="2:14">
      <c r="C70" s="3752" t="s">
        <v>2962</v>
      </c>
      <c r="F70" s="992"/>
      <c r="G70" s="992"/>
      <c r="H70" s="992"/>
      <c r="I70" s="992"/>
      <c r="J70" s="992"/>
      <c r="K70" s="992"/>
      <c r="L70" s="992"/>
      <c r="M70" s="992"/>
      <c r="N70" s="992"/>
    </row>
    <row r="71" spans="2:14">
      <c r="C71" s="3752" t="s">
        <v>2961</v>
      </c>
      <c r="F71" s="992"/>
      <c r="G71" s="992"/>
      <c r="H71" s="992"/>
      <c r="I71" s="992"/>
      <c r="J71" s="992"/>
      <c r="K71" s="992"/>
      <c r="L71" s="992"/>
      <c r="M71" s="992"/>
      <c r="N71" s="992"/>
    </row>
    <row r="72" spans="2:14">
      <c r="F72" s="992"/>
      <c r="G72" s="992"/>
      <c r="H72" s="992"/>
      <c r="I72" s="992"/>
      <c r="J72" s="992"/>
      <c r="K72" s="992"/>
      <c r="L72" s="992"/>
      <c r="M72" s="992"/>
      <c r="N72" s="992"/>
    </row>
    <row r="73" spans="2:14">
      <c r="C73" s="363" t="s">
        <v>2958</v>
      </c>
      <c r="E73" s="2890" t="s">
        <v>254</v>
      </c>
      <c r="F73" s="2517">
        <f>F$24</f>
        <v>0.02</v>
      </c>
      <c r="G73" s="2517">
        <f ca="1">$F73*(G$64/$F$64)</f>
        <v>2.0366150823557673E-2</v>
      </c>
      <c r="H73" s="2517">
        <f t="shared" ref="H73:N73" ca="1" si="6">$F73*(H$64/$F$64)</f>
        <v>1.9963676250276358E-2</v>
      </c>
      <c r="I73" s="2517">
        <f t="shared" ca="1" si="6"/>
        <v>1.7075629667676426E-2</v>
      </c>
      <c r="J73" s="2517">
        <f t="shared" ca="1" si="6"/>
        <v>1.2768375410568076E-2</v>
      </c>
      <c r="K73" s="2517">
        <f t="shared" ca="1" si="6"/>
        <v>1.6145000283810759E-2</v>
      </c>
      <c r="L73" s="2517">
        <f t="shared" ca="1" si="6"/>
        <v>2.1357747727214344E-2</v>
      </c>
      <c r="M73" s="2517">
        <f t="shared" ca="1" si="6"/>
        <v>2.6717876539168711E-2</v>
      </c>
      <c r="N73" s="2517">
        <f t="shared" ca="1" si="6"/>
        <v>3.2231198277947314E-2</v>
      </c>
    </row>
    <row r="74" spans="2:14">
      <c r="C74" s="988"/>
      <c r="F74" s="992"/>
      <c r="G74" s="992"/>
      <c r="H74" s="992"/>
      <c r="I74" s="992"/>
      <c r="J74" s="992"/>
      <c r="K74" s="992"/>
      <c r="L74" s="992"/>
      <c r="M74" s="992"/>
      <c r="N74" s="992"/>
    </row>
    <row r="75" spans="2:14">
      <c r="B75" s="2976">
        <v>3</v>
      </c>
      <c r="C75" s="363" t="s">
        <v>2377</v>
      </c>
      <c r="F75" s="992"/>
      <c r="G75" s="992"/>
      <c r="H75" s="992"/>
      <c r="I75" s="992"/>
      <c r="J75" s="992"/>
      <c r="K75" s="992"/>
      <c r="L75" s="992"/>
      <c r="M75" s="992"/>
      <c r="N75" s="992"/>
    </row>
    <row r="76" spans="2:14">
      <c r="C76" s="988"/>
      <c r="F76" s="992"/>
      <c r="G76" s="992"/>
      <c r="H76" s="992"/>
      <c r="I76" s="992"/>
      <c r="J76" s="992"/>
      <c r="K76" s="992"/>
      <c r="L76" s="992"/>
      <c r="M76" s="992"/>
      <c r="N76" s="992"/>
    </row>
    <row r="77" spans="2:14">
      <c r="C77" s="363" t="s">
        <v>2378</v>
      </c>
      <c r="E77" s="3835" t="str">
        <f>Preferences.EnergyUnits&amp;"/yr average flow"</f>
        <v>TWh/yr average flow</v>
      </c>
      <c r="F77" s="1325">
        <v>2013</v>
      </c>
      <c r="G77" s="1325">
        <v>2015</v>
      </c>
      <c r="H77" s="1325">
        <v>2020</v>
      </c>
      <c r="I77" s="1325">
        <v>2025</v>
      </c>
      <c r="J77" s="1325">
        <v>2030</v>
      </c>
      <c r="K77" s="1325">
        <v>2035</v>
      </c>
      <c r="L77" s="1325">
        <v>2040</v>
      </c>
      <c r="M77" s="1325">
        <v>2045</v>
      </c>
      <c r="N77" s="1325">
        <v>2050</v>
      </c>
    </row>
    <row r="78" spans="2:14">
      <c r="C78" s="2890" t="s">
        <v>2379</v>
      </c>
      <c r="E78" s="2890" t="s">
        <v>59</v>
      </c>
      <c r="F78" s="2515">
        <f ca="1">F64</f>
        <v>45.859718897351158</v>
      </c>
      <c r="G78" s="2515">
        <f t="shared" ref="G78:N78" ca="1" si="7">G64</f>
        <v>46.699297589470589</v>
      </c>
      <c r="H78" s="2515">
        <f t="shared" ca="1" si="7"/>
        <v>45.776429049769959</v>
      </c>
      <c r="I78" s="2515">
        <f t="shared" ca="1" si="7"/>
        <v>39.154178827745532</v>
      </c>
      <c r="J78" s="2515">
        <f t="shared" ca="1" si="7"/>
        <v>29.27770535522513</v>
      </c>
      <c r="K78" s="2515">
        <f t="shared" ca="1" si="7"/>
        <v>37.020258730660807</v>
      </c>
      <c r="L78" s="2515">
        <f t="shared" ca="1" si="7"/>
        <v>48.973015352529522</v>
      </c>
      <c r="M78" s="2515">
        <f t="shared" ca="1" si="7"/>
        <v>61.263715381020518</v>
      </c>
      <c r="N78" s="2515">
        <f t="shared" ca="1" si="7"/>
        <v>73.905684637572634</v>
      </c>
    </row>
    <row r="79" spans="2:14">
      <c r="C79" s="2890" t="s">
        <v>2380</v>
      </c>
      <c r="E79" s="2890" t="s">
        <v>2381</v>
      </c>
      <c r="F79" s="2414"/>
      <c r="G79" s="2515">
        <f t="shared" ref="G79:N79" ca="1" si="8">F78*(1/$D$32)</f>
        <v>1.528657296578372</v>
      </c>
      <c r="H79" s="2515">
        <f t="shared" ca="1" si="8"/>
        <v>1.5566432529823531</v>
      </c>
      <c r="I79" s="2515">
        <f t="shared" ca="1" si="8"/>
        <v>1.5258809683256653</v>
      </c>
      <c r="J79" s="2515">
        <f t="shared" ca="1" si="8"/>
        <v>1.3051392942581843</v>
      </c>
      <c r="K79" s="2515">
        <f t="shared" ca="1" si="8"/>
        <v>0.9759235118408377</v>
      </c>
      <c r="L79" s="2515">
        <f t="shared" ca="1" si="8"/>
        <v>1.2340086243553603</v>
      </c>
      <c r="M79" s="2515">
        <f t="shared" ca="1" si="8"/>
        <v>1.6324338450843174</v>
      </c>
      <c r="N79" s="2515">
        <f t="shared" ca="1" si="8"/>
        <v>2.0421238460340172</v>
      </c>
    </row>
    <row r="80" spans="2:14">
      <c r="C80" s="2890" t="s">
        <v>2382</v>
      </c>
      <c r="E80" s="2890" t="s">
        <v>2381</v>
      </c>
      <c r="F80" s="2414"/>
      <c r="G80" s="2515">
        <f ca="1">MAX((G78-F78)/(G77-F77),0)</f>
        <v>0.41978934605971574</v>
      </c>
      <c r="H80" s="2515">
        <f t="shared" ref="H80:N80" ca="1" si="9">MAX((H78-G78)/(H77-G77),0)</f>
        <v>0</v>
      </c>
      <c r="I80" s="2515">
        <f t="shared" ca="1" si="9"/>
        <v>0</v>
      </c>
      <c r="J80" s="2515">
        <f t="shared" ca="1" si="9"/>
        <v>0</v>
      </c>
      <c r="K80" s="2515">
        <f t="shared" ca="1" si="9"/>
        <v>1.5485106750871354</v>
      </c>
      <c r="L80" s="2515">
        <f t="shared" ca="1" si="9"/>
        <v>2.3905513243737433</v>
      </c>
      <c r="M80" s="2515">
        <f t="shared" ca="1" si="9"/>
        <v>2.458140005698199</v>
      </c>
      <c r="N80" s="2515">
        <f t="shared" ca="1" si="9"/>
        <v>2.5283938513104234</v>
      </c>
    </row>
    <row r="81" spans="2:14">
      <c r="C81" s="2890" t="s">
        <v>2383</v>
      </c>
      <c r="E81" s="2890" t="s">
        <v>2381</v>
      </c>
      <c r="F81" s="2414"/>
      <c r="G81" s="2515">
        <f ca="1">SUM(G79:G80)</f>
        <v>1.9484466426380878</v>
      </c>
      <c r="H81" s="2515">
        <f t="shared" ref="H81:N81" ca="1" si="10">SUM(H79:H80)</f>
        <v>1.5566432529823531</v>
      </c>
      <c r="I81" s="2515">
        <f t="shared" ca="1" si="10"/>
        <v>1.5258809683256653</v>
      </c>
      <c r="J81" s="2515">
        <f t="shared" ca="1" si="10"/>
        <v>1.3051392942581843</v>
      </c>
      <c r="K81" s="2515">
        <f t="shared" ca="1" si="10"/>
        <v>2.5244341869279729</v>
      </c>
      <c r="L81" s="2515">
        <f t="shared" ca="1" si="10"/>
        <v>3.6245599487291038</v>
      </c>
      <c r="M81" s="2515">
        <f t="shared" ca="1" si="10"/>
        <v>4.0905738507825165</v>
      </c>
      <c r="N81" s="2515">
        <f t="shared" ca="1" si="10"/>
        <v>4.5705176973444406</v>
      </c>
    </row>
    <row r="82" spans="2:14">
      <c r="C82" s="988"/>
      <c r="F82" s="992"/>
      <c r="G82" s="992"/>
      <c r="H82" s="992"/>
      <c r="I82" s="992"/>
      <c r="J82" s="992"/>
      <c r="K82" s="992"/>
      <c r="L82" s="992"/>
      <c r="M82" s="992"/>
      <c r="N82" s="992"/>
    </row>
    <row r="83" spans="2:14">
      <c r="B83" s="363">
        <v>4</v>
      </c>
      <c r="C83" s="363" t="s">
        <v>2791</v>
      </c>
      <c r="F83" s="992"/>
      <c r="G83" s="992"/>
      <c r="H83" s="992"/>
      <c r="I83" s="992"/>
      <c r="J83" s="992"/>
      <c r="K83" s="992"/>
      <c r="L83" s="992"/>
      <c r="M83" s="992"/>
      <c r="N83" s="992"/>
    </row>
    <row r="84" spans="2:14" hidden="1"/>
    <row r="85" spans="2:14" hidden="1">
      <c r="C85" s="2890" t="s">
        <v>22</v>
      </c>
      <c r="F85" s="366"/>
    </row>
    <row r="86" spans="2:14" hidden="1">
      <c r="C86" s="2890" t="s">
        <v>2384</v>
      </c>
      <c r="E86" s="3611" t="s">
        <v>2812</v>
      </c>
      <c r="F86" s="993"/>
      <c r="G86" s="993"/>
      <c r="H86" s="993"/>
      <c r="I86" s="993"/>
      <c r="J86" s="993"/>
      <c r="K86" s="993"/>
      <c r="L86" s="993"/>
      <c r="M86" s="993"/>
      <c r="N86" s="993"/>
    </row>
    <row r="87" spans="2:14" hidden="1">
      <c r="C87" s="2890" t="s">
        <v>2385</v>
      </c>
      <c r="E87" s="3611" t="s">
        <v>2824</v>
      </c>
      <c r="F87" s="993"/>
      <c r="G87" s="993"/>
      <c r="H87" s="993"/>
      <c r="I87" s="993"/>
      <c r="J87" s="993"/>
      <c r="K87" s="993"/>
      <c r="L87" s="993"/>
      <c r="M87" s="993"/>
      <c r="N87" s="993"/>
    </row>
    <row r="88" spans="2:14" hidden="1">
      <c r="C88" s="2890" t="s">
        <v>2386</v>
      </c>
      <c r="E88" s="3611" t="s">
        <v>2824</v>
      </c>
      <c r="F88" s="366"/>
      <c r="G88" s="383"/>
      <c r="H88" s="383"/>
      <c r="I88" s="383"/>
      <c r="J88" s="383"/>
      <c r="K88" s="383"/>
      <c r="L88" s="383"/>
      <c r="M88" s="383"/>
      <c r="N88" s="383"/>
    </row>
    <row r="89" spans="2:14" hidden="1">
      <c r="C89" s="2890" t="s">
        <v>2387</v>
      </c>
      <c r="E89" s="3611" t="s">
        <v>2824</v>
      </c>
      <c r="F89" s="366"/>
      <c r="G89" s="383"/>
      <c r="H89" s="383"/>
      <c r="I89" s="383"/>
      <c r="J89" s="383"/>
      <c r="K89" s="383"/>
      <c r="L89" s="383"/>
      <c r="M89" s="383"/>
      <c r="N89" s="383"/>
    </row>
    <row r="90" spans="2:14" hidden="1">
      <c r="F90" s="366"/>
      <c r="G90" s="383"/>
      <c r="H90" s="383"/>
      <c r="I90" s="383"/>
      <c r="J90" s="383"/>
      <c r="K90" s="383"/>
      <c r="L90" s="383"/>
      <c r="M90" s="383"/>
      <c r="N90" s="383"/>
    </row>
    <row r="91" spans="2:14" hidden="1">
      <c r="C91" s="2890" t="s">
        <v>161</v>
      </c>
      <c r="F91" s="366"/>
    </row>
    <row r="92" spans="2:14" hidden="1">
      <c r="C92" s="2890" t="s">
        <v>2384</v>
      </c>
      <c r="E92" s="3611" t="s">
        <v>2812</v>
      </c>
      <c r="F92" s="993"/>
      <c r="G92" s="993"/>
      <c r="H92" s="993"/>
      <c r="I92" s="993"/>
      <c r="J92" s="993"/>
      <c r="K92" s="993"/>
      <c r="L92" s="993"/>
      <c r="M92" s="993"/>
      <c r="N92" s="993"/>
    </row>
    <row r="93" spans="2:14" hidden="1">
      <c r="C93" s="2890" t="s">
        <v>2385</v>
      </c>
      <c r="E93" s="3611" t="s">
        <v>2824</v>
      </c>
      <c r="F93" s="993"/>
      <c r="G93" s="993"/>
      <c r="H93" s="993"/>
      <c r="I93" s="993"/>
      <c r="J93" s="993"/>
      <c r="K93" s="993"/>
      <c r="L93" s="993"/>
      <c r="M93" s="993"/>
      <c r="N93" s="993"/>
    </row>
    <row r="94" spans="2:14" hidden="1">
      <c r="C94" s="2890" t="s">
        <v>2386</v>
      </c>
      <c r="E94" s="3611" t="s">
        <v>2824</v>
      </c>
      <c r="F94" s="366"/>
      <c r="G94" s="383"/>
      <c r="H94" s="383"/>
      <c r="I94" s="383"/>
      <c r="J94" s="383"/>
      <c r="K94" s="383"/>
      <c r="L94" s="383"/>
      <c r="M94" s="383"/>
      <c r="N94" s="383"/>
    </row>
    <row r="95" spans="2:14" hidden="1">
      <c r="C95" s="2890" t="s">
        <v>2387</v>
      </c>
      <c r="E95" s="3611" t="s">
        <v>2824</v>
      </c>
      <c r="F95" s="366"/>
      <c r="G95" s="383"/>
      <c r="H95" s="383"/>
      <c r="I95" s="383"/>
      <c r="J95" s="383"/>
      <c r="K95" s="383"/>
      <c r="L95" s="383"/>
      <c r="M95" s="383"/>
      <c r="N95" s="383"/>
    </row>
    <row r="96" spans="2:14" hidden="1"/>
    <row r="97" spans="1:15" hidden="1">
      <c r="C97" s="2890" t="s">
        <v>20</v>
      </c>
      <c r="F97" s="366"/>
    </row>
    <row r="98" spans="1:15" hidden="1">
      <c r="C98" s="2890" t="s">
        <v>2384</v>
      </c>
      <c r="E98" s="3611" t="s">
        <v>2812</v>
      </c>
      <c r="F98" s="993"/>
      <c r="G98" s="993"/>
      <c r="H98" s="993"/>
      <c r="I98" s="993"/>
      <c r="J98" s="993"/>
      <c r="K98" s="993"/>
      <c r="L98" s="993"/>
      <c r="M98" s="993"/>
      <c r="N98" s="993"/>
    </row>
    <row r="99" spans="1:15" hidden="1">
      <c r="C99" s="2890" t="s">
        <v>2385</v>
      </c>
      <c r="E99" s="3611" t="s">
        <v>2824</v>
      </c>
      <c r="F99" s="993"/>
      <c r="G99" s="993"/>
      <c r="H99" s="993"/>
      <c r="I99" s="993"/>
      <c r="J99" s="993"/>
      <c r="K99" s="993"/>
      <c r="L99" s="993"/>
      <c r="M99" s="993"/>
      <c r="N99" s="993"/>
    </row>
    <row r="100" spans="1:15" hidden="1">
      <c r="C100" s="2890" t="s">
        <v>2386</v>
      </c>
      <c r="E100" s="3611" t="s">
        <v>2824</v>
      </c>
      <c r="F100" s="366"/>
      <c r="G100" s="383"/>
      <c r="H100" s="383"/>
      <c r="I100" s="383"/>
      <c r="J100" s="383"/>
      <c r="K100" s="383"/>
      <c r="L100" s="383"/>
      <c r="M100" s="383"/>
      <c r="N100" s="383"/>
    </row>
    <row r="101" spans="1:15" hidden="1">
      <c r="C101" s="2890" t="s">
        <v>2387</v>
      </c>
      <c r="E101" s="3611" t="s">
        <v>2824</v>
      </c>
      <c r="F101" s="366"/>
      <c r="G101" s="383"/>
      <c r="H101" s="383"/>
      <c r="I101" s="383"/>
      <c r="J101" s="383"/>
      <c r="K101" s="383"/>
      <c r="L101" s="383"/>
      <c r="M101" s="383"/>
      <c r="N101" s="383"/>
    </row>
    <row r="103" spans="1:15" ht="23.25">
      <c r="A103" s="7"/>
      <c r="B103" s="511" t="s">
        <v>299</v>
      </c>
      <c r="C103" s="512"/>
      <c r="D103" s="512"/>
      <c r="E103" s="512"/>
      <c r="F103" s="512"/>
      <c r="G103" s="512"/>
      <c r="H103" s="512"/>
      <c r="I103" s="512"/>
      <c r="J103" s="512"/>
      <c r="K103" s="512"/>
      <c r="L103" s="512"/>
      <c r="M103" s="512"/>
      <c r="N103" s="512"/>
      <c r="O103" s="866"/>
    </row>
    <row r="104" spans="1:15">
      <c r="B104" s="514"/>
      <c r="C104" s="515"/>
      <c r="D104" s="515"/>
      <c r="E104" s="515"/>
      <c r="F104" s="515"/>
      <c r="G104" s="515"/>
      <c r="H104" s="515"/>
      <c r="I104" s="515"/>
      <c r="J104" s="515"/>
      <c r="K104" s="515"/>
      <c r="L104" s="515"/>
      <c r="M104" s="515"/>
      <c r="N104" s="515"/>
      <c r="O104" s="867"/>
    </row>
    <row r="105" spans="1:15">
      <c r="B105" s="514"/>
      <c r="C105" s="34" t="s">
        <v>2356</v>
      </c>
      <c r="D105" s="515"/>
      <c r="E105" s="516"/>
      <c r="F105" s="515"/>
      <c r="G105" s="515"/>
      <c r="H105" s="515"/>
      <c r="I105" s="515"/>
      <c r="J105" s="515"/>
      <c r="K105" s="515"/>
      <c r="L105" s="515"/>
      <c r="M105" s="515"/>
      <c r="N105" s="516" t="str">
        <f>Preferences.EnergyUnits</f>
        <v>TWh</v>
      </c>
      <c r="O105" s="867"/>
    </row>
    <row r="106" spans="1:15">
      <c r="B106" s="514"/>
      <c r="C106" s="515"/>
      <c r="D106" s="515"/>
      <c r="E106" s="515"/>
      <c r="F106" s="515"/>
      <c r="G106" s="515"/>
      <c r="H106" s="515"/>
      <c r="I106" s="515"/>
      <c r="J106" s="515"/>
      <c r="K106" s="515"/>
      <c r="L106" s="515"/>
      <c r="M106" s="515"/>
      <c r="N106" s="515"/>
      <c r="O106" s="867"/>
    </row>
    <row r="107" spans="1:15" ht="15.75">
      <c r="A107" s="443"/>
      <c r="B107" s="15"/>
      <c r="C107" s="873" t="s">
        <v>28</v>
      </c>
      <c r="D107" s="873" t="s">
        <v>29</v>
      </c>
      <c r="E107" s="873" t="s">
        <v>30</v>
      </c>
      <c r="F107" s="873" t="s">
        <v>597</v>
      </c>
      <c r="G107" s="873" t="s">
        <v>133</v>
      </c>
      <c r="H107" s="873" t="s">
        <v>134</v>
      </c>
      <c r="I107" s="873" t="s">
        <v>135</v>
      </c>
      <c r="J107" s="873" t="s">
        <v>136</v>
      </c>
      <c r="K107" s="873" t="s">
        <v>137</v>
      </c>
      <c r="L107" s="873" t="s">
        <v>138</v>
      </c>
      <c r="M107" s="873" t="s">
        <v>139</v>
      </c>
      <c r="N107" s="873" t="s">
        <v>140</v>
      </c>
      <c r="O107" s="867"/>
    </row>
    <row r="108" spans="1:15" ht="15.75">
      <c r="A108" s="443"/>
      <c r="B108" s="15"/>
      <c r="C108" s="17" t="s">
        <v>98</v>
      </c>
      <c r="D108" s="2487" t="str">
        <f>INDEX(Vectors[Description], MATCH([Vector], Vectors[Code], 0))</f>
        <v>Solid hydrocarbons</v>
      </c>
      <c r="E108" s="17"/>
      <c r="F108" s="2521">
        <f ca="1">F$61</f>
        <v>23.066030448009798</v>
      </c>
      <c r="G108" s="2521">
        <f t="shared" ref="G108:N108" ca="1" si="11">G$61</f>
        <v>20.433572225892757</v>
      </c>
      <c r="H108" s="2521">
        <f t="shared" ca="1" si="11"/>
        <v>2.7474595600810865</v>
      </c>
      <c r="I108" s="2521">
        <f t="shared" ca="1" si="11"/>
        <v>0</v>
      </c>
      <c r="J108" s="2521">
        <f t="shared" ca="1" si="11"/>
        <v>-1.7763568394002505E-15</v>
      </c>
      <c r="K108" s="2521">
        <f t="shared" ca="1" si="11"/>
        <v>0</v>
      </c>
      <c r="L108" s="2521">
        <f t="shared" ca="1" si="11"/>
        <v>0</v>
      </c>
      <c r="M108" s="2521">
        <f t="shared" ca="1" si="11"/>
        <v>0</v>
      </c>
      <c r="N108" s="2521">
        <f t="shared" ca="1" si="11"/>
        <v>0</v>
      </c>
      <c r="O108" s="867"/>
    </row>
    <row r="109" spans="1:15" ht="15.75">
      <c r="A109" s="443"/>
      <c r="B109" s="15"/>
      <c r="C109" s="17" t="s">
        <v>99</v>
      </c>
      <c r="D109" s="2487" t="str">
        <f>INDEX(Vectors[Description], MATCH([Vector], Vectors[Code], 0))</f>
        <v>Liquid hydrocarbons</v>
      </c>
      <c r="E109" s="17"/>
      <c r="F109" s="2521">
        <f ca="1">F$62</f>
        <v>76.341107777431446</v>
      </c>
      <c r="G109" s="2521">
        <f t="shared" ref="G109:N109" ca="1" si="12">G$62</f>
        <v>70.428965076712089</v>
      </c>
      <c r="H109" s="2521">
        <f t="shared" ca="1" si="12"/>
        <v>66.132600914927124</v>
      </c>
      <c r="I109" s="2521">
        <f t="shared" ca="1" si="12"/>
        <v>61.70681606299398</v>
      </c>
      <c r="J109" s="2521">
        <f t="shared" ca="1" si="12"/>
        <v>58.853734589724091</v>
      </c>
      <c r="K109" s="2521">
        <f t="shared" ca="1" si="12"/>
        <v>56.055550717287325</v>
      </c>
      <c r="L109" s="2521">
        <f t="shared" ca="1" si="12"/>
        <v>53.466242556904533</v>
      </c>
      <c r="M109" s="2521">
        <f t="shared" ca="1" si="12"/>
        <v>50.942465881243002</v>
      </c>
      <c r="N109" s="2521">
        <f t="shared" ca="1" si="12"/>
        <v>48.624578735681354</v>
      </c>
      <c r="O109" s="867"/>
    </row>
    <row r="110" spans="1:15" ht="15.75">
      <c r="A110" s="443"/>
      <c r="B110" s="15"/>
      <c r="C110" s="17" t="s">
        <v>100</v>
      </c>
      <c r="D110" s="2487" t="str">
        <f>INDEX(Vectors[Description], MATCH([Vector], Vectors[Code], 0))</f>
        <v>Gaseous hydrocarbons</v>
      </c>
      <c r="E110" s="17"/>
      <c r="F110" s="2521">
        <f ca="1">F$64</f>
        <v>45.859718897351158</v>
      </c>
      <c r="G110" s="2521">
        <f t="shared" ref="G110:N110" ca="1" si="13">G$64</f>
        <v>46.699297589470589</v>
      </c>
      <c r="H110" s="2521">
        <f t="shared" ca="1" si="13"/>
        <v>45.776429049769959</v>
      </c>
      <c r="I110" s="2521">
        <f t="shared" ca="1" si="13"/>
        <v>39.154178827745532</v>
      </c>
      <c r="J110" s="2521">
        <f t="shared" ca="1" si="13"/>
        <v>29.27770535522513</v>
      </c>
      <c r="K110" s="2521">
        <f t="shared" ca="1" si="13"/>
        <v>37.020258730660807</v>
      </c>
      <c r="L110" s="2521">
        <f t="shared" ca="1" si="13"/>
        <v>48.973015352529522</v>
      </c>
      <c r="M110" s="2521">
        <f t="shared" ca="1" si="13"/>
        <v>61.263715381020518</v>
      </c>
      <c r="N110" s="2521">
        <f t="shared" ca="1" si="13"/>
        <v>73.905684637572634</v>
      </c>
      <c r="O110" s="867"/>
    </row>
    <row r="111" spans="1:15" ht="15.75">
      <c r="A111" s="443"/>
      <c r="B111" s="15"/>
      <c r="C111" s="17" t="s">
        <v>425</v>
      </c>
      <c r="D111" s="2487" t="str">
        <f>INDEX(Vectors[Description], MATCH([Vector], Vectors[Code], 0))</f>
        <v>Coal, peat and solid fuels</v>
      </c>
      <c r="E111" s="17"/>
      <c r="F111" s="2521">
        <f ca="1">-F$61</f>
        <v>-23.066030448009798</v>
      </c>
      <c r="G111" s="2521">
        <f t="shared" ref="G111:N111" ca="1" si="14">-G$61</f>
        <v>-20.433572225892757</v>
      </c>
      <c r="H111" s="2521">
        <f t="shared" ca="1" si="14"/>
        <v>-2.7474595600810865</v>
      </c>
      <c r="I111" s="2521">
        <f t="shared" ca="1" si="14"/>
        <v>0</v>
      </c>
      <c r="J111" s="2521">
        <f t="shared" ca="1" si="14"/>
        <v>1.7763568394002505E-15</v>
      </c>
      <c r="K111" s="2521">
        <f t="shared" ca="1" si="14"/>
        <v>0</v>
      </c>
      <c r="L111" s="2521">
        <f t="shared" ca="1" si="14"/>
        <v>0</v>
      </c>
      <c r="M111" s="2521">
        <f t="shared" ca="1" si="14"/>
        <v>0</v>
      </c>
      <c r="N111" s="2521">
        <f t="shared" ca="1" si="14"/>
        <v>0</v>
      </c>
      <c r="O111" s="867"/>
    </row>
    <row r="112" spans="1:15" ht="15.75">
      <c r="A112" s="443"/>
      <c r="B112" s="15"/>
      <c r="C112" s="17" t="s">
        <v>426</v>
      </c>
      <c r="D112" s="2487" t="str">
        <f>INDEX(Vectors[Description], MATCH([Vector], Vectors[Code], 0))</f>
        <v>Oil and petroleum products</v>
      </c>
      <c r="E112" s="17"/>
      <c r="F112" s="2521">
        <f ca="1">-F62</f>
        <v>-76.341107777431446</v>
      </c>
      <c r="G112" s="2521">
        <f t="shared" ref="G112:N112" ca="1" si="15">-G62</f>
        <v>-70.428965076712089</v>
      </c>
      <c r="H112" s="2521">
        <f t="shared" ca="1" si="15"/>
        <v>-66.132600914927124</v>
      </c>
      <c r="I112" s="2521">
        <f t="shared" ca="1" si="15"/>
        <v>-61.70681606299398</v>
      </c>
      <c r="J112" s="2521">
        <f t="shared" ca="1" si="15"/>
        <v>-58.853734589724091</v>
      </c>
      <c r="K112" s="2521">
        <f t="shared" ca="1" si="15"/>
        <v>-56.055550717287325</v>
      </c>
      <c r="L112" s="2521">
        <f t="shared" ca="1" si="15"/>
        <v>-53.466242556904533</v>
      </c>
      <c r="M112" s="2521">
        <f t="shared" ca="1" si="15"/>
        <v>-50.942465881243002</v>
      </c>
      <c r="N112" s="2521">
        <f t="shared" ca="1" si="15"/>
        <v>-48.624578735681354</v>
      </c>
      <c r="O112" s="867"/>
    </row>
    <row r="113" spans="1:22" ht="15.75">
      <c r="A113" s="443"/>
      <c r="B113" s="15"/>
      <c r="C113" s="17" t="s">
        <v>427</v>
      </c>
      <c r="D113" s="2487" t="str">
        <f>INDEX(Vectors[Description], MATCH([Vector], Vectors[Code], 0))</f>
        <v>Natural gas</v>
      </c>
      <c r="E113" s="17"/>
      <c r="F113" s="2521">
        <f ca="1">-F$66</f>
        <v>-46.547614680811428</v>
      </c>
      <c r="G113" s="2521">
        <f t="shared" ref="G113:N113" ca="1" si="16">-G$66</f>
        <v>-47.39978705331265</v>
      </c>
      <c r="H113" s="2521">
        <f t="shared" ca="1" si="16"/>
        <v>-46.463075485516505</v>
      </c>
      <c r="I113" s="2521">
        <f t="shared" ca="1" si="16"/>
        <v>-39.741491510161715</v>
      </c>
      <c r="J113" s="2521">
        <f t="shared" ca="1" si="16"/>
        <v>-29.716870935553509</v>
      </c>
      <c r="K113" s="2521">
        <f t="shared" ca="1" si="16"/>
        <v>-37.575562611620718</v>
      </c>
      <c r="L113" s="2521">
        <f t="shared" ca="1" si="16"/>
        <v>-49.707610582817466</v>
      </c>
      <c r="M113" s="2521">
        <f t="shared" ca="1" si="16"/>
        <v>-62.182671111735829</v>
      </c>
      <c r="N113" s="2521">
        <f t="shared" ca="1" si="16"/>
        <v>-75.014269907136224</v>
      </c>
      <c r="O113" s="867"/>
    </row>
    <row r="114" spans="1:22" ht="15.75">
      <c r="A114" s="443"/>
      <c r="B114" s="15"/>
      <c r="C114" s="17" t="s">
        <v>454</v>
      </c>
      <c r="D114" s="2487" t="str">
        <f>INDEX(Vectors[Description], MATCH([Vector], Vectors[Code], 0))</f>
        <v>Distribution losses and own use</v>
      </c>
      <c r="E114" s="17"/>
      <c r="F114" s="2521">
        <f ca="1">F$65</f>
        <v>0.68789578346026736</v>
      </c>
      <c r="G114" s="2521">
        <f t="shared" ref="G114:N114" ca="1" si="17">G$65</f>
        <v>0.70048946384205879</v>
      </c>
      <c r="H114" s="2521">
        <f t="shared" ca="1" si="17"/>
        <v>0.68664643574654938</v>
      </c>
      <c r="I114" s="2521">
        <f t="shared" ca="1" si="17"/>
        <v>0.58731268241618295</v>
      </c>
      <c r="J114" s="2521">
        <f t="shared" ca="1" si="17"/>
        <v>0.43916558032837694</v>
      </c>
      <c r="K114" s="2521">
        <f t="shared" ca="1" si="17"/>
        <v>0.55530388095991212</v>
      </c>
      <c r="L114" s="2521">
        <f t="shared" ca="1" si="17"/>
        <v>0.73459523028794282</v>
      </c>
      <c r="M114" s="2521">
        <f t="shared" ca="1" si="17"/>
        <v>0.91895573071530778</v>
      </c>
      <c r="N114" s="2521">
        <f t="shared" ca="1" si="17"/>
        <v>1.1085852695635894</v>
      </c>
      <c r="O114" s="867"/>
    </row>
    <row r="115" spans="1:22" ht="15.75">
      <c r="A115" s="443"/>
      <c r="B115" s="15"/>
      <c r="C115" s="2462" t="s">
        <v>59</v>
      </c>
      <c r="D115" s="2462"/>
      <c r="E115" s="2462"/>
      <c r="F115" s="2465">
        <f ca="1">SUBTOTAL(109,[2013])</f>
        <v>-2.7755575615628914E-15</v>
      </c>
      <c r="G115" s="2465">
        <f ca="1">SUBTOTAL(109,[2015])</f>
        <v>-2.1094237467877974E-15</v>
      </c>
      <c r="H115" s="2465">
        <f ca="1">SUBTOTAL(109,[2020])</f>
        <v>3.3306690738754696E-15</v>
      </c>
      <c r="I115" s="2465">
        <f ca="1">SUBTOTAL(109,[2025])</f>
        <v>-7.1054273576010019E-15</v>
      </c>
      <c r="J115" s="2465">
        <f ca="1">SUBTOTAL(109,[2030])</f>
        <v>-1.3322676295501878E-15</v>
      </c>
      <c r="K115" s="2465">
        <f ca="1">SUBTOTAL(109,[2035])</f>
        <v>0</v>
      </c>
      <c r="L115" s="2465">
        <f ca="1">SUBTOTAL(109,[2040])</f>
        <v>-8.2156503822261584E-15</v>
      </c>
      <c r="M115" s="2465">
        <f ca="1">SUBTOTAL(109,[2045])</f>
        <v>3.9968028886505635E-15</v>
      </c>
      <c r="N115" s="2465">
        <f ca="1">SUBTOTAL(109,[2050])</f>
        <v>0</v>
      </c>
      <c r="O115" s="867"/>
    </row>
    <row r="116" spans="1:22" ht="15.75">
      <c r="B116" s="15"/>
      <c r="C116" s="2920"/>
      <c r="D116" s="2921"/>
      <c r="E116" s="2921"/>
      <c r="F116" s="2921"/>
      <c r="G116" s="2921"/>
      <c r="H116" s="2921"/>
      <c r="I116" s="2921"/>
      <c r="J116" s="2921"/>
      <c r="K116" s="2921"/>
      <c r="L116" s="2921"/>
      <c r="M116" s="2921"/>
      <c r="N116" s="2921"/>
      <c r="O116" s="35"/>
    </row>
    <row r="117" spans="1:22" ht="23.25">
      <c r="A117" s="7"/>
    </row>
    <row r="118" spans="1:22" ht="15.75">
      <c r="B118" s="1127" t="s">
        <v>303</v>
      </c>
      <c r="C118" s="1128"/>
      <c r="D118" s="1129"/>
      <c r="E118" s="1129"/>
      <c r="F118" s="1129"/>
      <c r="G118" s="1129"/>
      <c r="H118" s="1129"/>
      <c r="I118" s="1129"/>
      <c r="J118" s="1129"/>
      <c r="K118" s="1129"/>
      <c r="L118" s="1129"/>
      <c r="M118" s="1129"/>
      <c r="N118" s="1129"/>
      <c r="O118" s="1130"/>
    </row>
    <row r="119" spans="1:22">
      <c r="B119" s="1131"/>
      <c r="C119" s="1132"/>
      <c r="D119" s="1132"/>
      <c r="E119" s="1132"/>
      <c r="F119" s="1132"/>
      <c r="G119" s="1132"/>
      <c r="H119" s="1132"/>
      <c r="I119" s="1132"/>
      <c r="J119" s="1132"/>
      <c r="K119" s="1132"/>
      <c r="L119" s="1132"/>
      <c r="M119" s="1132"/>
      <c r="N119" s="1132"/>
      <c r="O119" s="1133"/>
    </row>
    <row r="120" spans="1:22">
      <c r="B120" s="1134"/>
      <c r="C120" s="462" t="s">
        <v>1349</v>
      </c>
      <c r="D120" s="1135"/>
      <c r="E120" s="1136"/>
      <c r="F120" s="1135"/>
      <c r="G120" s="1135"/>
      <c r="H120" s="1135"/>
      <c r="I120" s="1135"/>
      <c r="J120" s="1135"/>
      <c r="K120" s="1135"/>
      <c r="L120" s="1135"/>
      <c r="M120" s="1135"/>
      <c r="N120" s="1136" t="s">
        <v>254</v>
      </c>
      <c r="O120" s="1138"/>
    </row>
    <row r="121" spans="1:22">
      <c r="B121" s="1134"/>
      <c r="C121" s="1135"/>
      <c r="D121" s="1135"/>
      <c r="E121" s="1135"/>
      <c r="F121" s="1135"/>
      <c r="G121" s="1135"/>
      <c r="H121" s="1135"/>
      <c r="I121" s="1135"/>
      <c r="J121" s="1135"/>
      <c r="K121" s="1135"/>
      <c r="L121" s="1135"/>
      <c r="M121" s="1135"/>
      <c r="N121" s="1135"/>
      <c r="O121" s="1138"/>
    </row>
    <row r="122" spans="1:22" ht="15.75">
      <c r="B122" s="467"/>
      <c r="C122" s="1339" t="s">
        <v>305</v>
      </c>
      <c r="D122" s="1339" t="s">
        <v>306</v>
      </c>
      <c r="E122" s="1339" t="s">
        <v>30</v>
      </c>
      <c r="F122" s="1339" t="s">
        <v>597</v>
      </c>
      <c r="G122" s="1339" t="s">
        <v>133</v>
      </c>
      <c r="H122" s="1339" t="s">
        <v>134</v>
      </c>
      <c r="I122" s="1339" t="s">
        <v>135</v>
      </c>
      <c r="J122" s="1339" t="s">
        <v>136</v>
      </c>
      <c r="K122" s="1339" t="s">
        <v>137</v>
      </c>
      <c r="L122" s="1339" t="s">
        <v>138</v>
      </c>
      <c r="M122" s="1339" t="s">
        <v>139</v>
      </c>
      <c r="N122" s="1339" t="s">
        <v>140</v>
      </c>
      <c r="O122" s="1138"/>
    </row>
    <row r="123" spans="1:22" ht="15.75">
      <c r="B123" s="467"/>
      <c r="C123" s="1140" t="s">
        <v>255</v>
      </c>
      <c r="D123" s="1141" t="s">
        <v>456</v>
      </c>
      <c r="E123" s="1140"/>
      <c r="F123" s="3755">
        <f>F73</f>
        <v>0.02</v>
      </c>
      <c r="G123" s="3755">
        <f t="shared" ref="G123:N123" ca="1" si="18">G73</f>
        <v>2.0366150823557673E-2</v>
      </c>
      <c r="H123" s="3755">
        <f t="shared" ca="1" si="18"/>
        <v>1.9963676250276358E-2</v>
      </c>
      <c r="I123" s="3755">
        <f t="shared" ca="1" si="18"/>
        <v>1.7075629667676426E-2</v>
      </c>
      <c r="J123" s="3755">
        <f t="shared" ca="1" si="18"/>
        <v>1.2768375410568076E-2</v>
      </c>
      <c r="K123" s="3755">
        <f t="shared" ca="1" si="18"/>
        <v>1.6145000283810759E-2</v>
      </c>
      <c r="L123" s="3755">
        <f t="shared" ca="1" si="18"/>
        <v>2.1357747727214344E-2</v>
      </c>
      <c r="M123" s="3755">
        <f t="shared" ca="1" si="18"/>
        <v>2.6717876539168711E-2</v>
      </c>
      <c r="N123" s="3755">
        <f t="shared" ca="1" si="18"/>
        <v>3.2231198277947314E-2</v>
      </c>
      <c r="O123" s="1138"/>
    </row>
    <row r="124" spans="1:22" ht="15.75">
      <c r="B124" s="467"/>
      <c r="C124" s="2466" t="s">
        <v>59</v>
      </c>
      <c r="D124" s="2466"/>
      <c r="E124" s="2466"/>
      <c r="F124" s="3756">
        <f>SUBTOTAL(109,[2013])</f>
        <v>0.02</v>
      </c>
      <c r="G124" s="3756">
        <f ca="1">SUBTOTAL(109,[2015])</f>
        <v>2.0366150823557673E-2</v>
      </c>
      <c r="H124" s="3756">
        <f ca="1">SUBTOTAL(109,[2020])</f>
        <v>1.9963676250276358E-2</v>
      </c>
      <c r="I124" s="3756">
        <f ca="1">SUBTOTAL(109,[2025])</f>
        <v>1.7075629667676426E-2</v>
      </c>
      <c r="J124" s="3756">
        <f ca="1">SUBTOTAL(109,[2030])</f>
        <v>1.2768375410568076E-2</v>
      </c>
      <c r="K124" s="3756">
        <f ca="1">SUBTOTAL(109,[2035])</f>
        <v>1.6145000283810759E-2</v>
      </c>
      <c r="L124" s="3756">
        <f ca="1">SUBTOTAL(109,[2040])</f>
        <v>2.1357747727214344E-2</v>
      </c>
      <c r="M124" s="3756">
        <f ca="1">SUBTOTAL(109,[2045])</f>
        <v>2.6717876539168711E-2</v>
      </c>
      <c r="N124" s="3756">
        <f ca="1">SUBTOTAL(109,[2050])</f>
        <v>3.2231198277947314E-2</v>
      </c>
      <c r="O124" s="1138"/>
    </row>
    <row r="125" spans="1:22" ht="15.75" hidden="1">
      <c r="B125" s="467"/>
      <c r="C125" s="1140" t="s">
        <v>59</v>
      </c>
      <c r="D125" s="1140"/>
      <c r="E125" s="1140"/>
      <c r="F125" s="471">
        <v>4.3706513640884639</v>
      </c>
      <c r="G125" s="471">
        <v>4.8268378349521575</v>
      </c>
      <c r="H125" s="471">
        <v>5.3744407005512231</v>
      </c>
      <c r="I125" s="471">
        <v>6.2075713688847998</v>
      </c>
      <c r="J125" s="471">
        <v>7.0387724701456644</v>
      </c>
      <c r="K125" s="471">
        <v>7.7236295167065574</v>
      </c>
      <c r="L125" s="471">
        <v>8.3165383163910782</v>
      </c>
      <c r="M125" s="471">
        <v>8.9318071063019691</v>
      </c>
      <c r="N125" s="471">
        <v>9.4580059721005636</v>
      </c>
      <c r="O125" s="1138"/>
    </row>
    <row r="126" spans="1:22" ht="15.75">
      <c r="B126" s="467"/>
      <c r="C126" s="1135"/>
      <c r="D126" s="1135"/>
      <c r="E126" s="1135"/>
      <c r="F126" s="1135"/>
      <c r="G126" s="1135"/>
      <c r="H126" s="1135"/>
      <c r="I126" s="1135"/>
      <c r="J126" s="1135"/>
      <c r="K126" s="1135"/>
      <c r="L126" s="1135"/>
      <c r="M126" s="1135"/>
      <c r="N126" s="1135"/>
      <c r="O126" s="1135"/>
      <c r="S126" s="1152"/>
      <c r="T126" s="1153"/>
      <c r="U126" s="1152"/>
      <c r="V126" s="1152"/>
    </row>
    <row r="127" spans="1:22">
      <c r="B127" s="2890" t="s">
        <v>5</v>
      </c>
      <c r="T127" s="6"/>
    </row>
    <row r="128" spans="1:22" ht="15.75">
      <c r="B128" s="995" t="s">
        <v>313</v>
      </c>
      <c r="C128" s="996"/>
      <c r="D128" s="997"/>
      <c r="E128" s="997"/>
      <c r="F128" s="997"/>
      <c r="G128" s="997"/>
      <c r="H128" s="997"/>
      <c r="I128" s="997"/>
      <c r="J128" s="997"/>
      <c r="K128" s="997"/>
      <c r="L128" s="997"/>
      <c r="M128" s="997"/>
      <c r="N128" s="997"/>
      <c r="O128" s="998"/>
      <c r="T128" s="6"/>
    </row>
    <row r="129" spans="2:20">
      <c r="B129" s="999"/>
      <c r="C129" s="1000"/>
      <c r="D129" s="1000"/>
      <c r="E129" s="1000"/>
      <c r="F129" s="1000"/>
      <c r="G129" s="1000"/>
      <c r="H129" s="1000"/>
      <c r="I129" s="1000"/>
      <c r="J129" s="1000"/>
      <c r="K129" s="1000"/>
      <c r="L129" s="1000"/>
      <c r="M129" s="1000"/>
      <c r="N129" s="1000"/>
      <c r="O129" s="1001"/>
      <c r="T129" s="6"/>
    </row>
    <row r="130" spans="2:20">
      <c r="B130" s="1002"/>
      <c r="C130" s="488" t="s">
        <v>314</v>
      </c>
      <c r="D130" s="1003"/>
      <c r="E130" s="1004"/>
      <c r="F130" s="1003"/>
      <c r="G130" s="1003"/>
      <c r="H130" s="1003"/>
      <c r="I130" s="1003"/>
      <c r="J130" s="1003"/>
      <c r="K130" s="1003"/>
      <c r="L130" s="1003"/>
      <c r="M130" s="1003"/>
      <c r="N130" s="1004"/>
      <c r="O130" s="1005"/>
    </row>
    <row r="131" spans="2:20">
      <c r="B131" s="1002"/>
      <c r="C131" s="1003"/>
      <c r="D131" s="1003"/>
      <c r="E131" s="1003"/>
      <c r="F131" s="1003"/>
      <c r="G131" s="1003"/>
      <c r="H131" s="1003"/>
      <c r="I131" s="1003"/>
      <c r="J131" s="1003"/>
      <c r="K131" s="1003"/>
      <c r="L131" s="1003"/>
      <c r="M131" s="1003"/>
      <c r="N131" s="1003"/>
      <c r="O131" s="1005"/>
    </row>
    <row r="132" spans="2:20" ht="15.75">
      <c r="B132" s="492"/>
      <c r="C132" s="1006" t="s">
        <v>28</v>
      </c>
      <c r="D132" s="1006" t="s">
        <v>315</v>
      </c>
      <c r="E132" s="1006" t="s">
        <v>30</v>
      </c>
      <c r="F132" s="1006">
        <v>2013</v>
      </c>
      <c r="G132" s="1006" t="s">
        <v>133</v>
      </c>
      <c r="H132" s="1006" t="s">
        <v>134</v>
      </c>
      <c r="I132" s="1006" t="s">
        <v>135</v>
      </c>
      <c r="J132" s="1006" t="s">
        <v>136</v>
      </c>
      <c r="K132" s="1006" t="s">
        <v>137</v>
      </c>
      <c r="L132" s="1006" t="s">
        <v>138</v>
      </c>
      <c r="M132" s="1006" t="s">
        <v>139</v>
      </c>
      <c r="N132" s="1006" t="s">
        <v>140</v>
      </c>
      <c r="O132" s="1005"/>
    </row>
    <row r="133" spans="2:20" ht="15.75">
      <c r="B133" s="492"/>
      <c r="C133" s="1007"/>
      <c r="D133" s="494"/>
      <c r="E133" s="494"/>
      <c r="F133" s="1008"/>
      <c r="G133" s="1008"/>
      <c r="H133" s="1008"/>
      <c r="I133" s="1008"/>
      <c r="J133" s="1008"/>
      <c r="K133" s="1008"/>
      <c r="L133" s="1008"/>
      <c r="M133" s="1008"/>
      <c r="N133" s="1008"/>
      <c r="O133" s="1005"/>
    </row>
    <row r="134" spans="2:20" ht="15.75">
      <c r="B134" s="497"/>
      <c r="C134" s="1010"/>
      <c r="D134" s="1010"/>
      <c r="E134" s="1010"/>
      <c r="F134" s="1010"/>
      <c r="G134" s="1010"/>
      <c r="H134" s="1010"/>
      <c r="I134" s="1010"/>
      <c r="J134" s="1010"/>
      <c r="K134" s="1010"/>
      <c r="L134" s="1010"/>
      <c r="M134" s="1010"/>
      <c r="N134" s="1010"/>
      <c r="O134" s="1011"/>
    </row>
    <row r="136" spans="2:20" ht="15.75">
      <c r="B136" s="995" t="s">
        <v>2795</v>
      </c>
      <c r="C136" s="997"/>
      <c r="D136" s="997"/>
      <c r="E136" s="997"/>
      <c r="F136" s="997"/>
      <c r="G136" s="997"/>
      <c r="H136" s="997"/>
      <c r="I136" s="997"/>
      <c r="J136" s="997"/>
      <c r="K136" s="997"/>
      <c r="L136" s="997"/>
      <c r="M136" s="997"/>
      <c r="N136" s="997"/>
      <c r="O136" s="998"/>
    </row>
    <row r="137" spans="2:20" hidden="1">
      <c r="B137" s="1002"/>
      <c r="C137" s="1003"/>
      <c r="D137" s="1003"/>
      <c r="E137" s="1003"/>
      <c r="F137" s="1003"/>
      <c r="G137" s="1003"/>
      <c r="H137" s="1003"/>
      <c r="I137" s="1003"/>
      <c r="J137" s="1003"/>
      <c r="K137" s="1003"/>
      <c r="L137" s="1003"/>
      <c r="M137" s="1003"/>
      <c r="N137" s="1003"/>
      <c r="O137" s="1005"/>
    </row>
    <row r="138" spans="2:20" hidden="1">
      <c r="B138" s="1002"/>
      <c r="C138" s="500" t="s">
        <v>770</v>
      </c>
      <c r="D138" s="1012"/>
      <c r="E138" s="1012"/>
      <c r="F138" s="1012"/>
      <c r="G138" s="1012"/>
      <c r="H138" s="1012"/>
      <c r="I138" s="1012"/>
      <c r="J138" s="1012"/>
      <c r="K138" s="1012"/>
      <c r="L138" s="1012"/>
      <c r="M138" s="1012"/>
      <c r="N138" s="1012"/>
      <c r="O138" s="1005"/>
    </row>
    <row r="139" spans="2:20" hidden="1">
      <c r="B139" s="1002"/>
      <c r="C139" s="1003"/>
      <c r="D139" s="1003"/>
      <c r="E139" s="1003"/>
      <c r="F139" s="1003"/>
      <c r="G139" s="1003"/>
      <c r="H139" s="1003"/>
      <c r="I139" s="1003"/>
      <c r="J139" s="1003"/>
      <c r="K139" s="1003"/>
      <c r="L139" s="1003"/>
      <c r="M139" s="1003"/>
      <c r="N139" s="1003"/>
      <c r="O139" s="1005"/>
    </row>
    <row r="140" spans="2:20" ht="15.75" hidden="1">
      <c r="B140" s="492"/>
      <c r="C140" s="1006" t="s">
        <v>28</v>
      </c>
      <c r="D140" s="1006" t="s">
        <v>29</v>
      </c>
      <c r="E140" s="1006" t="s">
        <v>30</v>
      </c>
      <c r="F140" s="1006">
        <v>2013</v>
      </c>
      <c r="G140" s="1006" t="s">
        <v>133</v>
      </c>
      <c r="H140" s="1006" t="s">
        <v>134</v>
      </c>
      <c r="I140" s="1006" t="s">
        <v>135</v>
      </c>
      <c r="J140" s="1006" t="s">
        <v>136</v>
      </c>
      <c r="K140" s="1006" t="s">
        <v>137</v>
      </c>
      <c r="L140" s="1006" t="s">
        <v>138</v>
      </c>
      <c r="M140" s="1006" t="s">
        <v>139</v>
      </c>
      <c r="N140" s="1006" t="s">
        <v>140</v>
      </c>
      <c r="O140" s="1150"/>
    </row>
    <row r="141" spans="2:20" ht="15.75" hidden="1">
      <c r="B141" s="492"/>
      <c r="C141" s="1007" t="s">
        <v>324</v>
      </c>
      <c r="D141" s="494" t="s">
        <v>325</v>
      </c>
      <c r="E141" s="494"/>
      <c r="F141" s="495"/>
      <c r="G141" s="495"/>
      <c r="H141" s="495"/>
      <c r="I141" s="495"/>
      <c r="J141" s="495"/>
      <c r="K141" s="495"/>
      <c r="L141" s="495"/>
      <c r="M141" s="495"/>
      <c r="N141" s="495"/>
      <c r="O141" s="1150"/>
    </row>
    <row r="142" spans="2:20" ht="15.75" hidden="1">
      <c r="B142" s="492"/>
      <c r="C142" s="1007" t="s">
        <v>326</v>
      </c>
      <c r="D142" s="494" t="s">
        <v>327</v>
      </c>
      <c r="E142" s="494"/>
      <c r="F142" s="495"/>
      <c r="G142" s="495"/>
      <c r="H142" s="495"/>
      <c r="I142" s="495"/>
      <c r="J142" s="495"/>
      <c r="K142" s="495"/>
      <c r="L142" s="495"/>
      <c r="M142" s="495"/>
      <c r="N142" s="495"/>
      <c r="O142" s="1150"/>
    </row>
    <row r="143" spans="2:20" ht="15.75" hidden="1">
      <c r="B143" s="492"/>
      <c r="C143" s="1007" t="s">
        <v>328</v>
      </c>
      <c r="D143" s="494" t="s">
        <v>329</v>
      </c>
      <c r="E143" s="494"/>
      <c r="F143" s="495"/>
      <c r="G143" s="495"/>
      <c r="H143" s="495"/>
      <c r="I143" s="495"/>
      <c r="J143" s="495"/>
      <c r="K143" s="495"/>
      <c r="L143" s="495"/>
      <c r="M143" s="495"/>
      <c r="N143" s="495"/>
      <c r="O143" s="1150"/>
    </row>
    <row r="144" spans="2:20" ht="15.75" hidden="1">
      <c r="B144" s="492"/>
      <c r="C144" s="1007" t="s">
        <v>331</v>
      </c>
      <c r="D144" s="494" t="s">
        <v>332</v>
      </c>
      <c r="E144" s="494"/>
      <c r="F144" s="495"/>
      <c r="G144" s="495"/>
      <c r="H144" s="495"/>
      <c r="I144" s="495"/>
      <c r="J144" s="495"/>
      <c r="K144" s="495"/>
      <c r="L144" s="495"/>
      <c r="M144" s="495"/>
      <c r="N144" s="495"/>
      <c r="O144" s="1150"/>
    </row>
    <row r="145" spans="2:15" hidden="1">
      <c r="B145" s="503"/>
      <c r="C145" s="1007" t="s">
        <v>333</v>
      </c>
      <c r="D145" s="494" t="s">
        <v>334</v>
      </c>
      <c r="E145" s="494"/>
      <c r="F145" s="495"/>
      <c r="G145" s="495"/>
      <c r="H145" s="495"/>
      <c r="I145" s="495"/>
      <c r="J145" s="495"/>
      <c r="K145" s="495"/>
      <c r="L145" s="495"/>
      <c r="M145" s="495"/>
      <c r="N145" s="495"/>
      <c r="O145" s="1151"/>
    </row>
    <row r="146" spans="2:15" hidden="1">
      <c r="B146" s="503"/>
      <c r="C146" s="1007" t="s">
        <v>335</v>
      </c>
      <c r="D146" s="494" t="s">
        <v>336</v>
      </c>
      <c r="E146" s="494"/>
      <c r="F146" s="495"/>
      <c r="G146" s="495"/>
      <c r="H146" s="495"/>
      <c r="I146" s="495"/>
      <c r="J146" s="495"/>
      <c r="K146" s="495"/>
      <c r="L146" s="495"/>
      <c r="M146" s="495"/>
      <c r="N146" s="495"/>
      <c r="O146" s="1151"/>
    </row>
    <row r="147" spans="2:15" hidden="1">
      <c r="B147" s="1014"/>
      <c r="C147" s="1010"/>
      <c r="D147" s="1010"/>
      <c r="E147" s="1010"/>
      <c r="F147" s="1010"/>
      <c r="G147" s="1010"/>
      <c r="H147" s="1010"/>
      <c r="I147" s="1010"/>
      <c r="J147" s="1010"/>
      <c r="K147" s="1010"/>
      <c r="L147" s="1010"/>
      <c r="M147" s="1010"/>
      <c r="N147" s="1010"/>
      <c r="O147" s="1015"/>
    </row>
    <row r="149" spans="2:15" ht="15.75">
      <c r="B149" s="1357" t="s">
        <v>995</v>
      </c>
      <c r="C149" s="1644"/>
      <c r="D149" s="1644"/>
      <c r="E149" s="1644"/>
      <c r="F149" s="1644"/>
      <c r="G149" s="1644"/>
      <c r="H149" s="1644"/>
      <c r="I149" s="1644"/>
      <c r="J149" s="1644"/>
      <c r="K149" s="1644"/>
      <c r="L149" s="1644"/>
      <c r="M149" s="1644"/>
      <c r="N149" s="1644"/>
      <c r="O149" s="1644"/>
    </row>
    <row r="150" spans="2:15">
      <c r="B150" s="1358"/>
      <c r="C150" s="1358"/>
      <c r="D150" s="1358"/>
      <c r="E150" s="1358"/>
      <c r="F150" s="1358"/>
      <c r="G150" s="1358"/>
      <c r="H150" s="1358"/>
      <c r="I150" s="1358"/>
      <c r="J150" s="1358"/>
      <c r="K150" s="1358"/>
      <c r="L150" s="1358"/>
      <c r="M150" s="1358"/>
      <c r="N150" s="1358"/>
      <c r="O150" s="1358"/>
    </row>
    <row r="151" spans="2:15">
      <c r="B151" s="1358"/>
      <c r="C151" s="2926" t="s">
        <v>28</v>
      </c>
      <c r="D151" s="2927" t="s">
        <v>29</v>
      </c>
      <c r="E151" s="2927" t="s">
        <v>306</v>
      </c>
      <c r="F151" s="2927" t="s">
        <v>597</v>
      </c>
      <c r="G151" s="2927" t="s">
        <v>133</v>
      </c>
      <c r="H151" s="2927" t="s">
        <v>134</v>
      </c>
      <c r="I151" s="2927" t="s">
        <v>135</v>
      </c>
      <c r="J151" s="2927" t="s">
        <v>136</v>
      </c>
      <c r="K151" s="2927" t="s">
        <v>137</v>
      </c>
      <c r="L151" s="2927" t="s">
        <v>138</v>
      </c>
      <c r="M151" s="2927" t="s">
        <v>139</v>
      </c>
      <c r="N151" s="2928" t="s">
        <v>140</v>
      </c>
      <c r="O151" s="1358"/>
    </row>
    <row r="152" spans="2:15">
      <c r="B152" s="1358"/>
      <c r="C152" s="1652" t="s">
        <v>266</v>
      </c>
      <c r="D152" s="1653" t="s">
        <v>267</v>
      </c>
      <c r="E152" s="2978" t="s">
        <v>456</v>
      </c>
      <c r="F152" s="2977">
        <f ca="1">$G152*(F$64/$G$64)</f>
        <v>0</v>
      </c>
      <c r="G152" s="2977">
        <f>G$29</f>
        <v>0</v>
      </c>
      <c r="H152" s="2977">
        <f>H$29</f>
        <v>0</v>
      </c>
      <c r="I152" s="2977">
        <f>I$29</f>
        <v>0</v>
      </c>
      <c r="J152" s="2977">
        <f>J$29</f>
        <v>0</v>
      </c>
      <c r="K152" s="2977">
        <f>K$29</f>
        <v>0</v>
      </c>
      <c r="L152" s="2977">
        <f ca="1">$K152*(L$64/$K$64)</f>
        <v>0</v>
      </c>
      <c r="M152" s="2977">
        <f ca="1">$K152*(M$64/$K$64)</f>
        <v>0</v>
      </c>
      <c r="N152" s="2977">
        <f ca="1">$K152*(N$64/$K$64)</f>
        <v>0</v>
      </c>
      <c r="O152" s="1358"/>
    </row>
    <row r="153" spans="2:15">
      <c r="B153" s="1358"/>
      <c r="C153" s="1358"/>
      <c r="D153" s="1358"/>
      <c r="E153" s="1358"/>
      <c r="F153" s="1358"/>
      <c r="G153" s="1358"/>
      <c r="H153" s="1358"/>
      <c r="I153" s="1358"/>
      <c r="J153" s="1358"/>
      <c r="K153" s="1358"/>
      <c r="L153" s="1358"/>
      <c r="M153" s="1358"/>
      <c r="N153" s="1358"/>
      <c r="O153" s="1358"/>
    </row>
    <row r="725" spans="6:14">
      <c r="F725" s="2890">
        <v>0</v>
      </c>
      <c r="G725" s="2890">
        <v>0</v>
      </c>
      <c r="H725" s="2890">
        <v>0</v>
      </c>
      <c r="I725" s="2890">
        <v>0</v>
      </c>
      <c r="J725" s="2890">
        <v>0</v>
      </c>
      <c r="K725" s="2890">
        <v>0</v>
      </c>
      <c r="L725" s="2890">
        <v>0</v>
      </c>
      <c r="M725" s="2890">
        <v>0</v>
      </c>
      <c r="N725" s="2890">
        <v>0</v>
      </c>
    </row>
    <row r="726" spans="6:14">
      <c r="F726" s="2890">
        <v>0</v>
      </c>
      <c r="G726" s="2890">
        <v>0</v>
      </c>
      <c r="H726" s="2890">
        <v>0</v>
      </c>
      <c r="I726" s="2890">
        <v>0</v>
      </c>
      <c r="J726" s="2890">
        <v>0</v>
      </c>
      <c r="K726" s="2890">
        <v>0</v>
      </c>
      <c r="L726" s="2890">
        <v>0</v>
      </c>
      <c r="M726" s="2890">
        <v>0</v>
      </c>
      <c r="N726" s="2890">
        <v>0</v>
      </c>
    </row>
    <row r="727" spans="6:14">
      <c r="F727" s="2890">
        <v>0</v>
      </c>
      <c r="G727" s="2890">
        <v>0</v>
      </c>
      <c r="H727" s="2890">
        <v>0</v>
      </c>
      <c r="I727" s="2890">
        <v>0</v>
      </c>
      <c r="J727" s="2890">
        <v>0</v>
      </c>
      <c r="K727" s="2890">
        <v>0</v>
      </c>
      <c r="L727" s="2890">
        <v>0</v>
      </c>
      <c r="M727" s="2890">
        <v>0</v>
      </c>
      <c r="N727" s="2890">
        <v>0</v>
      </c>
    </row>
  </sheetData>
  <pageMargins left="0.7" right="0.7" top="0.75" bottom="0.75" header="0.3" footer="0.3"/>
  <pageSetup orientation="portrait" r:id="rId1"/>
  <tableParts count="4">
    <tablePart r:id="rId2"/>
    <tablePart r:id="rId3"/>
    <tablePart r:id="rId4"/>
    <tablePart r:id="rId5"/>
  </tableParts>
</worksheet>
</file>

<file path=xl/worksheets/sheet45.xml><?xml version="1.0" encoding="utf-8"?>
<worksheet xmlns="http://schemas.openxmlformats.org/spreadsheetml/2006/main" xmlns:r="http://schemas.openxmlformats.org/officeDocument/2006/relationships">
  <sheetPr>
    <tabColor theme="9"/>
  </sheetPr>
  <dimension ref="A1:AD726"/>
  <sheetViews>
    <sheetView showGridLines="0" zoomScale="80" zoomScaleNormal="80" workbookViewId="0"/>
  </sheetViews>
  <sheetFormatPr defaultColWidth="8.85546875" defaultRowHeight="15"/>
  <cols>
    <col min="1" max="1" width="7.7109375" style="2890" customWidth="1"/>
    <col min="2" max="2" width="5.85546875" style="2890" customWidth="1"/>
    <col min="3" max="3" width="20.42578125" style="2890" customWidth="1"/>
    <col min="4" max="4" width="30.7109375" style="2890" customWidth="1"/>
    <col min="5" max="5" width="20.7109375" style="2890" customWidth="1"/>
    <col min="6" max="14" width="17.7109375" style="2890" customWidth="1"/>
    <col min="15" max="15" width="2" style="2890" customWidth="1"/>
    <col min="16" max="16" width="8.85546875" style="2890"/>
    <col min="17" max="17" width="10.85546875" style="2890" customWidth="1"/>
    <col min="18" max="16384" width="8.85546875" style="2890"/>
  </cols>
  <sheetData>
    <row r="1" spans="1:15" ht="20.25">
      <c r="A1" s="863" t="s">
        <v>588</v>
      </c>
      <c r="B1" s="863" t="s">
        <v>589</v>
      </c>
      <c r="C1" s="863"/>
      <c r="F1"/>
      <c r="G1"/>
      <c r="H1"/>
    </row>
    <row r="2" spans="1:15" s="6" customFormat="1" ht="15.75">
      <c r="A2" s="864" t="s">
        <v>586</v>
      </c>
      <c r="B2" s="864" t="s">
        <v>3053</v>
      </c>
      <c r="C2" s="864"/>
      <c r="E2" s="5"/>
    </row>
    <row r="4" spans="1:15" ht="23.25">
      <c r="A4" s="7"/>
      <c r="B4" s="511" t="s">
        <v>24</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34" t="s">
        <v>2350</v>
      </c>
      <c r="D6" s="515"/>
      <c r="E6" s="516"/>
      <c r="F6" s="515"/>
      <c r="G6" s="515"/>
      <c r="H6" s="515"/>
      <c r="I6" s="515"/>
      <c r="J6" s="515"/>
      <c r="K6" s="515"/>
      <c r="L6" s="515"/>
      <c r="M6" s="515"/>
      <c r="N6" s="516" t="s">
        <v>27</v>
      </c>
      <c r="O6" s="867"/>
    </row>
    <row r="7" spans="1:15">
      <c r="B7" s="514"/>
      <c r="C7" s="12"/>
      <c r="D7" s="515"/>
      <c r="E7" s="516"/>
      <c r="F7" s="515"/>
      <c r="G7" s="515"/>
      <c r="H7" s="515"/>
      <c r="I7" s="515"/>
      <c r="J7" s="515"/>
      <c r="K7" s="515"/>
      <c r="L7" s="515"/>
      <c r="M7" s="515"/>
      <c r="N7" s="515"/>
      <c r="O7" s="867"/>
    </row>
    <row r="8" spans="1:15" s="6" customFormat="1" ht="15.75">
      <c r="A8" s="3"/>
      <c r="B8" s="19"/>
      <c r="C8" s="873" t="s">
        <v>28</v>
      </c>
      <c r="D8" s="873" t="s">
        <v>29</v>
      </c>
      <c r="E8" s="873" t="s">
        <v>30</v>
      </c>
      <c r="F8" s="2932" t="s">
        <v>597</v>
      </c>
      <c r="G8" s="873" t="s">
        <v>133</v>
      </c>
      <c r="H8" s="873" t="s">
        <v>134</v>
      </c>
      <c r="I8" s="873" t="s">
        <v>135</v>
      </c>
      <c r="J8" s="873" t="s">
        <v>136</v>
      </c>
      <c r="K8" s="873" t="s">
        <v>137</v>
      </c>
      <c r="L8" s="873" t="s">
        <v>138</v>
      </c>
      <c r="M8" s="873" t="s">
        <v>139</v>
      </c>
      <c r="N8" s="873" t="s">
        <v>140</v>
      </c>
      <c r="O8" s="874"/>
    </row>
    <row r="9" spans="1:15" s="6" customFormat="1" ht="15.75">
      <c r="A9" s="3"/>
      <c r="B9" s="19"/>
      <c r="C9" s="873" t="s">
        <v>442</v>
      </c>
      <c r="D9" s="2487" t="str">
        <f>INDEX(Vectors[Description], MATCH([Vector], Vectors[Code], 0))</f>
        <v>Coal imports (exports in paranthesis)</v>
      </c>
      <c r="E9" s="873"/>
      <c r="F9" s="2933">
        <f ca="1">INDEX(INDIRECT("'"&amp;F$8&amp;"'!Year.NetBalance"), MATCH($C9, INDIRECT("'"&amp;F$8&amp;"'!Year.Vectors"), 0))</f>
        <v>-14.602281067209798</v>
      </c>
      <c r="G9" s="2934">
        <f t="shared" ref="G9:N9" ca="1" si="0">INDEX(INDIRECT("'"&amp;G$8&amp;"'!Year.NetBalance"), MATCH($C9, INDIRECT("'"&amp;G$8&amp;"'!Year.Vectors"), 0))</f>
        <v>-13.367884225892757</v>
      </c>
      <c r="H9" s="2934">
        <f t="shared" ca="1" si="0"/>
        <v>-0.49575845114132866</v>
      </c>
      <c r="I9" s="2934">
        <f t="shared" ca="1" si="0"/>
        <v>2.2402186688480645</v>
      </c>
      <c r="J9" s="2934">
        <f t="shared" ca="1" si="0"/>
        <v>0.22914024705997099</v>
      </c>
      <c r="K9" s="2934">
        <f t="shared" ca="1" si="0"/>
        <v>0.22533488167895965</v>
      </c>
      <c r="L9" s="2934">
        <f t="shared" ca="1" si="0"/>
        <v>0.22186590218798416</v>
      </c>
      <c r="M9" s="2934">
        <f t="shared" ca="1" si="0"/>
        <v>0.21811357288438121</v>
      </c>
      <c r="N9" s="2934">
        <f t="shared" ca="1" si="0"/>
        <v>0.2136046021465092</v>
      </c>
      <c r="O9" s="874"/>
    </row>
    <row r="10" spans="1:15" s="6" customFormat="1" ht="15.75">
      <c r="A10" s="3"/>
      <c r="B10" s="19"/>
      <c r="C10" s="873" t="s">
        <v>443</v>
      </c>
      <c r="D10" s="2487" t="str">
        <f>INDEX(Vectors[Description], MATCH([Vector], Vectors[Code], 0))</f>
        <v>Oil and petroleum products imports (exports in parenthesis)</v>
      </c>
      <c r="E10" s="873"/>
      <c r="F10" s="2933">
        <f t="shared" ref="F10:N11" ca="1" si="1">INDEX(INDIRECT("'"&amp;F$8&amp;"'!Year.NetBalance"), MATCH($C10, INDIRECT("'"&amp;F$8&amp;"'!Year.Vectors"), 0))</f>
        <v>-76.341107777431446</v>
      </c>
      <c r="G10" s="2934">
        <f t="shared" ca="1" si="1"/>
        <v>-70.428965076712089</v>
      </c>
      <c r="H10" s="2934">
        <f t="shared" ca="1" si="1"/>
        <v>-66.132600914927124</v>
      </c>
      <c r="I10" s="2934">
        <f t="shared" ca="1" si="1"/>
        <v>-61.70681606299398</v>
      </c>
      <c r="J10" s="2934">
        <f t="shared" ca="1" si="1"/>
        <v>-58.853734589724091</v>
      </c>
      <c r="K10" s="2934">
        <f t="shared" ca="1" si="1"/>
        <v>-56.055550717287325</v>
      </c>
      <c r="L10" s="2934">
        <f t="shared" ca="1" si="1"/>
        <v>-53.466242556904533</v>
      </c>
      <c r="M10" s="2934">
        <f t="shared" ca="1" si="1"/>
        <v>-50.942465881243002</v>
      </c>
      <c r="N10" s="2934">
        <f t="shared" ca="1" si="1"/>
        <v>-48.624578735681354</v>
      </c>
      <c r="O10" s="874"/>
    </row>
    <row r="11" spans="1:15" s="6" customFormat="1" ht="15.75">
      <c r="A11" s="3"/>
      <c r="B11" s="19"/>
      <c r="C11" s="17" t="s">
        <v>444</v>
      </c>
      <c r="D11" s="2487" t="str">
        <f>INDEX(Vectors[Description], MATCH([Vector], Vectors[Code], 0))</f>
        <v>Gas imports (exports in parenthesis)</v>
      </c>
      <c r="E11" s="17"/>
      <c r="F11" s="2933">
        <f t="shared" ca="1" si="1"/>
        <v>-46.547614680811428</v>
      </c>
      <c r="G11" s="2934">
        <f t="shared" ca="1" si="1"/>
        <v>-45.644258801899632</v>
      </c>
      <c r="H11" s="2934">
        <f t="shared" ca="1" si="1"/>
        <v>-11.463075485516505</v>
      </c>
      <c r="I11" s="2934">
        <f t="shared" ca="1" si="1"/>
        <v>-29.741491510161715</v>
      </c>
      <c r="J11" s="2934">
        <f t="shared" ca="1" si="1"/>
        <v>-29.716870935553509</v>
      </c>
      <c r="K11" s="2934">
        <f t="shared" ca="1" si="1"/>
        <v>-37.575562611620718</v>
      </c>
      <c r="L11" s="2934">
        <f t="shared" ca="1" si="1"/>
        <v>-49.707610582817466</v>
      </c>
      <c r="M11" s="2934">
        <f t="shared" ca="1" si="1"/>
        <v>-62.182671111735829</v>
      </c>
      <c r="N11" s="2934">
        <f t="shared" ca="1" si="1"/>
        <v>-75.014269907136224</v>
      </c>
      <c r="O11" s="875"/>
    </row>
    <row r="12" spans="1:15" s="6" customFormat="1" ht="15.75">
      <c r="A12" s="3"/>
      <c r="B12" s="19"/>
      <c r="C12" s="17"/>
      <c r="D12" s="17"/>
      <c r="E12" s="17"/>
      <c r="F12" s="2934"/>
      <c r="G12" s="2934"/>
      <c r="H12" s="2934"/>
      <c r="I12" s="2934"/>
      <c r="J12" s="2934"/>
      <c r="K12" s="2934"/>
      <c r="L12" s="2934"/>
      <c r="M12" s="2934"/>
      <c r="N12" s="2934"/>
      <c r="O12" s="875"/>
    </row>
    <row r="13" spans="1:15" s="6" customFormat="1" ht="15.75">
      <c r="A13" s="3"/>
      <c r="B13" s="19"/>
      <c r="C13" s="23" t="s">
        <v>2351</v>
      </c>
      <c r="D13" s="17"/>
      <c r="E13" s="17"/>
      <c r="F13" s="2934"/>
      <c r="G13" s="2934"/>
      <c r="H13" s="2934"/>
      <c r="I13" s="2934"/>
      <c r="J13" s="2934"/>
      <c r="K13" s="2934"/>
      <c r="L13" s="2934"/>
      <c r="M13" s="2934"/>
      <c r="N13" s="2934"/>
      <c r="O13" s="875"/>
    </row>
    <row r="14" spans="1:15" s="6" customFormat="1" ht="15.75">
      <c r="A14" s="3"/>
      <c r="B14" s="19"/>
      <c r="C14" s="2935" t="s">
        <v>28</v>
      </c>
      <c r="D14" s="2935" t="s">
        <v>29</v>
      </c>
      <c r="E14" s="2935" t="s">
        <v>30</v>
      </c>
      <c r="F14" s="2936" t="s">
        <v>597</v>
      </c>
      <c r="G14" s="2935" t="s">
        <v>133</v>
      </c>
      <c r="H14" s="2935" t="s">
        <v>134</v>
      </c>
      <c r="I14" s="2935" t="s">
        <v>135</v>
      </c>
      <c r="J14" s="2935" t="s">
        <v>136</v>
      </c>
      <c r="K14" s="2935" t="s">
        <v>137</v>
      </c>
      <c r="L14" s="2935" t="s">
        <v>138</v>
      </c>
      <c r="M14" s="2935" t="s">
        <v>139</v>
      </c>
      <c r="N14" s="2935" t="s">
        <v>140</v>
      </c>
      <c r="O14" s="875"/>
    </row>
    <row r="15" spans="1:15" s="6" customFormat="1" ht="15.75">
      <c r="A15" s="3"/>
      <c r="B15" s="19"/>
      <c r="C15" s="873" t="s">
        <v>445</v>
      </c>
      <c r="D15" s="17" t="s">
        <v>396</v>
      </c>
      <c r="E15" s="873"/>
      <c r="F15" s="2937">
        <f ca="1">INDEX(INDIRECT("'"&amp;F$8&amp;"'!Year.NetBalance"), MATCH($C15, INDIRECT("'"&amp;F$8&amp;"'!Year.Vectors"), 0))</f>
        <v>0</v>
      </c>
      <c r="G15" s="2938">
        <f t="shared" ref="G15:N15" ca="1" si="2">INDEX(INDIRECT("'"&amp;G$8&amp;"'!Year.NetBalance"), MATCH($C15, INDIRECT("'"&amp;G$8&amp;"'!Year.Vectors"), 0))</f>
        <v>0</v>
      </c>
      <c r="H15" s="2938">
        <f t="shared" ca="1" si="2"/>
        <v>0</v>
      </c>
      <c r="I15" s="2938">
        <f t="shared" ca="1" si="2"/>
        <v>0</v>
      </c>
      <c r="J15" s="2938">
        <f t="shared" ca="1" si="2"/>
        <v>-21.428000000000004</v>
      </c>
      <c r="K15" s="2938">
        <f t="shared" ca="1" si="2"/>
        <v>-21.428000000000004</v>
      </c>
      <c r="L15" s="2938">
        <f t="shared" ca="1" si="2"/>
        <v>-21.428000000000004</v>
      </c>
      <c r="M15" s="2938">
        <f t="shared" ca="1" si="2"/>
        <v>-21.428000000000004</v>
      </c>
      <c r="N15" s="2938">
        <f t="shared" ca="1" si="2"/>
        <v>-21.428000000000004</v>
      </c>
      <c r="O15" s="875"/>
    </row>
    <row r="16" spans="1:15" s="6" customFormat="1" ht="15.75">
      <c r="A16" s="3"/>
      <c r="B16" s="19"/>
      <c r="C16" s="17"/>
      <c r="D16" s="17"/>
      <c r="E16" s="17"/>
      <c r="F16" s="2934"/>
      <c r="G16" s="2934"/>
      <c r="H16" s="2934"/>
      <c r="I16" s="2934"/>
      <c r="J16" s="2934"/>
      <c r="K16" s="2934"/>
      <c r="L16" s="2934"/>
      <c r="M16" s="2934"/>
      <c r="N16" s="2934"/>
      <c r="O16" s="875"/>
    </row>
    <row r="17" spans="1:30" s="6" customFormat="1" ht="18" customHeight="1">
      <c r="A17" s="3"/>
      <c r="B17" s="19"/>
      <c r="C17" s="17"/>
      <c r="D17" s="2939" t="s">
        <v>2352</v>
      </c>
      <c r="E17" s="17"/>
      <c r="F17" s="22"/>
      <c r="G17" s="22"/>
      <c r="H17" s="22"/>
      <c r="I17" s="22"/>
      <c r="J17" s="22"/>
      <c r="K17" s="22"/>
      <c r="L17" s="22"/>
      <c r="M17" s="22"/>
      <c r="N17" s="22"/>
      <c r="O17" s="875"/>
    </row>
    <row r="19" spans="1:30" s="6" customFormat="1" ht="23.25">
      <c r="A19" s="40"/>
      <c r="B19" s="878" t="s">
        <v>2794</v>
      </c>
      <c r="C19" s="879"/>
      <c r="D19" s="879"/>
      <c r="E19" s="879"/>
      <c r="F19" s="879"/>
      <c r="G19" s="879"/>
      <c r="H19" s="879"/>
      <c r="I19" s="879"/>
      <c r="J19" s="879"/>
      <c r="K19" s="879"/>
      <c r="L19" s="879"/>
      <c r="M19" s="879"/>
      <c r="N19" s="879"/>
      <c r="O19" s="879"/>
      <c r="Q19" s="656"/>
      <c r="R19" s="656"/>
      <c r="S19" s="656"/>
      <c r="T19" s="656"/>
      <c r="U19" s="656"/>
      <c r="V19" s="656"/>
      <c r="W19" s="656"/>
      <c r="X19" s="656"/>
      <c r="Y19" s="656"/>
      <c r="Z19" s="656"/>
    </row>
    <row r="20" spans="1:30" hidden="1">
      <c r="B20" s="110"/>
      <c r="C20" s="67"/>
      <c r="D20" s="67"/>
      <c r="E20" s="67"/>
      <c r="F20" s="67"/>
      <c r="G20" s="67"/>
      <c r="H20" s="67"/>
      <c r="I20" s="67"/>
      <c r="J20" s="67"/>
      <c r="K20" s="67"/>
      <c r="L20" s="67"/>
      <c r="M20" s="67"/>
      <c r="N20" s="67"/>
      <c r="O20" s="885"/>
      <c r="R20" s="1077"/>
      <c r="S20" s="1077"/>
      <c r="T20" s="1077"/>
      <c r="U20" s="1077"/>
      <c r="V20" s="1077"/>
      <c r="W20" s="1077"/>
      <c r="X20" s="1077"/>
      <c r="Y20" s="1077"/>
      <c r="Z20" s="1077"/>
    </row>
    <row r="21" spans="1:30" ht="12.75" hidden="1" customHeight="1">
      <c r="B21" s="110"/>
      <c r="C21" s="972" t="s">
        <v>2325</v>
      </c>
      <c r="D21" s="973"/>
      <c r="E21" s="972" t="s">
        <v>160</v>
      </c>
      <c r="F21" s="2940">
        <v>2013</v>
      </c>
      <c r="G21" s="981">
        <v>2015</v>
      </c>
      <c r="H21" s="981">
        <v>2020</v>
      </c>
      <c r="I21" s="981">
        <v>2025</v>
      </c>
      <c r="J21" s="981">
        <v>2030</v>
      </c>
      <c r="K21" s="981">
        <v>2035</v>
      </c>
      <c r="L21" s="981">
        <v>2040</v>
      </c>
      <c r="M21" s="981">
        <v>2045</v>
      </c>
      <c r="N21" s="981">
        <v>2050</v>
      </c>
      <c r="O21" s="885"/>
      <c r="Q21" s="2941"/>
      <c r="R21" s="207"/>
      <c r="S21" s="1431"/>
      <c r="T21" s="1431"/>
      <c r="U21" s="1431"/>
      <c r="V21" s="1077"/>
      <c r="W21" s="1077"/>
      <c r="X21" s="1431"/>
      <c r="Y21" s="1431"/>
      <c r="Z21" s="1077"/>
    </row>
    <row r="22" spans="1:30" hidden="1">
      <c r="B22" s="110"/>
      <c r="C22" s="973" t="s">
        <v>22</v>
      </c>
      <c r="D22" s="2899" t="s">
        <v>2326</v>
      </c>
      <c r="E22" s="973"/>
      <c r="F22" s="2942"/>
      <c r="G22" s="2901"/>
      <c r="H22" s="2901"/>
      <c r="I22" s="2901"/>
      <c r="J22" s="2902"/>
      <c r="K22" s="2902"/>
      <c r="L22" s="2902"/>
      <c r="M22" s="2902"/>
      <c r="N22" s="2902"/>
      <c r="O22" s="885"/>
      <c r="Q22" s="2941"/>
      <c r="R22" s="1077"/>
      <c r="S22" s="1228"/>
      <c r="T22" s="1701"/>
      <c r="U22" s="1701"/>
      <c r="V22" s="1077"/>
      <c r="W22" s="1077"/>
      <c r="X22" s="1700"/>
      <c r="Y22" s="1700"/>
      <c r="Z22" s="1077"/>
    </row>
    <row r="23" spans="1:30" hidden="1">
      <c r="B23" s="110"/>
      <c r="C23" s="67" t="s">
        <v>161</v>
      </c>
      <c r="D23" s="943" t="s">
        <v>2326</v>
      </c>
      <c r="E23" s="67"/>
      <c r="F23" s="2943"/>
      <c r="G23" s="2903"/>
      <c r="H23" s="2903"/>
      <c r="I23" s="2903"/>
      <c r="J23" s="51"/>
      <c r="K23" s="51"/>
      <c r="L23" s="51"/>
      <c r="M23" s="51"/>
      <c r="N23" s="51"/>
      <c r="O23" s="885"/>
      <c r="Q23" s="2941"/>
      <c r="R23" s="1077"/>
      <c r="S23" s="1228"/>
      <c r="T23" s="1431"/>
      <c r="U23" s="1431"/>
      <c r="V23" s="1077"/>
      <c r="W23" s="1077"/>
      <c r="X23" s="1700"/>
      <c r="Y23" s="1700"/>
      <c r="Z23" s="1077"/>
    </row>
    <row r="24" spans="1:30" hidden="1">
      <c r="B24" s="110"/>
      <c r="C24" s="67" t="s">
        <v>20</v>
      </c>
      <c r="D24" s="943" t="s">
        <v>2326</v>
      </c>
      <c r="E24" s="67"/>
      <c r="F24" s="2943"/>
      <c r="G24" s="2903"/>
      <c r="H24" s="2903"/>
      <c r="I24" s="2903"/>
      <c r="J24" s="51"/>
      <c r="K24" s="51"/>
      <c r="L24" s="51"/>
      <c r="M24" s="51"/>
      <c r="N24" s="51"/>
      <c r="O24" s="67"/>
      <c r="Q24" s="2941"/>
      <c r="R24" s="1077"/>
      <c r="S24" s="1228"/>
      <c r="T24" s="1431"/>
      <c r="U24" s="1431"/>
      <c r="V24" s="1077"/>
      <c r="W24" s="1077"/>
      <c r="X24" s="1700"/>
      <c r="Y24" s="1700"/>
      <c r="Z24" s="1077"/>
    </row>
    <row r="25" spans="1:30" hidden="1">
      <c r="B25" s="110"/>
      <c r="C25" s="67"/>
      <c r="D25" s="67"/>
      <c r="E25" s="67"/>
      <c r="F25" s="2576"/>
      <c r="G25" s="51"/>
      <c r="H25" s="51"/>
      <c r="I25" s="51"/>
      <c r="J25" s="51"/>
      <c r="K25" s="51"/>
      <c r="L25" s="51"/>
      <c r="M25" s="51"/>
      <c r="N25" s="67"/>
      <c r="O25" s="67"/>
      <c r="Q25" s="2941"/>
      <c r="R25" s="1077"/>
      <c r="S25" s="1077"/>
      <c r="T25" s="1077"/>
      <c r="U25" s="1077"/>
      <c r="V25" s="1077"/>
      <c r="W25" s="1077"/>
      <c r="X25" s="1077"/>
      <c r="Y25" s="1077"/>
      <c r="Z25" s="1077"/>
    </row>
    <row r="26" spans="1:30" hidden="1">
      <c r="B26" s="110"/>
      <c r="C26" s="67" t="s">
        <v>22</v>
      </c>
      <c r="D26" s="67" t="s">
        <v>2818</v>
      </c>
      <c r="E26" s="1597"/>
      <c r="F26" s="2944"/>
      <c r="G26" s="2903"/>
      <c r="H26" s="2903"/>
      <c r="I26" s="2903"/>
      <c r="J26" s="2906"/>
      <c r="K26" s="359"/>
      <c r="L26" s="359"/>
      <c r="M26" s="359"/>
      <c r="N26" s="359"/>
      <c r="O26" s="67"/>
      <c r="Q26" s="2941"/>
      <c r="R26" s="1077"/>
      <c r="S26" s="1077"/>
      <c r="T26" s="1077"/>
      <c r="U26" s="1077"/>
      <c r="V26" s="1077"/>
      <c r="W26" s="1077"/>
      <c r="X26" s="1077"/>
      <c r="Y26" s="1077"/>
      <c r="Z26" s="1077"/>
    </row>
    <row r="27" spans="1:30" hidden="1">
      <c r="B27" s="110"/>
      <c r="C27" s="67" t="s">
        <v>161</v>
      </c>
      <c r="D27" s="67" t="s">
        <v>2818</v>
      </c>
      <c r="E27" s="1597"/>
      <c r="F27" s="2944"/>
      <c r="G27" s="2903"/>
      <c r="H27" s="2903"/>
      <c r="I27" s="2903"/>
      <c r="J27" s="359"/>
      <c r="K27" s="359"/>
      <c r="L27" s="359"/>
      <c r="M27" s="359"/>
      <c r="N27" s="359"/>
      <c r="O27" s="67"/>
      <c r="Q27" s="2941"/>
      <c r="R27" s="1077"/>
      <c r="S27" s="1077"/>
      <c r="T27" s="1077"/>
      <c r="U27" s="1077"/>
      <c r="V27" s="1077"/>
      <c r="W27" s="1077"/>
      <c r="X27" s="1077"/>
      <c r="Y27" s="1077"/>
      <c r="Z27" s="1077"/>
    </row>
    <row r="28" spans="1:30" hidden="1">
      <c r="B28" s="110"/>
      <c r="C28" s="978" t="s">
        <v>20</v>
      </c>
      <c r="D28" s="978" t="s">
        <v>2818</v>
      </c>
      <c r="E28" s="1598"/>
      <c r="F28" s="2945"/>
      <c r="G28" s="2909"/>
      <c r="H28" s="2909"/>
      <c r="I28" s="2909"/>
      <c r="J28" s="2908"/>
      <c r="K28" s="361"/>
      <c r="L28" s="361"/>
      <c r="M28" s="361"/>
      <c r="N28" s="361"/>
      <c r="O28" s="67"/>
      <c r="Q28" s="2941"/>
      <c r="R28" s="207"/>
      <c r="S28" s="1077"/>
      <c r="T28" s="207"/>
      <c r="U28" s="2556"/>
      <c r="V28" s="2556"/>
      <c r="W28" s="2556"/>
      <c r="X28" s="2556"/>
      <c r="Y28" s="2556"/>
      <c r="Z28" s="2556"/>
      <c r="AA28" s="2556"/>
      <c r="AB28" s="2556"/>
      <c r="AC28" s="2556"/>
      <c r="AD28" s="2556"/>
    </row>
    <row r="29" spans="1:30" hidden="1">
      <c r="B29" s="47"/>
      <c r="C29" s="47"/>
      <c r="D29" s="47"/>
      <c r="E29" s="47"/>
      <c r="F29" s="47"/>
      <c r="G29" s="47"/>
      <c r="H29" s="47"/>
      <c r="I29" s="47"/>
      <c r="J29" s="47"/>
      <c r="K29" s="47"/>
      <c r="L29" s="47"/>
      <c r="M29" s="47"/>
      <c r="N29" s="47"/>
      <c r="O29" s="47"/>
      <c r="Q29" s="2941"/>
      <c r="R29" s="1077"/>
      <c r="S29" s="1228"/>
      <c r="T29" s="1077"/>
      <c r="U29" s="1701"/>
      <c r="V29" s="1701"/>
      <c r="W29" s="1431"/>
      <c r="X29" s="1431"/>
      <c r="Y29" s="1431"/>
      <c r="Z29" s="1431"/>
      <c r="AA29" s="1431"/>
      <c r="AB29" s="1431"/>
      <c r="AC29" s="1431"/>
      <c r="AD29" s="1701"/>
    </row>
    <row r="30" spans="1:30" hidden="1">
      <c r="B30" s="47"/>
      <c r="C30" s="972" t="s">
        <v>2327</v>
      </c>
      <c r="D30" s="973"/>
      <c r="E30" s="972" t="s">
        <v>160</v>
      </c>
      <c r="F30" s="2940">
        <v>2013</v>
      </c>
      <c r="G30" s="981">
        <v>2015</v>
      </c>
      <c r="H30" s="981">
        <v>2020</v>
      </c>
      <c r="I30" s="981">
        <v>2025</v>
      </c>
      <c r="J30" s="981">
        <v>2030</v>
      </c>
      <c r="K30" s="981">
        <v>2035</v>
      </c>
      <c r="L30" s="981">
        <v>2040</v>
      </c>
      <c r="M30" s="981">
        <v>2045</v>
      </c>
      <c r="N30" s="981">
        <v>2050</v>
      </c>
      <c r="O30" s="47"/>
      <c r="Q30" s="2941"/>
      <c r="R30" s="1077"/>
      <c r="S30" s="1228"/>
      <c r="T30" s="1077"/>
      <c r="U30" s="1077"/>
      <c r="V30" s="1077"/>
      <c r="W30" s="1431"/>
      <c r="X30" s="1431"/>
      <c r="Y30" s="1431"/>
      <c r="Z30" s="1431"/>
      <c r="AA30" s="1431"/>
      <c r="AB30" s="1431"/>
      <c r="AC30" s="1431"/>
      <c r="AD30" s="1077"/>
    </row>
    <row r="31" spans="1:30" hidden="1">
      <c r="B31" s="110"/>
      <c r="C31" s="973" t="s">
        <v>22</v>
      </c>
      <c r="D31" s="2899" t="s">
        <v>2328</v>
      </c>
      <c r="E31" s="1595"/>
      <c r="F31" s="2946"/>
      <c r="G31" s="2901"/>
      <c r="H31" s="2901"/>
      <c r="I31" s="2901"/>
      <c r="J31" s="2901"/>
      <c r="K31" s="2901"/>
      <c r="L31" s="2902"/>
      <c r="M31" s="2902"/>
      <c r="N31" s="2902"/>
      <c r="O31" s="67"/>
      <c r="Q31" s="2941"/>
      <c r="R31" s="1077"/>
      <c r="S31" s="1228"/>
      <c r="T31" s="1077"/>
      <c r="U31" s="1701"/>
      <c r="V31" s="1701"/>
      <c r="W31" s="1431"/>
      <c r="X31" s="1431"/>
      <c r="Y31" s="1431"/>
      <c r="Z31" s="1431"/>
      <c r="AA31" s="1431"/>
      <c r="AB31" s="1431"/>
      <c r="AC31" s="1431"/>
      <c r="AD31" s="1701"/>
    </row>
    <row r="32" spans="1:30" hidden="1">
      <c r="B32" s="110"/>
      <c r="C32" s="67" t="s">
        <v>161</v>
      </c>
      <c r="D32" s="943" t="s">
        <v>2328</v>
      </c>
      <c r="E32" s="1597"/>
      <c r="F32" s="2947"/>
      <c r="G32" s="2903"/>
      <c r="H32" s="2903"/>
      <c r="I32" s="2903"/>
      <c r="J32" s="2903"/>
      <c r="K32" s="2903"/>
      <c r="L32" s="51"/>
      <c r="M32" s="51"/>
      <c r="N32" s="51"/>
      <c r="O32" s="67"/>
      <c r="Q32" s="2941"/>
      <c r="R32" s="1077"/>
      <c r="S32" s="1077"/>
      <c r="T32" s="1077"/>
      <c r="U32" s="1077"/>
      <c r="V32" s="1077"/>
      <c r="W32" s="1431"/>
      <c r="X32" s="1431"/>
      <c r="Y32" s="1431"/>
      <c r="Z32" s="1431"/>
      <c r="AA32" s="1431"/>
      <c r="AB32" s="1431"/>
      <c r="AC32" s="1431"/>
      <c r="AD32" s="1077"/>
    </row>
    <row r="33" spans="2:30" hidden="1">
      <c r="B33" s="47"/>
      <c r="C33" s="67" t="s">
        <v>20</v>
      </c>
      <c r="D33" s="943" t="s">
        <v>2328</v>
      </c>
      <c r="E33" s="1597"/>
      <c r="F33" s="2947"/>
      <c r="G33" s="2903"/>
      <c r="H33" s="2903"/>
      <c r="I33" s="2903"/>
      <c r="J33" s="2903"/>
      <c r="K33" s="2903"/>
      <c r="L33" s="51"/>
      <c r="M33" s="51"/>
      <c r="N33" s="51"/>
      <c r="O33" s="47"/>
      <c r="Q33" s="2941"/>
      <c r="R33" s="1077"/>
      <c r="S33" s="1077"/>
      <c r="T33" s="1077"/>
      <c r="U33" s="1700"/>
      <c r="V33" s="1700"/>
      <c r="W33" s="1431"/>
      <c r="X33" s="1431"/>
      <c r="Y33" s="1431"/>
      <c r="Z33" s="1431"/>
      <c r="AA33" s="1431"/>
      <c r="AB33" s="1431"/>
      <c r="AC33" s="1431"/>
      <c r="AD33" s="1700"/>
    </row>
    <row r="34" spans="2:30" hidden="1">
      <c r="B34" s="47"/>
      <c r="C34" s="67"/>
      <c r="D34" s="67"/>
      <c r="E34" s="1597"/>
      <c r="F34" s="2576"/>
      <c r="G34" s="51"/>
      <c r="H34" s="51"/>
      <c r="I34" s="51"/>
      <c r="J34" s="51"/>
      <c r="K34" s="51"/>
      <c r="L34" s="51"/>
      <c r="M34" s="51"/>
      <c r="N34" s="67"/>
      <c r="O34" s="47"/>
      <c r="Q34" s="2941"/>
      <c r="R34" s="1077"/>
      <c r="S34" s="1077"/>
      <c r="T34" s="1077"/>
      <c r="U34" s="1077"/>
      <c r="V34" s="1077"/>
      <c r="W34" s="1431"/>
      <c r="X34" s="1431"/>
      <c r="Y34" s="1431"/>
      <c r="Z34" s="1431"/>
      <c r="AA34" s="1431"/>
      <c r="AB34" s="1431"/>
      <c r="AC34" s="1431"/>
      <c r="AD34" s="1077"/>
    </row>
    <row r="35" spans="2:30" hidden="1">
      <c r="B35" s="47"/>
      <c r="C35" s="67" t="s">
        <v>22</v>
      </c>
      <c r="D35" s="67" t="s">
        <v>2818</v>
      </c>
      <c r="E35" s="1597"/>
      <c r="F35" s="2944"/>
      <c r="G35" s="2903"/>
      <c r="H35" s="2903"/>
      <c r="I35" s="2903"/>
      <c r="J35" s="2906"/>
      <c r="K35" s="2906"/>
      <c r="L35" s="2906"/>
      <c r="M35" s="2906"/>
      <c r="N35" s="2906"/>
      <c r="O35" s="47"/>
      <c r="Q35" s="2941"/>
      <c r="R35" s="1077"/>
      <c r="S35" s="1077"/>
      <c r="T35" s="1077"/>
      <c r="U35" s="1700"/>
      <c r="V35" s="1700"/>
      <c r="W35" s="1431"/>
      <c r="X35" s="1431"/>
      <c r="Y35" s="1431"/>
      <c r="Z35" s="1431"/>
      <c r="AA35" s="1431"/>
      <c r="AB35" s="1431"/>
      <c r="AC35" s="1431"/>
      <c r="AD35" s="1700"/>
    </row>
    <row r="36" spans="2:30" hidden="1">
      <c r="B36" s="47"/>
      <c r="C36" s="67" t="s">
        <v>161</v>
      </c>
      <c r="D36" s="67" t="s">
        <v>2818</v>
      </c>
      <c r="E36" s="1597"/>
      <c r="F36" s="2944"/>
      <c r="G36" s="2903"/>
      <c r="H36" s="2903"/>
      <c r="I36" s="2903"/>
      <c r="J36" s="2906"/>
      <c r="K36" s="2906"/>
      <c r="L36" s="2906"/>
      <c r="M36" s="2906"/>
      <c r="N36" s="2906"/>
      <c r="O36" s="47"/>
      <c r="Q36" s="2941"/>
      <c r="R36" s="1077"/>
      <c r="S36" s="1077"/>
      <c r="T36" s="1077"/>
      <c r="U36" s="1077"/>
      <c r="V36" s="1077"/>
      <c r="W36" s="1077"/>
      <c r="X36" s="1077"/>
      <c r="Y36" s="1077"/>
      <c r="Z36" s="1077"/>
      <c r="AA36" s="1077"/>
      <c r="AB36" s="1077"/>
      <c r="AC36" s="1077"/>
      <c r="AD36" s="1077"/>
    </row>
    <row r="37" spans="2:30" hidden="1">
      <c r="B37" s="47"/>
      <c r="C37" s="978" t="s">
        <v>20</v>
      </c>
      <c r="D37" s="978" t="s">
        <v>2818</v>
      </c>
      <c r="E37" s="1598"/>
      <c r="F37" s="2945"/>
      <c r="G37" s="2909"/>
      <c r="H37" s="2909"/>
      <c r="I37" s="2909"/>
      <c r="J37" s="2908"/>
      <c r="K37" s="2908"/>
      <c r="L37" s="2908"/>
      <c r="M37" s="2908"/>
      <c r="N37" s="2908"/>
      <c r="O37" s="47"/>
      <c r="Q37" s="2941"/>
      <c r="R37" s="207"/>
      <c r="S37" s="1077"/>
      <c r="T37" s="207"/>
      <c r="U37" s="2556"/>
      <c r="V37" s="2556"/>
      <c r="W37" s="2556"/>
      <c r="X37" s="2556"/>
      <c r="Y37" s="2556"/>
      <c r="Z37" s="2556"/>
      <c r="AA37" s="2556"/>
      <c r="AB37" s="2556"/>
      <c r="AC37" s="2556"/>
      <c r="AD37" s="2556"/>
    </row>
    <row r="38" spans="2:30" hidden="1">
      <c r="B38" s="47"/>
      <c r="C38" s="47"/>
      <c r="D38" s="47"/>
      <c r="E38" s="47"/>
      <c r="F38" s="47"/>
      <c r="G38" s="47"/>
      <c r="H38" s="47"/>
      <c r="I38" s="47"/>
      <c r="J38" s="47"/>
      <c r="K38" s="47"/>
      <c r="L38" s="47"/>
      <c r="M38" s="47"/>
      <c r="N38" s="47"/>
      <c r="O38" s="47"/>
      <c r="Q38" s="2941"/>
      <c r="R38" s="1077"/>
      <c r="S38" s="1228"/>
      <c r="T38" s="1077"/>
      <c r="U38" s="1431"/>
      <c r="V38" s="1431"/>
      <c r="W38" s="1431"/>
      <c r="X38" s="1431"/>
      <c r="Y38" s="1431"/>
      <c r="Z38" s="1431"/>
      <c r="AA38" s="1431"/>
      <c r="AB38" s="1431"/>
      <c r="AC38" s="1431"/>
      <c r="AD38" s="1431"/>
    </row>
    <row r="39" spans="2:30" hidden="1">
      <c r="B39" s="47"/>
      <c r="C39" s="972" t="s">
        <v>2329</v>
      </c>
      <c r="D39" s="973"/>
      <c r="E39" s="972" t="s">
        <v>160</v>
      </c>
      <c r="F39" s="2940">
        <v>2013</v>
      </c>
      <c r="G39" s="981">
        <v>2015</v>
      </c>
      <c r="H39" s="981">
        <v>2020</v>
      </c>
      <c r="I39" s="981">
        <v>2025</v>
      </c>
      <c r="J39" s="981">
        <v>2030</v>
      </c>
      <c r="K39" s="981">
        <v>2035</v>
      </c>
      <c r="L39" s="981">
        <v>2040</v>
      </c>
      <c r="M39" s="981">
        <v>2045</v>
      </c>
      <c r="N39" s="981">
        <v>2050</v>
      </c>
      <c r="O39" s="47"/>
      <c r="Q39" s="2941"/>
      <c r="R39" s="1077"/>
      <c r="S39" s="1228"/>
      <c r="T39" s="1077"/>
      <c r="U39" s="1431"/>
      <c r="V39" s="1431"/>
      <c r="W39" s="1431"/>
      <c r="X39" s="1431"/>
      <c r="Y39" s="1431"/>
      <c r="Z39" s="1431"/>
      <c r="AA39" s="1431"/>
      <c r="AB39" s="1431"/>
      <c r="AC39" s="1431"/>
      <c r="AD39" s="1431"/>
    </row>
    <row r="40" spans="2:30" hidden="1">
      <c r="B40" s="47"/>
      <c r="C40" s="973" t="s">
        <v>22</v>
      </c>
      <c r="D40" s="2899" t="s">
        <v>2330</v>
      </c>
      <c r="E40" s="1595"/>
      <c r="F40" s="2946"/>
      <c r="G40" s="2901"/>
      <c r="H40" s="2901"/>
      <c r="I40" s="2901"/>
      <c r="J40" s="2901"/>
      <c r="K40" s="2901"/>
      <c r="L40" s="2901"/>
      <c r="M40" s="2901"/>
      <c r="N40" s="2901"/>
      <c r="O40" s="47"/>
      <c r="Q40" s="2941"/>
      <c r="R40" s="1077"/>
      <c r="S40" s="1228"/>
      <c r="T40" s="1077"/>
      <c r="U40" s="1431"/>
      <c r="V40" s="1431"/>
      <c r="W40" s="1431"/>
      <c r="X40" s="1431"/>
      <c r="Y40" s="1431"/>
      <c r="Z40" s="1431"/>
      <c r="AA40" s="1431"/>
      <c r="AB40" s="1431"/>
      <c r="AC40" s="1431"/>
      <c r="AD40" s="1431"/>
    </row>
    <row r="41" spans="2:30" hidden="1">
      <c r="B41" s="47"/>
      <c r="C41" s="67" t="s">
        <v>161</v>
      </c>
      <c r="D41" s="943" t="s">
        <v>2330</v>
      </c>
      <c r="E41" s="1597"/>
      <c r="F41" s="2948"/>
      <c r="G41" s="2903"/>
      <c r="H41" s="2903"/>
      <c r="I41" s="2903"/>
      <c r="J41" s="1607"/>
      <c r="K41" s="1607"/>
      <c r="L41" s="1607"/>
      <c r="M41" s="1607"/>
      <c r="N41" s="1607"/>
      <c r="O41" s="47"/>
      <c r="Q41" s="2941"/>
      <c r="R41" s="1077"/>
      <c r="S41" s="1228"/>
      <c r="T41" s="1077"/>
      <c r="U41" s="1431"/>
      <c r="V41" s="1431"/>
      <c r="W41" s="1431"/>
      <c r="X41" s="1431"/>
      <c r="Y41" s="1431"/>
      <c r="Z41" s="1431"/>
      <c r="AA41" s="1431"/>
      <c r="AB41" s="1431"/>
      <c r="AC41" s="1431"/>
      <c r="AD41" s="1431"/>
    </row>
    <row r="42" spans="2:30" hidden="1">
      <c r="B42" s="47"/>
      <c r="C42" s="67" t="s">
        <v>20</v>
      </c>
      <c r="D42" s="943" t="s">
        <v>2330</v>
      </c>
      <c r="E42" s="1597"/>
      <c r="F42" s="2947"/>
      <c r="G42" s="2903"/>
      <c r="H42" s="2903"/>
      <c r="I42" s="2903"/>
      <c r="J42" s="2903"/>
      <c r="K42" s="2903"/>
      <c r="L42" s="2903"/>
      <c r="M42" s="2903"/>
      <c r="N42" s="2903"/>
      <c r="O42" s="47"/>
      <c r="Q42" s="2941"/>
      <c r="R42" s="1077"/>
      <c r="S42" s="1228"/>
      <c r="T42" s="1077"/>
      <c r="U42" s="1431"/>
      <c r="V42" s="1431"/>
      <c r="W42" s="1431"/>
      <c r="X42" s="1431"/>
      <c r="Y42" s="1431"/>
      <c r="Z42" s="1431"/>
      <c r="AA42" s="1431"/>
      <c r="AB42" s="1431"/>
      <c r="AC42" s="1431"/>
      <c r="AD42" s="1431"/>
    </row>
    <row r="43" spans="2:30" hidden="1">
      <c r="B43" s="47"/>
      <c r="C43" s="67"/>
      <c r="D43" s="67"/>
      <c r="E43" s="1597"/>
      <c r="F43" s="2948"/>
      <c r="G43" s="2903"/>
      <c r="H43" s="2903"/>
      <c r="I43" s="2903"/>
      <c r="J43" s="2903"/>
      <c r="K43" s="2903"/>
      <c r="L43" s="2903"/>
      <c r="M43" s="2903"/>
      <c r="N43" s="1607"/>
      <c r="O43" s="47"/>
      <c r="Q43" s="2941"/>
      <c r="R43" s="1077"/>
      <c r="S43" s="1228"/>
      <c r="T43" s="1077"/>
      <c r="U43" s="1431"/>
      <c r="V43" s="1431"/>
      <c r="W43" s="1431"/>
      <c r="X43" s="1431"/>
      <c r="Y43" s="1431"/>
      <c r="Z43" s="1431"/>
      <c r="AA43" s="1431"/>
      <c r="AB43" s="1431"/>
      <c r="AC43" s="1431"/>
      <c r="AD43" s="1431"/>
    </row>
    <row r="44" spans="2:30" hidden="1">
      <c r="B44" s="47"/>
      <c r="C44" s="67" t="s">
        <v>22</v>
      </c>
      <c r="D44" s="67" t="s">
        <v>2818</v>
      </c>
      <c r="E44" s="1597"/>
      <c r="F44" s="2944"/>
      <c r="G44" s="2903"/>
      <c r="H44" s="2903"/>
      <c r="I44" s="2903"/>
      <c r="J44" s="2906"/>
      <c r="K44" s="2906"/>
      <c r="L44" s="2906"/>
      <c r="M44" s="2906"/>
      <c r="N44" s="2906"/>
      <c r="O44" s="47"/>
      <c r="Q44" s="2941"/>
      <c r="R44" s="1077"/>
      <c r="S44" s="1228"/>
      <c r="T44" s="1077"/>
      <c r="U44" s="1077"/>
      <c r="V44" s="1077"/>
      <c r="W44" s="1431"/>
      <c r="X44" s="1431"/>
      <c r="Y44" s="1431"/>
      <c r="Z44" s="1431"/>
      <c r="AA44" s="1431"/>
      <c r="AB44" s="1431"/>
      <c r="AC44" s="1431"/>
      <c r="AD44" s="1077"/>
    </row>
    <row r="45" spans="2:30" hidden="1">
      <c r="B45" s="47"/>
      <c r="C45" s="67" t="s">
        <v>161</v>
      </c>
      <c r="D45" s="67" t="s">
        <v>2818</v>
      </c>
      <c r="E45" s="1597"/>
      <c r="F45" s="2944"/>
      <c r="G45" s="2903"/>
      <c r="H45" s="2903"/>
      <c r="I45" s="2903"/>
      <c r="J45" s="2906"/>
      <c r="K45" s="2906"/>
      <c r="L45" s="2906"/>
      <c r="M45" s="2906"/>
      <c r="N45" s="2906"/>
      <c r="O45" s="47"/>
      <c r="Q45" s="2941"/>
      <c r="R45" s="1077"/>
      <c r="S45" s="1228"/>
      <c r="T45" s="1077"/>
      <c r="U45" s="1431"/>
      <c r="V45" s="1431"/>
      <c r="W45" s="1431"/>
      <c r="X45" s="1431"/>
      <c r="Y45" s="1431"/>
      <c r="Z45" s="1431"/>
      <c r="AA45" s="1431"/>
      <c r="AB45" s="1431"/>
      <c r="AC45" s="1431"/>
      <c r="AD45" s="1431"/>
    </row>
    <row r="46" spans="2:30" hidden="1">
      <c r="B46" s="47"/>
      <c r="C46" s="978" t="s">
        <v>20</v>
      </c>
      <c r="D46" s="978" t="s">
        <v>2818</v>
      </c>
      <c r="E46" s="1598"/>
      <c r="F46" s="2945"/>
      <c r="G46" s="2909"/>
      <c r="H46" s="2909"/>
      <c r="I46" s="2909"/>
      <c r="J46" s="2908"/>
      <c r="K46" s="2908"/>
      <c r="L46" s="2908"/>
      <c r="M46" s="2908"/>
      <c r="N46" s="2908"/>
      <c r="O46" s="47"/>
      <c r="Q46" s="2941"/>
      <c r="R46" s="1077"/>
      <c r="S46" s="1077"/>
      <c r="T46" s="1077"/>
      <c r="U46" s="1077"/>
      <c r="V46" s="1077"/>
      <c r="W46" s="1431"/>
      <c r="X46" s="1431"/>
      <c r="Y46" s="1431"/>
      <c r="Z46" s="1431"/>
      <c r="AA46" s="1431"/>
      <c r="AB46" s="1431"/>
      <c r="AC46" s="1431"/>
      <c r="AD46" s="1077"/>
    </row>
    <row r="47" spans="2:30" hidden="1">
      <c r="B47" s="47"/>
      <c r="C47" s="47"/>
      <c r="D47" s="47"/>
      <c r="E47" s="47"/>
      <c r="F47" s="47"/>
      <c r="G47" s="47"/>
      <c r="H47" s="47"/>
      <c r="I47" s="47"/>
      <c r="J47" s="47"/>
      <c r="K47" s="47"/>
      <c r="L47" s="47"/>
      <c r="M47" s="47"/>
      <c r="N47" s="47"/>
      <c r="O47" s="47"/>
      <c r="Q47" s="39"/>
      <c r="R47" s="1077"/>
      <c r="S47" s="1077"/>
      <c r="T47" s="1077"/>
      <c r="U47" s="1700"/>
      <c r="V47" s="1700"/>
      <c r="W47" s="1431"/>
      <c r="X47" s="1431"/>
      <c r="Y47" s="1431"/>
      <c r="Z47" s="1431"/>
      <c r="AA47" s="1431"/>
      <c r="AB47" s="1431"/>
      <c r="AC47" s="1431"/>
      <c r="AD47" s="1700"/>
    </row>
    <row r="48" spans="2:30" hidden="1">
      <c r="B48" s="47"/>
      <c r="C48" s="47"/>
      <c r="D48" s="47"/>
      <c r="E48" s="47"/>
      <c r="F48" s="47"/>
      <c r="G48" s="47"/>
      <c r="H48" s="47"/>
      <c r="I48" s="47"/>
      <c r="J48" s="47"/>
      <c r="K48" s="47"/>
      <c r="L48" s="47"/>
      <c r="M48" s="47"/>
      <c r="N48" s="47"/>
      <c r="O48" s="47"/>
      <c r="R48" s="1077"/>
      <c r="S48" s="1077"/>
      <c r="T48" s="1077"/>
      <c r="U48" s="1700"/>
      <c r="V48" s="1700"/>
      <c r="W48" s="1431"/>
      <c r="X48" s="1431"/>
      <c r="Y48" s="1431"/>
      <c r="Z48" s="1431"/>
      <c r="AA48" s="1431"/>
      <c r="AB48" s="1431"/>
      <c r="AC48" s="1431"/>
      <c r="AD48" s="1700"/>
    </row>
    <row r="49" spans="2:30" s="39" customFormat="1">
      <c r="R49" s="1077"/>
      <c r="S49" s="1077"/>
      <c r="T49" s="1077"/>
      <c r="U49" s="1077"/>
      <c r="V49" s="1077"/>
      <c r="W49" s="1077"/>
      <c r="X49" s="1077"/>
      <c r="Y49" s="1077"/>
      <c r="Z49" s="1077"/>
      <c r="AA49" s="1077"/>
      <c r="AB49" s="1077"/>
      <c r="AC49" s="1077"/>
      <c r="AD49" s="1077"/>
    </row>
    <row r="50" spans="2:30" ht="15.75">
      <c r="B50" s="1110" t="s">
        <v>207</v>
      </c>
      <c r="R50" s="207"/>
      <c r="S50" s="1077"/>
      <c r="T50" s="207"/>
      <c r="U50" s="2556"/>
      <c r="V50" s="2556"/>
      <c r="W50" s="2556"/>
      <c r="X50" s="2556"/>
      <c r="Y50" s="2556"/>
      <c r="Z50" s="2556"/>
      <c r="AA50" s="2556"/>
      <c r="AB50" s="2556"/>
      <c r="AC50" s="2556"/>
      <c r="AD50" s="2556"/>
    </row>
    <row r="51" spans="2:30">
      <c r="B51" s="363">
        <v>1</v>
      </c>
      <c r="C51" s="2890" t="s">
        <v>2353</v>
      </c>
      <c r="R51" s="1077"/>
      <c r="S51" s="1228"/>
      <c r="T51" s="1077"/>
      <c r="U51" s="1431"/>
      <c r="V51" s="1431"/>
      <c r="W51" s="1431"/>
      <c r="X51" s="1431"/>
      <c r="Y51" s="1431"/>
      <c r="Z51" s="1431"/>
      <c r="AA51" s="1431"/>
      <c r="AB51" s="1431"/>
      <c r="AC51" s="1431"/>
      <c r="AD51" s="1431"/>
    </row>
    <row r="52" spans="2:30">
      <c r="B52" s="363">
        <v>2</v>
      </c>
      <c r="C52" s="2890" t="s">
        <v>2354</v>
      </c>
      <c r="R52" s="1077"/>
      <c r="S52" s="1228"/>
      <c r="T52" s="1077"/>
      <c r="U52" s="1077"/>
      <c r="V52" s="1077"/>
      <c r="W52" s="1431"/>
      <c r="X52" s="1431"/>
      <c r="Y52" s="1431"/>
      <c r="Z52" s="1431"/>
      <c r="AA52" s="1431"/>
      <c r="AB52" s="1431"/>
      <c r="AC52" s="1431"/>
      <c r="AD52" s="1077"/>
    </row>
    <row r="53" spans="2:30">
      <c r="R53" s="1077"/>
      <c r="S53" s="1228"/>
      <c r="T53" s="1077"/>
      <c r="U53" s="1431"/>
      <c r="V53" s="1431"/>
      <c r="W53" s="1431"/>
      <c r="X53" s="1431"/>
      <c r="Y53" s="1431"/>
      <c r="Z53" s="1431"/>
      <c r="AA53" s="1431"/>
      <c r="AB53" s="1431"/>
      <c r="AC53" s="1431"/>
      <c r="AD53" s="1431"/>
    </row>
    <row r="54" spans="2:30">
      <c r="B54" s="363">
        <v>1</v>
      </c>
      <c r="C54" s="363" t="s">
        <v>2808</v>
      </c>
      <c r="R54" s="1077"/>
      <c r="S54" s="1077"/>
      <c r="T54" s="1077"/>
      <c r="U54" s="1077"/>
      <c r="V54" s="1077"/>
      <c r="W54" s="1431"/>
      <c r="X54" s="1431"/>
      <c r="Y54" s="1431"/>
      <c r="Z54" s="1431"/>
      <c r="AA54" s="1431"/>
      <c r="AB54" s="1431"/>
      <c r="AC54" s="1431"/>
      <c r="AD54" s="1077"/>
    </row>
    <row r="55" spans="2:30" hidden="1">
      <c r="AD55" s="1700"/>
    </row>
    <row r="56" spans="2:30" hidden="1">
      <c r="C56" s="2890" t="s">
        <v>22</v>
      </c>
      <c r="F56" s="382">
        <v>2013</v>
      </c>
      <c r="G56" s="382" t="s">
        <v>133</v>
      </c>
      <c r="H56" s="382" t="s">
        <v>134</v>
      </c>
      <c r="I56" s="382" t="s">
        <v>135</v>
      </c>
      <c r="J56" s="382" t="s">
        <v>136</v>
      </c>
      <c r="K56" s="382" t="s">
        <v>137</v>
      </c>
      <c r="L56" s="382" t="s">
        <v>138</v>
      </c>
      <c r="M56" s="382" t="s">
        <v>139</v>
      </c>
      <c r="N56" s="382" t="s">
        <v>140</v>
      </c>
      <c r="AD56" s="1077"/>
    </row>
    <row r="57" spans="2:30" hidden="1">
      <c r="C57" s="2890" t="s">
        <v>147</v>
      </c>
      <c r="E57" s="3611" t="s">
        <v>2812</v>
      </c>
      <c r="F57" s="993"/>
      <c r="G57" s="993"/>
      <c r="H57" s="993"/>
      <c r="I57" s="993"/>
      <c r="J57" s="993"/>
      <c r="K57" s="993"/>
      <c r="L57" s="993"/>
      <c r="M57" s="993"/>
      <c r="N57" s="993"/>
      <c r="AD57" s="1700"/>
    </row>
    <row r="58" spans="2:30" hidden="1">
      <c r="C58" s="2890" t="s">
        <v>145</v>
      </c>
      <c r="E58" s="3611" t="s">
        <v>2812</v>
      </c>
      <c r="F58" s="993"/>
      <c r="G58" s="993"/>
      <c r="H58" s="993"/>
      <c r="I58" s="993"/>
      <c r="J58" s="993"/>
      <c r="K58" s="993"/>
      <c r="L58" s="993"/>
      <c r="M58" s="993"/>
      <c r="N58" s="993"/>
      <c r="AD58" s="1077"/>
    </row>
    <row r="59" spans="2:30" hidden="1">
      <c r="C59" s="2" t="s">
        <v>15</v>
      </c>
      <c r="E59" s="3611" t="s">
        <v>2812</v>
      </c>
      <c r="F59" s="993"/>
      <c r="G59" s="993"/>
      <c r="H59" s="993"/>
      <c r="I59" s="993"/>
      <c r="J59" s="993"/>
      <c r="K59" s="993"/>
      <c r="L59" s="993"/>
      <c r="M59" s="993"/>
      <c r="N59" s="993"/>
      <c r="AD59" s="2556"/>
    </row>
    <row r="60" spans="2:30" hidden="1">
      <c r="C60" s="2" t="s">
        <v>59</v>
      </c>
      <c r="E60" s="3611" t="s">
        <v>2812</v>
      </c>
      <c r="F60" s="993"/>
      <c r="G60" s="993"/>
      <c r="H60" s="993"/>
      <c r="I60" s="993"/>
      <c r="J60" s="993"/>
      <c r="K60" s="993"/>
      <c r="L60" s="993"/>
      <c r="M60" s="993"/>
      <c r="N60" s="993"/>
      <c r="R60" s="1077"/>
      <c r="S60" s="1228"/>
      <c r="T60" s="1077"/>
      <c r="U60" s="1431"/>
      <c r="V60" s="1431"/>
      <c r="W60" s="1431"/>
      <c r="X60" s="1431"/>
      <c r="Y60" s="1431"/>
      <c r="Z60" s="1431"/>
      <c r="AA60" s="1431"/>
      <c r="AB60" s="1431"/>
      <c r="AC60" s="1431"/>
      <c r="AD60" s="1431"/>
    </row>
    <row r="61" spans="2:30" hidden="1">
      <c r="C61" s="2"/>
      <c r="F61" s="992"/>
      <c r="G61" s="992"/>
      <c r="H61" s="992"/>
      <c r="I61" s="992"/>
      <c r="J61" s="992"/>
      <c r="K61" s="992"/>
      <c r="L61" s="992"/>
      <c r="M61" s="992"/>
      <c r="N61" s="992"/>
      <c r="R61" s="1077"/>
      <c r="S61" s="1228"/>
      <c r="T61" s="1077"/>
      <c r="U61" s="1431"/>
      <c r="V61" s="1431"/>
      <c r="W61" s="1431"/>
      <c r="X61" s="1431"/>
      <c r="Y61" s="1431"/>
      <c r="Z61" s="1431"/>
      <c r="AA61" s="1431"/>
      <c r="AB61" s="1431"/>
      <c r="AC61" s="1431"/>
      <c r="AD61" s="1431"/>
    </row>
    <row r="62" spans="2:30" hidden="1">
      <c r="C62" s="2890" t="s">
        <v>161</v>
      </c>
      <c r="F62" s="382">
        <v>2013</v>
      </c>
      <c r="G62" s="382" t="s">
        <v>133</v>
      </c>
      <c r="H62" s="382" t="s">
        <v>134</v>
      </c>
      <c r="I62" s="382" t="s">
        <v>135</v>
      </c>
      <c r="J62" s="382" t="s">
        <v>136</v>
      </c>
      <c r="K62" s="382" t="s">
        <v>137</v>
      </c>
      <c r="L62" s="382" t="s">
        <v>138</v>
      </c>
      <c r="M62" s="382" t="s">
        <v>139</v>
      </c>
      <c r="N62" s="382" t="s">
        <v>140</v>
      </c>
      <c r="R62" s="1077"/>
      <c r="S62" s="1228"/>
      <c r="T62" s="1077"/>
      <c r="U62" s="1431"/>
      <c r="V62" s="1431"/>
      <c r="W62" s="1431"/>
      <c r="X62" s="1431"/>
      <c r="Y62" s="1431"/>
      <c r="Z62" s="1431"/>
      <c r="AA62" s="1431"/>
      <c r="AB62" s="1431"/>
      <c r="AC62" s="1431"/>
      <c r="AD62" s="1431"/>
    </row>
    <row r="63" spans="2:30" hidden="1">
      <c r="C63" s="2890" t="s">
        <v>147</v>
      </c>
      <c r="E63" s="3611" t="s">
        <v>2812</v>
      </c>
      <c r="F63" s="993"/>
      <c r="G63" s="993"/>
      <c r="H63" s="993"/>
      <c r="I63" s="993"/>
      <c r="J63" s="993"/>
      <c r="K63" s="993"/>
      <c r="L63" s="993"/>
      <c r="M63" s="993"/>
      <c r="N63" s="993"/>
      <c r="R63" s="1077"/>
      <c r="S63" s="1228"/>
      <c r="T63" s="1077"/>
      <c r="U63" s="1431"/>
      <c r="V63" s="1431"/>
      <c r="W63" s="1431"/>
      <c r="X63" s="1431"/>
      <c r="Y63" s="1431"/>
      <c r="Z63" s="1431"/>
      <c r="AA63" s="1431"/>
      <c r="AB63" s="1431"/>
      <c r="AC63" s="1431"/>
      <c r="AD63" s="1431"/>
    </row>
    <row r="64" spans="2:30" hidden="1">
      <c r="C64" s="2890" t="s">
        <v>145</v>
      </c>
      <c r="E64" s="3611" t="s">
        <v>2812</v>
      </c>
      <c r="F64" s="993"/>
      <c r="G64" s="993"/>
      <c r="H64" s="993"/>
      <c r="I64" s="993"/>
      <c r="J64" s="993"/>
      <c r="K64" s="993"/>
      <c r="L64" s="993"/>
      <c r="M64" s="993"/>
      <c r="N64" s="993"/>
      <c r="R64" s="1077"/>
      <c r="S64" s="1228"/>
      <c r="T64" s="1077"/>
      <c r="U64" s="1431"/>
      <c r="V64" s="1431"/>
      <c r="W64" s="1431"/>
      <c r="X64" s="1431"/>
      <c r="Y64" s="1431"/>
      <c r="Z64" s="1431"/>
      <c r="AA64" s="1431"/>
      <c r="AB64" s="1431"/>
      <c r="AC64" s="1431"/>
      <c r="AD64" s="1431"/>
    </row>
    <row r="65" spans="1:30" hidden="1">
      <c r="C65" s="2" t="s">
        <v>15</v>
      </c>
      <c r="E65" s="3611" t="s">
        <v>2812</v>
      </c>
      <c r="F65" s="993"/>
      <c r="G65" s="993"/>
      <c r="H65" s="993"/>
      <c r="I65" s="993"/>
      <c r="J65" s="993"/>
      <c r="K65" s="993"/>
      <c r="L65" s="993"/>
      <c r="M65" s="993"/>
      <c r="N65" s="993"/>
      <c r="R65" s="1077"/>
      <c r="S65" s="1228"/>
      <c r="T65" s="1077"/>
      <c r="U65" s="1431"/>
      <c r="V65" s="1431"/>
      <c r="W65" s="1431"/>
      <c r="X65" s="1431"/>
      <c r="Y65" s="1431"/>
      <c r="Z65" s="1431"/>
      <c r="AA65" s="1431"/>
      <c r="AB65" s="1431"/>
      <c r="AC65" s="1431"/>
      <c r="AD65" s="1431"/>
    </row>
    <row r="66" spans="1:30" hidden="1">
      <c r="C66" s="2" t="s">
        <v>59</v>
      </c>
      <c r="E66" s="3611" t="s">
        <v>2812</v>
      </c>
      <c r="F66" s="993"/>
      <c r="G66" s="993"/>
      <c r="H66" s="993"/>
      <c r="I66" s="993"/>
      <c r="J66" s="993"/>
      <c r="K66" s="993"/>
      <c r="L66" s="993"/>
      <c r="M66" s="993"/>
      <c r="N66" s="993"/>
      <c r="R66" s="1077"/>
      <c r="S66" s="1228"/>
      <c r="T66" s="1077"/>
      <c r="U66" s="1431"/>
      <c r="V66" s="1431"/>
      <c r="W66" s="1431"/>
      <c r="X66" s="1431"/>
      <c r="Y66" s="1431"/>
      <c r="Z66" s="1431"/>
      <c r="AA66" s="1431"/>
      <c r="AB66" s="1431"/>
      <c r="AC66" s="1431"/>
      <c r="AD66" s="1431"/>
    </row>
    <row r="67" spans="1:30" hidden="1">
      <c r="C67" s="2"/>
      <c r="F67" s="992"/>
      <c r="G67" s="992"/>
      <c r="H67" s="992"/>
      <c r="I67" s="992"/>
      <c r="J67" s="992"/>
      <c r="K67" s="992"/>
      <c r="L67" s="992"/>
      <c r="M67" s="992"/>
      <c r="N67" s="992"/>
      <c r="R67" s="1077"/>
      <c r="S67" s="1228"/>
      <c r="T67" s="1077"/>
      <c r="U67" s="1431"/>
      <c r="V67" s="1431"/>
      <c r="W67" s="1431"/>
      <c r="X67" s="1431"/>
      <c r="Y67" s="1431"/>
      <c r="Z67" s="1431"/>
      <c r="AA67" s="1431"/>
      <c r="AB67" s="1431"/>
      <c r="AC67" s="1431"/>
      <c r="AD67" s="1431"/>
    </row>
    <row r="68" spans="1:30" hidden="1">
      <c r="C68" s="2890" t="s">
        <v>20</v>
      </c>
      <c r="F68" s="382">
        <v>2013</v>
      </c>
      <c r="G68" s="382" t="s">
        <v>133</v>
      </c>
      <c r="H68" s="382" t="s">
        <v>134</v>
      </c>
      <c r="I68" s="382" t="s">
        <v>135</v>
      </c>
      <c r="J68" s="382" t="s">
        <v>136</v>
      </c>
      <c r="K68" s="382" t="s">
        <v>137</v>
      </c>
      <c r="L68" s="382" t="s">
        <v>138</v>
      </c>
      <c r="M68" s="382" t="s">
        <v>139</v>
      </c>
      <c r="N68" s="382" t="s">
        <v>140</v>
      </c>
      <c r="R68" s="1077"/>
      <c r="S68" s="1228"/>
      <c r="T68" s="1077"/>
      <c r="U68" s="1077"/>
      <c r="V68" s="1077"/>
      <c r="W68" s="1431"/>
      <c r="X68" s="1431"/>
      <c r="Y68" s="1431"/>
      <c r="Z68" s="1431"/>
      <c r="AA68" s="1431"/>
      <c r="AB68" s="1431"/>
      <c r="AC68" s="1431"/>
      <c r="AD68" s="1077"/>
    </row>
    <row r="69" spans="1:30" hidden="1">
      <c r="C69" s="2890" t="s">
        <v>147</v>
      </c>
      <c r="E69" s="3611" t="s">
        <v>2812</v>
      </c>
      <c r="F69" s="993"/>
      <c r="G69" s="993"/>
      <c r="H69" s="993"/>
      <c r="I69" s="993"/>
      <c r="J69" s="993"/>
      <c r="K69" s="993"/>
      <c r="L69" s="993"/>
      <c r="M69" s="993"/>
      <c r="N69" s="993"/>
      <c r="R69" s="1077"/>
      <c r="S69" s="1228"/>
      <c r="T69" s="1077"/>
      <c r="U69" s="1431"/>
      <c r="V69" s="1431"/>
      <c r="W69" s="1431"/>
      <c r="X69" s="1431"/>
      <c r="Y69" s="1431"/>
      <c r="Z69" s="1431"/>
      <c r="AA69" s="1431"/>
      <c r="AB69" s="1431"/>
      <c r="AC69" s="1431"/>
      <c r="AD69" s="1431"/>
    </row>
    <row r="70" spans="1:30" hidden="1">
      <c r="C70" s="2890" t="s">
        <v>145</v>
      </c>
      <c r="E70" s="3611" t="s">
        <v>2812</v>
      </c>
      <c r="F70" s="993"/>
      <c r="G70" s="993"/>
      <c r="H70" s="993"/>
      <c r="I70" s="993"/>
      <c r="J70" s="993"/>
      <c r="K70" s="993"/>
      <c r="L70" s="993"/>
      <c r="M70" s="993"/>
      <c r="N70" s="993"/>
      <c r="R70" s="1077"/>
      <c r="S70" s="1077"/>
      <c r="T70" s="1077"/>
      <c r="U70" s="1077"/>
      <c r="V70" s="1077"/>
      <c r="W70" s="1431"/>
      <c r="X70" s="1431"/>
      <c r="Y70" s="1431"/>
      <c r="Z70" s="1431"/>
      <c r="AA70" s="1431"/>
      <c r="AB70" s="1431"/>
      <c r="AC70" s="1431"/>
      <c r="AD70" s="1077"/>
    </row>
    <row r="71" spans="1:30" hidden="1">
      <c r="C71" s="2" t="s">
        <v>15</v>
      </c>
      <c r="E71" s="3611" t="s">
        <v>2812</v>
      </c>
      <c r="F71" s="993"/>
      <c r="G71" s="993"/>
      <c r="H71" s="993"/>
      <c r="I71" s="993"/>
      <c r="J71" s="993"/>
      <c r="K71" s="993"/>
      <c r="L71" s="993"/>
      <c r="M71" s="993"/>
      <c r="N71" s="993"/>
      <c r="R71" s="1077"/>
      <c r="S71" s="1077"/>
      <c r="T71" s="1077"/>
      <c r="U71" s="1700"/>
      <c r="V71" s="1700"/>
      <c r="W71" s="1431"/>
      <c r="X71" s="1431"/>
      <c r="Y71" s="1431"/>
      <c r="Z71" s="1431"/>
      <c r="AA71" s="1431"/>
      <c r="AB71" s="1431"/>
      <c r="AC71" s="1431"/>
      <c r="AD71" s="1700"/>
    </row>
    <row r="72" spans="1:30" hidden="1">
      <c r="C72" s="2" t="s">
        <v>59</v>
      </c>
      <c r="E72" s="3611" t="s">
        <v>2812</v>
      </c>
      <c r="F72" s="993" t="s">
        <v>5</v>
      </c>
      <c r="G72" s="993"/>
      <c r="H72" s="993"/>
      <c r="I72" s="993"/>
      <c r="J72" s="993"/>
      <c r="K72" s="993"/>
      <c r="L72" s="993"/>
      <c r="M72" s="993"/>
      <c r="N72" s="993"/>
      <c r="R72" s="1077"/>
      <c r="S72" s="1077"/>
      <c r="T72" s="1077"/>
      <c r="U72" s="1077"/>
      <c r="V72" s="1077"/>
      <c r="W72" s="1431"/>
      <c r="X72" s="1431"/>
      <c r="Y72" s="1431"/>
      <c r="Z72" s="1431"/>
      <c r="AA72" s="1431"/>
      <c r="AB72" s="1431"/>
      <c r="AC72" s="1431"/>
      <c r="AD72" s="1077"/>
    </row>
    <row r="73" spans="1:30" hidden="1">
      <c r="D73" s="2890" t="s">
        <v>2355</v>
      </c>
      <c r="F73" s="366"/>
      <c r="R73" s="1077"/>
      <c r="S73" s="1077"/>
      <c r="T73" s="1077"/>
      <c r="U73" s="1700"/>
      <c r="V73" s="1700"/>
      <c r="W73" s="1431"/>
      <c r="X73" s="1431"/>
      <c r="Y73" s="1431"/>
      <c r="Z73" s="1431"/>
      <c r="AA73" s="1431"/>
      <c r="AB73" s="1431"/>
      <c r="AC73" s="1431"/>
      <c r="AD73" s="1700"/>
    </row>
    <row r="75" spans="1:30" ht="23.25">
      <c r="A75" s="7"/>
      <c r="B75" s="511" t="s">
        <v>2773</v>
      </c>
      <c r="C75" s="512"/>
      <c r="D75" s="512"/>
      <c r="E75" s="512"/>
      <c r="F75" s="512"/>
      <c r="G75" s="512"/>
      <c r="H75" s="512"/>
      <c r="I75" s="512"/>
      <c r="J75" s="512"/>
      <c r="K75" s="512"/>
      <c r="L75" s="512"/>
      <c r="M75" s="512"/>
      <c r="N75" s="512"/>
      <c r="O75" s="866"/>
    </row>
    <row r="76" spans="1:30">
      <c r="B76" s="514"/>
      <c r="C76" s="515"/>
      <c r="D76" s="515"/>
      <c r="E76" s="515"/>
      <c r="F76" s="515"/>
      <c r="G76" s="515"/>
      <c r="H76" s="515"/>
      <c r="I76" s="515"/>
      <c r="J76" s="515"/>
      <c r="K76" s="515"/>
      <c r="L76" s="515"/>
      <c r="M76" s="515"/>
      <c r="N76" s="515"/>
      <c r="O76" s="867"/>
    </row>
    <row r="77" spans="1:30">
      <c r="B77" s="514"/>
      <c r="C77" s="34" t="s">
        <v>2356</v>
      </c>
      <c r="D77" s="515"/>
      <c r="E77" s="516"/>
      <c r="F77" s="515"/>
      <c r="G77" s="515"/>
      <c r="H77" s="515"/>
      <c r="I77" s="515"/>
      <c r="J77" s="515"/>
      <c r="K77" s="515"/>
      <c r="L77" s="515"/>
      <c r="M77" s="515"/>
      <c r="N77" s="516" t="s">
        <v>27</v>
      </c>
      <c r="O77" s="867"/>
    </row>
    <row r="78" spans="1:30" ht="6" customHeight="1">
      <c r="B78" s="514"/>
      <c r="C78" s="515"/>
      <c r="D78" s="515"/>
      <c r="E78" s="515"/>
      <c r="F78" s="515"/>
      <c r="G78" s="515"/>
      <c r="H78" s="515"/>
      <c r="I78" s="515"/>
      <c r="J78" s="515"/>
      <c r="K78" s="515"/>
      <c r="L78" s="515"/>
      <c r="M78" s="515"/>
      <c r="N78" s="515"/>
      <c r="O78" s="867"/>
    </row>
    <row r="79" spans="1:30" ht="15.75">
      <c r="A79" s="443"/>
      <c r="B79" s="15"/>
      <c r="C79" s="873" t="s">
        <v>28</v>
      </c>
      <c r="D79" s="873" t="s">
        <v>29</v>
      </c>
      <c r="E79" s="873" t="s">
        <v>30</v>
      </c>
      <c r="F79" s="873" t="s">
        <v>597</v>
      </c>
      <c r="G79" s="873" t="s">
        <v>133</v>
      </c>
      <c r="H79" s="873" t="s">
        <v>134</v>
      </c>
      <c r="I79" s="873" t="s">
        <v>135</v>
      </c>
      <c r="J79" s="873" t="s">
        <v>136</v>
      </c>
      <c r="K79" s="873" t="s">
        <v>137</v>
      </c>
      <c r="L79" s="873" t="s">
        <v>138</v>
      </c>
      <c r="M79" s="873" t="s">
        <v>139</v>
      </c>
      <c r="N79" s="873" t="s">
        <v>140</v>
      </c>
      <c r="O79" s="867"/>
    </row>
    <row r="80" spans="1:30" s="3579" customFormat="1" ht="15.75">
      <c r="A80" s="443"/>
      <c r="B80" s="15"/>
      <c r="C80" s="873"/>
      <c r="D80" s="2953"/>
      <c r="E80" s="873"/>
      <c r="F80" s="873"/>
      <c r="G80" s="873"/>
      <c r="H80" s="873"/>
      <c r="I80" s="873"/>
      <c r="J80" s="873"/>
      <c r="K80" s="873"/>
      <c r="L80" s="873"/>
      <c r="M80" s="873"/>
      <c r="N80" s="873"/>
      <c r="O80" s="867"/>
    </row>
    <row r="81" spans="1:22" ht="15.75">
      <c r="A81" s="443"/>
      <c r="B81" s="15"/>
      <c r="C81" s="3375" t="s">
        <v>59</v>
      </c>
      <c r="D81" s="3375"/>
      <c r="E81" s="3375"/>
      <c r="F81" s="3375"/>
      <c r="G81" s="3375"/>
      <c r="H81" s="3375"/>
      <c r="I81" s="3375"/>
      <c r="J81" s="3375"/>
      <c r="K81" s="3375"/>
      <c r="L81" s="3375"/>
      <c r="M81" s="3375"/>
      <c r="N81" s="3375">
        <f>SUBTOTAL(103,[2050])</f>
        <v>0</v>
      </c>
      <c r="O81" s="867"/>
    </row>
    <row r="82" spans="1:22">
      <c r="B82" s="515"/>
      <c r="C82" s="2920"/>
      <c r="D82" s="2921"/>
      <c r="E82" s="2921"/>
      <c r="F82" s="2921"/>
      <c r="G82" s="2921"/>
      <c r="H82" s="2921"/>
      <c r="I82" s="2921"/>
      <c r="J82" s="2921"/>
      <c r="K82" s="2921"/>
      <c r="L82" s="2921"/>
      <c r="M82" s="2921"/>
      <c r="N82" s="2921"/>
      <c r="O82" s="515"/>
    </row>
    <row r="83" spans="1:22" ht="23.25">
      <c r="A83" s="7"/>
    </row>
    <row r="84" spans="1:22" ht="15.75">
      <c r="B84" s="1127" t="s">
        <v>303</v>
      </c>
      <c r="C84" s="1128"/>
      <c r="D84" s="1129"/>
      <c r="E84" s="1129"/>
      <c r="F84" s="1129"/>
      <c r="G84" s="1129"/>
      <c r="H84" s="1129"/>
      <c r="I84" s="1129"/>
      <c r="J84" s="1129"/>
      <c r="K84" s="1129"/>
      <c r="L84" s="1129"/>
      <c r="M84" s="1129"/>
      <c r="N84" s="1129"/>
      <c r="O84" s="1130"/>
    </row>
    <row r="85" spans="1:22">
      <c r="B85" s="1131"/>
      <c r="C85" s="1132"/>
      <c r="D85" s="1132"/>
      <c r="E85" s="1132"/>
      <c r="F85" s="1132"/>
      <c r="G85" s="1132"/>
      <c r="H85" s="1132"/>
      <c r="I85" s="1132"/>
      <c r="J85" s="1132"/>
      <c r="K85" s="1132"/>
      <c r="L85" s="1132"/>
      <c r="M85" s="1132"/>
      <c r="N85" s="1132"/>
      <c r="O85" s="1133"/>
    </row>
    <row r="86" spans="1:22">
      <c r="B86" s="1134"/>
      <c r="C86" s="462" t="s">
        <v>1349</v>
      </c>
      <c r="D86" s="1135"/>
      <c r="E86" s="1136"/>
      <c r="F86" s="1135"/>
      <c r="G86" s="1135"/>
      <c r="H86" s="1135"/>
      <c r="I86" s="1135"/>
      <c r="J86" s="1135"/>
      <c r="K86" s="1135"/>
      <c r="L86" s="1135"/>
      <c r="M86" s="1135"/>
      <c r="N86" s="1136" t="s">
        <v>254</v>
      </c>
      <c r="O86" s="1138"/>
    </row>
    <row r="87" spans="1:22">
      <c r="B87" s="1134"/>
      <c r="C87" s="1135"/>
      <c r="D87" s="1135"/>
      <c r="E87" s="1135"/>
      <c r="F87" s="1135"/>
      <c r="G87" s="1135"/>
      <c r="H87" s="1135"/>
      <c r="I87" s="1135"/>
      <c r="J87" s="1135"/>
      <c r="K87" s="1135"/>
      <c r="L87" s="1135"/>
      <c r="M87" s="1135"/>
      <c r="N87" s="1135"/>
      <c r="O87" s="1138"/>
    </row>
    <row r="88" spans="1:22" ht="15.75">
      <c r="B88" s="467"/>
      <c r="C88" s="1339" t="s">
        <v>305</v>
      </c>
      <c r="D88" s="1339" t="s">
        <v>306</v>
      </c>
      <c r="E88" s="1339" t="s">
        <v>30</v>
      </c>
      <c r="F88" s="1339">
        <v>2013</v>
      </c>
      <c r="G88" s="1339" t="s">
        <v>133</v>
      </c>
      <c r="H88" s="1339" t="s">
        <v>134</v>
      </c>
      <c r="I88" s="1339" t="s">
        <v>135</v>
      </c>
      <c r="J88" s="1339" t="s">
        <v>136</v>
      </c>
      <c r="K88" s="1339" t="s">
        <v>137</v>
      </c>
      <c r="L88" s="1339" t="s">
        <v>138</v>
      </c>
      <c r="M88" s="1339" t="s">
        <v>139</v>
      </c>
      <c r="N88" s="1339" t="s">
        <v>140</v>
      </c>
      <c r="O88" s="1138"/>
    </row>
    <row r="89" spans="1:22" ht="15.75">
      <c r="B89" s="467"/>
      <c r="C89" s="1140"/>
      <c r="D89" s="1141"/>
      <c r="E89" s="1140"/>
      <c r="F89" s="470"/>
      <c r="G89" s="470"/>
      <c r="H89" s="470"/>
      <c r="I89" s="470"/>
      <c r="J89" s="470"/>
      <c r="K89" s="470"/>
      <c r="L89" s="470"/>
      <c r="M89" s="470"/>
      <c r="N89" s="470"/>
      <c r="O89" s="1138"/>
    </row>
    <row r="90" spans="1:22" ht="15.75">
      <c r="B90" s="467"/>
      <c r="C90" s="1140" t="s">
        <v>59</v>
      </c>
      <c r="D90" s="1140"/>
      <c r="E90" s="1140"/>
      <c r="F90" s="471">
        <v>0</v>
      </c>
      <c r="G90" s="471">
        <v>0</v>
      </c>
      <c r="H90" s="471">
        <v>0</v>
      </c>
      <c r="I90" s="471">
        <v>0</v>
      </c>
      <c r="J90" s="471">
        <v>0</v>
      </c>
      <c r="K90" s="471">
        <v>0</v>
      </c>
      <c r="L90" s="471">
        <v>0</v>
      </c>
      <c r="M90" s="471">
        <v>0</v>
      </c>
      <c r="N90" s="471">
        <v>0</v>
      </c>
      <c r="O90" s="1138"/>
    </row>
    <row r="91" spans="1:22" ht="15.75">
      <c r="B91" s="467"/>
      <c r="C91" s="1135"/>
      <c r="D91" s="1135"/>
      <c r="E91" s="1135"/>
      <c r="F91" s="1135"/>
      <c r="G91" s="1135"/>
      <c r="H91" s="1135"/>
      <c r="I91" s="1135"/>
      <c r="J91" s="1135"/>
      <c r="K91" s="1135"/>
      <c r="L91" s="1135"/>
      <c r="M91" s="1135"/>
      <c r="N91" s="1135"/>
      <c r="O91" s="1138"/>
    </row>
    <row r="92" spans="1:22">
      <c r="S92" s="1152"/>
      <c r="T92" s="1153"/>
      <c r="U92" s="1152"/>
      <c r="V92" s="1152"/>
    </row>
    <row r="93" spans="1:22" ht="15.75">
      <c r="B93" s="995" t="s">
        <v>313</v>
      </c>
      <c r="C93" s="996"/>
      <c r="D93" s="997"/>
      <c r="E93" s="997"/>
      <c r="F93" s="997"/>
      <c r="G93" s="997"/>
      <c r="H93" s="997"/>
      <c r="I93" s="997"/>
      <c r="J93" s="997"/>
      <c r="K93" s="997"/>
      <c r="L93" s="997"/>
      <c r="M93" s="997"/>
      <c r="N93" s="997"/>
      <c r="O93" s="998"/>
      <c r="T93" s="6"/>
    </row>
    <row r="94" spans="1:22">
      <c r="B94" s="999"/>
      <c r="C94" s="1000"/>
      <c r="D94" s="1000"/>
      <c r="E94" s="1000"/>
      <c r="F94" s="1000"/>
      <c r="G94" s="1000"/>
      <c r="H94" s="1000"/>
      <c r="I94" s="1000"/>
      <c r="J94" s="1000"/>
      <c r="K94" s="1000"/>
      <c r="L94" s="1000"/>
      <c r="M94" s="1000"/>
      <c r="N94" s="1000"/>
      <c r="O94" s="1001"/>
      <c r="T94" s="6"/>
    </row>
    <row r="95" spans="1:22">
      <c r="B95" s="1002"/>
      <c r="C95" s="488" t="s">
        <v>314</v>
      </c>
      <c r="D95" s="1003"/>
      <c r="E95" s="1004"/>
      <c r="F95" s="1003"/>
      <c r="G95" s="1003"/>
      <c r="H95" s="1003"/>
      <c r="I95" s="1003"/>
      <c r="J95" s="1003"/>
      <c r="K95" s="1003"/>
      <c r="L95" s="1003"/>
      <c r="M95" s="1003"/>
      <c r="N95" s="1004"/>
      <c r="O95" s="1005"/>
      <c r="T95" s="6"/>
    </row>
    <row r="96" spans="1:22">
      <c r="B96" s="1002"/>
      <c r="C96" s="1003"/>
      <c r="D96" s="1003"/>
      <c r="E96" s="1003"/>
      <c r="F96" s="1003"/>
      <c r="G96" s="1003"/>
      <c r="H96" s="1003"/>
      <c r="I96" s="1003"/>
      <c r="J96" s="1003"/>
      <c r="K96" s="1003"/>
      <c r="L96" s="1003"/>
      <c r="M96" s="1003"/>
      <c r="N96" s="1003"/>
      <c r="O96" s="1005"/>
    </row>
    <row r="97" spans="2:15" ht="15.75">
      <c r="B97" s="492"/>
      <c r="C97" s="1006" t="s">
        <v>28</v>
      </c>
      <c r="D97" s="1006" t="s">
        <v>315</v>
      </c>
      <c r="E97" s="1006" t="s">
        <v>30</v>
      </c>
      <c r="F97" s="1006">
        <v>2013</v>
      </c>
      <c r="G97" s="1006" t="s">
        <v>133</v>
      </c>
      <c r="H97" s="1006" t="s">
        <v>134</v>
      </c>
      <c r="I97" s="1006" t="s">
        <v>135</v>
      </c>
      <c r="J97" s="1006" t="s">
        <v>136</v>
      </c>
      <c r="K97" s="1006" t="s">
        <v>137</v>
      </c>
      <c r="L97" s="1006" t="s">
        <v>138</v>
      </c>
      <c r="M97" s="1006" t="s">
        <v>139</v>
      </c>
      <c r="N97" s="1006" t="s">
        <v>140</v>
      </c>
      <c r="O97" s="1005"/>
    </row>
    <row r="98" spans="2:15" ht="15.75">
      <c r="B98" s="492"/>
      <c r="C98" s="1007"/>
      <c r="D98" s="494"/>
      <c r="E98" s="494"/>
      <c r="F98" s="1008"/>
      <c r="G98" s="1008"/>
      <c r="H98" s="1008"/>
      <c r="I98" s="1008"/>
      <c r="J98" s="1008"/>
      <c r="K98" s="1008"/>
      <c r="L98" s="1008"/>
      <c r="M98" s="1008"/>
      <c r="N98" s="1008"/>
      <c r="O98" s="1005"/>
    </row>
    <row r="99" spans="2:15" ht="15.75">
      <c r="B99" s="497"/>
      <c r="C99" s="1010"/>
      <c r="D99" s="1010"/>
      <c r="E99" s="1010"/>
      <c r="F99" s="1010"/>
      <c r="G99" s="1010"/>
      <c r="H99" s="1010"/>
      <c r="I99" s="1010"/>
      <c r="J99" s="1010"/>
      <c r="K99" s="1010"/>
      <c r="L99" s="1010"/>
      <c r="M99" s="1010"/>
      <c r="N99" s="1010"/>
      <c r="O99" s="1011"/>
    </row>
    <row r="101" spans="2:15" ht="15.75">
      <c r="B101" s="995" t="s">
        <v>2795</v>
      </c>
      <c r="C101" s="997"/>
      <c r="D101" s="997"/>
      <c r="E101" s="997"/>
      <c r="F101" s="997"/>
      <c r="G101" s="997"/>
      <c r="H101" s="997"/>
      <c r="I101" s="997"/>
      <c r="J101" s="997"/>
      <c r="K101" s="997"/>
      <c r="L101" s="997"/>
      <c r="M101" s="997"/>
      <c r="N101" s="997"/>
      <c r="O101" s="998"/>
    </row>
    <row r="102" spans="2:15">
      <c r="B102" s="1002"/>
      <c r="C102" s="1003"/>
      <c r="D102" s="1003"/>
      <c r="E102" s="1003"/>
      <c r="F102" s="1003"/>
      <c r="G102" s="1003"/>
      <c r="H102" s="1003"/>
      <c r="I102" s="1003"/>
      <c r="J102" s="1003"/>
      <c r="K102" s="1003"/>
      <c r="L102" s="1003"/>
      <c r="M102" s="1003"/>
      <c r="N102" s="1003"/>
      <c r="O102" s="1005"/>
    </row>
    <row r="103" spans="2:15">
      <c r="B103" s="1002"/>
      <c r="C103" s="500" t="s">
        <v>147</v>
      </c>
      <c r="D103" s="1012"/>
      <c r="E103" s="1012"/>
      <c r="F103" s="1012"/>
      <c r="G103" s="1012"/>
      <c r="H103" s="1012"/>
      <c r="I103" s="1012"/>
      <c r="J103" s="1012"/>
      <c r="K103" s="1012"/>
      <c r="L103" s="1012"/>
      <c r="M103" s="1012"/>
      <c r="N103" s="1012"/>
      <c r="O103" s="1005"/>
    </row>
    <row r="104" spans="2:15">
      <c r="B104" s="1002"/>
      <c r="C104" s="1003"/>
      <c r="D104" s="1003"/>
      <c r="E104" s="1003"/>
      <c r="F104" s="1003"/>
      <c r="G104" s="1003"/>
      <c r="H104" s="1003"/>
      <c r="I104" s="1003"/>
      <c r="J104" s="1003"/>
      <c r="K104" s="1003"/>
      <c r="L104" s="1003"/>
      <c r="M104" s="1003"/>
      <c r="N104" s="1003"/>
      <c r="O104" s="1005"/>
    </row>
    <row r="105" spans="2:15" ht="15.75">
      <c r="B105" s="492"/>
      <c r="C105" s="1389" t="s">
        <v>28</v>
      </c>
      <c r="D105" s="1389" t="s">
        <v>29</v>
      </c>
      <c r="E105" s="1389" t="s">
        <v>30</v>
      </c>
      <c r="F105" s="1389">
        <v>2013</v>
      </c>
      <c r="G105" s="1389" t="s">
        <v>133</v>
      </c>
      <c r="H105" s="1389" t="s">
        <v>134</v>
      </c>
      <c r="I105" s="1389" t="s">
        <v>135</v>
      </c>
      <c r="J105" s="1389" t="s">
        <v>136</v>
      </c>
      <c r="K105" s="1389" t="s">
        <v>137</v>
      </c>
      <c r="L105" s="1389" t="s">
        <v>138</v>
      </c>
      <c r="M105" s="1389" t="s">
        <v>139</v>
      </c>
      <c r="N105" s="1389" t="s">
        <v>140</v>
      </c>
      <c r="O105" s="1150"/>
    </row>
    <row r="106" spans="2:15" ht="15.75">
      <c r="B106" s="492"/>
      <c r="C106" s="1352" t="s">
        <v>771</v>
      </c>
      <c r="D106" s="1353" t="s">
        <v>772</v>
      </c>
      <c r="E106" s="1353"/>
      <c r="F106" s="1643"/>
      <c r="G106" s="1643"/>
      <c r="H106" s="1643"/>
      <c r="I106" s="1643"/>
      <c r="J106" s="1643"/>
      <c r="K106" s="1643"/>
      <c r="L106" s="1643"/>
      <c r="M106" s="1643"/>
      <c r="N106" s="1643"/>
      <c r="O106" s="1150"/>
    </row>
    <row r="107" spans="2:15" ht="15.75">
      <c r="B107" s="492"/>
      <c r="C107" s="1007" t="s">
        <v>773</v>
      </c>
      <c r="D107" s="494" t="s">
        <v>774</v>
      </c>
      <c r="E107" s="494"/>
      <c r="F107" s="495"/>
      <c r="G107" s="495"/>
      <c r="H107" s="495"/>
      <c r="I107" s="495"/>
      <c r="J107" s="495"/>
      <c r="K107" s="495"/>
      <c r="L107" s="495"/>
      <c r="M107" s="495"/>
      <c r="N107" s="495"/>
      <c r="O107" s="1150"/>
    </row>
    <row r="108" spans="2:15">
      <c r="B108" s="503"/>
      <c r="C108" s="1355" t="s">
        <v>775</v>
      </c>
      <c r="D108" s="1356" t="s">
        <v>776</v>
      </c>
      <c r="E108" s="2949"/>
      <c r="F108" s="2925"/>
      <c r="G108" s="2925"/>
      <c r="H108" s="2925"/>
      <c r="I108" s="2925"/>
      <c r="J108" s="2925"/>
      <c r="K108" s="2925"/>
      <c r="L108" s="2925"/>
      <c r="M108" s="2925"/>
      <c r="N108" s="2925"/>
      <c r="O108" s="1151"/>
    </row>
    <row r="109" spans="2:15">
      <c r="B109" s="1014"/>
      <c r="C109" s="1010"/>
      <c r="D109" s="1010"/>
      <c r="E109" s="1010"/>
      <c r="F109" s="1010"/>
      <c r="G109" s="1010"/>
      <c r="H109" s="1010"/>
      <c r="I109" s="1010"/>
      <c r="J109" s="1010"/>
      <c r="K109" s="1010"/>
      <c r="L109" s="1010"/>
      <c r="M109" s="1010"/>
      <c r="N109" s="1010"/>
      <c r="O109" s="1015"/>
    </row>
    <row r="110" spans="2:15">
      <c r="B110" s="1002"/>
      <c r="C110" s="500" t="s">
        <v>145</v>
      </c>
      <c r="D110" s="1012"/>
      <c r="E110" s="1012"/>
      <c r="F110" s="1012"/>
      <c r="G110" s="1012"/>
      <c r="H110" s="1012"/>
      <c r="I110" s="1012"/>
      <c r="J110" s="1012"/>
      <c r="K110" s="1012"/>
      <c r="L110" s="1012"/>
      <c r="M110" s="1012"/>
      <c r="N110" s="1012"/>
      <c r="O110" s="1005"/>
    </row>
    <row r="111" spans="2:15">
      <c r="B111" s="1002"/>
      <c r="C111" s="1003"/>
      <c r="D111" s="1003"/>
      <c r="E111" s="1003"/>
      <c r="F111" s="1003"/>
      <c r="G111" s="1003"/>
      <c r="H111" s="1003"/>
      <c r="I111" s="1003"/>
      <c r="J111" s="1003"/>
      <c r="K111" s="1003"/>
      <c r="L111" s="1003"/>
      <c r="M111" s="1003"/>
      <c r="N111" s="1003"/>
      <c r="O111" s="1005"/>
    </row>
    <row r="112" spans="2:15" ht="15.75">
      <c r="B112" s="492"/>
      <c r="C112" s="1389" t="s">
        <v>28</v>
      </c>
      <c r="D112" s="1389" t="s">
        <v>29</v>
      </c>
      <c r="E112" s="1389" t="s">
        <v>30</v>
      </c>
      <c r="F112" s="1389">
        <v>2013</v>
      </c>
      <c r="G112" s="1389" t="s">
        <v>133</v>
      </c>
      <c r="H112" s="1389" t="s">
        <v>134</v>
      </c>
      <c r="I112" s="1389" t="s">
        <v>135</v>
      </c>
      <c r="J112" s="1389" t="s">
        <v>136</v>
      </c>
      <c r="K112" s="1389" t="s">
        <v>137</v>
      </c>
      <c r="L112" s="1389" t="s">
        <v>138</v>
      </c>
      <c r="M112" s="1389" t="s">
        <v>139</v>
      </c>
      <c r="N112" s="1389" t="s">
        <v>140</v>
      </c>
      <c r="O112" s="1150"/>
    </row>
    <row r="113" spans="1:15" ht="15.75">
      <c r="B113" s="492"/>
      <c r="C113" s="1352" t="s">
        <v>771</v>
      </c>
      <c r="D113" s="1353" t="s">
        <v>772</v>
      </c>
      <c r="E113" s="1353"/>
      <c r="F113" s="1643"/>
      <c r="G113" s="1643"/>
      <c r="H113" s="1643"/>
      <c r="I113" s="1643"/>
      <c r="J113" s="1643"/>
      <c r="K113" s="1643"/>
      <c r="L113" s="1643"/>
      <c r="M113" s="1643"/>
      <c r="N113" s="1643"/>
      <c r="O113" s="1150"/>
    </row>
    <row r="114" spans="1:15" ht="15.75">
      <c r="B114" s="492"/>
      <c r="C114" s="1007" t="s">
        <v>773</v>
      </c>
      <c r="D114" s="494" t="s">
        <v>774</v>
      </c>
      <c r="E114" s="494"/>
      <c r="F114" s="495"/>
      <c r="G114" s="495"/>
      <c r="H114" s="495"/>
      <c r="I114" s="495"/>
      <c r="J114" s="495"/>
      <c r="K114" s="495"/>
      <c r="L114" s="495"/>
      <c r="M114" s="495"/>
      <c r="N114" s="495"/>
      <c r="O114" s="1150"/>
    </row>
    <row r="115" spans="1:15">
      <c r="B115" s="503"/>
      <c r="C115" s="1355" t="s">
        <v>775</v>
      </c>
      <c r="D115" s="1356" t="s">
        <v>776</v>
      </c>
      <c r="E115" s="2949"/>
      <c r="F115" s="2925"/>
      <c r="G115" s="2925"/>
      <c r="H115" s="2925"/>
      <c r="I115" s="2925"/>
      <c r="J115" s="2925"/>
      <c r="K115" s="2925"/>
      <c r="L115" s="2925"/>
      <c r="M115" s="2925"/>
      <c r="N115" s="2925"/>
      <c r="O115" s="1151"/>
    </row>
    <row r="116" spans="1:15">
      <c r="B116" s="1014"/>
      <c r="C116" s="1010"/>
      <c r="D116" s="1010"/>
      <c r="E116" s="1010"/>
      <c r="F116" s="1010"/>
      <c r="G116" s="1010"/>
      <c r="H116" s="1010"/>
      <c r="I116" s="1010"/>
      <c r="J116" s="1010"/>
      <c r="K116" s="1010"/>
      <c r="L116" s="1010"/>
      <c r="M116" s="1010"/>
      <c r="N116" s="1010"/>
      <c r="O116" s="1015"/>
    </row>
    <row r="117" spans="1:15">
      <c r="B117" s="1002"/>
      <c r="C117" s="500" t="s">
        <v>15</v>
      </c>
      <c r="D117" s="1012"/>
      <c r="E117" s="1012"/>
      <c r="F117" s="1012"/>
      <c r="G117" s="1012"/>
      <c r="H117" s="1012"/>
      <c r="I117" s="1012"/>
      <c r="J117" s="1012"/>
      <c r="K117" s="1012"/>
      <c r="L117" s="1012"/>
      <c r="M117" s="1012"/>
      <c r="N117" s="1012"/>
      <c r="O117" s="1005"/>
    </row>
    <row r="118" spans="1:15">
      <c r="B118" s="1002"/>
      <c r="C118" s="1003"/>
      <c r="D118" s="1003"/>
      <c r="E118" s="1003"/>
      <c r="F118" s="1003"/>
      <c r="G118" s="1003"/>
      <c r="H118" s="1003"/>
      <c r="I118" s="1003"/>
      <c r="J118" s="1003"/>
      <c r="K118" s="1003"/>
      <c r="L118" s="1003"/>
      <c r="M118" s="1003"/>
      <c r="N118" s="1003"/>
      <c r="O118" s="1005"/>
    </row>
    <row r="119" spans="1:15" ht="15.75">
      <c r="A119" s="3579" t="s">
        <v>5</v>
      </c>
      <c r="B119" s="492"/>
      <c r="C119" s="1006" t="s">
        <v>28</v>
      </c>
      <c r="D119" s="1006" t="s">
        <v>29</v>
      </c>
      <c r="E119" s="1006" t="s">
        <v>30</v>
      </c>
      <c r="F119" s="1006">
        <v>2013</v>
      </c>
      <c r="G119" s="1006" t="s">
        <v>133</v>
      </c>
      <c r="H119" s="1006" t="s">
        <v>134</v>
      </c>
      <c r="I119" s="1006" t="s">
        <v>135</v>
      </c>
      <c r="J119" s="1006" t="s">
        <v>136</v>
      </c>
      <c r="K119" s="1006" t="s">
        <v>137</v>
      </c>
      <c r="L119" s="1006" t="s">
        <v>138</v>
      </c>
      <c r="M119" s="1006" t="s">
        <v>139</v>
      </c>
      <c r="N119" s="1006" t="s">
        <v>140</v>
      </c>
      <c r="O119" s="1150"/>
    </row>
    <row r="120" spans="1:15" ht="15.75">
      <c r="B120" s="492"/>
      <c r="C120" s="1007" t="s">
        <v>771</v>
      </c>
      <c r="D120" s="494" t="s">
        <v>772</v>
      </c>
      <c r="E120" s="2669"/>
      <c r="F120" s="1643"/>
      <c r="G120" s="1643"/>
      <c r="H120" s="1643"/>
      <c r="I120" s="1643"/>
      <c r="J120" s="1643"/>
      <c r="K120" s="1643"/>
      <c r="L120" s="1643"/>
      <c r="M120" s="1643"/>
      <c r="N120" s="1643"/>
      <c r="O120" s="1150"/>
    </row>
    <row r="121" spans="1:15" ht="15.75">
      <c r="B121" s="492"/>
      <c r="C121" s="1007" t="s">
        <v>773</v>
      </c>
      <c r="D121" s="494" t="s">
        <v>774</v>
      </c>
      <c r="E121" s="2888"/>
      <c r="F121" s="495"/>
      <c r="G121" s="495"/>
      <c r="H121" s="495"/>
      <c r="I121" s="495"/>
      <c r="J121" s="495"/>
      <c r="K121" s="495"/>
      <c r="L121" s="495"/>
      <c r="M121" s="495"/>
      <c r="N121" s="495"/>
      <c r="O121" s="1150"/>
    </row>
    <row r="122" spans="1:15">
      <c r="B122" s="503"/>
      <c r="C122" s="1007" t="s">
        <v>775</v>
      </c>
      <c r="D122" s="494" t="s">
        <v>776</v>
      </c>
      <c r="E122" s="2669"/>
      <c r="F122" s="2925"/>
      <c r="G122" s="2925"/>
      <c r="H122" s="2925"/>
      <c r="I122" s="2925"/>
      <c r="J122" s="2925"/>
      <c r="K122" s="2925"/>
      <c r="L122" s="2925"/>
      <c r="M122" s="2925"/>
      <c r="N122" s="2925"/>
      <c r="O122" s="1151"/>
    </row>
    <row r="123" spans="1:15">
      <c r="B123" s="1014"/>
      <c r="C123" s="1010"/>
      <c r="D123" s="1010"/>
      <c r="E123" s="1010"/>
      <c r="F123" s="1010"/>
      <c r="G123" s="1010"/>
      <c r="H123" s="1010"/>
      <c r="I123" s="1010"/>
      <c r="J123" s="1010"/>
      <c r="K123" s="1010"/>
      <c r="L123" s="1010"/>
      <c r="M123" s="1010"/>
      <c r="N123" s="1010"/>
      <c r="O123" s="1015"/>
    </row>
    <row r="724" spans="6:14">
      <c r="F724" s="2890">
        <v>0</v>
      </c>
      <c r="G724" s="2890">
        <v>0</v>
      </c>
      <c r="H724" s="2890">
        <v>0</v>
      </c>
      <c r="I724" s="2890">
        <v>0</v>
      </c>
      <c r="J724" s="2890">
        <v>0</v>
      </c>
      <c r="K724" s="2890">
        <v>0</v>
      </c>
      <c r="L724" s="2890">
        <v>0</v>
      </c>
      <c r="M724" s="2890">
        <v>0</v>
      </c>
      <c r="N724" s="2890">
        <v>0</v>
      </c>
    </row>
    <row r="725" spans="6:14">
      <c r="F725" s="2890">
        <v>0</v>
      </c>
      <c r="G725" s="2890">
        <v>0</v>
      </c>
      <c r="H725" s="2890">
        <v>0</v>
      </c>
      <c r="I725" s="2890">
        <v>0</v>
      </c>
      <c r="J725" s="2890">
        <v>0</v>
      </c>
      <c r="K725" s="2890">
        <v>0</v>
      </c>
      <c r="L725" s="2890">
        <v>0</v>
      </c>
      <c r="M725" s="2890">
        <v>0</v>
      </c>
      <c r="N725" s="2890">
        <v>0</v>
      </c>
    </row>
    <row r="726" spans="6:14">
      <c r="F726" s="2890">
        <v>0</v>
      </c>
      <c r="G726" s="2890">
        <v>0</v>
      </c>
      <c r="H726" s="2890">
        <v>0</v>
      </c>
      <c r="I726" s="2890">
        <v>0</v>
      </c>
      <c r="J726" s="2890">
        <v>0</v>
      </c>
      <c r="K726" s="2890">
        <v>0</v>
      </c>
      <c r="L726" s="2890">
        <v>0</v>
      </c>
      <c r="M726" s="2890">
        <v>0</v>
      </c>
      <c r="N726" s="2890">
        <v>0</v>
      </c>
    </row>
  </sheetData>
  <pageMargins left="0.7" right="0.7" top="0.75" bottom="0.75" header="0.3" footer="0.3"/>
  <tableParts count="3">
    <tablePart r:id="rId1"/>
    <tablePart r:id="rId2"/>
    <tablePart r:id="rId3"/>
  </tableParts>
</worksheet>
</file>

<file path=xl/worksheets/sheet46.xml><?xml version="1.0" encoding="utf-8"?>
<worksheet xmlns="http://schemas.openxmlformats.org/spreadsheetml/2006/main" xmlns:r="http://schemas.openxmlformats.org/officeDocument/2006/relationships">
  <sheetPr>
    <tabColor theme="9"/>
  </sheetPr>
  <dimension ref="A1:Z726"/>
  <sheetViews>
    <sheetView showGridLines="0" zoomScale="80" zoomScaleNormal="80" workbookViewId="0">
      <selection activeCell="C47" sqref="C47"/>
    </sheetView>
  </sheetViews>
  <sheetFormatPr defaultColWidth="8.85546875" defaultRowHeight="15"/>
  <cols>
    <col min="1" max="1" width="7.7109375" style="3634" customWidth="1"/>
    <col min="2" max="2" width="5.85546875" style="3634" customWidth="1"/>
    <col min="3" max="3" width="20.42578125" style="3634" customWidth="1"/>
    <col min="4" max="4" width="30.7109375" style="3634" customWidth="1"/>
    <col min="5" max="5" width="20.7109375" style="3634" customWidth="1"/>
    <col min="6" max="15" width="17.7109375" style="3634" customWidth="1"/>
    <col min="16" max="16" width="2" style="3634" customWidth="1"/>
    <col min="17" max="17" width="10.85546875" style="3634" customWidth="1"/>
    <col min="18" max="16384" width="8.85546875" style="3634"/>
  </cols>
  <sheetData>
    <row r="1" spans="1:15" ht="20.25">
      <c r="A1" s="863" t="s">
        <v>544</v>
      </c>
      <c r="B1" s="863" t="s">
        <v>545</v>
      </c>
      <c r="C1" s="863"/>
    </row>
    <row r="2" spans="1:15" s="6" customFormat="1" ht="15.75">
      <c r="A2" s="864" t="s">
        <v>542</v>
      </c>
      <c r="B2" s="864" t="s">
        <v>543</v>
      </c>
      <c r="C2" s="864"/>
      <c r="E2" s="5"/>
    </row>
    <row r="4" spans="1:15" ht="23.25">
      <c r="A4" s="7"/>
      <c r="B4" s="511" t="s">
        <v>24</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34" t="s">
        <v>2857</v>
      </c>
      <c r="D6" s="515"/>
      <c r="E6" s="516"/>
      <c r="F6" s="515"/>
      <c r="G6" s="515"/>
      <c r="H6" s="515"/>
      <c r="I6" s="515"/>
      <c r="J6" s="515"/>
      <c r="K6" s="515"/>
      <c r="L6" s="515"/>
      <c r="M6" s="515"/>
      <c r="N6" s="516" t="str">
        <f>Preferences.EnergyUnits</f>
        <v>TWh</v>
      </c>
      <c r="O6" s="867"/>
    </row>
    <row r="7" spans="1:15">
      <c r="B7" s="514"/>
      <c r="C7" s="12"/>
      <c r="D7" s="515"/>
      <c r="E7" s="516"/>
      <c r="F7" s="515"/>
      <c r="G7" s="515"/>
      <c r="H7" s="515"/>
      <c r="I7" s="515"/>
      <c r="J7" s="515"/>
      <c r="K7" s="515"/>
      <c r="L7" s="515"/>
      <c r="M7" s="515"/>
      <c r="N7" s="515"/>
      <c r="O7" s="867"/>
    </row>
    <row r="8" spans="1:15" s="6" customFormat="1" ht="15.75">
      <c r="A8" s="3"/>
      <c r="B8" s="19"/>
      <c r="C8" s="873" t="s">
        <v>28</v>
      </c>
      <c r="D8" s="873" t="s">
        <v>29</v>
      </c>
      <c r="E8" s="873" t="s">
        <v>30</v>
      </c>
      <c r="F8" s="873" t="s">
        <v>597</v>
      </c>
      <c r="G8" s="873" t="s">
        <v>133</v>
      </c>
      <c r="H8" s="873" t="s">
        <v>134</v>
      </c>
      <c r="I8" s="873" t="s">
        <v>135</v>
      </c>
      <c r="J8" s="873" t="s">
        <v>136</v>
      </c>
      <c r="K8" s="873" t="s">
        <v>137</v>
      </c>
      <c r="L8" s="873" t="s">
        <v>138</v>
      </c>
      <c r="M8" s="873" t="s">
        <v>139</v>
      </c>
      <c r="N8" s="873" t="s">
        <v>140</v>
      </c>
      <c r="O8" s="874"/>
    </row>
    <row r="9" spans="1:15" s="6" customFormat="1" ht="15.75">
      <c r="A9" s="3"/>
      <c r="B9" s="19"/>
      <c r="C9" s="17" t="s">
        <v>101</v>
      </c>
      <c r="D9" s="17" t="s">
        <v>91</v>
      </c>
      <c r="E9" s="17"/>
      <c r="F9" s="2800">
        <f ca="1">INDEX(INDIRECT("'"&amp;XVII.a.Inputs[#Headers]&amp;"'!Year.Matrix"), MATCH("Subtotal."&amp;$A$2, INDIRECT("'"&amp;XVII.a.Inputs[#Headers]&amp;"'!Year.Modules"), 0), MATCH([Vector], INDIRECT("'"&amp;XVII.a.Inputs[#Headers]&amp;"'!Year.Vectors"), 0))</f>
        <v>-2.6537999724419409E-2</v>
      </c>
      <c r="G9" s="2800">
        <f ca="1">INDEX(INDIRECT("'"&amp;XVII.a.Inputs[#Headers]&amp;"'!Year.Matrix"), MATCH("Subtotal."&amp;$A$2, INDIRECT("'"&amp;XVII.a.Inputs[#Headers]&amp;"'!Year.Modules"), 0), MATCH([Vector], INDIRECT("'"&amp;XVII.a.Inputs[#Headers]&amp;"'!Year.Vectors"), 0))</f>
        <v>-2.6537999724419409E-2</v>
      </c>
      <c r="H9" s="2800">
        <f ca="1">INDEX(INDIRECT("'"&amp;XVII.a.Inputs[#Headers]&amp;"'!Year.Matrix"), MATCH("Subtotal."&amp;$A$2, INDIRECT("'"&amp;XVII.a.Inputs[#Headers]&amp;"'!Year.Modules"), 0), MATCH([Vector], INDIRECT("'"&amp;XVII.a.Inputs[#Headers]&amp;"'!Year.Vectors"), 0))</f>
        <v>-2.6537999724419409E-2</v>
      </c>
      <c r="I9" s="2800">
        <f ca="1">INDEX(INDIRECT("'"&amp;XVII.a.Inputs[#Headers]&amp;"'!Year.Matrix"), MATCH("Subtotal."&amp;$A$2, INDIRECT("'"&amp;XVII.a.Inputs[#Headers]&amp;"'!Year.Modules"), 0), MATCH([Vector], INDIRECT("'"&amp;XVII.a.Inputs[#Headers]&amp;"'!Year.Vectors"), 0))</f>
        <v>-2.6537999724419409E-2</v>
      </c>
      <c r="J9" s="2800">
        <f ca="1">INDEX(INDIRECT("'"&amp;XVII.a.Inputs[#Headers]&amp;"'!Year.Matrix"), MATCH("Subtotal."&amp;$A$2, INDIRECT("'"&amp;XVII.a.Inputs[#Headers]&amp;"'!Year.Modules"), 0), MATCH([Vector], INDIRECT("'"&amp;XVII.a.Inputs[#Headers]&amp;"'!Year.Vectors"), 0))</f>
        <v>-2.6537999724419409E-2</v>
      </c>
      <c r="K9" s="2800">
        <f ca="1">INDEX(INDIRECT("'"&amp;XVII.a.Inputs[#Headers]&amp;"'!Year.Matrix"), MATCH("Subtotal."&amp;$A$2, INDIRECT("'"&amp;XVII.a.Inputs[#Headers]&amp;"'!Year.Modules"), 0), MATCH([Vector], INDIRECT("'"&amp;XVII.a.Inputs[#Headers]&amp;"'!Year.Vectors"), 0))</f>
        <v>-2.6537999724419409E-2</v>
      </c>
      <c r="L9" s="2800">
        <f ca="1">INDEX(INDIRECT("'"&amp;XVII.a.Inputs[#Headers]&amp;"'!Year.Matrix"), MATCH("Subtotal."&amp;$A$2, INDIRECT("'"&amp;XVII.a.Inputs[#Headers]&amp;"'!Year.Modules"), 0), MATCH([Vector], INDIRECT("'"&amp;XVII.a.Inputs[#Headers]&amp;"'!Year.Vectors"), 0))</f>
        <v>-2.6537999724419409E-2</v>
      </c>
      <c r="M9" s="2800">
        <f ca="1">INDEX(INDIRECT("'"&amp;XVII.a.Inputs[#Headers]&amp;"'!Year.Matrix"), MATCH("Subtotal."&amp;$A$2, INDIRECT("'"&amp;XVII.a.Inputs[#Headers]&amp;"'!Year.Modules"), 0), MATCH([Vector], INDIRECT("'"&amp;XVII.a.Inputs[#Headers]&amp;"'!Year.Vectors"), 0))</f>
        <v>-2.6537999724419409E-2</v>
      </c>
      <c r="N9" s="2800">
        <f ca="1">INDEX(INDIRECT("'"&amp;XVII.a.Inputs[#Headers]&amp;"'!Year.Matrix"), MATCH("Subtotal."&amp;$A$2, INDIRECT("'"&amp;XVII.a.Inputs[#Headers]&amp;"'!Year.Modules"), 0), MATCH([Vector], INDIRECT("'"&amp;XVII.a.Inputs[#Headers]&amp;"'!Year.Vectors"), 0))</f>
        <v>-2.6537999724419409E-2</v>
      </c>
      <c r="O9" s="875"/>
    </row>
    <row r="10" spans="1:15">
      <c r="B10" s="1252"/>
      <c r="C10" s="869"/>
      <c r="D10" s="869"/>
      <c r="E10" s="869"/>
      <c r="F10" s="869"/>
      <c r="G10" s="869"/>
      <c r="H10" s="869"/>
      <c r="I10" s="869"/>
      <c r="J10" s="869"/>
      <c r="K10" s="869"/>
      <c r="L10" s="869"/>
      <c r="M10" s="869"/>
      <c r="N10" s="869"/>
      <c r="O10" s="870"/>
    </row>
    <row r="12" spans="1:15" s="6" customFormat="1" ht="23.25">
      <c r="A12" s="40"/>
      <c r="B12" s="878" t="s">
        <v>70</v>
      </c>
      <c r="C12" s="879"/>
      <c r="D12" s="879"/>
      <c r="E12" s="879"/>
      <c r="F12" s="879"/>
      <c r="G12" s="879"/>
      <c r="H12" s="879"/>
      <c r="I12" s="879"/>
      <c r="J12" s="879"/>
      <c r="K12" s="879"/>
      <c r="L12" s="879"/>
      <c r="M12" s="879"/>
      <c r="N12" s="879"/>
      <c r="O12" s="880"/>
    </row>
    <row r="13" spans="1:15">
      <c r="B13" s="110"/>
      <c r="C13" s="67"/>
      <c r="D13" s="67"/>
      <c r="E13" s="67"/>
      <c r="F13" s="67"/>
      <c r="G13" s="67"/>
      <c r="H13" s="67"/>
      <c r="I13" s="67"/>
      <c r="J13" s="67"/>
      <c r="K13" s="67"/>
      <c r="L13" s="67"/>
      <c r="M13" s="67"/>
      <c r="N13" s="67"/>
      <c r="O13" s="885"/>
    </row>
    <row r="14" spans="1:15">
      <c r="B14" s="110"/>
      <c r="C14" s="49" t="s">
        <v>2858</v>
      </c>
      <c r="D14" s="67"/>
      <c r="E14" s="51"/>
      <c r="F14" s="67"/>
      <c r="G14" s="67"/>
      <c r="H14" s="67"/>
      <c r="I14" s="67"/>
      <c r="J14" s="67"/>
      <c r="K14" s="67"/>
      <c r="L14" s="67"/>
      <c r="M14" s="67"/>
      <c r="N14" s="67"/>
      <c r="O14" s="885"/>
    </row>
    <row r="15" spans="1:15">
      <c r="B15" s="110"/>
      <c r="C15" s="67"/>
      <c r="D15" s="67"/>
      <c r="E15" s="67"/>
      <c r="F15" s="67"/>
      <c r="G15" s="67"/>
      <c r="H15" s="67"/>
      <c r="I15" s="67"/>
      <c r="J15" s="67"/>
      <c r="K15" s="67"/>
      <c r="L15" s="67"/>
      <c r="M15" s="67"/>
      <c r="N15" s="67"/>
      <c r="O15" s="885"/>
    </row>
    <row r="16" spans="1:15" ht="15.75">
      <c r="B16" s="55"/>
      <c r="C16" s="887" t="s">
        <v>29</v>
      </c>
      <c r="D16" s="887" t="s">
        <v>72</v>
      </c>
      <c r="E16" s="887" t="s">
        <v>30</v>
      </c>
      <c r="F16" s="92">
        <v>2013</v>
      </c>
      <c r="G16" s="92">
        <v>2015</v>
      </c>
      <c r="H16" s="92">
        <v>2020</v>
      </c>
      <c r="I16" s="92">
        <v>2025</v>
      </c>
      <c r="J16" s="92">
        <v>2030</v>
      </c>
      <c r="K16" s="92">
        <v>2035</v>
      </c>
      <c r="L16" s="92">
        <v>2040</v>
      </c>
      <c r="M16" s="92">
        <v>2045</v>
      </c>
      <c r="N16" s="92">
        <v>2050</v>
      </c>
      <c r="O16" s="885"/>
    </row>
    <row r="17" spans="1:25" s="6" customFormat="1" ht="15.75">
      <c r="B17" s="975"/>
      <c r="C17" s="916" t="s">
        <v>2859</v>
      </c>
      <c r="D17" s="917" t="s">
        <v>2860</v>
      </c>
      <c r="E17" s="917" t="s">
        <v>65</v>
      </c>
      <c r="F17" s="3454">
        <v>7</v>
      </c>
      <c r="G17" s="3454">
        <v>7</v>
      </c>
      <c r="H17" s="3454">
        <v>7</v>
      </c>
      <c r="I17" s="3454">
        <v>7</v>
      </c>
      <c r="J17" s="3454">
        <v>7</v>
      </c>
      <c r="K17" s="3454">
        <v>7</v>
      </c>
      <c r="L17" s="3454">
        <v>7</v>
      </c>
      <c r="M17" s="3454">
        <v>7</v>
      </c>
      <c r="N17" s="3454">
        <v>7</v>
      </c>
      <c r="O17" s="893"/>
    </row>
    <row r="18" spans="1:25">
      <c r="B18" s="45"/>
      <c r="C18" s="67"/>
      <c r="D18" s="200"/>
      <c r="E18" s="67"/>
      <c r="F18" s="67"/>
      <c r="G18" s="67"/>
      <c r="H18" s="67"/>
      <c r="I18" s="67"/>
      <c r="J18" s="67"/>
      <c r="K18" s="67"/>
      <c r="L18" s="67"/>
      <c r="M18" s="67"/>
      <c r="N18" s="67"/>
      <c r="O18" s="67"/>
      <c r="P18" s="885"/>
    </row>
    <row r="19" spans="1:25">
      <c r="B19" s="45"/>
      <c r="C19" s="67" t="s">
        <v>2861</v>
      </c>
      <c r="D19" s="67"/>
      <c r="E19" s="51"/>
      <c r="F19" s="67">
        <f>(200*Unit.MW/4.1)*Conversion.to.annual.energy</f>
        <v>0.42760975609756108</v>
      </c>
      <c r="G19" s="67" t="str">
        <f>Preferences.EnergyUnits</f>
        <v>TWh</v>
      </c>
      <c r="H19" s="67"/>
      <c r="I19" s="67"/>
      <c r="J19" s="67"/>
      <c r="K19" s="67"/>
      <c r="L19" s="67"/>
      <c r="M19" s="67"/>
      <c r="N19" s="67"/>
      <c r="O19" s="67"/>
      <c r="P19" s="885"/>
    </row>
    <row r="20" spans="1:25" s="927" customFormat="1">
      <c r="B20" s="1169"/>
      <c r="C20" s="67" t="s">
        <v>2862</v>
      </c>
      <c r="D20" s="67"/>
      <c r="E20" s="51"/>
      <c r="F20" s="3646">
        <f>5/30</f>
        <v>0.16666666666666666</v>
      </c>
      <c r="G20" s="67" t="s">
        <v>2863</v>
      </c>
      <c r="H20" s="931"/>
      <c r="I20" s="931"/>
      <c r="J20" s="931"/>
      <c r="K20" s="931"/>
      <c r="L20" s="931"/>
      <c r="M20" s="931"/>
      <c r="N20" s="931"/>
      <c r="O20" s="931"/>
      <c r="P20" s="932"/>
    </row>
    <row r="21" spans="1:25">
      <c r="B21" s="67"/>
      <c r="C21" s="67"/>
      <c r="D21" s="67"/>
      <c r="E21" s="67"/>
      <c r="F21" s="67"/>
      <c r="G21" s="67"/>
      <c r="H21" s="67"/>
      <c r="I21" s="67"/>
      <c r="J21" s="67"/>
      <c r="K21" s="67"/>
      <c r="L21" s="67"/>
      <c r="M21" s="67"/>
      <c r="N21" s="67"/>
      <c r="O21" s="67"/>
      <c r="P21" s="67"/>
    </row>
    <row r="22" spans="1:25">
      <c r="B22" s="67"/>
      <c r="C22" s="67"/>
      <c r="D22" s="67"/>
      <c r="E22" s="67"/>
      <c r="F22" s="67"/>
      <c r="G22" s="67"/>
      <c r="H22" s="67"/>
      <c r="I22" s="67"/>
      <c r="J22" s="67"/>
      <c r="K22" s="67"/>
      <c r="L22" s="67"/>
      <c r="M22" s="67"/>
      <c r="N22" s="67"/>
      <c r="O22" s="67"/>
      <c r="P22" s="67"/>
    </row>
    <row r="23" spans="1:25">
      <c r="B23" s="67"/>
      <c r="C23" s="3862" t="s">
        <v>64</v>
      </c>
      <c r="D23" s="200"/>
      <c r="E23" s="67"/>
      <c r="F23" s="67"/>
      <c r="G23" s="67"/>
      <c r="H23" s="67"/>
      <c r="I23" s="67"/>
      <c r="J23" s="67"/>
      <c r="K23" s="67"/>
      <c r="L23" s="67"/>
      <c r="M23" s="67"/>
      <c r="N23" s="67"/>
      <c r="O23" s="67"/>
      <c r="P23" s="67"/>
    </row>
    <row r="24" spans="1:25">
      <c r="B24" s="67"/>
      <c r="C24" s="929" t="s">
        <v>65</v>
      </c>
      <c r="D24" s="930" t="s">
        <v>2864</v>
      </c>
      <c r="E24" s="931"/>
      <c r="F24" s="931"/>
      <c r="G24" s="931"/>
      <c r="H24" s="67"/>
      <c r="I24" s="67"/>
      <c r="J24" s="67"/>
      <c r="K24" s="67"/>
      <c r="L24" s="67"/>
      <c r="M24" s="67"/>
      <c r="N24" s="67"/>
      <c r="O24" s="67"/>
      <c r="P24" s="67"/>
    </row>
    <row r="25" spans="1:25">
      <c r="B25" s="67"/>
      <c r="C25" s="67"/>
      <c r="D25" s="67"/>
      <c r="E25" s="67"/>
      <c r="F25" s="67"/>
      <c r="G25" s="67"/>
      <c r="H25" s="67"/>
      <c r="I25" s="67"/>
      <c r="J25" s="67"/>
      <c r="K25" s="67"/>
      <c r="L25" s="67"/>
      <c r="M25" s="67"/>
      <c r="N25" s="67"/>
      <c r="O25" s="67"/>
      <c r="P25" s="67"/>
      <c r="T25" s="1077"/>
      <c r="U25" s="1077"/>
      <c r="V25" s="1077"/>
      <c r="W25" s="1077"/>
      <c r="X25" s="1077"/>
      <c r="Y25" s="1077"/>
    </row>
    <row r="26" spans="1:25">
      <c r="T26" s="1077"/>
      <c r="U26" s="1077"/>
      <c r="V26" s="1077"/>
      <c r="W26" s="1077"/>
      <c r="X26" s="1077"/>
      <c r="Y26" s="1077"/>
    </row>
    <row r="27" spans="1:25" s="6" customFormat="1" ht="23.25">
      <c r="A27" s="40"/>
      <c r="B27" s="878" t="s">
        <v>2794</v>
      </c>
      <c r="C27" s="879"/>
      <c r="D27" s="879"/>
      <c r="E27" s="879"/>
      <c r="F27" s="879"/>
      <c r="G27" s="879"/>
      <c r="H27" s="879"/>
      <c r="I27" s="879"/>
      <c r="J27" s="879"/>
      <c r="K27" s="879"/>
      <c r="L27" s="879"/>
      <c r="M27" s="879"/>
      <c r="N27" s="879"/>
      <c r="O27" s="880"/>
      <c r="T27" s="656"/>
      <c r="U27" s="656"/>
      <c r="V27" s="656"/>
      <c r="W27" s="656"/>
      <c r="X27" s="656"/>
      <c r="Y27" s="656"/>
    </row>
    <row r="28" spans="1:25" hidden="1">
      <c r="B28" s="110"/>
      <c r="C28" s="47"/>
      <c r="D28" s="47"/>
      <c r="E28" s="47"/>
      <c r="F28" s="47"/>
      <c r="G28" s="47"/>
      <c r="H28" s="47"/>
      <c r="I28" s="47"/>
      <c r="J28" s="47"/>
      <c r="K28" s="47"/>
      <c r="L28" s="47"/>
      <c r="M28" s="47"/>
      <c r="N28" s="47"/>
      <c r="O28" s="67"/>
      <c r="T28" s="207"/>
      <c r="U28" s="1077"/>
      <c r="V28" s="1431"/>
      <c r="W28" s="1077"/>
      <c r="X28" s="1431"/>
      <c r="Y28" s="1077"/>
    </row>
    <row r="29" spans="1:25" hidden="1">
      <c r="B29" s="110"/>
      <c r="C29" s="970" t="s">
        <v>2865</v>
      </c>
      <c r="D29" s="47"/>
      <c r="E29" s="47"/>
      <c r="F29" s="47"/>
      <c r="G29" s="47"/>
      <c r="H29" s="47"/>
      <c r="I29" s="47"/>
      <c r="J29" s="47"/>
      <c r="K29" s="47"/>
      <c r="L29" s="47"/>
      <c r="M29" s="47"/>
      <c r="N29" s="944" t="s">
        <v>2877</v>
      </c>
      <c r="O29" s="67"/>
      <c r="T29" s="1077"/>
      <c r="U29" s="1077"/>
      <c r="V29" s="1077"/>
      <c r="W29" s="1077"/>
      <c r="X29" s="1077"/>
      <c r="Y29" s="1077"/>
    </row>
    <row r="30" spans="1:25" hidden="1">
      <c r="B30" s="110"/>
      <c r="C30" s="1078"/>
      <c r="D30" s="1548"/>
      <c r="E30" s="1201" t="s">
        <v>160</v>
      </c>
      <c r="F30" s="972">
        <v>2013</v>
      </c>
      <c r="G30" s="981">
        <v>2015</v>
      </c>
      <c r="H30" s="981">
        <v>2020</v>
      </c>
      <c r="I30" s="981">
        <v>2025</v>
      </c>
      <c r="J30" s="981">
        <v>2030</v>
      </c>
      <c r="K30" s="981">
        <v>2035</v>
      </c>
      <c r="L30" s="981">
        <v>2040</v>
      </c>
      <c r="M30" s="981">
        <v>2045</v>
      </c>
      <c r="N30" s="981">
        <v>2050</v>
      </c>
      <c r="O30" s="67"/>
      <c r="T30" s="2572"/>
      <c r="U30" s="2572"/>
      <c r="V30" s="2604"/>
      <c r="W30" s="2556"/>
      <c r="X30" s="2556"/>
      <c r="Y30" s="2556"/>
    </row>
    <row r="31" spans="1:25" hidden="1">
      <c r="B31" s="110"/>
      <c r="C31" s="976" t="s">
        <v>738</v>
      </c>
      <c r="D31" s="1079"/>
      <c r="E31" s="2424"/>
      <c r="F31" s="3390"/>
      <c r="G31" s="1595"/>
      <c r="H31" s="1595"/>
      <c r="I31" s="1595"/>
      <c r="J31" s="1595"/>
      <c r="K31" s="1595"/>
      <c r="L31" s="1595"/>
      <c r="M31" s="1595"/>
      <c r="N31" s="3389"/>
      <c r="O31" s="67"/>
      <c r="Q31" s="745"/>
      <c r="R31" s="745"/>
      <c r="S31" s="745"/>
      <c r="T31" s="2572"/>
      <c r="U31" s="521"/>
      <c r="V31" s="2552"/>
      <c r="W31" s="1077"/>
      <c r="X31" s="1077"/>
      <c r="Y31" s="3360"/>
    </row>
    <row r="32" spans="1:25" hidden="1">
      <c r="B32" s="110"/>
      <c r="C32" s="952" t="s">
        <v>739</v>
      </c>
      <c r="D32" s="924"/>
      <c r="E32" s="2425"/>
      <c r="F32" s="3392"/>
      <c r="G32" s="3392"/>
      <c r="H32" s="3392"/>
      <c r="I32" s="3392"/>
      <c r="J32" s="3392"/>
      <c r="K32" s="3392"/>
      <c r="L32" s="3392"/>
      <c r="M32" s="3392"/>
      <c r="N32" s="3392"/>
      <c r="O32" s="67"/>
      <c r="Q32" s="1422"/>
      <c r="R32" s="1422"/>
      <c r="S32" s="1422"/>
      <c r="T32" s="1422"/>
      <c r="U32" s="39"/>
      <c r="V32" s="3647"/>
      <c r="W32" s="1077"/>
      <c r="X32" s="1077"/>
      <c r="Y32" s="1077"/>
    </row>
    <row r="33" spans="2:25" hidden="1">
      <c r="B33" s="110"/>
      <c r="C33" s="956" t="s">
        <v>740</v>
      </c>
      <c r="D33" s="957"/>
      <c r="E33" s="2426"/>
      <c r="F33" s="3498"/>
      <c r="G33" s="1598"/>
      <c r="H33" s="1598"/>
      <c r="I33" s="1598"/>
      <c r="J33" s="1598"/>
      <c r="K33" s="1598"/>
      <c r="L33" s="1598"/>
      <c r="M33" s="1598"/>
      <c r="N33" s="3648"/>
      <c r="O33" s="47"/>
      <c r="Q33" s="1422"/>
      <c r="R33" s="1422"/>
      <c r="S33" s="1422"/>
      <c r="T33" s="2496"/>
      <c r="U33" s="1077"/>
      <c r="V33" s="1077"/>
      <c r="W33" s="1077"/>
      <c r="X33" s="1431"/>
      <c r="Y33" s="1077"/>
    </row>
    <row r="34" spans="2:25" ht="15.75" hidden="1">
      <c r="B34" s="55"/>
      <c r="C34" s="47"/>
      <c r="D34" s="47"/>
      <c r="E34" s="47"/>
      <c r="F34" s="47"/>
      <c r="G34" s="47"/>
      <c r="H34" s="47"/>
      <c r="I34" s="47"/>
      <c r="J34" s="47"/>
      <c r="K34" s="47"/>
      <c r="L34" s="47"/>
      <c r="M34" s="47"/>
      <c r="N34" s="47"/>
      <c r="O34" s="47"/>
      <c r="Q34" s="1422"/>
      <c r="R34" s="1422"/>
      <c r="S34" s="1422"/>
      <c r="T34" s="1173"/>
      <c r="U34" s="1077"/>
      <c r="V34" s="1077"/>
      <c r="W34" s="1077"/>
      <c r="X34" s="1077"/>
      <c r="Y34" s="1077"/>
    </row>
    <row r="35" spans="2:25" s="6" customFormat="1" ht="15.75" hidden="1">
      <c r="B35" s="975"/>
      <c r="C35" s="970" t="s">
        <v>2866</v>
      </c>
      <c r="D35" s="47"/>
      <c r="E35" s="47"/>
      <c r="F35" s="47"/>
      <c r="G35" s="47"/>
      <c r="H35" s="47"/>
      <c r="I35" s="47"/>
      <c r="J35" s="47"/>
      <c r="K35" s="47"/>
      <c r="L35" s="47"/>
      <c r="M35" s="47"/>
      <c r="N35" s="944" t="s">
        <v>2877</v>
      </c>
      <c r="O35" s="47"/>
      <c r="Q35" s="859"/>
      <c r="R35" s="859"/>
      <c r="S35" s="859"/>
      <c r="T35" s="859"/>
      <c r="U35" s="859"/>
    </row>
    <row r="36" spans="2:25" hidden="1">
      <c r="B36" s="45"/>
      <c r="C36" s="2963"/>
      <c r="D36" s="2609"/>
      <c r="E36" s="2964" t="s">
        <v>160</v>
      </c>
      <c r="F36" s="2958">
        <v>2013</v>
      </c>
      <c r="G36" s="964">
        <v>2015</v>
      </c>
      <c r="H36" s="964">
        <v>2020</v>
      </c>
      <c r="I36" s="964">
        <v>2025</v>
      </c>
      <c r="J36" s="964">
        <v>2030</v>
      </c>
      <c r="K36" s="964">
        <v>2035</v>
      </c>
      <c r="L36" s="964">
        <v>2040</v>
      </c>
      <c r="M36" s="964">
        <v>2045</v>
      </c>
      <c r="N36" s="964">
        <v>2050</v>
      </c>
      <c r="O36" s="47"/>
      <c r="Q36" s="1422"/>
      <c r="R36" s="1422"/>
      <c r="S36" s="1422"/>
      <c r="T36" s="1422"/>
      <c r="U36" s="39"/>
    </row>
    <row r="37" spans="2:25" hidden="1">
      <c r="B37" s="110"/>
      <c r="C37" s="952" t="s">
        <v>738</v>
      </c>
      <c r="D37" s="924"/>
      <c r="E37" s="2425"/>
      <c r="F37" s="3649"/>
      <c r="G37" s="1597"/>
      <c r="H37" s="1597"/>
      <c r="I37" s="1597"/>
      <c r="J37" s="1597"/>
      <c r="K37" s="1597"/>
      <c r="L37" s="1597"/>
      <c r="M37" s="1597"/>
      <c r="N37" s="3649"/>
      <c r="O37" s="47"/>
      <c r="Q37" s="1422"/>
      <c r="R37" s="1422"/>
      <c r="S37" s="1422"/>
      <c r="T37" s="1422"/>
      <c r="U37" s="39"/>
    </row>
    <row r="38" spans="2:25" hidden="1">
      <c r="B38" s="110"/>
      <c r="C38" s="952" t="s">
        <v>739</v>
      </c>
      <c r="D38" s="924"/>
      <c r="E38" s="2425"/>
      <c r="F38" s="3392"/>
      <c r="G38" s="3392"/>
      <c r="H38" s="3392"/>
      <c r="I38" s="3392"/>
      <c r="J38" s="3392"/>
      <c r="K38" s="3392"/>
      <c r="L38" s="3392"/>
      <c r="M38" s="3392"/>
      <c r="N38" s="3392"/>
      <c r="O38" s="47"/>
      <c r="Q38" s="1422"/>
      <c r="R38" s="1422"/>
      <c r="S38" s="1422"/>
      <c r="T38" s="1422"/>
      <c r="U38" s="39"/>
    </row>
    <row r="39" spans="2:25" hidden="1">
      <c r="B39" s="110"/>
      <c r="C39" s="956" t="s">
        <v>740</v>
      </c>
      <c r="D39" s="957"/>
      <c r="E39" s="2426"/>
      <c r="F39" s="3650"/>
      <c r="G39" s="1598"/>
      <c r="H39" s="1598"/>
      <c r="I39" s="1598"/>
      <c r="J39" s="1598"/>
      <c r="K39" s="1598"/>
      <c r="L39" s="1598"/>
      <c r="M39" s="1598"/>
      <c r="N39" s="3650"/>
      <c r="O39" s="47"/>
      <c r="Q39" s="1422"/>
      <c r="R39" s="1422"/>
      <c r="S39" s="1422"/>
      <c r="T39" s="1422"/>
      <c r="U39" s="39"/>
    </row>
    <row r="40" spans="2:25" hidden="1">
      <c r="B40" s="67"/>
      <c r="C40" s="47"/>
      <c r="D40" s="47"/>
      <c r="E40" s="47"/>
      <c r="F40" s="47"/>
      <c r="G40" s="47"/>
      <c r="H40" s="47"/>
      <c r="I40" s="47"/>
      <c r="J40" s="47"/>
      <c r="K40" s="47"/>
      <c r="L40" s="47"/>
      <c r="M40" s="47"/>
      <c r="N40" s="47"/>
      <c r="O40" s="47"/>
      <c r="Q40" s="745"/>
      <c r="R40" s="745"/>
      <c r="S40" s="745"/>
      <c r="T40" s="745"/>
    </row>
    <row r="41" spans="2:25" hidden="1">
      <c r="B41" s="47"/>
      <c r="C41" s="67"/>
      <c r="D41" s="1618"/>
      <c r="E41" s="67"/>
      <c r="F41" s="67"/>
      <c r="G41" s="67"/>
      <c r="H41" s="47"/>
      <c r="I41" s="47"/>
      <c r="J41" s="47"/>
      <c r="K41" s="47"/>
      <c r="L41" s="47"/>
      <c r="M41" s="47"/>
      <c r="N41" s="47"/>
      <c r="O41" s="47"/>
      <c r="Q41" s="39"/>
    </row>
    <row r="42" spans="2:25" hidden="1">
      <c r="B42" s="47"/>
      <c r="C42" s="67"/>
      <c r="D42" s="1618"/>
      <c r="E42" s="67"/>
      <c r="F42" s="67"/>
      <c r="G42" s="67"/>
      <c r="H42" s="47"/>
      <c r="I42" s="47"/>
      <c r="J42" s="47"/>
      <c r="K42" s="47"/>
      <c r="L42" s="47"/>
      <c r="M42" s="47"/>
      <c r="N42" s="47"/>
      <c r="O42" s="47"/>
      <c r="Q42" s="39"/>
    </row>
    <row r="43" spans="2:25">
      <c r="B43" s="39"/>
      <c r="C43" s="1077"/>
      <c r="D43" s="2549"/>
      <c r="E43" s="1077"/>
      <c r="F43" s="1077"/>
      <c r="G43" s="1077"/>
      <c r="H43" s="39"/>
      <c r="I43" s="39"/>
      <c r="J43" s="39"/>
      <c r="K43" s="39"/>
      <c r="L43" s="39"/>
      <c r="M43" s="39"/>
      <c r="N43" s="39"/>
      <c r="O43" s="39"/>
      <c r="Q43" s="39"/>
    </row>
    <row r="44" spans="2:25" ht="15.75">
      <c r="B44" s="1110" t="s">
        <v>207</v>
      </c>
    </row>
    <row r="45" spans="2:25">
      <c r="B45" s="363">
        <v>1</v>
      </c>
      <c r="C45" s="3634" t="s">
        <v>2867</v>
      </c>
    </row>
    <row r="47" spans="2:25">
      <c r="C47" s="363" t="s">
        <v>2868</v>
      </c>
      <c r="E47" s="3634" t="str">
        <f>Preferences.EnergyUnits</f>
        <v>TWh</v>
      </c>
      <c r="F47" s="2490">
        <f ca="1">-XVII.a.Inputs[2013]</f>
        <v>2.6537999724419409E-2</v>
      </c>
      <c r="G47" s="2490">
        <f ca="1">-XVII.a.Inputs[2015]</f>
        <v>2.6537999724419409E-2</v>
      </c>
      <c r="H47" s="2490">
        <f ca="1">-XVII.a.Inputs[2020]</f>
        <v>2.6537999724419409E-2</v>
      </c>
      <c r="I47" s="2490">
        <f ca="1">-XVII.a.Inputs[2025]</f>
        <v>2.6537999724419409E-2</v>
      </c>
      <c r="J47" s="2490">
        <f ca="1">-XVII.a.Inputs[2030]</f>
        <v>2.6537999724419409E-2</v>
      </c>
      <c r="K47" s="2490">
        <f ca="1">-XVII.a.Inputs[2035]</f>
        <v>2.6537999724419409E-2</v>
      </c>
      <c r="L47" s="2490">
        <f ca="1">-XVII.a.Inputs[2040]</f>
        <v>2.6537999724419409E-2</v>
      </c>
      <c r="M47" s="2490">
        <f ca="1">-XVII.a.Inputs[2045]</f>
        <v>2.6537999724419409E-2</v>
      </c>
      <c r="N47" s="2490">
        <f ca="1">-XVII.a.Inputs[2050]</f>
        <v>2.6537999724419409E-2</v>
      </c>
    </row>
    <row r="48" spans="2:25">
      <c r="B48" s="3634" t="s">
        <v>1748</v>
      </c>
      <c r="C48" s="2975" t="s">
        <v>2858</v>
      </c>
      <c r="F48" s="2510">
        <f>F$17</f>
        <v>7</v>
      </c>
      <c r="G48" s="2510">
        <f t="shared" ref="G48:N48" si="0">G$17</f>
        <v>7</v>
      </c>
      <c r="H48" s="2510">
        <f t="shared" si="0"/>
        <v>7</v>
      </c>
      <c r="I48" s="2510">
        <f t="shared" si="0"/>
        <v>7</v>
      </c>
      <c r="J48" s="2510">
        <f t="shared" si="0"/>
        <v>7</v>
      </c>
      <c r="K48" s="2510">
        <f t="shared" si="0"/>
        <v>7</v>
      </c>
      <c r="L48" s="2510">
        <f t="shared" si="0"/>
        <v>7</v>
      </c>
      <c r="M48" s="2510">
        <f t="shared" si="0"/>
        <v>7</v>
      </c>
      <c r="N48" s="2510">
        <f t="shared" si="0"/>
        <v>7</v>
      </c>
    </row>
    <row r="49" spans="2:26">
      <c r="B49" s="988" t="s">
        <v>221</v>
      </c>
      <c r="C49" s="363" t="s">
        <v>2869</v>
      </c>
      <c r="F49" s="2490">
        <f ca="1">F47/F48</f>
        <v>3.7911428177742012E-3</v>
      </c>
      <c r="G49" s="2490">
        <f t="shared" ref="G49:N49" ca="1" si="1">G47/G48</f>
        <v>3.7911428177742012E-3</v>
      </c>
      <c r="H49" s="2490">
        <f t="shared" ca="1" si="1"/>
        <v>3.7911428177742012E-3</v>
      </c>
      <c r="I49" s="2490">
        <f t="shared" ca="1" si="1"/>
        <v>3.7911428177742012E-3</v>
      </c>
      <c r="J49" s="2490">
        <f t="shared" ca="1" si="1"/>
        <v>3.7911428177742012E-3</v>
      </c>
      <c r="K49" s="2490">
        <f t="shared" ca="1" si="1"/>
        <v>3.7911428177742012E-3</v>
      </c>
      <c r="L49" s="2490">
        <f t="shared" ca="1" si="1"/>
        <v>3.7911428177742012E-3</v>
      </c>
      <c r="M49" s="2490">
        <f t="shared" ca="1" si="1"/>
        <v>3.7911428177742012E-3</v>
      </c>
      <c r="N49" s="2490">
        <f t="shared" ca="1" si="1"/>
        <v>3.7911428177742012E-3</v>
      </c>
    </row>
    <row r="50" spans="2:26">
      <c r="B50" s="3651"/>
      <c r="C50" s="3634" t="s">
        <v>2870</v>
      </c>
      <c r="F50" s="2414">
        <f ca="1">F47-F49</f>
        <v>2.274685690664521E-2</v>
      </c>
      <c r="G50" s="2414">
        <f t="shared" ref="G50:N50" ca="1" si="2">G47-G49</f>
        <v>2.274685690664521E-2</v>
      </c>
      <c r="H50" s="2414">
        <f t="shared" ca="1" si="2"/>
        <v>2.274685690664521E-2</v>
      </c>
      <c r="I50" s="2414">
        <f t="shared" ca="1" si="2"/>
        <v>2.274685690664521E-2</v>
      </c>
      <c r="J50" s="2414">
        <f t="shared" ca="1" si="2"/>
        <v>2.274685690664521E-2</v>
      </c>
      <c r="K50" s="2414">
        <f t="shared" ca="1" si="2"/>
        <v>2.274685690664521E-2</v>
      </c>
      <c r="L50" s="2414">
        <f t="shared" ca="1" si="2"/>
        <v>2.274685690664521E-2</v>
      </c>
      <c r="M50" s="2414">
        <f t="shared" ca="1" si="2"/>
        <v>2.274685690664521E-2</v>
      </c>
      <c r="N50" s="2414">
        <f t="shared" ca="1" si="2"/>
        <v>2.274685690664521E-2</v>
      </c>
    </row>
    <row r="51" spans="2:26">
      <c r="B51" s="988"/>
      <c r="C51" s="988"/>
      <c r="F51" s="2414"/>
      <c r="G51" s="2414"/>
      <c r="H51" s="2414"/>
      <c r="I51" s="2414"/>
      <c r="J51" s="2414"/>
      <c r="K51" s="2414"/>
      <c r="L51" s="2414"/>
      <c r="M51" s="2414"/>
      <c r="N51" s="2414"/>
    </row>
    <row r="52" spans="2:26">
      <c r="B52" s="988">
        <v>2</v>
      </c>
      <c r="C52" s="363" t="s">
        <v>2871</v>
      </c>
      <c r="E52" s="3634" t="s">
        <v>760</v>
      </c>
      <c r="F52" s="1325">
        <v>2013</v>
      </c>
      <c r="G52" s="1325">
        <v>2015</v>
      </c>
      <c r="H52" s="1325">
        <v>2020</v>
      </c>
      <c r="I52" s="1325">
        <v>2025</v>
      </c>
      <c r="J52" s="1325">
        <v>2030</v>
      </c>
      <c r="K52" s="1325">
        <v>2035</v>
      </c>
      <c r="L52" s="1325">
        <v>2040</v>
      </c>
      <c r="M52" s="1325">
        <v>2045</v>
      </c>
      <c r="N52" s="1325">
        <v>2050</v>
      </c>
    </row>
    <row r="53" spans="2:26">
      <c r="B53" s="988"/>
      <c r="C53" s="3634" t="s">
        <v>2872</v>
      </c>
      <c r="F53" s="2515">
        <f t="shared" ref="F53:N53" ca="1" si="3">F47/$F$19</f>
        <v>6.2061258766894563E-2</v>
      </c>
      <c r="G53" s="2515">
        <f t="shared" ca="1" si="3"/>
        <v>6.2061258766894563E-2</v>
      </c>
      <c r="H53" s="2515">
        <f t="shared" ca="1" si="3"/>
        <v>6.2061258766894563E-2</v>
      </c>
      <c r="I53" s="2515">
        <f t="shared" ca="1" si="3"/>
        <v>6.2061258766894563E-2</v>
      </c>
      <c r="J53" s="2515">
        <f t="shared" ca="1" si="3"/>
        <v>6.2061258766894563E-2</v>
      </c>
      <c r="K53" s="2515">
        <f t="shared" ca="1" si="3"/>
        <v>6.2061258766894563E-2</v>
      </c>
      <c r="L53" s="2515">
        <f t="shared" ca="1" si="3"/>
        <v>6.2061258766894563E-2</v>
      </c>
      <c r="M53" s="2515">
        <f t="shared" ca="1" si="3"/>
        <v>6.2061258766894563E-2</v>
      </c>
      <c r="N53" s="2515">
        <f t="shared" ca="1" si="3"/>
        <v>6.2061258766894563E-2</v>
      </c>
    </row>
    <row r="54" spans="2:26">
      <c r="B54" s="988"/>
      <c r="C54" s="3634" t="s">
        <v>2873</v>
      </c>
      <c r="E54" s="3634" t="s">
        <v>2874</v>
      </c>
      <c r="F54" s="2414"/>
      <c r="G54" s="2414">
        <f ca="1">MAX((G53-F53)/(G52-F52),0)</f>
        <v>0</v>
      </c>
      <c r="H54" s="2414">
        <f t="shared" ref="H54:N54" ca="1" si="4">MAX((H53-G53)/(H52-G52),0)</f>
        <v>0</v>
      </c>
      <c r="I54" s="2414">
        <f t="shared" ca="1" si="4"/>
        <v>0</v>
      </c>
      <c r="J54" s="2414">
        <f t="shared" ca="1" si="4"/>
        <v>0</v>
      </c>
      <c r="K54" s="2414">
        <f t="shared" ca="1" si="4"/>
        <v>0</v>
      </c>
      <c r="L54" s="2414">
        <f t="shared" ca="1" si="4"/>
        <v>0</v>
      </c>
      <c r="M54" s="2414">
        <f t="shared" ca="1" si="4"/>
        <v>0</v>
      </c>
      <c r="N54" s="2414">
        <f t="shared" ca="1" si="4"/>
        <v>0</v>
      </c>
    </row>
    <row r="55" spans="2:26">
      <c r="B55" s="988"/>
      <c r="C55" s="3634" t="s">
        <v>2875</v>
      </c>
      <c r="E55" s="3634" t="s">
        <v>2874</v>
      </c>
      <c r="F55" s="2414"/>
      <c r="G55" s="2414">
        <f t="shared" ref="G55:N55" ca="1" si="5">(F53*$F$20)/(G52-F52)</f>
        <v>5.1717715639078799E-3</v>
      </c>
      <c r="H55" s="2414">
        <f t="shared" ca="1" si="5"/>
        <v>2.0687086255631519E-3</v>
      </c>
      <c r="I55" s="2414">
        <f t="shared" ca="1" si="5"/>
        <v>2.0687086255631519E-3</v>
      </c>
      <c r="J55" s="2414">
        <f t="shared" ca="1" si="5"/>
        <v>2.0687086255631519E-3</v>
      </c>
      <c r="K55" s="2414">
        <f t="shared" ca="1" si="5"/>
        <v>2.0687086255631519E-3</v>
      </c>
      <c r="L55" s="2414">
        <f t="shared" ca="1" si="5"/>
        <v>2.0687086255631519E-3</v>
      </c>
      <c r="M55" s="2414">
        <f t="shared" ca="1" si="5"/>
        <v>2.0687086255631519E-3</v>
      </c>
      <c r="N55" s="2414">
        <f t="shared" ca="1" si="5"/>
        <v>2.0687086255631519E-3</v>
      </c>
      <c r="Q55" s="1077"/>
      <c r="R55" s="1077"/>
      <c r="S55" s="1077"/>
      <c r="T55" s="1077"/>
      <c r="U55" s="1077"/>
      <c r="V55" s="1077"/>
      <c r="W55" s="1077"/>
      <c r="X55" s="1077"/>
      <c r="Y55" s="1077"/>
      <c r="Z55" s="1077"/>
    </row>
    <row r="56" spans="2:26">
      <c r="B56" s="988"/>
      <c r="C56" s="3634" t="s">
        <v>2876</v>
      </c>
      <c r="F56" s="2414"/>
      <c r="G56" s="2414">
        <f ca="1">SUM(G54:G55)</f>
        <v>5.1717715639078799E-3</v>
      </c>
      <c r="H56" s="2414">
        <f t="shared" ref="H56:N56" ca="1" si="6">SUM(H54:H55)</f>
        <v>2.0687086255631519E-3</v>
      </c>
      <c r="I56" s="2414">
        <f t="shared" ca="1" si="6"/>
        <v>2.0687086255631519E-3</v>
      </c>
      <c r="J56" s="2414">
        <f t="shared" ca="1" si="6"/>
        <v>2.0687086255631519E-3</v>
      </c>
      <c r="K56" s="2414">
        <f t="shared" ca="1" si="6"/>
        <v>2.0687086255631519E-3</v>
      </c>
      <c r="L56" s="2414">
        <f t="shared" ca="1" si="6"/>
        <v>2.0687086255631519E-3</v>
      </c>
      <c r="M56" s="2414">
        <f t="shared" ca="1" si="6"/>
        <v>2.0687086255631519E-3</v>
      </c>
      <c r="N56" s="2414">
        <f t="shared" ca="1" si="6"/>
        <v>2.0687086255631519E-3</v>
      </c>
      <c r="Q56" s="1077"/>
      <c r="R56" s="1077"/>
      <c r="S56" s="1077"/>
      <c r="T56" s="1077"/>
      <c r="U56" s="1077"/>
      <c r="V56" s="1077"/>
      <c r="W56" s="1077"/>
      <c r="X56" s="1077"/>
      <c r="Y56" s="1077"/>
      <c r="Z56" s="1077"/>
    </row>
    <row r="57" spans="2:26">
      <c r="B57" s="988"/>
      <c r="C57" s="988"/>
      <c r="F57" s="2414"/>
      <c r="G57" s="2414"/>
      <c r="H57" s="2414"/>
      <c r="I57" s="2414"/>
      <c r="J57" s="2414"/>
      <c r="K57" s="2414"/>
      <c r="L57" s="2414"/>
      <c r="M57" s="2414"/>
      <c r="N57" s="2414"/>
      <c r="Q57" s="1077"/>
      <c r="R57" s="1077"/>
      <c r="S57" s="1077"/>
      <c r="T57" s="1077"/>
      <c r="U57" s="1077"/>
      <c r="V57" s="1077"/>
      <c r="W57" s="1077"/>
      <c r="X57" s="1077"/>
      <c r="Y57" s="1077"/>
      <c r="Z57" s="1077"/>
    </row>
    <row r="58" spans="2:26">
      <c r="B58" s="988">
        <v>3</v>
      </c>
      <c r="C58" s="363" t="s">
        <v>2795</v>
      </c>
      <c r="F58" s="2414"/>
      <c r="G58" s="2414"/>
      <c r="H58" s="2414"/>
      <c r="I58" s="2414"/>
      <c r="J58" s="2414"/>
      <c r="K58" s="2414"/>
      <c r="L58" s="2414"/>
      <c r="M58" s="2414"/>
      <c r="N58" s="2414"/>
      <c r="Q58" s="207"/>
      <c r="R58" s="1077"/>
      <c r="S58" s="1077"/>
      <c r="T58" s="1077"/>
      <c r="U58" s="1077"/>
      <c r="V58" s="1077"/>
      <c r="W58" s="1077"/>
      <c r="X58" s="1077"/>
      <c r="Y58" s="1077"/>
      <c r="Z58" s="1077"/>
    </row>
    <row r="59" spans="2:26" hidden="1">
      <c r="B59" s="988"/>
      <c r="Q59" s="1077"/>
      <c r="R59" s="1077"/>
      <c r="S59" s="1077"/>
      <c r="T59" s="1077"/>
      <c r="U59" s="1077"/>
      <c r="V59" s="1077"/>
      <c r="W59" s="1077"/>
      <c r="X59" s="1077"/>
      <c r="Y59" s="1077"/>
      <c r="Z59" s="1077"/>
    </row>
    <row r="60" spans="2:26" hidden="1">
      <c r="B60" s="988"/>
      <c r="C60" s="363" t="s">
        <v>22</v>
      </c>
      <c r="E60" s="363" t="s">
        <v>2812</v>
      </c>
      <c r="F60" s="1325">
        <v>2013</v>
      </c>
      <c r="G60" s="1325">
        <v>2015</v>
      </c>
      <c r="H60" s="1325">
        <v>2020</v>
      </c>
      <c r="I60" s="1325">
        <v>2025</v>
      </c>
      <c r="J60" s="1325">
        <v>2030</v>
      </c>
      <c r="K60" s="1325">
        <v>2035</v>
      </c>
      <c r="L60" s="1325">
        <v>2040</v>
      </c>
      <c r="M60" s="1325">
        <v>2045</v>
      </c>
      <c r="N60" s="1325">
        <v>2050</v>
      </c>
      <c r="Q60" s="1077"/>
      <c r="R60" s="1077"/>
      <c r="S60" s="1077"/>
      <c r="T60" s="1077"/>
      <c r="U60" s="1077"/>
      <c r="V60" s="1077"/>
      <c r="W60" s="1077"/>
      <c r="X60" s="1077"/>
      <c r="Y60" s="1077"/>
      <c r="Z60" s="1077"/>
    </row>
    <row r="61" spans="2:26" hidden="1">
      <c r="B61" s="988"/>
      <c r="C61" s="3634" t="s">
        <v>1114</v>
      </c>
      <c r="F61" s="2414"/>
      <c r="G61" s="2515"/>
      <c r="H61" s="2515"/>
      <c r="I61" s="2515"/>
      <c r="J61" s="2515"/>
      <c r="K61" s="2515"/>
      <c r="L61" s="2515"/>
      <c r="M61" s="2515"/>
      <c r="N61" s="2515"/>
      <c r="Q61" s="1077"/>
      <c r="R61" s="1077"/>
      <c r="S61" s="1077"/>
      <c r="T61" s="1077"/>
      <c r="U61" s="1077"/>
      <c r="V61" s="1077"/>
      <c r="W61" s="1077"/>
      <c r="X61" s="1077"/>
      <c r="Y61" s="1077"/>
      <c r="Z61" s="1077"/>
    </row>
    <row r="62" spans="2:26" hidden="1">
      <c r="C62" s="3634" t="s">
        <v>1115</v>
      </c>
      <c r="F62" s="2515"/>
      <c r="G62" s="2515"/>
      <c r="H62" s="2515"/>
      <c r="I62" s="2515"/>
      <c r="J62" s="2515"/>
      <c r="K62" s="2515"/>
      <c r="L62" s="2515"/>
      <c r="M62" s="2515"/>
      <c r="N62" s="2515"/>
      <c r="Q62" s="1077"/>
      <c r="R62" s="1077"/>
      <c r="S62" s="1077"/>
      <c r="T62" s="1077"/>
      <c r="U62" s="1077"/>
      <c r="V62" s="1077"/>
      <c r="W62" s="1077"/>
      <c r="X62" s="1077"/>
      <c r="Y62" s="1077"/>
      <c r="Z62" s="1077"/>
    </row>
    <row r="63" spans="2:26" hidden="1">
      <c r="F63" s="2490"/>
    </row>
    <row r="64" spans="2:26" hidden="1">
      <c r="C64" s="363" t="s">
        <v>161</v>
      </c>
      <c r="E64" s="363" t="s">
        <v>2812</v>
      </c>
      <c r="F64" s="1325">
        <v>2013</v>
      </c>
      <c r="G64" s="1325">
        <v>2015</v>
      </c>
      <c r="H64" s="1325">
        <v>2020</v>
      </c>
      <c r="I64" s="1325">
        <v>2025</v>
      </c>
      <c r="J64" s="1325">
        <v>2030</v>
      </c>
      <c r="K64" s="1325">
        <v>2035</v>
      </c>
      <c r="L64" s="1325">
        <v>2040</v>
      </c>
      <c r="M64" s="1325">
        <v>2045</v>
      </c>
      <c r="N64" s="1325">
        <v>2050</v>
      </c>
    </row>
    <row r="65" spans="1:15" hidden="1">
      <c r="C65" s="3634" t="s">
        <v>1114</v>
      </c>
      <c r="F65" s="2414"/>
      <c r="G65" s="2515"/>
      <c r="H65" s="2515"/>
      <c r="I65" s="2515"/>
      <c r="J65" s="2515"/>
      <c r="K65" s="2515"/>
      <c r="L65" s="2515"/>
      <c r="M65" s="2515"/>
      <c r="N65" s="2515"/>
    </row>
    <row r="66" spans="1:15" hidden="1">
      <c r="C66" s="3634" t="s">
        <v>1115</v>
      </c>
      <c r="F66" s="2515"/>
      <c r="G66" s="2515"/>
      <c r="H66" s="2515"/>
      <c r="I66" s="2515"/>
      <c r="J66" s="2515"/>
      <c r="K66" s="2515"/>
      <c r="L66" s="2515"/>
      <c r="M66" s="2515"/>
      <c r="N66" s="2515"/>
    </row>
    <row r="67" spans="1:15" hidden="1">
      <c r="F67" s="2490"/>
    </row>
    <row r="68" spans="1:15" hidden="1">
      <c r="B68" s="988"/>
      <c r="C68" s="363" t="s">
        <v>20</v>
      </c>
      <c r="E68" s="363" t="s">
        <v>2812</v>
      </c>
      <c r="F68" s="1325">
        <v>2013</v>
      </c>
      <c r="G68" s="1325">
        <v>2015</v>
      </c>
      <c r="H68" s="1325">
        <v>2020</v>
      </c>
      <c r="I68" s="1325">
        <v>2025</v>
      </c>
      <c r="J68" s="1325">
        <v>2030</v>
      </c>
      <c r="K68" s="1325">
        <v>2035</v>
      </c>
      <c r="L68" s="1325">
        <v>2040</v>
      </c>
      <c r="M68" s="1325">
        <v>2045</v>
      </c>
      <c r="N68" s="1325">
        <v>2050</v>
      </c>
    </row>
    <row r="69" spans="1:15" hidden="1">
      <c r="B69" s="988"/>
      <c r="C69" s="3634" t="s">
        <v>1114</v>
      </c>
      <c r="F69" s="2414"/>
      <c r="G69" s="2515"/>
      <c r="H69" s="2515"/>
      <c r="I69" s="2515"/>
      <c r="J69" s="2515"/>
      <c r="K69" s="2515"/>
      <c r="L69" s="2515"/>
      <c r="M69" s="2515"/>
      <c r="N69" s="2515"/>
    </row>
    <row r="70" spans="1:15" hidden="1">
      <c r="C70" s="3634" t="s">
        <v>1115</v>
      </c>
      <c r="F70" s="2515"/>
      <c r="G70" s="2515"/>
      <c r="H70" s="2515"/>
      <c r="I70" s="2515"/>
      <c r="J70" s="2515"/>
      <c r="K70" s="2515"/>
      <c r="L70" s="2515"/>
      <c r="M70" s="2515"/>
      <c r="N70" s="2515"/>
    </row>
    <row r="72" spans="1:15" ht="23.25">
      <c r="A72" s="7"/>
      <c r="B72" s="511" t="s">
        <v>299</v>
      </c>
      <c r="C72" s="512"/>
      <c r="D72" s="512"/>
      <c r="E72" s="512"/>
      <c r="F72" s="512"/>
      <c r="G72" s="512"/>
      <c r="H72" s="512"/>
      <c r="I72" s="512"/>
      <c r="J72" s="512"/>
      <c r="K72" s="512"/>
      <c r="L72" s="512"/>
      <c r="M72" s="512"/>
      <c r="N72" s="512"/>
      <c r="O72" s="866"/>
    </row>
    <row r="73" spans="1:15">
      <c r="B73" s="514"/>
      <c r="C73" s="515"/>
      <c r="D73" s="515"/>
      <c r="E73" s="515"/>
      <c r="F73" s="515"/>
      <c r="G73" s="515"/>
      <c r="H73" s="515"/>
      <c r="I73" s="515"/>
      <c r="J73" s="515"/>
      <c r="K73" s="515"/>
      <c r="L73" s="515"/>
      <c r="M73" s="515"/>
      <c r="N73" s="515"/>
      <c r="O73" s="867"/>
    </row>
    <row r="74" spans="1:15">
      <c r="B74" s="514"/>
      <c r="C74" s="34" t="s">
        <v>2356</v>
      </c>
      <c r="D74" s="515"/>
      <c r="E74" s="516"/>
      <c r="F74" s="515"/>
      <c r="G74" s="515"/>
      <c r="H74" s="515"/>
      <c r="I74" s="515"/>
      <c r="J74" s="515"/>
      <c r="K74" s="515"/>
      <c r="L74" s="515"/>
      <c r="M74" s="515"/>
      <c r="N74" s="516" t="str">
        <f>Preferences.EnergyUnits</f>
        <v>TWh</v>
      </c>
      <c r="O74" s="867"/>
    </row>
    <row r="75" spans="1:15">
      <c r="B75" s="514"/>
      <c r="C75" s="515"/>
      <c r="D75" s="515"/>
      <c r="E75" s="515"/>
      <c r="F75" s="515"/>
      <c r="G75" s="515"/>
      <c r="H75" s="515"/>
      <c r="I75" s="515"/>
      <c r="J75" s="515"/>
      <c r="K75" s="515"/>
      <c r="L75" s="515"/>
      <c r="M75" s="515"/>
      <c r="N75" s="515"/>
      <c r="O75" s="867"/>
    </row>
    <row r="76" spans="1:15" ht="15.75">
      <c r="A76" s="443"/>
      <c r="B76" s="15"/>
      <c r="C76" s="873" t="s">
        <v>28</v>
      </c>
      <c r="D76" s="873" t="s">
        <v>29</v>
      </c>
      <c r="E76" s="873" t="s">
        <v>30</v>
      </c>
      <c r="F76" s="873" t="s">
        <v>597</v>
      </c>
      <c r="G76" s="873" t="s">
        <v>133</v>
      </c>
      <c r="H76" s="873" t="s">
        <v>134</v>
      </c>
      <c r="I76" s="873" t="s">
        <v>135</v>
      </c>
      <c r="J76" s="873" t="s">
        <v>136</v>
      </c>
      <c r="K76" s="873" t="s">
        <v>137</v>
      </c>
      <c r="L76" s="873" t="s">
        <v>138</v>
      </c>
      <c r="M76" s="873" t="s">
        <v>139</v>
      </c>
      <c r="N76" s="873" t="s">
        <v>140</v>
      </c>
      <c r="O76" s="867"/>
    </row>
    <row r="77" spans="1:15" ht="15.75">
      <c r="A77" s="443"/>
      <c r="B77" s="15"/>
      <c r="C77" s="17" t="s">
        <v>101</v>
      </c>
      <c r="D77" s="2487" t="str">
        <f>INDEX(Vectors[Description], MATCH([Vector], Vectors[Code], 0))</f>
        <v>Heat transport</v>
      </c>
      <c r="E77" s="17"/>
      <c r="F77" s="2521">
        <f ca="1">F$47</f>
        <v>2.6537999724419409E-2</v>
      </c>
      <c r="G77" s="2521">
        <f t="shared" ref="G77:N77" ca="1" si="7">G$47</f>
        <v>2.6537999724419409E-2</v>
      </c>
      <c r="H77" s="2521">
        <f t="shared" ca="1" si="7"/>
        <v>2.6537999724419409E-2</v>
      </c>
      <c r="I77" s="2521">
        <f t="shared" ca="1" si="7"/>
        <v>2.6537999724419409E-2</v>
      </c>
      <c r="J77" s="2521">
        <f t="shared" ca="1" si="7"/>
        <v>2.6537999724419409E-2</v>
      </c>
      <c r="K77" s="2521">
        <f t="shared" ca="1" si="7"/>
        <v>2.6537999724419409E-2</v>
      </c>
      <c r="L77" s="2521">
        <f t="shared" ca="1" si="7"/>
        <v>2.6537999724419409E-2</v>
      </c>
      <c r="M77" s="2521">
        <f t="shared" ca="1" si="7"/>
        <v>2.6537999724419409E-2</v>
      </c>
      <c r="N77" s="2521">
        <f t="shared" ca="1" si="7"/>
        <v>2.6537999724419409E-2</v>
      </c>
      <c r="O77" s="867"/>
    </row>
    <row r="78" spans="1:15" ht="15.75">
      <c r="A78" s="443"/>
      <c r="B78" s="15"/>
      <c r="C78" s="17" t="s">
        <v>97</v>
      </c>
      <c r="D78" s="2487" t="str">
        <f>INDEX(Vectors[Description], MATCH([Vector], Vectors[Code], 0))</f>
        <v>Electricity (supplied to grid)</v>
      </c>
      <c r="E78" s="17"/>
      <c r="F78" s="2521">
        <f ca="1">-F$49</f>
        <v>-3.7911428177742012E-3</v>
      </c>
      <c r="G78" s="2521">
        <f t="shared" ref="G78:N78" ca="1" si="8">-G$49</f>
        <v>-3.7911428177742012E-3</v>
      </c>
      <c r="H78" s="2521">
        <f t="shared" ca="1" si="8"/>
        <v>-3.7911428177742012E-3</v>
      </c>
      <c r="I78" s="2521">
        <f t="shared" ca="1" si="8"/>
        <v>-3.7911428177742012E-3</v>
      </c>
      <c r="J78" s="2521">
        <f t="shared" ca="1" si="8"/>
        <v>-3.7911428177742012E-3</v>
      </c>
      <c r="K78" s="2521">
        <f t="shared" ca="1" si="8"/>
        <v>-3.7911428177742012E-3</v>
      </c>
      <c r="L78" s="2521">
        <f t="shared" ca="1" si="8"/>
        <v>-3.7911428177742012E-3</v>
      </c>
      <c r="M78" s="2521">
        <f t="shared" ca="1" si="8"/>
        <v>-3.7911428177742012E-3</v>
      </c>
      <c r="N78" s="2521">
        <f t="shared" ca="1" si="8"/>
        <v>-3.7911428177742012E-3</v>
      </c>
      <c r="O78" s="867"/>
    </row>
    <row r="79" spans="1:15" ht="15.75">
      <c r="A79" s="443"/>
      <c r="B79" s="15"/>
      <c r="C79" s="17" t="s">
        <v>104</v>
      </c>
      <c r="D79" s="2487" t="str">
        <f>INDEX(Vectors[Description], MATCH([Vector], Vectors[Code], 0))</f>
        <v>Conversion losses</v>
      </c>
      <c r="E79" s="17"/>
      <c r="F79" s="2521">
        <f ca="1">-F$50</f>
        <v>-2.274685690664521E-2</v>
      </c>
      <c r="G79" s="2521">
        <f t="shared" ref="G79:N79" ca="1" si="9">-G$50</f>
        <v>-2.274685690664521E-2</v>
      </c>
      <c r="H79" s="2521">
        <f t="shared" ca="1" si="9"/>
        <v>-2.274685690664521E-2</v>
      </c>
      <c r="I79" s="2521">
        <f t="shared" ca="1" si="9"/>
        <v>-2.274685690664521E-2</v>
      </c>
      <c r="J79" s="2521">
        <f t="shared" ca="1" si="9"/>
        <v>-2.274685690664521E-2</v>
      </c>
      <c r="K79" s="2521">
        <f t="shared" ca="1" si="9"/>
        <v>-2.274685690664521E-2</v>
      </c>
      <c r="L79" s="2521">
        <f t="shared" ca="1" si="9"/>
        <v>-2.274685690664521E-2</v>
      </c>
      <c r="M79" s="2521">
        <f t="shared" ca="1" si="9"/>
        <v>-2.274685690664521E-2</v>
      </c>
      <c r="N79" s="2521">
        <f t="shared" ca="1" si="9"/>
        <v>-2.274685690664521E-2</v>
      </c>
      <c r="O79" s="867"/>
    </row>
    <row r="80" spans="1:15" ht="15.75">
      <c r="A80" s="443"/>
      <c r="B80" s="15"/>
      <c r="C80" s="2462" t="s">
        <v>59</v>
      </c>
      <c r="D80" s="2462"/>
      <c r="E80" s="2462"/>
      <c r="F80" s="2465">
        <f ca="1">SUBTOTAL(109,[2013])</f>
        <v>0</v>
      </c>
      <c r="G80" s="2465">
        <f ca="1">SUBTOTAL(109,[2015])</f>
        <v>0</v>
      </c>
      <c r="H80" s="2465">
        <f ca="1">SUBTOTAL(109,[2020])</f>
        <v>0</v>
      </c>
      <c r="I80" s="2465">
        <f ca="1">SUBTOTAL(109,[2025])</f>
        <v>0</v>
      </c>
      <c r="J80" s="2465">
        <f ca="1">SUBTOTAL(109,[2030])</f>
        <v>0</v>
      </c>
      <c r="K80" s="2465">
        <f ca="1">SUBTOTAL(109,[2035])</f>
        <v>0</v>
      </c>
      <c r="L80" s="2465">
        <f ca="1">SUBTOTAL(109,[2040])</f>
        <v>0</v>
      </c>
      <c r="M80" s="2465">
        <f ca="1">SUBTOTAL(109,[2045])</f>
        <v>0</v>
      </c>
      <c r="N80" s="2465">
        <f ca="1">SUBTOTAL(109,[2050])</f>
        <v>0</v>
      </c>
      <c r="O80" s="867"/>
    </row>
    <row r="81" spans="2:22" ht="15.75">
      <c r="B81" s="15"/>
      <c r="C81" s="2920"/>
      <c r="D81" s="2921"/>
      <c r="E81" s="2921"/>
      <c r="F81" s="2921"/>
      <c r="G81" s="2921"/>
      <c r="H81" s="2921"/>
      <c r="I81" s="2921"/>
      <c r="J81" s="2921"/>
      <c r="K81" s="2921"/>
      <c r="L81" s="2921"/>
      <c r="M81" s="2921"/>
      <c r="N81" s="2921"/>
      <c r="O81" s="35"/>
    </row>
    <row r="82" spans="2:22">
      <c r="S82" s="1152"/>
      <c r="T82" s="1153"/>
      <c r="U82" s="1152"/>
      <c r="V82" s="1152"/>
    </row>
    <row r="83" spans="2:22" ht="15.75">
      <c r="B83" s="995" t="s">
        <v>313</v>
      </c>
      <c r="C83" s="996"/>
      <c r="D83" s="997"/>
      <c r="E83" s="997"/>
      <c r="F83" s="997"/>
      <c r="G83" s="997"/>
      <c r="H83" s="997"/>
      <c r="I83" s="997"/>
      <c r="J83" s="997"/>
      <c r="K83" s="997"/>
      <c r="L83" s="997"/>
      <c r="M83" s="997"/>
      <c r="N83" s="997"/>
      <c r="O83" s="998"/>
      <c r="T83" s="6"/>
    </row>
    <row r="84" spans="2:22">
      <c r="B84" s="999"/>
      <c r="C84" s="1000"/>
      <c r="D84" s="1000"/>
      <c r="E84" s="1000"/>
      <c r="F84" s="1000"/>
      <c r="G84" s="1000"/>
      <c r="H84" s="1000"/>
      <c r="I84" s="1000"/>
      <c r="J84" s="1000"/>
      <c r="K84" s="1000"/>
      <c r="L84" s="1000"/>
      <c r="M84" s="1000"/>
      <c r="N84" s="1000"/>
      <c r="O84" s="1001"/>
      <c r="T84" s="6"/>
    </row>
    <row r="85" spans="2:22">
      <c r="B85" s="1002"/>
      <c r="C85" s="488" t="s">
        <v>314</v>
      </c>
      <c r="D85" s="1003"/>
      <c r="E85" s="1004"/>
      <c r="F85" s="1003"/>
      <c r="G85" s="1003"/>
      <c r="H85" s="1003"/>
      <c r="I85" s="1003"/>
      <c r="J85" s="1003"/>
      <c r="K85" s="1003"/>
      <c r="L85" s="1003"/>
      <c r="M85" s="1003"/>
      <c r="N85" s="1004"/>
      <c r="O85" s="1005"/>
      <c r="T85" s="6"/>
    </row>
    <row r="86" spans="2:22">
      <c r="B86" s="1002"/>
      <c r="C86" s="1003"/>
      <c r="D86" s="1003"/>
      <c r="E86" s="1003"/>
      <c r="F86" s="1003"/>
      <c r="G86" s="1003"/>
      <c r="H86" s="1003"/>
      <c r="I86" s="1003"/>
      <c r="J86" s="1003"/>
      <c r="K86" s="1003"/>
      <c r="L86" s="1003"/>
      <c r="M86" s="1003"/>
      <c r="N86" s="1003"/>
      <c r="O86" s="1005"/>
    </row>
    <row r="87" spans="2:22" ht="15.75">
      <c r="B87" s="492"/>
      <c r="C87" s="1006" t="s">
        <v>28</v>
      </c>
      <c r="D87" s="1006" t="s">
        <v>315</v>
      </c>
      <c r="E87" s="1006" t="s">
        <v>30</v>
      </c>
      <c r="F87" s="1006">
        <v>2013</v>
      </c>
      <c r="G87" s="1006" t="s">
        <v>133</v>
      </c>
      <c r="H87" s="1006" t="s">
        <v>134</v>
      </c>
      <c r="I87" s="1006" t="s">
        <v>135</v>
      </c>
      <c r="J87" s="1006" t="s">
        <v>136</v>
      </c>
      <c r="K87" s="1006" t="s">
        <v>137</v>
      </c>
      <c r="L87" s="1006" t="s">
        <v>138</v>
      </c>
      <c r="M87" s="1006" t="s">
        <v>139</v>
      </c>
      <c r="N87" s="1006" t="s">
        <v>140</v>
      </c>
      <c r="O87" s="1005"/>
    </row>
    <row r="88" spans="2:22" ht="15.75">
      <c r="B88" s="492"/>
      <c r="C88" s="1007"/>
      <c r="D88" s="494"/>
      <c r="E88" s="494"/>
      <c r="F88" s="2438"/>
      <c r="G88" s="2438"/>
      <c r="H88" s="2438"/>
      <c r="I88" s="2438"/>
      <c r="J88" s="2438"/>
      <c r="K88" s="2438"/>
      <c r="L88" s="2438"/>
      <c r="M88" s="2438"/>
      <c r="N88" s="2438"/>
      <c r="O88" s="1005"/>
    </row>
    <row r="89" spans="2:22" ht="15.75">
      <c r="B89" s="497"/>
      <c r="C89" s="1010"/>
      <c r="D89" s="1010"/>
      <c r="E89" s="1010"/>
      <c r="F89" s="1010"/>
      <c r="G89" s="1010"/>
      <c r="H89" s="1010"/>
      <c r="I89" s="1010"/>
      <c r="J89" s="1010"/>
      <c r="K89" s="1010"/>
      <c r="L89" s="1010"/>
      <c r="M89" s="1010"/>
      <c r="N89" s="1010"/>
      <c r="O89" s="1011"/>
    </row>
    <row r="90" spans="2:22">
      <c r="Q90" s="39"/>
    </row>
    <row r="91" spans="2:22" ht="15.75">
      <c r="B91" s="995" t="s">
        <v>2795</v>
      </c>
      <c r="C91" s="997"/>
      <c r="D91" s="997"/>
      <c r="E91" s="997"/>
      <c r="F91" s="997"/>
      <c r="G91" s="997"/>
      <c r="H91" s="997"/>
      <c r="I91" s="997"/>
      <c r="J91" s="997"/>
      <c r="K91" s="997"/>
      <c r="L91" s="997"/>
      <c r="M91" s="997"/>
      <c r="N91" s="997"/>
      <c r="O91" s="998"/>
      <c r="Q91" s="39"/>
    </row>
    <row r="92" spans="2:22" hidden="1">
      <c r="B92" s="1002"/>
      <c r="C92" s="1003"/>
      <c r="D92" s="1003"/>
      <c r="E92" s="1003"/>
      <c r="F92" s="1003"/>
      <c r="G92" s="1003"/>
      <c r="H92" s="1003"/>
      <c r="I92" s="1003"/>
      <c r="J92" s="1003"/>
      <c r="K92" s="1003"/>
      <c r="L92" s="1003"/>
      <c r="M92" s="1003"/>
      <c r="N92" s="1003"/>
      <c r="O92" s="1005"/>
      <c r="Q92" s="39"/>
    </row>
    <row r="93" spans="2:22" hidden="1">
      <c r="B93" s="1002"/>
      <c r="C93" s="500" t="s">
        <v>770</v>
      </c>
      <c r="D93" s="1012"/>
      <c r="E93" s="1012"/>
      <c r="F93" s="1012"/>
      <c r="G93" s="1012"/>
      <c r="H93" s="1012"/>
      <c r="I93" s="1012"/>
      <c r="J93" s="1012"/>
      <c r="K93" s="1012"/>
      <c r="L93" s="1012"/>
      <c r="M93" s="1012"/>
      <c r="N93" s="3652" t="s">
        <v>2812</v>
      </c>
      <c r="O93" s="1005"/>
      <c r="Q93" s="39"/>
    </row>
    <row r="94" spans="2:22" hidden="1">
      <c r="B94" s="1002"/>
      <c r="C94" s="1003"/>
      <c r="D94" s="1003"/>
      <c r="E94" s="1003"/>
      <c r="F94" s="1003"/>
      <c r="G94" s="1003"/>
      <c r="H94" s="1003"/>
      <c r="I94" s="1003"/>
      <c r="J94" s="1003"/>
      <c r="K94" s="1003"/>
      <c r="L94" s="1003"/>
      <c r="M94" s="1003"/>
      <c r="N94" s="1003"/>
      <c r="O94" s="1005"/>
      <c r="Q94" s="39"/>
    </row>
    <row r="95" spans="2:22" ht="15.75" hidden="1">
      <c r="B95" s="492"/>
      <c r="C95" s="1006" t="s">
        <v>28</v>
      </c>
      <c r="D95" s="1006" t="s">
        <v>29</v>
      </c>
      <c r="E95" s="1006" t="s">
        <v>30</v>
      </c>
      <c r="F95" s="1006">
        <v>2013</v>
      </c>
      <c r="G95" s="1006" t="s">
        <v>133</v>
      </c>
      <c r="H95" s="1006" t="s">
        <v>134</v>
      </c>
      <c r="I95" s="1006" t="s">
        <v>135</v>
      </c>
      <c r="J95" s="1006" t="s">
        <v>136</v>
      </c>
      <c r="K95" s="1006" t="s">
        <v>137</v>
      </c>
      <c r="L95" s="1006" t="s">
        <v>138</v>
      </c>
      <c r="M95" s="1006" t="s">
        <v>139</v>
      </c>
      <c r="N95" s="1006" t="s">
        <v>140</v>
      </c>
      <c r="O95" s="1150"/>
      <c r="Q95" s="39"/>
    </row>
    <row r="96" spans="2:22" ht="15.75" hidden="1">
      <c r="B96" s="492"/>
      <c r="C96" s="1007" t="s">
        <v>324</v>
      </c>
      <c r="D96" s="494" t="s">
        <v>325</v>
      </c>
      <c r="E96" s="494"/>
      <c r="F96" s="3456"/>
      <c r="G96" s="3456"/>
      <c r="H96" s="3456"/>
      <c r="I96" s="3456"/>
      <c r="J96" s="3456"/>
      <c r="K96" s="3456"/>
      <c r="L96" s="3456"/>
      <c r="M96" s="3456"/>
      <c r="N96" s="3456"/>
      <c r="O96" s="1150"/>
      <c r="Q96" s="39"/>
    </row>
    <row r="97" spans="2:17" ht="15.75" hidden="1">
      <c r="B97" s="492"/>
      <c r="C97" s="1007" t="s">
        <v>331</v>
      </c>
      <c r="D97" s="494" t="s">
        <v>332</v>
      </c>
      <c r="E97" s="494"/>
      <c r="F97" s="3456"/>
      <c r="G97" s="3456"/>
      <c r="H97" s="3456"/>
      <c r="I97" s="3456"/>
      <c r="J97" s="3456"/>
      <c r="K97" s="3456"/>
      <c r="L97" s="3456"/>
      <c r="M97" s="3456"/>
      <c r="N97" s="3456"/>
      <c r="O97" s="1150"/>
      <c r="Q97" s="39"/>
    </row>
    <row r="98" spans="2:17" ht="15.75" hidden="1">
      <c r="B98" s="492"/>
      <c r="C98" s="1007" t="s">
        <v>326</v>
      </c>
      <c r="D98" s="494" t="s">
        <v>327</v>
      </c>
      <c r="E98" s="504"/>
      <c r="F98" s="3378"/>
      <c r="G98" s="3378"/>
      <c r="H98" s="3378"/>
      <c r="I98" s="3378"/>
      <c r="J98" s="3378"/>
      <c r="K98" s="3378"/>
      <c r="L98" s="3378"/>
      <c r="M98" s="3378"/>
      <c r="N98" s="3378"/>
      <c r="O98" s="1150"/>
      <c r="Q98" s="39"/>
    </row>
    <row r="99" spans="2:17" ht="15.75" hidden="1">
      <c r="B99" s="492"/>
      <c r="C99" s="1007" t="s">
        <v>333</v>
      </c>
      <c r="D99" s="494" t="s">
        <v>334</v>
      </c>
      <c r="E99" s="504"/>
      <c r="F99" s="3378"/>
      <c r="G99" s="3378"/>
      <c r="H99" s="3378"/>
      <c r="I99" s="3378"/>
      <c r="J99" s="3378"/>
      <c r="K99" s="3378"/>
      <c r="L99" s="3378"/>
      <c r="M99" s="3378"/>
      <c r="N99" s="3378"/>
      <c r="O99" s="1150"/>
      <c r="Q99" s="39"/>
    </row>
    <row r="100" spans="2:17" hidden="1">
      <c r="B100" s="503"/>
      <c r="C100" s="1007" t="s">
        <v>328</v>
      </c>
      <c r="D100" s="494" t="s">
        <v>329</v>
      </c>
      <c r="E100" s="494"/>
      <c r="F100" s="3456"/>
      <c r="G100" s="3456"/>
      <c r="H100" s="3456"/>
      <c r="I100" s="3456"/>
      <c r="J100" s="3456"/>
      <c r="K100" s="3456"/>
      <c r="L100" s="3456"/>
      <c r="M100" s="3456"/>
      <c r="N100" s="3456"/>
      <c r="O100" s="1151"/>
      <c r="Q100" s="39"/>
    </row>
    <row r="101" spans="2:17" hidden="1">
      <c r="B101" s="503"/>
      <c r="C101" s="1007" t="s">
        <v>335</v>
      </c>
      <c r="D101" s="494" t="s">
        <v>336</v>
      </c>
      <c r="E101" s="494"/>
      <c r="F101" s="3456"/>
      <c r="G101" s="3456"/>
      <c r="H101" s="3456"/>
      <c r="I101" s="3456"/>
      <c r="J101" s="3456"/>
      <c r="K101" s="3456"/>
      <c r="L101" s="3456"/>
      <c r="M101" s="3456"/>
      <c r="N101" s="3456"/>
      <c r="O101" s="1151"/>
      <c r="Q101" s="39"/>
    </row>
    <row r="102" spans="2:17" hidden="1">
      <c r="B102" s="1014"/>
      <c r="C102" s="1010"/>
      <c r="D102" s="1010"/>
      <c r="E102" s="1010"/>
      <c r="F102" s="1010"/>
      <c r="G102" s="1010"/>
      <c r="H102" s="1010"/>
      <c r="I102" s="1010"/>
      <c r="J102" s="1010"/>
      <c r="K102" s="1010"/>
      <c r="L102" s="1010"/>
      <c r="M102" s="1010"/>
      <c r="N102" s="1010"/>
      <c r="O102" s="1015"/>
    </row>
    <row r="723" spans="6:15">
      <c r="O723" s="3634">
        <v>0</v>
      </c>
    </row>
    <row r="724" spans="6:15">
      <c r="F724" s="3634">
        <v>0</v>
      </c>
      <c r="G724" s="3634">
        <v>0</v>
      </c>
      <c r="H724" s="3634">
        <v>0</v>
      </c>
      <c r="I724" s="3634">
        <v>0</v>
      </c>
      <c r="J724" s="3634">
        <v>0</v>
      </c>
      <c r="K724" s="3634">
        <v>0</v>
      </c>
      <c r="L724" s="3634">
        <v>0</v>
      </c>
      <c r="M724" s="3634">
        <v>0</v>
      </c>
      <c r="N724" s="3634">
        <v>0</v>
      </c>
      <c r="O724" s="3634">
        <v>0</v>
      </c>
    </row>
    <row r="725" spans="6:15">
      <c r="F725" s="3634">
        <v>0</v>
      </c>
      <c r="G725" s="3634">
        <v>0</v>
      </c>
      <c r="H725" s="3634">
        <v>0</v>
      </c>
      <c r="I725" s="3634">
        <v>0</v>
      </c>
      <c r="J725" s="3634">
        <v>0</v>
      </c>
      <c r="K725" s="3634">
        <v>0</v>
      </c>
      <c r="L725" s="3634">
        <v>0</v>
      </c>
      <c r="M725" s="3634">
        <v>0</v>
      </c>
      <c r="N725" s="3634">
        <v>0</v>
      </c>
      <c r="O725" s="3634">
        <v>0</v>
      </c>
    </row>
    <row r="726" spans="6:15">
      <c r="F726" s="3634">
        <v>0</v>
      </c>
      <c r="G726" s="3634">
        <v>0</v>
      </c>
      <c r="H726" s="3634">
        <v>0</v>
      </c>
      <c r="I726" s="3634">
        <v>0</v>
      </c>
      <c r="J726" s="3634">
        <v>0</v>
      </c>
      <c r="K726" s="3634">
        <v>0</v>
      </c>
      <c r="L726" s="3634">
        <v>0</v>
      </c>
      <c r="M726" s="3634">
        <v>0</v>
      </c>
      <c r="N726" s="3634">
        <v>0</v>
      </c>
    </row>
  </sheetData>
  <pageMargins left="0.7" right="0.7" top="0.75" bottom="0.75" header="0.3" footer="0.3"/>
  <tableParts count="2">
    <tablePart r:id="rId1"/>
    <tablePart r:id="rId2"/>
  </tableParts>
</worksheet>
</file>

<file path=xl/worksheets/sheet47.xml><?xml version="1.0" encoding="utf-8"?>
<worksheet xmlns="http://schemas.openxmlformats.org/spreadsheetml/2006/main" xmlns:r="http://schemas.openxmlformats.org/officeDocument/2006/relationships">
  <sheetPr>
    <tabColor theme="9"/>
  </sheetPr>
  <dimension ref="A1:P726"/>
  <sheetViews>
    <sheetView showGridLines="0" zoomScale="80" zoomScaleNormal="80" workbookViewId="0">
      <selection activeCell="A6" sqref="A6"/>
    </sheetView>
  </sheetViews>
  <sheetFormatPr defaultColWidth="8.85546875" defaultRowHeight="15"/>
  <cols>
    <col min="1" max="1" width="7.7109375" style="3634" customWidth="1"/>
    <col min="2" max="2" width="5.85546875" style="3634" customWidth="1"/>
    <col min="3" max="3" width="20.42578125" style="3634" customWidth="1"/>
    <col min="4" max="4" width="30.7109375" style="3634" customWidth="1"/>
    <col min="5" max="5" width="20.7109375" style="3634" customWidth="1"/>
    <col min="6" max="14" width="17.7109375" style="3634" customWidth="1"/>
    <col min="15" max="15" width="2" style="3634" customWidth="1"/>
    <col min="16" max="16" width="10.85546875" style="3634" customWidth="1"/>
    <col min="17" max="16384" width="8.85546875" style="3634"/>
  </cols>
  <sheetData>
    <row r="1" spans="1:15" ht="20.25">
      <c r="A1" s="863" t="s">
        <v>1806</v>
      </c>
      <c r="B1" s="863" t="s">
        <v>1532</v>
      </c>
      <c r="C1" s="863"/>
    </row>
    <row r="2" spans="1:15" s="6" customFormat="1" ht="15.75">
      <c r="A2" s="3634" t="s">
        <v>1531</v>
      </c>
      <c r="B2" s="864" t="s">
        <v>1532</v>
      </c>
      <c r="C2" s="864"/>
      <c r="E2" s="5"/>
    </row>
    <row r="4" spans="1:15" ht="23.25">
      <c r="A4" s="7"/>
      <c r="B4" s="511" t="s">
        <v>24</v>
      </c>
      <c r="C4" s="512"/>
      <c r="D4" s="512"/>
      <c r="E4" s="512"/>
      <c r="F4" s="512"/>
      <c r="G4" s="512"/>
      <c r="H4" s="512"/>
      <c r="I4" s="512"/>
      <c r="J4" s="512"/>
      <c r="K4" s="512"/>
      <c r="L4" s="512"/>
      <c r="M4" s="512"/>
      <c r="N4" s="512"/>
      <c r="O4" s="866"/>
    </row>
    <row r="5" spans="1:15">
      <c r="B5" s="514"/>
      <c r="C5" s="515"/>
      <c r="D5" s="515"/>
      <c r="E5" s="515"/>
      <c r="F5" s="515"/>
      <c r="G5" s="515"/>
      <c r="H5" s="515"/>
      <c r="I5" s="515"/>
      <c r="J5" s="515"/>
      <c r="K5" s="515"/>
      <c r="L5" s="515"/>
      <c r="M5" s="515"/>
      <c r="N5" s="515"/>
      <c r="O5" s="867"/>
    </row>
    <row r="6" spans="1:15">
      <c r="B6" s="514"/>
      <c r="C6" s="34" t="s">
        <v>2878</v>
      </c>
      <c r="D6" s="515"/>
      <c r="E6" s="516"/>
      <c r="F6" s="515"/>
      <c r="G6" s="515"/>
      <c r="H6" s="515"/>
      <c r="I6" s="515"/>
      <c r="J6" s="515"/>
      <c r="K6" s="515"/>
      <c r="L6" s="515"/>
      <c r="M6" s="515"/>
      <c r="N6" s="516" t="s">
        <v>253</v>
      </c>
      <c r="O6" s="867"/>
    </row>
    <row r="7" spans="1:15">
      <c r="B7" s="514"/>
      <c r="C7" s="12"/>
      <c r="D7" s="515"/>
      <c r="E7" s="516"/>
      <c r="F7" s="515"/>
      <c r="G7" s="515"/>
      <c r="H7" s="515"/>
      <c r="I7" s="515"/>
      <c r="J7" s="515"/>
      <c r="K7" s="515"/>
      <c r="L7" s="515"/>
      <c r="M7" s="515"/>
      <c r="N7" s="515"/>
      <c r="O7" s="867"/>
    </row>
    <row r="8" spans="1:15" s="6" customFormat="1" ht="15.75">
      <c r="A8" s="3"/>
      <c r="B8" s="19"/>
      <c r="C8" s="873" t="s">
        <v>28</v>
      </c>
      <c r="D8" s="873" t="s">
        <v>29</v>
      </c>
      <c r="E8" s="873" t="s">
        <v>30</v>
      </c>
      <c r="F8" s="2932" t="s">
        <v>597</v>
      </c>
      <c r="G8" s="873" t="s">
        <v>133</v>
      </c>
      <c r="H8" s="873" t="s">
        <v>134</v>
      </c>
      <c r="I8" s="873" t="s">
        <v>135</v>
      </c>
      <c r="J8" s="873" t="s">
        <v>136</v>
      </c>
      <c r="K8" s="873" t="s">
        <v>137</v>
      </c>
      <c r="L8" s="873" t="s">
        <v>138</v>
      </c>
      <c r="M8" s="873" t="s">
        <v>139</v>
      </c>
      <c r="N8" s="873" t="s">
        <v>140</v>
      </c>
      <c r="O8" s="867"/>
    </row>
    <row r="9" spans="1:15" s="6" customFormat="1" ht="15.75">
      <c r="A9" s="3"/>
      <c r="B9" s="19"/>
      <c r="C9" s="3092" t="s">
        <v>459</v>
      </c>
      <c r="D9" s="17" t="s">
        <v>414</v>
      </c>
      <c r="E9" s="17"/>
      <c r="F9" s="3653">
        <f t="shared" ref="F9:N9" ca="1" si="0">SUMIFS(INDIRECT("'"&amp;F$8&amp;"'!Year.Emissions"), INDIRECT("'"&amp;F$8&amp;"'!Year.IPCC"), $C9)</f>
        <v>0</v>
      </c>
      <c r="G9" s="3653">
        <f t="shared" ca="1" si="0"/>
        <v>0</v>
      </c>
      <c r="H9" s="3653">
        <f t="shared" ca="1" si="0"/>
        <v>0</v>
      </c>
      <c r="I9" s="3653">
        <f t="shared" ca="1" si="0"/>
        <v>0</v>
      </c>
      <c r="J9" s="3653">
        <f t="shared" ca="1" si="0"/>
        <v>0</v>
      </c>
      <c r="K9" s="3653">
        <f t="shared" ca="1" si="0"/>
        <v>-1.1071438064419354</v>
      </c>
      <c r="L9" s="3653">
        <f t="shared" ca="1" si="0"/>
        <v>-3.2687102856857142</v>
      </c>
      <c r="M9" s="3653">
        <f t="shared" ca="1" si="0"/>
        <v>-5.3627278124531248</v>
      </c>
      <c r="N9" s="3653">
        <f t="shared" ca="1" si="0"/>
        <v>-7.3923140307046147</v>
      </c>
      <c r="O9" s="875"/>
    </row>
    <row r="10" spans="1:15" s="6" customFormat="1" ht="15.75">
      <c r="A10" s="3"/>
      <c r="B10" s="3655"/>
      <c r="C10" s="516"/>
      <c r="D10" s="515"/>
      <c r="E10" s="515"/>
      <c r="F10" s="3654"/>
      <c r="G10" s="3654"/>
      <c r="H10" s="3654"/>
      <c r="I10" s="3654"/>
      <c r="J10" s="3654"/>
      <c r="K10" s="3654"/>
      <c r="L10" s="3654"/>
      <c r="M10" s="3654"/>
      <c r="N10" s="3654"/>
      <c r="O10" s="515"/>
    </row>
    <row r="12" spans="1:15" s="6" customFormat="1" ht="23.25">
      <c r="A12" s="40"/>
      <c r="B12" s="878" t="s">
        <v>70</v>
      </c>
      <c r="C12" s="879"/>
      <c r="D12" s="879"/>
      <c r="E12" s="879"/>
      <c r="F12" s="879"/>
      <c r="G12" s="879"/>
      <c r="H12" s="879"/>
      <c r="I12" s="879"/>
      <c r="J12" s="879"/>
      <c r="K12" s="879"/>
      <c r="L12" s="879"/>
      <c r="M12" s="879"/>
      <c r="N12" s="879"/>
      <c r="O12" s="880"/>
    </row>
    <row r="13" spans="1:15">
      <c r="B13" s="110"/>
      <c r="C13" s="67"/>
      <c r="D13" s="67"/>
      <c r="E13" s="67"/>
      <c r="F13" s="67"/>
      <c r="G13" s="67"/>
      <c r="H13" s="67"/>
      <c r="I13" s="67"/>
      <c r="J13" s="67"/>
      <c r="K13" s="67"/>
      <c r="L13" s="67"/>
      <c r="M13" s="67"/>
      <c r="N13" s="67"/>
      <c r="O13" s="885"/>
    </row>
    <row r="14" spans="1:15">
      <c r="B14" s="110"/>
      <c r="C14" s="3656" t="s">
        <v>3166</v>
      </c>
      <c r="D14" s="1081"/>
      <c r="E14" s="3657"/>
      <c r="F14" s="944" t="s">
        <v>2879</v>
      </c>
      <c r="G14" s="67"/>
      <c r="H14" s="67"/>
      <c r="I14" s="67"/>
      <c r="J14" s="67"/>
      <c r="K14" s="67"/>
      <c r="L14" s="67"/>
      <c r="M14" s="67"/>
      <c r="N14" s="67"/>
      <c r="O14" s="885"/>
    </row>
    <row r="15" spans="1:15">
      <c r="B15" s="110"/>
      <c r="C15" s="1081"/>
      <c r="D15" s="1081"/>
      <c r="E15" s="1081"/>
      <c r="F15" s="1081"/>
      <c r="G15" s="67"/>
      <c r="H15" s="3862" t="s">
        <v>64</v>
      </c>
      <c r="I15" s="67"/>
      <c r="J15" s="67"/>
      <c r="K15" s="67"/>
      <c r="L15" s="67"/>
      <c r="M15" s="67"/>
      <c r="N15" s="67"/>
      <c r="O15" s="885"/>
    </row>
    <row r="16" spans="1:15" ht="15.75">
      <c r="B16" s="55"/>
      <c r="C16" s="52"/>
      <c r="D16" s="72"/>
      <c r="E16" s="53" t="s">
        <v>20</v>
      </c>
      <c r="F16" s="53" t="s">
        <v>22</v>
      </c>
      <c r="G16" s="920"/>
      <c r="H16" s="3891" t="s">
        <v>65</v>
      </c>
      <c r="I16" s="3892" t="s">
        <v>3168</v>
      </c>
      <c r="J16" s="920"/>
      <c r="K16" s="920"/>
      <c r="L16" s="920"/>
      <c r="M16" s="920"/>
      <c r="N16" s="920"/>
      <c r="O16" s="885"/>
    </row>
    <row r="17" spans="1:16" s="6" customFormat="1" ht="15.75">
      <c r="B17" s="975"/>
      <c r="C17" s="917" t="s">
        <v>2880</v>
      </c>
      <c r="D17" s="3658"/>
      <c r="E17" s="3719">
        <v>1.5</v>
      </c>
      <c r="F17" s="3719">
        <v>3.5</v>
      </c>
      <c r="G17" s="2670"/>
      <c r="H17" s="2670"/>
      <c r="I17" s="3893" t="s">
        <v>3167</v>
      </c>
      <c r="J17" s="2670"/>
      <c r="K17" s="2670"/>
      <c r="L17" s="2670"/>
      <c r="M17" s="2670"/>
      <c r="N17" s="2670"/>
      <c r="O17" s="893"/>
    </row>
    <row r="18" spans="1:16">
      <c r="B18" s="1172"/>
      <c r="C18" s="1074"/>
      <c r="D18" s="1074"/>
      <c r="E18" s="1074"/>
      <c r="F18" s="1074"/>
      <c r="G18" s="1074"/>
      <c r="H18" s="1074"/>
      <c r="I18" s="1074"/>
      <c r="J18" s="1074"/>
      <c r="K18" s="1074"/>
      <c r="L18" s="1074"/>
      <c r="M18" s="1074"/>
      <c r="N18" s="1074"/>
      <c r="O18" s="1109"/>
    </row>
    <row r="20" spans="1:16" s="6" customFormat="1" ht="23.25">
      <c r="A20" s="3659"/>
      <c r="B20" s="3660" t="s">
        <v>2794</v>
      </c>
      <c r="C20" s="879"/>
      <c r="D20" s="879"/>
      <c r="E20" s="879"/>
      <c r="F20" s="879"/>
      <c r="G20" s="879"/>
      <c r="H20" s="879"/>
      <c r="I20" s="879"/>
      <c r="J20" s="879"/>
      <c r="K20" s="879"/>
      <c r="L20" s="879"/>
      <c r="M20" s="879"/>
      <c r="N20" s="879"/>
      <c r="O20" s="880"/>
      <c r="P20" s="859"/>
    </row>
    <row r="21" spans="1:16" hidden="1">
      <c r="A21" s="398"/>
      <c r="B21" s="67"/>
      <c r="C21" s="1202"/>
      <c r="D21" s="1202"/>
      <c r="E21" s="1202"/>
      <c r="F21" s="1202"/>
      <c r="G21" s="51"/>
      <c r="H21" s="67"/>
      <c r="I21" s="67"/>
      <c r="J21" s="67"/>
      <c r="K21" s="67"/>
      <c r="L21" s="67"/>
      <c r="M21" s="67"/>
      <c r="N21" s="67"/>
      <c r="O21" s="885"/>
      <c r="P21" s="39"/>
    </row>
    <row r="22" spans="1:16" hidden="1">
      <c r="A22" s="398"/>
      <c r="B22" s="67"/>
      <c r="C22" s="3656" t="s">
        <v>2881</v>
      </c>
      <c r="D22" s="924"/>
      <c r="E22" s="941"/>
      <c r="F22" s="2519"/>
      <c r="G22" s="943"/>
      <c r="H22" s="943"/>
      <c r="I22" s="943"/>
      <c r="J22" s="943"/>
      <c r="K22" s="943"/>
      <c r="L22" s="943"/>
      <c r="M22" s="943"/>
      <c r="N22" s="49" t="s">
        <v>2840</v>
      </c>
      <c r="O22" s="885"/>
      <c r="P22" s="39"/>
    </row>
    <row r="23" spans="1:16" ht="6" hidden="1" customHeight="1">
      <c r="A23" s="398"/>
      <c r="B23" s="67"/>
      <c r="C23" s="946"/>
      <c r="D23" s="924"/>
      <c r="E23" s="941"/>
      <c r="F23" s="2519"/>
      <c r="G23" s="943"/>
      <c r="H23" s="943"/>
      <c r="I23" s="943"/>
      <c r="J23" s="943"/>
      <c r="K23" s="943"/>
      <c r="L23" s="943"/>
      <c r="M23" s="943"/>
      <c r="N23" s="67"/>
      <c r="O23" s="885"/>
      <c r="P23" s="39"/>
    </row>
    <row r="24" spans="1:16" hidden="1">
      <c r="A24" s="398"/>
      <c r="B24" s="67"/>
      <c r="C24" s="1179"/>
      <c r="D24" s="1079"/>
      <c r="E24" s="980" t="s">
        <v>160</v>
      </c>
      <c r="F24" s="2940">
        <v>2013</v>
      </c>
      <c r="G24" s="974">
        <v>2015</v>
      </c>
      <c r="H24" s="974">
        <v>2020</v>
      </c>
      <c r="I24" s="974">
        <v>2025</v>
      </c>
      <c r="J24" s="974">
        <v>2030</v>
      </c>
      <c r="K24" s="974">
        <v>2035</v>
      </c>
      <c r="L24" s="974">
        <v>2040</v>
      </c>
      <c r="M24" s="974">
        <v>2045</v>
      </c>
      <c r="N24" s="974">
        <v>2050</v>
      </c>
      <c r="O24" s="885"/>
      <c r="P24" s="39"/>
    </row>
    <row r="25" spans="1:16" hidden="1">
      <c r="A25" s="398"/>
      <c r="B25" s="67"/>
      <c r="C25" s="976" t="s">
        <v>738</v>
      </c>
      <c r="D25" s="1079"/>
      <c r="E25" s="2424"/>
      <c r="F25" s="3661"/>
      <c r="G25" s="2427"/>
      <c r="H25" s="2427"/>
      <c r="I25" s="2427"/>
      <c r="J25" s="2427"/>
      <c r="K25" s="2427"/>
      <c r="L25" s="2427"/>
      <c r="M25" s="2427"/>
      <c r="N25" s="3662"/>
      <c r="O25" s="885"/>
      <c r="P25" s="39"/>
    </row>
    <row r="26" spans="1:16" hidden="1">
      <c r="A26" s="398"/>
      <c r="B26" s="67"/>
      <c r="C26" s="952" t="s">
        <v>739</v>
      </c>
      <c r="D26" s="924"/>
      <c r="E26" s="2425"/>
      <c r="F26" s="3663"/>
      <c r="G26" s="2428"/>
      <c r="H26" s="2428"/>
      <c r="I26" s="2428"/>
      <c r="J26" s="2428"/>
      <c r="K26" s="2428"/>
      <c r="L26" s="2428"/>
      <c r="M26" s="2428"/>
      <c r="N26" s="2428"/>
      <c r="O26" s="885"/>
      <c r="P26" s="39"/>
    </row>
    <row r="27" spans="1:16" hidden="1">
      <c r="A27" s="398"/>
      <c r="B27" s="67"/>
      <c r="C27" s="956" t="s">
        <v>740</v>
      </c>
      <c r="D27" s="957"/>
      <c r="E27" s="2426"/>
      <c r="F27" s="3664"/>
      <c r="G27" s="3665"/>
      <c r="H27" s="3665"/>
      <c r="I27" s="3665"/>
      <c r="J27" s="3665"/>
      <c r="K27" s="3665"/>
      <c r="L27" s="3665"/>
      <c r="M27" s="3665"/>
      <c r="N27" s="3665"/>
      <c r="O27" s="67"/>
      <c r="P27" s="39"/>
    </row>
    <row r="28" spans="1:16" hidden="1">
      <c r="A28" s="398"/>
      <c r="B28" s="47"/>
      <c r="C28" s="946"/>
      <c r="D28" s="924"/>
      <c r="E28" s="941"/>
      <c r="F28" s="2519"/>
      <c r="G28" s="943"/>
      <c r="H28" s="943"/>
      <c r="I28" s="943"/>
      <c r="J28" s="943"/>
      <c r="K28" s="943"/>
      <c r="L28" s="943"/>
      <c r="M28" s="943"/>
      <c r="N28" s="67"/>
      <c r="O28" s="67"/>
      <c r="P28" s="39"/>
    </row>
    <row r="29" spans="1:16" hidden="1">
      <c r="A29" s="398"/>
      <c r="B29" s="47"/>
      <c r="C29" s="49" t="s">
        <v>2882</v>
      </c>
      <c r="D29" s="924"/>
      <c r="E29" s="941"/>
      <c r="F29" s="2519"/>
      <c r="G29" s="943"/>
      <c r="H29" s="943"/>
      <c r="I29" s="943"/>
      <c r="J29" s="943"/>
      <c r="K29" s="943"/>
      <c r="L29" s="943"/>
      <c r="M29" s="943"/>
      <c r="N29" s="49" t="s">
        <v>2840</v>
      </c>
      <c r="O29" s="47"/>
      <c r="P29" s="39"/>
    </row>
    <row r="30" spans="1:16" ht="6" hidden="1" customHeight="1">
      <c r="A30" s="398"/>
      <c r="B30" s="47"/>
      <c r="C30" s="946"/>
      <c r="D30" s="924"/>
      <c r="E30" s="941"/>
      <c r="F30" s="2519"/>
      <c r="G30" s="943"/>
      <c r="H30" s="943"/>
      <c r="I30" s="943"/>
      <c r="J30" s="943"/>
      <c r="K30" s="943"/>
      <c r="L30" s="943"/>
      <c r="M30" s="943"/>
      <c r="N30" s="67"/>
      <c r="O30" s="47"/>
      <c r="P30" s="39"/>
    </row>
    <row r="31" spans="1:16" hidden="1">
      <c r="A31" s="398"/>
      <c r="B31" s="47"/>
      <c r="C31" s="1179"/>
      <c r="D31" s="1079"/>
      <c r="E31" s="980" t="s">
        <v>160</v>
      </c>
      <c r="F31" s="2940">
        <v>2013</v>
      </c>
      <c r="G31" s="974">
        <v>2015</v>
      </c>
      <c r="H31" s="974">
        <v>2020</v>
      </c>
      <c r="I31" s="974">
        <v>2025</v>
      </c>
      <c r="J31" s="974">
        <v>2030</v>
      </c>
      <c r="K31" s="974">
        <v>2035</v>
      </c>
      <c r="L31" s="974">
        <v>2040</v>
      </c>
      <c r="M31" s="974">
        <v>2045</v>
      </c>
      <c r="N31" s="974">
        <v>2050</v>
      </c>
      <c r="O31" s="47"/>
      <c r="P31" s="39"/>
    </row>
    <row r="32" spans="1:16" hidden="1">
      <c r="A32" s="398"/>
      <c r="B32" s="47"/>
      <c r="C32" s="976" t="s">
        <v>738</v>
      </c>
      <c r="D32" s="1079"/>
      <c r="E32" s="2424"/>
      <c r="F32" s="3661"/>
      <c r="G32" s="2427"/>
      <c r="H32" s="2427"/>
      <c r="I32" s="2427"/>
      <c r="J32" s="2427"/>
      <c r="K32" s="2427"/>
      <c r="L32" s="2427"/>
      <c r="M32" s="2427"/>
      <c r="N32" s="3662"/>
      <c r="O32" s="47"/>
      <c r="P32" s="39"/>
    </row>
    <row r="33" spans="1:16" hidden="1">
      <c r="A33" s="398"/>
      <c r="B33" s="47"/>
      <c r="C33" s="952" t="s">
        <v>739</v>
      </c>
      <c r="D33" s="924"/>
      <c r="E33" s="2425"/>
      <c r="F33" s="3663"/>
      <c r="G33" s="2428"/>
      <c r="H33" s="2428"/>
      <c r="I33" s="2428"/>
      <c r="J33" s="2428"/>
      <c r="K33" s="2428"/>
      <c r="L33" s="2428"/>
      <c r="M33" s="2428"/>
      <c r="N33" s="2428"/>
      <c r="O33" s="47"/>
      <c r="P33" s="39"/>
    </row>
    <row r="34" spans="1:16" hidden="1">
      <c r="A34" s="398"/>
      <c r="B34" s="47"/>
      <c r="C34" s="956" t="s">
        <v>740</v>
      </c>
      <c r="D34" s="957"/>
      <c r="E34" s="2426"/>
      <c r="F34" s="3664"/>
      <c r="G34" s="2429"/>
      <c r="H34" s="2429"/>
      <c r="I34" s="2429"/>
      <c r="J34" s="2429"/>
      <c r="K34" s="2429"/>
      <c r="L34" s="2429"/>
      <c r="M34" s="2429"/>
      <c r="N34" s="3665"/>
      <c r="O34" s="47"/>
      <c r="P34" s="39"/>
    </row>
    <row r="35" spans="1:16" hidden="1">
      <c r="A35" s="398"/>
      <c r="B35" s="47"/>
      <c r="C35" s="47"/>
      <c r="D35" s="47"/>
      <c r="E35" s="47"/>
      <c r="F35" s="47"/>
      <c r="G35" s="47"/>
      <c r="H35" s="47"/>
      <c r="I35" s="47"/>
      <c r="J35" s="47"/>
      <c r="K35" s="47"/>
      <c r="L35" s="47"/>
      <c r="M35" s="47"/>
      <c r="N35" s="47"/>
      <c r="O35" s="47"/>
      <c r="P35" s="39"/>
    </row>
    <row r="36" spans="1:16">
      <c r="A36" s="398"/>
      <c r="P36" s="39"/>
    </row>
    <row r="37" spans="1:16">
      <c r="P37" s="39"/>
    </row>
    <row r="38" spans="1:16">
      <c r="P38" s="39"/>
    </row>
    <row r="41" spans="1:16" ht="15.75">
      <c r="B41" s="1110" t="s">
        <v>207</v>
      </c>
    </row>
    <row r="42" spans="1:16">
      <c r="B42" s="363">
        <v>1</v>
      </c>
      <c r="C42" s="3634" t="s">
        <v>2878</v>
      </c>
      <c r="E42" s="363" t="s">
        <v>2883</v>
      </c>
      <c r="F42" s="1333">
        <v>2013</v>
      </c>
      <c r="G42" s="1333">
        <v>2015</v>
      </c>
      <c r="H42" s="1333">
        <v>2020</v>
      </c>
      <c r="I42" s="1333">
        <v>2025</v>
      </c>
      <c r="J42" s="1333">
        <v>2030</v>
      </c>
      <c r="K42" s="1333">
        <v>2035</v>
      </c>
      <c r="L42" s="1333">
        <v>2040</v>
      </c>
      <c r="M42" s="1333">
        <v>2045</v>
      </c>
      <c r="N42" s="1333">
        <v>2050</v>
      </c>
    </row>
    <row r="43" spans="1:16">
      <c r="C43" s="3634" t="s">
        <v>2884</v>
      </c>
      <c r="E43" s="2206"/>
      <c r="F43" s="2206">
        <f ca="1">-Carbon_Captured[2013]</f>
        <v>0</v>
      </c>
      <c r="G43" s="2206">
        <f ca="1">-Carbon_Captured[2015]</f>
        <v>0</v>
      </c>
      <c r="H43" s="2206">
        <f ca="1">-Carbon_Captured[2020]</f>
        <v>0</v>
      </c>
      <c r="I43" s="2206">
        <f ca="1">-Carbon_Captured[2025]</f>
        <v>0</v>
      </c>
      <c r="J43" s="2206">
        <f ca="1">-Carbon_Captured[2030]</f>
        <v>0</v>
      </c>
      <c r="K43" s="2206">
        <f ca="1">-Carbon_Captured[2035]</f>
        <v>1.1071438064419354</v>
      </c>
      <c r="L43" s="2206">
        <f ca="1">-Carbon_Captured[2040]</f>
        <v>3.2687102856857142</v>
      </c>
      <c r="M43" s="2206">
        <f ca="1">-Carbon_Captured[2045]</f>
        <v>5.3627278124531248</v>
      </c>
      <c r="N43" s="2206">
        <f ca="1">-Carbon_Captured[2050]</f>
        <v>7.3923140307046147</v>
      </c>
    </row>
    <row r="44" spans="1:16">
      <c r="E44" s="2206"/>
      <c r="F44" s="2206"/>
      <c r="G44" s="2206"/>
      <c r="H44" s="2206"/>
      <c r="I44" s="2206"/>
      <c r="J44" s="2206"/>
      <c r="K44" s="2206"/>
      <c r="L44" s="2206"/>
      <c r="M44" s="2206"/>
      <c r="N44" s="2206"/>
    </row>
    <row r="45" spans="1:16">
      <c r="C45" s="3716" t="s">
        <v>757</v>
      </c>
      <c r="D45" s="2"/>
      <c r="E45" s="3716"/>
      <c r="F45" s="3716"/>
      <c r="G45" s="2"/>
      <c r="H45" s="2"/>
      <c r="I45" s="2"/>
      <c r="J45" s="2"/>
      <c r="K45" s="2"/>
      <c r="L45" s="2"/>
      <c r="M45" s="2"/>
      <c r="N45" s="2"/>
    </row>
    <row r="46" spans="1:16">
      <c r="C46" s="3716" t="s">
        <v>2885</v>
      </c>
      <c r="D46" s="2"/>
      <c r="E46" s="3716"/>
      <c r="F46" s="3716"/>
      <c r="G46" s="3717">
        <f ca="1">G43</f>
        <v>0</v>
      </c>
      <c r="H46" s="3717">
        <f t="shared" ref="H46:N46" ca="1" si="1">(H43*5)+G46</f>
        <v>0</v>
      </c>
      <c r="I46" s="3717">
        <f t="shared" ca="1" si="1"/>
        <v>0</v>
      </c>
      <c r="J46" s="3717">
        <f t="shared" ca="1" si="1"/>
        <v>0</v>
      </c>
      <c r="K46" s="3717">
        <f t="shared" ca="1" si="1"/>
        <v>5.535719032209677</v>
      </c>
      <c r="L46" s="3717">
        <f t="shared" ca="1" si="1"/>
        <v>21.879270460638249</v>
      </c>
      <c r="M46" s="3717">
        <f t="shared" ca="1" si="1"/>
        <v>48.692909522903875</v>
      </c>
      <c r="N46" s="3717">
        <f t="shared" ca="1" si="1"/>
        <v>85.654479676426945</v>
      </c>
    </row>
    <row r="47" spans="1:16">
      <c r="C47" s="3716"/>
      <c r="D47" s="2"/>
      <c r="E47" s="3716"/>
      <c r="F47" s="3716"/>
      <c r="G47" s="3717"/>
      <c r="H47" s="3717"/>
      <c r="I47" s="3717"/>
      <c r="J47" s="3717"/>
      <c r="K47" s="3717"/>
      <c r="L47" s="3717"/>
      <c r="M47" s="3717"/>
      <c r="N47" s="3717"/>
    </row>
    <row r="48" spans="1:16">
      <c r="C48" s="3716" t="s">
        <v>2886</v>
      </c>
      <c r="D48" s="2"/>
      <c r="E48" s="3716"/>
      <c r="F48" s="3716"/>
      <c r="G48" s="3717"/>
      <c r="H48" s="3717"/>
      <c r="I48" s="3717"/>
      <c r="J48" s="3717"/>
      <c r="K48" s="3717"/>
      <c r="L48" s="3717"/>
      <c r="M48" s="3717"/>
      <c r="N48" s="3717"/>
    </row>
    <row r="49" spans="1:15">
      <c r="C49" s="3716" t="s">
        <v>2887</v>
      </c>
      <c r="D49" s="2"/>
      <c r="E49" s="3716"/>
      <c r="F49" s="3716"/>
      <c r="G49" s="3718">
        <f ca="1">(G46/1000)/$E$17</f>
        <v>0</v>
      </c>
      <c r="H49" s="3718">
        <f t="shared" ref="H49:N49" ca="1" si="2">(H46/1000)/$E$17</f>
        <v>0</v>
      </c>
      <c r="I49" s="3718">
        <f t="shared" ca="1" si="2"/>
        <v>0</v>
      </c>
      <c r="J49" s="3718">
        <f t="shared" ca="1" si="2"/>
        <v>0</v>
      </c>
      <c r="K49" s="3718">
        <f t="shared" ca="1" si="2"/>
        <v>3.6904793548064516E-3</v>
      </c>
      <c r="L49" s="3718">
        <f t="shared" ca="1" si="2"/>
        <v>1.4586180307092167E-2</v>
      </c>
      <c r="M49" s="3718">
        <f t="shared" ca="1" si="2"/>
        <v>3.2461939681935913E-2</v>
      </c>
      <c r="N49" s="3718">
        <f t="shared" ca="1" si="2"/>
        <v>5.7102986450951299E-2</v>
      </c>
    </row>
    <row r="50" spans="1:15">
      <c r="C50" s="3716" t="s">
        <v>2888</v>
      </c>
      <c r="D50" s="2"/>
      <c r="E50" s="3716"/>
      <c r="F50" s="3716"/>
      <c r="G50" s="3718"/>
      <c r="H50" s="3718"/>
      <c r="I50" s="3718"/>
      <c r="J50" s="3718"/>
      <c r="K50" s="3718"/>
      <c r="L50" s="3718"/>
      <c r="M50" s="3718"/>
      <c r="N50" s="3717">
        <f ca="1">(E17-(N46/1000))/(N43/1000)</f>
        <v>191.32649322647373</v>
      </c>
    </row>
    <row r="51" spans="1:15">
      <c r="C51" s="3716"/>
      <c r="D51" s="2"/>
      <c r="E51" s="3716"/>
      <c r="F51" s="3716"/>
      <c r="G51" s="3718"/>
      <c r="H51" s="3718"/>
      <c r="I51" s="3718"/>
      <c r="J51" s="3718"/>
      <c r="K51" s="3718"/>
      <c r="L51" s="3718"/>
      <c r="M51" s="3718"/>
      <c r="N51" s="3717"/>
    </row>
    <row r="52" spans="1:15">
      <c r="C52" s="3716" t="s">
        <v>2889</v>
      </c>
      <c r="D52" s="2"/>
      <c r="E52" s="3716"/>
      <c r="F52" s="3716"/>
      <c r="G52" s="3718">
        <f ca="1">(G46/1000)/$F$17</f>
        <v>0</v>
      </c>
      <c r="H52" s="3718">
        <f t="shared" ref="H52:N52" ca="1" si="3">(H46/1000)/$F$17</f>
        <v>0</v>
      </c>
      <c r="I52" s="3718">
        <f t="shared" ca="1" si="3"/>
        <v>0</v>
      </c>
      <c r="J52" s="3718">
        <f t="shared" ca="1" si="3"/>
        <v>0</v>
      </c>
      <c r="K52" s="3718">
        <f t="shared" ca="1" si="3"/>
        <v>1.581634009202765E-3</v>
      </c>
      <c r="L52" s="3718">
        <f t="shared" ca="1" si="3"/>
        <v>6.2512201316109279E-3</v>
      </c>
      <c r="M52" s="3718">
        <f t="shared" ca="1" si="3"/>
        <v>1.3912259863686821E-2</v>
      </c>
      <c r="N52" s="3718">
        <f t="shared" ca="1" si="3"/>
        <v>2.4472708478979126E-2</v>
      </c>
    </row>
    <row r="53" spans="1:15">
      <c r="C53" s="3716" t="s">
        <v>2888</v>
      </c>
      <c r="D53" s="2"/>
      <c r="E53" s="3716"/>
      <c r="F53" s="3716"/>
      <c r="G53" s="3718"/>
      <c r="H53" s="3718"/>
      <c r="I53" s="3718"/>
      <c r="J53" s="3718"/>
      <c r="K53" s="3718"/>
      <c r="L53" s="3718"/>
      <c r="M53" s="3718"/>
      <c r="N53" s="3717">
        <f ca="1">(F17-(N52/1000))/(N43/1000)</f>
        <v>473.46142395386215</v>
      </c>
    </row>
    <row r="54" spans="1:15">
      <c r="C54" s="363"/>
      <c r="F54" s="2490"/>
      <c r="G54" s="2490"/>
      <c r="H54" s="2490"/>
      <c r="I54" s="2490"/>
      <c r="J54" s="2490"/>
      <c r="K54" s="2490"/>
      <c r="L54" s="2490"/>
      <c r="M54" s="2490"/>
      <c r="N54" s="2490"/>
    </row>
    <row r="55" spans="1:15">
      <c r="B55" s="988">
        <v>3</v>
      </c>
      <c r="C55" s="363" t="s">
        <v>2795</v>
      </c>
      <c r="F55" s="2414"/>
      <c r="G55" s="2414"/>
      <c r="H55" s="2414"/>
      <c r="I55" s="2414"/>
      <c r="J55" s="2414"/>
      <c r="K55" s="2414"/>
      <c r="L55" s="2414"/>
      <c r="M55" s="2414"/>
      <c r="N55" s="2414"/>
    </row>
    <row r="56" spans="1:15" hidden="1">
      <c r="B56" s="988"/>
      <c r="C56" s="363" t="s">
        <v>22</v>
      </c>
      <c r="E56" s="363" t="s">
        <v>2812</v>
      </c>
      <c r="F56" s="1333">
        <v>2013</v>
      </c>
      <c r="G56" s="1333">
        <v>2015</v>
      </c>
      <c r="H56" s="1333">
        <v>2020</v>
      </c>
      <c r="I56" s="1333">
        <v>2025</v>
      </c>
      <c r="J56" s="1333">
        <v>2030</v>
      </c>
      <c r="K56" s="1333">
        <v>2035</v>
      </c>
      <c r="L56" s="1333">
        <v>2040</v>
      </c>
      <c r="M56" s="1333">
        <v>2045</v>
      </c>
      <c r="N56" s="1333">
        <v>2050</v>
      </c>
    </row>
    <row r="57" spans="1:15" hidden="1">
      <c r="B57" s="988"/>
      <c r="C57" s="3634" t="s">
        <v>1114</v>
      </c>
      <c r="F57" s="2414"/>
      <c r="G57" s="2414"/>
      <c r="H57" s="2414"/>
      <c r="I57" s="2414"/>
      <c r="J57" s="2414"/>
      <c r="K57" s="2414"/>
      <c r="L57" s="2414"/>
      <c r="M57" s="2414"/>
      <c r="N57" s="2414"/>
    </row>
    <row r="58" spans="1:15" s="398" customFormat="1" hidden="1">
      <c r="A58" s="3634"/>
      <c r="B58" s="988"/>
      <c r="C58" s="3634" t="s">
        <v>1115</v>
      </c>
      <c r="D58" s="3634"/>
      <c r="E58" s="3634"/>
      <c r="F58" s="2414"/>
      <c r="G58" s="2414"/>
      <c r="H58" s="2414"/>
      <c r="I58" s="2414"/>
      <c r="J58" s="2414"/>
      <c r="K58" s="2414"/>
      <c r="L58" s="2414"/>
      <c r="M58" s="2414"/>
      <c r="N58" s="2414"/>
      <c r="O58" s="3634"/>
    </row>
    <row r="59" spans="1:15" s="398" customFormat="1" hidden="1">
      <c r="A59" s="3634"/>
      <c r="B59" s="3634"/>
      <c r="C59" s="3634"/>
      <c r="D59" s="3634"/>
      <c r="E59" s="3634"/>
      <c r="F59" s="2490"/>
      <c r="G59" s="3634"/>
      <c r="H59" s="3634"/>
      <c r="I59" s="3634"/>
      <c r="J59" s="3634"/>
      <c r="K59" s="3634"/>
      <c r="L59" s="3634"/>
      <c r="M59" s="3634"/>
      <c r="N59" s="3634"/>
      <c r="O59" s="3634"/>
    </row>
    <row r="60" spans="1:15" s="398" customFormat="1" hidden="1">
      <c r="A60" s="3634"/>
      <c r="B60" s="3634"/>
      <c r="C60" s="363" t="s">
        <v>161</v>
      </c>
      <c r="D60" s="3634"/>
      <c r="E60" s="363" t="s">
        <v>2812</v>
      </c>
      <c r="F60" s="1333">
        <v>2013</v>
      </c>
      <c r="G60" s="1333">
        <v>2015</v>
      </c>
      <c r="H60" s="1333">
        <v>2020</v>
      </c>
      <c r="I60" s="1333">
        <v>2025</v>
      </c>
      <c r="J60" s="1333">
        <v>2030</v>
      </c>
      <c r="K60" s="1333">
        <v>2035</v>
      </c>
      <c r="L60" s="1333">
        <v>2040</v>
      </c>
      <c r="M60" s="1333">
        <v>2045</v>
      </c>
      <c r="N60" s="1333">
        <v>2050</v>
      </c>
      <c r="O60" s="3634"/>
    </row>
    <row r="61" spans="1:15" s="398" customFormat="1" hidden="1">
      <c r="A61" s="3634"/>
      <c r="B61" s="3634"/>
      <c r="C61" s="3634" t="s">
        <v>1114</v>
      </c>
      <c r="D61" s="3634"/>
      <c r="E61" s="3634"/>
      <c r="F61" s="2414"/>
      <c r="G61" s="2414"/>
      <c r="H61" s="2414"/>
      <c r="I61" s="2414"/>
      <c r="J61" s="2414"/>
      <c r="K61" s="2414"/>
      <c r="L61" s="2414"/>
      <c r="M61" s="2414"/>
      <c r="N61" s="2414"/>
      <c r="O61" s="3634"/>
    </row>
    <row r="62" spans="1:15" s="398" customFormat="1" hidden="1">
      <c r="A62" s="3634"/>
      <c r="B62" s="3634"/>
      <c r="C62" s="3634" t="s">
        <v>1115</v>
      </c>
      <c r="D62" s="3634"/>
      <c r="E62" s="3634"/>
      <c r="F62" s="2414"/>
      <c r="G62" s="2414"/>
      <c r="H62" s="2414"/>
      <c r="I62" s="2414"/>
      <c r="J62" s="2414"/>
      <c r="K62" s="2414"/>
      <c r="L62" s="2414"/>
      <c r="M62" s="2414"/>
      <c r="N62" s="2414"/>
      <c r="O62" s="3634"/>
    </row>
    <row r="63" spans="1:15" s="398" customFormat="1" hidden="1">
      <c r="A63" s="3634"/>
      <c r="B63" s="3634"/>
      <c r="C63" s="3634"/>
      <c r="D63" s="3634"/>
      <c r="E63" s="3634"/>
      <c r="F63" s="2490"/>
      <c r="G63" s="3634"/>
      <c r="H63" s="3634"/>
      <c r="I63" s="3634"/>
      <c r="J63" s="3634"/>
      <c r="K63" s="3634"/>
      <c r="L63" s="3634"/>
      <c r="M63" s="3634"/>
      <c r="N63" s="3634"/>
      <c r="O63" s="3634"/>
    </row>
    <row r="64" spans="1:15" s="398" customFormat="1" hidden="1">
      <c r="A64" s="3634"/>
      <c r="B64" s="988"/>
      <c r="C64" s="363" t="s">
        <v>20</v>
      </c>
      <c r="D64" s="3634"/>
      <c r="E64" s="363" t="s">
        <v>2812</v>
      </c>
      <c r="F64" s="1333">
        <v>2013</v>
      </c>
      <c r="G64" s="1333">
        <v>2015</v>
      </c>
      <c r="H64" s="1333">
        <v>2020</v>
      </c>
      <c r="I64" s="1333">
        <v>2025</v>
      </c>
      <c r="J64" s="1333">
        <v>2030</v>
      </c>
      <c r="K64" s="1333">
        <v>2035</v>
      </c>
      <c r="L64" s="1333">
        <v>2040</v>
      </c>
      <c r="M64" s="1333">
        <v>2045</v>
      </c>
      <c r="N64" s="1333">
        <v>2050</v>
      </c>
      <c r="O64" s="3634"/>
    </row>
    <row r="65" spans="1:16" s="398" customFormat="1" hidden="1">
      <c r="A65" s="3634"/>
      <c r="B65" s="988"/>
      <c r="C65" s="3634" t="s">
        <v>1114</v>
      </c>
      <c r="D65" s="3634"/>
      <c r="E65" s="3634"/>
      <c r="F65" s="2414"/>
      <c r="G65" s="2414"/>
      <c r="H65" s="2414"/>
      <c r="I65" s="2414"/>
      <c r="J65" s="2414"/>
      <c r="K65" s="2414"/>
      <c r="L65" s="2414"/>
      <c r="M65" s="2414"/>
      <c r="N65" s="2414"/>
      <c r="O65" s="3634"/>
    </row>
    <row r="66" spans="1:16" hidden="1">
      <c r="B66" s="988"/>
      <c r="C66" s="3634" t="s">
        <v>1115</v>
      </c>
      <c r="F66" s="2414"/>
      <c r="G66" s="2414"/>
      <c r="H66" s="2414"/>
      <c r="I66" s="2414"/>
      <c r="J66" s="2414"/>
      <c r="K66" s="2414"/>
      <c r="L66" s="2414"/>
      <c r="M66" s="2414"/>
      <c r="N66" s="2414"/>
    </row>
    <row r="68" spans="1:16" ht="23.25" customHeight="1">
      <c r="B68" s="995" t="s">
        <v>313</v>
      </c>
      <c r="C68" s="996"/>
      <c r="D68" s="997"/>
      <c r="E68" s="997"/>
      <c r="F68" s="997"/>
      <c r="G68" s="997"/>
      <c r="H68" s="997"/>
      <c r="I68" s="997"/>
      <c r="J68" s="997"/>
      <c r="K68" s="997"/>
      <c r="L68" s="997"/>
      <c r="M68" s="997"/>
      <c r="N68" s="997"/>
      <c r="O68" s="998"/>
      <c r="P68" s="39"/>
    </row>
    <row r="69" spans="1:16">
      <c r="B69" s="999"/>
      <c r="C69" s="1000"/>
      <c r="D69" s="1000"/>
      <c r="E69" s="1000"/>
      <c r="F69" s="1000"/>
      <c r="G69" s="1000"/>
      <c r="H69" s="1000"/>
      <c r="I69" s="1000"/>
      <c r="J69" s="1000"/>
      <c r="K69" s="1000"/>
      <c r="L69" s="1000"/>
      <c r="M69" s="1000"/>
      <c r="N69" s="1000"/>
      <c r="O69" s="1001"/>
      <c r="P69" s="39"/>
    </row>
    <row r="70" spans="1:16">
      <c r="B70" s="1002"/>
      <c r="C70" s="488" t="s">
        <v>314</v>
      </c>
      <c r="D70" s="1003"/>
      <c r="E70" s="1004"/>
      <c r="F70" s="1003"/>
      <c r="G70" s="1003"/>
      <c r="H70" s="1003"/>
      <c r="I70" s="1003"/>
      <c r="J70" s="1003"/>
      <c r="K70" s="1003"/>
      <c r="L70" s="1003"/>
      <c r="M70" s="1003"/>
      <c r="N70" s="1004"/>
      <c r="O70" s="1005"/>
      <c r="P70" s="39"/>
    </row>
    <row r="71" spans="1:16" ht="3" customHeight="1">
      <c r="B71" s="1002"/>
      <c r="C71" s="1003"/>
      <c r="D71" s="1003"/>
      <c r="E71" s="1003"/>
      <c r="F71" s="1003"/>
      <c r="G71" s="1003"/>
      <c r="H71" s="1003"/>
      <c r="I71" s="1003"/>
      <c r="J71" s="1003"/>
      <c r="K71" s="1003"/>
      <c r="L71" s="1003"/>
      <c r="M71" s="1003"/>
      <c r="N71" s="1003"/>
      <c r="O71" s="1005"/>
      <c r="P71" s="39"/>
    </row>
    <row r="72" spans="1:16" ht="15.75">
      <c r="B72" s="492"/>
      <c r="C72" s="3666" t="s">
        <v>28</v>
      </c>
      <c r="D72" s="3666" t="s">
        <v>315</v>
      </c>
      <c r="E72" s="3666" t="s">
        <v>30</v>
      </c>
      <c r="F72" s="3666" t="s">
        <v>597</v>
      </c>
      <c r="G72" s="3666" t="s">
        <v>133</v>
      </c>
      <c r="H72" s="3666" t="s">
        <v>134</v>
      </c>
      <c r="I72" s="3666" t="s">
        <v>135</v>
      </c>
      <c r="J72" s="3666" t="s">
        <v>136</v>
      </c>
      <c r="K72" s="3666" t="s">
        <v>137</v>
      </c>
      <c r="L72" s="3666" t="s">
        <v>138</v>
      </c>
      <c r="M72" s="3666" t="s">
        <v>139</v>
      </c>
      <c r="N72" s="3666" t="s">
        <v>140</v>
      </c>
      <c r="O72" s="1005"/>
      <c r="P72" s="39"/>
    </row>
    <row r="73" spans="1:16" ht="15.75">
      <c r="B73" s="492"/>
      <c r="C73" s="1389"/>
      <c r="D73" s="1007" t="s">
        <v>2885</v>
      </c>
      <c r="E73" s="494"/>
      <c r="F73" s="2438">
        <f>F45</f>
        <v>0</v>
      </c>
      <c r="G73" s="2438">
        <f>G45</f>
        <v>0</v>
      </c>
      <c r="H73" s="2438">
        <f t="shared" ref="H73:N73" ca="1" si="4">H46</f>
        <v>0</v>
      </c>
      <c r="I73" s="2438">
        <f t="shared" ca="1" si="4"/>
        <v>0</v>
      </c>
      <c r="J73" s="2438">
        <f t="shared" ca="1" si="4"/>
        <v>0</v>
      </c>
      <c r="K73" s="2438">
        <f t="shared" ca="1" si="4"/>
        <v>5.535719032209677</v>
      </c>
      <c r="L73" s="2438">
        <f t="shared" ca="1" si="4"/>
        <v>21.879270460638249</v>
      </c>
      <c r="M73" s="2438">
        <f t="shared" ca="1" si="4"/>
        <v>48.692909522903875</v>
      </c>
      <c r="N73" s="2438">
        <f t="shared" ca="1" si="4"/>
        <v>85.654479676426945</v>
      </c>
      <c r="O73" s="1005"/>
      <c r="P73" s="39"/>
    </row>
    <row r="74" spans="1:16" ht="15.75">
      <c r="A74" s="398"/>
      <c r="B74" s="2469"/>
      <c r="C74" s="1389"/>
      <c r="D74" s="3667" t="s">
        <v>2890</v>
      </c>
      <c r="E74" s="494"/>
      <c r="F74" s="2439">
        <f>F49</f>
        <v>0</v>
      </c>
      <c r="G74" s="2439">
        <f t="shared" ref="G74:N74" ca="1" si="5">G49</f>
        <v>0</v>
      </c>
      <c r="H74" s="2439">
        <f t="shared" ca="1" si="5"/>
        <v>0</v>
      </c>
      <c r="I74" s="2439">
        <f t="shared" ca="1" si="5"/>
        <v>0</v>
      </c>
      <c r="J74" s="2439">
        <f t="shared" ca="1" si="5"/>
        <v>0</v>
      </c>
      <c r="K74" s="2439">
        <f t="shared" ca="1" si="5"/>
        <v>3.6904793548064516E-3</v>
      </c>
      <c r="L74" s="2439">
        <f t="shared" ca="1" si="5"/>
        <v>1.4586180307092167E-2</v>
      </c>
      <c r="M74" s="2439">
        <f t="shared" ca="1" si="5"/>
        <v>3.2461939681935913E-2</v>
      </c>
      <c r="N74" s="2439">
        <f t="shared" ca="1" si="5"/>
        <v>5.7102986450951299E-2</v>
      </c>
      <c r="O74" s="1003"/>
      <c r="P74" s="39"/>
    </row>
    <row r="75" spans="1:16" ht="15.75">
      <c r="A75" s="398"/>
      <c r="B75" s="2469"/>
      <c r="C75" s="1389"/>
      <c r="D75" s="3667" t="s">
        <v>2891</v>
      </c>
      <c r="E75" s="494"/>
      <c r="F75" s="2439">
        <f>F52</f>
        <v>0</v>
      </c>
      <c r="G75" s="2439">
        <f t="shared" ref="G75:N75" ca="1" si="6">G52</f>
        <v>0</v>
      </c>
      <c r="H75" s="2439">
        <f t="shared" ca="1" si="6"/>
        <v>0</v>
      </c>
      <c r="I75" s="2439">
        <f t="shared" ca="1" si="6"/>
        <v>0</v>
      </c>
      <c r="J75" s="2439">
        <f t="shared" ca="1" si="6"/>
        <v>0</v>
      </c>
      <c r="K75" s="2439">
        <f t="shared" ca="1" si="6"/>
        <v>1.581634009202765E-3</v>
      </c>
      <c r="L75" s="2439">
        <f t="shared" ca="1" si="6"/>
        <v>6.2512201316109279E-3</v>
      </c>
      <c r="M75" s="2439">
        <f t="shared" ca="1" si="6"/>
        <v>1.3912259863686821E-2</v>
      </c>
      <c r="N75" s="2439">
        <f t="shared" ca="1" si="6"/>
        <v>2.4472708478979126E-2</v>
      </c>
      <c r="O75" s="1003"/>
      <c r="P75" s="39"/>
    </row>
    <row r="76" spans="1:16" ht="15.75">
      <c r="A76" s="398"/>
      <c r="B76" s="2469"/>
      <c r="C76" s="1389"/>
      <c r="D76" s="3667" t="s">
        <v>2892</v>
      </c>
      <c r="E76" s="494"/>
      <c r="F76" s="2438"/>
      <c r="G76" s="2438"/>
      <c r="H76" s="2438"/>
      <c r="I76" s="2438"/>
      <c r="J76" s="2438"/>
      <c r="K76" s="2438"/>
      <c r="L76" s="2438"/>
      <c r="M76" s="2438"/>
      <c r="N76" s="2438">
        <f ca="1">$N$50</f>
        <v>191.32649322647373</v>
      </c>
      <c r="O76" s="1003"/>
      <c r="P76" s="39"/>
    </row>
    <row r="77" spans="1:16" ht="15.75">
      <c r="A77" s="398"/>
      <c r="B77" s="2469"/>
      <c r="C77" s="1389"/>
      <c r="D77" s="3667" t="s">
        <v>2893</v>
      </c>
      <c r="E77" s="494"/>
      <c r="F77" s="2438"/>
      <c r="G77" s="2438"/>
      <c r="H77" s="2438"/>
      <c r="I77" s="2438"/>
      <c r="J77" s="2438"/>
      <c r="K77" s="2438"/>
      <c r="L77" s="2438"/>
      <c r="M77" s="2438"/>
      <c r="N77" s="2438">
        <f ca="1">$N$53</f>
        <v>473.46142395386215</v>
      </c>
      <c r="O77" s="1003"/>
    </row>
    <row r="78" spans="1:16" ht="15.75">
      <c r="B78" s="497"/>
      <c r="C78" s="1010"/>
      <c r="D78" s="1010"/>
      <c r="E78" s="1010"/>
      <c r="F78" s="1010"/>
      <c r="G78" s="1010"/>
      <c r="H78" s="1010"/>
      <c r="I78" s="1010"/>
      <c r="J78" s="1010"/>
      <c r="K78" s="1010"/>
      <c r="L78" s="1010"/>
      <c r="M78" s="1010"/>
      <c r="N78" s="1010"/>
      <c r="O78" s="1011"/>
    </row>
    <row r="80" spans="1:16" ht="15.75">
      <c r="B80" s="995" t="s">
        <v>2795</v>
      </c>
      <c r="C80" s="997"/>
      <c r="D80" s="997"/>
      <c r="E80" s="997"/>
      <c r="F80" s="997"/>
      <c r="G80" s="997"/>
      <c r="H80" s="997"/>
      <c r="I80" s="997"/>
      <c r="J80" s="997"/>
      <c r="K80" s="997"/>
      <c r="L80" s="997"/>
      <c r="M80" s="997"/>
      <c r="N80" s="997"/>
      <c r="O80" s="998"/>
    </row>
    <row r="81" spans="2:15" hidden="1">
      <c r="B81" s="1002"/>
      <c r="C81" s="1003"/>
      <c r="D81" s="1003"/>
      <c r="E81" s="1003"/>
      <c r="F81" s="1003"/>
      <c r="G81" s="1003"/>
      <c r="H81" s="1003"/>
      <c r="I81" s="1003"/>
      <c r="J81" s="1003"/>
      <c r="K81" s="1003"/>
      <c r="L81" s="1003"/>
      <c r="M81" s="1003"/>
      <c r="N81" s="1003"/>
      <c r="O81" s="1005"/>
    </row>
    <row r="82" spans="2:15" hidden="1">
      <c r="B82" s="1002"/>
      <c r="C82" s="500" t="s">
        <v>2894</v>
      </c>
      <c r="D82" s="1012"/>
      <c r="E82" s="1012"/>
      <c r="F82" s="1012"/>
      <c r="G82" s="1012"/>
      <c r="H82" s="1012"/>
      <c r="I82" s="1012"/>
      <c r="J82" s="1012"/>
      <c r="K82" s="1012"/>
      <c r="L82" s="1012"/>
      <c r="M82" s="1012"/>
      <c r="N82" s="1013" t="s">
        <v>2812</v>
      </c>
      <c r="O82" s="1005"/>
    </row>
    <row r="83" spans="2:15" hidden="1">
      <c r="B83" s="1002"/>
      <c r="C83" s="1003"/>
      <c r="D83" s="1003"/>
      <c r="E83" s="1003"/>
      <c r="F83" s="1003"/>
      <c r="G83" s="1003"/>
      <c r="H83" s="1003"/>
      <c r="I83" s="1003"/>
      <c r="J83" s="1003"/>
      <c r="K83" s="1003"/>
      <c r="L83" s="1003"/>
      <c r="M83" s="1003"/>
      <c r="N83" s="1003"/>
      <c r="O83" s="1005"/>
    </row>
    <row r="84" spans="2:15" ht="15.75" hidden="1">
      <c r="B84" s="492"/>
      <c r="C84" s="1389" t="s">
        <v>28</v>
      </c>
      <c r="D84" s="1389" t="s">
        <v>29</v>
      </c>
      <c r="E84" s="1389" t="s">
        <v>30</v>
      </c>
      <c r="F84" s="1389">
        <v>2013</v>
      </c>
      <c r="G84" s="1389" t="s">
        <v>133</v>
      </c>
      <c r="H84" s="1389" t="s">
        <v>134</v>
      </c>
      <c r="I84" s="1389" t="s">
        <v>135</v>
      </c>
      <c r="J84" s="1389" t="s">
        <v>136</v>
      </c>
      <c r="K84" s="1389" t="s">
        <v>137</v>
      </c>
      <c r="L84" s="1389" t="s">
        <v>138</v>
      </c>
      <c r="M84" s="1389" t="s">
        <v>139</v>
      </c>
      <c r="N84" s="1389" t="s">
        <v>140</v>
      </c>
      <c r="O84" s="3668"/>
    </row>
    <row r="85" spans="2:15" hidden="1">
      <c r="B85" s="1012"/>
      <c r="C85" s="1352" t="s">
        <v>324</v>
      </c>
      <c r="D85" s="1353" t="s">
        <v>325</v>
      </c>
      <c r="E85" s="1353"/>
      <c r="F85" s="3669"/>
      <c r="G85" s="3669"/>
      <c r="H85" s="3669"/>
      <c r="I85" s="3669"/>
      <c r="J85" s="3669"/>
      <c r="K85" s="3669"/>
      <c r="L85" s="3669"/>
      <c r="M85" s="3669"/>
      <c r="N85" s="3669"/>
      <c r="O85" s="3670"/>
    </row>
    <row r="86" spans="2:15" hidden="1">
      <c r="B86" s="1012"/>
      <c r="C86" s="1007" t="s">
        <v>331</v>
      </c>
      <c r="D86" s="494" t="s">
        <v>332</v>
      </c>
      <c r="E86" s="494"/>
      <c r="F86" s="2438"/>
      <c r="G86" s="2438"/>
      <c r="H86" s="2438"/>
      <c r="I86" s="2438"/>
      <c r="J86" s="2438"/>
      <c r="K86" s="2438"/>
      <c r="L86" s="2438"/>
      <c r="M86" s="2438"/>
      <c r="N86" s="2438"/>
      <c r="O86" s="3670"/>
    </row>
    <row r="87" spans="2:15" ht="15.75" hidden="1">
      <c r="B87" s="492"/>
      <c r="C87" s="1007" t="s">
        <v>326</v>
      </c>
      <c r="D87" s="504" t="s">
        <v>327</v>
      </c>
      <c r="E87" s="504"/>
      <c r="F87" s="3378"/>
      <c r="G87" s="3378"/>
      <c r="H87" s="3378"/>
      <c r="I87" s="3378"/>
      <c r="J87" s="3378"/>
      <c r="K87" s="3378"/>
      <c r="L87" s="3378"/>
      <c r="M87" s="3378"/>
      <c r="N87" s="3378"/>
      <c r="O87" s="3670"/>
    </row>
    <row r="88" spans="2:15" ht="15.75" hidden="1">
      <c r="B88" s="492"/>
      <c r="C88" s="1007" t="s">
        <v>333</v>
      </c>
      <c r="D88" s="504" t="s">
        <v>334</v>
      </c>
      <c r="E88" s="504"/>
      <c r="F88" s="3378"/>
      <c r="G88" s="3378"/>
      <c r="H88" s="3378"/>
      <c r="I88" s="3378"/>
      <c r="J88" s="3378"/>
      <c r="K88" s="3378"/>
      <c r="L88" s="3378"/>
      <c r="M88" s="3378"/>
      <c r="N88" s="3378"/>
      <c r="O88" s="3670"/>
    </row>
    <row r="89" spans="2:15" ht="15.75" hidden="1">
      <c r="B89" s="492"/>
      <c r="C89" s="1007" t="s">
        <v>328</v>
      </c>
      <c r="D89" s="494" t="s">
        <v>329</v>
      </c>
      <c r="E89" s="494"/>
      <c r="F89" s="3456"/>
      <c r="G89" s="3456"/>
      <c r="H89" s="3456"/>
      <c r="I89" s="3456"/>
      <c r="J89" s="3456"/>
      <c r="K89" s="3456"/>
      <c r="L89" s="3456"/>
      <c r="M89" s="3456"/>
      <c r="N89" s="3456"/>
      <c r="O89" s="3670"/>
    </row>
    <row r="90" spans="2:15" ht="15.75" hidden="1">
      <c r="B90" s="492"/>
      <c r="C90" s="1007" t="s">
        <v>335</v>
      </c>
      <c r="D90" s="494" t="s">
        <v>336</v>
      </c>
      <c r="E90" s="494"/>
      <c r="F90" s="2438"/>
      <c r="G90" s="2438"/>
      <c r="H90" s="2438"/>
      <c r="I90" s="2438"/>
      <c r="J90" s="2438"/>
      <c r="K90" s="2438"/>
      <c r="L90" s="2438"/>
      <c r="M90" s="2438"/>
      <c r="N90" s="2438"/>
      <c r="O90" s="3671"/>
    </row>
    <row r="91" spans="2:15" hidden="1">
      <c r="B91" s="1014"/>
      <c r="C91" s="3672"/>
      <c r="D91" s="3673"/>
      <c r="E91" s="3673"/>
      <c r="F91" s="3674"/>
      <c r="G91" s="3674"/>
      <c r="H91" s="3674"/>
      <c r="I91" s="3674"/>
      <c r="J91" s="3674"/>
      <c r="K91" s="3674"/>
      <c r="L91" s="3674"/>
      <c r="M91" s="3674"/>
      <c r="N91" s="3674"/>
      <c r="O91" s="1015"/>
    </row>
    <row r="724" spans="6:14">
      <c r="F724" s="3634">
        <v>0</v>
      </c>
      <c r="G724" s="3634">
        <v>0</v>
      </c>
      <c r="H724" s="3634">
        <v>0</v>
      </c>
      <c r="I724" s="3634">
        <v>0</v>
      </c>
      <c r="J724" s="3634">
        <v>0</v>
      </c>
      <c r="K724" s="3634">
        <v>0</v>
      </c>
      <c r="L724" s="3634">
        <v>0</v>
      </c>
      <c r="M724" s="3634">
        <v>0</v>
      </c>
      <c r="N724" s="3634">
        <v>0</v>
      </c>
    </row>
    <row r="725" spans="6:14">
      <c r="F725" s="3634">
        <v>0</v>
      </c>
      <c r="G725" s="3634">
        <v>0</v>
      </c>
      <c r="H725" s="3634">
        <v>0</v>
      </c>
      <c r="I725" s="3634">
        <v>0</v>
      </c>
      <c r="J725" s="3634">
        <v>0</v>
      </c>
      <c r="K725" s="3634">
        <v>0</v>
      </c>
      <c r="L725" s="3634">
        <v>0</v>
      </c>
      <c r="M725" s="3634">
        <v>0</v>
      </c>
      <c r="N725" s="3634">
        <v>0</v>
      </c>
    </row>
    <row r="726" spans="6:14">
      <c r="F726" s="3634">
        <v>0</v>
      </c>
      <c r="G726" s="3634">
        <v>0</v>
      </c>
      <c r="H726" s="3634">
        <v>0</v>
      </c>
      <c r="I726" s="3634">
        <v>0</v>
      </c>
      <c r="J726" s="3634">
        <v>0</v>
      </c>
      <c r="K726" s="3634">
        <v>0</v>
      </c>
      <c r="L726" s="3634">
        <v>0</v>
      </c>
      <c r="M726" s="3634">
        <v>0</v>
      </c>
      <c r="N726" s="3634">
        <v>0</v>
      </c>
    </row>
  </sheetData>
  <pageMargins left="0.7" right="0.7" top="0.75" bottom="0.75" header="0.3" footer="0.3"/>
  <pageSetup orientation="portrait" r:id="rId1"/>
  <tableParts count="2">
    <tablePart r:id="rId2"/>
    <tablePart r:id="rId3"/>
  </tableParts>
</worksheet>
</file>

<file path=xl/worksheets/sheet48.xml><?xml version="1.0" encoding="utf-8"?>
<worksheet xmlns="http://schemas.openxmlformats.org/spreadsheetml/2006/main" xmlns:r="http://schemas.openxmlformats.org/officeDocument/2006/relationships">
  <sheetPr codeName="Sheet22"/>
  <dimension ref="A1:DH148"/>
  <sheetViews>
    <sheetView topLeftCell="A38" workbookViewId="0">
      <selection activeCell="I1" sqref="I1:I1048576"/>
    </sheetView>
  </sheetViews>
  <sheetFormatPr defaultColWidth="8.85546875" defaultRowHeight="15" outlineLevelRow="2" outlineLevelCol="2"/>
  <cols>
    <col min="1" max="1" width="1.7109375" customWidth="1"/>
    <col min="2" max="2" width="1.42578125" customWidth="1"/>
    <col min="3" max="3" width="4.42578125" style="518" customWidth="1"/>
    <col min="4" max="4" width="3.85546875" style="519" customWidth="1"/>
    <col min="5" max="5" width="41.7109375" style="519" customWidth="1"/>
    <col min="6" max="6" width="1.14062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customWidth="1" outlineLevel="1"/>
    <col min="19" max="19" width="11.7109375" style="519" customWidth="1" outlineLevel="2"/>
    <col min="20" max="36" width="10" style="519" customWidth="1" outlineLevel="2"/>
    <col min="37" max="37" width="10" style="519" customWidth="1" outlineLevel="1"/>
    <col min="38" max="38" width="1.140625" customWidth="1" outlineLevel="1"/>
    <col min="39" max="57" width="10" style="519" customWidth="1" outlineLevel="2"/>
    <col min="58" max="58" width="10" style="519" customWidth="1" outlineLevel="1"/>
    <col min="59" max="59" width="1.140625" customWidth="1" outlineLevel="1"/>
    <col min="60" max="61" width="10" style="519" customWidth="1" outlineLevel="2"/>
    <col min="62" max="62" width="10" style="519" customWidth="1" outlineLevel="1"/>
    <col min="63" max="63" width="1.140625" customWidth="1" outlineLevel="1"/>
    <col min="64" max="64" width="11" style="519" customWidth="1" outlineLevel="1"/>
    <col min="65" max="65" width="5.28515625" style="519" customWidth="1"/>
    <col min="67" max="110" width="7.42578125" customWidth="1"/>
    <col min="111" max="111" width="2.42578125" customWidth="1"/>
  </cols>
  <sheetData>
    <row r="1" spans="1:112" ht="6" customHeight="1"/>
    <row r="2" spans="1:112" ht="21" customHeight="1">
      <c r="D2" s="521"/>
      <c r="E2" s="522">
        <v>2013</v>
      </c>
      <c r="G2"/>
      <c r="H2"/>
      <c r="I2"/>
      <c r="J2"/>
      <c r="K2"/>
      <c r="L2"/>
      <c r="M2"/>
      <c r="N2"/>
      <c r="O2"/>
      <c r="P2"/>
      <c r="Q2"/>
      <c r="S2" s="383"/>
      <c r="T2" s="383"/>
      <c r="U2" s="383"/>
      <c r="V2" s="383"/>
      <c r="W2" s="383"/>
      <c r="X2"/>
      <c r="Y2"/>
      <c r="Z2"/>
      <c r="AA2"/>
      <c r="AB2"/>
      <c r="AC2"/>
      <c r="AD2"/>
      <c r="AE2"/>
      <c r="AF2"/>
      <c r="AG2"/>
      <c r="AH2"/>
      <c r="AI2"/>
      <c r="AJ2"/>
      <c r="AK2"/>
      <c r="AM2"/>
      <c r="AN2"/>
      <c r="AO2"/>
      <c r="AP2"/>
      <c r="AQ2"/>
      <c r="AR2"/>
      <c r="AS2"/>
      <c r="AT2"/>
      <c r="AU2"/>
      <c r="AV2"/>
      <c r="AW2"/>
      <c r="AX2"/>
      <c r="AY2"/>
      <c r="AZ2"/>
      <c r="BA2"/>
      <c r="BB2"/>
      <c r="BC2"/>
      <c r="BD2"/>
      <c r="BE2"/>
      <c r="BF2"/>
      <c r="BH2"/>
      <c r="BI2"/>
      <c r="BJ2"/>
      <c r="BL2"/>
      <c r="BM2" s="523"/>
    </row>
    <row r="3" spans="1:112" ht="39" customHeight="1">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36.75" customHeight="1">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ht="15.75" customHeight="1">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8" customHeight="1">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ht="6" customHeight="1" outlineLevel="1">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ht="10.5" customHeight="1" outlineLevel="2">
      <c r="A9" s="586"/>
      <c r="B9" s="586"/>
      <c r="C9" s="587" t="s">
        <v>2</v>
      </c>
      <c r="D9" s="586" t="s">
        <v>3</v>
      </c>
      <c r="E9" s="588"/>
      <c r="G9" s="589">
        <f ca="1">IFERROR(INDEX(INDIRECT($C9&amp;".Outputs["&amp;this.Year&amp;"]"), MATCH(G$5, INDIRECT($C9&amp;".Outputs[Vector]"), 0)), 0)</f>
        <v>26.088824704314053</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26.088824704314053</v>
      </c>
      <c r="S9" s="591">
        <f t="shared" ref="S9:AJ13" ca="1" si="2">IFERROR(INDEX(INDIRECT($C9&amp;".Outputs["&amp;this.Year&amp;"]"), MATCH(S$5, INDIRECT($C9&amp;".Outputs[Vector]"), 0)), 0)</f>
        <v>-0.88256437808531207</v>
      </c>
      <c r="T9" s="591">
        <f t="shared" ca="1" si="2"/>
        <v>0</v>
      </c>
      <c r="U9" s="591">
        <f t="shared" ca="1" si="2"/>
        <v>-0.41220752781623782</v>
      </c>
      <c r="V9" s="591">
        <f t="shared" ca="1" si="2"/>
        <v>-15.256778003771721</v>
      </c>
      <c r="W9" s="591">
        <f t="shared" ca="1" si="2"/>
        <v>-9.4463708573767775</v>
      </c>
      <c r="X9" s="591">
        <f t="shared" ref="X9:Z10" ca="1" si="3">IFERROR(INDEX(INDIRECT($C9&amp;".Outputs["&amp;this.Year&amp;"]"), MATCH(X$5, INDIRECT($C9&amp;".Outputs[Vector]"), 0)), 0)</f>
        <v>0</v>
      </c>
      <c r="Y9" s="591">
        <f t="shared" ca="1" si="3"/>
        <v>0</v>
      </c>
      <c r="Z9" s="591">
        <f t="shared" ca="1" si="3"/>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-4.1054887428987621E-2</v>
      </c>
      <c r="AJ9" s="591">
        <f t="shared" ca="1" si="2"/>
        <v>0</v>
      </c>
      <c r="AK9" s="592">
        <f t="shared" ref="AK9:AK15" ca="1" si="4">SUM(S9:AJ9)</f>
        <v>-26.038975654479035</v>
      </c>
      <c r="AM9" s="593">
        <f t="shared" ref="AM9:AU10" ca="1" si="5">IFERROR(INDEX(INDIRECT($C9&amp;".Outputs["&amp;this.Year&amp;"]"), MATCH(AM$5, INDIRECT($C9&amp;".Outputs[Vector]"), 0)), 0)</f>
        <v>0</v>
      </c>
      <c r="AN9" s="593">
        <f t="shared" ca="1" si="5"/>
        <v>0</v>
      </c>
      <c r="AO9" s="593">
        <f t="shared" ca="1" si="5"/>
        <v>0</v>
      </c>
      <c r="AP9" s="593">
        <f t="shared" ca="1" si="5"/>
        <v>0</v>
      </c>
      <c r="AQ9" s="593">
        <f t="shared" ca="1" si="5"/>
        <v>0</v>
      </c>
      <c r="AR9" s="593">
        <f t="shared" ca="1" si="5"/>
        <v>0</v>
      </c>
      <c r="AS9" s="593">
        <f t="shared" ca="1" si="5"/>
        <v>0</v>
      </c>
      <c r="AT9" s="593">
        <f t="shared" ca="1" si="5"/>
        <v>0</v>
      </c>
      <c r="AU9" s="593">
        <f t="shared" ca="1" si="5"/>
        <v>0</v>
      </c>
      <c r="AV9" s="593">
        <f t="shared" ref="AV9:BE13" ca="1" si="6">IFERROR(INDEX(INDIRECT($C9&amp;".Outputs["&amp;this.Year&amp;"]"), MATCH(AV$5, INDIRECT($C9&amp;".Outputs[Vector]"), 0)), 0)</f>
        <v>0</v>
      </c>
      <c r="AW9" s="593">
        <f t="shared" ca="1" si="6"/>
        <v>0</v>
      </c>
      <c r="AX9" s="593">
        <f t="shared" ca="1" si="6"/>
        <v>0</v>
      </c>
      <c r="AY9" s="593">
        <f t="shared" ca="1" si="6"/>
        <v>0</v>
      </c>
      <c r="AZ9" s="593">
        <f t="shared" ca="1" si="6"/>
        <v>0</v>
      </c>
      <c r="BA9" s="593">
        <f t="shared" ca="1" si="6"/>
        <v>0</v>
      </c>
      <c r="BB9" s="593">
        <f t="shared" ca="1" si="6"/>
        <v>0</v>
      </c>
      <c r="BC9" s="593">
        <f t="shared" ca="1" si="6"/>
        <v>-4.9849049835017811E-2</v>
      </c>
      <c r="BD9" s="593">
        <f t="shared" ca="1" si="6"/>
        <v>0</v>
      </c>
      <c r="BE9" s="593">
        <f t="shared" ca="1" si="6"/>
        <v>0</v>
      </c>
      <c r="BF9" s="594">
        <f t="shared" ref="BF9:BF15" ca="1" si="7">SUM(AM9:BE9)</f>
        <v>-4.9849049835017811E-2</v>
      </c>
      <c r="BH9" s="3471">
        <f ca="1">IFERROR(INDEX(INDIRECT($C9&amp;".Outputs["&amp;this.Year&amp;"]"), MATCH(BH$5, INDIRECT($C9&amp;".Outputs[Vector]"), 0)), 0)</f>
        <v>0</v>
      </c>
      <c r="BI9" s="3471">
        <f t="shared" ref="BH9:BI13" ca="1" si="8">IFERROR(INDEX(INDIRECT($C9&amp;".Outputs["&amp;this.Year&amp;"]"), MATCH(BI$5, INDIRECT($C9&amp;".Outputs[Vector]"), 0)), 0)</f>
        <v>0</v>
      </c>
      <c r="BJ9" s="3460">
        <f t="shared" ref="BJ9:BJ15" ca="1" si="9">SUM(BH9:BI9)</f>
        <v>0</v>
      </c>
      <c r="BL9" s="595">
        <f t="shared" ref="BL9:BL44" ca="1" si="10">Q9+AK9+BF9+BJ9</f>
        <v>1.1102230246251565E-16</v>
      </c>
      <c r="BM9" s="595"/>
      <c r="BN9" s="413"/>
      <c r="BO9" s="2789">
        <f t="shared" ref="BO9:BX10" ca="1" si="11">IFERROR(SUMIFS(INDIRECT($C9&amp;".Emissions["&amp;this.Year&amp;"]"), INDIRECT($C9&amp;".Emissions[GHG]"), BO$6, INDIRECT($C9&amp;".Emissions[IPCC Sector]"), BO$5),0)</f>
        <v>6.0990014520418683</v>
      </c>
      <c r="BP9" s="2790">
        <f t="shared" ca="1" si="11"/>
        <v>4.1961969104451465E-3</v>
      </c>
      <c r="BQ9" s="2790">
        <f t="shared" ca="1" si="11"/>
        <v>4.1018184994661207E-2</v>
      </c>
      <c r="BR9" s="2790">
        <f t="shared" ca="1" si="11"/>
        <v>0</v>
      </c>
      <c r="BS9" s="2790">
        <f t="shared" ca="1" si="11"/>
        <v>0</v>
      </c>
      <c r="BT9" s="2790">
        <f t="shared" ca="1" si="11"/>
        <v>0</v>
      </c>
      <c r="BU9" s="2790">
        <f t="shared" ca="1" si="11"/>
        <v>0</v>
      </c>
      <c r="BV9" s="2790">
        <f t="shared" ca="1" si="11"/>
        <v>0</v>
      </c>
      <c r="BW9" s="2790">
        <f t="shared" ca="1" si="11"/>
        <v>0</v>
      </c>
      <c r="BX9" s="2790">
        <f t="shared" ca="1" si="11"/>
        <v>0</v>
      </c>
      <c r="BY9" s="2790">
        <f t="shared" ref="BY9:CH10" ca="1" si="12">IFERROR(SUMIFS(INDIRECT($C9&amp;".Emissions["&amp;this.Year&amp;"]"), INDIRECT($C9&amp;".Emissions[GHG]"), BY$6, INDIRECT($C9&amp;".Emissions[IPCC Sector]"), BY$5),0)</f>
        <v>0</v>
      </c>
      <c r="BZ9" s="2790">
        <f t="shared" ca="1" si="12"/>
        <v>0</v>
      </c>
      <c r="CA9" s="2790">
        <f t="shared" ca="1" si="12"/>
        <v>0</v>
      </c>
      <c r="CB9" s="2790">
        <f t="shared" ca="1" si="12"/>
        <v>0</v>
      </c>
      <c r="CC9" s="2790">
        <f t="shared" ca="1" si="12"/>
        <v>0</v>
      </c>
      <c r="CD9" s="2790">
        <f t="shared" ca="1" si="12"/>
        <v>0</v>
      </c>
      <c r="CE9" s="2790">
        <f t="shared" ca="1" si="12"/>
        <v>0</v>
      </c>
      <c r="CF9" s="2790">
        <f t="shared" ca="1" si="12"/>
        <v>0</v>
      </c>
      <c r="CG9" s="2790">
        <f t="shared" ca="1" si="12"/>
        <v>0</v>
      </c>
      <c r="CH9" s="2790">
        <f t="shared" ca="1" si="12"/>
        <v>0</v>
      </c>
      <c r="CI9" s="2790">
        <f t="shared" ref="CI9:CR10" ca="1" si="13">IFERROR(SUMIFS(INDIRECT($C9&amp;".Emissions["&amp;this.Year&amp;"]"), INDIRECT($C9&amp;".Emissions[GHG]"), CI$6, INDIRECT($C9&amp;".Emissions[IPCC Sector]"), CI$5),0)</f>
        <v>0</v>
      </c>
      <c r="CJ9" s="2790">
        <f t="shared" ca="1" si="13"/>
        <v>0</v>
      </c>
      <c r="CK9" s="2790">
        <f t="shared" ca="1" si="13"/>
        <v>0</v>
      </c>
      <c r="CL9" s="2790">
        <f t="shared" ca="1" si="13"/>
        <v>0</v>
      </c>
      <c r="CM9" s="2790">
        <f t="shared" ca="1" si="13"/>
        <v>0</v>
      </c>
      <c r="CN9" s="2790">
        <f t="shared" ca="1" si="13"/>
        <v>0</v>
      </c>
      <c r="CO9" s="2790">
        <f t="shared" ca="1" si="13"/>
        <v>0</v>
      </c>
      <c r="CP9" s="2790">
        <f t="shared" ca="1" si="13"/>
        <v>0</v>
      </c>
      <c r="CQ9" s="2790">
        <f t="shared" ca="1" si="13"/>
        <v>0</v>
      </c>
      <c r="CR9" s="2790">
        <f t="shared" ca="1" si="13"/>
        <v>0</v>
      </c>
      <c r="CS9" s="2790">
        <f t="shared" ref="CS9:DF10" ca="1" si="14">IFERROR(SUMIFS(INDIRECT($C9&amp;".Emissions["&amp;this.Year&amp;"]"), INDIRECT($C9&amp;".Emissions[GHG]"), CS$6, INDIRECT($C9&amp;".Emissions[IPCC Sector]"), CS$5),0)</f>
        <v>0</v>
      </c>
      <c r="CT9" s="2790">
        <f t="shared" ca="1" si="14"/>
        <v>0</v>
      </c>
      <c r="CU9" s="2790">
        <f t="shared" ca="1" si="14"/>
        <v>0</v>
      </c>
      <c r="CV9" s="2790">
        <f t="shared" ca="1" si="14"/>
        <v>0</v>
      </c>
      <c r="CW9" s="2790">
        <f t="shared" ca="1" si="14"/>
        <v>0</v>
      </c>
      <c r="CX9" s="2790">
        <f t="shared" ca="1" si="14"/>
        <v>0</v>
      </c>
      <c r="CY9" s="2790">
        <f t="shared" ca="1" si="14"/>
        <v>0</v>
      </c>
      <c r="CZ9" s="2790">
        <f t="shared" ca="1" si="14"/>
        <v>0</v>
      </c>
      <c r="DA9" s="2790">
        <f t="shared" ca="1" si="14"/>
        <v>0</v>
      </c>
      <c r="DB9" s="2790">
        <f t="shared" ca="1" si="14"/>
        <v>0</v>
      </c>
      <c r="DC9" s="2790">
        <f t="shared" ca="1" si="14"/>
        <v>0</v>
      </c>
      <c r="DD9" s="2790">
        <f t="shared" ca="1" si="14"/>
        <v>0</v>
      </c>
      <c r="DE9" s="2790">
        <f t="shared" ca="1" si="14"/>
        <v>0</v>
      </c>
      <c r="DF9" s="2790">
        <f t="shared" ca="1" si="14"/>
        <v>0</v>
      </c>
      <c r="DH9" s="596"/>
    </row>
    <row r="10" spans="1:112" s="6" customFormat="1" ht="10.5" customHeight="1" outlineLevel="2">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3"/>
        <v>0</v>
      </c>
      <c r="Y10" s="602">
        <f t="shared" ca="1" si="3"/>
        <v>0</v>
      </c>
      <c r="Z10" s="602">
        <f t="shared" ca="1" si="3"/>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4"/>
        <v>0</v>
      </c>
      <c r="AM10" s="604">
        <f t="shared" ca="1" si="5"/>
        <v>0</v>
      </c>
      <c r="AN10" s="604">
        <f t="shared" ca="1" si="5"/>
        <v>0</v>
      </c>
      <c r="AO10" s="604">
        <f t="shared" ca="1" si="5"/>
        <v>0</v>
      </c>
      <c r="AP10" s="604">
        <f t="shared" ca="1" si="5"/>
        <v>0</v>
      </c>
      <c r="AQ10" s="604">
        <f t="shared" ca="1" si="5"/>
        <v>0</v>
      </c>
      <c r="AR10" s="604">
        <f t="shared" ca="1" si="5"/>
        <v>0</v>
      </c>
      <c r="AS10" s="604">
        <f t="shared" ca="1" si="5"/>
        <v>0</v>
      </c>
      <c r="AT10" s="604">
        <f t="shared" ca="1" si="5"/>
        <v>0</v>
      </c>
      <c r="AU10" s="604">
        <f t="shared" ca="1" si="5"/>
        <v>0</v>
      </c>
      <c r="AV10" s="604">
        <f t="shared" ca="1" si="6"/>
        <v>0</v>
      </c>
      <c r="AW10" s="604">
        <f t="shared" ca="1" si="6"/>
        <v>0</v>
      </c>
      <c r="AX10" s="604">
        <f t="shared" ca="1" si="6"/>
        <v>0</v>
      </c>
      <c r="AY10" s="604">
        <f t="shared" ca="1" si="6"/>
        <v>0</v>
      </c>
      <c r="AZ10" s="604">
        <f t="shared" ca="1" si="6"/>
        <v>0</v>
      </c>
      <c r="BA10" s="604">
        <f t="shared" ca="1" si="6"/>
        <v>0</v>
      </c>
      <c r="BB10" s="604">
        <f t="shared" ca="1" si="6"/>
        <v>0</v>
      </c>
      <c r="BC10" s="604">
        <f t="shared" ca="1" si="6"/>
        <v>0</v>
      </c>
      <c r="BD10" s="604">
        <f t="shared" ca="1" si="6"/>
        <v>0</v>
      </c>
      <c r="BE10" s="604">
        <f t="shared" ca="1" si="6"/>
        <v>0</v>
      </c>
      <c r="BF10" s="605">
        <f t="shared" ca="1" si="7"/>
        <v>0</v>
      </c>
      <c r="BH10" s="3472">
        <f t="shared" ca="1" si="8"/>
        <v>0</v>
      </c>
      <c r="BI10" s="3472">
        <f t="shared" ca="1" si="8"/>
        <v>0</v>
      </c>
      <c r="BJ10" s="3461">
        <f t="shared" ca="1" si="9"/>
        <v>0</v>
      </c>
      <c r="BL10" s="606">
        <f t="shared" ca="1" si="10"/>
        <v>0</v>
      </c>
      <c r="BM10" s="606"/>
      <c r="BN10" s="413"/>
      <c r="BO10" s="2789">
        <f t="shared" ca="1" si="11"/>
        <v>0</v>
      </c>
      <c r="BP10" s="2790">
        <f t="shared" ca="1" si="11"/>
        <v>0</v>
      </c>
      <c r="BQ10" s="2790">
        <f t="shared" ca="1" si="11"/>
        <v>0</v>
      </c>
      <c r="BR10" s="2790">
        <f t="shared" ca="1" si="11"/>
        <v>0</v>
      </c>
      <c r="BS10" s="2790">
        <f t="shared" ca="1" si="11"/>
        <v>0</v>
      </c>
      <c r="BT10" s="2790">
        <f t="shared" ca="1" si="11"/>
        <v>0</v>
      </c>
      <c r="BU10" s="2790">
        <f t="shared" ca="1" si="11"/>
        <v>0</v>
      </c>
      <c r="BV10" s="2790">
        <f t="shared" ca="1" si="11"/>
        <v>0</v>
      </c>
      <c r="BW10" s="2790">
        <f t="shared" ca="1" si="11"/>
        <v>0</v>
      </c>
      <c r="BX10" s="2790">
        <f t="shared" ca="1" si="11"/>
        <v>0</v>
      </c>
      <c r="BY10" s="2790">
        <f t="shared" ca="1" si="12"/>
        <v>0</v>
      </c>
      <c r="BZ10" s="2790">
        <f t="shared" ca="1" si="12"/>
        <v>0</v>
      </c>
      <c r="CA10" s="2790">
        <f t="shared" ca="1" si="12"/>
        <v>0</v>
      </c>
      <c r="CB10" s="2790">
        <f t="shared" ca="1" si="12"/>
        <v>0</v>
      </c>
      <c r="CC10" s="2790">
        <f t="shared" ca="1" si="12"/>
        <v>0</v>
      </c>
      <c r="CD10" s="2790">
        <f t="shared" ca="1" si="12"/>
        <v>0</v>
      </c>
      <c r="CE10" s="2790">
        <f t="shared" ca="1" si="12"/>
        <v>0</v>
      </c>
      <c r="CF10" s="2790">
        <f t="shared" ca="1" si="12"/>
        <v>0</v>
      </c>
      <c r="CG10" s="2790">
        <f t="shared" ca="1" si="12"/>
        <v>0</v>
      </c>
      <c r="CH10" s="2790">
        <f t="shared" ca="1" si="12"/>
        <v>0</v>
      </c>
      <c r="CI10" s="2790">
        <f t="shared" ca="1" si="13"/>
        <v>0</v>
      </c>
      <c r="CJ10" s="2790">
        <f t="shared" ca="1" si="13"/>
        <v>0</v>
      </c>
      <c r="CK10" s="2790">
        <f t="shared" ca="1" si="13"/>
        <v>0</v>
      </c>
      <c r="CL10" s="2790">
        <f t="shared" ca="1" si="13"/>
        <v>0</v>
      </c>
      <c r="CM10" s="2790">
        <f t="shared" ca="1" si="13"/>
        <v>0</v>
      </c>
      <c r="CN10" s="2790">
        <f t="shared" ca="1" si="13"/>
        <v>0</v>
      </c>
      <c r="CO10" s="2790">
        <f t="shared" ca="1" si="13"/>
        <v>0</v>
      </c>
      <c r="CP10" s="2790">
        <f t="shared" ca="1" si="13"/>
        <v>0</v>
      </c>
      <c r="CQ10" s="2790">
        <f t="shared" ca="1" si="13"/>
        <v>0</v>
      </c>
      <c r="CR10" s="2790">
        <f t="shared" ca="1" si="13"/>
        <v>0</v>
      </c>
      <c r="CS10" s="2790">
        <f t="shared" ca="1" si="14"/>
        <v>0</v>
      </c>
      <c r="CT10" s="2790">
        <f t="shared" ca="1" si="14"/>
        <v>0</v>
      </c>
      <c r="CU10" s="2790">
        <f t="shared" ca="1" si="14"/>
        <v>0</v>
      </c>
      <c r="CV10" s="2790">
        <f t="shared" ca="1" si="14"/>
        <v>0</v>
      </c>
      <c r="CW10" s="2790">
        <f t="shared" ca="1" si="14"/>
        <v>0</v>
      </c>
      <c r="CX10" s="2790">
        <f t="shared" ca="1" si="14"/>
        <v>0</v>
      </c>
      <c r="CY10" s="2790">
        <f t="shared" ca="1" si="14"/>
        <v>0</v>
      </c>
      <c r="CZ10" s="2790">
        <f t="shared" ca="1" si="14"/>
        <v>0</v>
      </c>
      <c r="DA10" s="2790">
        <f t="shared" ca="1" si="14"/>
        <v>0</v>
      </c>
      <c r="DB10" s="2790">
        <f t="shared" ca="1" si="14"/>
        <v>0</v>
      </c>
      <c r="DC10" s="2790">
        <f t="shared" ca="1" si="14"/>
        <v>0</v>
      </c>
      <c r="DD10" s="2790">
        <f t="shared" ca="1" si="14"/>
        <v>0</v>
      </c>
      <c r="DE10" s="2790">
        <f t="shared" ca="1" si="14"/>
        <v>0</v>
      </c>
      <c r="DF10" s="2790">
        <f t="shared" ca="1" si="14"/>
        <v>0</v>
      </c>
      <c r="DH10" s="596"/>
    </row>
    <row r="11" spans="1:112" s="6" customFormat="1" ht="12.75" customHeight="1" outlineLevel="1">
      <c r="A11" s="607"/>
      <c r="B11" s="607"/>
      <c r="C11" s="587"/>
      <c r="D11" s="607" t="s">
        <v>464</v>
      </c>
      <c r="E11" s="588"/>
      <c r="G11" s="590">
        <f ca="1">SUM(G9:G10)</f>
        <v>26.088824704314053</v>
      </c>
      <c r="H11" s="590">
        <f t="shared" ref="H11:P11" ca="1" si="15">SUM(H9:H10)</f>
        <v>0</v>
      </c>
      <c r="I11" s="590">
        <f t="shared" ca="1" si="15"/>
        <v>0</v>
      </c>
      <c r="J11" s="590">
        <f t="shared" ca="1" si="15"/>
        <v>0</v>
      </c>
      <c r="K11" s="590">
        <f t="shared" ca="1" si="15"/>
        <v>0</v>
      </c>
      <c r="L11" s="590">
        <f t="shared" ca="1" si="15"/>
        <v>0</v>
      </c>
      <c r="M11" s="590">
        <f t="shared" ca="1" si="15"/>
        <v>0</v>
      </c>
      <c r="N11" s="590">
        <f ca="1">SUM(N9:N10)</f>
        <v>0</v>
      </c>
      <c r="O11" s="590">
        <f ca="1">SUM(O9:O10)</f>
        <v>0</v>
      </c>
      <c r="P11" s="590">
        <f t="shared" ca="1" si="15"/>
        <v>0</v>
      </c>
      <c r="Q11" s="590">
        <f t="shared" ca="1" si="1"/>
        <v>26.088824704314053</v>
      </c>
      <c r="S11" s="592">
        <f ca="1">SUM(S9:S10)</f>
        <v>-0.88256437808531207</v>
      </c>
      <c r="T11" s="592">
        <f t="shared" ref="T11:AJ11" ca="1" si="16">SUM(T9:T10)</f>
        <v>0</v>
      </c>
      <c r="U11" s="592">
        <f t="shared" ca="1" si="16"/>
        <v>-0.41220752781623782</v>
      </c>
      <c r="V11" s="592">
        <f t="shared" ca="1" si="16"/>
        <v>-15.256778003771721</v>
      </c>
      <c r="W11" s="592">
        <f t="shared" ca="1" si="16"/>
        <v>-9.4463708573767775</v>
      </c>
      <c r="X11" s="592">
        <f ca="1">SUM(X9:X10)</f>
        <v>0</v>
      </c>
      <c r="Y11" s="592">
        <f ca="1">SUM(Y9:Y10)</f>
        <v>0</v>
      </c>
      <c r="Z11" s="592">
        <f ca="1">SUM(Z9:Z10)</f>
        <v>0</v>
      </c>
      <c r="AA11" s="592">
        <f t="shared" ca="1" si="16"/>
        <v>0</v>
      </c>
      <c r="AB11" s="592">
        <f t="shared" ca="1" si="16"/>
        <v>0</v>
      </c>
      <c r="AC11" s="592">
        <f t="shared" ca="1" si="16"/>
        <v>0</v>
      </c>
      <c r="AD11" s="592">
        <f ca="1">SUM(AD9:AD10)</f>
        <v>0</v>
      </c>
      <c r="AE11" s="592">
        <f ca="1">SUM(AE9:AE10)</f>
        <v>0</v>
      </c>
      <c r="AF11" s="592">
        <f t="shared" ca="1" si="16"/>
        <v>0</v>
      </c>
      <c r="AG11" s="592">
        <f ca="1">SUM(AG9:AG10)</f>
        <v>0</v>
      </c>
      <c r="AH11" s="592">
        <f ca="1">SUM(AH9:AH10)</f>
        <v>0</v>
      </c>
      <c r="AI11" s="592">
        <f ca="1">SUM(AI9:AI10)</f>
        <v>-4.1054887428987621E-2</v>
      </c>
      <c r="AJ11" s="592">
        <f t="shared" ca="1" si="16"/>
        <v>0</v>
      </c>
      <c r="AK11" s="592">
        <f t="shared" ca="1" si="4"/>
        <v>-26.038975654479035</v>
      </c>
      <c r="AM11" s="608">
        <f t="shared" ref="AM11:BE11" ca="1" si="17">SUM(AM9:AM10)</f>
        <v>0</v>
      </c>
      <c r="AN11" s="608">
        <f t="shared" ca="1" si="17"/>
        <v>0</v>
      </c>
      <c r="AO11" s="608">
        <f t="shared" ca="1" si="17"/>
        <v>0</v>
      </c>
      <c r="AP11" s="608">
        <f t="shared" ca="1" si="17"/>
        <v>0</v>
      </c>
      <c r="AQ11" s="608">
        <f t="shared" ca="1" si="17"/>
        <v>0</v>
      </c>
      <c r="AR11" s="608">
        <f t="shared" ca="1" si="17"/>
        <v>0</v>
      </c>
      <c r="AS11" s="608">
        <f t="shared" ca="1" si="17"/>
        <v>0</v>
      </c>
      <c r="AT11" s="608">
        <f t="shared" ca="1" si="17"/>
        <v>0</v>
      </c>
      <c r="AU11" s="608">
        <f t="shared" ca="1" si="17"/>
        <v>0</v>
      </c>
      <c r="AV11" s="608">
        <f t="shared" ca="1" si="17"/>
        <v>0</v>
      </c>
      <c r="AW11" s="608">
        <f t="shared" ca="1" si="17"/>
        <v>0</v>
      </c>
      <c r="AX11" s="608">
        <f t="shared" ca="1" si="17"/>
        <v>0</v>
      </c>
      <c r="AY11" s="608">
        <f t="shared" ca="1" si="17"/>
        <v>0</v>
      </c>
      <c r="AZ11" s="608">
        <f t="shared" ca="1" si="17"/>
        <v>0</v>
      </c>
      <c r="BA11" s="608">
        <f t="shared" ca="1" si="17"/>
        <v>0</v>
      </c>
      <c r="BB11" s="608">
        <f t="shared" ca="1" si="17"/>
        <v>0</v>
      </c>
      <c r="BC11" s="608">
        <f t="shared" ca="1" si="17"/>
        <v>-4.9849049835017811E-2</v>
      </c>
      <c r="BD11" s="608">
        <f ca="1">SUM(BD9:BD10)</f>
        <v>0</v>
      </c>
      <c r="BE11" s="608">
        <f t="shared" ca="1" si="17"/>
        <v>0</v>
      </c>
      <c r="BF11" s="609">
        <f t="shared" ca="1" si="7"/>
        <v>-4.9849049835017811E-2</v>
      </c>
      <c r="BH11" s="3460">
        <f ca="1">SUM(BH9:BH10)</f>
        <v>0</v>
      </c>
      <c r="BI11" s="3460">
        <f ca="1">SUM(BI9:BI10)</f>
        <v>0</v>
      </c>
      <c r="BJ11" s="3460">
        <f t="shared" ca="1" si="9"/>
        <v>0</v>
      </c>
      <c r="BL11" s="610">
        <f t="shared" ca="1" si="10"/>
        <v>1.1102230246251565E-16</v>
      </c>
      <c r="BM11" s="610"/>
      <c r="BN11" s="413"/>
      <c r="BO11" s="2789">
        <f t="shared" ref="BO11:DF11" ca="1" si="18">SUM(BO9:BO10)</f>
        <v>6.0990014520418683</v>
      </c>
      <c r="BP11" s="2790">
        <f t="shared" ca="1" si="18"/>
        <v>4.1961969104451465E-3</v>
      </c>
      <c r="BQ11" s="2790">
        <f t="shared" ca="1" si="18"/>
        <v>4.1018184994661207E-2</v>
      </c>
      <c r="BR11" s="2790">
        <f t="shared" ca="1" si="18"/>
        <v>0</v>
      </c>
      <c r="BS11" s="2790">
        <f t="shared" ca="1" si="18"/>
        <v>0</v>
      </c>
      <c r="BT11" s="2790">
        <f t="shared" ca="1" si="18"/>
        <v>0</v>
      </c>
      <c r="BU11" s="2790">
        <f t="shared" ca="1" si="18"/>
        <v>0</v>
      </c>
      <c r="BV11" s="2790">
        <f t="shared" ca="1" si="18"/>
        <v>0</v>
      </c>
      <c r="BW11" s="2790">
        <f t="shared" ca="1" si="18"/>
        <v>0</v>
      </c>
      <c r="BX11" s="2790">
        <f t="shared" ca="1" si="18"/>
        <v>0</v>
      </c>
      <c r="BY11" s="2790">
        <f t="shared" ca="1" si="18"/>
        <v>0</v>
      </c>
      <c r="BZ11" s="2790">
        <f t="shared" ca="1" si="18"/>
        <v>0</v>
      </c>
      <c r="CA11" s="2790">
        <f t="shared" ca="1" si="18"/>
        <v>0</v>
      </c>
      <c r="CB11" s="2790">
        <f t="shared" ca="1" si="18"/>
        <v>0</v>
      </c>
      <c r="CC11" s="2790">
        <f t="shared" ca="1" si="18"/>
        <v>0</v>
      </c>
      <c r="CD11" s="2790">
        <f t="shared" ca="1" si="18"/>
        <v>0</v>
      </c>
      <c r="CE11" s="2790">
        <f t="shared" ca="1" si="18"/>
        <v>0</v>
      </c>
      <c r="CF11" s="2790">
        <f t="shared" ca="1" si="18"/>
        <v>0</v>
      </c>
      <c r="CG11" s="2790">
        <f t="shared" ca="1" si="18"/>
        <v>0</v>
      </c>
      <c r="CH11" s="2790">
        <f t="shared" ca="1" si="18"/>
        <v>0</v>
      </c>
      <c r="CI11" s="2790">
        <f t="shared" ca="1" si="18"/>
        <v>0</v>
      </c>
      <c r="CJ11" s="2790">
        <f t="shared" ca="1" si="18"/>
        <v>0</v>
      </c>
      <c r="CK11" s="2790">
        <f t="shared" ca="1" si="18"/>
        <v>0</v>
      </c>
      <c r="CL11" s="2790">
        <f t="shared" ca="1" si="18"/>
        <v>0</v>
      </c>
      <c r="CM11" s="2790">
        <f t="shared" ca="1" si="18"/>
        <v>0</v>
      </c>
      <c r="CN11" s="2790">
        <f t="shared" ca="1" si="18"/>
        <v>0</v>
      </c>
      <c r="CO11" s="2790">
        <f t="shared" ca="1" si="18"/>
        <v>0</v>
      </c>
      <c r="CP11" s="2790">
        <f t="shared" ca="1" si="18"/>
        <v>0</v>
      </c>
      <c r="CQ11" s="2790">
        <f t="shared" ca="1" si="18"/>
        <v>0</v>
      </c>
      <c r="CR11" s="2790">
        <f t="shared" ca="1" si="18"/>
        <v>0</v>
      </c>
      <c r="CS11" s="2790">
        <f t="shared" ca="1" si="18"/>
        <v>0</v>
      </c>
      <c r="CT11" s="2790">
        <f t="shared" ca="1" si="18"/>
        <v>0</v>
      </c>
      <c r="CU11" s="2790">
        <f t="shared" ca="1" si="18"/>
        <v>0</v>
      </c>
      <c r="CV11" s="2790">
        <f t="shared" ca="1" si="18"/>
        <v>0</v>
      </c>
      <c r="CW11" s="2790">
        <f t="shared" ca="1" si="18"/>
        <v>0</v>
      </c>
      <c r="CX11" s="2790">
        <f t="shared" ca="1" si="18"/>
        <v>0</v>
      </c>
      <c r="CY11" s="2790">
        <f t="shared" ca="1" si="18"/>
        <v>0</v>
      </c>
      <c r="CZ11" s="2790">
        <f t="shared" ca="1" si="18"/>
        <v>0</v>
      </c>
      <c r="DA11" s="2790">
        <f t="shared" ca="1" si="18"/>
        <v>0</v>
      </c>
      <c r="DB11" s="2790">
        <f t="shared" ca="1" si="18"/>
        <v>0</v>
      </c>
      <c r="DC11" s="2790">
        <f t="shared" ca="1" si="18"/>
        <v>0</v>
      </c>
      <c r="DD11" s="2790">
        <f t="shared" ca="1" si="18"/>
        <v>0</v>
      </c>
      <c r="DE11" s="2790">
        <f t="shared" ca="1" si="18"/>
        <v>0</v>
      </c>
      <c r="DF11" s="2790">
        <f t="shared" ca="1" si="18"/>
        <v>0</v>
      </c>
      <c r="DH11" s="596"/>
    </row>
    <row r="12" spans="1:112" s="6" customFormat="1" ht="10.5" customHeight="1" outlineLevel="2">
      <c r="A12" s="586"/>
      <c r="B12" s="586"/>
      <c r="C12" s="587" t="s">
        <v>465</v>
      </c>
      <c r="D12" s="586" t="s">
        <v>466</v>
      </c>
      <c r="E12" s="599"/>
      <c r="G12" s="589">
        <f t="shared" ca="1" si="0"/>
        <v>10.892112506073081</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10.892112506073081</v>
      </c>
      <c r="S12" s="591">
        <f t="shared" ca="1" si="2"/>
        <v>-3.3022499999999999</v>
      </c>
      <c r="T12" s="591">
        <f t="shared" ca="1" si="2"/>
        <v>0</v>
      </c>
      <c r="U12" s="591">
        <f t="shared" ca="1" si="2"/>
        <v>-0.32965517241379305</v>
      </c>
      <c r="V12" s="591">
        <f t="shared" ca="1" si="2"/>
        <v>-2.2668041237113408</v>
      </c>
      <c r="W12" s="591">
        <f t="shared" ca="1" si="2"/>
        <v>-4.9320532099479477</v>
      </c>
      <c r="X12" s="591">
        <f t="shared" ref="X12:Z13" ca="1" si="19">IFERROR(INDEX(INDIRECT($C12&amp;".Outputs["&amp;this.Year&amp;"]"), MATCH(X$5, INDIRECT($C12&amp;".Outputs[Vector]"), 0)), 0)</f>
        <v>0</v>
      </c>
      <c r="Y12" s="591">
        <f t="shared" ca="1" si="19"/>
        <v>0</v>
      </c>
      <c r="Z12" s="591">
        <f t="shared" ca="1" si="19"/>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4"/>
        <v>-10.830762506073082</v>
      </c>
      <c r="AM12" s="593">
        <f t="shared" ref="AM12:AU13" ca="1" si="20">IFERROR(INDEX(INDIRECT($C12&amp;".Outputs["&amp;this.Year&amp;"]"), MATCH(AM$5, INDIRECT($C12&amp;".Outputs[Vector]"), 0)), 0)</f>
        <v>0</v>
      </c>
      <c r="AN12" s="593">
        <f t="shared" ca="1" si="20"/>
        <v>0</v>
      </c>
      <c r="AO12" s="593">
        <f t="shared" ca="1" si="20"/>
        <v>0</v>
      </c>
      <c r="AP12" s="593">
        <f t="shared" ca="1" si="20"/>
        <v>0</v>
      </c>
      <c r="AQ12" s="593">
        <f t="shared" ca="1" si="20"/>
        <v>0</v>
      </c>
      <c r="AR12" s="593">
        <f t="shared" ca="1" si="20"/>
        <v>0</v>
      </c>
      <c r="AS12" s="593">
        <f t="shared" ca="1" si="20"/>
        <v>0</v>
      </c>
      <c r="AT12" s="593">
        <f t="shared" ca="1" si="20"/>
        <v>0</v>
      </c>
      <c r="AU12" s="593">
        <f t="shared" ca="1" si="20"/>
        <v>0</v>
      </c>
      <c r="AV12" s="593">
        <f t="shared" ca="1" si="6"/>
        <v>0</v>
      </c>
      <c r="AW12" s="593">
        <f t="shared" ca="1" si="6"/>
        <v>0</v>
      </c>
      <c r="AX12" s="593">
        <f t="shared" ca="1" si="6"/>
        <v>0</v>
      </c>
      <c r="AY12" s="593">
        <f t="shared" ca="1" si="6"/>
        <v>0</v>
      </c>
      <c r="AZ12" s="593">
        <f t="shared" ca="1" si="6"/>
        <v>0</v>
      </c>
      <c r="BA12" s="593">
        <f t="shared" ca="1" si="6"/>
        <v>0</v>
      </c>
      <c r="BB12" s="593">
        <f t="shared" ca="1" si="6"/>
        <v>0</v>
      </c>
      <c r="BC12" s="593">
        <f t="shared" ca="1" si="6"/>
        <v>-6.1350000000000002E-2</v>
      </c>
      <c r="BD12" s="593">
        <f t="shared" ca="1" si="6"/>
        <v>0</v>
      </c>
      <c r="BE12" s="593">
        <f t="shared" ca="1" si="6"/>
        <v>0</v>
      </c>
      <c r="BF12" s="594">
        <f t="shared" ca="1" si="7"/>
        <v>-6.1350000000000002E-2</v>
      </c>
      <c r="BH12" s="3471">
        <f t="shared" ca="1" si="8"/>
        <v>0</v>
      </c>
      <c r="BI12" s="3471">
        <f t="shared" ca="1" si="8"/>
        <v>0</v>
      </c>
      <c r="BJ12" s="3460">
        <f t="shared" ca="1" si="9"/>
        <v>0</v>
      </c>
      <c r="BL12" s="595">
        <f t="shared" ca="1" si="10"/>
        <v>-8.7430063189231078E-16</v>
      </c>
      <c r="BM12" s="595"/>
      <c r="BN12" s="413"/>
      <c r="BO12" s="2789">
        <f t="shared" ref="BO12:BX13" ca="1" si="21">IFERROR(SUMIFS(INDIRECT($C12&amp;".Emissions["&amp;this.Year&amp;"]"), INDIRECT($C12&amp;".Emissions[GHG]"), BO$6, INDIRECT($C12&amp;".Emissions[IPCC Sector]"), BO$5),0)</f>
        <v>1.7191590942521029</v>
      </c>
      <c r="BP12" s="2790">
        <f t="shared" ca="1" si="21"/>
        <v>9.044197496539349E-4</v>
      </c>
      <c r="BQ12" s="2790">
        <f t="shared" ca="1" si="21"/>
        <v>1.7663896636119548E-2</v>
      </c>
      <c r="BR12" s="2790">
        <f t="shared" ca="1" si="21"/>
        <v>0</v>
      </c>
      <c r="BS12" s="2790">
        <f t="shared" ca="1" si="21"/>
        <v>0</v>
      </c>
      <c r="BT12" s="2790">
        <f t="shared" ca="1" si="21"/>
        <v>0</v>
      </c>
      <c r="BU12" s="2790">
        <f t="shared" ca="1" si="21"/>
        <v>0</v>
      </c>
      <c r="BV12" s="2790">
        <f t="shared" ca="1" si="21"/>
        <v>0</v>
      </c>
      <c r="BW12" s="2790">
        <f t="shared" ca="1" si="21"/>
        <v>0</v>
      </c>
      <c r="BX12" s="2790">
        <f t="shared" ca="1" si="21"/>
        <v>0</v>
      </c>
      <c r="BY12" s="2790">
        <f t="shared" ref="BY12:CH13" ca="1" si="22">IFERROR(SUMIFS(INDIRECT($C12&amp;".Emissions["&amp;this.Year&amp;"]"), INDIRECT($C12&amp;".Emissions[GHG]"), BY$6, INDIRECT($C12&amp;".Emissions[IPCC Sector]"), BY$5),0)</f>
        <v>0</v>
      </c>
      <c r="BZ12" s="2790">
        <f t="shared" ca="1" si="22"/>
        <v>0</v>
      </c>
      <c r="CA12" s="2790">
        <f t="shared" ca="1" si="22"/>
        <v>0</v>
      </c>
      <c r="CB12" s="2790">
        <f t="shared" ca="1" si="22"/>
        <v>0</v>
      </c>
      <c r="CC12" s="2790">
        <f t="shared" ca="1" si="22"/>
        <v>0</v>
      </c>
      <c r="CD12" s="2790">
        <f t="shared" ca="1" si="22"/>
        <v>0</v>
      </c>
      <c r="CE12" s="2790">
        <f t="shared" ca="1" si="22"/>
        <v>0</v>
      </c>
      <c r="CF12" s="2790">
        <f t="shared" ca="1" si="22"/>
        <v>0</v>
      </c>
      <c r="CG12" s="2790">
        <f t="shared" ca="1" si="22"/>
        <v>0</v>
      </c>
      <c r="CH12" s="2790">
        <f t="shared" ca="1" si="22"/>
        <v>0</v>
      </c>
      <c r="CI12" s="2790">
        <f t="shared" ref="CI12:CR13" ca="1" si="23">IFERROR(SUMIFS(INDIRECT($C12&amp;".Emissions["&amp;this.Year&amp;"]"), INDIRECT($C12&amp;".Emissions[GHG]"), CI$6, INDIRECT($C12&amp;".Emissions[IPCC Sector]"), CI$5),0)</f>
        <v>0</v>
      </c>
      <c r="CJ12" s="2790">
        <f t="shared" ca="1" si="23"/>
        <v>0</v>
      </c>
      <c r="CK12" s="2790">
        <f t="shared" ca="1" si="23"/>
        <v>0</v>
      </c>
      <c r="CL12" s="2790">
        <f t="shared" ca="1" si="23"/>
        <v>0</v>
      </c>
      <c r="CM12" s="2790">
        <f t="shared" ca="1" si="23"/>
        <v>0</v>
      </c>
      <c r="CN12" s="2790">
        <f t="shared" ca="1" si="23"/>
        <v>0</v>
      </c>
      <c r="CO12" s="2790">
        <f t="shared" ca="1" si="23"/>
        <v>0</v>
      </c>
      <c r="CP12" s="2790">
        <f t="shared" ca="1" si="23"/>
        <v>0</v>
      </c>
      <c r="CQ12" s="2790">
        <f t="shared" ca="1" si="23"/>
        <v>0</v>
      </c>
      <c r="CR12" s="2790">
        <f t="shared" ca="1" si="23"/>
        <v>0</v>
      </c>
      <c r="CS12" s="2790">
        <f t="shared" ref="CS12:DF13" ca="1" si="24">IFERROR(SUMIFS(INDIRECT($C12&amp;".Emissions["&amp;this.Year&amp;"]"), INDIRECT($C12&amp;".Emissions[GHG]"), CS$6, INDIRECT($C12&amp;".Emissions[IPCC Sector]"), CS$5),0)</f>
        <v>0</v>
      </c>
      <c r="CT12" s="2790">
        <f t="shared" ca="1" si="24"/>
        <v>0</v>
      </c>
      <c r="CU12" s="2790">
        <f t="shared" ca="1" si="24"/>
        <v>0</v>
      </c>
      <c r="CV12" s="2790">
        <f t="shared" ca="1" si="24"/>
        <v>0</v>
      </c>
      <c r="CW12" s="2790">
        <f t="shared" ca="1" si="24"/>
        <v>0</v>
      </c>
      <c r="CX12" s="2790">
        <f t="shared" ca="1" si="24"/>
        <v>0</v>
      </c>
      <c r="CY12" s="2790">
        <f t="shared" ca="1" si="24"/>
        <v>0</v>
      </c>
      <c r="CZ12" s="2790">
        <f t="shared" ca="1" si="24"/>
        <v>0</v>
      </c>
      <c r="DA12" s="2790">
        <f t="shared" ca="1" si="24"/>
        <v>0</v>
      </c>
      <c r="DB12" s="2790">
        <f t="shared" ca="1" si="24"/>
        <v>0</v>
      </c>
      <c r="DC12" s="2790">
        <f t="shared" ca="1" si="24"/>
        <v>0</v>
      </c>
      <c r="DD12" s="2790">
        <f t="shared" ca="1" si="24"/>
        <v>0</v>
      </c>
      <c r="DE12" s="2790">
        <f t="shared" ca="1" si="24"/>
        <v>0</v>
      </c>
      <c r="DF12" s="2790">
        <f t="shared" ca="1" si="24"/>
        <v>0</v>
      </c>
      <c r="DH12" s="596"/>
    </row>
    <row r="13" spans="1:112" s="6" customFormat="1" ht="10.5" customHeight="1" outlineLevel="2">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19"/>
        <v>0</v>
      </c>
      <c r="Y13" s="602">
        <f t="shared" ca="1" si="19"/>
        <v>0</v>
      </c>
      <c r="Z13" s="602">
        <f t="shared" ca="1" si="19"/>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4"/>
        <v>0</v>
      </c>
      <c r="AM13" s="604">
        <f t="shared" ca="1" si="20"/>
        <v>0</v>
      </c>
      <c r="AN13" s="604">
        <f t="shared" ca="1" si="20"/>
        <v>0</v>
      </c>
      <c r="AO13" s="604">
        <f t="shared" ca="1" si="20"/>
        <v>0</v>
      </c>
      <c r="AP13" s="604">
        <f t="shared" ca="1" si="20"/>
        <v>0</v>
      </c>
      <c r="AQ13" s="604">
        <f t="shared" ca="1" si="20"/>
        <v>0</v>
      </c>
      <c r="AR13" s="604">
        <f t="shared" ca="1" si="20"/>
        <v>0</v>
      </c>
      <c r="AS13" s="604">
        <f t="shared" ca="1" si="20"/>
        <v>0</v>
      </c>
      <c r="AT13" s="604">
        <f t="shared" ca="1" si="20"/>
        <v>0</v>
      </c>
      <c r="AU13" s="604">
        <f t="shared" ca="1" si="20"/>
        <v>0</v>
      </c>
      <c r="AV13" s="604">
        <f t="shared" ca="1" si="6"/>
        <v>0</v>
      </c>
      <c r="AW13" s="604">
        <f t="shared" ca="1" si="6"/>
        <v>0</v>
      </c>
      <c r="AX13" s="604">
        <f t="shared" ca="1" si="6"/>
        <v>0</v>
      </c>
      <c r="AY13" s="604">
        <f t="shared" ca="1" si="6"/>
        <v>0</v>
      </c>
      <c r="AZ13" s="604">
        <f t="shared" ca="1" si="6"/>
        <v>0</v>
      </c>
      <c r="BA13" s="604">
        <f t="shared" ca="1" si="6"/>
        <v>0</v>
      </c>
      <c r="BB13" s="604">
        <f t="shared" ca="1" si="6"/>
        <v>0</v>
      </c>
      <c r="BC13" s="604">
        <f t="shared" ca="1" si="6"/>
        <v>0</v>
      </c>
      <c r="BD13" s="604">
        <f t="shared" ca="1" si="6"/>
        <v>0</v>
      </c>
      <c r="BE13" s="604">
        <f t="shared" ca="1" si="6"/>
        <v>0</v>
      </c>
      <c r="BF13" s="605">
        <f t="shared" ca="1" si="7"/>
        <v>0</v>
      </c>
      <c r="BH13" s="3472">
        <f t="shared" ca="1" si="8"/>
        <v>0</v>
      </c>
      <c r="BI13" s="3472">
        <f t="shared" ca="1" si="8"/>
        <v>0</v>
      </c>
      <c r="BJ13" s="3461">
        <f t="shared" ca="1" si="9"/>
        <v>0</v>
      </c>
      <c r="BL13" s="606">
        <f t="shared" ca="1" si="10"/>
        <v>0</v>
      </c>
      <c r="BM13" s="606"/>
      <c r="BN13" s="413"/>
      <c r="BO13" s="2789">
        <f t="shared" ca="1" si="21"/>
        <v>0</v>
      </c>
      <c r="BP13" s="2790">
        <f t="shared" ca="1" si="21"/>
        <v>0</v>
      </c>
      <c r="BQ13" s="2790">
        <f t="shared" ca="1" si="21"/>
        <v>0</v>
      </c>
      <c r="BR13" s="2790">
        <f t="shared" ca="1" si="21"/>
        <v>0</v>
      </c>
      <c r="BS13" s="2790">
        <f t="shared" ca="1" si="21"/>
        <v>0</v>
      </c>
      <c r="BT13" s="2790">
        <f t="shared" ca="1" si="21"/>
        <v>0</v>
      </c>
      <c r="BU13" s="2790">
        <f t="shared" ca="1" si="21"/>
        <v>0</v>
      </c>
      <c r="BV13" s="2790">
        <f t="shared" ca="1" si="21"/>
        <v>0</v>
      </c>
      <c r="BW13" s="2790">
        <f t="shared" ca="1" si="21"/>
        <v>0</v>
      </c>
      <c r="BX13" s="2790">
        <f t="shared" ca="1" si="21"/>
        <v>0</v>
      </c>
      <c r="BY13" s="2790">
        <f t="shared" ca="1" si="22"/>
        <v>0</v>
      </c>
      <c r="BZ13" s="2790">
        <f t="shared" ca="1" si="22"/>
        <v>0</v>
      </c>
      <c r="CA13" s="2790">
        <f t="shared" ca="1" si="22"/>
        <v>0</v>
      </c>
      <c r="CB13" s="2790">
        <f t="shared" ca="1" si="22"/>
        <v>0</v>
      </c>
      <c r="CC13" s="2790">
        <f t="shared" ca="1" si="22"/>
        <v>0</v>
      </c>
      <c r="CD13" s="2790">
        <f t="shared" ca="1" si="22"/>
        <v>0</v>
      </c>
      <c r="CE13" s="2790">
        <f t="shared" ca="1" si="22"/>
        <v>0</v>
      </c>
      <c r="CF13" s="2790">
        <f t="shared" ca="1" si="22"/>
        <v>0</v>
      </c>
      <c r="CG13" s="2790">
        <f t="shared" ca="1" si="22"/>
        <v>0</v>
      </c>
      <c r="CH13" s="2790">
        <f t="shared" ca="1" si="22"/>
        <v>0</v>
      </c>
      <c r="CI13" s="2790">
        <f t="shared" ca="1" si="23"/>
        <v>0</v>
      </c>
      <c r="CJ13" s="2790">
        <f t="shared" ca="1" si="23"/>
        <v>0</v>
      </c>
      <c r="CK13" s="2790">
        <f t="shared" ca="1" si="23"/>
        <v>0</v>
      </c>
      <c r="CL13" s="2790">
        <f t="shared" ca="1" si="23"/>
        <v>0</v>
      </c>
      <c r="CM13" s="2790">
        <f t="shared" ca="1" si="23"/>
        <v>0</v>
      </c>
      <c r="CN13" s="2790">
        <f t="shared" ca="1" si="23"/>
        <v>0</v>
      </c>
      <c r="CO13" s="2790">
        <f t="shared" ca="1" si="23"/>
        <v>0</v>
      </c>
      <c r="CP13" s="2790">
        <f t="shared" ca="1" si="23"/>
        <v>0</v>
      </c>
      <c r="CQ13" s="2790">
        <f t="shared" ca="1" si="23"/>
        <v>0</v>
      </c>
      <c r="CR13" s="2790">
        <f t="shared" ca="1" si="23"/>
        <v>0</v>
      </c>
      <c r="CS13" s="2790">
        <f t="shared" ca="1" si="24"/>
        <v>0</v>
      </c>
      <c r="CT13" s="2790">
        <f t="shared" ca="1" si="24"/>
        <v>0</v>
      </c>
      <c r="CU13" s="2790">
        <f t="shared" ca="1" si="24"/>
        <v>0</v>
      </c>
      <c r="CV13" s="2790">
        <f t="shared" ca="1" si="24"/>
        <v>0</v>
      </c>
      <c r="CW13" s="2790">
        <f t="shared" ca="1" si="24"/>
        <v>0</v>
      </c>
      <c r="CX13" s="2790">
        <f t="shared" ca="1" si="24"/>
        <v>0</v>
      </c>
      <c r="CY13" s="2790">
        <f t="shared" ca="1" si="24"/>
        <v>0</v>
      </c>
      <c r="CZ13" s="2790">
        <f t="shared" ca="1" si="24"/>
        <v>0</v>
      </c>
      <c r="DA13" s="2790">
        <f t="shared" ca="1" si="24"/>
        <v>0</v>
      </c>
      <c r="DB13" s="2790">
        <f t="shared" ca="1" si="24"/>
        <v>0</v>
      </c>
      <c r="DC13" s="2790">
        <f t="shared" ca="1" si="24"/>
        <v>0</v>
      </c>
      <c r="DD13" s="2790">
        <f t="shared" ca="1" si="24"/>
        <v>0</v>
      </c>
      <c r="DE13" s="2790">
        <f t="shared" ca="1" si="24"/>
        <v>0</v>
      </c>
      <c r="DF13" s="2790">
        <f t="shared" ca="1" si="24"/>
        <v>0</v>
      </c>
      <c r="DH13" s="596"/>
    </row>
    <row r="14" spans="1:112" s="6" customFormat="1" ht="12.75" customHeight="1" outlineLevel="1">
      <c r="A14" s="607"/>
      <c r="B14" s="607"/>
      <c r="C14" s="587"/>
      <c r="D14" s="611" t="s">
        <v>469</v>
      </c>
      <c r="E14" s="611"/>
      <c r="G14" s="612">
        <f ca="1">SUM(G12:G13)</f>
        <v>10.892112506073081</v>
      </c>
      <c r="H14" s="612">
        <f t="shared" ref="H14:P14" ca="1" si="25">SUM(H12:H13)</f>
        <v>0</v>
      </c>
      <c r="I14" s="612">
        <f t="shared" ca="1" si="25"/>
        <v>0</v>
      </c>
      <c r="J14" s="612">
        <f t="shared" ca="1" si="25"/>
        <v>0</v>
      </c>
      <c r="K14" s="612">
        <f t="shared" ca="1" si="25"/>
        <v>0</v>
      </c>
      <c r="L14" s="612">
        <f t="shared" ca="1" si="25"/>
        <v>0</v>
      </c>
      <c r="M14" s="612">
        <f t="shared" ca="1" si="25"/>
        <v>0</v>
      </c>
      <c r="N14" s="612">
        <f ca="1">SUM(N12:N13)</f>
        <v>0</v>
      </c>
      <c r="O14" s="612">
        <f ca="1">SUM(O12:O13)</f>
        <v>0</v>
      </c>
      <c r="P14" s="612">
        <f t="shared" ca="1" si="25"/>
        <v>0</v>
      </c>
      <c r="Q14" s="612">
        <f t="shared" ca="1" si="1"/>
        <v>10.892112506073081</v>
      </c>
      <c r="S14" s="613">
        <f t="shared" ref="S14:AJ14" ca="1" si="26">SUM(S12:S13)</f>
        <v>-3.3022499999999999</v>
      </c>
      <c r="T14" s="613">
        <f t="shared" ca="1" si="26"/>
        <v>0</v>
      </c>
      <c r="U14" s="613">
        <f t="shared" ca="1" si="26"/>
        <v>-0.32965517241379305</v>
      </c>
      <c r="V14" s="613">
        <f t="shared" ca="1" si="26"/>
        <v>-2.2668041237113408</v>
      </c>
      <c r="W14" s="613">
        <f t="shared" ca="1" si="26"/>
        <v>-4.9320532099479477</v>
      </c>
      <c r="X14" s="613">
        <f ca="1">SUM(X12:X13)</f>
        <v>0</v>
      </c>
      <c r="Y14" s="613">
        <f ca="1">SUM(Y12:Y13)</f>
        <v>0</v>
      </c>
      <c r="Z14" s="613">
        <f ca="1">SUM(Z12:Z13)</f>
        <v>0</v>
      </c>
      <c r="AA14" s="613">
        <f t="shared" ca="1" si="26"/>
        <v>0</v>
      </c>
      <c r="AB14" s="613">
        <f t="shared" ca="1" si="26"/>
        <v>0</v>
      </c>
      <c r="AC14" s="613">
        <f t="shared" ca="1" si="26"/>
        <v>0</v>
      </c>
      <c r="AD14" s="613">
        <f ca="1">SUM(AD12:AD13)</f>
        <v>0</v>
      </c>
      <c r="AE14" s="613">
        <f ca="1">SUM(AE12:AE13)</f>
        <v>0</v>
      </c>
      <c r="AF14" s="613">
        <f t="shared" ca="1" si="26"/>
        <v>0</v>
      </c>
      <c r="AG14" s="613">
        <f ca="1">SUM(AG12:AG13)</f>
        <v>0</v>
      </c>
      <c r="AH14" s="613">
        <f ca="1">SUM(AH12:AH13)</f>
        <v>0</v>
      </c>
      <c r="AI14" s="613">
        <f ca="1">SUM(AI12:AI13)</f>
        <v>0</v>
      </c>
      <c r="AJ14" s="613">
        <f t="shared" ca="1" si="26"/>
        <v>0</v>
      </c>
      <c r="AK14" s="613">
        <f t="shared" ca="1" si="4"/>
        <v>-10.830762506073082</v>
      </c>
      <c r="AM14" s="614">
        <f t="shared" ref="AM14:BE14" ca="1" si="27">SUM(AM12:AM13)</f>
        <v>0</v>
      </c>
      <c r="AN14" s="614">
        <f t="shared" ca="1" si="27"/>
        <v>0</v>
      </c>
      <c r="AO14" s="614">
        <f t="shared" ca="1" si="27"/>
        <v>0</v>
      </c>
      <c r="AP14" s="614">
        <f t="shared" ca="1" si="27"/>
        <v>0</v>
      </c>
      <c r="AQ14" s="614">
        <f t="shared" ca="1" si="27"/>
        <v>0</v>
      </c>
      <c r="AR14" s="614">
        <f t="shared" ca="1" si="27"/>
        <v>0</v>
      </c>
      <c r="AS14" s="614">
        <f t="shared" ca="1" si="27"/>
        <v>0</v>
      </c>
      <c r="AT14" s="614">
        <f t="shared" ca="1" si="27"/>
        <v>0</v>
      </c>
      <c r="AU14" s="614">
        <f t="shared" ca="1" si="27"/>
        <v>0</v>
      </c>
      <c r="AV14" s="614">
        <f t="shared" ca="1" si="27"/>
        <v>0</v>
      </c>
      <c r="AW14" s="614">
        <f t="shared" ca="1" si="27"/>
        <v>0</v>
      </c>
      <c r="AX14" s="614">
        <f t="shared" ca="1" si="27"/>
        <v>0</v>
      </c>
      <c r="AY14" s="614">
        <f t="shared" ca="1" si="27"/>
        <v>0</v>
      </c>
      <c r="AZ14" s="614">
        <f t="shared" ca="1" si="27"/>
        <v>0</v>
      </c>
      <c r="BA14" s="614">
        <f t="shared" ca="1" si="27"/>
        <v>0</v>
      </c>
      <c r="BB14" s="614">
        <f t="shared" ca="1" si="27"/>
        <v>0</v>
      </c>
      <c r="BC14" s="614">
        <f t="shared" ca="1" si="27"/>
        <v>-6.1350000000000002E-2</v>
      </c>
      <c r="BD14" s="614">
        <f ca="1">SUM(BD12:BD13)</f>
        <v>0</v>
      </c>
      <c r="BE14" s="614">
        <f t="shared" ca="1" si="27"/>
        <v>0</v>
      </c>
      <c r="BF14" s="615">
        <f t="shared" ca="1" si="7"/>
        <v>-6.1350000000000002E-2</v>
      </c>
      <c r="BH14" s="3462">
        <f ca="1">SUM(BH12:BH13)</f>
        <v>0</v>
      </c>
      <c r="BI14" s="3462">
        <f ca="1">SUM(BI12:BI13)</f>
        <v>0</v>
      </c>
      <c r="BJ14" s="3462">
        <f t="shared" ca="1" si="9"/>
        <v>0</v>
      </c>
      <c r="BL14" s="610">
        <f t="shared" ca="1" si="10"/>
        <v>-8.7430063189231078E-16</v>
      </c>
      <c r="BM14" s="610"/>
      <c r="BN14" s="413"/>
      <c r="BO14" s="2791">
        <f t="shared" ref="BO14:DF14" ca="1" si="28">SUM(BO12:BO13)</f>
        <v>1.7191590942521029</v>
      </c>
      <c r="BP14" s="2792">
        <f t="shared" ca="1" si="28"/>
        <v>9.044197496539349E-4</v>
      </c>
      <c r="BQ14" s="2792">
        <f t="shared" ca="1" si="28"/>
        <v>1.7663896636119548E-2</v>
      </c>
      <c r="BR14" s="2792">
        <f t="shared" ca="1" si="28"/>
        <v>0</v>
      </c>
      <c r="BS14" s="2792">
        <f t="shared" ca="1" si="28"/>
        <v>0</v>
      </c>
      <c r="BT14" s="2792">
        <f t="shared" ca="1" si="28"/>
        <v>0</v>
      </c>
      <c r="BU14" s="2792">
        <f t="shared" ca="1" si="28"/>
        <v>0</v>
      </c>
      <c r="BV14" s="2792">
        <f t="shared" ca="1" si="28"/>
        <v>0</v>
      </c>
      <c r="BW14" s="2792">
        <f t="shared" ca="1" si="28"/>
        <v>0</v>
      </c>
      <c r="BX14" s="2792">
        <f t="shared" ca="1" si="28"/>
        <v>0</v>
      </c>
      <c r="BY14" s="2792">
        <f t="shared" ca="1" si="28"/>
        <v>0</v>
      </c>
      <c r="BZ14" s="2792">
        <f t="shared" ca="1" si="28"/>
        <v>0</v>
      </c>
      <c r="CA14" s="2792">
        <f t="shared" ca="1" si="28"/>
        <v>0</v>
      </c>
      <c r="CB14" s="2792">
        <f t="shared" ca="1" si="28"/>
        <v>0</v>
      </c>
      <c r="CC14" s="2792">
        <f t="shared" ca="1" si="28"/>
        <v>0</v>
      </c>
      <c r="CD14" s="2792">
        <f t="shared" ca="1" si="28"/>
        <v>0</v>
      </c>
      <c r="CE14" s="2792">
        <f t="shared" ca="1" si="28"/>
        <v>0</v>
      </c>
      <c r="CF14" s="2792">
        <f t="shared" ca="1" si="28"/>
        <v>0</v>
      </c>
      <c r="CG14" s="2792">
        <f t="shared" ca="1" si="28"/>
        <v>0</v>
      </c>
      <c r="CH14" s="2792">
        <f t="shared" ca="1" si="28"/>
        <v>0</v>
      </c>
      <c r="CI14" s="2792">
        <f t="shared" ca="1" si="28"/>
        <v>0</v>
      </c>
      <c r="CJ14" s="2792">
        <f t="shared" ca="1" si="28"/>
        <v>0</v>
      </c>
      <c r="CK14" s="2792">
        <f t="shared" ca="1" si="28"/>
        <v>0</v>
      </c>
      <c r="CL14" s="2792">
        <f t="shared" ca="1" si="28"/>
        <v>0</v>
      </c>
      <c r="CM14" s="2792">
        <f t="shared" ca="1" si="28"/>
        <v>0</v>
      </c>
      <c r="CN14" s="2792">
        <f t="shared" ca="1" si="28"/>
        <v>0</v>
      </c>
      <c r="CO14" s="2792">
        <f t="shared" ca="1" si="28"/>
        <v>0</v>
      </c>
      <c r="CP14" s="2792">
        <f t="shared" ca="1" si="28"/>
        <v>0</v>
      </c>
      <c r="CQ14" s="2792">
        <f t="shared" ca="1" si="28"/>
        <v>0</v>
      </c>
      <c r="CR14" s="2792">
        <f t="shared" ca="1" si="28"/>
        <v>0</v>
      </c>
      <c r="CS14" s="2792">
        <f t="shared" ca="1" si="28"/>
        <v>0</v>
      </c>
      <c r="CT14" s="2792">
        <f t="shared" ca="1" si="28"/>
        <v>0</v>
      </c>
      <c r="CU14" s="2792">
        <f t="shared" ca="1" si="28"/>
        <v>0</v>
      </c>
      <c r="CV14" s="2792">
        <f t="shared" ca="1" si="28"/>
        <v>0</v>
      </c>
      <c r="CW14" s="2792">
        <f t="shared" ca="1" si="28"/>
        <v>0</v>
      </c>
      <c r="CX14" s="2792">
        <f t="shared" ca="1" si="28"/>
        <v>0</v>
      </c>
      <c r="CY14" s="2792">
        <f t="shared" ca="1" si="28"/>
        <v>0</v>
      </c>
      <c r="CZ14" s="2792">
        <f t="shared" ca="1" si="28"/>
        <v>0</v>
      </c>
      <c r="DA14" s="2792">
        <f t="shared" ca="1" si="28"/>
        <v>0</v>
      </c>
      <c r="DB14" s="2792">
        <f t="shared" ca="1" si="28"/>
        <v>0</v>
      </c>
      <c r="DC14" s="2792">
        <f t="shared" ca="1" si="28"/>
        <v>0</v>
      </c>
      <c r="DD14" s="2792">
        <f t="shared" ca="1" si="28"/>
        <v>0</v>
      </c>
      <c r="DE14" s="2792">
        <f t="shared" ca="1" si="28"/>
        <v>0</v>
      </c>
      <c r="DF14" s="2792">
        <f t="shared" ca="1" si="28"/>
        <v>0</v>
      </c>
      <c r="DH14" s="596"/>
    </row>
    <row r="15" spans="1:112" s="6" customFormat="1" ht="15.75">
      <c r="A15" s="4"/>
      <c r="B15" s="3"/>
      <c r="C15" s="616" t="s">
        <v>0</v>
      </c>
      <c r="D15" s="617" t="s">
        <v>1</v>
      </c>
      <c r="E15" s="206"/>
      <c r="G15" s="618">
        <f t="shared" ref="G15:P15" ca="1" si="29">G14+G11</f>
        <v>36.980937210387133</v>
      </c>
      <c r="H15" s="618">
        <f t="shared" ca="1" si="29"/>
        <v>0</v>
      </c>
      <c r="I15" s="618">
        <f t="shared" ca="1" si="29"/>
        <v>0</v>
      </c>
      <c r="J15" s="618">
        <f t="shared" ca="1" si="29"/>
        <v>0</v>
      </c>
      <c r="K15" s="618">
        <f t="shared" ca="1" si="29"/>
        <v>0</v>
      </c>
      <c r="L15" s="618">
        <f t="shared" ca="1" si="29"/>
        <v>0</v>
      </c>
      <c r="M15" s="618">
        <f t="shared" ca="1" si="29"/>
        <v>0</v>
      </c>
      <c r="N15" s="618">
        <f t="shared" ca="1" si="29"/>
        <v>0</v>
      </c>
      <c r="O15" s="618">
        <f t="shared" ca="1" si="29"/>
        <v>0</v>
      </c>
      <c r="P15" s="618">
        <f t="shared" ca="1" si="29"/>
        <v>0</v>
      </c>
      <c r="Q15" s="618">
        <f t="shared" ca="1" si="1"/>
        <v>36.980937210387133</v>
      </c>
      <c r="S15" s="581">
        <f t="shared" ref="S15:AJ15" ca="1" si="30">S14+S11</f>
        <v>-4.1848143780853118</v>
      </c>
      <c r="T15" s="581">
        <f t="shared" ca="1" si="30"/>
        <v>0</v>
      </c>
      <c r="U15" s="581">
        <f t="shared" ca="1" si="30"/>
        <v>-0.74186270023003087</v>
      </c>
      <c r="V15" s="581">
        <f t="shared" ca="1" si="30"/>
        <v>-17.523582127483063</v>
      </c>
      <c r="W15" s="581">
        <f t="shared" ca="1" si="30"/>
        <v>-14.378424067324726</v>
      </c>
      <c r="X15" s="581">
        <f t="shared" ca="1" si="30"/>
        <v>0</v>
      </c>
      <c r="Y15" s="581">
        <f t="shared" ca="1" si="30"/>
        <v>0</v>
      </c>
      <c r="Z15" s="581">
        <f t="shared" ca="1" si="30"/>
        <v>0</v>
      </c>
      <c r="AA15" s="581">
        <f t="shared" ca="1" si="30"/>
        <v>0</v>
      </c>
      <c r="AB15" s="581">
        <f t="shared" ca="1" si="30"/>
        <v>0</v>
      </c>
      <c r="AC15" s="581">
        <f t="shared" ca="1" si="30"/>
        <v>0</v>
      </c>
      <c r="AD15" s="581">
        <f t="shared" ca="1" si="30"/>
        <v>0</v>
      </c>
      <c r="AE15" s="581">
        <f ca="1">AE14+AE11</f>
        <v>0</v>
      </c>
      <c r="AF15" s="581">
        <f t="shared" ca="1" si="30"/>
        <v>0</v>
      </c>
      <c r="AG15" s="581">
        <f t="shared" ca="1" si="30"/>
        <v>0</v>
      </c>
      <c r="AH15" s="581">
        <f ca="1">AH14+AH11</f>
        <v>0</v>
      </c>
      <c r="AI15" s="581">
        <f t="shared" ca="1" si="30"/>
        <v>-4.1054887428987621E-2</v>
      </c>
      <c r="AJ15" s="581">
        <f t="shared" ca="1" si="30"/>
        <v>0</v>
      </c>
      <c r="AK15" s="581">
        <f t="shared" ca="1" si="4"/>
        <v>-36.869738160552117</v>
      </c>
      <c r="AM15" s="582">
        <f t="shared" ref="AM15:BE15" ca="1" si="31">AM14+AM11</f>
        <v>0</v>
      </c>
      <c r="AN15" s="582">
        <f t="shared" ca="1" si="31"/>
        <v>0</v>
      </c>
      <c r="AO15" s="582">
        <f t="shared" ca="1" si="31"/>
        <v>0</v>
      </c>
      <c r="AP15" s="582">
        <f t="shared" ca="1" si="31"/>
        <v>0</v>
      </c>
      <c r="AQ15" s="582">
        <f t="shared" ca="1" si="31"/>
        <v>0</v>
      </c>
      <c r="AR15" s="582">
        <f t="shared" ca="1" si="31"/>
        <v>0</v>
      </c>
      <c r="AS15" s="582">
        <f t="shared" ca="1" si="31"/>
        <v>0</v>
      </c>
      <c r="AT15" s="582">
        <f t="shared" ca="1" si="31"/>
        <v>0</v>
      </c>
      <c r="AU15" s="582">
        <f t="shared" ca="1" si="31"/>
        <v>0</v>
      </c>
      <c r="AV15" s="582">
        <f t="shared" ca="1" si="31"/>
        <v>0</v>
      </c>
      <c r="AW15" s="582">
        <f t="shared" ca="1" si="31"/>
        <v>0</v>
      </c>
      <c r="AX15" s="582">
        <f t="shared" ca="1" si="31"/>
        <v>0</v>
      </c>
      <c r="AY15" s="582">
        <f t="shared" ca="1" si="31"/>
        <v>0</v>
      </c>
      <c r="AZ15" s="582">
        <f t="shared" ca="1" si="31"/>
        <v>0</v>
      </c>
      <c r="BA15" s="582">
        <f t="shared" ca="1" si="31"/>
        <v>0</v>
      </c>
      <c r="BB15" s="582">
        <f t="shared" ca="1" si="31"/>
        <v>0</v>
      </c>
      <c r="BC15" s="582">
        <f t="shared" ca="1" si="31"/>
        <v>-0.11119904983501781</v>
      </c>
      <c r="BD15" s="582">
        <f ca="1">BD14+BD11</f>
        <v>0</v>
      </c>
      <c r="BE15" s="582">
        <f t="shared" ca="1" si="31"/>
        <v>0</v>
      </c>
      <c r="BF15" s="582">
        <f t="shared" ca="1" si="7"/>
        <v>-0.11119904983501781</v>
      </c>
      <c r="BH15" s="3463">
        <f ca="1">BH14+BH11</f>
        <v>0</v>
      </c>
      <c r="BI15" s="3463">
        <f ca="1">BI14+BI11</f>
        <v>0</v>
      </c>
      <c r="BJ15" s="3463">
        <f t="shared" ca="1" si="9"/>
        <v>0</v>
      </c>
      <c r="BL15" s="3477">
        <f t="shared" ca="1" si="10"/>
        <v>-2.5396351688300456E-15</v>
      </c>
      <c r="BM15" s="584"/>
      <c r="BN15" s="413"/>
      <c r="BO15" s="2790">
        <f t="shared" ref="BO15:DF15" ca="1" si="32">BO14+BO11</f>
        <v>7.8181605462939707</v>
      </c>
      <c r="BP15" s="2790">
        <f t="shared" ca="1" si="32"/>
        <v>5.1006166600990818E-3</v>
      </c>
      <c r="BQ15" s="2790">
        <f t="shared" ca="1" si="32"/>
        <v>5.8682081630780758E-2</v>
      </c>
      <c r="BR15" s="2790">
        <f t="shared" ca="1" si="32"/>
        <v>0</v>
      </c>
      <c r="BS15" s="2790">
        <f t="shared" ca="1" si="32"/>
        <v>0</v>
      </c>
      <c r="BT15" s="2790">
        <f t="shared" ca="1" si="32"/>
        <v>0</v>
      </c>
      <c r="BU15" s="2790">
        <f t="shared" ca="1" si="32"/>
        <v>0</v>
      </c>
      <c r="BV15" s="2790">
        <f t="shared" ca="1" si="32"/>
        <v>0</v>
      </c>
      <c r="BW15" s="2790">
        <f t="shared" ca="1" si="32"/>
        <v>0</v>
      </c>
      <c r="BX15" s="2790">
        <f t="shared" ca="1" si="32"/>
        <v>0</v>
      </c>
      <c r="BY15" s="2790">
        <f t="shared" ca="1" si="32"/>
        <v>0</v>
      </c>
      <c r="BZ15" s="2790">
        <f t="shared" ca="1" si="32"/>
        <v>0</v>
      </c>
      <c r="CA15" s="2790">
        <f t="shared" ca="1" si="32"/>
        <v>0</v>
      </c>
      <c r="CB15" s="2790">
        <f t="shared" ca="1" si="32"/>
        <v>0</v>
      </c>
      <c r="CC15" s="2790">
        <f t="shared" ca="1" si="32"/>
        <v>0</v>
      </c>
      <c r="CD15" s="2790">
        <f t="shared" ca="1" si="32"/>
        <v>0</v>
      </c>
      <c r="CE15" s="2790">
        <f t="shared" ca="1" si="32"/>
        <v>0</v>
      </c>
      <c r="CF15" s="2790">
        <f t="shared" ca="1" si="32"/>
        <v>0</v>
      </c>
      <c r="CG15" s="2790">
        <f t="shared" ca="1" si="32"/>
        <v>0</v>
      </c>
      <c r="CH15" s="2790">
        <f t="shared" ca="1" si="32"/>
        <v>0</v>
      </c>
      <c r="CI15" s="2790">
        <f t="shared" ca="1" si="32"/>
        <v>0</v>
      </c>
      <c r="CJ15" s="2790">
        <f t="shared" ca="1" si="32"/>
        <v>0</v>
      </c>
      <c r="CK15" s="2790">
        <f t="shared" ca="1" si="32"/>
        <v>0</v>
      </c>
      <c r="CL15" s="2790">
        <f t="shared" ca="1" si="32"/>
        <v>0</v>
      </c>
      <c r="CM15" s="2790">
        <f t="shared" ca="1" si="32"/>
        <v>0</v>
      </c>
      <c r="CN15" s="2790">
        <f t="shared" ca="1" si="32"/>
        <v>0</v>
      </c>
      <c r="CO15" s="2790">
        <f t="shared" ca="1" si="32"/>
        <v>0</v>
      </c>
      <c r="CP15" s="2790">
        <f t="shared" ca="1" si="32"/>
        <v>0</v>
      </c>
      <c r="CQ15" s="2790">
        <f t="shared" ca="1" si="32"/>
        <v>0</v>
      </c>
      <c r="CR15" s="2790">
        <f t="shared" ca="1" si="32"/>
        <v>0</v>
      </c>
      <c r="CS15" s="2790">
        <f t="shared" ca="1" si="32"/>
        <v>0</v>
      </c>
      <c r="CT15" s="2790">
        <f t="shared" ca="1" si="32"/>
        <v>0</v>
      </c>
      <c r="CU15" s="2790">
        <f t="shared" ca="1" si="32"/>
        <v>0</v>
      </c>
      <c r="CV15" s="2790">
        <f t="shared" ca="1" si="32"/>
        <v>0</v>
      </c>
      <c r="CW15" s="2790">
        <f t="shared" ca="1" si="32"/>
        <v>0</v>
      </c>
      <c r="CX15" s="2790">
        <f t="shared" ca="1" si="32"/>
        <v>0</v>
      </c>
      <c r="CY15" s="2790">
        <f t="shared" ca="1" si="32"/>
        <v>0</v>
      </c>
      <c r="CZ15" s="2790">
        <f t="shared" ca="1" si="32"/>
        <v>0</v>
      </c>
      <c r="DA15" s="2790">
        <f t="shared" ca="1" si="32"/>
        <v>0</v>
      </c>
      <c r="DB15" s="2790">
        <f t="shared" ca="1" si="32"/>
        <v>0</v>
      </c>
      <c r="DC15" s="2790">
        <f t="shared" ca="1" si="32"/>
        <v>0</v>
      </c>
      <c r="DD15" s="2790">
        <f t="shared" ca="1" si="32"/>
        <v>0</v>
      </c>
      <c r="DE15" s="2790">
        <f t="shared" ca="1" si="32"/>
        <v>0</v>
      </c>
      <c r="DF15" s="2790">
        <f t="shared" ca="1" si="32"/>
        <v>0</v>
      </c>
      <c r="DH15" s="596">
        <f t="shared" ref="DH15:DH38" ca="1" si="33">SUM(BO15:DF15)</f>
        <v>7.8819432445848499</v>
      </c>
    </row>
    <row r="16" spans="1:112" s="6" customFormat="1" outlineLevel="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10"/>
        <v>0</v>
      </c>
      <c r="BM16" s="610"/>
      <c r="BN16" s="607" t="s">
        <v>5</v>
      </c>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3"/>
        <v>0</v>
      </c>
    </row>
    <row r="17" spans="1:112" s="6" customFormat="1" ht="12.75" customHeight="1" outlineLevel="1">
      <c r="A17" s="607"/>
      <c r="B17" s="607"/>
      <c r="C17" s="587" t="s">
        <v>470</v>
      </c>
      <c r="D17" s="586" t="s">
        <v>471</v>
      </c>
      <c r="E17" s="599"/>
      <c r="G17" s="589">
        <f t="shared" ref="G17:P18" ca="1" si="34">IFERROR(INDEX(INDIRECT($C17&amp;".Outputs["&amp;this.Year&amp;"]"), MATCH(G$5, INDIRECT($C17&amp;".Outputs[Vector]"), 0)), 0)</f>
        <v>0</v>
      </c>
      <c r="H17" s="589">
        <f t="shared" ca="1" si="34"/>
        <v>5.4551773515786595</v>
      </c>
      <c r="I17" s="589">
        <f t="shared" ca="1" si="34"/>
        <v>0</v>
      </c>
      <c r="J17" s="589">
        <f t="shared" ca="1" si="34"/>
        <v>0</v>
      </c>
      <c r="K17" s="589">
        <f t="shared" ca="1" si="34"/>
        <v>0</v>
      </c>
      <c r="L17" s="589">
        <f t="shared" ca="1" si="34"/>
        <v>0</v>
      </c>
      <c r="M17" s="589">
        <f t="shared" ca="1" si="34"/>
        <v>0</v>
      </c>
      <c r="N17" s="589">
        <f t="shared" ca="1" si="34"/>
        <v>0</v>
      </c>
      <c r="O17" s="589">
        <f t="shared" ca="1" si="34"/>
        <v>0</v>
      </c>
      <c r="P17" s="589">
        <f t="shared" ca="1" si="34"/>
        <v>0</v>
      </c>
      <c r="Q17" s="590">
        <f ca="1">SUM(G17:P17)</f>
        <v>5.4551773515786595</v>
      </c>
      <c r="S17" s="591">
        <f t="shared" ref="S17:AJ18" ca="1" si="35">IFERROR(INDEX(INDIRECT($C17&amp;".Outputs["&amp;this.Year&amp;"]"), MATCH(S$5, INDIRECT($C17&amp;".Outputs[Vector]"), 0)), 0)</f>
        <v>-5.0505157520193107</v>
      </c>
      <c r="T17" s="591">
        <f t="shared" ca="1" si="35"/>
        <v>0</v>
      </c>
      <c r="U17" s="591">
        <f t="shared" ca="1" si="35"/>
        <v>0</v>
      </c>
      <c r="V17" s="591">
        <f t="shared" ca="1" si="35"/>
        <v>0</v>
      </c>
      <c r="W17" s="591">
        <f t="shared" ca="1" si="35"/>
        <v>-0.40466159955934872</v>
      </c>
      <c r="X17" s="591">
        <f t="shared" ref="X17:Z18" ca="1" si="36">IFERROR(INDEX(INDIRECT($C17&amp;".Outputs["&amp;this.Year&amp;"]"), MATCH(X$5, INDIRECT($C17&amp;".Outputs[Vector]"), 0)), 0)</f>
        <v>0</v>
      </c>
      <c r="Y17" s="591">
        <f t="shared" ca="1" si="36"/>
        <v>0</v>
      </c>
      <c r="Z17" s="591">
        <f t="shared" ca="1" si="36"/>
        <v>0</v>
      </c>
      <c r="AA17" s="591">
        <f t="shared" ca="1" si="35"/>
        <v>0</v>
      </c>
      <c r="AB17" s="591">
        <f t="shared" ca="1" si="35"/>
        <v>0</v>
      </c>
      <c r="AC17" s="591">
        <f t="shared" ca="1" si="35"/>
        <v>0</v>
      </c>
      <c r="AD17" s="591">
        <f t="shared" ca="1" si="35"/>
        <v>0</v>
      </c>
      <c r="AE17" s="591">
        <f t="shared" ca="1" si="35"/>
        <v>0</v>
      </c>
      <c r="AF17" s="591">
        <f t="shared" ca="1" si="35"/>
        <v>0</v>
      </c>
      <c r="AG17" s="591">
        <f t="shared" ca="1" si="35"/>
        <v>0</v>
      </c>
      <c r="AH17" s="591">
        <f t="shared" ca="1" si="35"/>
        <v>0</v>
      </c>
      <c r="AI17" s="591">
        <f t="shared" ca="1" si="35"/>
        <v>0</v>
      </c>
      <c r="AJ17" s="591">
        <f t="shared" ca="1" si="35"/>
        <v>0</v>
      </c>
      <c r="AK17" s="592">
        <f ca="1">SUM(S17:AJ17)</f>
        <v>-5.4551773515786595</v>
      </c>
      <c r="AM17" s="593">
        <f t="shared" ref="AM17:AU18" ca="1" si="37">IFERROR(INDEX(INDIRECT($C17&amp;".Outputs["&amp;this.Year&amp;"]"), MATCH(AM$5, INDIRECT($C17&amp;".Outputs[Vector]"), 0)), 0)</f>
        <v>0</v>
      </c>
      <c r="AN17" s="593">
        <f t="shared" ca="1" si="37"/>
        <v>0</v>
      </c>
      <c r="AO17" s="593">
        <f t="shared" ca="1" si="37"/>
        <v>0</v>
      </c>
      <c r="AP17" s="593">
        <f t="shared" ca="1" si="37"/>
        <v>0</v>
      </c>
      <c r="AQ17" s="593">
        <f t="shared" ca="1" si="37"/>
        <v>0</v>
      </c>
      <c r="AR17" s="593">
        <f t="shared" ca="1" si="37"/>
        <v>0</v>
      </c>
      <c r="AS17" s="593">
        <f t="shared" ca="1" si="37"/>
        <v>0</v>
      </c>
      <c r="AT17" s="593">
        <f t="shared" ca="1" si="37"/>
        <v>0</v>
      </c>
      <c r="AU17" s="593">
        <f t="shared" ca="1" si="37"/>
        <v>0</v>
      </c>
      <c r="AV17" s="593">
        <f t="shared" ref="AV17:BE18" ca="1" si="38">IFERROR(INDEX(INDIRECT($C17&amp;".Outputs["&amp;this.Year&amp;"]"), MATCH(AV$5, INDIRECT($C17&amp;".Outputs[Vector]"), 0)), 0)</f>
        <v>0</v>
      </c>
      <c r="AW17" s="593">
        <f t="shared" ca="1" si="38"/>
        <v>0</v>
      </c>
      <c r="AX17" s="593">
        <f t="shared" ca="1" si="38"/>
        <v>0</v>
      </c>
      <c r="AY17" s="593">
        <f t="shared" ca="1" si="38"/>
        <v>0</v>
      </c>
      <c r="AZ17" s="593">
        <f t="shared" ca="1" si="38"/>
        <v>0</v>
      </c>
      <c r="BA17" s="593">
        <f t="shared" ca="1" si="38"/>
        <v>0</v>
      </c>
      <c r="BB17" s="593">
        <f t="shared" ca="1" si="38"/>
        <v>0</v>
      </c>
      <c r="BC17" s="593">
        <f t="shared" ca="1" si="38"/>
        <v>0</v>
      </c>
      <c r="BD17" s="593">
        <f t="shared" ca="1" si="38"/>
        <v>0</v>
      </c>
      <c r="BE17" s="593">
        <f t="shared" ca="1" si="38"/>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10"/>
        <v>0</v>
      </c>
      <c r="BM17" s="610"/>
      <c r="BN17" s="413"/>
      <c r="BO17" s="2789">
        <f t="shared" ref="BO17:BX18" ca="1" si="39">IFERROR(SUMIFS(INDIRECT($C17&amp;".Emissions["&amp;this.Year&amp;"]"), INDIRECT($C17&amp;".Emissions[GHG]"), BO$6, INDIRECT($C17&amp;".Emissions[IPCC Sector]"), BO$5),0)</f>
        <v>8.2842808255709333E-2</v>
      </c>
      <c r="BP17" s="2790">
        <f t="shared" ca="1" si="39"/>
        <v>3.0592416926686766E-5</v>
      </c>
      <c r="BQ17" s="2790">
        <f t="shared" ca="1" si="39"/>
        <v>1.3096468008138762E-3</v>
      </c>
      <c r="BR17" s="2790">
        <f t="shared" ca="1" si="39"/>
        <v>0</v>
      </c>
      <c r="BS17" s="2790">
        <f t="shared" ca="1" si="39"/>
        <v>0</v>
      </c>
      <c r="BT17" s="2790">
        <f t="shared" ca="1" si="39"/>
        <v>0</v>
      </c>
      <c r="BU17" s="2790">
        <f t="shared" ca="1" si="39"/>
        <v>0</v>
      </c>
      <c r="BV17" s="2790">
        <f t="shared" ca="1" si="39"/>
        <v>0</v>
      </c>
      <c r="BW17" s="2790">
        <f t="shared" ca="1" si="39"/>
        <v>0</v>
      </c>
      <c r="BX17" s="2790">
        <f t="shared" ca="1" si="39"/>
        <v>0</v>
      </c>
      <c r="BY17" s="2790">
        <f t="shared" ref="BY17:CH18" ca="1" si="40">IFERROR(SUMIFS(INDIRECT($C17&amp;".Emissions["&amp;this.Year&amp;"]"), INDIRECT($C17&amp;".Emissions[GHG]"), BY$6, INDIRECT($C17&amp;".Emissions[IPCC Sector]"), BY$5),0)</f>
        <v>0</v>
      </c>
      <c r="BZ17" s="2790">
        <f t="shared" ca="1" si="40"/>
        <v>0</v>
      </c>
      <c r="CA17" s="2790">
        <f t="shared" ca="1" si="40"/>
        <v>0</v>
      </c>
      <c r="CB17" s="2790">
        <f t="shared" ca="1" si="40"/>
        <v>0</v>
      </c>
      <c r="CC17" s="2790">
        <f t="shared" ca="1" si="40"/>
        <v>0</v>
      </c>
      <c r="CD17" s="2790">
        <f t="shared" ca="1" si="40"/>
        <v>0</v>
      </c>
      <c r="CE17" s="2790">
        <f t="shared" ca="1" si="40"/>
        <v>0</v>
      </c>
      <c r="CF17" s="2790">
        <f t="shared" ca="1" si="40"/>
        <v>0</v>
      </c>
      <c r="CG17" s="2790">
        <f t="shared" ca="1" si="40"/>
        <v>0</v>
      </c>
      <c r="CH17" s="2790">
        <f t="shared" ca="1" si="40"/>
        <v>0</v>
      </c>
      <c r="CI17" s="2790">
        <f t="shared" ref="CI17:CR18" ca="1" si="41">IFERROR(SUMIFS(INDIRECT($C17&amp;".Emissions["&amp;this.Year&amp;"]"), INDIRECT($C17&amp;".Emissions[GHG]"), CI$6, INDIRECT($C17&amp;".Emissions[IPCC Sector]"), CI$5),0)</f>
        <v>0</v>
      </c>
      <c r="CJ17" s="2790">
        <f t="shared" ca="1" si="41"/>
        <v>0</v>
      </c>
      <c r="CK17" s="2790">
        <f t="shared" ca="1" si="41"/>
        <v>0</v>
      </c>
      <c r="CL17" s="2790">
        <f t="shared" ca="1" si="41"/>
        <v>0</v>
      </c>
      <c r="CM17" s="2790">
        <f t="shared" ca="1" si="41"/>
        <v>0</v>
      </c>
      <c r="CN17" s="2790">
        <f t="shared" ca="1" si="41"/>
        <v>0</v>
      </c>
      <c r="CO17" s="2790">
        <f t="shared" ca="1" si="41"/>
        <v>0</v>
      </c>
      <c r="CP17" s="2790">
        <f t="shared" ca="1" si="41"/>
        <v>0</v>
      </c>
      <c r="CQ17" s="2790">
        <f t="shared" ca="1" si="41"/>
        <v>0</v>
      </c>
      <c r="CR17" s="2790">
        <f t="shared" ca="1" si="41"/>
        <v>0</v>
      </c>
      <c r="CS17" s="2790">
        <f t="shared" ref="CS17:DF18" ca="1" si="42">IFERROR(SUMIFS(INDIRECT($C17&amp;".Emissions["&amp;this.Year&amp;"]"), INDIRECT($C17&amp;".Emissions[GHG]"), CS$6, INDIRECT($C17&amp;".Emissions[IPCC Sector]"), CS$5),0)</f>
        <v>0</v>
      </c>
      <c r="CT17" s="2790">
        <f t="shared" ca="1" si="42"/>
        <v>0</v>
      </c>
      <c r="CU17" s="2790">
        <f t="shared" ca="1" si="42"/>
        <v>0</v>
      </c>
      <c r="CV17" s="2790">
        <f t="shared" ca="1" si="42"/>
        <v>0</v>
      </c>
      <c r="CW17" s="2790">
        <f t="shared" ca="1" si="42"/>
        <v>0</v>
      </c>
      <c r="CX17" s="2790">
        <f t="shared" ca="1" si="42"/>
        <v>0</v>
      </c>
      <c r="CY17" s="2790">
        <f t="shared" ca="1" si="42"/>
        <v>0</v>
      </c>
      <c r="CZ17" s="2790">
        <f t="shared" ca="1" si="42"/>
        <v>0</v>
      </c>
      <c r="DA17" s="2790">
        <f t="shared" ca="1" si="42"/>
        <v>0</v>
      </c>
      <c r="DB17" s="2790">
        <f t="shared" ca="1" si="42"/>
        <v>0</v>
      </c>
      <c r="DC17" s="2790">
        <f t="shared" ca="1" si="42"/>
        <v>0</v>
      </c>
      <c r="DD17" s="2790">
        <f t="shared" ca="1" si="42"/>
        <v>0</v>
      </c>
      <c r="DE17" s="2790">
        <f t="shared" ca="1" si="42"/>
        <v>0</v>
      </c>
      <c r="DF17" s="2790">
        <f t="shared" ca="1" si="42"/>
        <v>0</v>
      </c>
      <c r="DH17" s="596">
        <f t="shared" ca="1" si="33"/>
        <v>8.4183047473449887E-2</v>
      </c>
    </row>
    <row r="18" spans="1:112" s="6" customFormat="1" ht="12.75" customHeight="1" outlineLevel="1">
      <c r="A18" s="607"/>
      <c r="B18" s="607"/>
      <c r="C18" s="587" t="s">
        <v>472</v>
      </c>
      <c r="D18" s="611" t="s">
        <v>473</v>
      </c>
      <c r="E18" s="611"/>
      <c r="G18" s="619">
        <f t="shared" ca="1" si="34"/>
        <v>0</v>
      </c>
      <c r="H18" s="619">
        <f t="shared" ca="1" si="34"/>
        <v>4.5299999999999994</v>
      </c>
      <c r="I18" s="619">
        <f t="shared" ca="1" si="34"/>
        <v>0</v>
      </c>
      <c r="J18" s="619">
        <f t="shared" ca="1" si="34"/>
        <v>0</v>
      </c>
      <c r="K18" s="619">
        <f t="shared" ca="1" si="34"/>
        <v>0</v>
      </c>
      <c r="L18" s="619">
        <f t="shared" ca="1" si="34"/>
        <v>0</v>
      </c>
      <c r="M18" s="619">
        <f t="shared" ca="1" si="34"/>
        <v>0</v>
      </c>
      <c r="N18" s="619">
        <f t="shared" ca="1" si="34"/>
        <v>0</v>
      </c>
      <c r="O18" s="619">
        <f t="shared" ca="1" si="34"/>
        <v>0</v>
      </c>
      <c r="P18" s="619">
        <f t="shared" ca="1" si="34"/>
        <v>0</v>
      </c>
      <c r="Q18" s="612">
        <f ca="1">SUM(G18:P18)</f>
        <v>4.5299999999999994</v>
      </c>
      <c r="S18" s="620">
        <f t="shared" ca="1" si="35"/>
        <v>-4.0419999999999998</v>
      </c>
      <c r="T18" s="620">
        <f t="shared" ca="1" si="35"/>
        <v>0</v>
      </c>
      <c r="U18" s="620">
        <f t="shared" ca="1" si="35"/>
        <v>0</v>
      </c>
      <c r="V18" s="620">
        <f t="shared" ca="1" si="35"/>
        <v>0</v>
      </c>
      <c r="W18" s="620">
        <f t="shared" ca="1" si="35"/>
        <v>-0.48799999999999999</v>
      </c>
      <c r="X18" s="620">
        <f t="shared" ca="1" si="36"/>
        <v>0</v>
      </c>
      <c r="Y18" s="620">
        <f t="shared" ca="1" si="36"/>
        <v>0</v>
      </c>
      <c r="Z18" s="620">
        <f t="shared" ca="1" si="36"/>
        <v>0</v>
      </c>
      <c r="AA18" s="620">
        <f t="shared" ca="1" si="35"/>
        <v>0</v>
      </c>
      <c r="AB18" s="620">
        <f t="shared" ca="1" si="35"/>
        <v>0</v>
      </c>
      <c r="AC18" s="620">
        <f t="shared" ca="1" si="35"/>
        <v>0</v>
      </c>
      <c r="AD18" s="620">
        <f t="shared" ca="1" si="35"/>
        <v>0</v>
      </c>
      <c r="AE18" s="620">
        <f t="shared" ca="1" si="35"/>
        <v>0</v>
      </c>
      <c r="AF18" s="620">
        <f t="shared" ca="1" si="35"/>
        <v>0</v>
      </c>
      <c r="AG18" s="620">
        <f t="shared" ca="1" si="35"/>
        <v>0</v>
      </c>
      <c r="AH18" s="620">
        <f t="shared" ca="1" si="35"/>
        <v>0</v>
      </c>
      <c r="AI18" s="620">
        <f t="shared" ca="1" si="35"/>
        <v>0</v>
      </c>
      <c r="AJ18" s="620">
        <f t="shared" ca="1" si="35"/>
        <v>0</v>
      </c>
      <c r="AK18" s="613">
        <f ca="1">SUM(S18:AJ18)</f>
        <v>-4.5299999999999994</v>
      </c>
      <c r="AM18" s="621">
        <f t="shared" ca="1" si="37"/>
        <v>0</v>
      </c>
      <c r="AN18" s="621">
        <f t="shared" ca="1" si="37"/>
        <v>0</v>
      </c>
      <c r="AO18" s="621">
        <f t="shared" ca="1" si="37"/>
        <v>0</v>
      </c>
      <c r="AP18" s="621">
        <f t="shared" ca="1" si="37"/>
        <v>0</v>
      </c>
      <c r="AQ18" s="621">
        <f t="shared" ca="1" si="37"/>
        <v>0</v>
      </c>
      <c r="AR18" s="621">
        <f t="shared" ca="1" si="37"/>
        <v>0</v>
      </c>
      <c r="AS18" s="621">
        <f t="shared" ca="1" si="37"/>
        <v>0</v>
      </c>
      <c r="AT18" s="621">
        <f t="shared" ca="1" si="37"/>
        <v>0</v>
      </c>
      <c r="AU18" s="621">
        <f t="shared" ca="1" si="37"/>
        <v>0</v>
      </c>
      <c r="AV18" s="621">
        <f t="shared" ca="1" si="38"/>
        <v>0</v>
      </c>
      <c r="AW18" s="621">
        <f t="shared" ca="1" si="38"/>
        <v>0</v>
      </c>
      <c r="AX18" s="621">
        <f t="shared" ca="1" si="38"/>
        <v>0</v>
      </c>
      <c r="AY18" s="621">
        <f t="shared" ca="1" si="38"/>
        <v>0</v>
      </c>
      <c r="AZ18" s="621">
        <f t="shared" ca="1" si="38"/>
        <v>0</v>
      </c>
      <c r="BA18" s="621">
        <f t="shared" ca="1" si="38"/>
        <v>0</v>
      </c>
      <c r="BB18" s="621">
        <f t="shared" ca="1" si="38"/>
        <v>0</v>
      </c>
      <c r="BC18" s="621">
        <f t="shared" ca="1" si="38"/>
        <v>0</v>
      </c>
      <c r="BD18" s="621">
        <f t="shared" ca="1" si="38"/>
        <v>0</v>
      </c>
      <c r="BE18" s="621">
        <f t="shared" ca="1" si="38"/>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10"/>
        <v>0</v>
      </c>
      <c r="BM18" s="610"/>
      <c r="BN18" s="413"/>
      <c r="BO18" s="2791">
        <f t="shared" ca="1" si="39"/>
        <v>9.9903945599999988E-2</v>
      </c>
      <c r="BP18" s="2792">
        <f t="shared" ca="1" si="39"/>
        <v>3.68928E-5</v>
      </c>
      <c r="BQ18" s="2792">
        <f t="shared" ca="1" si="39"/>
        <v>1.5793631999999999E-3</v>
      </c>
      <c r="BR18" s="2792">
        <f t="shared" ca="1" si="39"/>
        <v>0</v>
      </c>
      <c r="BS18" s="2792">
        <f t="shared" ca="1" si="39"/>
        <v>0</v>
      </c>
      <c r="BT18" s="2792">
        <f t="shared" ca="1" si="39"/>
        <v>0</v>
      </c>
      <c r="BU18" s="2792">
        <f t="shared" ca="1" si="39"/>
        <v>0</v>
      </c>
      <c r="BV18" s="2792">
        <f t="shared" ca="1" si="39"/>
        <v>0</v>
      </c>
      <c r="BW18" s="2792">
        <f t="shared" ca="1" si="39"/>
        <v>0</v>
      </c>
      <c r="BX18" s="2792">
        <f t="shared" ca="1" si="39"/>
        <v>0</v>
      </c>
      <c r="BY18" s="2792">
        <f t="shared" ca="1" si="40"/>
        <v>0</v>
      </c>
      <c r="BZ18" s="2792">
        <f t="shared" ca="1" si="40"/>
        <v>0</v>
      </c>
      <c r="CA18" s="2792">
        <f t="shared" ca="1" si="40"/>
        <v>0</v>
      </c>
      <c r="CB18" s="2792">
        <f t="shared" ca="1" si="40"/>
        <v>0</v>
      </c>
      <c r="CC18" s="2792">
        <f t="shared" ca="1" si="40"/>
        <v>0</v>
      </c>
      <c r="CD18" s="2792">
        <f t="shared" ca="1" si="40"/>
        <v>0</v>
      </c>
      <c r="CE18" s="2792">
        <f t="shared" ca="1" si="40"/>
        <v>0</v>
      </c>
      <c r="CF18" s="2792">
        <f t="shared" ca="1" si="40"/>
        <v>0</v>
      </c>
      <c r="CG18" s="2792">
        <f t="shared" ca="1" si="40"/>
        <v>0</v>
      </c>
      <c r="CH18" s="2792">
        <f t="shared" ca="1" si="40"/>
        <v>0</v>
      </c>
      <c r="CI18" s="2792">
        <f t="shared" ca="1" si="41"/>
        <v>0</v>
      </c>
      <c r="CJ18" s="2792">
        <f t="shared" ca="1" si="41"/>
        <v>0</v>
      </c>
      <c r="CK18" s="2792">
        <f t="shared" ca="1" si="41"/>
        <v>0</v>
      </c>
      <c r="CL18" s="2792">
        <f t="shared" ca="1" si="41"/>
        <v>0</v>
      </c>
      <c r="CM18" s="2792">
        <f t="shared" ca="1" si="41"/>
        <v>0</v>
      </c>
      <c r="CN18" s="2792">
        <f t="shared" ca="1" si="41"/>
        <v>0</v>
      </c>
      <c r="CO18" s="2792">
        <f t="shared" ca="1" si="41"/>
        <v>0</v>
      </c>
      <c r="CP18" s="2792">
        <f t="shared" ca="1" si="41"/>
        <v>0</v>
      </c>
      <c r="CQ18" s="2792">
        <f t="shared" ca="1" si="41"/>
        <v>0</v>
      </c>
      <c r="CR18" s="2792">
        <f t="shared" ca="1" si="41"/>
        <v>0</v>
      </c>
      <c r="CS18" s="2792">
        <f t="shared" ca="1" si="42"/>
        <v>0</v>
      </c>
      <c r="CT18" s="2792">
        <f t="shared" ca="1" si="42"/>
        <v>0</v>
      </c>
      <c r="CU18" s="2792">
        <f t="shared" ca="1" si="42"/>
        <v>0</v>
      </c>
      <c r="CV18" s="2792">
        <f t="shared" ca="1" si="42"/>
        <v>0</v>
      </c>
      <c r="CW18" s="2792">
        <f t="shared" ca="1" si="42"/>
        <v>0</v>
      </c>
      <c r="CX18" s="2792">
        <f t="shared" ca="1" si="42"/>
        <v>0</v>
      </c>
      <c r="CY18" s="2792">
        <f t="shared" ca="1" si="42"/>
        <v>0</v>
      </c>
      <c r="CZ18" s="2792">
        <f t="shared" ca="1" si="42"/>
        <v>0</v>
      </c>
      <c r="DA18" s="2792">
        <f t="shared" ca="1" si="42"/>
        <v>0</v>
      </c>
      <c r="DB18" s="2792">
        <f t="shared" ca="1" si="42"/>
        <v>0</v>
      </c>
      <c r="DC18" s="2792">
        <f t="shared" ca="1" si="42"/>
        <v>0</v>
      </c>
      <c r="DD18" s="2792">
        <f t="shared" ca="1" si="42"/>
        <v>0</v>
      </c>
      <c r="DE18" s="2792">
        <f t="shared" ca="1" si="42"/>
        <v>0</v>
      </c>
      <c r="DF18" s="2792">
        <f t="shared" ca="1" si="42"/>
        <v>0</v>
      </c>
      <c r="DH18" s="596">
        <f t="shared" ca="1" si="33"/>
        <v>0.10152020159999998</v>
      </c>
    </row>
    <row r="19" spans="1:112" s="6" customFormat="1" ht="15.75">
      <c r="A19" s="4"/>
      <c r="B19" s="3"/>
      <c r="C19" s="616" t="s">
        <v>474</v>
      </c>
      <c r="D19" s="617" t="s">
        <v>83</v>
      </c>
      <c r="E19" s="206"/>
      <c r="G19" s="618">
        <f ca="1">G17+G18</f>
        <v>0</v>
      </c>
      <c r="H19" s="618">
        <f t="shared" ref="H19:P19" ca="1" si="43">H17+H18</f>
        <v>9.9851773515786597</v>
      </c>
      <c r="I19" s="618">
        <f t="shared" ca="1" si="43"/>
        <v>0</v>
      </c>
      <c r="J19" s="618">
        <f t="shared" ca="1" si="43"/>
        <v>0</v>
      </c>
      <c r="K19" s="618">
        <f t="shared" ca="1" si="43"/>
        <v>0</v>
      </c>
      <c r="L19" s="618">
        <f t="shared" ca="1" si="43"/>
        <v>0</v>
      </c>
      <c r="M19" s="618">
        <f t="shared" ca="1" si="43"/>
        <v>0</v>
      </c>
      <c r="N19" s="618">
        <f ca="1">N17+N18</f>
        <v>0</v>
      </c>
      <c r="O19" s="618">
        <f ca="1">O17+O18</f>
        <v>0</v>
      </c>
      <c r="P19" s="618">
        <f t="shared" ca="1" si="43"/>
        <v>0</v>
      </c>
      <c r="Q19" s="618">
        <f ca="1">SUM(G19:P19)</f>
        <v>9.9851773515786597</v>
      </c>
      <c r="S19" s="581">
        <f ca="1">S17+S18</f>
        <v>-9.0925157520193096</v>
      </c>
      <c r="T19" s="581">
        <f t="shared" ref="T19:AJ19" ca="1" si="44">T17+T18</f>
        <v>0</v>
      </c>
      <c r="U19" s="581">
        <f t="shared" ca="1" si="44"/>
        <v>0</v>
      </c>
      <c r="V19" s="581">
        <f t="shared" ca="1" si="44"/>
        <v>0</v>
      </c>
      <c r="W19" s="581">
        <f t="shared" ca="1" si="44"/>
        <v>-0.89266159955934876</v>
      </c>
      <c r="X19" s="581">
        <f ca="1">X17+X18</f>
        <v>0</v>
      </c>
      <c r="Y19" s="581">
        <f ca="1">Y17+Y18</f>
        <v>0</v>
      </c>
      <c r="Z19" s="581">
        <f ca="1">Z17+Z18</f>
        <v>0</v>
      </c>
      <c r="AA19" s="581">
        <f t="shared" ca="1" si="44"/>
        <v>0</v>
      </c>
      <c r="AB19" s="581">
        <f t="shared" ca="1" si="44"/>
        <v>0</v>
      </c>
      <c r="AC19" s="581">
        <f t="shared" ca="1" si="44"/>
        <v>0</v>
      </c>
      <c r="AD19" s="581">
        <f ca="1">AD17+AD18</f>
        <v>0</v>
      </c>
      <c r="AE19" s="581">
        <f ca="1">AE17+AE18</f>
        <v>0</v>
      </c>
      <c r="AF19" s="581">
        <f t="shared" ca="1" si="44"/>
        <v>0</v>
      </c>
      <c r="AG19" s="581">
        <f ca="1">AG17+AG18</f>
        <v>0</v>
      </c>
      <c r="AH19" s="581">
        <f ca="1">AH17+AH18</f>
        <v>0</v>
      </c>
      <c r="AI19" s="581">
        <f ca="1">AI17+AI18</f>
        <v>0</v>
      </c>
      <c r="AJ19" s="581">
        <f t="shared" ca="1" si="44"/>
        <v>0</v>
      </c>
      <c r="AK19" s="581">
        <f ca="1">SUM(S19:AJ19)</f>
        <v>-9.9851773515786579</v>
      </c>
      <c r="AM19" s="582">
        <f t="shared" ref="AM19:BE19" ca="1" si="45">AM17+AM18</f>
        <v>0</v>
      </c>
      <c r="AN19" s="582">
        <f t="shared" ca="1" si="45"/>
        <v>0</v>
      </c>
      <c r="AO19" s="582">
        <f t="shared" ca="1" si="45"/>
        <v>0</v>
      </c>
      <c r="AP19" s="582">
        <f t="shared" ca="1" si="45"/>
        <v>0</v>
      </c>
      <c r="AQ19" s="582">
        <f t="shared" ca="1" si="45"/>
        <v>0</v>
      </c>
      <c r="AR19" s="582">
        <f t="shared" ca="1" si="45"/>
        <v>0</v>
      </c>
      <c r="AS19" s="582">
        <f t="shared" ca="1" si="45"/>
        <v>0</v>
      </c>
      <c r="AT19" s="582">
        <f t="shared" ca="1" si="45"/>
        <v>0</v>
      </c>
      <c r="AU19" s="582">
        <f t="shared" ca="1" si="45"/>
        <v>0</v>
      </c>
      <c r="AV19" s="582">
        <f t="shared" ca="1" si="45"/>
        <v>0</v>
      </c>
      <c r="AW19" s="582">
        <f t="shared" ca="1" si="45"/>
        <v>0</v>
      </c>
      <c r="AX19" s="582">
        <f t="shared" ca="1" si="45"/>
        <v>0</v>
      </c>
      <c r="AY19" s="582">
        <f t="shared" ca="1" si="45"/>
        <v>0</v>
      </c>
      <c r="AZ19" s="582">
        <f t="shared" ca="1" si="45"/>
        <v>0</v>
      </c>
      <c r="BA19" s="582">
        <f t="shared" ca="1" si="45"/>
        <v>0</v>
      </c>
      <c r="BB19" s="582">
        <f t="shared" ca="1" si="45"/>
        <v>0</v>
      </c>
      <c r="BC19" s="582">
        <f t="shared" ca="1" si="45"/>
        <v>0</v>
      </c>
      <c r="BD19" s="582">
        <f ca="1">BD17+BD18</f>
        <v>0</v>
      </c>
      <c r="BE19" s="582">
        <f t="shared" ca="1" si="45"/>
        <v>0</v>
      </c>
      <c r="BF19" s="582">
        <f ca="1">SUM(AM19:BE19)</f>
        <v>0</v>
      </c>
      <c r="BH19" s="3463">
        <f ca="1">BH17+BH18</f>
        <v>0</v>
      </c>
      <c r="BI19" s="3463">
        <f ca="1">BI17+BI18</f>
        <v>0</v>
      </c>
      <c r="BJ19" s="3463">
        <f ca="1">SUM(BH19:BI19)</f>
        <v>0</v>
      </c>
      <c r="BL19" s="3477">
        <f t="shared" ca="1" si="10"/>
        <v>1.7763568394002505E-15</v>
      </c>
      <c r="BM19" s="584"/>
      <c r="BN19" s="413"/>
      <c r="BO19" s="2790">
        <f t="shared" ref="BO19:DF19" ca="1" si="46">BO17+BO18</f>
        <v>0.18274675385570932</v>
      </c>
      <c r="BP19" s="2790">
        <f t="shared" ca="1" si="46"/>
        <v>6.7485216926686759E-5</v>
      </c>
      <c r="BQ19" s="2790">
        <f t="shared" ca="1" si="46"/>
        <v>2.8890100008138759E-3</v>
      </c>
      <c r="BR19" s="2790">
        <f t="shared" ca="1" si="46"/>
        <v>0</v>
      </c>
      <c r="BS19" s="2790">
        <f t="shared" ca="1" si="46"/>
        <v>0</v>
      </c>
      <c r="BT19" s="2790">
        <f t="shared" ca="1" si="46"/>
        <v>0</v>
      </c>
      <c r="BU19" s="2790">
        <f t="shared" ca="1" si="46"/>
        <v>0</v>
      </c>
      <c r="BV19" s="2790">
        <f t="shared" ca="1" si="46"/>
        <v>0</v>
      </c>
      <c r="BW19" s="2790">
        <f t="shared" ca="1" si="46"/>
        <v>0</v>
      </c>
      <c r="BX19" s="2790">
        <f t="shared" ca="1" si="46"/>
        <v>0</v>
      </c>
      <c r="BY19" s="2790">
        <f t="shared" ca="1" si="46"/>
        <v>0</v>
      </c>
      <c r="BZ19" s="2790">
        <f t="shared" ca="1" si="46"/>
        <v>0</v>
      </c>
      <c r="CA19" s="2790">
        <f t="shared" ca="1" si="46"/>
        <v>0</v>
      </c>
      <c r="CB19" s="2790">
        <f t="shared" ca="1" si="46"/>
        <v>0</v>
      </c>
      <c r="CC19" s="2790">
        <f t="shared" ca="1" si="46"/>
        <v>0</v>
      </c>
      <c r="CD19" s="2790">
        <f t="shared" ca="1" si="46"/>
        <v>0</v>
      </c>
      <c r="CE19" s="2790">
        <f t="shared" ca="1" si="46"/>
        <v>0</v>
      </c>
      <c r="CF19" s="2790">
        <f t="shared" ca="1" si="46"/>
        <v>0</v>
      </c>
      <c r="CG19" s="2790">
        <f t="shared" ca="1" si="46"/>
        <v>0</v>
      </c>
      <c r="CH19" s="2790">
        <f t="shared" ca="1" si="46"/>
        <v>0</v>
      </c>
      <c r="CI19" s="2790">
        <f t="shared" ca="1" si="46"/>
        <v>0</v>
      </c>
      <c r="CJ19" s="2790">
        <f t="shared" ca="1" si="46"/>
        <v>0</v>
      </c>
      <c r="CK19" s="2790">
        <f t="shared" ca="1" si="46"/>
        <v>0</v>
      </c>
      <c r="CL19" s="2790">
        <f t="shared" ca="1" si="46"/>
        <v>0</v>
      </c>
      <c r="CM19" s="2790">
        <f t="shared" ca="1" si="46"/>
        <v>0</v>
      </c>
      <c r="CN19" s="2790">
        <f t="shared" ca="1" si="46"/>
        <v>0</v>
      </c>
      <c r="CO19" s="2790">
        <f t="shared" ca="1" si="46"/>
        <v>0</v>
      </c>
      <c r="CP19" s="2790">
        <f t="shared" ca="1" si="46"/>
        <v>0</v>
      </c>
      <c r="CQ19" s="2790">
        <f t="shared" ca="1" si="46"/>
        <v>0</v>
      </c>
      <c r="CR19" s="2790">
        <f t="shared" ca="1" si="46"/>
        <v>0</v>
      </c>
      <c r="CS19" s="2790">
        <f t="shared" ca="1" si="46"/>
        <v>0</v>
      </c>
      <c r="CT19" s="2790">
        <f t="shared" ca="1" si="46"/>
        <v>0</v>
      </c>
      <c r="CU19" s="2790">
        <f t="shared" ca="1" si="46"/>
        <v>0</v>
      </c>
      <c r="CV19" s="2790">
        <f t="shared" ca="1" si="46"/>
        <v>0</v>
      </c>
      <c r="CW19" s="2790">
        <f t="shared" ca="1" si="46"/>
        <v>0</v>
      </c>
      <c r="CX19" s="2790">
        <f t="shared" ca="1" si="46"/>
        <v>0</v>
      </c>
      <c r="CY19" s="2790">
        <f t="shared" ca="1" si="46"/>
        <v>0</v>
      </c>
      <c r="CZ19" s="2790">
        <f t="shared" ca="1" si="46"/>
        <v>0</v>
      </c>
      <c r="DA19" s="2790">
        <f t="shared" ca="1" si="46"/>
        <v>0</v>
      </c>
      <c r="DB19" s="2790">
        <f t="shared" ca="1" si="46"/>
        <v>0</v>
      </c>
      <c r="DC19" s="2790">
        <f t="shared" ca="1" si="46"/>
        <v>0</v>
      </c>
      <c r="DD19" s="2790">
        <f t="shared" ca="1" si="46"/>
        <v>0</v>
      </c>
      <c r="DE19" s="2790">
        <f t="shared" ca="1" si="46"/>
        <v>0</v>
      </c>
      <c r="DF19" s="2790">
        <f t="shared" ca="1" si="46"/>
        <v>0</v>
      </c>
      <c r="DH19" s="596">
        <f t="shared" ca="1" si="33"/>
        <v>0.18570324907344987</v>
      </c>
    </row>
    <row r="20" spans="1:112" s="6" customFormat="1" ht="12.75" customHeight="1" outlineLevel="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10"/>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3"/>
        <v>0</v>
      </c>
    </row>
    <row r="21" spans="1:112" s="6" customFormat="1" ht="12.75" customHeight="1" outlineLevel="1">
      <c r="A21" s="607"/>
      <c r="B21" s="607"/>
      <c r="C21" s="587" t="s">
        <v>475</v>
      </c>
      <c r="D21" s="611" t="s">
        <v>476</v>
      </c>
      <c r="E21" s="611"/>
      <c r="G21" s="619">
        <f t="shared" ref="G21:P21" ca="1" si="47">IFERROR(INDEX(INDIRECT($C21&amp;".Outputs["&amp;this.Year&amp;"]"), MATCH(G$5, INDIRECT($C21&amp;".Outputs[Vector]"), 0)), 0)</f>
        <v>0</v>
      </c>
      <c r="H21" s="619">
        <f t="shared" ca="1" si="47"/>
        <v>0</v>
      </c>
      <c r="I21" s="619">
        <f t="shared" ca="1" si="47"/>
        <v>25.990000000000002</v>
      </c>
      <c r="J21" s="619">
        <f t="shared" ca="1" si="47"/>
        <v>0</v>
      </c>
      <c r="K21" s="619">
        <f t="shared" ca="1" si="47"/>
        <v>0</v>
      </c>
      <c r="L21" s="619">
        <f t="shared" ca="1" si="47"/>
        <v>0</v>
      </c>
      <c r="M21" s="619">
        <f t="shared" ca="1" si="47"/>
        <v>0</v>
      </c>
      <c r="N21" s="619">
        <f t="shared" ca="1" si="47"/>
        <v>0</v>
      </c>
      <c r="O21" s="619">
        <f t="shared" ca="1" si="47"/>
        <v>0</v>
      </c>
      <c r="P21" s="619">
        <f t="shared" ca="1" si="47"/>
        <v>0</v>
      </c>
      <c r="Q21" s="612">
        <f ca="1">SUM(G21:P21)</f>
        <v>25.990000000000002</v>
      </c>
      <c r="S21" s="620">
        <f t="shared" ref="S21:AJ21" ca="1" si="48">IFERROR(INDEX(INDIRECT($C21&amp;".Outputs["&amp;this.Year&amp;"]"), MATCH(S$5, INDIRECT($C21&amp;".Outputs[Vector]"), 0)), 0)</f>
        <v>-9.2899999999999991</v>
      </c>
      <c r="T21" s="620">
        <f t="shared" ca="1" si="48"/>
        <v>0</v>
      </c>
      <c r="U21" s="620">
        <f t="shared" ca="1" si="48"/>
        <v>-3.11</v>
      </c>
      <c r="V21" s="620">
        <f t="shared" ca="1" si="48"/>
        <v>-6.35</v>
      </c>
      <c r="W21" s="620">
        <f t="shared" ca="1" si="48"/>
        <v>-7.2399999999999993</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8"/>
        <v>0</v>
      </c>
      <c r="AB21" s="620">
        <f t="shared" ca="1" si="48"/>
        <v>0</v>
      </c>
      <c r="AC21" s="620">
        <f t="shared" ca="1" si="48"/>
        <v>0</v>
      </c>
      <c r="AD21" s="620">
        <f t="shared" ca="1" si="48"/>
        <v>0</v>
      </c>
      <c r="AE21" s="620">
        <f t="shared" ca="1" si="48"/>
        <v>0</v>
      </c>
      <c r="AF21" s="620">
        <f t="shared" ca="1" si="48"/>
        <v>0</v>
      </c>
      <c r="AG21" s="620">
        <f t="shared" ca="1" si="48"/>
        <v>0</v>
      </c>
      <c r="AH21" s="620">
        <f t="shared" ca="1" si="48"/>
        <v>0</v>
      </c>
      <c r="AI21" s="620">
        <f t="shared" ca="1" si="48"/>
        <v>0</v>
      </c>
      <c r="AJ21" s="620">
        <f t="shared" ca="1" si="48"/>
        <v>0</v>
      </c>
      <c r="AK21" s="613">
        <f ca="1">SUM(S21:AJ21)</f>
        <v>-25.99</v>
      </c>
      <c r="AM21" s="621">
        <f t="shared" ref="AM21:AU21" ca="1" si="49">IFERROR(INDEX(INDIRECT($C21&amp;".Outputs["&amp;this.Year&amp;"]"), MATCH(AM$5, INDIRECT($C21&amp;".Outputs[Vector]"), 0)), 0)</f>
        <v>0</v>
      </c>
      <c r="AN21" s="621">
        <f t="shared" ca="1" si="49"/>
        <v>0</v>
      </c>
      <c r="AO21" s="621">
        <f t="shared" ca="1" si="49"/>
        <v>0</v>
      </c>
      <c r="AP21" s="621">
        <f t="shared" ca="1" si="49"/>
        <v>0</v>
      </c>
      <c r="AQ21" s="621">
        <f t="shared" ca="1" si="49"/>
        <v>0</v>
      </c>
      <c r="AR21" s="621">
        <f t="shared" ca="1" si="49"/>
        <v>0</v>
      </c>
      <c r="AS21" s="621">
        <f t="shared" ca="1" si="49"/>
        <v>0</v>
      </c>
      <c r="AT21" s="621">
        <f t="shared" ca="1" si="49"/>
        <v>0</v>
      </c>
      <c r="AU21" s="621">
        <f t="shared" ca="1" si="49"/>
        <v>0</v>
      </c>
      <c r="AV21" s="621">
        <f t="shared" ref="AV21:BE21" ca="1" si="50">IFERROR(INDEX(INDIRECT($C21&amp;".Outputs["&amp;this.Year&amp;"]"), MATCH(AV$5, INDIRECT($C21&amp;".Outputs[Vector]"), 0)), 0)</f>
        <v>0</v>
      </c>
      <c r="AW21" s="621">
        <f t="shared" ca="1" si="50"/>
        <v>0</v>
      </c>
      <c r="AX21" s="621">
        <f t="shared" ca="1" si="50"/>
        <v>0</v>
      </c>
      <c r="AY21" s="621">
        <f t="shared" ca="1" si="50"/>
        <v>0</v>
      </c>
      <c r="AZ21" s="621">
        <f t="shared" ca="1" si="50"/>
        <v>0</v>
      </c>
      <c r="BA21" s="621">
        <f t="shared" ca="1" si="50"/>
        <v>0</v>
      </c>
      <c r="BB21" s="621">
        <f t="shared" ca="1" si="50"/>
        <v>0</v>
      </c>
      <c r="BC21" s="621">
        <f t="shared" ca="1" si="50"/>
        <v>0</v>
      </c>
      <c r="BD21" s="621">
        <f t="shared" ca="1" si="50"/>
        <v>0</v>
      </c>
      <c r="BE21" s="621">
        <f t="shared" ca="1" si="50"/>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10"/>
        <v>3.5527136788005009E-15</v>
      </c>
      <c r="BM21" s="610"/>
      <c r="BN21" s="413"/>
      <c r="BO21" s="2791">
        <f t="shared" ref="BO21:DF21" ca="1" si="51">IFERROR(SUMIFS(INDIRECT($C21&amp;".Emissions["&amp;this.Year&amp;"]"), INDIRECT($C21&amp;".Emissions[GHG]"), BO$6, INDIRECT($C21&amp;".Emissions[IPCC Sector]"), BO$5),0)</f>
        <v>4.2078251519999998</v>
      </c>
      <c r="BP21" s="2792">
        <f t="shared" ca="1" si="51"/>
        <v>2.1521051999999997E-3</v>
      </c>
      <c r="BQ21" s="2792">
        <f t="shared" ca="1" si="51"/>
        <v>2.9418875999999997E-2</v>
      </c>
      <c r="BR21" s="2792">
        <f t="shared" ca="1" si="51"/>
        <v>0</v>
      </c>
      <c r="BS21" s="2792">
        <f t="shared" ca="1" si="51"/>
        <v>0</v>
      </c>
      <c r="BT21" s="2792">
        <f t="shared" ca="1" si="51"/>
        <v>0</v>
      </c>
      <c r="BU21" s="2792">
        <f t="shared" ca="1" si="51"/>
        <v>0</v>
      </c>
      <c r="BV21" s="2792">
        <f t="shared" ca="1" si="51"/>
        <v>0</v>
      </c>
      <c r="BW21" s="2792">
        <f t="shared" ca="1" si="51"/>
        <v>1.39</v>
      </c>
      <c r="BX21" s="2792">
        <f t="shared" ca="1" si="51"/>
        <v>0</v>
      </c>
      <c r="BY21" s="2792">
        <f t="shared" ca="1" si="51"/>
        <v>0</v>
      </c>
      <c r="BZ21" s="2792">
        <f t="shared" ca="1" si="51"/>
        <v>1.03</v>
      </c>
      <c r="CA21" s="2792">
        <f t="shared" ca="1" si="51"/>
        <v>0</v>
      </c>
      <c r="CB21" s="2792">
        <f t="shared" ca="1" si="51"/>
        <v>0</v>
      </c>
      <c r="CC21" s="2792">
        <f t="shared" ca="1" si="51"/>
        <v>0</v>
      </c>
      <c r="CD21" s="2792">
        <f t="shared" ca="1" si="51"/>
        <v>0</v>
      </c>
      <c r="CE21" s="2792">
        <f t="shared" ca="1" si="51"/>
        <v>0</v>
      </c>
      <c r="CF21" s="2792">
        <f t="shared" ca="1" si="51"/>
        <v>0</v>
      </c>
      <c r="CG21" s="2792">
        <f t="shared" ca="1" si="51"/>
        <v>0</v>
      </c>
      <c r="CH21" s="2792">
        <f t="shared" ca="1" si="51"/>
        <v>0</v>
      </c>
      <c r="CI21" s="2792">
        <f t="shared" ca="1" si="51"/>
        <v>0</v>
      </c>
      <c r="CJ21" s="2792">
        <f t="shared" ca="1" si="51"/>
        <v>0</v>
      </c>
      <c r="CK21" s="2792">
        <f t="shared" ca="1" si="51"/>
        <v>0</v>
      </c>
      <c r="CL21" s="2792">
        <f t="shared" ca="1" si="51"/>
        <v>0</v>
      </c>
      <c r="CM21" s="2792">
        <f t="shared" ca="1" si="51"/>
        <v>0</v>
      </c>
      <c r="CN21" s="2792">
        <f t="shared" ca="1" si="51"/>
        <v>0</v>
      </c>
      <c r="CO21" s="2792">
        <f t="shared" ca="1" si="51"/>
        <v>0</v>
      </c>
      <c r="CP21" s="2792">
        <f t="shared" ca="1" si="51"/>
        <v>0</v>
      </c>
      <c r="CQ21" s="2792">
        <f t="shared" ca="1" si="51"/>
        <v>0</v>
      </c>
      <c r="CR21" s="2792">
        <f t="shared" ca="1" si="51"/>
        <v>0</v>
      </c>
      <c r="CS21" s="2792">
        <f t="shared" ca="1" si="51"/>
        <v>0</v>
      </c>
      <c r="CT21" s="2792">
        <f t="shared" ca="1" si="51"/>
        <v>0</v>
      </c>
      <c r="CU21" s="2792">
        <f t="shared" ca="1" si="51"/>
        <v>0</v>
      </c>
      <c r="CV21" s="2792">
        <f t="shared" ca="1" si="51"/>
        <v>0</v>
      </c>
      <c r="CW21" s="2792">
        <f t="shared" ca="1" si="51"/>
        <v>0</v>
      </c>
      <c r="CX21" s="2792">
        <f t="shared" ca="1" si="51"/>
        <v>0</v>
      </c>
      <c r="CY21" s="2792">
        <f t="shared" ca="1" si="51"/>
        <v>0</v>
      </c>
      <c r="CZ21" s="2792">
        <f t="shared" ca="1" si="51"/>
        <v>0</v>
      </c>
      <c r="DA21" s="2792">
        <f t="shared" ca="1" si="51"/>
        <v>0</v>
      </c>
      <c r="DB21" s="2792">
        <f t="shared" ca="1" si="51"/>
        <v>0</v>
      </c>
      <c r="DC21" s="2792">
        <f t="shared" ca="1" si="51"/>
        <v>0</v>
      </c>
      <c r="DD21" s="2792">
        <f t="shared" ca="1" si="51"/>
        <v>0</v>
      </c>
      <c r="DE21" s="2792">
        <f t="shared" ca="1" si="51"/>
        <v>0</v>
      </c>
      <c r="DF21" s="2792">
        <f t="shared" ca="1" si="51"/>
        <v>0</v>
      </c>
      <c r="DH21" s="596">
        <f t="shared" ca="1" si="33"/>
        <v>6.6593961332000005</v>
      </c>
    </row>
    <row r="22" spans="1:112" s="6" customFormat="1" ht="15.75">
      <c r="A22" s="4"/>
      <c r="B22" s="3"/>
      <c r="C22" s="616" t="s">
        <v>477</v>
      </c>
      <c r="D22" s="617" t="s">
        <v>368</v>
      </c>
      <c r="E22" s="206"/>
      <c r="G22" s="618">
        <f ca="1">G21</f>
        <v>0</v>
      </c>
      <c r="H22" s="618">
        <f t="shared" ref="H22:P22" ca="1" si="52">H21</f>
        <v>0</v>
      </c>
      <c r="I22" s="618">
        <f t="shared" ca="1" si="52"/>
        <v>25.990000000000002</v>
      </c>
      <c r="J22" s="618">
        <f t="shared" ca="1" si="52"/>
        <v>0</v>
      </c>
      <c r="K22" s="618">
        <f t="shared" ca="1" si="52"/>
        <v>0</v>
      </c>
      <c r="L22" s="618">
        <f t="shared" ca="1" si="52"/>
        <v>0</v>
      </c>
      <c r="M22" s="618">
        <f t="shared" ca="1" si="52"/>
        <v>0</v>
      </c>
      <c r="N22" s="618">
        <f t="shared" ca="1" si="52"/>
        <v>0</v>
      </c>
      <c r="O22" s="618">
        <f t="shared" ca="1" si="52"/>
        <v>0</v>
      </c>
      <c r="P22" s="618">
        <f t="shared" ca="1" si="52"/>
        <v>0</v>
      </c>
      <c r="Q22" s="618">
        <f ca="1">SUM(G22:P22)</f>
        <v>25.990000000000002</v>
      </c>
      <c r="S22" s="581">
        <f t="shared" ref="S22:AJ22" ca="1" si="53">S21</f>
        <v>-9.2899999999999991</v>
      </c>
      <c r="T22" s="581">
        <f t="shared" ca="1" si="53"/>
        <v>0</v>
      </c>
      <c r="U22" s="581">
        <f t="shared" ca="1" si="53"/>
        <v>-3.11</v>
      </c>
      <c r="V22" s="581">
        <f t="shared" ca="1" si="53"/>
        <v>-6.35</v>
      </c>
      <c r="W22" s="581">
        <f t="shared" ca="1" si="53"/>
        <v>-7.2399999999999993</v>
      </c>
      <c r="X22" s="581">
        <f t="shared" ca="1" si="53"/>
        <v>0</v>
      </c>
      <c r="Y22" s="581">
        <f t="shared" ca="1" si="53"/>
        <v>0</v>
      </c>
      <c r="Z22" s="581">
        <f t="shared" ca="1" si="53"/>
        <v>0</v>
      </c>
      <c r="AA22" s="581">
        <f t="shared" ca="1" si="53"/>
        <v>0</v>
      </c>
      <c r="AB22" s="581">
        <f t="shared" ca="1" si="53"/>
        <v>0</v>
      </c>
      <c r="AC22" s="581">
        <f t="shared" ca="1" si="53"/>
        <v>0</v>
      </c>
      <c r="AD22" s="581">
        <f t="shared" ca="1" si="53"/>
        <v>0</v>
      </c>
      <c r="AE22" s="581">
        <f ca="1">AE21</f>
        <v>0</v>
      </c>
      <c r="AF22" s="581">
        <f t="shared" ca="1" si="53"/>
        <v>0</v>
      </c>
      <c r="AG22" s="581">
        <f t="shared" ca="1" si="53"/>
        <v>0</v>
      </c>
      <c r="AH22" s="581">
        <f ca="1">AH21</f>
        <v>0</v>
      </c>
      <c r="AI22" s="581">
        <f t="shared" ca="1" si="53"/>
        <v>0</v>
      </c>
      <c r="AJ22" s="581">
        <f t="shared" ca="1" si="53"/>
        <v>0</v>
      </c>
      <c r="AK22" s="581">
        <f ca="1">SUM(S22:AJ22)</f>
        <v>-25.99</v>
      </c>
      <c r="AM22" s="582">
        <f t="shared" ref="AM22:BE22" ca="1" si="54">AM21</f>
        <v>0</v>
      </c>
      <c r="AN22" s="582">
        <f t="shared" ca="1" si="54"/>
        <v>0</v>
      </c>
      <c r="AO22" s="582">
        <f t="shared" ca="1" si="54"/>
        <v>0</v>
      </c>
      <c r="AP22" s="582">
        <f t="shared" ca="1" si="54"/>
        <v>0</v>
      </c>
      <c r="AQ22" s="582">
        <f t="shared" ca="1" si="54"/>
        <v>0</v>
      </c>
      <c r="AR22" s="582">
        <f t="shared" ca="1" si="54"/>
        <v>0</v>
      </c>
      <c r="AS22" s="582">
        <f t="shared" ca="1" si="54"/>
        <v>0</v>
      </c>
      <c r="AT22" s="582">
        <f t="shared" ca="1" si="54"/>
        <v>0</v>
      </c>
      <c r="AU22" s="582">
        <f t="shared" ca="1" si="54"/>
        <v>0</v>
      </c>
      <c r="AV22" s="582">
        <f t="shared" ca="1" si="54"/>
        <v>0</v>
      </c>
      <c r="AW22" s="582">
        <f t="shared" ca="1" si="54"/>
        <v>0</v>
      </c>
      <c r="AX22" s="582">
        <f t="shared" ca="1" si="54"/>
        <v>0</v>
      </c>
      <c r="AY22" s="582">
        <f t="shared" ca="1" si="54"/>
        <v>0</v>
      </c>
      <c r="AZ22" s="582">
        <f t="shared" ca="1" si="54"/>
        <v>0</v>
      </c>
      <c r="BA22" s="582">
        <f t="shared" ca="1" si="54"/>
        <v>0</v>
      </c>
      <c r="BB22" s="582">
        <f t="shared" ca="1" si="54"/>
        <v>0</v>
      </c>
      <c r="BC22" s="582">
        <f t="shared" ca="1" si="54"/>
        <v>0</v>
      </c>
      <c r="BD22" s="582">
        <f ca="1">BD21</f>
        <v>0</v>
      </c>
      <c r="BE22" s="582">
        <f t="shared" ca="1" si="54"/>
        <v>0</v>
      </c>
      <c r="BF22" s="582">
        <f ca="1">SUM(AM22:BE22)</f>
        <v>0</v>
      </c>
      <c r="BH22" s="3463">
        <f ca="1">BH21</f>
        <v>0</v>
      </c>
      <c r="BI22" s="3463">
        <f ca="1">BI21</f>
        <v>0</v>
      </c>
      <c r="BJ22" s="3463">
        <f ca="1">SUM(BH22:BI22)</f>
        <v>0</v>
      </c>
      <c r="BL22" s="3477">
        <f t="shared" ca="1" si="10"/>
        <v>3.5527136788005009E-15</v>
      </c>
      <c r="BM22" s="584"/>
      <c r="BN22" s="413"/>
      <c r="BO22" s="2790">
        <f t="shared" ref="BO22:DF22" ca="1" si="55">BO21</f>
        <v>4.2078251519999998</v>
      </c>
      <c r="BP22" s="2790">
        <f t="shared" ca="1" si="55"/>
        <v>2.1521051999999997E-3</v>
      </c>
      <c r="BQ22" s="2790">
        <f t="shared" ca="1" si="55"/>
        <v>2.9418875999999997E-2</v>
      </c>
      <c r="BR22" s="2790">
        <f t="shared" ca="1" si="55"/>
        <v>0</v>
      </c>
      <c r="BS22" s="2790">
        <f t="shared" ca="1" si="55"/>
        <v>0</v>
      </c>
      <c r="BT22" s="2790">
        <f t="shared" ca="1" si="55"/>
        <v>0</v>
      </c>
      <c r="BU22" s="2790">
        <f t="shared" ca="1" si="55"/>
        <v>0</v>
      </c>
      <c r="BV22" s="2790">
        <f t="shared" ca="1" si="55"/>
        <v>0</v>
      </c>
      <c r="BW22" s="2790">
        <f t="shared" ca="1" si="55"/>
        <v>1.39</v>
      </c>
      <c r="BX22" s="2790">
        <f t="shared" ca="1" si="55"/>
        <v>0</v>
      </c>
      <c r="BY22" s="2790">
        <f t="shared" ca="1" si="55"/>
        <v>0</v>
      </c>
      <c r="BZ22" s="2790">
        <f t="shared" ca="1" si="55"/>
        <v>1.03</v>
      </c>
      <c r="CA22" s="2790">
        <f t="shared" ca="1" si="55"/>
        <v>0</v>
      </c>
      <c r="CB22" s="2790">
        <f t="shared" ca="1" si="55"/>
        <v>0</v>
      </c>
      <c r="CC22" s="2790">
        <f t="shared" ca="1" si="55"/>
        <v>0</v>
      </c>
      <c r="CD22" s="2790">
        <f t="shared" ca="1" si="55"/>
        <v>0</v>
      </c>
      <c r="CE22" s="2790">
        <f t="shared" ca="1" si="55"/>
        <v>0</v>
      </c>
      <c r="CF22" s="2790">
        <f t="shared" ca="1" si="55"/>
        <v>0</v>
      </c>
      <c r="CG22" s="2790">
        <f t="shared" ca="1" si="55"/>
        <v>0</v>
      </c>
      <c r="CH22" s="2790">
        <f t="shared" ca="1" si="55"/>
        <v>0</v>
      </c>
      <c r="CI22" s="2790">
        <f t="shared" ca="1" si="55"/>
        <v>0</v>
      </c>
      <c r="CJ22" s="2790">
        <f t="shared" ca="1" si="55"/>
        <v>0</v>
      </c>
      <c r="CK22" s="2790">
        <f t="shared" ca="1" si="55"/>
        <v>0</v>
      </c>
      <c r="CL22" s="2790">
        <f t="shared" ca="1" si="55"/>
        <v>0</v>
      </c>
      <c r="CM22" s="2790">
        <f t="shared" ca="1" si="55"/>
        <v>0</v>
      </c>
      <c r="CN22" s="2790">
        <f t="shared" ca="1" si="55"/>
        <v>0</v>
      </c>
      <c r="CO22" s="2790">
        <f t="shared" ca="1" si="55"/>
        <v>0</v>
      </c>
      <c r="CP22" s="2790">
        <f t="shared" ca="1" si="55"/>
        <v>0</v>
      </c>
      <c r="CQ22" s="2790">
        <f t="shared" ca="1" si="55"/>
        <v>0</v>
      </c>
      <c r="CR22" s="2790">
        <f t="shared" ca="1" si="55"/>
        <v>0</v>
      </c>
      <c r="CS22" s="2790">
        <f t="shared" ca="1" si="55"/>
        <v>0</v>
      </c>
      <c r="CT22" s="2790">
        <f t="shared" ca="1" si="55"/>
        <v>0</v>
      </c>
      <c r="CU22" s="2790">
        <f t="shared" ca="1" si="55"/>
        <v>0</v>
      </c>
      <c r="CV22" s="2790">
        <f t="shared" ca="1" si="55"/>
        <v>0</v>
      </c>
      <c r="CW22" s="2790">
        <f t="shared" ca="1" si="55"/>
        <v>0</v>
      </c>
      <c r="CX22" s="2790">
        <f t="shared" ca="1" si="55"/>
        <v>0</v>
      </c>
      <c r="CY22" s="2790">
        <f t="shared" ca="1" si="55"/>
        <v>0</v>
      </c>
      <c r="CZ22" s="2790">
        <f t="shared" ca="1" si="55"/>
        <v>0</v>
      </c>
      <c r="DA22" s="2790">
        <f t="shared" ca="1" si="55"/>
        <v>0</v>
      </c>
      <c r="DB22" s="2790">
        <f t="shared" ca="1" si="55"/>
        <v>0</v>
      </c>
      <c r="DC22" s="2790">
        <f t="shared" ca="1" si="55"/>
        <v>0</v>
      </c>
      <c r="DD22" s="2790">
        <f t="shared" ca="1" si="55"/>
        <v>0</v>
      </c>
      <c r="DE22" s="2790">
        <f t="shared" ca="1" si="55"/>
        <v>0</v>
      </c>
      <c r="DF22" s="2790">
        <f t="shared" ca="1" si="55"/>
        <v>0</v>
      </c>
      <c r="DH22" s="596">
        <f t="shared" ca="1" si="33"/>
        <v>6.6593961332000005</v>
      </c>
    </row>
    <row r="23" spans="1:112" s="6" customFormat="1" ht="12.75" customHeight="1" outlineLevel="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10"/>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3"/>
        <v>0</v>
      </c>
    </row>
    <row r="24" spans="1:112" s="6" customFormat="1" ht="12.75" customHeight="1" outlineLevel="1">
      <c r="A24" s="607"/>
      <c r="B24" s="607"/>
      <c r="C24" s="587" t="s">
        <v>478</v>
      </c>
      <c r="D24" s="623" t="s">
        <v>479</v>
      </c>
      <c r="E24" s="599"/>
      <c r="G24" s="589">
        <f t="shared" ref="G24:P27" ca="1" si="56">IFERROR(INDEX(INDIRECT($C24&amp;".Outputs["&amp;this.Year&amp;"]"), MATCH(G$5, INDIRECT($C24&amp;".Outputs[Vector]"), 0)), 0)</f>
        <v>0</v>
      </c>
      <c r="H24" s="589">
        <f t="shared" ca="1" si="56"/>
        <v>0</v>
      </c>
      <c r="I24" s="589">
        <f t="shared" ca="1" si="56"/>
        <v>0</v>
      </c>
      <c r="J24" s="589">
        <f t="shared" ca="1" si="56"/>
        <v>23.342720899243059</v>
      </c>
      <c r="K24" s="589">
        <f t="shared" ca="1" si="56"/>
        <v>0.38905281663794627</v>
      </c>
      <c r="L24" s="589">
        <f t="shared" ca="1" si="56"/>
        <v>2.7179785187540276E-2</v>
      </c>
      <c r="M24" s="589">
        <f t="shared" ca="1" si="56"/>
        <v>0</v>
      </c>
      <c r="N24" s="589">
        <f t="shared" ca="1" si="56"/>
        <v>0</v>
      </c>
      <c r="O24" s="589">
        <f t="shared" ca="1" si="56"/>
        <v>0</v>
      </c>
      <c r="P24" s="589">
        <f t="shared" ca="1" si="56"/>
        <v>0</v>
      </c>
      <c r="Q24" s="590">
        <f t="shared" ref="Q24:Q32" ca="1" si="57">SUM(G24:P24)</f>
        <v>23.758953501068547</v>
      </c>
      <c r="S24" s="591">
        <f t="shared" ref="S24:AJ30" ca="1" si="58">IFERROR(INDEX(INDIRECT($C24&amp;".Outputs["&amp;this.Year&amp;"]"), MATCH(S$5, INDIRECT($C24&amp;".Outputs[Vector]"), 0)), 0)</f>
        <v>-6.2120497891874918E-2</v>
      </c>
      <c r="T24" s="591">
        <f t="shared" ca="1" si="58"/>
        <v>0</v>
      </c>
      <c r="U24" s="591">
        <f t="shared" ca="1" si="58"/>
        <v>0</v>
      </c>
      <c r="V24" s="591">
        <f t="shared" ca="1" si="58"/>
        <v>-23.696734159310832</v>
      </c>
      <c r="W24" s="591">
        <f t="shared" ca="1" si="58"/>
        <v>0</v>
      </c>
      <c r="X24" s="591">
        <f t="shared" ref="X24:Z27" ca="1" si="59">IFERROR(INDEX(INDIRECT($C24&amp;".Outputs["&amp;this.Year&amp;"]"), MATCH(X$5, INDIRECT($C24&amp;".Outputs[Vector]"), 0)), 0)</f>
        <v>0</v>
      </c>
      <c r="Y24" s="591">
        <f t="shared" ca="1" si="59"/>
        <v>0</v>
      </c>
      <c r="Z24" s="591">
        <f t="shared" ca="1" si="59"/>
        <v>0</v>
      </c>
      <c r="AA24" s="591">
        <f t="shared" ca="1" si="58"/>
        <v>0</v>
      </c>
      <c r="AB24" s="591">
        <f t="shared" ca="1" si="58"/>
        <v>0</v>
      </c>
      <c r="AC24" s="591">
        <f t="shared" ca="1" si="58"/>
        <v>0</v>
      </c>
      <c r="AD24" s="591">
        <f t="shared" ca="1" si="58"/>
        <v>0</v>
      </c>
      <c r="AE24" s="591">
        <f t="shared" ca="1" si="58"/>
        <v>0</v>
      </c>
      <c r="AF24" s="591">
        <f t="shared" ca="1" si="58"/>
        <v>0</v>
      </c>
      <c r="AG24" s="591">
        <f t="shared" ca="1" si="58"/>
        <v>0</v>
      </c>
      <c r="AH24" s="591">
        <f t="shared" ca="1" si="58"/>
        <v>0</v>
      </c>
      <c r="AI24" s="591">
        <f t="shared" ca="1" si="58"/>
        <v>0</v>
      </c>
      <c r="AJ24" s="591">
        <f t="shared" ca="1" si="58"/>
        <v>-9.8843865838814832E-5</v>
      </c>
      <c r="AK24" s="592">
        <f t="shared" ref="AK24:AK32" ca="1" si="60">SUM(S24:AJ24)</f>
        <v>-23.758953501068547</v>
      </c>
      <c r="AM24" s="593">
        <f t="shared" ref="AM24:AU27" ca="1" si="61">IFERROR(INDEX(INDIRECT($C24&amp;".Outputs["&amp;this.Year&amp;"]"), MATCH(AM$5, INDIRECT($C24&amp;".Outputs[Vector]"), 0)), 0)</f>
        <v>0</v>
      </c>
      <c r="AN24" s="593">
        <f t="shared" ca="1" si="61"/>
        <v>0</v>
      </c>
      <c r="AO24" s="593">
        <f t="shared" ca="1" si="61"/>
        <v>0</v>
      </c>
      <c r="AP24" s="593">
        <f t="shared" ca="1" si="61"/>
        <v>0</v>
      </c>
      <c r="AQ24" s="593">
        <f t="shared" ca="1" si="61"/>
        <v>0</v>
      </c>
      <c r="AR24" s="593">
        <f t="shared" ca="1" si="61"/>
        <v>0</v>
      </c>
      <c r="AS24" s="593">
        <f t="shared" ca="1" si="61"/>
        <v>0</v>
      </c>
      <c r="AT24" s="593">
        <f t="shared" ca="1" si="61"/>
        <v>0</v>
      </c>
      <c r="AU24" s="593">
        <f t="shared" ca="1" si="61"/>
        <v>0</v>
      </c>
      <c r="AV24" s="593">
        <f t="shared" ref="AV24:BE30" ca="1" si="62">IFERROR(INDEX(INDIRECT($C24&amp;".Outputs["&amp;this.Year&amp;"]"), MATCH(AV$5, INDIRECT($C24&amp;".Outputs[Vector]"), 0)), 0)</f>
        <v>0</v>
      </c>
      <c r="AW24" s="593">
        <f t="shared" ca="1" si="62"/>
        <v>0</v>
      </c>
      <c r="AX24" s="593">
        <f t="shared" ca="1" si="62"/>
        <v>0</v>
      </c>
      <c r="AY24" s="593">
        <f t="shared" ca="1" si="62"/>
        <v>0</v>
      </c>
      <c r="AZ24" s="593">
        <f t="shared" ca="1" si="62"/>
        <v>0</v>
      </c>
      <c r="BA24" s="593">
        <f t="shared" ca="1" si="62"/>
        <v>0</v>
      </c>
      <c r="BB24" s="593">
        <f t="shared" ca="1" si="62"/>
        <v>0</v>
      </c>
      <c r="BC24" s="593">
        <f t="shared" ca="1" si="62"/>
        <v>0</v>
      </c>
      <c r="BD24" s="593">
        <f t="shared" ca="1" si="62"/>
        <v>0</v>
      </c>
      <c r="BE24" s="593">
        <f t="shared" ca="1" si="62"/>
        <v>0</v>
      </c>
      <c r="BF24" s="609">
        <f t="shared" ref="BF24:BF32" ca="1" si="63">SUM(AM24:BE24)</f>
        <v>0</v>
      </c>
      <c r="BH24" s="3471">
        <f t="shared" ref="BH24:BI30" ca="1" si="64">IFERROR(INDEX(INDIRECT($C24&amp;".Outputs["&amp;this.Year&amp;"]"), MATCH(BH$5, INDIRECT($C24&amp;".Outputs[Vector]"), 0)), 0)</f>
        <v>0</v>
      </c>
      <c r="BI24" s="3471">
        <f t="shared" ca="1" si="64"/>
        <v>0</v>
      </c>
      <c r="BJ24" s="3460">
        <f t="shared" ref="BJ24:BJ32" ca="1" si="65">SUM(BH24:BI24)</f>
        <v>0</v>
      </c>
      <c r="BL24" s="610">
        <f t="shared" ca="1" si="10"/>
        <v>0</v>
      </c>
      <c r="BM24" s="610"/>
      <c r="BN24" s="413"/>
      <c r="BO24" s="2789">
        <f t="shared" ref="BO24:BX27" ca="1" si="66">IFERROR(SUMIFS(INDIRECT($C24&amp;".Emissions["&amp;this.Year&amp;"]"), INDIRECT($C24&amp;".Emissions[GHG]"), BO$6, INDIRECT($C24&amp;".Emissions[IPCC Sector]"), BO$5),0)</f>
        <v>6.2530942099589408</v>
      </c>
      <c r="BP24" s="2790">
        <f t="shared" ca="1" si="66"/>
        <v>5.3744193073316966E-3</v>
      </c>
      <c r="BQ24" s="2790">
        <f t="shared" ca="1" si="66"/>
        <v>1.5867333193074533E-2</v>
      </c>
      <c r="BR24" s="2790">
        <f t="shared" ca="1" si="66"/>
        <v>0</v>
      </c>
      <c r="BS24" s="2790">
        <f t="shared" ca="1" si="66"/>
        <v>0</v>
      </c>
      <c r="BT24" s="2790">
        <f t="shared" ca="1" si="66"/>
        <v>0</v>
      </c>
      <c r="BU24" s="2790">
        <f t="shared" ca="1" si="66"/>
        <v>0</v>
      </c>
      <c r="BV24" s="2790">
        <f t="shared" ca="1" si="66"/>
        <v>0</v>
      </c>
      <c r="BW24" s="2790">
        <f t="shared" ca="1" si="66"/>
        <v>0</v>
      </c>
      <c r="BX24" s="2790">
        <f t="shared" ca="1" si="66"/>
        <v>0</v>
      </c>
      <c r="BY24" s="2790">
        <f t="shared" ref="BY24:CH27" ca="1" si="67">IFERROR(SUMIFS(INDIRECT($C24&amp;".Emissions["&amp;this.Year&amp;"]"), INDIRECT($C24&amp;".Emissions[GHG]"), BY$6, INDIRECT($C24&amp;".Emissions[IPCC Sector]"), BY$5),0)</f>
        <v>0</v>
      </c>
      <c r="BZ24" s="2790">
        <f t="shared" ca="1" si="67"/>
        <v>0</v>
      </c>
      <c r="CA24" s="2790">
        <f t="shared" ca="1" si="67"/>
        <v>0</v>
      </c>
      <c r="CB24" s="2790">
        <f t="shared" ca="1" si="67"/>
        <v>0</v>
      </c>
      <c r="CC24" s="2790">
        <f t="shared" ca="1" si="67"/>
        <v>0</v>
      </c>
      <c r="CD24" s="2790">
        <f t="shared" ca="1" si="67"/>
        <v>0</v>
      </c>
      <c r="CE24" s="2790">
        <f t="shared" ca="1" si="67"/>
        <v>0</v>
      </c>
      <c r="CF24" s="2790">
        <f t="shared" ca="1" si="67"/>
        <v>0</v>
      </c>
      <c r="CG24" s="2790">
        <f t="shared" ca="1" si="67"/>
        <v>0</v>
      </c>
      <c r="CH24" s="2790">
        <f t="shared" ca="1" si="67"/>
        <v>0</v>
      </c>
      <c r="CI24" s="2790">
        <f t="shared" ref="CI24:CR27" ca="1" si="68">IFERROR(SUMIFS(INDIRECT($C24&amp;".Emissions["&amp;this.Year&amp;"]"), INDIRECT($C24&amp;".Emissions[GHG]"), CI$6, INDIRECT($C24&amp;".Emissions[IPCC Sector]"), CI$5),0)</f>
        <v>0</v>
      </c>
      <c r="CJ24" s="2790">
        <f t="shared" ca="1" si="68"/>
        <v>0</v>
      </c>
      <c r="CK24" s="2790">
        <f t="shared" ca="1" si="68"/>
        <v>0</v>
      </c>
      <c r="CL24" s="2790">
        <f t="shared" ca="1" si="68"/>
        <v>0</v>
      </c>
      <c r="CM24" s="2790">
        <f t="shared" ca="1" si="68"/>
        <v>0</v>
      </c>
      <c r="CN24" s="2790">
        <f t="shared" ca="1" si="68"/>
        <v>0</v>
      </c>
      <c r="CO24" s="2790">
        <f t="shared" ca="1" si="68"/>
        <v>0</v>
      </c>
      <c r="CP24" s="2790">
        <f t="shared" ca="1" si="68"/>
        <v>0</v>
      </c>
      <c r="CQ24" s="2790">
        <f t="shared" ca="1" si="68"/>
        <v>0</v>
      </c>
      <c r="CR24" s="2790">
        <f t="shared" ca="1" si="68"/>
        <v>0</v>
      </c>
      <c r="CS24" s="2790">
        <f t="shared" ref="CS24:DF27" ca="1" si="69">IFERROR(SUMIFS(INDIRECT($C24&amp;".Emissions["&amp;this.Year&amp;"]"), INDIRECT($C24&amp;".Emissions[GHG]"), CS$6, INDIRECT($C24&amp;".Emissions[IPCC Sector]"), CS$5),0)</f>
        <v>0</v>
      </c>
      <c r="CT24" s="2790">
        <f t="shared" ca="1" si="69"/>
        <v>0</v>
      </c>
      <c r="CU24" s="2790">
        <f t="shared" ca="1" si="69"/>
        <v>0</v>
      </c>
      <c r="CV24" s="2790">
        <f t="shared" ca="1" si="69"/>
        <v>0</v>
      </c>
      <c r="CW24" s="2790">
        <f t="shared" ca="1" si="69"/>
        <v>0</v>
      </c>
      <c r="CX24" s="2790">
        <f t="shared" ca="1" si="69"/>
        <v>0</v>
      </c>
      <c r="CY24" s="2790">
        <f t="shared" ca="1" si="69"/>
        <v>0</v>
      </c>
      <c r="CZ24" s="2790">
        <f t="shared" ca="1" si="69"/>
        <v>0</v>
      </c>
      <c r="DA24" s="2790">
        <f t="shared" ca="1" si="69"/>
        <v>0</v>
      </c>
      <c r="DB24" s="2790">
        <f t="shared" ca="1" si="69"/>
        <v>0</v>
      </c>
      <c r="DC24" s="2790">
        <f t="shared" ca="1" si="69"/>
        <v>0</v>
      </c>
      <c r="DD24" s="2790">
        <f t="shared" ca="1" si="69"/>
        <v>0</v>
      </c>
      <c r="DE24" s="2790">
        <f t="shared" ca="1" si="69"/>
        <v>0</v>
      </c>
      <c r="DF24" s="2790">
        <f t="shared" ca="1" si="69"/>
        <v>0</v>
      </c>
      <c r="DH24" s="596">
        <f t="shared" ca="1" si="33"/>
        <v>6.2743359624593467</v>
      </c>
    </row>
    <row r="25" spans="1:112" s="6" customFormat="1" ht="12.75" customHeight="1" outlineLevel="1">
      <c r="A25" s="607"/>
      <c r="B25" s="607"/>
      <c r="C25" s="587" t="s">
        <v>480</v>
      </c>
      <c r="D25" s="623" t="s">
        <v>481</v>
      </c>
      <c r="E25" s="599"/>
      <c r="G25" s="589">
        <f t="shared" ca="1" si="56"/>
        <v>0</v>
      </c>
      <c r="H25" s="589">
        <f t="shared" ca="1" si="56"/>
        <v>0</v>
      </c>
      <c r="I25" s="589">
        <f t="shared" ca="1" si="56"/>
        <v>0</v>
      </c>
      <c r="J25" s="589">
        <f t="shared" ca="1" si="56"/>
        <v>15.434999999999999</v>
      </c>
      <c r="K25" s="589">
        <f t="shared" ca="1" si="56"/>
        <v>4.932677048691326E-3</v>
      </c>
      <c r="L25" s="589">
        <f t="shared" ca="1" si="56"/>
        <v>0</v>
      </c>
      <c r="M25" s="589">
        <f t="shared" ca="1" si="56"/>
        <v>0.66</v>
      </c>
      <c r="N25" s="589">
        <f t="shared" ca="1" si="56"/>
        <v>0</v>
      </c>
      <c r="O25" s="589">
        <f t="shared" ca="1" si="56"/>
        <v>0</v>
      </c>
      <c r="P25" s="589">
        <f t="shared" ca="1" si="56"/>
        <v>0</v>
      </c>
      <c r="Q25" s="590">
        <f t="shared" ca="1" si="57"/>
        <v>16.099932677048688</v>
      </c>
      <c r="S25" s="591">
        <f t="shared" ca="1" si="58"/>
        <v>0</v>
      </c>
      <c r="T25" s="591">
        <f t="shared" ca="1" si="58"/>
        <v>0</v>
      </c>
      <c r="U25" s="591">
        <f t="shared" ca="1" si="58"/>
        <v>0</v>
      </c>
      <c r="V25" s="591">
        <f t="shared" ca="1" si="58"/>
        <v>-16.099932677048688</v>
      </c>
      <c r="W25" s="591">
        <f t="shared" ca="1" si="58"/>
        <v>0</v>
      </c>
      <c r="X25" s="591">
        <f t="shared" ca="1" si="59"/>
        <v>0</v>
      </c>
      <c r="Y25" s="591">
        <f t="shared" ca="1" si="59"/>
        <v>0</v>
      </c>
      <c r="Z25" s="591">
        <f t="shared" ca="1" si="59"/>
        <v>0</v>
      </c>
      <c r="AA25" s="591">
        <f t="shared" ca="1" si="58"/>
        <v>0</v>
      </c>
      <c r="AB25" s="591">
        <f t="shared" ca="1" si="58"/>
        <v>0</v>
      </c>
      <c r="AC25" s="591">
        <f t="shared" ca="1" si="58"/>
        <v>0</v>
      </c>
      <c r="AD25" s="591">
        <f t="shared" ca="1" si="58"/>
        <v>0</v>
      </c>
      <c r="AE25" s="591">
        <f t="shared" ca="1" si="58"/>
        <v>0</v>
      </c>
      <c r="AF25" s="591">
        <f t="shared" ca="1" si="58"/>
        <v>0</v>
      </c>
      <c r="AG25" s="591">
        <f t="shared" ca="1" si="58"/>
        <v>0</v>
      </c>
      <c r="AH25" s="591">
        <f t="shared" ca="1" si="58"/>
        <v>0</v>
      </c>
      <c r="AI25" s="591">
        <f t="shared" ca="1" si="58"/>
        <v>0</v>
      </c>
      <c r="AJ25" s="591">
        <f t="shared" ca="1" si="58"/>
        <v>0</v>
      </c>
      <c r="AK25" s="592">
        <f t="shared" ca="1" si="60"/>
        <v>-16.099932677048688</v>
      </c>
      <c r="AM25" s="593">
        <f t="shared" ca="1" si="61"/>
        <v>0</v>
      </c>
      <c r="AN25" s="593">
        <f t="shared" ca="1" si="61"/>
        <v>0</v>
      </c>
      <c r="AO25" s="593">
        <f t="shared" ca="1" si="61"/>
        <v>0</v>
      </c>
      <c r="AP25" s="593">
        <f t="shared" ca="1" si="61"/>
        <v>0</v>
      </c>
      <c r="AQ25" s="593">
        <f t="shared" ca="1" si="61"/>
        <v>0</v>
      </c>
      <c r="AR25" s="593">
        <f t="shared" ca="1" si="61"/>
        <v>0</v>
      </c>
      <c r="AS25" s="593">
        <f t="shared" ca="1" si="61"/>
        <v>0</v>
      </c>
      <c r="AT25" s="593">
        <f t="shared" ca="1" si="61"/>
        <v>0</v>
      </c>
      <c r="AU25" s="593">
        <f t="shared" ca="1" si="61"/>
        <v>0</v>
      </c>
      <c r="AV25" s="593">
        <f t="shared" ca="1" si="62"/>
        <v>0</v>
      </c>
      <c r="AW25" s="593">
        <f t="shared" ca="1" si="62"/>
        <v>0</v>
      </c>
      <c r="AX25" s="593">
        <f t="shared" ca="1" si="62"/>
        <v>0</v>
      </c>
      <c r="AY25" s="593">
        <f t="shared" ca="1" si="62"/>
        <v>0</v>
      </c>
      <c r="AZ25" s="593">
        <f t="shared" ca="1" si="62"/>
        <v>0</v>
      </c>
      <c r="BA25" s="593">
        <f t="shared" ca="1" si="62"/>
        <v>0</v>
      </c>
      <c r="BB25" s="593">
        <f t="shared" ca="1" si="62"/>
        <v>0</v>
      </c>
      <c r="BC25" s="593">
        <f t="shared" ca="1" si="62"/>
        <v>0</v>
      </c>
      <c r="BD25" s="593">
        <f t="shared" ca="1" si="62"/>
        <v>0</v>
      </c>
      <c r="BE25" s="593">
        <f t="shared" ca="1" si="62"/>
        <v>0</v>
      </c>
      <c r="BF25" s="609">
        <f t="shared" ca="1" si="63"/>
        <v>0</v>
      </c>
      <c r="BH25" s="3471">
        <f t="shared" ca="1" si="64"/>
        <v>0</v>
      </c>
      <c r="BI25" s="3471">
        <f t="shared" ca="1" si="64"/>
        <v>0</v>
      </c>
      <c r="BJ25" s="3460">
        <f t="shared" ca="1" si="65"/>
        <v>0</v>
      </c>
      <c r="BL25" s="610">
        <f t="shared" ca="1" si="10"/>
        <v>0</v>
      </c>
      <c r="BM25" s="610"/>
      <c r="BN25" s="413"/>
      <c r="BO25" s="2789">
        <f t="shared" ca="1" si="66"/>
        <v>4.2484502348196074</v>
      </c>
      <c r="BP25" s="2790">
        <f t="shared" ca="1" si="66"/>
        <v>3.6514647311546426E-3</v>
      </c>
      <c r="BQ25" s="2790">
        <f t="shared" ca="1" si="66"/>
        <v>1.0780514920551801E-2</v>
      </c>
      <c r="BR25" s="2790">
        <f t="shared" ca="1" si="66"/>
        <v>0</v>
      </c>
      <c r="BS25" s="2790">
        <f t="shared" ca="1" si="66"/>
        <v>0</v>
      </c>
      <c r="BT25" s="2790">
        <f t="shared" ca="1" si="66"/>
        <v>0</v>
      </c>
      <c r="BU25" s="2790">
        <f t="shared" ca="1" si="66"/>
        <v>0</v>
      </c>
      <c r="BV25" s="2790">
        <f t="shared" ca="1" si="66"/>
        <v>0</v>
      </c>
      <c r="BW25" s="2790">
        <f t="shared" ca="1" si="66"/>
        <v>0</v>
      </c>
      <c r="BX25" s="2790">
        <f t="shared" ca="1" si="66"/>
        <v>0</v>
      </c>
      <c r="BY25" s="2790">
        <f t="shared" ca="1" si="67"/>
        <v>0</v>
      </c>
      <c r="BZ25" s="2790">
        <f t="shared" ca="1" si="67"/>
        <v>0</v>
      </c>
      <c r="CA25" s="2790">
        <f t="shared" ca="1" si="67"/>
        <v>0</v>
      </c>
      <c r="CB25" s="2790">
        <f t="shared" ca="1" si="67"/>
        <v>0</v>
      </c>
      <c r="CC25" s="2790">
        <f t="shared" ca="1" si="67"/>
        <v>0</v>
      </c>
      <c r="CD25" s="2790">
        <f t="shared" ca="1" si="67"/>
        <v>0</v>
      </c>
      <c r="CE25" s="2790">
        <f t="shared" ca="1" si="67"/>
        <v>0</v>
      </c>
      <c r="CF25" s="2790">
        <f t="shared" ca="1" si="67"/>
        <v>0</v>
      </c>
      <c r="CG25" s="2790">
        <f t="shared" ca="1" si="67"/>
        <v>0</v>
      </c>
      <c r="CH25" s="2790">
        <f t="shared" ca="1" si="67"/>
        <v>0</v>
      </c>
      <c r="CI25" s="2790">
        <f t="shared" ca="1" si="68"/>
        <v>0</v>
      </c>
      <c r="CJ25" s="2790">
        <f t="shared" ca="1" si="68"/>
        <v>0</v>
      </c>
      <c r="CK25" s="2790">
        <f t="shared" ca="1" si="68"/>
        <v>0</v>
      </c>
      <c r="CL25" s="2790">
        <f t="shared" ca="1" si="68"/>
        <v>0</v>
      </c>
      <c r="CM25" s="2790">
        <f t="shared" ca="1" si="68"/>
        <v>0</v>
      </c>
      <c r="CN25" s="2790">
        <f t="shared" ca="1" si="68"/>
        <v>0</v>
      </c>
      <c r="CO25" s="2790">
        <f t="shared" ca="1" si="68"/>
        <v>0</v>
      </c>
      <c r="CP25" s="2790">
        <f t="shared" ca="1" si="68"/>
        <v>0</v>
      </c>
      <c r="CQ25" s="2790">
        <f t="shared" ca="1" si="68"/>
        <v>0</v>
      </c>
      <c r="CR25" s="2790">
        <f t="shared" ca="1" si="68"/>
        <v>0</v>
      </c>
      <c r="CS25" s="2790">
        <f t="shared" ca="1" si="69"/>
        <v>0</v>
      </c>
      <c r="CT25" s="2790">
        <f t="shared" ca="1" si="69"/>
        <v>0</v>
      </c>
      <c r="CU25" s="2790">
        <f t="shared" ca="1" si="69"/>
        <v>0</v>
      </c>
      <c r="CV25" s="2790">
        <f t="shared" ca="1" si="69"/>
        <v>0</v>
      </c>
      <c r="CW25" s="2790">
        <f t="shared" ca="1" si="69"/>
        <v>0</v>
      </c>
      <c r="CX25" s="2790">
        <f t="shared" ca="1" si="69"/>
        <v>0</v>
      </c>
      <c r="CY25" s="2790">
        <f t="shared" ca="1" si="69"/>
        <v>0</v>
      </c>
      <c r="CZ25" s="2790">
        <f t="shared" ca="1" si="69"/>
        <v>0</v>
      </c>
      <c r="DA25" s="2790">
        <f t="shared" ca="1" si="69"/>
        <v>0</v>
      </c>
      <c r="DB25" s="2790">
        <f t="shared" ca="1" si="69"/>
        <v>0</v>
      </c>
      <c r="DC25" s="2790">
        <f t="shared" ca="1" si="69"/>
        <v>0</v>
      </c>
      <c r="DD25" s="2790">
        <f t="shared" ca="1" si="69"/>
        <v>0</v>
      </c>
      <c r="DE25" s="2790">
        <f t="shared" ca="1" si="69"/>
        <v>0</v>
      </c>
      <c r="DF25" s="2790">
        <f t="shared" ca="1" si="69"/>
        <v>0</v>
      </c>
      <c r="DH25" s="596">
        <f t="shared" ca="1" si="33"/>
        <v>4.2628822144713139</v>
      </c>
    </row>
    <row r="26" spans="1:112" s="6" customFormat="1" ht="10.5" customHeight="1" outlineLevel="2">
      <c r="A26" s="586"/>
      <c r="B26" s="586"/>
      <c r="C26" s="587" t="s">
        <v>482</v>
      </c>
      <c r="D26" s="623" t="s">
        <v>373</v>
      </c>
      <c r="E26" s="599"/>
      <c r="G26" s="589">
        <f t="shared" ca="1" si="56"/>
        <v>0</v>
      </c>
      <c r="H26" s="589">
        <f t="shared" ca="1" si="56"/>
        <v>0</v>
      </c>
      <c r="I26" s="589">
        <f t="shared" ca="1" si="56"/>
        <v>0</v>
      </c>
      <c r="J26" s="589">
        <f t="shared" ca="1" si="56"/>
        <v>0</v>
      </c>
      <c r="K26" s="589">
        <f t="shared" ca="1" si="56"/>
        <v>0</v>
      </c>
      <c r="L26" s="589">
        <f t="shared" ca="1" si="56"/>
        <v>0</v>
      </c>
      <c r="M26" s="589">
        <f t="shared" ca="1" si="56"/>
        <v>0</v>
      </c>
      <c r="N26" s="589">
        <f t="shared" ca="1" si="56"/>
        <v>7.02</v>
      </c>
      <c r="O26" s="589">
        <f t="shared" ca="1" si="56"/>
        <v>0</v>
      </c>
      <c r="P26" s="589">
        <f t="shared" ca="1" si="56"/>
        <v>0</v>
      </c>
      <c r="Q26" s="590">
        <f t="shared" ca="1" si="57"/>
        <v>7.02</v>
      </c>
      <c r="S26" s="591">
        <f t="shared" ca="1" si="58"/>
        <v>0</v>
      </c>
      <c r="T26" s="591">
        <f t="shared" ca="1" si="58"/>
        <v>0</v>
      </c>
      <c r="U26" s="591">
        <f t="shared" ca="1" si="58"/>
        <v>0</v>
      </c>
      <c r="V26" s="591">
        <f t="shared" ca="1" si="58"/>
        <v>-7.02</v>
      </c>
      <c r="W26" s="591">
        <f t="shared" ca="1" si="58"/>
        <v>0</v>
      </c>
      <c r="X26" s="591">
        <f t="shared" ca="1" si="59"/>
        <v>0</v>
      </c>
      <c r="Y26" s="591">
        <f t="shared" ca="1" si="59"/>
        <v>0</v>
      </c>
      <c r="Z26" s="591">
        <f t="shared" ca="1" si="59"/>
        <v>0</v>
      </c>
      <c r="AA26" s="591">
        <f t="shared" ca="1" si="58"/>
        <v>0</v>
      </c>
      <c r="AB26" s="591">
        <f t="shared" ca="1" si="58"/>
        <v>0</v>
      </c>
      <c r="AC26" s="591">
        <f t="shared" ca="1" si="58"/>
        <v>0</v>
      </c>
      <c r="AD26" s="591">
        <f t="shared" ca="1" si="58"/>
        <v>0</v>
      </c>
      <c r="AE26" s="591">
        <f t="shared" ca="1" si="58"/>
        <v>0</v>
      </c>
      <c r="AF26" s="591">
        <f t="shared" ca="1" si="58"/>
        <v>0</v>
      </c>
      <c r="AG26" s="591">
        <f t="shared" ca="1" si="58"/>
        <v>0</v>
      </c>
      <c r="AH26" s="591">
        <f t="shared" ca="1" si="58"/>
        <v>0</v>
      </c>
      <c r="AI26" s="591">
        <f t="shared" ca="1" si="58"/>
        <v>0</v>
      </c>
      <c r="AJ26" s="591">
        <f t="shared" ca="1" si="58"/>
        <v>0</v>
      </c>
      <c r="AK26" s="592">
        <f t="shared" ca="1" si="60"/>
        <v>-7.02</v>
      </c>
      <c r="AM26" s="593">
        <f t="shared" ca="1" si="61"/>
        <v>0</v>
      </c>
      <c r="AN26" s="593">
        <f t="shared" ca="1" si="61"/>
        <v>0</v>
      </c>
      <c r="AO26" s="593">
        <f t="shared" ca="1" si="61"/>
        <v>0</v>
      </c>
      <c r="AP26" s="593">
        <f t="shared" ca="1" si="61"/>
        <v>0</v>
      </c>
      <c r="AQ26" s="593">
        <f t="shared" ca="1" si="61"/>
        <v>0</v>
      </c>
      <c r="AR26" s="593">
        <f t="shared" ca="1" si="61"/>
        <v>0</v>
      </c>
      <c r="AS26" s="593">
        <f t="shared" ca="1" si="61"/>
        <v>0</v>
      </c>
      <c r="AT26" s="593">
        <f t="shared" ca="1" si="61"/>
        <v>0</v>
      </c>
      <c r="AU26" s="593">
        <f t="shared" ca="1" si="61"/>
        <v>0</v>
      </c>
      <c r="AV26" s="593">
        <f t="shared" ca="1" si="62"/>
        <v>0</v>
      </c>
      <c r="AW26" s="593">
        <f t="shared" ca="1" si="62"/>
        <v>0</v>
      </c>
      <c r="AX26" s="593">
        <f t="shared" ca="1" si="62"/>
        <v>0</v>
      </c>
      <c r="AY26" s="593">
        <f t="shared" ca="1" si="62"/>
        <v>0</v>
      </c>
      <c r="AZ26" s="593">
        <f t="shared" ca="1" si="62"/>
        <v>0</v>
      </c>
      <c r="BA26" s="593">
        <f t="shared" ca="1" si="62"/>
        <v>0</v>
      </c>
      <c r="BB26" s="593">
        <f t="shared" ca="1" si="62"/>
        <v>0</v>
      </c>
      <c r="BC26" s="593">
        <f t="shared" ca="1" si="62"/>
        <v>0</v>
      </c>
      <c r="BD26" s="593">
        <f t="shared" ca="1" si="62"/>
        <v>0</v>
      </c>
      <c r="BE26" s="593">
        <f t="shared" ca="1" si="62"/>
        <v>0</v>
      </c>
      <c r="BF26" s="594">
        <f t="shared" ca="1" si="63"/>
        <v>0</v>
      </c>
      <c r="BH26" s="3471">
        <f t="shared" ca="1" si="64"/>
        <v>0</v>
      </c>
      <c r="BI26" s="3471">
        <f t="shared" ca="1" si="64"/>
        <v>0</v>
      </c>
      <c r="BJ26" s="3460">
        <f t="shared" ca="1" si="65"/>
        <v>0</v>
      </c>
      <c r="BL26" s="595">
        <f t="shared" ca="1" si="10"/>
        <v>0</v>
      </c>
      <c r="BM26" s="595"/>
      <c r="BN26" s="413"/>
      <c r="BO26" s="2789">
        <f t="shared" ca="1" si="66"/>
        <v>0</v>
      </c>
      <c r="BP26" s="2790">
        <f t="shared" ca="1" si="66"/>
        <v>0</v>
      </c>
      <c r="BQ26" s="2790">
        <f t="shared" ca="1" si="66"/>
        <v>0</v>
      </c>
      <c r="BR26" s="2790">
        <f t="shared" ca="1" si="66"/>
        <v>0</v>
      </c>
      <c r="BS26" s="2790">
        <f t="shared" ca="1" si="66"/>
        <v>0</v>
      </c>
      <c r="BT26" s="2790">
        <f t="shared" ca="1" si="66"/>
        <v>0</v>
      </c>
      <c r="BU26" s="2790">
        <f t="shared" ca="1" si="66"/>
        <v>0</v>
      </c>
      <c r="BV26" s="2790">
        <f t="shared" ca="1" si="66"/>
        <v>0</v>
      </c>
      <c r="BW26" s="2790">
        <f t="shared" ca="1" si="66"/>
        <v>0</v>
      </c>
      <c r="BX26" s="2790">
        <f t="shared" ca="1" si="66"/>
        <v>0</v>
      </c>
      <c r="BY26" s="2790">
        <f t="shared" ca="1" si="67"/>
        <v>0</v>
      </c>
      <c r="BZ26" s="2790">
        <f t="shared" ca="1" si="67"/>
        <v>0</v>
      </c>
      <c r="CA26" s="2790">
        <f t="shared" ca="1" si="67"/>
        <v>0</v>
      </c>
      <c r="CB26" s="2790">
        <f t="shared" ca="1" si="67"/>
        <v>0</v>
      </c>
      <c r="CC26" s="2790">
        <f t="shared" ca="1" si="67"/>
        <v>0</v>
      </c>
      <c r="CD26" s="2790">
        <f t="shared" ca="1" si="67"/>
        <v>0</v>
      </c>
      <c r="CE26" s="2790">
        <f t="shared" ca="1" si="67"/>
        <v>0</v>
      </c>
      <c r="CF26" s="2790">
        <f t="shared" ca="1" si="67"/>
        <v>0</v>
      </c>
      <c r="CG26" s="2790">
        <f t="shared" ca="1" si="67"/>
        <v>0</v>
      </c>
      <c r="CH26" s="2790">
        <f t="shared" ca="1" si="67"/>
        <v>0</v>
      </c>
      <c r="CI26" s="2790">
        <f t="shared" ca="1" si="68"/>
        <v>0</v>
      </c>
      <c r="CJ26" s="2790">
        <f t="shared" ca="1" si="68"/>
        <v>0</v>
      </c>
      <c r="CK26" s="2790">
        <f t="shared" ca="1" si="68"/>
        <v>0</v>
      </c>
      <c r="CL26" s="2790">
        <f t="shared" ca="1" si="68"/>
        <v>0</v>
      </c>
      <c r="CM26" s="2790">
        <f t="shared" ca="1" si="68"/>
        <v>0</v>
      </c>
      <c r="CN26" s="2790">
        <f t="shared" ca="1" si="68"/>
        <v>0</v>
      </c>
      <c r="CO26" s="2790">
        <f t="shared" ca="1" si="68"/>
        <v>0</v>
      </c>
      <c r="CP26" s="2790">
        <f t="shared" ca="1" si="68"/>
        <v>0</v>
      </c>
      <c r="CQ26" s="2790">
        <f t="shared" ca="1" si="68"/>
        <v>0</v>
      </c>
      <c r="CR26" s="2790">
        <f t="shared" ca="1" si="68"/>
        <v>0</v>
      </c>
      <c r="CS26" s="2790">
        <f t="shared" ca="1" si="69"/>
        <v>0</v>
      </c>
      <c r="CT26" s="2790">
        <f t="shared" ca="1" si="69"/>
        <v>0</v>
      </c>
      <c r="CU26" s="2790">
        <f t="shared" ca="1" si="69"/>
        <v>1.8524375999999996</v>
      </c>
      <c r="CV26" s="2790">
        <f t="shared" ca="1" si="69"/>
        <v>1.5921360000000001E-3</v>
      </c>
      <c r="CW26" s="2790">
        <f t="shared" ca="1" si="69"/>
        <v>4.700592E-3</v>
      </c>
      <c r="CX26" s="2790">
        <f t="shared" ca="1" si="69"/>
        <v>0</v>
      </c>
      <c r="CY26" s="2790">
        <f t="shared" ca="1" si="69"/>
        <v>0</v>
      </c>
      <c r="CZ26" s="2790">
        <f t="shared" ca="1" si="69"/>
        <v>0</v>
      </c>
      <c r="DA26" s="2790">
        <f t="shared" ca="1" si="69"/>
        <v>0</v>
      </c>
      <c r="DB26" s="2790">
        <f t="shared" ca="1" si="69"/>
        <v>0</v>
      </c>
      <c r="DC26" s="2790">
        <f t="shared" ca="1" si="69"/>
        <v>0</v>
      </c>
      <c r="DD26" s="2790">
        <f t="shared" ca="1" si="69"/>
        <v>0</v>
      </c>
      <c r="DE26" s="2790">
        <f t="shared" ca="1" si="69"/>
        <v>0</v>
      </c>
      <c r="DF26" s="2790">
        <f t="shared" ca="1" si="69"/>
        <v>0</v>
      </c>
      <c r="DH26" s="596">
        <f t="shared" ca="1" si="33"/>
        <v>1.8587303279999996</v>
      </c>
    </row>
    <row r="27" spans="1:112" s="6" customFormat="1" ht="10.5" customHeight="1" outlineLevel="2">
      <c r="A27" s="597"/>
      <c r="B27" s="597"/>
      <c r="C27" s="598" t="s">
        <v>483</v>
      </c>
      <c r="D27" s="624" t="s">
        <v>484</v>
      </c>
      <c r="E27" s="599"/>
      <c r="G27" s="600">
        <f t="shared" ca="1" si="56"/>
        <v>0</v>
      </c>
      <c r="H27" s="600">
        <f t="shared" ca="1" si="56"/>
        <v>0</v>
      </c>
      <c r="I27" s="600">
        <f t="shared" ca="1" si="56"/>
        <v>0</v>
      </c>
      <c r="J27" s="600">
        <f t="shared" ca="1" si="56"/>
        <v>0</v>
      </c>
      <c r="K27" s="600">
        <f t="shared" ca="1" si="56"/>
        <v>0</v>
      </c>
      <c r="L27" s="600">
        <f t="shared" ca="1" si="56"/>
        <v>0</v>
      </c>
      <c r="M27" s="600">
        <f t="shared" ca="1" si="56"/>
        <v>0</v>
      </c>
      <c r="N27" s="600">
        <f t="shared" ca="1" si="56"/>
        <v>0</v>
      </c>
      <c r="O27" s="600">
        <f t="shared" ca="1" si="56"/>
        <v>0</v>
      </c>
      <c r="P27" s="600">
        <f t="shared" ca="1" si="56"/>
        <v>0</v>
      </c>
      <c r="Q27" s="601">
        <f t="shared" ca="1" si="57"/>
        <v>0</v>
      </c>
      <c r="S27" s="602">
        <f t="shared" ca="1" si="58"/>
        <v>0</v>
      </c>
      <c r="T27" s="602">
        <f t="shared" ca="1" si="58"/>
        <v>0</v>
      </c>
      <c r="U27" s="602">
        <f t="shared" ca="1" si="58"/>
        <v>0</v>
      </c>
      <c r="V27" s="602">
        <f t="shared" ca="1" si="58"/>
        <v>0</v>
      </c>
      <c r="W27" s="602">
        <f t="shared" ca="1" si="58"/>
        <v>0</v>
      </c>
      <c r="X27" s="602">
        <f t="shared" ca="1" si="59"/>
        <v>0</v>
      </c>
      <c r="Y27" s="602">
        <f t="shared" ca="1" si="59"/>
        <v>0</v>
      </c>
      <c r="Z27" s="602">
        <f t="shared" ca="1" si="59"/>
        <v>0</v>
      </c>
      <c r="AA27" s="602">
        <f t="shared" ca="1" si="58"/>
        <v>0</v>
      </c>
      <c r="AB27" s="602">
        <f t="shared" ca="1" si="58"/>
        <v>0</v>
      </c>
      <c r="AC27" s="602">
        <f t="shared" ca="1" si="58"/>
        <v>0</v>
      </c>
      <c r="AD27" s="602">
        <f t="shared" ca="1" si="58"/>
        <v>0</v>
      </c>
      <c r="AE27" s="602">
        <f t="shared" ca="1" si="58"/>
        <v>0</v>
      </c>
      <c r="AF27" s="602">
        <f t="shared" ca="1" si="58"/>
        <v>0</v>
      </c>
      <c r="AG27" s="602">
        <f t="shared" ca="1" si="58"/>
        <v>0</v>
      </c>
      <c r="AH27" s="602">
        <f t="shared" ca="1" si="58"/>
        <v>0</v>
      </c>
      <c r="AI27" s="602">
        <f t="shared" ca="1" si="58"/>
        <v>0</v>
      </c>
      <c r="AJ27" s="602">
        <f t="shared" ca="1" si="58"/>
        <v>0</v>
      </c>
      <c r="AK27" s="603">
        <f t="shared" ca="1" si="60"/>
        <v>0</v>
      </c>
      <c r="AM27" s="604">
        <f t="shared" ca="1" si="61"/>
        <v>0</v>
      </c>
      <c r="AN27" s="604">
        <f t="shared" ca="1" si="61"/>
        <v>0</v>
      </c>
      <c r="AO27" s="604">
        <f t="shared" ca="1" si="61"/>
        <v>0</v>
      </c>
      <c r="AP27" s="604">
        <f t="shared" ca="1" si="61"/>
        <v>0</v>
      </c>
      <c r="AQ27" s="604">
        <f t="shared" ca="1" si="61"/>
        <v>0</v>
      </c>
      <c r="AR27" s="604">
        <f t="shared" ca="1" si="61"/>
        <v>0</v>
      </c>
      <c r="AS27" s="604">
        <f t="shared" ca="1" si="61"/>
        <v>0</v>
      </c>
      <c r="AT27" s="604">
        <f t="shared" ca="1" si="61"/>
        <v>0</v>
      </c>
      <c r="AU27" s="604">
        <f t="shared" ca="1" si="61"/>
        <v>0</v>
      </c>
      <c r="AV27" s="604">
        <f t="shared" ca="1" si="62"/>
        <v>0</v>
      </c>
      <c r="AW27" s="604">
        <f t="shared" ca="1" si="62"/>
        <v>0</v>
      </c>
      <c r="AX27" s="604">
        <f t="shared" ca="1" si="62"/>
        <v>0</v>
      </c>
      <c r="AY27" s="604">
        <f t="shared" ca="1" si="62"/>
        <v>0</v>
      </c>
      <c r="AZ27" s="604">
        <f t="shared" ca="1" si="62"/>
        <v>0</v>
      </c>
      <c r="BA27" s="604">
        <f t="shared" ca="1" si="62"/>
        <v>0</v>
      </c>
      <c r="BB27" s="604">
        <f t="shared" ca="1" si="62"/>
        <v>0</v>
      </c>
      <c r="BC27" s="604">
        <f t="shared" ca="1" si="62"/>
        <v>0</v>
      </c>
      <c r="BD27" s="604">
        <f t="shared" ca="1" si="62"/>
        <v>0</v>
      </c>
      <c r="BE27" s="604">
        <f t="shared" ca="1" si="62"/>
        <v>0</v>
      </c>
      <c r="BF27" s="605">
        <f t="shared" ca="1" si="63"/>
        <v>0</v>
      </c>
      <c r="BH27" s="3472">
        <f t="shared" ca="1" si="64"/>
        <v>0</v>
      </c>
      <c r="BI27" s="3472">
        <f t="shared" ca="1" si="64"/>
        <v>0</v>
      </c>
      <c r="BJ27" s="3461">
        <f t="shared" ca="1" si="65"/>
        <v>0</v>
      </c>
      <c r="BL27" s="606">
        <f t="shared" ca="1" si="10"/>
        <v>0</v>
      </c>
      <c r="BM27" s="606"/>
      <c r="BN27" s="413"/>
      <c r="BO27" s="2789">
        <f t="shared" ca="1" si="66"/>
        <v>0</v>
      </c>
      <c r="BP27" s="2790">
        <f t="shared" ca="1" si="66"/>
        <v>0</v>
      </c>
      <c r="BQ27" s="2790">
        <f t="shared" ca="1" si="66"/>
        <v>0</v>
      </c>
      <c r="BR27" s="2790">
        <f t="shared" ca="1" si="66"/>
        <v>0</v>
      </c>
      <c r="BS27" s="2790">
        <f t="shared" ca="1" si="66"/>
        <v>0</v>
      </c>
      <c r="BT27" s="2790">
        <f t="shared" ca="1" si="66"/>
        <v>0</v>
      </c>
      <c r="BU27" s="2790">
        <f t="shared" ca="1" si="66"/>
        <v>0</v>
      </c>
      <c r="BV27" s="2790">
        <f t="shared" ca="1" si="66"/>
        <v>0</v>
      </c>
      <c r="BW27" s="2790">
        <f t="shared" ca="1" si="66"/>
        <v>0</v>
      </c>
      <c r="BX27" s="2790">
        <f t="shared" ca="1" si="66"/>
        <v>0</v>
      </c>
      <c r="BY27" s="2790">
        <f t="shared" ca="1" si="67"/>
        <v>0</v>
      </c>
      <c r="BZ27" s="2790">
        <f t="shared" ca="1" si="67"/>
        <v>0</v>
      </c>
      <c r="CA27" s="2790">
        <f t="shared" ca="1" si="67"/>
        <v>0</v>
      </c>
      <c r="CB27" s="2790">
        <f t="shared" ca="1" si="67"/>
        <v>0</v>
      </c>
      <c r="CC27" s="2790">
        <f t="shared" ca="1" si="67"/>
        <v>0</v>
      </c>
      <c r="CD27" s="2790">
        <f t="shared" ca="1" si="67"/>
        <v>0</v>
      </c>
      <c r="CE27" s="2790">
        <f t="shared" ca="1" si="67"/>
        <v>0</v>
      </c>
      <c r="CF27" s="2790">
        <f t="shared" ca="1" si="67"/>
        <v>0</v>
      </c>
      <c r="CG27" s="2790">
        <f t="shared" ca="1" si="67"/>
        <v>0</v>
      </c>
      <c r="CH27" s="2790">
        <f t="shared" ca="1" si="67"/>
        <v>0</v>
      </c>
      <c r="CI27" s="2790">
        <f t="shared" ca="1" si="68"/>
        <v>0</v>
      </c>
      <c r="CJ27" s="2790">
        <f t="shared" ca="1" si="68"/>
        <v>0</v>
      </c>
      <c r="CK27" s="2790">
        <f t="shared" ca="1" si="68"/>
        <v>0</v>
      </c>
      <c r="CL27" s="2790">
        <f t="shared" ca="1" si="68"/>
        <v>0</v>
      </c>
      <c r="CM27" s="2790">
        <f t="shared" ca="1" si="68"/>
        <v>0</v>
      </c>
      <c r="CN27" s="2790">
        <f t="shared" ca="1" si="68"/>
        <v>0</v>
      </c>
      <c r="CO27" s="2790">
        <f t="shared" ca="1" si="68"/>
        <v>0</v>
      </c>
      <c r="CP27" s="2790">
        <f t="shared" ca="1" si="68"/>
        <v>0</v>
      </c>
      <c r="CQ27" s="2790">
        <f t="shared" ca="1" si="68"/>
        <v>0</v>
      </c>
      <c r="CR27" s="2790">
        <f t="shared" ca="1" si="68"/>
        <v>0</v>
      </c>
      <c r="CS27" s="2790">
        <f t="shared" ca="1" si="69"/>
        <v>0</v>
      </c>
      <c r="CT27" s="2790">
        <f t="shared" ca="1" si="69"/>
        <v>0</v>
      </c>
      <c r="CU27" s="2790">
        <f t="shared" ca="1" si="69"/>
        <v>0</v>
      </c>
      <c r="CV27" s="2790">
        <f t="shared" ca="1" si="69"/>
        <v>0</v>
      </c>
      <c r="CW27" s="2790">
        <f t="shared" ca="1" si="69"/>
        <v>0</v>
      </c>
      <c r="CX27" s="2790">
        <f t="shared" ca="1" si="69"/>
        <v>0</v>
      </c>
      <c r="CY27" s="2790">
        <f t="shared" ca="1" si="69"/>
        <v>0</v>
      </c>
      <c r="CZ27" s="2790">
        <f t="shared" ca="1" si="69"/>
        <v>0</v>
      </c>
      <c r="DA27" s="2790">
        <f t="shared" ca="1" si="69"/>
        <v>0</v>
      </c>
      <c r="DB27" s="2790">
        <f t="shared" ca="1" si="69"/>
        <v>0</v>
      </c>
      <c r="DC27" s="2790">
        <f t="shared" ca="1" si="69"/>
        <v>0</v>
      </c>
      <c r="DD27" s="2790">
        <f t="shared" ca="1" si="69"/>
        <v>0</v>
      </c>
      <c r="DE27" s="2790">
        <f t="shared" ca="1" si="69"/>
        <v>0</v>
      </c>
      <c r="DF27" s="2790">
        <f t="shared" ca="1" si="69"/>
        <v>0</v>
      </c>
      <c r="DH27" s="596">
        <f t="shared" ca="1" si="33"/>
        <v>0</v>
      </c>
    </row>
    <row r="28" spans="1:112" s="6" customFormat="1" ht="10.5" customHeight="1" outlineLevel="1">
      <c r="A28" s="607"/>
      <c r="B28" s="607"/>
      <c r="C28" s="587"/>
      <c r="D28" s="623" t="s">
        <v>485</v>
      </c>
      <c r="E28" s="599"/>
      <c r="G28" s="590">
        <f ca="1">SUM(G26:G27)</f>
        <v>0</v>
      </c>
      <c r="H28" s="590">
        <f t="shared" ref="H28:P28" ca="1" si="70">SUM(H26:H27)</f>
        <v>0</v>
      </c>
      <c r="I28" s="590">
        <f t="shared" ca="1" si="70"/>
        <v>0</v>
      </c>
      <c r="J28" s="590">
        <f t="shared" ca="1" si="70"/>
        <v>0</v>
      </c>
      <c r="K28" s="590">
        <f t="shared" ca="1" si="70"/>
        <v>0</v>
      </c>
      <c r="L28" s="590">
        <f t="shared" ca="1" si="70"/>
        <v>0</v>
      </c>
      <c r="M28" s="590">
        <f t="shared" ca="1" si="70"/>
        <v>0</v>
      </c>
      <c r="N28" s="590">
        <f ca="1">SUM(N26:N27)</f>
        <v>7.02</v>
      </c>
      <c r="O28" s="590">
        <f ca="1">SUM(O26:O27)</f>
        <v>0</v>
      </c>
      <c r="P28" s="590">
        <f t="shared" ca="1" si="70"/>
        <v>0</v>
      </c>
      <c r="Q28" s="590">
        <f t="shared" ca="1" si="57"/>
        <v>7.02</v>
      </c>
      <c r="S28" s="592">
        <f t="shared" ref="S28:AJ28" ca="1" si="71">SUM(S26:S27)</f>
        <v>0</v>
      </c>
      <c r="T28" s="592">
        <f t="shared" ca="1" si="71"/>
        <v>0</v>
      </c>
      <c r="U28" s="592">
        <f t="shared" ca="1" si="71"/>
        <v>0</v>
      </c>
      <c r="V28" s="592">
        <f t="shared" ca="1" si="71"/>
        <v>-7.02</v>
      </c>
      <c r="W28" s="592">
        <f t="shared" ca="1" si="71"/>
        <v>0</v>
      </c>
      <c r="X28" s="592">
        <f t="shared" ca="1" si="71"/>
        <v>0</v>
      </c>
      <c r="Y28" s="592">
        <f t="shared" ca="1" si="71"/>
        <v>0</v>
      </c>
      <c r="Z28" s="592">
        <f t="shared" ca="1" si="71"/>
        <v>0</v>
      </c>
      <c r="AA28" s="592">
        <f t="shared" ca="1" si="71"/>
        <v>0</v>
      </c>
      <c r="AB28" s="592">
        <f t="shared" ca="1" si="71"/>
        <v>0</v>
      </c>
      <c r="AC28" s="592">
        <f t="shared" ca="1" si="71"/>
        <v>0</v>
      </c>
      <c r="AD28" s="592">
        <f t="shared" ca="1" si="71"/>
        <v>0</v>
      </c>
      <c r="AE28" s="592">
        <f ca="1">SUM(AE26:AE27)</f>
        <v>0</v>
      </c>
      <c r="AF28" s="592">
        <f t="shared" ca="1" si="71"/>
        <v>0</v>
      </c>
      <c r="AG28" s="592">
        <f t="shared" ca="1" si="71"/>
        <v>0</v>
      </c>
      <c r="AH28" s="592">
        <f ca="1">SUM(AH26:AH27)</f>
        <v>0</v>
      </c>
      <c r="AI28" s="592">
        <f t="shared" ca="1" si="71"/>
        <v>0</v>
      </c>
      <c r="AJ28" s="592">
        <f t="shared" ca="1" si="71"/>
        <v>0</v>
      </c>
      <c r="AK28" s="592">
        <f t="shared" ca="1" si="60"/>
        <v>-7.02</v>
      </c>
      <c r="AM28" s="608">
        <f t="shared" ref="AM28:BE28" ca="1" si="72">SUM(AM26:AM27)</f>
        <v>0</v>
      </c>
      <c r="AN28" s="608">
        <f t="shared" ca="1" si="72"/>
        <v>0</v>
      </c>
      <c r="AO28" s="608">
        <f t="shared" ca="1" si="72"/>
        <v>0</v>
      </c>
      <c r="AP28" s="608">
        <f t="shared" ca="1" si="72"/>
        <v>0</v>
      </c>
      <c r="AQ28" s="608">
        <f t="shared" ca="1" si="72"/>
        <v>0</v>
      </c>
      <c r="AR28" s="608">
        <f t="shared" ca="1" si="72"/>
        <v>0</v>
      </c>
      <c r="AS28" s="608">
        <f t="shared" ca="1" si="72"/>
        <v>0</v>
      </c>
      <c r="AT28" s="608">
        <f t="shared" ca="1" si="72"/>
        <v>0</v>
      </c>
      <c r="AU28" s="608">
        <f t="shared" ca="1" si="72"/>
        <v>0</v>
      </c>
      <c r="AV28" s="608">
        <f t="shared" ca="1" si="72"/>
        <v>0</v>
      </c>
      <c r="AW28" s="608">
        <f t="shared" ca="1" si="72"/>
        <v>0</v>
      </c>
      <c r="AX28" s="608">
        <f t="shared" ca="1" si="72"/>
        <v>0</v>
      </c>
      <c r="AY28" s="608">
        <f t="shared" ca="1" si="72"/>
        <v>0</v>
      </c>
      <c r="AZ28" s="608">
        <f t="shared" ca="1" si="72"/>
        <v>0</v>
      </c>
      <c r="BA28" s="608">
        <f t="shared" ca="1" si="72"/>
        <v>0</v>
      </c>
      <c r="BB28" s="608">
        <f t="shared" ca="1" si="72"/>
        <v>0</v>
      </c>
      <c r="BC28" s="608">
        <f t="shared" ca="1" si="72"/>
        <v>0</v>
      </c>
      <c r="BD28" s="608">
        <f ca="1">SUM(BD26:BD27)</f>
        <v>0</v>
      </c>
      <c r="BE28" s="608">
        <f t="shared" ca="1" si="72"/>
        <v>0</v>
      </c>
      <c r="BF28" s="594">
        <f t="shared" ca="1" si="63"/>
        <v>0</v>
      </c>
      <c r="BH28" s="3460">
        <f ca="1">SUM(BH26:BH27)</f>
        <v>0</v>
      </c>
      <c r="BI28" s="3460">
        <f ca="1">SUM(BI26:BI27)</f>
        <v>0</v>
      </c>
      <c r="BJ28" s="3460">
        <f t="shared" ca="1" si="65"/>
        <v>0</v>
      </c>
      <c r="BL28" s="595">
        <f t="shared" ca="1" si="10"/>
        <v>0</v>
      </c>
      <c r="BM28" s="595"/>
      <c r="BN28" s="413"/>
      <c r="BO28" s="2789">
        <f t="shared" ref="BO28:DF28" ca="1" si="73">SUM(BO26:BO27)</f>
        <v>0</v>
      </c>
      <c r="BP28" s="2790">
        <f t="shared" ca="1" si="73"/>
        <v>0</v>
      </c>
      <c r="BQ28" s="2790">
        <f t="shared" ca="1" si="73"/>
        <v>0</v>
      </c>
      <c r="BR28" s="2790">
        <f t="shared" ca="1" si="73"/>
        <v>0</v>
      </c>
      <c r="BS28" s="2790">
        <f t="shared" ca="1" si="73"/>
        <v>0</v>
      </c>
      <c r="BT28" s="2790">
        <f t="shared" ca="1" si="73"/>
        <v>0</v>
      </c>
      <c r="BU28" s="2790">
        <f t="shared" ca="1" si="73"/>
        <v>0</v>
      </c>
      <c r="BV28" s="2790">
        <f t="shared" ca="1" si="73"/>
        <v>0</v>
      </c>
      <c r="BW28" s="2790">
        <f t="shared" ca="1" si="73"/>
        <v>0</v>
      </c>
      <c r="BX28" s="2790">
        <f t="shared" ca="1" si="73"/>
        <v>0</v>
      </c>
      <c r="BY28" s="2790">
        <f t="shared" ca="1" si="73"/>
        <v>0</v>
      </c>
      <c r="BZ28" s="2790">
        <f t="shared" ca="1" si="73"/>
        <v>0</v>
      </c>
      <c r="CA28" s="2790">
        <f t="shared" ca="1" si="73"/>
        <v>0</v>
      </c>
      <c r="CB28" s="2790">
        <f t="shared" ca="1" si="73"/>
        <v>0</v>
      </c>
      <c r="CC28" s="2790">
        <f t="shared" ca="1" si="73"/>
        <v>0</v>
      </c>
      <c r="CD28" s="2790">
        <f t="shared" ca="1" si="73"/>
        <v>0</v>
      </c>
      <c r="CE28" s="2790">
        <f t="shared" ca="1" si="73"/>
        <v>0</v>
      </c>
      <c r="CF28" s="2790">
        <f t="shared" ca="1" si="73"/>
        <v>0</v>
      </c>
      <c r="CG28" s="2790">
        <f t="shared" ca="1" si="73"/>
        <v>0</v>
      </c>
      <c r="CH28" s="2790">
        <f t="shared" ca="1" si="73"/>
        <v>0</v>
      </c>
      <c r="CI28" s="2790">
        <f t="shared" ca="1" si="73"/>
        <v>0</v>
      </c>
      <c r="CJ28" s="2790">
        <f t="shared" ca="1" si="73"/>
        <v>0</v>
      </c>
      <c r="CK28" s="2790">
        <f t="shared" ca="1" si="73"/>
        <v>0</v>
      </c>
      <c r="CL28" s="2790">
        <f t="shared" ca="1" si="73"/>
        <v>0</v>
      </c>
      <c r="CM28" s="2790">
        <f t="shared" ca="1" si="73"/>
        <v>0</v>
      </c>
      <c r="CN28" s="2790">
        <f t="shared" ca="1" si="73"/>
        <v>0</v>
      </c>
      <c r="CO28" s="2790">
        <f t="shared" ca="1" si="73"/>
        <v>0</v>
      </c>
      <c r="CP28" s="2790">
        <f t="shared" ca="1" si="73"/>
        <v>0</v>
      </c>
      <c r="CQ28" s="2790">
        <f t="shared" ca="1" si="73"/>
        <v>0</v>
      </c>
      <c r="CR28" s="2790">
        <f t="shared" ca="1" si="73"/>
        <v>0</v>
      </c>
      <c r="CS28" s="2790">
        <f t="shared" ca="1" si="73"/>
        <v>0</v>
      </c>
      <c r="CT28" s="2790">
        <f t="shared" ca="1" si="73"/>
        <v>0</v>
      </c>
      <c r="CU28" s="2790">
        <f t="shared" ca="1" si="73"/>
        <v>1.8524375999999996</v>
      </c>
      <c r="CV28" s="2790">
        <f t="shared" ca="1" si="73"/>
        <v>1.5921360000000001E-3</v>
      </c>
      <c r="CW28" s="2790">
        <f t="shared" ca="1" si="73"/>
        <v>4.700592E-3</v>
      </c>
      <c r="CX28" s="2790">
        <f t="shared" ca="1" si="73"/>
        <v>0</v>
      </c>
      <c r="CY28" s="2790">
        <f t="shared" ca="1" si="73"/>
        <v>0</v>
      </c>
      <c r="CZ28" s="2790">
        <f t="shared" ca="1" si="73"/>
        <v>0</v>
      </c>
      <c r="DA28" s="2790">
        <f t="shared" ca="1" si="73"/>
        <v>0</v>
      </c>
      <c r="DB28" s="2790">
        <f t="shared" ca="1" si="73"/>
        <v>0</v>
      </c>
      <c r="DC28" s="2790">
        <f t="shared" ca="1" si="73"/>
        <v>0</v>
      </c>
      <c r="DD28" s="2790">
        <f t="shared" ca="1" si="73"/>
        <v>0</v>
      </c>
      <c r="DE28" s="2790">
        <f t="shared" ca="1" si="73"/>
        <v>0</v>
      </c>
      <c r="DF28" s="2790">
        <f t="shared" ca="1" si="73"/>
        <v>0</v>
      </c>
      <c r="DH28" s="596">
        <f t="shared" ca="1" si="33"/>
        <v>1.8587303279999996</v>
      </c>
    </row>
    <row r="29" spans="1:112" s="6" customFormat="1" ht="12.75" customHeight="1" outlineLevel="2">
      <c r="A29" s="586"/>
      <c r="B29" s="586"/>
      <c r="C29" s="587" t="s">
        <v>486</v>
      </c>
      <c r="D29" s="623" t="s">
        <v>374</v>
      </c>
      <c r="E29" s="599"/>
      <c r="G29" s="589">
        <f t="shared" ref="G29:P30" ca="1" si="74">IFERROR(INDEX(INDIRECT($C29&amp;".Outputs["&amp;this.Year&amp;"]"), MATCH(G$5, INDIRECT($C29&amp;".Outputs[Vector]"), 0)), 0)</f>
        <v>0</v>
      </c>
      <c r="H29" s="589">
        <f t="shared" ca="1" si="74"/>
        <v>0</v>
      </c>
      <c r="I29" s="589">
        <f t="shared" ca="1" si="74"/>
        <v>0</v>
      </c>
      <c r="J29" s="589">
        <f t="shared" ca="1" si="74"/>
        <v>0</v>
      </c>
      <c r="K29" s="589">
        <f t="shared" ca="1" si="74"/>
        <v>0</v>
      </c>
      <c r="L29" s="589">
        <f t="shared" ca="1" si="74"/>
        <v>0</v>
      </c>
      <c r="M29" s="589">
        <f t="shared" ca="1" si="74"/>
        <v>0</v>
      </c>
      <c r="N29" s="589">
        <f t="shared" ca="1" si="74"/>
        <v>0</v>
      </c>
      <c r="O29" s="589">
        <f t="shared" ca="1" si="74"/>
        <v>0</v>
      </c>
      <c r="P29" s="589">
        <f t="shared" ca="1" si="74"/>
        <v>0</v>
      </c>
      <c r="Q29" s="590">
        <f t="shared" ca="1" si="57"/>
        <v>0</v>
      </c>
      <c r="S29" s="591">
        <f t="shared" ca="1" si="58"/>
        <v>0</v>
      </c>
      <c r="T29" s="591">
        <f t="shared" ca="1" si="58"/>
        <v>0</v>
      </c>
      <c r="U29" s="591">
        <f t="shared" ca="1" si="58"/>
        <v>0</v>
      </c>
      <c r="V29" s="591">
        <f t="shared" ca="1" si="58"/>
        <v>0</v>
      </c>
      <c r="W29" s="591">
        <f t="shared" ca="1" si="58"/>
        <v>0</v>
      </c>
      <c r="X29" s="591">
        <f t="shared" ref="X29:Z30" ca="1" si="75">IFERROR(INDEX(INDIRECT($C29&amp;".Outputs["&amp;this.Year&amp;"]"), MATCH(X$5, INDIRECT($C29&amp;".Outputs[Vector]"), 0)), 0)</f>
        <v>0</v>
      </c>
      <c r="Y29" s="591">
        <f t="shared" ca="1" si="75"/>
        <v>0</v>
      </c>
      <c r="Z29" s="591">
        <f t="shared" ca="1" si="75"/>
        <v>0</v>
      </c>
      <c r="AA29" s="591">
        <f t="shared" ca="1" si="58"/>
        <v>0</v>
      </c>
      <c r="AB29" s="591">
        <f t="shared" ca="1" si="58"/>
        <v>0</v>
      </c>
      <c r="AC29" s="591">
        <f t="shared" ca="1" si="58"/>
        <v>0</v>
      </c>
      <c r="AD29" s="591">
        <f t="shared" ca="1" si="58"/>
        <v>0</v>
      </c>
      <c r="AE29" s="591">
        <f t="shared" ca="1" si="58"/>
        <v>0</v>
      </c>
      <c r="AF29" s="591">
        <f t="shared" ca="1" si="58"/>
        <v>0</v>
      </c>
      <c r="AG29" s="591">
        <f t="shared" ca="1" si="58"/>
        <v>0</v>
      </c>
      <c r="AH29" s="591">
        <f t="shared" ca="1" si="58"/>
        <v>0</v>
      </c>
      <c r="AI29" s="591">
        <f t="shared" ca="1" si="58"/>
        <v>0</v>
      </c>
      <c r="AJ29" s="591">
        <f t="shared" ca="1" si="58"/>
        <v>0</v>
      </c>
      <c r="AK29" s="592">
        <f t="shared" ca="1" si="60"/>
        <v>0</v>
      </c>
      <c r="AM29" s="593">
        <f t="shared" ref="AM29:AU30" ca="1" si="76">IFERROR(INDEX(INDIRECT($C29&amp;".Outputs["&amp;this.Year&amp;"]"), MATCH(AM$5, INDIRECT($C29&amp;".Outputs[Vector]"), 0)), 0)</f>
        <v>0</v>
      </c>
      <c r="AN29" s="593">
        <f t="shared" ca="1" si="76"/>
        <v>0</v>
      </c>
      <c r="AO29" s="593">
        <f t="shared" ca="1" si="76"/>
        <v>0</v>
      </c>
      <c r="AP29" s="593">
        <f t="shared" ca="1" si="76"/>
        <v>0</v>
      </c>
      <c r="AQ29" s="593">
        <f t="shared" ca="1" si="76"/>
        <v>0</v>
      </c>
      <c r="AR29" s="593">
        <f t="shared" ca="1" si="76"/>
        <v>0</v>
      </c>
      <c r="AS29" s="593">
        <f t="shared" ca="1" si="76"/>
        <v>0</v>
      </c>
      <c r="AT29" s="593">
        <f t="shared" ca="1" si="76"/>
        <v>0</v>
      </c>
      <c r="AU29" s="593">
        <f t="shared" ca="1" si="76"/>
        <v>0</v>
      </c>
      <c r="AV29" s="593">
        <f t="shared" ca="1" si="62"/>
        <v>0</v>
      </c>
      <c r="AW29" s="593">
        <f t="shared" ca="1" si="62"/>
        <v>0</v>
      </c>
      <c r="AX29" s="593">
        <f t="shared" ca="1" si="62"/>
        <v>0</v>
      </c>
      <c r="AY29" s="593">
        <f t="shared" ca="1" si="62"/>
        <v>0</v>
      </c>
      <c r="AZ29" s="593">
        <f t="shared" ca="1" si="62"/>
        <v>0</v>
      </c>
      <c r="BA29" s="593">
        <f t="shared" ca="1" si="62"/>
        <v>0</v>
      </c>
      <c r="BB29" s="593">
        <f t="shared" ca="1" si="62"/>
        <v>0</v>
      </c>
      <c r="BC29" s="593">
        <f t="shared" ca="1" si="62"/>
        <v>0</v>
      </c>
      <c r="BD29" s="593">
        <f t="shared" ca="1" si="62"/>
        <v>0</v>
      </c>
      <c r="BE29" s="593">
        <f t="shared" ca="1" si="62"/>
        <v>0</v>
      </c>
      <c r="BF29" s="609">
        <f t="shared" ca="1" si="63"/>
        <v>0</v>
      </c>
      <c r="BH29" s="3471">
        <f t="shared" ca="1" si="64"/>
        <v>0</v>
      </c>
      <c r="BI29" s="3471">
        <f t="shared" ca="1" si="64"/>
        <v>0</v>
      </c>
      <c r="BJ29" s="3460">
        <f t="shared" ca="1" si="65"/>
        <v>0</v>
      </c>
      <c r="BL29" s="610">
        <f t="shared" ca="1" si="10"/>
        <v>0</v>
      </c>
      <c r="BM29" s="610"/>
      <c r="BN29" s="413"/>
      <c r="BO29" s="2789">
        <f t="shared" ref="BO29:BX30" ca="1" si="77">IFERROR(SUMIFS(INDIRECT($C29&amp;".Emissions["&amp;this.Year&amp;"]"), INDIRECT($C29&amp;".Emissions[GHG]"), BO$6, INDIRECT($C29&amp;".Emissions[IPCC Sector]"), BO$5),0)</f>
        <v>0</v>
      </c>
      <c r="BP29" s="2790">
        <f t="shared" ca="1" si="77"/>
        <v>0</v>
      </c>
      <c r="BQ29" s="2790">
        <f t="shared" ca="1" si="77"/>
        <v>0</v>
      </c>
      <c r="BR29" s="2790">
        <f t="shared" ca="1" si="77"/>
        <v>0</v>
      </c>
      <c r="BS29" s="2790">
        <f t="shared" ca="1" si="77"/>
        <v>0</v>
      </c>
      <c r="BT29" s="2790">
        <f t="shared" ca="1" si="77"/>
        <v>0</v>
      </c>
      <c r="BU29" s="2790">
        <f t="shared" ca="1" si="77"/>
        <v>0</v>
      </c>
      <c r="BV29" s="2790">
        <f t="shared" ca="1" si="77"/>
        <v>0</v>
      </c>
      <c r="BW29" s="2790">
        <f t="shared" ca="1" si="77"/>
        <v>0</v>
      </c>
      <c r="BX29" s="2790">
        <f t="shared" ca="1" si="77"/>
        <v>0</v>
      </c>
      <c r="BY29" s="2790">
        <f t="shared" ref="BY29:CH30" ca="1" si="78">IFERROR(SUMIFS(INDIRECT($C29&amp;".Emissions["&amp;this.Year&amp;"]"), INDIRECT($C29&amp;".Emissions[GHG]"), BY$6, INDIRECT($C29&amp;".Emissions[IPCC Sector]"), BY$5),0)</f>
        <v>0</v>
      </c>
      <c r="BZ29" s="2790">
        <f t="shared" ca="1" si="78"/>
        <v>0</v>
      </c>
      <c r="CA29" s="2790">
        <f t="shared" ca="1" si="78"/>
        <v>0</v>
      </c>
      <c r="CB29" s="2790">
        <f t="shared" ca="1" si="78"/>
        <v>0</v>
      </c>
      <c r="CC29" s="2790">
        <f t="shared" ca="1" si="78"/>
        <v>0</v>
      </c>
      <c r="CD29" s="2790">
        <f t="shared" ca="1" si="78"/>
        <v>0</v>
      </c>
      <c r="CE29" s="2790">
        <f t="shared" ca="1" si="78"/>
        <v>0</v>
      </c>
      <c r="CF29" s="2790">
        <f t="shared" ca="1" si="78"/>
        <v>0</v>
      </c>
      <c r="CG29" s="2790">
        <f t="shared" ca="1" si="78"/>
        <v>0</v>
      </c>
      <c r="CH29" s="2790">
        <f t="shared" ca="1" si="78"/>
        <v>0</v>
      </c>
      <c r="CI29" s="2790">
        <f t="shared" ref="CI29:CR30" ca="1" si="79">IFERROR(SUMIFS(INDIRECT($C29&amp;".Emissions["&amp;this.Year&amp;"]"), INDIRECT($C29&amp;".Emissions[GHG]"), CI$6, INDIRECT($C29&amp;".Emissions[IPCC Sector]"), CI$5),0)</f>
        <v>0</v>
      </c>
      <c r="CJ29" s="2790">
        <f t="shared" ca="1" si="79"/>
        <v>0</v>
      </c>
      <c r="CK29" s="2790">
        <f t="shared" ca="1" si="79"/>
        <v>0</v>
      </c>
      <c r="CL29" s="2790">
        <f t="shared" ca="1" si="79"/>
        <v>0</v>
      </c>
      <c r="CM29" s="2790">
        <f t="shared" ca="1" si="79"/>
        <v>0</v>
      </c>
      <c r="CN29" s="2790">
        <f t="shared" ca="1" si="79"/>
        <v>0</v>
      </c>
      <c r="CO29" s="2790">
        <f t="shared" ca="1" si="79"/>
        <v>0</v>
      </c>
      <c r="CP29" s="2790">
        <f t="shared" ca="1" si="79"/>
        <v>0</v>
      </c>
      <c r="CQ29" s="2790">
        <f t="shared" ca="1" si="79"/>
        <v>0</v>
      </c>
      <c r="CR29" s="2790">
        <f t="shared" ca="1" si="79"/>
        <v>0</v>
      </c>
      <c r="CS29" s="2790">
        <f t="shared" ref="CS29:DF30" ca="1" si="80">IFERROR(SUMIFS(INDIRECT($C29&amp;".Emissions["&amp;this.Year&amp;"]"), INDIRECT($C29&amp;".Emissions[GHG]"), CS$6, INDIRECT($C29&amp;".Emissions[IPCC Sector]"), CS$5),0)</f>
        <v>0</v>
      </c>
      <c r="CT29" s="2790">
        <f t="shared" ca="1" si="80"/>
        <v>0</v>
      </c>
      <c r="CU29" s="2790">
        <f t="shared" ca="1" si="80"/>
        <v>0</v>
      </c>
      <c r="CV29" s="2790">
        <f t="shared" ca="1" si="80"/>
        <v>0</v>
      </c>
      <c r="CW29" s="2790">
        <f t="shared" ca="1" si="80"/>
        <v>0</v>
      </c>
      <c r="CX29" s="2790">
        <f t="shared" ca="1" si="80"/>
        <v>0</v>
      </c>
      <c r="CY29" s="2790">
        <f t="shared" ca="1" si="80"/>
        <v>0</v>
      </c>
      <c r="CZ29" s="2790">
        <f t="shared" ca="1" si="80"/>
        <v>0</v>
      </c>
      <c r="DA29" s="2790">
        <f t="shared" ca="1" si="80"/>
        <v>0</v>
      </c>
      <c r="DB29" s="2790">
        <f t="shared" ca="1" si="80"/>
        <v>0</v>
      </c>
      <c r="DC29" s="2790">
        <f t="shared" ca="1" si="80"/>
        <v>0</v>
      </c>
      <c r="DD29" s="2790">
        <f t="shared" ca="1" si="80"/>
        <v>0</v>
      </c>
      <c r="DE29" s="2790">
        <f t="shared" ca="1" si="80"/>
        <v>0</v>
      </c>
      <c r="DF29" s="2790">
        <f t="shared" ca="1" si="80"/>
        <v>0</v>
      </c>
      <c r="DH29" s="596">
        <f t="shared" ca="1" si="33"/>
        <v>0</v>
      </c>
    </row>
    <row r="30" spans="1:112" s="6" customFormat="1" ht="10.5" customHeight="1" outlineLevel="2">
      <c r="A30" s="597"/>
      <c r="B30" s="597"/>
      <c r="C30" s="598" t="s">
        <v>487</v>
      </c>
      <c r="D30" s="624" t="s">
        <v>488</v>
      </c>
      <c r="E30" s="599"/>
      <c r="G30" s="600">
        <f t="shared" ca="1" si="74"/>
        <v>0</v>
      </c>
      <c r="H30" s="600">
        <f t="shared" ca="1" si="74"/>
        <v>0</v>
      </c>
      <c r="I30" s="600">
        <f t="shared" ca="1" si="74"/>
        <v>0</v>
      </c>
      <c r="J30" s="600">
        <f t="shared" ca="1" si="74"/>
        <v>0</v>
      </c>
      <c r="K30" s="600">
        <f t="shared" ca="1" si="74"/>
        <v>0</v>
      </c>
      <c r="L30" s="600">
        <f t="shared" ca="1" si="74"/>
        <v>0</v>
      </c>
      <c r="M30" s="600">
        <f t="shared" ca="1" si="74"/>
        <v>0</v>
      </c>
      <c r="N30" s="600">
        <f t="shared" ca="1" si="74"/>
        <v>0</v>
      </c>
      <c r="O30" s="600">
        <f t="shared" ca="1" si="74"/>
        <v>0</v>
      </c>
      <c r="P30" s="600">
        <f t="shared" ca="1" si="74"/>
        <v>0</v>
      </c>
      <c r="Q30" s="601">
        <f t="shared" ca="1" si="57"/>
        <v>0</v>
      </c>
      <c r="S30" s="602">
        <f t="shared" ca="1" si="58"/>
        <v>0</v>
      </c>
      <c r="T30" s="602">
        <f t="shared" ca="1" si="58"/>
        <v>0</v>
      </c>
      <c r="U30" s="602">
        <f t="shared" ca="1" si="58"/>
        <v>0</v>
      </c>
      <c r="V30" s="602">
        <f t="shared" ca="1" si="58"/>
        <v>0</v>
      </c>
      <c r="W30" s="602">
        <f t="shared" ca="1" si="58"/>
        <v>0</v>
      </c>
      <c r="X30" s="602">
        <f t="shared" ca="1" si="75"/>
        <v>0</v>
      </c>
      <c r="Y30" s="602">
        <f t="shared" ca="1" si="75"/>
        <v>0</v>
      </c>
      <c r="Z30" s="602">
        <f t="shared" ca="1" si="75"/>
        <v>0</v>
      </c>
      <c r="AA30" s="602">
        <f t="shared" ca="1" si="58"/>
        <v>0</v>
      </c>
      <c r="AB30" s="602">
        <f t="shared" ca="1" si="58"/>
        <v>0</v>
      </c>
      <c r="AC30" s="602">
        <f t="shared" ca="1" si="58"/>
        <v>0</v>
      </c>
      <c r="AD30" s="602">
        <f t="shared" ca="1" si="58"/>
        <v>0</v>
      </c>
      <c r="AE30" s="602">
        <f t="shared" ca="1" si="58"/>
        <v>0</v>
      </c>
      <c r="AF30" s="602">
        <f t="shared" ca="1" si="58"/>
        <v>0</v>
      </c>
      <c r="AG30" s="602">
        <f t="shared" ca="1" si="58"/>
        <v>0</v>
      </c>
      <c r="AH30" s="602">
        <f t="shared" ca="1" si="58"/>
        <v>0</v>
      </c>
      <c r="AI30" s="602">
        <f t="shared" ca="1" si="58"/>
        <v>0</v>
      </c>
      <c r="AJ30" s="602">
        <f t="shared" ca="1" si="58"/>
        <v>0</v>
      </c>
      <c r="AK30" s="603">
        <f t="shared" ca="1" si="60"/>
        <v>0</v>
      </c>
      <c r="AM30" s="604">
        <f t="shared" ca="1" si="76"/>
        <v>0</v>
      </c>
      <c r="AN30" s="604">
        <f t="shared" ca="1" si="76"/>
        <v>0</v>
      </c>
      <c r="AO30" s="604">
        <f t="shared" ca="1" si="76"/>
        <v>0</v>
      </c>
      <c r="AP30" s="604">
        <f t="shared" ca="1" si="76"/>
        <v>0</v>
      </c>
      <c r="AQ30" s="604">
        <f t="shared" ca="1" si="76"/>
        <v>0</v>
      </c>
      <c r="AR30" s="604">
        <f t="shared" ca="1" si="76"/>
        <v>0</v>
      </c>
      <c r="AS30" s="604">
        <f t="shared" ca="1" si="76"/>
        <v>0</v>
      </c>
      <c r="AT30" s="604">
        <f t="shared" ca="1" si="76"/>
        <v>0</v>
      </c>
      <c r="AU30" s="604">
        <f t="shared" ca="1" si="76"/>
        <v>0</v>
      </c>
      <c r="AV30" s="604">
        <f t="shared" ca="1" si="62"/>
        <v>0</v>
      </c>
      <c r="AW30" s="604">
        <f t="shared" ca="1" si="62"/>
        <v>0</v>
      </c>
      <c r="AX30" s="604">
        <f t="shared" ca="1" si="62"/>
        <v>0</v>
      </c>
      <c r="AY30" s="604">
        <f t="shared" ca="1" si="62"/>
        <v>0</v>
      </c>
      <c r="AZ30" s="604">
        <f t="shared" ca="1" si="62"/>
        <v>0</v>
      </c>
      <c r="BA30" s="604">
        <f t="shared" ca="1" si="62"/>
        <v>0</v>
      </c>
      <c r="BB30" s="604">
        <f t="shared" ca="1" si="62"/>
        <v>0</v>
      </c>
      <c r="BC30" s="604">
        <f t="shared" ca="1" si="62"/>
        <v>0</v>
      </c>
      <c r="BD30" s="604">
        <f t="shared" ca="1" si="62"/>
        <v>0</v>
      </c>
      <c r="BE30" s="604">
        <f t="shared" ca="1" si="62"/>
        <v>0</v>
      </c>
      <c r="BF30" s="605">
        <f t="shared" ca="1" si="63"/>
        <v>0</v>
      </c>
      <c r="BH30" s="3472">
        <f t="shared" ca="1" si="64"/>
        <v>0</v>
      </c>
      <c r="BI30" s="3472">
        <f t="shared" ca="1" si="64"/>
        <v>0</v>
      </c>
      <c r="BJ30" s="3461">
        <f t="shared" ca="1" si="65"/>
        <v>0</v>
      </c>
      <c r="BL30" s="606">
        <f t="shared" ca="1" si="10"/>
        <v>0</v>
      </c>
      <c r="BM30" s="606"/>
      <c r="BN30" s="413"/>
      <c r="BO30" s="2789">
        <f t="shared" ca="1" si="77"/>
        <v>0</v>
      </c>
      <c r="BP30" s="2790">
        <f t="shared" ca="1" si="77"/>
        <v>0</v>
      </c>
      <c r="BQ30" s="2790">
        <f t="shared" ca="1" si="77"/>
        <v>0</v>
      </c>
      <c r="BR30" s="2790">
        <f t="shared" ca="1" si="77"/>
        <v>0</v>
      </c>
      <c r="BS30" s="2790">
        <f t="shared" ca="1" si="77"/>
        <v>0</v>
      </c>
      <c r="BT30" s="2790">
        <f t="shared" ca="1" si="77"/>
        <v>0</v>
      </c>
      <c r="BU30" s="2790">
        <f t="shared" ca="1" si="77"/>
        <v>0</v>
      </c>
      <c r="BV30" s="2790">
        <f t="shared" ca="1" si="77"/>
        <v>0</v>
      </c>
      <c r="BW30" s="2790">
        <f t="shared" ca="1" si="77"/>
        <v>0</v>
      </c>
      <c r="BX30" s="2790">
        <f t="shared" ca="1" si="77"/>
        <v>0</v>
      </c>
      <c r="BY30" s="2790">
        <f t="shared" ca="1" si="78"/>
        <v>0</v>
      </c>
      <c r="BZ30" s="2790">
        <f t="shared" ca="1" si="78"/>
        <v>0</v>
      </c>
      <c r="CA30" s="2790">
        <f t="shared" ca="1" si="78"/>
        <v>0</v>
      </c>
      <c r="CB30" s="2790">
        <f t="shared" ca="1" si="78"/>
        <v>0</v>
      </c>
      <c r="CC30" s="2790">
        <f t="shared" ca="1" si="78"/>
        <v>0</v>
      </c>
      <c r="CD30" s="2790">
        <f t="shared" ca="1" si="78"/>
        <v>0</v>
      </c>
      <c r="CE30" s="2790">
        <f t="shared" ca="1" si="78"/>
        <v>0</v>
      </c>
      <c r="CF30" s="2790">
        <f t="shared" ca="1" si="78"/>
        <v>0</v>
      </c>
      <c r="CG30" s="2790">
        <f t="shared" ca="1" si="78"/>
        <v>0</v>
      </c>
      <c r="CH30" s="2790">
        <f t="shared" ca="1" si="78"/>
        <v>0</v>
      </c>
      <c r="CI30" s="2790">
        <f t="shared" ca="1" si="79"/>
        <v>0</v>
      </c>
      <c r="CJ30" s="2790">
        <f t="shared" ca="1" si="79"/>
        <v>0</v>
      </c>
      <c r="CK30" s="2790">
        <f t="shared" ca="1" si="79"/>
        <v>0</v>
      </c>
      <c r="CL30" s="2790">
        <f t="shared" ca="1" si="79"/>
        <v>0</v>
      </c>
      <c r="CM30" s="2790">
        <f t="shared" ca="1" si="79"/>
        <v>0</v>
      </c>
      <c r="CN30" s="2790">
        <f t="shared" ca="1" si="79"/>
        <v>0</v>
      </c>
      <c r="CO30" s="2790">
        <f t="shared" ca="1" si="79"/>
        <v>0</v>
      </c>
      <c r="CP30" s="2790">
        <f t="shared" ca="1" si="79"/>
        <v>0</v>
      </c>
      <c r="CQ30" s="2790">
        <f t="shared" ca="1" si="79"/>
        <v>0</v>
      </c>
      <c r="CR30" s="2790">
        <f t="shared" ca="1" si="79"/>
        <v>0</v>
      </c>
      <c r="CS30" s="2790">
        <f t="shared" ca="1" si="80"/>
        <v>0</v>
      </c>
      <c r="CT30" s="2790">
        <f t="shared" ca="1" si="80"/>
        <v>0</v>
      </c>
      <c r="CU30" s="2790">
        <f t="shared" ca="1" si="80"/>
        <v>0</v>
      </c>
      <c r="CV30" s="2790">
        <f t="shared" ca="1" si="80"/>
        <v>0</v>
      </c>
      <c r="CW30" s="2790">
        <f t="shared" ca="1" si="80"/>
        <v>0</v>
      </c>
      <c r="CX30" s="2790">
        <f t="shared" ca="1" si="80"/>
        <v>0</v>
      </c>
      <c r="CY30" s="2790">
        <f t="shared" ca="1" si="80"/>
        <v>0</v>
      </c>
      <c r="CZ30" s="2790">
        <f t="shared" ca="1" si="80"/>
        <v>0</v>
      </c>
      <c r="DA30" s="2790">
        <f t="shared" ca="1" si="80"/>
        <v>0</v>
      </c>
      <c r="DB30" s="2790">
        <f t="shared" ca="1" si="80"/>
        <v>0</v>
      </c>
      <c r="DC30" s="2790">
        <f t="shared" ca="1" si="80"/>
        <v>0</v>
      </c>
      <c r="DD30" s="2790">
        <f t="shared" ca="1" si="80"/>
        <v>0</v>
      </c>
      <c r="DE30" s="2790">
        <f t="shared" ca="1" si="80"/>
        <v>0</v>
      </c>
      <c r="DF30" s="2790">
        <f t="shared" ca="1" si="80"/>
        <v>0</v>
      </c>
      <c r="DH30" s="596">
        <f t="shared" ca="1" si="33"/>
        <v>0</v>
      </c>
    </row>
    <row r="31" spans="1:112" s="6" customFormat="1" ht="11.25" customHeight="1" outlineLevel="1">
      <c r="A31" s="607"/>
      <c r="B31" s="607"/>
      <c r="C31" s="587"/>
      <c r="D31" s="625" t="s">
        <v>489</v>
      </c>
      <c r="E31" s="611"/>
      <c r="G31" s="612">
        <f t="shared" ref="G31:P31" ca="1" si="81">SUM(G29:G30)</f>
        <v>0</v>
      </c>
      <c r="H31" s="612">
        <f t="shared" ca="1" si="81"/>
        <v>0</v>
      </c>
      <c r="I31" s="612">
        <f t="shared" ca="1" si="81"/>
        <v>0</v>
      </c>
      <c r="J31" s="612">
        <f t="shared" ca="1" si="81"/>
        <v>0</v>
      </c>
      <c r="K31" s="612">
        <f t="shared" ca="1" si="81"/>
        <v>0</v>
      </c>
      <c r="L31" s="612">
        <f t="shared" ca="1" si="81"/>
        <v>0</v>
      </c>
      <c r="M31" s="612">
        <f t="shared" ca="1" si="81"/>
        <v>0</v>
      </c>
      <c r="N31" s="612">
        <f t="shared" ca="1" si="81"/>
        <v>0</v>
      </c>
      <c r="O31" s="612">
        <f t="shared" ca="1" si="81"/>
        <v>0</v>
      </c>
      <c r="P31" s="612">
        <f t="shared" ca="1" si="81"/>
        <v>0</v>
      </c>
      <c r="Q31" s="612">
        <f t="shared" ca="1" si="57"/>
        <v>0</v>
      </c>
      <c r="S31" s="613">
        <f t="shared" ref="S31:AJ31" ca="1" si="82">SUM(S29:S30)</f>
        <v>0</v>
      </c>
      <c r="T31" s="613">
        <f t="shared" ca="1" si="82"/>
        <v>0</v>
      </c>
      <c r="U31" s="613">
        <f t="shared" ca="1" si="82"/>
        <v>0</v>
      </c>
      <c r="V31" s="613">
        <f t="shared" ca="1" si="82"/>
        <v>0</v>
      </c>
      <c r="W31" s="613">
        <f t="shared" ca="1" si="82"/>
        <v>0</v>
      </c>
      <c r="X31" s="626">
        <f t="shared" ca="1" si="82"/>
        <v>0</v>
      </c>
      <c r="Y31" s="626">
        <f t="shared" ca="1" si="82"/>
        <v>0</v>
      </c>
      <c r="Z31" s="626">
        <f t="shared" ca="1" si="82"/>
        <v>0</v>
      </c>
      <c r="AA31" s="613">
        <f t="shared" ca="1" si="82"/>
        <v>0</v>
      </c>
      <c r="AB31" s="613">
        <f t="shared" ca="1" si="82"/>
        <v>0</v>
      </c>
      <c r="AC31" s="613">
        <f t="shared" ca="1" si="82"/>
        <v>0</v>
      </c>
      <c r="AD31" s="613">
        <f t="shared" ca="1" si="82"/>
        <v>0</v>
      </c>
      <c r="AE31" s="613">
        <f ca="1">SUM(AE29:AE30)</f>
        <v>0</v>
      </c>
      <c r="AF31" s="613">
        <f t="shared" ca="1" si="82"/>
        <v>0</v>
      </c>
      <c r="AG31" s="613">
        <f t="shared" ca="1" si="82"/>
        <v>0</v>
      </c>
      <c r="AH31" s="613">
        <f ca="1">SUM(AH29:AH30)</f>
        <v>0</v>
      </c>
      <c r="AI31" s="613">
        <f t="shared" ca="1" si="82"/>
        <v>0</v>
      </c>
      <c r="AJ31" s="613">
        <f t="shared" ca="1" si="82"/>
        <v>0</v>
      </c>
      <c r="AK31" s="613">
        <f t="shared" ca="1" si="60"/>
        <v>0</v>
      </c>
      <c r="AM31" s="627">
        <f t="shared" ref="AM31:BE31" ca="1" si="83">SUM(AM29:AM30)</f>
        <v>0</v>
      </c>
      <c r="AN31" s="627">
        <f t="shared" ca="1" si="83"/>
        <v>0</v>
      </c>
      <c r="AO31" s="627">
        <f t="shared" ca="1" si="83"/>
        <v>0</v>
      </c>
      <c r="AP31" s="627">
        <f t="shared" ca="1" si="83"/>
        <v>0</v>
      </c>
      <c r="AQ31" s="627">
        <f t="shared" ca="1" si="83"/>
        <v>0</v>
      </c>
      <c r="AR31" s="627">
        <f t="shared" ca="1" si="83"/>
        <v>0</v>
      </c>
      <c r="AS31" s="627">
        <f t="shared" ca="1" si="83"/>
        <v>0</v>
      </c>
      <c r="AT31" s="627">
        <f t="shared" ca="1" si="83"/>
        <v>0</v>
      </c>
      <c r="AU31" s="627">
        <f t="shared" ca="1" si="83"/>
        <v>0</v>
      </c>
      <c r="AV31" s="627">
        <f t="shared" ca="1" si="83"/>
        <v>0</v>
      </c>
      <c r="AW31" s="627">
        <f t="shared" ca="1" si="83"/>
        <v>0</v>
      </c>
      <c r="AX31" s="627">
        <f t="shared" ca="1" si="83"/>
        <v>0</v>
      </c>
      <c r="AY31" s="627">
        <f t="shared" ca="1" si="83"/>
        <v>0</v>
      </c>
      <c r="AZ31" s="627">
        <f t="shared" ca="1" si="83"/>
        <v>0</v>
      </c>
      <c r="BA31" s="627">
        <f t="shared" ca="1" si="83"/>
        <v>0</v>
      </c>
      <c r="BB31" s="627">
        <f t="shared" ca="1" si="83"/>
        <v>0</v>
      </c>
      <c r="BC31" s="627">
        <f t="shared" ca="1" si="83"/>
        <v>0</v>
      </c>
      <c r="BD31" s="627">
        <f ca="1">SUM(BD29:BD30)</f>
        <v>0</v>
      </c>
      <c r="BE31" s="627">
        <f t="shared" ca="1" si="83"/>
        <v>0</v>
      </c>
      <c r="BF31" s="628">
        <f t="shared" ca="1" si="63"/>
        <v>0</v>
      </c>
      <c r="BH31" s="3474">
        <f ca="1">SUM(BH29:BH30)</f>
        <v>0</v>
      </c>
      <c r="BI31" s="3474">
        <f ca="1">SUM(BI29:BI30)</f>
        <v>0</v>
      </c>
      <c r="BJ31" s="3462">
        <f t="shared" ca="1" si="65"/>
        <v>0</v>
      </c>
      <c r="BL31" s="595">
        <f t="shared" ca="1" si="10"/>
        <v>0</v>
      </c>
      <c r="BM31" s="595"/>
      <c r="BN31" s="607"/>
      <c r="BO31" s="2791">
        <f t="shared" ref="BO31:DF31" ca="1" si="84">SUM(BO29:BO30)</f>
        <v>0</v>
      </c>
      <c r="BP31" s="2792">
        <f t="shared" ca="1" si="84"/>
        <v>0</v>
      </c>
      <c r="BQ31" s="2792">
        <f t="shared" ca="1" si="84"/>
        <v>0</v>
      </c>
      <c r="BR31" s="2792">
        <f t="shared" ca="1" si="84"/>
        <v>0</v>
      </c>
      <c r="BS31" s="2792">
        <f t="shared" ca="1" si="84"/>
        <v>0</v>
      </c>
      <c r="BT31" s="2792">
        <f t="shared" ca="1" si="84"/>
        <v>0</v>
      </c>
      <c r="BU31" s="2792">
        <f t="shared" ca="1" si="84"/>
        <v>0</v>
      </c>
      <c r="BV31" s="2792">
        <f t="shared" ca="1" si="84"/>
        <v>0</v>
      </c>
      <c r="BW31" s="2792">
        <f t="shared" ca="1" si="84"/>
        <v>0</v>
      </c>
      <c r="BX31" s="2792">
        <f t="shared" ca="1" si="84"/>
        <v>0</v>
      </c>
      <c r="BY31" s="2792">
        <f t="shared" ca="1" si="84"/>
        <v>0</v>
      </c>
      <c r="BZ31" s="2792">
        <f t="shared" ca="1" si="84"/>
        <v>0</v>
      </c>
      <c r="CA31" s="2792">
        <f t="shared" ca="1" si="84"/>
        <v>0</v>
      </c>
      <c r="CB31" s="2792">
        <f t="shared" ca="1" si="84"/>
        <v>0</v>
      </c>
      <c r="CC31" s="2792">
        <f t="shared" ca="1" si="84"/>
        <v>0</v>
      </c>
      <c r="CD31" s="2792">
        <f t="shared" ca="1" si="84"/>
        <v>0</v>
      </c>
      <c r="CE31" s="2792">
        <f t="shared" ca="1" si="84"/>
        <v>0</v>
      </c>
      <c r="CF31" s="2792">
        <f t="shared" ca="1" si="84"/>
        <v>0</v>
      </c>
      <c r="CG31" s="2792">
        <f t="shared" ca="1" si="84"/>
        <v>0</v>
      </c>
      <c r="CH31" s="2792">
        <f t="shared" ca="1" si="84"/>
        <v>0</v>
      </c>
      <c r="CI31" s="2792">
        <f t="shared" ca="1" si="84"/>
        <v>0</v>
      </c>
      <c r="CJ31" s="2792">
        <f t="shared" ca="1" si="84"/>
        <v>0</v>
      </c>
      <c r="CK31" s="2792">
        <f t="shared" ca="1" si="84"/>
        <v>0</v>
      </c>
      <c r="CL31" s="2792">
        <f t="shared" ca="1" si="84"/>
        <v>0</v>
      </c>
      <c r="CM31" s="2792">
        <f t="shared" ca="1" si="84"/>
        <v>0</v>
      </c>
      <c r="CN31" s="2792">
        <f t="shared" ca="1" si="84"/>
        <v>0</v>
      </c>
      <c r="CO31" s="2792">
        <f t="shared" ca="1" si="84"/>
        <v>0</v>
      </c>
      <c r="CP31" s="2792">
        <f t="shared" ca="1" si="84"/>
        <v>0</v>
      </c>
      <c r="CQ31" s="2792">
        <f t="shared" ca="1" si="84"/>
        <v>0</v>
      </c>
      <c r="CR31" s="2792">
        <f t="shared" ca="1" si="84"/>
        <v>0</v>
      </c>
      <c r="CS31" s="2792">
        <f t="shared" ca="1" si="84"/>
        <v>0</v>
      </c>
      <c r="CT31" s="2792">
        <f t="shared" ca="1" si="84"/>
        <v>0</v>
      </c>
      <c r="CU31" s="2792">
        <f t="shared" ca="1" si="84"/>
        <v>0</v>
      </c>
      <c r="CV31" s="2792">
        <f t="shared" ca="1" si="84"/>
        <v>0</v>
      </c>
      <c r="CW31" s="2792">
        <f t="shared" ca="1" si="84"/>
        <v>0</v>
      </c>
      <c r="CX31" s="2792">
        <f t="shared" ca="1" si="84"/>
        <v>0</v>
      </c>
      <c r="CY31" s="2792">
        <f t="shared" ca="1" si="84"/>
        <v>0</v>
      </c>
      <c r="CZ31" s="2792">
        <f t="shared" ca="1" si="84"/>
        <v>0</v>
      </c>
      <c r="DA31" s="2792">
        <f t="shared" ca="1" si="84"/>
        <v>0</v>
      </c>
      <c r="DB31" s="2792">
        <f t="shared" ca="1" si="84"/>
        <v>0</v>
      </c>
      <c r="DC31" s="2792">
        <f t="shared" ca="1" si="84"/>
        <v>0</v>
      </c>
      <c r="DD31" s="2792">
        <f t="shared" ca="1" si="84"/>
        <v>0</v>
      </c>
      <c r="DE31" s="2792">
        <f t="shared" ca="1" si="84"/>
        <v>0</v>
      </c>
      <c r="DF31" s="2792">
        <f t="shared" ca="1" si="84"/>
        <v>0</v>
      </c>
      <c r="DH31" s="596">
        <f t="shared" ca="1" si="33"/>
        <v>0</v>
      </c>
    </row>
    <row r="32" spans="1:112" s="6" customFormat="1" ht="15.75">
      <c r="A32" s="4"/>
      <c r="B32" s="3"/>
      <c r="C32" s="616" t="s">
        <v>490</v>
      </c>
      <c r="D32" s="617" t="s">
        <v>491</v>
      </c>
      <c r="E32" s="206"/>
      <c r="G32" s="618">
        <f t="shared" ref="G32:P32" ca="1" si="85">G24+G25+G28+G31</f>
        <v>0</v>
      </c>
      <c r="H32" s="618">
        <f t="shared" ca="1" si="85"/>
        <v>0</v>
      </c>
      <c r="I32" s="618">
        <f t="shared" ca="1" si="85"/>
        <v>0</v>
      </c>
      <c r="J32" s="618">
        <f t="shared" ca="1" si="85"/>
        <v>38.777720899243057</v>
      </c>
      <c r="K32" s="618">
        <f t="shared" ca="1" si="85"/>
        <v>0.3939854936866376</v>
      </c>
      <c r="L32" s="618">
        <f t="shared" ca="1" si="85"/>
        <v>2.7179785187540276E-2</v>
      </c>
      <c r="M32" s="618">
        <f t="shared" ca="1" si="85"/>
        <v>0.66</v>
      </c>
      <c r="N32" s="618">
        <f t="shared" ca="1" si="85"/>
        <v>7.02</v>
      </c>
      <c r="O32" s="618">
        <f t="shared" ca="1" si="85"/>
        <v>0</v>
      </c>
      <c r="P32" s="618">
        <f t="shared" ca="1" si="85"/>
        <v>0</v>
      </c>
      <c r="Q32" s="618">
        <f t="shared" ca="1" si="57"/>
        <v>46.878886178117227</v>
      </c>
      <c r="S32" s="581">
        <f t="shared" ref="S32:AJ32" ca="1" si="86">S24+S25+S28+S31</f>
        <v>-6.2120497891874918E-2</v>
      </c>
      <c r="T32" s="581">
        <f t="shared" ca="1" si="86"/>
        <v>0</v>
      </c>
      <c r="U32" s="581">
        <f t="shared" ca="1" si="86"/>
        <v>0</v>
      </c>
      <c r="V32" s="581">
        <f t="shared" ca="1" si="86"/>
        <v>-46.816666836359516</v>
      </c>
      <c r="W32" s="581">
        <f t="shared" ca="1" si="86"/>
        <v>0</v>
      </c>
      <c r="X32" s="581">
        <f t="shared" ca="1" si="86"/>
        <v>0</v>
      </c>
      <c r="Y32" s="581">
        <f t="shared" ca="1" si="86"/>
        <v>0</v>
      </c>
      <c r="Z32" s="581">
        <f t="shared" ca="1" si="86"/>
        <v>0</v>
      </c>
      <c r="AA32" s="581">
        <f t="shared" ca="1" si="86"/>
        <v>0</v>
      </c>
      <c r="AB32" s="581">
        <f t="shared" ca="1" si="86"/>
        <v>0</v>
      </c>
      <c r="AC32" s="581">
        <f t="shared" ca="1" si="86"/>
        <v>0</v>
      </c>
      <c r="AD32" s="581">
        <f t="shared" ca="1" si="86"/>
        <v>0</v>
      </c>
      <c r="AE32" s="581">
        <f ca="1">AE24+AE25+AE28+AE31</f>
        <v>0</v>
      </c>
      <c r="AF32" s="581">
        <f t="shared" ca="1" si="86"/>
        <v>0</v>
      </c>
      <c r="AG32" s="581">
        <f t="shared" ca="1" si="86"/>
        <v>0</v>
      </c>
      <c r="AH32" s="581">
        <f ca="1">AH24+AH25+AH28+AH31</f>
        <v>0</v>
      </c>
      <c r="AI32" s="581">
        <f t="shared" ca="1" si="86"/>
        <v>0</v>
      </c>
      <c r="AJ32" s="581">
        <f t="shared" ca="1" si="86"/>
        <v>-9.8843865838814832E-5</v>
      </c>
      <c r="AK32" s="581">
        <f t="shared" ca="1" si="60"/>
        <v>-46.878886178117227</v>
      </c>
      <c r="AM32" s="582">
        <f t="shared" ref="AM32:BE32" ca="1" si="87">AM24+AM25+AM28+AM31</f>
        <v>0</v>
      </c>
      <c r="AN32" s="582">
        <f t="shared" ca="1" si="87"/>
        <v>0</v>
      </c>
      <c r="AO32" s="582">
        <f t="shared" ca="1" si="87"/>
        <v>0</v>
      </c>
      <c r="AP32" s="582">
        <f t="shared" ca="1" si="87"/>
        <v>0</v>
      </c>
      <c r="AQ32" s="582">
        <f t="shared" ca="1" si="87"/>
        <v>0</v>
      </c>
      <c r="AR32" s="582">
        <f t="shared" ca="1" si="87"/>
        <v>0</v>
      </c>
      <c r="AS32" s="582">
        <f t="shared" ca="1" si="87"/>
        <v>0</v>
      </c>
      <c r="AT32" s="582">
        <f t="shared" ca="1" si="87"/>
        <v>0</v>
      </c>
      <c r="AU32" s="582">
        <f t="shared" ca="1" si="87"/>
        <v>0</v>
      </c>
      <c r="AV32" s="582">
        <f t="shared" ca="1" si="87"/>
        <v>0</v>
      </c>
      <c r="AW32" s="582">
        <f t="shared" ca="1" si="87"/>
        <v>0</v>
      </c>
      <c r="AX32" s="582">
        <f t="shared" ca="1" si="87"/>
        <v>0</v>
      </c>
      <c r="AY32" s="582">
        <f t="shared" ca="1" si="87"/>
        <v>0</v>
      </c>
      <c r="AZ32" s="582">
        <f t="shared" ca="1" si="87"/>
        <v>0</v>
      </c>
      <c r="BA32" s="582">
        <f t="shared" ca="1" si="87"/>
        <v>0</v>
      </c>
      <c r="BB32" s="582">
        <f t="shared" ca="1" si="87"/>
        <v>0</v>
      </c>
      <c r="BC32" s="582">
        <f t="shared" ca="1" si="87"/>
        <v>0</v>
      </c>
      <c r="BD32" s="582">
        <f ca="1">BD24+BD25+BD28+BD31</f>
        <v>0</v>
      </c>
      <c r="BE32" s="582">
        <f t="shared" ca="1" si="87"/>
        <v>0</v>
      </c>
      <c r="BF32" s="582">
        <f t="shared" ca="1" si="63"/>
        <v>0</v>
      </c>
      <c r="BH32" s="3463">
        <f ca="1">BH24+BH25+BH28+BH31</f>
        <v>0</v>
      </c>
      <c r="BI32" s="3463">
        <f ca="1">BI24+BI25+BI28+BI31</f>
        <v>0</v>
      </c>
      <c r="BJ32" s="3463">
        <f t="shared" ca="1" si="65"/>
        <v>0</v>
      </c>
      <c r="BL32" s="3477">
        <f t="shared" ca="1" si="10"/>
        <v>0</v>
      </c>
      <c r="BM32" s="584"/>
      <c r="BN32" s="413"/>
      <c r="BO32" s="2790">
        <f t="shared" ref="BO32:DF32" ca="1" si="88">BO24+BO25+BO28+BO31</f>
        <v>10.501544444778549</v>
      </c>
      <c r="BP32" s="2790">
        <f t="shared" ca="1" si="88"/>
        <v>9.0258840384863388E-3</v>
      </c>
      <c r="BQ32" s="2790">
        <f t="shared" ca="1" si="88"/>
        <v>2.6647848113626332E-2</v>
      </c>
      <c r="BR32" s="2790">
        <f t="shared" ca="1" si="88"/>
        <v>0</v>
      </c>
      <c r="BS32" s="2790">
        <f t="shared" ca="1" si="88"/>
        <v>0</v>
      </c>
      <c r="BT32" s="2790">
        <f t="shared" ca="1" si="88"/>
        <v>0</v>
      </c>
      <c r="BU32" s="2790">
        <f t="shared" ca="1" si="88"/>
        <v>0</v>
      </c>
      <c r="BV32" s="2790">
        <f t="shared" ca="1" si="88"/>
        <v>0</v>
      </c>
      <c r="BW32" s="2790">
        <f t="shared" ca="1" si="88"/>
        <v>0</v>
      </c>
      <c r="BX32" s="2790">
        <f t="shared" ca="1" si="88"/>
        <v>0</v>
      </c>
      <c r="BY32" s="2790">
        <f t="shared" ca="1" si="88"/>
        <v>0</v>
      </c>
      <c r="BZ32" s="2790">
        <f t="shared" ca="1" si="88"/>
        <v>0</v>
      </c>
      <c r="CA32" s="2790">
        <f t="shared" ca="1" si="88"/>
        <v>0</v>
      </c>
      <c r="CB32" s="2790">
        <f t="shared" ca="1" si="88"/>
        <v>0</v>
      </c>
      <c r="CC32" s="2790">
        <f t="shared" ca="1" si="88"/>
        <v>0</v>
      </c>
      <c r="CD32" s="2790">
        <f t="shared" ca="1" si="88"/>
        <v>0</v>
      </c>
      <c r="CE32" s="2790">
        <f t="shared" ca="1" si="88"/>
        <v>0</v>
      </c>
      <c r="CF32" s="2790">
        <f t="shared" ca="1" si="88"/>
        <v>0</v>
      </c>
      <c r="CG32" s="2790">
        <f t="shared" ca="1" si="88"/>
        <v>0</v>
      </c>
      <c r="CH32" s="2790">
        <f t="shared" ca="1" si="88"/>
        <v>0</v>
      </c>
      <c r="CI32" s="2790">
        <f t="shared" ca="1" si="88"/>
        <v>0</v>
      </c>
      <c r="CJ32" s="2790">
        <f t="shared" ca="1" si="88"/>
        <v>0</v>
      </c>
      <c r="CK32" s="2790">
        <f t="shared" ca="1" si="88"/>
        <v>0</v>
      </c>
      <c r="CL32" s="2790">
        <f t="shared" ca="1" si="88"/>
        <v>0</v>
      </c>
      <c r="CM32" s="2790">
        <f t="shared" ca="1" si="88"/>
        <v>0</v>
      </c>
      <c r="CN32" s="2790">
        <f t="shared" ca="1" si="88"/>
        <v>0</v>
      </c>
      <c r="CO32" s="2790">
        <f t="shared" ca="1" si="88"/>
        <v>0</v>
      </c>
      <c r="CP32" s="2790">
        <f t="shared" ca="1" si="88"/>
        <v>0</v>
      </c>
      <c r="CQ32" s="2790">
        <f t="shared" ca="1" si="88"/>
        <v>0</v>
      </c>
      <c r="CR32" s="2790">
        <f t="shared" ca="1" si="88"/>
        <v>0</v>
      </c>
      <c r="CS32" s="2790">
        <f t="shared" ca="1" si="88"/>
        <v>0</v>
      </c>
      <c r="CT32" s="2790">
        <f t="shared" ca="1" si="88"/>
        <v>0</v>
      </c>
      <c r="CU32" s="2790">
        <f t="shared" ca="1" si="88"/>
        <v>1.8524375999999996</v>
      </c>
      <c r="CV32" s="2790">
        <f t="shared" ca="1" si="88"/>
        <v>1.5921360000000001E-3</v>
      </c>
      <c r="CW32" s="2790">
        <f t="shared" ca="1" si="88"/>
        <v>4.700592E-3</v>
      </c>
      <c r="CX32" s="2790">
        <f t="shared" ca="1" si="88"/>
        <v>0</v>
      </c>
      <c r="CY32" s="2790">
        <f t="shared" ca="1" si="88"/>
        <v>0</v>
      </c>
      <c r="CZ32" s="2790">
        <f t="shared" ca="1" si="88"/>
        <v>0</v>
      </c>
      <c r="DA32" s="2790">
        <f t="shared" ca="1" si="88"/>
        <v>0</v>
      </c>
      <c r="DB32" s="2790">
        <f t="shared" ca="1" si="88"/>
        <v>0</v>
      </c>
      <c r="DC32" s="2790">
        <f t="shared" ca="1" si="88"/>
        <v>0</v>
      </c>
      <c r="DD32" s="2790">
        <f t="shared" ca="1" si="88"/>
        <v>0</v>
      </c>
      <c r="DE32" s="2790">
        <f t="shared" ca="1" si="88"/>
        <v>0</v>
      </c>
      <c r="DF32" s="2790">
        <f t="shared" ca="1" si="88"/>
        <v>0</v>
      </c>
      <c r="DH32" s="596">
        <f t="shared" ca="1" si="33"/>
        <v>12.395948504930661</v>
      </c>
    </row>
    <row r="33" spans="1:112" s="6" customFormat="1" ht="12.75" customHeight="1" outlineLevel="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10"/>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3"/>
        <v>0</v>
      </c>
    </row>
    <row r="34" spans="1:112" s="6" customFormat="1" ht="12.75" customHeight="1" outlineLevel="1">
      <c r="A34" s="607"/>
      <c r="B34" s="607"/>
      <c r="C34" s="587" t="s">
        <v>492</v>
      </c>
      <c r="D34" s="611" t="s">
        <v>375</v>
      </c>
      <c r="E34" s="611"/>
      <c r="G34" s="619">
        <f t="shared" ref="G34:P34" ca="1" si="89">IFERROR(INDEX(INDIRECT($C34&amp;".Outputs["&amp;this.Year&amp;"]"), MATCH(G$5, INDIRECT($C34&amp;".Outputs[Vector]"), 0)), 0)</f>
        <v>0</v>
      </c>
      <c r="H34" s="619">
        <f t="shared" ca="1" si="89"/>
        <v>0</v>
      </c>
      <c r="I34" s="619">
        <f t="shared" ca="1" si="89"/>
        <v>0</v>
      </c>
      <c r="J34" s="619">
        <f t="shared" ca="1" si="89"/>
        <v>0</v>
      </c>
      <c r="K34" s="619">
        <f t="shared" ca="1" si="89"/>
        <v>0</v>
      </c>
      <c r="L34" s="619">
        <f t="shared" ca="1" si="89"/>
        <v>0</v>
      </c>
      <c r="M34" s="619">
        <f t="shared" ca="1" si="89"/>
        <v>0</v>
      </c>
      <c r="N34" s="619">
        <f t="shared" ca="1" si="89"/>
        <v>0</v>
      </c>
      <c r="O34" s="619">
        <f t="shared" ca="1" si="89"/>
        <v>0</v>
      </c>
      <c r="P34" s="619">
        <f t="shared" ca="1" si="89"/>
        <v>0</v>
      </c>
      <c r="Q34" s="612">
        <f ca="1">SUM(G34:P34)</f>
        <v>0</v>
      </c>
      <c r="S34" s="620">
        <f t="shared" ref="S34:AJ34" ca="1" si="90">IFERROR(INDEX(INDIRECT($C34&amp;".Outputs["&amp;this.Year&amp;"]"), MATCH(S$5, INDIRECT($C34&amp;".Outputs[Vector]"), 0)), 0)</f>
        <v>0</v>
      </c>
      <c r="T34" s="620">
        <f t="shared" ca="1" si="90"/>
        <v>0</v>
      </c>
      <c r="U34" s="620">
        <f t="shared" ca="1" si="90"/>
        <v>0</v>
      </c>
      <c r="V34" s="620">
        <f t="shared" ca="1" si="90"/>
        <v>0</v>
      </c>
      <c r="W34" s="620">
        <f t="shared" ca="1" si="90"/>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90"/>
        <v>0</v>
      </c>
      <c r="AB34" s="620">
        <f t="shared" ca="1" si="90"/>
        <v>0</v>
      </c>
      <c r="AC34" s="620">
        <f t="shared" ca="1" si="90"/>
        <v>0</v>
      </c>
      <c r="AD34" s="620">
        <f t="shared" ca="1" si="90"/>
        <v>0</v>
      </c>
      <c r="AE34" s="620">
        <f t="shared" ca="1" si="90"/>
        <v>0</v>
      </c>
      <c r="AF34" s="620">
        <f t="shared" ca="1" si="90"/>
        <v>0</v>
      </c>
      <c r="AG34" s="620">
        <f t="shared" ca="1" si="90"/>
        <v>0</v>
      </c>
      <c r="AH34" s="620">
        <f t="shared" ca="1" si="90"/>
        <v>0</v>
      </c>
      <c r="AI34" s="620">
        <f t="shared" ca="1" si="90"/>
        <v>0</v>
      </c>
      <c r="AJ34" s="620">
        <f t="shared" ca="1" si="90"/>
        <v>0</v>
      </c>
      <c r="AK34" s="613">
        <f ca="1">SUM(S34:AJ34)</f>
        <v>0</v>
      </c>
      <c r="AM34" s="621">
        <f t="shared" ref="AM34:AU34" ca="1" si="91">IFERROR(INDEX(INDIRECT($C34&amp;".Outputs["&amp;this.Year&amp;"]"), MATCH(AM$5, INDIRECT($C34&amp;".Outputs[Vector]"), 0)), 0)</f>
        <v>0</v>
      </c>
      <c r="AN34" s="621">
        <f t="shared" ca="1" si="91"/>
        <v>0</v>
      </c>
      <c r="AO34" s="621">
        <f t="shared" ca="1" si="91"/>
        <v>0</v>
      </c>
      <c r="AP34" s="621">
        <f t="shared" ca="1" si="91"/>
        <v>0</v>
      </c>
      <c r="AQ34" s="621">
        <f t="shared" ca="1" si="91"/>
        <v>0</v>
      </c>
      <c r="AR34" s="621">
        <f t="shared" ca="1" si="91"/>
        <v>0</v>
      </c>
      <c r="AS34" s="621">
        <f t="shared" ca="1" si="91"/>
        <v>0</v>
      </c>
      <c r="AT34" s="621">
        <f t="shared" ca="1" si="91"/>
        <v>0</v>
      </c>
      <c r="AU34" s="621">
        <f t="shared" ca="1" si="91"/>
        <v>0</v>
      </c>
      <c r="AV34" s="621">
        <f t="shared" ref="AV34:BE34" ca="1" si="92">IFERROR(INDEX(INDIRECT($C34&amp;".Outputs["&amp;this.Year&amp;"]"), MATCH(AV$5, INDIRECT($C34&amp;".Outputs[Vector]"), 0)), 0)</f>
        <v>0</v>
      </c>
      <c r="AW34" s="621">
        <f t="shared" ca="1" si="92"/>
        <v>0</v>
      </c>
      <c r="AX34" s="621">
        <f t="shared" ca="1" si="92"/>
        <v>0</v>
      </c>
      <c r="AY34" s="621">
        <f t="shared" ca="1" si="92"/>
        <v>0</v>
      </c>
      <c r="AZ34" s="621">
        <f t="shared" ca="1" si="92"/>
        <v>0</v>
      </c>
      <c r="BA34" s="621">
        <f t="shared" ca="1" si="92"/>
        <v>0</v>
      </c>
      <c r="BB34" s="621">
        <f t="shared" ca="1" si="92"/>
        <v>0</v>
      </c>
      <c r="BC34" s="621">
        <f t="shared" ca="1" si="92"/>
        <v>0</v>
      </c>
      <c r="BD34" s="621">
        <f t="shared" ca="1" si="92"/>
        <v>0</v>
      </c>
      <c r="BE34" s="621">
        <f t="shared" ca="1" si="92"/>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10"/>
        <v>0</v>
      </c>
      <c r="BM34" s="610"/>
      <c r="BN34" s="413"/>
      <c r="BO34" s="2791">
        <f t="shared" ref="BO34:DF34" ca="1" si="93">IFERROR(SUMIFS(INDIRECT($C34&amp;".Emissions["&amp;this.Year&amp;"]"), INDIRECT($C34&amp;".Emissions[GHG]"), BO$6, INDIRECT($C34&amp;".Emissions[IPCC Sector]"), BO$5),0)</f>
        <v>0</v>
      </c>
      <c r="BP34" s="2792">
        <f t="shared" ca="1" si="93"/>
        <v>0</v>
      </c>
      <c r="BQ34" s="2792">
        <f t="shared" ca="1" si="93"/>
        <v>0</v>
      </c>
      <c r="BR34" s="2792">
        <f t="shared" ca="1" si="93"/>
        <v>0</v>
      </c>
      <c r="BS34" s="2792">
        <f t="shared" ca="1" si="93"/>
        <v>0</v>
      </c>
      <c r="BT34" s="2792">
        <f t="shared" ca="1" si="93"/>
        <v>0</v>
      </c>
      <c r="BU34" s="2792">
        <f t="shared" ca="1" si="93"/>
        <v>0</v>
      </c>
      <c r="BV34" s="2792">
        <f t="shared" ca="1" si="93"/>
        <v>0</v>
      </c>
      <c r="BW34" s="2792">
        <f t="shared" ca="1" si="93"/>
        <v>0</v>
      </c>
      <c r="BX34" s="2792">
        <f t="shared" ca="1" si="93"/>
        <v>0</v>
      </c>
      <c r="BY34" s="2792">
        <f t="shared" ca="1" si="93"/>
        <v>0</v>
      </c>
      <c r="BZ34" s="2792">
        <f t="shared" ca="1" si="93"/>
        <v>0</v>
      </c>
      <c r="CA34" s="2792">
        <f t="shared" ca="1" si="93"/>
        <v>0</v>
      </c>
      <c r="CB34" s="2792">
        <f t="shared" ca="1" si="93"/>
        <v>0</v>
      </c>
      <c r="CC34" s="2792">
        <f t="shared" ca="1" si="93"/>
        <v>0</v>
      </c>
      <c r="CD34" s="2792">
        <f t="shared" ca="1" si="93"/>
        <v>0</v>
      </c>
      <c r="CE34" s="2792">
        <f t="shared" ca="1" si="93"/>
        <v>0</v>
      </c>
      <c r="CF34" s="2792">
        <f t="shared" ca="1" si="93"/>
        <v>0</v>
      </c>
      <c r="CG34" s="2792">
        <f t="shared" ca="1" si="93"/>
        <v>0</v>
      </c>
      <c r="CH34" s="2792">
        <f t="shared" ca="1" si="93"/>
        <v>0</v>
      </c>
      <c r="CI34" s="2792">
        <f t="shared" ca="1" si="93"/>
        <v>0</v>
      </c>
      <c r="CJ34" s="2792">
        <f t="shared" ca="1" si="93"/>
        <v>0</v>
      </c>
      <c r="CK34" s="2792">
        <f t="shared" ca="1" si="93"/>
        <v>0</v>
      </c>
      <c r="CL34" s="2792">
        <f t="shared" ca="1" si="93"/>
        <v>0</v>
      </c>
      <c r="CM34" s="2792">
        <f t="shared" ca="1" si="93"/>
        <v>0</v>
      </c>
      <c r="CN34" s="2792">
        <f t="shared" ca="1" si="93"/>
        <v>0</v>
      </c>
      <c r="CO34" s="2792">
        <f t="shared" ca="1" si="93"/>
        <v>0</v>
      </c>
      <c r="CP34" s="2792">
        <f t="shared" ca="1" si="93"/>
        <v>0</v>
      </c>
      <c r="CQ34" s="2792">
        <f t="shared" ca="1" si="93"/>
        <v>0</v>
      </c>
      <c r="CR34" s="2792">
        <f t="shared" ca="1" si="93"/>
        <v>0</v>
      </c>
      <c r="CS34" s="2792">
        <f t="shared" ca="1" si="93"/>
        <v>0</v>
      </c>
      <c r="CT34" s="2792">
        <f t="shared" ca="1" si="93"/>
        <v>0</v>
      </c>
      <c r="CU34" s="2792">
        <f t="shared" ca="1" si="93"/>
        <v>0</v>
      </c>
      <c r="CV34" s="2792">
        <f t="shared" ca="1" si="93"/>
        <v>0</v>
      </c>
      <c r="CW34" s="2792">
        <f t="shared" ca="1" si="93"/>
        <v>0</v>
      </c>
      <c r="CX34" s="2792">
        <f t="shared" ca="1" si="93"/>
        <v>0</v>
      </c>
      <c r="CY34" s="2792">
        <f t="shared" ca="1" si="93"/>
        <v>0</v>
      </c>
      <c r="CZ34" s="2792">
        <f t="shared" ca="1" si="93"/>
        <v>0</v>
      </c>
      <c r="DA34" s="2792">
        <f t="shared" ca="1" si="93"/>
        <v>0</v>
      </c>
      <c r="DB34" s="2792">
        <f t="shared" ca="1" si="93"/>
        <v>0</v>
      </c>
      <c r="DC34" s="2792">
        <f t="shared" ca="1" si="93"/>
        <v>0</v>
      </c>
      <c r="DD34" s="2792">
        <f t="shared" ca="1" si="93"/>
        <v>0</v>
      </c>
      <c r="DE34" s="2792">
        <f t="shared" ca="1" si="93"/>
        <v>0</v>
      </c>
      <c r="DF34" s="2792">
        <f t="shared" ca="1" si="93"/>
        <v>0</v>
      </c>
      <c r="DH34" s="596">
        <f t="shared" ca="1" si="33"/>
        <v>0</v>
      </c>
    </row>
    <row r="35" spans="1:112" s="6" customFormat="1" ht="15.75">
      <c r="A35" s="4"/>
      <c r="B35" s="3"/>
      <c r="C35" s="616" t="s">
        <v>493</v>
      </c>
      <c r="D35" s="617" t="s">
        <v>375</v>
      </c>
      <c r="E35" s="206"/>
      <c r="G35" s="618">
        <f ca="1">G34</f>
        <v>0</v>
      </c>
      <c r="H35" s="618">
        <f t="shared" ref="H35:P35" ca="1" si="94">H34</f>
        <v>0</v>
      </c>
      <c r="I35" s="618">
        <f t="shared" ca="1" si="94"/>
        <v>0</v>
      </c>
      <c r="J35" s="618">
        <f t="shared" ca="1" si="94"/>
        <v>0</v>
      </c>
      <c r="K35" s="618">
        <f t="shared" ca="1" si="94"/>
        <v>0</v>
      </c>
      <c r="L35" s="618">
        <f t="shared" ca="1" si="94"/>
        <v>0</v>
      </c>
      <c r="M35" s="618">
        <f t="shared" ca="1" si="94"/>
        <v>0</v>
      </c>
      <c r="N35" s="618">
        <f ca="1">N34</f>
        <v>0</v>
      </c>
      <c r="O35" s="618">
        <f ca="1">O34</f>
        <v>0</v>
      </c>
      <c r="P35" s="618">
        <f t="shared" ca="1" si="94"/>
        <v>0</v>
      </c>
      <c r="Q35" s="618">
        <f ca="1">SUM(G35:P35)</f>
        <v>0</v>
      </c>
      <c r="S35" s="581">
        <f ca="1">S34</f>
        <v>0</v>
      </c>
      <c r="T35" s="581">
        <f t="shared" ref="T35:AJ35" ca="1" si="95">T34</f>
        <v>0</v>
      </c>
      <c r="U35" s="581">
        <f t="shared" ca="1" si="95"/>
        <v>0</v>
      </c>
      <c r="V35" s="581">
        <f t="shared" ca="1" si="95"/>
        <v>0</v>
      </c>
      <c r="W35" s="581">
        <f t="shared" ca="1" si="95"/>
        <v>0</v>
      </c>
      <c r="X35" s="581">
        <f ca="1">X34</f>
        <v>0</v>
      </c>
      <c r="Y35" s="581">
        <f ca="1">Y34</f>
        <v>0</v>
      </c>
      <c r="Z35" s="581">
        <f ca="1">Z34</f>
        <v>0</v>
      </c>
      <c r="AA35" s="581">
        <f t="shared" ca="1" si="95"/>
        <v>0</v>
      </c>
      <c r="AB35" s="581">
        <f t="shared" ca="1" si="95"/>
        <v>0</v>
      </c>
      <c r="AC35" s="581">
        <f t="shared" ca="1" si="95"/>
        <v>0</v>
      </c>
      <c r="AD35" s="581">
        <f ca="1">AD34</f>
        <v>0</v>
      </c>
      <c r="AE35" s="581">
        <f ca="1">AE34</f>
        <v>0</v>
      </c>
      <c r="AF35" s="581">
        <f t="shared" ca="1" si="95"/>
        <v>0</v>
      </c>
      <c r="AG35" s="581">
        <f ca="1">AG34</f>
        <v>0</v>
      </c>
      <c r="AH35" s="581">
        <f ca="1">AH34</f>
        <v>0</v>
      </c>
      <c r="AI35" s="581">
        <f ca="1">AI34</f>
        <v>0</v>
      </c>
      <c r="AJ35" s="581">
        <f t="shared" ca="1" si="95"/>
        <v>0</v>
      </c>
      <c r="AK35" s="581">
        <f ca="1">SUM(S35:AJ35)</f>
        <v>0</v>
      </c>
      <c r="AM35" s="582">
        <f t="shared" ref="AM35:BE35" ca="1" si="96">AM34</f>
        <v>0</v>
      </c>
      <c r="AN35" s="582">
        <f t="shared" ca="1" si="96"/>
        <v>0</v>
      </c>
      <c r="AO35" s="582">
        <f t="shared" ca="1" si="96"/>
        <v>0</v>
      </c>
      <c r="AP35" s="582">
        <f t="shared" ca="1" si="96"/>
        <v>0</v>
      </c>
      <c r="AQ35" s="582">
        <f t="shared" ca="1" si="96"/>
        <v>0</v>
      </c>
      <c r="AR35" s="582">
        <f t="shared" ca="1" si="96"/>
        <v>0</v>
      </c>
      <c r="AS35" s="582">
        <f t="shared" ca="1" si="96"/>
        <v>0</v>
      </c>
      <c r="AT35" s="582">
        <f t="shared" ca="1" si="96"/>
        <v>0</v>
      </c>
      <c r="AU35" s="582">
        <f t="shared" ca="1" si="96"/>
        <v>0</v>
      </c>
      <c r="AV35" s="582">
        <f t="shared" ca="1" si="96"/>
        <v>0</v>
      </c>
      <c r="AW35" s="582">
        <f t="shared" ca="1" si="96"/>
        <v>0</v>
      </c>
      <c r="AX35" s="582">
        <f t="shared" ca="1" si="96"/>
        <v>0</v>
      </c>
      <c r="AY35" s="582">
        <f t="shared" ca="1" si="96"/>
        <v>0</v>
      </c>
      <c r="AZ35" s="582">
        <f t="shared" ca="1" si="96"/>
        <v>0</v>
      </c>
      <c r="BA35" s="582">
        <f t="shared" ca="1" si="96"/>
        <v>0</v>
      </c>
      <c r="BB35" s="582">
        <f t="shared" ca="1" si="96"/>
        <v>0</v>
      </c>
      <c r="BC35" s="582">
        <f t="shared" ca="1" si="96"/>
        <v>0</v>
      </c>
      <c r="BD35" s="582">
        <f ca="1">BD34</f>
        <v>0</v>
      </c>
      <c r="BE35" s="582">
        <f t="shared" ca="1" si="96"/>
        <v>0</v>
      </c>
      <c r="BF35" s="582">
        <f ca="1">SUM(AM35:BE35)</f>
        <v>0</v>
      </c>
      <c r="BH35" s="3463">
        <f ca="1">BH34</f>
        <v>0</v>
      </c>
      <c r="BI35" s="3463">
        <f ca="1">BI34</f>
        <v>0</v>
      </c>
      <c r="BJ35" s="3463">
        <f ca="1">SUM(BH35:BI35)</f>
        <v>0</v>
      </c>
      <c r="BL35" s="3477">
        <f t="shared" ca="1" si="10"/>
        <v>0</v>
      </c>
      <c r="BM35" s="584"/>
      <c r="BN35" s="413"/>
      <c r="BO35" s="2790">
        <f t="shared" ref="BO35:DF35" ca="1" si="97">BO34</f>
        <v>0</v>
      </c>
      <c r="BP35" s="2790">
        <f t="shared" ca="1" si="97"/>
        <v>0</v>
      </c>
      <c r="BQ35" s="2790">
        <f t="shared" ca="1" si="97"/>
        <v>0</v>
      </c>
      <c r="BR35" s="2790">
        <f t="shared" ca="1" si="97"/>
        <v>0</v>
      </c>
      <c r="BS35" s="2790">
        <f t="shared" ca="1" si="97"/>
        <v>0</v>
      </c>
      <c r="BT35" s="2790">
        <f t="shared" ca="1" si="97"/>
        <v>0</v>
      </c>
      <c r="BU35" s="2790">
        <f t="shared" ca="1" si="97"/>
        <v>0</v>
      </c>
      <c r="BV35" s="2790">
        <f t="shared" ca="1" si="97"/>
        <v>0</v>
      </c>
      <c r="BW35" s="2790">
        <f t="shared" ca="1" si="97"/>
        <v>0</v>
      </c>
      <c r="BX35" s="2790">
        <f t="shared" ca="1" si="97"/>
        <v>0</v>
      </c>
      <c r="BY35" s="2790">
        <f t="shared" ca="1" si="97"/>
        <v>0</v>
      </c>
      <c r="BZ35" s="2790">
        <f t="shared" ca="1" si="97"/>
        <v>0</v>
      </c>
      <c r="CA35" s="2790">
        <f t="shared" ca="1" si="97"/>
        <v>0</v>
      </c>
      <c r="CB35" s="2790">
        <f t="shared" ca="1" si="97"/>
        <v>0</v>
      </c>
      <c r="CC35" s="2790">
        <f t="shared" ca="1" si="97"/>
        <v>0</v>
      </c>
      <c r="CD35" s="2790">
        <f t="shared" ca="1" si="97"/>
        <v>0</v>
      </c>
      <c r="CE35" s="2790">
        <f t="shared" ca="1" si="97"/>
        <v>0</v>
      </c>
      <c r="CF35" s="2790">
        <f t="shared" ca="1" si="97"/>
        <v>0</v>
      </c>
      <c r="CG35" s="2790">
        <f t="shared" ca="1" si="97"/>
        <v>0</v>
      </c>
      <c r="CH35" s="2790">
        <f t="shared" ca="1" si="97"/>
        <v>0</v>
      </c>
      <c r="CI35" s="2790">
        <f t="shared" ca="1" si="97"/>
        <v>0</v>
      </c>
      <c r="CJ35" s="2790">
        <f t="shared" ca="1" si="97"/>
        <v>0</v>
      </c>
      <c r="CK35" s="2790">
        <f t="shared" ca="1" si="97"/>
        <v>0</v>
      </c>
      <c r="CL35" s="2790">
        <f t="shared" ca="1" si="97"/>
        <v>0</v>
      </c>
      <c r="CM35" s="2790">
        <f t="shared" ca="1" si="97"/>
        <v>0</v>
      </c>
      <c r="CN35" s="2790">
        <f t="shared" ca="1" si="97"/>
        <v>0</v>
      </c>
      <c r="CO35" s="2790">
        <f t="shared" ca="1" si="97"/>
        <v>0</v>
      </c>
      <c r="CP35" s="2790">
        <f t="shared" ca="1" si="97"/>
        <v>0</v>
      </c>
      <c r="CQ35" s="2790">
        <f t="shared" ca="1" si="97"/>
        <v>0</v>
      </c>
      <c r="CR35" s="2790">
        <f t="shared" ca="1" si="97"/>
        <v>0</v>
      </c>
      <c r="CS35" s="2790">
        <f t="shared" ca="1" si="97"/>
        <v>0</v>
      </c>
      <c r="CT35" s="2790">
        <f t="shared" ca="1" si="97"/>
        <v>0</v>
      </c>
      <c r="CU35" s="2790">
        <f t="shared" ca="1" si="97"/>
        <v>0</v>
      </c>
      <c r="CV35" s="2790">
        <f t="shared" ca="1" si="97"/>
        <v>0</v>
      </c>
      <c r="CW35" s="2790">
        <f t="shared" ca="1" si="97"/>
        <v>0</v>
      </c>
      <c r="CX35" s="2790">
        <f t="shared" ca="1" si="97"/>
        <v>0</v>
      </c>
      <c r="CY35" s="2790">
        <f t="shared" ca="1" si="97"/>
        <v>0</v>
      </c>
      <c r="CZ35" s="2790">
        <f t="shared" ca="1" si="97"/>
        <v>0</v>
      </c>
      <c r="DA35" s="2790">
        <f t="shared" ca="1" si="97"/>
        <v>0</v>
      </c>
      <c r="DB35" s="2790">
        <f t="shared" ca="1" si="97"/>
        <v>0</v>
      </c>
      <c r="DC35" s="2790">
        <f t="shared" ca="1" si="97"/>
        <v>0</v>
      </c>
      <c r="DD35" s="2790">
        <f t="shared" ca="1" si="97"/>
        <v>0</v>
      </c>
      <c r="DE35" s="2790">
        <f t="shared" ca="1" si="97"/>
        <v>0</v>
      </c>
      <c r="DF35" s="2790">
        <f t="shared" ca="1" si="97"/>
        <v>0</v>
      </c>
      <c r="DH35" s="596">
        <f t="shared" ca="1" si="33"/>
        <v>0</v>
      </c>
    </row>
    <row r="36" spans="1:112" s="6" customFormat="1" ht="12.75" customHeight="1" outlineLevel="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10"/>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3"/>
        <v>0</v>
      </c>
    </row>
    <row r="37" spans="1:112" s="6" customFormat="1" ht="12.75" customHeight="1" outlineLevel="1">
      <c r="A37" s="607"/>
      <c r="B37" s="607"/>
      <c r="C37" s="587" t="s">
        <v>494</v>
      </c>
      <c r="D37" s="611" t="s">
        <v>495</v>
      </c>
      <c r="E37" s="611"/>
      <c r="G37" s="619">
        <f t="shared" ref="G37:P37" ca="1" si="98">IFERROR(INDEX(INDIRECT($C37&amp;".Outputs["&amp;this.Year&amp;"]"), MATCH(G$5, INDIRECT($C37&amp;".Outputs[Vector]"), 0)), 0)</f>
        <v>0</v>
      </c>
      <c r="H37" s="619">
        <f t="shared" ca="1" si="98"/>
        <v>0</v>
      </c>
      <c r="I37" s="619">
        <f t="shared" ca="1" si="98"/>
        <v>0</v>
      </c>
      <c r="J37" s="619">
        <f t="shared" ca="1" si="98"/>
        <v>0</v>
      </c>
      <c r="K37" s="619">
        <f t="shared" ca="1" si="98"/>
        <v>0</v>
      </c>
      <c r="L37" s="619">
        <f t="shared" ca="1" si="98"/>
        <v>0</v>
      </c>
      <c r="M37" s="619">
        <f t="shared" ca="1" si="98"/>
        <v>0</v>
      </c>
      <c r="N37" s="619">
        <f t="shared" ca="1" si="98"/>
        <v>0</v>
      </c>
      <c r="O37" s="619">
        <f t="shared" ca="1" si="98"/>
        <v>0</v>
      </c>
      <c r="P37" s="619">
        <f t="shared" ca="1" si="98"/>
        <v>0</v>
      </c>
      <c r="Q37" s="612">
        <f ca="1">SUM(G37:P37)</f>
        <v>0</v>
      </c>
      <c r="S37" s="620">
        <f t="shared" ref="S37:AJ37" ca="1" si="99">IFERROR(INDEX(INDIRECT($C37&amp;".Outputs["&amp;this.Year&amp;"]"), MATCH(S$5, INDIRECT($C37&amp;".Outputs[Vector]"), 0)), 0)</f>
        <v>0</v>
      </c>
      <c r="T37" s="620">
        <f t="shared" ca="1" si="99"/>
        <v>0</v>
      </c>
      <c r="U37" s="620">
        <f t="shared" ca="1" si="99"/>
        <v>0</v>
      </c>
      <c r="V37" s="620">
        <f t="shared" ca="1" si="99"/>
        <v>0</v>
      </c>
      <c r="W37" s="620">
        <f t="shared" ca="1" si="99"/>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9"/>
        <v>0</v>
      </c>
      <c r="AB37" s="620">
        <f t="shared" ca="1" si="99"/>
        <v>0</v>
      </c>
      <c r="AC37" s="620">
        <f t="shared" ca="1" si="99"/>
        <v>0</v>
      </c>
      <c r="AD37" s="620">
        <f t="shared" ca="1" si="99"/>
        <v>0</v>
      </c>
      <c r="AE37" s="620">
        <f t="shared" ca="1" si="99"/>
        <v>0</v>
      </c>
      <c r="AF37" s="620">
        <f t="shared" ca="1" si="99"/>
        <v>0</v>
      </c>
      <c r="AG37" s="620">
        <f t="shared" ca="1" si="99"/>
        <v>0</v>
      </c>
      <c r="AH37" s="620">
        <f t="shared" ca="1" si="99"/>
        <v>0</v>
      </c>
      <c r="AI37" s="620">
        <f t="shared" ca="1" si="99"/>
        <v>0</v>
      </c>
      <c r="AJ37" s="620">
        <f t="shared" ca="1" si="99"/>
        <v>0</v>
      </c>
      <c r="AK37" s="613">
        <f ca="1">SUM(S37:AJ37)</f>
        <v>0</v>
      </c>
      <c r="AM37" s="621">
        <f t="shared" ref="AM37:AU37" ca="1" si="100">IFERROR(INDEX(INDIRECT($C37&amp;".Outputs["&amp;this.Year&amp;"]"), MATCH(AM$5, INDIRECT($C37&amp;".Outputs[Vector]"), 0)), 0)</f>
        <v>0</v>
      </c>
      <c r="AN37" s="621">
        <f t="shared" ca="1" si="100"/>
        <v>0</v>
      </c>
      <c r="AO37" s="621">
        <f t="shared" ca="1" si="100"/>
        <v>0</v>
      </c>
      <c r="AP37" s="621">
        <f t="shared" ca="1" si="100"/>
        <v>0</v>
      </c>
      <c r="AQ37" s="621">
        <f t="shared" ca="1" si="100"/>
        <v>0</v>
      </c>
      <c r="AR37" s="621">
        <f t="shared" ca="1" si="100"/>
        <v>0</v>
      </c>
      <c r="AS37" s="621">
        <f t="shared" ca="1" si="100"/>
        <v>0</v>
      </c>
      <c r="AT37" s="621">
        <f t="shared" ca="1" si="100"/>
        <v>0</v>
      </c>
      <c r="AU37" s="621">
        <f t="shared" ca="1" si="100"/>
        <v>0</v>
      </c>
      <c r="AV37" s="621">
        <f t="shared" ref="AV37:BE37" ca="1" si="101">IFERROR(INDEX(INDIRECT($C37&amp;".Outputs["&amp;this.Year&amp;"]"), MATCH(AV$5, INDIRECT($C37&amp;".Outputs[Vector]"), 0)), 0)</f>
        <v>0</v>
      </c>
      <c r="AW37" s="621">
        <f t="shared" ca="1" si="101"/>
        <v>0</v>
      </c>
      <c r="AX37" s="621">
        <f t="shared" ca="1" si="101"/>
        <v>0</v>
      </c>
      <c r="AY37" s="621">
        <f t="shared" ca="1" si="101"/>
        <v>0</v>
      </c>
      <c r="AZ37" s="621">
        <f t="shared" ca="1" si="101"/>
        <v>0</v>
      </c>
      <c r="BA37" s="621">
        <f t="shared" ca="1" si="101"/>
        <v>0</v>
      </c>
      <c r="BB37" s="621">
        <f t="shared" ca="1" si="101"/>
        <v>0</v>
      </c>
      <c r="BC37" s="621">
        <f t="shared" ca="1" si="101"/>
        <v>0</v>
      </c>
      <c r="BD37" s="621">
        <f t="shared" ca="1" si="101"/>
        <v>0</v>
      </c>
      <c r="BE37" s="621">
        <f t="shared" ca="1" si="101"/>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10"/>
        <v>0</v>
      </c>
      <c r="BM37" s="610"/>
      <c r="BN37" s="413"/>
      <c r="BO37" s="2791">
        <f t="shared" ref="BO37:DF37" ca="1" si="102">IFERROR(SUMIFS(INDIRECT($C37&amp;".Emissions["&amp;this.Year&amp;"]"), INDIRECT($C37&amp;".Emissions[GHG]"), BO$6, INDIRECT($C37&amp;".Emissions[IPCC Sector]"), BO$5),0)</f>
        <v>0</v>
      </c>
      <c r="BP37" s="2792">
        <f t="shared" ca="1" si="102"/>
        <v>0</v>
      </c>
      <c r="BQ37" s="2792">
        <f t="shared" ca="1" si="102"/>
        <v>0</v>
      </c>
      <c r="BR37" s="2792">
        <f t="shared" ca="1" si="102"/>
        <v>0</v>
      </c>
      <c r="BS37" s="2792">
        <f t="shared" ca="1" si="102"/>
        <v>0</v>
      </c>
      <c r="BT37" s="2792">
        <f t="shared" ca="1" si="102"/>
        <v>0</v>
      </c>
      <c r="BU37" s="2792">
        <f t="shared" ca="1" si="102"/>
        <v>0</v>
      </c>
      <c r="BV37" s="2792">
        <f t="shared" ca="1" si="102"/>
        <v>0</v>
      </c>
      <c r="BW37" s="2792">
        <f t="shared" ca="1" si="102"/>
        <v>0</v>
      </c>
      <c r="BX37" s="2792">
        <f t="shared" ca="1" si="102"/>
        <v>0</v>
      </c>
      <c r="BY37" s="2792">
        <f t="shared" ca="1" si="102"/>
        <v>0</v>
      </c>
      <c r="BZ37" s="2792">
        <f t="shared" ca="1" si="102"/>
        <v>0</v>
      </c>
      <c r="CA37" s="2792">
        <f t="shared" ca="1" si="102"/>
        <v>0</v>
      </c>
      <c r="CB37" s="2792">
        <f t="shared" ca="1" si="102"/>
        <v>0</v>
      </c>
      <c r="CC37" s="2792">
        <f t="shared" ca="1" si="102"/>
        <v>0</v>
      </c>
      <c r="CD37" s="2792">
        <f t="shared" ca="1" si="102"/>
        <v>0</v>
      </c>
      <c r="CE37" s="2792">
        <f t="shared" ca="1" si="102"/>
        <v>0</v>
      </c>
      <c r="CF37" s="2792">
        <f t="shared" ca="1" si="102"/>
        <v>0</v>
      </c>
      <c r="CG37" s="2792">
        <f t="shared" ca="1" si="102"/>
        <v>0</v>
      </c>
      <c r="CH37" s="2792">
        <f t="shared" ca="1" si="102"/>
        <v>0</v>
      </c>
      <c r="CI37" s="2792">
        <f t="shared" ca="1" si="102"/>
        <v>0</v>
      </c>
      <c r="CJ37" s="2792">
        <f t="shared" ca="1" si="102"/>
        <v>0</v>
      </c>
      <c r="CK37" s="2792">
        <f t="shared" ca="1" si="102"/>
        <v>0</v>
      </c>
      <c r="CL37" s="2792">
        <f t="shared" ca="1" si="102"/>
        <v>0</v>
      </c>
      <c r="CM37" s="2792">
        <f t="shared" ca="1" si="102"/>
        <v>0</v>
      </c>
      <c r="CN37" s="2792">
        <f t="shared" ca="1" si="102"/>
        <v>0</v>
      </c>
      <c r="CO37" s="2792">
        <f t="shared" ca="1" si="102"/>
        <v>0</v>
      </c>
      <c r="CP37" s="2792">
        <f t="shared" ca="1" si="102"/>
        <v>0</v>
      </c>
      <c r="CQ37" s="2792">
        <f t="shared" ca="1" si="102"/>
        <v>0</v>
      </c>
      <c r="CR37" s="2792">
        <f t="shared" ca="1" si="102"/>
        <v>0</v>
      </c>
      <c r="CS37" s="2792">
        <f t="shared" ca="1" si="102"/>
        <v>0</v>
      </c>
      <c r="CT37" s="2792">
        <f t="shared" ca="1" si="102"/>
        <v>0</v>
      </c>
      <c r="CU37" s="2792">
        <f t="shared" ca="1" si="102"/>
        <v>0</v>
      </c>
      <c r="CV37" s="2792">
        <f t="shared" ca="1" si="102"/>
        <v>0</v>
      </c>
      <c r="CW37" s="2792">
        <f t="shared" ca="1" si="102"/>
        <v>0</v>
      </c>
      <c r="CX37" s="2792">
        <f t="shared" ca="1" si="102"/>
        <v>0</v>
      </c>
      <c r="CY37" s="2792">
        <f t="shared" ca="1" si="102"/>
        <v>0</v>
      </c>
      <c r="CZ37" s="2792">
        <f t="shared" ca="1" si="102"/>
        <v>0</v>
      </c>
      <c r="DA37" s="2792">
        <f t="shared" ca="1" si="102"/>
        <v>0</v>
      </c>
      <c r="DB37" s="2792">
        <f t="shared" ca="1" si="102"/>
        <v>0</v>
      </c>
      <c r="DC37" s="2792">
        <f t="shared" ca="1" si="102"/>
        <v>0</v>
      </c>
      <c r="DD37" s="2792">
        <f t="shared" ca="1" si="102"/>
        <v>0</v>
      </c>
      <c r="DE37" s="2792">
        <f t="shared" ca="1" si="102"/>
        <v>0</v>
      </c>
      <c r="DF37" s="2792">
        <f t="shared" ca="1" si="102"/>
        <v>0</v>
      </c>
      <c r="DH37" s="596">
        <f t="shared" ca="1" si="33"/>
        <v>0</v>
      </c>
    </row>
    <row r="38" spans="1:112" s="6" customFormat="1" ht="15.75">
      <c r="A38" s="4"/>
      <c r="B38" s="3"/>
      <c r="C38" s="616" t="s">
        <v>496</v>
      </c>
      <c r="D38" s="617" t="s">
        <v>495</v>
      </c>
      <c r="E38" s="206"/>
      <c r="G38" s="618">
        <f t="shared" ref="G38:P38" ca="1" si="103">G37</f>
        <v>0</v>
      </c>
      <c r="H38" s="618">
        <f t="shared" ca="1" si="103"/>
        <v>0</v>
      </c>
      <c r="I38" s="618">
        <f t="shared" ca="1" si="103"/>
        <v>0</v>
      </c>
      <c r="J38" s="618">
        <f t="shared" ca="1" si="103"/>
        <v>0</v>
      </c>
      <c r="K38" s="618">
        <f t="shared" ca="1" si="103"/>
        <v>0</v>
      </c>
      <c r="L38" s="618">
        <f t="shared" ca="1" si="103"/>
        <v>0</v>
      </c>
      <c r="M38" s="618">
        <f t="shared" ca="1" si="103"/>
        <v>0</v>
      </c>
      <c r="N38" s="618">
        <f t="shared" ca="1" si="103"/>
        <v>0</v>
      </c>
      <c r="O38" s="618">
        <f t="shared" ca="1" si="103"/>
        <v>0</v>
      </c>
      <c r="P38" s="618">
        <f t="shared" ca="1" si="103"/>
        <v>0</v>
      </c>
      <c r="Q38" s="618">
        <f ca="1">SUM(G38:P38)</f>
        <v>0</v>
      </c>
      <c r="S38" s="581">
        <f t="shared" ref="S38:AJ38" ca="1" si="104">S37</f>
        <v>0</v>
      </c>
      <c r="T38" s="581">
        <f t="shared" ca="1" si="104"/>
        <v>0</v>
      </c>
      <c r="U38" s="581">
        <f t="shared" ca="1" si="104"/>
        <v>0</v>
      </c>
      <c r="V38" s="581">
        <f t="shared" ca="1" si="104"/>
        <v>0</v>
      </c>
      <c r="W38" s="581">
        <f t="shared" ca="1" si="104"/>
        <v>0</v>
      </c>
      <c r="X38" s="581">
        <f ca="1">X37</f>
        <v>0</v>
      </c>
      <c r="Y38" s="581">
        <f ca="1">Y37</f>
        <v>0</v>
      </c>
      <c r="Z38" s="581">
        <f ca="1">Z37</f>
        <v>0</v>
      </c>
      <c r="AA38" s="581">
        <f t="shared" ca="1" si="104"/>
        <v>0</v>
      </c>
      <c r="AB38" s="581">
        <f t="shared" ca="1" si="104"/>
        <v>0</v>
      </c>
      <c r="AC38" s="581">
        <f t="shared" ca="1" si="104"/>
        <v>0</v>
      </c>
      <c r="AD38" s="581">
        <f ca="1">AD37</f>
        <v>0</v>
      </c>
      <c r="AE38" s="581">
        <f ca="1">AE37</f>
        <v>0</v>
      </c>
      <c r="AF38" s="581">
        <f t="shared" ca="1" si="104"/>
        <v>0</v>
      </c>
      <c r="AG38" s="581">
        <f ca="1">AG37</f>
        <v>0</v>
      </c>
      <c r="AH38" s="581">
        <f ca="1">AH37</f>
        <v>0</v>
      </c>
      <c r="AI38" s="581">
        <f ca="1">AI37</f>
        <v>0</v>
      </c>
      <c r="AJ38" s="581">
        <f t="shared" ca="1" si="104"/>
        <v>0</v>
      </c>
      <c r="AK38" s="581">
        <f ca="1">SUM(S38:AJ38)</f>
        <v>0</v>
      </c>
      <c r="AM38" s="582">
        <f t="shared" ref="AM38:BE38" ca="1" si="105">AM37</f>
        <v>0</v>
      </c>
      <c r="AN38" s="582">
        <f t="shared" ca="1" si="105"/>
        <v>0</v>
      </c>
      <c r="AO38" s="582">
        <f t="shared" ca="1" si="105"/>
        <v>0</v>
      </c>
      <c r="AP38" s="582">
        <f t="shared" ca="1" si="105"/>
        <v>0</v>
      </c>
      <c r="AQ38" s="582">
        <f t="shared" ca="1" si="105"/>
        <v>0</v>
      </c>
      <c r="AR38" s="582">
        <f t="shared" ca="1" si="105"/>
        <v>0</v>
      </c>
      <c r="AS38" s="582">
        <f t="shared" ca="1" si="105"/>
        <v>0</v>
      </c>
      <c r="AT38" s="582">
        <f t="shared" ca="1" si="105"/>
        <v>0</v>
      </c>
      <c r="AU38" s="582">
        <f t="shared" ca="1" si="105"/>
        <v>0</v>
      </c>
      <c r="AV38" s="582">
        <f t="shared" ca="1" si="105"/>
        <v>0</v>
      </c>
      <c r="AW38" s="582">
        <f t="shared" ca="1" si="105"/>
        <v>0</v>
      </c>
      <c r="AX38" s="582">
        <f t="shared" ca="1" si="105"/>
        <v>0</v>
      </c>
      <c r="AY38" s="582">
        <f t="shared" ca="1" si="105"/>
        <v>0</v>
      </c>
      <c r="AZ38" s="582">
        <f t="shared" ca="1" si="105"/>
        <v>0</v>
      </c>
      <c r="BA38" s="582">
        <f t="shared" ca="1" si="105"/>
        <v>0</v>
      </c>
      <c r="BB38" s="582">
        <f t="shared" ca="1" si="105"/>
        <v>0</v>
      </c>
      <c r="BC38" s="582">
        <f t="shared" ca="1" si="105"/>
        <v>0</v>
      </c>
      <c r="BD38" s="582">
        <f ca="1">BD37</f>
        <v>0</v>
      </c>
      <c r="BE38" s="582">
        <f t="shared" ca="1" si="105"/>
        <v>0</v>
      </c>
      <c r="BF38" s="582">
        <f ca="1">SUM(AM38:BE38)</f>
        <v>0</v>
      </c>
      <c r="BH38" s="3463">
        <f ca="1">BH37</f>
        <v>0</v>
      </c>
      <c r="BI38" s="3463">
        <f ca="1">BI37</f>
        <v>0</v>
      </c>
      <c r="BJ38" s="3463">
        <f ca="1">SUM(BH38:BI38)</f>
        <v>0</v>
      </c>
      <c r="BL38" s="3477">
        <f t="shared" ca="1" si="10"/>
        <v>0</v>
      </c>
      <c r="BM38" s="584"/>
      <c r="BN38" s="413"/>
      <c r="BO38" s="2790">
        <f t="shared" ref="BO38:DF38" ca="1" si="106">BO37</f>
        <v>0</v>
      </c>
      <c r="BP38" s="2790">
        <f t="shared" ca="1" si="106"/>
        <v>0</v>
      </c>
      <c r="BQ38" s="2790">
        <f t="shared" ca="1" si="106"/>
        <v>0</v>
      </c>
      <c r="BR38" s="2790">
        <f t="shared" ca="1" si="106"/>
        <v>0</v>
      </c>
      <c r="BS38" s="2790">
        <f t="shared" ca="1" si="106"/>
        <v>0</v>
      </c>
      <c r="BT38" s="2790">
        <f t="shared" ca="1" si="106"/>
        <v>0</v>
      </c>
      <c r="BU38" s="2790">
        <f t="shared" ca="1" si="106"/>
        <v>0</v>
      </c>
      <c r="BV38" s="2790">
        <f t="shared" ca="1" si="106"/>
        <v>0</v>
      </c>
      <c r="BW38" s="2790">
        <f t="shared" ca="1" si="106"/>
        <v>0</v>
      </c>
      <c r="BX38" s="2790">
        <f t="shared" ca="1" si="106"/>
        <v>0</v>
      </c>
      <c r="BY38" s="2790">
        <f t="shared" ca="1" si="106"/>
        <v>0</v>
      </c>
      <c r="BZ38" s="2790">
        <f t="shared" ca="1" si="106"/>
        <v>0</v>
      </c>
      <c r="CA38" s="2790">
        <f t="shared" ca="1" si="106"/>
        <v>0</v>
      </c>
      <c r="CB38" s="2790">
        <f t="shared" ca="1" si="106"/>
        <v>0</v>
      </c>
      <c r="CC38" s="2790">
        <f t="shared" ca="1" si="106"/>
        <v>0</v>
      </c>
      <c r="CD38" s="2790">
        <f t="shared" ca="1" si="106"/>
        <v>0</v>
      </c>
      <c r="CE38" s="2790">
        <f t="shared" ca="1" si="106"/>
        <v>0</v>
      </c>
      <c r="CF38" s="2790">
        <f t="shared" ca="1" si="106"/>
        <v>0</v>
      </c>
      <c r="CG38" s="2790">
        <f t="shared" ca="1" si="106"/>
        <v>0</v>
      </c>
      <c r="CH38" s="2790">
        <f t="shared" ca="1" si="106"/>
        <v>0</v>
      </c>
      <c r="CI38" s="2790">
        <f t="shared" ca="1" si="106"/>
        <v>0</v>
      </c>
      <c r="CJ38" s="2790">
        <f t="shared" ca="1" si="106"/>
        <v>0</v>
      </c>
      <c r="CK38" s="2790">
        <f t="shared" ca="1" si="106"/>
        <v>0</v>
      </c>
      <c r="CL38" s="2790">
        <f t="shared" ca="1" si="106"/>
        <v>0</v>
      </c>
      <c r="CM38" s="2790">
        <f t="shared" ca="1" si="106"/>
        <v>0</v>
      </c>
      <c r="CN38" s="2790">
        <f t="shared" ca="1" si="106"/>
        <v>0</v>
      </c>
      <c r="CO38" s="2790">
        <f t="shared" ca="1" si="106"/>
        <v>0</v>
      </c>
      <c r="CP38" s="2790">
        <f t="shared" ca="1" si="106"/>
        <v>0</v>
      </c>
      <c r="CQ38" s="2790">
        <f t="shared" ca="1" si="106"/>
        <v>0</v>
      </c>
      <c r="CR38" s="2790">
        <f t="shared" ca="1" si="106"/>
        <v>0</v>
      </c>
      <c r="CS38" s="2790">
        <f t="shared" ca="1" si="106"/>
        <v>0</v>
      </c>
      <c r="CT38" s="2790">
        <f t="shared" ca="1" si="106"/>
        <v>0</v>
      </c>
      <c r="CU38" s="2790">
        <f t="shared" ca="1" si="106"/>
        <v>0</v>
      </c>
      <c r="CV38" s="2790">
        <f t="shared" ca="1" si="106"/>
        <v>0</v>
      </c>
      <c r="CW38" s="2790">
        <f t="shared" ca="1" si="106"/>
        <v>0</v>
      </c>
      <c r="CX38" s="2790">
        <f t="shared" ca="1" si="106"/>
        <v>0</v>
      </c>
      <c r="CY38" s="2790">
        <f t="shared" ca="1" si="106"/>
        <v>0</v>
      </c>
      <c r="CZ38" s="2790">
        <f t="shared" ca="1" si="106"/>
        <v>0</v>
      </c>
      <c r="DA38" s="2790">
        <f t="shared" ca="1" si="106"/>
        <v>0</v>
      </c>
      <c r="DB38" s="2790">
        <f t="shared" ca="1" si="106"/>
        <v>0</v>
      </c>
      <c r="DC38" s="2790">
        <f t="shared" ca="1" si="106"/>
        <v>0</v>
      </c>
      <c r="DD38" s="2790">
        <f t="shared" ca="1" si="106"/>
        <v>0</v>
      </c>
      <c r="DE38" s="2790">
        <f t="shared" ca="1" si="106"/>
        <v>0</v>
      </c>
      <c r="DF38" s="2790">
        <f t="shared" ca="1" si="106"/>
        <v>0</v>
      </c>
      <c r="DH38" s="596">
        <f t="shared" ca="1" si="33"/>
        <v>0</v>
      </c>
    </row>
    <row r="39" spans="1:112" s="6" customFormat="1" ht="6" customHeigh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10"/>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7">G$15+G$19+G$22+G$32+G$35+G$38</f>
        <v>36.980937210387133</v>
      </c>
      <c r="H40" s="633">
        <f t="shared" ca="1" si="107"/>
        <v>9.9851773515786597</v>
      </c>
      <c r="I40" s="633">
        <f t="shared" ca="1" si="107"/>
        <v>25.990000000000002</v>
      </c>
      <c r="J40" s="633">
        <f t="shared" ca="1" si="107"/>
        <v>38.777720899243057</v>
      </c>
      <c r="K40" s="633">
        <f t="shared" ca="1" si="107"/>
        <v>0.3939854936866376</v>
      </c>
      <c r="L40" s="633">
        <f t="shared" ca="1" si="107"/>
        <v>2.7179785187540276E-2</v>
      </c>
      <c r="M40" s="633">
        <f t="shared" ca="1" si="107"/>
        <v>0.66</v>
      </c>
      <c r="N40" s="633">
        <f t="shared" ca="1" si="107"/>
        <v>7.02</v>
      </c>
      <c r="O40" s="633">
        <f t="shared" ca="1" si="107"/>
        <v>0</v>
      </c>
      <c r="P40" s="633">
        <f t="shared" ca="1" si="107"/>
        <v>0</v>
      </c>
      <c r="Q40" s="633">
        <f t="shared" ca="1" si="107"/>
        <v>119.83500074008302</v>
      </c>
      <c r="S40" s="634">
        <f t="shared" ref="S40:AJ40" ca="1" si="108">S$15+S$19+S$22+S$32+S$35+S$38</f>
        <v>-22.629450627996498</v>
      </c>
      <c r="T40" s="634">
        <f t="shared" ca="1" si="108"/>
        <v>0</v>
      </c>
      <c r="U40" s="634">
        <f t="shared" ca="1" si="108"/>
        <v>-3.851862700230031</v>
      </c>
      <c r="V40" s="634">
        <f ca="1">V$15+V$19+V$22+V$32+V$35+V$38</f>
        <v>-70.690248963842578</v>
      </c>
      <c r="W40" s="634">
        <f t="shared" ca="1" si="108"/>
        <v>-22.511085666884075</v>
      </c>
      <c r="X40" s="634">
        <f ca="1">X$15+X$19+X$22+X$32+X$35+X$38</f>
        <v>0</v>
      </c>
      <c r="Y40" s="634">
        <f ca="1">Y$15+Y$19+Y$22+Y$32+Y$35+Y$38</f>
        <v>0</v>
      </c>
      <c r="Z40" s="634">
        <f ca="1">Z$15+Z$19+Z$22+Z$32+Z$35+Z$38</f>
        <v>0</v>
      </c>
      <c r="AA40" s="634">
        <f t="shared" ca="1" si="108"/>
        <v>0</v>
      </c>
      <c r="AB40" s="634">
        <f t="shared" ca="1" si="108"/>
        <v>0</v>
      </c>
      <c r="AC40" s="634">
        <f t="shared" ca="1" si="108"/>
        <v>0</v>
      </c>
      <c r="AD40" s="634">
        <f t="shared" ca="1" si="108"/>
        <v>0</v>
      </c>
      <c r="AE40" s="634">
        <f t="shared" ca="1" si="108"/>
        <v>0</v>
      </c>
      <c r="AF40" s="634">
        <f t="shared" ca="1" si="108"/>
        <v>0</v>
      </c>
      <c r="AG40" s="634">
        <f t="shared" ca="1" si="108"/>
        <v>0</v>
      </c>
      <c r="AH40" s="634">
        <f t="shared" ca="1" si="108"/>
        <v>0</v>
      </c>
      <c r="AI40" s="634">
        <f t="shared" ca="1" si="108"/>
        <v>-4.1054887428987621E-2</v>
      </c>
      <c r="AJ40" s="634">
        <f t="shared" ca="1" si="108"/>
        <v>-9.8843865838814832E-5</v>
      </c>
      <c r="AK40" s="634">
        <f ca="1">SUM(S40:AJ40)</f>
        <v>-119.723801690248</v>
      </c>
      <c r="AM40" s="635">
        <f t="shared" ref="AM40:BE40" ca="1" si="109">AM$15+AM$19+AM$22+AM$32+AM$35+AM$38</f>
        <v>0</v>
      </c>
      <c r="AN40" s="635">
        <f t="shared" ca="1" si="109"/>
        <v>0</v>
      </c>
      <c r="AO40" s="635">
        <f t="shared" ca="1" si="109"/>
        <v>0</v>
      </c>
      <c r="AP40" s="635">
        <f t="shared" ca="1" si="109"/>
        <v>0</v>
      </c>
      <c r="AQ40" s="635">
        <f t="shared" ca="1" si="109"/>
        <v>0</v>
      </c>
      <c r="AR40" s="635">
        <f t="shared" ca="1" si="109"/>
        <v>0</v>
      </c>
      <c r="AS40" s="635">
        <f t="shared" ca="1" si="109"/>
        <v>0</v>
      </c>
      <c r="AT40" s="635">
        <f t="shared" ca="1" si="109"/>
        <v>0</v>
      </c>
      <c r="AU40" s="635">
        <f t="shared" ca="1" si="109"/>
        <v>0</v>
      </c>
      <c r="AV40" s="635">
        <f t="shared" ca="1" si="109"/>
        <v>0</v>
      </c>
      <c r="AW40" s="635">
        <f t="shared" ca="1" si="109"/>
        <v>0</v>
      </c>
      <c r="AX40" s="635">
        <f t="shared" ca="1" si="109"/>
        <v>0</v>
      </c>
      <c r="AY40" s="635">
        <f t="shared" ca="1" si="109"/>
        <v>0</v>
      </c>
      <c r="AZ40" s="635">
        <f t="shared" ca="1" si="109"/>
        <v>0</v>
      </c>
      <c r="BA40" s="635">
        <f t="shared" ca="1" si="109"/>
        <v>0</v>
      </c>
      <c r="BB40" s="635">
        <f t="shared" ca="1" si="109"/>
        <v>0</v>
      </c>
      <c r="BC40" s="635">
        <f t="shared" ca="1" si="109"/>
        <v>-0.11119904983501781</v>
      </c>
      <c r="BD40" s="635">
        <f t="shared" ca="1" si="109"/>
        <v>0</v>
      </c>
      <c r="BE40" s="635">
        <f t="shared" ca="1" si="109"/>
        <v>0</v>
      </c>
      <c r="BF40" s="635">
        <f ca="1">SUM(AM40:BE40)</f>
        <v>-0.11119904983501781</v>
      </c>
      <c r="BH40" s="3464">
        <f ca="1">BH$15+BH$19+BH$22+BH$32+BH$35+BH$38</f>
        <v>0</v>
      </c>
      <c r="BI40" s="3464">
        <f ca="1">BI$15+BI$19+BI$22+BI$32+BI$35+BI$38</f>
        <v>0</v>
      </c>
      <c r="BJ40" s="3464">
        <f ca="1">SUM(BH40:BI40)</f>
        <v>0</v>
      </c>
      <c r="BL40" s="3478">
        <f t="shared" ca="1" si="10"/>
        <v>4.5657921887709563E-15</v>
      </c>
      <c r="BM40" s="636"/>
      <c r="BO40" s="2793">
        <f t="shared" ref="BO40:DF40" ca="1" si="110">BO$15+BO$19+BO$22+BO$32+BO$35+BO$38</f>
        <v>22.710276896928228</v>
      </c>
      <c r="BP40" s="2793">
        <f t="shared" ca="1" si="110"/>
        <v>1.6346091115512107E-2</v>
      </c>
      <c r="BQ40" s="2793">
        <f t="shared" ca="1" si="110"/>
        <v>0.11763781574522096</v>
      </c>
      <c r="BR40" s="2793">
        <f t="shared" ca="1" si="110"/>
        <v>0</v>
      </c>
      <c r="BS40" s="2793">
        <f t="shared" ca="1" si="110"/>
        <v>0</v>
      </c>
      <c r="BT40" s="2793">
        <f t="shared" ca="1" si="110"/>
        <v>0</v>
      </c>
      <c r="BU40" s="2793">
        <f t="shared" ca="1" si="110"/>
        <v>0</v>
      </c>
      <c r="BV40" s="2793">
        <f t="shared" ca="1" si="110"/>
        <v>0</v>
      </c>
      <c r="BW40" s="2793">
        <f t="shared" ca="1" si="110"/>
        <v>1.39</v>
      </c>
      <c r="BX40" s="2793">
        <f t="shared" ca="1" si="110"/>
        <v>0</v>
      </c>
      <c r="BY40" s="2793">
        <f t="shared" ca="1" si="110"/>
        <v>0</v>
      </c>
      <c r="BZ40" s="2793">
        <f t="shared" ca="1" si="110"/>
        <v>1.03</v>
      </c>
      <c r="CA40" s="2793">
        <f t="shared" ca="1" si="110"/>
        <v>0</v>
      </c>
      <c r="CB40" s="2793">
        <f t="shared" ca="1" si="110"/>
        <v>0</v>
      </c>
      <c r="CC40" s="2793">
        <f t="shared" ca="1" si="110"/>
        <v>0</v>
      </c>
      <c r="CD40" s="2793">
        <f t="shared" ca="1" si="110"/>
        <v>0</v>
      </c>
      <c r="CE40" s="2793">
        <f t="shared" ca="1" si="110"/>
        <v>0</v>
      </c>
      <c r="CF40" s="2793">
        <f t="shared" ca="1" si="110"/>
        <v>0</v>
      </c>
      <c r="CG40" s="2793">
        <f t="shared" ca="1" si="110"/>
        <v>0</v>
      </c>
      <c r="CH40" s="2793">
        <f t="shared" ca="1" si="110"/>
        <v>0</v>
      </c>
      <c r="CI40" s="2793">
        <f t="shared" ca="1" si="110"/>
        <v>0</v>
      </c>
      <c r="CJ40" s="2793">
        <f t="shared" ca="1" si="110"/>
        <v>0</v>
      </c>
      <c r="CK40" s="2793">
        <f t="shared" ca="1" si="110"/>
        <v>0</v>
      </c>
      <c r="CL40" s="2793">
        <f t="shared" ca="1" si="110"/>
        <v>0</v>
      </c>
      <c r="CM40" s="2793">
        <f t="shared" ca="1" si="110"/>
        <v>0</v>
      </c>
      <c r="CN40" s="2793">
        <f t="shared" ca="1" si="110"/>
        <v>0</v>
      </c>
      <c r="CO40" s="2793">
        <f t="shared" ca="1" si="110"/>
        <v>0</v>
      </c>
      <c r="CP40" s="2793">
        <f t="shared" ca="1" si="110"/>
        <v>0</v>
      </c>
      <c r="CQ40" s="2793">
        <f t="shared" ca="1" si="110"/>
        <v>0</v>
      </c>
      <c r="CR40" s="2793">
        <f t="shared" ca="1" si="110"/>
        <v>0</v>
      </c>
      <c r="CS40" s="2793">
        <f t="shared" ca="1" si="110"/>
        <v>0</v>
      </c>
      <c r="CT40" s="2793">
        <f t="shared" ca="1" si="110"/>
        <v>0</v>
      </c>
      <c r="CU40" s="2793">
        <f t="shared" ca="1" si="110"/>
        <v>1.8524375999999996</v>
      </c>
      <c r="CV40" s="2793">
        <f t="shared" ca="1" si="110"/>
        <v>1.5921360000000001E-3</v>
      </c>
      <c r="CW40" s="2793">
        <f t="shared" ca="1" si="110"/>
        <v>4.700592E-3</v>
      </c>
      <c r="CX40" s="2793">
        <f t="shared" ca="1" si="110"/>
        <v>0</v>
      </c>
      <c r="CY40" s="2793">
        <f t="shared" ca="1" si="110"/>
        <v>0</v>
      </c>
      <c r="CZ40" s="2793">
        <f t="shared" ca="1" si="110"/>
        <v>0</v>
      </c>
      <c r="DA40" s="2793">
        <f t="shared" ca="1" si="110"/>
        <v>0</v>
      </c>
      <c r="DB40" s="2793">
        <f t="shared" ca="1" si="110"/>
        <v>0</v>
      </c>
      <c r="DC40" s="2793">
        <f t="shared" ca="1" si="110"/>
        <v>0</v>
      </c>
      <c r="DD40" s="2793">
        <f t="shared" ca="1" si="110"/>
        <v>0</v>
      </c>
      <c r="DE40" s="2793">
        <f t="shared" ca="1" si="110"/>
        <v>0</v>
      </c>
      <c r="DF40" s="2793">
        <f t="shared" ca="1" si="110"/>
        <v>0</v>
      </c>
      <c r="DH40" s="637">
        <f ca="1">SUM(BO40:DF40)</f>
        <v>27.122991131788961</v>
      </c>
    </row>
    <row r="41" spans="1:112" s="6" customFormat="1" ht="6" customHeigh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10"/>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24" customHeight="1">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10"/>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ht="12.75" customHeight="1" outlineLevel="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10"/>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ht="12.75" customHeight="1" outlineLevel="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-9.8843865838814832E-5</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10"/>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ht="12.75" customHeight="1" outlineLevel="1">
      <c r="A45" s="4"/>
      <c r="B45" s="4"/>
      <c r="C45" s="587" t="s">
        <v>502</v>
      </c>
      <c r="D45" s="611" t="s">
        <v>503</v>
      </c>
      <c r="E45" s="650"/>
      <c r="G45" s="619">
        <f t="shared" ref="G45:P45" ca="1" si="111">IFERROR(INDEX(INDIRECT($C45&amp;".Outputs["&amp;this.Year&amp;"]"), MATCH(G$5, INDIRECT($C45&amp;".Outputs[Vector]"), 0)), 0)</f>
        <v>0</v>
      </c>
      <c r="H45" s="619">
        <f t="shared" ca="1" si="111"/>
        <v>0</v>
      </c>
      <c r="I45" s="619">
        <f t="shared" ca="1" si="111"/>
        <v>0</v>
      </c>
      <c r="J45" s="619">
        <f t="shared" ca="1" si="111"/>
        <v>0</v>
      </c>
      <c r="K45" s="619">
        <f t="shared" ca="1" si="111"/>
        <v>0</v>
      </c>
      <c r="L45" s="619">
        <f t="shared" ca="1" si="111"/>
        <v>0</v>
      </c>
      <c r="M45" s="619">
        <f t="shared" ca="1" si="111"/>
        <v>0</v>
      </c>
      <c r="N45" s="619">
        <f t="shared" ca="1" si="111"/>
        <v>0</v>
      </c>
      <c r="O45" s="619">
        <f t="shared" ca="1" si="111"/>
        <v>0</v>
      </c>
      <c r="P45" s="619">
        <f t="shared" ca="1" si="111"/>
        <v>0</v>
      </c>
      <c r="Q45" s="612">
        <f ca="1">SUM(G45:P45)</f>
        <v>0</v>
      </c>
      <c r="S45" s="620">
        <f t="shared" ref="S45:AJ45" ca="1" si="112">IFERROR(INDEX(INDIRECT($C45&amp;".Outputs["&amp;this.Year&amp;"]"), MATCH(S$5, INDIRECT($C45&amp;".Outputs[Vector]"), 0)), 0)</f>
        <v>0</v>
      </c>
      <c r="T45" s="620">
        <f t="shared" ca="1" si="112"/>
        <v>0</v>
      </c>
      <c r="U45" s="620">
        <f t="shared" ca="1" si="112"/>
        <v>0</v>
      </c>
      <c r="V45" s="620">
        <f t="shared" ca="1" si="112"/>
        <v>0</v>
      </c>
      <c r="W45" s="620">
        <f t="shared" ca="1" si="112"/>
        <v>0</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12"/>
        <v>0</v>
      </c>
      <c r="AB45" s="620">
        <f t="shared" ca="1" si="112"/>
        <v>0</v>
      </c>
      <c r="AC45" s="620">
        <f t="shared" ca="1" si="112"/>
        <v>0</v>
      </c>
      <c r="AD45" s="620">
        <f t="shared" ca="1" si="112"/>
        <v>0</v>
      </c>
      <c r="AE45" s="620">
        <f t="shared" ca="1" si="112"/>
        <v>0</v>
      </c>
      <c r="AF45" s="620">
        <f t="shared" ca="1" si="112"/>
        <v>0</v>
      </c>
      <c r="AG45" s="620">
        <f t="shared" ca="1" si="112"/>
        <v>0</v>
      </c>
      <c r="AH45" s="620">
        <f t="shared" ca="1" si="112"/>
        <v>0</v>
      </c>
      <c r="AI45" s="620">
        <f t="shared" ca="1" si="112"/>
        <v>0</v>
      </c>
      <c r="AJ45" s="620">
        <f t="shared" ca="1" si="112"/>
        <v>9.8843865838814832E-5</v>
      </c>
      <c r="AK45" s="613">
        <f ca="1">SUM(S45:AJ45)</f>
        <v>9.8843865838814832E-5</v>
      </c>
      <c r="AM45" s="621">
        <f t="shared" ref="AM45:AU45" ca="1" si="113">IFERROR(INDEX(INDIRECT($C45&amp;".Outputs["&amp;this.Year&amp;"]"), MATCH(AM$5, INDIRECT($C45&amp;".Outputs[Vector]"), 0)), 0)</f>
        <v>0</v>
      </c>
      <c r="AN45" s="621">
        <f t="shared" ca="1" si="113"/>
        <v>0</v>
      </c>
      <c r="AO45" s="621">
        <f t="shared" ca="1" si="113"/>
        <v>0</v>
      </c>
      <c r="AP45" s="621">
        <f t="shared" ca="1" si="113"/>
        <v>0</v>
      </c>
      <c r="AQ45" s="621">
        <f t="shared" ca="1" si="113"/>
        <v>0</v>
      </c>
      <c r="AR45" s="621">
        <f t="shared" ca="1" si="113"/>
        <v>0</v>
      </c>
      <c r="AS45" s="621">
        <f t="shared" ca="1" si="113"/>
        <v>0</v>
      </c>
      <c r="AT45" s="621">
        <f t="shared" ca="1" si="113"/>
        <v>0</v>
      </c>
      <c r="AU45" s="621">
        <f t="shared" ca="1" si="113"/>
        <v>0</v>
      </c>
      <c r="AV45" s="621">
        <f t="shared" ref="AV45:BE45" ca="1" si="114">IFERROR(INDEX(INDIRECT($C45&amp;".Outputs["&amp;this.Year&amp;"]"), MATCH(AV$5, INDIRECT($C45&amp;".Outputs[Vector]"), 0)), 0)</f>
        <v>0</v>
      </c>
      <c r="AW45" s="621">
        <f t="shared" ca="1" si="114"/>
        <v>0</v>
      </c>
      <c r="AX45" s="621">
        <f t="shared" ca="1" si="114"/>
        <v>0</v>
      </c>
      <c r="AY45" s="621">
        <f t="shared" ca="1" si="114"/>
        <v>0</v>
      </c>
      <c r="AZ45" s="621">
        <f t="shared" ca="1" si="114"/>
        <v>0</v>
      </c>
      <c r="BA45" s="621">
        <f t="shared" ca="1" si="114"/>
        <v>0</v>
      </c>
      <c r="BB45" s="621">
        <f t="shared" ca="1" si="114"/>
        <v>0</v>
      </c>
      <c r="BC45" s="621">
        <f t="shared" ca="1" si="114"/>
        <v>0</v>
      </c>
      <c r="BD45" s="621">
        <f t="shared" ca="1" si="114"/>
        <v>0</v>
      </c>
      <c r="BE45" s="621">
        <f t="shared" ca="1" si="114"/>
        <v>0</v>
      </c>
      <c r="BF45" s="615">
        <f ca="1">SUM(AM45:BE45)</f>
        <v>0</v>
      </c>
      <c r="BH45" s="3473">
        <f ca="1">IFERROR(INDEX(INDIRECT($C45&amp;".Outputs["&amp;this.Year&amp;"]"), MATCH(BH$5, INDIRECT($C45&amp;".Outputs[Vector]"), 0)), 0)</f>
        <v>0</v>
      </c>
      <c r="BI45" s="3473">
        <f ca="1">IFERROR(INDEX(INDIRECT($C45&amp;".Outputs["&amp;this.Year&amp;"]"), MATCH(BI$5, INDIRECT($C45&amp;".Outputs[Vector]"), 0)), 0)</f>
        <v>0</v>
      </c>
      <c r="BJ45" s="3462">
        <f ca="1">SUM(BH45:BI45)</f>
        <v>0</v>
      </c>
      <c r="BL45" s="3477"/>
      <c r="BM45" s="584"/>
      <c r="BN45" s="413"/>
      <c r="BO45" s="2791">
        <f t="shared" ref="BO45:DF45" ca="1" si="115">IFERROR(SUMIFS(INDIRECT($C45&amp;".Emissions["&amp;this.Year&amp;"]"), INDIRECT($C45&amp;".Emissions[GHG]"), BO$6, INDIRECT($C45&amp;".Emissions[IPCC Sector]"), BO$5),0)</f>
        <v>0</v>
      </c>
      <c r="BP45" s="2792">
        <f t="shared" ca="1" si="115"/>
        <v>0</v>
      </c>
      <c r="BQ45" s="2792">
        <f t="shared" ca="1" si="115"/>
        <v>0</v>
      </c>
      <c r="BR45" s="2792">
        <f t="shared" ca="1" si="115"/>
        <v>0</v>
      </c>
      <c r="BS45" s="2792">
        <f t="shared" ca="1" si="115"/>
        <v>0</v>
      </c>
      <c r="BT45" s="2792">
        <f t="shared" ca="1" si="115"/>
        <v>0</v>
      </c>
      <c r="BU45" s="2792">
        <f t="shared" ca="1" si="115"/>
        <v>0</v>
      </c>
      <c r="BV45" s="2792">
        <f t="shared" ca="1" si="115"/>
        <v>0</v>
      </c>
      <c r="BW45" s="2792">
        <f t="shared" ca="1" si="115"/>
        <v>0</v>
      </c>
      <c r="BX45" s="2792">
        <f t="shared" ca="1" si="115"/>
        <v>0</v>
      </c>
      <c r="BY45" s="2792">
        <f t="shared" ca="1" si="115"/>
        <v>0</v>
      </c>
      <c r="BZ45" s="2792">
        <f t="shared" ca="1" si="115"/>
        <v>0</v>
      </c>
      <c r="CA45" s="2792">
        <f t="shared" ca="1" si="115"/>
        <v>0</v>
      </c>
      <c r="CB45" s="2792">
        <f t="shared" ca="1" si="115"/>
        <v>0</v>
      </c>
      <c r="CC45" s="2792">
        <f t="shared" ca="1" si="115"/>
        <v>0</v>
      </c>
      <c r="CD45" s="2792">
        <f t="shared" ca="1" si="115"/>
        <v>0</v>
      </c>
      <c r="CE45" s="2792">
        <f t="shared" ca="1" si="115"/>
        <v>0</v>
      </c>
      <c r="CF45" s="2792">
        <f t="shared" ca="1" si="115"/>
        <v>0</v>
      </c>
      <c r="CG45" s="2792">
        <f t="shared" ca="1" si="115"/>
        <v>0</v>
      </c>
      <c r="CH45" s="2792">
        <f t="shared" ca="1" si="115"/>
        <v>0</v>
      </c>
      <c r="CI45" s="2792">
        <f t="shared" ca="1" si="115"/>
        <v>0</v>
      </c>
      <c r="CJ45" s="2792">
        <f t="shared" ca="1" si="115"/>
        <v>0</v>
      </c>
      <c r="CK45" s="2792">
        <f t="shared" ca="1" si="115"/>
        <v>0</v>
      </c>
      <c r="CL45" s="2792">
        <f t="shared" ca="1" si="115"/>
        <v>0</v>
      </c>
      <c r="CM45" s="2792">
        <f t="shared" ca="1" si="115"/>
        <v>0</v>
      </c>
      <c r="CN45" s="2792">
        <f t="shared" ca="1" si="115"/>
        <v>0</v>
      </c>
      <c r="CO45" s="2792">
        <f t="shared" ca="1" si="115"/>
        <v>0</v>
      </c>
      <c r="CP45" s="2792">
        <f t="shared" ca="1" si="115"/>
        <v>0</v>
      </c>
      <c r="CQ45" s="2792">
        <f t="shared" ca="1" si="115"/>
        <v>0</v>
      </c>
      <c r="CR45" s="2792">
        <f t="shared" ca="1" si="115"/>
        <v>0</v>
      </c>
      <c r="CS45" s="2792">
        <f t="shared" ca="1" si="115"/>
        <v>0</v>
      </c>
      <c r="CT45" s="2792">
        <f t="shared" ca="1" si="115"/>
        <v>0</v>
      </c>
      <c r="CU45" s="2792">
        <f t="shared" ca="1" si="115"/>
        <v>0</v>
      </c>
      <c r="CV45" s="2792">
        <f t="shared" ca="1" si="115"/>
        <v>0</v>
      </c>
      <c r="CW45" s="2792">
        <f t="shared" ca="1" si="115"/>
        <v>0</v>
      </c>
      <c r="CX45" s="2792">
        <f t="shared" ca="1" si="115"/>
        <v>0</v>
      </c>
      <c r="CY45" s="2792">
        <f t="shared" ca="1" si="115"/>
        <v>0</v>
      </c>
      <c r="CZ45" s="2792">
        <f t="shared" ca="1" si="115"/>
        <v>0</v>
      </c>
      <c r="DA45" s="2792">
        <f t="shared" ca="1" si="115"/>
        <v>0</v>
      </c>
      <c r="DB45" s="2792">
        <f t="shared" ca="1" si="115"/>
        <v>0</v>
      </c>
      <c r="DC45" s="2792">
        <f t="shared" ca="1" si="115"/>
        <v>0</v>
      </c>
      <c r="DD45" s="2792">
        <f t="shared" ca="1" si="115"/>
        <v>0</v>
      </c>
      <c r="DE45" s="2792">
        <f t="shared" ca="1" si="115"/>
        <v>0</v>
      </c>
      <c r="DF45" s="2792">
        <f t="shared" ca="1" si="115"/>
        <v>0</v>
      </c>
      <c r="DH45" s="596"/>
    </row>
    <row r="46" spans="1:112" s="6" customFormat="1" ht="15.75">
      <c r="A46" s="4"/>
      <c r="B46" s="3"/>
      <c r="C46" s="616" t="s">
        <v>504</v>
      </c>
      <c r="D46" s="617" t="s">
        <v>505</v>
      </c>
      <c r="E46" s="206"/>
      <c r="G46" s="618">
        <f ca="1">G45</f>
        <v>0</v>
      </c>
      <c r="H46" s="618">
        <f t="shared" ref="H46:P46" ca="1" si="116">H45</f>
        <v>0</v>
      </c>
      <c r="I46" s="618">
        <f t="shared" ca="1" si="116"/>
        <v>0</v>
      </c>
      <c r="J46" s="618">
        <f t="shared" ca="1" si="116"/>
        <v>0</v>
      </c>
      <c r="K46" s="618">
        <f t="shared" ca="1" si="116"/>
        <v>0</v>
      </c>
      <c r="L46" s="618">
        <f t="shared" ca="1" si="116"/>
        <v>0</v>
      </c>
      <c r="M46" s="618">
        <f t="shared" ca="1" si="116"/>
        <v>0</v>
      </c>
      <c r="N46" s="618">
        <f t="shared" ca="1" si="116"/>
        <v>0</v>
      </c>
      <c r="O46" s="618">
        <f t="shared" ca="1" si="116"/>
        <v>0</v>
      </c>
      <c r="P46" s="618">
        <f t="shared" ca="1" si="116"/>
        <v>0</v>
      </c>
      <c r="Q46" s="618">
        <f ca="1">SUM(G46:P46)</f>
        <v>0</v>
      </c>
      <c r="S46" s="581">
        <f t="shared" ref="S46:AJ46" ca="1" si="117">S45</f>
        <v>0</v>
      </c>
      <c r="T46" s="581">
        <f t="shared" ca="1" si="117"/>
        <v>0</v>
      </c>
      <c r="U46" s="581">
        <f t="shared" ca="1" si="117"/>
        <v>0</v>
      </c>
      <c r="V46" s="581">
        <f t="shared" ca="1" si="117"/>
        <v>0</v>
      </c>
      <c r="W46" s="581">
        <f t="shared" ca="1" si="117"/>
        <v>0</v>
      </c>
      <c r="X46" s="581">
        <f t="shared" ca="1" si="117"/>
        <v>0</v>
      </c>
      <c r="Y46" s="581">
        <f t="shared" ca="1" si="117"/>
        <v>0</v>
      </c>
      <c r="Z46" s="581">
        <f t="shared" ca="1" si="117"/>
        <v>0</v>
      </c>
      <c r="AA46" s="581">
        <f t="shared" ca="1" si="117"/>
        <v>0</v>
      </c>
      <c r="AB46" s="581">
        <f t="shared" ca="1" si="117"/>
        <v>0</v>
      </c>
      <c r="AC46" s="581">
        <f t="shared" ca="1" si="117"/>
        <v>0</v>
      </c>
      <c r="AD46" s="581">
        <f t="shared" ca="1" si="117"/>
        <v>0</v>
      </c>
      <c r="AE46" s="581">
        <f ca="1">AE45</f>
        <v>0</v>
      </c>
      <c r="AF46" s="581">
        <f t="shared" ca="1" si="117"/>
        <v>0</v>
      </c>
      <c r="AG46" s="581">
        <f t="shared" ca="1" si="117"/>
        <v>0</v>
      </c>
      <c r="AH46" s="581">
        <f ca="1">AH45</f>
        <v>0</v>
      </c>
      <c r="AI46" s="581">
        <f t="shared" ca="1" si="117"/>
        <v>0</v>
      </c>
      <c r="AJ46" s="581">
        <f t="shared" ca="1" si="117"/>
        <v>9.8843865838814832E-5</v>
      </c>
      <c r="AK46" s="581">
        <f ca="1">SUM(S46:AJ46)</f>
        <v>9.8843865838814832E-5</v>
      </c>
      <c r="AM46" s="582">
        <f t="shared" ref="AM46:BE46" ca="1" si="118">AM45</f>
        <v>0</v>
      </c>
      <c r="AN46" s="582">
        <f t="shared" ca="1" si="118"/>
        <v>0</v>
      </c>
      <c r="AO46" s="582">
        <f t="shared" ca="1" si="118"/>
        <v>0</v>
      </c>
      <c r="AP46" s="582">
        <f t="shared" ca="1" si="118"/>
        <v>0</v>
      </c>
      <c r="AQ46" s="582">
        <f t="shared" ca="1" si="118"/>
        <v>0</v>
      </c>
      <c r="AR46" s="582">
        <f t="shared" ca="1" si="118"/>
        <v>0</v>
      </c>
      <c r="AS46" s="582">
        <f t="shared" ca="1" si="118"/>
        <v>0</v>
      </c>
      <c r="AT46" s="582">
        <f t="shared" ca="1" si="118"/>
        <v>0</v>
      </c>
      <c r="AU46" s="582">
        <f t="shared" ca="1" si="118"/>
        <v>0</v>
      </c>
      <c r="AV46" s="582">
        <f t="shared" ca="1" si="118"/>
        <v>0</v>
      </c>
      <c r="AW46" s="582">
        <f t="shared" ca="1" si="118"/>
        <v>0</v>
      </c>
      <c r="AX46" s="582">
        <f t="shared" ca="1" si="118"/>
        <v>0</v>
      </c>
      <c r="AY46" s="582">
        <f t="shared" ca="1" si="118"/>
        <v>0</v>
      </c>
      <c r="AZ46" s="582">
        <f t="shared" ca="1" si="118"/>
        <v>0</v>
      </c>
      <c r="BA46" s="582">
        <f t="shared" ca="1" si="118"/>
        <v>0</v>
      </c>
      <c r="BB46" s="582">
        <f t="shared" ca="1" si="118"/>
        <v>0</v>
      </c>
      <c r="BC46" s="582">
        <f t="shared" ca="1" si="118"/>
        <v>0</v>
      </c>
      <c r="BD46" s="582">
        <f t="shared" ca="1" si="118"/>
        <v>0</v>
      </c>
      <c r="BE46" s="582">
        <f t="shared" ca="1" si="118"/>
        <v>0</v>
      </c>
      <c r="BF46" s="582">
        <f ca="1">SUM(AM46:BE46)</f>
        <v>0</v>
      </c>
      <c r="BH46" s="3463">
        <f ca="1">BH45</f>
        <v>0</v>
      </c>
      <c r="BI46" s="3463">
        <f ca="1">BI45</f>
        <v>0</v>
      </c>
      <c r="BJ46" s="3463">
        <f ca="1">SUM(BH46:BI46)</f>
        <v>0</v>
      </c>
      <c r="BL46" s="3477">
        <f ca="1">Q46+AK46+BF46+BJ46</f>
        <v>9.8843865838814832E-5</v>
      </c>
      <c r="BM46" s="584"/>
      <c r="BN46" s="413"/>
      <c r="BO46" s="2790">
        <f t="shared" ref="BO46:DF46" ca="1" si="119">BO45</f>
        <v>0</v>
      </c>
      <c r="BP46" s="2790">
        <f t="shared" ca="1" si="119"/>
        <v>0</v>
      </c>
      <c r="BQ46" s="2790">
        <f t="shared" ca="1" si="119"/>
        <v>0</v>
      </c>
      <c r="BR46" s="2790">
        <f t="shared" ca="1" si="119"/>
        <v>0</v>
      </c>
      <c r="BS46" s="2790">
        <f t="shared" ca="1" si="119"/>
        <v>0</v>
      </c>
      <c r="BT46" s="2790">
        <f t="shared" ca="1" si="119"/>
        <v>0</v>
      </c>
      <c r="BU46" s="2790">
        <f t="shared" ca="1" si="119"/>
        <v>0</v>
      </c>
      <c r="BV46" s="2790">
        <f t="shared" ca="1" si="119"/>
        <v>0</v>
      </c>
      <c r="BW46" s="2790">
        <f t="shared" ca="1" si="119"/>
        <v>0</v>
      </c>
      <c r="BX46" s="2790">
        <f t="shared" ca="1" si="119"/>
        <v>0</v>
      </c>
      <c r="BY46" s="2790">
        <f t="shared" ca="1" si="119"/>
        <v>0</v>
      </c>
      <c r="BZ46" s="2790">
        <f t="shared" ca="1" si="119"/>
        <v>0</v>
      </c>
      <c r="CA46" s="2790">
        <f t="shared" ca="1" si="119"/>
        <v>0</v>
      </c>
      <c r="CB46" s="2790">
        <f t="shared" ca="1" si="119"/>
        <v>0</v>
      </c>
      <c r="CC46" s="2790">
        <f t="shared" ca="1" si="119"/>
        <v>0</v>
      </c>
      <c r="CD46" s="2790">
        <f t="shared" ca="1" si="119"/>
        <v>0</v>
      </c>
      <c r="CE46" s="2790">
        <f t="shared" ca="1" si="119"/>
        <v>0</v>
      </c>
      <c r="CF46" s="2790">
        <f t="shared" ca="1" si="119"/>
        <v>0</v>
      </c>
      <c r="CG46" s="2790">
        <f t="shared" ca="1" si="119"/>
        <v>0</v>
      </c>
      <c r="CH46" s="2790">
        <f t="shared" ca="1" si="119"/>
        <v>0</v>
      </c>
      <c r="CI46" s="2790">
        <f t="shared" ca="1" si="119"/>
        <v>0</v>
      </c>
      <c r="CJ46" s="2790">
        <f t="shared" ca="1" si="119"/>
        <v>0</v>
      </c>
      <c r="CK46" s="2790">
        <f t="shared" ca="1" si="119"/>
        <v>0</v>
      </c>
      <c r="CL46" s="2790">
        <f t="shared" ca="1" si="119"/>
        <v>0</v>
      </c>
      <c r="CM46" s="2790">
        <f t="shared" ca="1" si="119"/>
        <v>0</v>
      </c>
      <c r="CN46" s="2790">
        <f t="shared" ca="1" si="119"/>
        <v>0</v>
      </c>
      <c r="CO46" s="2790">
        <f t="shared" ca="1" si="119"/>
        <v>0</v>
      </c>
      <c r="CP46" s="2790">
        <f t="shared" ca="1" si="119"/>
        <v>0</v>
      </c>
      <c r="CQ46" s="2790">
        <f t="shared" ca="1" si="119"/>
        <v>0</v>
      </c>
      <c r="CR46" s="2790">
        <f t="shared" ca="1" si="119"/>
        <v>0</v>
      </c>
      <c r="CS46" s="2790">
        <f t="shared" ca="1" si="119"/>
        <v>0</v>
      </c>
      <c r="CT46" s="2790">
        <f t="shared" ca="1" si="119"/>
        <v>0</v>
      </c>
      <c r="CU46" s="2790">
        <f t="shared" ca="1" si="119"/>
        <v>0</v>
      </c>
      <c r="CV46" s="2790">
        <f t="shared" ca="1" si="119"/>
        <v>0</v>
      </c>
      <c r="CW46" s="2790">
        <f t="shared" ca="1" si="119"/>
        <v>0</v>
      </c>
      <c r="CX46" s="2790">
        <f t="shared" ca="1" si="119"/>
        <v>0</v>
      </c>
      <c r="CY46" s="2790">
        <f t="shared" ca="1" si="119"/>
        <v>0</v>
      </c>
      <c r="CZ46" s="2790">
        <f t="shared" ca="1" si="119"/>
        <v>0</v>
      </c>
      <c r="DA46" s="2790">
        <f t="shared" ca="1" si="119"/>
        <v>0</v>
      </c>
      <c r="DB46" s="2790">
        <f t="shared" ca="1" si="119"/>
        <v>0</v>
      </c>
      <c r="DC46" s="2790">
        <f t="shared" ca="1" si="119"/>
        <v>0</v>
      </c>
      <c r="DD46" s="2790">
        <f t="shared" ca="1" si="119"/>
        <v>0</v>
      </c>
      <c r="DE46" s="2790">
        <f t="shared" ca="1" si="119"/>
        <v>0</v>
      </c>
      <c r="DF46" s="2790">
        <f t="shared" ca="1" si="119"/>
        <v>0</v>
      </c>
      <c r="DH46" s="596">
        <f t="shared" ref="DH46:DH82" ca="1" si="120">SUM(BO46:DF46)</f>
        <v>0</v>
      </c>
    </row>
    <row r="47" spans="1:112" s="6" customFormat="1" outlineLevel="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20"/>
        <v>0</v>
      </c>
    </row>
    <row r="48" spans="1:112" s="6" customFormat="1" outlineLevel="1">
      <c r="A48" s="607"/>
      <c r="B48" s="607"/>
      <c r="C48" s="587" t="s">
        <v>506</v>
      </c>
      <c r="D48" s="588" t="s">
        <v>507</v>
      </c>
      <c r="E48" s="588"/>
      <c r="G48" s="589">
        <f t="shared" ref="G48:P49" ca="1" si="121">IFERROR(INDEX(INDIRECT($C48&amp;".Outputs["&amp;this.Year&amp;"]"), MATCH(G$5, INDIRECT($C48&amp;".Outputs[Vector]"), 0)), 0)</f>
        <v>0</v>
      </c>
      <c r="H48" s="589">
        <f t="shared" ca="1" si="121"/>
        <v>0</v>
      </c>
      <c r="I48" s="589">
        <f t="shared" ca="1" si="121"/>
        <v>0</v>
      </c>
      <c r="J48" s="589">
        <f t="shared" ca="1" si="121"/>
        <v>0</v>
      </c>
      <c r="K48" s="589">
        <f t="shared" ca="1" si="121"/>
        <v>0</v>
      </c>
      <c r="L48" s="589">
        <f t="shared" ca="1" si="121"/>
        <v>0</v>
      </c>
      <c r="M48" s="589">
        <f t="shared" ca="1" si="121"/>
        <v>0</v>
      </c>
      <c r="N48" s="589">
        <f t="shared" ca="1" si="121"/>
        <v>0</v>
      </c>
      <c r="O48" s="589">
        <f t="shared" ca="1" si="121"/>
        <v>0</v>
      </c>
      <c r="P48" s="589">
        <f t="shared" ca="1" si="121"/>
        <v>0</v>
      </c>
      <c r="Q48" s="590">
        <f ca="1">SUM(G48:P48)</f>
        <v>0</v>
      </c>
      <c r="S48" s="591">
        <f t="shared" ref="S48:AJ49" ca="1" si="122">IFERROR(INDEX(INDIRECT($C48&amp;".Outputs["&amp;this.Year&amp;"]"), MATCH(S$5, INDIRECT($C48&amp;".Outputs[Vector]"), 0)), 0)</f>
        <v>0</v>
      </c>
      <c r="T48" s="591">
        <f t="shared" ca="1" si="122"/>
        <v>0</v>
      </c>
      <c r="U48" s="591">
        <f t="shared" ca="1" si="122"/>
        <v>0</v>
      </c>
      <c r="V48" s="591">
        <f t="shared" ca="1" si="122"/>
        <v>0</v>
      </c>
      <c r="W48" s="591">
        <f t="shared" ca="1" si="122"/>
        <v>0</v>
      </c>
      <c r="X48" s="591">
        <f t="shared" ref="X48:Z50" ca="1" si="123">IFERROR(INDEX(INDIRECT($C48&amp;".Outputs["&amp;this.Year&amp;"]"), MATCH(X$5, INDIRECT($C48&amp;".Outputs[Vector]"), 0)), 0)</f>
        <v>0</v>
      </c>
      <c r="Y48" s="591">
        <f t="shared" ca="1" si="123"/>
        <v>0</v>
      </c>
      <c r="Z48" s="591">
        <f t="shared" ca="1" si="123"/>
        <v>0</v>
      </c>
      <c r="AA48" s="591">
        <f t="shared" ca="1" si="122"/>
        <v>0</v>
      </c>
      <c r="AB48" s="591">
        <f t="shared" ca="1" si="122"/>
        <v>0</v>
      </c>
      <c r="AC48" s="591">
        <f t="shared" ca="1" si="122"/>
        <v>0</v>
      </c>
      <c r="AD48" s="591">
        <f t="shared" ca="1" si="122"/>
        <v>0</v>
      </c>
      <c r="AE48" s="591">
        <f t="shared" ca="1" si="122"/>
        <v>0</v>
      </c>
      <c r="AF48" s="591">
        <f t="shared" ca="1" si="122"/>
        <v>0</v>
      </c>
      <c r="AG48" s="591">
        <f t="shared" ca="1" si="122"/>
        <v>0</v>
      </c>
      <c r="AH48" s="591">
        <f t="shared" ca="1" si="122"/>
        <v>0</v>
      </c>
      <c r="AI48" s="591">
        <f t="shared" ca="1" si="122"/>
        <v>0</v>
      </c>
      <c r="AJ48" s="591">
        <f t="shared" ca="1" si="122"/>
        <v>0</v>
      </c>
      <c r="AK48" s="592">
        <f ca="1">SUM(S48:AJ48)</f>
        <v>0</v>
      </c>
      <c r="AM48" s="593">
        <f t="shared" ref="AM48:AU50" ca="1" si="124">IFERROR(INDEX(INDIRECT($C48&amp;".Outputs["&amp;this.Year&amp;"]"), MATCH(AM$5, INDIRECT($C48&amp;".Outputs[Vector]"), 0)), 0)</f>
        <v>0</v>
      </c>
      <c r="AN48" s="593">
        <f t="shared" ca="1" si="124"/>
        <v>0</v>
      </c>
      <c r="AO48" s="593">
        <f t="shared" ca="1" si="124"/>
        <v>0</v>
      </c>
      <c r="AP48" s="593">
        <f t="shared" ca="1" si="124"/>
        <v>0</v>
      </c>
      <c r="AQ48" s="593">
        <f t="shared" ca="1" si="124"/>
        <v>0</v>
      </c>
      <c r="AR48" s="593">
        <f t="shared" ca="1" si="124"/>
        <v>0</v>
      </c>
      <c r="AS48" s="593">
        <f t="shared" ca="1" si="124"/>
        <v>0</v>
      </c>
      <c r="AT48" s="593">
        <f t="shared" ca="1" si="124"/>
        <v>0</v>
      </c>
      <c r="AU48" s="593">
        <f t="shared" ca="1" si="124"/>
        <v>0</v>
      </c>
      <c r="AV48" s="593">
        <f t="shared" ref="AV48:BE49" ca="1" si="125">IFERROR(INDEX(INDIRECT($C48&amp;".Outputs["&amp;this.Year&amp;"]"), MATCH(AV$5, INDIRECT($C48&amp;".Outputs[Vector]"), 0)), 0)</f>
        <v>0</v>
      </c>
      <c r="AW48" s="593">
        <f t="shared" ca="1" si="125"/>
        <v>0</v>
      </c>
      <c r="AX48" s="593">
        <f t="shared" ca="1" si="125"/>
        <v>0</v>
      </c>
      <c r="AY48" s="593">
        <f t="shared" ca="1" si="125"/>
        <v>0</v>
      </c>
      <c r="AZ48" s="593">
        <f t="shared" ca="1" si="125"/>
        <v>0</v>
      </c>
      <c r="BA48" s="593">
        <f t="shared" ca="1" si="125"/>
        <v>0</v>
      </c>
      <c r="BB48" s="593">
        <f t="shared" ca="1" si="125"/>
        <v>0</v>
      </c>
      <c r="BC48" s="593">
        <f t="shared" ca="1" si="125"/>
        <v>0</v>
      </c>
      <c r="BD48" s="593">
        <f t="shared" ca="1" si="125"/>
        <v>0</v>
      </c>
      <c r="BE48" s="593">
        <f t="shared" ca="1" si="125"/>
        <v>0</v>
      </c>
      <c r="BF48" s="609">
        <f ca="1">SUM(AM48:BE48)</f>
        <v>0</v>
      </c>
      <c r="BH48" s="3471">
        <f t="shared" ref="BH48:BI50" ca="1" si="126">IFERROR(INDEX(INDIRECT($C48&amp;".Outputs["&amp;this.Year&amp;"]"), MATCH(BH$5, INDIRECT($C48&amp;".Outputs[Vector]"), 0)), 0)</f>
        <v>0</v>
      </c>
      <c r="BI48" s="3471">
        <f t="shared" ca="1" si="126"/>
        <v>0</v>
      </c>
      <c r="BJ48" s="3460">
        <f ca="1">SUM(BH48:BI48)</f>
        <v>0</v>
      </c>
      <c r="BL48" s="610"/>
      <c r="BM48" s="610"/>
      <c r="BN48" s="413"/>
      <c r="BO48" s="2789">
        <f t="shared" ref="BO48:BX50" ca="1" si="127">IFERROR(SUMIFS(INDIRECT($C48&amp;".Emissions["&amp;this.Year&amp;"]"), INDIRECT($C48&amp;".Emissions[GHG]"), BO$6, INDIRECT($C48&amp;".Emissions[IPCC Sector]"), BO$5),0)</f>
        <v>0</v>
      </c>
      <c r="BP48" s="2790">
        <f t="shared" ca="1" si="127"/>
        <v>0</v>
      </c>
      <c r="BQ48" s="2790">
        <f t="shared" ca="1" si="127"/>
        <v>0</v>
      </c>
      <c r="BR48" s="2790">
        <f t="shared" ca="1" si="127"/>
        <v>0</v>
      </c>
      <c r="BS48" s="2790">
        <f t="shared" ca="1" si="127"/>
        <v>0</v>
      </c>
      <c r="BT48" s="2790">
        <f t="shared" ca="1" si="127"/>
        <v>0</v>
      </c>
      <c r="BU48" s="2790">
        <f t="shared" ca="1" si="127"/>
        <v>0</v>
      </c>
      <c r="BV48" s="2790">
        <f t="shared" ca="1" si="127"/>
        <v>0</v>
      </c>
      <c r="BW48" s="2790">
        <f t="shared" ca="1" si="127"/>
        <v>0</v>
      </c>
      <c r="BX48" s="2790">
        <f t="shared" ca="1" si="127"/>
        <v>0</v>
      </c>
      <c r="BY48" s="2790">
        <f t="shared" ref="BY48:CH50" ca="1" si="128">IFERROR(SUMIFS(INDIRECT($C48&amp;".Emissions["&amp;this.Year&amp;"]"), INDIRECT($C48&amp;".Emissions[GHG]"), BY$6, INDIRECT($C48&amp;".Emissions[IPCC Sector]"), BY$5),0)</f>
        <v>0</v>
      </c>
      <c r="BZ48" s="2790">
        <f t="shared" ca="1" si="128"/>
        <v>0</v>
      </c>
      <c r="CA48" s="2790">
        <f t="shared" ca="1" si="128"/>
        <v>0</v>
      </c>
      <c r="CB48" s="2790">
        <f t="shared" ca="1" si="128"/>
        <v>0</v>
      </c>
      <c r="CC48" s="2790">
        <f t="shared" ca="1" si="128"/>
        <v>0</v>
      </c>
      <c r="CD48" s="2790">
        <f t="shared" ca="1" si="128"/>
        <v>0</v>
      </c>
      <c r="CE48" s="2790">
        <f t="shared" ca="1" si="128"/>
        <v>0</v>
      </c>
      <c r="CF48" s="2790">
        <f t="shared" ca="1" si="128"/>
        <v>0</v>
      </c>
      <c r="CG48" s="2790">
        <f t="shared" ca="1" si="128"/>
        <v>0</v>
      </c>
      <c r="CH48" s="2790">
        <f t="shared" ca="1" si="128"/>
        <v>0</v>
      </c>
      <c r="CI48" s="2790">
        <f t="shared" ref="CI48:CR50" ca="1" si="129">IFERROR(SUMIFS(INDIRECT($C48&amp;".Emissions["&amp;this.Year&amp;"]"), INDIRECT($C48&amp;".Emissions[GHG]"), CI$6, INDIRECT($C48&amp;".Emissions[IPCC Sector]"), CI$5),0)</f>
        <v>0</v>
      </c>
      <c r="CJ48" s="2790">
        <f t="shared" ca="1" si="129"/>
        <v>0</v>
      </c>
      <c r="CK48" s="2790">
        <f t="shared" ca="1" si="129"/>
        <v>0</v>
      </c>
      <c r="CL48" s="2790">
        <f t="shared" ca="1" si="129"/>
        <v>0</v>
      </c>
      <c r="CM48" s="2790">
        <f t="shared" ca="1" si="129"/>
        <v>0</v>
      </c>
      <c r="CN48" s="2790">
        <f t="shared" ca="1" si="129"/>
        <v>0</v>
      </c>
      <c r="CO48" s="2790">
        <f t="shared" ca="1" si="129"/>
        <v>0</v>
      </c>
      <c r="CP48" s="2790">
        <f t="shared" ca="1" si="129"/>
        <v>0</v>
      </c>
      <c r="CQ48" s="2790">
        <f t="shared" ca="1" si="129"/>
        <v>0</v>
      </c>
      <c r="CR48" s="2790">
        <f t="shared" ca="1" si="129"/>
        <v>0</v>
      </c>
      <c r="CS48" s="2790">
        <f t="shared" ref="CS48:DF50" ca="1" si="130">IFERROR(SUMIFS(INDIRECT($C48&amp;".Emissions["&amp;this.Year&amp;"]"), INDIRECT($C48&amp;".Emissions[GHG]"), CS$6, INDIRECT($C48&amp;".Emissions[IPCC Sector]"), CS$5),0)</f>
        <v>0</v>
      </c>
      <c r="CT48" s="2790">
        <f t="shared" ca="1" si="130"/>
        <v>0</v>
      </c>
      <c r="CU48" s="2790">
        <f t="shared" ca="1" si="130"/>
        <v>0</v>
      </c>
      <c r="CV48" s="2790">
        <f t="shared" ca="1" si="130"/>
        <v>0</v>
      </c>
      <c r="CW48" s="2790">
        <f t="shared" ca="1" si="130"/>
        <v>0</v>
      </c>
      <c r="CX48" s="2790">
        <f t="shared" ca="1" si="130"/>
        <v>0</v>
      </c>
      <c r="CY48" s="2790">
        <f t="shared" ca="1" si="130"/>
        <v>0</v>
      </c>
      <c r="CZ48" s="2790">
        <f t="shared" ca="1" si="130"/>
        <v>0</v>
      </c>
      <c r="DA48" s="2790">
        <f t="shared" ca="1" si="130"/>
        <v>0</v>
      </c>
      <c r="DB48" s="2790">
        <f t="shared" ca="1" si="130"/>
        <v>0</v>
      </c>
      <c r="DC48" s="2790">
        <f t="shared" ca="1" si="130"/>
        <v>0</v>
      </c>
      <c r="DD48" s="2790">
        <f t="shared" ca="1" si="130"/>
        <v>0</v>
      </c>
      <c r="DE48" s="2790">
        <f t="shared" ca="1" si="130"/>
        <v>0</v>
      </c>
      <c r="DF48" s="2790">
        <f t="shared" ca="1" si="130"/>
        <v>0</v>
      </c>
      <c r="DH48" s="596">
        <f ca="1">SUM(BO48:DF48)</f>
        <v>0</v>
      </c>
    </row>
    <row r="49" spans="1:112" s="6" customFormat="1" outlineLevel="1">
      <c r="A49" s="607"/>
      <c r="B49" s="607"/>
      <c r="C49" s="587" t="s">
        <v>508</v>
      </c>
      <c r="D49" s="588" t="s">
        <v>509</v>
      </c>
      <c r="E49" s="588"/>
      <c r="G49" s="589">
        <f t="shared" ca="1" si="121"/>
        <v>0</v>
      </c>
      <c r="H49" s="589">
        <f t="shared" ca="1" si="121"/>
        <v>0</v>
      </c>
      <c r="I49" s="589">
        <f t="shared" ca="1" si="121"/>
        <v>0</v>
      </c>
      <c r="J49" s="589">
        <f t="shared" ca="1" si="121"/>
        <v>0</v>
      </c>
      <c r="K49" s="589">
        <f t="shared" ca="1" si="121"/>
        <v>0</v>
      </c>
      <c r="L49" s="589">
        <f t="shared" ca="1" si="121"/>
        <v>0</v>
      </c>
      <c r="M49" s="589">
        <f t="shared" ca="1" si="121"/>
        <v>0</v>
      </c>
      <c r="N49" s="589">
        <f t="shared" ca="1" si="121"/>
        <v>0</v>
      </c>
      <c r="O49" s="589">
        <f t="shared" ca="1" si="121"/>
        <v>0</v>
      </c>
      <c r="P49" s="589">
        <f t="shared" ca="1" si="121"/>
        <v>0</v>
      </c>
      <c r="Q49" s="590">
        <f ca="1">SUM(G49:P49)</f>
        <v>0</v>
      </c>
      <c r="S49" s="591">
        <f t="shared" ca="1" si="122"/>
        <v>0</v>
      </c>
      <c r="T49" s="591">
        <f t="shared" ca="1" si="122"/>
        <v>0</v>
      </c>
      <c r="U49" s="591">
        <f t="shared" ca="1" si="122"/>
        <v>0</v>
      </c>
      <c r="V49" s="591">
        <f t="shared" ca="1" si="122"/>
        <v>0</v>
      </c>
      <c r="W49" s="591">
        <f t="shared" ca="1" si="122"/>
        <v>0</v>
      </c>
      <c r="X49" s="591">
        <f t="shared" ca="1" si="123"/>
        <v>6.3749380800000005E-2</v>
      </c>
      <c r="Y49" s="591">
        <f t="shared" ca="1" si="123"/>
        <v>0</v>
      </c>
      <c r="Z49" s="591">
        <f t="shared" ca="1" si="123"/>
        <v>0</v>
      </c>
      <c r="AA49" s="591">
        <f t="shared" ca="1" si="122"/>
        <v>0</v>
      </c>
      <c r="AB49" s="591">
        <f t="shared" ca="1" si="122"/>
        <v>0</v>
      </c>
      <c r="AC49" s="591">
        <f t="shared" ca="1" si="122"/>
        <v>0</v>
      </c>
      <c r="AD49" s="591">
        <f t="shared" ca="1" si="122"/>
        <v>0</v>
      </c>
      <c r="AE49" s="591">
        <f t="shared" ca="1" si="122"/>
        <v>0</v>
      </c>
      <c r="AF49" s="591">
        <f t="shared" ca="1" si="122"/>
        <v>9.7224220170000014E-2</v>
      </c>
      <c r="AG49" s="591">
        <f t="shared" ca="1" si="122"/>
        <v>4.5150000000000008E-4</v>
      </c>
      <c r="AH49" s="591">
        <f t="shared" ca="1" si="122"/>
        <v>0.11749909065550901</v>
      </c>
      <c r="AI49" s="591">
        <f t="shared" ca="1" si="122"/>
        <v>0</v>
      </c>
      <c r="AJ49" s="591">
        <f t="shared" ca="1" si="122"/>
        <v>0</v>
      </c>
      <c r="AK49" s="592">
        <f ca="1">SUM(S49:AJ49)</f>
        <v>0.27892419162550902</v>
      </c>
      <c r="AM49" s="593">
        <f t="shared" ca="1" si="124"/>
        <v>0</v>
      </c>
      <c r="AN49" s="593">
        <f t="shared" ca="1" si="124"/>
        <v>0</v>
      </c>
      <c r="AO49" s="593">
        <f t="shared" ca="1" si="124"/>
        <v>0</v>
      </c>
      <c r="AP49" s="593">
        <f t="shared" ca="1" si="124"/>
        <v>0</v>
      </c>
      <c r="AQ49" s="593">
        <f t="shared" ca="1" si="124"/>
        <v>0</v>
      </c>
      <c r="AR49" s="593">
        <f t="shared" ca="1" si="124"/>
        <v>0</v>
      </c>
      <c r="AS49" s="593">
        <f t="shared" ca="1" si="124"/>
        <v>0</v>
      </c>
      <c r="AT49" s="593">
        <f t="shared" ca="1" si="124"/>
        <v>0</v>
      </c>
      <c r="AU49" s="593">
        <f t="shared" ca="1" si="124"/>
        <v>0</v>
      </c>
      <c r="AV49" s="593">
        <f t="shared" ca="1" si="125"/>
        <v>0</v>
      </c>
      <c r="AW49" s="593">
        <f t="shared" ca="1" si="125"/>
        <v>0</v>
      </c>
      <c r="AX49" s="593">
        <f t="shared" ca="1" si="125"/>
        <v>0</v>
      </c>
      <c r="AY49" s="593">
        <f t="shared" ca="1" si="125"/>
        <v>0</v>
      </c>
      <c r="AZ49" s="593">
        <f t="shared" ca="1" si="125"/>
        <v>0</v>
      </c>
      <c r="BA49" s="593">
        <f t="shared" ca="1" si="125"/>
        <v>0</v>
      </c>
      <c r="BB49" s="593">
        <f t="shared" ca="1" si="125"/>
        <v>0</v>
      </c>
      <c r="BC49" s="593">
        <f t="shared" ca="1" si="125"/>
        <v>0</v>
      </c>
      <c r="BD49" s="593">
        <f t="shared" ca="1" si="125"/>
        <v>0</v>
      </c>
      <c r="BE49" s="593">
        <f t="shared" ca="1" si="125"/>
        <v>-0.27892419162550902</v>
      </c>
      <c r="BF49" s="609">
        <f ca="1">SUM(AM49:BE49)</f>
        <v>-0.27892419162550902</v>
      </c>
      <c r="BH49" s="3471">
        <f t="shared" ca="1" si="126"/>
        <v>0</v>
      </c>
      <c r="BI49" s="3471">
        <f t="shared" ca="1" si="126"/>
        <v>0</v>
      </c>
      <c r="BJ49" s="3460">
        <f ca="1">SUM(BH49:BI49)</f>
        <v>0</v>
      </c>
      <c r="BL49" s="610"/>
      <c r="BM49" s="610"/>
      <c r="BN49" s="413"/>
      <c r="BO49" s="2789">
        <f t="shared" ca="1" si="127"/>
        <v>0</v>
      </c>
      <c r="BP49" s="2790">
        <f t="shared" ca="1" si="127"/>
        <v>0</v>
      </c>
      <c r="BQ49" s="2790">
        <f t="shared" ca="1" si="127"/>
        <v>0</v>
      </c>
      <c r="BR49" s="2790">
        <f t="shared" ca="1" si="127"/>
        <v>0</v>
      </c>
      <c r="BS49" s="2790">
        <f t="shared" ca="1" si="127"/>
        <v>0</v>
      </c>
      <c r="BT49" s="2790">
        <f t="shared" ca="1" si="127"/>
        <v>0</v>
      </c>
      <c r="BU49" s="2790">
        <f t="shared" ca="1" si="127"/>
        <v>0</v>
      </c>
      <c r="BV49" s="2790">
        <f t="shared" ca="1" si="127"/>
        <v>0</v>
      </c>
      <c r="BW49" s="2790">
        <f t="shared" ca="1" si="127"/>
        <v>0</v>
      </c>
      <c r="BX49" s="2790">
        <f t="shared" ca="1" si="127"/>
        <v>0</v>
      </c>
      <c r="BY49" s="2790">
        <f t="shared" ca="1" si="128"/>
        <v>0</v>
      </c>
      <c r="BZ49" s="2790">
        <f t="shared" ca="1" si="128"/>
        <v>0</v>
      </c>
      <c r="CA49" s="2790">
        <f t="shared" ca="1" si="128"/>
        <v>0</v>
      </c>
      <c r="CB49" s="2790">
        <f t="shared" ca="1" si="128"/>
        <v>0</v>
      </c>
      <c r="CC49" s="2790">
        <f t="shared" ca="1" si="128"/>
        <v>0</v>
      </c>
      <c r="CD49" s="2790">
        <f t="shared" ca="1" si="128"/>
        <v>0</v>
      </c>
      <c r="CE49" s="2790">
        <f t="shared" ca="1" si="128"/>
        <v>0</v>
      </c>
      <c r="CF49" s="2790">
        <f t="shared" ca="1" si="128"/>
        <v>0</v>
      </c>
      <c r="CG49" s="2790">
        <f t="shared" ca="1" si="128"/>
        <v>0</v>
      </c>
      <c r="CH49" s="2790">
        <f t="shared" ca="1" si="128"/>
        <v>0</v>
      </c>
      <c r="CI49" s="2790">
        <f t="shared" ca="1" si="129"/>
        <v>0</v>
      </c>
      <c r="CJ49" s="2790">
        <f t="shared" ca="1" si="129"/>
        <v>0</v>
      </c>
      <c r="CK49" s="2790">
        <f t="shared" ca="1" si="129"/>
        <v>0</v>
      </c>
      <c r="CL49" s="2790">
        <f t="shared" ca="1" si="129"/>
        <v>0</v>
      </c>
      <c r="CM49" s="2790">
        <f t="shared" ca="1" si="129"/>
        <v>0</v>
      </c>
      <c r="CN49" s="2790">
        <f t="shared" ca="1" si="129"/>
        <v>0.91161439312499992</v>
      </c>
      <c r="CO49" s="2790">
        <f t="shared" ca="1" si="129"/>
        <v>5.7557035714285713E-2</v>
      </c>
      <c r="CP49" s="2790">
        <f t="shared" ca="1" si="129"/>
        <v>0</v>
      </c>
      <c r="CQ49" s="2790">
        <f t="shared" ca="1" si="129"/>
        <v>0</v>
      </c>
      <c r="CR49" s="2790">
        <f t="shared" ca="1" si="129"/>
        <v>0</v>
      </c>
      <c r="CS49" s="2790">
        <f t="shared" ca="1" si="130"/>
        <v>0</v>
      </c>
      <c r="CT49" s="2790">
        <f t="shared" ca="1" si="130"/>
        <v>0</v>
      </c>
      <c r="CU49" s="2790">
        <f t="shared" ca="1" si="130"/>
        <v>0</v>
      </c>
      <c r="CV49" s="2790">
        <f t="shared" ca="1" si="130"/>
        <v>0</v>
      </c>
      <c r="CW49" s="2790">
        <f t="shared" ca="1" si="130"/>
        <v>0</v>
      </c>
      <c r="CX49" s="2790">
        <f t="shared" ca="1" si="130"/>
        <v>0</v>
      </c>
      <c r="CY49" s="2790">
        <f t="shared" ca="1" si="130"/>
        <v>0</v>
      </c>
      <c r="CZ49" s="2790">
        <f t="shared" ca="1" si="130"/>
        <v>0</v>
      </c>
      <c r="DA49" s="2790">
        <f t="shared" ca="1" si="130"/>
        <v>0</v>
      </c>
      <c r="DB49" s="2790">
        <f t="shared" ca="1" si="130"/>
        <v>0</v>
      </c>
      <c r="DC49" s="2790">
        <f t="shared" ca="1" si="130"/>
        <v>0</v>
      </c>
      <c r="DD49" s="2790">
        <f t="shared" ca="1" si="130"/>
        <v>0</v>
      </c>
      <c r="DE49" s="2790">
        <f t="shared" ca="1" si="130"/>
        <v>0</v>
      </c>
      <c r="DF49" s="2790">
        <f t="shared" ca="1" si="130"/>
        <v>0</v>
      </c>
      <c r="DH49" s="596">
        <f t="shared" ca="1" si="120"/>
        <v>0.96917142883928564</v>
      </c>
    </row>
    <row r="50" spans="1:112" s="6" customFormat="1" ht="12.75" customHeight="1" outlineLevel="1">
      <c r="A50" s="607"/>
      <c r="B50" s="607"/>
      <c r="C50" s="587" t="s">
        <v>510</v>
      </c>
      <c r="D50" s="611" t="s">
        <v>511</v>
      </c>
      <c r="E50" s="611"/>
      <c r="G50" s="619">
        <f t="shared" ref="G50:P50" ca="1" si="131">IFERROR(INDEX(INDIRECT($C50&amp;".Outputs["&amp;this.Year&amp;"]"), MATCH(G$5, INDIRECT($C50&amp;".Outputs[Vector]"), 0)), 0)</f>
        <v>0</v>
      </c>
      <c r="H50" s="619">
        <f t="shared" ca="1" si="131"/>
        <v>0</v>
      </c>
      <c r="I50" s="619">
        <f t="shared" ca="1" si="131"/>
        <v>2.6100000000000003</v>
      </c>
      <c r="J50" s="619">
        <f t="shared" ca="1" si="131"/>
        <v>0</v>
      </c>
      <c r="K50" s="619">
        <f t="shared" ca="1" si="131"/>
        <v>0</v>
      </c>
      <c r="L50" s="619">
        <f t="shared" ca="1" si="131"/>
        <v>0</v>
      </c>
      <c r="M50" s="619">
        <f t="shared" ca="1" si="131"/>
        <v>0</v>
      </c>
      <c r="N50" s="619">
        <f t="shared" ca="1" si="131"/>
        <v>0</v>
      </c>
      <c r="O50" s="619">
        <f t="shared" ca="1" si="131"/>
        <v>0</v>
      </c>
      <c r="P50" s="619">
        <f t="shared" ca="1" si="131"/>
        <v>0</v>
      </c>
      <c r="Q50" s="612">
        <f ca="1">SUM(G50:P50)</f>
        <v>2.6100000000000003</v>
      </c>
      <c r="S50" s="620">
        <f t="shared" ref="S50:AJ50" ca="1" si="132">IFERROR(INDEX(INDIRECT($C50&amp;".Outputs["&amp;this.Year&amp;"]"), MATCH(S$5, INDIRECT($C50&amp;".Outputs[Vector]"), 0)), 0)</f>
        <v>-0.54810000000000003</v>
      </c>
      <c r="T50" s="620">
        <f t="shared" ca="1" si="132"/>
        <v>0</v>
      </c>
      <c r="U50" s="620">
        <f t="shared" ca="1" si="132"/>
        <v>0</v>
      </c>
      <c r="V50" s="620">
        <f t="shared" ca="1" si="132"/>
        <v>-2.0619000000000005</v>
      </c>
      <c r="W50" s="620">
        <f t="shared" ca="1" si="132"/>
        <v>0</v>
      </c>
      <c r="X50" s="620">
        <f t="shared" ca="1" si="123"/>
        <v>0</v>
      </c>
      <c r="Y50" s="620">
        <f t="shared" ca="1" si="123"/>
        <v>0</v>
      </c>
      <c r="Z50" s="620">
        <f t="shared" ca="1" si="123"/>
        <v>0</v>
      </c>
      <c r="AA50" s="620">
        <f t="shared" ca="1" si="132"/>
        <v>0</v>
      </c>
      <c r="AB50" s="620">
        <f t="shared" ca="1" si="132"/>
        <v>0</v>
      </c>
      <c r="AC50" s="620">
        <f t="shared" ca="1" si="132"/>
        <v>0</v>
      </c>
      <c r="AD50" s="620">
        <f t="shared" ca="1" si="132"/>
        <v>0.16958333333333334</v>
      </c>
      <c r="AE50" s="620">
        <f t="shared" ca="1" si="132"/>
        <v>0.14350000000000002</v>
      </c>
      <c r="AF50" s="620">
        <f t="shared" ca="1" si="132"/>
        <v>0.33618260000000005</v>
      </c>
      <c r="AG50" s="620">
        <f t="shared" ca="1" si="132"/>
        <v>0.14654245083333331</v>
      </c>
      <c r="AH50" s="620">
        <f t="shared" ca="1" si="132"/>
        <v>0</v>
      </c>
      <c r="AI50" s="620">
        <f t="shared" ca="1" si="132"/>
        <v>0</v>
      </c>
      <c r="AJ50" s="620">
        <f t="shared" ca="1" si="132"/>
        <v>0</v>
      </c>
      <c r="AK50" s="613">
        <f ca="1">SUM(S50:AJ50)</f>
        <v>-1.8141916158333338</v>
      </c>
      <c r="AM50" s="621">
        <f t="shared" ca="1" si="124"/>
        <v>0</v>
      </c>
      <c r="AN50" s="621">
        <f t="shared" ca="1" si="124"/>
        <v>0</v>
      </c>
      <c r="AO50" s="621">
        <f t="shared" ca="1" si="124"/>
        <v>0</v>
      </c>
      <c r="AP50" s="621">
        <f t="shared" ca="1" si="124"/>
        <v>0</v>
      </c>
      <c r="AQ50" s="621">
        <f t="shared" ca="1" si="124"/>
        <v>0</v>
      </c>
      <c r="AR50" s="621">
        <f t="shared" ca="1" si="124"/>
        <v>0</v>
      </c>
      <c r="AS50" s="621">
        <f t="shared" ca="1" si="124"/>
        <v>0</v>
      </c>
      <c r="AT50" s="621">
        <f t="shared" ca="1" si="124"/>
        <v>0</v>
      </c>
      <c r="AU50" s="621">
        <f t="shared" ca="1" si="124"/>
        <v>0</v>
      </c>
      <c r="AV50" s="621">
        <f t="shared" ref="AV50:BE50" ca="1" si="133">IFERROR(INDEX(INDIRECT($C50&amp;".Outputs["&amp;this.Year&amp;"]"), MATCH(AV$5, INDIRECT($C50&amp;".Outputs[Vector]"), 0)), 0)</f>
        <v>0</v>
      </c>
      <c r="AW50" s="621">
        <f t="shared" ca="1" si="133"/>
        <v>0</v>
      </c>
      <c r="AX50" s="621">
        <f t="shared" ca="1" si="133"/>
        <v>0</v>
      </c>
      <c r="AY50" s="621">
        <f t="shared" ca="1" si="133"/>
        <v>0</v>
      </c>
      <c r="AZ50" s="621">
        <f t="shared" ca="1" si="133"/>
        <v>0</v>
      </c>
      <c r="BA50" s="621">
        <f t="shared" ca="1" si="133"/>
        <v>0</v>
      </c>
      <c r="BB50" s="621">
        <f t="shared" ca="1" si="133"/>
        <v>0</v>
      </c>
      <c r="BC50" s="621">
        <f t="shared" ca="1" si="133"/>
        <v>0</v>
      </c>
      <c r="BD50" s="621">
        <f t="shared" ca="1" si="133"/>
        <v>-0.31308333333333338</v>
      </c>
      <c r="BE50" s="621">
        <f t="shared" ca="1" si="133"/>
        <v>-0.48272505083333339</v>
      </c>
      <c r="BF50" s="615">
        <f ca="1">SUM(AM50:BE50)</f>
        <v>-0.79580838416666677</v>
      </c>
      <c r="BH50" s="3473">
        <f t="shared" ca="1" si="126"/>
        <v>0</v>
      </c>
      <c r="BI50" s="3473">
        <f t="shared" ca="1" si="126"/>
        <v>0</v>
      </c>
      <c r="BJ50" s="3462">
        <f ca="1">SUM(BH50:BI50)</f>
        <v>0</v>
      </c>
      <c r="BL50" s="610">
        <f ca="1">Q50+AK50+BF50+BJ50</f>
        <v>-2.2204460492503131E-16</v>
      </c>
      <c r="BM50" s="610"/>
      <c r="BN50" s="413"/>
      <c r="BO50" s="2791">
        <f t="shared" ca="1" si="127"/>
        <v>0.54409417199999999</v>
      </c>
      <c r="BP50" s="2792">
        <f t="shared" ca="1" si="127"/>
        <v>4.6763892000000016E-4</v>
      </c>
      <c r="BQ50" s="2792">
        <f t="shared" ca="1" si="127"/>
        <v>1.3806482400000003E-3</v>
      </c>
      <c r="BR50" s="2792">
        <f t="shared" ca="1" si="127"/>
        <v>0</v>
      </c>
      <c r="BS50" s="2792">
        <f t="shared" ca="1" si="127"/>
        <v>0</v>
      </c>
      <c r="BT50" s="2792">
        <f t="shared" ca="1" si="127"/>
        <v>0</v>
      </c>
      <c r="BU50" s="2792">
        <f t="shared" ca="1" si="127"/>
        <v>0</v>
      </c>
      <c r="BV50" s="2792">
        <f t="shared" ca="1" si="127"/>
        <v>0</v>
      </c>
      <c r="BW50" s="2792">
        <f t="shared" ca="1" si="127"/>
        <v>0</v>
      </c>
      <c r="BX50" s="2792">
        <f t="shared" ca="1" si="127"/>
        <v>0</v>
      </c>
      <c r="BY50" s="2792">
        <f t="shared" ca="1" si="128"/>
        <v>0</v>
      </c>
      <c r="BZ50" s="2792">
        <f t="shared" ca="1" si="128"/>
        <v>0</v>
      </c>
      <c r="CA50" s="2792">
        <f t="shared" ca="1" si="128"/>
        <v>0</v>
      </c>
      <c r="CB50" s="2792">
        <f t="shared" ca="1" si="128"/>
        <v>0</v>
      </c>
      <c r="CC50" s="2792">
        <f t="shared" ca="1" si="128"/>
        <v>0</v>
      </c>
      <c r="CD50" s="2792">
        <f t="shared" ca="1" si="128"/>
        <v>0</v>
      </c>
      <c r="CE50" s="2792">
        <f t="shared" ca="1" si="128"/>
        <v>0</v>
      </c>
      <c r="CF50" s="2792">
        <f t="shared" ca="1" si="128"/>
        <v>11.027285399999997</v>
      </c>
      <c r="CG50" s="2792">
        <f t="shared" ca="1" si="128"/>
        <v>6.45</v>
      </c>
      <c r="CH50" s="2792">
        <f t="shared" ca="1" si="128"/>
        <v>0</v>
      </c>
      <c r="CI50" s="2792">
        <f t="shared" ca="1" si="129"/>
        <v>-3.1859999999999999</v>
      </c>
      <c r="CJ50" s="2792">
        <f t="shared" ca="1" si="129"/>
        <v>0</v>
      </c>
      <c r="CK50" s="2792">
        <f t="shared" ca="1" si="129"/>
        <v>0</v>
      </c>
      <c r="CL50" s="2792">
        <f t="shared" ca="1" si="129"/>
        <v>0</v>
      </c>
      <c r="CM50" s="2792">
        <f t="shared" ca="1" si="129"/>
        <v>0</v>
      </c>
      <c r="CN50" s="2792">
        <f t="shared" ca="1" si="129"/>
        <v>0</v>
      </c>
      <c r="CO50" s="2792">
        <f t="shared" ca="1" si="129"/>
        <v>0</v>
      </c>
      <c r="CP50" s="2792">
        <f t="shared" ca="1" si="129"/>
        <v>0</v>
      </c>
      <c r="CQ50" s="2792">
        <f t="shared" ca="1" si="129"/>
        <v>0</v>
      </c>
      <c r="CR50" s="2792">
        <f t="shared" ca="1" si="129"/>
        <v>0</v>
      </c>
      <c r="CS50" s="2792">
        <f t="shared" ca="1" si="130"/>
        <v>0</v>
      </c>
      <c r="CT50" s="2792">
        <f t="shared" ca="1" si="130"/>
        <v>0</v>
      </c>
      <c r="CU50" s="2792">
        <f t="shared" ca="1" si="130"/>
        <v>0</v>
      </c>
      <c r="CV50" s="2792">
        <f t="shared" ca="1" si="130"/>
        <v>0</v>
      </c>
      <c r="CW50" s="2792">
        <f t="shared" ca="1" si="130"/>
        <v>0</v>
      </c>
      <c r="CX50" s="2792">
        <f t="shared" ca="1" si="130"/>
        <v>0</v>
      </c>
      <c r="CY50" s="2792">
        <f t="shared" ca="1" si="130"/>
        <v>0</v>
      </c>
      <c r="CZ50" s="2792">
        <f t="shared" ca="1" si="130"/>
        <v>0</v>
      </c>
      <c r="DA50" s="2792">
        <f t="shared" ca="1" si="130"/>
        <v>0</v>
      </c>
      <c r="DB50" s="2792">
        <f t="shared" ca="1" si="130"/>
        <v>0</v>
      </c>
      <c r="DC50" s="2792">
        <f t="shared" ca="1" si="130"/>
        <v>0</v>
      </c>
      <c r="DD50" s="2792">
        <f t="shared" ca="1" si="130"/>
        <v>0</v>
      </c>
      <c r="DE50" s="2792">
        <f t="shared" ca="1" si="130"/>
        <v>0</v>
      </c>
      <c r="DF50" s="2792">
        <f t="shared" ca="1" si="130"/>
        <v>0</v>
      </c>
      <c r="DH50" s="596">
        <f t="shared" ca="1" si="120"/>
        <v>14.837227859159995</v>
      </c>
    </row>
    <row r="51" spans="1:112" s="6" customFormat="1" ht="15.75">
      <c r="A51" s="4"/>
      <c r="B51" s="3"/>
      <c r="C51" s="616" t="s">
        <v>512</v>
      </c>
      <c r="D51" s="617" t="s">
        <v>513</v>
      </c>
      <c r="E51" s="206"/>
      <c r="G51" s="618">
        <f ca="1">SUM(G48:G50)</f>
        <v>0</v>
      </c>
      <c r="H51" s="618">
        <f t="shared" ref="H51:P51" ca="1" si="134">SUM(H48:H50)</f>
        <v>0</v>
      </c>
      <c r="I51" s="618">
        <f t="shared" ca="1" si="134"/>
        <v>2.6100000000000003</v>
      </c>
      <c r="J51" s="618">
        <f t="shared" ca="1" si="134"/>
        <v>0</v>
      </c>
      <c r="K51" s="618">
        <f t="shared" ca="1" si="134"/>
        <v>0</v>
      </c>
      <c r="L51" s="618">
        <f t="shared" ca="1" si="134"/>
        <v>0</v>
      </c>
      <c r="M51" s="618">
        <f t="shared" ca="1" si="134"/>
        <v>0</v>
      </c>
      <c r="N51" s="618">
        <f t="shared" ca="1" si="134"/>
        <v>0</v>
      </c>
      <c r="O51" s="618">
        <f t="shared" ca="1" si="134"/>
        <v>0</v>
      </c>
      <c r="P51" s="618">
        <f t="shared" ca="1" si="134"/>
        <v>0</v>
      </c>
      <c r="Q51" s="618">
        <f ca="1">SUM(G51:P51)</f>
        <v>2.6100000000000003</v>
      </c>
      <c r="S51" s="581">
        <f t="shared" ref="S51:AJ51" ca="1" si="135">SUM(S48:S50)</f>
        <v>-0.54810000000000003</v>
      </c>
      <c r="T51" s="581">
        <f t="shared" ca="1" si="135"/>
        <v>0</v>
      </c>
      <c r="U51" s="581">
        <f t="shared" ca="1" si="135"/>
        <v>0</v>
      </c>
      <c r="V51" s="581">
        <f t="shared" ca="1" si="135"/>
        <v>-2.0619000000000005</v>
      </c>
      <c r="W51" s="581">
        <f t="shared" ca="1" si="135"/>
        <v>0</v>
      </c>
      <c r="X51" s="581">
        <f t="shared" ca="1" si="135"/>
        <v>6.3749380800000005E-2</v>
      </c>
      <c r="Y51" s="581">
        <f t="shared" ca="1" si="135"/>
        <v>0</v>
      </c>
      <c r="Z51" s="581">
        <f t="shared" ca="1" si="135"/>
        <v>0</v>
      </c>
      <c r="AA51" s="581">
        <f t="shared" ca="1" si="135"/>
        <v>0</v>
      </c>
      <c r="AB51" s="581">
        <f t="shared" ca="1" si="135"/>
        <v>0</v>
      </c>
      <c r="AC51" s="581">
        <f t="shared" ca="1" si="135"/>
        <v>0</v>
      </c>
      <c r="AD51" s="581">
        <f t="shared" ca="1" si="135"/>
        <v>0.16958333333333334</v>
      </c>
      <c r="AE51" s="581">
        <f ca="1">SUM(AE48:AE50)</f>
        <v>0.14350000000000002</v>
      </c>
      <c r="AF51" s="581">
        <f t="shared" ca="1" si="135"/>
        <v>0.4334068201700001</v>
      </c>
      <c r="AG51" s="581">
        <f t="shared" ca="1" si="135"/>
        <v>0.1469939508333333</v>
      </c>
      <c r="AH51" s="581">
        <f ca="1">SUM(AH48:AH50)</f>
        <v>0.11749909065550901</v>
      </c>
      <c r="AI51" s="581">
        <f t="shared" ca="1" si="135"/>
        <v>0</v>
      </c>
      <c r="AJ51" s="581">
        <f t="shared" ca="1" si="135"/>
        <v>0</v>
      </c>
      <c r="AK51" s="581">
        <f ca="1">SUM(S51:AJ51)</f>
        <v>-1.5352674242078246</v>
      </c>
      <c r="AM51" s="582">
        <f t="shared" ref="AM51:BE51" ca="1" si="136">SUM(AM48:AM50)</f>
        <v>0</v>
      </c>
      <c r="AN51" s="582">
        <f t="shared" ca="1" si="136"/>
        <v>0</v>
      </c>
      <c r="AO51" s="582">
        <f t="shared" ca="1" si="136"/>
        <v>0</v>
      </c>
      <c r="AP51" s="582">
        <f t="shared" ca="1" si="136"/>
        <v>0</v>
      </c>
      <c r="AQ51" s="582">
        <f t="shared" ca="1" si="136"/>
        <v>0</v>
      </c>
      <c r="AR51" s="582">
        <f t="shared" ca="1" si="136"/>
        <v>0</v>
      </c>
      <c r="AS51" s="582">
        <f t="shared" ca="1" si="136"/>
        <v>0</v>
      </c>
      <c r="AT51" s="582">
        <f t="shared" ca="1" si="136"/>
        <v>0</v>
      </c>
      <c r="AU51" s="582">
        <f t="shared" ca="1" si="136"/>
        <v>0</v>
      </c>
      <c r="AV51" s="582">
        <f t="shared" ca="1" si="136"/>
        <v>0</v>
      </c>
      <c r="AW51" s="582">
        <f t="shared" ca="1" si="136"/>
        <v>0</v>
      </c>
      <c r="AX51" s="582">
        <f t="shared" ca="1" si="136"/>
        <v>0</v>
      </c>
      <c r="AY51" s="582">
        <f t="shared" ca="1" si="136"/>
        <v>0</v>
      </c>
      <c r="AZ51" s="582">
        <f t="shared" ca="1" si="136"/>
        <v>0</v>
      </c>
      <c r="BA51" s="582">
        <f t="shared" ca="1" si="136"/>
        <v>0</v>
      </c>
      <c r="BB51" s="582">
        <f t="shared" ca="1" si="136"/>
        <v>0</v>
      </c>
      <c r="BC51" s="582">
        <f t="shared" ca="1" si="136"/>
        <v>0</v>
      </c>
      <c r="BD51" s="582">
        <f t="shared" ca="1" si="136"/>
        <v>-0.31308333333333338</v>
      </c>
      <c r="BE51" s="582">
        <f t="shared" ca="1" si="136"/>
        <v>-0.76164924245884236</v>
      </c>
      <c r="BF51" s="582">
        <f ca="1">SUM(AM51:BE51)</f>
        <v>-1.0747325757921757</v>
      </c>
      <c r="BH51" s="3463">
        <f ca="1">SUM(BH48:BH50)</f>
        <v>0</v>
      </c>
      <c r="BI51" s="3463">
        <f ca="1">SUM(BI48:BI50)</f>
        <v>0</v>
      </c>
      <c r="BJ51" s="3463">
        <f ca="1">SUM(BH51:BI51)</f>
        <v>0</v>
      </c>
      <c r="BL51" s="3477">
        <f ca="1">Q51+AK51+BF51+BJ51</f>
        <v>0</v>
      </c>
      <c r="BM51" s="584"/>
      <c r="BN51" s="413"/>
      <c r="BO51" s="2790">
        <f t="shared" ref="BO51:DF51" ca="1" si="137">SUM(BO48:BO50)</f>
        <v>0.54409417199999999</v>
      </c>
      <c r="BP51" s="2790">
        <f t="shared" ca="1" si="137"/>
        <v>4.6763892000000016E-4</v>
      </c>
      <c r="BQ51" s="2790">
        <f t="shared" ca="1" si="137"/>
        <v>1.3806482400000003E-3</v>
      </c>
      <c r="BR51" s="2790">
        <f t="shared" ca="1" si="137"/>
        <v>0</v>
      </c>
      <c r="BS51" s="2790">
        <f t="shared" ca="1" si="137"/>
        <v>0</v>
      </c>
      <c r="BT51" s="2790">
        <f t="shared" ca="1" si="137"/>
        <v>0</v>
      </c>
      <c r="BU51" s="2790">
        <f t="shared" ca="1" si="137"/>
        <v>0</v>
      </c>
      <c r="BV51" s="2790">
        <f t="shared" ca="1" si="137"/>
        <v>0</v>
      </c>
      <c r="BW51" s="2790">
        <f t="shared" ca="1" si="137"/>
        <v>0</v>
      </c>
      <c r="BX51" s="2790">
        <f t="shared" ca="1" si="137"/>
        <v>0</v>
      </c>
      <c r="BY51" s="2790">
        <f t="shared" ca="1" si="137"/>
        <v>0</v>
      </c>
      <c r="BZ51" s="2790">
        <f t="shared" ca="1" si="137"/>
        <v>0</v>
      </c>
      <c r="CA51" s="2790">
        <f t="shared" ca="1" si="137"/>
        <v>0</v>
      </c>
      <c r="CB51" s="2790">
        <f t="shared" ca="1" si="137"/>
        <v>0</v>
      </c>
      <c r="CC51" s="2790">
        <f t="shared" ca="1" si="137"/>
        <v>0</v>
      </c>
      <c r="CD51" s="2790">
        <f t="shared" ca="1" si="137"/>
        <v>0</v>
      </c>
      <c r="CE51" s="2790">
        <f t="shared" ca="1" si="137"/>
        <v>0</v>
      </c>
      <c r="CF51" s="2790">
        <f t="shared" ca="1" si="137"/>
        <v>11.027285399999997</v>
      </c>
      <c r="CG51" s="2790">
        <f t="shared" ca="1" si="137"/>
        <v>6.45</v>
      </c>
      <c r="CH51" s="2790">
        <f t="shared" ca="1" si="137"/>
        <v>0</v>
      </c>
      <c r="CI51" s="2790">
        <f t="shared" ca="1" si="137"/>
        <v>-3.1859999999999999</v>
      </c>
      <c r="CJ51" s="2790">
        <f t="shared" ca="1" si="137"/>
        <v>0</v>
      </c>
      <c r="CK51" s="2790">
        <f t="shared" ca="1" si="137"/>
        <v>0</v>
      </c>
      <c r="CL51" s="2790">
        <f t="shared" ca="1" si="137"/>
        <v>0</v>
      </c>
      <c r="CM51" s="2790">
        <f t="shared" ca="1" si="137"/>
        <v>0</v>
      </c>
      <c r="CN51" s="2790">
        <f t="shared" ca="1" si="137"/>
        <v>0.91161439312499992</v>
      </c>
      <c r="CO51" s="2790">
        <f t="shared" ca="1" si="137"/>
        <v>5.7557035714285713E-2</v>
      </c>
      <c r="CP51" s="2790">
        <f t="shared" ca="1" si="137"/>
        <v>0</v>
      </c>
      <c r="CQ51" s="2790">
        <f t="shared" ca="1" si="137"/>
        <v>0</v>
      </c>
      <c r="CR51" s="2790">
        <f t="shared" ca="1" si="137"/>
        <v>0</v>
      </c>
      <c r="CS51" s="2790">
        <f t="shared" ca="1" si="137"/>
        <v>0</v>
      </c>
      <c r="CT51" s="2790">
        <f t="shared" ca="1" si="137"/>
        <v>0</v>
      </c>
      <c r="CU51" s="2790">
        <f t="shared" ca="1" si="137"/>
        <v>0</v>
      </c>
      <c r="CV51" s="2790">
        <f t="shared" ca="1" si="137"/>
        <v>0</v>
      </c>
      <c r="CW51" s="2790">
        <f t="shared" ca="1" si="137"/>
        <v>0</v>
      </c>
      <c r="CX51" s="2790">
        <f t="shared" ca="1" si="137"/>
        <v>0</v>
      </c>
      <c r="CY51" s="2790">
        <f t="shared" ca="1" si="137"/>
        <v>0</v>
      </c>
      <c r="CZ51" s="2790">
        <f t="shared" ca="1" si="137"/>
        <v>0</v>
      </c>
      <c r="DA51" s="2790">
        <f t="shared" ca="1" si="137"/>
        <v>0</v>
      </c>
      <c r="DB51" s="2790">
        <f t="shared" ca="1" si="137"/>
        <v>0</v>
      </c>
      <c r="DC51" s="2790">
        <f t="shared" ca="1" si="137"/>
        <v>0</v>
      </c>
      <c r="DD51" s="2790">
        <f t="shared" ca="1" si="137"/>
        <v>0</v>
      </c>
      <c r="DE51" s="2790">
        <f t="shared" ca="1" si="137"/>
        <v>0</v>
      </c>
      <c r="DF51" s="2790">
        <f t="shared" ca="1" si="137"/>
        <v>0</v>
      </c>
      <c r="DH51" s="596">
        <f t="shared" ca="1" si="120"/>
        <v>15.80639928799928</v>
      </c>
    </row>
    <row r="52" spans="1:112" s="6" customFormat="1" ht="12.75" customHeight="1" outlineLevel="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20"/>
        <v>0</v>
      </c>
    </row>
    <row r="53" spans="1:112" s="6" customFormat="1" outlineLevel="1">
      <c r="A53" s="607"/>
      <c r="B53" s="607"/>
      <c r="C53" s="651" t="s">
        <v>514</v>
      </c>
      <c r="D53" s="588" t="s">
        <v>515</v>
      </c>
      <c r="E53" s="588"/>
      <c r="G53" s="589">
        <f t="shared" ref="G53:P54" ca="1" si="138">IFERROR(INDEX(INDIRECT($C53&amp;".Outputs["&amp;this.Year&amp;"]"), MATCH(G$5, INDIRECT($C53&amp;".Outputs[Vector]"), 0)), 0)</f>
        <v>0</v>
      </c>
      <c r="H53" s="589">
        <f t="shared" ca="1" si="138"/>
        <v>0</v>
      </c>
      <c r="I53" s="589">
        <f t="shared" ca="1" si="138"/>
        <v>0</v>
      </c>
      <c r="J53" s="589">
        <f t="shared" ca="1" si="138"/>
        <v>0</v>
      </c>
      <c r="K53" s="589">
        <f t="shared" ca="1" si="138"/>
        <v>0</v>
      </c>
      <c r="L53" s="589">
        <f t="shared" ca="1" si="138"/>
        <v>0</v>
      </c>
      <c r="M53" s="589">
        <f t="shared" ca="1" si="138"/>
        <v>0</v>
      </c>
      <c r="N53" s="589">
        <f t="shared" ca="1" si="138"/>
        <v>0</v>
      </c>
      <c r="O53" s="589">
        <f t="shared" ca="1" si="138"/>
        <v>0</v>
      </c>
      <c r="P53" s="589">
        <f t="shared" ca="1" si="138"/>
        <v>0</v>
      </c>
      <c r="Q53" s="590">
        <f ca="1">SUM(G53:P53)</f>
        <v>0</v>
      </c>
      <c r="S53" s="591">
        <f t="shared" ref="S53:AJ54" ca="1" si="139">IFERROR(INDEX(INDIRECT($C53&amp;".Outputs["&amp;this.Year&amp;"]"), MATCH(S$5, INDIRECT($C53&amp;".Outputs[Vector]"), 0)), 0)</f>
        <v>-0.22598810482362028</v>
      </c>
      <c r="T53" s="591">
        <f t="shared" ca="1" si="139"/>
        <v>0</v>
      </c>
      <c r="U53" s="591">
        <f t="shared" ca="1" si="139"/>
        <v>0</v>
      </c>
      <c r="V53" s="591">
        <f t="shared" ca="1" si="139"/>
        <v>-1.8522858135888711</v>
      </c>
      <c r="W53" s="591">
        <f t="shared" ca="1" si="139"/>
        <v>-8.2401953248703863E-2</v>
      </c>
      <c r="X53" s="591">
        <f t="shared" ref="X53:Z54" ca="1" si="140">IFERROR(INDEX(INDIRECT($C53&amp;".Outputs["&amp;this.Year&amp;"]"), MATCH(X$5, INDIRECT($C53&amp;".Outputs[Vector]"), 0)), 0)</f>
        <v>0</v>
      </c>
      <c r="Y53" s="591">
        <f t="shared" ca="1" si="140"/>
        <v>0</v>
      </c>
      <c r="Z53" s="591">
        <f t="shared" ca="1" si="140"/>
        <v>0</v>
      </c>
      <c r="AA53" s="591">
        <f t="shared" ca="1" si="139"/>
        <v>0</v>
      </c>
      <c r="AB53" s="591">
        <f t="shared" ca="1" si="139"/>
        <v>-2.6537999724419409E-2</v>
      </c>
      <c r="AC53" s="591">
        <f t="shared" ca="1" si="139"/>
        <v>0</v>
      </c>
      <c r="AD53" s="591">
        <f t="shared" ca="1" si="139"/>
        <v>0</v>
      </c>
      <c r="AE53" s="591">
        <f t="shared" ca="1" si="139"/>
        <v>0</v>
      </c>
      <c r="AF53" s="591">
        <f t="shared" ca="1" si="139"/>
        <v>0</v>
      </c>
      <c r="AG53" s="591">
        <f t="shared" ca="1" si="139"/>
        <v>0</v>
      </c>
      <c r="AH53" s="591">
        <f t="shared" ca="1" si="139"/>
        <v>0</v>
      </c>
      <c r="AI53" s="591">
        <f t="shared" ca="1" si="139"/>
        <v>0</v>
      </c>
      <c r="AJ53" s="591">
        <f t="shared" ca="1" si="139"/>
        <v>0</v>
      </c>
      <c r="AK53" s="592">
        <f ca="1">SUM(S53:AJ53)</f>
        <v>-2.1872138713856146</v>
      </c>
      <c r="AM53" s="593">
        <f t="shared" ref="AM53:AU54" ca="1" si="141">IFERROR(INDEX(INDIRECT($C53&amp;".Outputs["&amp;this.Year&amp;"]"), MATCH(AM$5, INDIRECT($C53&amp;".Outputs[Vector]"), 0)), 0)</f>
        <v>0</v>
      </c>
      <c r="AN53" s="593">
        <f t="shared" ca="1" si="141"/>
        <v>0</v>
      </c>
      <c r="AO53" s="593">
        <f t="shared" ca="1" si="141"/>
        <v>0</v>
      </c>
      <c r="AP53" s="593">
        <f t="shared" ca="1" si="141"/>
        <v>0</v>
      </c>
      <c r="AQ53" s="593">
        <f t="shared" ca="1" si="141"/>
        <v>0</v>
      </c>
      <c r="AR53" s="593">
        <f t="shared" ca="1" si="141"/>
        <v>0</v>
      </c>
      <c r="AS53" s="593">
        <f t="shared" ca="1" si="141"/>
        <v>0</v>
      </c>
      <c r="AT53" s="593">
        <f t="shared" ca="1" si="141"/>
        <v>0</v>
      </c>
      <c r="AU53" s="593">
        <f t="shared" ca="1" si="141"/>
        <v>0</v>
      </c>
      <c r="AV53" s="593">
        <f t="shared" ref="AV53:BE54" ca="1" si="142">IFERROR(INDEX(INDIRECT($C53&amp;".Outputs["&amp;this.Year&amp;"]"), MATCH(AV$5, INDIRECT($C53&amp;".Outputs[Vector]"), 0)), 0)</f>
        <v>0</v>
      </c>
      <c r="AW53" s="593">
        <f t="shared" ca="1" si="142"/>
        <v>0</v>
      </c>
      <c r="AX53" s="593">
        <f t="shared" ca="1" si="142"/>
        <v>0</v>
      </c>
      <c r="AY53" s="593">
        <f t="shared" ca="1" si="142"/>
        <v>0</v>
      </c>
      <c r="AZ53" s="593">
        <f t="shared" ca="1" si="142"/>
        <v>0</v>
      </c>
      <c r="BA53" s="593">
        <f t="shared" ca="1" si="142"/>
        <v>0</v>
      </c>
      <c r="BB53" s="593">
        <f t="shared" ca="1" si="142"/>
        <v>0</v>
      </c>
      <c r="BC53" s="593">
        <f t="shared" ca="1" si="142"/>
        <v>0</v>
      </c>
      <c r="BD53" s="593">
        <f t="shared" ca="1" si="142"/>
        <v>0</v>
      </c>
      <c r="BE53" s="593">
        <f t="shared" ca="1" si="142"/>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43">IFERROR(SUMIFS(INDIRECT($C53&amp;".Emissions["&amp;this.Year&amp;"]"), INDIRECT($C53&amp;".Emissions[GHG]"), BO$6, INDIRECT($C53&amp;".Emissions[IPCC Sector]"), BO$5),0)</f>
        <v>0.50565060724124977</v>
      </c>
      <c r="BP53" s="2790">
        <f t="shared" ca="1" si="143"/>
        <v>4.2632801018755801E-4</v>
      </c>
      <c r="BQ53" s="2790">
        <f t="shared" ca="1" si="143"/>
        <v>1.5069762622732133E-3</v>
      </c>
      <c r="BR53" s="2790">
        <f t="shared" ca="1" si="143"/>
        <v>0</v>
      </c>
      <c r="BS53" s="2790">
        <f t="shared" ca="1" si="143"/>
        <v>0</v>
      </c>
      <c r="BT53" s="2790">
        <f t="shared" ca="1" si="143"/>
        <v>0</v>
      </c>
      <c r="BU53" s="2790">
        <f t="shared" ca="1" si="143"/>
        <v>0</v>
      </c>
      <c r="BV53" s="2790">
        <f t="shared" ca="1" si="143"/>
        <v>0</v>
      </c>
      <c r="BW53" s="2790">
        <f t="shared" ca="1" si="143"/>
        <v>0</v>
      </c>
      <c r="BX53" s="2790">
        <f t="shared" ca="1" si="143"/>
        <v>0</v>
      </c>
      <c r="BY53" s="2790">
        <f t="shared" ref="BY53:CH54" ca="1" si="144">IFERROR(SUMIFS(INDIRECT($C53&amp;".Emissions["&amp;this.Year&amp;"]"), INDIRECT($C53&amp;".Emissions[GHG]"), BY$6, INDIRECT($C53&amp;".Emissions[IPCC Sector]"), BY$5),0)</f>
        <v>0</v>
      </c>
      <c r="BZ53" s="2790">
        <f t="shared" ca="1" si="144"/>
        <v>0</v>
      </c>
      <c r="CA53" s="2790">
        <f t="shared" ca="1" si="144"/>
        <v>0</v>
      </c>
      <c r="CB53" s="2790">
        <f t="shared" ca="1" si="144"/>
        <v>0</v>
      </c>
      <c r="CC53" s="2790">
        <f t="shared" ca="1" si="144"/>
        <v>0</v>
      </c>
      <c r="CD53" s="2790">
        <f t="shared" ca="1" si="144"/>
        <v>0</v>
      </c>
      <c r="CE53" s="2790">
        <f t="shared" ca="1" si="144"/>
        <v>0</v>
      </c>
      <c r="CF53" s="2790">
        <f t="shared" ca="1" si="144"/>
        <v>0</v>
      </c>
      <c r="CG53" s="2790">
        <f t="shared" ca="1" si="144"/>
        <v>0</v>
      </c>
      <c r="CH53" s="2790">
        <f t="shared" ca="1" si="144"/>
        <v>0</v>
      </c>
      <c r="CI53" s="2790">
        <f t="shared" ref="CI53:CR54" ca="1" si="145">IFERROR(SUMIFS(INDIRECT($C53&amp;".Emissions["&amp;this.Year&amp;"]"), INDIRECT($C53&amp;".Emissions[GHG]"), CI$6, INDIRECT($C53&amp;".Emissions[IPCC Sector]"), CI$5),0)</f>
        <v>0</v>
      </c>
      <c r="CJ53" s="2790">
        <f t="shared" ca="1" si="145"/>
        <v>0</v>
      </c>
      <c r="CK53" s="2790">
        <f t="shared" ca="1" si="145"/>
        <v>0</v>
      </c>
      <c r="CL53" s="2790">
        <f t="shared" ca="1" si="145"/>
        <v>0</v>
      </c>
      <c r="CM53" s="2790">
        <f t="shared" ca="1" si="145"/>
        <v>0</v>
      </c>
      <c r="CN53" s="2790">
        <f t="shared" ca="1" si="145"/>
        <v>0</v>
      </c>
      <c r="CO53" s="2790">
        <f t="shared" ca="1" si="145"/>
        <v>0</v>
      </c>
      <c r="CP53" s="2790">
        <f t="shared" ca="1" si="145"/>
        <v>0</v>
      </c>
      <c r="CQ53" s="2790">
        <f t="shared" ca="1" si="145"/>
        <v>0</v>
      </c>
      <c r="CR53" s="2790">
        <f t="shared" ca="1" si="145"/>
        <v>0</v>
      </c>
      <c r="CS53" s="2790">
        <f t="shared" ref="CS53:DF54" ca="1" si="146">IFERROR(SUMIFS(INDIRECT($C53&amp;".Emissions["&amp;this.Year&amp;"]"), INDIRECT($C53&amp;".Emissions[GHG]"), CS$6, INDIRECT($C53&amp;".Emissions[IPCC Sector]"), CS$5),0)</f>
        <v>0</v>
      </c>
      <c r="CT53" s="2790">
        <f t="shared" ca="1" si="146"/>
        <v>0</v>
      </c>
      <c r="CU53" s="2790">
        <f t="shared" ca="1" si="146"/>
        <v>0</v>
      </c>
      <c r="CV53" s="2790">
        <f t="shared" ca="1" si="146"/>
        <v>0</v>
      </c>
      <c r="CW53" s="2790">
        <f t="shared" ca="1" si="146"/>
        <v>0</v>
      </c>
      <c r="CX53" s="2790">
        <f t="shared" ca="1" si="146"/>
        <v>0</v>
      </c>
      <c r="CY53" s="2790">
        <f t="shared" ca="1" si="146"/>
        <v>0</v>
      </c>
      <c r="CZ53" s="2790">
        <f t="shared" ca="1" si="146"/>
        <v>0</v>
      </c>
      <c r="DA53" s="2790">
        <f t="shared" ca="1" si="146"/>
        <v>0</v>
      </c>
      <c r="DB53" s="2790">
        <f t="shared" ca="1" si="146"/>
        <v>0</v>
      </c>
      <c r="DC53" s="2790">
        <f t="shared" ca="1" si="146"/>
        <v>0</v>
      </c>
      <c r="DD53" s="2790">
        <f t="shared" ca="1" si="146"/>
        <v>0</v>
      </c>
      <c r="DE53" s="2790">
        <f t="shared" ca="1" si="146"/>
        <v>0</v>
      </c>
      <c r="DF53" s="2790">
        <f t="shared" ca="1" si="146"/>
        <v>0</v>
      </c>
      <c r="DH53" s="596">
        <f t="shared" ca="1" si="120"/>
        <v>0.50758391151371063</v>
      </c>
    </row>
    <row r="54" spans="1:112" s="6" customFormat="1" outlineLevel="1">
      <c r="A54" s="607"/>
      <c r="B54" s="607"/>
      <c r="C54" s="651" t="s">
        <v>516</v>
      </c>
      <c r="D54" s="611" t="s">
        <v>517</v>
      </c>
      <c r="E54" s="611"/>
      <c r="G54" s="619">
        <f t="shared" ca="1" si="138"/>
        <v>0</v>
      </c>
      <c r="H54" s="619">
        <f t="shared" ca="1" si="138"/>
        <v>0</v>
      </c>
      <c r="I54" s="619">
        <f t="shared" ca="1" si="138"/>
        <v>7.5543224779012222E-2</v>
      </c>
      <c r="J54" s="619">
        <f t="shared" ca="1" si="138"/>
        <v>0</v>
      </c>
      <c r="K54" s="619">
        <f t="shared" ca="1" si="138"/>
        <v>0</v>
      </c>
      <c r="L54" s="619">
        <f t="shared" ca="1" si="138"/>
        <v>0</v>
      </c>
      <c r="M54" s="619">
        <f t="shared" ca="1" si="138"/>
        <v>0</v>
      </c>
      <c r="N54" s="619">
        <f t="shared" ca="1" si="138"/>
        <v>0</v>
      </c>
      <c r="O54" s="619">
        <f t="shared" ca="1" si="138"/>
        <v>0</v>
      </c>
      <c r="P54" s="619">
        <f t="shared" ca="1" si="138"/>
        <v>0</v>
      </c>
      <c r="Q54" s="612">
        <f ca="1">SUM(G54:P54)</f>
        <v>7.5543224779012222E-2</v>
      </c>
      <c r="S54" s="620">
        <f t="shared" ca="1" si="139"/>
        <v>-6.6380393902542884E-2</v>
      </c>
      <c r="T54" s="620">
        <f t="shared" ca="1" si="139"/>
        <v>0</v>
      </c>
      <c r="U54" s="620">
        <f t="shared" ca="1" si="139"/>
        <v>-3.0179240072394542E-3</v>
      </c>
      <c r="V54" s="620">
        <f t="shared" ca="1" si="139"/>
        <v>0</v>
      </c>
      <c r="W54" s="620">
        <f t="shared" ca="1" si="139"/>
        <v>-6.1449068692298924E-3</v>
      </c>
      <c r="X54" s="620">
        <f t="shared" ca="1" si="140"/>
        <v>8.4</v>
      </c>
      <c r="Y54" s="620">
        <f t="shared" ca="1" si="140"/>
        <v>0</v>
      </c>
      <c r="Z54" s="620">
        <f t="shared" ca="1" si="140"/>
        <v>0</v>
      </c>
      <c r="AA54" s="620">
        <f t="shared" ca="1" si="139"/>
        <v>0</v>
      </c>
      <c r="AB54" s="620">
        <f t="shared" ca="1" si="139"/>
        <v>0</v>
      </c>
      <c r="AC54" s="620">
        <f t="shared" ca="1" si="139"/>
        <v>0</v>
      </c>
      <c r="AD54" s="620">
        <f t="shared" ca="1" si="139"/>
        <v>0</v>
      </c>
      <c r="AE54" s="620">
        <f t="shared" ca="1" si="139"/>
        <v>0</v>
      </c>
      <c r="AF54" s="620">
        <f t="shared" ca="1" si="139"/>
        <v>0</v>
      </c>
      <c r="AG54" s="620">
        <f t="shared" ca="1" si="139"/>
        <v>0</v>
      </c>
      <c r="AH54" s="620">
        <f t="shared" ca="1" si="139"/>
        <v>0</v>
      </c>
      <c r="AI54" s="620">
        <f t="shared" ca="1" si="139"/>
        <v>0</v>
      </c>
      <c r="AJ54" s="620">
        <f t="shared" ca="1" si="139"/>
        <v>0</v>
      </c>
      <c r="AK54" s="613">
        <f ca="1">SUM(S54:AJ54)</f>
        <v>8.3244567752209875</v>
      </c>
      <c r="AM54" s="621">
        <f t="shared" ca="1" si="141"/>
        <v>-8.4</v>
      </c>
      <c r="AN54" s="621">
        <f t="shared" ca="1" si="141"/>
        <v>0</v>
      </c>
      <c r="AO54" s="621">
        <f t="shared" ca="1" si="141"/>
        <v>0</v>
      </c>
      <c r="AP54" s="621">
        <f t="shared" ca="1" si="141"/>
        <v>0</v>
      </c>
      <c r="AQ54" s="621">
        <f t="shared" ca="1" si="141"/>
        <v>0</v>
      </c>
      <c r="AR54" s="621">
        <f t="shared" ca="1" si="141"/>
        <v>0</v>
      </c>
      <c r="AS54" s="621">
        <f t="shared" ca="1" si="141"/>
        <v>0</v>
      </c>
      <c r="AT54" s="621">
        <f t="shared" ca="1" si="141"/>
        <v>0</v>
      </c>
      <c r="AU54" s="621">
        <f t="shared" ca="1" si="141"/>
        <v>0</v>
      </c>
      <c r="AV54" s="621">
        <f t="shared" ca="1" si="142"/>
        <v>0</v>
      </c>
      <c r="AW54" s="621">
        <f t="shared" ca="1" si="142"/>
        <v>0</v>
      </c>
      <c r="AX54" s="621">
        <f t="shared" ca="1" si="142"/>
        <v>0</v>
      </c>
      <c r="AY54" s="621">
        <f t="shared" ca="1" si="142"/>
        <v>0</v>
      </c>
      <c r="AZ54" s="621">
        <f t="shared" ca="1" si="142"/>
        <v>0</v>
      </c>
      <c r="BA54" s="621">
        <f t="shared" ca="1" si="142"/>
        <v>0</v>
      </c>
      <c r="BB54" s="621">
        <f t="shared" ca="1" si="142"/>
        <v>0</v>
      </c>
      <c r="BC54" s="621">
        <f t="shared" ca="1" si="142"/>
        <v>0</v>
      </c>
      <c r="BD54" s="621">
        <f t="shared" ca="1" si="142"/>
        <v>0</v>
      </c>
      <c r="BE54" s="621">
        <f t="shared" ca="1" si="142"/>
        <v>0</v>
      </c>
      <c r="BF54" s="615">
        <f ca="1">SUM(AM54:BE54)</f>
        <v>-8.4</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43"/>
        <v>0</v>
      </c>
      <c r="BP54" s="2792">
        <f t="shared" ca="1" si="143"/>
        <v>0</v>
      </c>
      <c r="BQ54" s="2792">
        <f t="shared" ca="1" si="143"/>
        <v>0</v>
      </c>
      <c r="BR54" s="2792">
        <f t="shared" ca="1" si="143"/>
        <v>0</v>
      </c>
      <c r="BS54" s="2792">
        <f t="shared" ca="1" si="143"/>
        <v>0</v>
      </c>
      <c r="BT54" s="2792">
        <f t="shared" ca="1" si="143"/>
        <v>0</v>
      </c>
      <c r="BU54" s="2792">
        <f t="shared" ca="1" si="143"/>
        <v>0</v>
      </c>
      <c r="BV54" s="2792">
        <f t="shared" ca="1" si="143"/>
        <v>0</v>
      </c>
      <c r="BW54" s="2792">
        <f t="shared" ca="1" si="143"/>
        <v>0</v>
      </c>
      <c r="BX54" s="2792">
        <f t="shared" ca="1" si="143"/>
        <v>0</v>
      </c>
      <c r="BY54" s="2792">
        <f t="shared" ca="1" si="144"/>
        <v>0</v>
      </c>
      <c r="BZ54" s="2792">
        <f t="shared" ca="1" si="144"/>
        <v>0</v>
      </c>
      <c r="CA54" s="2792">
        <f t="shared" ca="1" si="144"/>
        <v>0</v>
      </c>
      <c r="CB54" s="2792">
        <f t="shared" ca="1" si="144"/>
        <v>0</v>
      </c>
      <c r="CC54" s="2792">
        <f t="shared" ca="1" si="144"/>
        <v>0</v>
      </c>
      <c r="CD54" s="2792">
        <f t="shared" ca="1" si="144"/>
        <v>0</v>
      </c>
      <c r="CE54" s="2792">
        <f t="shared" ca="1" si="144"/>
        <v>0</v>
      </c>
      <c r="CF54" s="2792">
        <f t="shared" ca="1" si="144"/>
        <v>0</v>
      </c>
      <c r="CG54" s="2792">
        <f t="shared" ca="1" si="144"/>
        <v>0</v>
      </c>
      <c r="CH54" s="2792">
        <f t="shared" ca="1" si="144"/>
        <v>0</v>
      </c>
      <c r="CI54" s="2792">
        <f t="shared" ca="1" si="145"/>
        <v>0</v>
      </c>
      <c r="CJ54" s="2792">
        <f t="shared" ca="1" si="145"/>
        <v>0</v>
      </c>
      <c r="CK54" s="2792">
        <f t="shared" ca="1" si="145"/>
        <v>0</v>
      </c>
      <c r="CL54" s="2792">
        <f t="shared" ca="1" si="145"/>
        <v>0</v>
      </c>
      <c r="CM54" s="2792">
        <f t="shared" ca="1" si="145"/>
        <v>0</v>
      </c>
      <c r="CN54" s="2792">
        <f t="shared" ca="1" si="145"/>
        <v>0</v>
      </c>
      <c r="CO54" s="2792">
        <f t="shared" ca="1" si="145"/>
        <v>0</v>
      </c>
      <c r="CP54" s="2792">
        <f t="shared" ca="1" si="145"/>
        <v>0</v>
      </c>
      <c r="CQ54" s="2792">
        <f t="shared" ca="1" si="145"/>
        <v>0</v>
      </c>
      <c r="CR54" s="2792">
        <f t="shared" ca="1" si="145"/>
        <v>0</v>
      </c>
      <c r="CS54" s="2792">
        <f t="shared" ca="1" si="146"/>
        <v>0</v>
      </c>
      <c r="CT54" s="2792">
        <f t="shared" ca="1" si="146"/>
        <v>0</v>
      </c>
      <c r="CU54" s="2792">
        <f t="shared" ca="1" si="146"/>
        <v>0</v>
      </c>
      <c r="CV54" s="2792">
        <f t="shared" ca="1" si="146"/>
        <v>0</v>
      </c>
      <c r="CW54" s="2792">
        <f t="shared" ca="1" si="146"/>
        <v>0</v>
      </c>
      <c r="CX54" s="2792">
        <f t="shared" ca="1" si="146"/>
        <v>0</v>
      </c>
      <c r="CY54" s="2792">
        <f t="shared" ca="1" si="146"/>
        <v>0</v>
      </c>
      <c r="CZ54" s="2792">
        <f t="shared" ca="1" si="146"/>
        <v>0</v>
      </c>
      <c r="DA54" s="2792">
        <f t="shared" ca="1" si="146"/>
        <v>0</v>
      </c>
      <c r="DB54" s="2792">
        <f t="shared" ca="1" si="146"/>
        <v>0</v>
      </c>
      <c r="DC54" s="2792">
        <f t="shared" ca="1" si="146"/>
        <v>0</v>
      </c>
      <c r="DD54" s="2792">
        <f t="shared" ca="1" si="146"/>
        <v>0</v>
      </c>
      <c r="DE54" s="2792">
        <f t="shared" ca="1" si="146"/>
        <v>0</v>
      </c>
      <c r="DF54" s="2792">
        <f t="shared" ca="1" si="146"/>
        <v>0</v>
      </c>
      <c r="DH54" s="596">
        <f t="shared" ca="1" si="120"/>
        <v>0</v>
      </c>
    </row>
    <row r="55" spans="1:112" s="6" customFormat="1" ht="15.75">
      <c r="A55" s="652"/>
      <c r="B55" s="653"/>
      <c r="C55" s="616" t="s">
        <v>518</v>
      </c>
      <c r="D55" s="617" t="s">
        <v>519</v>
      </c>
      <c r="E55" s="206"/>
      <c r="G55" s="618">
        <f ca="1">SUM(G53:G54)</f>
        <v>0</v>
      </c>
      <c r="H55" s="618">
        <f t="shared" ref="H55:P55" ca="1" si="147">SUM(H53:H54)</f>
        <v>0</v>
      </c>
      <c r="I55" s="618">
        <f t="shared" ca="1" si="147"/>
        <v>7.5543224779012222E-2</v>
      </c>
      <c r="J55" s="618">
        <f t="shared" ca="1" si="147"/>
        <v>0</v>
      </c>
      <c r="K55" s="618">
        <f t="shared" ca="1" si="147"/>
        <v>0</v>
      </c>
      <c r="L55" s="618">
        <f t="shared" ca="1" si="147"/>
        <v>0</v>
      </c>
      <c r="M55" s="618">
        <f t="shared" ca="1" si="147"/>
        <v>0</v>
      </c>
      <c r="N55" s="618">
        <f t="shared" ca="1" si="147"/>
        <v>0</v>
      </c>
      <c r="O55" s="618">
        <f t="shared" ca="1" si="147"/>
        <v>0</v>
      </c>
      <c r="P55" s="618">
        <f t="shared" ca="1" si="147"/>
        <v>0</v>
      </c>
      <c r="Q55" s="618">
        <f ca="1">SUM(G55:P55)</f>
        <v>7.5543224779012222E-2</v>
      </c>
      <c r="S55" s="581">
        <f t="shared" ref="S55:AJ55" ca="1" si="148">SUM(S53:S54)</f>
        <v>-0.29236849872616316</v>
      </c>
      <c r="T55" s="581">
        <f t="shared" ca="1" si="148"/>
        <v>0</v>
      </c>
      <c r="U55" s="581">
        <f t="shared" ca="1" si="148"/>
        <v>-3.0179240072394542E-3</v>
      </c>
      <c r="V55" s="581">
        <f t="shared" ca="1" si="148"/>
        <v>-1.8522858135888711</v>
      </c>
      <c r="W55" s="581">
        <f t="shared" ca="1" si="148"/>
        <v>-8.8546860117933751E-2</v>
      </c>
      <c r="X55" s="581">
        <f ca="1">SUM(X53:X54)</f>
        <v>8.4</v>
      </c>
      <c r="Y55" s="581">
        <f ca="1">SUM(Y53:Y54)</f>
        <v>0</v>
      </c>
      <c r="Z55" s="581">
        <f ca="1">SUM(Z53:Z54)</f>
        <v>0</v>
      </c>
      <c r="AA55" s="581">
        <f t="shared" ca="1" si="148"/>
        <v>0</v>
      </c>
      <c r="AB55" s="581">
        <f t="shared" ca="1" si="148"/>
        <v>-2.6537999724419409E-2</v>
      </c>
      <c r="AC55" s="581">
        <f t="shared" ca="1" si="148"/>
        <v>0</v>
      </c>
      <c r="AD55" s="581">
        <f ca="1">SUM(AD53:AD54)</f>
        <v>0</v>
      </c>
      <c r="AE55" s="581">
        <f ca="1">SUM(AE53:AE54)</f>
        <v>0</v>
      </c>
      <c r="AF55" s="581">
        <f t="shared" ca="1" si="148"/>
        <v>0</v>
      </c>
      <c r="AG55" s="581">
        <f ca="1">SUM(AG53:AG54)</f>
        <v>0</v>
      </c>
      <c r="AH55" s="581">
        <f ca="1">SUM(AH53:AH54)</f>
        <v>0</v>
      </c>
      <c r="AI55" s="581">
        <f ca="1">SUM(AI53:AI54)</f>
        <v>0</v>
      </c>
      <c r="AJ55" s="581">
        <f t="shared" ca="1" si="148"/>
        <v>0</v>
      </c>
      <c r="AK55" s="581">
        <f ca="1">SUM(S55:AJ55)</f>
        <v>6.1372429038353742</v>
      </c>
      <c r="AM55" s="582">
        <f t="shared" ref="AM55:BE55" ca="1" si="149">SUM(AM53:AM54)</f>
        <v>-8.4</v>
      </c>
      <c r="AN55" s="582">
        <f t="shared" ca="1" si="149"/>
        <v>0</v>
      </c>
      <c r="AO55" s="582">
        <f t="shared" ca="1" si="149"/>
        <v>0</v>
      </c>
      <c r="AP55" s="582">
        <f t="shared" ca="1" si="149"/>
        <v>0</v>
      </c>
      <c r="AQ55" s="582">
        <f t="shared" ca="1" si="149"/>
        <v>0</v>
      </c>
      <c r="AR55" s="582">
        <f t="shared" ca="1" si="149"/>
        <v>0</v>
      </c>
      <c r="AS55" s="582">
        <f t="shared" ca="1" si="149"/>
        <v>0</v>
      </c>
      <c r="AT55" s="582">
        <f t="shared" ca="1" si="149"/>
        <v>0</v>
      </c>
      <c r="AU55" s="582">
        <f t="shared" ca="1" si="149"/>
        <v>0</v>
      </c>
      <c r="AV55" s="582">
        <f t="shared" ca="1" si="149"/>
        <v>0</v>
      </c>
      <c r="AW55" s="582">
        <f t="shared" ca="1" si="149"/>
        <v>0</v>
      </c>
      <c r="AX55" s="582">
        <f t="shared" ca="1" si="149"/>
        <v>0</v>
      </c>
      <c r="AY55" s="582">
        <f t="shared" ca="1" si="149"/>
        <v>0</v>
      </c>
      <c r="AZ55" s="582">
        <f t="shared" ca="1" si="149"/>
        <v>0</v>
      </c>
      <c r="BA55" s="582">
        <f t="shared" ca="1" si="149"/>
        <v>0</v>
      </c>
      <c r="BB55" s="582">
        <f t="shared" ca="1" si="149"/>
        <v>0</v>
      </c>
      <c r="BC55" s="582">
        <f t="shared" ca="1" si="149"/>
        <v>0</v>
      </c>
      <c r="BD55" s="582">
        <f ca="1">SUM(BD53:BD54)</f>
        <v>0</v>
      </c>
      <c r="BE55" s="582">
        <f t="shared" ca="1" si="149"/>
        <v>0</v>
      </c>
      <c r="BF55" s="582">
        <f ca="1">SUM(AM55:BE55)</f>
        <v>-8.4</v>
      </c>
      <c r="BH55" s="3463">
        <f ca="1">SUM(BH53:BH54)</f>
        <v>0</v>
      </c>
      <c r="BI55" s="3463">
        <f ca="1">SUM(BI53:BI54)</f>
        <v>2.1872138713856146</v>
      </c>
      <c r="BJ55" s="3463">
        <f ca="1">SUM(BH55:BI55)</f>
        <v>2.1872138713856146</v>
      </c>
      <c r="BL55" s="3477">
        <f t="shared" ref="BL55:BL63" ca="1" si="150">Q55+AK55+BF55+BJ55</f>
        <v>0</v>
      </c>
      <c r="BM55" s="654"/>
      <c r="BN55" s="413"/>
      <c r="BO55" s="2789">
        <f t="shared" ref="BO55:DF55" ca="1" si="151">SUM(BO53:BO54)</f>
        <v>0.50565060724124977</v>
      </c>
      <c r="BP55" s="2790">
        <f t="shared" ca="1" si="151"/>
        <v>4.2632801018755801E-4</v>
      </c>
      <c r="BQ55" s="2790">
        <f t="shared" ca="1" si="151"/>
        <v>1.5069762622732133E-3</v>
      </c>
      <c r="BR55" s="2790">
        <f t="shared" ca="1" si="151"/>
        <v>0</v>
      </c>
      <c r="BS55" s="2790">
        <f t="shared" ca="1" si="151"/>
        <v>0</v>
      </c>
      <c r="BT55" s="2790">
        <f t="shared" ca="1" si="151"/>
        <v>0</v>
      </c>
      <c r="BU55" s="2790">
        <f t="shared" ca="1" si="151"/>
        <v>0</v>
      </c>
      <c r="BV55" s="2790">
        <f t="shared" ca="1" si="151"/>
        <v>0</v>
      </c>
      <c r="BW55" s="2790">
        <f t="shared" ca="1" si="151"/>
        <v>0</v>
      </c>
      <c r="BX55" s="2790">
        <f t="shared" ca="1" si="151"/>
        <v>0</v>
      </c>
      <c r="BY55" s="2790">
        <f t="shared" ca="1" si="151"/>
        <v>0</v>
      </c>
      <c r="BZ55" s="2790">
        <f t="shared" ca="1" si="151"/>
        <v>0</v>
      </c>
      <c r="CA55" s="2790">
        <f t="shared" ca="1" si="151"/>
        <v>0</v>
      </c>
      <c r="CB55" s="2790">
        <f t="shared" ca="1" si="151"/>
        <v>0</v>
      </c>
      <c r="CC55" s="2790">
        <f t="shared" ca="1" si="151"/>
        <v>0</v>
      </c>
      <c r="CD55" s="2790">
        <f t="shared" ca="1" si="151"/>
        <v>0</v>
      </c>
      <c r="CE55" s="2790">
        <f t="shared" ca="1" si="151"/>
        <v>0</v>
      </c>
      <c r="CF55" s="2790">
        <f t="shared" ca="1" si="151"/>
        <v>0</v>
      </c>
      <c r="CG55" s="2790">
        <f t="shared" ca="1" si="151"/>
        <v>0</v>
      </c>
      <c r="CH55" s="2790">
        <f t="shared" ca="1" si="151"/>
        <v>0</v>
      </c>
      <c r="CI55" s="2790">
        <f t="shared" ca="1" si="151"/>
        <v>0</v>
      </c>
      <c r="CJ55" s="2790">
        <f t="shared" ca="1" si="151"/>
        <v>0</v>
      </c>
      <c r="CK55" s="2790">
        <f t="shared" ca="1" si="151"/>
        <v>0</v>
      </c>
      <c r="CL55" s="2790">
        <f t="shared" ca="1" si="151"/>
        <v>0</v>
      </c>
      <c r="CM55" s="2790">
        <f t="shared" ca="1" si="151"/>
        <v>0</v>
      </c>
      <c r="CN55" s="2790">
        <f t="shared" ca="1" si="151"/>
        <v>0</v>
      </c>
      <c r="CO55" s="2790">
        <f t="shared" ca="1" si="151"/>
        <v>0</v>
      </c>
      <c r="CP55" s="2790">
        <f t="shared" ca="1" si="151"/>
        <v>0</v>
      </c>
      <c r="CQ55" s="2790">
        <f t="shared" ca="1" si="151"/>
        <v>0</v>
      </c>
      <c r="CR55" s="2790">
        <f t="shared" ca="1" si="151"/>
        <v>0</v>
      </c>
      <c r="CS55" s="2790">
        <f t="shared" ca="1" si="151"/>
        <v>0</v>
      </c>
      <c r="CT55" s="2790">
        <f t="shared" ca="1" si="151"/>
        <v>0</v>
      </c>
      <c r="CU55" s="2790">
        <f t="shared" ca="1" si="151"/>
        <v>0</v>
      </c>
      <c r="CV55" s="2790">
        <f t="shared" ca="1" si="151"/>
        <v>0</v>
      </c>
      <c r="CW55" s="2790">
        <f t="shared" ca="1" si="151"/>
        <v>0</v>
      </c>
      <c r="CX55" s="2790">
        <f t="shared" ca="1" si="151"/>
        <v>0</v>
      </c>
      <c r="CY55" s="2790">
        <f t="shared" ca="1" si="151"/>
        <v>0</v>
      </c>
      <c r="CZ55" s="2790">
        <f t="shared" ca="1" si="151"/>
        <v>0</v>
      </c>
      <c r="DA55" s="2790">
        <f t="shared" ca="1" si="151"/>
        <v>0</v>
      </c>
      <c r="DB55" s="2790">
        <f t="shared" ca="1" si="151"/>
        <v>0</v>
      </c>
      <c r="DC55" s="2790">
        <f t="shared" ca="1" si="151"/>
        <v>0</v>
      </c>
      <c r="DD55" s="2790">
        <f t="shared" ca="1" si="151"/>
        <v>0</v>
      </c>
      <c r="DE55" s="2790">
        <f t="shared" ca="1" si="151"/>
        <v>0</v>
      </c>
      <c r="DF55" s="2790">
        <f t="shared" ca="1" si="151"/>
        <v>0</v>
      </c>
      <c r="DH55" s="596">
        <f t="shared" ca="1" si="120"/>
        <v>0.50758391151371063</v>
      </c>
    </row>
    <row r="56" spans="1:112" s="6" customFormat="1" outlineLevel="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50"/>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20"/>
        <v>0</v>
      </c>
    </row>
    <row r="57" spans="1:112" s="607" customFormat="1" ht="12.75" customHeight="1" outlineLevel="1">
      <c r="C57" s="587" t="s">
        <v>520</v>
      </c>
      <c r="D57" s="588" t="s">
        <v>521</v>
      </c>
      <c r="E57" s="588"/>
      <c r="F57" s="6"/>
      <c r="G57" s="589">
        <f t="shared" ref="G57:P62" ca="1" si="152">IFERROR(INDEX(INDIRECT($C57&amp;".Outputs["&amp;this.Year&amp;"]"), MATCH(G$5, INDIRECT($C57&amp;".Outputs[Vector]"), 0)), 0)</f>
        <v>0</v>
      </c>
      <c r="H57" s="589">
        <f t="shared" ca="1" si="152"/>
        <v>0</v>
      </c>
      <c r="I57" s="589">
        <f t="shared" ca="1" si="152"/>
        <v>0</v>
      </c>
      <c r="J57" s="589">
        <f t="shared" ca="1" si="152"/>
        <v>0</v>
      </c>
      <c r="K57" s="589">
        <f t="shared" ca="1" si="152"/>
        <v>0</v>
      </c>
      <c r="L57" s="589">
        <f t="shared" ca="1" si="152"/>
        <v>0</v>
      </c>
      <c r="M57" s="589">
        <f t="shared" ca="1" si="152"/>
        <v>0</v>
      </c>
      <c r="N57" s="589">
        <f t="shared" ca="1" si="152"/>
        <v>0</v>
      </c>
      <c r="O57" s="589">
        <f t="shared" ca="1" si="152"/>
        <v>0</v>
      </c>
      <c r="P57" s="589">
        <f t="shared" ca="1" si="152"/>
        <v>0</v>
      </c>
      <c r="Q57" s="590">
        <f t="shared" ref="Q57:Q63" ca="1" si="153">SUM(G57:P57)</f>
        <v>0</v>
      </c>
      <c r="R57" s="6"/>
      <c r="S57" s="591">
        <f t="shared" ref="S57:AJ62" ca="1" si="154">IFERROR(INDEX(INDIRECT($C57&amp;".Outputs["&amp;this.Year&amp;"]"), MATCH(S$5, INDIRECT($C57&amp;".Outputs[Vector]"), 0)), 0)</f>
        <v>0</v>
      </c>
      <c r="T57" s="591">
        <f t="shared" ca="1" si="154"/>
        <v>4.4180640000000011</v>
      </c>
      <c r="U57" s="591">
        <f t="shared" ca="1" si="154"/>
        <v>0</v>
      </c>
      <c r="V57" s="591">
        <f t="shared" ca="1" si="154"/>
        <v>0</v>
      </c>
      <c r="W57" s="591">
        <f t="shared" ca="1" si="154"/>
        <v>0</v>
      </c>
      <c r="X57" s="591">
        <f t="shared" ref="X57:Z62" ca="1" si="155">IFERROR(INDEX(INDIRECT($C57&amp;".Outputs["&amp;this.Year&amp;"]"), MATCH(X$5, INDIRECT($C57&amp;".Outputs[Vector]"), 0)), 0)</f>
        <v>0</v>
      </c>
      <c r="Y57" s="591">
        <f t="shared" ca="1" si="155"/>
        <v>0</v>
      </c>
      <c r="Z57" s="591">
        <f t="shared" ca="1" si="155"/>
        <v>0</v>
      </c>
      <c r="AA57" s="591">
        <f t="shared" ca="1" si="154"/>
        <v>0</v>
      </c>
      <c r="AB57" s="591">
        <f t="shared" ca="1" si="154"/>
        <v>0</v>
      </c>
      <c r="AC57" s="591">
        <f t="shared" ca="1" si="154"/>
        <v>0</v>
      </c>
      <c r="AD57" s="591">
        <f t="shared" ca="1" si="154"/>
        <v>0</v>
      </c>
      <c r="AE57" s="591">
        <f t="shared" ca="1" si="154"/>
        <v>0</v>
      </c>
      <c r="AF57" s="591">
        <f t="shared" ca="1" si="154"/>
        <v>0</v>
      </c>
      <c r="AG57" s="591">
        <f t="shared" ca="1" si="154"/>
        <v>0</v>
      </c>
      <c r="AH57" s="591">
        <f t="shared" ca="1" si="154"/>
        <v>0</v>
      </c>
      <c r="AI57" s="591">
        <f t="shared" ca="1" si="154"/>
        <v>0</v>
      </c>
      <c r="AJ57" s="591">
        <f t="shared" ca="1" si="154"/>
        <v>0</v>
      </c>
      <c r="AK57" s="592">
        <f t="shared" ref="AK57:AK63" ca="1" si="156">SUM(S57:AJ57)</f>
        <v>4.4180640000000011</v>
      </c>
      <c r="AL57" s="6"/>
      <c r="AM57" s="593">
        <f t="shared" ref="AM57:AU62" ca="1" si="157">IFERROR(INDEX(INDIRECT($C57&amp;".Outputs["&amp;this.Year&amp;"]"), MATCH(AM$5, INDIRECT($C57&amp;".Outputs[Vector]"), 0)), 0)</f>
        <v>0</v>
      </c>
      <c r="AN57" s="593">
        <f t="shared" ca="1" si="157"/>
        <v>0</v>
      </c>
      <c r="AO57" s="593">
        <f t="shared" ca="1" si="157"/>
        <v>0</v>
      </c>
      <c r="AP57" s="593">
        <f t="shared" ca="1" si="157"/>
        <v>0</v>
      </c>
      <c r="AQ57" s="593">
        <f t="shared" ca="1" si="157"/>
        <v>0</v>
      </c>
      <c r="AR57" s="593">
        <f t="shared" ca="1" si="157"/>
        <v>0</v>
      </c>
      <c r="AS57" s="593">
        <f t="shared" ca="1" si="157"/>
        <v>0</v>
      </c>
      <c r="AT57" s="593">
        <f t="shared" ca="1" si="157"/>
        <v>0</v>
      </c>
      <c r="AU57" s="593">
        <f t="shared" ca="1" si="157"/>
        <v>0</v>
      </c>
      <c r="AV57" s="593">
        <f t="shared" ref="AV57:BE62" ca="1" si="158">IFERROR(INDEX(INDIRECT($C57&amp;".Outputs["&amp;this.Year&amp;"]"), MATCH(AV$5, INDIRECT($C57&amp;".Outputs[Vector]"), 0)), 0)</f>
        <v>0</v>
      </c>
      <c r="AW57" s="593">
        <f t="shared" ca="1" si="158"/>
        <v>0</v>
      </c>
      <c r="AX57" s="593">
        <f t="shared" ca="1" si="158"/>
        <v>-4.4180640000000011</v>
      </c>
      <c r="AY57" s="593">
        <f t="shared" ca="1" si="158"/>
        <v>0</v>
      </c>
      <c r="AZ57" s="593">
        <f t="shared" ca="1" si="158"/>
        <v>0</v>
      </c>
      <c r="BA57" s="593">
        <f t="shared" ca="1" si="158"/>
        <v>0</v>
      </c>
      <c r="BB57" s="593">
        <f t="shared" ca="1" si="158"/>
        <v>0</v>
      </c>
      <c r="BC57" s="593">
        <f t="shared" ca="1" si="158"/>
        <v>0</v>
      </c>
      <c r="BD57" s="593">
        <f t="shared" ca="1" si="158"/>
        <v>0</v>
      </c>
      <c r="BE57" s="593">
        <f t="shared" ca="1" si="158"/>
        <v>0</v>
      </c>
      <c r="BF57" s="609">
        <f t="shared" ref="BF57:BF63" ca="1" si="159">SUM(AM57:BE57)</f>
        <v>-4.4180640000000011</v>
      </c>
      <c r="BG57" s="6"/>
      <c r="BH57" s="3471">
        <f t="shared" ref="BH57:BI62" ca="1" si="160">IFERROR(INDEX(INDIRECT($C57&amp;".Outputs["&amp;this.Year&amp;"]"), MATCH(BH$5, INDIRECT($C57&amp;".Outputs[Vector]"), 0)), 0)</f>
        <v>0</v>
      </c>
      <c r="BI57" s="3471">
        <f t="shared" ca="1" si="160"/>
        <v>0</v>
      </c>
      <c r="BJ57" s="3460">
        <f t="shared" ref="BJ57:BJ63" ca="1" si="161">SUM(BH57:BI57)</f>
        <v>0</v>
      </c>
      <c r="BK57" s="6"/>
      <c r="BL57" s="610">
        <f t="shared" ca="1" si="150"/>
        <v>0</v>
      </c>
      <c r="BM57" s="610"/>
      <c r="BN57" s="413"/>
      <c r="BO57" s="2789">
        <f t="shared" ref="BO57:BX62" ca="1" si="162">IFERROR(SUMIFS(INDIRECT($C57&amp;".Emissions["&amp;this.Year&amp;"]"), INDIRECT($C57&amp;".Emissions[GHG]"), BO$6, INDIRECT($C57&amp;".Emissions[IPCC Sector]"), BO$5),0)</f>
        <v>0</v>
      </c>
      <c r="BP57" s="2790">
        <f t="shared" ca="1" si="162"/>
        <v>0</v>
      </c>
      <c r="BQ57" s="2790">
        <f t="shared" ca="1" si="162"/>
        <v>0</v>
      </c>
      <c r="BR57" s="2790">
        <f t="shared" ca="1" si="162"/>
        <v>0</v>
      </c>
      <c r="BS57" s="2790">
        <f t="shared" ca="1" si="162"/>
        <v>0</v>
      </c>
      <c r="BT57" s="2790">
        <f t="shared" ca="1" si="162"/>
        <v>0</v>
      </c>
      <c r="BU57" s="2790">
        <f t="shared" ca="1" si="162"/>
        <v>0</v>
      </c>
      <c r="BV57" s="2790">
        <f t="shared" ca="1" si="162"/>
        <v>0</v>
      </c>
      <c r="BW57" s="2790">
        <f t="shared" ca="1" si="162"/>
        <v>0</v>
      </c>
      <c r="BX57" s="2790">
        <f t="shared" ca="1" si="162"/>
        <v>0</v>
      </c>
      <c r="BY57" s="2790">
        <f t="shared" ref="BY57:CH62" ca="1" si="163">IFERROR(SUMIFS(INDIRECT($C57&amp;".Emissions["&amp;this.Year&amp;"]"), INDIRECT($C57&amp;".Emissions[GHG]"), BY$6, INDIRECT($C57&amp;".Emissions[IPCC Sector]"), BY$5),0)</f>
        <v>0</v>
      </c>
      <c r="BZ57" s="2790">
        <f t="shared" ca="1" si="163"/>
        <v>0</v>
      </c>
      <c r="CA57" s="2790">
        <f t="shared" ca="1" si="163"/>
        <v>0</v>
      </c>
      <c r="CB57" s="2790">
        <f t="shared" ca="1" si="163"/>
        <v>0</v>
      </c>
      <c r="CC57" s="2790">
        <f t="shared" ca="1" si="163"/>
        <v>0</v>
      </c>
      <c r="CD57" s="2790">
        <f t="shared" ca="1" si="163"/>
        <v>0</v>
      </c>
      <c r="CE57" s="2790">
        <f t="shared" ca="1" si="163"/>
        <v>0</v>
      </c>
      <c r="CF57" s="2790">
        <f t="shared" ca="1" si="163"/>
        <v>0</v>
      </c>
      <c r="CG57" s="2790">
        <f t="shared" ca="1" si="163"/>
        <v>0</v>
      </c>
      <c r="CH57" s="2790">
        <f t="shared" ca="1" si="163"/>
        <v>0</v>
      </c>
      <c r="CI57" s="2790">
        <f t="shared" ref="CI57:CR62" ca="1" si="164">IFERROR(SUMIFS(INDIRECT($C57&amp;".Emissions["&amp;this.Year&amp;"]"), INDIRECT($C57&amp;".Emissions[GHG]"), CI$6, INDIRECT($C57&amp;".Emissions[IPCC Sector]"), CI$5),0)</f>
        <v>0</v>
      </c>
      <c r="CJ57" s="2790">
        <f t="shared" ca="1" si="164"/>
        <v>0</v>
      </c>
      <c r="CK57" s="2790">
        <f t="shared" ca="1" si="164"/>
        <v>0</v>
      </c>
      <c r="CL57" s="2790">
        <f t="shared" ca="1" si="164"/>
        <v>0</v>
      </c>
      <c r="CM57" s="2790">
        <f t="shared" ca="1" si="164"/>
        <v>0</v>
      </c>
      <c r="CN57" s="2790">
        <f t="shared" ca="1" si="164"/>
        <v>0</v>
      </c>
      <c r="CO57" s="2790">
        <f t="shared" ca="1" si="164"/>
        <v>0</v>
      </c>
      <c r="CP57" s="2790">
        <f t="shared" ca="1" si="164"/>
        <v>0</v>
      </c>
      <c r="CQ57" s="2790">
        <f t="shared" ca="1" si="164"/>
        <v>0</v>
      </c>
      <c r="CR57" s="2790">
        <f t="shared" ca="1" si="164"/>
        <v>0</v>
      </c>
      <c r="CS57" s="2790">
        <f t="shared" ref="CS57:DF62" ca="1" si="165">IFERROR(SUMIFS(INDIRECT($C57&amp;".Emissions["&amp;this.Year&amp;"]"), INDIRECT($C57&amp;".Emissions[GHG]"), CS$6, INDIRECT($C57&amp;".Emissions[IPCC Sector]"), CS$5),0)</f>
        <v>0</v>
      </c>
      <c r="CT57" s="2790">
        <f t="shared" ca="1" si="165"/>
        <v>0</v>
      </c>
      <c r="CU57" s="2790">
        <f t="shared" ca="1" si="165"/>
        <v>0</v>
      </c>
      <c r="CV57" s="2790">
        <f t="shared" ca="1" si="165"/>
        <v>0</v>
      </c>
      <c r="CW57" s="2790">
        <f t="shared" ca="1" si="165"/>
        <v>0</v>
      </c>
      <c r="CX57" s="2790">
        <f t="shared" ca="1" si="165"/>
        <v>0</v>
      </c>
      <c r="CY57" s="2790">
        <f t="shared" ca="1" si="165"/>
        <v>0</v>
      </c>
      <c r="CZ57" s="2790">
        <f t="shared" ca="1" si="165"/>
        <v>0</v>
      </c>
      <c r="DA57" s="2790">
        <f t="shared" ca="1" si="165"/>
        <v>0</v>
      </c>
      <c r="DB57" s="2790">
        <f t="shared" ca="1" si="165"/>
        <v>0</v>
      </c>
      <c r="DC57" s="2790">
        <f t="shared" ca="1" si="165"/>
        <v>0</v>
      </c>
      <c r="DD57" s="2790">
        <f t="shared" ca="1" si="165"/>
        <v>0</v>
      </c>
      <c r="DE57" s="2790">
        <f t="shared" ca="1" si="165"/>
        <v>0</v>
      </c>
      <c r="DF57" s="2790">
        <f t="shared" ca="1" si="165"/>
        <v>0</v>
      </c>
      <c r="DH57" s="596">
        <f t="shared" ca="1" si="120"/>
        <v>0</v>
      </c>
    </row>
    <row r="58" spans="1:112" s="607" customFormat="1" ht="12.75" customHeight="1" outlineLevel="1">
      <c r="C58" s="587" t="s">
        <v>522</v>
      </c>
      <c r="D58" s="588" t="s">
        <v>523</v>
      </c>
      <c r="E58" s="588"/>
      <c r="F58" s="6"/>
      <c r="G58" s="589">
        <f t="shared" ca="1" si="152"/>
        <v>0</v>
      </c>
      <c r="H58" s="589">
        <f t="shared" ca="1" si="152"/>
        <v>0</v>
      </c>
      <c r="I58" s="589">
        <f t="shared" ca="1" si="152"/>
        <v>0</v>
      </c>
      <c r="J58" s="589">
        <f t="shared" ca="1" si="152"/>
        <v>0</v>
      </c>
      <c r="K58" s="589">
        <f t="shared" ca="1" si="152"/>
        <v>0</v>
      </c>
      <c r="L58" s="589">
        <f t="shared" ca="1" si="152"/>
        <v>0</v>
      </c>
      <c r="M58" s="589">
        <f t="shared" ca="1" si="152"/>
        <v>0</v>
      </c>
      <c r="N58" s="589">
        <f t="shared" ca="1" si="152"/>
        <v>0</v>
      </c>
      <c r="O58" s="589">
        <f t="shared" ca="1" si="152"/>
        <v>0</v>
      </c>
      <c r="P58" s="589">
        <f t="shared" ca="1" si="152"/>
        <v>0</v>
      </c>
      <c r="Q58" s="590">
        <f ca="1">SUM(G58:P58)</f>
        <v>0</v>
      </c>
      <c r="R58" s="6"/>
      <c r="S58" s="591">
        <f t="shared" ca="1" si="154"/>
        <v>0</v>
      </c>
      <c r="T58" s="591">
        <f t="shared" ca="1" si="154"/>
        <v>8.3277000000000018E-2</v>
      </c>
      <c r="U58" s="591">
        <f t="shared" ca="1" si="154"/>
        <v>0</v>
      </c>
      <c r="V58" s="591">
        <f t="shared" ca="1" si="154"/>
        <v>0</v>
      </c>
      <c r="W58" s="591">
        <f t="shared" ca="1" si="154"/>
        <v>0</v>
      </c>
      <c r="X58" s="591">
        <f t="shared" ca="1" si="155"/>
        <v>0</v>
      </c>
      <c r="Y58" s="591">
        <f t="shared" ca="1" si="155"/>
        <v>0</v>
      </c>
      <c r="Z58" s="591">
        <f t="shared" ca="1" si="155"/>
        <v>0</v>
      </c>
      <c r="AA58" s="591">
        <f t="shared" ca="1" si="154"/>
        <v>0</v>
      </c>
      <c r="AB58" s="591">
        <f t="shared" ca="1" si="154"/>
        <v>0</v>
      </c>
      <c r="AC58" s="591">
        <f t="shared" ca="1" si="154"/>
        <v>0</v>
      </c>
      <c r="AD58" s="591">
        <f t="shared" ca="1" si="154"/>
        <v>0</v>
      </c>
      <c r="AE58" s="591">
        <f t="shared" ca="1" si="154"/>
        <v>0</v>
      </c>
      <c r="AF58" s="591">
        <f t="shared" ca="1" si="154"/>
        <v>0</v>
      </c>
      <c r="AG58" s="591">
        <f t="shared" ca="1" si="154"/>
        <v>0</v>
      </c>
      <c r="AH58" s="591">
        <f t="shared" ca="1" si="154"/>
        <v>0</v>
      </c>
      <c r="AI58" s="591">
        <f t="shared" ca="1" si="154"/>
        <v>0</v>
      </c>
      <c r="AJ58" s="591">
        <f t="shared" ca="1" si="154"/>
        <v>0</v>
      </c>
      <c r="AK58" s="592">
        <f ca="1">SUM(S58:AJ58)</f>
        <v>8.3277000000000018E-2</v>
      </c>
      <c r="AL58" s="6"/>
      <c r="AM58" s="593">
        <f t="shared" ca="1" si="157"/>
        <v>0</v>
      </c>
      <c r="AN58" s="593">
        <f t="shared" ca="1" si="157"/>
        <v>0</v>
      </c>
      <c r="AO58" s="593">
        <f t="shared" ca="1" si="157"/>
        <v>0</v>
      </c>
      <c r="AP58" s="593">
        <f t="shared" ca="1" si="157"/>
        <v>0</v>
      </c>
      <c r="AQ58" s="593">
        <f t="shared" ca="1" si="157"/>
        <v>0</v>
      </c>
      <c r="AR58" s="593">
        <f t="shared" ca="1" si="157"/>
        <v>0</v>
      </c>
      <c r="AS58" s="593">
        <f t="shared" ca="1" si="157"/>
        <v>0</v>
      </c>
      <c r="AT58" s="593">
        <f t="shared" ca="1" si="157"/>
        <v>0</v>
      </c>
      <c r="AU58" s="593">
        <f t="shared" ca="1" si="157"/>
        <v>0</v>
      </c>
      <c r="AV58" s="593">
        <f t="shared" ca="1" si="158"/>
        <v>0</v>
      </c>
      <c r="AW58" s="593">
        <f t="shared" ca="1" si="158"/>
        <v>0</v>
      </c>
      <c r="AX58" s="593">
        <f t="shared" ca="1" si="158"/>
        <v>-8.3277000000000018E-2</v>
      </c>
      <c r="AY58" s="593">
        <f t="shared" ca="1" si="158"/>
        <v>0</v>
      </c>
      <c r="AZ58" s="593">
        <f t="shared" ca="1" si="158"/>
        <v>0</v>
      </c>
      <c r="BA58" s="593">
        <f t="shared" ca="1" si="158"/>
        <v>0</v>
      </c>
      <c r="BB58" s="593">
        <f t="shared" ca="1" si="158"/>
        <v>0</v>
      </c>
      <c r="BC58" s="593">
        <f t="shared" ca="1" si="158"/>
        <v>0</v>
      </c>
      <c r="BD58" s="593">
        <f t="shared" ca="1" si="158"/>
        <v>0</v>
      </c>
      <c r="BE58" s="593">
        <f t="shared" ca="1" si="158"/>
        <v>0</v>
      </c>
      <c r="BF58" s="609">
        <f ca="1">SUM(AM58:BE58)</f>
        <v>-8.3277000000000018E-2</v>
      </c>
      <c r="BG58" s="6"/>
      <c r="BH58" s="3471">
        <f t="shared" ca="1" si="160"/>
        <v>0</v>
      </c>
      <c r="BI58" s="3471">
        <f t="shared" ca="1" si="160"/>
        <v>0</v>
      </c>
      <c r="BJ58" s="3460">
        <f ca="1">SUM(BH58:BI58)</f>
        <v>0</v>
      </c>
      <c r="BK58" s="6"/>
      <c r="BL58" s="610">
        <f t="shared" ca="1" si="150"/>
        <v>0</v>
      </c>
      <c r="BM58" s="610"/>
      <c r="BN58" s="413"/>
      <c r="BO58" s="2789">
        <f t="shared" ca="1" si="162"/>
        <v>0</v>
      </c>
      <c r="BP58" s="2790">
        <f t="shared" ca="1" si="162"/>
        <v>0</v>
      </c>
      <c r="BQ58" s="2790">
        <f t="shared" ca="1" si="162"/>
        <v>0</v>
      </c>
      <c r="BR58" s="2790">
        <f t="shared" ca="1" si="162"/>
        <v>0</v>
      </c>
      <c r="BS58" s="2790">
        <f t="shared" ca="1" si="162"/>
        <v>0</v>
      </c>
      <c r="BT58" s="2790">
        <f t="shared" ca="1" si="162"/>
        <v>0</v>
      </c>
      <c r="BU58" s="2790">
        <f t="shared" ca="1" si="162"/>
        <v>0</v>
      </c>
      <c r="BV58" s="2790">
        <f t="shared" ca="1" si="162"/>
        <v>0</v>
      </c>
      <c r="BW58" s="2790">
        <f t="shared" ca="1" si="162"/>
        <v>0</v>
      </c>
      <c r="BX58" s="2790">
        <f t="shared" ca="1" si="162"/>
        <v>0</v>
      </c>
      <c r="BY58" s="2790">
        <f t="shared" ca="1" si="163"/>
        <v>0</v>
      </c>
      <c r="BZ58" s="2790">
        <f t="shared" ca="1" si="163"/>
        <v>0</v>
      </c>
      <c r="CA58" s="2790">
        <f t="shared" ca="1" si="163"/>
        <v>0</v>
      </c>
      <c r="CB58" s="2790">
        <f t="shared" ca="1" si="163"/>
        <v>0</v>
      </c>
      <c r="CC58" s="2790">
        <f t="shared" ca="1" si="163"/>
        <v>0</v>
      </c>
      <c r="CD58" s="2790">
        <f t="shared" ca="1" si="163"/>
        <v>0</v>
      </c>
      <c r="CE58" s="2790">
        <f t="shared" ca="1" si="163"/>
        <v>0</v>
      </c>
      <c r="CF58" s="2790">
        <f t="shared" ca="1" si="163"/>
        <v>0</v>
      </c>
      <c r="CG58" s="2790">
        <f t="shared" ca="1" si="163"/>
        <v>0</v>
      </c>
      <c r="CH58" s="2790">
        <f t="shared" ca="1" si="163"/>
        <v>0</v>
      </c>
      <c r="CI58" s="2790">
        <f t="shared" ca="1" si="164"/>
        <v>0</v>
      </c>
      <c r="CJ58" s="2790">
        <f t="shared" ca="1" si="164"/>
        <v>0</v>
      </c>
      <c r="CK58" s="2790">
        <f t="shared" ca="1" si="164"/>
        <v>0</v>
      </c>
      <c r="CL58" s="2790">
        <f t="shared" ca="1" si="164"/>
        <v>0</v>
      </c>
      <c r="CM58" s="2790">
        <f t="shared" ca="1" si="164"/>
        <v>0</v>
      </c>
      <c r="CN58" s="2790">
        <f t="shared" ca="1" si="164"/>
        <v>0</v>
      </c>
      <c r="CO58" s="2790">
        <f t="shared" ca="1" si="164"/>
        <v>0</v>
      </c>
      <c r="CP58" s="2790">
        <f t="shared" ca="1" si="164"/>
        <v>0</v>
      </c>
      <c r="CQ58" s="2790">
        <f t="shared" ca="1" si="164"/>
        <v>0</v>
      </c>
      <c r="CR58" s="2790">
        <f t="shared" ca="1" si="164"/>
        <v>0</v>
      </c>
      <c r="CS58" s="2790">
        <f t="shared" ca="1" si="165"/>
        <v>0</v>
      </c>
      <c r="CT58" s="2790">
        <f t="shared" ca="1" si="165"/>
        <v>0</v>
      </c>
      <c r="CU58" s="2790">
        <f t="shared" ca="1" si="165"/>
        <v>0</v>
      </c>
      <c r="CV58" s="2790">
        <f t="shared" ca="1" si="165"/>
        <v>0</v>
      </c>
      <c r="CW58" s="2790">
        <f t="shared" ca="1" si="165"/>
        <v>0</v>
      </c>
      <c r="CX58" s="2790">
        <f t="shared" ca="1" si="165"/>
        <v>0</v>
      </c>
      <c r="CY58" s="2790">
        <f t="shared" ca="1" si="165"/>
        <v>0</v>
      </c>
      <c r="CZ58" s="2790">
        <f t="shared" ca="1" si="165"/>
        <v>0</v>
      </c>
      <c r="DA58" s="2790">
        <f t="shared" ca="1" si="165"/>
        <v>0</v>
      </c>
      <c r="DB58" s="2790">
        <f t="shared" ca="1" si="165"/>
        <v>0</v>
      </c>
      <c r="DC58" s="2790">
        <f t="shared" ca="1" si="165"/>
        <v>0</v>
      </c>
      <c r="DD58" s="2790">
        <f t="shared" ca="1" si="165"/>
        <v>0</v>
      </c>
      <c r="DE58" s="2790">
        <f t="shared" ca="1" si="165"/>
        <v>0</v>
      </c>
      <c r="DF58" s="2790">
        <f t="shared" ca="1" si="165"/>
        <v>0</v>
      </c>
      <c r="DH58" s="596">
        <f ca="1">SUM(BO58:DF58)</f>
        <v>0</v>
      </c>
    </row>
    <row r="59" spans="1:112" s="607" customFormat="1" ht="12.75" customHeight="1" outlineLevel="1">
      <c r="C59" s="587" t="s">
        <v>524</v>
      </c>
      <c r="D59" s="588" t="s">
        <v>525</v>
      </c>
      <c r="E59" s="588"/>
      <c r="F59" s="6"/>
      <c r="G59" s="589">
        <f t="shared" ca="1" si="152"/>
        <v>0</v>
      </c>
      <c r="H59" s="589">
        <f t="shared" ca="1" si="152"/>
        <v>0</v>
      </c>
      <c r="I59" s="589">
        <f t="shared" ca="1" si="152"/>
        <v>0</v>
      </c>
      <c r="J59" s="589">
        <f t="shared" ca="1" si="152"/>
        <v>0</v>
      </c>
      <c r="K59" s="589">
        <f t="shared" ca="1" si="152"/>
        <v>0</v>
      </c>
      <c r="L59" s="589">
        <f t="shared" ca="1" si="152"/>
        <v>0</v>
      </c>
      <c r="M59" s="589">
        <f t="shared" ca="1" si="152"/>
        <v>0</v>
      </c>
      <c r="N59" s="589">
        <f t="shared" ca="1" si="152"/>
        <v>0</v>
      </c>
      <c r="O59" s="589">
        <f t="shared" ca="1" si="152"/>
        <v>0</v>
      </c>
      <c r="P59" s="589">
        <f t="shared" ca="1" si="152"/>
        <v>0</v>
      </c>
      <c r="Q59" s="590">
        <f t="shared" ca="1" si="153"/>
        <v>0</v>
      </c>
      <c r="R59" s="6"/>
      <c r="S59" s="591">
        <f t="shared" ca="1" si="154"/>
        <v>0</v>
      </c>
      <c r="T59" s="591">
        <f t="shared" ca="1" si="154"/>
        <v>0.74791511999999993</v>
      </c>
      <c r="U59" s="591">
        <f t="shared" ca="1" si="154"/>
        <v>0</v>
      </c>
      <c r="V59" s="591">
        <f t="shared" ca="1" si="154"/>
        <v>0</v>
      </c>
      <c r="W59" s="591">
        <f t="shared" ca="1" si="154"/>
        <v>0</v>
      </c>
      <c r="X59" s="591">
        <f t="shared" ca="1" si="155"/>
        <v>0</v>
      </c>
      <c r="Y59" s="591">
        <f t="shared" ca="1" si="155"/>
        <v>0</v>
      </c>
      <c r="Z59" s="591">
        <f t="shared" ca="1" si="155"/>
        <v>0</v>
      </c>
      <c r="AA59" s="591">
        <f t="shared" ca="1" si="154"/>
        <v>0</v>
      </c>
      <c r="AB59" s="591">
        <f t="shared" ca="1" si="154"/>
        <v>0</v>
      </c>
      <c r="AC59" s="591">
        <f t="shared" ca="1" si="154"/>
        <v>0</v>
      </c>
      <c r="AD59" s="591">
        <f t="shared" ca="1" si="154"/>
        <v>0</v>
      </c>
      <c r="AE59" s="591">
        <f t="shared" ca="1" si="154"/>
        <v>0</v>
      </c>
      <c r="AF59" s="591">
        <f t="shared" ca="1" si="154"/>
        <v>0</v>
      </c>
      <c r="AG59" s="591">
        <f t="shared" ca="1" si="154"/>
        <v>0</v>
      </c>
      <c r="AH59" s="591">
        <f t="shared" ca="1" si="154"/>
        <v>0</v>
      </c>
      <c r="AI59" s="591">
        <f t="shared" ca="1" si="154"/>
        <v>0</v>
      </c>
      <c r="AJ59" s="591">
        <f t="shared" ca="1" si="154"/>
        <v>0</v>
      </c>
      <c r="AK59" s="592">
        <f t="shared" ca="1" si="156"/>
        <v>0.74791511999999993</v>
      </c>
      <c r="AL59" s="6"/>
      <c r="AM59" s="593">
        <f t="shared" ca="1" si="157"/>
        <v>0</v>
      </c>
      <c r="AN59" s="593">
        <f t="shared" ca="1" si="157"/>
        <v>0</v>
      </c>
      <c r="AO59" s="593">
        <f t="shared" ca="1" si="157"/>
        <v>0</v>
      </c>
      <c r="AP59" s="593">
        <f t="shared" ca="1" si="157"/>
        <v>0</v>
      </c>
      <c r="AQ59" s="593">
        <f t="shared" ca="1" si="157"/>
        <v>0</v>
      </c>
      <c r="AR59" s="593">
        <f t="shared" ca="1" si="157"/>
        <v>0</v>
      </c>
      <c r="AS59" s="593">
        <f t="shared" ca="1" si="157"/>
        <v>0</v>
      </c>
      <c r="AT59" s="593">
        <f t="shared" ca="1" si="157"/>
        <v>0</v>
      </c>
      <c r="AU59" s="593">
        <f t="shared" ca="1" si="157"/>
        <v>0</v>
      </c>
      <c r="AV59" s="593">
        <f t="shared" ca="1" si="158"/>
        <v>0</v>
      </c>
      <c r="AW59" s="593">
        <f t="shared" ca="1" si="158"/>
        <v>0</v>
      </c>
      <c r="AX59" s="593">
        <f t="shared" ca="1" si="158"/>
        <v>0</v>
      </c>
      <c r="AY59" s="593">
        <f t="shared" ca="1" si="158"/>
        <v>0</v>
      </c>
      <c r="AZ59" s="593">
        <f t="shared" ca="1" si="158"/>
        <v>0</v>
      </c>
      <c r="BA59" s="593">
        <f t="shared" ca="1" si="158"/>
        <v>0</v>
      </c>
      <c r="BB59" s="593">
        <f t="shared" ca="1" si="158"/>
        <v>-0.74791511999999993</v>
      </c>
      <c r="BC59" s="593">
        <f t="shared" ca="1" si="158"/>
        <v>0</v>
      </c>
      <c r="BD59" s="593">
        <f t="shared" ca="1" si="158"/>
        <v>0</v>
      </c>
      <c r="BE59" s="593">
        <f t="shared" ca="1" si="158"/>
        <v>0</v>
      </c>
      <c r="BF59" s="609">
        <f t="shared" ca="1" si="159"/>
        <v>-0.74791511999999993</v>
      </c>
      <c r="BG59" s="6"/>
      <c r="BH59" s="3471">
        <f t="shared" ca="1" si="160"/>
        <v>0</v>
      </c>
      <c r="BI59" s="3471">
        <f t="shared" ca="1" si="160"/>
        <v>0</v>
      </c>
      <c r="BJ59" s="3460">
        <f t="shared" ca="1" si="161"/>
        <v>0</v>
      </c>
      <c r="BK59" s="6"/>
      <c r="BL59" s="610">
        <f t="shared" ca="1" si="150"/>
        <v>0</v>
      </c>
      <c r="BM59" s="610"/>
      <c r="BN59" s="413"/>
      <c r="BO59" s="2789">
        <f t="shared" ca="1" si="162"/>
        <v>0</v>
      </c>
      <c r="BP59" s="2790">
        <f t="shared" ca="1" si="162"/>
        <v>0</v>
      </c>
      <c r="BQ59" s="2790">
        <f t="shared" ca="1" si="162"/>
        <v>0</v>
      </c>
      <c r="BR59" s="2790">
        <f t="shared" ca="1" si="162"/>
        <v>0</v>
      </c>
      <c r="BS59" s="2790">
        <f t="shared" ca="1" si="162"/>
        <v>0</v>
      </c>
      <c r="BT59" s="2790">
        <f t="shared" ca="1" si="162"/>
        <v>0</v>
      </c>
      <c r="BU59" s="2790">
        <f t="shared" ca="1" si="162"/>
        <v>0</v>
      </c>
      <c r="BV59" s="2790">
        <f t="shared" ca="1" si="162"/>
        <v>0</v>
      </c>
      <c r="BW59" s="2790">
        <f t="shared" ca="1" si="162"/>
        <v>0</v>
      </c>
      <c r="BX59" s="2790">
        <f t="shared" ca="1" si="162"/>
        <v>0</v>
      </c>
      <c r="BY59" s="2790">
        <f t="shared" ca="1" si="163"/>
        <v>0</v>
      </c>
      <c r="BZ59" s="2790">
        <f t="shared" ca="1" si="163"/>
        <v>0</v>
      </c>
      <c r="CA59" s="2790">
        <f t="shared" ca="1" si="163"/>
        <v>0</v>
      </c>
      <c r="CB59" s="2790">
        <f t="shared" ca="1" si="163"/>
        <v>0</v>
      </c>
      <c r="CC59" s="2790">
        <f t="shared" ca="1" si="163"/>
        <v>0</v>
      </c>
      <c r="CD59" s="2790">
        <f t="shared" ca="1" si="163"/>
        <v>0</v>
      </c>
      <c r="CE59" s="2790">
        <f t="shared" ca="1" si="163"/>
        <v>0</v>
      </c>
      <c r="CF59" s="2790">
        <f t="shared" ca="1" si="163"/>
        <v>0</v>
      </c>
      <c r="CG59" s="2790">
        <f t="shared" ca="1" si="163"/>
        <v>0</v>
      </c>
      <c r="CH59" s="2790">
        <f t="shared" ca="1" si="163"/>
        <v>0</v>
      </c>
      <c r="CI59" s="2790">
        <f t="shared" ca="1" si="164"/>
        <v>0</v>
      </c>
      <c r="CJ59" s="2790">
        <f t="shared" ca="1" si="164"/>
        <v>0</v>
      </c>
      <c r="CK59" s="2790">
        <f t="shared" ca="1" si="164"/>
        <v>0</v>
      </c>
      <c r="CL59" s="2790">
        <f t="shared" ca="1" si="164"/>
        <v>0</v>
      </c>
      <c r="CM59" s="2790">
        <f t="shared" ca="1" si="164"/>
        <v>0</v>
      </c>
      <c r="CN59" s="2790">
        <f t="shared" ca="1" si="164"/>
        <v>0</v>
      </c>
      <c r="CO59" s="2790">
        <f t="shared" ca="1" si="164"/>
        <v>0</v>
      </c>
      <c r="CP59" s="2790">
        <f t="shared" ca="1" si="164"/>
        <v>0</v>
      </c>
      <c r="CQ59" s="2790">
        <f t="shared" ca="1" si="164"/>
        <v>0</v>
      </c>
      <c r="CR59" s="2790">
        <f t="shared" ca="1" si="164"/>
        <v>0</v>
      </c>
      <c r="CS59" s="2790">
        <f t="shared" ca="1" si="165"/>
        <v>0</v>
      </c>
      <c r="CT59" s="2790">
        <f t="shared" ca="1" si="165"/>
        <v>0</v>
      </c>
      <c r="CU59" s="2790">
        <f t="shared" ca="1" si="165"/>
        <v>0</v>
      </c>
      <c r="CV59" s="2790">
        <f t="shared" ca="1" si="165"/>
        <v>0</v>
      </c>
      <c r="CW59" s="2790">
        <f t="shared" ca="1" si="165"/>
        <v>0</v>
      </c>
      <c r="CX59" s="2790">
        <f t="shared" ca="1" si="165"/>
        <v>0</v>
      </c>
      <c r="CY59" s="2790">
        <f t="shared" ca="1" si="165"/>
        <v>0</v>
      </c>
      <c r="CZ59" s="2790">
        <f t="shared" ca="1" si="165"/>
        <v>0</v>
      </c>
      <c r="DA59" s="2790">
        <f t="shared" ca="1" si="165"/>
        <v>0</v>
      </c>
      <c r="DB59" s="2790">
        <f t="shared" ca="1" si="165"/>
        <v>0</v>
      </c>
      <c r="DC59" s="2790">
        <f t="shared" ca="1" si="165"/>
        <v>0</v>
      </c>
      <c r="DD59" s="2790">
        <f t="shared" ca="1" si="165"/>
        <v>0</v>
      </c>
      <c r="DE59" s="2790">
        <f t="shared" ca="1" si="165"/>
        <v>0</v>
      </c>
      <c r="DF59" s="2790">
        <f t="shared" ca="1" si="165"/>
        <v>0</v>
      </c>
      <c r="DH59" s="596">
        <f t="shared" ca="1" si="120"/>
        <v>0</v>
      </c>
    </row>
    <row r="60" spans="1:112" s="607" customFormat="1" ht="12.75" customHeight="1" outlineLevel="1">
      <c r="C60" s="587" t="s">
        <v>526</v>
      </c>
      <c r="D60" s="588" t="s">
        <v>527</v>
      </c>
      <c r="E60" s="588"/>
      <c r="F60" s="6"/>
      <c r="G60" s="589">
        <f t="shared" ca="1" si="152"/>
        <v>0</v>
      </c>
      <c r="H60" s="589">
        <f t="shared" ca="1" si="152"/>
        <v>0</v>
      </c>
      <c r="I60" s="589">
        <f t="shared" ca="1" si="152"/>
        <v>0</v>
      </c>
      <c r="J60" s="589">
        <f t="shared" ca="1" si="152"/>
        <v>0</v>
      </c>
      <c r="K60" s="589">
        <f t="shared" ca="1" si="152"/>
        <v>0</v>
      </c>
      <c r="L60" s="589">
        <f t="shared" ca="1" si="152"/>
        <v>0</v>
      </c>
      <c r="M60" s="589">
        <f t="shared" ca="1" si="152"/>
        <v>0</v>
      </c>
      <c r="N60" s="589">
        <f t="shared" ca="1" si="152"/>
        <v>0</v>
      </c>
      <c r="O60" s="589">
        <f t="shared" ca="1" si="152"/>
        <v>0</v>
      </c>
      <c r="P60" s="589">
        <f t="shared" ca="1" si="152"/>
        <v>0</v>
      </c>
      <c r="Q60" s="590">
        <f t="shared" ca="1" si="153"/>
        <v>0</v>
      </c>
      <c r="R60" s="6"/>
      <c r="S60" s="591">
        <f t="shared" ca="1" si="154"/>
        <v>0</v>
      </c>
      <c r="T60" s="591">
        <f t="shared" ca="1" si="154"/>
        <v>0</v>
      </c>
      <c r="U60" s="591">
        <f t="shared" ca="1" si="154"/>
        <v>0</v>
      </c>
      <c r="V60" s="591">
        <f t="shared" ca="1" si="154"/>
        <v>0</v>
      </c>
      <c r="W60" s="591">
        <f t="shared" ca="1" si="154"/>
        <v>0</v>
      </c>
      <c r="X60" s="591">
        <f t="shared" ca="1" si="155"/>
        <v>0</v>
      </c>
      <c r="Y60" s="591">
        <f t="shared" ca="1" si="155"/>
        <v>0</v>
      </c>
      <c r="Z60" s="591">
        <f t="shared" ca="1" si="155"/>
        <v>0</v>
      </c>
      <c r="AA60" s="591">
        <f t="shared" ca="1" si="154"/>
        <v>0</v>
      </c>
      <c r="AB60" s="591">
        <f t="shared" ca="1" si="154"/>
        <v>0</v>
      </c>
      <c r="AC60" s="591">
        <f t="shared" ca="1" si="154"/>
        <v>0</v>
      </c>
      <c r="AD60" s="591">
        <f t="shared" ca="1" si="154"/>
        <v>0</v>
      </c>
      <c r="AE60" s="591">
        <f t="shared" ca="1" si="154"/>
        <v>0</v>
      </c>
      <c r="AF60" s="591">
        <f t="shared" ca="1" si="154"/>
        <v>0</v>
      </c>
      <c r="AG60" s="591">
        <f t="shared" ca="1" si="154"/>
        <v>0</v>
      </c>
      <c r="AH60" s="591">
        <f t="shared" ca="1" si="154"/>
        <v>0</v>
      </c>
      <c r="AI60" s="591">
        <f t="shared" ca="1" si="154"/>
        <v>0</v>
      </c>
      <c r="AJ60" s="591">
        <f t="shared" ca="1" si="154"/>
        <v>0</v>
      </c>
      <c r="AK60" s="592">
        <f t="shared" ca="1" si="156"/>
        <v>0</v>
      </c>
      <c r="AL60" s="6"/>
      <c r="AM60" s="593">
        <f t="shared" ca="1" si="157"/>
        <v>0</v>
      </c>
      <c r="AN60" s="593">
        <f t="shared" ca="1" si="157"/>
        <v>0</v>
      </c>
      <c r="AO60" s="593">
        <f t="shared" ca="1" si="157"/>
        <v>0</v>
      </c>
      <c r="AP60" s="593">
        <f t="shared" ca="1" si="157"/>
        <v>0</v>
      </c>
      <c r="AQ60" s="593">
        <f t="shared" ca="1" si="157"/>
        <v>0</v>
      </c>
      <c r="AR60" s="593">
        <f t="shared" ca="1" si="157"/>
        <v>0</v>
      </c>
      <c r="AS60" s="593">
        <f t="shared" ca="1" si="157"/>
        <v>0</v>
      </c>
      <c r="AT60" s="593">
        <f t="shared" ca="1" si="157"/>
        <v>0</v>
      </c>
      <c r="AU60" s="593">
        <f t="shared" ca="1" si="157"/>
        <v>0</v>
      </c>
      <c r="AV60" s="593">
        <f t="shared" ca="1" si="158"/>
        <v>0</v>
      </c>
      <c r="AW60" s="593">
        <f t="shared" ca="1" si="158"/>
        <v>0</v>
      </c>
      <c r="AX60" s="593">
        <f t="shared" ca="1" si="158"/>
        <v>0</v>
      </c>
      <c r="AY60" s="593">
        <f t="shared" ca="1" si="158"/>
        <v>0</v>
      </c>
      <c r="AZ60" s="593">
        <f t="shared" ca="1" si="158"/>
        <v>0</v>
      </c>
      <c r="BA60" s="593">
        <f t="shared" ca="1" si="158"/>
        <v>0</v>
      </c>
      <c r="BB60" s="593">
        <f t="shared" ca="1" si="158"/>
        <v>0</v>
      </c>
      <c r="BC60" s="593">
        <f t="shared" ca="1" si="158"/>
        <v>0</v>
      </c>
      <c r="BD60" s="593">
        <f t="shared" ca="1" si="158"/>
        <v>0</v>
      </c>
      <c r="BE60" s="593">
        <f t="shared" ca="1" si="158"/>
        <v>0</v>
      </c>
      <c r="BF60" s="609">
        <f t="shared" ca="1" si="159"/>
        <v>0</v>
      </c>
      <c r="BG60" s="6"/>
      <c r="BH60" s="3471">
        <f t="shared" ca="1" si="160"/>
        <v>0</v>
      </c>
      <c r="BI60" s="3471">
        <f t="shared" ca="1" si="160"/>
        <v>0</v>
      </c>
      <c r="BJ60" s="3460">
        <f t="shared" ca="1" si="161"/>
        <v>0</v>
      </c>
      <c r="BK60" s="6"/>
      <c r="BL60" s="610">
        <f t="shared" ca="1" si="150"/>
        <v>0</v>
      </c>
      <c r="BM60" s="610"/>
      <c r="BN60" s="413"/>
      <c r="BO60" s="2789">
        <f t="shared" ca="1" si="162"/>
        <v>0</v>
      </c>
      <c r="BP60" s="2790">
        <f t="shared" ca="1" si="162"/>
        <v>0</v>
      </c>
      <c r="BQ60" s="2790">
        <f t="shared" ca="1" si="162"/>
        <v>0</v>
      </c>
      <c r="BR60" s="2790">
        <f t="shared" ca="1" si="162"/>
        <v>0</v>
      </c>
      <c r="BS60" s="2790">
        <f t="shared" ca="1" si="162"/>
        <v>0</v>
      </c>
      <c r="BT60" s="2790">
        <f t="shared" ca="1" si="162"/>
        <v>0</v>
      </c>
      <c r="BU60" s="2790">
        <f t="shared" ca="1" si="162"/>
        <v>0</v>
      </c>
      <c r="BV60" s="2790">
        <f t="shared" ca="1" si="162"/>
        <v>0</v>
      </c>
      <c r="BW60" s="2790">
        <f t="shared" ca="1" si="162"/>
        <v>0</v>
      </c>
      <c r="BX60" s="2790">
        <f t="shared" ca="1" si="162"/>
        <v>0</v>
      </c>
      <c r="BY60" s="2790">
        <f t="shared" ca="1" si="163"/>
        <v>0</v>
      </c>
      <c r="BZ60" s="2790">
        <f t="shared" ca="1" si="163"/>
        <v>0</v>
      </c>
      <c r="CA60" s="2790">
        <f t="shared" ca="1" si="163"/>
        <v>0</v>
      </c>
      <c r="CB60" s="2790">
        <f t="shared" ca="1" si="163"/>
        <v>0</v>
      </c>
      <c r="CC60" s="2790">
        <f t="shared" ca="1" si="163"/>
        <v>0</v>
      </c>
      <c r="CD60" s="2790">
        <f t="shared" ca="1" si="163"/>
        <v>0</v>
      </c>
      <c r="CE60" s="2790">
        <f t="shared" ca="1" si="163"/>
        <v>0</v>
      </c>
      <c r="CF60" s="2790">
        <f t="shared" ca="1" si="163"/>
        <v>0</v>
      </c>
      <c r="CG60" s="2790">
        <f t="shared" ca="1" si="163"/>
        <v>0</v>
      </c>
      <c r="CH60" s="2790">
        <f t="shared" ca="1" si="163"/>
        <v>0</v>
      </c>
      <c r="CI60" s="2790">
        <f t="shared" ca="1" si="164"/>
        <v>0</v>
      </c>
      <c r="CJ60" s="2790">
        <f t="shared" ca="1" si="164"/>
        <v>0</v>
      </c>
      <c r="CK60" s="2790">
        <f t="shared" ca="1" si="164"/>
        <v>0</v>
      </c>
      <c r="CL60" s="2790">
        <f t="shared" ca="1" si="164"/>
        <v>0</v>
      </c>
      <c r="CM60" s="2790">
        <f t="shared" ca="1" si="164"/>
        <v>0</v>
      </c>
      <c r="CN60" s="2790">
        <f t="shared" ca="1" si="164"/>
        <v>0</v>
      </c>
      <c r="CO60" s="2790">
        <f t="shared" ca="1" si="164"/>
        <v>0</v>
      </c>
      <c r="CP60" s="2790">
        <f t="shared" ca="1" si="164"/>
        <v>0</v>
      </c>
      <c r="CQ60" s="2790">
        <f t="shared" ca="1" si="164"/>
        <v>0</v>
      </c>
      <c r="CR60" s="2790">
        <f t="shared" ca="1" si="164"/>
        <v>0</v>
      </c>
      <c r="CS60" s="2790">
        <f t="shared" ca="1" si="165"/>
        <v>0</v>
      </c>
      <c r="CT60" s="2790">
        <f t="shared" ca="1" si="165"/>
        <v>0</v>
      </c>
      <c r="CU60" s="2790">
        <f t="shared" ca="1" si="165"/>
        <v>0</v>
      </c>
      <c r="CV60" s="2790">
        <f t="shared" ca="1" si="165"/>
        <v>0</v>
      </c>
      <c r="CW60" s="2790">
        <f t="shared" ca="1" si="165"/>
        <v>0</v>
      </c>
      <c r="CX60" s="2790">
        <f t="shared" ca="1" si="165"/>
        <v>0</v>
      </c>
      <c r="CY60" s="2790">
        <f t="shared" ca="1" si="165"/>
        <v>0</v>
      </c>
      <c r="CZ60" s="2790">
        <f t="shared" ca="1" si="165"/>
        <v>0</v>
      </c>
      <c r="DA60" s="2790">
        <f t="shared" ca="1" si="165"/>
        <v>0</v>
      </c>
      <c r="DB60" s="2790">
        <f t="shared" ca="1" si="165"/>
        <v>0</v>
      </c>
      <c r="DC60" s="2790">
        <f t="shared" ca="1" si="165"/>
        <v>0</v>
      </c>
      <c r="DD60" s="2790">
        <f t="shared" ca="1" si="165"/>
        <v>0</v>
      </c>
      <c r="DE60" s="2790">
        <f t="shared" ca="1" si="165"/>
        <v>0</v>
      </c>
      <c r="DF60" s="2790">
        <f t="shared" ca="1" si="165"/>
        <v>0</v>
      </c>
      <c r="DH60" s="596">
        <f t="shared" ca="1" si="120"/>
        <v>0</v>
      </c>
    </row>
    <row r="61" spans="1:112" s="607" customFormat="1" ht="12.75" customHeight="1" outlineLevel="1">
      <c r="C61" s="587" t="s">
        <v>528</v>
      </c>
      <c r="D61" s="588" t="s">
        <v>529</v>
      </c>
      <c r="E61" s="588"/>
      <c r="F61" s="6"/>
      <c r="G61" s="589">
        <f t="shared" ca="1" si="152"/>
        <v>0</v>
      </c>
      <c r="H61" s="589">
        <f t="shared" ca="1" si="152"/>
        <v>0</v>
      </c>
      <c r="I61" s="589">
        <f t="shared" ca="1" si="152"/>
        <v>0</v>
      </c>
      <c r="J61" s="589">
        <f t="shared" ca="1" si="152"/>
        <v>0</v>
      </c>
      <c r="K61" s="589">
        <f t="shared" ca="1" si="152"/>
        <v>0</v>
      </c>
      <c r="L61" s="589">
        <f t="shared" ca="1" si="152"/>
        <v>0</v>
      </c>
      <c r="M61" s="589">
        <f t="shared" ca="1" si="152"/>
        <v>0</v>
      </c>
      <c r="N61" s="589">
        <f t="shared" ca="1" si="152"/>
        <v>0</v>
      </c>
      <c r="O61" s="589">
        <f t="shared" ca="1" si="152"/>
        <v>0</v>
      </c>
      <c r="P61" s="589">
        <f t="shared" ca="1" si="152"/>
        <v>0</v>
      </c>
      <c r="Q61" s="590">
        <f t="shared" ca="1" si="153"/>
        <v>0</v>
      </c>
      <c r="R61" s="6"/>
      <c r="S61" s="591">
        <f t="shared" ca="1" si="154"/>
        <v>0</v>
      </c>
      <c r="T61" s="591">
        <f t="shared" ca="1" si="154"/>
        <v>0</v>
      </c>
      <c r="U61" s="591">
        <f t="shared" ca="1" si="154"/>
        <v>0</v>
      </c>
      <c r="V61" s="591">
        <f t="shared" ca="1" si="154"/>
        <v>0</v>
      </c>
      <c r="W61" s="591">
        <f t="shared" ca="1" si="154"/>
        <v>0</v>
      </c>
      <c r="X61" s="591">
        <f t="shared" ca="1" si="155"/>
        <v>0</v>
      </c>
      <c r="Y61" s="591">
        <f t="shared" ca="1" si="155"/>
        <v>0</v>
      </c>
      <c r="Z61" s="591">
        <f t="shared" ca="1" si="155"/>
        <v>0</v>
      </c>
      <c r="AA61" s="591">
        <f t="shared" ca="1" si="154"/>
        <v>0</v>
      </c>
      <c r="AB61" s="591">
        <f t="shared" ca="1" si="154"/>
        <v>0</v>
      </c>
      <c r="AC61" s="591">
        <f t="shared" ca="1" si="154"/>
        <v>0</v>
      </c>
      <c r="AD61" s="591">
        <f t="shared" ca="1" si="154"/>
        <v>0</v>
      </c>
      <c r="AE61" s="591">
        <f t="shared" ca="1" si="154"/>
        <v>0</v>
      </c>
      <c r="AF61" s="591">
        <f t="shared" ca="1" si="154"/>
        <v>0</v>
      </c>
      <c r="AG61" s="591">
        <f t="shared" ca="1" si="154"/>
        <v>0</v>
      </c>
      <c r="AH61" s="591">
        <f t="shared" ca="1" si="154"/>
        <v>0</v>
      </c>
      <c r="AI61" s="591">
        <f t="shared" ca="1" si="154"/>
        <v>0</v>
      </c>
      <c r="AJ61" s="591">
        <f t="shared" ca="1" si="154"/>
        <v>0</v>
      </c>
      <c r="AK61" s="592">
        <f t="shared" ca="1" si="156"/>
        <v>0</v>
      </c>
      <c r="AL61" s="6"/>
      <c r="AM61" s="593">
        <f t="shared" ca="1" si="157"/>
        <v>0</v>
      </c>
      <c r="AN61" s="593">
        <f t="shared" ca="1" si="157"/>
        <v>0</v>
      </c>
      <c r="AO61" s="593">
        <f t="shared" ca="1" si="157"/>
        <v>0</v>
      </c>
      <c r="AP61" s="593">
        <f t="shared" ca="1" si="157"/>
        <v>0</v>
      </c>
      <c r="AQ61" s="593">
        <f t="shared" ca="1" si="157"/>
        <v>0</v>
      </c>
      <c r="AR61" s="593">
        <f t="shared" ca="1" si="157"/>
        <v>0</v>
      </c>
      <c r="AS61" s="593">
        <f t="shared" ca="1" si="157"/>
        <v>0</v>
      </c>
      <c r="AT61" s="593">
        <f t="shared" ca="1" si="157"/>
        <v>0</v>
      </c>
      <c r="AU61" s="593">
        <f t="shared" ca="1" si="157"/>
        <v>0</v>
      </c>
      <c r="AV61" s="593">
        <f t="shared" ca="1" si="158"/>
        <v>0</v>
      </c>
      <c r="AW61" s="593">
        <f t="shared" ca="1" si="158"/>
        <v>0</v>
      </c>
      <c r="AX61" s="593">
        <f t="shared" ca="1" si="158"/>
        <v>0</v>
      </c>
      <c r="AY61" s="593">
        <f t="shared" ca="1" si="158"/>
        <v>0</v>
      </c>
      <c r="AZ61" s="593">
        <f t="shared" ca="1" si="158"/>
        <v>0</v>
      </c>
      <c r="BA61" s="593">
        <f t="shared" ca="1" si="158"/>
        <v>0</v>
      </c>
      <c r="BB61" s="593">
        <f t="shared" ca="1" si="158"/>
        <v>0</v>
      </c>
      <c r="BC61" s="593">
        <f t="shared" ca="1" si="158"/>
        <v>0</v>
      </c>
      <c r="BD61" s="593">
        <f t="shared" ca="1" si="158"/>
        <v>0</v>
      </c>
      <c r="BE61" s="593">
        <f t="shared" ca="1" si="158"/>
        <v>0</v>
      </c>
      <c r="BF61" s="609">
        <f t="shared" ca="1" si="159"/>
        <v>0</v>
      </c>
      <c r="BG61" s="6"/>
      <c r="BH61" s="3471">
        <f t="shared" ca="1" si="160"/>
        <v>0</v>
      </c>
      <c r="BI61" s="3471">
        <f t="shared" ca="1" si="160"/>
        <v>0</v>
      </c>
      <c r="BJ61" s="3460">
        <f t="shared" ca="1" si="161"/>
        <v>0</v>
      </c>
      <c r="BK61" s="6"/>
      <c r="BL61" s="610">
        <f t="shared" ca="1" si="150"/>
        <v>0</v>
      </c>
      <c r="BM61" s="610"/>
      <c r="BN61" s="413"/>
      <c r="BO61" s="2789">
        <f t="shared" ca="1" si="162"/>
        <v>0</v>
      </c>
      <c r="BP61" s="2790">
        <f t="shared" ca="1" si="162"/>
        <v>0</v>
      </c>
      <c r="BQ61" s="2790">
        <f t="shared" ca="1" si="162"/>
        <v>0</v>
      </c>
      <c r="BR61" s="2790">
        <f t="shared" ca="1" si="162"/>
        <v>0</v>
      </c>
      <c r="BS61" s="2790">
        <f t="shared" ca="1" si="162"/>
        <v>0</v>
      </c>
      <c r="BT61" s="2790">
        <f t="shared" ca="1" si="162"/>
        <v>0</v>
      </c>
      <c r="BU61" s="2790">
        <f t="shared" ca="1" si="162"/>
        <v>0</v>
      </c>
      <c r="BV61" s="2790">
        <f t="shared" ca="1" si="162"/>
        <v>0</v>
      </c>
      <c r="BW61" s="2790">
        <f t="shared" ca="1" si="162"/>
        <v>0</v>
      </c>
      <c r="BX61" s="2790">
        <f t="shared" ca="1" si="162"/>
        <v>0</v>
      </c>
      <c r="BY61" s="2790">
        <f t="shared" ca="1" si="163"/>
        <v>0</v>
      </c>
      <c r="BZ61" s="2790">
        <f t="shared" ca="1" si="163"/>
        <v>0</v>
      </c>
      <c r="CA61" s="2790">
        <f t="shared" ca="1" si="163"/>
        <v>0</v>
      </c>
      <c r="CB61" s="2790">
        <f t="shared" ca="1" si="163"/>
        <v>0</v>
      </c>
      <c r="CC61" s="2790">
        <f t="shared" ca="1" si="163"/>
        <v>0</v>
      </c>
      <c r="CD61" s="2790">
        <f t="shared" ca="1" si="163"/>
        <v>0</v>
      </c>
      <c r="CE61" s="2790">
        <f t="shared" ca="1" si="163"/>
        <v>0</v>
      </c>
      <c r="CF61" s="2790">
        <f t="shared" ca="1" si="163"/>
        <v>0</v>
      </c>
      <c r="CG61" s="2790">
        <f t="shared" ca="1" si="163"/>
        <v>0</v>
      </c>
      <c r="CH61" s="2790">
        <f t="shared" ca="1" si="163"/>
        <v>0</v>
      </c>
      <c r="CI61" s="2790">
        <f t="shared" ca="1" si="164"/>
        <v>0</v>
      </c>
      <c r="CJ61" s="2790">
        <f t="shared" ca="1" si="164"/>
        <v>0</v>
      </c>
      <c r="CK61" s="2790">
        <f t="shared" ca="1" si="164"/>
        <v>0</v>
      </c>
      <c r="CL61" s="2790">
        <f t="shared" ca="1" si="164"/>
        <v>0</v>
      </c>
      <c r="CM61" s="2790">
        <f t="shared" ca="1" si="164"/>
        <v>0</v>
      </c>
      <c r="CN61" s="2790">
        <f t="shared" ca="1" si="164"/>
        <v>0</v>
      </c>
      <c r="CO61" s="2790">
        <f t="shared" ca="1" si="164"/>
        <v>0</v>
      </c>
      <c r="CP61" s="2790">
        <f t="shared" ca="1" si="164"/>
        <v>0</v>
      </c>
      <c r="CQ61" s="2790">
        <f t="shared" ca="1" si="164"/>
        <v>0</v>
      </c>
      <c r="CR61" s="2790">
        <f t="shared" ca="1" si="164"/>
        <v>0</v>
      </c>
      <c r="CS61" s="2790">
        <f t="shared" ca="1" si="165"/>
        <v>0</v>
      </c>
      <c r="CT61" s="2790">
        <f t="shared" ca="1" si="165"/>
        <v>0</v>
      </c>
      <c r="CU61" s="2790">
        <f t="shared" ca="1" si="165"/>
        <v>0</v>
      </c>
      <c r="CV61" s="2790">
        <f t="shared" ca="1" si="165"/>
        <v>0</v>
      </c>
      <c r="CW61" s="2790">
        <f t="shared" ca="1" si="165"/>
        <v>0</v>
      </c>
      <c r="CX61" s="2790">
        <f t="shared" ca="1" si="165"/>
        <v>0</v>
      </c>
      <c r="CY61" s="2790">
        <f t="shared" ca="1" si="165"/>
        <v>0</v>
      </c>
      <c r="CZ61" s="2790">
        <f t="shared" ca="1" si="165"/>
        <v>0</v>
      </c>
      <c r="DA61" s="2790">
        <f t="shared" ca="1" si="165"/>
        <v>0</v>
      </c>
      <c r="DB61" s="2790">
        <f t="shared" ca="1" si="165"/>
        <v>0</v>
      </c>
      <c r="DC61" s="2790">
        <f t="shared" ca="1" si="165"/>
        <v>0</v>
      </c>
      <c r="DD61" s="2790">
        <f t="shared" ca="1" si="165"/>
        <v>0</v>
      </c>
      <c r="DE61" s="2790">
        <f t="shared" ca="1" si="165"/>
        <v>0</v>
      </c>
      <c r="DF61" s="2790">
        <f t="shared" ca="1" si="165"/>
        <v>0</v>
      </c>
      <c r="DH61" s="596">
        <f t="shared" ca="1" si="120"/>
        <v>0</v>
      </c>
    </row>
    <row r="62" spans="1:112" s="6" customFormat="1" ht="12.75" customHeight="1" outlineLevel="1">
      <c r="A62" s="607"/>
      <c r="B62" s="607"/>
      <c r="C62" s="587" t="s">
        <v>530</v>
      </c>
      <c r="D62" s="611" t="s">
        <v>531</v>
      </c>
      <c r="E62" s="611"/>
      <c r="G62" s="619">
        <f t="shared" ca="1" si="152"/>
        <v>0</v>
      </c>
      <c r="H62" s="619">
        <f t="shared" ca="1" si="152"/>
        <v>0</v>
      </c>
      <c r="I62" s="619">
        <f t="shared" ca="1" si="152"/>
        <v>0</v>
      </c>
      <c r="J62" s="619">
        <f t="shared" ca="1" si="152"/>
        <v>0</v>
      </c>
      <c r="K62" s="619">
        <f t="shared" ca="1" si="152"/>
        <v>0</v>
      </c>
      <c r="L62" s="619">
        <f t="shared" ca="1" si="152"/>
        <v>0</v>
      </c>
      <c r="M62" s="619">
        <f t="shared" ca="1" si="152"/>
        <v>0</v>
      </c>
      <c r="N62" s="619">
        <f t="shared" ca="1" si="152"/>
        <v>0</v>
      </c>
      <c r="O62" s="619">
        <f t="shared" ca="1" si="152"/>
        <v>0</v>
      </c>
      <c r="P62" s="619">
        <f t="shared" ca="1" si="152"/>
        <v>0</v>
      </c>
      <c r="Q62" s="612">
        <f t="shared" ca="1" si="153"/>
        <v>0</v>
      </c>
      <c r="S62" s="620">
        <f t="shared" ca="1" si="154"/>
        <v>0</v>
      </c>
      <c r="T62" s="620">
        <f t="shared" ca="1" si="154"/>
        <v>0</v>
      </c>
      <c r="U62" s="620">
        <f t="shared" ca="1" si="154"/>
        <v>0</v>
      </c>
      <c r="V62" s="620">
        <f t="shared" ca="1" si="154"/>
        <v>0</v>
      </c>
      <c r="W62" s="620">
        <f t="shared" ca="1" si="154"/>
        <v>0</v>
      </c>
      <c r="X62" s="620">
        <f t="shared" ca="1" si="155"/>
        <v>0</v>
      </c>
      <c r="Y62" s="620">
        <f t="shared" ca="1" si="155"/>
        <v>0</v>
      </c>
      <c r="Z62" s="620">
        <f t="shared" ca="1" si="155"/>
        <v>0</v>
      </c>
      <c r="AA62" s="620">
        <f t="shared" ca="1" si="154"/>
        <v>0</v>
      </c>
      <c r="AB62" s="620">
        <f t="shared" ca="1" si="154"/>
        <v>0</v>
      </c>
      <c r="AC62" s="620">
        <f t="shared" ca="1" si="154"/>
        <v>0</v>
      </c>
      <c r="AD62" s="620">
        <f t="shared" ca="1" si="154"/>
        <v>0</v>
      </c>
      <c r="AE62" s="620">
        <f t="shared" ca="1" si="154"/>
        <v>0</v>
      </c>
      <c r="AF62" s="620">
        <f t="shared" ca="1" si="154"/>
        <v>0</v>
      </c>
      <c r="AG62" s="620">
        <f t="shared" ca="1" si="154"/>
        <v>0</v>
      </c>
      <c r="AH62" s="620">
        <f t="shared" ca="1" si="154"/>
        <v>0</v>
      </c>
      <c r="AI62" s="620">
        <f t="shared" ca="1" si="154"/>
        <v>0</v>
      </c>
      <c r="AJ62" s="620">
        <f t="shared" ca="1" si="154"/>
        <v>0</v>
      </c>
      <c r="AK62" s="613">
        <f t="shared" ca="1" si="156"/>
        <v>0</v>
      </c>
      <c r="AM62" s="621">
        <f t="shared" ca="1" si="157"/>
        <v>0</v>
      </c>
      <c r="AN62" s="621">
        <f t="shared" ca="1" si="157"/>
        <v>0</v>
      </c>
      <c r="AO62" s="621">
        <f t="shared" ca="1" si="157"/>
        <v>0</v>
      </c>
      <c r="AP62" s="621">
        <f t="shared" ca="1" si="157"/>
        <v>0</v>
      </c>
      <c r="AQ62" s="621">
        <f t="shared" ca="1" si="157"/>
        <v>0</v>
      </c>
      <c r="AR62" s="621">
        <f t="shared" ca="1" si="157"/>
        <v>0</v>
      </c>
      <c r="AS62" s="621">
        <f t="shared" ca="1" si="157"/>
        <v>0</v>
      </c>
      <c r="AT62" s="621">
        <f t="shared" ca="1" si="157"/>
        <v>0</v>
      </c>
      <c r="AU62" s="621">
        <f t="shared" ca="1" si="157"/>
        <v>0</v>
      </c>
      <c r="AV62" s="621">
        <f t="shared" ca="1" si="158"/>
        <v>0</v>
      </c>
      <c r="AW62" s="621">
        <f t="shared" ca="1" si="158"/>
        <v>0</v>
      </c>
      <c r="AX62" s="621">
        <f t="shared" ca="1" si="158"/>
        <v>0</v>
      </c>
      <c r="AY62" s="621">
        <f t="shared" ca="1" si="158"/>
        <v>0</v>
      </c>
      <c r="AZ62" s="621">
        <f t="shared" ca="1" si="158"/>
        <v>0</v>
      </c>
      <c r="BA62" s="621">
        <f t="shared" ca="1" si="158"/>
        <v>0</v>
      </c>
      <c r="BB62" s="621">
        <f t="shared" ca="1" si="158"/>
        <v>0</v>
      </c>
      <c r="BC62" s="621">
        <f t="shared" ca="1" si="158"/>
        <v>0</v>
      </c>
      <c r="BD62" s="621">
        <f t="shared" ca="1" si="158"/>
        <v>0</v>
      </c>
      <c r="BE62" s="621">
        <f t="shared" ca="1" si="158"/>
        <v>0</v>
      </c>
      <c r="BF62" s="615">
        <f t="shared" ca="1" si="159"/>
        <v>0</v>
      </c>
      <c r="BH62" s="3473">
        <f t="shared" ca="1" si="160"/>
        <v>0</v>
      </c>
      <c r="BI62" s="3473">
        <f t="shared" ca="1" si="160"/>
        <v>0</v>
      </c>
      <c r="BJ62" s="3462">
        <f t="shared" ca="1" si="161"/>
        <v>0</v>
      </c>
      <c r="BL62" s="610">
        <f t="shared" ca="1" si="150"/>
        <v>0</v>
      </c>
      <c r="BM62" s="610"/>
      <c r="BN62" s="413"/>
      <c r="BO62" s="2791">
        <f t="shared" ca="1" si="162"/>
        <v>0</v>
      </c>
      <c r="BP62" s="2792">
        <f t="shared" ca="1" si="162"/>
        <v>0</v>
      </c>
      <c r="BQ62" s="2792">
        <f t="shared" ca="1" si="162"/>
        <v>0</v>
      </c>
      <c r="BR62" s="2792">
        <f t="shared" ca="1" si="162"/>
        <v>0</v>
      </c>
      <c r="BS62" s="2792">
        <f t="shared" ca="1" si="162"/>
        <v>0</v>
      </c>
      <c r="BT62" s="2792">
        <f t="shared" ca="1" si="162"/>
        <v>0</v>
      </c>
      <c r="BU62" s="2792">
        <f t="shared" ca="1" si="162"/>
        <v>0</v>
      </c>
      <c r="BV62" s="2792">
        <f t="shared" ca="1" si="162"/>
        <v>0</v>
      </c>
      <c r="BW62" s="2792">
        <f t="shared" ca="1" si="162"/>
        <v>0</v>
      </c>
      <c r="BX62" s="2792">
        <f t="shared" ca="1" si="162"/>
        <v>0</v>
      </c>
      <c r="BY62" s="2792">
        <f t="shared" ca="1" si="163"/>
        <v>0</v>
      </c>
      <c r="BZ62" s="2792">
        <f t="shared" ca="1" si="163"/>
        <v>0</v>
      </c>
      <c r="CA62" s="2792">
        <f t="shared" ca="1" si="163"/>
        <v>0</v>
      </c>
      <c r="CB62" s="2792">
        <f t="shared" ca="1" si="163"/>
        <v>0</v>
      </c>
      <c r="CC62" s="2792">
        <f t="shared" ca="1" si="163"/>
        <v>0</v>
      </c>
      <c r="CD62" s="2792">
        <f t="shared" ca="1" si="163"/>
        <v>0</v>
      </c>
      <c r="CE62" s="2792">
        <f t="shared" ca="1" si="163"/>
        <v>0</v>
      </c>
      <c r="CF62" s="2792">
        <f t="shared" ca="1" si="163"/>
        <v>0</v>
      </c>
      <c r="CG62" s="2792">
        <f t="shared" ca="1" si="163"/>
        <v>0</v>
      </c>
      <c r="CH62" s="2792">
        <f t="shared" ca="1" si="163"/>
        <v>0</v>
      </c>
      <c r="CI62" s="2792">
        <f t="shared" ca="1" si="164"/>
        <v>0</v>
      </c>
      <c r="CJ62" s="2792">
        <f t="shared" ca="1" si="164"/>
        <v>0</v>
      </c>
      <c r="CK62" s="2792">
        <f t="shared" ca="1" si="164"/>
        <v>0</v>
      </c>
      <c r="CL62" s="2792">
        <f t="shared" ca="1" si="164"/>
        <v>0</v>
      </c>
      <c r="CM62" s="2792">
        <f t="shared" ca="1" si="164"/>
        <v>0</v>
      </c>
      <c r="CN62" s="2792">
        <f t="shared" ca="1" si="164"/>
        <v>0</v>
      </c>
      <c r="CO62" s="2792">
        <f t="shared" ca="1" si="164"/>
        <v>0</v>
      </c>
      <c r="CP62" s="2792">
        <f t="shared" ca="1" si="164"/>
        <v>0</v>
      </c>
      <c r="CQ62" s="2792">
        <f t="shared" ca="1" si="164"/>
        <v>0</v>
      </c>
      <c r="CR62" s="2792">
        <f t="shared" ca="1" si="164"/>
        <v>0</v>
      </c>
      <c r="CS62" s="2792">
        <f t="shared" ca="1" si="165"/>
        <v>0</v>
      </c>
      <c r="CT62" s="2792">
        <f t="shared" ca="1" si="165"/>
        <v>0</v>
      </c>
      <c r="CU62" s="2792">
        <f t="shared" ca="1" si="165"/>
        <v>0</v>
      </c>
      <c r="CV62" s="2792">
        <f t="shared" ca="1" si="165"/>
        <v>0</v>
      </c>
      <c r="CW62" s="2792">
        <f t="shared" ca="1" si="165"/>
        <v>0</v>
      </c>
      <c r="CX62" s="2792">
        <f t="shared" ca="1" si="165"/>
        <v>0</v>
      </c>
      <c r="CY62" s="2792">
        <f t="shared" ca="1" si="165"/>
        <v>0</v>
      </c>
      <c r="CZ62" s="2792">
        <f t="shared" ca="1" si="165"/>
        <v>0</v>
      </c>
      <c r="DA62" s="2792">
        <f t="shared" ca="1" si="165"/>
        <v>0</v>
      </c>
      <c r="DB62" s="2792">
        <f t="shared" ca="1" si="165"/>
        <v>0</v>
      </c>
      <c r="DC62" s="2792">
        <f t="shared" ca="1" si="165"/>
        <v>0</v>
      </c>
      <c r="DD62" s="2792">
        <f t="shared" ca="1" si="165"/>
        <v>0</v>
      </c>
      <c r="DE62" s="2792">
        <f t="shared" ca="1" si="165"/>
        <v>0</v>
      </c>
      <c r="DF62" s="2792">
        <f t="shared" ca="1" si="165"/>
        <v>0</v>
      </c>
      <c r="DH62" s="596">
        <f t="shared" ca="1" si="120"/>
        <v>0</v>
      </c>
    </row>
    <row r="63" spans="1:112" s="6" customFormat="1" ht="15.75">
      <c r="A63" s="4"/>
      <c r="B63" s="3"/>
      <c r="C63" s="616" t="s">
        <v>532</v>
      </c>
      <c r="D63" s="617" t="s">
        <v>533</v>
      </c>
      <c r="E63" s="206"/>
      <c r="G63" s="579">
        <f t="shared" ref="G63:P63" ca="1" si="166">SUM(G57:G62)</f>
        <v>0</v>
      </c>
      <c r="H63" s="579">
        <f t="shared" ca="1" si="166"/>
        <v>0</v>
      </c>
      <c r="I63" s="579">
        <f t="shared" ca="1" si="166"/>
        <v>0</v>
      </c>
      <c r="J63" s="579">
        <f t="shared" ca="1" si="166"/>
        <v>0</v>
      </c>
      <c r="K63" s="579">
        <f t="shared" ca="1" si="166"/>
        <v>0</v>
      </c>
      <c r="L63" s="579">
        <f t="shared" ca="1" si="166"/>
        <v>0</v>
      </c>
      <c r="M63" s="579">
        <f t="shared" ca="1" si="166"/>
        <v>0</v>
      </c>
      <c r="N63" s="579">
        <f t="shared" ca="1" si="166"/>
        <v>0</v>
      </c>
      <c r="O63" s="579">
        <f t="shared" ca="1" si="166"/>
        <v>0</v>
      </c>
      <c r="P63" s="579">
        <f t="shared" ca="1" si="166"/>
        <v>0</v>
      </c>
      <c r="Q63" s="618">
        <f t="shared" ca="1" si="153"/>
        <v>0</v>
      </c>
      <c r="S63" s="581">
        <f t="shared" ref="S63:AJ63" ca="1" si="167">SUM(S57:S62)</f>
        <v>0</v>
      </c>
      <c r="T63" s="581">
        <f t="shared" ca="1" si="167"/>
        <v>5.249256120000001</v>
      </c>
      <c r="U63" s="581">
        <f t="shared" ca="1" si="167"/>
        <v>0</v>
      </c>
      <c r="V63" s="581">
        <f t="shared" ca="1" si="167"/>
        <v>0</v>
      </c>
      <c r="W63" s="581">
        <f t="shared" ca="1" si="167"/>
        <v>0</v>
      </c>
      <c r="X63" s="581">
        <f t="shared" ca="1" si="167"/>
        <v>0</v>
      </c>
      <c r="Y63" s="581">
        <f t="shared" ca="1" si="167"/>
        <v>0</v>
      </c>
      <c r="Z63" s="581">
        <f t="shared" ca="1" si="167"/>
        <v>0</v>
      </c>
      <c r="AA63" s="581">
        <f t="shared" ca="1" si="167"/>
        <v>0</v>
      </c>
      <c r="AB63" s="581">
        <f t="shared" ca="1" si="167"/>
        <v>0</v>
      </c>
      <c r="AC63" s="581">
        <f t="shared" ca="1" si="167"/>
        <v>0</v>
      </c>
      <c r="AD63" s="581">
        <f t="shared" ca="1" si="167"/>
        <v>0</v>
      </c>
      <c r="AE63" s="581">
        <f ca="1">SUM(AE57:AE62)</f>
        <v>0</v>
      </c>
      <c r="AF63" s="581">
        <f t="shared" ca="1" si="167"/>
        <v>0</v>
      </c>
      <c r="AG63" s="581">
        <f t="shared" ca="1" si="167"/>
        <v>0</v>
      </c>
      <c r="AH63" s="581">
        <f ca="1">SUM(AH57:AH62)</f>
        <v>0</v>
      </c>
      <c r="AI63" s="581">
        <f t="shared" ca="1" si="167"/>
        <v>0</v>
      </c>
      <c r="AJ63" s="581">
        <f t="shared" ca="1" si="167"/>
        <v>0</v>
      </c>
      <c r="AK63" s="581">
        <f t="shared" ca="1" si="156"/>
        <v>5.249256120000001</v>
      </c>
      <c r="AM63" s="582">
        <f t="shared" ref="AM63:BE63" ca="1" si="168">SUM(AM57:AM62)</f>
        <v>0</v>
      </c>
      <c r="AN63" s="582">
        <f t="shared" ca="1" si="168"/>
        <v>0</v>
      </c>
      <c r="AO63" s="582">
        <f t="shared" ca="1" si="168"/>
        <v>0</v>
      </c>
      <c r="AP63" s="582">
        <f t="shared" ca="1" si="168"/>
        <v>0</v>
      </c>
      <c r="AQ63" s="582">
        <f t="shared" ca="1" si="168"/>
        <v>0</v>
      </c>
      <c r="AR63" s="582">
        <f t="shared" ca="1" si="168"/>
        <v>0</v>
      </c>
      <c r="AS63" s="582">
        <f t="shared" ca="1" si="168"/>
        <v>0</v>
      </c>
      <c r="AT63" s="582">
        <f t="shared" ca="1" si="168"/>
        <v>0</v>
      </c>
      <c r="AU63" s="582">
        <f t="shared" ca="1" si="168"/>
        <v>0</v>
      </c>
      <c r="AV63" s="582">
        <f t="shared" ca="1" si="168"/>
        <v>0</v>
      </c>
      <c r="AW63" s="582">
        <f t="shared" ca="1" si="168"/>
        <v>0</v>
      </c>
      <c r="AX63" s="582">
        <f t="shared" ca="1" si="168"/>
        <v>-4.5013410000000009</v>
      </c>
      <c r="AY63" s="582">
        <f t="shared" ca="1" si="168"/>
        <v>0</v>
      </c>
      <c r="AZ63" s="582">
        <f t="shared" ca="1" si="168"/>
        <v>0</v>
      </c>
      <c r="BA63" s="582">
        <f t="shared" ca="1" si="168"/>
        <v>0</v>
      </c>
      <c r="BB63" s="582">
        <f t="shared" ca="1" si="168"/>
        <v>-0.74791511999999993</v>
      </c>
      <c r="BC63" s="582">
        <f t="shared" ca="1" si="168"/>
        <v>0</v>
      </c>
      <c r="BD63" s="582">
        <f t="shared" ca="1" si="168"/>
        <v>0</v>
      </c>
      <c r="BE63" s="582">
        <f t="shared" ca="1" si="168"/>
        <v>0</v>
      </c>
      <c r="BF63" s="582">
        <f t="shared" ca="1" si="159"/>
        <v>-5.249256120000001</v>
      </c>
      <c r="BH63" s="3463">
        <f ca="1">SUM(BH57:BH62)</f>
        <v>0</v>
      </c>
      <c r="BI63" s="3463">
        <f ca="1">SUM(BI57:BI62)</f>
        <v>0</v>
      </c>
      <c r="BJ63" s="3463">
        <f t="shared" ca="1" si="161"/>
        <v>0</v>
      </c>
      <c r="BL63" s="3477">
        <f t="shared" ca="1" si="150"/>
        <v>0</v>
      </c>
      <c r="BM63" s="584"/>
      <c r="BN63" s="413"/>
      <c r="BO63" s="2790">
        <f t="shared" ref="BO63:DF63" ca="1" si="169">SUM(BO57:BO62)</f>
        <v>0</v>
      </c>
      <c r="BP63" s="2790">
        <f t="shared" ca="1" si="169"/>
        <v>0</v>
      </c>
      <c r="BQ63" s="2790">
        <f t="shared" ca="1" si="169"/>
        <v>0</v>
      </c>
      <c r="BR63" s="2790">
        <f t="shared" ca="1" si="169"/>
        <v>0</v>
      </c>
      <c r="BS63" s="2790">
        <f t="shared" ca="1" si="169"/>
        <v>0</v>
      </c>
      <c r="BT63" s="2790">
        <f t="shared" ca="1" si="169"/>
        <v>0</v>
      </c>
      <c r="BU63" s="2790">
        <f t="shared" ca="1" si="169"/>
        <v>0</v>
      </c>
      <c r="BV63" s="2790">
        <f t="shared" ca="1" si="169"/>
        <v>0</v>
      </c>
      <c r="BW63" s="2790">
        <f t="shared" ca="1" si="169"/>
        <v>0</v>
      </c>
      <c r="BX63" s="2790">
        <f t="shared" ca="1" si="169"/>
        <v>0</v>
      </c>
      <c r="BY63" s="2790">
        <f t="shared" ca="1" si="169"/>
        <v>0</v>
      </c>
      <c r="BZ63" s="2790">
        <f t="shared" ca="1" si="169"/>
        <v>0</v>
      </c>
      <c r="CA63" s="2790">
        <f t="shared" ca="1" si="169"/>
        <v>0</v>
      </c>
      <c r="CB63" s="2790">
        <f t="shared" ca="1" si="169"/>
        <v>0</v>
      </c>
      <c r="CC63" s="2790">
        <f t="shared" ca="1" si="169"/>
        <v>0</v>
      </c>
      <c r="CD63" s="2790">
        <f t="shared" ca="1" si="169"/>
        <v>0</v>
      </c>
      <c r="CE63" s="2790">
        <f t="shared" ca="1" si="169"/>
        <v>0</v>
      </c>
      <c r="CF63" s="2790">
        <f t="shared" ca="1" si="169"/>
        <v>0</v>
      </c>
      <c r="CG63" s="2790">
        <f t="shared" ca="1" si="169"/>
        <v>0</v>
      </c>
      <c r="CH63" s="2790">
        <f t="shared" ca="1" si="169"/>
        <v>0</v>
      </c>
      <c r="CI63" s="2790">
        <f t="shared" ca="1" si="169"/>
        <v>0</v>
      </c>
      <c r="CJ63" s="2790">
        <f t="shared" ca="1" si="169"/>
        <v>0</v>
      </c>
      <c r="CK63" s="2790">
        <f t="shared" ca="1" si="169"/>
        <v>0</v>
      </c>
      <c r="CL63" s="2790">
        <f t="shared" ca="1" si="169"/>
        <v>0</v>
      </c>
      <c r="CM63" s="2790">
        <f t="shared" ca="1" si="169"/>
        <v>0</v>
      </c>
      <c r="CN63" s="2790">
        <f t="shared" ca="1" si="169"/>
        <v>0</v>
      </c>
      <c r="CO63" s="2790">
        <f t="shared" ca="1" si="169"/>
        <v>0</v>
      </c>
      <c r="CP63" s="2790">
        <f t="shared" ca="1" si="169"/>
        <v>0</v>
      </c>
      <c r="CQ63" s="2790">
        <f t="shared" ca="1" si="169"/>
        <v>0</v>
      </c>
      <c r="CR63" s="2790">
        <f t="shared" ca="1" si="169"/>
        <v>0</v>
      </c>
      <c r="CS63" s="2790">
        <f t="shared" ca="1" si="169"/>
        <v>0</v>
      </c>
      <c r="CT63" s="2790">
        <f t="shared" ca="1" si="169"/>
        <v>0</v>
      </c>
      <c r="CU63" s="2790">
        <f t="shared" ca="1" si="169"/>
        <v>0</v>
      </c>
      <c r="CV63" s="2790">
        <f t="shared" ca="1" si="169"/>
        <v>0</v>
      </c>
      <c r="CW63" s="2790">
        <f t="shared" ca="1" si="169"/>
        <v>0</v>
      </c>
      <c r="CX63" s="2790">
        <f t="shared" ca="1" si="169"/>
        <v>0</v>
      </c>
      <c r="CY63" s="2790">
        <f t="shared" ca="1" si="169"/>
        <v>0</v>
      </c>
      <c r="CZ63" s="2790">
        <f t="shared" ca="1" si="169"/>
        <v>0</v>
      </c>
      <c r="DA63" s="2790">
        <f t="shared" ca="1" si="169"/>
        <v>0</v>
      </c>
      <c r="DB63" s="2790">
        <f t="shared" ca="1" si="169"/>
        <v>0</v>
      </c>
      <c r="DC63" s="2790">
        <f t="shared" ca="1" si="169"/>
        <v>0</v>
      </c>
      <c r="DD63" s="2790">
        <f t="shared" ca="1" si="169"/>
        <v>0</v>
      </c>
      <c r="DE63" s="2790">
        <f t="shared" ca="1" si="169"/>
        <v>0</v>
      </c>
      <c r="DF63" s="2790">
        <f t="shared" ca="1" si="169"/>
        <v>0</v>
      </c>
      <c r="DH63" s="596">
        <f t="shared" ca="1" si="120"/>
        <v>0</v>
      </c>
    </row>
    <row r="64" spans="1:112" s="6" customFormat="1" ht="12.75" customHeight="1" outlineLevel="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20"/>
        <v>0</v>
      </c>
    </row>
    <row r="65" spans="1:112" s="607" customFormat="1" ht="12.75" customHeight="1" outlineLevel="1">
      <c r="C65" s="587" t="s">
        <v>534</v>
      </c>
      <c r="D65" s="588" t="s">
        <v>535</v>
      </c>
      <c r="E65" s="588"/>
      <c r="G65" s="657">
        <f t="shared" ref="G65:P67" ca="1" si="170">IFERROR(INDEX(INDIRECT($C65&amp;".Outputs["&amp;this.Year&amp;"]"), MATCH(G$5, INDIRECT($C65&amp;".Outputs[Vector]"), 0)), 0)</f>
        <v>0</v>
      </c>
      <c r="H65" s="657">
        <f t="shared" ca="1" si="170"/>
        <v>0</v>
      </c>
      <c r="I65" s="657">
        <f t="shared" ca="1" si="170"/>
        <v>0</v>
      </c>
      <c r="J65" s="657">
        <f t="shared" ca="1" si="170"/>
        <v>0</v>
      </c>
      <c r="K65" s="658">
        <f t="shared" ca="1" si="170"/>
        <v>0</v>
      </c>
      <c r="L65" s="657">
        <f t="shared" ca="1" si="170"/>
        <v>0</v>
      </c>
      <c r="M65" s="657">
        <f t="shared" ca="1" si="170"/>
        <v>0</v>
      </c>
      <c r="N65" s="657">
        <f t="shared" ca="1" si="170"/>
        <v>0</v>
      </c>
      <c r="O65" s="657">
        <f t="shared" ca="1" si="170"/>
        <v>0</v>
      </c>
      <c r="P65" s="657">
        <f t="shared" ca="1" si="170"/>
        <v>0</v>
      </c>
      <c r="Q65" s="659">
        <f ca="1">SUM(G65:P65)</f>
        <v>0</v>
      </c>
      <c r="S65" s="660">
        <f t="shared" ref="S65:AJ67" ca="1" si="171">IFERROR(INDEX(INDIRECT($C65&amp;".Outputs["&amp;this.Year&amp;"]"), MATCH(S$5, INDIRECT($C65&amp;".Outputs[Vector]"), 0)), 0)</f>
        <v>0</v>
      </c>
      <c r="T65" s="660">
        <f t="shared" ca="1" si="171"/>
        <v>0</v>
      </c>
      <c r="U65" s="660">
        <f t="shared" ca="1" si="171"/>
        <v>0</v>
      </c>
      <c r="V65" s="660">
        <f t="shared" ca="1" si="171"/>
        <v>0</v>
      </c>
      <c r="W65" s="660">
        <f t="shared" ca="1" si="171"/>
        <v>0</v>
      </c>
      <c r="X65" s="660">
        <f t="shared" ref="X65:Z67" ca="1" si="172">IFERROR(INDEX(INDIRECT($C65&amp;".Outputs["&amp;this.Year&amp;"]"), MATCH(X$5, INDIRECT($C65&amp;".Outputs[Vector]"), 0)), 0)</f>
        <v>0</v>
      </c>
      <c r="Y65" s="660">
        <f t="shared" ca="1" si="172"/>
        <v>0</v>
      </c>
      <c r="Z65" s="660">
        <f t="shared" ca="1" si="172"/>
        <v>0</v>
      </c>
      <c r="AA65" s="660">
        <f t="shared" ca="1" si="171"/>
        <v>0</v>
      </c>
      <c r="AB65" s="660">
        <f t="shared" ca="1" si="171"/>
        <v>0</v>
      </c>
      <c r="AC65" s="660">
        <f t="shared" ca="1" si="171"/>
        <v>0</v>
      </c>
      <c r="AD65" s="660">
        <f t="shared" ca="1" si="171"/>
        <v>0</v>
      </c>
      <c r="AE65" s="660">
        <f t="shared" ca="1" si="171"/>
        <v>0</v>
      </c>
      <c r="AF65" s="660">
        <f t="shared" ca="1" si="171"/>
        <v>0</v>
      </c>
      <c r="AG65" s="660">
        <f t="shared" ca="1" si="171"/>
        <v>0</v>
      </c>
      <c r="AH65" s="660">
        <f t="shared" ca="1" si="171"/>
        <v>0</v>
      </c>
      <c r="AI65" s="660">
        <f t="shared" ca="1" si="171"/>
        <v>0</v>
      </c>
      <c r="AJ65" s="660">
        <f t="shared" ca="1" si="171"/>
        <v>0</v>
      </c>
      <c r="AK65" s="661">
        <f ca="1">SUM(S65:AJ65)</f>
        <v>0</v>
      </c>
      <c r="AM65" s="662">
        <f t="shared" ref="AM65:AU67" ca="1" si="173">IFERROR(INDEX(INDIRECT($C65&amp;".Outputs["&amp;this.Year&amp;"]"), MATCH(AM$5, INDIRECT($C65&amp;".Outputs[Vector]"), 0)), 0)</f>
        <v>0</v>
      </c>
      <c r="AN65" s="662">
        <f t="shared" ca="1" si="173"/>
        <v>0</v>
      </c>
      <c r="AO65" s="662">
        <f t="shared" ca="1" si="173"/>
        <v>0</v>
      </c>
      <c r="AP65" s="662">
        <f t="shared" ca="1" si="173"/>
        <v>0</v>
      </c>
      <c r="AQ65" s="662">
        <f t="shared" ca="1" si="173"/>
        <v>0</v>
      </c>
      <c r="AR65" s="662">
        <f t="shared" ca="1" si="173"/>
        <v>0</v>
      </c>
      <c r="AS65" s="662">
        <f t="shared" ca="1" si="173"/>
        <v>0</v>
      </c>
      <c r="AT65" s="662">
        <f t="shared" ca="1" si="173"/>
        <v>0</v>
      </c>
      <c r="AU65" s="662">
        <f t="shared" ca="1" si="173"/>
        <v>0</v>
      </c>
      <c r="AV65" s="662">
        <f t="shared" ref="AV65:BE67" ca="1" si="174">IFERROR(INDEX(INDIRECT($C65&amp;".Outputs["&amp;this.Year&amp;"]"), MATCH(AV$5, INDIRECT($C65&amp;".Outputs[Vector]"), 0)), 0)</f>
        <v>0</v>
      </c>
      <c r="AW65" s="662">
        <f t="shared" ca="1" si="174"/>
        <v>0</v>
      </c>
      <c r="AX65" s="662">
        <f t="shared" ca="1" si="174"/>
        <v>0</v>
      </c>
      <c r="AY65" s="662">
        <f t="shared" ca="1" si="174"/>
        <v>0</v>
      </c>
      <c r="AZ65" s="662">
        <f t="shared" ca="1" si="174"/>
        <v>0</v>
      </c>
      <c r="BA65" s="662">
        <f t="shared" ca="1" si="174"/>
        <v>0</v>
      </c>
      <c r="BB65" s="662">
        <f t="shared" ca="1" si="174"/>
        <v>0</v>
      </c>
      <c r="BC65" s="662">
        <f t="shared" ca="1" si="174"/>
        <v>0</v>
      </c>
      <c r="BD65" s="662">
        <f t="shared" ca="1" si="174"/>
        <v>0</v>
      </c>
      <c r="BE65" s="662">
        <f t="shared" ca="1" si="174"/>
        <v>0</v>
      </c>
      <c r="BF65" s="609">
        <f ca="1">SUM(AM65:BE65)</f>
        <v>0</v>
      </c>
      <c r="BH65" s="663">
        <f t="shared" ref="BH65:BI67" ca="1" si="175">IFERROR(INDEX(INDIRECT($C65&amp;".Outputs["&amp;this.Year&amp;"]"), MATCH(BH$5, INDIRECT($C65&amp;".Outputs[Vector]"), 0)), 0)</f>
        <v>0</v>
      </c>
      <c r="BI65" s="663">
        <f t="shared" ca="1" si="175"/>
        <v>0</v>
      </c>
      <c r="BJ65" s="664">
        <f ca="1">SUM(BH65:BI65)</f>
        <v>0</v>
      </c>
      <c r="BL65" s="610">
        <f t="shared" ref="BL65:BL72" ca="1" si="176">Q65+AK65+BF65+BJ65</f>
        <v>0</v>
      </c>
      <c r="BM65" s="610"/>
      <c r="BO65" s="665">
        <f t="shared" ref="BO65:DF67" ca="1" si="177">IFERROR(SUMIFS(INDIRECT($C65&amp;".Emissions["&amp;this.Year&amp;"]"), INDIRECT($C65&amp;".Emissions[GHG]"), BO$6, INDIRECT($C65&amp;".Emissions[IPCC Sector]"), BO$5),0)</f>
        <v>0</v>
      </c>
      <c r="BP65" s="665">
        <f t="shared" ca="1" si="177"/>
        <v>0</v>
      </c>
      <c r="BQ65" s="665">
        <f t="shared" ca="1" si="177"/>
        <v>0</v>
      </c>
      <c r="BR65" s="665">
        <f t="shared" ca="1" si="177"/>
        <v>0</v>
      </c>
      <c r="BS65" s="665">
        <f t="shared" ca="1" si="177"/>
        <v>0</v>
      </c>
      <c r="BT65" s="665">
        <f t="shared" ca="1" si="177"/>
        <v>0</v>
      </c>
      <c r="BU65" s="665">
        <f t="shared" ca="1" si="177"/>
        <v>0</v>
      </c>
      <c r="BV65" s="665">
        <f t="shared" ca="1" si="177"/>
        <v>0</v>
      </c>
      <c r="BW65" s="665">
        <f t="shared" ca="1" si="177"/>
        <v>0</v>
      </c>
      <c r="BX65" s="665">
        <f t="shared" ca="1" si="177"/>
        <v>0</v>
      </c>
      <c r="BY65" s="665">
        <f t="shared" ca="1" si="177"/>
        <v>0</v>
      </c>
      <c r="BZ65" s="665">
        <f t="shared" ca="1" si="177"/>
        <v>0</v>
      </c>
      <c r="CA65" s="665">
        <f t="shared" ca="1" si="177"/>
        <v>0</v>
      </c>
      <c r="CB65" s="665">
        <f t="shared" ca="1" si="177"/>
        <v>0</v>
      </c>
      <c r="CC65" s="665">
        <f t="shared" ca="1" si="177"/>
        <v>0</v>
      </c>
      <c r="CD65" s="665">
        <f t="shared" ca="1" si="177"/>
        <v>0</v>
      </c>
      <c r="CE65" s="665">
        <f t="shared" ca="1" si="177"/>
        <v>0</v>
      </c>
      <c r="CF65" s="665">
        <f t="shared" ca="1" si="177"/>
        <v>0</v>
      </c>
      <c r="CG65" s="665">
        <f t="shared" ca="1" si="177"/>
        <v>0</v>
      </c>
      <c r="CH65" s="665">
        <f t="shared" ca="1" si="177"/>
        <v>0</v>
      </c>
      <c r="CI65" s="665">
        <f t="shared" ca="1" si="177"/>
        <v>0</v>
      </c>
      <c r="CJ65" s="665">
        <f t="shared" ca="1" si="177"/>
        <v>0</v>
      </c>
      <c r="CK65" s="665">
        <f t="shared" ca="1" si="177"/>
        <v>0</v>
      </c>
      <c r="CL65" s="665">
        <f t="shared" ca="1" si="177"/>
        <v>0</v>
      </c>
      <c r="CM65" s="665">
        <f t="shared" ca="1" si="177"/>
        <v>0</v>
      </c>
      <c r="CN65" s="665">
        <f t="shared" ca="1" si="177"/>
        <v>0</v>
      </c>
      <c r="CO65" s="665">
        <f t="shared" ca="1" si="177"/>
        <v>0</v>
      </c>
      <c r="CP65" s="665">
        <f t="shared" ca="1" si="177"/>
        <v>0</v>
      </c>
      <c r="CQ65" s="665">
        <f t="shared" ca="1" si="177"/>
        <v>0</v>
      </c>
      <c r="CR65" s="665">
        <f t="shared" ca="1" si="177"/>
        <v>0</v>
      </c>
      <c r="CS65" s="665">
        <f t="shared" ca="1" si="177"/>
        <v>0</v>
      </c>
      <c r="CT65" s="665">
        <f t="shared" ca="1" si="177"/>
        <v>0</v>
      </c>
      <c r="CU65" s="665">
        <f t="shared" ca="1" si="177"/>
        <v>0</v>
      </c>
      <c r="CV65" s="665">
        <f t="shared" ca="1" si="177"/>
        <v>0</v>
      </c>
      <c r="CW65" s="665">
        <f t="shared" ca="1" si="177"/>
        <v>0</v>
      </c>
      <c r="CX65" s="665">
        <f t="shared" ca="1" si="177"/>
        <v>0</v>
      </c>
      <c r="CY65" s="665">
        <f t="shared" ca="1" si="177"/>
        <v>0</v>
      </c>
      <c r="CZ65" s="665">
        <f t="shared" ca="1" si="177"/>
        <v>0</v>
      </c>
      <c r="DA65" s="665">
        <f t="shared" ca="1" si="177"/>
        <v>0</v>
      </c>
      <c r="DB65" s="665">
        <f t="shared" ca="1" si="177"/>
        <v>0</v>
      </c>
      <c r="DC65" s="665">
        <f t="shared" ca="1" si="177"/>
        <v>0</v>
      </c>
      <c r="DD65" s="665">
        <f t="shared" ca="1" si="177"/>
        <v>0</v>
      </c>
      <c r="DE65" s="665">
        <f t="shared" ca="1" si="177"/>
        <v>0</v>
      </c>
      <c r="DF65" s="665">
        <f t="shared" ca="1" si="177"/>
        <v>0</v>
      </c>
      <c r="DH65" s="666">
        <f t="shared" ca="1" si="120"/>
        <v>0</v>
      </c>
    </row>
    <row r="66" spans="1:112" s="607" customFormat="1" ht="12.75" customHeight="1" outlineLevel="1">
      <c r="C66" s="587" t="s">
        <v>25</v>
      </c>
      <c r="D66" s="588" t="s">
        <v>26</v>
      </c>
      <c r="E66" s="588"/>
      <c r="G66" s="657">
        <f t="shared" ca="1" si="170"/>
        <v>0</v>
      </c>
      <c r="H66" s="657">
        <f t="shared" ca="1" si="170"/>
        <v>2.9324919592134012E-3</v>
      </c>
      <c r="I66" s="657">
        <f t="shared" ca="1" si="170"/>
        <v>0</v>
      </c>
      <c r="J66" s="657">
        <f t="shared" ca="1" si="170"/>
        <v>0</v>
      </c>
      <c r="K66" s="658">
        <f t="shared" ca="1" si="170"/>
        <v>0</v>
      </c>
      <c r="L66" s="657">
        <f t="shared" ca="1" si="170"/>
        <v>0</v>
      </c>
      <c r="M66" s="657">
        <f t="shared" ca="1" si="170"/>
        <v>0</v>
      </c>
      <c r="N66" s="657">
        <f t="shared" ca="1" si="170"/>
        <v>0</v>
      </c>
      <c r="O66" s="657">
        <f t="shared" ca="1" si="170"/>
        <v>0</v>
      </c>
      <c r="P66" s="657">
        <f t="shared" ca="1" si="170"/>
        <v>0</v>
      </c>
      <c r="Q66" s="659">
        <f ca="1">SUM(G66:P66)</f>
        <v>2.9324919592134012E-3</v>
      </c>
      <c r="S66" s="660">
        <f t="shared" ca="1" si="171"/>
        <v>-2.9324919592134012E-3</v>
      </c>
      <c r="T66" s="660">
        <f t="shared" ca="1" si="171"/>
        <v>0</v>
      </c>
      <c r="U66" s="660">
        <f t="shared" ca="1" si="171"/>
        <v>0</v>
      </c>
      <c r="V66" s="660">
        <f t="shared" ca="1" si="171"/>
        <v>0</v>
      </c>
      <c r="W66" s="660">
        <f t="shared" ca="1" si="171"/>
        <v>0</v>
      </c>
      <c r="X66" s="660">
        <f t="shared" ca="1" si="172"/>
        <v>0</v>
      </c>
      <c r="Y66" s="660">
        <f t="shared" ca="1" si="172"/>
        <v>0</v>
      </c>
      <c r="Z66" s="660">
        <f t="shared" ca="1" si="172"/>
        <v>0</v>
      </c>
      <c r="AA66" s="660">
        <f t="shared" ca="1" si="171"/>
        <v>0</v>
      </c>
      <c r="AB66" s="660">
        <f t="shared" ca="1" si="171"/>
        <v>0</v>
      </c>
      <c r="AC66" s="660">
        <f t="shared" ca="1" si="171"/>
        <v>0</v>
      </c>
      <c r="AD66" s="660">
        <f t="shared" ca="1" si="171"/>
        <v>0</v>
      </c>
      <c r="AE66" s="660">
        <f t="shared" ca="1" si="171"/>
        <v>0</v>
      </c>
      <c r="AF66" s="660">
        <f t="shared" ca="1" si="171"/>
        <v>0</v>
      </c>
      <c r="AG66" s="660">
        <f t="shared" ca="1" si="171"/>
        <v>0</v>
      </c>
      <c r="AH66" s="660">
        <f t="shared" ca="1" si="171"/>
        <v>0</v>
      </c>
      <c r="AI66" s="660">
        <f t="shared" ca="1" si="171"/>
        <v>4.1054887428987621E-2</v>
      </c>
      <c r="AJ66" s="660">
        <f t="shared" ca="1" si="171"/>
        <v>0</v>
      </c>
      <c r="AK66" s="661">
        <f ca="1">SUM(S66:AJ66)</f>
        <v>3.8122395469774223E-2</v>
      </c>
      <c r="AM66" s="662">
        <f t="shared" ca="1" si="173"/>
        <v>0</v>
      </c>
      <c r="AN66" s="662">
        <f t="shared" ca="1" si="173"/>
        <v>0</v>
      </c>
      <c r="AO66" s="662">
        <f t="shared" ca="1" si="173"/>
        <v>0</v>
      </c>
      <c r="AP66" s="662">
        <f t="shared" ca="1" si="173"/>
        <v>0</v>
      </c>
      <c r="AQ66" s="662">
        <f t="shared" ca="1" si="173"/>
        <v>0</v>
      </c>
      <c r="AR66" s="662">
        <f t="shared" ca="1" si="173"/>
        <v>0</v>
      </c>
      <c r="AS66" s="662">
        <f t="shared" ca="1" si="173"/>
        <v>0</v>
      </c>
      <c r="AT66" s="662">
        <f t="shared" ca="1" si="173"/>
        <v>0</v>
      </c>
      <c r="AU66" s="662">
        <f t="shared" ca="1" si="173"/>
        <v>0</v>
      </c>
      <c r="AV66" s="662">
        <f t="shared" ca="1" si="174"/>
        <v>0</v>
      </c>
      <c r="AW66" s="662">
        <f t="shared" ca="1" si="174"/>
        <v>-4.1054887428987621E-2</v>
      </c>
      <c r="AX66" s="662">
        <f t="shared" ca="1" si="174"/>
        <v>0</v>
      </c>
      <c r="AY66" s="662">
        <f t="shared" ca="1" si="174"/>
        <v>0</v>
      </c>
      <c r="AZ66" s="662">
        <f t="shared" ca="1" si="174"/>
        <v>0</v>
      </c>
      <c r="BA66" s="662">
        <f t="shared" ca="1" si="174"/>
        <v>0</v>
      </c>
      <c r="BB66" s="662">
        <f t="shared" ca="1" si="174"/>
        <v>0</v>
      </c>
      <c r="BC66" s="662">
        <f t="shared" ca="1" si="174"/>
        <v>0</v>
      </c>
      <c r="BD66" s="662">
        <f t="shared" ca="1" si="174"/>
        <v>0</v>
      </c>
      <c r="BE66" s="662">
        <f t="shared" ca="1" si="174"/>
        <v>0</v>
      </c>
      <c r="BF66" s="609">
        <f ca="1">SUM(AM66:BE66)</f>
        <v>-4.1054887428987621E-2</v>
      </c>
      <c r="BH66" s="663">
        <f t="shared" ca="1" si="175"/>
        <v>0</v>
      </c>
      <c r="BI66" s="663">
        <f t="shared" ca="1" si="175"/>
        <v>0</v>
      </c>
      <c r="BJ66" s="664">
        <f ca="1">SUM(BH66:BI66)</f>
        <v>0</v>
      </c>
      <c r="BL66" s="610">
        <f t="shared" ca="1" si="176"/>
        <v>0</v>
      </c>
      <c r="BM66" s="610"/>
      <c r="BO66" s="665">
        <f t="shared" ca="1" si="177"/>
        <v>0</v>
      </c>
      <c r="BP66" s="665">
        <f t="shared" ca="1" si="177"/>
        <v>0</v>
      </c>
      <c r="BQ66" s="665">
        <f t="shared" ca="1" si="177"/>
        <v>0</v>
      </c>
      <c r="BR66" s="665">
        <f t="shared" ca="1" si="177"/>
        <v>0</v>
      </c>
      <c r="BS66" s="665">
        <f t="shared" ca="1" si="177"/>
        <v>0</v>
      </c>
      <c r="BT66" s="665">
        <f t="shared" ca="1" si="177"/>
        <v>0</v>
      </c>
      <c r="BU66" s="665">
        <f t="shared" ca="1" si="177"/>
        <v>0</v>
      </c>
      <c r="BV66" s="665">
        <f t="shared" ca="1" si="177"/>
        <v>0</v>
      </c>
      <c r="BW66" s="665">
        <f t="shared" ca="1" si="177"/>
        <v>0</v>
      </c>
      <c r="BX66" s="665">
        <f t="shared" ca="1" si="177"/>
        <v>0</v>
      </c>
      <c r="BY66" s="665">
        <f t="shared" ca="1" si="177"/>
        <v>0</v>
      </c>
      <c r="BZ66" s="665">
        <f t="shared" ca="1" si="177"/>
        <v>0</v>
      </c>
      <c r="CA66" s="665">
        <f t="shared" ca="1" si="177"/>
        <v>0</v>
      </c>
      <c r="CB66" s="665">
        <f t="shared" ca="1" si="177"/>
        <v>0</v>
      </c>
      <c r="CC66" s="665">
        <f t="shared" ca="1" si="177"/>
        <v>0</v>
      </c>
      <c r="CD66" s="665">
        <f t="shared" ca="1" si="177"/>
        <v>0</v>
      </c>
      <c r="CE66" s="665">
        <f t="shared" ca="1" si="177"/>
        <v>0</v>
      </c>
      <c r="CF66" s="665">
        <f t="shared" ca="1" si="177"/>
        <v>0</v>
      </c>
      <c r="CG66" s="665">
        <f t="shared" ca="1" si="177"/>
        <v>0</v>
      </c>
      <c r="CH66" s="665">
        <f t="shared" ca="1" si="177"/>
        <v>0</v>
      </c>
      <c r="CI66" s="665">
        <f t="shared" ca="1" si="177"/>
        <v>0</v>
      </c>
      <c r="CJ66" s="665">
        <f t="shared" ca="1" si="177"/>
        <v>0</v>
      </c>
      <c r="CK66" s="665">
        <f t="shared" ca="1" si="177"/>
        <v>0</v>
      </c>
      <c r="CL66" s="665">
        <f t="shared" ca="1" si="177"/>
        <v>0</v>
      </c>
      <c r="CM66" s="665">
        <f t="shared" ca="1" si="177"/>
        <v>0</v>
      </c>
      <c r="CN66" s="665">
        <f t="shared" ca="1" si="177"/>
        <v>0</v>
      </c>
      <c r="CO66" s="665">
        <f t="shared" ca="1" si="177"/>
        <v>0</v>
      </c>
      <c r="CP66" s="665">
        <f t="shared" ca="1" si="177"/>
        <v>0</v>
      </c>
      <c r="CQ66" s="665">
        <f t="shared" ca="1" si="177"/>
        <v>0</v>
      </c>
      <c r="CR66" s="665">
        <f t="shared" ca="1" si="177"/>
        <v>0</v>
      </c>
      <c r="CS66" s="665">
        <f t="shared" ca="1" si="177"/>
        <v>0</v>
      </c>
      <c r="CT66" s="665">
        <f t="shared" ca="1" si="177"/>
        <v>0</v>
      </c>
      <c r="CU66" s="665">
        <f t="shared" ca="1" si="177"/>
        <v>0</v>
      </c>
      <c r="CV66" s="665">
        <f t="shared" ca="1" si="177"/>
        <v>0</v>
      </c>
      <c r="CW66" s="665">
        <f t="shared" ca="1" si="177"/>
        <v>0</v>
      </c>
      <c r="CX66" s="665">
        <f t="shared" ca="1" si="177"/>
        <v>0</v>
      </c>
      <c r="CY66" s="665">
        <f t="shared" ca="1" si="177"/>
        <v>0</v>
      </c>
      <c r="CZ66" s="665">
        <f t="shared" ca="1" si="177"/>
        <v>0</v>
      </c>
      <c r="DA66" s="665">
        <f t="shared" ca="1" si="177"/>
        <v>0</v>
      </c>
      <c r="DB66" s="665">
        <f t="shared" ca="1" si="177"/>
        <v>0</v>
      </c>
      <c r="DC66" s="665">
        <f t="shared" ca="1" si="177"/>
        <v>0</v>
      </c>
      <c r="DD66" s="665">
        <f t="shared" ca="1" si="177"/>
        <v>0</v>
      </c>
      <c r="DE66" s="665">
        <f t="shared" ca="1" si="177"/>
        <v>0</v>
      </c>
      <c r="DF66" s="665">
        <f t="shared" ca="1" si="177"/>
        <v>0</v>
      </c>
      <c r="DH66" s="666">
        <f t="shared" ca="1" si="120"/>
        <v>0</v>
      </c>
    </row>
    <row r="67" spans="1:112" s="607" customFormat="1" ht="12.75" customHeight="1" outlineLevel="1">
      <c r="C67" s="587" t="s">
        <v>536</v>
      </c>
      <c r="D67" s="611" t="s">
        <v>537</v>
      </c>
      <c r="E67" s="611"/>
      <c r="F67" s="6"/>
      <c r="G67" s="619">
        <f t="shared" ca="1" si="170"/>
        <v>0</v>
      </c>
      <c r="H67" s="619">
        <f t="shared" ca="1" si="170"/>
        <v>0</v>
      </c>
      <c r="I67" s="619">
        <f t="shared" ca="1" si="170"/>
        <v>0</v>
      </c>
      <c r="J67" s="619">
        <f t="shared" ca="1" si="170"/>
        <v>0</v>
      </c>
      <c r="K67" s="619">
        <f t="shared" ca="1" si="170"/>
        <v>0</v>
      </c>
      <c r="L67" s="619">
        <f t="shared" ca="1" si="170"/>
        <v>0</v>
      </c>
      <c r="M67" s="619">
        <f t="shared" ca="1" si="170"/>
        <v>0</v>
      </c>
      <c r="N67" s="619">
        <f t="shared" ca="1" si="170"/>
        <v>0</v>
      </c>
      <c r="O67" s="619">
        <f t="shared" ca="1" si="170"/>
        <v>0</v>
      </c>
      <c r="P67" s="619">
        <f t="shared" ca="1" si="170"/>
        <v>0</v>
      </c>
      <c r="Q67" s="612">
        <f ca="1">SUM(G67:P67)</f>
        <v>0</v>
      </c>
      <c r="R67" s="6"/>
      <c r="S67" s="620">
        <f t="shared" ca="1" si="171"/>
        <v>0</v>
      </c>
      <c r="T67" s="620">
        <f t="shared" ca="1" si="171"/>
        <v>0</v>
      </c>
      <c r="U67" s="620">
        <f t="shared" ca="1" si="171"/>
        <v>0</v>
      </c>
      <c r="V67" s="620">
        <f t="shared" ca="1" si="171"/>
        <v>0</v>
      </c>
      <c r="W67" s="620">
        <f t="shared" ca="1" si="171"/>
        <v>0</v>
      </c>
      <c r="X67" s="620">
        <f t="shared" ca="1" si="172"/>
        <v>0</v>
      </c>
      <c r="Y67" s="620">
        <f t="shared" ca="1" si="172"/>
        <v>0</v>
      </c>
      <c r="Z67" s="620">
        <f t="shared" ca="1" si="172"/>
        <v>0</v>
      </c>
      <c r="AA67" s="620">
        <f t="shared" ca="1" si="171"/>
        <v>0</v>
      </c>
      <c r="AB67" s="620">
        <f t="shared" ca="1" si="171"/>
        <v>0</v>
      </c>
      <c r="AC67" s="620">
        <f t="shared" ca="1" si="171"/>
        <v>0</v>
      </c>
      <c r="AD67" s="620">
        <f t="shared" ca="1" si="171"/>
        <v>0</v>
      </c>
      <c r="AE67" s="620">
        <f t="shared" ca="1" si="171"/>
        <v>0</v>
      </c>
      <c r="AF67" s="620">
        <f t="shared" ca="1" si="171"/>
        <v>0</v>
      </c>
      <c r="AG67" s="620">
        <f t="shared" ca="1" si="171"/>
        <v>0</v>
      </c>
      <c r="AH67" s="620">
        <f t="shared" ca="1" si="171"/>
        <v>0</v>
      </c>
      <c r="AI67" s="620">
        <f t="shared" ca="1" si="171"/>
        <v>0</v>
      </c>
      <c r="AJ67" s="620">
        <f t="shared" ca="1" si="171"/>
        <v>0</v>
      </c>
      <c r="AK67" s="613">
        <f ca="1">SUM(S67:AJ67)</f>
        <v>0</v>
      </c>
      <c r="AL67" s="6"/>
      <c r="AM67" s="621">
        <f t="shared" ca="1" si="173"/>
        <v>0</v>
      </c>
      <c r="AN67" s="621">
        <f t="shared" ca="1" si="173"/>
        <v>0</v>
      </c>
      <c r="AO67" s="621">
        <f t="shared" ca="1" si="173"/>
        <v>0</v>
      </c>
      <c r="AP67" s="621">
        <f t="shared" ca="1" si="173"/>
        <v>0</v>
      </c>
      <c r="AQ67" s="621">
        <f t="shared" ca="1" si="173"/>
        <v>0</v>
      </c>
      <c r="AR67" s="621">
        <f t="shared" ca="1" si="173"/>
        <v>0</v>
      </c>
      <c r="AS67" s="621">
        <f t="shared" ca="1" si="173"/>
        <v>0</v>
      </c>
      <c r="AT67" s="621">
        <f t="shared" ca="1" si="173"/>
        <v>0</v>
      </c>
      <c r="AU67" s="621">
        <f t="shared" ca="1" si="173"/>
        <v>0</v>
      </c>
      <c r="AV67" s="621">
        <f t="shared" ca="1" si="174"/>
        <v>0</v>
      </c>
      <c r="AW67" s="621">
        <f t="shared" ca="1" si="174"/>
        <v>0</v>
      </c>
      <c r="AX67" s="621">
        <f t="shared" ca="1" si="174"/>
        <v>0</v>
      </c>
      <c r="AY67" s="621">
        <f t="shared" ca="1" si="174"/>
        <v>0</v>
      </c>
      <c r="AZ67" s="621">
        <f t="shared" ca="1" si="174"/>
        <v>0</v>
      </c>
      <c r="BA67" s="621">
        <f t="shared" ca="1" si="174"/>
        <v>0</v>
      </c>
      <c r="BB67" s="621">
        <f t="shared" ca="1" si="174"/>
        <v>0</v>
      </c>
      <c r="BC67" s="621">
        <f t="shared" ca="1" si="174"/>
        <v>0</v>
      </c>
      <c r="BD67" s="621">
        <f t="shared" ca="1" si="174"/>
        <v>0</v>
      </c>
      <c r="BE67" s="621">
        <f t="shared" ca="1" si="174"/>
        <v>0</v>
      </c>
      <c r="BF67" s="615">
        <f ca="1">SUM(AM67:BE67)</f>
        <v>0</v>
      </c>
      <c r="BG67" s="6"/>
      <c r="BH67" s="3473">
        <f t="shared" ca="1" si="175"/>
        <v>0</v>
      </c>
      <c r="BI67" s="3473">
        <f t="shared" ca="1" si="175"/>
        <v>0</v>
      </c>
      <c r="BJ67" s="3462">
        <f ca="1">SUM(BH67:BI67)</f>
        <v>0</v>
      </c>
      <c r="BK67" s="6"/>
      <c r="BL67" s="610">
        <f t="shared" ca="1" si="176"/>
        <v>0</v>
      </c>
      <c r="BM67" s="610"/>
      <c r="BN67" s="413"/>
      <c r="BO67" s="2791">
        <f t="shared" ca="1" si="177"/>
        <v>0</v>
      </c>
      <c r="BP67" s="2792">
        <f t="shared" ca="1" si="177"/>
        <v>0</v>
      </c>
      <c r="BQ67" s="2792">
        <f t="shared" ca="1" si="177"/>
        <v>0</v>
      </c>
      <c r="BR67" s="2792">
        <f t="shared" ca="1" si="177"/>
        <v>0</v>
      </c>
      <c r="BS67" s="2792">
        <f t="shared" ca="1" si="177"/>
        <v>0</v>
      </c>
      <c r="BT67" s="2792">
        <f t="shared" ca="1" si="177"/>
        <v>0</v>
      </c>
      <c r="BU67" s="2792">
        <f t="shared" ca="1" si="177"/>
        <v>0</v>
      </c>
      <c r="BV67" s="2792">
        <f t="shared" ca="1" si="177"/>
        <v>0</v>
      </c>
      <c r="BW67" s="2792">
        <f t="shared" ca="1" si="177"/>
        <v>0</v>
      </c>
      <c r="BX67" s="2792">
        <f t="shared" ca="1" si="177"/>
        <v>0</v>
      </c>
      <c r="BY67" s="2792">
        <f t="shared" ca="1" si="177"/>
        <v>0</v>
      </c>
      <c r="BZ67" s="2792">
        <f t="shared" ca="1" si="177"/>
        <v>0</v>
      </c>
      <c r="CA67" s="2792">
        <f t="shared" ca="1" si="177"/>
        <v>0</v>
      </c>
      <c r="CB67" s="2792">
        <f t="shared" ca="1" si="177"/>
        <v>0</v>
      </c>
      <c r="CC67" s="2792">
        <f t="shared" ca="1" si="177"/>
        <v>0</v>
      </c>
      <c r="CD67" s="2792">
        <f t="shared" ca="1" si="177"/>
        <v>0</v>
      </c>
      <c r="CE67" s="2792">
        <f t="shared" ca="1" si="177"/>
        <v>0</v>
      </c>
      <c r="CF67" s="2792">
        <f t="shared" ca="1" si="177"/>
        <v>0</v>
      </c>
      <c r="CG67" s="2792">
        <f t="shared" ca="1" si="177"/>
        <v>0</v>
      </c>
      <c r="CH67" s="2792">
        <f t="shared" ca="1" si="177"/>
        <v>0</v>
      </c>
      <c r="CI67" s="2792">
        <f t="shared" ca="1" si="177"/>
        <v>0</v>
      </c>
      <c r="CJ67" s="2792">
        <f t="shared" ca="1" si="177"/>
        <v>0</v>
      </c>
      <c r="CK67" s="2792">
        <f t="shared" ca="1" si="177"/>
        <v>0</v>
      </c>
      <c r="CL67" s="2792">
        <f t="shared" ca="1" si="177"/>
        <v>0</v>
      </c>
      <c r="CM67" s="2792">
        <f t="shared" ca="1" si="177"/>
        <v>0</v>
      </c>
      <c r="CN67" s="2792">
        <f t="shared" ca="1" si="177"/>
        <v>0</v>
      </c>
      <c r="CO67" s="2792">
        <f t="shared" ca="1" si="177"/>
        <v>0</v>
      </c>
      <c r="CP67" s="2792">
        <f t="shared" ca="1" si="177"/>
        <v>0</v>
      </c>
      <c r="CQ67" s="2792">
        <f t="shared" ca="1" si="177"/>
        <v>0</v>
      </c>
      <c r="CR67" s="2792">
        <f t="shared" ca="1" si="177"/>
        <v>0</v>
      </c>
      <c r="CS67" s="2792">
        <f t="shared" ca="1" si="177"/>
        <v>0</v>
      </c>
      <c r="CT67" s="2792">
        <f t="shared" ca="1" si="177"/>
        <v>0</v>
      </c>
      <c r="CU67" s="2792">
        <f t="shared" ca="1" si="177"/>
        <v>0</v>
      </c>
      <c r="CV67" s="2792">
        <f t="shared" ca="1" si="177"/>
        <v>0</v>
      </c>
      <c r="CW67" s="2792">
        <f t="shared" ca="1" si="177"/>
        <v>0</v>
      </c>
      <c r="CX67" s="2792">
        <f t="shared" ca="1" si="177"/>
        <v>0</v>
      </c>
      <c r="CY67" s="2792">
        <f t="shared" ca="1" si="177"/>
        <v>0</v>
      </c>
      <c r="CZ67" s="2792">
        <f t="shared" ca="1" si="177"/>
        <v>0</v>
      </c>
      <c r="DA67" s="2792">
        <f t="shared" ca="1" si="177"/>
        <v>0</v>
      </c>
      <c r="DB67" s="2792">
        <f t="shared" ca="1" si="177"/>
        <v>0</v>
      </c>
      <c r="DC67" s="2792">
        <f t="shared" ca="1" si="177"/>
        <v>0</v>
      </c>
      <c r="DD67" s="2792">
        <f t="shared" ca="1" si="177"/>
        <v>0</v>
      </c>
      <c r="DE67" s="2792">
        <f t="shared" ca="1" si="177"/>
        <v>0</v>
      </c>
      <c r="DF67" s="2792">
        <f t="shared" ca="1" si="177"/>
        <v>0</v>
      </c>
      <c r="DH67" s="596">
        <f t="shared" ca="1" si="120"/>
        <v>0</v>
      </c>
    </row>
    <row r="68" spans="1:112" s="6" customFormat="1" ht="15.75">
      <c r="A68" s="4"/>
      <c r="B68" s="3"/>
      <c r="C68" s="616" t="s">
        <v>538</v>
      </c>
      <c r="D68" s="617" t="s">
        <v>539</v>
      </c>
      <c r="E68" s="206"/>
      <c r="G68" s="618">
        <f ca="1">SUM(G65:G67)</f>
        <v>0</v>
      </c>
      <c r="H68" s="618">
        <f t="shared" ref="H68:P68" ca="1" si="178">SUM(H65:H67)</f>
        <v>2.9324919592134012E-3</v>
      </c>
      <c r="I68" s="618">
        <f t="shared" ca="1" si="178"/>
        <v>0</v>
      </c>
      <c r="J68" s="618">
        <f t="shared" ca="1" si="178"/>
        <v>0</v>
      </c>
      <c r="K68" s="618">
        <f t="shared" ca="1" si="178"/>
        <v>0</v>
      </c>
      <c r="L68" s="618">
        <f t="shared" ca="1" si="178"/>
        <v>0</v>
      </c>
      <c r="M68" s="618">
        <f t="shared" ca="1" si="178"/>
        <v>0</v>
      </c>
      <c r="N68" s="618">
        <f t="shared" ca="1" si="178"/>
        <v>0</v>
      </c>
      <c r="O68" s="618">
        <f t="shared" ca="1" si="178"/>
        <v>0</v>
      </c>
      <c r="P68" s="618">
        <f t="shared" ca="1" si="178"/>
        <v>0</v>
      </c>
      <c r="Q68" s="618">
        <f ca="1">SUM(G68:P68)</f>
        <v>2.9324919592134012E-3</v>
      </c>
      <c r="S68" s="581">
        <f t="shared" ref="S68:AJ68" ca="1" si="179">SUM(S65:S67)</f>
        <v>-2.9324919592134012E-3</v>
      </c>
      <c r="T68" s="581">
        <f t="shared" ca="1" si="179"/>
        <v>0</v>
      </c>
      <c r="U68" s="581">
        <f t="shared" ca="1" si="179"/>
        <v>0</v>
      </c>
      <c r="V68" s="581">
        <f t="shared" ca="1" si="179"/>
        <v>0</v>
      </c>
      <c r="W68" s="581">
        <f t="shared" ca="1" si="179"/>
        <v>0</v>
      </c>
      <c r="X68" s="581">
        <f t="shared" ca="1" si="179"/>
        <v>0</v>
      </c>
      <c r="Y68" s="581">
        <f t="shared" ca="1" si="179"/>
        <v>0</v>
      </c>
      <c r="Z68" s="581">
        <f t="shared" ca="1" si="179"/>
        <v>0</v>
      </c>
      <c r="AA68" s="581">
        <f t="shared" ca="1" si="179"/>
        <v>0</v>
      </c>
      <c r="AB68" s="581">
        <f t="shared" ca="1" si="179"/>
        <v>0</v>
      </c>
      <c r="AC68" s="581">
        <f t="shared" ca="1" si="179"/>
        <v>0</v>
      </c>
      <c r="AD68" s="581">
        <f t="shared" ca="1" si="179"/>
        <v>0</v>
      </c>
      <c r="AE68" s="581">
        <f ca="1">SUM(AE65:AE67)</f>
        <v>0</v>
      </c>
      <c r="AF68" s="581">
        <f t="shared" ca="1" si="179"/>
        <v>0</v>
      </c>
      <c r="AG68" s="581">
        <f t="shared" ca="1" si="179"/>
        <v>0</v>
      </c>
      <c r="AH68" s="581">
        <f ca="1">SUM(AH65:AH67)</f>
        <v>0</v>
      </c>
      <c r="AI68" s="581">
        <f t="shared" ca="1" si="179"/>
        <v>4.1054887428987621E-2</v>
      </c>
      <c r="AJ68" s="581">
        <f t="shared" ca="1" si="179"/>
        <v>0</v>
      </c>
      <c r="AK68" s="581">
        <f ca="1">SUM(S68:AJ68)</f>
        <v>3.8122395469774223E-2</v>
      </c>
      <c r="AM68" s="582">
        <f t="shared" ref="AM68:BE68" ca="1" si="180">SUM(AM65:AM67)</f>
        <v>0</v>
      </c>
      <c r="AN68" s="582">
        <f t="shared" ca="1" si="180"/>
        <v>0</v>
      </c>
      <c r="AO68" s="582">
        <f t="shared" ca="1" si="180"/>
        <v>0</v>
      </c>
      <c r="AP68" s="582">
        <f t="shared" ca="1" si="180"/>
        <v>0</v>
      </c>
      <c r="AQ68" s="582">
        <f t="shared" ca="1" si="180"/>
        <v>0</v>
      </c>
      <c r="AR68" s="582">
        <f t="shared" ca="1" si="180"/>
        <v>0</v>
      </c>
      <c r="AS68" s="582">
        <f t="shared" ca="1" si="180"/>
        <v>0</v>
      </c>
      <c r="AT68" s="582">
        <f t="shared" ca="1" si="180"/>
        <v>0</v>
      </c>
      <c r="AU68" s="582">
        <f t="shared" ca="1" si="180"/>
        <v>0</v>
      </c>
      <c r="AV68" s="582">
        <f t="shared" ca="1" si="180"/>
        <v>0</v>
      </c>
      <c r="AW68" s="582">
        <f t="shared" ca="1" si="180"/>
        <v>-4.1054887428987621E-2</v>
      </c>
      <c r="AX68" s="582">
        <f t="shared" ca="1" si="180"/>
        <v>0</v>
      </c>
      <c r="AY68" s="582">
        <f t="shared" ca="1" si="180"/>
        <v>0</v>
      </c>
      <c r="AZ68" s="582">
        <f t="shared" ca="1" si="180"/>
        <v>0</v>
      </c>
      <c r="BA68" s="582">
        <f t="shared" ca="1" si="180"/>
        <v>0</v>
      </c>
      <c r="BB68" s="582">
        <f t="shared" ca="1" si="180"/>
        <v>0</v>
      </c>
      <c r="BC68" s="582">
        <f t="shared" ca="1" si="180"/>
        <v>0</v>
      </c>
      <c r="BD68" s="582">
        <f t="shared" ca="1" si="180"/>
        <v>0</v>
      </c>
      <c r="BE68" s="582">
        <f t="shared" ca="1" si="180"/>
        <v>0</v>
      </c>
      <c r="BF68" s="582">
        <f ca="1">SUM(AM68:BE68)</f>
        <v>-4.1054887428987621E-2</v>
      </c>
      <c r="BH68" s="3463">
        <f ca="1">SUM(BH65:BH67)</f>
        <v>0</v>
      </c>
      <c r="BI68" s="3463">
        <f ca="1">SUM(BI65:BI67)</f>
        <v>0</v>
      </c>
      <c r="BJ68" s="3463">
        <f ca="1">SUM(BH68:BI68)</f>
        <v>0</v>
      </c>
      <c r="BL68" s="3477">
        <f t="shared" ca="1" si="176"/>
        <v>0</v>
      </c>
      <c r="BM68" s="584"/>
      <c r="BN68" s="413"/>
      <c r="BO68" s="2790">
        <f ca="1">SUM(BO65:BO67)</f>
        <v>0</v>
      </c>
      <c r="BP68" s="2790">
        <f t="shared" ref="BP68:DF68" ca="1" si="181">SUM(BP65:BP67)</f>
        <v>0</v>
      </c>
      <c r="BQ68" s="2790">
        <f t="shared" ca="1" si="181"/>
        <v>0</v>
      </c>
      <c r="BR68" s="2790">
        <f t="shared" ca="1" si="181"/>
        <v>0</v>
      </c>
      <c r="BS68" s="2790">
        <f t="shared" ca="1" si="181"/>
        <v>0</v>
      </c>
      <c r="BT68" s="2790">
        <f t="shared" ca="1" si="181"/>
        <v>0</v>
      </c>
      <c r="BU68" s="2790">
        <f t="shared" ca="1" si="181"/>
        <v>0</v>
      </c>
      <c r="BV68" s="2790">
        <f t="shared" ca="1" si="181"/>
        <v>0</v>
      </c>
      <c r="BW68" s="2790">
        <f t="shared" ca="1" si="181"/>
        <v>0</v>
      </c>
      <c r="BX68" s="2790">
        <f t="shared" ca="1" si="181"/>
        <v>0</v>
      </c>
      <c r="BY68" s="2790">
        <f t="shared" ca="1" si="181"/>
        <v>0</v>
      </c>
      <c r="BZ68" s="2790">
        <f t="shared" ca="1" si="181"/>
        <v>0</v>
      </c>
      <c r="CA68" s="2790">
        <f t="shared" ca="1" si="181"/>
        <v>0</v>
      </c>
      <c r="CB68" s="2790">
        <f t="shared" ca="1" si="181"/>
        <v>0</v>
      </c>
      <c r="CC68" s="2790">
        <f t="shared" ca="1" si="181"/>
        <v>0</v>
      </c>
      <c r="CD68" s="2790">
        <f t="shared" ca="1" si="181"/>
        <v>0</v>
      </c>
      <c r="CE68" s="2790">
        <f t="shared" ca="1" si="181"/>
        <v>0</v>
      </c>
      <c r="CF68" s="2790">
        <f t="shared" ca="1" si="181"/>
        <v>0</v>
      </c>
      <c r="CG68" s="2790">
        <f t="shared" ca="1" si="181"/>
        <v>0</v>
      </c>
      <c r="CH68" s="2790">
        <f t="shared" ca="1" si="181"/>
        <v>0</v>
      </c>
      <c r="CI68" s="2790">
        <f t="shared" ca="1" si="181"/>
        <v>0</v>
      </c>
      <c r="CJ68" s="2790">
        <f t="shared" ca="1" si="181"/>
        <v>0</v>
      </c>
      <c r="CK68" s="2790">
        <f t="shared" ca="1" si="181"/>
        <v>0</v>
      </c>
      <c r="CL68" s="2790">
        <f t="shared" ca="1" si="181"/>
        <v>0</v>
      </c>
      <c r="CM68" s="2790">
        <f t="shared" ca="1" si="181"/>
        <v>0</v>
      </c>
      <c r="CN68" s="2790">
        <f t="shared" ca="1" si="181"/>
        <v>0</v>
      </c>
      <c r="CO68" s="2790">
        <f t="shared" ca="1" si="181"/>
        <v>0</v>
      </c>
      <c r="CP68" s="2790">
        <f t="shared" ca="1" si="181"/>
        <v>0</v>
      </c>
      <c r="CQ68" s="2790">
        <f t="shared" ca="1" si="181"/>
        <v>0</v>
      </c>
      <c r="CR68" s="2790">
        <f t="shared" ca="1" si="181"/>
        <v>0</v>
      </c>
      <c r="CS68" s="2790">
        <f t="shared" ca="1" si="181"/>
        <v>0</v>
      </c>
      <c r="CT68" s="2790">
        <f t="shared" ca="1" si="181"/>
        <v>0</v>
      </c>
      <c r="CU68" s="2790">
        <f t="shared" ca="1" si="181"/>
        <v>0</v>
      </c>
      <c r="CV68" s="2790">
        <f t="shared" ca="1" si="181"/>
        <v>0</v>
      </c>
      <c r="CW68" s="2790">
        <f t="shared" ca="1" si="181"/>
        <v>0</v>
      </c>
      <c r="CX68" s="2790">
        <f t="shared" ca="1" si="181"/>
        <v>0</v>
      </c>
      <c r="CY68" s="2790">
        <f t="shared" ca="1" si="181"/>
        <v>0</v>
      </c>
      <c r="CZ68" s="2790">
        <f t="shared" ca="1" si="181"/>
        <v>0</v>
      </c>
      <c r="DA68" s="2790">
        <f t="shared" ca="1" si="181"/>
        <v>0</v>
      </c>
      <c r="DB68" s="2790">
        <f t="shared" ca="1" si="181"/>
        <v>0</v>
      </c>
      <c r="DC68" s="2790">
        <f t="shared" ca="1" si="181"/>
        <v>0</v>
      </c>
      <c r="DD68" s="2790">
        <f t="shared" ca="1" si="181"/>
        <v>0</v>
      </c>
      <c r="DE68" s="2790">
        <f t="shared" ca="1" si="181"/>
        <v>0</v>
      </c>
      <c r="DF68" s="2790">
        <f t="shared" ca="1" si="181"/>
        <v>0</v>
      </c>
      <c r="DH68" s="596">
        <f t="shared" ca="1" si="120"/>
        <v>0</v>
      </c>
    </row>
    <row r="69" spans="1:112" s="6" customFormat="1" ht="12.75" customHeight="1" outlineLevel="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76"/>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20"/>
        <v>0</v>
      </c>
    </row>
    <row r="70" spans="1:112" s="639" customFormat="1" ht="12.75" customHeight="1" outlineLevel="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76"/>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20"/>
        <v>0</v>
      </c>
    </row>
    <row r="71" spans="1:112" s="607" customFormat="1" ht="12.75" customHeight="1" outlineLevel="1">
      <c r="C71" s="587" t="s">
        <v>542</v>
      </c>
      <c r="D71" s="611" t="s">
        <v>543</v>
      </c>
      <c r="E71" s="611"/>
      <c r="F71" s="6"/>
      <c r="G71" s="619">
        <f t="shared" ref="G71:P71" ca="1" si="182">IFERROR(INDEX(INDIRECT($C71&amp;".Outputs["&amp;this.Year&amp;"]"), MATCH(G$5, INDIRECT($C71&amp;".Outputs[Vector]"), 0)), 0)</f>
        <v>0</v>
      </c>
      <c r="H71" s="619">
        <f t="shared" ca="1" si="182"/>
        <v>0</v>
      </c>
      <c r="I71" s="619">
        <f t="shared" ca="1" si="182"/>
        <v>0</v>
      </c>
      <c r="J71" s="619">
        <f t="shared" ca="1" si="182"/>
        <v>0</v>
      </c>
      <c r="K71" s="619">
        <f t="shared" ca="1" si="182"/>
        <v>0</v>
      </c>
      <c r="L71" s="619">
        <f t="shared" ca="1" si="182"/>
        <v>0</v>
      </c>
      <c r="M71" s="619">
        <f t="shared" ca="1" si="182"/>
        <v>0</v>
      </c>
      <c r="N71" s="619">
        <f t="shared" ca="1" si="182"/>
        <v>0</v>
      </c>
      <c r="O71" s="619">
        <f t="shared" ca="1" si="182"/>
        <v>0</v>
      </c>
      <c r="P71" s="619">
        <f t="shared" ca="1" si="182"/>
        <v>0</v>
      </c>
      <c r="Q71" s="612">
        <f ca="1">SUM(G71:P71)</f>
        <v>0</v>
      </c>
      <c r="R71" s="6"/>
      <c r="S71" s="620">
        <f t="shared" ref="S71:AJ71" ca="1" si="183">IFERROR(INDEX(INDIRECT($C71&amp;".Outputs["&amp;this.Year&amp;"]"), MATCH(S$5, INDIRECT($C71&amp;".Outputs[Vector]"), 0)), 0)</f>
        <v>0</v>
      </c>
      <c r="T71" s="620">
        <f t="shared" ca="1" si="183"/>
        <v>-3.7911428177742012E-3</v>
      </c>
      <c r="U71" s="620">
        <f t="shared" ca="1" si="183"/>
        <v>0</v>
      </c>
      <c r="V71" s="620">
        <f t="shared" ca="1" si="183"/>
        <v>0</v>
      </c>
      <c r="W71" s="620">
        <f t="shared" ca="1" si="183"/>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83"/>
        <v>0</v>
      </c>
      <c r="AB71" s="620">
        <f t="shared" ca="1" si="183"/>
        <v>2.6537999724419409E-2</v>
      </c>
      <c r="AC71" s="620">
        <f t="shared" ca="1" si="183"/>
        <v>0</v>
      </c>
      <c r="AD71" s="620">
        <f t="shared" ca="1" si="183"/>
        <v>0</v>
      </c>
      <c r="AE71" s="620">
        <f t="shared" ca="1" si="183"/>
        <v>0</v>
      </c>
      <c r="AF71" s="620">
        <f t="shared" ca="1" si="183"/>
        <v>0</v>
      </c>
      <c r="AG71" s="620">
        <f t="shared" ca="1" si="183"/>
        <v>0</v>
      </c>
      <c r="AH71" s="620">
        <f t="shared" ca="1" si="183"/>
        <v>0</v>
      </c>
      <c r="AI71" s="620">
        <f t="shared" ca="1" si="183"/>
        <v>0</v>
      </c>
      <c r="AJ71" s="620">
        <f t="shared" ca="1" si="183"/>
        <v>0</v>
      </c>
      <c r="AK71" s="613">
        <f ca="1">SUM(S71:AJ71)</f>
        <v>2.274685690664521E-2</v>
      </c>
      <c r="AL71" s="6"/>
      <c r="AM71" s="621">
        <f t="shared" ref="AM71:AU71" ca="1" si="184">IFERROR(INDEX(INDIRECT($C71&amp;".Outputs["&amp;this.Year&amp;"]"), MATCH(AM$5, INDIRECT($C71&amp;".Outputs[Vector]"), 0)), 0)</f>
        <v>0</v>
      </c>
      <c r="AN71" s="621">
        <f t="shared" ca="1" si="184"/>
        <v>0</v>
      </c>
      <c r="AO71" s="621">
        <f t="shared" ca="1" si="184"/>
        <v>0</v>
      </c>
      <c r="AP71" s="621">
        <f t="shared" ca="1" si="184"/>
        <v>0</v>
      </c>
      <c r="AQ71" s="621">
        <f t="shared" ca="1" si="184"/>
        <v>0</v>
      </c>
      <c r="AR71" s="621">
        <f t="shared" ca="1" si="184"/>
        <v>0</v>
      </c>
      <c r="AS71" s="621">
        <f t="shared" ca="1" si="184"/>
        <v>0</v>
      </c>
      <c r="AT71" s="621">
        <f t="shared" ca="1" si="184"/>
        <v>0</v>
      </c>
      <c r="AU71" s="621">
        <f t="shared" ca="1" si="184"/>
        <v>0</v>
      </c>
      <c r="AV71" s="621">
        <f t="shared" ref="AV71:BE71" ca="1" si="185">IFERROR(INDEX(INDIRECT($C71&amp;".Outputs["&amp;this.Year&amp;"]"), MATCH(AV$5, INDIRECT($C71&amp;".Outputs[Vector]"), 0)), 0)</f>
        <v>0</v>
      </c>
      <c r="AW71" s="621">
        <f t="shared" ca="1" si="185"/>
        <v>0</v>
      </c>
      <c r="AX71" s="621">
        <f t="shared" ca="1" si="185"/>
        <v>0</v>
      </c>
      <c r="AY71" s="621">
        <f t="shared" ca="1" si="185"/>
        <v>0</v>
      </c>
      <c r="AZ71" s="621">
        <f t="shared" ca="1" si="185"/>
        <v>0</v>
      </c>
      <c r="BA71" s="621">
        <f t="shared" ca="1" si="185"/>
        <v>0</v>
      </c>
      <c r="BB71" s="621">
        <f t="shared" ca="1" si="185"/>
        <v>0</v>
      </c>
      <c r="BC71" s="621">
        <f t="shared" ca="1" si="185"/>
        <v>0</v>
      </c>
      <c r="BD71" s="621">
        <f t="shared" ca="1" si="185"/>
        <v>0</v>
      </c>
      <c r="BE71" s="621">
        <f t="shared" ca="1" si="185"/>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76"/>
        <v>0</v>
      </c>
      <c r="BM71" s="610"/>
      <c r="BN71" s="413"/>
      <c r="BO71" s="2791">
        <f t="shared" ref="BO71:DF71" ca="1" si="186">IFERROR(SUMIFS(INDIRECT($C71&amp;".Emissions["&amp;this.Year&amp;"]"), INDIRECT($C71&amp;".Emissions[GHG]"), BO$6, INDIRECT($C71&amp;".Emissions[IPCC Sector]"), BO$5),0)</f>
        <v>0</v>
      </c>
      <c r="BP71" s="2792">
        <f t="shared" ca="1" si="186"/>
        <v>0</v>
      </c>
      <c r="BQ71" s="2792">
        <f t="shared" ca="1" si="186"/>
        <v>0</v>
      </c>
      <c r="BR71" s="2792">
        <f t="shared" ca="1" si="186"/>
        <v>0</v>
      </c>
      <c r="BS71" s="2792">
        <f t="shared" ca="1" si="186"/>
        <v>0</v>
      </c>
      <c r="BT71" s="2792">
        <f t="shared" ca="1" si="186"/>
        <v>0</v>
      </c>
      <c r="BU71" s="2792">
        <f t="shared" ca="1" si="186"/>
        <v>0</v>
      </c>
      <c r="BV71" s="2792">
        <f t="shared" ca="1" si="186"/>
        <v>0</v>
      </c>
      <c r="BW71" s="2792">
        <f t="shared" ca="1" si="186"/>
        <v>0</v>
      </c>
      <c r="BX71" s="2792">
        <f t="shared" ca="1" si="186"/>
        <v>0</v>
      </c>
      <c r="BY71" s="2792">
        <f t="shared" ca="1" si="186"/>
        <v>0</v>
      </c>
      <c r="BZ71" s="2792">
        <f t="shared" ca="1" si="186"/>
        <v>0</v>
      </c>
      <c r="CA71" s="2792">
        <f t="shared" ca="1" si="186"/>
        <v>0</v>
      </c>
      <c r="CB71" s="2792">
        <f t="shared" ca="1" si="186"/>
        <v>0</v>
      </c>
      <c r="CC71" s="2792">
        <f t="shared" ca="1" si="186"/>
        <v>0</v>
      </c>
      <c r="CD71" s="2792">
        <f t="shared" ca="1" si="186"/>
        <v>0</v>
      </c>
      <c r="CE71" s="2792">
        <f t="shared" ca="1" si="186"/>
        <v>0</v>
      </c>
      <c r="CF71" s="2792">
        <f t="shared" ca="1" si="186"/>
        <v>0</v>
      </c>
      <c r="CG71" s="2792">
        <f t="shared" ca="1" si="186"/>
        <v>0</v>
      </c>
      <c r="CH71" s="2792">
        <f t="shared" ca="1" si="186"/>
        <v>0</v>
      </c>
      <c r="CI71" s="2792">
        <f t="shared" ca="1" si="186"/>
        <v>0</v>
      </c>
      <c r="CJ71" s="2792">
        <f t="shared" ca="1" si="186"/>
        <v>0</v>
      </c>
      <c r="CK71" s="2792">
        <f t="shared" ca="1" si="186"/>
        <v>0</v>
      </c>
      <c r="CL71" s="2792">
        <f t="shared" ca="1" si="186"/>
        <v>0</v>
      </c>
      <c r="CM71" s="2792">
        <f t="shared" ca="1" si="186"/>
        <v>0</v>
      </c>
      <c r="CN71" s="2792">
        <f t="shared" ca="1" si="186"/>
        <v>0</v>
      </c>
      <c r="CO71" s="2792">
        <f t="shared" ca="1" si="186"/>
        <v>0</v>
      </c>
      <c r="CP71" s="2792">
        <f t="shared" ca="1" si="186"/>
        <v>0</v>
      </c>
      <c r="CQ71" s="2792">
        <f t="shared" ca="1" si="186"/>
        <v>0</v>
      </c>
      <c r="CR71" s="2792">
        <f t="shared" ca="1" si="186"/>
        <v>0</v>
      </c>
      <c r="CS71" s="2792">
        <f t="shared" ca="1" si="186"/>
        <v>0</v>
      </c>
      <c r="CT71" s="2792">
        <f t="shared" ca="1" si="186"/>
        <v>0</v>
      </c>
      <c r="CU71" s="2792">
        <f t="shared" ca="1" si="186"/>
        <v>0</v>
      </c>
      <c r="CV71" s="2792">
        <f t="shared" ca="1" si="186"/>
        <v>0</v>
      </c>
      <c r="CW71" s="2792">
        <f t="shared" ca="1" si="186"/>
        <v>0</v>
      </c>
      <c r="CX71" s="2792">
        <f t="shared" ca="1" si="186"/>
        <v>0</v>
      </c>
      <c r="CY71" s="2792">
        <f t="shared" ca="1" si="186"/>
        <v>0</v>
      </c>
      <c r="CZ71" s="2792">
        <f t="shared" ca="1" si="186"/>
        <v>0</v>
      </c>
      <c r="DA71" s="2792">
        <f t="shared" ca="1" si="186"/>
        <v>0</v>
      </c>
      <c r="DB71" s="2792">
        <f t="shared" ca="1" si="186"/>
        <v>0</v>
      </c>
      <c r="DC71" s="2792">
        <f t="shared" ca="1" si="186"/>
        <v>0</v>
      </c>
      <c r="DD71" s="2792">
        <f t="shared" ca="1" si="186"/>
        <v>0</v>
      </c>
      <c r="DE71" s="2792">
        <f t="shared" ca="1" si="186"/>
        <v>0</v>
      </c>
      <c r="DF71" s="2792">
        <f t="shared" ca="1" si="186"/>
        <v>0</v>
      </c>
      <c r="DH71" s="596">
        <f t="shared" ca="1" si="120"/>
        <v>0</v>
      </c>
    </row>
    <row r="72" spans="1:112" s="6" customFormat="1" ht="15.75">
      <c r="A72" s="4"/>
      <c r="B72" s="3"/>
      <c r="C72" s="616" t="s">
        <v>544</v>
      </c>
      <c r="D72" s="617" t="s">
        <v>545</v>
      </c>
      <c r="E72" s="206"/>
      <c r="G72" s="618">
        <f ca="1">G71</f>
        <v>0</v>
      </c>
      <c r="H72" s="618">
        <f t="shared" ref="H72:P72" ca="1" si="187">H71</f>
        <v>0</v>
      </c>
      <c r="I72" s="618">
        <f t="shared" ca="1" si="187"/>
        <v>0</v>
      </c>
      <c r="J72" s="618">
        <f t="shared" ca="1" si="187"/>
        <v>0</v>
      </c>
      <c r="K72" s="618">
        <f t="shared" ca="1" si="187"/>
        <v>0</v>
      </c>
      <c r="L72" s="618">
        <f t="shared" ca="1" si="187"/>
        <v>0</v>
      </c>
      <c r="M72" s="618">
        <f t="shared" ca="1" si="187"/>
        <v>0</v>
      </c>
      <c r="N72" s="618">
        <f t="shared" ca="1" si="187"/>
        <v>0</v>
      </c>
      <c r="O72" s="618">
        <f t="shared" ca="1" si="187"/>
        <v>0</v>
      </c>
      <c r="P72" s="618">
        <f t="shared" ca="1" si="187"/>
        <v>0</v>
      </c>
      <c r="Q72" s="618">
        <f ca="1">SUM(G72:P72)</f>
        <v>0</v>
      </c>
      <c r="S72" s="581">
        <f t="shared" ref="S72:AJ72" ca="1" si="188">S71</f>
        <v>0</v>
      </c>
      <c r="T72" s="581">
        <f t="shared" ca="1" si="188"/>
        <v>-3.7911428177742012E-3</v>
      </c>
      <c r="U72" s="581">
        <f t="shared" ca="1" si="188"/>
        <v>0</v>
      </c>
      <c r="V72" s="581">
        <f t="shared" ca="1" si="188"/>
        <v>0</v>
      </c>
      <c r="W72" s="581">
        <f t="shared" ca="1" si="188"/>
        <v>0</v>
      </c>
      <c r="X72" s="581">
        <f t="shared" ca="1" si="188"/>
        <v>0</v>
      </c>
      <c r="Y72" s="581">
        <f t="shared" ca="1" si="188"/>
        <v>0</v>
      </c>
      <c r="Z72" s="581">
        <f t="shared" ca="1" si="188"/>
        <v>0</v>
      </c>
      <c r="AA72" s="581">
        <f t="shared" ca="1" si="188"/>
        <v>0</v>
      </c>
      <c r="AB72" s="581">
        <f t="shared" ca="1" si="188"/>
        <v>2.6537999724419409E-2</v>
      </c>
      <c r="AC72" s="581">
        <f t="shared" ca="1" si="188"/>
        <v>0</v>
      </c>
      <c r="AD72" s="581">
        <f ca="1">AD71</f>
        <v>0</v>
      </c>
      <c r="AE72" s="581">
        <f ca="1">AE71</f>
        <v>0</v>
      </c>
      <c r="AF72" s="581">
        <f t="shared" ca="1" si="188"/>
        <v>0</v>
      </c>
      <c r="AG72" s="581">
        <f t="shared" ca="1" si="188"/>
        <v>0</v>
      </c>
      <c r="AH72" s="581">
        <f ca="1">AH71</f>
        <v>0</v>
      </c>
      <c r="AI72" s="581">
        <f ca="1">AI71</f>
        <v>0</v>
      </c>
      <c r="AJ72" s="581">
        <f t="shared" ca="1" si="188"/>
        <v>0</v>
      </c>
      <c r="AK72" s="581">
        <f ca="1">SUM(S72:AJ72)</f>
        <v>2.274685690664521E-2</v>
      </c>
      <c r="AM72" s="582">
        <f ca="1">AM71</f>
        <v>0</v>
      </c>
      <c r="AN72" s="582">
        <f t="shared" ref="AN72:BE72" ca="1" si="189">AN71</f>
        <v>0</v>
      </c>
      <c r="AO72" s="582">
        <f t="shared" ca="1" si="189"/>
        <v>0</v>
      </c>
      <c r="AP72" s="582">
        <f t="shared" ca="1" si="189"/>
        <v>0</v>
      </c>
      <c r="AQ72" s="582">
        <f t="shared" ca="1" si="189"/>
        <v>0</v>
      </c>
      <c r="AR72" s="582">
        <f t="shared" ca="1" si="189"/>
        <v>0</v>
      </c>
      <c r="AS72" s="582">
        <f t="shared" ca="1" si="189"/>
        <v>0</v>
      </c>
      <c r="AT72" s="582">
        <f t="shared" ca="1" si="189"/>
        <v>0</v>
      </c>
      <c r="AU72" s="582">
        <f t="shared" ca="1" si="189"/>
        <v>0</v>
      </c>
      <c r="AV72" s="582">
        <f t="shared" ca="1" si="189"/>
        <v>0</v>
      </c>
      <c r="AW72" s="582">
        <f t="shared" ca="1" si="189"/>
        <v>0</v>
      </c>
      <c r="AX72" s="582">
        <f t="shared" ca="1" si="189"/>
        <v>0</v>
      </c>
      <c r="AY72" s="582">
        <f t="shared" ca="1" si="189"/>
        <v>0</v>
      </c>
      <c r="AZ72" s="582">
        <f t="shared" ca="1" si="189"/>
        <v>0</v>
      </c>
      <c r="BA72" s="582">
        <f t="shared" ca="1" si="189"/>
        <v>0</v>
      </c>
      <c r="BB72" s="582">
        <f t="shared" ca="1" si="189"/>
        <v>0</v>
      </c>
      <c r="BC72" s="582">
        <f t="shared" ca="1" si="189"/>
        <v>0</v>
      </c>
      <c r="BD72" s="582">
        <f t="shared" ca="1" si="189"/>
        <v>0</v>
      </c>
      <c r="BE72" s="582">
        <f t="shared" ca="1" si="189"/>
        <v>0</v>
      </c>
      <c r="BF72" s="582">
        <f ca="1">SUM(AM72:BE72)</f>
        <v>0</v>
      </c>
      <c r="BH72" s="3463">
        <f ca="1">BH71</f>
        <v>-2.274685690664521E-2</v>
      </c>
      <c r="BI72" s="3463">
        <f ca="1">BI71</f>
        <v>0</v>
      </c>
      <c r="BJ72" s="3463">
        <f ca="1">SUM(BH72:BI72)</f>
        <v>-2.274685690664521E-2</v>
      </c>
      <c r="BL72" s="3477">
        <f t="shared" ca="1" si="176"/>
        <v>0</v>
      </c>
      <c r="BM72" s="584"/>
      <c r="BN72" s="413"/>
      <c r="BO72" s="2790">
        <f t="shared" ref="BO72:DF72" ca="1" si="190">BO71</f>
        <v>0</v>
      </c>
      <c r="BP72" s="2790">
        <f t="shared" ca="1" si="190"/>
        <v>0</v>
      </c>
      <c r="BQ72" s="2790">
        <f t="shared" ca="1" si="190"/>
        <v>0</v>
      </c>
      <c r="BR72" s="2790">
        <f t="shared" ca="1" si="190"/>
        <v>0</v>
      </c>
      <c r="BS72" s="2790">
        <f t="shared" ca="1" si="190"/>
        <v>0</v>
      </c>
      <c r="BT72" s="2790">
        <f t="shared" ca="1" si="190"/>
        <v>0</v>
      </c>
      <c r="BU72" s="2790">
        <f t="shared" ca="1" si="190"/>
        <v>0</v>
      </c>
      <c r="BV72" s="2790">
        <f t="shared" ca="1" si="190"/>
        <v>0</v>
      </c>
      <c r="BW72" s="2790">
        <f t="shared" ca="1" si="190"/>
        <v>0</v>
      </c>
      <c r="BX72" s="2790">
        <f t="shared" ca="1" si="190"/>
        <v>0</v>
      </c>
      <c r="BY72" s="2790">
        <f t="shared" ca="1" si="190"/>
        <v>0</v>
      </c>
      <c r="BZ72" s="2790">
        <f t="shared" ca="1" si="190"/>
        <v>0</v>
      </c>
      <c r="CA72" s="2790">
        <f t="shared" ca="1" si="190"/>
        <v>0</v>
      </c>
      <c r="CB72" s="2790">
        <f t="shared" ca="1" si="190"/>
        <v>0</v>
      </c>
      <c r="CC72" s="2790">
        <f t="shared" ca="1" si="190"/>
        <v>0</v>
      </c>
      <c r="CD72" s="2790">
        <f t="shared" ca="1" si="190"/>
        <v>0</v>
      </c>
      <c r="CE72" s="2790">
        <f t="shared" ca="1" si="190"/>
        <v>0</v>
      </c>
      <c r="CF72" s="2790">
        <f t="shared" ca="1" si="190"/>
        <v>0</v>
      </c>
      <c r="CG72" s="2790">
        <f t="shared" ca="1" si="190"/>
        <v>0</v>
      </c>
      <c r="CH72" s="2790">
        <f t="shared" ca="1" si="190"/>
        <v>0</v>
      </c>
      <c r="CI72" s="2790">
        <f t="shared" ca="1" si="190"/>
        <v>0</v>
      </c>
      <c r="CJ72" s="2790">
        <f t="shared" ca="1" si="190"/>
        <v>0</v>
      </c>
      <c r="CK72" s="2790">
        <f t="shared" ca="1" si="190"/>
        <v>0</v>
      </c>
      <c r="CL72" s="2790">
        <f t="shared" ca="1" si="190"/>
        <v>0</v>
      </c>
      <c r="CM72" s="2790">
        <f t="shared" ca="1" si="190"/>
        <v>0</v>
      </c>
      <c r="CN72" s="2790">
        <f t="shared" ca="1" si="190"/>
        <v>0</v>
      </c>
      <c r="CO72" s="2790">
        <f t="shared" ca="1" si="190"/>
        <v>0</v>
      </c>
      <c r="CP72" s="2790">
        <f t="shared" ca="1" si="190"/>
        <v>0</v>
      </c>
      <c r="CQ72" s="2790">
        <f t="shared" ca="1" si="190"/>
        <v>0</v>
      </c>
      <c r="CR72" s="2790">
        <f t="shared" ca="1" si="190"/>
        <v>0</v>
      </c>
      <c r="CS72" s="2790">
        <f t="shared" ca="1" si="190"/>
        <v>0</v>
      </c>
      <c r="CT72" s="2790">
        <f t="shared" ca="1" si="190"/>
        <v>0</v>
      </c>
      <c r="CU72" s="2790">
        <f t="shared" ca="1" si="190"/>
        <v>0</v>
      </c>
      <c r="CV72" s="2790">
        <f t="shared" ca="1" si="190"/>
        <v>0</v>
      </c>
      <c r="CW72" s="2790">
        <f t="shared" ca="1" si="190"/>
        <v>0</v>
      </c>
      <c r="CX72" s="2790">
        <f t="shared" ca="1" si="190"/>
        <v>0</v>
      </c>
      <c r="CY72" s="2790">
        <f t="shared" ca="1" si="190"/>
        <v>0</v>
      </c>
      <c r="CZ72" s="2790">
        <f t="shared" ca="1" si="190"/>
        <v>0</v>
      </c>
      <c r="DA72" s="2790">
        <f t="shared" ca="1" si="190"/>
        <v>0</v>
      </c>
      <c r="DB72" s="2790">
        <f t="shared" ca="1" si="190"/>
        <v>0</v>
      </c>
      <c r="DC72" s="2790">
        <f t="shared" ca="1" si="190"/>
        <v>0</v>
      </c>
      <c r="DD72" s="2790">
        <f t="shared" ca="1" si="190"/>
        <v>0</v>
      </c>
      <c r="DE72" s="2790">
        <f t="shared" ca="1" si="190"/>
        <v>0</v>
      </c>
      <c r="DF72" s="2790">
        <f t="shared" ca="1" si="190"/>
        <v>0</v>
      </c>
      <c r="DH72" s="596">
        <f t="shared" ca="1" si="120"/>
        <v>0</v>
      </c>
    </row>
    <row r="73" spans="1:112" s="6" customFormat="1" ht="12.75" customHeight="1" outlineLevel="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20"/>
        <v>0</v>
      </c>
    </row>
    <row r="74" spans="1:112" s="652" customFormat="1" ht="12.75" customHeight="1" outlineLevel="1">
      <c r="C74" s="667" t="s">
        <v>546</v>
      </c>
      <c r="D74" s="668" t="s">
        <v>547</v>
      </c>
      <c r="E74" s="668"/>
      <c r="F74" s="6"/>
      <c r="G74" s="669"/>
      <c r="H74" s="669"/>
      <c r="I74" s="669"/>
      <c r="J74" s="669"/>
      <c r="K74" s="670"/>
      <c r="L74" s="669"/>
      <c r="M74" s="669"/>
      <c r="N74" s="669"/>
      <c r="O74" s="669"/>
      <c r="P74" s="669"/>
      <c r="Q74" s="669"/>
      <c r="R74" s="6"/>
      <c r="S74" s="671">
        <f ca="1">S$40+S$46+S$51+S$99+S$55+S$93+S$63+S$68+S$72</f>
        <v>-23.472851618681876</v>
      </c>
      <c r="T74" s="671">
        <f ca="1">T$40+T$46+T$51+T$99+T$55+T$93+T$63+T$68+T$72</f>
        <v>4.3928426695888341</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91">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20"/>
        <v>0</v>
      </c>
    </row>
    <row r="75" spans="1:112" s="607" customFormat="1" ht="12.75" customHeight="1" outlineLevel="1">
      <c r="C75" s="587" t="s">
        <v>548</v>
      </c>
      <c r="D75" s="611" t="s">
        <v>549</v>
      </c>
      <c r="E75" s="611"/>
      <c r="F75" s="6"/>
      <c r="G75" s="619">
        <f t="shared" ref="G75:P75" ca="1" si="192">IFERROR(INDEX(INDIRECT($C75&amp;".Outputs["&amp;this.Year&amp;"]"), MATCH(G$5, INDIRECT($C75&amp;".Outputs[Vector]"), 0)), 0)</f>
        <v>0</v>
      </c>
      <c r="H75" s="619">
        <f t="shared" ca="1" si="192"/>
        <v>0</v>
      </c>
      <c r="I75" s="619">
        <f t="shared" ca="1" si="192"/>
        <v>0</v>
      </c>
      <c r="J75" s="619">
        <f t="shared" ca="1" si="192"/>
        <v>0</v>
      </c>
      <c r="K75" s="619">
        <f t="shared" ca="1" si="192"/>
        <v>0</v>
      </c>
      <c r="L75" s="619">
        <f t="shared" ca="1" si="192"/>
        <v>0</v>
      </c>
      <c r="M75" s="619">
        <f t="shared" ca="1" si="192"/>
        <v>0</v>
      </c>
      <c r="N75" s="619">
        <f t="shared" ca="1" si="192"/>
        <v>0</v>
      </c>
      <c r="O75" s="619">
        <f t="shared" ca="1" si="192"/>
        <v>0</v>
      </c>
      <c r="P75" s="619">
        <f t="shared" ca="1" si="192"/>
        <v>0</v>
      </c>
      <c r="Q75" s="612">
        <f ca="1">SUM(G75:P75)</f>
        <v>0</v>
      </c>
      <c r="R75" s="6"/>
      <c r="S75" s="620">
        <f t="shared" ref="S75:AJ75" ca="1" si="193">IFERROR(INDEX(INDIRECT($C75&amp;".Outputs["&amp;this.Year&amp;"]"), MATCH(S$5, INDIRECT($C75&amp;".Outputs[Vector]"), 0)), 0)</f>
        <v>0</v>
      </c>
      <c r="T75" s="620">
        <f t="shared" ca="1" si="193"/>
        <v>0</v>
      </c>
      <c r="U75" s="620">
        <f t="shared" ca="1" si="193"/>
        <v>0</v>
      </c>
      <c r="V75" s="620">
        <f t="shared" ca="1" si="193"/>
        <v>0</v>
      </c>
      <c r="W75" s="620">
        <f t="shared" ca="1" si="193"/>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93"/>
        <v>0</v>
      </c>
      <c r="AB75" s="620">
        <f t="shared" ca="1" si="193"/>
        <v>0</v>
      </c>
      <c r="AC75" s="620">
        <f t="shared" ca="1" si="193"/>
        <v>0</v>
      </c>
      <c r="AD75" s="620">
        <f t="shared" ca="1" si="193"/>
        <v>0</v>
      </c>
      <c r="AE75" s="620">
        <f t="shared" ca="1" si="193"/>
        <v>0</v>
      </c>
      <c r="AF75" s="620">
        <f t="shared" ca="1" si="193"/>
        <v>0</v>
      </c>
      <c r="AG75" s="620">
        <f t="shared" ca="1" si="193"/>
        <v>0</v>
      </c>
      <c r="AH75" s="620">
        <f t="shared" ca="1" si="193"/>
        <v>0</v>
      </c>
      <c r="AI75" s="620">
        <f t="shared" ca="1" si="193"/>
        <v>0</v>
      </c>
      <c r="AJ75" s="620">
        <f t="shared" ca="1" si="193"/>
        <v>0</v>
      </c>
      <c r="AK75" s="613">
        <f ca="1">SUM(S75:AJ75)</f>
        <v>0</v>
      </c>
      <c r="AL75" s="6"/>
      <c r="AM75" s="621">
        <f t="shared" ref="AM75:AU75" ca="1" si="194">IFERROR(INDEX(INDIRECT($C75&amp;".Outputs["&amp;this.Year&amp;"]"), MATCH(AM$5, INDIRECT($C75&amp;".Outputs[Vector]"), 0)), 0)</f>
        <v>0</v>
      </c>
      <c r="AN75" s="621">
        <f t="shared" ca="1" si="194"/>
        <v>0</v>
      </c>
      <c r="AO75" s="621">
        <f t="shared" ca="1" si="194"/>
        <v>0</v>
      </c>
      <c r="AP75" s="621">
        <f t="shared" ca="1" si="194"/>
        <v>0</v>
      </c>
      <c r="AQ75" s="621">
        <f t="shared" ca="1" si="194"/>
        <v>0</v>
      </c>
      <c r="AR75" s="621">
        <f t="shared" ca="1" si="194"/>
        <v>0</v>
      </c>
      <c r="AS75" s="621">
        <f t="shared" ca="1" si="194"/>
        <v>0</v>
      </c>
      <c r="AT75" s="621">
        <f t="shared" ca="1" si="194"/>
        <v>0</v>
      </c>
      <c r="AU75" s="621">
        <f t="shared" ca="1" si="194"/>
        <v>0</v>
      </c>
      <c r="AV75" s="621">
        <f t="shared" ref="AV75:BE75" ca="1" si="195">IFERROR(INDEX(INDIRECT($C75&amp;".Outputs["&amp;this.Year&amp;"]"), MATCH(AV$5, INDIRECT($C75&amp;".Outputs[Vector]"), 0)), 0)</f>
        <v>0</v>
      </c>
      <c r="AW75" s="621">
        <f t="shared" ca="1" si="195"/>
        <v>0</v>
      </c>
      <c r="AX75" s="621">
        <f t="shared" ca="1" si="195"/>
        <v>0</v>
      </c>
      <c r="AY75" s="621">
        <f t="shared" ca="1" si="195"/>
        <v>0</v>
      </c>
      <c r="AZ75" s="621">
        <f t="shared" ca="1" si="195"/>
        <v>0</v>
      </c>
      <c r="BA75" s="621">
        <f t="shared" ca="1" si="195"/>
        <v>0</v>
      </c>
      <c r="BB75" s="621">
        <f t="shared" ca="1" si="195"/>
        <v>0</v>
      </c>
      <c r="BC75" s="621">
        <f t="shared" ca="1" si="195"/>
        <v>0</v>
      </c>
      <c r="BD75" s="621">
        <f t="shared" ca="1" si="195"/>
        <v>0</v>
      </c>
      <c r="BE75" s="621">
        <f t="shared" ca="1" si="195"/>
        <v>0</v>
      </c>
      <c r="BF75" s="615">
        <f ca="1">SUM(AM75:BE75)</f>
        <v>0</v>
      </c>
      <c r="BG75" s="6"/>
      <c r="BH75" s="3473">
        <f ca="1">IFERROR(INDEX(INDIRECT($C75&amp;".Outputs["&amp;this.Year&amp;"]"), MATCH(BH$5, INDIRECT($C75&amp;".Outputs[Vector]"), 0)), 0)</f>
        <v>0</v>
      </c>
      <c r="BI75" s="3473">
        <f ca="1">IFERROR(INDEX(INDIRECT($C75&amp;".Outputs["&amp;this.Year&amp;"]"), MATCH(BI$5, INDIRECT($C75&amp;".Outputs[Vector]"), 0)), 0)</f>
        <v>0</v>
      </c>
      <c r="BJ75" s="3462">
        <f ca="1">SUM(BH75:BI75)</f>
        <v>0</v>
      </c>
      <c r="BK75" s="6"/>
      <c r="BL75" s="610">
        <f t="shared" ca="1" si="191"/>
        <v>0</v>
      </c>
      <c r="BM75" s="610"/>
      <c r="BN75" s="413"/>
      <c r="BO75" s="2791">
        <f t="shared" ref="BO75:DF75" ca="1" si="196">IFERROR(SUMIFS(INDIRECT($C75&amp;".Emissions["&amp;this.Year&amp;"]"), INDIRECT($C75&amp;".Emissions[GHG]"), BO$6, INDIRECT($C75&amp;".Emissions[IPCC Sector]"), BO$5),0)</f>
        <v>0</v>
      </c>
      <c r="BP75" s="2792">
        <f t="shared" ca="1" si="196"/>
        <v>0</v>
      </c>
      <c r="BQ75" s="2792">
        <f t="shared" ca="1" si="196"/>
        <v>0</v>
      </c>
      <c r="BR75" s="2792">
        <f t="shared" ca="1" si="196"/>
        <v>0</v>
      </c>
      <c r="BS75" s="2792">
        <f t="shared" ca="1" si="196"/>
        <v>0</v>
      </c>
      <c r="BT75" s="2792">
        <f t="shared" ca="1" si="196"/>
        <v>0</v>
      </c>
      <c r="BU75" s="2792">
        <f t="shared" ca="1" si="196"/>
        <v>0</v>
      </c>
      <c r="BV75" s="2792">
        <f t="shared" ca="1" si="196"/>
        <v>0</v>
      </c>
      <c r="BW75" s="2792">
        <f t="shared" ca="1" si="196"/>
        <v>0</v>
      </c>
      <c r="BX75" s="2792">
        <f t="shared" ca="1" si="196"/>
        <v>0</v>
      </c>
      <c r="BY75" s="2792">
        <f t="shared" ca="1" si="196"/>
        <v>0</v>
      </c>
      <c r="BZ75" s="2792">
        <f t="shared" ca="1" si="196"/>
        <v>0</v>
      </c>
      <c r="CA75" s="2792">
        <f t="shared" ca="1" si="196"/>
        <v>0</v>
      </c>
      <c r="CB75" s="2792">
        <f t="shared" ca="1" si="196"/>
        <v>0</v>
      </c>
      <c r="CC75" s="2792">
        <f t="shared" ca="1" si="196"/>
        <v>0</v>
      </c>
      <c r="CD75" s="2792">
        <f t="shared" ca="1" si="196"/>
        <v>0</v>
      </c>
      <c r="CE75" s="2792">
        <f t="shared" ca="1" si="196"/>
        <v>0</v>
      </c>
      <c r="CF75" s="2792">
        <f t="shared" ca="1" si="196"/>
        <v>0</v>
      </c>
      <c r="CG75" s="2792">
        <f t="shared" ca="1" si="196"/>
        <v>0</v>
      </c>
      <c r="CH75" s="2792">
        <f t="shared" ca="1" si="196"/>
        <v>0</v>
      </c>
      <c r="CI75" s="2792">
        <f t="shared" ca="1" si="196"/>
        <v>0</v>
      </c>
      <c r="CJ75" s="2792">
        <f t="shared" ca="1" si="196"/>
        <v>0</v>
      </c>
      <c r="CK75" s="2792">
        <f t="shared" ca="1" si="196"/>
        <v>0</v>
      </c>
      <c r="CL75" s="2792">
        <f t="shared" ca="1" si="196"/>
        <v>0</v>
      </c>
      <c r="CM75" s="2792">
        <f t="shared" ca="1" si="196"/>
        <v>0</v>
      </c>
      <c r="CN75" s="2792">
        <f t="shared" ca="1" si="196"/>
        <v>0</v>
      </c>
      <c r="CO75" s="2792">
        <f t="shared" ca="1" si="196"/>
        <v>0</v>
      </c>
      <c r="CP75" s="2792">
        <f t="shared" ca="1" si="196"/>
        <v>0</v>
      </c>
      <c r="CQ75" s="2792">
        <f t="shared" ca="1" si="196"/>
        <v>0</v>
      </c>
      <c r="CR75" s="2792">
        <f t="shared" ca="1" si="196"/>
        <v>0</v>
      </c>
      <c r="CS75" s="2792">
        <f t="shared" ca="1" si="196"/>
        <v>0</v>
      </c>
      <c r="CT75" s="2792">
        <f t="shared" ca="1" si="196"/>
        <v>0</v>
      </c>
      <c r="CU75" s="2792">
        <f t="shared" ca="1" si="196"/>
        <v>0</v>
      </c>
      <c r="CV75" s="2792">
        <f t="shared" ca="1" si="196"/>
        <v>0</v>
      </c>
      <c r="CW75" s="2792">
        <f t="shared" ca="1" si="196"/>
        <v>0</v>
      </c>
      <c r="CX75" s="2792">
        <f t="shared" ca="1" si="196"/>
        <v>0</v>
      </c>
      <c r="CY75" s="2792">
        <f t="shared" ca="1" si="196"/>
        <v>0</v>
      </c>
      <c r="CZ75" s="2792">
        <f t="shared" ca="1" si="196"/>
        <v>0</v>
      </c>
      <c r="DA75" s="2792">
        <f t="shared" ca="1" si="196"/>
        <v>0</v>
      </c>
      <c r="DB75" s="2792">
        <f t="shared" ca="1" si="196"/>
        <v>0</v>
      </c>
      <c r="DC75" s="2792">
        <f t="shared" ca="1" si="196"/>
        <v>0</v>
      </c>
      <c r="DD75" s="2792">
        <f t="shared" ca="1" si="196"/>
        <v>0</v>
      </c>
      <c r="DE75" s="2792">
        <f t="shared" ca="1" si="196"/>
        <v>0</v>
      </c>
      <c r="DF75" s="2792">
        <f t="shared" ca="1" si="196"/>
        <v>0</v>
      </c>
      <c r="DH75" s="596">
        <f t="shared" ca="1" si="120"/>
        <v>0</v>
      </c>
    </row>
    <row r="76" spans="1:112" s="6" customFormat="1" ht="15.75">
      <c r="A76" s="4"/>
      <c r="B76" s="3"/>
      <c r="C76" s="616" t="s">
        <v>550</v>
      </c>
      <c r="D76" s="617" t="s">
        <v>551</v>
      </c>
      <c r="E76" s="206"/>
      <c r="G76" s="618">
        <f ca="1">G75</f>
        <v>0</v>
      </c>
      <c r="H76" s="618">
        <f t="shared" ref="H76:P76" ca="1" si="197">H75</f>
        <v>0</v>
      </c>
      <c r="I76" s="618">
        <f t="shared" ca="1" si="197"/>
        <v>0</v>
      </c>
      <c r="J76" s="618">
        <f t="shared" ca="1" si="197"/>
        <v>0</v>
      </c>
      <c r="K76" s="618">
        <f t="shared" ca="1" si="197"/>
        <v>0</v>
      </c>
      <c r="L76" s="618">
        <f t="shared" ca="1" si="197"/>
        <v>0</v>
      </c>
      <c r="M76" s="618">
        <f t="shared" ca="1" si="197"/>
        <v>0</v>
      </c>
      <c r="N76" s="618">
        <f t="shared" ca="1" si="197"/>
        <v>0</v>
      </c>
      <c r="O76" s="618">
        <f t="shared" ca="1" si="197"/>
        <v>0</v>
      </c>
      <c r="P76" s="618">
        <f t="shared" ca="1" si="197"/>
        <v>0</v>
      </c>
      <c r="Q76" s="618">
        <f ca="1">SUM(G76:P76)</f>
        <v>0</v>
      </c>
      <c r="S76" s="581">
        <f t="shared" ref="S76:AJ76" ca="1" si="198">S75</f>
        <v>0</v>
      </c>
      <c r="T76" s="581">
        <f t="shared" ca="1" si="198"/>
        <v>0</v>
      </c>
      <c r="U76" s="581">
        <f t="shared" ca="1" si="198"/>
        <v>0</v>
      </c>
      <c r="V76" s="581">
        <f t="shared" ca="1" si="198"/>
        <v>0</v>
      </c>
      <c r="W76" s="581">
        <f t="shared" ca="1" si="198"/>
        <v>0</v>
      </c>
      <c r="X76" s="581">
        <f t="shared" ca="1" si="198"/>
        <v>0</v>
      </c>
      <c r="Y76" s="581">
        <f t="shared" ca="1" si="198"/>
        <v>0</v>
      </c>
      <c r="Z76" s="581">
        <f t="shared" ca="1" si="198"/>
        <v>0</v>
      </c>
      <c r="AA76" s="581">
        <f t="shared" ca="1" si="198"/>
        <v>0</v>
      </c>
      <c r="AB76" s="581">
        <f t="shared" ca="1" si="198"/>
        <v>0</v>
      </c>
      <c r="AC76" s="581">
        <f t="shared" ca="1" si="198"/>
        <v>0</v>
      </c>
      <c r="AD76" s="581">
        <f t="shared" ca="1" si="198"/>
        <v>0</v>
      </c>
      <c r="AE76" s="581">
        <f ca="1">AE75</f>
        <v>0</v>
      </c>
      <c r="AF76" s="581">
        <f t="shared" ca="1" si="198"/>
        <v>0</v>
      </c>
      <c r="AG76" s="581">
        <f t="shared" ca="1" si="198"/>
        <v>0</v>
      </c>
      <c r="AH76" s="581">
        <f ca="1">AH75</f>
        <v>0</v>
      </c>
      <c r="AI76" s="581">
        <f t="shared" ca="1" si="198"/>
        <v>0</v>
      </c>
      <c r="AJ76" s="581">
        <f t="shared" ca="1" si="198"/>
        <v>0</v>
      </c>
      <c r="AK76" s="581">
        <f ca="1">SUM(S76:AJ76)</f>
        <v>0</v>
      </c>
      <c r="AM76" s="582">
        <f t="shared" ref="AM76:BE76" ca="1" si="199">AM75</f>
        <v>0</v>
      </c>
      <c r="AN76" s="582">
        <f t="shared" ca="1" si="199"/>
        <v>0</v>
      </c>
      <c r="AO76" s="582">
        <f t="shared" ca="1" si="199"/>
        <v>0</v>
      </c>
      <c r="AP76" s="582">
        <f t="shared" ca="1" si="199"/>
        <v>0</v>
      </c>
      <c r="AQ76" s="582">
        <f t="shared" ca="1" si="199"/>
        <v>0</v>
      </c>
      <c r="AR76" s="582">
        <f t="shared" ca="1" si="199"/>
        <v>0</v>
      </c>
      <c r="AS76" s="582">
        <f t="shared" ca="1" si="199"/>
        <v>0</v>
      </c>
      <c r="AT76" s="582">
        <f t="shared" ca="1" si="199"/>
        <v>0</v>
      </c>
      <c r="AU76" s="582">
        <f t="shared" ca="1" si="199"/>
        <v>0</v>
      </c>
      <c r="AV76" s="582">
        <f t="shared" ca="1" si="199"/>
        <v>0</v>
      </c>
      <c r="AW76" s="582">
        <f t="shared" ca="1" si="199"/>
        <v>0</v>
      </c>
      <c r="AX76" s="582">
        <f t="shared" ca="1" si="199"/>
        <v>0</v>
      </c>
      <c r="AY76" s="582">
        <f t="shared" ca="1" si="199"/>
        <v>0</v>
      </c>
      <c r="AZ76" s="582">
        <f t="shared" ca="1" si="199"/>
        <v>0</v>
      </c>
      <c r="BA76" s="582">
        <f t="shared" ca="1" si="199"/>
        <v>0</v>
      </c>
      <c r="BB76" s="582">
        <f t="shared" ca="1" si="199"/>
        <v>0</v>
      </c>
      <c r="BC76" s="582">
        <f t="shared" ca="1" si="199"/>
        <v>0</v>
      </c>
      <c r="BD76" s="582">
        <f t="shared" ca="1" si="199"/>
        <v>0</v>
      </c>
      <c r="BE76" s="582">
        <f t="shared" ca="1" si="199"/>
        <v>0</v>
      </c>
      <c r="BF76" s="582">
        <f ca="1">SUM(AM76:BE76)</f>
        <v>0</v>
      </c>
      <c r="BH76" s="3463">
        <f ca="1">BH75</f>
        <v>0</v>
      </c>
      <c r="BI76" s="3463">
        <f ca="1">BI75</f>
        <v>0</v>
      </c>
      <c r="BJ76" s="3463">
        <f ca="1">SUM(BH76:BI76)</f>
        <v>0</v>
      </c>
      <c r="BL76" s="3477">
        <f t="shared" ca="1" si="191"/>
        <v>0</v>
      </c>
      <c r="BM76" s="584"/>
      <c r="BN76" s="413"/>
      <c r="BO76" s="2790">
        <f t="shared" ref="BO76:DF76" ca="1" si="200">BO75</f>
        <v>0</v>
      </c>
      <c r="BP76" s="2790">
        <f t="shared" ca="1" si="200"/>
        <v>0</v>
      </c>
      <c r="BQ76" s="2790">
        <f t="shared" ca="1" si="200"/>
        <v>0</v>
      </c>
      <c r="BR76" s="2790">
        <f t="shared" ca="1" si="200"/>
        <v>0</v>
      </c>
      <c r="BS76" s="2790">
        <f t="shared" ca="1" si="200"/>
        <v>0</v>
      </c>
      <c r="BT76" s="2790">
        <f t="shared" ca="1" si="200"/>
        <v>0</v>
      </c>
      <c r="BU76" s="2790">
        <f t="shared" ca="1" si="200"/>
        <v>0</v>
      </c>
      <c r="BV76" s="2790">
        <f t="shared" ca="1" si="200"/>
        <v>0</v>
      </c>
      <c r="BW76" s="2790">
        <f t="shared" ca="1" si="200"/>
        <v>0</v>
      </c>
      <c r="BX76" s="2790">
        <f t="shared" ca="1" si="200"/>
        <v>0</v>
      </c>
      <c r="BY76" s="2790">
        <f t="shared" ca="1" si="200"/>
        <v>0</v>
      </c>
      <c r="BZ76" s="2790">
        <f t="shared" ca="1" si="200"/>
        <v>0</v>
      </c>
      <c r="CA76" s="2790">
        <f t="shared" ca="1" si="200"/>
        <v>0</v>
      </c>
      <c r="CB76" s="2790">
        <f t="shared" ca="1" si="200"/>
        <v>0</v>
      </c>
      <c r="CC76" s="2790">
        <f t="shared" ca="1" si="200"/>
        <v>0</v>
      </c>
      <c r="CD76" s="2790">
        <f t="shared" ca="1" si="200"/>
        <v>0</v>
      </c>
      <c r="CE76" s="2790">
        <f t="shared" ca="1" si="200"/>
        <v>0</v>
      </c>
      <c r="CF76" s="2790">
        <f t="shared" ca="1" si="200"/>
        <v>0</v>
      </c>
      <c r="CG76" s="2790">
        <f t="shared" ca="1" si="200"/>
        <v>0</v>
      </c>
      <c r="CH76" s="2790">
        <f t="shared" ca="1" si="200"/>
        <v>0</v>
      </c>
      <c r="CI76" s="2790">
        <f t="shared" ca="1" si="200"/>
        <v>0</v>
      </c>
      <c r="CJ76" s="2790">
        <f t="shared" ca="1" si="200"/>
        <v>0</v>
      </c>
      <c r="CK76" s="2790">
        <f t="shared" ca="1" si="200"/>
        <v>0</v>
      </c>
      <c r="CL76" s="2790">
        <f t="shared" ca="1" si="200"/>
        <v>0</v>
      </c>
      <c r="CM76" s="2790">
        <f t="shared" ca="1" si="200"/>
        <v>0</v>
      </c>
      <c r="CN76" s="2790">
        <f t="shared" ca="1" si="200"/>
        <v>0</v>
      </c>
      <c r="CO76" s="2790">
        <f t="shared" ca="1" si="200"/>
        <v>0</v>
      </c>
      <c r="CP76" s="2790">
        <f t="shared" ca="1" si="200"/>
        <v>0</v>
      </c>
      <c r="CQ76" s="2790">
        <f t="shared" ca="1" si="200"/>
        <v>0</v>
      </c>
      <c r="CR76" s="2790">
        <f t="shared" ca="1" si="200"/>
        <v>0</v>
      </c>
      <c r="CS76" s="2790">
        <f t="shared" ca="1" si="200"/>
        <v>0</v>
      </c>
      <c r="CT76" s="2790">
        <f t="shared" ca="1" si="200"/>
        <v>0</v>
      </c>
      <c r="CU76" s="2790">
        <f t="shared" ca="1" si="200"/>
        <v>0</v>
      </c>
      <c r="CV76" s="2790">
        <f t="shared" ca="1" si="200"/>
        <v>0</v>
      </c>
      <c r="CW76" s="2790">
        <f t="shared" ca="1" si="200"/>
        <v>0</v>
      </c>
      <c r="CX76" s="2790">
        <f t="shared" ca="1" si="200"/>
        <v>0</v>
      </c>
      <c r="CY76" s="2790">
        <f t="shared" ca="1" si="200"/>
        <v>0</v>
      </c>
      <c r="CZ76" s="2790">
        <f t="shared" ca="1" si="200"/>
        <v>0</v>
      </c>
      <c r="DA76" s="2790">
        <f t="shared" ca="1" si="200"/>
        <v>0</v>
      </c>
      <c r="DB76" s="2790">
        <f t="shared" ca="1" si="200"/>
        <v>0</v>
      </c>
      <c r="DC76" s="2790">
        <f t="shared" ca="1" si="200"/>
        <v>0</v>
      </c>
      <c r="DD76" s="2790">
        <f t="shared" ca="1" si="200"/>
        <v>0</v>
      </c>
      <c r="DE76" s="2790">
        <f t="shared" ca="1" si="200"/>
        <v>0</v>
      </c>
      <c r="DF76" s="2790">
        <f t="shared" ca="1" si="200"/>
        <v>0</v>
      </c>
      <c r="DH76" s="596">
        <f t="shared" ca="1" si="120"/>
        <v>0</v>
      </c>
    </row>
    <row r="77" spans="1:112" s="6" customFormat="1" ht="12.75" customHeight="1" outlineLevel="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91"/>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20"/>
        <v>0</v>
      </c>
    </row>
    <row r="78" spans="1:112" s="652" customFormat="1" ht="12.75" customHeight="1" outlineLevel="1">
      <c r="C78" s="667" t="s">
        <v>552</v>
      </c>
      <c r="D78" s="668" t="s">
        <v>547</v>
      </c>
      <c r="E78" s="668"/>
      <c r="F78" s="6"/>
      <c r="G78" s="669"/>
      <c r="H78" s="669"/>
      <c r="I78" s="669"/>
      <c r="J78" s="669"/>
      <c r="K78" s="670"/>
      <c r="L78" s="669"/>
      <c r="M78" s="669"/>
      <c r="N78" s="669"/>
      <c r="O78" s="669"/>
      <c r="P78" s="669"/>
      <c r="Q78" s="669"/>
      <c r="R78" s="6"/>
      <c r="S78" s="671">
        <f ca="1">S$74+S$76</f>
        <v>-23.472851618681876</v>
      </c>
      <c r="T78" s="671">
        <f ca="1">T$74+T$76</f>
        <v>4.3928426695888341</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91"/>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20"/>
        <v>0</v>
      </c>
    </row>
    <row r="79" spans="1:112" s="607" customFormat="1" ht="12.75" customHeight="1" outlineLevel="1">
      <c r="C79" s="587" t="s">
        <v>553</v>
      </c>
      <c r="D79" s="588" t="s">
        <v>554</v>
      </c>
      <c r="E79" s="588"/>
      <c r="F79" s="6"/>
      <c r="G79" s="674">
        <f t="shared" ref="G79:P79" ca="1" si="201">IFERROR(INDEX(INDIRECT($C79&amp;".Outputs["&amp;this.Year&amp;"]"), MATCH(G$5, INDIRECT($C79&amp;".Outputs[Vector]"), 0)), 0)</f>
        <v>0</v>
      </c>
      <c r="H79" s="674">
        <f t="shared" ca="1" si="201"/>
        <v>0</v>
      </c>
      <c r="I79" s="674">
        <f t="shared" ca="1" si="201"/>
        <v>0</v>
      </c>
      <c r="J79" s="674">
        <f t="shared" ca="1" si="201"/>
        <v>0</v>
      </c>
      <c r="K79" s="674">
        <f t="shared" ca="1" si="201"/>
        <v>0</v>
      </c>
      <c r="L79" s="674">
        <f t="shared" ca="1" si="201"/>
        <v>0</v>
      </c>
      <c r="M79" s="674">
        <f t="shared" ca="1" si="201"/>
        <v>0</v>
      </c>
      <c r="N79" s="674">
        <f t="shared" ca="1" si="201"/>
        <v>0</v>
      </c>
      <c r="O79" s="674">
        <f t="shared" ca="1" si="201"/>
        <v>0</v>
      </c>
      <c r="P79" s="674">
        <f t="shared" ca="1" si="201"/>
        <v>0</v>
      </c>
      <c r="Q79" s="675">
        <f ca="1">SUM(G79:P79)</f>
        <v>0</v>
      </c>
      <c r="R79" s="6"/>
      <c r="S79" s="676">
        <f t="shared" ref="S79:AJ79" ca="1" si="202">IFERROR(INDEX(INDIRECT($C79&amp;".Outputs["&amp;this.Year&amp;"]"), MATCH(S$5, INDIRECT($C79&amp;".Outputs[Vector]"), 0)), 0)</f>
        <v>0</v>
      </c>
      <c r="T79" s="676">
        <f t="shared" ca="1" si="202"/>
        <v>0</v>
      </c>
      <c r="U79" s="676">
        <f t="shared" ca="1" si="202"/>
        <v>0</v>
      </c>
      <c r="V79" s="676">
        <f t="shared" ca="1" si="202"/>
        <v>0</v>
      </c>
      <c r="W79" s="676">
        <f t="shared" ca="1" si="202"/>
        <v>0</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202"/>
        <v>0</v>
      </c>
      <c r="AB79" s="676">
        <f t="shared" ca="1" si="202"/>
        <v>0</v>
      </c>
      <c r="AC79" s="676">
        <f t="shared" ca="1" si="202"/>
        <v>0</v>
      </c>
      <c r="AD79" s="676">
        <f t="shared" ca="1" si="202"/>
        <v>0</v>
      </c>
      <c r="AE79" s="676">
        <f t="shared" ca="1" si="202"/>
        <v>0</v>
      </c>
      <c r="AF79" s="676">
        <f t="shared" ca="1" si="202"/>
        <v>0</v>
      </c>
      <c r="AG79" s="676">
        <f t="shared" ca="1" si="202"/>
        <v>0</v>
      </c>
      <c r="AH79" s="676">
        <f t="shared" ca="1" si="202"/>
        <v>0</v>
      </c>
      <c r="AI79" s="676">
        <f t="shared" ca="1" si="202"/>
        <v>0</v>
      </c>
      <c r="AJ79" s="676">
        <f t="shared" ca="1" si="202"/>
        <v>0</v>
      </c>
      <c r="AK79" s="677">
        <f ca="1">SUM(S79:AJ79)</f>
        <v>0</v>
      </c>
      <c r="AL79" s="6"/>
      <c r="AM79" s="678">
        <f t="shared" ref="AM79:AU79" ca="1" si="203">IFERROR(INDEX(INDIRECT($C79&amp;".Outputs["&amp;this.Year&amp;"]"), MATCH(AM$5, INDIRECT($C79&amp;".Outputs[Vector]"), 0)), 0)</f>
        <v>0</v>
      </c>
      <c r="AN79" s="678">
        <f t="shared" ca="1" si="203"/>
        <v>0</v>
      </c>
      <c r="AO79" s="678">
        <f t="shared" ca="1" si="203"/>
        <v>0</v>
      </c>
      <c r="AP79" s="678">
        <f t="shared" ca="1" si="203"/>
        <v>0</v>
      </c>
      <c r="AQ79" s="678">
        <f t="shared" ca="1" si="203"/>
        <v>0</v>
      </c>
      <c r="AR79" s="678">
        <f t="shared" ca="1" si="203"/>
        <v>0</v>
      </c>
      <c r="AS79" s="678">
        <f t="shared" ca="1" si="203"/>
        <v>0</v>
      </c>
      <c r="AT79" s="678">
        <f t="shared" ca="1" si="203"/>
        <v>0</v>
      </c>
      <c r="AU79" s="678">
        <f t="shared" ca="1" si="203"/>
        <v>0</v>
      </c>
      <c r="AV79" s="678">
        <f t="shared" ref="AV79:BE79" ca="1" si="204">IFERROR(INDEX(INDIRECT($C79&amp;".Outputs["&amp;this.Year&amp;"]"), MATCH(AV$5, INDIRECT($C79&amp;".Outputs[Vector]"), 0)), 0)</f>
        <v>0</v>
      </c>
      <c r="AW79" s="678">
        <f t="shared" ca="1" si="204"/>
        <v>0</v>
      </c>
      <c r="AX79" s="678">
        <f t="shared" ca="1" si="204"/>
        <v>0</v>
      </c>
      <c r="AY79" s="678">
        <f t="shared" ca="1" si="204"/>
        <v>0</v>
      </c>
      <c r="AZ79" s="678">
        <f t="shared" ca="1" si="204"/>
        <v>0</v>
      </c>
      <c r="BA79" s="678">
        <f t="shared" ca="1" si="204"/>
        <v>0</v>
      </c>
      <c r="BB79" s="678">
        <f t="shared" ca="1" si="204"/>
        <v>0</v>
      </c>
      <c r="BC79" s="678">
        <f t="shared" ca="1" si="204"/>
        <v>0</v>
      </c>
      <c r="BD79" s="678">
        <f t="shared" ca="1" si="204"/>
        <v>0</v>
      </c>
      <c r="BE79" s="678">
        <f t="shared" ca="1" si="204"/>
        <v>0</v>
      </c>
      <c r="BF79" s="679">
        <f ca="1">SUM(AM79:BE79)</f>
        <v>0</v>
      </c>
      <c r="BG79" s="6"/>
      <c r="BH79" s="3475">
        <f ca="1">IFERROR(INDEX(INDIRECT($C79&amp;".Outputs["&amp;this.Year&amp;"]"), MATCH(BH$5, INDIRECT($C79&amp;".Outputs[Vector]"), 0)), 0)</f>
        <v>0</v>
      </c>
      <c r="BI79" s="3475">
        <f ca="1">IFERROR(INDEX(INDIRECT($C79&amp;".Outputs["&amp;this.Year&amp;"]"), MATCH(BI$5, INDIRECT($C79&amp;".Outputs[Vector]"), 0)), 0)</f>
        <v>0</v>
      </c>
      <c r="BJ79" s="3466">
        <f ca="1">SUM(BH79:BI79)</f>
        <v>0</v>
      </c>
      <c r="BK79" s="6"/>
      <c r="BL79" s="610">
        <f t="shared" ca="1" si="191"/>
        <v>0</v>
      </c>
      <c r="BM79" s="610"/>
      <c r="BN79" s="413"/>
      <c r="BO79" s="2789">
        <f t="shared" ref="BO79:DF79" ca="1" si="205">IFERROR(SUMIFS(INDIRECT($C79&amp;".Emissions["&amp;this.Year&amp;"]"), INDIRECT($C79&amp;".Emissions[GHG]"), BO$6, INDIRECT($C79&amp;".Emissions[IPCC Sector]"), BO$5),0)</f>
        <v>0</v>
      </c>
      <c r="BP79" s="2790">
        <f t="shared" ca="1" si="205"/>
        <v>0</v>
      </c>
      <c r="BQ79" s="2790">
        <f t="shared" ca="1" si="205"/>
        <v>0</v>
      </c>
      <c r="BR79" s="2790">
        <f t="shared" ca="1" si="205"/>
        <v>0</v>
      </c>
      <c r="BS79" s="2790">
        <f t="shared" ca="1" si="205"/>
        <v>0</v>
      </c>
      <c r="BT79" s="2790">
        <f t="shared" ca="1" si="205"/>
        <v>0</v>
      </c>
      <c r="BU79" s="2790">
        <f t="shared" ca="1" si="205"/>
        <v>0</v>
      </c>
      <c r="BV79" s="2790">
        <f t="shared" ca="1" si="205"/>
        <v>0</v>
      </c>
      <c r="BW79" s="2790">
        <f t="shared" ca="1" si="205"/>
        <v>0</v>
      </c>
      <c r="BX79" s="2790">
        <f t="shared" ca="1" si="205"/>
        <v>0</v>
      </c>
      <c r="BY79" s="2790">
        <f t="shared" ca="1" si="205"/>
        <v>0</v>
      </c>
      <c r="BZ79" s="2790">
        <f t="shared" ca="1" si="205"/>
        <v>0</v>
      </c>
      <c r="CA79" s="2790">
        <f t="shared" ca="1" si="205"/>
        <v>0</v>
      </c>
      <c r="CB79" s="2790">
        <f t="shared" ca="1" si="205"/>
        <v>0</v>
      </c>
      <c r="CC79" s="2790">
        <f t="shared" ca="1" si="205"/>
        <v>0</v>
      </c>
      <c r="CD79" s="2790">
        <f t="shared" ca="1" si="205"/>
        <v>0</v>
      </c>
      <c r="CE79" s="2790">
        <f t="shared" ca="1" si="205"/>
        <v>0</v>
      </c>
      <c r="CF79" s="2790">
        <f t="shared" ca="1" si="205"/>
        <v>0</v>
      </c>
      <c r="CG79" s="2790">
        <f t="shared" ca="1" si="205"/>
        <v>0</v>
      </c>
      <c r="CH79" s="2790">
        <f t="shared" ca="1" si="205"/>
        <v>0</v>
      </c>
      <c r="CI79" s="2790">
        <f t="shared" ca="1" si="205"/>
        <v>0</v>
      </c>
      <c r="CJ79" s="2790">
        <f t="shared" ca="1" si="205"/>
        <v>0</v>
      </c>
      <c r="CK79" s="2790">
        <f t="shared" ca="1" si="205"/>
        <v>0</v>
      </c>
      <c r="CL79" s="2790">
        <f t="shared" ca="1" si="205"/>
        <v>0</v>
      </c>
      <c r="CM79" s="2790">
        <f t="shared" ca="1" si="205"/>
        <v>0</v>
      </c>
      <c r="CN79" s="2790">
        <f t="shared" ca="1" si="205"/>
        <v>0</v>
      </c>
      <c r="CO79" s="2790">
        <f t="shared" ca="1" si="205"/>
        <v>0</v>
      </c>
      <c r="CP79" s="2790">
        <f t="shared" ca="1" si="205"/>
        <v>0</v>
      </c>
      <c r="CQ79" s="2790">
        <f t="shared" ca="1" si="205"/>
        <v>0</v>
      </c>
      <c r="CR79" s="2790">
        <f t="shared" ca="1" si="205"/>
        <v>0</v>
      </c>
      <c r="CS79" s="2790">
        <f t="shared" ca="1" si="205"/>
        <v>0</v>
      </c>
      <c r="CT79" s="2790">
        <f t="shared" ca="1" si="205"/>
        <v>0</v>
      </c>
      <c r="CU79" s="2790">
        <f t="shared" ca="1" si="205"/>
        <v>0</v>
      </c>
      <c r="CV79" s="2790">
        <f t="shared" ca="1" si="205"/>
        <v>0</v>
      </c>
      <c r="CW79" s="2790">
        <f t="shared" ca="1" si="205"/>
        <v>0</v>
      </c>
      <c r="CX79" s="2790">
        <f t="shared" ca="1" si="205"/>
        <v>0</v>
      </c>
      <c r="CY79" s="2790">
        <f t="shared" ca="1" si="205"/>
        <v>0</v>
      </c>
      <c r="CZ79" s="2790">
        <f t="shared" ca="1" si="205"/>
        <v>0</v>
      </c>
      <c r="DA79" s="2790">
        <f t="shared" ca="1" si="205"/>
        <v>0</v>
      </c>
      <c r="DB79" s="2790">
        <f t="shared" ca="1" si="205"/>
        <v>0</v>
      </c>
      <c r="DC79" s="2790">
        <f t="shared" ca="1" si="205"/>
        <v>0</v>
      </c>
      <c r="DD79" s="2790">
        <f t="shared" ca="1" si="205"/>
        <v>0</v>
      </c>
      <c r="DE79" s="2790">
        <f t="shared" ca="1" si="205"/>
        <v>0</v>
      </c>
      <c r="DF79" s="2790">
        <f t="shared" ca="1" si="205"/>
        <v>0</v>
      </c>
      <c r="DH79" s="596">
        <f t="shared" ca="1" si="120"/>
        <v>0</v>
      </c>
    </row>
    <row r="80" spans="1:112" s="639" customFormat="1" ht="12.75" customHeight="1" outlineLevel="1">
      <c r="C80" s="640" t="s">
        <v>555</v>
      </c>
      <c r="D80" s="668" t="s">
        <v>547</v>
      </c>
      <c r="E80" s="641"/>
      <c r="F80" s="642"/>
      <c r="G80" s="643"/>
      <c r="H80" s="643"/>
      <c r="I80" s="643"/>
      <c r="J80" s="643"/>
      <c r="K80" s="644"/>
      <c r="L80" s="643"/>
      <c r="M80" s="643"/>
      <c r="N80" s="643"/>
      <c r="O80" s="643"/>
      <c r="P80" s="643"/>
      <c r="Q80" s="643"/>
      <c r="R80" s="642"/>
      <c r="S80" s="645">
        <f ca="1">S78+S79</f>
        <v>-23.472851618681876</v>
      </c>
      <c r="T80" s="645">
        <f ca="1">T78+T79</f>
        <v>4.3928426695888341</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91"/>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20"/>
        <v>0</v>
      </c>
    </row>
    <row r="81" spans="1:112" s="607" customFormat="1" ht="12.75" customHeight="1" outlineLevel="1">
      <c r="C81" s="587" t="s">
        <v>556</v>
      </c>
      <c r="D81" s="588" t="s">
        <v>557</v>
      </c>
      <c r="E81" s="588"/>
      <c r="F81" s="6"/>
      <c r="G81" s="619">
        <f t="shared" ref="G81:P81" ca="1" si="206">IFERROR(INDEX(INDIRECT($C81&amp;".Outputs["&amp;this.Year&amp;"]"), MATCH(G$5, INDIRECT($C81&amp;".Outputs[Vector]"), 0)), 0)</f>
        <v>0</v>
      </c>
      <c r="H81" s="619">
        <f t="shared" ca="1" si="206"/>
        <v>0</v>
      </c>
      <c r="I81" s="619">
        <f t="shared" ca="1" si="206"/>
        <v>0</v>
      </c>
      <c r="J81" s="619">
        <f t="shared" ca="1" si="206"/>
        <v>0</v>
      </c>
      <c r="K81" s="619">
        <f t="shared" ca="1" si="206"/>
        <v>0</v>
      </c>
      <c r="L81" s="619">
        <f t="shared" ca="1" si="206"/>
        <v>0</v>
      </c>
      <c r="M81" s="619">
        <f t="shared" ca="1" si="206"/>
        <v>0</v>
      </c>
      <c r="N81" s="619">
        <f t="shared" ca="1" si="206"/>
        <v>0</v>
      </c>
      <c r="O81" s="619">
        <f t="shared" ca="1" si="206"/>
        <v>0</v>
      </c>
      <c r="P81" s="619">
        <f t="shared" ca="1" si="206"/>
        <v>0</v>
      </c>
      <c r="Q81" s="612">
        <f ca="1">SUM(G81:P81)</f>
        <v>0</v>
      </c>
      <c r="R81" s="6"/>
      <c r="S81" s="620">
        <f t="shared" ref="S81:AJ81" ca="1" si="207">IFERROR(INDEX(INDIRECT($C81&amp;".Outputs["&amp;this.Year&amp;"]"), MATCH(S$5, INDIRECT($C81&amp;".Outputs[Vector]"), 0)), 0)</f>
        <v>0</v>
      </c>
      <c r="T81" s="620">
        <f t="shared" ca="1" si="207"/>
        <v>19.080008949093042</v>
      </c>
      <c r="U81" s="620">
        <f t="shared" ca="1" si="207"/>
        <v>-19.930507628592196</v>
      </c>
      <c r="V81" s="620">
        <f t="shared" ca="1" si="207"/>
        <v>-2.6999280000000003</v>
      </c>
      <c r="W81" s="620">
        <f t="shared" ca="1" si="207"/>
        <v>-23.361847793789565</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207"/>
        <v>0</v>
      </c>
      <c r="AB81" s="620">
        <f t="shared" ca="1" si="207"/>
        <v>0</v>
      </c>
      <c r="AC81" s="620">
        <f t="shared" ca="1" si="207"/>
        <v>0</v>
      </c>
      <c r="AD81" s="620">
        <f t="shared" ca="1" si="207"/>
        <v>0</v>
      </c>
      <c r="AE81" s="620">
        <f t="shared" ca="1" si="207"/>
        <v>0</v>
      </c>
      <c r="AF81" s="620">
        <f t="shared" ca="1" si="207"/>
        <v>0</v>
      </c>
      <c r="AG81" s="620">
        <f t="shared" ca="1" si="207"/>
        <v>0</v>
      </c>
      <c r="AH81" s="620">
        <f t="shared" ca="1" si="207"/>
        <v>0</v>
      </c>
      <c r="AI81" s="620">
        <f t="shared" ca="1" si="207"/>
        <v>0</v>
      </c>
      <c r="AJ81" s="620">
        <f t="shared" ca="1" si="207"/>
        <v>0</v>
      </c>
      <c r="AK81" s="613">
        <f ca="1">SUM(S81:AJ81)</f>
        <v>-26.912274473288718</v>
      </c>
      <c r="AL81" s="6"/>
      <c r="AM81" s="621">
        <f t="shared" ref="AM81:AU81" ca="1" si="208">IFERROR(INDEX(INDIRECT($C81&amp;".Outputs["&amp;this.Year&amp;"]"), MATCH(AM$5, INDIRECT($C81&amp;".Outputs[Vector]"), 0)), 0)</f>
        <v>0</v>
      </c>
      <c r="AN81" s="621">
        <f t="shared" ca="1" si="208"/>
        <v>0</v>
      </c>
      <c r="AO81" s="621">
        <f t="shared" ca="1" si="208"/>
        <v>0</v>
      </c>
      <c r="AP81" s="621">
        <f t="shared" ca="1" si="208"/>
        <v>0</v>
      </c>
      <c r="AQ81" s="621">
        <f t="shared" ca="1" si="208"/>
        <v>0</v>
      </c>
      <c r="AR81" s="621">
        <f t="shared" ca="1" si="208"/>
        <v>0</v>
      </c>
      <c r="AS81" s="621">
        <f t="shared" ca="1" si="208"/>
        <v>0</v>
      </c>
      <c r="AT81" s="621">
        <f t="shared" ca="1" si="208"/>
        <v>0</v>
      </c>
      <c r="AU81" s="621">
        <f t="shared" ca="1" si="208"/>
        <v>0</v>
      </c>
      <c r="AV81" s="621">
        <f t="shared" ref="AV81:BE81" ca="1" si="209">IFERROR(INDEX(INDIRECT($C81&amp;".Outputs["&amp;this.Year&amp;"]"), MATCH(AV$5, INDIRECT($C81&amp;".Outputs[Vector]"), 0)), 0)</f>
        <v>0</v>
      </c>
      <c r="AW81" s="621">
        <f t="shared" ca="1" si="209"/>
        <v>0</v>
      </c>
      <c r="AX81" s="621">
        <f t="shared" ca="1" si="209"/>
        <v>0</v>
      </c>
      <c r="AY81" s="621">
        <f t="shared" ca="1" si="209"/>
        <v>0</v>
      </c>
      <c r="AZ81" s="621">
        <f t="shared" ca="1" si="209"/>
        <v>0</v>
      </c>
      <c r="BA81" s="621">
        <f t="shared" ca="1" si="209"/>
        <v>0</v>
      </c>
      <c r="BB81" s="621">
        <f t="shared" ca="1" si="209"/>
        <v>0</v>
      </c>
      <c r="BC81" s="621">
        <f t="shared" ca="1" si="209"/>
        <v>0</v>
      </c>
      <c r="BD81" s="621">
        <f t="shared" ca="1" si="209"/>
        <v>0</v>
      </c>
      <c r="BE81" s="621">
        <f t="shared" ca="1" si="209"/>
        <v>0</v>
      </c>
      <c r="BF81" s="615">
        <f ca="1">SUM(AM81:BE81)</f>
        <v>0</v>
      </c>
      <c r="BG81" s="6"/>
      <c r="BH81" s="3473">
        <f ca="1">IFERROR(INDEX(INDIRECT($C81&amp;".Outputs["&amp;this.Year&amp;"]"), MATCH(BH$5, INDIRECT($C81&amp;".Outputs[Vector]"), 0)), 0)</f>
        <v>26.354136447219844</v>
      </c>
      <c r="BI81" s="3473">
        <f ca="1">IFERROR(INDEX(INDIRECT($C81&amp;".Outputs["&amp;this.Year&amp;"]"), MATCH(BI$5, INDIRECT($C81&amp;".Outputs[Vector]"), 0)), 0)</f>
        <v>0.55813802606887652</v>
      </c>
      <c r="BJ81" s="3462">
        <f ca="1">SUM(BH81:BI81)</f>
        <v>26.912274473288722</v>
      </c>
      <c r="BK81" s="6"/>
      <c r="BL81" s="610">
        <f t="shared" ca="1" si="191"/>
        <v>0</v>
      </c>
      <c r="BM81" s="610"/>
      <c r="BN81" s="413"/>
      <c r="BO81" s="2791">
        <f t="shared" ref="BO81:DF81" ca="1" si="210">IFERROR(SUMIFS(INDIRECT($C81&amp;".Emissions["&amp;this.Year&amp;"]"), INDIRECT($C81&amp;".Emissions[GHG]"), BO$6, INDIRECT($C81&amp;".Emissions[IPCC Sector]"), BO$5),0)</f>
        <v>12.560557624924739</v>
      </c>
      <c r="BP81" s="2792">
        <f t="shared" ca="1" si="210"/>
        <v>3.5386940736861008E-3</v>
      </c>
      <c r="BQ81" s="2792">
        <f t="shared" ca="1" si="210"/>
        <v>8.9649501571050436E-2</v>
      </c>
      <c r="BR81" s="2792">
        <f t="shared" ca="1" si="210"/>
        <v>0</v>
      </c>
      <c r="BS81" s="2792">
        <f t="shared" ca="1" si="210"/>
        <v>0</v>
      </c>
      <c r="BT81" s="2792">
        <f t="shared" ca="1" si="210"/>
        <v>0</v>
      </c>
      <c r="BU81" s="2792">
        <f t="shared" ca="1" si="210"/>
        <v>0</v>
      </c>
      <c r="BV81" s="2792">
        <f t="shared" ca="1" si="210"/>
        <v>0</v>
      </c>
      <c r="BW81" s="2792">
        <f t="shared" ca="1" si="210"/>
        <v>0</v>
      </c>
      <c r="BX81" s="2792">
        <f t="shared" ca="1" si="210"/>
        <v>0</v>
      </c>
      <c r="BY81" s="2792">
        <f t="shared" ca="1" si="210"/>
        <v>0</v>
      </c>
      <c r="BZ81" s="2792">
        <f t="shared" ca="1" si="210"/>
        <v>0</v>
      </c>
      <c r="CA81" s="2792">
        <f t="shared" ca="1" si="210"/>
        <v>0</v>
      </c>
      <c r="CB81" s="2792">
        <f t="shared" ca="1" si="210"/>
        <v>0</v>
      </c>
      <c r="CC81" s="2792">
        <f t="shared" ca="1" si="210"/>
        <v>0</v>
      </c>
      <c r="CD81" s="2792">
        <f t="shared" ca="1" si="210"/>
        <v>0</v>
      </c>
      <c r="CE81" s="2792">
        <f t="shared" ca="1" si="210"/>
        <v>0</v>
      </c>
      <c r="CF81" s="2792">
        <f t="shared" ca="1" si="210"/>
        <v>0</v>
      </c>
      <c r="CG81" s="2792">
        <f t="shared" ca="1" si="210"/>
        <v>0</v>
      </c>
      <c r="CH81" s="2792">
        <f t="shared" ca="1" si="210"/>
        <v>0</v>
      </c>
      <c r="CI81" s="2792">
        <f t="shared" ca="1" si="210"/>
        <v>0</v>
      </c>
      <c r="CJ81" s="2792">
        <f t="shared" ca="1" si="210"/>
        <v>0</v>
      </c>
      <c r="CK81" s="2792">
        <f t="shared" ca="1" si="210"/>
        <v>0</v>
      </c>
      <c r="CL81" s="2792">
        <f t="shared" ca="1" si="210"/>
        <v>0</v>
      </c>
      <c r="CM81" s="2792">
        <f t="shared" ca="1" si="210"/>
        <v>0</v>
      </c>
      <c r="CN81" s="2792">
        <f t="shared" ca="1" si="210"/>
        <v>0</v>
      </c>
      <c r="CO81" s="2792">
        <f t="shared" ca="1" si="210"/>
        <v>0</v>
      </c>
      <c r="CP81" s="2792">
        <f t="shared" ca="1" si="210"/>
        <v>0</v>
      </c>
      <c r="CQ81" s="2792">
        <f t="shared" ca="1" si="210"/>
        <v>0</v>
      </c>
      <c r="CR81" s="2792">
        <f t="shared" ca="1" si="210"/>
        <v>0</v>
      </c>
      <c r="CS81" s="2792">
        <f t="shared" ca="1" si="210"/>
        <v>0</v>
      </c>
      <c r="CT81" s="2792">
        <f t="shared" ca="1" si="210"/>
        <v>0</v>
      </c>
      <c r="CU81" s="2792">
        <f t="shared" ca="1" si="210"/>
        <v>0</v>
      </c>
      <c r="CV81" s="2792">
        <f t="shared" ca="1" si="210"/>
        <v>0</v>
      </c>
      <c r="CW81" s="2792">
        <f t="shared" ca="1" si="210"/>
        <v>0</v>
      </c>
      <c r="CX81" s="2792">
        <f t="shared" ca="1" si="210"/>
        <v>0</v>
      </c>
      <c r="CY81" s="2792">
        <f t="shared" ca="1" si="210"/>
        <v>0</v>
      </c>
      <c r="CZ81" s="2792">
        <f t="shared" ca="1" si="210"/>
        <v>0</v>
      </c>
      <c r="DA81" s="2792">
        <f t="shared" ca="1" si="210"/>
        <v>0</v>
      </c>
      <c r="DB81" s="2792">
        <f t="shared" ca="1" si="210"/>
        <v>0</v>
      </c>
      <c r="DC81" s="2792">
        <f t="shared" ca="1" si="210"/>
        <v>0</v>
      </c>
      <c r="DD81" s="2792">
        <f t="shared" ca="1" si="210"/>
        <v>0</v>
      </c>
      <c r="DE81" s="2792">
        <f t="shared" ca="1" si="210"/>
        <v>0</v>
      </c>
      <c r="DF81" s="2792">
        <f t="shared" ca="1" si="210"/>
        <v>0</v>
      </c>
      <c r="DH81" s="596">
        <f t="shared" ca="1" si="120"/>
        <v>12.653745820569476</v>
      </c>
    </row>
    <row r="82" spans="1:112" s="6" customFormat="1" ht="15.75">
      <c r="A82" s="4"/>
      <c r="B82" s="3"/>
      <c r="C82" s="616" t="s">
        <v>558</v>
      </c>
      <c r="D82" s="617" t="s">
        <v>559</v>
      </c>
      <c r="E82" s="206"/>
      <c r="G82" s="618">
        <f t="shared" ref="G82:P82" ca="1" si="211">G79+G81</f>
        <v>0</v>
      </c>
      <c r="H82" s="618">
        <f t="shared" ca="1" si="211"/>
        <v>0</v>
      </c>
      <c r="I82" s="618">
        <f t="shared" ca="1" si="211"/>
        <v>0</v>
      </c>
      <c r="J82" s="618">
        <f t="shared" ca="1" si="211"/>
        <v>0</v>
      </c>
      <c r="K82" s="618">
        <f t="shared" ca="1" si="211"/>
        <v>0</v>
      </c>
      <c r="L82" s="618">
        <f t="shared" ca="1" si="211"/>
        <v>0</v>
      </c>
      <c r="M82" s="618">
        <f t="shared" ca="1" si="211"/>
        <v>0</v>
      </c>
      <c r="N82" s="618">
        <f t="shared" ca="1" si="211"/>
        <v>0</v>
      </c>
      <c r="O82" s="618">
        <f t="shared" ca="1" si="211"/>
        <v>0</v>
      </c>
      <c r="P82" s="618">
        <f t="shared" ca="1" si="211"/>
        <v>0</v>
      </c>
      <c r="Q82" s="618">
        <f ca="1">SUM(G82:P82)</f>
        <v>0</v>
      </c>
      <c r="S82" s="581">
        <f t="shared" ref="S82:AJ82" ca="1" si="212">S79+S81</f>
        <v>0</v>
      </c>
      <c r="T82" s="581">
        <f t="shared" ca="1" si="212"/>
        <v>19.080008949093042</v>
      </c>
      <c r="U82" s="581">
        <f ca="1">U79+U81</f>
        <v>-19.930507628592196</v>
      </c>
      <c r="V82" s="581">
        <f t="shared" ca="1" si="212"/>
        <v>-2.6999280000000003</v>
      </c>
      <c r="W82" s="581">
        <f t="shared" ca="1" si="212"/>
        <v>-23.361847793789565</v>
      </c>
      <c r="X82" s="581">
        <f t="shared" ca="1" si="212"/>
        <v>0</v>
      </c>
      <c r="Y82" s="581">
        <f t="shared" ca="1" si="212"/>
        <v>0</v>
      </c>
      <c r="Z82" s="581">
        <f t="shared" ca="1" si="212"/>
        <v>0</v>
      </c>
      <c r="AA82" s="581">
        <f t="shared" ca="1" si="212"/>
        <v>0</v>
      </c>
      <c r="AB82" s="581">
        <f t="shared" ca="1" si="212"/>
        <v>0</v>
      </c>
      <c r="AC82" s="581">
        <f t="shared" ca="1" si="212"/>
        <v>0</v>
      </c>
      <c r="AD82" s="581">
        <f ca="1">AD79+AD81</f>
        <v>0</v>
      </c>
      <c r="AE82" s="581">
        <f ca="1">AE79+AE81</f>
        <v>0</v>
      </c>
      <c r="AF82" s="581">
        <f t="shared" ca="1" si="212"/>
        <v>0</v>
      </c>
      <c r="AG82" s="581">
        <f t="shared" ca="1" si="212"/>
        <v>0</v>
      </c>
      <c r="AH82" s="581">
        <f ca="1">AH79+AH81</f>
        <v>0</v>
      </c>
      <c r="AI82" s="581">
        <f t="shared" ca="1" si="212"/>
        <v>0</v>
      </c>
      <c r="AJ82" s="581">
        <f t="shared" ca="1" si="212"/>
        <v>0</v>
      </c>
      <c r="AK82" s="581">
        <f ca="1">SUM(S82:AJ82)</f>
        <v>-26.912274473288718</v>
      </c>
      <c r="AM82" s="582">
        <f t="shared" ref="AM82:BE82" ca="1" si="213">AM79+AM81</f>
        <v>0</v>
      </c>
      <c r="AN82" s="582">
        <f t="shared" ca="1" si="213"/>
        <v>0</v>
      </c>
      <c r="AO82" s="582">
        <f t="shared" ca="1" si="213"/>
        <v>0</v>
      </c>
      <c r="AP82" s="582">
        <f t="shared" ca="1" si="213"/>
        <v>0</v>
      </c>
      <c r="AQ82" s="582">
        <f t="shared" ca="1" si="213"/>
        <v>0</v>
      </c>
      <c r="AR82" s="582">
        <f t="shared" ca="1" si="213"/>
        <v>0</v>
      </c>
      <c r="AS82" s="582">
        <f t="shared" ca="1" si="213"/>
        <v>0</v>
      </c>
      <c r="AT82" s="582">
        <f t="shared" ca="1" si="213"/>
        <v>0</v>
      </c>
      <c r="AU82" s="582">
        <f t="shared" ca="1" si="213"/>
        <v>0</v>
      </c>
      <c r="AV82" s="582">
        <f t="shared" ca="1" si="213"/>
        <v>0</v>
      </c>
      <c r="AW82" s="582">
        <f t="shared" ca="1" si="213"/>
        <v>0</v>
      </c>
      <c r="AX82" s="582">
        <f t="shared" ca="1" si="213"/>
        <v>0</v>
      </c>
      <c r="AY82" s="582">
        <f t="shared" ca="1" si="213"/>
        <v>0</v>
      </c>
      <c r="AZ82" s="582">
        <f t="shared" ca="1" si="213"/>
        <v>0</v>
      </c>
      <c r="BA82" s="582">
        <f t="shared" ca="1" si="213"/>
        <v>0</v>
      </c>
      <c r="BB82" s="582">
        <f t="shared" ca="1" si="213"/>
        <v>0</v>
      </c>
      <c r="BC82" s="582">
        <f t="shared" ca="1" si="213"/>
        <v>0</v>
      </c>
      <c r="BD82" s="582">
        <f t="shared" ca="1" si="213"/>
        <v>0</v>
      </c>
      <c r="BE82" s="582">
        <f t="shared" ca="1" si="213"/>
        <v>0</v>
      </c>
      <c r="BF82" s="582">
        <f ca="1">SUM(AM82:BE82)</f>
        <v>0</v>
      </c>
      <c r="BH82" s="3463">
        <f ca="1">BH79+BH81</f>
        <v>26.354136447219844</v>
      </c>
      <c r="BI82" s="3463">
        <f ca="1">BI79+BI81</f>
        <v>0.55813802606887652</v>
      </c>
      <c r="BJ82" s="3463">
        <f ca="1">SUM(BH82:BI82)</f>
        <v>26.912274473288722</v>
      </c>
      <c r="BL82" s="3477">
        <f t="shared" ca="1" si="191"/>
        <v>0</v>
      </c>
      <c r="BM82" s="584"/>
      <c r="BN82" s="413"/>
      <c r="BO82" s="2790">
        <f t="shared" ref="BO82:DF82" ca="1" si="214">BO79+BO81</f>
        <v>12.560557624924739</v>
      </c>
      <c r="BP82" s="2790">
        <f t="shared" ca="1" si="214"/>
        <v>3.5386940736861008E-3</v>
      </c>
      <c r="BQ82" s="2790">
        <f t="shared" ca="1" si="214"/>
        <v>8.9649501571050436E-2</v>
      </c>
      <c r="BR82" s="2790">
        <f t="shared" ca="1" si="214"/>
        <v>0</v>
      </c>
      <c r="BS82" s="2790">
        <f t="shared" ca="1" si="214"/>
        <v>0</v>
      </c>
      <c r="BT82" s="2790">
        <f t="shared" ca="1" si="214"/>
        <v>0</v>
      </c>
      <c r="BU82" s="2790">
        <f t="shared" ca="1" si="214"/>
        <v>0</v>
      </c>
      <c r="BV82" s="2790">
        <f t="shared" ca="1" si="214"/>
        <v>0</v>
      </c>
      <c r="BW82" s="2790">
        <f t="shared" ca="1" si="214"/>
        <v>0</v>
      </c>
      <c r="BX82" s="2790">
        <f t="shared" ca="1" si="214"/>
        <v>0</v>
      </c>
      <c r="BY82" s="2790">
        <f t="shared" ca="1" si="214"/>
        <v>0</v>
      </c>
      <c r="BZ82" s="2790">
        <f t="shared" ca="1" si="214"/>
        <v>0</v>
      </c>
      <c r="CA82" s="2790">
        <f t="shared" ca="1" si="214"/>
        <v>0</v>
      </c>
      <c r="CB82" s="2790">
        <f t="shared" ca="1" si="214"/>
        <v>0</v>
      </c>
      <c r="CC82" s="2790">
        <f t="shared" ca="1" si="214"/>
        <v>0</v>
      </c>
      <c r="CD82" s="2790">
        <f t="shared" ca="1" si="214"/>
        <v>0</v>
      </c>
      <c r="CE82" s="2790">
        <f t="shared" ca="1" si="214"/>
        <v>0</v>
      </c>
      <c r="CF82" s="2790">
        <f t="shared" ca="1" si="214"/>
        <v>0</v>
      </c>
      <c r="CG82" s="2790">
        <f t="shared" ca="1" si="214"/>
        <v>0</v>
      </c>
      <c r="CH82" s="2790">
        <f t="shared" ca="1" si="214"/>
        <v>0</v>
      </c>
      <c r="CI82" s="2790">
        <f t="shared" ca="1" si="214"/>
        <v>0</v>
      </c>
      <c r="CJ82" s="2790">
        <f t="shared" ca="1" si="214"/>
        <v>0</v>
      </c>
      <c r="CK82" s="2790">
        <f t="shared" ca="1" si="214"/>
        <v>0</v>
      </c>
      <c r="CL82" s="2790">
        <f t="shared" ca="1" si="214"/>
        <v>0</v>
      </c>
      <c r="CM82" s="2790">
        <f t="shared" ca="1" si="214"/>
        <v>0</v>
      </c>
      <c r="CN82" s="2790">
        <f t="shared" ca="1" si="214"/>
        <v>0</v>
      </c>
      <c r="CO82" s="2790">
        <f t="shared" ca="1" si="214"/>
        <v>0</v>
      </c>
      <c r="CP82" s="2790">
        <f t="shared" ca="1" si="214"/>
        <v>0</v>
      </c>
      <c r="CQ82" s="2790">
        <f t="shared" ca="1" si="214"/>
        <v>0</v>
      </c>
      <c r="CR82" s="2790">
        <f t="shared" ca="1" si="214"/>
        <v>0</v>
      </c>
      <c r="CS82" s="2790">
        <f t="shared" ca="1" si="214"/>
        <v>0</v>
      </c>
      <c r="CT82" s="2790">
        <f t="shared" ca="1" si="214"/>
        <v>0</v>
      </c>
      <c r="CU82" s="2790">
        <f t="shared" ca="1" si="214"/>
        <v>0</v>
      </c>
      <c r="CV82" s="2790">
        <f t="shared" ca="1" si="214"/>
        <v>0</v>
      </c>
      <c r="CW82" s="2790">
        <f t="shared" ca="1" si="214"/>
        <v>0</v>
      </c>
      <c r="CX82" s="2790">
        <f t="shared" ca="1" si="214"/>
        <v>0</v>
      </c>
      <c r="CY82" s="2790">
        <f t="shared" ca="1" si="214"/>
        <v>0</v>
      </c>
      <c r="CZ82" s="2790">
        <f t="shared" ca="1" si="214"/>
        <v>0</v>
      </c>
      <c r="DA82" s="2790">
        <f t="shared" ca="1" si="214"/>
        <v>0</v>
      </c>
      <c r="DB82" s="2790">
        <f t="shared" ca="1" si="214"/>
        <v>0</v>
      </c>
      <c r="DC82" s="2790">
        <f t="shared" ca="1" si="214"/>
        <v>0</v>
      </c>
      <c r="DD82" s="2790">
        <f t="shared" ca="1" si="214"/>
        <v>0</v>
      </c>
      <c r="DE82" s="2790">
        <f t="shared" ca="1" si="214"/>
        <v>0</v>
      </c>
      <c r="DF82" s="2790">
        <f t="shared" ca="1" si="214"/>
        <v>0</v>
      </c>
      <c r="DH82" s="596">
        <f t="shared" ca="1" si="120"/>
        <v>12.653745820569476</v>
      </c>
    </row>
    <row r="83" spans="1:112" s="6" customFormat="1" ht="6" customHeigh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91"/>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215">G$51+G$55+G$63+G$68+G$72+G$76+G$82+G$46</f>
        <v>0</v>
      </c>
      <c r="H84" s="680">
        <f t="shared" ca="1" si="215"/>
        <v>2.9324919592134012E-3</v>
      </c>
      <c r="I84" s="680">
        <f t="shared" ca="1" si="215"/>
        <v>2.6855432247790127</v>
      </c>
      <c r="J84" s="680">
        <f t="shared" ca="1" si="215"/>
        <v>0</v>
      </c>
      <c r="K84" s="681">
        <f t="shared" ca="1" si="215"/>
        <v>0</v>
      </c>
      <c r="L84" s="680">
        <f t="shared" ca="1" si="215"/>
        <v>0</v>
      </c>
      <c r="M84" s="680">
        <f t="shared" ca="1" si="215"/>
        <v>0</v>
      </c>
      <c r="N84" s="680">
        <f t="shared" ca="1" si="215"/>
        <v>0</v>
      </c>
      <c r="O84" s="680">
        <f t="shared" ca="1" si="215"/>
        <v>0</v>
      </c>
      <c r="P84" s="680">
        <f t="shared" ca="1" si="215"/>
        <v>0</v>
      </c>
      <c r="Q84" s="633">
        <f ca="1">SUM(G84:P84)</f>
        <v>2.6884757167382261</v>
      </c>
      <c r="S84" s="634">
        <f t="shared" ref="S84:AJ84" ca="1" si="216">S$51+S$55+S$63+S$68+S$72+S$76+S$82+S$46</f>
        <v>-0.84340099068537666</v>
      </c>
      <c r="T84" s="634">
        <f t="shared" ca="1" si="216"/>
        <v>24.325473926275269</v>
      </c>
      <c r="U84" s="634">
        <f t="shared" ca="1" si="216"/>
        <v>-19.933525552599434</v>
      </c>
      <c r="V84" s="634">
        <f t="shared" ca="1" si="216"/>
        <v>-6.6141138135888724</v>
      </c>
      <c r="W84" s="634">
        <f t="shared" ca="1" si="216"/>
        <v>-23.450394653907498</v>
      </c>
      <c r="X84" s="634">
        <f t="shared" ca="1" si="216"/>
        <v>8.4637493807999995</v>
      </c>
      <c r="Y84" s="634">
        <f t="shared" ca="1" si="216"/>
        <v>0</v>
      </c>
      <c r="Z84" s="634">
        <f t="shared" ca="1" si="216"/>
        <v>0</v>
      </c>
      <c r="AA84" s="634">
        <f t="shared" ca="1" si="216"/>
        <v>0</v>
      </c>
      <c r="AB84" s="634">
        <f t="shared" ca="1" si="216"/>
        <v>0</v>
      </c>
      <c r="AC84" s="634">
        <f t="shared" ca="1" si="216"/>
        <v>0</v>
      </c>
      <c r="AD84" s="634">
        <f t="shared" ca="1" si="216"/>
        <v>0.16958333333333334</v>
      </c>
      <c r="AE84" s="634">
        <f t="shared" ca="1" si="216"/>
        <v>0.14350000000000002</v>
      </c>
      <c r="AF84" s="634">
        <f t="shared" ca="1" si="216"/>
        <v>0.4334068201700001</v>
      </c>
      <c r="AG84" s="634">
        <f ca="1">AG$51+AG$55+AG$63+AG$68+AG$72+AG$76+AG$82+AG$46</f>
        <v>0.1469939508333333</v>
      </c>
      <c r="AH84" s="634">
        <f t="shared" ca="1" si="216"/>
        <v>0.11749909065550901</v>
      </c>
      <c r="AI84" s="634">
        <f t="shared" ca="1" si="216"/>
        <v>4.1054887428987621E-2</v>
      </c>
      <c r="AJ84" s="634">
        <f t="shared" ca="1" si="216"/>
        <v>9.8843865838814832E-5</v>
      </c>
      <c r="AK84" s="634">
        <f ca="1">SUM(S84:AJ84)</f>
        <v>-17.000074777418913</v>
      </c>
      <c r="AM84" s="635">
        <f t="shared" ref="AM84:BE84" ca="1" si="217">AM$51+AM$55+AM$63+AM$68+AM$72+AM$76+AM$82+AM$46</f>
        <v>-8.4</v>
      </c>
      <c r="AN84" s="635">
        <f t="shared" ca="1" si="217"/>
        <v>0</v>
      </c>
      <c r="AO84" s="635">
        <f t="shared" ca="1" si="217"/>
        <v>0</v>
      </c>
      <c r="AP84" s="635">
        <f t="shared" ca="1" si="217"/>
        <v>0</v>
      </c>
      <c r="AQ84" s="635">
        <f t="shared" ca="1" si="217"/>
        <v>0</v>
      </c>
      <c r="AR84" s="635">
        <f t="shared" ca="1" si="217"/>
        <v>0</v>
      </c>
      <c r="AS84" s="635">
        <f t="shared" ca="1" si="217"/>
        <v>0</v>
      </c>
      <c r="AT84" s="635">
        <f t="shared" ca="1" si="217"/>
        <v>0</v>
      </c>
      <c r="AU84" s="635">
        <f t="shared" ca="1" si="217"/>
        <v>0</v>
      </c>
      <c r="AV84" s="635">
        <f t="shared" ca="1" si="217"/>
        <v>0</v>
      </c>
      <c r="AW84" s="635">
        <f t="shared" ca="1" si="217"/>
        <v>-4.1054887428987621E-2</v>
      </c>
      <c r="AX84" s="635">
        <f t="shared" ca="1" si="217"/>
        <v>-4.5013410000000009</v>
      </c>
      <c r="AY84" s="635">
        <f t="shared" ca="1" si="217"/>
        <v>0</v>
      </c>
      <c r="AZ84" s="635">
        <f t="shared" ca="1" si="217"/>
        <v>0</v>
      </c>
      <c r="BA84" s="635">
        <f t="shared" ca="1" si="217"/>
        <v>0</v>
      </c>
      <c r="BB84" s="635">
        <f t="shared" ca="1" si="217"/>
        <v>-0.74791511999999993</v>
      </c>
      <c r="BC84" s="635">
        <f t="shared" ca="1" si="217"/>
        <v>0</v>
      </c>
      <c r="BD84" s="635">
        <f t="shared" ca="1" si="217"/>
        <v>-0.31308333333333338</v>
      </c>
      <c r="BE84" s="635">
        <f t="shared" ca="1" si="217"/>
        <v>-0.76164924245884236</v>
      </c>
      <c r="BF84" s="635">
        <f ca="1">SUM(AM84:BE84)</f>
        <v>-14.765043583221166</v>
      </c>
      <c r="BH84" s="3464">
        <f ca="1">BH$51+BH$55+BH$63+BH$68+BH$72+BH$76+BH$82+BH$46</f>
        <v>26.331389590313197</v>
      </c>
      <c r="BI84" s="3464">
        <f ca="1">BI$51+BI$55+BI$63+BI$68+BI$72+BI$76+BI$82+BI$46</f>
        <v>2.745351897454491</v>
      </c>
      <c r="BJ84" s="3464">
        <f ca="1">SUM(BH84:BI84)</f>
        <v>29.076741487767688</v>
      </c>
      <c r="BL84" s="3478">
        <f t="shared" ca="1" si="191"/>
        <v>9.8843865835362976E-5</v>
      </c>
      <c r="BM84" s="636"/>
      <c r="BO84" s="2793">
        <f t="shared" ref="BO84:DE84" ca="1" si="218">BO$51+BO$55+BO$63+BO$68+BO$72+BO$76+BO$82+BO$46</f>
        <v>13.610302404165989</v>
      </c>
      <c r="BP84" s="2793">
        <f t="shared" ca="1" si="218"/>
        <v>4.4326610038736593E-3</v>
      </c>
      <c r="BQ84" s="2793">
        <f t="shared" ca="1" si="218"/>
        <v>9.253712607332365E-2</v>
      </c>
      <c r="BR84" s="2793">
        <f t="shared" ca="1" si="218"/>
        <v>0</v>
      </c>
      <c r="BS84" s="2793">
        <f t="shared" ca="1" si="218"/>
        <v>0</v>
      </c>
      <c r="BT84" s="2793">
        <f t="shared" ca="1" si="218"/>
        <v>0</v>
      </c>
      <c r="BU84" s="2793">
        <f t="shared" ca="1" si="218"/>
        <v>0</v>
      </c>
      <c r="BV84" s="2793">
        <f t="shared" ca="1" si="218"/>
        <v>0</v>
      </c>
      <c r="BW84" s="2793">
        <f t="shared" ca="1" si="218"/>
        <v>0</v>
      </c>
      <c r="BX84" s="2793">
        <f t="shared" ca="1" si="218"/>
        <v>0</v>
      </c>
      <c r="BY84" s="2793">
        <f t="shared" ca="1" si="218"/>
        <v>0</v>
      </c>
      <c r="BZ84" s="2793">
        <f t="shared" ca="1" si="218"/>
        <v>0</v>
      </c>
      <c r="CA84" s="2793">
        <f t="shared" ca="1" si="218"/>
        <v>0</v>
      </c>
      <c r="CB84" s="2793">
        <f t="shared" ca="1" si="218"/>
        <v>0</v>
      </c>
      <c r="CC84" s="2793">
        <f t="shared" ca="1" si="218"/>
        <v>0</v>
      </c>
      <c r="CD84" s="2793">
        <f t="shared" ca="1" si="218"/>
        <v>0</v>
      </c>
      <c r="CE84" s="2793">
        <f t="shared" ca="1" si="218"/>
        <v>0</v>
      </c>
      <c r="CF84" s="2793">
        <f t="shared" ca="1" si="218"/>
        <v>11.027285399999997</v>
      </c>
      <c r="CG84" s="2793">
        <f t="shared" ca="1" si="218"/>
        <v>6.45</v>
      </c>
      <c r="CH84" s="2793">
        <f t="shared" ca="1" si="218"/>
        <v>0</v>
      </c>
      <c r="CI84" s="2793">
        <f t="shared" ca="1" si="218"/>
        <v>-3.1859999999999999</v>
      </c>
      <c r="CJ84" s="2793">
        <f t="shared" ca="1" si="218"/>
        <v>0</v>
      </c>
      <c r="CK84" s="2793">
        <f t="shared" ca="1" si="218"/>
        <v>0</v>
      </c>
      <c r="CL84" s="2793">
        <f t="shared" ca="1" si="218"/>
        <v>0</v>
      </c>
      <c r="CM84" s="2793">
        <f t="shared" ca="1" si="218"/>
        <v>0</v>
      </c>
      <c r="CN84" s="2793">
        <f t="shared" ca="1" si="218"/>
        <v>0.91161439312499992</v>
      </c>
      <c r="CO84" s="2793">
        <f t="shared" ca="1" si="218"/>
        <v>5.7557035714285713E-2</v>
      </c>
      <c r="CP84" s="2793">
        <f t="shared" ca="1" si="218"/>
        <v>0</v>
      </c>
      <c r="CQ84" s="2793">
        <f t="shared" ca="1" si="218"/>
        <v>0</v>
      </c>
      <c r="CR84" s="2793">
        <f t="shared" ca="1" si="218"/>
        <v>0</v>
      </c>
      <c r="CS84" s="2793">
        <f t="shared" ca="1" si="218"/>
        <v>0</v>
      </c>
      <c r="CT84" s="2793">
        <f t="shared" ca="1" si="218"/>
        <v>0</v>
      </c>
      <c r="CU84" s="2793">
        <f t="shared" ca="1" si="218"/>
        <v>0</v>
      </c>
      <c r="CV84" s="2793">
        <f t="shared" ca="1" si="218"/>
        <v>0</v>
      </c>
      <c r="CW84" s="2793">
        <f t="shared" ca="1" si="218"/>
        <v>0</v>
      </c>
      <c r="CX84" s="2793">
        <f t="shared" ca="1" si="218"/>
        <v>0</v>
      </c>
      <c r="CY84" s="2793">
        <f t="shared" ca="1" si="218"/>
        <v>0</v>
      </c>
      <c r="CZ84" s="2793">
        <f t="shared" ca="1" si="218"/>
        <v>0</v>
      </c>
      <c r="DA84" s="2793">
        <f t="shared" ca="1" si="218"/>
        <v>0</v>
      </c>
      <c r="DB84" s="2793">
        <f t="shared" ca="1" si="218"/>
        <v>0</v>
      </c>
      <c r="DC84" s="2793">
        <f t="shared" ca="1" si="218"/>
        <v>0</v>
      </c>
      <c r="DD84" s="2793">
        <f t="shared" ca="1" si="218"/>
        <v>0</v>
      </c>
      <c r="DE84" s="2793">
        <f t="shared" ca="1" si="218"/>
        <v>0</v>
      </c>
      <c r="DF84" s="2793">
        <f ca="1">DF$51+DF$99+DF$55+DF$63+DF$68+DF$76+DF$82+DF$46</f>
        <v>0</v>
      </c>
      <c r="DH84" s="637">
        <f ca="1">SUM(BO84:DF84)</f>
        <v>28.967729020082466</v>
      </c>
    </row>
    <row r="85" spans="1:112" s="6" customFormat="1" ht="6" customHeigh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91"/>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24" customHeight="1">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91"/>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ht="6" customHeigh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91"/>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outlineLevel="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outlineLevel="1">
      <c r="C89" s="651" t="s">
        <v>563</v>
      </c>
      <c r="D89" s="588" t="s">
        <v>564</v>
      </c>
      <c r="E89" s="588"/>
      <c r="F89" s="6"/>
      <c r="G89" s="589">
        <f t="shared" ref="G89:P89" ca="1" si="219">IFERROR(INDEX(INDIRECT($C89&amp;".Outputs["&amp;this.Year&amp;"]"), MATCH(G$5, INDIRECT($C89&amp;".Outputs[Vector]"), 0)), 0)</f>
        <v>0</v>
      </c>
      <c r="H89" s="589">
        <f t="shared" ca="1" si="219"/>
        <v>0</v>
      </c>
      <c r="I89" s="589">
        <f t="shared" ca="1" si="219"/>
        <v>0</v>
      </c>
      <c r="J89" s="589">
        <f t="shared" ca="1" si="219"/>
        <v>0</v>
      </c>
      <c r="K89" s="589">
        <f t="shared" ca="1" si="219"/>
        <v>0</v>
      </c>
      <c r="L89" s="589">
        <f t="shared" ca="1" si="219"/>
        <v>0</v>
      </c>
      <c r="M89" s="589">
        <f t="shared" ca="1" si="219"/>
        <v>0</v>
      </c>
      <c r="N89" s="589">
        <f t="shared" ca="1" si="219"/>
        <v>0</v>
      </c>
      <c r="O89" s="589">
        <f t="shared" ca="1" si="219"/>
        <v>0</v>
      </c>
      <c r="P89" s="589">
        <f t="shared" ca="1" si="219"/>
        <v>0</v>
      </c>
      <c r="Q89" s="590">
        <f ca="1">SUM(G89:P89)</f>
        <v>0</v>
      </c>
      <c r="R89" s="6"/>
      <c r="S89" s="591">
        <f t="shared" ref="S89:AJ89" ca="1" si="220">IFERROR(INDEX(INDIRECT($C89&amp;".Outputs["&amp;this.Year&amp;"]"), MATCH(S$5, INDIRECT($C89&amp;".Outputs[Vector]"), 0)), 0)</f>
        <v>0</v>
      </c>
      <c r="T89" s="591">
        <f t="shared" ca="1" si="220"/>
        <v>2.5</v>
      </c>
      <c r="U89" s="591">
        <f t="shared" ca="1" si="220"/>
        <v>0</v>
      </c>
      <c r="V89" s="591">
        <f t="shared" ca="1" si="220"/>
        <v>0</v>
      </c>
      <c r="W89" s="591">
        <f t="shared" ca="1" si="220"/>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20"/>
        <v>0</v>
      </c>
      <c r="AB89" s="591">
        <f t="shared" ca="1" si="220"/>
        <v>0</v>
      </c>
      <c r="AC89" s="591">
        <f t="shared" ca="1" si="220"/>
        <v>0</v>
      </c>
      <c r="AD89" s="591">
        <f t="shared" ca="1" si="220"/>
        <v>0</v>
      </c>
      <c r="AE89" s="591">
        <f t="shared" ca="1" si="220"/>
        <v>0</v>
      </c>
      <c r="AF89" s="591">
        <f t="shared" ca="1" si="220"/>
        <v>0</v>
      </c>
      <c r="AG89" s="591">
        <f t="shared" ca="1" si="220"/>
        <v>0</v>
      </c>
      <c r="AH89" s="591">
        <f t="shared" ca="1" si="220"/>
        <v>0</v>
      </c>
      <c r="AI89" s="591">
        <f t="shared" ca="1" si="220"/>
        <v>0</v>
      </c>
      <c r="AJ89" s="591">
        <f t="shared" ca="1" si="220"/>
        <v>0</v>
      </c>
      <c r="AK89" s="592">
        <f ca="1">SUM(S89:AJ89)</f>
        <v>2.5</v>
      </c>
      <c r="AL89" s="6"/>
      <c r="AM89" s="593">
        <f t="shared" ref="AM89:AU89" ca="1" si="221">IFERROR(INDEX(INDIRECT($C89&amp;".Outputs["&amp;this.Year&amp;"]"), MATCH(AM$5, INDIRECT($C89&amp;".Outputs[Vector]"), 0)), 0)</f>
        <v>0</v>
      </c>
      <c r="AN89" s="593">
        <f t="shared" ca="1" si="221"/>
        <v>0</v>
      </c>
      <c r="AO89" s="593">
        <f t="shared" ca="1" si="221"/>
        <v>0</v>
      </c>
      <c r="AP89" s="593">
        <f t="shared" ca="1" si="221"/>
        <v>0</v>
      </c>
      <c r="AQ89" s="593">
        <f t="shared" ca="1" si="221"/>
        <v>-2.5</v>
      </c>
      <c r="AR89" s="593">
        <f t="shared" ca="1" si="221"/>
        <v>0</v>
      </c>
      <c r="AS89" s="593">
        <f t="shared" ca="1" si="221"/>
        <v>0</v>
      </c>
      <c r="AT89" s="593">
        <f t="shared" ca="1" si="221"/>
        <v>0</v>
      </c>
      <c r="AU89" s="593">
        <f t="shared" ca="1" si="221"/>
        <v>0</v>
      </c>
      <c r="AV89" s="593">
        <f t="shared" ref="AV89:BE89" ca="1" si="222">IFERROR(INDEX(INDIRECT($C89&amp;".Outputs["&amp;this.Year&amp;"]"), MATCH(AV$5, INDIRECT($C89&amp;".Outputs[Vector]"), 0)), 0)</f>
        <v>0</v>
      </c>
      <c r="AW89" s="593">
        <f t="shared" ca="1" si="222"/>
        <v>0</v>
      </c>
      <c r="AX89" s="593">
        <f t="shared" ca="1" si="222"/>
        <v>0</v>
      </c>
      <c r="AY89" s="593">
        <f t="shared" ca="1" si="222"/>
        <v>0</v>
      </c>
      <c r="AZ89" s="593">
        <f t="shared" ca="1" si="222"/>
        <v>0</v>
      </c>
      <c r="BA89" s="593">
        <f t="shared" ca="1" si="222"/>
        <v>0</v>
      </c>
      <c r="BB89" s="593">
        <f t="shared" ca="1" si="222"/>
        <v>0</v>
      </c>
      <c r="BC89" s="593">
        <f t="shared" ca="1" si="222"/>
        <v>0</v>
      </c>
      <c r="BD89" s="593">
        <f t="shared" ca="1" si="222"/>
        <v>0</v>
      </c>
      <c r="BE89" s="593">
        <f t="shared" ca="1" si="222"/>
        <v>0</v>
      </c>
      <c r="BF89" s="609">
        <f ca="1">SUM(AM89:BE89)</f>
        <v>-2.5</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23">Q89+AK89+BF89+BJ89</f>
        <v>0</v>
      </c>
      <c r="BM89" s="610"/>
      <c r="BO89" s="2789">
        <f t="shared" ref="BO89:DF89" ca="1" si="224">IFERROR(SUMIFS(INDIRECT($C89&amp;".Emissions["&amp;this.Year&amp;"]"), INDIRECT($C89&amp;".Emissions[GHG]"), BO$6, INDIRECT($C89&amp;".Emissions[IPCC Sector]"), BO$5),0)</f>
        <v>0</v>
      </c>
      <c r="BP89" s="2790">
        <f t="shared" ca="1" si="224"/>
        <v>0</v>
      </c>
      <c r="BQ89" s="2790">
        <f t="shared" ca="1" si="224"/>
        <v>0</v>
      </c>
      <c r="BR89" s="2790">
        <f t="shared" ca="1" si="224"/>
        <v>0</v>
      </c>
      <c r="BS89" s="2790">
        <f t="shared" ca="1" si="224"/>
        <v>0</v>
      </c>
      <c r="BT89" s="2790">
        <f t="shared" ca="1" si="224"/>
        <v>0</v>
      </c>
      <c r="BU89" s="2790">
        <f t="shared" ca="1" si="224"/>
        <v>0</v>
      </c>
      <c r="BV89" s="2790">
        <f t="shared" ca="1" si="224"/>
        <v>0</v>
      </c>
      <c r="BW89" s="2790">
        <f t="shared" ca="1" si="224"/>
        <v>0</v>
      </c>
      <c r="BX89" s="2790">
        <f t="shared" ca="1" si="224"/>
        <v>0</v>
      </c>
      <c r="BY89" s="2790">
        <f t="shared" ca="1" si="224"/>
        <v>0</v>
      </c>
      <c r="BZ89" s="2790">
        <f t="shared" ca="1" si="224"/>
        <v>0</v>
      </c>
      <c r="CA89" s="2790">
        <f t="shared" ca="1" si="224"/>
        <v>0</v>
      </c>
      <c r="CB89" s="2790">
        <f t="shared" ca="1" si="224"/>
        <v>0</v>
      </c>
      <c r="CC89" s="2790">
        <f t="shared" ca="1" si="224"/>
        <v>0</v>
      </c>
      <c r="CD89" s="2790">
        <f t="shared" ca="1" si="224"/>
        <v>0</v>
      </c>
      <c r="CE89" s="2790">
        <f t="shared" ca="1" si="224"/>
        <v>0</v>
      </c>
      <c r="CF89" s="2790">
        <f t="shared" ca="1" si="224"/>
        <v>0</v>
      </c>
      <c r="CG89" s="2790">
        <f t="shared" ca="1" si="224"/>
        <v>0</v>
      </c>
      <c r="CH89" s="2790">
        <f t="shared" ca="1" si="224"/>
        <v>0</v>
      </c>
      <c r="CI89" s="2790">
        <f t="shared" ca="1" si="224"/>
        <v>0</v>
      </c>
      <c r="CJ89" s="2790">
        <f t="shared" ca="1" si="224"/>
        <v>0</v>
      </c>
      <c r="CK89" s="2790">
        <f t="shared" ca="1" si="224"/>
        <v>0</v>
      </c>
      <c r="CL89" s="2790">
        <f t="shared" ca="1" si="224"/>
        <v>0</v>
      </c>
      <c r="CM89" s="2790">
        <f t="shared" ca="1" si="224"/>
        <v>0</v>
      </c>
      <c r="CN89" s="2790">
        <f t="shared" ca="1" si="224"/>
        <v>0</v>
      </c>
      <c r="CO89" s="2790">
        <f t="shared" ca="1" si="224"/>
        <v>0</v>
      </c>
      <c r="CP89" s="2790">
        <f t="shared" ca="1" si="224"/>
        <v>0</v>
      </c>
      <c r="CQ89" s="2790">
        <f t="shared" ca="1" si="224"/>
        <v>0</v>
      </c>
      <c r="CR89" s="2790">
        <f t="shared" ca="1" si="224"/>
        <v>0</v>
      </c>
      <c r="CS89" s="2790">
        <f t="shared" ca="1" si="224"/>
        <v>0</v>
      </c>
      <c r="CT89" s="2790">
        <f t="shared" ca="1" si="224"/>
        <v>0</v>
      </c>
      <c r="CU89" s="2790">
        <f t="shared" ca="1" si="224"/>
        <v>0</v>
      </c>
      <c r="CV89" s="2790">
        <f t="shared" ca="1" si="224"/>
        <v>0</v>
      </c>
      <c r="CW89" s="2790">
        <f t="shared" ca="1" si="224"/>
        <v>0</v>
      </c>
      <c r="CX89" s="2790">
        <f t="shared" ca="1" si="224"/>
        <v>0</v>
      </c>
      <c r="CY89" s="2790">
        <f t="shared" ca="1" si="224"/>
        <v>0</v>
      </c>
      <c r="CZ89" s="2790">
        <f t="shared" ca="1" si="224"/>
        <v>0</v>
      </c>
      <c r="DA89" s="2790">
        <f t="shared" ca="1" si="224"/>
        <v>0</v>
      </c>
      <c r="DB89" s="2790">
        <f t="shared" ca="1" si="224"/>
        <v>0</v>
      </c>
      <c r="DC89" s="2790">
        <f t="shared" ca="1" si="224"/>
        <v>0</v>
      </c>
      <c r="DD89" s="2790">
        <f t="shared" ca="1" si="224"/>
        <v>0</v>
      </c>
      <c r="DE89" s="2790">
        <f t="shared" ca="1" si="224"/>
        <v>0</v>
      </c>
      <c r="DF89" s="2790">
        <f t="shared" ca="1" si="224"/>
        <v>0</v>
      </c>
      <c r="DH89" s="596"/>
    </row>
    <row r="90" spans="1:112" s="652" customFormat="1" ht="12.75" customHeight="1" outlineLevel="1">
      <c r="C90" s="667" t="s">
        <v>565</v>
      </c>
      <c r="D90" s="668" t="s">
        <v>566</v>
      </c>
      <c r="E90" s="668"/>
      <c r="F90" s="6"/>
      <c r="G90" s="643"/>
      <c r="H90" s="643"/>
      <c r="I90" s="643"/>
      <c r="J90" s="643"/>
      <c r="K90" s="644"/>
      <c r="L90" s="643"/>
      <c r="M90" s="643"/>
      <c r="N90" s="643"/>
      <c r="O90" s="643"/>
      <c r="P90" s="643"/>
      <c r="Q90" s="643"/>
      <c r="R90" s="6"/>
      <c r="S90" s="645">
        <f ca="1">S$40+$S46+S$51+S$99+S$55+S$89</f>
        <v>-23.469919126722662</v>
      </c>
      <c r="T90" s="645">
        <f ca="1">T$40+$S46+T$51+T$99+T$55+T$89</f>
        <v>2.5</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23"/>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outlineLevel="1">
      <c r="C91" s="651" t="s">
        <v>567</v>
      </c>
      <c r="D91" s="588" t="s">
        <v>568</v>
      </c>
      <c r="E91" s="588"/>
      <c r="F91" s="6"/>
      <c r="G91" s="589">
        <f t="shared" ref="G91:P92" ca="1" si="225">IFERROR(INDEX(INDIRECT($C91&amp;".Outputs["&amp;this.Year&amp;"]"), MATCH(G$5, INDIRECT($C91&amp;".Outputs[Vector]"), 0)), 0)</f>
        <v>0</v>
      </c>
      <c r="H91" s="589">
        <f t="shared" ca="1" si="225"/>
        <v>0</v>
      </c>
      <c r="I91" s="589">
        <f t="shared" ca="1" si="225"/>
        <v>0</v>
      </c>
      <c r="J91" s="589">
        <f t="shared" ca="1" si="225"/>
        <v>0</v>
      </c>
      <c r="K91" s="589">
        <f t="shared" ca="1" si="225"/>
        <v>0</v>
      </c>
      <c r="L91" s="589">
        <f t="shared" ca="1" si="225"/>
        <v>0</v>
      </c>
      <c r="M91" s="589">
        <f t="shared" ca="1" si="225"/>
        <v>0</v>
      </c>
      <c r="N91" s="589">
        <f t="shared" ca="1" si="225"/>
        <v>0</v>
      </c>
      <c r="O91" s="589">
        <f t="shared" ca="1" si="225"/>
        <v>0</v>
      </c>
      <c r="P91" s="589">
        <f t="shared" ca="1" si="225"/>
        <v>0</v>
      </c>
      <c r="Q91" s="590">
        <f ca="1">SUM(G91:P91)</f>
        <v>0</v>
      </c>
      <c r="R91" s="6"/>
      <c r="S91" s="591">
        <f t="shared" ref="S91:AJ92" ca="1" si="226">IFERROR(INDEX(INDIRECT($C91&amp;".Outputs["&amp;this.Year&amp;"]"), MATCH(S$5, INDIRECT($C91&amp;".Outputs[Vector]"), 0)), 0)</f>
        <v>0</v>
      </c>
      <c r="T91" s="591">
        <f t="shared" ca="1" si="226"/>
        <v>-3.3526223075933927</v>
      </c>
      <c r="U91" s="591">
        <f t="shared" ca="1" si="226"/>
        <v>0</v>
      </c>
      <c r="V91" s="591">
        <f t="shared" ca="1" si="226"/>
        <v>0</v>
      </c>
      <c r="W91" s="591">
        <f t="shared" ca="1" si="226"/>
        <v>0</v>
      </c>
      <c r="X91" s="591">
        <f t="shared" ref="X91:Z92" ca="1" si="227">IFERROR(INDEX(INDIRECT($C91&amp;".Outputs["&amp;this.Year&amp;"]"), MATCH(X$5, INDIRECT($C91&amp;".Outputs[Vector]"), 0)), 0)</f>
        <v>0</v>
      </c>
      <c r="Y91" s="591">
        <f t="shared" ca="1" si="227"/>
        <v>0</v>
      </c>
      <c r="Z91" s="591">
        <f t="shared" ca="1" si="227"/>
        <v>0</v>
      </c>
      <c r="AA91" s="591">
        <f t="shared" ca="1" si="226"/>
        <v>0</v>
      </c>
      <c r="AB91" s="591">
        <f t="shared" ca="1" si="226"/>
        <v>0</v>
      </c>
      <c r="AC91" s="591">
        <f t="shared" ca="1" si="226"/>
        <v>0</v>
      </c>
      <c r="AD91" s="591">
        <f t="shared" ca="1" si="226"/>
        <v>0</v>
      </c>
      <c r="AE91" s="591">
        <f t="shared" ca="1" si="226"/>
        <v>0</v>
      </c>
      <c r="AF91" s="591">
        <f t="shared" ca="1" si="226"/>
        <v>0</v>
      </c>
      <c r="AG91" s="591">
        <f t="shared" ca="1" si="226"/>
        <v>0</v>
      </c>
      <c r="AH91" s="591">
        <f t="shared" ca="1" si="226"/>
        <v>0</v>
      </c>
      <c r="AI91" s="591">
        <f t="shared" ca="1" si="226"/>
        <v>0</v>
      </c>
      <c r="AJ91" s="591">
        <f t="shared" ca="1" si="226"/>
        <v>0</v>
      </c>
      <c r="AK91" s="592">
        <f ca="1">SUM(S91:AJ91)</f>
        <v>-3.3526223075933927</v>
      </c>
      <c r="AL91" s="6"/>
      <c r="AM91" s="593">
        <f t="shared" ref="AM91:AU92" ca="1" si="228">IFERROR(INDEX(INDIRECT($C91&amp;".Outputs["&amp;this.Year&amp;"]"), MATCH(AM$5, INDIRECT($C91&amp;".Outputs[Vector]"), 0)), 0)</f>
        <v>0</v>
      </c>
      <c r="AN91" s="593">
        <f t="shared" ca="1" si="228"/>
        <v>0</v>
      </c>
      <c r="AO91" s="593">
        <f t="shared" ca="1" si="228"/>
        <v>0</v>
      </c>
      <c r="AP91" s="593">
        <f t="shared" ca="1" si="228"/>
        <v>0</v>
      </c>
      <c r="AQ91" s="593">
        <f t="shared" ca="1" si="228"/>
        <v>0</v>
      </c>
      <c r="AR91" s="593">
        <f t="shared" ca="1" si="228"/>
        <v>0</v>
      </c>
      <c r="AS91" s="593">
        <f t="shared" ca="1" si="228"/>
        <v>0</v>
      </c>
      <c r="AT91" s="593">
        <f t="shared" ca="1" si="228"/>
        <v>0</v>
      </c>
      <c r="AU91" s="593">
        <f t="shared" ca="1" si="228"/>
        <v>0</v>
      </c>
      <c r="AV91" s="593">
        <f t="shared" ref="AV91:BE92" ca="1" si="229">IFERROR(INDEX(INDIRECT($C91&amp;".Outputs["&amp;this.Year&amp;"]"), MATCH(AV$5, INDIRECT($C91&amp;".Outputs[Vector]"), 0)), 0)</f>
        <v>0</v>
      </c>
      <c r="AW91" s="593">
        <f t="shared" ca="1" si="229"/>
        <v>0</v>
      </c>
      <c r="AX91" s="593">
        <f t="shared" ca="1" si="229"/>
        <v>0</v>
      </c>
      <c r="AY91" s="593">
        <f t="shared" ca="1" si="229"/>
        <v>0</v>
      </c>
      <c r="AZ91" s="593">
        <f t="shared" ca="1" si="229"/>
        <v>0</v>
      </c>
      <c r="BA91" s="593">
        <f t="shared" ca="1" si="229"/>
        <v>0</v>
      </c>
      <c r="BB91" s="593">
        <f t="shared" ca="1" si="229"/>
        <v>0</v>
      </c>
      <c r="BC91" s="593">
        <f t="shared" ca="1" si="229"/>
        <v>0</v>
      </c>
      <c r="BD91" s="593">
        <f t="shared" ca="1" si="229"/>
        <v>0</v>
      </c>
      <c r="BE91" s="593">
        <f t="shared" ca="1" si="22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3.3526223075933945</v>
      </c>
      <c r="BJ91" s="3460">
        <f ca="1">SUM(BH91:BI91)</f>
        <v>3.3526223075933945</v>
      </c>
      <c r="BK91" s="6"/>
      <c r="BL91" s="654">
        <f t="shared" ca="1" si="223"/>
        <v>0</v>
      </c>
      <c r="BM91" s="610"/>
      <c r="BO91" s="2789">
        <f t="shared" ref="BO91:BX92" ca="1" si="230">IFERROR(SUMIFS(INDIRECT($C91&amp;".Emissions["&amp;this.Year&amp;"]"), INDIRECT($C91&amp;".Emissions[GHG]"), BO$6, INDIRECT($C91&amp;".Emissions[IPCC Sector]"), BO$5),0)</f>
        <v>0</v>
      </c>
      <c r="BP91" s="2790">
        <f t="shared" ca="1" si="230"/>
        <v>0</v>
      </c>
      <c r="BQ91" s="2790">
        <f t="shared" ca="1" si="230"/>
        <v>0</v>
      </c>
      <c r="BR91" s="2790">
        <f t="shared" ca="1" si="230"/>
        <v>0</v>
      </c>
      <c r="BS91" s="2790">
        <f t="shared" ca="1" si="230"/>
        <v>0</v>
      </c>
      <c r="BT91" s="2790">
        <f t="shared" ca="1" si="230"/>
        <v>0</v>
      </c>
      <c r="BU91" s="2790">
        <f t="shared" ca="1" si="230"/>
        <v>0</v>
      </c>
      <c r="BV91" s="2790">
        <f t="shared" ca="1" si="230"/>
        <v>0</v>
      </c>
      <c r="BW91" s="2790">
        <f t="shared" ca="1" si="230"/>
        <v>0</v>
      </c>
      <c r="BX91" s="2790">
        <f t="shared" ca="1" si="230"/>
        <v>0</v>
      </c>
      <c r="BY91" s="2790">
        <f t="shared" ref="BY91:CH92" ca="1" si="231">IFERROR(SUMIFS(INDIRECT($C91&amp;".Emissions["&amp;this.Year&amp;"]"), INDIRECT($C91&amp;".Emissions[GHG]"), BY$6, INDIRECT($C91&amp;".Emissions[IPCC Sector]"), BY$5),0)</f>
        <v>0</v>
      </c>
      <c r="BZ91" s="2790">
        <f t="shared" ca="1" si="231"/>
        <v>0</v>
      </c>
      <c r="CA91" s="2790">
        <f t="shared" ca="1" si="231"/>
        <v>0</v>
      </c>
      <c r="CB91" s="2790">
        <f t="shared" ca="1" si="231"/>
        <v>0</v>
      </c>
      <c r="CC91" s="2790">
        <f t="shared" ca="1" si="231"/>
        <v>0</v>
      </c>
      <c r="CD91" s="2790">
        <f t="shared" ca="1" si="231"/>
        <v>0</v>
      </c>
      <c r="CE91" s="2790">
        <f t="shared" ca="1" si="231"/>
        <v>0</v>
      </c>
      <c r="CF91" s="2790">
        <f t="shared" ca="1" si="231"/>
        <v>0</v>
      </c>
      <c r="CG91" s="2790">
        <f t="shared" ca="1" si="231"/>
        <v>0</v>
      </c>
      <c r="CH91" s="2790">
        <f t="shared" ca="1" si="231"/>
        <v>0</v>
      </c>
      <c r="CI91" s="2790">
        <f t="shared" ref="CI91:CR92" ca="1" si="232">IFERROR(SUMIFS(INDIRECT($C91&amp;".Emissions["&amp;this.Year&amp;"]"), INDIRECT($C91&amp;".Emissions[GHG]"), CI$6, INDIRECT($C91&amp;".Emissions[IPCC Sector]"), CI$5),0)</f>
        <v>0</v>
      </c>
      <c r="CJ91" s="2790">
        <f t="shared" ca="1" si="232"/>
        <v>0</v>
      </c>
      <c r="CK91" s="2790">
        <f t="shared" ca="1" si="232"/>
        <v>0</v>
      </c>
      <c r="CL91" s="2790">
        <f t="shared" ca="1" si="232"/>
        <v>0</v>
      </c>
      <c r="CM91" s="2790">
        <f t="shared" ca="1" si="232"/>
        <v>0</v>
      </c>
      <c r="CN91" s="2790">
        <f t="shared" ca="1" si="232"/>
        <v>0</v>
      </c>
      <c r="CO91" s="2790">
        <f t="shared" ca="1" si="232"/>
        <v>0</v>
      </c>
      <c r="CP91" s="2790">
        <f t="shared" ca="1" si="232"/>
        <v>0</v>
      </c>
      <c r="CQ91" s="2790">
        <f t="shared" ca="1" si="232"/>
        <v>0</v>
      </c>
      <c r="CR91" s="2790">
        <f t="shared" ca="1" si="232"/>
        <v>0</v>
      </c>
      <c r="CS91" s="2790">
        <f t="shared" ref="CS91:DF92" ca="1" si="233">IFERROR(SUMIFS(INDIRECT($C91&amp;".Emissions["&amp;this.Year&amp;"]"), INDIRECT($C91&amp;".Emissions[GHG]"), CS$6, INDIRECT($C91&amp;".Emissions[IPCC Sector]"), CS$5),0)</f>
        <v>0</v>
      </c>
      <c r="CT91" s="2790">
        <f t="shared" ca="1" si="233"/>
        <v>0</v>
      </c>
      <c r="CU91" s="2790">
        <f t="shared" ca="1" si="233"/>
        <v>0</v>
      </c>
      <c r="CV91" s="2790">
        <f t="shared" ca="1" si="233"/>
        <v>0</v>
      </c>
      <c r="CW91" s="2790">
        <f t="shared" ca="1" si="233"/>
        <v>0</v>
      </c>
      <c r="CX91" s="2790">
        <f t="shared" ca="1" si="233"/>
        <v>0</v>
      </c>
      <c r="CY91" s="2790">
        <f t="shared" ca="1" si="233"/>
        <v>0</v>
      </c>
      <c r="CZ91" s="2790">
        <f t="shared" ca="1" si="233"/>
        <v>0</v>
      </c>
      <c r="DA91" s="2790">
        <f t="shared" ca="1" si="233"/>
        <v>0</v>
      </c>
      <c r="DB91" s="2790">
        <f t="shared" ca="1" si="233"/>
        <v>0</v>
      </c>
      <c r="DC91" s="2790">
        <f t="shared" ca="1" si="233"/>
        <v>0</v>
      </c>
      <c r="DD91" s="2790">
        <f t="shared" ca="1" si="233"/>
        <v>0</v>
      </c>
      <c r="DE91" s="2790">
        <f t="shared" ca="1" si="233"/>
        <v>0</v>
      </c>
      <c r="DF91" s="2790">
        <f t="shared" ca="1" si="233"/>
        <v>0</v>
      </c>
      <c r="DH91" s="596"/>
    </row>
    <row r="92" spans="1:112" s="607" customFormat="1" outlineLevel="1">
      <c r="C92" s="651" t="s">
        <v>569</v>
      </c>
      <c r="D92" s="611" t="s">
        <v>570</v>
      </c>
      <c r="E92" s="611"/>
      <c r="F92" s="6"/>
      <c r="G92" s="619">
        <f t="shared" ca="1" si="225"/>
        <v>0</v>
      </c>
      <c r="H92" s="619">
        <f t="shared" ca="1" si="225"/>
        <v>0</v>
      </c>
      <c r="I92" s="619">
        <f t="shared" ca="1" si="225"/>
        <v>0</v>
      </c>
      <c r="J92" s="619">
        <f t="shared" ca="1" si="225"/>
        <v>0</v>
      </c>
      <c r="K92" s="619">
        <f t="shared" ca="1" si="225"/>
        <v>0</v>
      </c>
      <c r="L92" s="619">
        <f t="shared" ca="1" si="225"/>
        <v>0</v>
      </c>
      <c r="M92" s="619">
        <f t="shared" ca="1" si="225"/>
        <v>0</v>
      </c>
      <c r="N92" s="619">
        <f t="shared" ca="1" si="225"/>
        <v>0</v>
      </c>
      <c r="O92" s="619">
        <f t="shared" ca="1" si="225"/>
        <v>0</v>
      </c>
      <c r="P92" s="619">
        <f t="shared" ca="1" si="225"/>
        <v>0</v>
      </c>
      <c r="Q92" s="612">
        <f ca="1">SUM(G92:P92)</f>
        <v>0</v>
      </c>
      <c r="R92" s="6"/>
      <c r="S92" s="620">
        <f t="shared" ca="1" si="226"/>
        <v>0</v>
      </c>
      <c r="T92" s="620">
        <f t="shared" ca="1" si="226"/>
        <v>0</v>
      </c>
      <c r="U92" s="620">
        <f t="shared" ca="1" si="226"/>
        <v>0</v>
      </c>
      <c r="V92" s="620">
        <f t="shared" ca="1" si="226"/>
        <v>0</v>
      </c>
      <c r="W92" s="620">
        <f t="shared" ca="1" si="226"/>
        <v>-0.12598313034009709</v>
      </c>
      <c r="X92" s="620">
        <f t="shared" ca="1" si="227"/>
        <v>0</v>
      </c>
      <c r="Y92" s="620">
        <f t="shared" ca="1" si="227"/>
        <v>0</v>
      </c>
      <c r="Z92" s="620">
        <f t="shared" ca="1" si="227"/>
        <v>0</v>
      </c>
      <c r="AA92" s="620">
        <f t="shared" ca="1" si="226"/>
        <v>0</v>
      </c>
      <c r="AB92" s="620">
        <f t="shared" ca="1" si="226"/>
        <v>0</v>
      </c>
      <c r="AC92" s="620">
        <f t="shared" ca="1" si="226"/>
        <v>0</v>
      </c>
      <c r="AD92" s="620">
        <f t="shared" ca="1" si="226"/>
        <v>0</v>
      </c>
      <c r="AE92" s="620">
        <f t="shared" ca="1" si="226"/>
        <v>0</v>
      </c>
      <c r="AF92" s="620">
        <f t="shared" ca="1" si="226"/>
        <v>0</v>
      </c>
      <c r="AG92" s="620">
        <f t="shared" ca="1" si="226"/>
        <v>0</v>
      </c>
      <c r="AH92" s="620">
        <f t="shared" ca="1" si="226"/>
        <v>0</v>
      </c>
      <c r="AI92" s="620">
        <f t="shared" ca="1" si="226"/>
        <v>0</v>
      </c>
      <c r="AJ92" s="620">
        <f t="shared" ca="1" si="226"/>
        <v>0</v>
      </c>
      <c r="AK92" s="613">
        <f ca="1">SUM(S92:AJ92)</f>
        <v>-0.12598313034009709</v>
      </c>
      <c r="AL92" s="6"/>
      <c r="AM92" s="621">
        <f t="shared" ca="1" si="228"/>
        <v>0</v>
      </c>
      <c r="AN92" s="621">
        <f t="shared" ca="1" si="228"/>
        <v>0</v>
      </c>
      <c r="AO92" s="621">
        <f t="shared" ca="1" si="228"/>
        <v>0</v>
      </c>
      <c r="AP92" s="621">
        <f t="shared" ca="1" si="228"/>
        <v>0</v>
      </c>
      <c r="AQ92" s="621">
        <f t="shared" ca="1" si="228"/>
        <v>0</v>
      </c>
      <c r="AR92" s="621">
        <f t="shared" ca="1" si="228"/>
        <v>0</v>
      </c>
      <c r="AS92" s="621">
        <f t="shared" ca="1" si="228"/>
        <v>0</v>
      </c>
      <c r="AT92" s="621">
        <f t="shared" ca="1" si="228"/>
        <v>0</v>
      </c>
      <c r="AU92" s="621">
        <f t="shared" ca="1" si="228"/>
        <v>0</v>
      </c>
      <c r="AV92" s="621">
        <f t="shared" ca="1" si="229"/>
        <v>0</v>
      </c>
      <c r="AW92" s="621">
        <f t="shared" ca="1" si="229"/>
        <v>0</v>
      </c>
      <c r="AX92" s="621">
        <f t="shared" ca="1" si="229"/>
        <v>0</v>
      </c>
      <c r="AY92" s="621">
        <f t="shared" ca="1" si="229"/>
        <v>0</v>
      </c>
      <c r="AZ92" s="621">
        <f t="shared" ca="1" si="229"/>
        <v>0</v>
      </c>
      <c r="BA92" s="621">
        <f t="shared" ca="1" si="229"/>
        <v>0</v>
      </c>
      <c r="BB92" s="621">
        <f t="shared" ca="1" si="229"/>
        <v>0</v>
      </c>
      <c r="BC92" s="621">
        <f t="shared" ca="1" si="229"/>
        <v>0</v>
      </c>
      <c r="BD92" s="621">
        <f t="shared" ca="1" si="229"/>
        <v>0</v>
      </c>
      <c r="BE92" s="621">
        <f t="shared" ca="1" si="229"/>
        <v>0</v>
      </c>
      <c r="BF92" s="615">
        <f ca="1">SUM(AM92:BE92)</f>
        <v>0</v>
      </c>
      <c r="BG92" s="6"/>
      <c r="BH92" s="3473">
        <f ca="1">IFERROR(INDEX(INDIRECT($C92&amp;".Outputs["&amp;this.Year&amp;"]"), MATCH(BH$5, INDIRECT($C92&amp;".Outputs[Vector]"), 0)), 0)</f>
        <v>7.5589878204058242E-2</v>
      </c>
      <c r="BI92" s="3473">
        <f ca="1">IFERROR(INDEX(INDIRECT($C92&amp;".Outputs["&amp;this.Year&amp;"]"), MATCH(BI$5, INDIRECT($C92&amp;".Outputs[Vector]"), 0)), 0)</f>
        <v>5.0393252136038839E-2</v>
      </c>
      <c r="BJ92" s="3462">
        <f ca="1">SUM(BH92:BI92)</f>
        <v>0.12598313034009709</v>
      </c>
      <c r="BK92" s="6"/>
      <c r="BL92" s="654">
        <f t="shared" ca="1" si="223"/>
        <v>0</v>
      </c>
      <c r="BM92" s="610"/>
      <c r="BO92" s="2791">
        <f t="shared" ca="1" si="230"/>
        <v>2.5791417622981084E-2</v>
      </c>
      <c r="BP92" s="2792">
        <f t="shared" ca="1" si="230"/>
        <v>9.5243246537113416E-6</v>
      </c>
      <c r="BQ92" s="2792">
        <f t="shared" ca="1" si="230"/>
        <v>4.0773180303269019E-4</v>
      </c>
      <c r="BR92" s="2792">
        <f t="shared" ca="1" si="230"/>
        <v>0</v>
      </c>
      <c r="BS92" s="2792">
        <f t="shared" ca="1" si="230"/>
        <v>0</v>
      </c>
      <c r="BT92" s="2792">
        <f t="shared" ca="1" si="230"/>
        <v>0</v>
      </c>
      <c r="BU92" s="2792">
        <f t="shared" ca="1" si="230"/>
        <v>0</v>
      </c>
      <c r="BV92" s="2792">
        <f t="shared" ca="1" si="230"/>
        <v>0</v>
      </c>
      <c r="BW92" s="2792">
        <f t="shared" ca="1" si="230"/>
        <v>0</v>
      </c>
      <c r="BX92" s="2792">
        <f t="shared" ca="1" si="230"/>
        <v>0</v>
      </c>
      <c r="BY92" s="2792">
        <f t="shared" ca="1" si="231"/>
        <v>0</v>
      </c>
      <c r="BZ92" s="2792">
        <f t="shared" ca="1" si="231"/>
        <v>0</v>
      </c>
      <c r="CA92" s="2792">
        <f t="shared" ca="1" si="231"/>
        <v>0</v>
      </c>
      <c r="CB92" s="2792">
        <f t="shared" ca="1" si="231"/>
        <v>0</v>
      </c>
      <c r="CC92" s="2792">
        <f t="shared" ca="1" si="231"/>
        <v>0</v>
      </c>
      <c r="CD92" s="2792">
        <f t="shared" ca="1" si="231"/>
        <v>0</v>
      </c>
      <c r="CE92" s="2792">
        <f t="shared" ca="1" si="231"/>
        <v>0</v>
      </c>
      <c r="CF92" s="2792">
        <f t="shared" ca="1" si="231"/>
        <v>0</v>
      </c>
      <c r="CG92" s="2792">
        <f t="shared" ca="1" si="231"/>
        <v>0</v>
      </c>
      <c r="CH92" s="2792">
        <f t="shared" ca="1" si="231"/>
        <v>0</v>
      </c>
      <c r="CI92" s="2792">
        <f t="shared" ca="1" si="232"/>
        <v>0</v>
      </c>
      <c r="CJ92" s="2792">
        <f t="shared" ca="1" si="232"/>
        <v>0</v>
      </c>
      <c r="CK92" s="2792">
        <f t="shared" ca="1" si="232"/>
        <v>0</v>
      </c>
      <c r="CL92" s="2792">
        <f t="shared" ca="1" si="232"/>
        <v>0</v>
      </c>
      <c r="CM92" s="2792">
        <f t="shared" ca="1" si="232"/>
        <v>0</v>
      </c>
      <c r="CN92" s="2792">
        <f t="shared" ca="1" si="232"/>
        <v>0</v>
      </c>
      <c r="CO92" s="2792">
        <f t="shared" ca="1" si="232"/>
        <v>0</v>
      </c>
      <c r="CP92" s="2792">
        <f t="shared" ca="1" si="232"/>
        <v>0</v>
      </c>
      <c r="CQ92" s="2792">
        <f t="shared" ca="1" si="232"/>
        <v>0</v>
      </c>
      <c r="CR92" s="2792">
        <f t="shared" ca="1" si="232"/>
        <v>0</v>
      </c>
      <c r="CS92" s="2792">
        <f t="shared" ca="1" si="233"/>
        <v>0</v>
      </c>
      <c r="CT92" s="2792">
        <f t="shared" ca="1" si="233"/>
        <v>0</v>
      </c>
      <c r="CU92" s="2792">
        <f t="shared" ca="1" si="233"/>
        <v>0</v>
      </c>
      <c r="CV92" s="2792">
        <f t="shared" ca="1" si="233"/>
        <v>0</v>
      </c>
      <c r="CW92" s="2792">
        <f t="shared" ca="1" si="233"/>
        <v>0</v>
      </c>
      <c r="CX92" s="2792">
        <f t="shared" ca="1" si="233"/>
        <v>0</v>
      </c>
      <c r="CY92" s="2792">
        <f t="shared" ca="1" si="233"/>
        <v>0</v>
      </c>
      <c r="CZ92" s="2792">
        <f t="shared" ca="1" si="233"/>
        <v>0</v>
      </c>
      <c r="DA92" s="2792">
        <f t="shared" ca="1" si="233"/>
        <v>0</v>
      </c>
      <c r="DB92" s="2792">
        <f t="shared" ca="1" si="233"/>
        <v>0</v>
      </c>
      <c r="DC92" s="2792">
        <f t="shared" ca="1" si="233"/>
        <v>0</v>
      </c>
      <c r="DD92" s="2792">
        <f t="shared" ca="1" si="233"/>
        <v>0</v>
      </c>
      <c r="DE92" s="2792">
        <f t="shared" ca="1" si="233"/>
        <v>0</v>
      </c>
      <c r="DF92" s="2792">
        <f t="shared" ca="1" si="233"/>
        <v>0</v>
      </c>
      <c r="DH92" s="596"/>
    </row>
    <row r="93" spans="1:112" s="4" customFormat="1" ht="12.75" customHeight="1">
      <c r="B93" s="3"/>
      <c r="C93" s="616" t="s">
        <v>571</v>
      </c>
      <c r="D93" s="617" t="s">
        <v>572</v>
      </c>
      <c r="E93" s="206"/>
      <c r="F93" s="6"/>
      <c r="G93" s="579">
        <f t="shared" ref="G93:P93" ca="1" si="234">G$89+G$91+G$92</f>
        <v>0</v>
      </c>
      <c r="H93" s="579">
        <f t="shared" ca="1" si="234"/>
        <v>0</v>
      </c>
      <c r="I93" s="579">
        <f t="shared" ca="1" si="234"/>
        <v>0</v>
      </c>
      <c r="J93" s="579">
        <f t="shared" ca="1" si="234"/>
        <v>0</v>
      </c>
      <c r="K93" s="638">
        <f t="shared" ca="1" si="234"/>
        <v>0</v>
      </c>
      <c r="L93" s="579">
        <f t="shared" ca="1" si="234"/>
        <v>0</v>
      </c>
      <c r="M93" s="579">
        <f t="shared" ca="1" si="234"/>
        <v>0</v>
      </c>
      <c r="N93" s="579">
        <f t="shared" ca="1" si="234"/>
        <v>0</v>
      </c>
      <c r="O93" s="579">
        <f t="shared" ca="1" si="234"/>
        <v>0</v>
      </c>
      <c r="P93" s="579">
        <f t="shared" ca="1" si="234"/>
        <v>0</v>
      </c>
      <c r="Q93" s="618">
        <f ca="1">SUM(G93:P93)</f>
        <v>0</v>
      </c>
      <c r="R93" s="6"/>
      <c r="S93" s="581">
        <f t="shared" ref="S93:AJ93" ca="1" si="235">S$89+S$91+S$92</f>
        <v>0</v>
      </c>
      <c r="T93" s="581">
        <f t="shared" ca="1" si="235"/>
        <v>-0.85262230759339275</v>
      </c>
      <c r="U93" s="581">
        <f t="shared" ca="1" si="235"/>
        <v>0</v>
      </c>
      <c r="V93" s="581">
        <f t="shared" ca="1" si="235"/>
        <v>0</v>
      </c>
      <c r="W93" s="581">
        <f t="shared" ca="1" si="235"/>
        <v>-0.12598313034009709</v>
      </c>
      <c r="X93" s="581">
        <f ca="1">X$89+X$91+X$92</f>
        <v>0</v>
      </c>
      <c r="Y93" s="581">
        <f ca="1">Y$89+Y$91+Y$92</f>
        <v>0</v>
      </c>
      <c r="Z93" s="581">
        <f ca="1">Z$89+Z$91+Z$92</f>
        <v>0</v>
      </c>
      <c r="AA93" s="581">
        <f t="shared" ca="1" si="235"/>
        <v>0</v>
      </c>
      <c r="AB93" s="581">
        <f t="shared" ca="1" si="235"/>
        <v>0</v>
      </c>
      <c r="AC93" s="581">
        <f t="shared" ca="1" si="235"/>
        <v>0</v>
      </c>
      <c r="AD93" s="581">
        <f t="shared" ca="1" si="235"/>
        <v>0</v>
      </c>
      <c r="AE93" s="581">
        <f t="shared" ca="1" si="235"/>
        <v>0</v>
      </c>
      <c r="AF93" s="581">
        <f t="shared" ca="1" si="235"/>
        <v>0</v>
      </c>
      <c r="AG93" s="581">
        <f t="shared" ca="1" si="235"/>
        <v>0</v>
      </c>
      <c r="AH93" s="581">
        <f t="shared" ca="1" si="235"/>
        <v>0</v>
      </c>
      <c r="AI93" s="581">
        <f t="shared" ca="1" si="235"/>
        <v>0</v>
      </c>
      <c r="AJ93" s="581">
        <f t="shared" ca="1" si="235"/>
        <v>0</v>
      </c>
      <c r="AK93" s="581">
        <f ca="1">SUM(S93:AJ93)</f>
        <v>-0.97860543793348986</v>
      </c>
      <c r="AL93" s="6"/>
      <c r="AM93" s="582">
        <f t="shared" ref="AM93:BE93" ca="1" si="236">AM$89+AM$91+AM$92</f>
        <v>0</v>
      </c>
      <c r="AN93" s="582">
        <f t="shared" ca="1" si="236"/>
        <v>0</v>
      </c>
      <c r="AO93" s="582">
        <f t="shared" ca="1" si="236"/>
        <v>0</v>
      </c>
      <c r="AP93" s="582">
        <f t="shared" ca="1" si="236"/>
        <v>0</v>
      </c>
      <c r="AQ93" s="582">
        <f t="shared" ca="1" si="236"/>
        <v>-2.5</v>
      </c>
      <c r="AR93" s="582">
        <f t="shared" ca="1" si="236"/>
        <v>0</v>
      </c>
      <c r="AS93" s="582">
        <f t="shared" ca="1" si="236"/>
        <v>0</v>
      </c>
      <c r="AT93" s="582">
        <f t="shared" ca="1" si="236"/>
        <v>0</v>
      </c>
      <c r="AU93" s="582">
        <f t="shared" ca="1" si="236"/>
        <v>0</v>
      </c>
      <c r="AV93" s="582">
        <f t="shared" ca="1" si="236"/>
        <v>0</v>
      </c>
      <c r="AW93" s="582">
        <f t="shared" ca="1" si="236"/>
        <v>0</v>
      </c>
      <c r="AX93" s="582">
        <f t="shared" ca="1" si="236"/>
        <v>0</v>
      </c>
      <c r="AY93" s="582">
        <f t="shared" ca="1" si="236"/>
        <v>0</v>
      </c>
      <c r="AZ93" s="582">
        <f t="shared" ca="1" si="236"/>
        <v>0</v>
      </c>
      <c r="BA93" s="582">
        <f t="shared" ca="1" si="236"/>
        <v>0</v>
      </c>
      <c r="BB93" s="582">
        <f t="shared" ca="1" si="236"/>
        <v>0</v>
      </c>
      <c r="BC93" s="582">
        <f t="shared" ca="1" si="236"/>
        <v>0</v>
      </c>
      <c r="BD93" s="582">
        <f t="shared" ca="1" si="236"/>
        <v>0</v>
      </c>
      <c r="BE93" s="582">
        <f t="shared" ca="1" si="236"/>
        <v>0</v>
      </c>
      <c r="BF93" s="582">
        <f ca="1">SUM(AM93:BE93)</f>
        <v>-2.5</v>
      </c>
      <c r="BG93" s="6"/>
      <c r="BH93" s="3463">
        <f ca="1">BH$89+BH$91+BH$92</f>
        <v>7.5589878204058242E-2</v>
      </c>
      <c r="BI93" s="3463">
        <f ca="1">BI$89+BI$91+BI$92</f>
        <v>3.4030155597294334</v>
      </c>
      <c r="BJ93" s="3463">
        <f ca="1">SUM(BH93:BI93)</f>
        <v>3.4786054379334916</v>
      </c>
      <c r="BK93" s="6"/>
      <c r="BL93" s="3477">
        <f t="shared" ca="1" si="223"/>
        <v>0</v>
      </c>
      <c r="BM93" s="584"/>
      <c r="BN93" s="413"/>
      <c r="BO93" s="2790">
        <f t="shared" ref="BO93:DF93" ca="1" si="237">BO$89+BO$91+BO$92</f>
        <v>2.5791417622981084E-2</v>
      </c>
      <c r="BP93" s="2790">
        <f t="shared" ca="1" si="237"/>
        <v>9.5243246537113416E-6</v>
      </c>
      <c r="BQ93" s="2790">
        <f t="shared" ca="1" si="237"/>
        <v>4.0773180303269019E-4</v>
      </c>
      <c r="BR93" s="2790">
        <f t="shared" ca="1" si="237"/>
        <v>0</v>
      </c>
      <c r="BS93" s="2790">
        <f t="shared" ca="1" si="237"/>
        <v>0</v>
      </c>
      <c r="BT93" s="2790">
        <f t="shared" ca="1" si="237"/>
        <v>0</v>
      </c>
      <c r="BU93" s="2790">
        <f t="shared" ca="1" si="237"/>
        <v>0</v>
      </c>
      <c r="BV93" s="2790">
        <f t="shared" ca="1" si="237"/>
        <v>0</v>
      </c>
      <c r="BW93" s="2790">
        <f t="shared" ca="1" si="237"/>
        <v>0</v>
      </c>
      <c r="BX93" s="2790">
        <f t="shared" ca="1" si="237"/>
        <v>0</v>
      </c>
      <c r="BY93" s="2790">
        <f t="shared" ca="1" si="237"/>
        <v>0</v>
      </c>
      <c r="BZ93" s="2790">
        <f t="shared" ca="1" si="237"/>
        <v>0</v>
      </c>
      <c r="CA93" s="2790">
        <f t="shared" ca="1" si="237"/>
        <v>0</v>
      </c>
      <c r="CB93" s="2790">
        <f t="shared" ca="1" si="237"/>
        <v>0</v>
      </c>
      <c r="CC93" s="2790">
        <f t="shared" ca="1" si="237"/>
        <v>0</v>
      </c>
      <c r="CD93" s="2790">
        <f t="shared" ca="1" si="237"/>
        <v>0</v>
      </c>
      <c r="CE93" s="2790">
        <f t="shared" ca="1" si="237"/>
        <v>0</v>
      </c>
      <c r="CF93" s="2790">
        <f t="shared" ca="1" si="237"/>
        <v>0</v>
      </c>
      <c r="CG93" s="2790">
        <f t="shared" ca="1" si="237"/>
        <v>0</v>
      </c>
      <c r="CH93" s="2790">
        <f t="shared" ca="1" si="237"/>
        <v>0</v>
      </c>
      <c r="CI93" s="2790">
        <f t="shared" ca="1" si="237"/>
        <v>0</v>
      </c>
      <c r="CJ93" s="2790">
        <f t="shared" ca="1" si="237"/>
        <v>0</v>
      </c>
      <c r="CK93" s="2790">
        <f t="shared" ca="1" si="237"/>
        <v>0</v>
      </c>
      <c r="CL93" s="2790">
        <f t="shared" ca="1" si="237"/>
        <v>0</v>
      </c>
      <c r="CM93" s="2790">
        <f t="shared" ca="1" si="237"/>
        <v>0</v>
      </c>
      <c r="CN93" s="2790">
        <f t="shared" ca="1" si="237"/>
        <v>0</v>
      </c>
      <c r="CO93" s="2790">
        <f t="shared" ca="1" si="237"/>
        <v>0</v>
      </c>
      <c r="CP93" s="2790">
        <f t="shared" ca="1" si="237"/>
        <v>0</v>
      </c>
      <c r="CQ93" s="2790">
        <f t="shared" ca="1" si="237"/>
        <v>0</v>
      </c>
      <c r="CR93" s="2790">
        <f t="shared" ca="1" si="237"/>
        <v>0</v>
      </c>
      <c r="CS93" s="2790">
        <f t="shared" ca="1" si="237"/>
        <v>0</v>
      </c>
      <c r="CT93" s="2790">
        <f t="shared" ca="1" si="237"/>
        <v>0</v>
      </c>
      <c r="CU93" s="2790">
        <f t="shared" ca="1" si="237"/>
        <v>0</v>
      </c>
      <c r="CV93" s="2790">
        <f t="shared" ca="1" si="237"/>
        <v>0</v>
      </c>
      <c r="CW93" s="2790">
        <f t="shared" ca="1" si="237"/>
        <v>0</v>
      </c>
      <c r="CX93" s="2790">
        <f t="shared" ca="1" si="237"/>
        <v>0</v>
      </c>
      <c r="CY93" s="2790">
        <f t="shared" ca="1" si="237"/>
        <v>0</v>
      </c>
      <c r="CZ93" s="2790">
        <f t="shared" ca="1" si="237"/>
        <v>0</v>
      </c>
      <c r="DA93" s="2790">
        <f t="shared" ca="1" si="237"/>
        <v>0</v>
      </c>
      <c r="DB93" s="2790">
        <f t="shared" ca="1" si="237"/>
        <v>0</v>
      </c>
      <c r="DC93" s="2790">
        <f t="shared" ca="1" si="237"/>
        <v>0</v>
      </c>
      <c r="DD93" s="2790">
        <f t="shared" ca="1" si="237"/>
        <v>0</v>
      </c>
      <c r="DE93" s="2790">
        <f t="shared" ca="1" si="237"/>
        <v>0</v>
      </c>
      <c r="DF93" s="2790">
        <f t="shared" ca="1" si="237"/>
        <v>0</v>
      </c>
      <c r="DH93" s="596">
        <f t="shared" ref="DH93:DH104" ca="1" si="238">SUM(BO93:DF93)</f>
        <v>2.6208673750667485E-2</v>
      </c>
    </row>
    <row r="94" spans="1:112" s="6" customFormat="1" ht="12.75" customHeight="1" outlineLevel="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23"/>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38"/>
        <v>0</v>
      </c>
    </row>
    <row r="95" spans="1:112" s="639" customFormat="1" ht="12.75" customHeight="1" outlineLevel="1">
      <c r="C95" s="640" t="s">
        <v>573</v>
      </c>
      <c r="D95" s="641" t="s">
        <v>574</v>
      </c>
      <c r="E95" s="641"/>
      <c r="G95" s="643"/>
      <c r="H95" s="643"/>
      <c r="I95" s="643"/>
      <c r="J95" s="643"/>
      <c r="K95" s="644"/>
      <c r="L95" s="643"/>
      <c r="M95" s="643"/>
      <c r="N95" s="643"/>
      <c r="O95" s="643"/>
      <c r="P95" s="643"/>
      <c r="Q95" s="643"/>
      <c r="S95" s="645"/>
      <c r="T95" s="645"/>
      <c r="U95" s="645">
        <f ca="1">(U$40+U$84+U$93)</f>
        <v>-23.785388252829463</v>
      </c>
      <c r="V95" s="645">
        <f ca="1">(V$40+V$84+V$93)</f>
        <v>-77.30436277743145</v>
      </c>
      <c r="W95" s="645">
        <f ca="1">(W$40+W$84+W$93)</f>
        <v>-46.087463451131669</v>
      </c>
      <c r="X95" s="645"/>
      <c r="Y95" s="645"/>
      <c r="Z95" s="645"/>
      <c r="AA95" s="645"/>
      <c r="AB95" s="645"/>
      <c r="AC95" s="645">
        <f t="shared" ref="AC95:AH95" ca="1" si="239">(AC$40+AC$84+AC$93)</f>
        <v>0</v>
      </c>
      <c r="AD95" s="645">
        <f t="shared" ca="1" si="239"/>
        <v>0.16958333333333334</v>
      </c>
      <c r="AE95" s="645">
        <f t="shared" ca="1" si="239"/>
        <v>0.14350000000000002</v>
      </c>
      <c r="AF95" s="645">
        <f t="shared" ca="1" si="239"/>
        <v>0.4334068201700001</v>
      </c>
      <c r="AG95" s="645">
        <f t="shared" ca="1" si="239"/>
        <v>0.1469939508333333</v>
      </c>
      <c r="AH95" s="645">
        <f t="shared" ca="1" si="239"/>
        <v>0.11749909065550901</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-0.76164924245884236</v>
      </c>
      <c r="BF95" s="646">
        <f ca="1">SUM(AM95:BE95)</f>
        <v>-0.76164924245884236</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38"/>
        <v>0</v>
      </c>
    </row>
    <row r="96" spans="1:112" s="642" customFormat="1" ht="12.75" customHeight="1" outlineLevel="1">
      <c r="A96" s="693"/>
      <c r="B96" s="693"/>
      <c r="C96" s="694" t="s">
        <v>575</v>
      </c>
      <c r="D96" s="695" t="s">
        <v>576</v>
      </c>
      <c r="E96" s="695"/>
      <c r="G96" s="696">
        <f t="shared" ref="G96:P96" ca="1" si="240">IFERROR(INDEX(INDIRECT($C96&amp;".Outputs["&amp;this.Year&amp;"]"), MATCH(G$5, INDIRECT($C96&amp;".Outputs[Vector]"), 0)), 0)</f>
        <v>0</v>
      </c>
      <c r="H96" s="696">
        <f t="shared" ca="1" si="240"/>
        <v>0</v>
      </c>
      <c r="I96" s="696">
        <f t="shared" ca="1" si="240"/>
        <v>0</v>
      </c>
      <c r="J96" s="696">
        <f t="shared" ca="1" si="240"/>
        <v>0</v>
      </c>
      <c r="K96" s="696">
        <f t="shared" ca="1" si="240"/>
        <v>0</v>
      </c>
      <c r="L96" s="696">
        <f t="shared" ca="1" si="240"/>
        <v>0</v>
      </c>
      <c r="M96" s="696">
        <f t="shared" ca="1" si="240"/>
        <v>0</v>
      </c>
      <c r="N96" s="696">
        <f t="shared" ca="1" si="240"/>
        <v>0</v>
      </c>
      <c r="O96" s="696">
        <f t="shared" ca="1" si="240"/>
        <v>0</v>
      </c>
      <c r="P96" s="696">
        <f t="shared" ca="1" si="240"/>
        <v>0</v>
      </c>
      <c r="Q96" s="697">
        <f ca="1">SUM(G96:P96)</f>
        <v>0</v>
      </c>
      <c r="S96" s="698">
        <f t="shared" ref="S96:AJ96" ca="1" si="241">IFERROR(INDEX(INDIRECT($C96&amp;".Outputs["&amp;this.Year&amp;"]"), MATCH(S$5, INDIRECT($C96&amp;".Outputs[Vector]"), 0)), 0)</f>
        <v>0</v>
      </c>
      <c r="T96" s="698">
        <f t="shared" ca="1" si="241"/>
        <v>0</v>
      </c>
      <c r="U96" s="698">
        <f t="shared" ca="1" si="241"/>
        <v>0.54269113815300019</v>
      </c>
      <c r="V96" s="698">
        <f t="shared" ca="1" si="241"/>
        <v>4.4485000000000004E-2</v>
      </c>
      <c r="W96" s="698">
        <f t="shared" ca="1" si="241"/>
        <v>0.22774455378050898</v>
      </c>
      <c r="X96" s="698">
        <f t="shared" ca="1" si="241"/>
        <v>0</v>
      </c>
      <c r="Y96" s="698">
        <f t="shared" ca="1" si="241"/>
        <v>0</v>
      </c>
      <c r="Z96" s="698">
        <f t="shared" ca="1" si="241"/>
        <v>0</v>
      </c>
      <c r="AA96" s="698">
        <f t="shared" ca="1" si="241"/>
        <v>0</v>
      </c>
      <c r="AB96" s="698">
        <f t="shared" ca="1" si="241"/>
        <v>0</v>
      </c>
      <c r="AC96" s="698">
        <f t="shared" ca="1" si="241"/>
        <v>0</v>
      </c>
      <c r="AD96" s="698">
        <f t="shared" ca="1" si="241"/>
        <v>-0.16958333333333334</v>
      </c>
      <c r="AE96" s="698">
        <f t="shared" ca="1" si="241"/>
        <v>-0.14350000000000002</v>
      </c>
      <c r="AF96" s="698">
        <f t="shared" ca="1" si="241"/>
        <v>-0.4334068201700001</v>
      </c>
      <c r="AG96" s="698">
        <f t="shared" ca="1" si="241"/>
        <v>-0.1469939508333333</v>
      </c>
      <c r="AH96" s="698">
        <f t="shared" ca="1" si="241"/>
        <v>-0.11749909065550901</v>
      </c>
      <c r="AI96" s="698">
        <f t="shared" ca="1" si="241"/>
        <v>0</v>
      </c>
      <c r="AJ96" s="698">
        <f t="shared" ca="1" si="241"/>
        <v>0</v>
      </c>
      <c r="AK96" s="699">
        <f ca="1">SUM(S96:AJ96)</f>
        <v>-0.19606250305866654</v>
      </c>
      <c r="AM96" s="700">
        <f t="shared" ref="AM96:BE96" ca="1" si="242">IFERROR(INDEX(INDIRECT($C96&amp;".Outputs["&amp;this.Year&amp;"]"), MATCH(AM$5, INDIRECT($C96&amp;".Outputs[Vector]"), 0)), 0)</f>
        <v>0</v>
      </c>
      <c r="AN96" s="700">
        <f t="shared" ca="1" si="242"/>
        <v>0</v>
      </c>
      <c r="AO96" s="700">
        <f t="shared" ca="1" si="242"/>
        <v>0</v>
      </c>
      <c r="AP96" s="700">
        <f t="shared" ca="1" si="242"/>
        <v>0</v>
      </c>
      <c r="AQ96" s="700">
        <f t="shared" ca="1" si="242"/>
        <v>0</v>
      </c>
      <c r="AR96" s="700">
        <f t="shared" ca="1" si="242"/>
        <v>0</v>
      </c>
      <c r="AS96" s="700">
        <f t="shared" ca="1" si="242"/>
        <v>0</v>
      </c>
      <c r="AT96" s="700">
        <f t="shared" ca="1" si="242"/>
        <v>0</v>
      </c>
      <c r="AU96" s="700">
        <f t="shared" ca="1" si="242"/>
        <v>0</v>
      </c>
      <c r="AV96" s="700">
        <f t="shared" ca="1" si="242"/>
        <v>0</v>
      </c>
      <c r="AW96" s="700">
        <f t="shared" ca="1" si="242"/>
        <v>0</v>
      </c>
      <c r="AX96" s="700">
        <f t="shared" ca="1" si="242"/>
        <v>0</v>
      </c>
      <c r="AY96" s="700">
        <f t="shared" ca="1" si="242"/>
        <v>0</v>
      </c>
      <c r="AZ96" s="700">
        <f t="shared" ca="1" si="242"/>
        <v>0</v>
      </c>
      <c r="BA96" s="700">
        <f t="shared" ca="1" si="242"/>
        <v>0</v>
      </c>
      <c r="BB96" s="700">
        <f t="shared" ca="1" si="242"/>
        <v>0</v>
      </c>
      <c r="BC96" s="700">
        <f t="shared" ca="1" si="242"/>
        <v>0</v>
      </c>
      <c r="BD96" s="700">
        <f t="shared" ca="1" si="242"/>
        <v>0</v>
      </c>
      <c r="BE96" s="700">
        <f t="shared" ca="1" si="242"/>
        <v>0</v>
      </c>
      <c r="BF96" s="701">
        <f ca="1">SUM(AM96:BE96)</f>
        <v>0</v>
      </c>
      <c r="BH96" s="3476">
        <f ca="1">IFERROR(INDEX(INDIRECT($C96&amp;".Outputs["&amp;this.Year&amp;"]"), MATCH(BH$5, INDIRECT($C96&amp;".Outputs[Vector]"), 0)), 0)</f>
        <v>0.19606250305866657</v>
      </c>
      <c r="BI96" s="3476">
        <f ca="1">IFERROR(INDEX(INDIRECT($C96&amp;".Outputs["&amp;this.Year&amp;"]"), MATCH(BI$5, INDIRECT($C96&amp;".Outputs[Vector]"), 0)), 0)</f>
        <v>0</v>
      </c>
      <c r="BJ96" s="3468">
        <f ca="1">SUM(BH96:BI96)</f>
        <v>0.19606250305866657</v>
      </c>
      <c r="BL96" s="702">
        <f ca="1">Q96+AK96+BF96+BJ96</f>
        <v>0</v>
      </c>
      <c r="BM96" s="702"/>
      <c r="BN96" s="703"/>
      <c r="BO96" s="2796">
        <f t="shared" ref="BO96:DF96" ca="1" si="243">IFERROR(SUMIFS(INDIRECT($C96&amp;".Emissions["&amp;this.Year&amp;"]"), INDIRECT($C96&amp;".Emissions[GHG]"), BO$6, INDIRECT($C96&amp;".Emissions[IPCC Sector]"), BO$5),0)</f>
        <v>0</v>
      </c>
      <c r="BP96" s="2797">
        <f t="shared" ca="1" si="243"/>
        <v>0</v>
      </c>
      <c r="BQ96" s="2797">
        <f t="shared" ca="1" si="243"/>
        <v>0</v>
      </c>
      <c r="BR96" s="2797">
        <f t="shared" ca="1" si="243"/>
        <v>0</v>
      </c>
      <c r="BS96" s="2797">
        <f t="shared" ca="1" si="243"/>
        <v>0</v>
      </c>
      <c r="BT96" s="2797">
        <f t="shared" ca="1" si="243"/>
        <v>0</v>
      </c>
      <c r="BU96" s="2797">
        <f t="shared" ca="1" si="243"/>
        <v>0</v>
      </c>
      <c r="BV96" s="2797">
        <f t="shared" ca="1" si="243"/>
        <v>0</v>
      </c>
      <c r="BW96" s="2797">
        <f t="shared" ca="1" si="243"/>
        <v>0</v>
      </c>
      <c r="BX96" s="2797">
        <f t="shared" ca="1" si="243"/>
        <v>0</v>
      </c>
      <c r="BY96" s="2797">
        <f t="shared" ca="1" si="243"/>
        <v>0</v>
      </c>
      <c r="BZ96" s="2797">
        <f t="shared" ca="1" si="243"/>
        <v>0</v>
      </c>
      <c r="CA96" s="2797">
        <f t="shared" ca="1" si="243"/>
        <v>0</v>
      </c>
      <c r="CB96" s="2797">
        <f t="shared" ca="1" si="243"/>
        <v>0</v>
      </c>
      <c r="CC96" s="2797">
        <f t="shared" ca="1" si="243"/>
        <v>0</v>
      </c>
      <c r="CD96" s="2797">
        <f t="shared" ca="1" si="243"/>
        <v>0</v>
      </c>
      <c r="CE96" s="2797">
        <f t="shared" ca="1" si="243"/>
        <v>0</v>
      </c>
      <c r="CF96" s="2797">
        <f t="shared" ca="1" si="243"/>
        <v>0</v>
      </c>
      <c r="CG96" s="2797">
        <f t="shared" ca="1" si="243"/>
        <v>0</v>
      </c>
      <c r="CH96" s="2797">
        <f t="shared" ca="1" si="243"/>
        <v>0</v>
      </c>
      <c r="CI96" s="2797">
        <f t="shared" ca="1" si="243"/>
        <v>0</v>
      </c>
      <c r="CJ96" s="2797">
        <f t="shared" ca="1" si="243"/>
        <v>0</v>
      </c>
      <c r="CK96" s="2797">
        <f t="shared" ca="1" si="243"/>
        <v>0</v>
      </c>
      <c r="CL96" s="2797">
        <f t="shared" ca="1" si="243"/>
        <v>0</v>
      </c>
      <c r="CM96" s="2797">
        <f t="shared" ca="1" si="243"/>
        <v>0</v>
      </c>
      <c r="CN96" s="2797">
        <f t="shared" ca="1" si="243"/>
        <v>0</v>
      </c>
      <c r="CO96" s="2797">
        <f t="shared" ca="1" si="243"/>
        <v>0</v>
      </c>
      <c r="CP96" s="2797">
        <f t="shared" ca="1" si="243"/>
        <v>0</v>
      </c>
      <c r="CQ96" s="2797">
        <f t="shared" ca="1" si="243"/>
        <v>0</v>
      </c>
      <c r="CR96" s="2797">
        <f t="shared" ca="1" si="243"/>
        <v>0</v>
      </c>
      <c r="CS96" s="2797">
        <f t="shared" ca="1" si="243"/>
        <v>0</v>
      </c>
      <c r="CT96" s="2797">
        <f t="shared" ca="1" si="243"/>
        <v>0</v>
      </c>
      <c r="CU96" s="2797">
        <f t="shared" ca="1" si="243"/>
        <v>0</v>
      </c>
      <c r="CV96" s="2797">
        <f t="shared" ca="1" si="243"/>
        <v>0</v>
      </c>
      <c r="CW96" s="2797">
        <f t="shared" ca="1" si="243"/>
        <v>0</v>
      </c>
      <c r="CX96" s="2797">
        <f t="shared" ca="1" si="243"/>
        <v>0</v>
      </c>
      <c r="CY96" s="2797">
        <f t="shared" ca="1" si="243"/>
        <v>-0.24158752466535785</v>
      </c>
      <c r="CZ96" s="2797">
        <f t="shared" ca="1" si="243"/>
        <v>0</v>
      </c>
      <c r="DA96" s="2797">
        <f t="shared" ca="1" si="243"/>
        <v>0</v>
      </c>
      <c r="DB96" s="2797">
        <f t="shared" ca="1" si="243"/>
        <v>0</v>
      </c>
      <c r="DC96" s="2797">
        <f t="shared" ca="1" si="243"/>
        <v>0</v>
      </c>
      <c r="DD96" s="2797">
        <f t="shared" ca="1" si="243"/>
        <v>0</v>
      </c>
      <c r="DE96" s="2797">
        <f t="shared" ca="1" si="243"/>
        <v>0</v>
      </c>
      <c r="DF96" s="2797">
        <f t="shared" ca="1" si="243"/>
        <v>0</v>
      </c>
      <c r="DH96" s="649">
        <f t="shared" ca="1" si="238"/>
        <v>-0.24158752466535785</v>
      </c>
    </row>
    <row r="97" spans="1:112" s="639" customFormat="1" ht="12.75" customHeight="1" outlineLevel="1">
      <c r="C97" s="640" t="s">
        <v>577</v>
      </c>
      <c r="D97" s="641" t="s">
        <v>574</v>
      </c>
      <c r="E97" s="641"/>
      <c r="G97" s="643"/>
      <c r="H97" s="643"/>
      <c r="I97" s="643"/>
      <c r="J97" s="643"/>
      <c r="K97" s="644"/>
      <c r="L97" s="643"/>
      <c r="M97" s="643"/>
      <c r="N97" s="643"/>
      <c r="O97" s="643"/>
      <c r="P97" s="643"/>
      <c r="Q97" s="643"/>
      <c r="S97" s="645"/>
      <c r="T97" s="645"/>
      <c r="U97" s="645">
        <f ca="1">U$95+U$96</f>
        <v>-23.242697114676464</v>
      </c>
      <c r="V97" s="645">
        <f ca="1">V$95+V$96</f>
        <v>-77.259877777431456</v>
      </c>
      <c r="W97" s="645">
        <f ca="1">W$95+W$96</f>
        <v>-45.859718897351158</v>
      </c>
      <c r="X97" s="645"/>
      <c r="Y97" s="645"/>
      <c r="Z97" s="645"/>
      <c r="AA97" s="645"/>
      <c r="AB97" s="645"/>
      <c r="AC97" s="645">
        <f t="shared" ref="AC97:AH97" ca="1" si="244">AC$95+AC$96</f>
        <v>0</v>
      </c>
      <c r="AD97" s="645">
        <f t="shared" ca="1" si="244"/>
        <v>0</v>
      </c>
      <c r="AE97" s="645">
        <f t="shared" ca="1" si="244"/>
        <v>0</v>
      </c>
      <c r="AF97" s="645">
        <f t="shared" ca="1" si="244"/>
        <v>0</v>
      </c>
      <c r="AG97" s="645">
        <f t="shared" ca="1" si="244"/>
        <v>0</v>
      </c>
      <c r="AH97" s="645">
        <f t="shared" ca="1" si="24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-0.27892419162550902</v>
      </c>
      <c r="BF97" s="646">
        <f ca="1">SUM(AM97:BE97)</f>
        <v>-0.27892419162550902</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ht="12.75" customHeight="1" outlineLevel="1">
      <c r="A98" s="607"/>
      <c r="B98" s="607"/>
      <c r="C98" s="587" t="s">
        <v>578</v>
      </c>
      <c r="D98" s="611" t="s">
        <v>579</v>
      </c>
      <c r="E98" s="611"/>
      <c r="G98" s="619">
        <f t="shared" ref="G98:P98" ca="1" si="245">IFERROR(INDEX(INDIRECT($C98&amp;".Outputs["&amp;this.Year&amp;"]"), MATCH(G$5, INDIRECT($C98&amp;".Outputs[Vector]"), 0)), 0)</f>
        <v>0</v>
      </c>
      <c r="H98" s="619">
        <f t="shared" ca="1" si="245"/>
        <v>0</v>
      </c>
      <c r="I98" s="619">
        <f t="shared" ca="1" si="245"/>
        <v>0</v>
      </c>
      <c r="J98" s="619">
        <f t="shared" ca="1" si="245"/>
        <v>0</v>
      </c>
      <c r="K98" s="619">
        <f t="shared" ca="1" si="245"/>
        <v>0</v>
      </c>
      <c r="L98" s="619">
        <f t="shared" ca="1" si="245"/>
        <v>0</v>
      </c>
      <c r="M98" s="619">
        <f t="shared" ca="1" si="245"/>
        <v>0</v>
      </c>
      <c r="N98" s="619">
        <f t="shared" ca="1" si="245"/>
        <v>0</v>
      </c>
      <c r="O98" s="619">
        <f t="shared" ca="1" si="245"/>
        <v>0</v>
      </c>
      <c r="P98" s="619">
        <f t="shared" ca="1" si="245"/>
        <v>0</v>
      </c>
      <c r="Q98" s="612">
        <f ca="1">SUM(G98:P98)</f>
        <v>0</v>
      </c>
      <c r="S98" s="620">
        <f t="shared" ref="S98:AJ98" ca="1" si="246">IFERROR(INDEX(INDIRECT($C98&amp;".Outputs["&amp;this.Year&amp;"]"), MATCH(S$5, INDIRECT($C98&amp;".Outputs[Vector]"), 0)), 0)</f>
        <v>0</v>
      </c>
      <c r="T98" s="620">
        <f t="shared" ca="1" si="246"/>
        <v>0</v>
      </c>
      <c r="U98" s="620">
        <f t="shared" ca="1" si="246"/>
        <v>0.17666666666666667</v>
      </c>
      <c r="V98" s="620">
        <f t="shared" ca="1" si="246"/>
        <v>0.91876999999999998</v>
      </c>
      <c r="W98" s="620">
        <f t="shared" ca="1" si="246"/>
        <v>0</v>
      </c>
      <c r="X98" s="620">
        <f t="shared" ca="1" si="246"/>
        <v>0</v>
      </c>
      <c r="Y98" s="620">
        <f t="shared" ca="1" si="246"/>
        <v>0</v>
      </c>
      <c r="Z98" s="620">
        <f t="shared" ca="1" si="246"/>
        <v>0</v>
      </c>
      <c r="AA98" s="620">
        <f t="shared" ca="1" si="246"/>
        <v>0</v>
      </c>
      <c r="AB98" s="620">
        <f t="shared" ca="1" si="246"/>
        <v>0</v>
      </c>
      <c r="AC98" s="620">
        <f t="shared" ca="1" si="246"/>
        <v>0</v>
      </c>
      <c r="AD98" s="620">
        <f t="shared" ca="1" si="246"/>
        <v>0</v>
      </c>
      <c r="AE98" s="620">
        <f t="shared" ca="1" si="246"/>
        <v>0</v>
      </c>
      <c r="AF98" s="620">
        <f t="shared" ca="1" si="246"/>
        <v>0</v>
      </c>
      <c r="AG98" s="620">
        <f t="shared" ca="1" si="246"/>
        <v>0</v>
      </c>
      <c r="AH98" s="620">
        <f t="shared" ca="1" si="246"/>
        <v>0</v>
      </c>
      <c r="AI98" s="620">
        <f t="shared" ca="1" si="246"/>
        <v>0</v>
      </c>
      <c r="AJ98" s="620">
        <f t="shared" ca="1" si="246"/>
        <v>0</v>
      </c>
      <c r="AK98" s="613">
        <f ca="1">SUM(S98:AJ98)</f>
        <v>1.0954366666666666</v>
      </c>
      <c r="AM98" s="621">
        <f t="shared" ref="AM98:BE98" ca="1" si="247">IFERROR(INDEX(INDIRECT($C98&amp;".Outputs["&amp;this.Year&amp;"]"), MATCH(AM$5, INDIRECT($C98&amp;".Outputs[Vector]"), 0)), 0)</f>
        <v>0</v>
      </c>
      <c r="AN98" s="621">
        <f t="shared" ca="1" si="247"/>
        <v>0</v>
      </c>
      <c r="AO98" s="621">
        <f t="shared" ca="1" si="247"/>
        <v>0</v>
      </c>
      <c r="AP98" s="621">
        <f t="shared" ca="1" si="247"/>
        <v>-1.0954366666666666</v>
      </c>
      <c r="AQ98" s="621">
        <f t="shared" ca="1" si="247"/>
        <v>0</v>
      </c>
      <c r="AR98" s="621">
        <f t="shared" ca="1" si="247"/>
        <v>0</v>
      </c>
      <c r="AS98" s="621">
        <f t="shared" ca="1" si="247"/>
        <v>0</v>
      </c>
      <c r="AT98" s="621">
        <f t="shared" ca="1" si="247"/>
        <v>0</v>
      </c>
      <c r="AU98" s="621">
        <f t="shared" ca="1" si="247"/>
        <v>0</v>
      </c>
      <c r="AV98" s="621">
        <f t="shared" ca="1" si="247"/>
        <v>0</v>
      </c>
      <c r="AW98" s="621">
        <f t="shared" ca="1" si="247"/>
        <v>0</v>
      </c>
      <c r="AX98" s="621">
        <f t="shared" ca="1" si="247"/>
        <v>0</v>
      </c>
      <c r="AY98" s="621">
        <f t="shared" ca="1" si="247"/>
        <v>0</v>
      </c>
      <c r="AZ98" s="621">
        <f t="shared" ca="1" si="247"/>
        <v>0</v>
      </c>
      <c r="BA98" s="621">
        <f t="shared" ca="1" si="247"/>
        <v>0</v>
      </c>
      <c r="BB98" s="621">
        <f t="shared" ca="1" si="247"/>
        <v>0</v>
      </c>
      <c r="BC98" s="621">
        <f t="shared" ca="1" si="247"/>
        <v>0</v>
      </c>
      <c r="BD98" s="621">
        <f t="shared" ca="1" si="247"/>
        <v>0</v>
      </c>
      <c r="BE98" s="621">
        <f t="shared" ca="1" si="247"/>
        <v>0</v>
      </c>
      <c r="BF98" s="615">
        <f ca="1">SUM(AM98:BE98)</f>
        <v>-1.0954366666666666</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48">IFERROR(SUMIFS(INDIRECT($C98&amp;".Emissions["&amp;this.Year&amp;"]"), INDIRECT($C98&amp;".Emissions[GHG]"), BO$6, INDIRECT($C98&amp;".Emissions[IPCC Sector]"), BO$5),0)</f>
        <v>0</v>
      </c>
      <c r="BP98" s="2792">
        <f t="shared" ca="1" si="248"/>
        <v>0</v>
      </c>
      <c r="BQ98" s="2792">
        <f t="shared" ca="1" si="248"/>
        <v>0</v>
      </c>
      <c r="BR98" s="2792">
        <f t="shared" ca="1" si="248"/>
        <v>0</v>
      </c>
      <c r="BS98" s="2792">
        <f t="shared" ca="1" si="248"/>
        <v>0</v>
      </c>
      <c r="BT98" s="2792">
        <f t="shared" ca="1" si="248"/>
        <v>0</v>
      </c>
      <c r="BU98" s="2792">
        <f t="shared" ca="1" si="248"/>
        <v>0</v>
      </c>
      <c r="BV98" s="2792">
        <f t="shared" ca="1" si="248"/>
        <v>0</v>
      </c>
      <c r="BW98" s="2792">
        <f t="shared" ca="1" si="248"/>
        <v>0</v>
      </c>
      <c r="BX98" s="2792">
        <f t="shared" ca="1" si="248"/>
        <v>0</v>
      </c>
      <c r="BY98" s="2792">
        <f t="shared" ca="1" si="248"/>
        <v>0</v>
      </c>
      <c r="BZ98" s="2792">
        <f t="shared" ca="1" si="248"/>
        <v>0</v>
      </c>
      <c r="CA98" s="2792">
        <f t="shared" ca="1" si="248"/>
        <v>0</v>
      </c>
      <c r="CB98" s="2792">
        <f t="shared" ca="1" si="248"/>
        <v>0</v>
      </c>
      <c r="CC98" s="2792">
        <f t="shared" ca="1" si="248"/>
        <v>0</v>
      </c>
      <c r="CD98" s="2792">
        <f t="shared" ca="1" si="248"/>
        <v>0</v>
      </c>
      <c r="CE98" s="2792">
        <f t="shared" ca="1" si="248"/>
        <v>0</v>
      </c>
      <c r="CF98" s="2792">
        <f t="shared" ca="1" si="248"/>
        <v>0</v>
      </c>
      <c r="CG98" s="2792">
        <f t="shared" ca="1" si="248"/>
        <v>0</v>
      </c>
      <c r="CH98" s="2792">
        <f t="shared" ca="1" si="248"/>
        <v>0</v>
      </c>
      <c r="CI98" s="2792">
        <f t="shared" ca="1" si="248"/>
        <v>0</v>
      </c>
      <c r="CJ98" s="2792">
        <f t="shared" ca="1" si="248"/>
        <v>0</v>
      </c>
      <c r="CK98" s="2792">
        <f t="shared" ca="1" si="248"/>
        <v>0</v>
      </c>
      <c r="CL98" s="2792">
        <f t="shared" ca="1" si="248"/>
        <v>0</v>
      </c>
      <c r="CM98" s="2792">
        <f t="shared" ca="1" si="248"/>
        <v>0</v>
      </c>
      <c r="CN98" s="2792">
        <f t="shared" ca="1" si="248"/>
        <v>0</v>
      </c>
      <c r="CO98" s="2792">
        <f t="shared" ca="1" si="248"/>
        <v>0</v>
      </c>
      <c r="CP98" s="2792">
        <f t="shared" ca="1" si="248"/>
        <v>0</v>
      </c>
      <c r="CQ98" s="2792">
        <f t="shared" ca="1" si="248"/>
        <v>0</v>
      </c>
      <c r="CR98" s="2792">
        <f t="shared" ca="1" si="248"/>
        <v>0</v>
      </c>
      <c r="CS98" s="2792">
        <f t="shared" ca="1" si="248"/>
        <v>0</v>
      </c>
      <c r="CT98" s="2792">
        <f t="shared" ca="1" si="248"/>
        <v>0</v>
      </c>
      <c r="CU98" s="2792">
        <f t="shared" ca="1" si="248"/>
        <v>0</v>
      </c>
      <c r="CV98" s="2792">
        <f t="shared" ca="1" si="248"/>
        <v>0</v>
      </c>
      <c r="CW98" s="2792">
        <f t="shared" ca="1" si="248"/>
        <v>0</v>
      </c>
      <c r="CX98" s="2792">
        <f t="shared" ca="1" si="248"/>
        <v>0</v>
      </c>
      <c r="CY98" s="2792">
        <f t="shared" ca="1" si="248"/>
        <v>-0.30209165159999996</v>
      </c>
      <c r="CZ98" s="2792">
        <f t="shared" ca="1" si="248"/>
        <v>0</v>
      </c>
      <c r="DA98" s="2792">
        <f t="shared" ca="1" si="248"/>
        <v>0</v>
      </c>
      <c r="DB98" s="2792">
        <f t="shared" ca="1" si="248"/>
        <v>0</v>
      </c>
      <c r="DC98" s="2792">
        <f t="shared" ca="1" si="248"/>
        <v>0</v>
      </c>
      <c r="DD98" s="2792">
        <f t="shared" ca="1" si="248"/>
        <v>0</v>
      </c>
      <c r="DE98" s="2792">
        <f t="shared" ca="1" si="248"/>
        <v>0</v>
      </c>
      <c r="DF98" s="2792">
        <f t="shared" ca="1" si="248"/>
        <v>0</v>
      </c>
      <c r="DH98" s="596">
        <f ca="1">SUM(BO98:DF98)</f>
        <v>-0.30209165159999996</v>
      </c>
    </row>
    <row r="99" spans="1:112" s="6" customFormat="1" ht="15.75">
      <c r="A99" s="4"/>
      <c r="B99" s="3"/>
      <c r="C99" s="616" t="s">
        <v>580</v>
      </c>
      <c r="D99" s="617" t="s">
        <v>581</v>
      </c>
      <c r="E99" s="206"/>
      <c r="G99" s="618">
        <f ca="1">G$96+G98</f>
        <v>0</v>
      </c>
      <c r="H99" s="618">
        <f t="shared" ref="H99:P99" ca="1" si="249">H$96+H98</f>
        <v>0</v>
      </c>
      <c r="I99" s="618">
        <f t="shared" ca="1" si="249"/>
        <v>0</v>
      </c>
      <c r="J99" s="618">
        <f t="shared" ca="1" si="249"/>
        <v>0</v>
      </c>
      <c r="K99" s="618">
        <f t="shared" ca="1" si="249"/>
        <v>0</v>
      </c>
      <c r="L99" s="618">
        <f t="shared" ca="1" si="249"/>
        <v>0</v>
      </c>
      <c r="M99" s="618">
        <f t="shared" ca="1" si="249"/>
        <v>0</v>
      </c>
      <c r="N99" s="618">
        <f t="shared" ca="1" si="249"/>
        <v>0</v>
      </c>
      <c r="O99" s="618">
        <f t="shared" ca="1" si="249"/>
        <v>0</v>
      </c>
      <c r="P99" s="618">
        <f t="shared" ca="1" si="249"/>
        <v>0</v>
      </c>
      <c r="Q99" s="618">
        <f ca="1">SUM(G99:P99)</f>
        <v>0</v>
      </c>
      <c r="S99" s="581">
        <f t="shared" ref="S99:AJ99" ca="1" si="250">S$96+S98</f>
        <v>0</v>
      </c>
      <c r="T99" s="581">
        <f t="shared" ca="1" si="250"/>
        <v>0</v>
      </c>
      <c r="U99" s="581">
        <f t="shared" ca="1" si="250"/>
        <v>0.71935780481966682</v>
      </c>
      <c r="V99" s="581">
        <f t="shared" ca="1" si="250"/>
        <v>0.96325499999999997</v>
      </c>
      <c r="W99" s="581">
        <f t="shared" ca="1" si="250"/>
        <v>0.22774455378050898</v>
      </c>
      <c r="X99" s="581">
        <f t="shared" ca="1" si="250"/>
        <v>0</v>
      </c>
      <c r="Y99" s="581">
        <f t="shared" ca="1" si="250"/>
        <v>0</v>
      </c>
      <c r="Z99" s="581">
        <f t="shared" ca="1" si="250"/>
        <v>0</v>
      </c>
      <c r="AA99" s="581">
        <f t="shared" ca="1" si="250"/>
        <v>0</v>
      </c>
      <c r="AB99" s="581">
        <f t="shared" ca="1" si="250"/>
        <v>0</v>
      </c>
      <c r="AC99" s="581">
        <f t="shared" ca="1" si="250"/>
        <v>0</v>
      </c>
      <c r="AD99" s="581">
        <f ca="1">AD$96+AD98</f>
        <v>-0.16958333333333334</v>
      </c>
      <c r="AE99" s="581">
        <f ca="1">AE$96+AE98</f>
        <v>-0.14350000000000002</v>
      </c>
      <c r="AF99" s="581">
        <f t="shared" ca="1" si="250"/>
        <v>-0.4334068201700001</v>
      </c>
      <c r="AG99" s="581">
        <f t="shared" ca="1" si="250"/>
        <v>-0.1469939508333333</v>
      </c>
      <c r="AH99" s="581">
        <f ca="1">AH$96+AH98</f>
        <v>-0.11749909065550901</v>
      </c>
      <c r="AI99" s="581">
        <f t="shared" ca="1" si="250"/>
        <v>0</v>
      </c>
      <c r="AJ99" s="581">
        <f t="shared" ca="1" si="250"/>
        <v>0</v>
      </c>
      <c r="AK99" s="581">
        <f ca="1">SUM(S99:AJ99)</f>
        <v>0.89937416360799982</v>
      </c>
      <c r="AM99" s="582">
        <f t="shared" ref="AM99:BE99" ca="1" si="251">AM$96+AM98</f>
        <v>0</v>
      </c>
      <c r="AN99" s="582">
        <f t="shared" ca="1" si="251"/>
        <v>0</v>
      </c>
      <c r="AO99" s="582">
        <f t="shared" ca="1" si="251"/>
        <v>0</v>
      </c>
      <c r="AP99" s="582">
        <f t="shared" ca="1" si="251"/>
        <v>-1.0954366666666666</v>
      </c>
      <c r="AQ99" s="582">
        <f t="shared" ca="1" si="251"/>
        <v>0</v>
      </c>
      <c r="AR99" s="582">
        <f t="shared" ca="1" si="251"/>
        <v>0</v>
      </c>
      <c r="AS99" s="582">
        <f t="shared" ca="1" si="251"/>
        <v>0</v>
      </c>
      <c r="AT99" s="582">
        <f t="shared" ca="1" si="251"/>
        <v>0</v>
      </c>
      <c r="AU99" s="582">
        <f t="shared" ca="1" si="251"/>
        <v>0</v>
      </c>
      <c r="AV99" s="582">
        <f t="shared" ca="1" si="251"/>
        <v>0</v>
      </c>
      <c r="AW99" s="582">
        <f t="shared" ca="1" si="251"/>
        <v>0</v>
      </c>
      <c r="AX99" s="582">
        <f t="shared" ca="1" si="251"/>
        <v>0</v>
      </c>
      <c r="AY99" s="582">
        <f t="shared" ca="1" si="251"/>
        <v>0</v>
      </c>
      <c r="AZ99" s="582">
        <f t="shared" ca="1" si="251"/>
        <v>0</v>
      </c>
      <c r="BA99" s="582">
        <f t="shared" ca="1" si="251"/>
        <v>0</v>
      </c>
      <c r="BB99" s="582">
        <f t="shared" ca="1" si="251"/>
        <v>0</v>
      </c>
      <c r="BC99" s="582">
        <f t="shared" ca="1" si="251"/>
        <v>0</v>
      </c>
      <c r="BD99" s="582">
        <f t="shared" ca="1" si="251"/>
        <v>0</v>
      </c>
      <c r="BE99" s="582">
        <f t="shared" ca="1" si="251"/>
        <v>0</v>
      </c>
      <c r="BF99" s="582">
        <f ca="1">SUM(AM99:BE99)</f>
        <v>-1.0954366666666666</v>
      </c>
      <c r="BH99" s="3463">
        <f ca="1">BH$96+BH98</f>
        <v>0.19606250305866657</v>
      </c>
      <c r="BI99" s="3463">
        <f ca="1">BI$96+BI98</f>
        <v>0</v>
      </c>
      <c r="BJ99" s="3463">
        <f ca="1">SUM(BH99:BI99)</f>
        <v>0.19606250305866657</v>
      </c>
      <c r="BL99" s="3477">
        <f ca="1">Q99+AK99+BF99+BJ99</f>
        <v>-2.2204460492503131E-16</v>
      </c>
      <c r="BM99" s="584"/>
      <c r="BN99" s="413"/>
      <c r="BO99" s="2790">
        <f t="shared" ref="BO99:DF99" ca="1" si="252">BO$96+BO98</f>
        <v>0</v>
      </c>
      <c r="BP99" s="2790">
        <f t="shared" ca="1" si="252"/>
        <v>0</v>
      </c>
      <c r="BQ99" s="2790">
        <f t="shared" ca="1" si="252"/>
        <v>0</v>
      </c>
      <c r="BR99" s="2790">
        <f t="shared" ca="1" si="252"/>
        <v>0</v>
      </c>
      <c r="BS99" s="2790">
        <f t="shared" ca="1" si="252"/>
        <v>0</v>
      </c>
      <c r="BT99" s="2790">
        <f t="shared" ca="1" si="252"/>
        <v>0</v>
      </c>
      <c r="BU99" s="2790">
        <f t="shared" ca="1" si="252"/>
        <v>0</v>
      </c>
      <c r="BV99" s="2790">
        <f t="shared" ca="1" si="252"/>
        <v>0</v>
      </c>
      <c r="BW99" s="2790">
        <f t="shared" ca="1" si="252"/>
        <v>0</v>
      </c>
      <c r="BX99" s="2790">
        <f t="shared" ca="1" si="252"/>
        <v>0</v>
      </c>
      <c r="BY99" s="2790">
        <f t="shared" ca="1" si="252"/>
        <v>0</v>
      </c>
      <c r="BZ99" s="2790">
        <f t="shared" ca="1" si="252"/>
        <v>0</v>
      </c>
      <c r="CA99" s="2790">
        <f t="shared" ca="1" si="252"/>
        <v>0</v>
      </c>
      <c r="CB99" s="2790">
        <f t="shared" ca="1" si="252"/>
        <v>0</v>
      </c>
      <c r="CC99" s="2790">
        <f t="shared" ca="1" si="252"/>
        <v>0</v>
      </c>
      <c r="CD99" s="2790">
        <f t="shared" ca="1" si="252"/>
        <v>0</v>
      </c>
      <c r="CE99" s="2790">
        <f t="shared" ca="1" si="252"/>
        <v>0</v>
      </c>
      <c r="CF99" s="2790">
        <f t="shared" ca="1" si="252"/>
        <v>0</v>
      </c>
      <c r="CG99" s="2790">
        <f t="shared" ca="1" si="252"/>
        <v>0</v>
      </c>
      <c r="CH99" s="2790">
        <f t="shared" ca="1" si="252"/>
        <v>0</v>
      </c>
      <c r="CI99" s="2790">
        <f t="shared" ca="1" si="252"/>
        <v>0</v>
      </c>
      <c r="CJ99" s="2790">
        <f t="shared" ca="1" si="252"/>
        <v>0</v>
      </c>
      <c r="CK99" s="2790">
        <f t="shared" ca="1" si="252"/>
        <v>0</v>
      </c>
      <c r="CL99" s="2790">
        <f t="shared" ca="1" si="252"/>
        <v>0</v>
      </c>
      <c r="CM99" s="2790">
        <f t="shared" ca="1" si="252"/>
        <v>0</v>
      </c>
      <c r="CN99" s="2790">
        <f t="shared" ca="1" si="252"/>
        <v>0</v>
      </c>
      <c r="CO99" s="2790">
        <f t="shared" ca="1" si="252"/>
        <v>0</v>
      </c>
      <c r="CP99" s="2790">
        <f t="shared" ca="1" si="252"/>
        <v>0</v>
      </c>
      <c r="CQ99" s="2790">
        <f t="shared" ca="1" si="252"/>
        <v>0</v>
      </c>
      <c r="CR99" s="2790">
        <f t="shared" ca="1" si="252"/>
        <v>0</v>
      </c>
      <c r="CS99" s="2790">
        <f t="shared" ca="1" si="252"/>
        <v>0</v>
      </c>
      <c r="CT99" s="2790">
        <f t="shared" ca="1" si="252"/>
        <v>0</v>
      </c>
      <c r="CU99" s="2790">
        <f t="shared" ca="1" si="252"/>
        <v>0</v>
      </c>
      <c r="CV99" s="2790">
        <f t="shared" ca="1" si="252"/>
        <v>0</v>
      </c>
      <c r="CW99" s="2790">
        <f t="shared" ca="1" si="252"/>
        <v>0</v>
      </c>
      <c r="CX99" s="2790">
        <f t="shared" ca="1" si="252"/>
        <v>0</v>
      </c>
      <c r="CY99" s="2790">
        <f t="shared" ca="1" si="252"/>
        <v>-0.54367917626535778</v>
      </c>
      <c r="CZ99" s="2790">
        <f t="shared" ca="1" si="252"/>
        <v>0</v>
      </c>
      <c r="DA99" s="2790">
        <f t="shared" ca="1" si="252"/>
        <v>0</v>
      </c>
      <c r="DB99" s="2790">
        <f t="shared" ca="1" si="252"/>
        <v>0</v>
      </c>
      <c r="DC99" s="2790">
        <f t="shared" ca="1" si="252"/>
        <v>0</v>
      </c>
      <c r="DD99" s="2790">
        <f t="shared" ca="1" si="252"/>
        <v>0</v>
      </c>
      <c r="DE99" s="2790">
        <f t="shared" ca="1" si="252"/>
        <v>0</v>
      </c>
      <c r="DF99" s="2790">
        <f t="shared" ca="1" si="252"/>
        <v>0</v>
      </c>
      <c r="DH99" s="596">
        <f t="shared" ca="1" si="238"/>
        <v>-0.54367917626535778</v>
      </c>
    </row>
    <row r="100" spans="1:112" s="4" customFormat="1" ht="12.75" customHeight="1" outlineLevel="1">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38"/>
        <v>0</v>
      </c>
    </row>
    <row r="101" spans="1:112" s="652" customFormat="1" ht="12.75" customHeight="1" outlineLevel="1">
      <c r="C101" s="667" t="s">
        <v>582</v>
      </c>
      <c r="D101" s="641" t="s">
        <v>574</v>
      </c>
      <c r="E101" s="685"/>
      <c r="G101" s="643"/>
      <c r="H101" s="643"/>
      <c r="I101" s="643"/>
      <c r="J101" s="643"/>
      <c r="K101" s="644"/>
      <c r="L101" s="643"/>
      <c r="M101" s="643"/>
      <c r="N101" s="643"/>
      <c r="O101" s="643"/>
      <c r="P101" s="643"/>
      <c r="Q101" s="704"/>
      <c r="R101" s="639"/>
      <c r="S101" s="645">
        <f ca="1">(S$40+S$84+S$93+S$99)</f>
        <v>-23.472851618681876</v>
      </c>
      <c r="T101" s="645">
        <f ca="1">(T$40+T$84+T$93+T$99)</f>
        <v>23.472851618681876</v>
      </c>
      <c r="U101" s="645">
        <f ca="1">(U$40+U$84+U$93+U$99)</f>
        <v>-23.066030448009798</v>
      </c>
      <c r="V101" s="645">
        <f ca="1">(V$40+V$84+V$93+V$99)</f>
        <v>-76.341107777431446</v>
      </c>
      <c r="W101" s="645">
        <f ca="1">(W$40+W$84+W$93+W$99)</f>
        <v>-45.859718897351158</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38"/>
        <v>0</v>
      </c>
    </row>
    <row r="102" spans="1:112" s="607" customFormat="1" ht="12.75" customHeight="1" outlineLevel="1">
      <c r="B102" s="705"/>
      <c r="C102" s="651" t="s">
        <v>583</v>
      </c>
      <c r="D102" s="588" t="s">
        <v>584</v>
      </c>
      <c r="E102" s="588"/>
      <c r="F102" s="6"/>
      <c r="G102" s="659">
        <f t="shared" ref="G102:P102" ca="1" si="253">IFERROR(INDEX(INDIRECT($C102&amp;".Outputs["&amp;this.Year&amp;"]"), MATCH(G$5, INDIRECT($C102&amp;".Outputs[Vector]"), 0)), 0)</f>
        <v>0</v>
      </c>
      <c r="H102" s="659">
        <f t="shared" ca="1" si="253"/>
        <v>0</v>
      </c>
      <c r="I102" s="659">
        <f t="shared" ca="1" si="253"/>
        <v>0</v>
      </c>
      <c r="J102" s="659">
        <f t="shared" ca="1" si="253"/>
        <v>0</v>
      </c>
      <c r="K102" s="706">
        <f t="shared" ca="1" si="253"/>
        <v>0</v>
      </c>
      <c r="L102" s="659">
        <f t="shared" ca="1" si="253"/>
        <v>0</v>
      </c>
      <c r="M102" s="659">
        <f t="shared" ca="1" si="253"/>
        <v>0</v>
      </c>
      <c r="N102" s="659">
        <f t="shared" ca="1" si="253"/>
        <v>0</v>
      </c>
      <c r="O102" s="659">
        <f t="shared" ca="1" si="253"/>
        <v>0</v>
      </c>
      <c r="P102" s="659">
        <f t="shared" ca="1" si="253"/>
        <v>0</v>
      </c>
      <c r="Q102" s="707">
        <f ca="1">SUM(G102:P102)</f>
        <v>0</v>
      </c>
      <c r="R102" s="6"/>
      <c r="S102" s="661">
        <f t="shared" ref="S102:AJ102" ca="1" si="254">IFERROR(INDEX(INDIRECT($C102&amp;".Outputs["&amp;this.Year&amp;"]"), MATCH(S$5, INDIRECT($C102&amp;".Outputs[Vector]"), 0)), 0)</f>
        <v>0</v>
      </c>
      <c r="T102" s="661">
        <f t="shared" ca="1" si="254"/>
        <v>0</v>
      </c>
      <c r="U102" s="661">
        <f t="shared" ca="1" si="254"/>
        <v>23.066030448009798</v>
      </c>
      <c r="V102" s="661">
        <f t="shared" ca="1" si="254"/>
        <v>76.341107777431446</v>
      </c>
      <c r="W102" s="661">
        <f t="shared" ca="1" si="254"/>
        <v>45.859718897351158</v>
      </c>
      <c r="X102" s="661">
        <f ca="1">IFERROR(INDEX(INDIRECT($C102&amp;".Outputs["&amp;this.Year&amp;"]"), MATCH(X$5, INDIRECT($C102&amp;".Outputs[Vector]"), 0)), 0)</f>
        <v>-23.066030448009798</v>
      </c>
      <c r="Y102" s="661">
        <f t="shared" ca="1" si="254"/>
        <v>-76.341107777431446</v>
      </c>
      <c r="Z102" s="661">
        <f t="shared" ca="1" si="254"/>
        <v>-46.547614680811428</v>
      </c>
      <c r="AA102" s="661">
        <f t="shared" ca="1" si="254"/>
        <v>0</v>
      </c>
      <c r="AB102" s="661">
        <f t="shared" ca="1" si="254"/>
        <v>0</v>
      </c>
      <c r="AC102" s="661">
        <f t="shared" ca="1" si="254"/>
        <v>0</v>
      </c>
      <c r="AD102" s="661">
        <f t="shared" ca="1" si="254"/>
        <v>0</v>
      </c>
      <c r="AE102" s="661">
        <f t="shared" ca="1" si="254"/>
        <v>0</v>
      </c>
      <c r="AF102" s="661">
        <f t="shared" ca="1" si="254"/>
        <v>0</v>
      </c>
      <c r="AG102" s="661">
        <f t="shared" ca="1" si="254"/>
        <v>0</v>
      </c>
      <c r="AH102" s="661">
        <f t="shared" ca="1" si="254"/>
        <v>0</v>
      </c>
      <c r="AI102" s="661">
        <f t="shared" ca="1" si="254"/>
        <v>0</v>
      </c>
      <c r="AJ102" s="661">
        <f t="shared" ca="1" si="254"/>
        <v>0</v>
      </c>
      <c r="AK102" s="661">
        <f ca="1">SUM(S102:AJ102)</f>
        <v>-0.68789578346027014</v>
      </c>
      <c r="AL102" s="6"/>
      <c r="AM102" s="609">
        <f t="shared" ref="AM102:BE102" ca="1" si="255">IFERROR(INDEX(INDIRECT($C102&amp;".Outputs["&amp;this.Year&amp;"]"), MATCH(AM$5, INDIRECT($C102&amp;".Outputs[Vector]"), 0)), 0)</f>
        <v>0</v>
      </c>
      <c r="AN102" s="609">
        <f t="shared" ca="1" si="255"/>
        <v>0</v>
      </c>
      <c r="AO102" s="609">
        <f t="shared" ca="1" si="255"/>
        <v>0</v>
      </c>
      <c r="AP102" s="609">
        <f t="shared" ca="1" si="255"/>
        <v>0</v>
      </c>
      <c r="AQ102" s="609">
        <f t="shared" ca="1" si="255"/>
        <v>0</v>
      </c>
      <c r="AR102" s="609">
        <f t="shared" ca="1" si="255"/>
        <v>0</v>
      </c>
      <c r="AS102" s="609">
        <f t="shared" ca="1" si="255"/>
        <v>0</v>
      </c>
      <c r="AT102" s="609">
        <f t="shared" ca="1" si="255"/>
        <v>0</v>
      </c>
      <c r="AU102" s="609">
        <f t="shared" ca="1" si="255"/>
        <v>0</v>
      </c>
      <c r="AV102" s="609">
        <f t="shared" ca="1" si="255"/>
        <v>0</v>
      </c>
      <c r="AW102" s="609">
        <f t="shared" ca="1" si="255"/>
        <v>0</v>
      </c>
      <c r="AX102" s="609">
        <f t="shared" ca="1" si="255"/>
        <v>0</v>
      </c>
      <c r="AY102" s="609">
        <f t="shared" ca="1" si="255"/>
        <v>0</v>
      </c>
      <c r="AZ102" s="609">
        <f t="shared" ca="1" si="255"/>
        <v>0</v>
      </c>
      <c r="BA102" s="609">
        <f t="shared" ca="1" si="255"/>
        <v>0</v>
      </c>
      <c r="BB102" s="609">
        <f t="shared" ca="1" si="255"/>
        <v>0</v>
      </c>
      <c r="BC102" s="609">
        <f t="shared" ca="1" si="255"/>
        <v>0</v>
      </c>
      <c r="BD102" s="609">
        <f t="shared" ca="1" si="255"/>
        <v>0</v>
      </c>
      <c r="BE102" s="609">
        <f t="shared" ca="1" si="25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0.68789578346026736</v>
      </c>
      <c r="BJ102" s="664">
        <f ca="1">SUM(BH102:BI102)</f>
        <v>0.68789578346026736</v>
      </c>
      <c r="BK102" s="6"/>
      <c r="BL102" s="3477">
        <f t="shared" ref="BL102:BL109" ca="1" si="256">Q102+AK102+BF102+BJ102</f>
        <v>-2.7755575615628914E-15</v>
      </c>
      <c r="BM102" s="610"/>
      <c r="BO102" s="2789">
        <f t="shared" ref="BO102:BX103" ca="1" si="257">IFERROR(SUMIFS(INDIRECT($C102&amp;".Emissions["&amp;this.Year&amp;"]"), INDIRECT($C102&amp;".Emissions[GHG]"), BO$6, INDIRECT($C102&amp;".Emissions[IPCC Sector]"), BO$5),0)</f>
        <v>0</v>
      </c>
      <c r="BP102" s="2790">
        <f t="shared" ca="1" si="257"/>
        <v>0</v>
      </c>
      <c r="BQ102" s="2790">
        <f t="shared" ca="1" si="257"/>
        <v>0</v>
      </c>
      <c r="BR102" s="2790">
        <f t="shared" ca="1" si="257"/>
        <v>0</v>
      </c>
      <c r="BS102" s="2790">
        <f t="shared" ca="1" si="257"/>
        <v>0</v>
      </c>
      <c r="BT102" s="2790">
        <f t="shared" ca="1" si="257"/>
        <v>0.02</v>
      </c>
      <c r="BU102" s="2790">
        <f t="shared" ca="1" si="257"/>
        <v>0</v>
      </c>
      <c r="BV102" s="2790">
        <f t="shared" ca="1" si="257"/>
        <v>0</v>
      </c>
      <c r="BW102" s="2790">
        <f t="shared" ca="1" si="257"/>
        <v>0</v>
      </c>
      <c r="BX102" s="2790">
        <f t="shared" ca="1" si="257"/>
        <v>0</v>
      </c>
      <c r="BY102" s="2790">
        <f t="shared" ref="BY102:CH103" ca="1" si="258">IFERROR(SUMIFS(INDIRECT($C102&amp;".Emissions["&amp;this.Year&amp;"]"), INDIRECT($C102&amp;".Emissions[GHG]"), BY$6, INDIRECT($C102&amp;".Emissions[IPCC Sector]"), BY$5),0)</f>
        <v>0</v>
      </c>
      <c r="BZ102" s="2790">
        <f t="shared" ca="1" si="258"/>
        <v>0</v>
      </c>
      <c r="CA102" s="2790">
        <f t="shared" ca="1" si="258"/>
        <v>0</v>
      </c>
      <c r="CB102" s="2790">
        <f t="shared" ca="1" si="258"/>
        <v>0</v>
      </c>
      <c r="CC102" s="2790">
        <f t="shared" ca="1" si="258"/>
        <v>0</v>
      </c>
      <c r="CD102" s="2790">
        <f t="shared" ca="1" si="258"/>
        <v>0</v>
      </c>
      <c r="CE102" s="2790">
        <f t="shared" ca="1" si="258"/>
        <v>0</v>
      </c>
      <c r="CF102" s="2790">
        <f t="shared" ca="1" si="258"/>
        <v>0</v>
      </c>
      <c r="CG102" s="2790">
        <f t="shared" ca="1" si="258"/>
        <v>0</v>
      </c>
      <c r="CH102" s="2790">
        <f t="shared" ca="1" si="258"/>
        <v>0</v>
      </c>
      <c r="CI102" s="2790">
        <f t="shared" ref="CI102:CR103" ca="1" si="259">IFERROR(SUMIFS(INDIRECT($C102&amp;".Emissions["&amp;this.Year&amp;"]"), INDIRECT($C102&amp;".Emissions[GHG]"), CI$6, INDIRECT($C102&amp;".Emissions[IPCC Sector]"), CI$5),0)</f>
        <v>0</v>
      </c>
      <c r="CJ102" s="2790">
        <f t="shared" ca="1" si="259"/>
        <v>0</v>
      </c>
      <c r="CK102" s="2790">
        <f t="shared" ca="1" si="259"/>
        <v>0</v>
      </c>
      <c r="CL102" s="2790">
        <f t="shared" ca="1" si="259"/>
        <v>0</v>
      </c>
      <c r="CM102" s="2790">
        <f t="shared" ca="1" si="259"/>
        <v>0</v>
      </c>
      <c r="CN102" s="2790">
        <f t="shared" ca="1" si="259"/>
        <v>0</v>
      </c>
      <c r="CO102" s="2790">
        <f t="shared" ca="1" si="259"/>
        <v>0</v>
      </c>
      <c r="CP102" s="2790">
        <f t="shared" ca="1" si="259"/>
        <v>0</v>
      </c>
      <c r="CQ102" s="2790">
        <f t="shared" ca="1" si="259"/>
        <v>0</v>
      </c>
      <c r="CR102" s="2790">
        <f t="shared" ca="1" si="259"/>
        <v>0</v>
      </c>
      <c r="CS102" s="2790">
        <f t="shared" ref="CS102:DF103" ca="1" si="260">IFERROR(SUMIFS(INDIRECT($C102&amp;".Emissions["&amp;this.Year&amp;"]"), INDIRECT($C102&amp;".Emissions[GHG]"), CS$6, INDIRECT($C102&amp;".Emissions[IPCC Sector]"), CS$5),0)</f>
        <v>0</v>
      </c>
      <c r="CT102" s="2790">
        <f t="shared" ca="1" si="260"/>
        <v>0</v>
      </c>
      <c r="CU102" s="2790">
        <f t="shared" ca="1" si="260"/>
        <v>0</v>
      </c>
      <c r="CV102" s="2790">
        <f t="shared" ca="1" si="260"/>
        <v>0</v>
      </c>
      <c r="CW102" s="2790">
        <f t="shared" ca="1" si="260"/>
        <v>0</v>
      </c>
      <c r="CX102" s="2790">
        <f t="shared" ca="1" si="260"/>
        <v>0</v>
      </c>
      <c r="CY102" s="2790">
        <f t="shared" ca="1" si="260"/>
        <v>0</v>
      </c>
      <c r="CZ102" s="2790">
        <f t="shared" ca="1" si="260"/>
        <v>0</v>
      </c>
      <c r="DA102" s="2790">
        <f t="shared" ca="1" si="260"/>
        <v>0</v>
      </c>
      <c r="DB102" s="2790">
        <f t="shared" ca="1" si="260"/>
        <v>0</v>
      </c>
      <c r="DC102" s="2790">
        <f t="shared" ca="1" si="260"/>
        <v>0</v>
      </c>
      <c r="DD102" s="2790">
        <f t="shared" ca="1" si="260"/>
        <v>0</v>
      </c>
      <c r="DE102" s="2790">
        <f t="shared" ca="1" si="260"/>
        <v>0</v>
      </c>
      <c r="DF102" s="2790">
        <f t="shared" ca="1" si="260"/>
        <v>0</v>
      </c>
      <c r="DH102" s="596">
        <f t="shared" ca="1" si="238"/>
        <v>0.02</v>
      </c>
    </row>
    <row r="103" spans="1:112" s="607" customFormat="1" ht="12.75" customHeight="1" outlineLevel="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0</v>
      </c>
      <c r="U103" s="711"/>
      <c r="V103" s="711"/>
      <c r="W103" s="711"/>
      <c r="X103" s="711">
        <f ca="1">-(X$40+X$84+X$93+X$99+X$102)</f>
        <v>14.602281067209798</v>
      </c>
      <c r="Y103" s="711">
        <f ca="1">-(Y$40+Y$84+Y$93+Y$99+Y$102)</f>
        <v>76.341107777431446</v>
      </c>
      <c r="Z103" s="711">
        <f ca="1">-(Z$40+Z$84+Z$93+Z$99+Z$102)</f>
        <v>46.547614680811428</v>
      </c>
      <c r="AA103" s="711"/>
      <c r="AB103" s="711"/>
      <c r="AC103" s="711"/>
      <c r="AD103" s="711"/>
      <c r="AE103" s="711"/>
      <c r="AF103" s="711"/>
      <c r="AG103" s="711"/>
      <c r="AH103" s="711"/>
      <c r="AI103" s="711"/>
      <c r="AJ103" s="711"/>
      <c r="AK103" s="711">
        <f ca="1">SUM(S103:AJ103)</f>
        <v>137.49100352545267</v>
      </c>
      <c r="AL103" s="6"/>
      <c r="AM103" s="615"/>
      <c r="AN103" s="615"/>
      <c r="AO103" s="615"/>
      <c r="AP103" s="615"/>
      <c r="AQ103" s="615">
        <f ca="1">-T103</f>
        <v>0</v>
      </c>
      <c r="AR103" s="615">
        <f>-V103</f>
        <v>0</v>
      </c>
      <c r="AS103" s="615">
        <f ca="1">-(X103)</f>
        <v>-14.602281067209798</v>
      </c>
      <c r="AT103" s="615">
        <f ca="1">-Y103</f>
        <v>-76.341107777431446</v>
      </c>
      <c r="AU103" s="615">
        <f ca="1">-Z103</f>
        <v>-46.547614680811428</v>
      </c>
      <c r="AV103" s="615"/>
      <c r="AW103" s="615"/>
      <c r="AX103" s="615"/>
      <c r="AY103" s="615"/>
      <c r="AZ103" s="615"/>
      <c r="BA103" s="615"/>
      <c r="BB103" s="615"/>
      <c r="BC103" s="615"/>
      <c r="BD103" s="615"/>
      <c r="BE103" s="615"/>
      <c r="BF103" s="615">
        <f ca="1">SUM(AM103:BE103)</f>
        <v>-137.49100352545267</v>
      </c>
      <c r="BG103" s="6"/>
      <c r="BH103" s="712"/>
      <c r="BI103" s="712"/>
      <c r="BJ103" s="712">
        <f>SUM(BH103:BI103)</f>
        <v>0</v>
      </c>
      <c r="BK103" s="6"/>
      <c r="BL103" s="3477">
        <f t="shared" ca="1" si="256"/>
        <v>0</v>
      </c>
      <c r="BM103" s="610"/>
      <c r="BO103" s="2791">
        <f t="shared" ca="1" si="257"/>
        <v>0</v>
      </c>
      <c r="BP103" s="2792">
        <f t="shared" ca="1" si="257"/>
        <v>0</v>
      </c>
      <c r="BQ103" s="2792">
        <f t="shared" ca="1" si="257"/>
        <v>0</v>
      </c>
      <c r="BR103" s="2792">
        <f t="shared" ca="1" si="257"/>
        <v>0</v>
      </c>
      <c r="BS103" s="2792">
        <f t="shared" ca="1" si="257"/>
        <v>0</v>
      </c>
      <c r="BT103" s="2792">
        <f t="shared" ca="1" si="257"/>
        <v>0</v>
      </c>
      <c r="BU103" s="2792">
        <f t="shared" ca="1" si="257"/>
        <v>0</v>
      </c>
      <c r="BV103" s="2792">
        <f t="shared" ca="1" si="257"/>
        <v>0</v>
      </c>
      <c r="BW103" s="2792">
        <f t="shared" ca="1" si="257"/>
        <v>0</v>
      </c>
      <c r="BX103" s="2792">
        <f t="shared" ca="1" si="257"/>
        <v>0</v>
      </c>
      <c r="BY103" s="2792">
        <f t="shared" ca="1" si="258"/>
        <v>0</v>
      </c>
      <c r="BZ103" s="2792">
        <f t="shared" ca="1" si="258"/>
        <v>0</v>
      </c>
      <c r="CA103" s="2792">
        <f t="shared" ca="1" si="258"/>
        <v>0</v>
      </c>
      <c r="CB103" s="2792">
        <f t="shared" ca="1" si="258"/>
        <v>0</v>
      </c>
      <c r="CC103" s="2792">
        <f t="shared" ca="1" si="258"/>
        <v>0</v>
      </c>
      <c r="CD103" s="2792">
        <f t="shared" ca="1" si="258"/>
        <v>0</v>
      </c>
      <c r="CE103" s="2792">
        <f t="shared" ca="1" si="258"/>
        <v>0</v>
      </c>
      <c r="CF103" s="2792">
        <f t="shared" ca="1" si="258"/>
        <v>0</v>
      </c>
      <c r="CG103" s="2792">
        <f t="shared" ca="1" si="258"/>
        <v>0</v>
      </c>
      <c r="CH103" s="2792">
        <f t="shared" ca="1" si="258"/>
        <v>0</v>
      </c>
      <c r="CI103" s="2792">
        <f t="shared" ca="1" si="259"/>
        <v>0</v>
      </c>
      <c r="CJ103" s="2792">
        <f t="shared" ca="1" si="259"/>
        <v>0</v>
      </c>
      <c r="CK103" s="2792">
        <f t="shared" ca="1" si="259"/>
        <v>0</v>
      </c>
      <c r="CL103" s="2792">
        <f t="shared" ca="1" si="259"/>
        <v>0</v>
      </c>
      <c r="CM103" s="2792">
        <f t="shared" ca="1" si="259"/>
        <v>0</v>
      </c>
      <c r="CN103" s="2792">
        <f t="shared" ca="1" si="259"/>
        <v>0</v>
      </c>
      <c r="CO103" s="2792">
        <f t="shared" ca="1" si="259"/>
        <v>0</v>
      </c>
      <c r="CP103" s="2792">
        <f t="shared" ca="1" si="259"/>
        <v>0</v>
      </c>
      <c r="CQ103" s="2792">
        <f t="shared" ca="1" si="259"/>
        <v>0</v>
      </c>
      <c r="CR103" s="2792">
        <f t="shared" ca="1" si="259"/>
        <v>0</v>
      </c>
      <c r="CS103" s="2792">
        <f t="shared" ca="1" si="260"/>
        <v>0</v>
      </c>
      <c r="CT103" s="2792">
        <f t="shared" ca="1" si="260"/>
        <v>0</v>
      </c>
      <c r="CU103" s="2792">
        <f t="shared" ca="1" si="260"/>
        <v>0</v>
      </c>
      <c r="CV103" s="2792">
        <f t="shared" ca="1" si="260"/>
        <v>0</v>
      </c>
      <c r="CW103" s="2792">
        <f t="shared" ca="1" si="260"/>
        <v>0</v>
      </c>
      <c r="CX103" s="2792">
        <f t="shared" ca="1" si="260"/>
        <v>0</v>
      </c>
      <c r="CY103" s="2792">
        <f t="shared" ca="1" si="260"/>
        <v>0</v>
      </c>
      <c r="CZ103" s="2792">
        <f t="shared" ca="1" si="260"/>
        <v>0</v>
      </c>
      <c r="DA103" s="2792">
        <f t="shared" ca="1" si="260"/>
        <v>0</v>
      </c>
      <c r="DB103" s="2792">
        <f t="shared" ca="1" si="260"/>
        <v>0</v>
      </c>
      <c r="DC103" s="2792">
        <f t="shared" ca="1" si="260"/>
        <v>0</v>
      </c>
      <c r="DD103" s="2792">
        <f t="shared" ca="1" si="260"/>
        <v>0</v>
      </c>
      <c r="DE103" s="2792">
        <f t="shared" ca="1" si="260"/>
        <v>0</v>
      </c>
      <c r="DF103" s="2792">
        <f t="shared" ca="1" si="260"/>
        <v>0</v>
      </c>
      <c r="DH103" s="596">
        <f t="shared" ca="1" si="238"/>
        <v>0</v>
      </c>
    </row>
    <row r="104" spans="1:112" s="6" customFormat="1" ht="15.75">
      <c r="B104" s="3" t="s">
        <v>585</v>
      </c>
      <c r="C104" s="629" t="s">
        <v>588</v>
      </c>
      <c r="D104" s="617" t="s">
        <v>589</v>
      </c>
      <c r="E104" s="519"/>
      <c r="G104" s="618">
        <f t="shared" ref="G104:P104" ca="1" si="261">SUM(G102:G103)</f>
        <v>0</v>
      </c>
      <c r="H104" s="618">
        <f t="shared" ca="1" si="261"/>
        <v>0</v>
      </c>
      <c r="I104" s="618">
        <f t="shared" ca="1" si="261"/>
        <v>0</v>
      </c>
      <c r="J104" s="618">
        <f t="shared" ca="1" si="261"/>
        <v>0</v>
      </c>
      <c r="K104" s="618">
        <f t="shared" ca="1" si="261"/>
        <v>0</v>
      </c>
      <c r="L104" s="618">
        <f t="shared" ca="1" si="261"/>
        <v>0</v>
      </c>
      <c r="M104" s="618">
        <f t="shared" ca="1" si="261"/>
        <v>0</v>
      </c>
      <c r="N104" s="618">
        <f t="shared" ca="1" si="261"/>
        <v>0</v>
      </c>
      <c r="O104" s="618">
        <f t="shared" ca="1" si="261"/>
        <v>0</v>
      </c>
      <c r="P104" s="618">
        <f t="shared" ca="1" si="261"/>
        <v>0</v>
      </c>
      <c r="Q104" s="618">
        <f ca="1">SUM(G104:P104)</f>
        <v>0</v>
      </c>
      <c r="S104" s="581">
        <f t="shared" ref="S104:AJ104" ca="1" si="262">SUM(S102:S103)</f>
        <v>0</v>
      </c>
      <c r="T104" s="581">
        <f t="shared" ca="1" si="262"/>
        <v>0</v>
      </c>
      <c r="U104" s="581">
        <f t="shared" ca="1" si="262"/>
        <v>23.066030448009798</v>
      </c>
      <c r="V104" s="581">
        <f t="shared" ca="1" si="262"/>
        <v>76.341107777431446</v>
      </c>
      <c r="W104" s="581">
        <f t="shared" ca="1" si="262"/>
        <v>45.859718897351158</v>
      </c>
      <c r="X104" s="581">
        <f t="shared" ca="1" si="262"/>
        <v>-8.4637493807999995</v>
      </c>
      <c r="Y104" s="581">
        <f t="shared" ca="1" si="262"/>
        <v>0</v>
      </c>
      <c r="Z104" s="581">
        <f t="shared" ca="1" si="262"/>
        <v>0</v>
      </c>
      <c r="AA104" s="581">
        <f t="shared" ca="1" si="262"/>
        <v>0</v>
      </c>
      <c r="AB104" s="581">
        <f t="shared" ca="1" si="262"/>
        <v>0</v>
      </c>
      <c r="AC104" s="581">
        <f t="shared" ca="1" si="262"/>
        <v>0</v>
      </c>
      <c r="AD104" s="581">
        <f t="shared" ca="1" si="262"/>
        <v>0</v>
      </c>
      <c r="AE104" s="581">
        <f ca="1">SUM(AE102:AE103)</f>
        <v>0</v>
      </c>
      <c r="AF104" s="581">
        <f t="shared" ca="1" si="262"/>
        <v>0</v>
      </c>
      <c r="AG104" s="581">
        <f t="shared" ca="1" si="262"/>
        <v>0</v>
      </c>
      <c r="AH104" s="581">
        <f ca="1">SUM(AH102:AH103)</f>
        <v>0</v>
      </c>
      <c r="AI104" s="581">
        <f t="shared" ca="1" si="262"/>
        <v>0</v>
      </c>
      <c r="AJ104" s="581">
        <f t="shared" ca="1" si="262"/>
        <v>0</v>
      </c>
      <c r="AK104" s="581">
        <f ca="1">SUM(S104:AJ104)</f>
        <v>136.80310774199239</v>
      </c>
      <c r="AM104" s="582">
        <f t="shared" ref="AM104:BE104" ca="1" si="263">SUM(AM102:AM103)</f>
        <v>0</v>
      </c>
      <c r="AN104" s="582">
        <f t="shared" ca="1" si="263"/>
        <v>0</v>
      </c>
      <c r="AO104" s="582">
        <f t="shared" ca="1" si="263"/>
        <v>0</v>
      </c>
      <c r="AP104" s="582">
        <f t="shared" ca="1" si="263"/>
        <v>0</v>
      </c>
      <c r="AQ104" s="582">
        <f t="shared" ca="1" si="263"/>
        <v>0</v>
      </c>
      <c r="AR104" s="582">
        <f t="shared" ca="1" si="263"/>
        <v>0</v>
      </c>
      <c r="AS104" s="582">
        <f ca="1">SUM(AS102:AS103)</f>
        <v>-14.602281067209798</v>
      </c>
      <c r="AT104" s="582">
        <f t="shared" ca="1" si="263"/>
        <v>-76.341107777431446</v>
      </c>
      <c r="AU104" s="582">
        <f t="shared" ca="1" si="263"/>
        <v>-46.547614680811428</v>
      </c>
      <c r="AV104" s="582">
        <f t="shared" ca="1" si="263"/>
        <v>0</v>
      </c>
      <c r="AW104" s="582">
        <f t="shared" ca="1" si="263"/>
        <v>0</v>
      </c>
      <c r="AX104" s="582">
        <f t="shared" ca="1" si="263"/>
        <v>0</v>
      </c>
      <c r="AY104" s="582">
        <f t="shared" ca="1" si="263"/>
        <v>0</v>
      </c>
      <c r="AZ104" s="582">
        <f t="shared" ca="1" si="263"/>
        <v>0</v>
      </c>
      <c r="BA104" s="582">
        <f t="shared" ca="1" si="263"/>
        <v>0</v>
      </c>
      <c r="BB104" s="582">
        <f t="shared" ca="1" si="263"/>
        <v>0</v>
      </c>
      <c r="BC104" s="582">
        <f t="shared" ca="1" si="263"/>
        <v>0</v>
      </c>
      <c r="BD104" s="582">
        <f t="shared" ca="1" si="263"/>
        <v>0</v>
      </c>
      <c r="BE104" s="582">
        <f t="shared" ca="1" si="263"/>
        <v>0</v>
      </c>
      <c r="BF104" s="582">
        <f ca="1">SUM(AM104:BE104)</f>
        <v>-137.49100352545267</v>
      </c>
      <c r="BH104" s="3463">
        <f ca="1">SUM(BH102:BH103)</f>
        <v>0</v>
      </c>
      <c r="BI104" s="3463">
        <f ca="1">SUM(BI102:BI103)</f>
        <v>0.68789578346026736</v>
      </c>
      <c r="BJ104" s="3463">
        <f ca="1">SUM(BH104:BI104)</f>
        <v>0.68789578346026736</v>
      </c>
      <c r="BL104" s="3477">
        <f t="shared" ca="1" si="256"/>
        <v>-9.8809849191638932E-15</v>
      </c>
      <c r="BM104" s="584"/>
      <c r="BN104" s="413"/>
      <c r="BO104" s="2790">
        <f t="shared" ref="BO104:DF104" ca="1" si="264">SUM(BO102:BO103)</f>
        <v>0</v>
      </c>
      <c r="BP104" s="2790">
        <f t="shared" ca="1" si="264"/>
        <v>0</v>
      </c>
      <c r="BQ104" s="2790">
        <f t="shared" ca="1" si="264"/>
        <v>0</v>
      </c>
      <c r="BR104" s="2790">
        <f t="shared" ca="1" si="264"/>
        <v>0</v>
      </c>
      <c r="BS104" s="2790">
        <f t="shared" ca="1" si="264"/>
        <v>0</v>
      </c>
      <c r="BT104" s="2790">
        <f t="shared" ca="1" si="264"/>
        <v>0.02</v>
      </c>
      <c r="BU104" s="2790">
        <f t="shared" ca="1" si="264"/>
        <v>0</v>
      </c>
      <c r="BV104" s="2790">
        <f t="shared" ca="1" si="264"/>
        <v>0</v>
      </c>
      <c r="BW104" s="2790">
        <f t="shared" ca="1" si="264"/>
        <v>0</v>
      </c>
      <c r="BX104" s="2790">
        <f t="shared" ca="1" si="264"/>
        <v>0</v>
      </c>
      <c r="BY104" s="2790">
        <f t="shared" ca="1" si="264"/>
        <v>0</v>
      </c>
      <c r="BZ104" s="2790">
        <f t="shared" ca="1" si="264"/>
        <v>0</v>
      </c>
      <c r="CA104" s="2790">
        <f t="shared" ca="1" si="264"/>
        <v>0</v>
      </c>
      <c r="CB104" s="2790">
        <f t="shared" ca="1" si="264"/>
        <v>0</v>
      </c>
      <c r="CC104" s="2790">
        <f t="shared" ca="1" si="264"/>
        <v>0</v>
      </c>
      <c r="CD104" s="2790">
        <f t="shared" ca="1" si="264"/>
        <v>0</v>
      </c>
      <c r="CE104" s="2790">
        <f t="shared" ca="1" si="264"/>
        <v>0</v>
      </c>
      <c r="CF104" s="2790">
        <f t="shared" ca="1" si="264"/>
        <v>0</v>
      </c>
      <c r="CG104" s="2790">
        <f t="shared" ca="1" si="264"/>
        <v>0</v>
      </c>
      <c r="CH104" s="2790">
        <f t="shared" ca="1" si="264"/>
        <v>0</v>
      </c>
      <c r="CI104" s="2790">
        <f t="shared" ca="1" si="264"/>
        <v>0</v>
      </c>
      <c r="CJ104" s="2790">
        <f t="shared" ca="1" si="264"/>
        <v>0</v>
      </c>
      <c r="CK104" s="2790">
        <f t="shared" ca="1" si="264"/>
        <v>0</v>
      </c>
      <c r="CL104" s="2790">
        <f t="shared" ca="1" si="264"/>
        <v>0</v>
      </c>
      <c r="CM104" s="2790">
        <f t="shared" ca="1" si="264"/>
        <v>0</v>
      </c>
      <c r="CN104" s="2790">
        <f t="shared" ca="1" si="264"/>
        <v>0</v>
      </c>
      <c r="CO104" s="2790">
        <f t="shared" ca="1" si="264"/>
        <v>0</v>
      </c>
      <c r="CP104" s="2790">
        <f t="shared" ca="1" si="264"/>
        <v>0</v>
      </c>
      <c r="CQ104" s="2790">
        <f t="shared" ca="1" si="264"/>
        <v>0</v>
      </c>
      <c r="CR104" s="2790">
        <f t="shared" ca="1" si="264"/>
        <v>0</v>
      </c>
      <c r="CS104" s="2790">
        <f t="shared" ca="1" si="264"/>
        <v>0</v>
      </c>
      <c r="CT104" s="2790">
        <f t="shared" ca="1" si="264"/>
        <v>0</v>
      </c>
      <c r="CU104" s="2790">
        <f t="shared" ca="1" si="264"/>
        <v>0</v>
      </c>
      <c r="CV104" s="2790">
        <f t="shared" ca="1" si="264"/>
        <v>0</v>
      </c>
      <c r="CW104" s="2790">
        <f t="shared" ca="1" si="264"/>
        <v>0</v>
      </c>
      <c r="CX104" s="2790">
        <f t="shared" ca="1" si="264"/>
        <v>0</v>
      </c>
      <c r="CY104" s="2790">
        <f t="shared" ca="1" si="264"/>
        <v>0</v>
      </c>
      <c r="CZ104" s="2790">
        <f t="shared" ca="1" si="264"/>
        <v>0</v>
      </c>
      <c r="DA104" s="2790">
        <f t="shared" ca="1" si="264"/>
        <v>0</v>
      </c>
      <c r="DB104" s="2790">
        <f t="shared" ca="1" si="264"/>
        <v>0</v>
      </c>
      <c r="DC104" s="2790">
        <f t="shared" ca="1" si="264"/>
        <v>0</v>
      </c>
      <c r="DD104" s="2790">
        <f t="shared" ca="1" si="264"/>
        <v>0</v>
      </c>
      <c r="DE104" s="2790">
        <f t="shared" ca="1" si="264"/>
        <v>0</v>
      </c>
      <c r="DF104" s="2790">
        <f t="shared" ca="1" si="264"/>
        <v>0</v>
      </c>
      <c r="DH104" s="596">
        <f t="shared" ca="1" si="238"/>
        <v>0.02</v>
      </c>
    </row>
    <row r="105" spans="1:112" s="6" customFormat="1" ht="6" customHeigh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5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65">G$93+G$99+G$104</f>
        <v>0</v>
      </c>
      <c r="H106" s="680">
        <f t="shared" ca="1" si="265"/>
        <v>0</v>
      </c>
      <c r="I106" s="680">
        <f t="shared" ca="1" si="265"/>
        <v>0</v>
      </c>
      <c r="J106" s="680">
        <f t="shared" ca="1" si="265"/>
        <v>0</v>
      </c>
      <c r="K106" s="681">
        <f t="shared" ca="1" si="265"/>
        <v>0</v>
      </c>
      <c r="L106" s="680">
        <f t="shared" ca="1" si="265"/>
        <v>0</v>
      </c>
      <c r="M106" s="680">
        <f t="shared" ca="1" si="265"/>
        <v>0</v>
      </c>
      <c r="N106" s="680">
        <f t="shared" ca="1" si="265"/>
        <v>0</v>
      </c>
      <c r="O106" s="680">
        <f t="shared" ca="1" si="265"/>
        <v>0</v>
      </c>
      <c r="P106" s="680">
        <f t="shared" ca="1" si="265"/>
        <v>0</v>
      </c>
      <c r="Q106" s="633">
        <f ca="1">SUM(G106:P106)</f>
        <v>0</v>
      </c>
      <c r="S106" s="634">
        <f t="shared" ref="S106:AJ106" ca="1" si="266">S$93+S$99+S$104</f>
        <v>0</v>
      </c>
      <c r="T106" s="634">
        <f t="shared" ca="1" si="266"/>
        <v>-0.85262230759339275</v>
      </c>
      <c r="U106" s="634">
        <f t="shared" ca="1" si="266"/>
        <v>23.785388252829463</v>
      </c>
      <c r="V106" s="634">
        <f t="shared" ca="1" si="266"/>
        <v>77.30436277743145</v>
      </c>
      <c r="W106" s="634">
        <f t="shared" ca="1" si="266"/>
        <v>45.961480320791573</v>
      </c>
      <c r="X106" s="634">
        <f t="shared" ca="1" si="266"/>
        <v>-8.4637493807999995</v>
      </c>
      <c r="Y106" s="634">
        <f t="shared" ca="1" si="266"/>
        <v>0</v>
      </c>
      <c r="Z106" s="634">
        <f t="shared" ca="1" si="266"/>
        <v>0</v>
      </c>
      <c r="AA106" s="634">
        <f t="shared" ca="1" si="266"/>
        <v>0</v>
      </c>
      <c r="AB106" s="634">
        <f t="shared" ca="1" si="266"/>
        <v>0</v>
      </c>
      <c r="AC106" s="634">
        <f t="shared" ca="1" si="266"/>
        <v>0</v>
      </c>
      <c r="AD106" s="634">
        <f t="shared" ca="1" si="266"/>
        <v>-0.16958333333333334</v>
      </c>
      <c r="AE106" s="634">
        <f t="shared" ca="1" si="266"/>
        <v>-0.14350000000000002</v>
      </c>
      <c r="AF106" s="634">
        <f t="shared" ca="1" si="266"/>
        <v>-0.4334068201700001</v>
      </c>
      <c r="AG106" s="634">
        <f t="shared" ca="1" si="266"/>
        <v>-0.1469939508333333</v>
      </c>
      <c r="AH106" s="634">
        <f t="shared" ca="1" si="266"/>
        <v>-0.11749909065550901</v>
      </c>
      <c r="AI106" s="634">
        <f t="shared" ca="1" si="266"/>
        <v>0</v>
      </c>
      <c r="AJ106" s="634">
        <f t="shared" ca="1" si="266"/>
        <v>0</v>
      </c>
      <c r="AK106" s="634">
        <f ca="1">SUM(S106:AJ106)</f>
        <v>136.72387646766694</v>
      </c>
      <c r="AM106" s="635">
        <f t="shared" ref="AM106:BE106" ca="1" si="267">AM$93+AM$99+AM$104</f>
        <v>0</v>
      </c>
      <c r="AN106" s="635">
        <f t="shared" ca="1" si="267"/>
        <v>0</v>
      </c>
      <c r="AO106" s="635">
        <f t="shared" ca="1" si="267"/>
        <v>0</v>
      </c>
      <c r="AP106" s="635">
        <f t="shared" ca="1" si="267"/>
        <v>-1.0954366666666666</v>
      </c>
      <c r="AQ106" s="635">
        <f t="shared" ca="1" si="267"/>
        <v>-2.5</v>
      </c>
      <c r="AR106" s="635">
        <f t="shared" ca="1" si="267"/>
        <v>0</v>
      </c>
      <c r="AS106" s="635">
        <f t="shared" ca="1" si="267"/>
        <v>-14.602281067209798</v>
      </c>
      <c r="AT106" s="635">
        <f t="shared" ca="1" si="267"/>
        <v>-76.341107777431446</v>
      </c>
      <c r="AU106" s="635">
        <f t="shared" ca="1" si="267"/>
        <v>-46.547614680811428</v>
      </c>
      <c r="AV106" s="635">
        <f t="shared" ca="1" si="267"/>
        <v>0</v>
      </c>
      <c r="AW106" s="635">
        <f t="shared" ca="1" si="267"/>
        <v>0</v>
      </c>
      <c r="AX106" s="635">
        <f t="shared" ca="1" si="267"/>
        <v>0</v>
      </c>
      <c r="AY106" s="635">
        <f t="shared" ca="1" si="267"/>
        <v>0</v>
      </c>
      <c r="AZ106" s="635">
        <f t="shared" ca="1" si="267"/>
        <v>0</v>
      </c>
      <c r="BA106" s="635">
        <f t="shared" ca="1" si="267"/>
        <v>0</v>
      </c>
      <c r="BB106" s="635">
        <f t="shared" ca="1" si="267"/>
        <v>0</v>
      </c>
      <c r="BC106" s="635">
        <f t="shared" ca="1" si="267"/>
        <v>0</v>
      </c>
      <c r="BD106" s="635">
        <f t="shared" ca="1" si="267"/>
        <v>0</v>
      </c>
      <c r="BE106" s="635">
        <f t="shared" ca="1" si="267"/>
        <v>0</v>
      </c>
      <c r="BF106" s="635">
        <f ca="1">SUM(AM106:BE106)</f>
        <v>-141.08644019211934</v>
      </c>
      <c r="BH106" s="3464">
        <f ca="1">BH$93+BH$99+BH$104</f>
        <v>0.27165238126272484</v>
      </c>
      <c r="BI106" s="3464">
        <f ca="1">BI$93+BI$99+BI$104</f>
        <v>4.0909113431897008</v>
      </c>
      <c r="BJ106" s="3464">
        <f ca="1">SUM(BH106:BI106)</f>
        <v>4.3625637244524258</v>
      </c>
      <c r="BL106" s="3478">
        <f t="shared" ca="1" si="256"/>
        <v>2.5757174171303632E-14</v>
      </c>
      <c r="BM106" s="636"/>
      <c r="BO106" s="2793">
        <f t="shared" ref="BO106:DE106" ca="1" si="268">BO$93+BO$99+BO$104</f>
        <v>2.5791417622981084E-2</v>
      </c>
      <c r="BP106" s="2793">
        <f t="shared" ca="1" si="268"/>
        <v>9.5243246537113416E-6</v>
      </c>
      <c r="BQ106" s="2793">
        <f t="shared" ca="1" si="268"/>
        <v>4.0773180303269019E-4</v>
      </c>
      <c r="BR106" s="2793">
        <f t="shared" ca="1" si="268"/>
        <v>0</v>
      </c>
      <c r="BS106" s="2793">
        <f t="shared" ca="1" si="268"/>
        <v>0</v>
      </c>
      <c r="BT106" s="2793">
        <f t="shared" ca="1" si="268"/>
        <v>0.02</v>
      </c>
      <c r="BU106" s="2793">
        <f t="shared" ca="1" si="268"/>
        <v>0</v>
      </c>
      <c r="BV106" s="2793">
        <f t="shared" ca="1" si="268"/>
        <v>0</v>
      </c>
      <c r="BW106" s="2793">
        <f t="shared" ca="1" si="268"/>
        <v>0</v>
      </c>
      <c r="BX106" s="2793">
        <f t="shared" ca="1" si="268"/>
        <v>0</v>
      </c>
      <c r="BY106" s="2793">
        <f t="shared" ca="1" si="268"/>
        <v>0</v>
      </c>
      <c r="BZ106" s="2793">
        <f t="shared" ca="1" si="268"/>
        <v>0</v>
      </c>
      <c r="CA106" s="2793">
        <f t="shared" ca="1" si="268"/>
        <v>0</v>
      </c>
      <c r="CB106" s="2793">
        <f t="shared" ca="1" si="268"/>
        <v>0</v>
      </c>
      <c r="CC106" s="2793">
        <f t="shared" ca="1" si="268"/>
        <v>0</v>
      </c>
      <c r="CD106" s="2793">
        <f t="shared" ca="1" si="268"/>
        <v>0</v>
      </c>
      <c r="CE106" s="2793">
        <f t="shared" ca="1" si="268"/>
        <v>0</v>
      </c>
      <c r="CF106" s="2793">
        <f t="shared" ca="1" si="268"/>
        <v>0</v>
      </c>
      <c r="CG106" s="2793">
        <f t="shared" ca="1" si="268"/>
        <v>0</v>
      </c>
      <c r="CH106" s="2793">
        <f t="shared" ca="1" si="268"/>
        <v>0</v>
      </c>
      <c r="CI106" s="2793">
        <f t="shared" ca="1" si="268"/>
        <v>0</v>
      </c>
      <c r="CJ106" s="2793">
        <f t="shared" ca="1" si="268"/>
        <v>0</v>
      </c>
      <c r="CK106" s="2793">
        <f t="shared" ca="1" si="268"/>
        <v>0</v>
      </c>
      <c r="CL106" s="2793">
        <f t="shared" ca="1" si="268"/>
        <v>0</v>
      </c>
      <c r="CM106" s="2793">
        <f t="shared" ca="1" si="268"/>
        <v>0</v>
      </c>
      <c r="CN106" s="2793">
        <f t="shared" ca="1" si="268"/>
        <v>0</v>
      </c>
      <c r="CO106" s="2793">
        <f t="shared" ca="1" si="268"/>
        <v>0</v>
      </c>
      <c r="CP106" s="2793">
        <f t="shared" ca="1" si="268"/>
        <v>0</v>
      </c>
      <c r="CQ106" s="2793">
        <f t="shared" ca="1" si="268"/>
        <v>0</v>
      </c>
      <c r="CR106" s="2793">
        <f t="shared" ca="1" si="268"/>
        <v>0</v>
      </c>
      <c r="CS106" s="2793">
        <f t="shared" ca="1" si="268"/>
        <v>0</v>
      </c>
      <c r="CT106" s="2793">
        <f t="shared" ca="1" si="268"/>
        <v>0</v>
      </c>
      <c r="CU106" s="2793">
        <f t="shared" ca="1" si="268"/>
        <v>0</v>
      </c>
      <c r="CV106" s="2793">
        <f t="shared" ca="1" si="268"/>
        <v>0</v>
      </c>
      <c r="CW106" s="2793">
        <f t="shared" ca="1" si="268"/>
        <v>0</v>
      </c>
      <c r="CX106" s="2793">
        <f t="shared" ca="1" si="268"/>
        <v>0</v>
      </c>
      <c r="CY106" s="2793">
        <f t="shared" ca="1" si="268"/>
        <v>-0.54367917626535778</v>
      </c>
      <c r="CZ106" s="2793">
        <f t="shared" ca="1" si="268"/>
        <v>0</v>
      </c>
      <c r="DA106" s="2793">
        <f t="shared" ca="1" si="268"/>
        <v>0</v>
      </c>
      <c r="DB106" s="2793">
        <f t="shared" ca="1" si="268"/>
        <v>0</v>
      </c>
      <c r="DC106" s="2793">
        <f t="shared" ca="1" si="268"/>
        <v>0</v>
      </c>
      <c r="DD106" s="2793">
        <f t="shared" ca="1" si="268"/>
        <v>0</v>
      </c>
      <c r="DE106" s="2793">
        <f t="shared" ca="1" si="268"/>
        <v>0</v>
      </c>
      <c r="DF106" s="2793">
        <f ca="1">DF$93+DF$104</f>
        <v>0</v>
      </c>
      <c r="DH106" s="637">
        <f ca="1">SUM(BO106:DF106)</f>
        <v>-0.49747050251469027</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5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5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24" customHeight="1" thickBot="1">
      <c r="C109" s="713" t="s">
        <v>592</v>
      </c>
      <c r="D109" s="713"/>
      <c r="E109" s="713"/>
      <c r="G109" s="714">
        <f t="shared" ref="G109:P109" ca="1" si="269">G$40+G$84+G$106</f>
        <v>36.980937210387133</v>
      </c>
      <c r="H109" s="714">
        <f t="shared" ca="1" si="269"/>
        <v>9.9881098435378739</v>
      </c>
      <c r="I109" s="714">
        <f t="shared" ca="1" si="269"/>
        <v>28.675543224779016</v>
      </c>
      <c r="J109" s="714">
        <f t="shared" ca="1" si="269"/>
        <v>38.777720899243057</v>
      </c>
      <c r="K109" s="714">
        <f t="shared" ca="1" si="269"/>
        <v>0.3939854936866376</v>
      </c>
      <c r="L109" s="714">
        <f t="shared" ca="1" si="269"/>
        <v>2.7179785187540276E-2</v>
      </c>
      <c r="M109" s="714">
        <f t="shared" ca="1" si="269"/>
        <v>0.66</v>
      </c>
      <c r="N109" s="714">
        <f t="shared" ca="1" si="269"/>
        <v>7.02</v>
      </c>
      <c r="O109" s="714">
        <f t="shared" ca="1" si="269"/>
        <v>0</v>
      </c>
      <c r="P109" s="714">
        <f t="shared" ca="1" si="269"/>
        <v>0</v>
      </c>
      <c r="Q109" s="714">
        <f ca="1">SUM(G109:P109)</f>
        <v>122.52347645682126</v>
      </c>
      <c r="S109" s="715">
        <f t="shared" ref="S109:AJ109" ca="1" si="270">S$40+S$84+S$106</f>
        <v>-23.472851618681876</v>
      </c>
      <c r="T109" s="715">
        <f t="shared" ca="1" si="270"/>
        <v>23.472851618681876</v>
      </c>
      <c r="U109" s="715">
        <f t="shared" ca="1" si="270"/>
        <v>0</v>
      </c>
      <c r="V109" s="715">
        <f t="shared" ca="1" si="270"/>
        <v>0</v>
      </c>
      <c r="W109" s="715">
        <f t="shared" ca="1" si="270"/>
        <v>0</v>
      </c>
      <c r="X109" s="715">
        <f t="shared" ca="1" si="270"/>
        <v>0</v>
      </c>
      <c r="Y109" s="715">
        <f t="shared" ca="1" si="270"/>
        <v>0</v>
      </c>
      <c r="Z109" s="715">
        <f t="shared" ca="1" si="270"/>
        <v>0</v>
      </c>
      <c r="AA109" s="715">
        <f t="shared" ca="1" si="270"/>
        <v>0</v>
      </c>
      <c r="AB109" s="715">
        <f t="shared" ca="1" si="270"/>
        <v>0</v>
      </c>
      <c r="AC109" s="715">
        <f t="shared" ca="1" si="270"/>
        <v>0</v>
      </c>
      <c r="AD109" s="715">
        <f t="shared" ca="1" si="270"/>
        <v>0</v>
      </c>
      <c r="AE109" s="715">
        <f t="shared" ca="1" si="270"/>
        <v>0</v>
      </c>
      <c r="AF109" s="715">
        <f t="shared" ca="1" si="270"/>
        <v>0</v>
      </c>
      <c r="AG109" s="715">
        <f t="shared" ca="1" si="270"/>
        <v>0</v>
      </c>
      <c r="AH109" s="715">
        <f t="shared" ca="1" si="270"/>
        <v>0</v>
      </c>
      <c r="AI109" s="715">
        <f t="shared" ca="1" si="270"/>
        <v>0</v>
      </c>
      <c r="AJ109" s="715">
        <f t="shared" ca="1" si="270"/>
        <v>0</v>
      </c>
      <c r="AK109" s="715">
        <f ca="1">SUM(S109:AJ109)</f>
        <v>0</v>
      </c>
      <c r="AM109" s="716">
        <f t="shared" ref="AM109:BE109" ca="1" si="271">AM$40+AM$84+AM$106</f>
        <v>-8.4</v>
      </c>
      <c r="AN109" s="716">
        <f t="shared" ca="1" si="271"/>
        <v>0</v>
      </c>
      <c r="AO109" s="716">
        <f t="shared" ca="1" si="271"/>
        <v>0</v>
      </c>
      <c r="AP109" s="716">
        <f t="shared" ca="1" si="271"/>
        <v>-1.0954366666666666</v>
      </c>
      <c r="AQ109" s="716">
        <f t="shared" ca="1" si="271"/>
        <v>-2.5</v>
      </c>
      <c r="AR109" s="716">
        <f t="shared" ca="1" si="271"/>
        <v>0</v>
      </c>
      <c r="AS109" s="716">
        <f t="shared" ca="1" si="271"/>
        <v>-14.602281067209798</v>
      </c>
      <c r="AT109" s="716">
        <f t="shared" ca="1" si="271"/>
        <v>-76.341107777431446</v>
      </c>
      <c r="AU109" s="716">
        <f t="shared" ca="1" si="271"/>
        <v>-46.547614680811428</v>
      </c>
      <c r="AV109" s="716">
        <f t="shared" ca="1" si="271"/>
        <v>0</v>
      </c>
      <c r="AW109" s="716">
        <f t="shared" ca="1" si="271"/>
        <v>-4.1054887428987621E-2</v>
      </c>
      <c r="AX109" s="716">
        <f t="shared" ca="1" si="271"/>
        <v>-4.5013410000000009</v>
      </c>
      <c r="AY109" s="716">
        <f t="shared" ca="1" si="271"/>
        <v>0</v>
      </c>
      <c r="AZ109" s="716">
        <f t="shared" ca="1" si="271"/>
        <v>0</v>
      </c>
      <c r="BA109" s="716">
        <f t="shared" ca="1" si="271"/>
        <v>0</v>
      </c>
      <c r="BB109" s="716">
        <f t="shared" ca="1" si="271"/>
        <v>-0.74791511999999993</v>
      </c>
      <c r="BC109" s="716">
        <f t="shared" ca="1" si="271"/>
        <v>-0.11119904983501781</v>
      </c>
      <c r="BD109" s="716">
        <f t="shared" ca="1" si="271"/>
        <v>-0.31308333333333338</v>
      </c>
      <c r="BE109" s="716">
        <f t="shared" ca="1" si="271"/>
        <v>-0.76164924245884236</v>
      </c>
      <c r="BF109" s="716">
        <f ca="1">SUM(AM109:BE109)</f>
        <v>-155.96268282517553</v>
      </c>
      <c r="BH109" s="3469">
        <f ca="1">BH$40+BH$84+BH$106</f>
        <v>26.603041971575923</v>
      </c>
      <c r="BI109" s="3469">
        <f ca="1">BI$40+BI$84+BI$106</f>
        <v>6.8362632406441914</v>
      </c>
      <c r="BJ109" s="3469">
        <f ca="1">SUM(BH109:BI109)</f>
        <v>33.439305212220113</v>
      </c>
      <c r="BL109" s="3479">
        <f t="shared" ca="1" si="256"/>
        <v>9.8843865835362976E-5</v>
      </c>
      <c r="BM109" s="577"/>
      <c r="BO109" s="2798">
        <f t="shared" ref="BO109:DF109" ca="1" si="272">BO$40+BO$84+BO$106</f>
        <v>36.346370718717196</v>
      </c>
      <c r="BP109" s="2798">
        <f t="shared" ca="1" si="272"/>
        <v>2.0788276444039477E-2</v>
      </c>
      <c r="BQ109" s="2798">
        <f t="shared" ca="1" si="272"/>
        <v>0.21058267362157732</v>
      </c>
      <c r="BR109" s="2798">
        <f t="shared" ca="1" si="272"/>
        <v>0</v>
      </c>
      <c r="BS109" s="2798">
        <f t="shared" ca="1" si="272"/>
        <v>0</v>
      </c>
      <c r="BT109" s="2798">
        <f t="shared" ca="1" si="272"/>
        <v>0.02</v>
      </c>
      <c r="BU109" s="2798">
        <f t="shared" ca="1" si="272"/>
        <v>0</v>
      </c>
      <c r="BV109" s="2798">
        <f t="shared" ca="1" si="272"/>
        <v>0</v>
      </c>
      <c r="BW109" s="2798">
        <f t="shared" ca="1" si="272"/>
        <v>1.39</v>
      </c>
      <c r="BX109" s="2798">
        <f t="shared" ca="1" si="272"/>
        <v>0</v>
      </c>
      <c r="BY109" s="2798">
        <f t="shared" ca="1" si="272"/>
        <v>0</v>
      </c>
      <c r="BZ109" s="2798">
        <f t="shared" ca="1" si="272"/>
        <v>1.03</v>
      </c>
      <c r="CA109" s="2798">
        <f t="shared" ca="1" si="272"/>
        <v>0</v>
      </c>
      <c r="CB109" s="2798">
        <f t="shared" ca="1" si="272"/>
        <v>0</v>
      </c>
      <c r="CC109" s="2798">
        <f t="shared" ca="1" si="272"/>
        <v>0</v>
      </c>
      <c r="CD109" s="2798">
        <f t="shared" ca="1" si="272"/>
        <v>0</v>
      </c>
      <c r="CE109" s="2798">
        <f t="shared" ca="1" si="272"/>
        <v>0</v>
      </c>
      <c r="CF109" s="2798">
        <f t="shared" ca="1" si="272"/>
        <v>11.027285399999997</v>
      </c>
      <c r="CG109" s="2798">
        <f t="shared" ca="1" si="272"/>
        <v>6.45</v>
      </c>
      <c r="CH109" s="2798">
        <f t="shared" ca="1" si="272"/>
        <v>0</v>
      </c>
      <c r="CI109" s="2798">
        <f t="shared" ca="1" si="272"/>
        <v>-3.1859999999999999</v>
      </c>
      <c r="CJ109" s="2798">
        <f t="shared" ca="1" si="272"/>
        <v>0</v>
      </c>
      <c r="CK109" s="2798">
        <f t="shared" ca="1" si="272"/>
        <v>0</v>
      </c>
      <c r="CL109" s="2798">
        <f t="shared" ca="1" si="272"/>
        <v>0</v>
      </c>
      <c r="CM109" s="2798">
        <f t="shared" ca="1" si="272"/>
        <v>0</v>
      </c>
      <c r="CN109" s="2798">
        <f t="shared" ca="1" si="272"/>
        <v>0.91161439312499992</v>
      </c>
      <c r="CO109" s="2798">
        <f t="shared" ca="1" si="272"/>
        <v>5.7557035714285713E-2</v>
      </c>
      <c r="CP109" s="2798">
        <f t="shared" ca="1" si="272"/>
        <v>0</v>
      </c>
      <c r="CQ109" s="2798">
        <f t="shared" ca="1" si="272"/>
        <v>0</v>
      </c>
      <c r="CR109" s="2798">
        <f t="shared" ca="1" si="272"/>
        <v>0</v>
      </c>
      <c r="CS109" s="2798">
        <f t="shared" ca="1" si="272"/>
        <v>0</v>
      </c>
      <c r="CT109" s="2798">
        <f t="shared" ca="1" si="272"/>
        <v>0</v>
      </c>
      <c r="CU109" s="2798">
        <f t="shared" ca="1" si="272"/>
        <v>1.8524375999999996</v>
      </c>
      <c r="CV109" s="2798">
        <f t="shared" ca="1" si="272"/>
        <v>1.5921360000000001E-3</v>
      </c>
      <c r="CW109" s="2798">
        <f t="shared" ca="1" si="272"/>
        <v>4.700592E-3</v>
      </c>
      <c r="CX109" s="2798">
        <f t="shared" ca="1" si="272"/>
        <v>0</v>
      </c>
      <c r="CY109" s="2798">
        <f t="shared" ca="1" si="272"/>
        <v>-0.54367917626535778</v>
      </c>
      <c r="CZ109" s="2798">
        <f t="shared" ca="1" si="272"/>
        <v>0</v>
      </c>
      <c r="DA109" s="2798">
        <f t="shared" ca="1" si="272"/>
        <v>0</v>
      </c>
      <c r="DB109" s="2798">
        <f t="shared" ca="1" si="272"/>
        <v>0</v>
      </c>
      <c r="DC109" s="2798">
        <f t="shared" ca="1" si="272"/>
        <v>0</v>
      </c>
      <c r="DD109" s="2798">
        <f t="shared" ca="1" si="272"/>
        <v>0</v>
      </c>
      <c r="DE109" s="2798">
        <f t="shared" ca="1" si="272"/>
        <v>0</v>
      </c>
      <c r="DF109" s="2798">
        <f t="shared" ca="1" si="272"/>
        <v>0</v>
      </c>
      <c r="DH109" s="637">
        <f ca="1">SUM(BO109:DF109)</f>
        <v>55.593249649356743</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c r="DH111" s="2685"/>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DF112" s="382" t="s">
        <v>593</v>
      </c>
      <c r="DH112" s="723">
        <f ca="1">SUM(DH63,DH68,DH76,DH82)</f>
        <v>12.653745820569476</v>
      </c>
    </row>
    <row r="113" spans="2:112">
      <c r="B113"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DF113" s="382" t="s">
        <v>595</v>
      </c>
      <c r="DH113" s="723">
        <f ca="1">T109-MIN(T103,0)-T72</f>
        <v>23.476642761499651</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DF114" s="382" t="s">
        <v>596</v>
      </c>
      <c r="DH114" s="2685">
        <f ca="1">DH112/DH113</f>
        <v>0.53899298758853609</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ht="24" customHeight="1">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sheetPr codeName="Sheet23"/>
  <dimension ref="A2:DH148"/>
  <sheetViews>
    <sheetView workbookViewId="0">
      <selection activeCell="I54" sqref="I54"/>
    </sheetView>
  </sheetViews>
  <sheetFormatPr defaultColWidth="8.85546875" defaultRowHeight="15" outlineLevelCol="2"/>
  <cols>
    <col min="1" max="1" width="1.7109375" customWidth="1"/>
    <col min="2" max="2" width="1.42578125" customWidth="1"/>
    <col min="3" max="3" width="4.42578125" style="518" customWidth="1"/>
    <col min="4" max="4" width="3.85546875" style="519" customWidth="1"/>
    <col min="5" max="5" width="41.7109375" style="519" customWidth="1"/>
    <col min="6" max="6" width="1.14062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customWidth="1" outlineLevel="1"/>
    <col min="19" max="19" width="11.7109375" style="519" customWidth="1" outlineLevel="2"/>
    <col min="20" max="36" width="10" style="519" customWidth="1" outlineLevel="2"/>
    <col min="37" max="37" width="10" style="519" customWidth="1" outlineLevel="1"/>
    <col min="38" max="38" width="1.140625" customWidth="1" outlineLevel="1"/>
    <col min="39" max="57" width="10" style="519" customWidth="1" outlineLevel="2"/>
    <col min="58" max="58" width="10" style="519" customWidth="1" outlineLevel="1"/>
    <col min="59" max="59" width="1.140625" customWidth="1" outlineLevel="1"/>
    <col min="60" max="61" width="10" style="519" customWidth="1" outlineLevel="2"/>
    <col min="62" max="62" width="10" style="519" customWidth="1" outlineLevel="1"/>
    <col min="63" max="63" width="1.140625" customWidth="1" outlineLevel="1"/>
    <col min="64" max="64" width="11" style="519" customWidth="1" outlineLevel="1"/>
    <col min="65" max="65" width="5.28515625" style="519" customWidth="1"/>
    <col min="67" max="110" width="7.42578125" customWidth="1"/>
    <col min="111" max="111" width="2.42578125" customWidth="1"/>
  </cols>
  <sheetData>
    <row r="2" spans="1:112" ht="22.5">
      <c r="D2" s="521"/>
      <c r="E2" s="522">
        <v>2015</v>
      </c>
      <c r="G2"/>
      <c r="H2"/>
      <c r="I2"/>
      <c r="J2"/>
      <c r="K2"/>
      <c r="L2"/>
      <c r="M2"/>
      <c r="N2"/>
      <c r="O2"/>
      <c r="P2"/>
      <c r="Q2"/>
      <c r="S2" s="383"/>
      <c r="T2" s="383"/>
      <c r="U2" s="383"/>
      <c r="V2" s="383"/>
      <c r="W2" s="383"/>
      <c r="X2"/>
      <c r="Y2"/>
      <c r="Z2"/>
      <c r="AA2"/>
      <c r="AB2"/>
      <c r="AC2"/>
      <c r="AD2"/>
      <c r="AE2"/>
      <c r="AF2"/>
      <c r="AG2"/>
      <c r="AH2"/>
      <c r="AI2"/>
      <c r="AJ2"/>
      <c r="AK2"/>
      <c r="AM2"/>
      <c r="AN2"/>
      <c r="AO2"/>
      <c r="AP2"/>
      <c r="AQ2"/>
      <c r="AR2"/>
      <c r="AS2"/>
      <c r="AT2"/>
      <c r="AU2"/>
      <c r="AV2"/>
      <c r="AW2"/>
      <c r="AX2"/>
      <c r="AY2"/>
      <c r="AZ2"/>
      <c r="BA2"/>
      <c r="BB2"/>
      <c r="BC2"/>
      <c r="BD2"/>
      <c r="BE2"/>
      <c r="BF2"/>
      <c r="BH2"/>
      <c r="BI2"/>
      <c r="BJ2"/>
      <c r="BL2"/>
      <c r="BM2" s="523"/>
    </row>
    <row r="3" spans="1:112" ht="22.5">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63">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c r="DH5" s="3482"/>
    </row>
    <row r="6" spans="1:112">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c r="DH6" s="3482"/>
    </row>
    <row r="7" spans="1:112" ht="15.75">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c r="DH7" s="3482"/>
    </row>
    <row r="8" spans="1:112">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c r="DH8" s="3482"/>
    </row>
    <row r="9" spans="1:112" s="6" customFormat="1">
      <c r="A9" s="586"/>
      <c r="B9" s="586"/>
      <c r="C9" s="587" t="s">
        <v>2</v>
      </c>
      <c r="D9" s="586" t="s">
        <v>3</v>
      </c>
      <c r="E9" s="588"/>
      <c r="G9" s="589">
        <f ca="1">IFERROR(INDEX(INDIRECT($C9&amp;".Outputs["&amp;this.Year&amp;"]"), MATCH(G$5, INDIRECT($C9&amp;".Outputs[Vector]"), 0)), 0)</f>
        <v>24.419114512455465</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24.419114512455465</v>
      </c>
      <c r="S9" s="591">
        <f t="shared" ref="S9:AJ13" ca="1" si="2">IFERROR(INDEX(INDIRECT($C9&amp;".Outputs["&amp;this.Year&amp;"]"), MATCH(S$5, INDIRECT($C9&amp;".Outputs[Vector]"), 0)), 0)</f>
        <v>-1.4377484699588226</v>
      </c>
      <c r="T9" s="591">
        <f t="shared" ca="1" si="2"/>
        <v>0</v>
      </c>
      <c r="U9" s="591">
        <f t="shared" ca="1" si="2"/>
        <v>-0.26352704049482828</v>
      </c>
      <c r="V9" s="591">
        <f t="shared" ca="1" si="2"/>
        <v>-12.999761739873746</v>
      </c>
      <c r="W9" s="591">
        <f t="shared" ca="1" si="2"/>
        <v>-9.2556061660433429</v>
      </c>
      <c r="X9" s="591">
        <f t="shared" ca="1" si="2"/>
        <v>0</v>
      </c>
      <c r="Y9" s="591">
        <f t="shared" ca="1" si="2"/>
        <v>0</v>
      </c>
      <c r="Z9" s="591">
        <f t="shared" ca="1" si="2"/>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-0.29533988943004724</v>
      </c>
      <c r="AJ9" s="591">
        <f t="shared" ca="1" si="2"/>
        <v>0</v>
      </c>
      <c r="AK9" s="592">
        <f t="shared" ref="AK9:AK15" ca="1" si="3">SUM(S9:AJ9)</f>
        <v>-24.251983305800785</v>
      </c>
      <c r="AM9" s="593">
        <f t="shared" ref="AM9:BB10" ca="1" si="4">IFERROR(INDEX(INDIRECT($C9&amp;".Outputs["&amp;this.Year&amp;"]"), MATCH(AM$5, INDIRECT($C9&amp;".Outputs[Vector]"), 0)), 0)</f>
        <v>0</v>
      </c>
      <c r="AN9" s="593">
        <f t="shared" ca="1" si="4"/>
        <v>0</v>
      </c>
      <c r="AO9" s="593">
        <f t="shared" ca="1" si="4"/>
        <v>0</v>
      </c>
      <c r="AP9" s="593">
        <f t="shared" ca="1" si="4"/>
        <v>0</v>
      </c>
      <c r="AQ9" s="593">
        <f t="shared" ca="1" si="4"/>
        <v>0</v>
      </c>
      <c r="AR9" s="593">
        <f t="shared" ca="1" si="4"/>
        <v>0</v>
      </c>
      <c r="AS9" s="593">
        <f t="shared" ca="1" si="4"/>
        <v>0</v>
      </c>
      <c r="AT9" s="593">
        <f t="shared" ca="1" si="4"/>
        <v>0</v>
      </c>
      <c r="AU9" s="593">
        <f t="shared" ca="1" si="4"/>
        <v>0</v>
      </c>
      <c r="AV9" s="593">
        <f t="shared" ca="1" si="4"/>
        <v>0</v>
      </c>
      <c r="AW9" s="593">
        <f t="shared" ca="1" si="4"/>
        <v>0</v>
      </c>
      <c r="AX9" s="593">
        <f t="shared" ca="1" si="4"/>
        <v>0</v>
      </c>
      <c r="AY9" s="593">
        <f t="shared" ca="1" si="4"/>
        <v>0</v>
      </c>
      <c r="AZ9" s="593">
        <f t="shared" ca="1" si="4"/>
        <v>0</v>
      </c>
      <c r="BA9" s="593">
        <f t="shared" ca="1" si="4"/>
        <v>0</v>
      </c>
      <c r="BB9" s="593">
        <f t="shared" ca="1" si="4"/>
        <v>0</v>
      </c>
      <c r="BC9" s="593">
        <f t="shared" ref="BC9:BE10" ca="1" si="5">IFERROR(INDEX(INDIRECT($C9&amp;".Outputs["&amp;this.Year&amp;"]"), MATCH(BC$5, INDIRECT($C9&amp;".Outputs[Vector]"), 0)), 0)</f>
        <v>-0.16713120665468159</v>
      </c>
      <c r="BD9" s="593">
        <f t="shared" ca="1" si="5"/>
        <v>0</v>
      </c>
      <c r="BE9" s="593">
        <f t="shared" ca="1" si="5"/>
        <v>0</v>
      </c>
      <c r="BF9" s="594">
        <f t="shared" ref="BF9:BF15" ca="1" si="6">SUM(AM9:BE9)</f>
        <v>-0.16713120665468159</v>
      </c>
      <c r="BH9" s="3471">
        <f ca="1">IFERROR(INDEX(INDIRECT($C9&amp;".Outputs["&amp;this.Year&amp;"]"), MATCH(BH$5, INDIRECT($C9&amp;".Outputs[Vector]"), 0)), 0)</f>
        <v>0</v>
      </c>
      <c r="BI9" s="3471">
        <f t="shared" ref="BH9:BI13" ca="1" si="7">IFERROR(INDEX(INDIRECT($C9&amp;".Outputs["&amp;this.Year&amp;"]"), MATCH(BI$5, INDIRECT($C9&amp;".Outputs[Vector]"), 0)), 0)</f>
        <v>0</v>
      </c>
      <c r="BJ9" s="3460">
        <f t="shared" ref="BJ9:BJ15" ca="1" si="8">SUM(BH9:BI9)</f>
        <v>0</v>
      </c>
      <c r="BL9" s="595">
        <f t="shared" ref="BL9:BL44" ca="1" si="9">Q9+AK9+BF9+BJ9</f>
        <v>-1.1934897514720433E-15</v>
      </c>
      <c r="BM9" s="595"/>
      <c r="BN9" s="413"/>
      <c r="BO9" s="2789">
        <f t="shared" ref="BO9:BX10" ca="1" si="10">IFERROR(SUMIFS(INDIRECT($C9&amp;".Emissions["&amp;this.Year&amp;"]"), INDIRECT($C9&amp;".Emissions[GHG]"), BO$6, INDIRECT($C9&amp;".Emissions[IPCC Sector]"), BO$5),0)</f>
        <v>5.4141685608344368</v>
      </c>
      <c r="BP9" s="2790">
        <f t="shared" ca="1" si="10"/>
        <v>3.6620156397392288E-3</v>
      </c>
      <c r="BQ9" s="2790">
        <f t="shared" ca="1" si="10"/>
        <v>3.8806532345398249E-2</v>
      </c>
      <c r="BR9" s="2790">
        <f t="shared" ca="1" si="10"/>
        <v>0</v>
      </c>
      <c r="BS9" s="2790">
        <f t="shared" ca="1" si="10"/>
        <v>0</v>
      </c>
      <c r="BT9" s="2790">
        <f t="shared" ca="1" si="10"/>
        <v>0</v>
      </c>
      <c r="BU9" s="2790">
        <f t="shared" ca="1" si="10"/>
        <v>0</v>
      </c>
      <c r="BV9" s="2790">
        <f t="shared" ca="1" si="10"/>
        <v>0</v>
      </c>
      <c r="BW9" s="2790">
        <f t="shared" ca="1" si="10"/>
        <v>0</v>
      </c>
      <c r="BX9" s="2790">
        <f t="shared" ca="1" si="10"/>
        <v>0</v>
      </c>
      <c r="BY9" s="2790">
        <f t="shared" ref="BY9:CH10" ca="1" si="11">IFERROR(SUMIFS(INDIRECT($C9&amp;".Emissions["&amp;this.Year&amp;"]"), INDIRECT($C9&amp;".Emissions[GHG]"), BY$6, INDIRECT($C9&amp;".Emissions[IPCC Sector]"), BY$5),0)</f>
        <v>0</v>
      </c>
      <c r="BZ9" s="2790">
        <f t="shared" ca="1" si="11"/>
        <v>0</v>
      </c>
      <c r="CA9" s="2790">
        <f t="shared" ca="1" si="11"/>
        <v>0</v>
      </c>
      <c r="CB9" s="2790">
        <f t="shared" ca="1" si="11"/>
        <v>0</v>
      </c>
      <c r="CC9" s="2790">
        <f t="shared" ca="1" si="11"/>
        <v>0</v>
      </c>
      <c r="CD9" s="2790">
        <f t="shared" ca="1" si="11"/>
        <v>0</v>
      </c>
      <c r="CE9" s="2790">
        <f t="shared" ca="1" si="11"/>
        <v>0</v>
      </c>
      <c r="CF9" s="2790">
        <f t="shared" ca="1" si="11"/>
        <v>0</v>
      </c>
      <c r="CG9" s="2790">
        <f t="shared" ca="1" si="11"/>
        <v>0</v>
      </c>
      <c r="CH9" s="2790">
        <f t="shared" ca="1" si="11"/>
        <v>0</v>
      </c>
      <c r="CI9" s="2790">
        <f t="shared" ref="CI9:CR10" ca="1" si="12">IFERROR(SUMIFS(INDIRECT($C9&amp;".Emissions["&amp;this.Year&amp;"]"), INDIRECT($C9&amp;".Emissions[GHG]"), CI$6, INDIRECT($C9&amp;".Emissions[IPCC Sector]"), CI$5),0)</f>
        <v>0</v>
      </c>
      <c r="CJ9" s="2790">
        <f t="shared" ca="1" si="12"/>
        <v>0</v>
      </c>
      <c r="CK9" s="2790">
        <f t="shared" ca="1" si="12"/>
        <v>0</v>
      </c>
      <c r="CL9" s="2790">
        <f t="shared" ca="1" si="12"/>
        <v>0</v>
      </c>
      <c r="CM9" s="2790">
        <f t="shared" ca="1" si="12"/>
        <v>0</v>
      </c>
      <c r="CN9" s="2790">
        <f t="shared" ca="1" si="12"/>
        <v>0</v>
      </c>
      <c r="CO9" s="2790">
        <f t="shared" ca="1" si="12"/>
        <v>0</v>
      </c>
      <c r="CP9" s="2790">
        <f t="shared" ca="1" si="12"/>
        <v>0</v>
      </c>
      <c r="CQ9" s="2790">
        <f t="shared" ca="1" si="12"/>
        <v>0</v>
      </c>
      <c r="CR9" s="2790">
        <f t="shared" ca="1" si="12"/>
        <v>0</v>
      </c>
      <c r="CS9" s="2790">
        <f t="shared" ref="CS9:DF10" ca="1" si="13">IFERROR(SUMIFS(INDIRECT($C9&amp;".Emissions["&amp;this.Year&amp;"]"), INDIRECT($C9&amp;".Emissions[GHG]"), CS$6, INDIRECT($C9&amp;".Emissions[IPCC Sector]"), CS$5),0)</f>
        <v>0</v>
      </c>
      <c r="CT9" s="2790">
        <f t="shared" ca="1" si="13"/>
        <v>0</v>
      </c>
      <c r="CU9" s="2790">
        <f t="shared" ca="1" si="13"/>
        <v>0</v>
      </c>
      <c r="CV9" s="2790">
        <f t="shared" ca="1" si="13"/>
        <v>0</v>
      </c>
      <c r="CW9" s="2790">
        <f t="shared" ca="1" si="13"/>
        <v>0</v>
      </c>
      <c r="CX9" s="2790">
        <f t="shared" ca="1" si="13"/>
        <v>0</v>
      </c>
      <c r="CY9" s="2790">
        <f t="shared" ca="1" si="13"/>
        <v>0</v>
      </c>
      <c r="CZ9" s="2790">
        <f t="shared" ca="1" si="13"/>
        <v>0</v>
      </c>
      <c r="DA9" s="2790">
        <f t="shared" ca="1" si="13"/>
        <v>0</v>
      </c>
      <c r="DB9" s="2790">
        <f t="shared" ca="1" si="13"/>
        <v>0</v>
      </c>
      <c r="DC9" s="2790">
        <f t="shared" ca="1" si="13"/>
        <v>0</v>
      </c>
      <c r="DD9" s="2790">
        <f t="shared" ca="1" si="13"/>
        <v>0</v>
      </c>
      <c r="DE9" s="2790">
        <f t="shared" ca="1" si="13"/>
        <v>0</v>
      </c>
      <c r="DF9" s="2790">
        <f t="shared" ca="1" si="13"/>
        <v>0</v>
      </c>
      <c r="DH9" s="596"/>
    </row>
    <row r="10" spans="1:112" s="6" customFormat="1">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2"/>
        <v>0</v>
      </c>
      <c r="Y10" s="602">
        <f t="shared" ca="1" si="2"/>
        <v>0</v>
      </c>
      <c r="Z10" s="602">
        <f t="shared" ca="1" si="2"/>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3"/>
        <v>0</v>
      </c>
      <c r="AM10" s="604">
        <f t="shared" ca="1" si="4"/>
        <v>0</v>
      </c>
      <c r="AN10" s="604">
        <f t="shared" ca="1" si="4"/>
        <v>0</v>
      </c>
      <c r="AO10" s="604">
        <f t="shared" ca="1" si="4"/>
        <v>0</v>
      </c>
      <c r="AP10" s="604">
        <f t="shared" ca="1" si="4"/>
        <v>0</v>
      </c>
      <c r="AQ10" s="604">
        <f t="shared" ca="1" si="4"/>
        <v>0</v>
      </c>
      <c r="AR10" s="604">
        <f t="shared" ca="1" si="4"/>
        <v>0</v>
      </c>
      <c r="AS10" s="604">
        <f t="shared" ca="1" si="4"/>
        <v>0</v>
      </c>
      <c r="AT10" s="604">
        <f t="shared" ca="1" si="4"/>
        <v>0</v>
      </c>
      <c r="AU10" s="604">
        <f t="shared" ca="1" si="4"/>
        <v>0</v>
      </c>
      <c r="AV10" s="604">
        <f t="shared" ca="1" si="4"/>
        <v>0</v>
      </c>
      <c r="AW10" s="604">
        <f t="shared" ca="1" si="4"/>
        <v>0</v>
      </c>
      <c r="AX10" s="604">
        <f t="shared" ca="1" si="4"/>
        <v>0</v>
      </c>
      <c r="AY10" s="604">
        <f t="shared" ca="1" si="4"/>
        <v>0</v>
      </c>
      <c r="AZ10" s="604">
        <f t="shared" ca="1" si="4"/>
        <v>0</v>
      </c>
      <c r="BA10" s="604">
        <f t="shared" ca="1" si="4"/>
        <v>0</v>
      </c>
      <c r="BB10" s="604">
        <f t="shared" ca="1" si="4"/>
        <v>0</v>
      </c>
      <c r="BC10" s="604">
        <f t="shared" ca="1" si="5"/>
        <v>0</v>
      </c>
      <c r="BD10" s="604">
        <f t="shared" ca="1" si="5"/>
        <v>0</v>
      </c>
      <c r="BE10" s="604">
        <f t="shared" ca="1" si="5"/>
        <v>0</v>
      </c>
      <c r="BF10" s="605">
        <f t="shared" ca="1" si="6"/>
        <v>0</v>
      </c>
      <c r="BH10" s="3472">
        <f t="shared" ca="1" si="7"/>
        <v>0</v>
      </c>
      <c r="BI10" s="3472">
        <f t="shared" ca="1" si="7"/>
        <v>0</v>
      </c>
      <c r="BJ10" s="3461">
        <f t="shared" ca="1" si="8"/>
        <v>0</v>
      </c>
      <c r="BL10" s="606">
        <f t="shared" ca="1" si="9"/>
        <v>0</v>
      </c>
      <c r="BM10" s="606"/>
      <c r="BN10" s="413"/>
      <c r="BO10" s="2789">
        <f t="shared" ca="1" si="10"/>
        <v>0</v>
      </c>
      <c r="BP10" s="2790">
        <f t="shared" ca="1" si="10"/>
        <v>0</v>
      </c>
      <c r="BQ10" s="2790">
        <f t="shared" ca="1" si="10"/>
        <v>0</v>
      </c>
      <c r="BR10" s="2790">
        <f t="shared" ca="1" si="10"/>
        <v>0</v>
      </c>
      <c r="BS10" s="2790">
        <f t="shared" ca="1" si="10"/>
        <v>0</v>
      </c>
      <c r="BT10" s="2790">
        <f t="shared" ca="1" si="10"/>
        <v>0</v>
      </c>
      <c r="BU10" s="2790">
        <f t="shared" ca="1" si="10"/>
        <v>0</v>
      </c>
      <c r="BV10" s="2790">
        <f t="shared" ca="1" si="10"/>
        <v>0</v>
      </c>
      <c r="BW10" s="2790">
        <f t="shared" ca="1" si="10"/>
        <v>0</v>
      </c>
      <c r="BX10" s="2790">
        <f t="shared" ca="1" si="10"/>
        <v>0</v>
      </c>
      <c r="BY10" s="2790">
        <f t="shared" ca="1" si="11"/>
        <v>0</v>
      </c>
      <c r="BZ10" s="2790">
        <f t="shared" ca="1" si="11"/>
        <v>0</v>
      </c>
      <c r="CA10" s="2790">
        <f t="shared" ca="1" si="11"/>
        <v>0</v>
      </c>
      <c r="CB10" s="2790">
        <f t="shared" ca="1" si="11"/>
        <v>0</v>
      </c>
      <c r="CC10" s="2790">
        <f t="shared" ca="1" si="11"/>
        <v>0</v>
      </c>
      <c r="CD10" s="2790">
        <f t="shared" ca="1" si="11"/>
        <v>0</v>
      </c>
      <c r="CE10" s="2790">
        <f t="shared" ca="1" si="11"/>
        <v>0</v>
      </c>
      <c r="CF10" s="2790">
        <f t="shared" ca="1" si="11"/>
        <v>0</v>
      </c>
      <c r="CG10" s="2790">
        <f t="shared" ca="1" si="11"/>
        <v>0</v>
      </c>
      <c r="CH10" s="2790">
        <f t="shared" ca="1" si="11"/>
        <v>0</v>
      </c>
      <c r="CI10" s="2790">
        <f t="shared" ca="1" si="12"/>
        <v>0</v>
      </c>
      <c r="CJ10" s="2790">
        <f t="shared" ca="1" si="12"/>
        <v>0</v>
      </c>
      <c r="CK10" s="2790">
        <f t="shared" ca="1" si="12"/>
        <v>0</v>
      </c>
      <c r="CL10" s="2790">
        <f t="shared" ca="1" si="12"/>
        <v>0</v>
      </c>
      <c r="CM10" s="2790">
        <f t="shared" ca="1" si="12"/>
        <v>0</v>
      </c>
      <c r="CN10" s="2790">
        <f t="shared" ca="1" si="12"/>
        <v>0</v>
      </c>
      <c r="CO10" s="2790">
        <f t="shared" ca="1" si="12"/>
        <v>0</v>
      </c>
      <c r="CP10" s="2790">
        <f t="shared" ca="1" si="12"/>
        <v>0</v>
      </c>
      <c r="CQ10" s="2790">
        <f t="shared" ca="1" si="12"/>
        <v>0</v>
      </c>
      <c r="CR10" s="2790">
        <f t="shared" ca="1" si="12"/>
        <v>0</v>
      </c>
      <c r="CS10" s="2790">
        <f t="shared" ca="1" si="13"/>
        <v>0</v>
      </c>
      <c r="CT10" s="2790">
        <f t="shared" ca="1" si="13"/>
        <v>0</v>
      </c>
      <c r="CU10" s="2790">
        <f t="shared" ca="1" si="13"/>
        <v>0</v>
      </c>
      <c r="CV10" s="2790">
        <f t="shared" ca="1" si="13"/>
        <v>0</v>
      </c>
      <c r="CW10" s="2790">
        <f t="shared" ca="1" si="13"/>
        <v>0</v>
      </c>
      <c r="CX10" s="2790">
        <f t="shared" ca="1" si="13"/>
        <v>0</v>
      </c>
      <c r="CY10" s="2790">
        <f t="shared" ca="1" si="13"/>
        <v>0</v>
      </c>
      <c r="CZ10" s="2790">
        <f t="shared" ca="1" si="13"/>
        <v>0</v>
      </c>
      <c r="DA10" s="2790">
        <f t="shared" ca="1" si="13"/>
        <v>0</v>
      </c>
      <c r="DB10" s="2790">
        <f t="shared" ca="1" si="13"/>
        <v>0</v>
      </c>
      <c r="DC10" s="2790">
        <f t="shared" ca="1" si="13"/>
        <v>0</v>
      </c>
      <c r="DD10" s="2790">
        <f t="shared" ca="1" si="13"/>
        <v>0</v>
      </c>
      <c r="DE10" s="2790">
        <f t="shared" ca="1" si="13"/>
        <v>0</v>
      </c>
      <c r="DF10" s="2790">
        <f t="shared" ca="1" si="13"/>
        <v>0</v>
      </c>
      <c r="DH10" s="596"/>
    </row>
    <row r="11" spans="1:112" s="6" customFormat="1">
      <c r="A11" s="607"/>
      <c r="B11" s="607"/>
      <c r="C11" s="587"/>
      <c r="D11" s="607" t="s">
        <v>464</v>
      </c>
      <c r="E11" s="588"/>
      <c r="G11" s="590">
        <f ca="1">SUM(G9:G10)</f>
        <v>24.419114512455465</v>
      </c>
      <c r="H11" s="590">
        <f t="shared" ref="H11:P11" ca="1" si="14">SUM(H9:H10)</f>
        <v>0</v>
      </c>
      <c r="I11" s="590">
        <f t="shared" ca="1" si="14"/>
        <v>0</v>
      </c>
      <c r="J11" s="590">
        <f t="shared" ca="1" si="14"/>
        <v>0</v>
      </c>
      <c r="K11" s="590">
        <f t="shared" ca="1" si="14"/>
        <v>0</v>
      </c>
      <c r="L11" s="590">
        <f t="shared" ca="1" si="14"/>
        <v>0</v>
      </c>
      <c r="M11" s="590">
        <f t="shared" ca="1" si="14"/>
        <v>0</v>
      </c>
      <c r="N11" s="590">
        <f ca="1">SUM(N9:N10)</f>
        <v>0</v>
      </c>
      <c r="O11" s="590">
        <f ca="1">SUM(O9:O10)</f>
        <v>0</v>
      </c>
      <c r="P11" s="590">
        <f t="shared" ca="1" si="14"/>
        <v>0</v>
      </c>
      <c r="Q11" s="590">
        <f t="shared" ca="1" si="1"/>
        <v>24.419114512455465</v>
      </c>
      <c r="S11" s="592">
        <f ca="1">SUM(S9:S10)</f>
        <v>-1.4377484699588226</v>
      </c>
      <c r="T11" s="592">
        <f t="shared" ref="T11:AJ11" ca="1" si="15">SUM(T9:T10)</f>
        <v>0</v>
      </c>
      <c r="U11" s="592">
        <f t="shared" ca="1" si="15"/>
        <v>-0.26352704049482828</v>
      </c>
      <c r="V11" s="592">
        <f t="shared" ca="1" si="15"/>
        <v>-12.999761739873746</v>
      </c>
      <c r="W11" s="592">
        <f t="shared" ca="1" si="15"/>
        <v>-9.2556061660433429</v>
      </c>
      <c r="X11" s="592">
        <f ca="1">SUM(X9:X10)</f>
        <v>0</v>
      </c>
      <c r="Y11" s="592">
        <f ca="1">SUM(Y9:Y10)</f>
        <v>0</v>
      </c>
      <c r="Z11" s="592">
        <f ca="1">SUM(Z9:Z10)</f>
        <v>0</v>
      </c>
      <c r="AA11" s="592">
        <f t="shared" ca="1" si="15"/>
        <v>0</v>
      </c>
      <c r="AB11" s="592">
        <f t="shared" ca="1" si="15"/>
        <v>0</v>
      </c>
      <c r="AC11" s="592">
        <f t="shared" ca="1" si="15"/>
        <v>0</v>
      </c>
      <c r="AD11" s="592">
        <f ca="1">SUM(AD9:AD10)</f>
        <v>0</v>
      </c>
      <c r="AE11" s="592">
        <f ca="1">SUM(AE9:AE10)</f>
        <v>0</v>
      </c>
      <c r="AF11" s="592">
        <f t="shared" ca="1" si="15"/>
        <v>0</v>
      </c>
      <c r="AG11" s="592">
        <f ca="1">SUM(AG9:AG10)</f>
        <v>0</v>
      </c>
      <c r="AH11" s="592">
        <f ca="1">SUM(AH9:AH10)</f>
        <v>0</v>
      </c>
      <c r="AI11" s="592">
        <f ca="1">SUM(AI9:AI10)</f>
        <v>-0.29533988943004724</v>
      </c>
      <c r="AJ11" s="592">
        <f t="shared" ca="1" si="15"/>
        <v>0</v>
      </c>
      <c r="AK11" s="592">
        <f t="shared" ca="1" si="3"/>
        <v>-24.251983305800785</v>
      </c>
      <c r="AM11" s="608">
        <f t="shared" ref="AM11:BE11" ca="1" si="16">SUM(AM9:AM10)</f>
        <v>0</v>
      </c>
      <c r="AN11" s="608">
        <f t="shared" ca="1" si="16"/>
        <v>0</v>
      </c>
      <c r="AO11" s="608">
        <f t="shared" ca="1" si="16"/>
        <v>0</v>
      </c>
      <c r="AP11" s="608">
        <f t="shared" ca="1" si="16"/>
        <v>0</v>
      </c>
      <c r="AQ11" s="608">
        <f t="shared" ca="1" si="16"/>
        <v>0</v>
      </c>
      <c r="AR11" s="608">
        <f t="shared" ca="1" si="16"/>
        <v>0</v>
      </c>
      <c r="AS11" s="608">
        <f t="shared" ca="1" si="16"/>
        <v>0</v>
      </c>
      <c r="AT11" s="608">
        <f t="shared" ca="1" si="16"/>
        <v>0</v>
      </c>
      <c r="AU11" s="608">
        <f t="shared" ca="1" si="16"/>
        <v>0</v>
      </c>
      <c r="AV11" s="608">
        <f t="shared" ca="1" si="16"/>
        <v>0</v>
      </c>
      <c r="AW11" s="608">
        <f t="shared" ca="1" si="16"/>
        <v>0</v>
      </c>
      <c r="AX11" s="608">
        <f t="shared" ca="1" si="16"/>
        <v>0</v>
      </c>
      <c r="AY11" s="608">
        <f t="shared" ca="1" si="16"/>
        <v>0</v>
      </c>
      <c r="AZ11" s="608">
        <f t="shared" ca="1" si="16"/>
        <v>0</v>
      </c>
      <c r="BA11" s="608">
        <f t="shared" ca="1" si="16"/>
        <v>0</v>
      </c>
      <c r="BB11" s="608">
        <f t="shared" ca="1" si="16"/>
        <v>0</v>
      </c>
      <c r="BC11" s="608">
        <f t="shared" ca="1" si="16"/>
        <v>-0.16713120665468159</v>
      </c>
      <c r="BD11" s="608">
        <f ca="1">SUM(BD9:BD10)</f>
        <v>0</v>
      </c>
      <c r="BE11" s="608">
        <f t="shared" ca="1" si="16"/>
        <v>0</v>
      </c>
      <c r="BF11" s="609">
        <f t="shared" ca="1" si="6"/>
        <v>-0.16713120665468159</v>
      </c>
      <c r="BH11" s="3460">
        <f ca="1">SUM(BH9:BH10)</f>
        <v>0</v>
      </c>
      <c r="BI11" s="3460">
        <f ca="1">SUM(BI9:BI10)</f>
        <v>0</v>
      </c>
      <c r="BJ11" s="3460">
        <f t="shared" ca="1" si="8"/>
        <v>0</v>
      </c>
      <c r="BL11" s="610">
        <f t="shared" ca="1" si="9"/>
        <v>-1.1934897514720433E-15</v>
      </c>
      <c r="BM11" s="610"/>
      <c r="BN11" s="413"/>
      <c r="BO11" s="2789">
        <f t="shared" ref="BO11:DF11" ca="1" si="17">SUM(BO9:BO10)</f>
        <v>5.4141685608344368</v>
      </c>
      <c r="BP11" s="2790">
        <f t="shared" ca="1" si="17"/>
        <v>3.6620156397392288E-3</v>
      </c>
      <c r="BQ11" s="2790">
        <f t="shared" ca="1" si="17"/>
        <v>3.8806532345398249E-2</v>
      </c>
      <c r="BR11" s="2790">
        <f t="shared" ca="1" si="17"/>
        <v>0</v>
      </c>
      <c r="BS11" s="2790">
        <f t="shared" ca="1" si="17"/>
        <v>0</v>
      </c>
      <c r="BT11" s="2790">
        <f t="shared" ca="1" si="17"/>
        <v>0</v>
      </c>
      <c r="BU11" s="2790">
        <f t="shared" ca="1" si="17"/>
        <v>0</v>
      </c>
      <c r="BV11" s="2790">
        <f t="shared" ca="1" si="17"/>
        <v>0</v>
      </c>
      <c r="BW11" s="2790">
        <f t="shared" ca="1" si="17"/>
        <v>0</v>
      </c>
      <c r="BX11" s="2790">
        <f t="shared" ca="1" si="17"/>
        <v>0</v>
      </c>
      <c r="BY11" s="2790">
        <f t="shared" ca="1" si="17"/>
        <v>0</v>
      </c>
      <c r="BZ11" s="2790">
        <f t="shared" ca="1" si="17"/>
        <v>0</v>
      </c>
      <c r="CA11" s="2790">
        <f t="shared" ca="1" si="17"/>
        <v>0</v>
      </c>
      <c r="CB11" s="2790">
        <f t="shared" ca="1" si="17"/>
        <v>0</v>
      </c>
      <c r="CC11" s="2790">
        <f t="shared" ca="1" si="17"/>
        <v>0</v>
      </c>
      <c r="CD11" s="2790">
        <f t="shared" ca="1" si="17"/>
        <v>0</v>
      </c>
      <c r="CE11" s="2790">
        <f t="shared" ca="1" si="17"/>
        <v>0</v>
      </c>
      <c r="CF11" s="2790">
        <f t="shared" ca="1" si="17"/>
        <v>0</v>
      </c>
      <c r="CG11" s="2790">
        <f t="shared" ca="1" si="17"/>
        <v>0</v>
      </c>
      <c r="CH11" s="2790">
        <f t="shared" ca="1" si="17"/>
        <v>0</v>
      </c>
      <c r="CI11" s="2790">
        <f t="shared" ca="1" si="17"/>
        <v>0</v>
      </c>
      <c r="CJ11" s="2790">
        <f t="shared" ca="1" si="17"/>
        <v>0</v>
      </c>
      <c r="CK11" s="2790">
        <f t="shared" ca="1" si="17"/>
        <v>0</v>
      </c>
      <c r="CL11" s="2790">
        <f t="shared" ca="1" si="17"/>
        <v>0</v>
      </c>
      <c r="CM11" s="2790">
        <f t="shared" ca="1" si="17"/>
        <v>0</v>
      </c>
      <c r="CN11" s="2790">
        <f t="shared" ca="1" si="17"/>
        <v>0</v>
      </c>
      <c r="CO11" s="2790">
        <f t="shared" ca="1" si="17"/>
        <v>0</v>
      </c>
      <c r="CP11" s="2790">
        <f t="shared" ca="1" si="17"/>
        <v>0</v>
      </c>
      <c r="CQ11" s="2790">
        <f t="shared" ca="1" si="17"/>
        <v>0</v>
      </c>
      <c r="CR11" s="2790">
        <f t="shared" ca="1" si="17"/>
        <v>0</v>
      </c>
      <c r="CS11" s="2790">
        <f t="shared" ca="1" si="17"/>
        <v>0</v>
      </c>
      <c r="CT11" s="2790">
        <f t="shared" ca="1" si="17"/>
        <v>0</v>
      </c>
      <c r="CU11" s="2790">
        <f t="shared" ca="1" si="17"/>
        <v>0</v>
      </c>
      <c r="CV11" s="2790">
        <f t="shared" ca="1" si="17"/>
        <v>0</v>
      </c>
      <c r="CW11" s="2790">
        <f t="shared" ca="1" si="17"/>
        <v>0</v>
      </c>
      <c r="CX11" s="2790">
        <f t="shared" ca="1" si="17"/>
        <v>0</v>
      </c>
      <c r="CY11" s="2790">
        <f t="shared" ca="1" si="17"/>
        <v>0</v>
      </c>
      <c r="CZ11" s="2790">
        <f t="shared" ca="1" si="17"/>
        <v>0</v>
      </c>
      <c r="DA11" s="2790">
        <f t="shared" ca="1" si="17"/>
        <v>0</v>
      </c>
      <c r="DB11" s="2790">
        <f t="shared" ca="1" si="17"/>
        <v>0</v>
      </c>
      <c r="DC11" s="2790">
        <f t="shared" ca="1" si="17"/>
        <v>0</v>
      </c>
      <c r="DD11" s="2790">
        <f t="shared" ca="1" si="17"/>
        <v>0</v>
      </c>
      <c r="DE11" s="2790">
        <f t="shared" ca="1" si="17"/>
        <v>0</v>
      </c>
      <c r="DF11" s="2790">
        <f t="shared" ca="1" si="17"/>
        <v>0</v>
      </c>
      <c r="DH11" s="596"/>
    </row>
    <row r="12" spans="1:112" s="6" customFormat="1">
      <c r="A12" s="586"/>
      <c r="B12" s="586"/>
      <c r="C12" s="587" t="s">
        <v>465</v>
      </c>
      <c r="D12" s="586" t="s">
        <v>466</v>
      </c>
      <c r="E12" s="599"/>
      <c r="G12" s="589">
        <f t="shared" ca="1" si="0"/>
        <v>11.279412872359741</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11.279412872359741</v>
      </c>
      <c r="S12" s="591">
        <f t="shared" ca="1" si="2"/>
        <v>-3.4672833333333331</v>
      </c>
      <c r="T12" s="591">
        <f t="shared" ca="1" si="2"/>
        <v>0</v>
      </c>
      <c r="U12" s="591">
        <f t="shared" ca="1" si="2"/>
        <v>-0.33931034482758621</v>
      </c>
      <c r="V12" s="591">
        <f t="shared" ca="1" si="2"/>
        <v>-2.3331958762886598</v>
      </c>
      <c r="W12" s="591">
        <f t="shared" ca="1" si="2"/>
        <v>-5.0765066512434931</v>
      </c>
      <c r="X12" s="591">
        <f t="shared" ca="1" si="2"/>
        <v>0</v>
      </c>
      <c r="Y12" s="591">
        <f t="shared" ca="1" si="2"/>
        <v>0</v>
      </c>
      <c r="Z12" s="591">
        <f t="shared" ca="1" si="2"/>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3"/>
        <v>-11.216296205693073</v>
      </c>
      <c r="AM12" s="593">
        <f t="shared" ref="AM12:BB13" ca="1" si="18">IFERROR(INDEX(INDIRECT($C12&amp;".Outputs["&amp;this.Year&amp;"]"), MATCH(AM$5, INDIRECT($C12&amp;".Outputs[Vector]"), 0)), 0)</f>
        <v>0</v>
      </c>
      <c r="AN12" s="593">
        <f t="shared" ca="1" si="18"/>
        <v>0</v>
      </c>
      <c r="AO12" s="593">
        <f t="shared" ca="1" si="18"/>
        <v>0</v>
      </c>
      <c r="AP12" s="593">
        <f t="shared" ca="1" si="18"/>
        <v>0</v>
      </c>
      <c r="AQ12" s="593">
        <f t="shared" ca="1" si="18"/>
        <v>0</v>
      </c>
      <c r="AR12" s="593">
        <f t="shared" ca="1" si="18"/>
        <v>0</v>
      </c>
      <c r="AS12" s="593">
        <f t="shared" ca="1" si="18"/>
        <v>0</v>
      </c>
      <c r="AT12" s="593">
        <f t="shared" ca="1" si="18"/>
        <v>0</v>
      </c>
      <c r="AU12" s="593">
        <f t="shared" ca="1" si="18"/>
        <v>0</v>
      </c>
      <c r="AV12" s="593">
        <f t="shared" ca="1" si="18"/>
        <v>0</v>
      </c>
      <c r="AW12" s="593">
        <f t="shared" ca="1" si="18"/>
        <v>0</v>
      </c>
      <c r="AX12" s="593">
        <f t="shared" ca="1" si="18"/>
        <v>0</v>
      </c>
      <c r="AY12" s="593">
        <f t="shared" ca="1" si="18"/>
        <v>0</v>
      </c>
      <c r="AZ12" s="593">
        <f t="shared" ca="1" si="18"/>
        <v>0</v>
      </c>
      <c r="BA12" s="593">
        <f t="shared" ca="1" si="18"/>
        <v>0</v>
      </c>
      <c r="BB12" s="593">
        <f t="shared" ca="1" si="18"/>
        <v>0</v>
      </c>
      <c r="BC12" s="593">
        <f t="shared" ref="BC12:BE13" ca="1" si="19">IFERROR(INDEX(INDIRECT($C12&amp;".Outputs["&amp;this.Year&amp;"]"), MATCH(BC$5, INDIRECT($C12&amp;".Outputs[Vector]"), 0)), 0)</f>
        <v>-6.3116666666666668E-2</v>
      </c>
      <c r="BD12" s="593">
        <f t="shared" ca="1" si="19"/>
        <v>0</v>
      </c>
      <c r="BE12" s="593">
        <f t="shared" ca="1" si="19"/>
        <v>0</v>
      </c>
      <c r="BF12" s="594">
        <f t="shared" ca="1" si="6"/>
        <v>-6.3116666666666668E-2</v>
      </c>
      <c r="BH12" s="3471">
        <f t="shared" ca="1" si="7"/>
        <v>0</v>
      </c>
      <c r="BI12" s="3471">
        <f t="shared" ca="1" si="7"/>
        <v>0</v>
      </c>
      <c r="BJ12" s="3460">
        <f t="shared" ca="1" si="8"/>
        <v>0</v>
      </c>
      <c r="BL12" s="595">
        <f t="shared" ca="1" si="9"/>
        <v>9.298117831235686E-16</v>
      </c>
      <c r="BM12" s="595"/>
      <c r="BN12" s="413"/>
      <c r="BO12" s="2789">
        <f t="shared" ref="BO12:BX13" ca="1" si="20">IFERROR(SUMIFS(INDIRECT($C12&amp;".Emissions["&amp;this.Year&amp;"]"), INDIRECT($C12&amp;".Emissions[GHG]"), BO$6, INDIRECT($C12&amp;".Emissions[IPCC Sector]"), BO$5),0)</f>
        <v>1.769511034251118</v>
      </c>
      <c r="BP12" s="2790">
        <f t="shared" ca="1" si="20"/>
        <v>9.3090903102455212E-4</v>
      </c>
      <c r="BQ12" s="2790">
        <f t="shared" ca="1" si="20"/>
        <v>1.8181249257261119E-2</v>
      </c>
      <c r="BR12" s="2790">
        <f t="shared" ca="1" si="20"/>
        <v>0</v>
      </c>
      <c r="BS12" s="2790">
        <f t="shared" ca="1" si="20"/>
        <v>0</v>
      </c>
      <c r="BT12" s="2790">
        <f t="shared" ca="1" si="20"/>
        <v>0</v>
      </c>
      <c r="BU12" s="2790">
        <f t="shared" ca="1" si="20"/>
        <v>0</v>
      </c>
      <c r="BV12" s="2790">
        <f t="shared" ca="1" si="20"/>
        <v>0</v>
      </c>
      <c r="BW12" s="2790">
        <f t="shared" ca="1" si="20"/>
        <v>0</v>
      </c>
      <c r="BX12" s="2790">
        <f t="shared" ca="1" si="20"/>
        <v>0</v>
      </c>
      <c r="BY12" s="2790">
        <f t="shared" ref="BY12:CH13" ca="1" si="21">IFERROR(SUMIFS(INDIRECT($C12&amp;".Emissions["&amp;this.Year&amp;"]"), INDIRECT($C12&amp;".Emissions[GHG]"), BY$6, INDIRECT($C12&amp;".Emissions[IPCC Sector]"), BY$5),0)</f>
        <v>0</v>
      </c>
      <c r="BZ12" s="2790">
        <f t="shared" ca="1" si="21"/>
        <v>0</v>
      </c>
      <c r="CA12" s="2790">
        <f t="shared" ca="1" si="21"/>
        <v>0</v>
      </c>
      <c r="CB12" s="2790">
        <f t="shared" ca="1" si="21"/>
        <v>0</v>
      </c>
      <c r="CC12" s="2790">
        <f t="shared" ca="1" si="21"/>
        <v>0</v>
      </c>
      <c r="CD12" s="2790">
        <f t="shared" ca="1" si="21"/>
        <v>0</v>
      </c>
      <c r="CE12" s="2790">
        <f t="shared" ca="1" si="21"/>
        <v>0</v>
      </c>
      <c r="CF12" s="2790">
        <f t="shared" ca="1" si="21"/>
        <v>0</v>
      </c>
      <c r="CG12" s="2790">
        <f t="shared" ca="1" si="21"/>
        <v>0</v>
      </c>
      <c r="CH12" s="2790">
        <f t="shared" ca="1" si="21"/>
        <v>0</v>
      </c>
      <c r="CI12" s="2790">
        <f t="shared" ref="CI12:CR13" ca="1" si="22">IFERROR(SUMIFS(INDIRECT($C12&amp;".Emissions["&amp;this.Year&amp;"]"), INDIRECT($C12&amp;".Emissions[GHG]"), CI$6, INDIRECT($C12&amp;".Emissions[IPCC Sector]"), CI$5),0)</f>
        <v>0</v>
      </c>
      <c r="CJ12" s="2790">
        <f t="shared" ca="1" si="22"/>
        <v>0</v>
      </c>
      <c r="CK12" s="2790">
        <f t="shared" ca="1" si="22"/>
        <v>0</v>
      </c>
      <c r="CL12" s="2790">
        <f t="shared" ca="1" si="22"/>
        <v>0</v>
      </c>
      <c r="CM12" s="2790">
        <f t="shared" ca="1" si="22"/>
        <v>0</v>
      </c>
      <c r="CN12" s="2790">
        <f t="shared" ca="1" si="22"/>
        <v>0</v>
      </c>
      <c r="CO12" s="2790">
        <f t="shared" ca="1" si="22"/>
        <v>0</v>
      </c>
      <c r="CP12" s="2790">
        <f t="shared" ca="1" si="22"/>
        <v>0</v>
      </c>
      <c r="CQ12" s="2790">
        <f t="shared" ca="1" si="22"/>
        <v>0</v>
      </c>
      <c r="CR12" s="2790">
        <f t="shared" ca="1" si="22"/>
        <v>0</v>
      </c>
      <c r="CS12" s="2790">
        <f t="shared" ref="CS12:DF13" ca="1" si="23">IFERROR(SUMIFS(INDIRECT($C12&amp;".Emissions["&amp;this.Year&amp;"]"), INDIRECT($C12&amp;".Emissions[GHG]"), CS$6, INDIRECT($C12&amp;".Emissions[IPCC Sector]"), CS$5),0)</f>
        <v>0</v>
      </c>
      <c r="CT12" s="2790">
        <f t="shared" ca="1" si="23"/>
        <v>0</v>
      </c>
      <c r="CU12" s="2790">
        <f t="shared" ca="1" si="23"/>
        <v>0</v>
      </c>
      <c r="CV12" s="2790">
        <f t="shared" ca="1" si="23"/>
        <v>0</v>
      </c>
      <c r="CW12" s="2790">
        <f t="shared" ca="1" si="23"/>
        <v>0</v>
      </c>
      <c r="CX12" s="2790">
        <f t="shared" ca="1" si="23"/>
        <v>0</v>
      </c>
      <c r="CY12" s="2790">
        <f t="shared" ca="1" si="23"/>
        <v>0</v>
      </c>
      <c r="CZ12" s="2790">
        <f t="shared" ca="1" si="23"/>
        <v>0</v>
      </c>
      <c r="DA12" s="2790">
        <f t="shared" ca="1" si="23"/>
        <v>0</v>
      </c>
      <c r="DB12" s="2790">
        <f t="shared" ca="1" si="23"/>
        <v>0</v>
      </c>
      <c r="DC12" s="2790">
        <f t="shared" ca="1" si="23"/>
        <v>0</v>
      </c>
      <c r="DD12" s="2790">
        <f t="shared" ca="1" si="23"/>
        <v>0</v>
      </c>
      <c r="DE12" s="2790">
        <f t="shared" ca="1" si="23"/>
        <v>0</v>
      </c>
      <c r="DF12" s="2790">
        <f t="shared" ca="1" si="23"/>
        <v>0</v>
      </c>
      <c r="DH12" s="596"/>
    </row>
    <row r="13" spans="1:112" s="6" customFormat="1">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2"/>
        <v>0</v>
      </c>
      <c r="Y13" s="602">
        <f t="shared" ca="1" si="2"/>
        <v>0</v>
      </c>
      <c r="Z13" s="602">
        <f t="shared" ca="1" si="2"/>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3"/>
        <v>0</v>
      </c>
      <c r="AM13" s="604">
        <f t="shared" ca="1" si="18"/>
        <v>0</v>
      </c>
      <c r="AN13" s="604">
        <f t="shared" ca="1" si="18"/>
        <v>0</v>
      </c>
      <c r="AO13" s="604">
        <f t="shared" ca="1" si="18"/>
        <v>0</v>
      </c>
      <c r="AP13" s="604">
        <f t="shared" ca="1" si="18"/>
        <v>0</v>
      </c>
      <c r="AQ13" s="604">
        <f t="shared" ca="1" si="18"/>
        <v>0</v>
      </c>
      <c r="AR13" s="604">
        <f t="shared" ca="1" si="18"/>
        <v>0</v>
      </c>
      <c r="AS13" s="604">
        <f t="shared" ca="1" si="18"/>
        <v>0</v>
      </c>
      <c r="AT13" s="604">
        <f t="shared" ca="1" si="18"/>
        <v>0</v>
      </c>
      <c r="AU13" s="604">
        <f t="shared" ca="1" si="18"/>
        <v>0</v>
      </c>
      <c r="AV13" s="604">
        <f t="shared" ca="1" si="18"/>
        <v>0</v>
      </c>
      <c r="AW13" s="604">
        <f t="shared" ca="1" si="18"/>
        <v>0</v>
      </c>
      <c r="AX13" s="604">
        <f t="shared" ca="1" si="18"/>
        <v>0</v>
      </c>
      <c r="AY13" s="604">
        <f t="shared" ca="1" si="18"/>
        <v>0</v>
      </c>
      <c r="AZ13" s="604">
        <f t="shared" ca="1" si="18"/>
        <v>0</v>
      </c>
      <c r="BA13" s="604">
        <f t="shared" ca="1" si="18"/>
        <v>0</v>
      </c>
      <c r="BB13" s="604">
        <f t="shared" ca="1" si="18"/>
        <v>0</v>
      </c>
      <c r="BC13" s="604">
        <f t="shared" ca="1" si="19"/>
        <v>0</v>
      </c>
      <c r="BD13" s="604">
        <f t="shared" ca="1" si="19"/>
        <v>0</v>
      </c>
      <c r="BE13" s="604">
        <f t="shared" ca="1" si="19"/>
        <v>0</v>
      </c>
      <c r="BF13" s="605">
        <f t="shared" ca="1" si="6"/>
        <v>0</v>
      </c>
      <c r="BH13" s="3472">
        <f t="shared" ca="1" si="7"/>
        <v>0</v>
      </c>
      <c r="BI13" s="3472">
        <f t="shared" ca="1" si="7"/>
        <v>0</v>
      </c>
      <c r="BJ13" s="3461">
        <f t="shared" ca="1" si="8"/>
        <v>0</v>
      </c>
      <c r="BL13" s="606">
        <f t="shared" ca="1" si="9"/>
        <v>0</v>
      </c>
      <c r="BM13" s="606"/>
      <c r="BN13" s="413"/>
      <c r="BO13" s="2789">
        <f t="shared" ca="1" si="20"/>
        <v>0</v>
      </c>
      <c r="BP13" s="2790">
        <f t="shared" ca="1" si="20"/>
        <v>0</v>
      </c>
      <c r="BQ13" s="2790">
        <f t="shared" ca="1" si="20"/>
        <v>0</v>
      </c>
      <c r="BR13" s="2790">
        <f t="shared" ca="1" si="20"/>
        <v>0</v>
      </c>
      <c r="BS13" s="2790">
        <f t="shared" ca="1" si="20"/>
        <v>0</v>
      </c>
      <c r="BT13" s="2790">
        <f t="shared" ca="1" si="20"/>
        <v>0</v>
      </c>
      <c r="BU13" s="2790">
        <f t="shared" ca="1" si="20"/>
        <v>0</v>
      </c>
      <c r="BV13" s="2790">
        <f t="shared" ca="1" si="20"/>
        <v>0</v>
      </c>
      <c r="BW13" s="2790">
        <f t="shared" ca="1" si="20"/>
        <v>0</v>
      </c>
      <c r="BX13" s="2790">
        <f t="shared" ca="1" si="20"/>
        <v>0</v>
      </c>
      <c r="BY13" s="2790">
        <f t="shared" ca="1" si="21"/>
        <v>0</v>
      </c>
      <c r="BZ13" s="2790">
        <f t="shared" ca="1" si="21"/>
        <v>0</v>
      </c>
      <c r="CA13" s="2790">
        <f t="shared" ca="1" si="21"/>
        <v>0</v>
      </c>
      <c r="CB13" s="2790">
        <f t="shared" ca="1" si="21"/>
        <v>0</v>
      </c>
      <c r="CC13" s="2790">
        <f t="shared" ca="1" si="21"/>
        <v>0</v>
      </c>
      <c r="CD13" s="2790">
        <f t="shared" ca="1" si="21"/>
        <v>0</v>
      </c>
      <c r="CE13" s="2790">
        <f t="shared" ca="1" si="21"/>
        <v>0</v>
      </c>
      <c r="CF13" s="2790">
        <f t="shared" ca="1" si="21"/>
        <v>0</v>
      </c>
      <c r="CG13" s="2790">
        <f t="shared" ca="1" si="21"/>
        <v>0</v>
      </c>
      <c r="CH13" s="2790">
        <f t="shared" ca="1" si="21"/>
        <v>0</v>
      </c>
      <c r="CI13" s="2790">
        <f t="shared" ca="1" si="22"/>
        <v>0</v>
      </c>
      <c r="CJ13" s="2790">
        <f t="shared" ca="1" si="22"/>
        <v>0</v>
      </c>
      <c r="CK13" s="2790">
        <f t="shared" ca="1" si="22"/>
        <v>0</v>
      </c>
      <c r="CL13" s="2790">
        <f t="shared" ca="1" si="22"/>
        <v>0</v>
      </c>
      <c r="CM13" s="2790">
        <f t="shared" ca="1" si="22"/>
        <v>0</v>
      </c>
      <c r="CN13" s="2790">
        <f t="shared" ca="1" si="22"/>
        <v>0</v>
      </c>
      <c r="CO13" s="2790">
        <f t="shared" ca="1" si="22"/>
        <v>0</v>
      </c>
      <c r="CP13" s="2790">
        <f t="shared" ca="1" si="22"/>
        <v>0</v>
      </c>
      <c r="CQ13" s="2790">
        <f t="shared" ca="1" si="22"/>
        <v>0</v>
      </c>
      <c r="CR13" s="2790">
        <f t="shared" ca="1" si="22"/>
        <v>0</v>
      </c>
      <c r="CS13" s="2790">
        <f t="shared" ca="1" si="23"/>
        <v>0</v>
      </c>
      <c r="CT13" s="2790">
        <f t="shared" ca="1" si="23"/>
        <v>0</v>
      </c>
      <c r="CU13" s="2790">
        <f t="shared" ca="1" si="23"/>
        <v>0</v>
      </c>
      <c r="CV13" s="2790">
        <f t="shared" ca="1" si="23"/>
        <v>0</v>
      </c>
      <c r="CW13" s="2790">
        <f t="shared" ca="1" si="23"/>
        <v>0</v>
      </c>
      <c r="CX13" s="2790">
        <f t="shared" ca="1" si="23"/>
        <v>0</v>
      </c>
      <c r="CY13" s="2790">
        <f t="shared" ca="1" si="23"/>
        <v>0</v>
      </c>
      <c r="CZ13" s="2790">
        <f t="shared" ca="1" si="23"/>
        <v>0</v>
      </c>
      <c r="DA13" s="2790">
        <f t="shared" ca="1" si="23"/>
        <v>0</v>
      </c>
      <c r="DB13" s="2790">
        <f t="shared" ca="1" si="23"/>
        <v>0</v>
      </c>
      <c r="DC13" s="2790">
        <f t="shared" ca="1" si="23"/>
        <v>0</v>
      </c>
      <c r="DD13" s="2790">
        <f t="shared" ca="1" si="23"/>
        <v>0</v>
      </c>
      <c r="DE13" s="2790">
        <f t="shared" ca="1" si="23"/>
        <v>0</v>
      </c>
      <c r="DF13" s="2790">
        <f t="shared" ca="1" si="23"/>
        <v>0</v>
      </c>
      <c r="DH13" s="596"/>
    </row>
    <row r="14" spans="1:112" s="6" customFormat="1">
      <c r="A14" s="607"/>
      <c r="B14" s="607"/>
      <c r="C14" s="587"/>
      <c r="D14" s="611" t="s">
        <v>469</v>
      </c>
      <c r="E14" s="611"/>
      <c r="G14" s="612">
        <f ca="1">SUM(G12:G13)</f>
        <v>11.279412872359741</v>
      </c>
      <c r="H14" s="612">
        <f t="shared" ref="H14:P14" ca="1" si="24">SUM(H12:H13)</f>
        <v>0</v>
      </c>
      <c r="I14" s="612">
        <f t="shared" ca="1" si="24"/>
        <v>0</v>
      </c>
      <c r="J14" s="612">
        <f t="shared" ca="1" si="24"/>
        <v>0</v>
      </c>
      <c r="K14" s="612">
        <f t="shared" ca="1" si="24"/>
        <v>0</v>
      </c>
      <c r="L14" s="612">
        <f t="shared" ca="1" si="24"/>
        <v>0</v>
      </c>
      <c r="M14" s="612">
        <f t="shared" ca="1" si="24"/>
        <v>0</v>
      </c>
      <c r="N14" s="612">
        <f ca="1">SUM(N12:N13)</f>
        <v>0</v>
      </c>
      <c r="O14" s="612">
        <f ca="1">SUM(O12:O13)</f>
        <v>0</v>
      </c>
      <c r="P14" s="612">
        <f t="shared" ca="1" si="24"/>
        <v>0</v>
      </c>
      <c r="Q14" s="612">
        <f t="shared" ca="1" si="1"/>
        <v>11.279412872359741</v>
      </c>
      <c r="S14" s="613">
        <f t="shared" ref="S14:AJ14" ca="1" si="25">SUM(S12:S13)</f>
        <v>-3.4672833333333331</v>
      </c>
      <c r="T14" s="613">
        <f t="shared" ca="1" si="25"/>
        <v>0</v>
      </c>
      <c r="U14" s="613">
        <f t="shared" ca="1" si="25"/>
        <v>-0.33931034482758621</v>
      </c>
      <c r="V14" s="613">
        <f t="shared" ca="1" si="25"/>
        <v>-2.3331958762886598</v>
      </c>
      <c r="W14" s="613">
        <f t="shared" ca="1" si="25"/>
        <v>-5.0765066512434931</v>
      </c>
      <c r="X14" s="613">
        <f ca="1">SUM(X12:X13)</f>
        <v>0</v>
      </c>
      <c r="Y14" s="613">
        <f ca="1">SUM(Y12:Y13)</f>
        <v>0</v>
      </c>
      <c r="Z14" s="613">
        <f ca="1">SUM(Z12:Z13)</f>
        <v>0</v>
      </c>
      <c r="AA14" s="613">
        <f t="shared" ca="1" si="25"/>
        <v>0</v>
      </c>
      <c r="AB14" s="613">
        <f t="shared" ca="1" si="25"/>
        <v>0</v>
      </c>
      <c r="AC14" s="613">
        <f t="shared" ca="1" si="25"/>
        <v>0</v>
      </c>
      <c r="AD14" s="613">
        <f ca="1">SUM(AD12:AD13)</f>
        <v>0</v>
      </c>
      <c r="AE14" s="613">
        <f ca="1">SUM(AE12:AE13)</f>
        <v>0</v>
      </c>
      <c r="AF14" s="613">
        <f t="shared" ca="1" si="25"/>
        <v>0</v>
      </c>
      <c r="AG14" s="613">
        <f ca="1">SUM(AG12:AG13)</f>
        <v>0</v>
      </c>
      <c r="AH14" s="613">
        <f ca="1">SUM(AH12:AH13)</f>
        <v>0</v>
      </c>
      <c r="AI14" s="613">
        <f ca="1">SUM(AI12:AI13)</f>
        <v>0</v>
      </c>
      <c r="AJ14" s="613">
        <f t="shared" ca="1" si="25"/>
        <v>0</v>
      </c>
      <c r="AK14" s="613">
        <f t="shared" ca="1" si="3"/>
        <v>-11.216296205693073</v>
      </c>
      <c r="AM14" s="614">
        <f t="shared" ref="AM14:BE14" ca="1" si="26">SUM(AM12:AM13)</f>
        <v>0</v>
      </c>
      <c r="AN14" s="614">
        <f t="shared" ca="1" si="26"/>
        <v>0</v>
      </c>
      <c r="AO14" s="614">
        <f t="shared" ca="1" si="26"/>
        <v>0</v>
      </c>
      <c r="AP14" s="614">
        <f t="shared" ca="1" si="26"/>
        <v>0</v>
      </c>
      <c r="AQ14" s="614">
        <f t="shared" ca="1" si="26"/>
        <v>0</v>
      </c>
      <c r="AR14" s="614">
        <f t="shared" ca="1" si="26"/>
        <v>0</v>
      </c>
      <c r="AS14" s="614">
        <f t="shared" ca="1" si="26"/>
        <v>0</v>
      </c>
      <c r="AT14" s="614">
        <f t="shared" ca="1" si="26"/>
        <v>0</v>
      </c>
      <c r="AU14" s="614">
        <f t="shared" ca="1" si="26"/>
        <v>0</v>
      </c>
      <c r="AV14" s="614">
        <f t="shared" ca="1" si="26"/>
        <v>0</v>
      </c>
      <c r="AW14" s="614">
        <f t="shared" ca="1" si="26"/>
        <v>0</v>
      </c>
      <c r="AX14" s="614">
        <f t="shared" ca="1" si="26"/>
        <v>0</v>
      </c>
      <c r="AY14" s="614">
        <f t="shared" ca="1" si="26"/>
        <v>0</v>
      </c>
      <c r="AZ14" s="614">
        <f t="shared" ca="1" si="26"/>
        <v>0</v>
      </c>
      <c r="BA14" s="614">
        <f t="shared" ca="1" si="26"/>
        <v>0</v>
      </c>
      <c r="BB14" s="614">
        <f t="shared" ca="1" si="26"/>
        <v>0</v>
      </c>
      <c r="BC14" s="614">
        <f t="shared" ca="1" si="26"/>
        <v>-6.3116666666666668E-2</v>
      </c>
      <c r="BD14" s="614">
        <f ca="1">SUM(BD12:BD13)</f>
        <v>0</v>
      </c>
      <c r="BE14" s="614">
        <f t="shared" ca="1" si="26"/>
        <v>0</v>
      </c>
      <c r="BF14" s="615">
        <f t="shared" ca="1" si="6"/>
        <v>-6.3116666666666668E-2</v>
      </c>
      <c r="BH14" s="3462">
        <f ca="1">SUM(BH12:BH13)</f>
        <v>0</v>
      </c>
      <c r="BI14" s="3462">
        <f ca="1">SUM(BI12:BI13)</f>
        <v>0</v>
      </c>
      <c r="BJ14" s="3462">
        <f t="shared" ca="1" si="8"/>
        <v>0</v>
      </c>
      <c r="BL14" s="610">
        <f t="shared" ca="1" si="9"/>
        <v>9.298117831235686E-16</v>
      </c>
      <c r="BM14" s="610"/>
      <c r="BN14" s="413"/>
      <c r="BO14" s="2791">
        <f t="shared" ref="BO14:DF14" ca="1" si="27">SUM(BO12:BO13)</f>
        <v>1.769511034251118</v>
      </c>
      <c r="BP14" s="2792">
        <f t="shared" ca="1" si="27"/>
        <v>9.3090903102455212E-4</v>
      </c>
      <c r="BQ14" s="2792">
        <f t="shared" ca="1" si="27"/>
        <v>1.8181249257261119E-2</v>
      </c>
      <c r="BR14" s="2792">
        <f t="shared" ca="1" si="27"/>
        <v>0</v>
      </c>
      <c r="BS14" s="2792">
        <f t="shared" ca="1" si="27"/>
        <v>0</v>
      </c>
      <c r="BT14" s="2792">
        <f t="shared" ca="1" si="27"/>
        <v>0</v>
      </c>
      <c r="BU14" s="2792">
        <f t="shared" ca="1" si="27"/>
        <v>0</v>
      </c>
      <c r="BV14" s="2792">
        <f t="shared" ca="1" si="27"/>
        <v>0</v>
      </c>
      <c r="BW14" s="2792">
        <f t="shared" ca="1" si="27"/>
        <v>0</v>
      </c>
      <c r="BX14" s="2792">
        <f t="shared" ca="1" si="27"/>
        <v>0</v>
      </c>
      <c r="BY14" s="2792">
        <f t="shared" ca="1" si="27"/>
        <v>0</v>
      </c>
      <c r="BZ14" s="2792">
        <f t="shared" ca="1" si="27"/>
        <v>0</v>
      </c>
      <c r="CA14" s="2792">
        <f t="shared" ca="1" si="27"/>
        <v>0</v>
      </c>
      <c r="CB14" s="2792">
        <f t="shared" ca="1" si="27"/>
        <v>0</v>
      </c>
      <c r="CC14" s="2792">
        <f t="shared" ca="1" si="27"/>
        <v>0</v>
      </c>
      <c r="CD14" s="2792">
        <f t="shared" ca="1" si="27"/>
        <v>0</v>
      </c>
      <c r="CE14" s="2792">
        <f t="shared" ca="1" si="27"/>
        <v>0</v>
      </c>
      <c r="CF14" s="2792">
        <f t="shared" ca="1" si="27"/>
        <v>0</v>
      </c>
      <c r="CG14" s="2792">
        <f t="shared" ca="1" si="27"/>
        <v>0</v>
      </c>
      <c r="CH14" s="2792">
        <f t="shared" ca="1" si="27"/>
        <v>0</v>
      </c>
      <c r="CI14" s="2792">
        <f t="shared" ca="1" si="27"/>
        <v>0</v>
      </c>
      <c r="CJ14" s="2792">
        <f t="shared" ca="1" si="27"/>
        <v>0</v>
      </c>
      <c r="CK14" s="2792">
        <f t="shared" ca="1" si="27"/>
        <v>0</v>
      </c>
      <c r="CL14" s="2792">
        <f t="shared" ca="1" si="27"/>
        <v>0</v>
      </c>
      <c r="CM14" s="2792">
        <f t="shared" ca="1" si="27"/>
        <v>0</v>
      </c>
      <c r="CN14" s="2792">
        <f t="shared" ca="1" si="27"/>
        <v>0</v>
      </c>
      <c r="CO14" s="2792">
        <f t="shared" ca="1" si="27"/>
        <v>0</v>
      </c>
      <c r="CP14" s="2792">
        <f t="shared" ca="1" si="27"/>
        <v>0</v>
      </c>
      <c r="CQ14" s="2792">
        <f t="shared" ca="1" si="27"/>
        <v>0</v>
      </c>
      <c r="CR14" s="2792">
        <f t="shared" ca="1" si="27"/>
        <v>0</v>
      </c>
      <c r="CS14" s="2792">
        <f t="shared" ca="1" si="27"/>
        <v>0</v>
      </c>
      <c r="CT14" s="2792">
        <f t="shared" ca="1" si="27"/>
        <v>0</v>
      </c>
      <c r="CU14" s="2792">
        <f t="shared" ca="1" si="27"/>
        <v>0</v>
      </c>
      <c r="CV14" s="2792">
        <f t="shared" ca="1" si="27"/>
        <v>0</v>
      </c>
      <c r="CW14" s="2792">
        <f t="shared" ca="1" si="27"/>
        <v>0</v>
      </c>
      <c r="CX14" s="2792">
        <f t="shared" ca="1" si="27"/>
        <v>0</v>
      </c>
      <c r="CY14" s="2792">
        <f t="shared" ca="1" si="27"/>
        <v>0</v>
      </c>
      <c r="CZ14" s="2792">
        <f t="shared" ca="1" si="27"/>
        <v>0</v>
      </c>
      <c r="DA14" s="2792">
        <f t="shared" ca="1" si="27"/>
        <v>0</v>
      </c>
      <c r="DB14" s="2792">
        <f t="shared" ca="1" si="27"/>
        <v>0</v>
      </c>
      <c r="DC14" s="2792">
        <f t="shared" ca="1" si="27"/>
        <v>0</v>
      </c>
      <c r="DD14" s="2792">
        <f t="shared" ca="1" si="27"/>
        <v>0</v>
      </c>
      <c r="DE14" s="2792">
        <f t="shared" ca="1" si="27"/>
        <v>0</v>
      </c>
      <c r="DF14" s="2792">
        <f t="shared" ca="1" si="27"/>
        <v>0</v>
      </c>
      <c r="DH14" s="596"/>
    </row>
    <row r="15" spans="1:112" s="6" customFormat="1" ht="15.75">
      <c r="A15" s="4"/>
      <c r="B15" s="3"/>
      <c r="C15" s="616" t="s">
        <v>0</v>
      </c>
      <c r="D15" s="617" t="s">
        <v>1</v>
      </c>
      <c r="E15" s="206"/>
      <c r="G15" s="618">
        <f t="shared" ref="G15:P15" ca="1" si="28">G14+G11</f>
        <v>35.698527384815208</v>
      </c>
      <c r="H15" s="618">
        <f t="shared" ca="1" si="28"/>
        <v>0</v>
      </c>
      <c r="I15" s="618">
        <f t="shared" ca="1" si="28"/>
        <v>0</v>
      </c>
      <c r="J15" s="618">
        <f t="shared" ca="1" si="28"/>
        <v>0</v>
      </c>
      <c r="K15" s="618">
        <f t="shared" ca="1" si="28"/>
        <v>0</v>
      </c>
      <c r="L15" s="618">
        <f t="shared" ca="1" si="28"/>
        <v>0</v>
      </c>
      <c r="M15" s="618">
        <f t="shared" ca="1" si="28"/>
        <v>0</v>
      </c>
      <c r="N15" s="618">
        <f t="shared" ca="1" si="28"/>
        <v>0</v>
      </c>
      <c r="O15" s="618">
        <f t="shared" ca="1" si="28"/>
        <v>0</v>
      </c>
      <c r="P15" s="618">
        <f t="shared" ca="1" si="28"/>
        <v>0</v>
      </c>
      <c r="Q15" s="618">
        <f t="shared" ca="1" si="1"/>
        <v>35.698527384815208</v>
      </c>
      <c r="S15" s="581">
        <f t="shared" ref="S15:AJ15" ca="1" si="29">S14+S11</f>
        <v>-4.9050318032921556</v>
      </c>
      <c r="T15" s="581">
        <f t="shared" ca="1" si="29"/>
        <v>0</v>
      </c>
      <c r="U15" s="581">
        <f t="shared" ca="1" si="29"/>
        <v>-0.60283738532241449</v>
      </c>
      <c r="V15" s="581">
        <f t="shared" ca="1" si="29"/>
        <v>-15.332957616162405</v>
      </c>
      <c r="W15" s="581">
        <f t="shared" ca="1" si="29"/>
        <v>-14.332112817286836</v>
      </c>
      <c r="X15" s="581">
        <f t="shared" ca="1" si="29"/>
        <v>0</v>
      </c>
      <c r="Y15" s="581">
        <f t="shared" ca="1" si="29"/>
        <v>0</v>
      </c>
      <c r="Z15" s="581">
        <f t="shared" ca="1" si="29"/>
        <v>0</v>
      </c>
      <c r="AA15" s="581">
        <f t="shared" ca="1" si="29"/>
        <v>0</v>
      </c>
      <c r="AB15" s="581">
        <f t="shared" ca="1" si="29"/>
        <v>0</v>
      </c>
      <c r="AC15" s="581">
        <f t="shared" ca="1" si="29"/>
        <v>0</v>
      </c>
      <c r="AD15" s="581">
        <f t="shared" ca="1" si="29"/>
        <v>0</v>
      </c>
      <c r="AE15" s="581">
        <f ca="1">AE14+AE11</f>
        <v>0</v>
      </c>
      <c r="AF15" s="581">
        <f t="shared" ca="1" si="29"/>
        <v>0</v>
      </c>
      <c r="AG15" s="581">
        <f t="shared" ca="1" si="29"/>
        <v>0</v>
      </c>
      <c r="AH15" s="581">
        <f ca="1">AH14+AH11</f>
        <v>0</v>
      </c>
      <c r="AI15" s="581">
        <f t="shared" ca="1" si="29"/>
        <v>-0.29533988943004724</v>
      </c>
      <c r="AJ15" s="581">
        <f t="shared" ca="1" si="29"/>
        <v>0</v>
      </c>
      <c r="AK15" s="581">
        <f t="shared" ca="1" si="3"/>
        <v>-35.468279511493854</v>
      </c>
      <c r="AM15" s="582">
        <f t="shared" ref="AM15:BE15" ca="1" si="30">AM14+AM11</f>
        <v>0</v>
      </c>
      <c r="AN15" s="582">
        <f t="shared" ca="1" si="30"/>
        <v>0</v>
      </c>
      <c r="AO15" s="582">
        <f t="shared" ca="1" si="30"/>
        <v>0</v>
      </c>
      <c r="AP15" s="582">
        <f t="shared" ca="1" si="30"/>
        <v>0</v>
      </c>
      <c r="AQ15" s="582">
        <f t="shared" ca="1" si="30"/>
        <v>0</v>
      </c>
      <c r="AR15" s="582">
        <f t="shared" ca="1" si="30"/>
        <v>0</v>
      </c>
      <c r="AS15" s="582">
        <f t="shared" ca="1" si="30"/>
        <v>0</v>
      </c>
      <c r="AT15" s="582">
        <f t="shared" ca="1" si="30"/>
        <v>0</v>
      </c>
      <c r="AU15" s="582">
        <f t="shared" ca="1" si="30"/>
        <v>0</v>
      </c>
      <c r="AV15" s="582">
        <f t="shared" ca="1" si="30"/>
        <v>0</v>
      </c>
      <c r="AW15" s="582">
        <f t="shared" ca="1" si="30"/>
        <v>0</v>
      </c>
      <c r="AX15" s="582">
        <f t="shared" ca="1" si="30"/>
        <v>0</v>
      </c>
      <c r="AY15" s="582">
        <f t="shared" ca="1" si="30"/>
        <v>0</v>
      </c>
      <c r="AZ15" s="582">
        <f t="shared" ca="1" si="30"/>
        <v>0</v>
      </c>
      <c r="BA15" s="582">
        <f t="shared" ca="1" si="30"/>
        <v>0</v>
      </c>
      <c r="BB15" s="582">
        <f t="shared" ca="1" si="30"/>
        <v>0</v>
      </c>
      <c r="BC15" s="582">
        <f t="shared" ca="1" si="30"/>
        <v>-0.23024787332134827</v>
      </c>
      <c r="BD15" s="582">
        <f ca="1">BD14+BD11</f>
        <v>0</v>
      </c>
      <c r="BE15" s="582">
        <f t="shared" ca="1" si="30"/>
        <v>0</v>
      </c>
      <c r="BF15" s="582">
        <f t="shared" ca="1" si="6"/>
        <v>-0.23024787332134827</v>
      </c>
      <c r="BH15" s="3463">
        <f ca="1">BH14+BH11</f>
        <v>0</v>
      </c>
      <c r="BI15" s="3463">
        <f ca="1">BI14+BI11</f>
        <v>0</v>
      </c>
      <c r="BJ15" s="3463">
        <f t="shared" ca="1" si="8"/>
        <v>0</v>
      </c>
      <c r="BL15" s="3477">
        <f t="shared" ca="1" si="9"/>
        <v>5.0515147620444623E-15</v>
      </c>
      <c r="BM15" s="584"/>
      <c r="BN15" s="413"/>
      <c r="BO15" s="2790">
        <f t="shared" ref="BO15:DF15" ca="1" si="31">BO14+BO11</f>
        <v>7.1836795950855548</v>
      </c>
      <c r="BP15" s="2790">
        <f t="shared" ca="1" si="31"/>
        <v>4.5929246707637813E-3</v>
      </c>
      <c r="BQ15" s="2790">
        <f t="shared" ca="1" si="31"/>
        <v>5.6987781602659368E-2</v>
      </c>
      <c r="BR15" s="2790">
        <f t="shared" ca="1" si="31"/>
        <v>0</v>
      </c>
      <c r="BS15" s="2790">
        <f t="shared" ca="1" si="31"/>
        <v>0</v>
      </c>
      <c r="BT15" s="2790">
        <f t="shared" ca="1" si="31"/>
        <v>0</v>
      </c>
      <c r="BU15" s="2790">
        <f t="shared" ca="1" si="31"/>
        <v>0</v>
      </c>
      <c r="BV15" s="2790">
        <f t="shared" ca="1" si="31"/>
        <v>0</v>
      </c>
      <c r="BW15" s="2790">
        <f t="shared" ca="1" si="31"/>
        <v>0</v>
      </c>
      <c r="BX15" s="2790">
        <f t="shared" ca="1" si="31"/>
        <v>0</v>
      </c>
      <c r="BY15" s="2790">
        <f t="shared" ca="1" si="31"/>
        <v>0</v>
      </c>
      <c r="BZ15" s="2790">
        <f t="shared" ca="1" si="31"/>
        <v>0</v>
      </c>
      <c r="CA15" s="2790">
        <f t="shared" ca="1" si="31"/>
        <v>0</v>
      </c>
      <c r="CB15" s="2790">
        <f t="shared" ca="1" si="31"/>
        <v>0</v>
      </c>
      <c r="CC15" s="2790">
        <f t="shared" ca="1" si="31"/>
        <v>0</v>
      </c>
      <c r="CD15" s="2790">
        <f t="shared" ca="1" si="31"/>
        <v>0</v>
      </c>
      <c r="CE15" s="2790">
        <f t="shared" ca="1" si="31"/>
        <v>0</v>
      </c>
      <c r="CF15" s="2790">
        <f t="shared" ca="1" si="31"/>
        <v>0</v>
      </c>
      <c r="CG15" s="2790">
        <f t="shared" ca="1" si="31"/>
        <v>0</v>
      </c>
      <c r="CH15" s="2790">
        <f t="shared" ca="1" si="31"/>
        <v>0</v>
      </c>
      <c r="CI15" s="2790">
        <f t="shared" ca="1" si="31"/>
        <v>0</v>
      </c>
      <c r="CJ15" s="2790">
        <f t="shared" ca="1" si="31"/>
        <v>0</v>
      </c>
      <c r="CK15" s="2790">
        <f t="shared" ca="1" si="31"/>
        <v>0</v>
      </c>
      <c r="CL15" s="2790">
        <f t="shared" ca="1" si="31"/>
        <v>0</v>
      </c>
      <c r="CM15" s="2790">
        <f t="shared" ca="1" si="31"/>
        <v>0</v>
      </c>
      <c r="CN15" s="2790">
        <f t="shared" ca="1" si="31"/>
        <v>0</v>
      </c>
      <c r="CO15" s="2790">
        <f t="shared" ca="1" si="31"/>
        <v>0</v>
      </c>
      <c r="CP15" s="2790">
        <f t="shared" ca="1" si="31"/>
        <v>0</v>
      </c>
      <c r="CQ15" s="2790">
        <f t="shared" ca="1" si="31"/>
        <v>0</v>
      </c>
      <c r="CR15" s="2790">
        <f t="shared" ca="1" si="31"/>
        <v>0</v>
      </c>
      <c r="CS15" s="2790">
        <f t="shared" ca="1" si="31"/>
        <v>0</v>
      </c>
      <c r="CT15" s="2790">
        <f t="shared" ca="1" si="31"/>
        <v>0</v>
      </c>
      <c r="CU15" s="2790">
        <f t="shared" ca="1" si="31"/>
        <v>0</v>
      </c>
      <c r="CV15" s="2790">
        <f t="shared" ca="1" si="31"/>
        <v>0</v>
      </c>
      <c r="CW15" s="2790">
        <f t="shared" ca="1" si="31"/>
        <v>0</v>
      </c>
      <c r="CX15" s="2790">
        <f t="shared" ca="1" si="31"/>
        <v>0</v>
      </c>
      <c r="CY15" s="2790">
        <f t="shared" ca="1" si="31"/>
        <v>0</v>
      </c>
      <c r="CZ15" s="2790">
        <f t="shared" ca="1" si="31"/>
        <v>0</v>
      </c>
      <c r="DA15" s="2790">
        <f t="shared" ca="1" si="31"/>
        <v>0</v>
      </c>
      <c r="DB15" s="2790">
        <f t="shared" ca="1" si="31"/>
        <v>0</v>
      </c>
      <c r="DC15" s="2790">
        <f t="shared" ca="1" si="31"/>
        <v>0</v>
      </c>
      <c r="DD15" s="2790">
        <f t="shared" ca="1" si="31"/>
        <v>0</v>
      </c>
      <c r="DE15" s="2790">
        <f t="shared" ca="1" si="31"/>
        <v>0</v>
      </c>
      <c r="DF15" s="2790">
        <f t="shared" ca="1" si="31"/>
        <v>0</v>
      </c>
      <c r="DH15" s="596">
        <f t="shared" ref="DH15:DH38" ca="1" si="32">SUM(BO15:DF15)</f>
        <v>7.2452603013589778</v>
      </c>
    </row>
    <row r="16" spans="1:112" s="6" customFormat="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9"/>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2"/>
        <v>0</v>
      </c>
    </row>
    <row r="17" spans="1:112" s="6" customFormat="1">
      <c r="A17" s="607"/>
      <c r="B17" s="607"/>
      <c r="C17" s="587" t="s">
        <v>470</v>
      </c>
      <c r="D17" s="586" t="s">
        <v>471</v>
      </c>
      <c r="E17" s="599"/>
      <c r="G17" s="589">
        <f t="shared" ref="G17:P18" ca="1" si="33">IFERROR(INDEX(INDIRECT($C17&amp;".Outputs["&amp;this.Year&amp;"]"), MATCH(G$5, INDIRECT($C17&amp;".Outputs[Vector]"), 0)), 0)</f>
        <v>0</v>
      </c>
      <c r="H17" s="589">
        <f t="shared" ca="1" si="33"/>
        <v>5.5072910768582695</v>
      </c>
      <c r="I17" s="589">
        <f t="shared" ca="1" si="33"/>
        <v>0</v>
      </c>
      <c r="J17" s="589">
        <f t="shared" ca="1" si="33"/>
        <v>0</v>
      </c>
      <c r="K17" s="589">
        <f t="shared" ca="1" si="33"/>
        <v>0</v>
      </c>
      <c r="L17" s="589">
        <f t="shared" ca="1" si="33"/>
        <v>0</v>
      </c>
      <c r="M17" s="589">
        <f t="shared" ca="1" si="33"/>
        <v>0</v>
      </c>
      <c r="N17" s="589">
        <f t="shared" ca="1" si="33"/>
        <v>0</v>
      </c>
      <c r="O17" s="589">
        <f t="shared" ca="1" si="33"/>
        <v>0</v>
      </c>
      <c r="P17" s="589">
        <f t="shared" ca="1" si="33"/>
        <v>0</v>
      </c>
      <c r="Q17" s="590">
        <f ca="1">SUM(G17:P17)</f>
        <v>5.5072910768582695</v>
      </c>
      <c r="S17" s="591">
        <f t="shared" ref="S17:AJ18" ca="1" si="34">IFERROR(INDEX(INDIRECT($C17&amp;".Outputs["&amp;this.Year&amp;"]"), MATCH(S$5, INDIRECT($C17&amp;".Outputs[Vector]"), 0)), 0)</f>
        <v>-5.0984970927343829</v>
      </c>
      <c r="T17" s="591">
        <f t="shared" ca="1" si="34"/>
        <v>0</v>
      </c>
      <c r="U17" s="591">
        <f t="shared" ca="1" si="34"/>
        <v>0</v>
      </c>
      <c r="V17" s="591">
        <f t="shared" ca="1" si="34"/>
        <v>0</v>
      </c>
      <c r="W17" s="591">
        <f t="shared" ca="1" si="34"/>
        <v>-0.40879398412388662</v>
      </c>
      <c r="X17" s="591">
        <f t="shared" ca="1" si="34"/>
        <v>0</v>
      </c>
      <c r="Y17" s="591">
        <f t="shared" ca="1" si="34"/>
        <v>0</v>
      </c>
      <c r="Z17" s="591">
        <f t="shared" ca="1" si="34"/>
        <v>0</v>
      </c>
      <c r="AA17" s="591">
        <f t="shared" ca="1" si="34"/>
        <v>0</v>
      </c>
      <c r="AB17" s="591">
        <f t="shared" ca="1" si="34"/>
        <v>0</v>
      </c>
      <c r="AC17" s="591">
        <f t="shared" ca="1" si="34"/>
        <v>0</v>
      </c>
      <c r="AD17" s="591">
        <f t="shared" ca="1" si="34"/>
        <v>0</v>
      </c>
      <c r="AE17" s="591">
        <f t="shared" ca="1" si="34"/>
        <v>0</v>
      </c>
      <c r="AF17" s="591">
        <f t="shared" ca="1" si="34"/>
        <v>0</v>
      </c>
      <c r="AG17" s="591">
        <f t="shared" ca="1" si="34"/>
        <v>0</v>
      </c>
      <c r="AH17" s="591">
        <f t="shared" ca="1" si="34"/>
        <v>0</v>
      </c>
      <c r="AI17" s="591">
        <f t="shared" ca="1" si="34"/>
        <v>0</v>
      </c>
      <c r="AJ17" s="591">
        <f t="shared" ca="1" si="34"/>
        <v>0</v>
      </c>
      <c r="AK17" s="592">
        <f ca="1">SUM(S17:AJ17)</f>
        <v>-5.5072910768582695</v>
      </c>
      <c r="AM17" s="593">
        <f t="shared" ref="AM17:BB18" ca="1" si="35">IFERROR(INDEX(INDIRECT($C17&amp;".Outputs["&amp;this.Year&amp;"]"), MATCH(AM$5, INDIRECT($C17&amp;".Outputs[Vector]"), 0)), 0)</f>
        <v>0</v>
      </c>
      <c r="AN17" s="593">
        <f t="shared" ca="1" si="35"/>
        <v>0</v>
      </c>
      <c r="AO17" s="593">
        <f t="shared" ca="1" si="35"/>
        <v>0</v>
      </c>
      <c r="AP17" s="593">
        <f t="shared" ca="1" si="35"/>
        <v>0</v>
      </c>
      <c r="AQ17" s="593">
        <f t="shared" ca="1" si="35"/>
        <v>0</v>
      </c>
      <c r="AR17" s="593">
        <f t="shared" ca="1" si="35"/>
        <v>0</v>
      </c>
      <c r="AS17" s="593">
        <f t="shared" ca="1" si="35"/>
        <v>0</v>
      </c>
      <c r="AT17" s="593">
        <f t="shared" ca="1" si="35"/>
        <v>0</v>
      </c>
      <c r="AU17" s="593">
        <f t="shared" ca="1" si="35"/>
        <v>0</v>
      </c>
      <c r="AV17" s="593">
        <f t="shared" ca="1" si="35"/>
        <v>0</v>
      </c>
      <c r="AW17" s="593">
        <f t="shared" ca="1" si="35"/>
        <v>0</v>
      </c>
      <c r="AX17" s="593">
        <f t="shared" ca="1" si="35"/>
        <v>0</v>
      </c>
      <c r="AY17" s="593">
        <f t="shared" ca="1" si="35"/>
        <v>0</v>
      </c>
      <c r="AZ17" s="593">
        <f t="shared" ca="1" si="35"/>
        <v>0</v>
      </c>
      <c r="BA17" s="593">
        <f t="shared" ca="1" si="35"/>
        <v>0</v>
      </c>
      <c r="BB17" s="593">
        <f t="shared" ca="1" si="35"/>
        <v>0</v>
      </c>
      <c r="BC17" s="593">
        <f t="shared" ref="BC17:BE18" ca="1" si="36">IFERROR(INDEX(INDIRECT($C17&amp;".Outputs["&amp;this.Year&amp;"]"), MATCH(BC$5, INDIRECT($C17&amp;".Outputs[Vector]"), 0)), 0)</f>
        <v>0</v>
      </c>
      <c r="BD17" s="593">
        <f t="shared" ca="1" si="36"/>
        <v>0</v>
      </c>
      <c r="BE17" s="593">
        <f t="shared" ca="1" si="36"/>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9"/>
        <v>0</v>
      </c>
      <c r="BM17" s="610"/>
      <c r="BN17" s="413"/>
      <c r="BO17" s="2789">
        <f t="shared" ref="BO17:BX18" ca="1" si="37">IFERROR(SUMIFS(INDIRECT($C17&amp;".Emissions["&amp;this.Year&amp;"]"), INDIRECT($C17&amp;".Emissions[GHG]"), BO$6, INDIRECT($C17&amp;".Emissions[IPCC Sector]"), BO$5),0)</f>
        <v>8.3688794982623022E-2</v>
      </c>
      <c r="BP17" s="2790">
        <f t="shared" ca="1" si="37"/>
        <v>3.0904825199765834E-5</v>
      </c>
      <c r="BQ17" s="2790">
        <f t="shared" ca="1" si="37"/>
        <v>1.3230208502185467E-3</v>
      </c>
      <c r="BR17" s="2790">
        <f t="shared" ca="1" si="37"/>
        <v>0</v>
      </c>
      <c r="BS17" s="2790">
        <f t="shared" ca="1" si="37"/>
        <v>0</v>
      </c>
      <c r="BT17" s="2790">
        <f t="shared" ca="1" si="37"/>
        <v>0</v>
      </c>
      <c r="BU17" s="2790">
        <f t="shared" ca="1" si="37"/>
        <v>0</v>
      </c>
      <c r="BV17" s="2790">
        <f t="shared" ca="1" si="37"/>
        <v>0</v>
      </c>
      <c r="BW17" s="2790">
        <f t="shared" ca="1" si="37"/>
        <v>0</v>
      </c>
      <c r="BX17" s="2790">
        <f t="shared" ca="1" si="37"/>
        <v>0</v>
      </c>
      <c r="BY17" s="2790">
        <f t="shared" ref="BY17:CH18" ca="1" si="38">IFERROR(SUMIFS(INDIRECT($C17&amp;".Emissions["&amp;this.Year&amp;"]"), INDIRECT($C17&amp;".Emissions[GHG]"), BY$6, INDIRECT($C17&amp;".Emissions[IPCC Sector]"), BY$5),0)</f>
        <v>0</v>
      </c>
      <c r="BZ17" s="2790">
        <f t="shared" ca="1" si="38"/>
        <v>0</v>
      </c>
      <c r="CA17" s="2790">
        <f t="shared" ca="1" si="38"/>
        <v>0</v>
      </c>
      <c r="CB17" s="2790">
        <f t="shared" ca="1" si="38"/>
        <v>0</v>
      </c>
      <c r="CC17" s="2790">
        <f t="shared" ca="1" si="38"/>
        <v>0</v>
      </c>
      <c r="CD17" s="2790">
        <f t="shared" ca="1" si="38"/>
        <v>0</v>
      </c>
      <c r="CE17" s="2790">
        <f t="shared" ca="1" si="38"/>
        <v>0</v>
      </c>
      <c r="CF17" s="2790">
        <f t="shared" ca="1" si="38"/>
        <v>0</v>
      </c>
      <c r="CG17" s="2790">
        <f t="shared" ca="1" si="38"/>
        <v>0</v>
      </c>
      <c r="CH17" s="2790">
        <f t="shared" ca="1" si="38"/>
        <v>0</v>
      </c>
      <c r="CI17" s="2790">
        <f t="shared" ref="CI17:CR18" ca="1" si="39">IFERROR(SUMIFS(INDIRECT($C17&amp;".Emissions["&amp;this.Year&amp;"]"), INDIRECT($C17&amp;".Emissions[GHG]"), CI$6, INDIRECT($C17&amp;".Emissions[IPCC Sector]"), CI$5),0)</f>
        <v>0</v>
      </c>
      <c r="CJ17" s="2790">
        <f t="shared" ca="1" si="39"/>
        <v>0</v>
      </c>
      <c r="CK17" s="2790">
        <f t="shared" ca="1" si="39"/>
        <v>0</v>
      </c>
      <c r="CL17" s="2790">
        <f t="shared" ca="1" si="39"/>
        <v>0</v>
      </c>
      <c r="CM17" s="2790">
        <f t="shared" ca="1" si="39"/>
        <v>0</v>
      </c>
      <c r="CN17" s="2790">
        <f t="shared" ca="1" si="39"/>
        <v>0</v>
      </c>
      <c r="CO17" s="2790">
        <f t="shared" ca="1" si="39"/>
        <v>0</v>
      </c>
      <c r="CP17" s="2790">
        <f t="shared" ca="1" si="39"/>
        <v>0</v>
      </c>
      <c r="CQ17" s="2790">
        <f t="shared" ca="1" si="39"/>
        <v>0</v>
      </c>
      <c r="CR17" s="2790">
        <f t="shared" ca="1" si="39"/>
        <v>0</v>
      </c>
      <c r="CS17" s="2790">
        <f t="shared" ref="CS17:DF18" ca="1" si="40">IFERROR(SUMIFS(INDIRECT($C17&amp;".Emissions["&amp;this.Year&amp;"]"), INDIRECT($C17&amp;".Emissions[GHG]"), CS$6, INDIRECT($C17&amp;".Emissions[IPCC Sector]"), CS$5),0)</f>
        <v>0</v>
      </c>
      <c r="CT17" s="2790">
        <f t="shared" ca="1" si="40"/>
        <v>0</v>
      </c>
      <c r="CU17" s="2790">
        <f t="shared" ca="1" si="40"/>
        <v>0</v>
      </c>
      <c r="CV17" s="2790">
        <f t="shared" ca="1" si="40"/>
        <v>0</v>
      </c>
      <c r="CW17" s="2790">
        <f t="shared" ca="1" si="40"/>
        <v>0</v>
      </c>
      <c r="CX17" s="2790">
        <f t="shared" ca="1" si="40"/>
        <v>0</v>
      </c>
      <c r="CY17" s="2790">
        <f t="shared" ca="1" si="40"/>
        <v>0</v>
      </c>
      <c r="CZ17" s="2790">
        <f t="shared" ca="1" si="40"/>
        <v>0</v>
      </c>
      <c r="DA17" s="2790">
        <f t="shared" ca="1" si="40"/>
        <v>0</v>
      </c>
      <c r="DB17" s="2790">
        <f t="shared" ca="1" si="40"/>
        <v>0</v>
      </c>
      <c r="DC17" s="2790">
        <f t="shared" ca="1" si="40"/>
        <v>0</v>
      </c>
      <c r="DD17" s="2790">
        <f t="shared" ca="1" si="40"/>
        <v>0</v>
      </c>
      <c r="DE17" s="2790">
        <f t="shared" ca="1" si="40"/>
        <v>0</v>
      </c>
      <c r="DF17" s="2790">
        <f t="shared" ca="1" si="40"/>
        <v>0</v>
      </c>
      <c r="DH17" s="596">
        <f t="shared" ca="1" si="32"/>
        <v>8.5042720658041332E-2</v>
      </c>
    </row>
    <row r="18" spans="1:112" s="6" customFormat="1">
      <c r="A18" s="607"/>
      <c r="B18" s="607"/>
      <c r="C18" s="587" t="s">
        <v>472</v>
      </c>
      <c r="D18" s="611" t="s">
        <v>473</v>
      </c>
      <c r="E18" s="611"/>
      <c r="G18" s="619">
        <f t="shared" ca="1" si="33"/>
        <v>0</v>
      </c>
      <c r="H18" s="619">
        <f t="shared" ca="1" si="33"/>
        <v>4.5663243243243201</v>
      </c>
      <c r="I18" s="619">
        <f t="shared" ca="1" si="33"/>
        <v>0</v>
      </c>
      <c r="J18" s="619">
        <f t="shared" ca="1" si="33"/>
        <v>0</v>
      </c>
      <c r="K18" s="619">
        <f t="shared" ca="1" si="33"/>
        <v>0</v>
      </c>
      <c r="L18" s="619">
        <f t="shared" ca="1" si="33"/>
        <v>0</v>
      </c>
      <c r="M18" s="619">
        <f t="shared" ca="1" si="33"/>
        <v>0</v>
      </c>
      <c r="N18" s="619">
        <f t="shared" ca="1" si="33"/>
        <v>0</v>
      </c>
      <c r="O18" s="619">
        <f t="shared" ca="1" si="33"/>
        <v>0</v>
      </c>
      <c r="P18" s="619">
        <f t="shared" ca="1" si="33"/>
        <v>0</v>
      </c>
      <c r="Q18" s="612">
        <f ca="1">SUM(G18:P18)</f>
        <v>4.5663243243243201</v>
      </c>
      <c r="S18" s="620">
        <f t="shared" ca="1" si="34"/>
        <v>-4.0781081081081041</v>
      </c>
      <c r="T18" s="620">
        <f t="shared" ca="1" si="34"/>
        <v>0</v>
      </c>
      <c r="U18" s="620">
        <f t="shared" ca="1" si="34"/>
        <v>0</v>
      </c>
      <c r="V18" s="620">
        <f t="shared" ca="1" si="34"/>
        <v>0</v>
      </c>
      <c r="W18" s="620">
        <f t="shared" ca="1" si="34"/>
        <v>-0.48821621621621603</v>
      </c>
      <c r="X18" s="620">
        <f t="shared" ca="1" si="34"/>
        <v>0</v>
      </c>
      <c r="Y18" s="620">
        <f t="shared" ca="1" si="34"/>
        <v>0</v>
      </c>
      <c r="Z18" s="620">
        <f t="shared" ca="1" si="34"/>
        <v>0</v>
      </c>
      <c r="AA18" s="620">
        <f t="shared" ca="1" si="34"/>
        <v>0</v>
      </c>
      <c r="AB18" s="620">
        <f t="shared" ca="1" si="34"/>
        <v>0</v>
      </c>
      <c r="AC18" s="620">
        <f t="shared" ca="1" si="34"/>
        <v>0</v>
      </c>
      <c r="AD18" s="620">
        <f t="shared" ca="1" si="34"/>
        <v>0</v>
      </c>
      <c r="AE18" s="620">
        <f t="shared" ca="1" si="34"/>
        <v>0</v>
      </c>
      <c r="AF18" s="620">
        <f t="shared" ca="1" si="34"/>
        <v>0</v>
      </c>
      <c r="AG18" s="620">
        <f t="shared" ca="1" si="34"/>
        <v>0</v>
      </c>
      <c r="AH18" s="620">
        <f t="shared" ca="1" si="34"/>
        <v>0</v>
      </c>
      <c r="AI18" s="620">
        <f t="shared" ca="1" si="34"/>
        <v>0</v>
      </c>
      <c r="AJ18" s="620">
        <f t="shared" ca="1" si="34"/>
        <v>0</v>
      </c>
      <c r="AK18" s="613">
        <f ca="1">SUM(S18:AJ18)</f>
        <v>-4.5663243243243201</v>
      </c>
      <c r="AM18" s="621">
        <f t="shared" ca="1" si="35"/>
        <v>0</v>
      </c>
      <c r="AN18" s="621">
        <f t="shared" ca="1" si="35"/>
        <v>0</v>
      </c>
      <c r="AO18" s="621">
        <f t="shared" ca="1" si="35"/>
        <v>0</v>
      </c>
      <c r="AP18" s="621">
        <f t="shared" ca="1" si="35"/>
        <v>0</v>
      </c>
      <c r="AQ18" s="621">
        <f t="shared" ca="1" si="35"/>
        <v>0</v>
      </c>
      <c r="AR18" s="621">
        <f t="shared" ca="1" si="35"/>
        <v>0</v>
      </c>
      <c r="AS18" s="621">
        <f t="shared" ca="1" si="35"/>
        <v>0</v>
      </c>
      <c r="AT18" s="621">
        <f t="shared" ca="1" si="35"/>
        <v>0</v>
      </c>
      <c r="AU18" s="621">
        <f t="shared" ca="1" si="35"/>
        <v>0</v>
      </c>
      <c r="AV18" s="621">
        <f t="shared" ca="1" si="35"/>
        <v>0</v>
      </c>
      <c r="AW18" s="621">
        <f t="shared" ca="1" si="35"/>
        <v>0</v>
      </c>
      <c r="AX18" s="621">
        <f t="shared" ca="1" si="35"/>
        <v>0</v>
      </c>
      <c r="AY18" s="621">
        <f t="shared" ca="1" si="35"/>
        <v>0</v>
      </c>
      <c r="AZ18" s="621">
        <f t="shared" ca="1" si="35"/>
        <v>0</v>
      </c>
      <c r="BA18" s="621">
        <f t="shared" ca="1" si="35"/>
        <v>0</v>
      </c>
      <c r="BB18" s="621">
        <f t="shared" ca="1" si="35"/>
        <v>0</v>
      </c>
      <c r="BC18" s="621">
        <f t="shared" ca="1" si="36"/>
        <v>0</v>
      </c>
      <c r="BD18" s="621">
        <f t="shared" ca="1" si="36"/>
        <v>0</v>
      </c>
      <c r="BE18" s="621">
        <f t="shared" ca="1" si="36"/>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9"/>
        <v>0</v>
      </c>
      <c r="BM18" s="610"/>
      <c r="BN18" s="413"/>
      <c r="BO18" s="2791">
        <f t="shared" ca="1" si="37"/>
        <v>9.9948209643243205E-2</v>
      </c>
      <c r="BP18" s="2792">
        <f t="shared" ca="1" si="37"/>
        <v>3.6909145945945936E-5</v>
      </c>
      <c r="BQ18" s="2792">
        <f t="shared" ca="1" si="37"/>
        <v>1.5800629621621615E-3</v>
      </c>
      <c r="BR18" s="2792">
        <f t="shared" ca="1" si="37"/>
        <v>0</v>
      </c>
      <c r="BS18" s="2792">
        <f t="shared" ca="1" si="37"/>
        <v>0</v>
      </c>
      <c r="BT18" s="2792">
        <f t="shared" ca="1" si="37"/>
        <v>0</v>
      </c>
      <c r="BU18" s="2792">
        <f t="shared" ca="1" si="37"/>
        <v>0</v>
      </c>
      <c r="BV18" s="2792">
        <f t="shared" ca="1" si="37"/>
        <v>0</v>
      </c>
      <c r="BW18" s="2792">
        <f t="shared" ca="1" si="37"/>
        <v>0</v>
      </c>
      <c r="BX18" s="2792">
        <f t="shared" ca="1" si="37"/>
        <v>0</v>
      </c>
      <c r="BY18" s="2792">
        <f t="shared" ca="1" si="38"/>
        <v>0</v>
      </c>
      <c r="BZ18" s="2792">
        <f t="shared" ca="1" si="38"/>
        <v>0</v>
      </c>
      <c r="CA18" s="2792">
        <f t="shared" ca="1" si="38"/>
        <v>0</v>
      </c>
      <c r="CB18" s="2792">
        <f t="shared" ca="1" si="38"/>
        <v>0</v>
      </c>
      <c r="CC18" s="2792">
        <f t="shared" ca="1" si="38"/>
        <v>0</v>
      </c>
      <c r="CD18" s="2792">
        <f t="shared" ca="1" si="38"/>
        <v>0</v>
      </c>
      <c r="CE18" s="2792">
        <f t="shared" ca="1" si="38"/>
        <v>0</v>
      </c>
      <c r="CF18" s="2792">
        <f t="shared" ca="1" si="38"/>
        <v>0</v>
      </c>
      <c r="CG18" s="2792">
        <f t="shared" ca="1" si="38"/>
        <v>0</v>
      </c>
      <c r="CH18" s="2792">
        <f t="shared" ca="1" si="38"/>
        <v>0</v>
      </c>
      <c r="CI18" s="2792">
        <f t="shared" ca="1" si="39"/>
        <v>0</v>
      </c>
      <c r="CJ18" s="2792">
        <f t="shared" ca="1" si="39"/>
        <v>0</v>
      </c>
      <c r="CK18" s="2792">
        <f t="shared" ca="1" si="39"/>
        <v>0</v>
      </c>
      <c r="CL18" s="2792">
        <f t="shared" ca="1" si="39"/>
        <v>0</v>
      </c>
      <c r="CM18" s="2792">
        <f t="shared" ca="1" si="39"/>
        <v>0</v>
      </c>
      <c r="CN18" s="2792">
        <f t="shared" ca="1" si="39"/>
        <v>0</v>
      </c>
      <c r="CO18" s="2792">
        <f t="shared" ca="1" si="39"/>
        <v>0</v>
      </c>
      <c r="CP18" s="2792">
        <f t="shared" ca="1" si="39"/>
        <v>0</v>
      </c>
      <c r="CQ18" s="2792">
        <f t="shared" ca="1" si="39"/>
        <v>0</v>
      </c>
      <c r="CR18" s="2792">
        <f t="shared" ca="1" si="39"/>
        <v>0</v>
      </c>
      <c r="CS18" s="2792">
        <f t="shared" ca="1" si="40"/>
        <v>0</v>
      </c>
      <c r="CT18" s="2792">
        <f t="shared" ca="1" si="40"/>
        <v>0</v>
      </c>
      <c r="CU18" s="2792">
        <f t="shared" ca="1" si="40"/>
        <v>0</v>
      </c>
      <c r="CV18" s="2792">
        <f t="shared" ca="1" si="40"/>
        <v>0</v>
      </c>
      <c r="CW18" s="2792">
        <f t="shared" ca="1" si="40"/>
        <v>0</v>
      </c>
      <c r="CX18" s="2792">
        <f t="shared" ca="1" si="40"/>
        <v>0</v>
      </c>
      <c r="CY18" s="2792">
        <f t="shared" ca="1" si="40"/>
        <v>0</v>
      </c>
      <c r="CZ18" s="2792">
        <f t="shared" ca="1" si="40"/>
        <v>0</v>
      </c>
      <c r="DA18" s="2792">
        <f t="shared" ca="1" si="40"/>
        <v>0</v>
      </c>
      <c r="DB18" s="2792">
        <f t="shared" ca="1" si="40"/>
        <v>0</v>
      </c>
      <c r="DC18" s="2792">
        <f t="shared" ca="1" si="40"/>
        <v>0</v>
      </c>
      <c r="DD18" s="2792">
        <f t="shared" ca="1" si="40"/>
        <v>0</v>
      </c>
      <c r="DE18" s="2792">
        <f t="shared" ca="1" si="40"/>
        <v>0</v>
      </c>
      <c r="DF18" s="2792">
        <f t="shared" ca="1" si="40"/>
        <v>0</v>
      </c>
      <c r="DH18" s="596">
        <f t="shared" ca="1" si="32"/>
        <v>0.10156518175135132</v>
      </c>
    </row>
    <row r="19" spans="1:112" s="6" customFormat="1" ht="15.75">
      <c r="A19" s="4"/>
      <c r="B19" s="3"/>
      <c r="C19" s="616" t="s">
        <v>474</v>
      </c>
      <c r="D19" s="617" t="s">
        <v>83</v>
      </c>
      <c r="E19" s="206"/>
      <c r="G19" s="618">
        <f ca="1">G17+G18</f>
        <v>0</v>
      </c>
      <c r="H19" s="618">
        <f t="shared" ref="H19:P19" ca="1" si="41">H17+H18</f>
        <v>10.07361540118259</v>
      </c>
      <c r="I19" s="618">
        <f t="shared" ca="1" si="41"/>
        <v>0</v>
      </c>
      <c r="J19" s="618">
        <f t="shared" ca="1" si="41"/>
        <v>0</v>
      </c>
      <c r="K19" s="618">
        <f t="shared" ca="1" si="41"/>
        <v>0</v>
      </c>
      <c r="L19" s="618">
        <f t="shared" ca="1" si="41"/>
        <v>0</v>
      </c>
      <c r="M19" s="618">
        <f t="shared" ca="1" si="41"/>
        <v>0</v>
      </c>
      <c r="N19" s="618">
        <f ca="1">N17+N18</f>
        <v>0</v>
      </c>
      <c r="O19" s="618">
        <f ca="1">O17+O18</f>
        <v>0</v>
      </c>
      <c r="P19" s="618">
        <f t="shared" ca="1" si="41"/>
        <v>0</v>
      </c>
      <c r="Q19" s="618">
        <f ca="1">SUM(G19:P19)</f>
        <v>10.07361540118259</v>
      </c>
      <c r="S19" s="581">
        <f ca="1">S17+S18</f>
        <v>-9.1766052008424879</v>
      </c>
      <c r="T19" s="581">
        <f t="shared" ref="T19:AJ19" ca="1" si="42">T17+T18</f>
        <v>0</v>
      </c>
      <c r="U19" s="581">
        <f t="shared" ca="1" si="42"/>
        <v>0</v>
      </c>
      <c r="V19" s="581">
        <f t="shared" ca="1" si="42"/>
        <v>0</v>
      </c>
      <c r="W19" s="581">
        <f t="shared" ca="1" si="42"/>
        <v>-0.89701020034010259</v>
      </c>
      <c r="X19" s="581">
        <f ca="1">X17+X18</f>
        <v>0</v>
      </c>
      <c r="Y19" s="581">
        <f ca="1">Y17+Y18</f>
        <v>0</v>
      </c>
      <c r="Z19" s="581">
        <f ca="1">Z17+Z18</f>
        <v>0</v>
      </c>
      <c r="AA19" s="581">
        <f t="shared" ca="1" si="42"/>
        <v>0</v>
      </c>
      <c r="AB19" s="581">
        <f t="shared" ca="1" si="42"/>
        <v>0</v>
      </c>
      <c r="AC19" s="581">
        <f t="shared" ca="1" si="42"/>
        <v>0</v>
      </c>
      <c r="AD19" s="581">
        <f ca="1">AD17+AD18</f>
        <v>0</v>
      </c>
      <c r="AE19" s="581">
        <f ca="1">AE17+AE18</f>
        <v>0</v>
      </c>
      <c r="AF19" s="581">
        <f t="shared" ca="1" si="42"/>
        <v>0</v>
      </c>
      <c r="AG19" s="581">
        <f ca="1">AG17+AG18</f>
        <v>0</v>
      </c>
      <c r="AH19" s="581">
        <f ca="1">AH17+AH18</f>
        <v>0</v>
      </c>
      <c r="AI19" s="581">
        <f ca="1">AI17+AI18</f>
        <v>0</v>
      </c>
      <c r="AJ19" s="581">
        <f t="shared" ca="1" si="42"/>
        <v>0</v>
      </c>
      <c r="AK19" s="581">
        <f ca="1">SUM(S19:AJ19)</f>
        <v>-10.07361540118259</v>
      </c>
      <c r="AM19" s="582">
        <f t="shared" ref="AM19:BE19" ca="1" si="43">AM17+AM18</f>
        <v>0</v>
      </c>
      <c r="AN19" s="582">
        <f t="shared" ca="1" si="43"/>
        <v>0</v>
      </c>
      <c r="AO19" s="582">
        <f t="shared" ca="1" si="43"/>
        <v>0</v>
      </c>
      <c r="AP19" s="582">
        <f t="shared" ca="1" si="43"/>
        <v>0</v>
      </c>
      <c r="AQ19" s="582">
        <f t="shared" ca="1" si="43"/>
        <v>0</v>
      </c>
      <c r="AR19" s="582">
        <f t="shared" ca="1" si="43"/>
        <v>0</v>
      </c>
      <c r="AS19" s="582">
        <f t="shared" ca="1" si="43"/>
        <v>0</v>
      </c>
      <c r="AT19" s="582">
        <f t="shared" ca="1" si="43"/>
        <v>0</v>
      </c>
      <c r="AU19" s="582">
        <f t="shared" ca="1" si="43"/>
        <v>0</v>
      </c>
      <c r="AV19" s="582">
        <f t="shared" ca="1" si="43"/>
        <v>0</v>
      </c>
      <c r="AW19" s="582">
        <f t="shared" ca="1" si="43"/>
        <v>0</v>
      </c>
      <c r="AX19" s="582">
        <f t="shared" ca="1" si="43"/>
        <v>0</v>
      </c>
      <c r="AY19" s="582">
        <f t="shared" ca="1" si="43"/>
        <v>0</v>
      </c>
      <c r="AZ19" s="582">
        <f t="shared" ca="1" si="43"/>
        <v>0</v>
      </c>
      <c r="BA19" s="582">
        <f t="shared" ca="1" si="43"/>
        <v>0</v>
      </c>
      <c r="BB19" s="582">
        <f t="shared" ca="1" si="43"/>
        <v>0</v>
      </c>
      <c r="BC19" s="582">
        <f t="shared" ca="1" si="43"/>
        <v>0</v>
      </c>
      <c r="BD19" s="582">
        <f ca="1">BD17+BD18</f>
        <v>0</v>
      </c>
      <c r="BE19" s="582">
        <f t="shared" ca="1" si="43"/>
        <v>0</v>
      </c>
      <c r="BF19" s="582">
        <f ca="1">SUM(AM19:BE19)</f>
        <v>0</v>
      </c>
      <c r="BH19" s="3463">
        <f ca="1">BH17+BH18</f>
        <v>0</v>
      </c>
      <c r="BI19" s="3463">
        <f ca="1">BI17+BI18</f>
        <v>0</v>
      </c>
      <c r="BJ19" s="3463">
        <f ca="1">SUM(BH19:BI19)</f>
        <v>0</v>
      </c>
      <c r="BL19" s="3477">
        <f t="shared" ca="1" si="9"/>
        <v>0</v>
      </c>
      <c r="BM19" s="584"/>
      <c r="BN19" s="413"/>
      <c r="BO19" s="2790">
        <f t="shared" ref="BO19:DF19" ca="1" si="44">BO17+BO18</f>
        <v>0.18363700462586624</v>
      </c>
      <c r="BP19" s="2790">
        <f t="shared" ca="1" si="44"/>
        <v>6.7813971145711763E-5</v>
      </c>
      <c r="BQ19" s="2790">
        <f t="shared" ca="1" si="44"/>
        <v>2.9030838123807082E-3</v>
      </c>
      <c r="BR19" s="2790">
        <f t="shared" ca="1" si="44"/>
        <v>0</v>
      </c>
      <c r="BS19" s="2790">
        <f t="shared" ca="1" si="44"/>
        <v>0</v>
      </c>
      <c r="BT19" s="2790">
        <f t="shared" ca="1" si="44"/>
        <v>0</v>
      </c>
      <c r="BU19" s="2790">
        <f t="shared" ca="1" si="44"/>
        <v>0</v>
      </c>
      <c r="BV19" s="2790">
        <f t="shared" ca="1" si="44"/>
        <v>0</v>
      </c>
      <c r="BW19" s="2790">
        <f t="shared" ca="1" si="44"/>
        <v>0</v>
      </c>
      <c r="BX19" s="2790">
        <f t="shared" ca="1" si="44"/>
        <v>0</v>
      </c>
      <c r="BY19" s="2790">
        <f t="shared" ca="1" si="44"/>
        <v>0</v>
      </c>
      <c r="BZ19" s="2790">
        <f t="shared" ca="1" si="44"/>
        <v>0</v>
      </c>
      <c r="CA19" s="2790">
        <f t="shared" ca="1" si="44"/>
        <v>0</v>
      </c>
      <c r="CB19" s="2790">
        <f t="shared" ca="1" si="44"/>
        <v>0</v>
      </c>
      <c r="CC19" s="2790">
        <f t="shared" ca="1" si="44"/>
        <v>0</v>
      </c>
      <c r="CD19" s="2790">
        <f t="shared" ca="1" si="44"/>
        <v>0</v>
      </c>
      <c r="CE19" s="2790">
        <f t="shared" ca="1" si="44"/>
        <v>0</v>
      </c>
      <c r="CF19" s="2790">
        <f t="shared" ca="1" si="44"/>
        <v>0</v>
      </c>
      <c r="CG19" s="2790">
        <f t="shared" ca="1" si="44"/>
        <v>0</v>
      </c>
      <c r="CH19" s="2790">
        <f t="shared" ca="1" si="44"/>
        <v>0</v>
      </c>
      <c r="CI19" s="2790">
        <f t="shared" ca="1" si="44"/>
        <v>0</v>
      </c>
      <c r="CJ19" s="2790">
        <f t="shared" ca="1" si="44"/>
        <v>0</v>
      </c>
      <c r="CK19" s="2790">
        <f t="shared" ca="1" si="44"/>
        <v>0</v>
      </c>
      <c r="CL19" s="2790">
        <f t="shared" ca="1" si="44"/>
        <v>0</v>
      </c>
      <c r="CM19" s="2790">
        <f t="shared" ca="1" si="44"/>
        <v>0</v>
      </c>
      <c r="CN19" s="2790">
        <f t="shared" ca="1" si="44"/>
        <v>0</v>
      </c>
      <c r="CO19" s="2790">
        <f t="shared" ca="1" si="44"/>
        <v>0</v>
      </c>
      <c r="CP19" s="2790">
        <f t="shared" ca="1" si="44"/>
        <v>0</v>
      </c>
      <c r="CQ19" s="2790">
        <f t="shared" ca="1" si="44"/>
        <v>0</v>
      </c>
      <c r="CR19" s="2790">
        <f t="shared" ca="1" si="44"/>
        <v>0</v>
      </c>
      <c r="CS19" s="2790">
        <f t="shared" ca="1" si="44"/>
        <v>0</v>
      </c>
      <c r="CT19" s="2790">
        <f t="shared" ca="1" si="44"/>
        <v>0</v>
      </c>
      <c r="CU19" s="2790">
        <f t="shared" ca="1" si="44"/>
        <v>0</v>
      </c>
      <c r="CV19" s="2790">
        <f t="shared" ca="1" si="44"/>
        <v>0</v>
      </c>
      <c r="CW19" s="2790">
        <f t="shared" ca="1" si="44"/>
        <v>0</v>
      </c>
      <c r="CX19" s="2790">
        <f t="shared" ca="1" si="44"/>
        <v>0</v>
      </c>
      <c r="CY19" s="2790">
        <f t="shared" ca="1" si="44"/>
        <v>0</v>
      </c>
      <c r="CZ19" s="2790">
        <f t="shared" ca="1" si="44"/>
        <v>0</v>
      </c>
      <c r="DA19" s="2790">
        <f t="shared" ca="1" si="44"/>
        <v>0</v>
      </c>
      <c r="DB19" s="2790">
        <f t="shared" ca="1" si="44"/>
        <v>0</v>
      </c>
      <c r="DC19" s="2790">
        <f t="shared" ca="1" si="44"/>
        <v>0</v>
      </c>
      <c r="DD19" s="2790">
        <f t="shared" ca="1" si="44"/>
        <v>0</v>
      </c>
      <c r="DE19" s="2790">
        <f t="shared" ca="1" si="44"/>
        <v>0</v>
      </c>
      <c r="DF19" s="2790">
        <f t="shared" ca="1" si="44"/>
        <v>0</v>
      </c>
      <c r="DH19" s="596">
        <f t="shared" ca="1" si="32"/>
        <v>0.18660790240939268</v>
      </c>
    </row>
    <row r="20" spans="1:112" s="6" customFormat="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9"/>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2"/>
        <v>0</v>
      </c>
    </row>
    <row r="21" spans="1:112" s="6" customFormat="1">
      <c r="A21" s="607"/>
      <c r="B21" s="607"/>
      <c r="C21" s="587" t="s">
        <v>475</v>
      </c>
      <c r="D21" s="611" t="s">
        <v>476</v>
      </c>
      <c r="E21" s="611"/>
      <c r="G21" s="619">
        <f t="shared" ref="G21:P21" ca="1" si="45">IFERROR(INDEX(INDIRECT($C21&amp;".Outputs["&amp;this.Year&amp;"]"), MATCH(G$5, INDIRECT($C21&amp;".Outputs[Vector]"), 0)), 0)</f>
        <v>0</v>
      </c>
      <c r="H21" s="619">
        <f t="shared" ca="1" si="45"/>
        <v>0</v>
      </c>
      <c r="I21" s="619">
        <f t="shared" ca="1" si="45"/>
        <v>26.201485778348498</v>
      </c>
      <c r="J21" s="619">
        <f t="shared" ca="1" si="45"/>
        <v>0</v>
      </c>
      <c r="K21" s="619">
        <f t="shared" ca="1" si="45"/>
        <v>0</v>
      </c>
      <c r="L21" s="619">
        <f t="shared" ca="1" si="45"/>
        <v>0</v>
      </c>
      <c r="M21" s="619">
        <f t="shared" ca="1" si="45"/>
        <v>0</v>
      </c>
      <c r="N21" s="619">
        <f t="shared" ca="1" si="45"/>
        <v>0</v>
      </c>
      <c r="O21" s="619">
        <f t="shared" ca="1" si="45"/>
        <v>0</v>
      </c>
      <c r="P21" s="619">
        <f t="shared" ca="1" si="45"/>
        <v>0</v>
      </c>
      <c r="Q21" s="612">
        <f ca="1">SUM(G21:P21)</f>
        <v>26.201485778348498</v>
      </c>
      <c r="S21" s="620">
        <f t="shared" ref="S21:AJ21" ca="1" si="46">IFERROR(INDEX(INDIRECT($C21&amp;".Outputs["&amp;this.Year&amp;"]"), MATCH(S$5, INDIRECT($C21&amp;".Outputs[Vector]"), 0)), 0)</f>
        <v>-9.3655945702523091</v>
      </c>
      <c r="T21" s="620">
        <f t="shared" ca="1" si="46"/>
        <v>0</v>
      </c>
      <c r="U21" s="620">
        <f t="shared" ca="1" si="46"/>
        <v>-3.1353066860586312</v>
      </c>
      <c r="V21" s="620">
        <f t="shared" ca="1" si="46"/>
        <v>-6.4016712078689091</v>
      </c>
      <c r="W21" s="620">
        <f t="shared" ca="1" si="46"/>
        <v>-7.2989133141686455</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6"/>
        <v>0</v>
      </c>
      <c r="AB21" s="620">
        <f t="shared" ca="1" si="46"/>
        <v>0</v>
      </c>
      <c r="AC21" s="620">
        <f t="shared" ca="1" si="46"/>
        <v>0</v>
      </c>
      <c r="AD21" s="620">
        <f t="shared" ca="1" si="46"/>
        <v>0</v>
      </c>
      <c r="AE21" s="620">
        <f t="shared" ca="1" si="46"/>
        <v>0</v>
      </c>
      <c r="AF21" s="620">
        <f t="shared" ca="1" si="46"/>
        <v>0</v>
      </c>
      <c r="AG21" s="620">
        <f t="shared" ca="1" si="46"/>
        <v>0</v>
      </c>
      <c r="AH21" s="620">
        <f t="shared" ca="1" si="46"/>
        <v>0</v>
      </c>
      <c r="AI21" s="620">
        <f t="shared" ca="1" si="46"/>
        <v>0</v>
      </c>
      <c r="AJ21" s="620">
        <f t="shared" ca="1" si="46"/>
        <v>0</v>
      </c>
      <c r="AK21" s="613">
        <f ca="1">SUM(S21:AJ21)</f>
        <v>-26.201485778348491</v>
      </c>
      <c r="AM21" s="621">
        <f t="shared" ref="AM21:BE21" ca="1" si="47">IFERROR(INDEX(INDIRECT($C21&amp;".Outputs["&amp;this.Year&amp;"]"), MATCH(AM$5, INDIRECT($C21&amp;".Outputs[Vector]"), 0)), 0)</f>
        <v>0</v>
      </c>
      <c r="AN21" s="621">
        <f t="shared" ca="1" si="47"/>
        <v>0</v>
      </c>
      <c r="AO21" s="621">
        <f t="shared" ca="1" si="47"/>
        <v>0</v>
      </c>
      <c r="AP21" s="621">
        <f t="shared" ca="1" si="47"/>
        <v>0</v>
      </c>
      <c r="AQ21" s="621">
        <f t="shared" ca="1" si="47"/>
        <v>0</v>
      </c>
      <c r="AR21" s="621">
        <f t="shared" ca="1" si="47"/>
        <v>0</v>
      </c>
      <c r="AS21" s="621">
        <f t="shared" ca="1" si="47"/>
        <v>0</v>
      </c>
      <c r="AT21" s="621">
        <f t="shared" ca="1" si="47"/>
        <v>0</v>
      </c>
      <c r="AU21" s="621">
        <f t="shared" ca="1" si="47"/>
        <v>0</v>
      </c>
      <c r="AV21" s="621">
        <f t="shared" ca="1" si="47"/>
        <v>0</v>
      </c>
      <c r="AW21" s="621">
        <f t="shared" ca="1" si="47"/>
        <v>0</v>
      </c>
      <c r="AX21" s="621">
        <f t="shared" ca="1" si="47"/>
        <v>0</v>
      </c>
      <c r="AY21" s="621">
        <f t="shared" ca="1" si="47"/>
        <v>0</v>
      </c>
      <c r="AZ21" s="621">
        <f t="shared" ca="1" si="47"/>
        <v>0</v>
      </c>
      <c r="BA21" s="621">
        <f t="shared" ca="1" si="47"/>
        <v>0</v>
      </c>
      <c r="BB21" s="621">
        <f t="shared" ca="1" si="47"/>
        <v>0</v>
      </c>
      <c r="BC21" s="621">
        <f t="shared" ca="1" si="47"/>
        <v>0</v>
      </c>
      <c r="BD21" s="621">
        <f t="shared" ca="1" si="47"/>
        <v>0</v>
      </c>
      <c r="BE21" s="621">
        <f t="shared" ca="1" si="47"/>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9"/>
        <v>7.1054273576010019E-15</v>
      </c>
      <c r="BM21" s="610"/>
      <c r="BN21" s="413"/>
      <c r="BO21" s="2791">
        <f t="shared" ref="BO21:DF21" ca="1" si="48">IFERROR(SUMIFS(INDIRECT($C21&amp;".Emissions["&amp;this.Year&amp;"]"), INDIRECT($C21&amp;".Emissions[GHG]"), BO$6, INDIRECT($C21&amp;".Emissions[IPCC Sector]"), BO$5),0)</f>
        <v>4.2420650587881914</v>
      </c>
      <c r="BP21" s="2792">
        <f t="shared" ca="1" si="48"/>
        <v>2.1696173063220411E-3</v>
      </c>
      <c r="BQ21" s="2792">
        <f t="shared" ca="1" si="48"/>
        <v>2.9658263221585143E-2</v>
      </c>
      <c r="BR21" s="2792">
        <f t="shared" ca="1" si="48"/>
        <v>0</v>
      </c>
      <c r="BS21" s="2792">
        <f t="shared" ca="1" si="48"/>
        <v>0</v>
      </c>
      <c r="BT21" s="2792">
        <f t="shared" ca="1" si="48"/>
        <v>0</v>
      </c>
      <c r="BU21" s="2792">
        <f t="shared" ca="1" si="48"/>
        <v>0</v>
      </c>
      <c r="BV21" s="2792">
        <f t="shared" ca="1" si="48"/>
        <v>0</v>
      </c>
      <c r="BW21" s="2792">
        <f t="shared" ca="1" si="48"/>
        <v>1.32136875</v>
      </c>
      <c r="BX21" s="2792">
        <f t="shared" ca="1" si="48"/>
        <v>0</v>
      </c>
      <c r="BY21" s="2792">
        <f t="shared" ca="1" si="48"/>
        <v>0</v>
      </c>
      <c r="BZ21" s="2792">
        <f t="shared" ca="1" si="48"/>
        <v>0.99607717549810115</v>
      </c>
      <c r="CA21" s="2792">
        <f t="shared" ca="1" si="48"/>
        <v>0</v>
      </c>
      <c r="CB21" s="2792">
        <f t="shared" ca="1" si="48"/>
        <v>0</v>
      </c>
      <c r="CC21" s="2792">
        <f t="shared" ca="1" si="48"/>
        <v>0</v>
      </c>
      <c r="CD21" s="2792">
        <f t="shared" ca="1" si="48"/>
        <v>0</v>
      </c>
      <c r="CE21" s="2792">
        <f t="shared" ca="1" si="48"/>
        <v>0</v>
      </c>
      <c r="CF21" s="2792">
        <f t="shared" ca="1" si="48"/>
        <v>0</v>
      </c>
      <c r="CG21" s="2792">
        <f t="shared" ca="1" si="48"/>
        <v>0</v>
      </c>
      <c r="CH21" s="2792">
        <f t="shared" ca="1" si="48"/>
        <v>0</v>
      </c>
      <c r="CI21" s="2792">
        <f t="shared" ca="1" si="48"/>
        <v>0</v>
      </c>
      <c r="CJ21" s="2792">
        <f t="shared" ca="1" si="48"/>
        <v>0</v>
      </c>
      <c r="CK21" s="2792">
        <f t="shared" ca="1" si="48"/>
        <v>0</v>
      </c>
      <c r="CL21" s="2792">
        <f t="shared" ca="1" si="48"/>
        <v>0</v>
      </c>
      <c r="CM21" s="2792">
        <f t="shared" ca="1" si="48"/>
        <v>0</v>
      </c>
      <c r="CN21" s="2792">
        <f t="shared" ca="1" si="48"/>
        <v>0</v>
      </c>
      <c r="CO21" s="2792">
        <f t="shared" ca="1" si="48"/>
        <v>0</v>
      </c>
      <c r="CP21" s="2792">
        <f t="shared" ca="1" si="48"/>
        <v>0</v>
      </c>
      <c r="CQ21" s="2792">
        <f t="shared" ca="1" si="48"/>
        <v>0</v>
      </c>
      <c r="CR21" s="2792">
        <f t="shared" ca="1" si="48"/>
        <v>0</v>
      </c>
      <c r="CS21" s="2792">
        <f t="shared" ca="1" si="48"/>
        <v>0</v>
      </c>
      <c r="CT21" s="2792">
        <f t="shared" ca="1" si="48"/>
        <v>0</v>
      </c>
      <c r="CU21" s="2792">
        <f t="shared" ca="1" si="48"/>
        <v>0</v>
      </c>
      <c r="CV21" s="2792">
        <f t="shared" ca="1" si="48"/>
        <v>0</v>
      </c>
      <c r="CW21" s="2792">
        <f t="shared" ca="1" si="48"/>
        <v>0</v>
      </c>
      <c r="CX21" s="2792">
        <f t="shared" ca="1" si="48"/>
        <v>0</v>
      </c>
      <c r="CY21" s="2792">
        <f t="shared" ca="1" si="48"/>
        <v>0</v>
      </c>
      <c r="CZ21" s="2792">
        <f t="shared" ca="1" si="48"/>
        <v>0</v>
      </c>
      <c r="DA21" s="2792">
        <f t="shared" ca="1" si="48"/>
        <v>0</v>
      </c>
      <c r="DB21" s="2792">
        <f t="shared" ca="1" si="48"/>
        <v>0</v>
      </c>
      <c r="DC21" s="2792">
        <f t="shared" ca="1" si="48"/>
        <v>0</v>
      </c>
      <c r="DD21" s="2792">
        <f t="shared" ca="1" si="48"/>
        <v>0</v>
      </c>
      <c r="DE21" s="2792">
        <f t="shared" ca="1" si="48"/>
        <v>0</v>
      </c>
      <c r="DF21" s="2792">
        <f t="shared" ca="1" si="48"/>
        <v>0</v>
      </c>
      <c r="DH21" s="596">
        <f t="shared" ca="1" si="32"/>
        <v>6.5913388648141993</v>
      </c>
    </row>
    <row r="22" spans="1:112" s="6" customFormat="1" ht="15.75">
      <c r="A22" s="4"/>
      <c r="B22" s="3"/>
      <c r="C22" s="616" t="s">
        <v>477</v>
      </c>
      <c r="D22" s="617" t="s">
        <v>368</v>
      </c>
      <c r="E22" s="206"/>
      <c r="G22" s="618">
        <f ca="1">G21</f>
        <v>0</v>
      </c>
      <c r="H22" s="618">
        <f t="shared" ref="H22:P22" ca="1" si="49">H21</f>
        <v>0</v>
      </c>
      <c r="I22" s="618">
        <f t="shared" ca="1" si="49"/>
        <v>26.201485778348498</v>
      </c>
      <c r="J22" s="618">
        <f t="shared" ca="1" si="49"/>
        <v>0</v>
      </c>
      <c r="K22" s="618">
        <f t="shared" ca="1" si="49"/>
        <v>0</v>
      </c>
      <c r="L22" s="618">
        <f t="shared" ca="1" si="49"/>
        <v>0</v>
      </c>
      <c r="M22" s="618">
        <f t="shared" ca="1" si="49"/>
        <v>0</v>
      </c>
      <c r="N22" s="618">
        <f t="shared" ca="1" si="49"/>
        <v>0</v>
      </c>
      <c r="O22" s="618">
        <f t="shared" ca="1" si="49"/>
        <v>0</v>
      </c>
      <c r="P22" s="618">
        <f t="shared" ca="1" si="49"/>
        <v>0</v>
      </c>
      <c r="Q22" s="618">
        <f ca="1">SUM(G22:P22)</f>
        <v>26.201485778348498</v>
      </c>
      <c r="S22" s="581">
        <f t="shared" ref="S22:AJ22" ca="1" si="50">S21</f>
        <v>-9.3655945702523091</v>
      </c>
      <c r="T22" s="581">
        <f t="shared" ca="1" si="50"/>
        <v>0</v>
      </c>
      <c r="U22" s="581">
        <f t="shared" ca="1" si="50"/>
        <v>-3.1353066860586312</v>
      </c>
      <c r="V22" s="581">
        <f t="shared" ca="1" si="50"/>
        <v>-6.4016712078689091</v>
      </c>
      <c r="W22" s="581">
        <f t="shared" ca="1" si="50"/>
        <v>-7.2989133141686455</v>
      </c>
      <c r="X22" s="581">
        <f t="shared" ca="1" si="50"/>
        <v>0</v>
      </c>
      <c r="Y22" s="581">
        <f t="shared" ca="1" si="50"/>
        <v>0</v>
      </c>
      <c r="Z22" s="581">
        <f t="shared" ca="1" si="50"/>
        <v>0</v>
      </c>
      <c r="AA22" s="581">
        <f t="shared" ca="1" si="50"/>
        <v>0</v>
      </c>
      <c r="AB22" s="581">
        <f t="shared" ca="1" si="50"/>
        <v>0</v>
      </c>
      <c r="AC22" s="581">
        <f t="shared" ca="1" si="50"/>
        <v>0</v>
      </c>
      <c r="AD22" s="581">
        <f t="shared" ca="1" si="50"/>
        <v>0</v>
      </c>
      <c r="AE22" s="581">
        <f ca="1">AE21</f>
        <v>0</v>
      </c>
      <c r="AF22" s="581">
        <f t="shared" ca="1" si="50"/>
        <v>0</v>
      </c>
      <c r="AG22" s="581">
        <f t="shared" ca="1" si="50"/>
        <v>0</v>
      </c>
      <c r="AH22" s="581">
        <f ca="1">AH21</f>
        <v>0</v>
      </c>
      <c r="AI22" s="581">
        <f t="shared" ca="1" si="50"/>
        <v>0</v>
      </c>
      <c r="AJ22" s="581">
        <f t="shared" ca="1" si="50"/>
        <v>0</v>
      </c>
      <c r="AK22" s="581">
        <f ca="1">SUM(S22:AJ22)</f>
        <v>-26.201485778348491</v>
      </c>
      <c r="AM22" s="582">
        <f t="shared" ref="AM22:BE22" ca="1" si="51">AM21</f>
        <v>0</v>
      </c>
      <c r="AN22" s="582">
        <f t="shared" ca="1" si="51"/>
        <v>0</v>
      </c>
      <c r="AO22" s="582">
        <f t="shared" ca="1" si="51"/>
        <v>0</v>
      </c>
      <c r="AP22" s="582">
        <f t="shared" ca="1" si="51"/>
        <v>0</v>
      </c>
      <c r="AQ22" s="582">
        <f t="shared" ca="1" si="51"/>
        <v>0</v>
      </c>
      <c r="AR22" s="582">
        <f t="shared" ca="1" si="51"/>
        <v>0</v>
      </c>
      <c r="AS22" s="582">
        <f t="shared" ca="1" si="51"/>
        <v>0</v>
      </c>
      <c r="AT22" s="582">
        <f t="shared" ca="1" si="51"/>
        <v>0</v>
      </c>
      <c r="AU22" s="582">
        <f t="shared" ca="1" si="51"/>
        <v>0</v>
      </c>
      <c r="AV22" s="582">
        <f t="shared" ca="1" si="51"/>
        <v>0</v>
      </c>
      <c r="AW22" s="582">
        <f t="shared" ca="1" si="51"/>
        <v>0</v>
      </c>
      <c r="AX22" s="582">
        <f t="shared" ca="1" si="51"/>
        <v>0</v>
      </c>
      <c r="AY22" s="582">
        <f t="shared" ca="1" si="51"/>
        <v>0</v>
      </c>
      <c r="AZ22" s="582">
        <f t="shared" ca="1" si="51"/>
        <v>0</v>
      </c>
      <c r="BA22" s="582">
        <f t="shared" ca="1" si="51"/>
        <v>0</v>
      </c>
      <c r="BB22" s="582">
        <f t="shared" ca="1" si="51"/>
        <v>0</v>
      </c>
      <c r="BC22" s="582">
        <f t="shared" ca="1" si="51"/>
        <v>0</v>
      </c>
      <c r="BD22" s="582">
        <f ca="1">BD21</f>
        <v>0</v>
      </c>
      <c r="BE22" s="582">
        <f t="shared" ca="1" si="51"/>
        <v>0</v>
      </c>
      <c r="BF22" s="582">
        <f ca="1">SUM(AM22:BE22)</f>
        <v>0</v>
      </c>
      <c r="BH22" s="3463">
        <f ca="1">BH21</f>
        <v>0</v>
      </c>
      <c r="BI22" s="3463">
        <f ca="1">BI21</f>
        <v>0</v>
      </c>
      <c r="BJ22" s="3463">
        <f ca="1">SUM(BH22:BI22)</f>
        <v>0</v>
      </c>
      <c r="BL22" s="3477">
        <f t="shared" ca="1" si="9"/>
        <v>7.1054273576010019E-15</v>
      </c>
      <c r="BM22" s="584"/>
      <c r="BN22" s="413"/>
      <c r="BO22" s="2790">
        <f t="shared" ref="BO22:DF22" ca="1" si="52">BO21</f>
        <v>4.2420650587881914</v>
      </c>
      <c r="BP22" s="2790">
        <f t="shared" ca="1" si="52"/>
        <v>2.1696173063220411E-3</v>
      </c>
      <c r="BQ22" s="2790">
        <f t="shared" ca="1" si="52"/>
        <v>2.9658263221585143E-2</v>
      </c>
      <c r="BR22" s="2790">
        <f t="shared" ca="1" si="52"/>
        <v>0</v>
      </c>
      <c r="BS22" s="2790">
        <f t="shared" ca="1" si="52"/>
        <v>0</v>
      </c>
      <c r="BT22" s="2790">
        <f t="shared" ca="1" si="52"/>
        <v>0</v>
      </c>
      <c r="BU22" s="2790">
        <f t="shared" ca="1" si="52"/>
        <v>0</v>
      </c>
      <c r="BV22" s="2790">
        <f t="shared" ca="1" si="52"/>
        <v>0</v>
      </c>
      <c r="BW22" s="2790">
        <f t="shared" ca="1" si="52"/>
        <v>1.32136875</v>
      </c>
      <c r="BX22" s="2790">
        <f t="shared" ca="1" si="52"/>
        <v>0</v>
      </c>
      <c r="BY22" s="2790">
        <f t="shared" ca="1" si="52"/>
        <v>0</v>
      </c>
      <c r="BZ22" s="2790">
        <f t="shared" ca="1" si="52"/>
        <v>0.99607717549810115</v>
      </c>
      <c r="CA22" s="2790">
        <f t="shared" ca="1" si="52"/>
        <v>0</v>
      </c>
      <c r="CB22" s="2790">
        <f t="shared" ca="1" si="52"/>
        <v>0</v>
      </c>
      <c r="CC22" s="2790">
        <f t="shared" ca="1" si="52"/>
        <v>0</v>
      </c>
      <c r="CD22" s="2790">
        <f t="shared" ca="1" si="52"/>
        <v>0</v>
      </c>
      <c r="CE22" s="2790">
        <f t="shared" ca="1" si="52"/>
        <v>0</v>
      </c>
      <c r="CF22" s="2790">
        <f t="shared" ca="1" si="52"/>
        <v>0</v>
      </c>
      <c r="CG22" s="2790">
        <f t="shared" ca="1" si="52"/>
        <v>0</v>
      </c>
      <c r="CH22" s="2790">
        <f t="shared" ca="1" si="52"/>
        <v>0</v>
      </c>
      <c r="CI22" s="2790">
        <f t="shared" ca="1" si="52"/>
        <v>0</v>
      </c>
      <c r="CJ22" s="2790">
        <f t="shared" ca="1" si="52"/>
        <v>0</v>
      </c>
      <c r="CK22" s="2790">
        <f t="shared" ca="1" si="52"/>
        <v>0</v>
      </c>
      <c r="CL22" s="2790">
        <f t="shared" ca="1" si="52"/>
        <v>0</v>
      </c>
      <c r="CM22" s="2790">
        <f t="shared" ca="1" si="52"/>
        <v>0</v>
      </c>
      <c r="CN22" s="2790">
        <f t="shared" ca="1" si="52"/>
        <v>0</v>
      </c>
      <c r="CO22" s="2790">
        <f t="shared" ca="1" si="52"/>
        <v>0</v>
      </c>
      <c r="CP22" s="2790">
        <f t="shared" ca="1" si="52"/>
        <v>0</v>
      </c>
      <c r="CQ22" s="2790">
        <f t="shared" ca="1" si="52"/>
        <v>0</v>
      </c>
      <c r="CR22" s="2790">
        <f t="shared" ca="1" si="52"/>
        <v>0</v>
      </c>
      <c r="CS22" s="2790">
        <f t="shared" ca="1" si="52"/>
        <v>0</v>
      </c>
      <c r="CT22" s="2790">
        <f t="shared" ca="1" si="52"/>
        <v>0</v>
      </c>
      <c r="CU22" s="2790">
        <f t="shared" ca="1" si="52"/>
        <v>0</v>
      </c>
      <c r="CV22" s="2790">
        <f t="shared" ca="1" si="52"/>
        <v>0</v>
      </c>
      <c r="CW22" s="2790">
        <f t="shared" ca="1" si="52"/>
        <v>0</v>
      </c>
      <c r="CX22" s="2790">
        <f t="shared" ca="1" si="52"/>
        <v>0</v>
      </c>
      <c r="CY22" s="2790">
        <f t="shared" ca="1" si="52"/>
        <v>0</v>
      </c>
      <c r="CZ22" s="2790">
        <f t="shared" ca="1" si="52"/>
        <v>0</v>
      </c>
      <c r="DA22" s="2790">
        <f t="shared" ca="1" si="52"/>
        <v>0</v>
      </c>
      <c r="DB22" s="2790">
        <f t="shared" ca="1" si="52"/>
        <v>0</v>
      </c>
      <c r="DC22" s="2790">
        <f t="shared" ca="1" si="52"/>
        <v>0</v>
      </c>
      <c r="DD22" s="2790">
        <f t="shared" ca="1" si="52"/>
        <v>0</v>
      </c>
      <c r="DE22" s="2790">
        <f t="shared" ca="1" si="52"/>
        <v>0</v>
      </c>
      <c r="DF22" s="2790">
        <f t="shared" ca="1" si="52"/>
        <v>0</v>
      </c>
      <c r="DH22" s="596">
        <f t="shared" ca="1" si="32"/>
        <v>6.5913388648141993</v>
      </c>
    </row>
    <row r="23" spans="1:112" s="6" customFormat="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9"/>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2"/>
        <v>0</v>
      </c>
    </row>
    <row r="24" spans="1:112" s="6" customFormat="1">
      <c r="A24" s="607"/>
      <c r="B24" s="607"/>
      <c r="C24" s="587" t="s">
        <v>478</v>
      </c>
      <c r="D24" s="623" t="s">
        <v>479</v>
      </c>
      <c r="E24" s="599"/>
      <c r="G24" s="589">
        <f t="shared" ref="G24:P27" ca="1" si="53">IFERROR(INDEX(INDIRECT($C24&amp;".Outputs["&amp;this.Year&amp;"]"), MATCH(G$5, INDIRECT($C24&amp;".Outputs[Vector]"), 0)), 0)</f>
        <v>0</v>
      </c>
      <c r="H24" s="589">
        <f t="shared" ca="1" si="53"/>
        <v>0</v>
      </c>
      <c r="I24" s="589">
        <f t="shared" ca="1" si="53"/>
        <v>0</v>
      </c>
      <c r="J24" s="589">
        <f t="shared" ca="1" si="53"/>
        <v>22.145400751413334</v>
      </c>
      <c r="K24" s="589">
        <f t="shared" ca="1" si="53"/>
        <v>0.44685842639234974</v>
      </c>
      <c r="L24" s="589">
        <f t="shared" ca="1" si="53"/>
        <v>2.6979176745363341E-2</v>
      </c>
      <c r="M24" s="589">
        <f t="shared" ca="1" si="53"/>
        <v>0</v>
      </c>
      <c r="N24" s="589">
        <f t="shared" ca="1" si="53"/>
        <v>0</v>
      </c>
      <c r="O24" s="589">
        <f t="shared" ca="1" si="53"/>
        <v>0</v>
      </c>
      <c r="P24" s="589">
        <f t="shared" ca="1" si="53"/>
        <v>0</v>
      </c>
      <c r="Q24" s="590">
        <f t="shared" ref="Q24:Q32" ca="1" si="54">SUM(G24:P24)</f>
        <v>22.619238354551047</v>
      </c>
      <c r="S24" s="591">
        <f t="shared" ref="S24:AJ30" ca="1" si="55">IFERROR(INDEX(INDIRECT($C24&amp;".Outputs["&amp;this.Year&amp;"]"), MATCH(S$5, INDIRECT($C24&amp;".Outputs[Vector]"), 0)), 0)</f>
        <v>-5.7819311214212923E-2</v>
      </c>
      <c r="T24" s="591">
        <f t="shared" ca="1" si="55"/>
        <v>0</v>
      </c>
      <c r="U24" s="591">
        <f t="shared" ca="1" si="55"/>
        <v>0</v>
      </c>
      <c r="V24" s="591">
        <f t="shared" ca="1" si="55"/>
        <v>-22.561313777842653</v>
      </c>
      <c r="W24" s="591">
        <f t="shared" ca="1" si="55"/>
        <v>0</v>
      </c>
      <c r="X24" s="591">
        <f t="shared" ca="1" si="55"/>
        <v>0</v>
      </c>
      <c r="Y24" s="591">
        <f t="shared" ca="1" si="55"/>
        <v>0</v>
      </c>
      <c r="Z24" s="591">
        <f t="shared" ca="1" si="55"/>
        <v>0</v>
      </c>
      <c r="AA24" s="591">
        <f t="shared" ca="1" si="55"/>
        <v>0</v>
      </c>
      <c r="AB24" s="591">
        <f t="shared" ca="1" si="55"/>
        <v>0</v>
      </c>
      <c r="AC24" s="591">
        <f t="shared" ca="1" si="55"/>
        <v>0</v>
      </c>
      <c r="AD24" s="591">
        <f t="shared" ca="1" si="55"/>
        <v>0</v>
      </c>
      <c r="AE24" s="591">
        <f t="shared" ca="1" si="55"/>
        <v>0</v>
      </c>
      <c r="AF24" s="591">
        <f t="shared" ca="1" si="55"/>
        <v>0</v>
      </c>
      <c r="AG24" s="591">
        <f t="shared" ca="1" si="55"/>
        <v>0</v>
      </c>
      <c r="AH24" s="591">
        <f t="shared" ca="1" si="55"/>
        <v>0</v>
      </c>
      <c r="AI24" s="591">
        <f t="shared" ca="1" si="55"/>
        <v>0</v>
      </c>
      <c r="AJ24" s="591">
        <f t="shared" ca="1" si="55"/>
        <v>-1.0526549418152516E-4</v>
      </c>
      <c r="AK24" s="592">
        <f t="shared" ref="AK24:AK32" ca="1" si="56">SUM(S24:AJ24)</f>
        <v>-22.619238354551047</v>
      </c>
      <c r="AM24" s="593">
        <f t="shared" ref="AM24:BB27" ca="1" si="57">IFERROR(INDEX(INDIRECT($C24&amp;".Outputs["&amp;this.Year&amp;"]"), MATCH(AM$5, INDIRECT($C24&amp;".Outputs[Vector]"), 0)), 0)</f>
        <v>0</v>
      </c>
      <c r="AN24" s="593">
        <f t="shared" ca="1" si="57"/>
        <v>0</v>
      </c>
      <c r="AO24" s="593">
        <f t="shared" ca="1" si="57"/>
        <v>0</v>
      </c>
      <c r="AP24" s="593">
        <f t="shared" ca="1" si="57"/>
        <v>0</v>
      </c>
      <c r="AQ24" s="593">
        <f t="shared" ca="1" si="57"/>
        <v>0</v>
      </c>
      <c r="AR24" s="593">
        <f t="shared" ca="1" si="57"/>
        <v>0</v>
      </c>
      <c r="AS24" s="593">
        <f t="shared" ca="1" si="57"/>
        <v>0</v>
      </c>
      <c r="AT24" s="593">
        <f t="shared" ca="1" si="57"/>
        <v>0</v>
      </c>
      <c r="AU24" s="593">
        <f t="shared" ca="1" si="57"/>
        <v>0</v>
      </c>
      <c r="AV24" s="593">
        <f t="shared" ca="1" si="57"/>
        <v>0</v>
      </c>
      <c r="AW24" s="593">
        <f t="shared" ca="1" si="57"/>
        <v>0</v>
      </c>
      <c r="AX24" s="593">
        <f t="shared" ca="1" si="57"/>
        <v>0</v>
      </c>
      <c r="AY24" s="593">
        <f t="shared" ca="1" si="57"/>
        <v>0</v>
      </c>
      <c r="AZ24" s="593">
        <f t="shared" ca="1" si="57"/>
        <v>0</v>
      </c>
      <c r="BA24" s="593">
        <f t="shared" ca="1" si="57"/>
        <v>0</v>
      </c>
      <c r="BB24" s="593">
        <f t="shared" ca="1" si="57"/>
        <v>0</v>
      </c>
      <c r="BC24" s="593">
        <f t="shared" ref="BC24:BE27" ca="1" si="58">IFERROR(INDEX(INDIRECT($C24&amp;".Outputs["&amp;this.Year&amp;"]"), MATCH(BC$5, INDIRECT($C24&amp;".Outputs[Vector]"), 0)), 0)</f>
        <v>0</v>
      </c>
      <c r="BD24" s="593">
        <f t="shared" ca="1" si="58"/>
        <v>0</v>
      </c>
      <c r="BE24" s="593">
        <f t="shared" ca="1" si="58"/>
        <v>0</v>
      </c>
      <c r="BF24" s="609">
        <f t="shared" ref="BF24:BF32" ca="1" si="59">SUM(AM24:BE24)</f>
        <v>0</v>
      </c>
      <c r="BH24" s="3471">
        <f t="shared" ref="BH24:BI30" ca="1" si="60">IFERROR(INDEX(INDIRECT($C24&amp;".Outputs["&amp;this.Year&amp;"]"), MATCH(BH$5, INDIRECT($C24&amp;".Outputs[Vector]"), 0)), 0)</f>
        <v>0</v>
      </c>
      <c r="BI24" s="3471">
        <f t="shared" ca="1" si="60"/>
        <v>0</v>
      </c>
      <c r="BJ24" s="3460">
        <f t="shared" ref="BJ24:BJ32" ca="1" si="61">SUM(BH24:BI24)</f>
        <v>0</v>
      </c>
      <c r="BL24" s="610">
        <f t="shared" ca="1" si="9"/>
        <v>0</v>
      </c>
      <c r="BM24" s="610"/>
      <c r="BN24" s="413"/>
      <c r="BO24" s="2789">
        <f t="shared" ref="BO24:BX27" ca="1" si="62">IFERROR(SUMIFS(INDIRECT($C24&amp;".Emissions["&amp;this.Year&amp;"]"), INDIRECT($C24&amp;".Emissions[GHG]"), BO$6, INDIRECT($C24&amp;".Emissions[IPCC Sector]"), BO$5),0)</f>
        <v>5.9534794796971182</v>
      </c>
      <c r="BP24" s="2790">
        <f t="shared" ca="1" si="62"/>
        <v>5.116905964814714E-3</v>
      </c>
      <c r="BQ24" s="2790">
        <f t="shared" ca="1" si="62"/>
        <v>1.5107055705643441E-2</v>
      </c>
      <c r="BR24" s="2790">
        <f t="shared" ca="1" si="62"/>
        <v>0</v>
      </c>
      <c r="BS24" s="2790">
        <f t="shared" ca="1" si="62"/>
        <v>0</v>
      </c>
      <c r="BT24" s="2790">
        <f t="shared" ca="1" si="62"/>
        <v>0</v>
      </c>
      <c r="BU24" s="2790">
        <f t="shared" ca="1" si="62"/>
        <v>0</v>
      </c>
      <c r="BV24" s="2790">
        <f t="shared" ca="1" si="62"/>
        <v>0</v>
      </c>
      <c r="BW24" s="2790">
        <f t="shared" ca="1" si="62"/>
        <v>0</v>
      </c>
      <c r="BX24" s="2790">
        <f t="shared" ca="1" si="62"/>
        <v>0</v>
      </c>
      <c r="BY24" s="2790">
        <f t="shared" ref="BY24:CH27" ca="1" si="63">IFERROR(SUMIFS(INDIRECT($C24&amp;".Emissions["&amp;this.Year&amp;"]"), INDIRECT($C24&amp;".Emissions[GHG]"), BY$6, INDIRECT($C24&amp;".Emissions[IPCC Sector]"), BY$5),0)</f>
        <v>0</v>
      </c>
      <c r="BZ24" s="2790">
        <f t="shared" ca="1" si="63"/>
        <v>0</v>
      </c>
      <c r="CA24" s="2790">
        <f t="shared" ca="1" si="63"/>
        <v>0</v>
      </c>
      <c r="CB24" s="2790">
        <f t="shared" ca="1" si="63"/>
        <v>0</v>
      </c>
      <c r="CC24" s="2790">
        <f t="shared" ca="1" si="63"/>
        <v>0</v>
      </c>
      <c r="CD24" s="2790">
        <f t="shared" ca="1" si="63"/>
        <v>0</v>
      </c>
      <c r="CE24" s="2790">
        <f t="shared" ca="1" si="63"/>
        <v>0</v>
      </c>
      <c r="CF24" s="2790">
        <f t="shared" ca="1" si="63"/>
        <v>0</v>
      </c>
      <c r="CG24" s="2790">
        <f t="shared" ca="1" si="63"/>
        <v>0</v>
      </c>
      <c r="CH24" s="2790">
        <f t="shared" ca="1" si="63"/>
        <v>0</v>
      </c>
      <c r="CI24" s="2790">
        <f t="shared" ref="CI24:CR27" ca="1" si="64">IFERROR(SUMIFS(INDIRECT($C24&amp;".Emissions["&amp;this.Year&amp;"]"), INDIRECT($C24&amp;".Emissions[GHG]"), CI$6, INDIRECT($C24&amp;".Emissions[IPCC Sector]"), CI$5),0)</f>
        <v>0</v>
      </c>
      <c r="CJ24" s="2790">
        <f t="shared" ca="1" si="64"/>
        <v>0</v>
      </c>
      <c r="CK24" s="2790">
        <f t="shared" ca="1" si="64"/>
        <v>0</v>
      </c>
      <c r="CL24" s="2790">
        <f t="shared" ca="1" si="64"/>
        <v>0</v>
      </c>
      <c r="CM24" s="2790">
        <f t="shared" ca="1" si="64"/>
        <v>0</v>
      </c>
      <c r="CN24" s="2790">
        <f t="shared" ca="1" si="64"/>
        <v>0</v>
      </c>
      <c r="CO24" s="2790">
        <f t="shared" ca="1" si="64"/>
        <v>0</v>
      </c>
      <c r="CP24" s="2790">
        <f t="shared" ca="1" si="64"/>
        <v>0</v>
      </c>
      <c r="CQ24" s="2790">
        <f t="shared" ca="1" si="64"/>
        <v>0</v>
      </c>
      <c r="CR24" s="2790">
        <f t="shared" ca="1" si="64"/>
        <v>0</v>
      </c>
      <c r="CS24" s="2790">
        <f t="shared" ref="CS24:DF27" ca="1" si="65">IFERROR(SUMIFS(INDIRECT($C24&amp;".Emissions["&amp;this.Year&amp;"]"), INDIRECT($C24&amp;".Emissions[GHG]"), CS$6, INDIRECT($C24&amp;".Emissions[IPCC Sector]"), CS$5),0)</f>
        <v>0</v>
      </c>
      <c r="CT24" s="2790">
        <f t="shared" ca="1" si="65"/>
        <v>0</v>
      </c>
      <c r="CU24" s="2790">
        <f t="shared" ca="1" si="65"/>
        <v>0</v>
      </c>
      <c r="CV24" s="2790">
        <f t="shared" ca="1" si="65"/>
        <v>0</v>
      </c>
      <c r="CW24" s="2790">
        <f t="shared" ca="1" si="65"/>
        <v>0</v>
      </c>
      <c r="CX24" s="2790">
        <f t="shared" ca="1" si="65"/>
        <v>0</v>
      </c>
      <c r="CY24" s="2790">
        <f t="shared" ca="1" si="65"/>
        <v>0</v>
      </c>
      <c r="CZ24" s="2790">
        <f t="shared" ca="1" si="65"/>
        <v>0</v>
      </c>
      <c r="DA24" s="2790">
        <f t="shared" ca="1" si="65"/>
        <v>0</v>
      </c>
      <c r="DB24" s="2790">
        <f t="shared" ca="1" si="65"/>
        <v>0</v>
      </c>
      <c r="DC24" s="2790">
        <f t="shared" ca="1" si="65"/>
        <v>0</v>
      </c>
      <c r="DD24" s="2790">
        <f t="shared" ca="1" si="65"/>
        <v>0</v>
      </c>
      <c r="DE24" s="2790">
        <f t="shared" ca="1" si="65"/>
        <v>0</v>
      </c>
      <c r="DF24" s="2790">
        <f t="shared" ca="1" si="65"/>
        <v>0</v>
      </c>
      <c r="DH24" s="596">
        <f t="shared" ca="1" si="32"/>
        <v>5.9737034413675758</v>
      </c>
    </row>
    <row r="25" spans="1:112" s="6" customFormat="1">
      <c r="A25" s="607"/>
      <c r="B25" s="607"/>
      <c r="C25" s="587" t="s">
        <v>480</v>
      </c>
      <c r="D25" s="623" t="s">
        <v>481</v>
      </c>
      <c r="E25" s="599"/>
      <c r="G25" s="589">
        <f t="shared" ca="1" si="53"/>
        <v>0</v>
      </c>
      <c r="H25" s="589">
        <f t="shared" ca="1" si="53"/>
        <v>0</v>
      </c>
      <c r="I25" s="589">
        <f t="shared" ca="1" si="53"/>
        <v>0</v>
      </c>
      <c r="J25" s="589">
        <f t="shared" ca="1" si="53"/>
        <v>15.751899843749998</v>
      </c>
      <c r="K25" s="589">
        <f t="shared" ca="1" si="53"/>
        <v>5.1361499769498426E-3</v>
      </c>
      <c r="L25" s="589">
        <f t="shared" ca="1" si="53"/>
        <v>0</v>
      </c>
      <c r="M25" s="589">
        <f t="shared" ca="1" si="53"/>
        <v>0.66</v>
      </c>
      <c r="N25" s="589">
        <f t="shared" ca="1" si="53"/>
        <v>0</v>
      </c>
      <c r="O25" s="589">
        <f t="shared" ca="1" si="53"/>
        <v>0</v>
      </c>
      <c r="P25" s="589">
        <f t="shared" ca="1" si="53"/>
        <v>0</v>
      </c>
      <c r="Q25" s="590">
        <f t="shared" ca="1" si="54"/>
        <v>16.417035993726948</v>
      </c>
      <c r="S25" s="591">
        <f t="shared" ca="1" si="55"/>
        <v>0</v>
      </c>
      <c r="T25" s="591">
        <f t="shared" ca="1" si="55"/>
        <v>0</v>
      </c>
      <c r="U25" s="591">
        <f t="shared" ca="1" si="55"/>
        <v>0</v>
      </c>
      <c r="V25" s="591">
        <f t="shared" ca="1" si="55"/>
        <v>-16.417035993726948</v>
      </c>
      <c r="W25" s="591">
        <f t="shared" ca="1" si="55"/>
        <v>0</v>
      </c>
      <c r="X25" s="591">
        <f t="shared" ca="1" si="55"/>
        <v>0</v>
      </c>
      <c r="Y25" s="591">
        <f t="shared" ca="1" si="55"/>
        <v>0</v>
      </c>
      <c r="Z25" s="591">
        <f t="shared" ca="1" si="55"/>
        <v>0</v>
      </c>
      <c r="AA25" s="591">
        <f t="shared" ca="1" si="55"/>
        <v>0</v>
      </c>
      <c r="AB25" s="591">
        <f t="shared" ca="1" si="55"/>
        <v>0</v>
      </c>
      <c r="AC25" s="591">
        <f t="shared" ca="1" si="55"/>
        <v>0</v>
      </c>
      <c r="AD25" s="591">
        <f t="shared" ca="1" si="55"/>
        <v>0</v>
      </c>
      <c r="AE25" s="591">
        <f t="shared" ca="1" si="55"/>
        <v>0</v>
      </c>
      <c r="AF25" s="591">
        <f t="shared" ca="1" si="55"/>
        <v>0</v>
      </c>
      <c r="AG25" s="591">
        <f t="shared" ca="1" si="55"/>
        <v>0</v>
      </c>
      <c r="AH25" s="591">
        <f t="shared" ca="1" si="55"/>
        <v>0</v>
      </c>
      <c r="AI25" s="591">
        <f t="shared" ca="1" si="55"/>
        <v>0</v>
      </c>
      <c r="AJ25" s="591">
        <f t="shared" ca="1" si="55"/>
        <v>0</v>
      </c>
      <c r="AK25" s="592">
        <f t="shared" ca="1" si="56"/>
        <v>-16.417035993726948</v>
      </c>
      <c r="AM25" s="593">
        <f t="shared" ca="1" si="57"/>
        <v>0</v>
      </c>
      <c r="AN25" s="593">
        <f t="shared" ca="1" si="57"/>
        <v>0</v>
      </c>
      <c r="AO25" s="593">
        <f t="shared" ca="1" si="57"/>
        <v>0</v>
      </c>
      <c r="AP25" s="593">
        <f t="shared" ca="1" si="57"/>
        <v>0</v>
      </c>
      <c r="AQ25" s="593">
        <f t="shared" ca="1" si="57"/>
        <v>0</v>
      </c>
      <c r="AR25" s="593">
        <f t="shared" ca="1" si="57"/>
        <v>0</v>
      </c>
      <c r="AS25" s="593">
        <f t="shared" ca="1" si="57"/>
        <v>0</v>
      </c>
      <c r="AT25" s="593">
        <f t="shared" ca="1" si="57"/>
        <v>0</v>
      </c>
      <c r="AU25" s="593">
        <f t="shared" ca="1" si="57"/>
        <v>0</v>
      </c>
      <c r="AV25" s="593">
        <f t="shared" ca="1" si="57"/>
        <v>0</v>
      </c>
      <c r="AW25" s="593">
        <f t="shared" ca="1" si="57"/>
        <v>0</v>
      </c>
      <c r="AX25" s="593">
        <f t="shared" ca="1" si="57"/>
        <v>0</v>
      </c>
      <c r="AY25" s="593">
        <f t="shared" ca="1" si="57"/>
        <v>0</v>
      </c>
      <c r="AZ25" s="593">
        <f t="shared" ca="1" si="57"/>
        <v>0</v>
      </c>
      <c r="BA25" s="593">
        <f t="shared" ca="1" si="57"/>
        <v>0</v>
      </c>
      <c r="BB25" s="593">
        <f t="shared" ca="1" si="57"/>
        <v>0</v>
      </c>
      <c r="BC25" s="593">
        <f t="shared" ca="1" si="58"/>
        <v>0</v>
      </c>
      <c r="BD25" s="593">
        <f t="shared" ca="1" si="58"/>
        <v>0</v>
      </c>
      <c r="BE25" s="593">
        <f t="shared" ca="1" si="58"/>
        <v>0</v>
      </c>
      <c r="BF25" s="609">
        <f t="shared" ca="1" si="59"/>
        <v>0</v>
      </c>
      <c r="BH25" s="3471">
        <f t="shared" ca="1" si="60"/>
        <v>0</v>
      </c>
      <c r="BI25" s="3471">
        <f t="shared" ca="1" si="60"/>
        <v>0</v>
      </c>
      <c r="BJ25" s="3460">
        <f t="shared" ca="1" si="61"/>
        <v>0</v>
      </c>
      <c r="BL25" s="610">
        <f t="shared" ca="1" si="9"/>
        <v>0</v>
      </c>
      <c r="BM25" s="610"/>
      <c r="BN25" s="413"/>
      <c r="BO25" s="2789">
        <f t="shared" ca="1" si="62"/>
        <v>4.332127458024666</v>
      </c>
      <c r="BP25" s="2790">
        <f t="shared" ca="1" si="62"/>
        <v>3.7233837633772718E-3</v>
      </c>
      <c r="BQ25" s="2790">
        <f t="shared" ca="1" si="62"/>
        <v>1.0992847301399565E-2</v>
      </c>
      <c r="BR25" s="2790">
        <f t="shared" ca="1" si="62"/>
        <v>0</v>
      </c>
      <c r="BS25" s="2790">
        <f t="shared" ca="1" si="62"/>
        <v>0</v>
      </c>
      <c r="BT25" s="2790">
        <f t="shared" ca="1" si="62"/>
        <v>0</v>
      </c>
      <c r="BU25" s="2790">
        <f t="shared" ca="1" si="62"/>
        <v>0</v>
      </c>
      <c r="BV25" s="2790">
        <f t="shared" ca="1" si="62"/>
        <v>0</v>
      </c>
      <c r="BW25" s="2790">
        <f t="shared" ca="1" si="62"/>
        <v>0</v>
      </c>
      <c r="BX25" s="2790">
        <f t="shared" ca="1" si="62"/>
        <v>0</v>
      </c>
      <c r="BY25" s="2790">
        <f t="shared" ca="1" si="63"/>
        <v>0</v>
      </c>
      <c r="BZ25" s="2790">
        <f t="shared" ca="1" si="63"/>
        <v>0</v>
      </c>
      <c r="CA25" s="2790">
        <f t="shared" ca="1" si="63"/>
        <v>0</v>
      </c>
      <c r="CB25" s="2790">
        <f t="shared" ca="1" si="63"/>
        <v>0</v>
      </c>
      <c r="CC25" s="2790">
        <f t="shared" ca="1" si="63"/>
        <v>0</v>
      </c>
      <c r="CD25" s="2790">
        <f t="shared" ca="1" si="63"/>
        <v>0</v>
      </c>
      <c r="CE25" s="2790">
        <f t="shared" ca="1" si="63"/>
        <v>0</v>
      </c>
      <c r="CF25" s="2790">
        <f t="shared" ca="1" si="63"/>
        <v>0</v>
      </c>
      <c r="CG25" s="2790">
        <f t="shared" ca="1" si="63"/>
        <v>0</v>
      </c>
      <c r="CH25" s="2790">
        <f t="shared" ca="1" si="63"/>
        <v>0</v>
      </c>
      <c r="CI25" s="2790">
        <f t="shared" ca="1" si="64"/>
        <v>0</v>
      </c>
      <c r="CJ25" s="2790">
        <f t="shared" ca="1" si="64"/>
        <v>0</v>
      </c>
      <c r="CK25" s="2790">
        <f t="shared" ca="1" si="64"/>
        <v>0</v>
      </c>
      <c r="CL25" s="2790">
        <f t="shared" ca="1" si="64"/>
        <v>0</v>
      </c>
      <c r="CM25" s="2790">
        <f t="shared" ca="1" si="64"/>
        <v>0</v>
      </c>
      <c r="CN25" s="2790">
        <f t="shared" ca="1" si="64"/>
        <v>0</v>
      </c>
      <c r="CO25" s="2790">
        <f t="shared" ca="1" si="64"/>
        <v>0</v>
      </c>
      <c r="CP25" s="2790">
        <f t="shared" ca="1" si="64"/>
        <v>0</v>
      </c>
      <c r="CQ25" s="2790">
        <f t="shared" ca="1" si="64"/>
        <v>0</v>
      </c>
      <c r="CR25" s="2790">
        <f t="shared" ca="1" si="64"/>
        <v>0</v>
      </c>
      <c r="CS25" s="2790">
        <f t="shared" ca="1" si="65"/>
        <v>0</v>
      </c>
      <c r="CT25" s="2790">
        <f t="shared" ca="1" si="65"/>
        <v>0</v>
      </c>
      <c r="CU25" s="2790">
        <f t="shared" ca="1" si="65"/>
        <v>0</v>
      </c>
      <c r="CV25" s="2790">
        <f t="shared" ca="1" si="65"/>
        <v>0</v>
      </c>
      <c r="CW25" s="2790">
        <f t="shared" ca="1" si="65"/>
        <v>0</v>
      </c>
      <c r="CX25" s="2790">
        <f t="shared" ca="1" si="65"/>
        <v>0</v>
      </c>
      <c r="CY25" s="2790">
        <f t="shared" ca="1" si="65"/>
        <v>0</v>
      </c>
      <c r="CZ25" s="2790">
        <f t="shared" ca="1" si="65"/>
        <v>0</v>
      </c>
      <c r="DA25" s="2790">
        <f t="shared" ca="1" si="65"/>
        <v>0</v>
      </c>
      <c r="DB25" s="2790">
        <f t="shared" ca="1" si="65"/>
        <v>0</v>
      </c>
      <c r="DC25" s="2790">
        <f t="shared" ca="1" si="65"/>
        <v>0</v>
      </c>
      <c r="DD25" s="2790">
        <f t="shared" ca="1" si="65"/>
        <v>0</v>
      </c>
      <c r="DE25" s="2790">
        <f t="shared" ca="1" si="65"/>
        <v>0</v>
      </c>
      <c r="DF25" s="2790">
        <f t="shared" ca="1" si="65"/>
        <v>0</v>
      </c>
      <c r="DH25" s="596">
        <f t="shared" ca="1" si="32"/>
        <v>4.3468436890894431</v>
      </c>
    </row>
    <row r="26" spans="1:112" s="6" customFormat="1">
      <c r="A26" s="586"/>
      <c r="B26" s="586"/>
      <c r="C26" s="587" t="s">
        <v>482</v>
      </c>
      <c r="D26" s="623" t="s">
        <v>373</v>
      </c>
      <c r="E26" s="599"/>
      <c r="G26" s="589">
        <f t="shared" ca="1" si="53"/>
        <v>0</v>
      </c>
      <c r="H26" s="589">
        <f t="shared" ca="1" si="53"/>
        <v>0</v>
      </c>
      <c r="I26" s="589">
        <f t="shared" ca="1" si="53"/>
        <v>0</v>
      </c>
      <c r="J26" s="589">
        <f t="shared" ca="1" si="53"/>
        <v>0</v>
      </c>
      <c r="K26" s="589">
        <f t="shared" ca="1" si="53"/>
        <v>0</v>
      </c>
      <c r="L26" s="589">
        <f t="shared" ca="1" si="53"/>
        <v>0</v>
      </c>
      <c r="M26" s="589">
        <f t="shared" ca="1" si="53"/>
        <v>0</v>
      </c>
      <c r="N26" s="589">
        <f t="shared" ca="1" si="53"/>
        <v>6.8942086199999997</v>
      </c>
      <c r="O26" s="589">
        <f t="shared" ca="1" si="53"/>
        <v>0</v>
      </c>
      <c r="P26" s="589">
        <f t="shared" ca="1" si="53"/>
        <v>0</v>
      </c>
      <c r="Q26" s="590">
        <f t="shared" ca="1" si="54"/>
        <v>6.8942086199999997</v>
      </c>
      <c r="S26" s="591">
        <f t="shared" ca="1" si="55"/>
        <v>0</v>
      </c>
      <c r="T26" s="591">
        <f t="shared" ca="1" si="55"/>
        <v>0</v>
      </c>
      <c r="U26" s="591">
        <f t="shared" ca="1" si="55"/>
        <v>0</v>
      </c>
      <c r="V26" s="591">
        <f t="shared" ca="1" si="55"/>
        <v>-6.8942086199999997</v>
      </c>
      <c r="W26" s="591">
        <f t="shared" ca="1" si="55"/>
        <v>0</v>
      </c>
      <c r="X26" s="591">
        <f t="shared" ca="1" si="55"/>
        <v>0</v>
      </c>
      <c r="Y26" s="591">
        <f t="shared" ca="1" si="55"/>
        <v>0</v>
      </c>
      <c r="Z26" s="591">
        <f t="shared" ca="1" si="55"/>
        <v>0</v>
      </c>
      <c r="AA26" s="591">
        <f t="shared" ca="1" si="55"/>
        <v>0</v>
      </c>
      <c r="AB26" s="591">
        <f t="shared" ca="1" si="55"/>
        <v>0</v>
      </c>
      <c r="AC26" s="591">
        <f t="shared" ca="1" si="55"/>
        <v>0</v>
      </c>
      <c r="AD26" s="591">
        <f t="shared" ca="1" si="55"/>
        <v>0</v>
      </c>
      <c r="AE26" s="591">
        <f t="shared" ca="1" si="55"/>
        <v>0</v>
      </c>
      <c r="AF26" s="591">
        <f t="shared" ca="1" si="55"/>
        <v>0</v>
      </c>
      <c r="AG26" s="591">
        <f t="shared" ca="1" si="55"/>
        <v>0</v>
      </c>
      <c r="AH26" s="591">
        <f t="shared" ca="1" si="55"/>
        <v>0</v>
      </c>
      <c r="AI26" s="591">
        <f t="shared" ca="1" si="55"/>
        <v>0</v>
      </c>
      <c r="AJ26" s="591">
        <f t="shared" ca="1" si="55"/>
        <v>0</v>
      </c>
      <c r="AK26" s="592">
        <f t="shared" ca="1" si="56"/>
        <v>-6.8942086199999997</v>
      </c>
      <c r="AM26" s="593">
        <f t="shared" ca="1" si="57"/>
        <v>0</v>
      </c>
      <c r="AN26" s="593">
        <f t="shared" ca="1" si="57"/>
        <v>0</v>
      </c>
      <c r="AO26" s="593">
        <f t="shared" ca="1" si="57"/>
        <v>0</v>
      </c>
      <c r="AP26" s="593">
        <f t="shared" ca="1" si="57"/>
        <v>0</v>
      </c>
      <c r="AQ26" s="593">
        <f t="shared" ca="1" si="57"/>
        <v>0</v>
      </c>
      <c r="AR26" s="593">
        <f t="shared" ca="1" si="57"/>
        <v>0</v>
      </c>
      <c r="AS26" s="593">
        <f t="shared" ca="1" si="57"/>
        <v>0</v>
      </c>
      <c r="AT26" s="593">
        <f t="shared" ca="1" si="57"/>
        <v>0</v>
      </c>
      <c r="AU26" s="593">
        <f t="shared" ca="1" si="57"/>
        <v>0</v>
      </c>
      <c r="AV26" s="593">
        <f t="shared" ca="1" si="57"/>
        <v>0</v>
      </c>
      <c r="AW26" s="593">
        <f t="shared" ca="1" si="57"/>
        <v>0</v>
      </c>
      <c r="AX26" s="593">
        <f t="shared" ca="1" si="57"/>
        <v>0</v>
      </c>
      <c r="AY26" s="593">
        <f t="shared" ca="1" si="57"/>
        <v>0</v>
      </c>
      <c r="AZ26" s="593">
        <f t="shared" ca="1" si="57"/>
        <v>0</v>
      </c>
      <c r="BA26" s="593">
        <f t="shared" ca="1" si="57"/>
        <v>0</v>
      </c>
      <c r="BB26" s="593">
        <f t="shared" ca="1" si="57"/>
        <v>0</v>
      </c>
      <c r="BC26" s="593">
        <f t="shared" ca="1" si="58"/>
        <v>0</v>
      </c>
      <c r="BD26" s="593">
        <f t="shared" ca="1" si="58"/>
        <v>0</v>
      </c>
      <c r="BE26" s="593">
        <f t="shared" ca="1" si="58"/>
        <v>0</v>
      </c>
      <c r="BF26" s="594">
        <f t="shared" ca="1" si="59"/>
        <v>0</v>
      </c>
      <c r="BH26" s="3471">
        <f t="shared" ca="1" si="60"/>
        <v>0</v>
      </c>
      <c r="BI26" s="3471">
        <f t="shared" ca="1" si="60"/>
        <v>0</v>
      </c>
      <c r="BJ26" s="3460">
        <f t="shared" ca="1" si="61"/>
        <v>0</v>
      </c>
      <c r="BL26" s="595">
        <f t="shared" ca="1" si="9"/>
        <v>0</v>
      </c>
      <c r="BM26" s="595"/>
      <c r="BN26" s="413"/>
      <c r="BO26" s="2789">
        <f t="shared" ca="1" si="62"/>
        <v>0</v>
      </c>
      <c r="BP26" s="2790">
        <f t="shared" ca="1" si="62"/>
        <v>0</v>
      </c>
      <c r="BQ26" s="2790">
        <f t="shared" ca="1" si="62"/>
        <v>0</v>
      </c>
      <c r="BR26" s="2790">
        <f t="shared" ca="1" si="62"/>
        <v>0</v>
      </c>
      <c r="BS26" s="2790">
        <f t="shared" ca="1" si="62"/>
        <v>0</v>
      </c>
      <c r="BT26" s="2790">
        <f t="shared" ca="1" si="62"/>
        <v>0</v>
      </c>
      <c r="BU26" s="2790">
        <f t="shared" ca="1" si="62"/>
        <v>0</v>
      </c>
      <c r="BV26" s="2790">
        <f t="shared" ca="1" si="62"/>
        <v>0</v>
      </c>
      <c r="BW26" s="2790">
        <f t="shared" ca="1" si="62"/>
        <v>0</v>
      </c>
      <c r="BX26" s="2790">
        <f t="shared" ca="1" si="62"/>
        <v>0</v>
      </c>
      <c r="BY26" s="2790">
        <f t="shared" ca="1" si="63"/>
        <v>0</v>
      </c>
      <c r="BZ26" s="2790">
        <f t="shared" ca="1" si="63"/>
        <v>0</v>
      </c>
      <c r="CA26" s="2790">
        <f t="shared" ca="1" si="63"/>
        <v>0</v>
      </c>
      <c r="CB26" s="2790">
        <f t="shared" ca="1" si="63"/>
        <v>0</v>
      </c>
      <c r="CC26" s="2790">
        <f t="shared" ca="1" si="63"/>
        <v>0</v>
      </c>
      <c r="CD26" s="2790">
        <f t="shared" ca="1" si="63"/>
        <v>0</v>
      </c>
      <c r="CE26" s="2790">
        <f t="shared" ca="1" si="63"/>
        <v>0</v>
      </c>
      <c r="CF26" s="2790">
        <f t="shared" ca="1" si="63"/>
        <v>0</v>
      </c>
      <c r="CG26" s="2790">
        <f t="shared" ca="1" si="63"/>
        <v>0</v>
      </c>
      <c r="CH26" s="2790">
        <f t="shared" ca="1" si="63"/>
        <v>0</v>
      </c>
      <c r="CI26" s="2790">
        <f t="shared" ca="1" si="64"/>
        <v>0</v>
      </c>
      <c r="CJ26" s="2790">
        <f t="shared" ca="1" si="64"/>
        <v>0</v>
      </c>
      <c r="CK26" s="2790">
        <f t="shared" ca="1" si="64"/>
        <v>0</v>
      </c>
      <c r="CL26" s="2790">
        <f t="shared" ca="1" si="64"/>
        <v>0</v>
      </c>
      <c r="CM26" s="2790">
        <f t="shared" ca="1" si="64"/>
        <v>0</v>
      </c>
      <c r="CN26" s="2790">
        <f t="shared" ca="1" si="64"/>
        <v>0</v>
      </c>
      <c r="CO26" s="2790">
        <f t="shared" ca="1" si="64"/>
        <v>0</v>
      </c>
      <c r="CP26" s="2790">
        <f t="shared" ca="1" si="64"/>
        <v>0</v>
      </c>
      <c r="CQ26" s="2790">
        <f t="shared" ca="1" si="64"/>
        <v>0</v>
      </c>
      <c r="CR26" s="2790">
        <f t="shared" ca="1" si="64"/>
        <v>0</v>
      </c>
      <c r="CS26" s="2790">
        <f t="shared" ca="1" si="65"/>
        <v>0</v>
      </c>
      <c r="CT26" s="2790">
        <f t="shared" ca="1" si="65"/>
        <v>0</v>
      </c>
      <c r="CU26" s="2790">
        <f t="shared" ca="1" si="65"/>
        <v>1.8192437706455995</v>
      </c>
      <c r="CV26" s="2790">
        <f t="shared" ca="1" si="65"/>
        <v>1.5636065150160001E-3</v>
      </c>
      <c r="CW26" s="2790">
        <f t="shared" ca="1" si="65"/>
        <v>4.6163620919519996E-3</v>
      </c>
      <c r="CX26" s="2790">
        <f t="shared" ca="1" si="65"/>
        <v>0</v>
      </c>
      <c r="CY26" s="2790">
        <f t="shared" ca="1" si="65"/>
        <v>0</v>
      </c>
      <c r="CZ26" s="2790">
        <f t="shared" ca="1" si="65"/>
        <v>0</v>
      </c>
      <c r="DA26" s="2790">
        <f t="shared" ca="1" si="65"/>
        <v>0</v>
      </c>
      <c r="DB26" s="2790">
        <f t="shared" ca="1" si="65"/>
        <v>0</v>
      </c>
      <c r="DC26" s="2790">
        <f t="shared" ca="1" si="65"/>
        <v>0</v>
      </c>
      <c r="DD26" s="2790">
        <f t="shared" ca="1" si="65"/>
        <v>0</v>
      </c>
      <c r="DE26" s="2790">
        <f t="shared" ca="1" si="65"/>
        <v>0</v>
      </c>
      <c r="DF26" s="2790">
        <f t="shared" ca="1" si="65"/>
        <v>0</v>
      </c>
      <c r="DH26" s="596">
        <f t="shared" ca="1" si="32"/>
        <v>1.8254237392525674</v>
      </c>
    </row>
    <row r="27" spans="1:112" s="6" customFormat="1">
      <c r="A27" s="597"/>
      <c r="B27" s="597"/>
      <c r="C27" s="598" t="s">
        <v>483</v>
      </c>
      <c r="D27" s="624" t="s">
        <v>484</v>
      </c>
      <c r="E27" s="599"/>
      <c r="G27" s="600">
        <f t="shared" ca="1" si="53"/>
        <v>0</v>
      </c>
      <c r="H27" s="600">
        <f t="shared" ca="1" si="53"/>
        <v>0</v>
      </c>
      <c r="I27" s="600">
        <f t="shared" ca="1" si="53"/>
        <v>0</v>
      </c>
      <c r="J27" s="600">
        <f t="shared" ca="1" si="53"/>
        <v>0</v>
      </c>
      <c r="K27" s="600">
        <f t="shared" ca="1" si="53"/>
        <v>0</v>
      </c>
      <c r="L27" s="600">
        <f t="shared" ca="1" si="53"/>
        <v>0</v>
      </c>
      <c r="M27" s="600">
        <f t="shared" ca="1" si="53"/>
        <v>0</v>
      </c>
      <c r="N27" s="600">
        <f t="shared" ca="1" si="53"/>
        <v>0</v>
      </c>
      <c r="O27" s="600">
        <f t="shared" ca="1" si="53"/>
        <v>0</v>
      </c>
      <c r="P27" s="600">
        <f t="shared" ca="1" si="53"/>
        <v>0</v>
      </c>
      <c r="Q27" s="601">
        <f t="shared" ca="1" si="54"/>
        <v>0</v>
      </c>
      <c r="S27" s="602">
        <f t="shared" ca="1" si="55"/>
        <v>0</v>
      </c>
      <c r="T27" s="602">
        <f t="shared" ca="1" si="55"/>
        <v>0</v>
      </c>
      <c r="U27" s="602">
        <f t="shared" ca="1" si="55"/>
        <v>0</v>
      </c>
      <c r="V27" s="602">
        <f t="shared" ca="1" si="55"/>
        <v>0</v>
      </c>
      <c r="W27" s="602">
        <f t="shared" ca="1" si="55"/>
        <v>0</v>
      </c>
      <c r="X27" s="602">
        <f t="shared" ca="1" si="55"/>
        <v>0</v>
      </c>
      <c r="Y27" s="602">
        <f t="shared" ca="1" si="55"/>
        <v>0</v>
      </c>
      <c r="Z27" s="602">
        <f t="shared" ca="1" si="55"/>
        <v>0</v>
      </c>
      <c r="AA27" s="602">
        <f t="shared" ca="1" si="55"/>
        <v>0</v>
      </c>
      <c r="AB27" s="602">
        <f t="shared" ca="1" si="55"/>
        <v>0</v>
      </c>
      <c r="AC27" s="602">
        <f t="shared" ca="1" si="55"/>
        <v>0</v>
      </c>
      <c r="AD27" s="602">
        <f t="shared" ca="1" si="55"/>
        <v>0</v>
      </c>
      <c r="AE27" s="602">
        <f t="shared" ca="1" si="55"/>
        <v>0</v>
      </c>
      <c r="AF27" s="602">
        <f t="shared" ca="1" si="55"/>
        <v>0</v>
      </c>
      <c r="AG27" s="602">
        <f t="shared" ca="1" si="55"/>
        <v>0</v>
      </c>
      <c r="AH27" s="602">
        <f t="shared" ca="1" si="55"/>
        <v>0</v>
      </c>
      <c r="AI27" s="602">
        <f t="shared" ca="1" si="55"/>
        <v>0</v>
      </c>
      <c r="AJ27" s="602">
        <f t="shared" ca="1" si="55"/>
        <v>0</v>
      </c>
      <c r="AK27" s="603">
        <f t="shared" ca="1" si="56"/>
        <v>0</v>
      </c>
      <c r="AM27" s="604">
        <f t="shared" ca="1" si="57"/>
        <v>0</v>
      </c>
      <c r="AN27" s="604">
        <f t="shared" ca="1" si="57"/>
        <v>0</v>
      </c>
      <c r="AO27" s="604">
        <f t="shared" ca="1" si="57"/>
        <v>0</v>
      </c>
      <c r="AP27" s="604">
        <f t="shared" ca="1" si="57"/>
        <v>0</v>
      </c>
      <c r="AQ27" s="604">
        <f t="shared" ca="1" si="57"/>
        <v>0</v>
      </c>
      <c r="AR27" s="604">
        <f t="shared" ca="1" si="57"/>
        <v>0</v>
      </c>
      <c r="AS27" s="604">
        <f t="shared" ca="1" si="57"/>
        <v>0</v>
      </c>
      <c r="AT27" s="604">
        <f t="shared" ca="1" si="57"/>
        <v>0</v>
      </c>
      <c r="AU27" s="604">
        <f t="shared" ca="1" si="57"/>
        <v>0</v>
      </c>
      <c r="AV27" s="604">
        <f t="shared" ca="1" si="57"/>
        <v>0</v>
      </c>
      <c r="AW27" s="604">
        <f t="shared" ca="1" si="57"/>
        <v>0</v>
      </c>
      <c r="AX27" s="604">
        <f t="shared" ca="1" si="57"/>
        <v>0</v>
      </c>
      <c r="AY27" s="604">
        <f t="shared" ca="1" si="57"/>
        <v>0</v>
      </c>
      <c r="AZ27" s="604">
        <f t="shared" ca="1" si="57"/>
        <v>0</v>
      </c>
      <c r="BA27" s="604">
        <f t="shared" ca="1" si="57"/>
        <v>0</v>
      </c>
      <c r="BB27" s="604">
        <f t="shared" ca="1" si="57"/>
        <v>0</v>
      </c>
      <c r="BC27" s="604">
        <f t="shared" ca="1" si="58"/>
        <v>0</v>
      </c>
      <c r="BD27" s="604">
        <f t="shared" ca="1" si="58"/>
        <v>0</v>
      </c>
      <c r="BE27" s="604">
        <f t="shared" ca="1" si="58"/>
        <v>0</v>
      </c>
      <c r="BF27" s="605">
        <f t="shared" ca="1" si="59"/>
        <v>0</v>
      </c>
      <c r="BH27" s="3472">
        <f t="shared" ca="1" si="60"/>
        <v>0</v>
      </c>
      <c r="BI27" s="3472">
        <f t="shared" ca="1" si="60"/>
        <v>0</v>
      </c>
      <c r="BJ27" s="3461">
        <f t="shared" ca="1" si="61"/>
        <v>0</v>
      </c>
      <c r="BL27" s="606">
        <f t="shared" ca="1" si="9"/>
        <v>0</v>
      </c>
      <c r="BM27" s="606"/>
      <c r="BN27" s="413"/>
      <c r="BO27" s="2789">
        <f t="shared" ca="1" si="62"/>
        <v>0</v>
      </c>
      <c r="BP27" s="2790">
        <f t="shared" ca="1" si="62"/>
        <v>0</v>
      </c>
      <c r="BQ27" s="2790">
        <f t="shared" ca="1" si="62"/>
        <v>0</v>
      </c>
      <c r="BR27" s="2790">
        <f t="shared" ca="1" si="62"/>
        <v>0</v>
      </c>
      <c r="BS27" s="2790">
        <f t="shared" ca="1" si="62"/>
        <v>0</v>
      </c>
      <c r="BT27" s="2790">
        <f t="shared" ca="1" si="62"/>
        <v>0</v>
      </c>
      <c r="BU27" s="2790">
        <f t="shared" ca="1" si="62"/>
        <v>0</v>
      </c>
      <c r="BV27" s="2790">
        <f t="shared" ca="1" si="62"/>
        <v>0</v>
      </c>
      <c r="BW27" s="2790">
        <f t="shared" ca="1" si="62"/>
        <v>0</v>
      </c>
      <c r="BX27" s="2790">
        <f t="shared" ca="1" si="62"/>
        <v>0</v>
      </c>
      <c r="BY27" s="2790">
        <f t="shared" ca="1" si="63"/>
        <v>0</v>
      </c>
      <c r="BZ27" s="2790">
        <f t="shared" ca="1" si="63"/>
        <v>0</v>
      </c>
      <c r="CA27" s="2790">
        <f t="shared" ca="1" si="63"/>
        <v>0</v>
      </c>
      <c r="CB27" s="2790">
        <f t="shared" ca="1" si="63"/>
        <v>0</v>
      </c>
      <c r="CC27" s="2790">
        <f t="shared" ca="1" si="63"/>
        <v>0</v>
      </c>
      <c r="CD27" s="2790">
        <f t="shared" ca="1" si="63"/>
        <v>0</v>
      </c>
      <c r="CE27" s="2790">
        <f t="shared" ca="1" si="63"/>
        <v>0</v>
      </c>
      <c r="CF27" s="2790">
        <f t="shared" ca="1" si="63"/>
        <v>0</v>
      </c>
      <c r="CG27" s="2790">
        <f t="shared" ca="1" si="63"/>
        <v>0</v>
      </c>
      <c r="CH27" s="2790">
        <f t="shared" ca="1" si="63"/>
        <v>0</v>
      </c>
      <c r="CI27" s="2790">
        <f t="shared" ca="1" si="64"/>
        <v>0</v>
      </c>
      <c r="CJ27" s="2790">
        <f t="shared" ca="1" si="64"/>
        <v>0</v>
      </c>
      <c r="CK27" s="2790">
        <f t="shared" ca="1" si="64"/>
        <v>0</v>
      </c>
      <c r="CL27" s="2790">
        <f t="shared" ca="1" si="64"/>
        <v>0</v>
      </c>
      <c r="CM27" s="2790">
        <f t="shared" ca="1" si="64"/>
        <v>0</v>
      </c>
      <c r="CN27" s="2790">
        <f t="shared" ca="1" si="64"/>
        <v>0</v>
      </c>
      <c r="CO27" s="2790">
        <f t="shared" ca="1" si="64"/>
        <v>0</v>
      </c>
      <c r="CP27" s="2790">
        <f t="shared" ca="1" si="64"/>
        <v>0</v>
      </c>
      <c r="CQ27" s="2790">
        <f t="shared" ca="1" si="64"/>
        <v>0</v>
      </c>
      <c r="CR27" s="2790">
        <f t="shared" ca="1" si="64"/>
        <v>0</v>
      </c>
      <c r="CS27" s="2790">
        <f t="shared" ca="1" si="65"/>
        <v>0</v>
      </c>
      <c r="CT27" s="2790">
        <f t="shared" ca="1" si="65"/>
        <v>0</v>
      </c>
      <c r="CU27" s="2790">
        <f t="shared" ca="1" si="65"/>
        <v>0</v>
      </c>
      <c r="CV27" s="2790">
        <f t="shared" ca="1" si="65"/>
        <v>0</v>
      </c>
      <c r="CW27" s="2790">
        <f t="shared" ca="1" si="65"/>
        <v>0</v>
      </c>
      <c r="CX27" s="2790">
        <f t="shared" ca="1" si="65"/>
        <v>0</v>
      </c>
      <c r="CY27" s="2790">
        <f t="shared" ca="1" si="65"/>
        <v>0</v>
      </c>
      <c r="CZ27" s="2790">
        <f t="shared" ca="1" si="65"/>
        <v>0</v>
      </c>
      <c r="DA27" s="2790">
        <f t="shared" ca="1" si="65"/>
        <v>0</v>
      </c>
      <c r="DB27" s="2790">
        <f t="shared" ca="1" si="65"/>
        <v>0</v>
      </c>
      <c r="DC27" s="2790">
        <f t="shared" ca="1" si="65"/>
        <v>0</v>
      </c>
      <c r="DD27" s="2790">
        <f t="shared" ca="1" si="65"/>
        <v>0</v>
      </c>
      <c r="DE27" s="2790">
        <f t="shared" ca="1" si="65"/>
        <v>0</v>
      </c>
      <c r="DF27" s="2790">
        <f t="shared" ca="1" si="65"/>
        <v>0</v>
      </c>
      <c r="DH27" s="596">
        <f t="shared" ca="1" si="32"/>
        <v>0</v>
      </c>
    </row>
    <row r="28" spans="1:112" s="6" customFormat="1">
      <c r="A28" s="607"/>
      <c r="B28" s="607"/>
      <c r="C28" s="587"/>
      <c r="D28" s="623" t="s">
        <v>485</v>
      </c>
      <c r="E28" s="599"/>
      <c r="G28" s="590">
        <f ca="1">SUM(G26:G27)</f>
        <v>0</v>
      </c>
      <c r="H28" s="590">
        <f t="shared" ref="H28:P28" ca="1" si="66">SUM(H26:H27)</f>
        <v>0</v>
      </c>
      <c r="I28" s="590">
        <f t="shared" ca="1" si="66"/>
        <v>0</v>
      </c>
      <c r="J28" s="590">
        <f t="shared" ca="1" si="66"/>
        <v>0</v>
      </c>
      <c r="K28" s="590">
        <f t="shared" ca="1" si="66"/>
        <v>0</v>
      </c>
      <c r="L28" s="590">
        <f t="shared" ca="1" si="66"/>
        <v>0</v>
      </c>
      <c r="M28" s="590">
        <f t="shared" ca="1" si="66"/>
        <v>0</v>
      </c>
      <c r="N28" s="590">
        <f ca="1">SUM(N26:N27)</f>
        <v>6.8942086199999997</v>
      </c>
      <c r="O28" s="590">
        <f ca="1">SUM(O26:O27)</f>
        <v>0</v>
      </c>
      <c r="P28" s="590">
        <f t="shared" ca="1" si="66"/>
        <v>0</v>
      </c>
      <c r="Q28" s="590">
        <f t="shared" ca="1" si="54"/>
        <v>6.8942086199999997</v>
      </c>
      <c r="S28" s="592">
        <f t="shared" ref="S28:AJ28" ca="1" si="67">SUM(S26:S27)</f>
        <v>0</v>
      </c>
      <c r="T28" s="592">
        <f t="shared" ca="1" si="67"/>
        <v>0</v>
      </c>
      <c r="U28" s="592">
        <f t="shared" ca="1" si="67"/>
        <v>0</v>
      </c>
      <c r="V28" s="592">
        <f t="shared" ca="1" si="67"/>
        <v>-6.8942086199999997</v>
      </c>
      <c r="W28" s="592">
        <f t="shared" ca="1" si="67"/>
        <v>0</v>
      </c>
      <c r="X28" s="592">
        <f t="shared" ca="1" si="67"/>
        <v>0</v>
      </c>
      <c r="Y28" s="592">
        <f t="shared" ca="1" si="67"/>
        <v>0</v>
      </c>
      <c r="Z28" s="592">
        <f t="shared" ca="1" si="67"/>
        <v>0</v>
      </c>
      <c r="AA28" s="592">
        <f t="shared" ca="1" si="67"/>
        <v>0</v>
      </c>
      <c r="AB28" s="592">
        <f t="shared" ca="1" si="67"/>
        <v>0</v>
      </c>
      <c r="AC28" s="592">
        <f t="shared" ca="1" si="67"/>
        <v>0</v>
      </c>
      <c r="AD28" s="592">
        <f t="shared" ca="1" si="67"/>
        <v>0</v>
      </c>
      <c r="AE28" s="592">
        <f ca="1">SUM(AE26:AE27)</f>
        <v>0</v>
      </c>
      <c r="AF28" s="592">
        <f t="shared" ca="1" si="67"/>
        <v>0</v>
      </c>
      <c r="AG28" s="592">
        <f t="shared" ca="1" si="67"/>
        <v>0</v>
      </c>
      <c r="AH28" s="592">
        <f ca="1">SUM(AH26:AH27)</f>
        <v>0</v>
      </c>
      <c r="AI28" s="592">
        <f t="shared" ca="1" si="67"/>
        <v>0</v>
      </c>
      <c r="AJ28" s="592">
        <f t="shared" ca="1" si="67"/>
        <v>0</v>
      </c>
      <c r="AK28" s="592">
        <f t="shared" ca="1" si="56"/>
        <v>-6.8942086199999997</v>
      </c>
      <c r="AM28" s="608">
        <f t="shared" ref="AM28:BE28" ca="1" si="68">SUM(AM26:AM27)</f>
        <v>0</v>
      </c>
      <c r="AN28" s="608">
        <f t="shared" ca="1" si="68"/>
        <v>0</v>
      </c>
      <c r="AO28" s="608">
        <f t="shared" ca="1" si="68"/>
        <v>0</v>
      </c>
      <c r="AP28" s="608">
        <f t="shared" ca="1" si="68"/>
        <v>0</v>
      </c>
      <c r="AQ28" s="608">
        <f t="shared" ca="1" si="68"/>
        <v>0</v>
      </c>
      <c r="AR28" s="608">
        <f t="shared" ca="1" si="68"/>
        <v>0</v>
      </c>
      <c r="AS28" s="608">
        <f t="shared" ca="1" si="68"/>
        <v>0</v>
      </c>
      <c r="AT28" s="608">
        <f t="shared" ca="1" si="68"/>
        <v>0</v>
      </c>
      <c r="AU28" s="608">
        <f t="shared" ca="1" si="68"/>
        <v>0</v>
      </c>
      <c r="AV28" s="608">
        <f t="shared" ca="1" si="68"/>
        <v>0</v>
      </c>
      <c r="AW28" s="608">
        <f t="shared" ca="1" si="68"/>
        <v>0</v>
      </c>
      <c r="AX28" s="608">
        <f t="shared" ca="1" si="68"/>
        <v>0</v>
      </c>
      <c r="AY28" s="608">
        <f t="shared" ca="1" si="68"/>
        <v>0</v>
      </c>
      <c r="AZ28" s="608">
        <f t="shared" ca="1" si="68"/>
        <v>0</v>
      </c>
      <c r="BA28" s="608">
        <f t="shared" ca="1" si="68"/>
        <v>0</v>
      </c>
      <c r="BB28" s="608">
        <f t="shared" ca="1" si="68"/>
        <v>0</v>
      </c>
      <c r="BC28" s="608">
        <f t="shared" ca="1" si="68"/>
        <v>0</v>
      </c>
      <c r="BD28" s="608">
        <f ca="1">SUM(BD26:BD27)</f>
        <v>0</v>
      </c>
      <c r="BE28" s="608">
        <f t="shared" ca="1" si="68"/>
        <v>0</v>
      </c>
      <c r="BF28" s="594">
        <f t="shared" ca="1" si="59"/>
        <v>0</v>
      </c>
      <c r="BH28" s="3460">
        <f ca="1">SUM(BH26:BH27)</f>
        <v>0</v>
      </c>
      <c r="BI28" s="3460">
        <f ca="1">SUM(BI26:BI27)</f>
        <v>0</v>
      </c>
      <c r="BJ28" s="3460">
        <f t="shared" ca="1" si="61"/>
        <v>0</v>
      </c>
      <c r="BL28" s="595">
        <f t="shared" ca="1" si="9"/>
        <v>0</v>
      </c>
      <c r="BM28" s="595"/>
      <c r="BN28" s="413"/>
      <c r="BO28" s="2789">
        <f t="shared" ref="BO28:DF28" ca="1" si="69">SUM(BO26:BO27)</f>
        <v>0</v>
      </c>
      <c r="BP28" s="2790">
        <f t="shared" ca="1" si="69"/>
        <v>0</v>
      </c>
      <c r="BQ28" s="2790">
        <f t="shared" ca="1" si="69"/>
        <v>0</v>
      </c>
      <c r="BR28" s="2790">
        <f t="shared" ca="1" si="69"/>
        <v>0</v>
      </c>
      <c r="BS28" s="2790">
        <f t="shared" ca="1" si="69"/>
        <v>0</v>
      </c>
      <c r="BT28" s="2790">
        <f t="shared" ca="1" si="69"/>
        <v>0</v>
      </c>
      <c r="BU28" s="2790">
        <f t="shared" ca="1" si="69"/>
        <v>0</v>
      </c>
      <c r="BV28" s="2790">
        <f t="shared" ca="1" si="69"/>
        <v>0</v>
      </c>
      <c r="BW28" s="2790">
        <f t="shared" ca="1" si="69"/>
        <v>0</v>
      </c>
      <c r="BX28" s="2790">
        <f t="shared" ca="1" si="69"/>
        <v>0</v>
      </c>
      <c r="BY28" s="2790">
        <f t="shared" ca="1" si="69"/>
        <v>0</v>
      </c>
      <c r="BZ28" s="2790">
        <f t="shared" ca="1" si="69"/>
        <v>0</v>
      </c>
      <c r="CA28" s="2790">
        <f t="shared" ca="1" si="69"/>
        <v>0</v>
      </c>
      <c r="CB28" s="2790">
        <f t="shared" ca="1" si="69"/>
        <v>0</v>
      </c>
      <c r="CC28" s="2790">
        <f t="shared" ca="1" si="69"/>
        <v>0</v>
      </c>
      <c r="CD28" s="2790">
        <f t="shared" ca="1" si="69"/>
        <v>0</v>
      </c>
      <c r="CE28" s="2790">
        <f t="shared" ca="1" si="69"/>
        <v>0</v>
      </c>
      <c r="CF28" s="2790">
        <f t="shared" ca="1" si="69"/>
        <v>0</v>
      </c>
      <c r="CG28" s="2790">
        <f t="shared" ca="1" si="69"/>
        <v>0</v>
      </c>
      <c r="CH28" s="2790">
        <f t="shared" ca="1" si="69"/>
        <v>0</v>
      </c>
      <c r="CI28" s="2790">
        <f t="shared" ca="1" si="69"/>
        <v>0</v>
      </c>
      <c r="CJ28" s="2790">
        <f t="shared" ca="1" si="69"/>
        <v>0</v>
      </c>
      <c r="CK28" s="2790">
        <f t="shared" ca="1" si="69"/>
        <v>0</v>
      </c>
      <c r="CL28" s="2790">
        <f t="shared" ca="1" si="69"/>
        <v>0</v>
      </c>
      <c r="CM28" s="2790">
        <f t="shared" ca="1" si="69"/>
        <v>0</v>
      </c>
      <c r="CN28" s="2790">
        <f t="shared" ca="1" si="69"/>
        <v>0</v>
      </c>
      <c r="CO28" s="2790">
        <f t="shared" ca="1" si="69"/>
        <v>0</v>
      </c>
      <c r="CP28" s="2790">
        <f t="shared" ca="1" si="69"/>
        <v>0</v>
      </c>
      <c r="CQ28" s="2790">
        <f t="shared" ca="1" si="69"/>
        <v>0</v>
      </c>
      <c r="CR28" s="2790">
        <f t="shared" ca="1" si="69"/>
        <v>0</v>
      </c>
      <c r="CS28" s="2790">
        <f t="shared" ca="1" si="69"/>
        <v>0</v>
      </c>
      <c r="CT28" s="2790">
        <f t="shared" ca="1" si="69"/>
        <v>0</v>
      </c>
      <c r="CU28" s="2790">
        <f t="shared" ca="1" si="69"/>
        <v>1.8192437706455995</v>
      </c>
      <c r="CV28" s="2790">
        <f t="shared" ca="1" si="69"/>
        <v>1.5636065150160001E-3</v>
      </c>
      <c r="CW28" s="2790">
        <f t="shared" ca="1" si="69"/>
        <v>4.6163620919519996E-3</v>
      </c>
      <c r="CX28" s="2790">
        <f t="shared" ca="1" si="69"/>
        <v>0</v>
      </c>
      <c r="CY28" s="2790">
        <f t="shared" ca="1" si="69"/>
        <v>0</v>
      </c>
      <c r="CZ28" s="2790">
        <f t="shared" ca="1" si="69"/>
        <v>0</v>
      </c>
      <c r="DA28" s="2790">
        <f t="shared" ca="1" si="69"/>
        <v>0</v>
      </c>
      <c r="DB28" s="2790">
        <f t="shared" ca="1" si="69"/>
        <v>0</v>
      </c>
      <c r="DC28" s="2790">
        <f t="shared" ca="1" si="69"/>
        <v>0</v>
      </c>
      <c r="DD28" s="2790">
        <f t="shared" ca="1" si="69"/>
        <v>0</v>
      </c>
      <c r="DE28" s="2790">
        <f t="shared" ca="1" si="69"/>
        <v>0</v>
      </c>
      <c r="DF28" s="2790">
        <f t="shared" ca="1" si="69"/>
        <v>0</v>
      </c>
      <c r="DH28" s="596">
        <f t="shared" ca="1" si="32"/>
        <v>1.8254237392525674</v>
      </c>
    </row>
    <row r="29" spans="1:112" s="6" customFormat="1">
      <c r="A29" s="586"/>
      <c r="B29" s="586"/>
      <c r="C29" s="587" t="s">
        <v>486</v>
      </c>
      <c r="D29" s="623" t="s">
        <v>374</v>
      </c>
      <c r="E29" s="599"/>
      <c r="G29" s="589">
        <f t="shared" ref="G29:P30" ca="1" si="70">IFERROR(INDEX(INDIRECT($C29&amp;".Outputs["&amp;this.Year&amp;"]"), MATCH(G$5, INDIRECT($C29&amp;".Outputs[Vector]"), 0)), 0)</f>
        <v>0</v>
      </c>
      <c r="H29" s="589">
        <f t="shared" ca="1" si="70"/>
        <v>0</v>
      </c>
      <c r="I29" s="589">
        <f t="shared" ca="1" si="70"/>
        <v>0</v>
      </c>
      <c r="J29" s="589">
        <f t="shared" ca="1" si="70"/>
        <v>0</v>
      </c>
      <c r="K29" s="589">
        <f t="shared" ca="1" si="70"/>
        <v>0</v>
      </c>
      <c r="L29" s="589">
        <f t="shared" ca="1" si="70"/>
        <v>0</v>
      </c>
      <c r="M29" s="589">
        <f t="shared" ca="1" si="70"/>
        <v>0</v>
      </c>
      <c r="N29" s="589">
        <f t="shared" ca="1" si="70"/>
        <v>0</v>
      </c>
      <c r="O29" s="589">
        <f t="shared" ca="1" si="70"/>
        <v>0</v>
      </c>
      <c r="P29" s="589">
        <f t="shared" ca="1" si="70"/>
        <v>0</v>
      </c>
      <c r="Q29" s="590">
        <f t="shared" ca="1" si="54"/>
        <v>0</v>
      </c>
      <c r="S29" s="591">
        <f t="shared" ca="1" si="55"/>
        <v>0</v>
      </c>
      <c r="T29" s="591">
        <f t="shared" ca="1" si="55"/>
        <v>0</v>
      </c>
      <c r="U29" s="591">
        <f t="shared" ca="1" si="55"/>
        <v>0</v>
      </c>
      <c r="V29" s="591">
        <f t="shared" ca="1" si="55"/>
        <v>0</v>
      </c>
      <c r="W29" s="591">
        <f t="shared" ca="1" si="55"/>
        <v>0</v>
      </c>
      <c r="X29" s="591">
        <f t="shared" ca="1" si="55"/>
        <v>0</v>
      </c>
      <c r="Y29" s="591">
        <f t="shared" ca="1" si="55"/>
        <v>0</v>
      </c>
      <c r="Z29" s="591">
        <f t="shared" ca="1" si="55"/>
        <v>0</v>
      </c>
      <c r="AA29" s="591">
        <f t="shared" ca="1" si="55"/>
        <v>0</v>
      </c>
      <c r="AB29" s="591">
        <f t="shared" ca="1" si="55"/>
        <v>0</v>
      </c>
      <c r="AC29" s="591">
        <f t="shared" ca="1" si="55"/>
        <v>0</v>
      </c>
      <c r="AD29" s="591">
        <f t="shared" ca="1" si="55"/>
        <v>0</v>
      </c>
      <c r="AE29" s="591">
        <f t="shared" ca="1" si="55"/>
        <v>0</v>
      </c>
      <c r="AF29" s="591">
        <f t="shared" ca="1" si="55"/>
        <v>0</v>
      </c>
      <c r="AG29" s="591">
        <f t="shared" ca="1" si="55"/>
        <v>0</v>
      </c>
      <c r="AH29" s="591">
        <f t="shared" ca="1" si="55"/>
        <v>0</v>
      </c>
      <c r="AI29" s="591">
        <f t="shared" ca="1" si="55"/>
        <v>0</v>
      </c>
      <c r="AJ29" s="591">
        <f t="shared" ca="1" si="55"/>
        <v>0</v>
      </c>
      <c r="AK29" s="592">
        <f t="shared" ca="1" si="56"/>
        <v>0</v>
      </c>
      <c r="AM29" s="593">
        <f t="shared" ref="AM29:BB30" ca="1" si="71">IFERROR(INDEX(INDIRECT($C29&amp;".Outputs["&amp;this.Year&amp;"]"), MATCH(AM$5, INDIRECT($C29&amp;".Outputs[Vector]"), 0)), 0)</f>
        <v>0</v>
      </c>
      <c r="AN29" s="593">
        <f t="shared" ca="1" si="71"/>
        <v>0</v>
      </c>
      <c r="AO29" s="593">
        <f t="shared" ca="1" si="71"/>
        <v>0</v>
      </c>
      <c r="AP29" s="593">
        <f t="shared" ca="1" si="71"/>
        <v>0</v>
      </c>
      <c r="AQ29" s="593">
        <f t="shared" ca="1" si="71"/>
        <v>0</v>
      </c>
      <c r="AR29" s="593">
        <f t="shared" ca="1" si="71"/>
        <v>0</v>
      </c>
      <c r="AS29" s="593">
        <f t="shared" ca="1" si="71"/>
        <v>0</v>
      </c>
      <c r="AT29" s="593">
        <f t="shared" ca="1" si="71"/>
        <v>0</v>
      </c>
      <c r="AU29" s="593">
        <f t="shared" ca="1" si="71"/>
        <v>0</v>
      </c>
      <c r="AV29" s="593">
        <f t="shared" ca="1" si="71"/>
        <v>0</v>
      </c>
      <c r="AW29" s="593">
        <f t="shared" ca="1" si="71"/>
        <v>0</v>
      </c>
      <c r="AX29" s="593">
        <f t="shared" ca="1" si="71"/>
        <v>0</v>
      </c>
      <c r="AY29" s="593">
        <f t="shared" ca="1" si="71"/>
        <v>0</v>
      </c>
      <c r="AZ29" s="593">
        <f t="shared" ca="1" si="71"/>
        <v>0</v>
      </c>
      <c r="BA29" s="593">
        <f t="shared" ca="1" si="71"/>
        <v>0</v>
      </c>
      <c r="BB29" s="593">
        <f t="shared" ca="1" si="71"/>
        <v>0</v>
      </c>
      <c r="BC29" s="593">
        <f t="shared" ref="BC29:BE30" ca="1" si="72">IFERROR(INDEX(INDIRECT($C29&amp;".Outputs["&amp;this.Year&amp;"]"), MATCH(BC$5, INDIRECT($C29&amp;".Outputs[Vector]"), 0)), 0)</f>
        <v>0</v>
      </c>
      <c r="BD29" s="593">
        <f t="shared" ca="1" si="72"/>
        <v>0</v>
      </c>
      <c r="BE29" s="593">
        <f t="shared" ca="1" si="72"/>
        <v>0</v>
      </c>
      <c r="BF29" s="609">
        <f t="shared" ca="1" si="59"/>
        <v>0</v>
      </c>
      <c r="BH29" s="3471">
        <f t="shared" ca="1" si="60"/>
        <v>0</v>
      </c>
      <c r="BI29" s="3471">
        <f t="shared" ca="1" si="60"/>
        <v>0</v>
      </c>
      <c r="BJ29" s="3460">
        <f t="shared" ca="1" si="61"/>
        <v>0</v>
      </c>
      <c r="BL29" s="610">
        <f t="shared" ca="1" si="9"/>
        <v>0</v>
      </c>
      <c r="BM29" s="610"/>
      <c r="BN29" s="413"/>
      <c r="BO29" s="2789">
        <f t="shared" ref="BO29:BX30" ca="1" si="73">IFERROR(SUMIFS(INDIRECT($C29&amp;".Emissions["&amp;this.Year&amp;"]"), INDIRECT($C29&amp;".Emissions[GHG]"), BO$6, INDIRECT($C29&amp;".Emissions[IPCC Sector]"), BO$5),0)</f>
        <v>0</v>
      </c>
      <c r="BP29" s="2790">
        <f t="shared" ca="1" si="73"/>
        <v>0</v>
      </c>
      <c r="BQ29" s="2790">
        <f t="shared" ca="1" si="73"/>
        <v>0</v>
      </c>
      <c r="BR29" s="2790">
        <f t="shared" ca="1" si="73"/>
        <v>0</v>
      </c>
      <c r="BS29" s="2790">
        <f t="shared" ca="1" si="73"/>
        <v>0</v>
      </c>
      <c r="BT29" s="2790">
        <f t="shared" ca="1" si="73"/>
        <v>0</v>
      </c>
      <c r="BU29" s="2790">
        <f t="shared" ca="1" si="73"/>
        <v>0</v>
      </c>
      <c r="BV29" s="2790">
        <f t="shared" ca="1" si="73"/>
        <v>0</v>
      </c>
      <c r="BW29" s="2790">
        <f t="shared" ca="1" si="73"/>
        <v>0</v>
      </c>
      <c r="BX29" s="2790">
        <f t="shared" ca="1" si="73"/>
        <v>0</v>
      </c>
      <c r="BY29" s="2790">
        <f t="shared" ref="BY29:CH30" ca="1" si="74">IFERROR(SUMIFS(INDIRECT($C29&amp;".Emissions["&amp;this.Year&amp;"]"), INDIRECT($C29&amp;".Emissions[GHG]"), BY$6, INDIRECT($C29&amp;".Emissions[IPCC Sector]"), BY$5),0)</f>
        <v>0</v>
      </c>
      <c r="BZ29" s="2790">
        <f t="shared" ca="1" si="74"/>
        <v>0</v>
      </c>
      <c r="CA29" s="2790">
        <f t="shared" ca="1" si="74"/>
        <v>0</v>
      </c>
      <c r="CB29" s="2790">
        <f t="shared" ca="1" si="74"/>
        <v>0</v>
      </c>
      <c r="CC29" s="2790">
        <f t="shared" ca="1" si="74"/>
        <v>0</v>
      </c>
      <c r="CD29" s="2790">
        <f t="shared" ca="1" si="74"/>
        <v>0</v>
      </c>
      <c r="CE29" s="2790">
        <f t="shared" ca="1" si="74"/>
        <v>0</v>
      </c>
      <c r="CF29" s="2790">
        <f t="shared" ca="1" si="74"/>
        <v>0</v>
      </c>
      <c r="CG29" s="2790">
        <f t="shared" ca="1" si="74"/>
        <v>0</v>
      </c>
      <c r="CH29" s="2790">
        <f t="shared" ca="1" si="74"/>
        <v>0</v>
      </c>
      <c r="CI29" s="2790">
        <f t="shared" ref="CI29:CR30" ca="1" si="75">IFERROR(SUMIFS(INDIRECT($C29&amp;".Emissions["&amp;this.Year&amp;"]"), INDIRECT($C29&amp;".Emissions[GHG]"), CI$6, INDIRECT($C29&amp;".Emissions[IPCC Sector]"), CI$5),0)</f>
        <v>0</v>
      </c>
      <c r="CJ29" s="2790">
        <f t="shared" ca="1" si="75"/>
        <v>0</v>
      </c>
      <c r="CK29" s="2790">
        <f t="shared" ca="1" si="75"/>
        <v>0</v>
      </c>
      <c r="CL29" s="2790">
        <f t="shared" ca="1" si="75"/>
        <v>0</v>
      </c>
      <c r="CM29" s="2790">
        <f t="shared" ca="1" si="75"/>
        <v>0</v>
      </c>
      <c r="CN29" s="2790">
        <f t="shared" ca="1" si="75"/>
        <v>0</v>
      </c>
      <c r="CO29" s="2790">
        <f t="shared" ca="1" si="75"/>
        <v>0</v>
      </c>
      <c r="CP29" s="2790">
        <f t="shared" ca="1" si="75"/>
        <v>0</v>
      </c>
      <c r="CQ29" s="2790">
        <f t="shared" ca="1" si="75"/>
        <v>0</v>
      </c>
      <c r="CR29" s="2790">
        <f t="shared" ca="1" si="75"/>
        <v>0</v>
      </c>
      <c r="CS29" s="2790">
        <f t="shared" ref="CS29:DF30" ca="1" si="76">IFERROR(SUMIFS(INDIRECT($C29&amp;".Emissions["&amp;this.Year&amp;"]"), INDIRECT($C29&amp;".Emissions[GHG]"), CS$6, INDIRECT($C29&amp;".Emissions[IPCC Sector]"), CS$5),0)</f>
        <v>0</v>
      </c>
      <c r="CT29" s="2790">
        <f t="shared" ca="1" si="76"/>
        <v>0</v>
      </c>
      <c r="CU29" s="2790">
        <f t="shared" ca="1" si="76"/>
        <v>0</v>
      </c>
      <c r="CV29" s="2790">
        <f t="shared" ca="1" si="76"/>
        <v>0</v>
      </c>
      <c r="CW29" s="2790">
        <f t="shared" ca="1" si="76"/>
        <v>0</v>
      </c>
      <c r="CX29" s="2790">
        <f t="shared" ca="1" si="76"/>
        <v>0</v>
      </c>
      <c r="CY29" s="2790">
        <f t="shared" ca="1" si="76"/>
        <v>0</v>
      </c>
      <c r="CZ29" s="2790">
        <f t="shared" ca="1" si="76"/>
        <v>0</v>
      </c>
      <c r="DA29" s="2790">
        <f t="shared" ca="1" si="76"/>
        <v>0</v>
      </c>
      <c r="DB29" s="2790">
        <f t="shared" ca="1" si="76"/>
        <v>0</v>
      </c>
      <c r="DC29" s="2790">
        <f t="shared" ca="1" si="76"/>
        <v>0</v>
      </c>
      <c r="DD29" s="2790">
        <f t="shared" ca="1" si="76"/>
        <v>0</v>
      </c>
      <c r="DE29" s="2790">
        <f t="shared" ca="1" si="76"/>
        <v>0</v>
      </c>
      <c r="DF29" s="2790">
        <f t="shared" ca="1" si="76"/>
        <v>0</v>
      </c>
      <c r="DH29" s="596">
        <f t="shared" ca="1" si="32"/>
        <v>0</v>
      </c>
    </row>
    <row r="30" spans="1:112" s="6" customFormat="1">
      <c r="A30" s="597"/>
      <c r="B30" s="597"/>
      <c r="C30" s="598" t="s">
        <v>487</v>
      </c>
      <c r="D30" s="624" t="s">
        <v>488</v>
      </c>
      <c r="E30" s="599"/>
      <c r="G30" s="600">
        <f t="shared" ca="1" si="70"/>
        <v>0</v>
      </c>
      <c r="H30" s="600">
        <f t="shared" ca="1" si="70"/>
        <v>0</v>
      </c>
      <c r="I30" s="600">
        <f t="shared" ca="1" si="70"/>
        <v>0</v>
      </c>
      <c r="J30" s="600">
        <f t="shared" ca="1" si="70"/>
        <v>0</v>
      </c>
      <c r="K30" s="600">
        <f t="shared" ca="1" si="70"/>
        <v>0</v>
      </c>
      <c r="L30" s="600">
        <f t="shared" ca="1" si="70"/>
        <v>0</v>
      </c>
      <c r="M30" s="600">
        <f t="shared" ca="1" si="70"/>
        <v>0</v>
      </c>
      <c r="N30" s="600">
        <f t="shared" ca="1" si="70"/>
        <v>0</v>
      </c>
      <c r="O30" s="600">
        <f t="shared" ca="1" si="70"/>
        <v>0</v>
      </c>
      <c r="P30" s="600">
        <f t="shared" ca="1" si="70"/>
        <v>0</v>
      </c>
      <c r="Q30" s="601">
        <f t="shared" ca="1" si="54"/>
        <v>0</v>
      </c>
      <c r="S30" s="602">
        <f t="shared" ca="1" si="55"/>
        <v>0</v>
      </c>
      <c r="T30" s="602">
        <f t="shared" ca="1" si="55"/>
        <v>0</v>
      </c>
      <c r="U30" s="602">
        <f t="shared" ca="1" si="55"/>
        <v>0</v>
      </c>
      <c r="V30" s="602">
        <f t="shared" ca="1" si="55"/>
        <v>0</v>
      </c>
      <c r="W30" s="602">
        <f t="shared" ca="1" si="55"/>
        <v>0</v>
      </c>
      <c r="X30" s="602">
        <f t="shared" ca="1" si="55"/>
        <v>0</v>
      </c>
      <c r="Y30" s="602">
        <f t="shared" ca="1" si="55"/>
        <v>0</v>
      </c>
      <c r="Z30" s="602">
        <f t="shared" ca="1" si="55"/>
        <v>0</v>
      </c>
      <c r="AA30" s="602">
        <f t="shared" ca="1" si="55"/>
        <v>0</v>
      </c>
      <c r="AB30" s="602">
        <f t="shared" ca="1" si="55"/>
        <v>0</v>
      </c>
      <c r="AC30" s="602">
        <f t="shared" ca="1" si="55"/>
        <v>0</v>
      </c>
      <c r="AD30" s="602">
        <f t="shared" ca="1" si="55"/>
        <v>0</v>
      </c>
      <c r="AE30" s="602">
        <f t="shared" ca="1" si="55"/>
        <v>0</v>
      </c>
      <c r="AF30" s="602">
        <f t="shared" ca="1" si="55"/>
        <v>0</v>
      </c>
      <c r="AG30" s="602">
        <f t="shared" ca="1" si="55"/>
        <v>0</v>
      </c>
      <c r="AH30" s="602">
        <f t="shared" ca="1" si="55"/>
        <v>0</v>
      </c>
      <c r="AI30" s="602">
        <f t="shared" ca="1" si="55"/>
        <v>0</v>
      </c>
      <c r="AJ30" s="602">
        <f t="shared" ca="1" si="55"/>
        <v>0</v>
      </c>
      <c r="AK30" s="603">
        <f t="shared" ca="1" si="56"/>
        <v>0</v>
      </c>
      <c r="AM30" s="604">
        <f t="shared" ca="1" si="71"/>
        <v>0</v>
      </c>
      <c r="AN30" s="604">
        <f t="shared" ca="1" si="71"/>
        <v>0</v>
      </c>
      <c r="AO30" s="604">
        <f t="shared" ca="1" si="71"/>
        <v>0</v>
      </c>
      <c r="AP30" s="604">
        <f t="shared" ca="1" si="71"/>
        <v>0</v>
      </c>
      <c r="AQ30" s="604">
        <f t="shared" ca="1" si="71"/>
        <v>0</v>
      </c>
      <c r="AR30" s="604">
        <f t="shared" ca="1" si="71"/>
        <v>0</v>
      </c>
      <c r="AS30" s="604">
        <f t="shared" ca="1" si="71"/>
        <v>0</v>
      </c>
      <c r="AT30" s="604">
        <f t="shared" ca="1" si="71"/>
        <v>0</v>
      </c>
      <c r="AU30" s="604">
        <f t="shared" ca="1" si="71"/>
        <v>0</v>
      </c>
      <c r="AV30" s="604">
        <f t="shared" ca="1" si="71"/>
        <v>0</v>
      </c>
      <c r="AW30" s="604">
        <f t="shared" ca="1" si="71"/>
        <v>0</v>
      </c>
      <c r="AX30" s="604">
        <f t="shared" ca="1" si="71"/>
        <v>0</v>
      </c>
      <c r="AY30" s="604">
        <f t="shared" ca="1" si="71"/>
        <v>0</v>
      </c>
      <c r="AZ30" s="604">
        <f t="shared" ca="1" si="71"/>
        <v>0</v>
      </c>
      <c r="BA30" s="604">
        <f t="shared" ca="1" si="71"/>
        <v>0</v>
      </c>
      <c r="BB30" s="604">
        <f t="shared" ca="1" si="71"/>
        <v>0</v>
      </c>
      <c r="BC30" s="604">
        <f t="shared" ca="1" si="72"/>
        <v>0</v>
      </c>
      <c r="BD30" s="604">
        <f t="shared" ca="1" si="72"/>
        <v>0</v>
      </c>
      <c r="BE30" s="604">
        <f t="shared" ca="1" si="72"/>
        <v>0</v>
      </c>
      <c r="BF30" s="605">
        <f t="shared" ca="1" si="59"/>
        <v>0</v>
      </c>
      <c r="BH30" s="3472">
        <f t="shared" ca="1" si="60"/>
        <v>0</v>
      </c>
      <c r="BI30" s="3472">
        <f t="shared" ca="1" si="60"/>
        <v>0</v>
      </c>
      <c r="BJ30" s="3461">
        <f t="shared" ca="1" si="61"/>
        <v>0</v>
      </c>
      <c r="BL30" s="606">
        <f t="shared" ca="1" si="9"/>
        <v>0</v>
      </c>
      <c r="BM30" s="606"/>
      <c r="BN30" s="413"/>
      <c r="BO30" s="2789">
        <f t="shared" ca="1" si="73"/>
        <v>0</v>
      </c>
      <c r="BP30" s="2790">
        <f t="shared" ca="1" si="73"/>
        <v>0</v>
      </c>
      <c r="BQ30" s="2790">
        <f t="shared" ca="1" si="73"/>
        <v>0</v>
      </c>
      <c r="BR30" s="2790">
        <f t="shared" ca="1" si="73"/>
        <v>0</v>
      </c>
      <c r="BS30" s="2790">
        <f t="shared" ca="1" si="73"/>
        <v>0</v>
      </c>
      <c r="BT30" s="2790">
        <f t="shared" ca="1" si="73"/>
        <v>0</v>
      </c>
      <c r="BU30" s="2790">
        <f t="shared" ca="1" si="73"/>
        <v>0</v>
      </c>
      <c r="BV30" s="2790">
        <f t="shared" ca="1" si="73"/>
        <v>0</v>
      </c>
      <c r="BW30" s="2790">
        <f t="shared" ca="1" si="73"/>
        <v>0</v>
      </c>
      <c r="BX30" s="2790">
        <f t="shared" ca="1" si="73"/>
        <v>0</v>
      </c>
      <c r="BY30" s="2790">
        <f t="shared" ca="1" si="74"/>
        <v>0</v>
      </c>
      <c r="BZ30" s="2790">
        <f t="shared" ca="1" si="74"/>
        <v>0</v>
      </c>
      <c r="CA30" s="2790">
        <f t="shared" ca="1" si="74"/>
        <v>0</v>
      </c>
      <c r="CB30" s="2790">
        <f t="shared" ca="1" si="74"/>
        <v>0</v>
      </c>
      <c r="CC30" s="2790">
        <f t="shared" ca="1" si="74"/>
        <v>0</v>
      </c>
      <c r="CD30" s="2790">
        <f t="shared" ca="1" si="74"/>
        <v>0</v>
      </c>
      <c r="CE30" s="2790">
        <f t="shared" ca="1" si="74"/>
        <v>0</v>
      </c>
      <c r="CF30" s="2790">
        <f t="shared" ca="1" si="74"/>
        <v>0</v>
      </c>
      <c r="CG30" s="2790">
        <f t="shared" ca="1" si="74"/>
        <v>0</v>
      </c>
      <c r="CH30" s="2790">
        <f t="shared" ca="1" si="74"/>
        <v>0</v>
      </c>
      <c r="CI30" s="2790">
        <f t="shared" ca="1" si="75"/>
        <v>0</v>
      </c>
      <c r="CJ30" s="2790">
        <f t="shared" ca="1" si="75"/>
        <v>0</v>
      </c>
      <c r="CK30" s="2790">
        <f t="shared" ca="1" si="75"/>
        <v>0</v>
      </c>
      <c r="CL30" s="2790">
        <f t="shared" ca="1" si="75"/>
        <v>0</v>
      </c>
      <c r="CM30" s="2790">
        <f t="shared" ca="1" si="75"/>
        <v>0</v>
      </c>
      <c r="CN30" s="2790">
        <f t="shared" ca="1" si="75"/>
        <v>0</v>
      </c>
      <c r="CO30" s="2790">
        <f t="shared" ca="1" si="75"/>
        <v>0</v>
      </c>
      <c r="CP30" s="2790">
        <f t="shared" ca="1" si="75"/>
        <v>0</v>
      </c>
      <c r="CQ30" s="2790">
        <f t="shared" ca="1" si="75"/>
        <v>0</v>
      </c>
      <c r="CR30" s="2790">
        <f t="shared" ca="1" si="75"/>
        <v>0</v>
      </c>
      <c r="CS30" s="2790">
        <f t="shared" ca="1" si="76"/>
        <v>0</v>
      </c>
      <c r="CT30" s="2790">
        <f t="shared" ca="1" si="76"/>
        <v>0</v>
      </c>
      <c r="CU30" s="2790">
        <f t="shared" ca="1" si="76"/>
        <v>0</v>
      </c>
      <c r="CV30" s="2790">
        <f t="shared" ca="1" si="76"/>
        <v>0</v>
      </c>
      <c r="CW30" s="2790">
        <f t="shared" ca="1" si="76"/>
        <v>0</v>
      </c>
      <c r="CX30" s="2790">
        <f t="shared" ca="1" si="76"/>
        <v>0</v>
      </c>
      <c r="CY30" s="2790">
        <f t="shared" ca="1" si="76"/>
        <v>0</v>
      </c>
      <c r="CZ30" s="2790">
        <f t="shared" ca="1" si="76"/>
        <v>0</v>
      </c>
      <c r="DA30" s="2790">
        <f t="shared" ca="1" si="76"/>
        <v>0</v>
      </c>
      <c r="DB30" s="2790">
        <f t="shared" ca="1" si="76"/>
        <v>0</v>
      </c>
      <c r="DC30" s="2790">
        <f t="shared" ca="1" si="76"/>
        <v>0</v>
      </c>
      <c r="DD30" s="2790">
        <f t="shared" ca="1" si="76"/>
        <v>0</v>
      </c>
      <c r="DE30" s="2790">
        <f t="shared" ca="1" si="76"/>
        <v>0</v>
      </c>
      <c r="DF30" s="2790">
        <f t="shared" ca="1" si="76"/>
        <v>0</v>
      </c>
      <c r="DH30" s="596">
        <f t="shared" ca="1" si="32"/>
        <v>0</v>
      </c>
    </row>
    <row r="31" spans="1:112" s="6" customFormat="1">
      <c r="A31" s="607"/>
      <c r="B31" s="607"/>
      <c r="C31" s="587"/>
      <c r="D31" s="625" t="s">
        <v>489</v>
      </c>
      <c r="E31" s="611"/>
      <c r="G31" s="612">
        <f t="shared" ref="G31:P31" ca="1" si="77">SUM(G29:G30)</f>
        <v>0</v>
      </c>
      <c r="H31" s="612">
        <f t="shared" ca="1" si="77"/>
        <v>0</v>
      </c>
      <c r="I31" s="612">
        <f t="shared" ca="1" si="77"/>
        <v>0</v>
      </c>
      <c r="J31" s="612">
        <f t="shared" ca="1" si="77"/>
        <v>0</v>
      </c>
      <c r="K31" s="612">
        <f t="shared" ca="1" si="77"/>
        <v>0</v>
      </c>
      <c r="L31" s="612">
        <f t="shared" ca="1" si="77"/>
        <v>0</v>
      </c>
      <c r="M31" s="612">
        <f t="shared" ca="1" si="77"/>
        <v>0</v>
      </c>
      <c r="N31" s="612">
        <f t="shared" ca="1" si="77"/>
        <v>0</v>
      </c>
      <c r="O31" s="612">
        <f t="shared" ca="1" si="77"/>
        <v>0</v>
      </c>
      <c r="P31" s="612">
        <f t="shared" ca="1" si="77"/>
        <v>0</v>
      </c>
      <c r="Q31" s="612">
        <f t="shared" ca="1" si="54"/>
        <v>0</v>
      </c>
      <c r="S31" s="613">
        <f t="shared" ref="S31:AJ31" ca="1" si="78">SUM(S29:S30)</f>
        <v>0</v>
      </c>
      <c r="T31" s="613">
        <f t="shared" ca="1" si="78"/>
        <v>0</v>
      </c>
      <c r="U31" s="613">
        <f t="shared" ca="1" si="78"/>
        <v>0</v>
      </c>
      <c r="V31" s="613">
        <f t="shared" ca="1" si="78"/>
        <v>0</v>
      </c>
      <c r="W31" s="613">
        <f t="shared" ca="1" si="78"/>
        <v>0</v>
      </c>
      <c r="X31" s="626">
        <f t="shared" ca="1" si="78"/>
        <v>0</v>
      </c>
      <c r="Y31" s="626">
        <f t="shared" ca="1" si="78"/>
        <v>0</v>
      </c>
      <c r="Z31" s="626">
        <f t="shared" ca="1" si="78"/>
        <v>0</v>
      </c>
      <c r="AA31" s="613">
        <f t="shared" ca="1" si="78"/>
        <v>0</v>
      </c>
      <c r="AB31" s="613">
        <f t="shared" ca="1" si="78"/>
        <v>0</v>
      </c>
      <c r="AC31" s="613">
        <f t="shared" ca="1" si="78"/>
        <v>0</v>
      </c>
      <c r="AD31" s="613">
        <f t="shared" ca="1" si="78"/>
        <v>0</v>
      </c>
      <c r="AE31" s="613">
        <f ca="1">SUM(AE29:AE30)</f>
        <v>0</v>
      </c>
      <c r="AF31" s="613">
        <f t="shared" ca="1" si="78"/>
        <v>0</v>
      </c>
      <c r="AG31" s="613">
        <f t="shared" ca="1" si="78"/>
        <v>0</v>
      </c>
      <c r="AH31" s="613">
        <f ca="1">SUM(AH29:AH30)</f>
        <v>0</v>
      </c>
      <c r="AI31" s="613">
        <f t="shared" ca="1" si="78"/>
        <v>0</v>
      </c>
      <c r="AJ31" s="613">
        <f t="shared" ca="1" si="78"/>
        <v>0</v>
      </c>
      <c r="AK31" s="613">
        <f t="shared" ca="1" si="56"/>
        <v>0</v>
      </c>
      <c r="AM31" s="627">
        <f t="shared" ref="AM31:BE31" ca="1" si="79">SUM(AM29:AM30)</f>
        <v>0</v>
      </c>
      <c r="AN31" s="627">
        <f t="shared" ca="1" si="79"/>
        <v>0</v>
      </c>
      <c r="AO31" s="627">
        <f t="shared" ca="1" si="79"/>
        <v>0</v>
      </c>
      <c r="AP31" s="627">
        <f t="shared" ca="1" si="79"/>
        <v>0</v>
      </c>
      <c r="AQ31" s="627">
        <f t="shared" ca="1" si="79"/>
        <v>0</v>
      </c>
      <c r="AR31" s="627">
        <f t="shared" ca="1" si="79"/>
        <v>0</v>
      </c>
      <c r="AS31" s="627">
        <f t="shared" ca="1" si="79"/>
        <v>0</v>
      </c>
      <c r="AT31" s="627">
        <f t="shared" ca="1" si="79"/>
        <v>0</v>
      </c>
      <c r="AU31" s="627">
        <f t="shared" ca="1" si="79"/>
        <v>0</v>
      </c>
      <c r="AV31" s="627">
        <f t="shared" ca="1" si="79"/>
        <v>0</v>
      </c>
      <c r="AW31" s="627">
        <f t="shared" ca="1" si="79"/>
        <v>0</v>
      </c>
      <c r="AX31" s="627">
        <f t="shared" ca="1" si="79"/>
        <v>0</v>
      </c>
      <c r="AY31" s="627">
        <f t="shared" ca="1" si="79"/>
        <v>0</v>
      </c>
      <c r="AZ31" s="627">
        <f t="shared" ca="1" si="79"/>
        <v>0</v>
      </c>
      <c r="BA31" s="627">
        <f t="shared" ca="1" si="79"/>
        <v>0</v>
      </c>
      <c r="BB31" s="627">
        <f t="shared" ca="1" si="79"/>
        <v>0</v>
      </c>
      <c r="BC31" s="627">
        <f t="shared" ca="1" si="79"/>
        <v>0</v>
      </c>
      <c r="BD31" s="627">
        <f ca="1">SUM(BD29:BD30)</f>
        <v>0</v>
      </c>
      <c r="BE31" s="627">
        <f t="shared" ca="1" si="79"/>
        <v>0</v>
      </c>
      <c r="BF31" s="628">
        <f t="shared" ca="1" si="59"/>
        <v>0</v>
      </c>
      <c r="BH31" s="3474">
        <f ca="1">SUM(BH29:BH30)</f>
        <v>0</v>
      </c>
      <c r="BI31" s="3474">
        <f ca="1">SUM(BI29:BI30)</f>
        <v>0</v>
      </c>
      <c r="BJ31" s="3462">
        <f t="shared" ca="1" si="61"/>
        <v>0</v>
      </c>
      <c r="BL31" s="595">
        <f t="shared" ca="1" si="9"/>
        <v>0</v>
      </c>
      <c r="BM31" s="595"/>
      <c r="BN31" s="607"/>
      <c r="BO31" s="2791">
        <f t="shared" ref="BO31:DF31" ca="1" si="80">SUM(BO29:BO30)</f>
        <v>0</v>
      </c>
      <c r="BP31" s="2792">
        <f t="shared" ca="1" si="80"/>
        <v>0</v>
      </c>
      <c r="BQ31" s="2792">
        <f t="shared" ca="1" si="80"/>
        <v>0</v>
      </c>
      <c r="BR31" s="2792">
        <f t="shared" ca="1" si="80"/>
        <v>0</v>
      </c>
      <c r="BS31" s="2792">
        <f t="shared" ca="1" si="80"/>
        <v>0</v>
      </c>
      <c r="BT31" s="2792">
        <f t="shared" ca="1" si="80"/>
        <v>0</v>
      </c>
      <c r="BU31" s="2792">
        <f t="shared" ca="1" si="80"/>
        <v>0</v>
      </c>
      <c r="BV31" s="2792">
        <f t="shared" ca="1" si="80"/>
        <v>0</v>
      </c>
      <c r="BW31" s="2792">
        <f t="shared" ca="1" si="80"/>
        <v>0</v>
      </c>
      <c r="BX31" s="2792">
        <f t="shared" ca="1" si="80"/>
        <v>0</v>
      </c>
      <c r="BY31" s="2792">
        <f t="shared" ca="1" si="80"/>
        <v>0</v>
      </c>
      <c r="BZ31" s="2792">
        <f t="shared" ca="1" si="80"/>
        <v>0</v>
      </c>
      <c r="CA31" s="2792">
        <f t="shared" ca="1" si="80"/>
        <v>0</v>
      </c>
      <c r="CB31" s="2792">
        <f t="shared" ca="1" si="80"/>
        <v>0</v>
      </c>
      <c r="CC31" s="2792">
        <f t="shared" ca="1" si="80"/>
        <v>0</v>
      </c>
      <c r="CD31" s="2792">
        <f t="shared" ca="1" si="80"/>
        <v>0</v>
      </c>
      <c r="CE31" s="2792">
        <f t="shared" ca="1" si="80"/>
        <v>0</v>
      </c>
      <c r="CF31" s="2792">
        <f t="shared" ca="1" si="80"/>
        <v>0</v>
      </c>
      <c r="CG31" s="2792">
        <f t="shared" ca="1" si="80"/>
        <v>0</v>
      </c>
      <c r="CH31" s="2792">
        <f t="shared" ca="1" si="80"/>
        <v>0</v>
      </c>
      <c r="CI31" s="2792">
        <f t="shared" ca="1" si="80"/>
        <v>0</v>
      </c>
      <c r="CJ31" s="2792">
        <f t="shared" ca="1" si="80"/>
        <v>0</v>
      </c>
      <c r="CK31" s="2792">
        <f t="shared" ca="1" si="80"/>
        <v>0</v>
      </c>
      <c r="CL31" s="2792">
        <f t="shared" ca="1" si="80"/>
        <v>0</v>
      </c>
      <c r="CM31" s="2792">
        <f t="shared" ca="1" si="80"/>
        <v>0</v>
      </c>
      <c r="CN31" s="2792">
        <f t="shared" ca="1" si="80"/>
        <v>0</v>
      </c>
      <c r="CO31" s="2792">
        <f t="shared" ca="1" si="80"/>
        <v>0</v>
      </c>
      <c r="CP31" s="2792">
        <f t="shared" ca="1" si="80"/>
        <v>0</v>
      </c>
      <c r="CQ31" s="2792">
        <f t="shared" ca="1" si="80"/>
        <v>0</v>
      </c>
      <c r="CR31" s="2792">
        <f t="shared" ca="1" si="80"/>
        <v>0</v>
      </c>
      <c r="CS31" s="2792">
        <f t="shared" ca="1" si="80"/>
        <v>0</v>
      </c>
      <c r="CT31" s="2792">
        <f t="shared" ca="1" si="80"/>
        <v>0</v>
      </c>
      <c r="CU31" s="2792">
        <f t="shared" ca="1" si="80"/>
        <v>0</v>
      </c>
      <c r="CV31" s="2792">
        <f t="shared" ca="1" si="80"/>
        <v>0</v>
      </c>
      <c r="CW31" s="2792">
        <f t="shared" ca="1" si="80"/>
        <v>0</v>
      </c>
      <c r="CX31" s="2792">
        <f t="shared" ca="1" si="80"/>
        <v>0</v>
      </c>
      <c r="CY31" s="2792">
        <f t="shared" ca="1" si="80"/>
        <v>0</v>
      </c>
      <c r="CZ31" s="2792">
        <f t="shared" ca="1" si="80"/>
        <v>0</v>
      </c>
      <c r="DA31" s="2792">
        <f t="shared" ca="1" si="80"/>
        <v>0</v>
      </c>
      <c r="DB31" s="2792">
        <f t="shared" ca="1" si="80"/>
        <v>0</v>
      </c>
      <c r="DC31" s="2792">
        <f t="shared" ca="1" si="80"/>
        <v>0</v>
      </c>
      <c r="DD31" s="2792">
        <f t="shared" ca="1" si="80"/>
        <v>0</v>
      </c>
      <c r="DE31" s="2792">
        <f t="shared" ca="1" si="80"/>
        <v>0</v>
      </c>
      <c r="DF31" s="2792">
        <f t="shared" ca="1" si="80"/>
        <v>0</v>
      </c>
      <c r="DH31" s="596">
        <f t="shared" ca="1" si="32"/>
        <v>0</v>
      </c>
    </row>
    <row r="32" spans="1:112" s="6" customFormat="1" ht="15.75">
      <c r="A32" s="4"/>
      <c r="B32" s="3"/>
      <c r="C32" s="616" t="s">
        <v>490</v>
      </c>
      <c r="D32" s="617" t="s">
        <v>491</v>
      </c>
      <c r="E32" s="206"/>
      <c r="G32" s="618">
        <f t="shared" ref="G32:P32" ca="1" si="81">G24+G25+G28+G31</f>
        <v>0</v>
      </c>
      <c r="H32" s="618">
        <f t="shared" ca="1" si="81"/>
        <v>0</v>
      </c>
      <c r="I32" s="618">
        <f t="shared" ca="1" si="81"/>
        <v>0</v>
      </c>
      <c r="J32" s="618">
        <f t="shared" ca="1" si="81"/>
        <v>37.89730059516333</v>
      </c>
      <c r="K32" s="618">
        <f t="shared" ca="1" si="81"/>
        <v>0.45199457636929957</v>
      </c>
      <c r="L32" s="618">
        <f t="shared" ca="1" si="81"/>
        <v>2.6979176745363341E-2</v>
      </c>
      <c r="M32" s="618">
        <f t="shared" ca="1" si="81"/>
        <v>0.66</v>
      </c>
      <c r="N32" s="618">
        <f t="shared" ca="1" si="81"/>
        <v>6.8942086199999997</v>
      </c>
      <c r="O32" s="618">
        <f t="shared" ca="1" si="81"/>
        <v>0</v>
      </c>
      <c r="P32" s="618">
        <f t="shared" ca="1" si="81"/>
        <v>0</v>
      </c>
      <c r="Q32" s="618">
        <f t="shared" ca="1" si="54"/>
        <v>45.930482968277992</v>
      </c>
      <c r="S32" s="581">
        <f t="shared" ref="S32:AJ32" ca="1" si="82">S24+S25+S28+S31</f>
        <v>-5.7819311214212923E-2</v>
      </c>
      <c r="T32" s="581">
        <f t="shared" ca="1" si="82"/>
        <v>0</v>
      </c>
      <c r="U32" s="581">
        <f t="shared" ca="1" si="82"/>
        <v>0</v>
      </c>
      <c r="V32" s="581">
        <f t="shared" ca="1" si="82"/>
        <v>-45.872558391569598</v>
      </c>
      <c r="W32" s="581">
        <f t="shared" ca="1" si="82"/>
        <v>0</v>
      </c>
      <c r="X32" s="581">
        <f t="shared" ca="1" si="82"/>
        <v>0</v>
      </c>
      <c r="Y32" s="581">
        <f t="shared" ca="1" si="82"/>
        <v>0</v>
      </c>
      <c r="Z32" s="581">
        <f t="shared" ca="1" si="82"/>
        <v>0</v>
      </c>
      <c r="AA32" s="581">
        <f t="shared" ca="1" si="82"/>
        <v>0</v>
      </c>
      <c r="AB32" s="581">
        <f t="shared" ca="1" si="82"/>
        <v>0</v>
      </c>
      <c r="AC32" s="581">
        <f t="shared" ca="1" si="82"/>
        <v>0</v>
      </c>
      <c r="AD32" s="581">
        <f t="shared" ca="1" si="82"/>
        <v>0</v>
      </c>
      <c r="AE32" s="581">
        <f ca="1">AE24+AE25+AE28+AE31</f>
        <v>0</v>
      </c>
      <c r="AF32" s="581">
        <f t="shared" ca="1" si="82"/>
        <v>0</v>
      </c>
      <c r="AG32" s="581">
        <f t="shared" ca="1" si="82"/>
        <v>0</v>
      </c>
      <c r="AH32" s="581">
        <f ca="1">AH24+AH25+AH28+AH31</f>
        <v>0</v>
      </c>
      <c r="AI32" s="581">
        <f t="shared" ca="1" si="82"/>
        <v>0</v>
      </c>
      <c r="AJ32" s="581">
        <f t="shared" ca="1" si="82"/>
        <v>-1.0526549418152516E-4</v>
      </c>
      <c r="AK32" s="581">
        <f t="shared" ca="1" si="56"/>
        <v>-45.930482968277992</v>
      </c>
      <c r="AM32" s="582">
        <f t="shared" ref="AM32:BE32" ca="1" si="83">AM24+AM25+AM28+AM31</f>
        <v>0</v>
      </c>
      <c r="AN32" s="582">
        <f t="shared" ca="1" si="83"/>
        <v>0</v>
      </c>
      <c r="AO32" s="582">
        <f t="shared" ca="1" si="83"/>
        <v>0</v>
      </c>
      <c r="AP32" s="582">
        <f t="shared" ca="1" si="83"/>
        <v>0</v>
      </c>
      <c r="AQ32" s="582">
        <f t="shared" ca="1" si="83"/>
        <v>0</v>
      </c>
      <c r="AR32" s="582">
        <f t="shared" ca="1" si="83"/>
        <v>0</v>
      </c>
      <c r="AS32" s="582">
        <f t="shared" ca="1" si="83"/>
        <v>0</v>
      </c>
      <c r="AT32" s="582">
        <f t="shared" ca="1" si="83"/>
        <v>0</v>
      </c>
      <c r="AU32" s="582">
        <f t="shared" ca="1" si="83"/>
        <v>0</v>
      </c>
      <c r="AV32" s="582">
        <f t="shared" ca="1" si="83"/>
        <v>0</v>
      </c>
      <c r="AW32" s="582">
        <f t="shared" ca="1" si="83"/>
        <v>0</v>
      </c>
      <c r="AX32" s="582">
        <f t="shared" ca="1" si="83"/>
        <v>0</v>
      </c>
      <c r="AY32" s="582">
        <f t="shared" ca="1" si="83"/>
        <v>0</v>
      </c>
      <c r="AZ32" s="582">
        <f t="shared" ca="1" si="83"/>
        <v>0</v>
      </c>
      <c r="BA32" s="582">
        <f t="shared" ca="1" si="83"/>
        <v>0</v>
      </c>
      <c r="BB32" s="582">
        <f t="shared" ca="1" si="83"/>
        <v>0</v>
      </c>
      <c r="BC32" s="582">
        <f t="shared" ca="1" si="83"/>
        <v>0</v>
      </c>
      <c r="BD32" s="582">
        <f ca="1">BD24+BD25+BD28+BD31</f>
        <v>0</v>
      </c>
      <c r="BE32" s="582">
        <f t="shared" ca="1" si="83"/>
        <v>0</v>
      </c>
      <c r="BF32" s="582">
        <f t="shared" ca="1" si="59"/>
        <v>0</v>
      </c>
      <c r="BH32" s="3463">
        <f ca="1">BH24+BH25+BH28+BH31</f>
        <v>0</v>
      </c>
      <c r="BI32" s="3463">
        <f ca="1">BI24+BI25+BI28+BI31</f>
        <v>0</v>
      </c>
      <c r="BJ32" s="3463">
        <f t="shared" ca="1" si="61"/>
        <v>0</v>
      </c>
      <c r="BL32" s="3477">
        <f t="shared" ca="1" si="9"/>
        <v>0</v>
      </c>
      <c r="BM32" s="584"/>
      <c r="BN32" s="413"/>
      <c r="BO32" s="2790">
        <f t="shared" ref="BO32:DF32" ca="1" si="84">BO24+BO25+BO28+BO31</f>
        <v>10.285606937721784</v>
      </c>
      <c r="BP32" s="2790">
        <f t="shared" ca="1" si="84"/>
        <v>8.8402897281919853E-3</v>
      </c>
      <c r="BQ32" s="2790">
        <f t="shared" ca="1" si="84"/>
        <v>2.6099903007043006E-2</v>
      </c>
      <c r="BR32" s="2790">
        <f t="shared" ca="1" si="84"/>
        <v>0</v>
      </c>
      <c r="BS32" s="2790">
        <f t="shared" ca="1" si="84"/>
        <v>0</v>
      </c>
      <c r="BT32" s="2790">
        <f t="shared" ca="1" si="84"/>
        <v>0</v>
      </c>
      <c r="BU32" s="2790">
        <f t="shared" ca="1" si="84"/>
        <v>0</v>
      </c>
      <c r="BV32" s="2790">
        <f t="shared" ca="1" si="84"/>
        <v>0</v>
      </c>
      <c r="BW32" s="2790">
        <f t="shared" ca="1" si="84"/>
        <v>0</v>
      </c>
      <c r="BX32" s="2790">
        <f t="shared" ca="1" si="84"/>
        <v>0</v>
      </c>
      <c r="BY32" s="2790">
        <f t="shared" ca="1" si="84"/>
        <v>0</v>
      </c>
      <c r="BZ32" s="2790">
        <f t="shared" ca="1" si="84"/>
        <v>0</v>
      </c>
      <c r="CA32" s="2790">
        <f t="shared" ca="1" si="84"/>
        <v>0</v>
      </c>
      <c r="CB32" s="2790">
        <f t="shared" ca="1" si="84"/>
        <v>0</v>
      </c>
      <c r="CC32" s="2790">
        <f t="shared" ca="1" si="84"/>
        <v>0</v>
      </c>
      <c r="CD32" s="2790">
        <f t="shared" ca="1" si="84"/>
        <v>0</v>
      </c>
      <c r="CE32" s="2790">
        <f t="shared" ca="1" si="84"/>
        <v>0</v>
      </c>
      <c r="CF32" s="2790">
        <f t="shared" ca="1" si="84"/>
        <v>0</v>
      </c>
      <c r="CG32" s="2790">
        <f t="shared" ca="1" si="84"/>
        <v>0</v>
      </c>
      <c r="CH32" s="2790">
        <f t="shared" ca="1" si="84"/>
        <v>0</v>
      </c>
      <c r="CI32" s="2790">
        <f t="shared" ca="1" si="84"/>
        <v>0</v>
      </c>
      <c r="CJ32" s="2790">
        <f t="shared" ca="1" si="84"/>
        <v>0</v>
      </c>
      <c r="CK32" s="2790">
        <f t="shared" ca="1" si="84"/>
        <v>0</v>
      </c>
      <c r="CL32" s="2790">
        <f t="shared" ca="1" si="84"/>
        <v>0</v>
      </c>
      <c r="CM32" s="2790">
        <f t="shared" ca="1" si="84"/>
        <v>0</v>
      </c>
      <c r="CN32" s="2790">
        <f t="shared" ca="1" si="84"/>
        <v>0</v>
      </c>
      <c r="CO32" s="2790">
        <f t="shared" ca="1" si="84"/>
        <v>0</v>
      </c>
      <c r="CP32" s="2790">
        <f t="shared" ca="1" si="84"/>
        <v>0</v>
      </c>
      <c r="CQ32" s="2790">
        <f t="shared" ca="1" si="84"/>
        <v>0</v>
      </c>
      <c r="CR32" s="2790">
        <f t="shared" ca="1" si="84"/>
        <v>0</v>
      </c>
      <c r="CS32" s="2790">
        <f t="shared" ca="1" si="84"/>
        <v>0</v>
      </c>
      <c r="CT32" s="2790">
        <f t="shared" ca="1" si="84"/>
        <v>0</v>
      </c>
      <c r="CU32" s="2790">
        <f t="shared" ca="1" si="84"/>
        <v>1.8192437706455995</v>
      </c>
      <c r="CV32" s="2790">
        <f t="shared" ca="1" si="84"/>
        <v>1.5636065150160001E-3</v>
      </c>
      <c r="CW32" s="2790">
        <f t="shared" ca="1" si="84"/>
        <v>4.6163620919519996E-3</v>
      </c>
      <c r="CX32" s="2790">
        <f t="shared" ca="1" si="84"/>
        <v>0</v>
      </c>
      <c r="CY32" s="2790">
        <f t="shared" ca="1" si="84"/>
        <v>0</v>
      </c>
      <c r="CZ32" s="2790">
        <f t="shared" ca="1" si="84"/>
        <v>0</v>
      </c>
      <c r="DA32" s="2790">
        <f t="shared" ca="1" si="84"/>
        <v>0</v>
      </c>
      <c r="DB32" s="2790">
        <f t="shared" ca="1" si="84"/>
        <v>0</v>
      </c>
      <c r="DC32" s="2790">
        <f t="shared" ca="1" si="84"/>
        <v>0</v>
      </c>
      <c r="DD32" s="2790">
        <f t="shared" ca="1" si="84"/>
        <v>0</v>
      </c>
      <c r="DE32" s="2790">
        <f t="shared" ca="1" si="84"/>
        <v>0</v>
      </c>
      <c r="DF32" s="2790">
        <f t="shared" ca="1" si="84"/>
        <v>0</v>
      </c>
      <c r="DH32" s="596">
        <f t="shared" ca="1" si="32"/>
        <v>12.145970869709588</v>
      </c>
    </row>
    <row r="33" spans="1:112" s="6" customFormat="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9"/>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2"/>
        <v>0</v>
      </c>
    </row>
    <row r="34" spans="1:112" s="6" customFormat="1">
      <c r="A34" s="607"/>
      <c r="B34" s="607"/>
      <c r="C34" s="587" t="s">
        <v>492</v>
      </c>
      <c r="D34" s="611" t="s">
        <v>375</v>
      </c>
      <c r="E34" s="611"/>
      <c r="G34" s="619">
        <f t="shared" ref="G34:P34" ca="1" si="85">IFERROR(INDEX(INDIRECT($C34&amp;".Outputs["&amp;this.Year&amp;"]"), MATCH(G$5, INDIRECT($C34&amp;".Outputs[Vector]"), 0)), 0)</f>
        <v>0</v>
      </c>
      <c r="H34" s="619">
        <f t="shared" ca="1" si="85"/>
        <v>0</v>
      </c>
      <c r="I34" s="619">
        <f t="shared" ca="1" si="85"/>
        <v>0</v>
      </c>
      <c r="J34" s="619">
        <f t="shared" ca="1" si="85"/>
        <v>0</v>
      </c>
      <c r="K34" s="619">
        <f t="shared" ca="1" si="85"/>
        <v>0</v>
      </c>
      <c r="L34" s="619">
        <f t="shared" ca="1" si="85"/>
        <v>0</v>
      </c>
      <c r="M34" s="619">
        <f t="shared" ca="1" si="85"/>
        <v>0</v>
      </c>
      <c r="N34" s="619">
        <f t="shared" ca="1" si="85"/>
        <v>0</v>
      </c>
      <c r="O34" s="619">
        <f t="shared" ca="1" si="85"/>
        <v>0</v>
      </c>
      <c r="P34" s="619">
        <f t="shared" ca="1" si="85"/>
        <v>0</v>
      </c>
      <c r="Q34" s="612">
        <f ca="1">SUM(G34:P34)</f>
        <v>0</v>
      </c>
      <c r="S34" s="620">
        <f t="shared" ref="S34:AJ34" ca="1" si="86">IFERROR(INDEX(INDIRECT($C34&amp;".Outputs["&amp;this.Year&amp;"]"), MATCH(S$5, INDIRECT($C34&amp;".Outputs[Vector]"), 0)), 0)</f>
        <v>0</v>
      </c>
      <c r="T34" s="620">
        <f t="shared" ca="1" si="86"/>
        <v>0</v>
      </c>
      <c r="U34" s="620">
        <f t="shared" ca="1" si="86"/>
        <v>0</v>
      </c>
      <c r="V34" s="620">
        <f t="shared" ca="1" si="86"/>
        <v>0</v>
      </c>
      <c r="W34" s="620">
        <f t="shared" ca="1" si="86"/>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86"/>
        <v>0</v>
      </c>
      <c r="AB34" s="620">
        <f t="shared" ca="1" si="86"/>
        <v>0</v>
      </c>
      <c r="AC34" s="620">
        <f t="shared" ca="1" si="86"/>
        <v>0</v>
      </c>
      <c r="AD34" s="620">
        <f t="shared" ca="1" si="86"/>
        <v>0</v>
      </c>
      <c r="AE34" s="620">
        <f t="shared" ca="1" si="86"/>
        <v>0</v>
      </c>
      <c r="AF34" s="620">
        <f t="shared" ca="1" si="86"/>
        <v>0</v>
      </c>
      <c r="AG34" s="620">
        <f t="shared" ca="1" si="86"/>
        <v>0</v>
      </c>
      <c r="AH34" s="620">
        <f t="shared" ca="1" si="86"/>
        <v>0</v>
      </c>
      <c r="AI34" s="620">
        <f t="shared" ca="1" si="86"/>
        <v>0</v>
      </c>
      <c r="AJ34" s="620">
        <f t="shared" ca="1" si="86"/>
        <v>0</v>
      </c>
      <c r="AK34" s="613">
        <f ca="1">SUM(S34:AJ34)</f>
        <v>0</v>
      </c>
      <c r="AM34" s="621">
        <f t="shared" ref="AM34:BE34" ca="1" si="87">IFERROR(INDEX(INDIRECT($C34&amp;".Outputs["&amp;this.Year&amp;"]"), MATCH(AM$5, INDIRECT($C34&amp;".Outputs[Vector]"), 0)), 0)</f>
        <v>0</v>
      </c>
      <c r="AN34" s="621">
        <f t="shared" ca="1" si="87"/>
        <v>0</v>
      </c>
      <c r="AO34" s="621">
        <f t="shared" ca="1" si="87"/>
        <v>0</v>
      </c>
      <c r="AP34" s="621">
        <f t="shared" ca="1" si="87"/>
        <v>0</v>
      </c>
      <c r="AQ34" s="621">
        <f t="shared" ca="1" si="87"/>
        <v>0</v>
      </c>
      <c r="AR34" s="621">
        <f t="shared" ca="1" si="87"/>
        <v>0</v>
      </c>
      <c r="AS34" s="621">
        <f t="shared" ca="1" si="87"/>
        <v>0</v>
      </c>
      <c r="AT34" s="621">
        <f t="shared" ca="1" si="87"/>
        <v>0</v>
      </c>
      <c r="AU34" s="621">
        <f t="shared" ca="1" si="87"/>
        <v>0</v>
      </c>
      <c r="AV34" s="621">
        <f t="shared" ca="1" si="87"/>
        <v>0</v>
      </c>
      <c r="AW34" s="621">
        <f t="shared" ca="1" si="87"/>
        <v>0</v>
      </c>
      <c r="AX34" s="621">
        <f t="shared" ca="1" si="87"/>
        <v>0</v>
      </c>
      <c r="AY34" s="621">
        <f t="shared" ca="1" si="87"/>
        <v>0</v>
      </c>
      <c r="AZ34" s="621">
        <f t="shared" ca="1" si="87"/>
        <v>0</v>
      </c>
      <c r="BA34" s="621">
        <f t="shared" ca="1" si="87"/>
        <v>0</v>
      </c>
      <c r="BB34" s="621">
        <f t="shared" ca="1" si="87"/>
        <v>0</v>
      </c>
      <c r="BC34" s="621">
        <f t="shared" ca="1" si="87"/>
        <v>0</v>
      </c>
      <c r="BD34" s="621">
        <f t="shared" ca="1" si="87"/>
        <v>0</v>
      </c>
      <c r="BE34" s="621">
        <f t="shared" ca="1" si="87"/>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9"/>
        <v>0</v>
      </c>
      <c r="BM34" s="610"/>
      <c r="BN34" s="413"/>
      <c r="BO34" s="2791">
        <f t="shared" ref="BO34:DF34" ca="1" si="88">IFERROR(SUMIFS(INDIRECT($C34&amp;".Emissions["&amp;this.Year&amp;"]"), INDIRECT($C34&amp;".Emissions[GHG]"), BO$6, INDIRECT($C34&amp;".Emissions[IPCC Sector]"), BO$5),0)</f>
        <v>0</v>
      </c>
      <c r="BP34" s="2792">
        <f t="shared" ca="1" si="88"/>
        <v>0</v>
      </c>
      <c r="BQ34" s="2792">
        <f t="shared" ca="1" si="88"/>
        <v>0</v>
      </c>
      <c r="BR34" s="2792">
        <f t="shared" ca="1" si="88"/>
        <v>0</v>
      </c>
      <c r="BS34" s="2792">
        <f t="shared" ca="1" si="88"/>
        <v>0</v>
      </c>
      <c r="BT34" s="2792">
        <f t="shared" ca="1" si="88"/>
        <v>0</v>
      </c>
      <c r="BU34" s="2792">
        <f t="shared" ca="1" si="88"/>
        <v>0</v>
      </c>
      <c r="BV34" s="2792">
        <f t="shared" ca="1" si="88"/>
        <v>0</v>
      </c>
      <c r="BW34" s="2792">
        <f t="shared" ca="1" si="88"/>
        <v>0</v>
      </c>
      <c r="BX34" s="2792">
        <f t="shared" ca="1" si="88"/>
        <v>0</v>
      </c>
      <c r="BY34" s="2792">
        <f t="shared" ca="1" si="88"/>
        <v>0</v>
      </c>
      <c r="BZ34" s="2792">
        <f t="shared" ca="1" si="88"/>
        <v>0</v>
      </c>
      <c r="CA34" s="2792">
        <f t="shared" ca="1" si="88"/>
        <v>0</v>
      </c>
      <c r="CB34" s="2792">
        <f t="shared" ca="1" si="88"/>
        <v>0</v>
      </c>
      <c r="CC34" s="2792">
        <f t="shared" ca="1" si="88"/>
        <v>0</v>
      </c>
      <c r="CD34" s="2792">
        <f t="shared" ca="1" si="88"/>
        <v>0</v>
      </c>
      <c r="CE34" s="2792">
        <f t="shared" ca="1" si="88"/>
        <v>0</v>
      </c>
      <c r="CF34" s="2792">
        <f t="shared" ca="1" si="88"/>
        <v>0</v>
      </c>
      <c r="CG34" s="2792">
        <f t="shared" ca="1" si="88"/>
        <v>0</v>
      </c>
      <c r="CH34" s="2792">
        <f t="shared" ca="1" si="88"/>
        <v>0</v>
      </c>
      <c r="CI34" s="2792">
        <f t="shared" ca="1" si="88"/>
        <v>0</v>
      </c>
      <c r="CJ34" s="2792">
        <f t="shared" ca="1" si="88"/>
        <v>0</v>
      </c>
      <c r="CK34" s="2792">
        <f t="shared" ca="1" si="88"/>
        <v>0</v>
      </c>
      <c r="CL34" s="2792">
        <f t="shared" ca="1" si="88"/>
        <v>0</v>
      </c>
      <c r="CM34" s="2792">
        <f t="shared" ca="1" si="88"/>
        <v>0</v>
      </c>
      <c r="CN34" s="2792">
        <f t="shared" ca="1" si="88"/>
        <v>0</v>
      </c>
      <c r="CO34" s="2792">
        <f t="shared" ca="1" si="88"/>
        <v>0</v>
      </c>
      <c r="CP34" s="2792">
        <f t="shared" ca="1" si="88"/>
        <v>0</v>
      </c>
      <c r="CQ34" s="2792">
        <f t="shared" ca="1" si="88"/>
        <v>0</v>
      </c>
      <c r="CR34" s="2792">
        <f t="shared" ca="1" si="88"/>
        <v>0</v>
      </c>
      <c r="CS34" s="2792">
        <f t="shared" ca="1" si="88"/>
        <v>0</v>
      </c>
      <c r="CT34" s="2792">
        <f t="shared" ca="1" si="88"/>
        <v>0</v>
      </c>
      <c r="CU34" s="2792">
        <f t="shared" ca="1" si="88"/>
        <v>0</v>
      </c>
      <c r="CV34" s="2792">
        <f t="shared" ca="1" si="88"/>
        <v>0</v>
      </c>
      <c r="CW34" s="2792">
        <f t="shared" ca="1" si="88"/>
        <v>0</v>
      </c>
      <c r="CX34" s="2792">
        <f t="shared" ca="1" si="88"/>
        <v>0</v>
      </c>
      <c r="CY34" s="2792">
        <f t="shared" ca="1" si="88"/>
        <v>0</v>
      </c>
      <c r="CZ34" s="2792">
        <f t="shared" ca="1" si="88"/>
        <v>0</v>
      </c>
      <c r="DA34" s="2792">
        <f t="shared" ca="1" si="88"/>
        <v>0</v>
      </c>
      <c r="DB34" s="2792">
        <f t="shared" ca="1" si="88"/>
        <v>0</v>
      </c>
      <c r="DC34" s="2792">
        <f t="shared" ca="1" si="88"/>
        <v>0</v>
      </c>
      <c r="DD34" s="2792">
        <f t="shared" ca="1" si="88"/>
        <v>0</v>
      </c>
      <c r="DE34" s="2792">
        <f t="shared" ca="1" si="88"/>
        <v>0</v>
      </c>
      <c r="DF34" s="2792">
        <f t="shared" ca="1" si="88"/>
        <v>0</v>
      </c>
      <c r="DH34" s="596">
        <f t="shared" ca="1" si="32"/>
        <v>0</v>
      </c>
    </row>
    <row r="35" spans="1:112" s="6" customFormat="1" ht="15.75">
      <c r="A35" s="4"/>
      <c r="B35" s="3"/>
      <c r="C35" s="616" t="s">
        <v>493</v>
      </c>
      <c r="D35" s="617" t="s">
        <v>375</v>
      </c>
      <c r="E35" s="206"/>
      <c r="G35" s="618">
        <f ca="1">G34</f>
        <v>0</v>
      </c>
      <c r="H35" s="618">
        <f t="shared" ref="H35:P35" ca="1" si="89">H34</f>
        <v>0</v>
      </c>
      <c r="I35" s="618">
        <f t="shared" ca="1" si="89"/>
        <v>0</v>
      </c>
      <c r="J35" s="618">
        <f t="shared" ca="1" si="89"/>
        <v>0</v>
      </c>
      <c r="K35" s="618">
        <f t="shared" ca="1" si="89"/>
        <v>0</v>
      </c>
      <c r="L35" s="618">
        <f t="shared" ca="1" si="89"/>
        <v>0</v>
      </c>
      <c r="M35" s="618">
        <f t="shared" ca="1" si="89"/>
        <v>0</v>
      </c>
      <c r="N35" s="618">
        <f ca="1">N34</f>
        <v>0</v>
      </c>
      <c r="O35" s="618">
        <f ca="1">O34</f>
        <v>0</v>
      </c>
      <c r="P35" s="618">
        <f t="shared" ca="1" si="89"/>
        <v>0</v>
      </c>
      <c r="Q35" s="618">
        <f ca="1">SUM(G35:P35)</f>
        <v>0</v>
      </c>
      <c r="S35" s="581">
        <f ca="1">S34</f>
        <v>0</v>
      </c>
      <c r="T35" s="581">
        <f t="shared" ref="T35:AJ35" ca="1" si="90">T34</f>
        <v>0</v>
      </c>
      <c r="U35" s="581">
        <f t="shared" ca="1" si="90"/>
        <v>0</v>
      </c>
      <c r="V35" s="581">
        <f t="shared" ca="1" si="90"/>
        <v>0</v>
      </c>
      <c r="W35" s="581">
        <f t="shared" ca="1" si="90"/>
        <v>0</v>
      </c>
      <c r="X35" s="581">
        <f ca="1">X34</f>
        <v>0</v>
      </c>
      <c r="Y35" s="581">
        <f ca="1">Y34</f>
        <v>0</v>
      </c>
      <c r="Z35" s="581">
        <f ca="1">Z34</f>
        <v>0</v>
      </c>
      <c r="AA35" s="581">
        <f t="shared" ca="1" si="90"/>
        <v>0</v>
      </c>
      <c r="AB35" s="581">
        <f t="shared" ca="1" si="90"/>
        <v>0</v>
      </c>
      <c r="AC35" s="581">
        <f t="shared" ca="1" si="90"/>
        <v>0</v>
      </c>
      <c r="AD35" s="581">
        <f ca="1">AD34</f>
        <v>0</v>
      </c>
      <c r="AE35" s="581">
        <f ca="1">AE34</f>
        <v>0</v>
      </c>
      <c r="AF35" s="581">
        <f t="shared" ca="1" si="90"/>
        <v>0</v>
      </c>
      <c r="AG35" s="581">
        <f ca="1">AG34</f>
        <v>0</v>
      </c>
      <c r="AH35" s="581">
        <f ca="1">AH34</f>
        <v>0</v>
      </c>
      <c r="AI35" s="581">
        <f ca="1">AI34</f>
        <v>0</v>
      </c>
      <c r="AJ35" s="581">
        <f t="shared" ca="1" si="90"/>
        <v>0</v>
      </c>
      <c r="AK35" s="581">
        <f ca="1">SUM(S35:AJ35)</f>
        <v>0</v>
      </c>
      <c r="AM35" s="582">
        <f t="shared" ref="AM35:BE35" ca="1" si="91">AM34</f>
        <v>0</v>
      </c>
      <c r="AN35" s="582">
        <f t="shared" ca="1" si="91"/>
        <v>0</v>
      </c>
      <c r="AO35" s="582">
        <f t="shared" ca="1" si="91"/>
        <v>0</v>
      </c>
      <c r="AP35" s="582">
        <f t="shared" ca="1" si="91"/>
        <v>0</v>
      </c>
      <c r="AQ35" s="582">
        <f t="shared" ca="1" si="91"/>
        <v>0</v>
      </c>
      <c r="AR35" s="582">
        <f t="shared" ca="1" si="91"/>
        <v>0</v>
      </c>
      <c r="AS35" s="582">
        <f t="shared" ca="1" si="91"/>
        <v>0</v>
      </c>
      <c r="AT35" s="582">
        <f t="shared" ca="1" si="91"/>
        <v>0</v>
      </c>
      <c r="AU35" s="582">
        <f t="shared" ca="1" si="91"/>
        <v>0</v>
      </c>
      <c r="AV35" s="582">
        <f t="shared" ca="1" si="91"/>
        <v>0</v>
      </c>
      <c r="AW35" s="582">
        <f t="shared" ca="1" si="91"/>
        <v>0</v>
      </c>
      <c r="AX35" s="582">
        <f t="shared" ca="1" si="91"/>
        <v>0</v>
      </c>
      <c r="AY35" s="582">
        <f t="shared" ca="1" si="91"/>
        <v>0</v>
      </c>
      <c r="AZ35" s="582">
        <f t="shared" ca="1" si="91"/>
        <v>0</v>
      </c>
      <c r="BA35" s="582">
        <f t="shared" ca="1" si="91"/>
        <v>0</v>
      </c>
      <c r="BB35" s="582">
        <f t="shared" ca="1" si="91"/>
        <v>0</v>
      </c>
      <c r="BC35" s="582">
        <f t="shared" ca="1" si="91"/>
        <v>0</v>
      </c>
      <c r="BD35" s="582">
        <f ca="1">BD34</f>
        <v>0</v>
      </c>
      <c r="BE35" s="582">
        <f t="shared" ca="1" si="91"/>
        <v>0</v>
      </c>
      <c r="BF35" s="582">
        <f ca="1">SUM(AM35:BE35)</f>
        <v>0</v>
      </c>
      <c r="BH35" s="3463">
        <f ca="1">BH34</f>
        <v>0</v>
      </c>
      <c r="BI35" s="3463">
        <f ca="1">BI34</f>
        <v>0</v>
      </c>
      <c r="BJ35" s="3463">
        <f ca="1">SUM(BH35:BI35)</f>
        <v>0</v>
      </c>
      <c r="BL35" s="3477">
        <f t="shared" ca="1" si="9"/>
        <v>0</v>
      </c>
      <c r="BM35" s="584"/>
      <c r="BN35" s="413"/>
      <c r="BO35" s="2790">
        <f t="shared" ref="BO35:DF35" ca="1" si="92">BO34</f>
        <v>0</v>
      </c>
      <c r="BP35" s="2790">
        <f t="shared" ca="1" si="92"/>
        <v>0</v>
      </c>
      <c r="BQ35" s="2790">
        <f t="shared" ca="1" si="92"/>
        <v>0</v>
      </c>
      <c r="BR35" s="2790">
        <f t="shared" ca="1" si="92"/>
        <v>0</v>
      </c>
      <c r="BS35" s="2790">
        <f t="shared" ca="1" si="92"/>
        <v>0</v>
      </c>
      <c r="BT35" s="2790">
        <f t="shared" ca="1" si="92"/>
        <v>0</v>
      </c>
      <c r="BU35" s="2790">
        <f t="shared" ca="1" si="92"/>
        <v>0</v>
      </c>
      <c r="BV35" s="2790">
        <f t="shared" ca="1" si="92"/>
        <v>0</v>
      </c>
      <c r="BW35" s="2790">
        <f t="shared" ca="1" si="92"/>
        <v>0</v>
      </c>
      <c r="BX35" s="2790">
        <f t="shared" ca="1" si="92"/>
        <v>0</v>
      </c>
      <c r="BY35" s="2790">
        <f t="shared" ca="1" si="92"/>
        <v>0</v>
      </c>
      <c r="BZ35" s="2790">
        <f t="shared" ca="1" si="92"/>
        <v>0</v>
      </c>
      <c r="CA35" s="2790">
        <f t="shared" ca="1" si="92"/>
        <v>0</v>
      </c>
      <c r="CB35" s="2790">
        <f t="shared" ca="1" si="92"/>
        <v>0</v>
      </c>
      <c r="CC35" s="2790">
        <f t="shared" ca="1" si="92"/>
        <v>0</v>
      </c>
      <c r="CD35" s="2790">
        <f t="shared" ca="1" si="92"/>
        <v>0</v>
      </c>
      <c r="CE35" s="2790">
        <f t="shared" ca="1" si="92"/>
        <v>0</v>
      </c>
      <c r="CF35" s="2790">
        <f t="shared" ca="1" si="92"/>
        <v>0</v>
      </c>
      <c r="CG35" s="2790">
        <f t="shared" ca="1" si="92"/>
        <v>0</v>
      </c>
      <c r="CH35" s="2790">
        <f t="shared" ca="1" si="92"/>
        <v>0</v>
      </c>
      <c r="CI35" s="2790">
        <f t="shared" ca="1" si="92"/>
        <v>0</v>
      </c>
      <c r="CJ35" s="2790">
        <f t="shared" ca="1" si="92"/>
        <v>0</v>
      </c>
      <c r="CK35" s="2790">
        <f t="shared" ca="1" si="92"/>
        <v>0</v>
      </c>
      <c r="CL35" s="2790">
        <f t="shared" ca="1" si="92"/>
        <v>0</v>
      </c>
      <c r="CM35" s="2790">
        <f t="shared" ca="1" si="92"/>
        <v>0</v>
      </c>
      <c r="CN35" s="2790">
        <f t="shared" ca="1" si="92"/>
        <v>0</v>
      </c>
      <c r="CO35" s="2790">
        <f t="shared" ca="1" si="92"/>
        <v>0</v>
      </c>
      <c r="CP35" s="2790">
        <f t="shared" ca="1" si="92"/>
        <v>0</v>
      </c>
      <c r="CQ35" s="2790">
        <f t="shared" ca="1" si="92"/>
        <v>0</v>
      </c>
      <c r="CR35" s="2790">
        <f t="shared" ca="1" si="92"/>
        <v>0</v>
      </c>
      <c r="CS35" s="2790">
        <f t="shared" ca="1" si="92"/>
        <v>0</v>
      </c>
      <c r="CT35" s="2790">
        <f t="shared" ca="1" si="92"/>
        <v>0</v>
      </c>
      <c r="CU35" s="2790">
        <f t="shared" ca="1" si="92"/>
        <v>0</v>
      </c>
      <c r="CV35" s="2790">
        <f t="shared" ca="1" si="92"/>
        <v>0</v>
      </c>
      <c r="CW35" s="2790">
        <f t="shared" ca="1" si="92"/>
        <v>0</v>
      </c>
      <c r="CX35" s="2790">
        <f t="shared" ca="1" si="92"/>
        <v>0</v>
      </c>
      <c r="CY35" s="2790">
        <f t="shared" ca="1" si="92"/>
        <v>0</v>
      </c>
      <c r="CZ35" s="2790">
        <f t="shared" ca="1" si="92"/>
        <v>0</v>
      </c>
      <c r="DA35" s="2790">
        <f t="shared" ca="1" si="92"/>
        <v>0</v>
      </c>
      <c r="DB35" s="2790">
        <f t="shared" ca="1" si="92"/>
        <v>0</v>
      </c>
      <c r="DC35" s="2790">
        <f t="shared" ca="1" si="92"/>
        <v>0</v>
      </c>
      <c r="DD35" s="2790">
        <f t="shared" ca="1" si="92"/>
        <v>0</v>
      </c>
      <c r="DE35" s="2790">
        <f t="shared" ca="1" si="92"/>
        <v>0</v>
      </c>
      <c r="DF35" s="2790">
        <f t="shared" ca="1" si="92"/>
        <v>0</v>
      </c>
      <c r="DH35" s="596">
        <f t="shared" ca="1" si="32"/>
        <v>0</v>
      </c>
    </row>
    <row r="36" spans="1:112" s="6" customFormat="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9"/>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2"/>
        <v>0</v>
      </c>
    </row>
    <row r="37" spans="1:112" s="6" customFormat="1">
      <c r="A37" s="607"/>
      <c r="B37" s="607"/>
      <c r="C37" s="587" t="s">
        <v>494</v>
      </c>
      <c r="D37" s="611" t="s">
        <v>495</v>
      </c>
      <c r="E37" s="611"/>
      <c r="G37" s="619">
        <f t="shared" ref="G37:P37" ca="1" si="93">IFERROR(INDEX(INDIRECT($C37&amp;".Outputs["&amp;this.Year&amp;"]"), MATCH(G$5, INDIRECT($C37&amp;".Outputs[Vector]"), 0)), 0)</f>
        <v>0</v>
      </c>
      <c r="H37" s="619">
        <f t="shared" ca="1" si="93"/>
        <v>0</v>
      </c>
      <c r="I37" s="619">
        <f t="shared" ca="1" si="93"/>
        <v>0</v>
      </c>
      <c r="J37" s="619">
        <f t="shared" ca="1" si="93"/>
        <v>0</v>
      </c>
      <c r="K37" s="619">
        <f t="shared" ca="1" si="93"/>
        <v>0</v>
      </c>
      <c r="L37" s="619">
        <f t="shared" ca="1" si="93"/>
        <v>0</v>
      </c>
      <c r="M37" s="619">
        <f t="shared" ca="1" si="93"/>
        <v>0</v>
      </c>
      <c r="N37" s="619">
        <f t="shared" ca="1" si="93"/>
        <v>0</v>
      </c>
      <c r="O37" s="619">
        <f t="shared" ca="1" si="93"/>
        <v>0</v>
      </c>
      <c r="P37" s="619">
        <f t="shared" ca="1" si="93"/>
        <v>0</v>
      </c>
      <c r="Q37" s="612">
        <f ca="1">SUM(G37:P37)</f>
        <v>0</v>
      </c>
      <c r="S37" s="620">
        <f t="shared" ref="S37:AJ37" ca="1" si="94">IFERROR(INDEX(INDIRECT($C37&amp;".Outputs["&amp;this.Year&amp;"]"), MATCH(S$5, INDIRECT($C37&amp;".Outputs[Vector]"), 0)), 0)</f>
        <v>0</v>
      </c>
      <c r="T37" s="620">
        <f t="shared" ca="1" si="94"/>
        <v>0</v>
      </c>
      <c r="U37" s="620">
        <f t="shared" ca="1" si="94"/>
        <v>0</v>
      </c>
      <c r="V37" s="620">
        <f t="shared" ca="1" si="94"/>
        <v>0</v>
      </c>
      <c r="W37" s="620">
        <f t="shared" ca="1" si="94"/>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4"/>
        <v>0</v>
      </c>
      <c r="AB37" s="620">
        <f t="shared" ca="1" si="94"/>
        <v>0</v>
      </c>
      <c r="AC37" s="620">
        <f t="shared" ca="1" si="94"/>
        <v>0</v>
      </c>
      <c r="AD37" s="620">
        <f t="shared" ca="1" si="94"/>
        <v>0</v>
      </c>
      <c r="AE37" s="620">
        <f t="shared" ca="1" si="94"/>
        <v>0</v>
      </c>
      <c r="AF37" s="620">
        <f t="shared" ca="1" si="94"/>
        <v>0</v>
      </c>
      <c r="AG37" s="620">
        <f t="shared" ca="1" si="94"/>
        <v>0</v>
      </c>
      <c r="AH37" s="620">
        <f t="shared" ca="1" si="94"/>
        <v>0</v>
      </c>
      <c r="AI37" s="620">
        <f t="shared" ca="1" si="94"/>
        <v>0</v>
      </c>
      <c r="AJ37" s="620">
        <f t="shared" ca="1" si="94"/>
        <v>0</v>
      </c>
      <c r="AK37" s="613">
        <f ca="1">SUM(S37:AJ37)</f>
        <v>0</v>
      </c>
      <c r="AM37" s="621">
        <f t="shared" ref="AM37:BE37" ca="1" si="95">IFERROR(INDEX(INDIRECT($C37&amp;".Outputs["&amp;this.Year&amp;"]"), MATCH(AM$5, INDIRECT($C37&amp;".Outputs[Vector]"), 0)), 0)</f>
        <v>0</v>
      </c>
      <c r="AN37" s="621">
        <f t="shared" ca="1" si="95"/>
        <v>0</v>
      </c>
      <c r="AO37" s="621">
        <f t="shared" ca="1" si="95"/>
        <v>0</v>
      </c>
      <c r="AP37" s="621">
        <f t="shared" ca="1" si="95"/>
        <v>0</v>
      </c>
      <c r="AQ37" s="621">
        <f t="shared" ca="1" si="95"/>
        <v>0</v>
      </c>
      <c r="AR37" s="621">
        <f t="shared" ca="1" si="95"/>
        <v>0</v>
      </c>
      <c r="AS37" s="621">
        <f t="shared" ca="1" si="95"/>
        <v>0</v>
      </c>
      <c r="AT37" s="621">
        <f t="shared" ca="1" si="95"/>
        <v>0</v>
      </c>
      <c r="AU37" s="621">
        <f t="shared" ca="1" si="95"/>
        <v>0</v>
      </c>
      <c r="AV37" s="621">
        <f t="shared" ca="1" si="95"/>
        <v>0</v>
      </c>
      <c r="AW37" s="621">
        <f t="shared" ca="1" si="95"/>
        <v>0</v>
      </c>
      <c r="AX37" s="621">
        <f t="shared" ca="1" si="95"/>
        <v>0</v>
      </c>
      <c r="AY37" s="621">
        <f t="shared" ca="1" si="95"/>
        <v>0</v>
      </c>
      <c r="AZ37" s="621">
        <f t="shared" ca="1" si="95"/>
        <v>0</v>
      </c>
      <c r="BA37" s="621">
        <f t="shared" ca="1" si="95"/>
        <v>0</v>
      </c>
      <c r="BB37" s="621">
        <f t="shared" ca="1" si="95"/>
        <v>0</v>
      </c>
      <c r="BC37" s="621">
        <f t="shared" ca="1" si="95"/>
        <v>0</v>
      </c>
      <c r="BD37" s="621">
        <f t="shared" ca="1" si="95"/>
        <v>0</v>
      </c>
      <c r="BE37" s="621">
        <f t="shared" ca="1" si="95"/>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9"/>
        <v>0</v>
      </c>
      <c r="BM37" s="610"/>
      <c r="BN37" s="413"/>
      <c r="BO37" s="2791">
        <f t="shared" ref="BO37:DF37" ca="1" si="96">IFERROR(SUMIFS(INDIRECT($C37&amp;".Emissions["&amp;this.Year&amp;"]"), INDIRECT($C37&amp;".Emissions[GHG]"), BO$6, INDIRECT($C37&amp;".Emissions[IPCC Sector]"), BO$5),0)</f>
        <v>0</v>
      </c>
      <c r="BP37" s="2792">
        <f t="shared" ca="1" si="96"/>
        <v>0</v>
      </c>
      <c r="BQ37" s="2792">
        <f t="shared" ca="1" si="96"/>
        <v>0</v>
      </c>
      <c r="BR37" s="2792">
        <f t="shared" ca="1" si="96"/>
        <v>0</v>
      </c>
      <c r="BS37" s="2792">
        <f t="shared" ca="1" si="96"/>
        <v>0</v>
      </c>
      <c r="BT37" s="2792">
        <f t="shared" ca="1" si="96"/>
        <v>0</v>
      </c>
      <c r="BU37" s="2792">
        <f t="shared" ca="1" si="96"/>
        <v>0</v>
      </c>
      <c r="BV37" s="2792">
        <f t="shared" ca="1" si="96"/>
        <v>0</v>
      </c>
      <c r="BW37" s="2792">
        <f t="shared" ca="1" si="96"/>
        <v>0</v>
      </c>
      <c r="BX37" s="2792">
        <f t="shared" ca="1" si="96"/>
        <v>0</v>
      </c>
      <c r="BY37" s="2792">
        <f t="shared" ca="1" si="96"/>
        <v>0</v>
      </c>
      <c r="BZ37" s="2792">
        <f t="shared" ca="1" si="96"/>
        <v>0</v>
      </c>
      <c r="CA37" s="2792">
        <f t="shared" ca="1" si="96"/>
        <v>0</v>
      </c>
      <c r="CB37" s="2792">
        <f t="shared" ca="1" si="96"/>
        <v>0</v>
      </c>
      <c r="CC37" s="2792">
        <f t="shared" ca="1" si="96"/>
        <v>0</v>
      </c>
      <c r="CD37" s="2792">
        <f t="shared" ca="1" si="96"/>
        <v>0</v>
      </c>
      <c r="CE37" s="2792">
        <f t="shared" ca="1" si="96"/>
        <v>0</v>
      </c>
      <c r="CF37" s="2792">
        <f t="shared" ca="1" si="96"/>
        <v>0</v>
      </c>
      <c r="CG37" s="2792">
        <f t="shared" ca="1" si="96"/>
        <v>0</v>
      </c>
      <c r="CH37" s="2792">
        <f t="shared" ca="1" si="96"/>
        <v>0</v>
      </c>
      <c r="CI37" s="2792">
        <f t="shared" ca="1" si="96"/>
        <v>0</v>
      </c>
      <c r="CJ37" s="2792">
        <f t="shared" ca="1" si="96"/>
        <v>0</v>
      </c>
      <c r="CK37" s="2792">
        <f t="shared" ca="1" si="96"/>
        <v>0</v>
      </c>
      <c r="CL37" s="2792">
        <f t="shared" ca="1" si="96"/>
        <v>0</v>
      </c>
      <c r="CM37" s="2792">
        <f t="shared" ca="1" si="96"/>
        <v>0</v>
      </c>
      <c r="CN37" s="2792">
        <f t="shared" ca="1" si="96"/>
        <v>0</v>
      </c>
      <c r="CO37" s="2792">
        <f t="shared" ca="1" si="96"/>
        <v>0</v>
      </c>
      <c r="CP37" s="2792">
        <f t="shared" ca="1" si="96"/>
        <v>0</v>
      </c>
      <c r="CQ37" s="2792">
        <f t="shared" ca="1" si="96"/>
        <v>0</v>
      </c>
      <c r="CR37" s="2792">
        <f t="shared" ca="1" si="96"/>
        <v>0</v>
      </c>
      <c r="CS37" s="2792">
        <f t="shared" ca="1" si="96"/>
        <v>0</v>
      </c>
      <c r="CT37" s="2792">
        <f t="shared" ca="1" si="96"/>
        <v>0</v>
      </c>
      <c r="CU37" s="2792">
        <f t="shared" ca="1" si="96"/>
        <v>0</v>
      </c>
      <c r="CV37" s="2792">
        <f t="shared" ca="1" si="96"/>
        <v>0</v>
      </c>
      <c r="CW37" s="2792">
        <f t="shared" ca="1" si="96"/>
        <v>0</v>
      </c>
      <c r="CX37" s="2792">
        <f t="shared" ca="1" si="96"/>
        <v>0</v>
      </c>
      <c r="CY37" s="2792">
        <f t="shared" ca="1" si="96"/>
        <v>0</v>
      </c>
      <c r="CZ37" s="2792">
        <f t="shared" ca="1" si="96"/>
        <v>0</v>
      </c>
      <c r="DA37" s="2792">
        <f t="shared" ca="1" si="96"/>
        <v>0</v>
      </c>
      <c r="DB37" s="2792">
        <f t="shared" ca="1" si="96"/>
        <v>0</v>
      </c>
      <c r="DC37" s="2792">
        <f t="shared" ca="1" si="96"/>
        <v>0</v>
      </c>
      <c r="DD37" s="2792">
        <f t="shared" ca="1" si="96"/>
        <v>0</v>
      </c>
      <c r="DE37" s="2792">
        <f t="shared" ca="1" si="96"/>
        <v>0</v>
      </c>
      <c r="DF37" s="2792">
        <f t="shared" ca="1" si="96"/>
        <v>0</v>
      </c>
      <c r="DH37" s="596">
        <f t="shared" ca="1" si="32"/>
        <v>0</v>
      </c>
    </row>
    <row r="38" spans="1:112" s="6" customFormat="1" ht="15.75">
      <c r="A38" s="4"/>
      <c r="B38" s="3"/>
      <c r="C38" s="616" t="s">
        <v>496</v>
      </c>
      <c r="D38" s="617" t="s">
        <v>495</v>
      </c>
      <c r="E38" s="206"/>
      <c r="G38" s="618">
        <f t="shared" ref="G38:P38" ca="1" si="97">G37</f>
        <v>0</v>
      </c>
      <c r="H38" s="618">
        <f t="shared" ca="1" si="97"/>
        <v>0</v>
      </c>
      <c r="I38" s="618">
        <f t="shared" ca="1" si="97"/>
        <v>0</v>
      </c>
      <c r="J38" s="618">
        <f t="shared" ca="1" si="97"/>
        <v>0</v>
      </c>
      <c r="K38" s="618">
        <f t="shared" ca="1" si="97"/>
        <v>0</v>
      </c>
      <c r="L38" s="618">
        <f t="shared" ca="1" si="97"/>
        <v>0</v>
      </c>
      <c r="M38" s="618">
        <f t="shared" ca="1" si="97"/>
        <v>0</v>
      </c>
      <c r="N38" s="618">
        <f t="shared" ca="1" si="97"/>
        <v>0</v>
      </c>
      <c r="O38" s="618">
        <f t="shared" ca="1" si="97"/>
        <v>0</v>
      </c>
      <c r="P38" s="618">
        <f t="shared" ca="1" si="97"/>
        <v>0</v>
      </c>
      <c r="Q38" s="618">
        <f ca="1">SUM(G38:P38)</f>
        <v>0</v>
      </c>
      <c r="S38" s="581">
        <f t="shared" ref="S38:AJ38" ca="1" si="98">S37</f>
        <v>0</v>
      </c>
      <c r="T38" s="581">
        <f t="shared" ca="1" si="98"/>
        <v>0</v>
      </c>
      <c r="U38" s="581">
        <f t="shared" ca="1" si="98"/>
        <v>0</v>
      </c>
      <c r="V38" s="581">
        <f t="shared" ca="1" si="98"/>
        <v>0</v>
      </c>
      <c r="W38" s="581">
        <f t="shared" ca="1" si="98"/>
        <v>0</v>
      </c>
      <c r="X38" s="581">
        <f ca="1">X37</f>
        <v>0</v>
      </c>
      <c r="Y38" s="581">
        <f ca="1">Y37</f>
        <v>0</v>
      </c>
      <c r="Z38" s="581">
        <f ca="1">Z37</f>
        <v>0</v>
      </c>
      <c r="AA38" s="581">
        <f t="shared" ca="1" si="98"/>
        <v>0</v>
      </c>
      <c r="AB38" s="581">
        <f t="shared" ca="1" si="98"/>
        <v>0</v>
      </c>
      <c r="AC38" s="581">
        <f t="shared" ca="1" si="98"/>
        <v>0</v>
      </c>
      <c r="AD38" s="581">
        <f ca="1">AD37</f>
        <v>0</v>
      </c>
      <c r="AE38" s="581">
        <f ca="1">AE37</f>
        <v>0</v>
      </c>
      <c r="AF38" s="581">
        <f t="shared" ca="1" si="98"/>
        <v>0</v>
      </c>
      <c r="AG38" s="581">
        <f ca="1">AG37</f>
        <v>0</v>
      </c>
      <c r="AH38" s="581">
        <f ca="1">AH37</f>
        <v>0</v>
      </c>
      <c r="AI38" s="581">
        <f ca="1">AI37</f>
        <v>0</v>
      </c>
      <c r="AJ38" s="581">
        <f t="shared" ca="1" si="98"/>
        <v>0</v>
      </c>
      <c r="AK38" s="581">
        <f ca="1">SUM(S38:AJ38)</f>
        <v>0</v>
      </c>
      <c r="AM38" s="582">
        <f t="shared" ref="AM38:BE38" ca="1" si="99">AM37</f>
        <v>0</v>
      </c>
      <c r="AN38" s="582">
        <f t="shared" ca="1" si="99"/>
        <v>0</v>
      </c>
      <c r="AO38" s="582">
        <f t="shared" ca="1" si="99"/>
        <v>0</v>
      </c>
      <c r="AP38" s="582">
        <f t="shared" ca="1" si="99"/>
        <v>0</v>
      </c>
      <c r="AQ38" s="582">
        <f t="shared" ca="1" si="99"/>
        <v>0</v>
      </c>
      <c r="AR38" s="582">
        <f t="shared" ca="1" si="99"/>
        <v>0</v>
      </c>
      <c r="AS38" s="582">
        <f t="shared" ca="1" si="99"/>
        <v>0</v>
      </c>
      <c r="AT38" s="582">
        <f t="shared" ca="1" si="99"/>
        <v>0</v>
      </c>
      <c r="AU38" s="582">
        <f t="shared" ca="1" si="99"/>
        <v>0</v>
      </c>
      <c r="AV38" s="582">
        <f t="shared" ca="1" si="99"/>
        <v>0</v>
      </c>
      <c r="AW38" s="582">
        <f t="shared" ca="1" si="99"/>
        <v>0</v>
      </c>
      <c r="AX38" s="582">
        <f t="shared" ca="1" si="99"/>
        <v>0</v>
      </c>
      <c r="AY38" s="582">
        <f t="shared" ca="1" si="99"/>
        <v>0</v>
      </c>
      <c r="AZ38" s="582">
        <f t="shared" ca="1" si="99"/>
        <v>0</v>
      </c>
      <c r="BA38" s="582">
        <f t="shared" ca="1" si="99"/>
        <v>0</v>
      </c>
      <c r="BB38" s="582">
        <f t="shared" ca="1" si="99"/>
        <v>0</v>
      </c>
      <c r="BC38" s="582">
        <f t="shared" ca="1" si="99"/>
        <v>0</v>
      </c>
      <c r="BD38" s="582">
        <f ca="1">BD37</f>
        <v>0</v>
      </c>
      <c r="BE38" s="582">
        <f t="shared" ca="1" si="99"/>
        <v>0</v>
      </c>
      <c r="BF38" s="582">
        <f ca="1">SUM(AM38:BE38)</f>
        <v>0</v>
      </c>
      <c r="BH38" s="3463">
        <f ca="1">BH37</f>
        <v>0</v>
      </c>
      <c r="BI38" s="3463">
        <f ca="1">BI37</f>
        <v>0</v>
      </c>
      <c r="BJ38" s="3463">
        <f ca="1">SUM(BH38:BI38)</f>
        <v>0</v>
      </c>
      <c r="BL38" s="3477">
        <f t="shared" ca="1" si="9"/>
        <v>0</v>
      </c>
      <c r="BM38" s="584"/>
      <c r="BN38" s="413"/>
      <c r="BO38" s="2790">
        <f t="shared" ref="BO38:DF38" ca="1" si="100">BO37</f>
        <v>0</v>
      </c>
      <c r="BP38" s="2790">
        <f t="shared" ca="1" si="100"/>
        <v>0</v>
      </c>
      <c r="BQ38" s="2790">
        <f t="shared" ca="1" si="100"/>
        <v>0</v>
      </c>
      <c r="BR38" s="2790">
        <f t="shared" ca="1" si="100"/>
        <v>0</v>
      </c>
      <c r="BS38" s="2790">
        <f t="shared" ca="1" si="100"/>
        <v>0</v>
      </c>
      <c r="BT38" s="2790">
        <f t="shared" ca="1" si="100"/>
        <v>0</v>
      </c>
      <c r="BU38" s="2790">
        <f t="shared" ca="1" si="100"/>
        <v>0</v>
      </c>
      <c r="BV38" s="2790">
        <f t="shared" ca="1" si="100"/>
        <v>0</v>
      </c>
      <c r="BW38" s="2790">
        <f t="shared" ca="1" si="100"/>
        <v>0</v>
      </c>
      <c r="BX38" s="2790">
        <f t="shared" ca="1" si="100"/>
        <v>0</v>
      </c>
      <c r="BY38" s="2790">
        <f t="shared" ca="1" si="100"/>
        <v>0</v>
      </c>
      <c r="BZ38" s="2790">
        <f t="shared" ca="1" si="100"/>
        <v>0</v>
      </c>
      <c r="CA38" s="2790">
        <f t="shared" ca="1" si="100"/>
        <v>0</v>
      </c>
      <c r="CB38" s="2790">
        <f t="shared" ca="1" si="100"/>
        <v>0</v>
      </c>
      <c r="CC38" s="2790">
        <f t="shared" ca="1" si="100"/>
        <v>0</v>
      </c>
      <c r="CD38" s="2790">
        <f t="shared" ca="1" si="100"/>
        <v>0</v>
      </c>
      <c r="CE38" s="2790">
        <f t="shared" ca="1" si="100"/>
        <v>0</v>
      </c>
      <c r="CF38" s="2790">
        <f t="shared" ca="1" si="100"/>
        <v>0</v>
      </c>
      <c r="CG38" s="2790">
        <f t="shared" ca="1" si="100"/>
        <v>0</v>
      </c>
      <c r="CH38" s="2790">
        <f t="shared" ca="1" si="100"/>
        <v>0</v>
      </c>
      <c r="CI38" s="2790">
        <f t="shared" ca="1" si="100"/>
        <v>0</v>
      </c>
      <c r="CJ38" s="2790">
        <f t="shared" ca="1" si="100"/>
        <v>0</v>
      </c>
      <c r="CK38" s="2790">
        <f t="shared" ca="1" si="100"/>
        <v>0</v>
      </c>
      <c r="CL38" s="2790">
        <f t="shared" ca="1" si="100"/>
        <v>0</v>
      </c>
      <c r="CM38" s="2790">
        <f t="shared" ca="1" si="100"/>
        <v>0</v>
      </c>
      <c r="CN38" s="2790">
        <f t="shared" ca="1" si="100"/>
        <v>0</v>
      </c>
      <c r="CO38" s="2790">
        <f t="shared" ca="1" si="100"/>
        <v>0</v>
      </c>
      <c r="CP38" s="2790">
        <f t="shared" ca="1" si="100"/>
        <v>0</v>
      </c>
      <c r="CQ38" s="2790">
        <f t="shared" ca="1" si="100"/>
        <v>0</v>
      </c>
      <c r="CR38" s="2790">
        <f t="shared" ca="1" si="100"/>
        <v>0</v>
      </c>
      <c r="CS38" s="2790">
        <f t="shared" ca="1" si="100"/>
        <v>0</v>
      </c>
      <c r="CT38" s="2790">
        <f t="shared" ca="1" si="100"/>
        <v>0</v>
      </c>
      <c r="CU38" s="2790">
        <f t="shared" ca="1" si="100"/>
        <v>0</v>
      </c>
      <c r="CV38" s="2790">
        <f t="shared" ca="1" si="100"/>
        <v>0</v>
      </c>
      <c r="CW38" s="2790">
        <f t="shared" ca="1" si="100"/>
        <v>0</v>
      </c>
      <c r="CX38" s="2790">
        <f t="shared" ca="1" si="100"/>
        <v>0</v>
      </c>
      <c r="CY38" s="2790">
        <f t="shared" ca="1" si="100"/>
        <v>0</v>
      </c>
      <c r="CZ38" s="2790">
        <f t="shared" ca="1" si="100"/>
        <v>0</v>
      </c>
      <c r="DA38" s="2790">
        <f t="shared" ca="1" si="100"/>
        <v>0</v>
      </c>
      <c r="DB38" s="2790">
        <f t="shared" ca="1" si="100"/>
        <v>0</v>
      </c>
      <c r="DC38" s="2790">
        <f t="shared" ca="1" si="100"/>
        <v>0</v>
      </c>
      <c r="DD38" s="2790">
        <f t="shared" ca="1" si="100"/>
        <v>0</v>
      </c>
      <c r="DE38" s="2790">
        <f t="shared" ca="1" si="100"/>
        <v>0</v>
      </c>
      <c r="DF38" s="2790">
        <f t="shared" ca="1" si="100"/>
        <v>0</v>
      </c>
      <c r="DH38" s="596">
        <f t="shared" ca="1" si="32"/>
        <v>0</v>
      </c>
    </row>
    <row r="39" spans="1:112" s="6" customForma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9"/>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1">G$15+G$19+G$22+G$32+G$35+G$38</f>
        <v>35.698527384815208</v>
      </c>
      <c r="H40" s="633">
        <f t="shared" ca="1" si="101"/>
        <v>10.07361540118259</v>
      </c>
      <c r="I40" s="633">
        <f t="shared" ca="1" si="101"/>
        <v>26.201485778348498</v>
      </c>
      <c r="J40" s="633">
        <f t="shared" ca="1" si="101"/>
        <v>37.89730059516333</v>
      </c>
      <c r="K40" s="633">
        <f t="shared" ca="1" si="101"/>
        <v>0.45199457636929957</v>
      </c>
      <c r="L40" s="633">
        <f t="shared" ca="1" si="101"/>
        <v>2.6979176745363341E-2</v>
      </c>
      <c r="M40" s="633">
        <f t="shared" ca="1" si="101"/>
        <v>0.66</v>
      </c>
      <c r="N40" s="633">
        <f t="shared" ca="1" si="101"/>
        <v>6.8942086199999997</v>
      </c>
      <c r="O40" s="633">
        <f t="shared" ca="1" si="101"/>
        <v>0</v>
      </c>
      <c r="P40" s="633">
        <f t="shared" ca="1" si="101"/>
        <v>0</v>
      </c>
      <c r="Q40" s="633">
        <f t="shared" ca="1" si="101"/>
        <v>117.90411153262428</v>
      </c>
      <c r="S40" s="634">
        <f t="shared" ref="S40:AJ40" ca="1" si="102">S$15+S$19+S$22+S$32+S$35+S$38</f>
        <v>-23.505050885601168</v>
      </c>
      <c r="T40" s="634">
        <f t="shared" ca="1" si="102"/>
        <v>0</v>
      </c>
      <c r="U40" s="634">
        <f t="shared" ca="1" si="102"/>
        <v>-3.7381440713810457</v>
      </c>
      <c r="V40" s="634">
        <f t="shared" ca="1" si="102"/>
        <v>-67.607187215600916</v>
      </c>
      <c r="W40" s="634">
        <f t="shared" ca="1" si="102"/>
        <v>-22.528036331795583</v>
      </c>
      <c r="X40" s="634">
        <f ca="1">X$15+X$19+X$22+X$32+X$35+X$38</f>
        <v>0</v>
      </c>
      <c r="Y40" s="634">
        <f ca="1">Y$15+Y$19+Y$22+Y$32+Y$35+Y$38</f>
        <v>0</v>
      </c>
      <c r="Z40" s="634">
        <f ca="1">Z$15+Z$19+Z$22+Z$32+Z$35+Z$38</f>
        <v>0</v>
      </c>
      <c r="AA40" s="634">
        <f t="shared" ca="1" si="102"/>
        <v>0</v>
      </c>
      <c r="AB40" s="634">
        <f t="shared" ca="1" si="102"/>
        <v>0</v>
      </c>
      <c r="AC40" s="634">
        <f t="shared" ca="1" si="102"/>
        <v>0</v>
      </c>
      <c r="AD40" s="634">
        <f t="shared" ca="1" si="102"/>
        <v>0</v>
      </c>
      <c r="AE40" s="634">
        <f t="shared" ca="1" si="102"/>
        <v>0</v>
      </c>
      <c r="AF40" s="634">
        <f t="shared" ca="1" si="102"/>
        <v>0</v>
      </c>
      <c r="AG40" s="634">
        <f t="shared" ca="1" si="102"/>
        <v>0</v>
      </c>
      <c r="AH40" s="634">
        <f t="shared" ca="1" si="102"/>
        <v>0</v>
      </c>
      <c r="AI40" s="634">
        <f t="shared" ca="1" si="102"/>
        <v>-0.29533988943004724</v>
      </c>
      <c r="AJ40" s="634">
        <f t="shared" ca="1" si="102"/>
        <v>-1.0526549418152516E-4</v>
      </c>
      <c r="AK40" s="634">
        <f ca="1">SUM(S40:AJ40)</f>
        <v>-117.67386365930295</v>
      </c>
      <c r="AM40" s="635">
        <f t="shared" ref="AM40:BE40" ca="1" si="103">AM$15+AM$19+AM$22+AM$32+AM$35+AM$38</f>
        <v>0</v>
      </c>
      <c r="AN40" s="635">
        <f t="shared" ca="1" si="103"/>
        <v>0</v>
      </c>
      <c r="AO40" s="635">
        <f t="shared" ca="1" si="103"/>
        <v>0</v>
      </c>
      <c r="AP40" s="635">
        <f t="shared" ca="1" si="103"/>
        <v>0</v>
      </c>
      <c r="AQ40" s="635">
        <f t="shared" ca="1" si="103"/>
        <v>0</v>
      </c>
      <c r="AR40" s="635">
        <f t="shared" ca="1" si="103"/>
        <v>0</v>
      </c>
      <c r="AS40" s="635">
        <f t="shared" ca="1" si="103"/>
        <v>0</v>
      </c>
      <c r="AT40" s="635">
        <f t="shared" ca="1" si="103"/>
        <v>0</v>
      </c>
      <c r="AU40" s="635">
        <f t="shared" ca="1" si="103"/>
        <v>0</v>
      </c>
      <c r="AV40" s="635">
        <f t="shared" ca="1" si="103"/>
        <v>0</v>
      </c>
      <c r="AW40" s="635">
        <f t="shared" ca="1" si="103"/>
        <v>0</v>
      </c>
      <c r="AX40" s="635">
        <f t="shared" ca="1" si="103"/>
        <v>0</v>
      </c>
      <c r="AY40" s="635">
        <f t="shared" ca="1" si="103"/>
        <v>0</v>
      </c>
      <c r="AZ40" s="635">
        <f t="shared" ca="1" si="103"/>
        <v>0</v>
      </c>
      <c r="BA40" s="635">
        <f t="shared" ca="1" si="103"/>
        <v>0</v>
      </c>
      <c r="BB40" s="635">
        <f t="shared" ca="1" si="103"/>
        <v>0</v>
      </c>
      <c r="BC40" s="635">
        <f t="shared" ca="1" si="103"/>
        <v>-0.23024787332134827</v>
      </c>
      <c r="BD40" s="635">
        <f t="shared" ca="1" si="103"/>
        <v>0</v>
      </c>
      <c r="BE40" s="635">
        <f t="shared" ca="1" si="103"/>
        <v>0</v>
      </c>
      <c r="BF40" s="635">
        <f ca="1">SUM(AM40:BE40)</f>
        <v>-0.23024787332134827</v>
      </c>
      <c r="BH40" s="3464">
        <f ca="1">BH$15+BH$19+BH$22+BH$32+BH$35+BH$38</f>
        <v>0</v>
      </c>
      <c r="BI40" s="3464">
        <f ca="1">BI$15+BI$19+BI$22+BI$32+BI$35+BI$38</f>
        <v>0</v>
      </c>
      <c r="BJ40" s="3464">
        <f ca="1">SUM(BH40:BI40)</f>
        <v>0</v>
      </c>
      <c r="BL40" s="3478">
        <f t="shared" ca="1" si="9"/>
        <v>-1.6264767310758543E-14</v>
      </c>
      <c r="BM40" s="636"/>
      <c r="BO40" s="2793">
        <f t="shared" ref="BO40:DF40" ca="1" si="104">BO$15+BO$19+BO$22+BO$32+BO$35+BO$38</f>
        <v>21.894988596221395</v>
      </c>
      <c r="BP40" s="2793">
        <f t="shared" ca="1" si="104"/>
        <v>1.5670645676423518E-2</v>
      </c>
      <c r="BQ40" s="2793">
        <f t="shared" ca="1" si="104"/>
        <v>0.11564903164366822</v>
      </c>
      <c r="BR40" s="2793">
        <f t="shared" ca="1" si="104"/>
        <v>0</v>
      </c>
      <c r="BS40" s="2793">
        <f t="shared" ca="1" si="104"/>
        <v>0</v>
      </c>
      <c r="BT40" s="2793">
        <f t="shared" ca="1" si="104"/>
        <v>0</v>
      </c>
      <c r="BU40" s="2793">
        <f t="shared" ca="1" si="104"/>
        <v>0</v>
      </c>
      <c r="BV40" s="2793">
        <f t="shared" ca="1" si="104"/>
        <v>0</v>
      </c>
      <c r="BW40" s="2793">
        <f t="shared" ca="1" si="104"/>
        <v>1.32136875</v>
      </c>
      <c r="BX40" s="2793">
        <f t="shared" ca="1" si="104"/>
        <v>0</v>
      </c>
      <c r="BY40" s="2793">
        <f t="shared" ca="1" si="104"/>
        <v>0</v>
      </c>
      <c r="BZ40" s="2793">
        <f t="shared" ca="1" si="104"/>
        <v>0.99607717549810115</v>
      </c>
      <c r="CA40" s="2793">
        <f t="shared" ca="1" si="104"/>
        <v>0</v>
      </c>
      <c r="CB40" s="2793">
        <f t="shared" ca="1" si="104"/>
        <v>0</v>
      </c>
      <c r="CC40" s="2793">
        <f t="shared" ca="1" si="104"/>
        <v>0</v>
      </c>
      <c r="CD40" s="2793">
        <f t="shared" ca="1" si="104"/>
        <v>0</v>
      </c>
      <c r="CE40" s="2793">
        <f t="shared" ca="1" si="104"/>
        <v>0</v>
      </c>
      <c r="CF40" s="2793">
        <f t="shared" ca="1" si="104"/>
        <v>0</v>
      </c>
      <c r="CG40" s="2793">
        <f t="shared" ca="1" si="104"/>
        <v>0</v>
      </c>
      <c r="CH40" s="2793">
        <f t="shared" ca="1" si="104"/>
        <v>0</v>
      </c>
      <c r="CI40" s="2793">
        <f t="shared" ca="1" si="104"/>
        <v>0</v>
      </c>
      <c r="CJ40" s="2793">
        <f t="shared" ca="1" si="104"/>
        <v>0</v>
      </c>
      <c r="CK40" s="2793">
        <f t="shared" ca="1" si="104"/>
        <v>0</v>
      </c>
      <c r="CL40" s="2793">
        <f t="shared" ca="1" si="104"/>
        <v>0</v>
      </c>
      <c r="CM40" s="2793">
        <f t="shared" ca="1" si="104"/>
        <v>0</v>
      </c>
      <c r="CN40" s="2793">
        <f t="shared" ca="1" si="104"/>
        <v>0</v>
      </c>
      <c r="CO40" s="2793">
        <f t="shared" ca="1" si="104"/>
        <v>0</v>
      </c>
      <c r="CP40" s="2793">
        <f t="shared" ca="1" si="104"/>
        <v>0</v>
      </c>
      <c r="CQ40" s="2793">
        <f t="shared" ca="1" si="104"/>
        <v>0</v>
      </c>
      <c r="CR40" s="2793">
        <f t="shared" ca="1" si="104"/>
        <v>0</v>
      </c>
      <c r="CS40" s="2793">
        <f t="shared" ca="1" si="104"/>
        <v>0</v>
      </c>
      <c r="CT40" s="2793">
        <f t="shared" ca="1" si="104"/>
        <v>0</v>
      </c>
      <c r="CU40" s="2793">
        <f t="shared" ca="1" si="104"/>
        <v>1.8192437706455995</v>
      </c>
      <c r="CV40" s="2793">
        <f t="shared" ca="1" si="104"/>
        <v>1.5636065150160001E-3</v>
      </c>
      <c r="CW40" s="2793">
        <f t="shared" ca="1" si="104"/>
        <v>4.6163620919519996E-3</v>
      </c>
      <c r="CX40" s="2793">
        <f t="shared" ca="1" si="104"/>
        <v>0</v>
      </c>
      <c r="CY40" s="2793">
        <f t="shared" ca="1" si="104"/>
        <v>0</v>
      </c>
      <c r="CZ40" s="2793">
        <f t="shared" ca="1" si="104"/>
        <v>0</v>
      </c>
      <c r="DA40" s="2793">
        <f t="shared" ca="1" si="104"/>
        <v>0</v>
      </c>
      <c r="DB40" s="2793">
        <f t="shared" ca="1" si="104"/>
        <v>0</v>
      </c>
      <c r="DC40" s="2793">
        <f t="shared" ca="1" si="104"/>
        <v>0</v>
      </c>
      <c r="DD40" s="2793">
        <f t="shared" ca="1" si="104"/>
        <v>0</v>
      </c>
      <c r="DE40" s="2793">
        <f t="shared" ca="1" si="104"/>
        <v>0</v>
      </c>
      <c r="DF40" s="2793">
        <f t="shared" ca="1" si="104"/>
        <v>0</v>
      </c>
      <c r="DH40" s="637">
        <f ca="1">SUM(BO40:DF40)</f>
        <v>26.169177938292155</v>
      </c>
    </row>
    <row r="41" spans="1:112" s="6" customForma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9"/>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15.75">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9"/>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9"/>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-1.0526549418152516E-4</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9"/>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c r="A45" s="4"/>
      <c r="B45" s="4"/>
      <c r="C45" s="587" t="s">
        <v>502</v>
      </c>
      <c r="D45" s="611" t="s">
        <v>503</v>
      </c>
      <c r="E45" s="650"/>
      <c r="G45" s="619">
        <f t="shared" ref="G45:P45" ca="1" si="105">IFERROR(INDEX(INDIRECT($C45&amp;".Outputs["&amp;this.Year&amp;"]"), MATCH(G$5, INDIRECT($C45&amp;".Outputs[Vector]"), 0)), 0)</f>
        <v>0</v>
      </c>
      <c r="H45" s="619">
        <f t="shared" ca="1" si="105"/>
        <v>0</v>
      </c>
      <c r="I45" s="619">
        <f t="shared" ca="1" si="105"/>
        <v>0</v>
      </c>
      <c r="J45" s="619">
        <f t="shared" ca="1" si="105"/>
        <v>0</v>
      </c>
      <c r="K45" s="619">
        <f t="shared" ca="1" si="105"/>
        <v>0</v>
      </c>
      <c r="L45" s="619">
        <f t="shared" ca="1" si="105"/>
        <v>0</v>
      </c>
      <c r="M45" s="619">
        <f t="shared" ca="1" si="105"/>
        <v>0</v>
      </c>
      <c r="N45" s="619">
        <f t="shared" ca="1" si="105"/>
        <v>0</v>
      </c>
      <c r="O45" s="619">
        <f t="shared" ca="1" si="105"/>
        <v>0</v>
      </c>
      <c r="P45" s="619">
        <f t="shared" ca="1" si="105"/>
        <v>0</v>
      </c>
      <c r="Q45" s="612">
        <f ca="1">SUM(G45:P45)</f>
        <v>0</v>
      </c>
      <c r="S45" s="620">
        <f t="shared" ref="S45:AJ45" ca="1" si="106">IFERROR(INDEX(INDIRECT($C45&amp;".Outputs["&amp;this.Year&amp;"]"), MATCH(S$5, INDIRECT($C45&amp;".Outputs[Vector]"), 0)), 0)</f>
        <v>-1.7733187096733852E-5</v>
      </c>
      <c r="T45" s="620">
        <f t="shared" ca="1" si="106"/>
        <v>0</v>
      </c>
      <c r="U45" s="620">
        <f t="shared" ca="1" si="106"/>
        <v>0</v>
      </c>
      <c r="V45" s="620">
        <f t="shared" ca="1" si="106"/>
        <v>0</v>
      </c>
      <c r="W45" s="620">
        <f t="shared" ca="1" si="106"/>
        <v>-1.3252100105734947E-4</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06"/>
        <v>0</v>
      </c>
      <c r="AB45" s="620">
        <f t="shared" ca="1" si="106"/>
        <v>0</v>
      </c>
      <c r="AC45" s="620">
        <f t="shared" ca="1" si="106"/>
        <v>0</v>
      </c>
      <c r="AD45" s="620">
        <f t="shared" ca="1" si="106"/>
        <v>0</v>
      </c>
      <c r="AE45" s="620">
        <f t="shared" ca="1" si="106"/>
        <v>0</v>
      </c>
      <c r="AF45" s="620">
        <f t="shared" ca="1" si="106"/>
        <v>0</v>
      </c>
      <c r="AG45" s="620">
        <f t="shared" ca="1" si="106"/>
        <v>0</v>
      </c>
      <c r="AH45" s="620">
        <f t="shared" ca="1" si="106"/>
        <v>0</v>
      </c>
      <c r="AI45" s="620">
        <f t="shared" ca="1" si="106"/>
        <v>0</v>
      </c>
      <c r="AJ45" s="620">
        <f t="shared" ca="1" si="106"/>
        <v>1.0526549418152516E-4</v>
      </c>
      <c r="AK45" s="613">
        <f ca="1">SUM(S45:AJ45)</f>
        <v>-4.4988693972558167E-5</v>
      </c>
      <c r="AM45" s="621">
        <f t="shared" ref="AM45:BE45" ca="1" si="107">IFERROR(INDEX(INDIRECT($C45&amp;".Outputs["&amp;this.Year&amp;"]"), MATCH(AM$5, INDIRECT($C45&amp;".Outputs[Vector]"), 0)), 0)</f>
        <v>0</v>
      </c>
      <c r="AN45" s="621">
        <f t="shared" ca="1" si="107"/>
        <v>0</v>
      </c>
      <c r="AO45" s="621">
        <f t="shared" ca="1" si="107"/>
        <v>0</v>
      </c>
      <c r="AP45" s="621">
        <f t="shared" ca="1" si="107"/>
        <v>0</v>
      </c>
      <c r="AQ45" s="621">
        <f t="shared" ca="1" si="107"/>
        <v>0</v>
      </c>
      <c r="AR45" s="621">
        <f t="shared" ca="1" si="107"/>
        <v>0</v>
      </c>
      <c r="AS45" s="621">
        <f t="shared" ca="1" si="107"/>
        <v>0</v>
      </c>
      <c r="AT45" s="621">
        <f t="shared" ca="1" si="107"/>
        <v>0</v>
      </c>
      <c r="AU45" s="621">
        <f t="shared" ca="1" si="107"/>
        <v>0</v>
      </c>
      <c r="AV45" s="621">
        <f t="shared" ca="1" si="107"/>
        <v>0</v>
      </c>
      <c r="AW45" s="621">
        <f t="shared" ca="1" si="107"/>
        <v>0</v>
      </c>
      <c r="AX45" s="621">
        <f t="shared" ca="1" si="107"/>
        <v>0</v>
      </c>
      <c r="AY45" s="621">
        <f t="shared" ca="1" si="107"/>
        <v>0</v>
      </c>
      <c r="AZ45" s="621">
        <f t="shared" ca="1" si="107"/>
        <v>0</v>
      </c>
      <c r="BA45" s="621">
        <f t="shared" ca="1" si="107"/>
        <v>0</v>
      </c>
      <c r="BB45" s="621">
        <f t="shared" ca="1" si="107"/>
        <v>0</v>
      </c>
      <c r="BC45" s="621">
        <f t="shared" ca="1" si="107"/>
        <v>0</v>
      </c>
      <c r="BD45" s="621">
        <f t="shared" ca="1" si="107"/>
        <v>0</v>
      </c>
      <c r="BE45" s="621">
        <f t="shared" ca="1" si="107"/>
        <v>0</v>
      </c>
      <c r="BF45" s="615">
        <f ca="1">SUM(AM45:BE45)</f>
        <v>0</v>
      </c>
      <c r="BH45" s="3473">
        <f ca="1">IFERROR(INDEX(INDIRECT($C45&amp;".Outputs["&amp;this.Year&amp;"]"), MATCH(BH$5, INDIRECT($C45&amp;".Outputs[Vector]"), 0)), 0)</f>
        <v>4.4988693972558154E-5</v>
      </c>
      <c r="BI45" s="3473">
        <f ca="1">IFERROR(INDEX(INDIRECT($C45&amp;".Outputs["&amp;this.Year&amp;"]"), MATCH(BI$5, INDIRECT($C45&amp;".Outputs[Vector]"), 0)), 0)</f>
        <v>0</v>
      </c>
      <c r="BJ45" s="3462">
        <f ca="1">SUM(BH45:BI45)</f>
        <v>4.4988693972558154E-5</v>
      </c>
      <c r="BL45" s="3477"/>
      <c r="BM45" s="584"/>
      <c r="BN45" s="413"/>
      <c r="BO45" s="2791">
        <f t="shared" ref="BO45:DF45" ca="1" si="108">IFERROR(SUMIFS(INDIRECT($C45&amp;".Emissions["&amp;this.Year&amp;"]"), INDIRECT($C45&amp;".Emissions[GHG]"), BO$6, INDIRECT($C45&amp;".Emissions[IPCC Sector]"), BO$5),0)</f>
        <v>2.712985836166185E-5</v>
      </c>
      <c r="BP45" s="2792">
        <f t="shared" ca="1" si="108"/>
        <v>1.001858767993562E-8</v>
      </c>
      <c r="BQ45" s="2792">
        <f t="shared" ca="1" si="108"/>
        <v>4.2889096782200581E-7</v>
      </c>
      <c r="BR45" s="2792">
        <f t="shared" ca="1" si="108"/>
        <v>0</v>
      </c>
      <c r="BS45" s="2792">
        <f t="shared" ca="1" si="108"/>
        <v>0</v>
      </c>
      <c r="BT45" s="2792">
        <f t="shared" ca="1" si="108"/>
        <v>0</v>
      </c>
      <c r="BU45" s="2792">
        <f t="shared" ca="1" si="108"/>
        <v>0</v>
      </c>
      <c r="BV45" s="2792">
        <f t="shared" ca="1" si="108"/>
        <v>0</v>
      </c>
      <c r="BW45" s="2792">
        <f t="shared" ca="1" si="108"/>
        <v>0</v>
      </c>
      <c r="BX45" s="2792">
        <f t="shared" ca="1" si="108"/>
        <v>0</v>
      </c>
      <c r="BY45" s="2792">
        <f t="shared" ca="1" si="108"/>
        <v>0</v>
      </c>
      <c r="BZ45" s="2792">
        <f t="shared" ca="1" si="108"/>
        <v>0</v>
      </c>
      <c r="CA45" s="2792">
        <f t="shared" ca="1" si="108"/>
        <v>0</v>
      </c>
      <c r="CB45" s="2792">
        <f t="shared" ca="1" si="108"/>
        <v>0</v>
      </c>
      <c r="CC45" s="2792">
        <f t="shared" ca="1" si="108"/>
        <v>0</v>
      </c>
      <c r="CD45" s="2792">
        <f t="shared" ca="1" si="108"/>
        <v>0</v>
      </c>
      <c r="CE45" s="2792">
        <f t="shared" ca="1" si="108"/>
        <v>0</v>
      </c>
      <c r="CF45" s="2792">
        <f t="shared" ca="1" si="108"/>
        <v>0</v>
      </c>
      <c r="CG45" s="2792">
        <f t="shared" ca="1" si="108"/>
        <v>0</v>
      </c>
      <c r="CH45" s="2792">
        <f t="shared" ca="1" si="108"/>
        <v>0</v>
      </c>
      <c r="CI45" s="2792">
        <f t="shared" ca="1" si="108"/>
        <v>0</v>
      </c>
      <c r="CJ45" s="2792">
        <f t="shared" ca="1" si="108"/>
        <v>0</v>
      </c>
      <c r="CK45" s="2792">
        <f t="shared" ca="1" si="108"/>
        <v>0</v>
      </c>
      <c r="CL45" s="2792">
        <f t="shared" ca="1" si="108"/>
        <v>0</v>
      </c>
      <c r="CM45" s="2792">
        <f t="shared" ca="1" si="108"/>
        <v>0</v>
      </c>
      <c r="CN45" s="2792">
        <f t="shared" ca="1" si="108"/>
        <v>0</v>
      </c>
      <c r="CO45" s="2792">
        <f t="shared" ca="1" si="108"/>
        <v>0</v>
      </c>
      <c r="CP45" s="2792">
        <f t="shared" ca="1" si="108"/>
        <v>0</v>
      </c>
      <c r="CQ45" s="2792">
        <f t="shared" ca="1" si="108"/>
        <v>0</v>
      </c>
      <c r="CR45" s="2792">
        <f t="shared" ca="1" si="108"/>
        <v>0</v>
      </c>
      <c r="CS45" s="2792">
        <f t="shared" ca="1" si="108"/>
        <v>0</v>
      </c>
      <c r="CT45" s="2792">
        <f t="shared" ca="1" si="108"/>
        <v>0</v>
      </c>
      <c r="CU45" s="2792">
        <f t="shared" ca="1" si="108"/>
        <v>0</v>
      </c>
      <c r="CV45" s="2792">
        <f t="shared" ca="1" si="108"/>
        <v>0</v>
      </c>
      <c r="CW45" s="2792">
        <f t="shared" ca="1" si="108"/>
        <v>0</v>
      </c>
      <c r="CX45" s="2792">
        <f t="shared" ca="1" si="108"/>
        <v>0</v>
      </c>
      <c r="CY45" s="2792">
        <f t="shared" ca="1" si="108"/>
        <v>0</v>
      </c>
      <c r="CZ45" s="2792">
        <f t="shared" ca="1" si="108"/>
        <v>0</v>
      </c>
      <c r="DA45" s="2792">
        <f t="shared" ca="1" si="108"/>
        <v>0</v>
      </c>
      <c r="DB45" s="2792">
        <f t="shared" ca="1" si="108"/>
        <v>0</v>
      </c>
      <c r="DC45" s="2792">
        <f t="shared" ca="1" si="108"/>
        <v>0</v>
      </c>
      <c r="DD45" s="2792">
        <f t="shared" ca="1" si="108"/>
        <v>0</v>
      </c>
      <c r="DE45" s="2792">
        <f t="shared" ca="1" si="108"/>
        <v>0</v>
      </c>
      <c r="DF45" s="2792">
        <f t="shared" ca="1" si="108"/>
        <v>0</v>
      </c>
      <c r="DH45" s="596"/>
    </row>
    <row r="46" spans="1:112" s="6" customFormat="1" ht="15.75">
      <c r="A46" s="4"/>
      <c r="B46" s="3"/>
      <c r="C46" s="616" t="s">
        <v>504</v>
      </c>
      <c r="D46" s="617" t="s">
        <v>505</v>
      </c>
      <c r="E46" s="206"/>
      <c r="G46" s="618">
        <f ca="1">G45</f>
        <v>0</v>
      </c>
      <c r="H46" s="618">
        <f t="shared" ref="H46:P46" ca="1" si="109">H45</f>
        <v>0</v>
      </c>
      <c r="I46" s="618">
        <f t="shared" ca="1" si="109"/>
        <v>0</v>
      </c>
      <c r="J46" s="618">
        <f t="shared" ca="1" si="109"/>
        <v>0</v>
      </c>
      <c r="K46" s="618">
        <f t="shared" ca="1" si="109"/>
        <v>0</v>
      </c>
      <c r="L46" s="618">
        <f t="shared" ca="1" si="109"/>
        <v>0</v>
      </c>
      <c r="M46" s="618">
        <f t="shared" ca="1" si="109"/>
        <v>0</v>
      </c>
      <c r="N46" s="618">
        <f t="shared" ca="1" si="109"/>
        <v>0</v>
      </c>
      <c r="O46" s="618">
        <f t="shared" ca="1" si="109"/>
        <v>0</v>
      </c>
      <c r="P46" s="618">
        <f t="shared" ca="1" si="109"/>
        <v>0</v>
      </c>
      <c r="Q46" s="618">
        <f ca="1">SUM(G46:P46)</f>
        <v>0</v>
      </c>
      <c r="S46" s="581">
        <f t="shared" ref="S46:AJ46" ca="1" si="110">S45</f>
        <v>-1.7733187096733852E-5</v>
      </c>
      <c r="T46" s="581">
        <f t="shared" ca="1" si="110"/>
        <v>0</v>
      </c>
      <c r="U46" s="581">
        <f t="shared" ca="1" si="110"/>
        <v>0</v>
      </c>
      <c r="V46" s="581">
        <f t="shared" ca="1" si="110"/>
        <v>0</v>
      </c>
      <c r="W46" s="581">
        <f t="shared" ca="1" si="110"/>
        <v>-1.3252100105734947E-4</v>
      </c>
      <c r="X46" s="581">
        <f t="shared" ca="1" si="110"/>
        <v>0</v>
      </c>
      <c r="Y46" s="581">
        <f t="shared" ca="1" si="110"/>
        <v>0</v>
      </c>
      <c r="Z46" s="581">
        <f t="shared" ca="1" si="110"/>
        <v>0</v>
      </c>
      <c r="AA46" s="581">
        <f t="shared" ca="1" si="110"/>
        <v>0</v>
      </c>
      <c r="AB46" s="581">
        <f t="shared" ca="1" si="110"/>
        <v>0</v>
      </c>
      <c r="AC46" s="581">
        <f t="shared" ca="1" si="110"/>
        <v>0</v>
      </c>
      <c r="AD46" s="581">
        <f t="shared" ca="1" si="110"/>
        <v>0</v>
      </c>
      <c r="AE46" s="581">
        <f ca="1">AE45</f>
        <v>0</v>
      </c>
      <c r="AF46" s="581">
        <f t="shared" ca="1" si="110"/>
        <v>0</v>
      </c>
      <c r="AG46" s="581">
        <f t="shared" ca="1" si="110"/>
        <v>0</v>
      </c>
      <c r="AH46" s="581">
        <f ca="1">AH45</f>
        <v>0</v>
      </c>
      <c r="AI46" s="581">
        <f t="shared" ca="1" si="110"/>
        <v>0</v>
      </c>
      <c r="AJ46" s="581">
        <f t="shared" ca="1" si="110"/>
        <v>1.0526549418152516E-4</v>
      </c>
      <c r="AK46" s="581">
        <f ca="1">SUM(S46:AJ46)</f>
        <v>-4.4988693972558167E-5</v>
      </c>
      <c r="AM46" s="582">
        <f t="shared" ref="AM46:BE46" ca="1" si="111">AM45</f>
        <v>0</v>
      </c>
      <c r="AN46" s="582">
        <f t="shared" ca="1" si="111"/>
        <v>0</v>
      </c>
      <c r="AO46" s="582">
        <f t="shared" ca="1" si="111"/>
        <v>0</v>
      </c>
      <c r="AP46" s="582">
        <f t="shared" ca="1" si="111"/>
        <v>0</v>
      </c>
      <c r="AQ46" s="582">
        <f t="shared" ca="1" si="111"/>
        <v>0</v>
      </c>
      <c r="AR46" s="582">
        <f t="shared" ca="1" si="111"/>
        <v>0</v>
      </c>
      <c r="AS46" s="582">
        <f t="shared" ca="1" si="111"/>
        <v>0</v>
      </c>
      <c r="AT46" s="582">
        <f t="shared" ca="1" si="111"/>
        <v>0</v>
      </c>
      <c r="AU46" s="582">
        <f t="shared" ca="1" si="111"/>
        <v>0</v>
      </c>
      <c r="AV46" s="582">
        <f t="shared" ca="1" si="111"/>
        <v>0</v>
      </c>
      <c r="AW46" s="582">
        <f t="shared" ca="1" si="111"/>
        <v>0</v>
      </c>
      <c r="AX46" s="582">
        <f t="shared" ca="1" si="111"/>
        <v>0</v>
      </c>
      <c r="AY46" s="582">
        <f t="shared" ca="1" si="111"/>
        <v>0</v>
      </c>
      <c r="AZ46" s="582">
        <f t="shared" ca="1" si="111"/>
        <v>0</v>
      </c>
      <c r="BA46" s="582">
        <f t="shared" ca="1" si="111"/>
        <v>0</v>
      </c>
      <c r="BB46" s="582">
        <f t="shared" ca="1" si="111"/>
        <v>0</v>
      </c>
      <c r="BC46" s="582">
        <f t="shared" ca="1" si="111"/>
        <v>0</v>
      </c>
      <c r="BD46" s="582">
        <f t="shared" ca="1" si="111"/>
        <v>0</v>
      </c>
      <c r="BE46" s="582">
        <f t="shared" ca="1" si="111"/>
        <v>0</v>
      </c>
      <c r="BF46" s="582">
        <f ca="1">SUM(AM46:BE46)</f>
        <v>0</v>
      </c>
      <c r="BH46" s="3463">
        <f ca="1">BH45</f>
        <v>4.4988693972558154E-5</v>
      </c>
      <c r="BI46" s="3463">
        <f ca="1">BI45</f>
        <v>0</v>
      </c>
      <c r="BJ46" s="3463">
        <f ca="1">SUM(BH46:BI46)</f>
        <v>4.4988693972558154E-5</v>
      </c>
      <c r="BL46" s="3477">
        <f ca="1">Q46+AK46+BF46+BJ46</f>
        <v>0</v>
      </c>
      <c r="BM46" s="584"/>
      <c r="BN46" s="413"/>
      <c r="BO46" s="2790">
        <f t="shared" ref="BO46:DF46" ca="1" si="112">BO45</f>
        <v>2.712985836166185E-5</v>
      </c>
      <c r="BP46" s="2790">
        <f t="shared" ca="1" si="112"/>
        <v>1.001858767993562E-8</v>
      </c>
      <c r="BQ46" s="2790">
        <f t="shared" ca="1" si="112"/>
        <v>4.2889096782200581E-7</v>
      </c>
      <c r="BR46" s="2790">
        <f t="shared" ca="1" si="112"/>
        <v>0</v>
      </c>
      <c r="BS46" s="2790">
        <f t="shared" ca="1" si="112"/>
        <v>0</v>
      </c>
      <c r="BT46" s="2790">
        <f t="shared" ca="1" si="112"/>
        <v>0</v>
      </c>
      <c r="BU46" s="2790">
        <f t="shared" ca="1" si="112"/>
        <v>0</v>
      </c>
      <c r="BV46" s="2790">
        <f t="shared" ca="1" si="112"/>
        <v>0</v>
      </c>
      <c r="BW46" s="2790">
        <f t="shared" ca="1" si="112"/>
        <v>0</v>
      </c>
      <c r="BX46" s="2790">
        <f t="shared" ca="1" si="112"/>
        <v>0</v>
      </c>
      <c r="BY46" s="2790">
        <f t="shared" ca="1" si="112"/>
        <v>0</v>
      </c>
      <c r="BZ46" s="2790">
        <f t="shared" ca="1" si="112"/>
        <v>0</v>
      </c>
      <c r="CA46" s="2790">
        <f t="shared" ca="1" si="112"/>
        <v>0</v>
      </c>
      <c r="CB46" s="2790">
        <f t="shared" ca="1" si="112"/>
        <v>0</v>
      </c>
      <c r="CC46" s="2790">
        <f t="shared" ca="1" si="112"/>
        <v>0</v>
      </c>
      <c r="CD46" s="2790">
        <f t="shared" ca="1" si="112"/>
        <v>0</v>
      </c>
      <c r="CE46" s="2790">
        <f t="shared" ca="1" si="112"/>
        <v>0</v>
      </c>
      <c r="CF46" s="2790">
        <f t="shared" ca="1" si="112"/>
        <v>0</v>
      </c>
      <c r="CG46" s="2790">
        <f t="shared" ca="1" si="112"/>
        <v>0</v>
      </c>
      <c r="CH46" s="2790">
        <f t="shared" ca="1" si="112"/>
        <v>0</v>
      </c>
      <c r="CI46" s="2790">
        <f t="shared" ca="1" si="112"/>
        <v>0</v>
      </c>
      <c r="CJ46" s="2790">
        <f t="shared" ca="1" si="112"/>
        <v>0</v>
      </c>
      <c r="CK46" s="2790">
        <f t="shared" ca="1" si="112"/>
        <v>0</v>
      </c>
      <c r="CL46" s="2790">
        <f t="shared" ca="1" si="112"/>
        <v>0</v>
      </c>
      <c r="CM46" s="2790">
        <f t="shared" ca="1" si="112"/>
        <v>0</v>
      </c>
      <c r="CN46" s="2790">
        <f t="shared" ca="1" si="112"/>
        <v>0</v>
      </c>
      <c r="CO46" s="2790">
        <f t="shared" ca="1" si="112"/>
        <v>0</v>
      </c>
      <c r="CP46" s="2790">
        <f t="shared" ca="1" si="112"/>
        <v>0</v>
      </c>
      <c r="CQ46" s="2790">
        <f t="shared" ca="1" si="112"/>
        <v>0</v>
      </c>
      <c r="CR46" s="2790">
        <f t="shared" ca="1" si="112"/>
        <v>0</v>
      </c>
      <c r="CS46" s="2790">
        <f t="shared" ca="1" si="112"/>
        <v>0</v>
      </c>
      <c r="CT46" s="2790">
        <f t="shared" ca="1" si="112"/>
        <v>0</v>
      </c>
      <c r="CU46" s="2790">
        <f t="shared" ca="1" si="112"/>
        <v>0</v>
      </c>
      <c r="CV46" s="2790">
        <f t="shared" ca="1" si="112"/>
        <v>0</v>
      </c>
      <c r="CW46" s="2790">
        <f t="shared" ca="1" si="112"/>
        <v>0</v>
      </c>
      <c r="CX46" s="2790">
        <f t="shared" ca="1" si="112"/>
        <v>0</v>
      </c>
      <c r="CY46" s="2790">
        <f t="shared" ca="1" si="112"/>
        <v>0</v>
      </c>
      <c r="CZ46" s="2790">
        <f t="shared" ca="1" si="112"/>
        <v>0</v>
      </c>
      <c r="DA46" s="2790">
        <f t="shared" ca="1" si="112"/>
        <v>0</v>
      </c>
      <c r="DB46" s="2790">
        <f t="shared" ca="1" si="112"/>
        <v>0</v>
      </c>
      <c r="DC46" s="2790">
        <f t="shared" ca="1" si="112"/>
        <v>0</v>
      </c>
      <c r="DD46" s="2790">
        <f t="shared" ca="1" si="112"/>
        <v>0</v>
      </c>
      <c r="DE46" s="2790">
        <f t="shared" ca="1" si="112"/>
        <v>0</v>
      </c>
      <c r="DF46" s="2790">
        <f t="shared" ca="1" si="112"/>
        <v>0</v>
      </c>
      <c r="DH46" s="596">
        <f t="shared" ref="DH46:DH82" ca="1" si="113">SUM(BO46:DF46)</f>
        <v>2.7568767917163791E-5</v>
      </c>
    </row>
    <row r="47" spans="1:112" s="6" customFormat="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13"/>
        <v>0</v>
      </c>
    </row>
    <row r="48" spans="1:112" s="6" customFormat="1">
      <c r="A48" s="607"/>
      <c r="B48" s="607"/>
      <c r="C48" s="587" t="s">
        <v>506</v>
      </c>
      <c r="D48" s="588" t="s">
        <v>507</v>
      </c>
      <c r="E48" s="588"/>
      <c r="G48" s="589">
        <f t="shared" ref="G48:P50" ca="1" si="114">IFERROR(INDEX(INDIRECT($C48&amp;".Outputs["&amp;this.Year&amp;"]"), MATCH(G$5, INDIRECT($C48&amp;".Outputs[Vector]"), 0)), 0)</f>
        <v>0</v>
      </c>
      <c r="H48" s="589">
        <f t="shared" ca="1" si="114"/>
        <v>0</v>
      </c>
      <c r="I48" s="589">
        <f t="shared" ca="1" si="114"/>
        <v>0</v>
      </c>
      <c r="J48" s="589">
        <f t="shared" ca="1" si="114"/>
        <v>0</v>
      </c>
      <c r="K48" s="589">
        <f t="shared" ca="1" si="114"/>
        <v>0</v>
      </c>
      <c r="L48" s="589">
        <f t="shared" ca="1" si="114"/>
        <v>0</v>
      </c>
      <c r="M48" s="589">
        <f t="shared" ca="1" si="114"/>
        <v>0</v>
      </c>
      <c r="N48" s="589">
        <f t="shared" ca="1" si="114"/>
        <v>0</v>
      </c>
      <c r="O48" s="589">
        <f t="shared" ca="1" si="114"/>
        <v>0</v>
      </c>
      <c r="P48" s="589">
        <f t="shared" ca="1" si="114"/>
        <v>0</v>
      </c>
      <c r="Q48" s="590">
        <f ca="1">SUM(G48:P48)</f>
        <v>0</v>
      </c>
      <c r="S48" s="591">
        <f t="shared" ref="S48:AJ50" ca="1" si="115">IFERROR(INDEX(INDIRECT($C48&amp;".Outputs["&amp;this.Year&amp;"]"), MATCH(S$5, INDIRECT($C48&amp;".Outputs[Vector]"), 0)), 0)</f>
        <v>0</v>
      </c>
      <c r="T48" s="591">
        <f t="shared" ca="1" si="115"/>
        <v>0</v>
      </c>
      <c r="U48" s="591">
        <f t="shared" ca="1" si="115"/>
        <v>0</v>
      </c>
      <c r="V48" s="591">
        <f t="shared" ca="1" si="115"/>
        <v>0</v>
      </c>
      <c r="W48" s="591">
        <f t="shared" ca="1" si="115"/>
        <v>0</v>
      </c>
      <c r="X48" s="591">
        <f t="shared" ca="1" si="115"/>
        <v>0</v>
      </c>
      <c r="Y48" s="591">
        <f t="shared" ca="1" si="115"/>
        <v>0</v>
      </c>
      <c r="Z48" s="591">
        <f t="shared" ca="1" si="115"/>
        <v>0</v>
      </c>
      <c r="AA48" s="591">
        <f t="shared" ca="1" si="115"/>
        <v>0</v>
      </c>
      <c r="AB48" s="591">
        <f t="shared" ca="1" si="115"/>
        <v>0</v>
      </c>
      <c r="AC48" s="591">
        <f t="shared" ca="1" si="115"/>
        <v>0</v>
      </c>
      <c r="AD48" s="591">
        <f t="shared" ca="1" si="115"/>
        <v>0</v>
      </c>
      <c r="AE48" s="591">
        <f t="shared" ca="1" si="115"/>
        <v>0</v>
      </c>
      <c r="AF48" s="591">
        <f t="shared" ca="1" si="115"/>
        <v>0</v>
      </c>
      <c r="AG48" s="591">
        <f t="shared" ca="1" si="115"/>
        <v>0</v>
      </c>
      <c r="AH48" s="591">
        <f t="shared" ca="1" si="115"/>
        <v>0</v>
      </c>
      <c r="AI48" s="591">
        <f t="shared" ca="1" si="115"/>
        <v>0</v>
      </c>
      <c r="AJ48" s="591">
        <f t="shared" ca="1" si="115"/>
        <v>0</v>
      </c>
      <c r="AK48" s="592">
        <f ca="1">SUM(S48:AJ48)</f>
        <v>0</v>
      </c>
      <c r="AM48" s="593">
        <f t="shared" ref="AM48:BB50" ca="1" si="116">IFERROR(INDEX(INDIRECT($C48&amp;".Outputs["&amp;this.Year&amp;"]"), MATCH(AM$5, INDIRECT($C48&amp;".Outputs[Vector]"), 0)), 0)</f>
        <v>0</v>
      </c>
      <c r="AN48" s="593">
        <f t="shared" ca="1" si="116"/>
        <v>0</v>
      </c>
      <c r="AO48" s="593">
        <f t="shared" ca="1" si="116"/>
        <v>0</v>
      </c>
      <c r="AP48" s="593">
        <f t="shared" ca="1" si="116"/>
        <v>0</v>
      </c>
      <c r="AQ48" s="593">
        <f t="shared" ca="1" si="116"/>
        <v>0</v>
      </c>
      <c r="AR48" s="593">
        <f t="shared" ca="1" si="116"/>
        <v>0</v>
      </c>
      <c r="AS48" s="593">
        <f t="shared" ca="1" si="116"/>
        <v>0</v>
      </c>
      <c r="AT48" s="593">
        <f t="shared" ca="1" si="116"/>
        <v>0</v>
      </c>
      <c r="AU48" s="593">
        <f t="shared" ca="1" si="116"/>
        <v>0</v>
      </c>
      <c r="AV48" s="593">
        <f t="shared" ca="1" si="116"/>
        <v>0</v>
      </c>
      <c r="AW48" s="593">
        <f t="shared" ca="1" si="116"/>
        <v>0</v>
      </c>
      <c r="AX48" s="593">
        <f t="shared" ca="1" si="116"/>
        <v>0</v>
      </c>
      <c r="AY48" s="593">
        <f t="shared" ca="1" si="116"/>
        <v>0</v>
      </c>
      <c r="AZ48" s="593">
        <f t="shared" ca="1" si="116"/>
        <v>0</v>
      </c>
      <c r="BA48" s="593">
        <f t="shared" ca="1" si="116"/>
        <v>0</v>
      </c>
      <c r="BB48" s="593">
        <f t="shared" ca="1" si="116"/>
        <v>0</v>
      </c>
      <c r="BC48" s="593">
        <f t="shared" ref="BC48:BE50" ca="1" si="117">IFERROR(INDEX(INDIRECT($C48&amp;".Outputs["&amp;this.Year&amp;"]"), MATCH(BC$5, INDIRECT($C48&amp;".Outputs[Vector]"), 0)), 0)</f>
        <v>0</v>
      </c>
      <c r="BD48" s="593">
        <f t="shared" ca="1" si="117"/>
        <v>0</v>
      </c>
      <c r="BE48" s="593">
        <f t="shared" ca="1" si="117"/>
        <v>0</v>
      </c>
      <c r="BF48" s="609">
        <f ca="1">SUM(AM48:BE48)</f>
        <v>0</v>
      </c>
      <c r="BH48" s="3471">
        <f t="shared" ref="BH48:BI50" ca="1" si="118">IFERROR(INDEX(INDIRECT($C48&amp;".Outputs["&amp;this.Year&amp;"]"), MATCH(BH$5, INDIRECT($C48&amp;".Outputs[Vector]"), 0)), 0)</f>
        <v>0</v>
      </c>
      <c r="BI48" s="3471">
        <f t="shared" ca="1" si="118"/>
        <v>0</v>
      </c>
      <c r="BJ48" s="3460">
        <f ca="1">SUM(BH48:BI48)</f>
        <v>0</v>
      </c>
      <c r="BL48" s="610"/>
      <c r="BM48" s="610"/>
      <c r="BN48" s="413"/>
      <c r="BO48" s="2789">
        <f t="shared" ref="BO48:BX50" ca="1" si="119">IFERROR(SUMIFS(INDIRECT($C48&amp;".Emissions["&amp;this.Year&amp;"]"), INDIRECT($C48&amp;".Emissions[GHG]"), BO$6, INDIRECT($C48&amp;".Emissions[IPCC Sector]"), BO$5),0)</f>
        <v>0</v>
      </c>
      <c r="BP48" s="2790">
        <f t="shared" ca="1" si="119"/>
        <v>0</v>
      </c>
      <c r="BQ48" s="2790">
        <f t="shared" ca="1" si="119"/>
        <v>0</v>
      </c>
      <c r="BR48" s="2790">
        <f t="shared" ca="1" si="119"/>
        <v>0</v>
      </c>
      <c r="BS48" s="2790">
        <f t="shared" ca="1" si="119"/>
        <v>0</v>
      </c>
      <c r="BT48" s="2790">
        <f t="shared" ca="1" si="119"/>
        <v>0</v>
      </c>
      <c r="BU48" s="2790">
        <f t="shared" ca="1" si="119"/>
        <v>0</v>
      </c>
      <c r="BV48" s="2790">
        <f t="shared" ca="1" si="119"/>
        <v>0</v>
      </c>
      <c r="BW48" s="2790">
        <f t="shared" ca="1" si="119"/>
        <v>0</v>
      </c>
      <c r="BX48" s="2790">
        <f t="shared" ca="1" si="119"/>
        <v>0</v>
      </c>
      <c r="BY48" s="2790">
        <f t="shared" ref="BY48:CH50" ca="1" si="120">IFERROR(SUMIFS(INDIRECT($C48&amp;".Emissions["&amp;this.Year&amp;"]"), INDIRECT($C48&amp;".Emissions[GHG]"), BY$6, INDIRECT($C48&amp;".Emissions[IPCC Sector]"), BY$5),0)</f>
        <v>0</v>
      </c>
      <c r="BZ48" s="2790">
        <f t="shared" ca="1" si="120"/>
        <v>0</v>
      </c>
      <c r="CA48" s="2790">
        <f t="shared" ca="1" si="120"/>
        <v>0</v>
      </c>
      <c r="CB48" s="2790">
        <f t="shared" ca="1" si="120"/>
        <v>0</v>
      </c>
      <c r="CC48" s="2790">
        <f t="shared" ca="1" si="120"/>
        <v>0</v>
      </c>
      <c r="CD48" s="2790">
        <f t="shared" ca="1" si="120"/>
        <v>0</v>
      </c>
      <c r="CE48" s="2790">
        <f t="shared" ca="1" si="120"/>
        <v>0</v>
      </c>
      <c r="CF48" s="2790">
        <f t="shared" ca="1" si="120"/>
        <v>0</v>
      </c>
      <c r="CG48" s="2790">
        <f t="shared" ca="1" si="120"/>
        <v>0</v>
      </c>
      <c r="CH48" s="2790">
        <f t="shared" ca="1" si="120"/>
        <v>0</v>
      </c>
      <c r="CI48" s="2790">
        <f t="shared" ref="CI48:CR50" ca="1" si="121">IFERROR(SUMIFS(INDIRECT($C48&amp;".Emissions["&amp;this.Year&amp;"]"), INDIRECT($C48&amp;".Emissions[GHG]"), CI$6, INDIRECT($C48&amp;".Emissions[IPCC Sector]"), CI$5),0)</f>
        <v>0</v>
      </c>
      <c r="CJ48" s="2790">
        <f t="shared" ca="1" si="121"/>
        <v>0</v>
      </c>
      <c r="CK48" s="2790">
        <f t="shared" ca="1" si="121"/>
        <v>0</v>
      </c>
      <c r="CL48" s="2790">
        <f t="shared" ca="1" si="121"/>
        <v>0</v>
      </c>
      <c r="CM48" s="2790">
        <f t="shared" ca="1" si="121"/>
        <v>0</v>
      </c>
      <c r="CN48" s="2790">
        <f t="shared" ca="1" si="121"/>
        <v>0</v>
      </c>
      <c r="CO48" s="2790">
        <f t="shared" ca="1" si="121"/>
        <v>0</v>
      </c>
      <c r="CP48" s="2790">
        <f t="shared" ca="1" si="121"/>
        <v>0</v>
      </c>
      <c r="CQ48" s="2790">
        <f t="shared" ca="1" si="121"/>
        <v>0</v>
      </c>
      <c r="CR48" s="2790">
        <f t="shared" ca="1" si="121"/>
        <v>0</v>
      </c>
      <c r="CS48" s="2790">
        <f t="shared" ref="CS48:DF50" ca="1" si="122">IFERROR(SUMIFS(INDIRECT($C48&amp;".Emissions["&amp;this.Year&amp;"]"), INDIRECT($C48&amp;".Emissions[GHG]"), CS$6, INDIRECT($C48&amp;".Emissions[IPCC Sector]"), CS$5),0)</f>
        <v>0</v>
      </c>
      <c r="CT48" s="2790">
        <f t="shared" ca="1" si="122"/>
        <v>0</v>
      </c>
      <c r="CU48" s="2790">
        <f t="shared" ca="1" si="122"/>
        <v>0</v>
      </c>
      <c r="CV48" s="2790">
        <f t="shared" ca="1" si="122"/>
        <v>0</v>
      </c>
      <c r="CW48" s="2790">
        <f t="shared" ca="1" si="122"/>
        <v>0</v>
      </c>
      <c r="CX48" s="2790">
        <f t="shared" ca="1" si="122"/>
        <v>0</v>
      </c>
      <c r="CY48" s="2790">
        <f t="shared" ca="1" si="122"/>
        <v>0</v>
      </c>
      <c r="CZ48" s="2790">
        <f t="shared" ca="1" si="122"/>
        <v>0</v>
      </c>
      <c r="DA48" s="2790">
        <f t="shared" ca="1" si="122"/>
        <v>0</v>
      </c>
      <c r="DB48" s="2790">
        <f t="shared" ca="1" si="122"/>
        <v>0</v>
      </c>
      <c r="DC48" s="2790">
        <f t="shared" ca="1" si="122"/>
        <v>0</v>
      </c>
      <c r="DD48" s="2790">
        <f t="shared" ca="1" si="122"/>
        <v>0</v>
      </c>
      <c r="DE48" s="2790">
        <f t="shared" ca="1" si="122"/>
        <v>0</v>
      </c>
      <c r="DF48" s="2790">
        <f t="shared" ca="1" si="122"/>
        <v>0</v>
      </c>
      <c r="DH48" s="596">
        <f ca="1">SUM(BO48:DF48)</f>
        <v>0</v>
      </c>
    </row>
    <row r="49" spans="1:112" s="6" customFormat="1">
      <c r="A49" s="607"/>
      <c r="B49" s="607"/>
      <c r="C49" s="587" t="s">
        <v>508</v>
      </c>
      <c r="D49" s="588" t="s">
        <v>509</v>
      </c>
      <c r="E49" s="588"/>
      <c r="G49" s="589">
        <f t="shared" ca="1" si="114"/>
        <v>0</v>
      </c>
      <c r="H49" s="589">
        <f t="shared" ca="1" si="114"/>
        <v>0</v>
      </c>
      <c r="I49" s="589">
        <f t="shared" ca="1" si="114"/>
        <v>0</v>
      </c>
      <c r="J49" s="589">
        <f t="shared" ca="1" si="114"/>
        <v>0</v>
      </c>
      <c r="K49" s="589">
        <f t="shared" ca="1" si="114"/>
        <v>0</v>
      </c>
      <c r="L49" s="589">
        <f t="shared" ca="1" si="114"/>
        <v>0</v>
      </c>
      <c r="M49" s="589">
        <f t="shared" ca="1" si="114"/>
        <v>0</v>
      </c>
      <c r="N49" s="589">
        <f t="shared" ca="1" si="114"/>
        <v>0</v>
      </c>
      <c r="O49" s="589">
        <f t="shared" ca="1" si="114"/>
        <v>0</v>
      </c>
      <c r="P49" s="589">
        <f t="shared" ca="1" si="114"/>
        <v>0</v>
      </c>
      <c r="Q49" s="590">
        <f ca="1">SUM(G49:P49)</f>
        <v>0</v>
      </c>
      <c r="S49" s="591">
        <f t="shared" ca="1" si="115"/>
        <v>0</v>
      </c>
      <c r="T49" s="591">
        <f t="shared" ca="1" si="115"/>
        <v>0</v>
      </c>
      <c r="U49" s="591">
        <f t="shared" ca="1" si="115"/>
        <v>0</v>
      </c>
      <c r="V49" s="591">
        <f t="shared" ca="1" si="115"/>
        <v>0</v>
      </c>
      <c r="W49" s="591">
        <f t="shared" ca="1" si="115"/>
        <v>0</v>
      </c>
      <c r="X49" s="591">
        <f t="shared" ca="1" si="115"/>
        <v>6.568800000000001E-2</v>
      </c>
      <c r="Y49" s="591">
        <f t="shared" ca="1" si="115"/>
        <v>0</v>
      </c>
      <c r="Z49" s="591">
        <f t="shared" ca="1" si="115"/>
        <v>0</v>
      </c>
      <c r="AA49" s="591">
        <f t="shared" ca="1" si="115"/>
        <v>0</v>
      </c>
      <c r="AB49" s="591">
        <f t="shared" ca="1" si="115"/>
        <v>0</v>
      </c>
      <c r="AC49" s="591">
        <f t="shared" ca="1" si="115"/>
        <v>0</v>
      </c>
      <c r="AD49" s="591">
        <f t="shared" ca="1" si="115"/>
        <v>0</v>
      </c>
      <c r="AE49" s="591">
        <f t="shared" ca="1" si="115"/>
        <v>0</v>
      </c>
      <c r="AF49" s="591">
        <f t="shared" ca="1" si="115"/>
        <v>0.1143834792</v>
      </c>
      <c r="AG49" s="591">
        <f t="shared" ca="1" si="115"/>
        <v>1.0668847222222222E-2</v>
      </c>
      <c r="AH49" s="591">
        <f t="shared" ca="1" si="115"/>
        <v>0.13447853364046278</v>
      </c>
      <c r="AI49" s="591">
        <f t="shared" ca="1" si="115"/>
        <v>0</v>
      </c>
      <c r="AJ49" s="591">
        <f t="shared" ca="1" si="115"/>
        <v>0</v>
      </c>
      <c r="AK49" s="592">
        <f ca="1">SUM(S49:AJ49)</f>
        <v>0.32521886006268497</v>
      </c>
      <c r="AM49" s="593">
        <f t="shared" ca="1" si="116"/>
        <v>0</v>
      </c>
      <c r="AN49" s="593">
        <f t="shared" ca="1" si="116"/>
        <v>0</v>
      </c>
      <c r="AO49" s="593">
        <f t="shared" ca="1" si="116"/>
        <v>0</v>
      </c>
      <c r="AP49" s="593">
        <f t="shared" ca="1" si="116"/>
        <v>0</v>
      </c>
      <c r="AQ49" s="593">
        <f t="shared" ca="1" si="116"/>
        <v>0</v>
      </c>
      <c r="AR49" s="593">
        <f t="shared" ca="1" si="116"/>
        <v>0</v>
      </c>
      <c r="AS49" s="593">
        <f t="shared" ca="1" si="116"/>
        <v>0</v>
      </c>
      <c r="AT49" s="593">
        <f t="shared" ca="1" si="116"/>
        <v>0</v>
      </c>
      <c r="AU49" s="593">
        <f t="shared" ca="1" si="116"/>
        <v>0</v>
      </c>
      <c r="AV49" s="593">
        <f t="shared" ca="1" si="116"/>
        <v>0</v>
      </c>
      <c r="AW49" s="593">
        <f t="shared" ca="1" si="116"/>
        <v>0</v>
      </c>
      <c r="AX49" s="593">
        <f t="shared" ca="1" si="116"/>
        <v>0</v>
      </c>
      <c r="AY49" s="593">
        <f t="shared" ca="1" si="116"/>
        <v>0</v>
      </c>
      <c r="AZ49" s="593">
        <f t="shared" ca="1" si="116"/>
        <v>0</v>
      </c>
      <c r="BA49" s="593">
        <f t="shared" ca="1" si="116"/>
        <v>0</v>
      </c>
      <c r="BB49" s="593">
        <f t="shared" ca="1" si="116"/>
        <v>0</v>
      </c>
      <c r="BC49" s="593">
        <f t="shared" ca="1" si="117"/>
        <v>0</v>
      </c>
      <c r="BD49" s="593">
        <f t="shared" ca="1" si="117"/>
        <v>0</v>
      </c>
      <c r="BE49" s="593">
        <f t="shared" ca="1" si="117"/>
        <v>-0.32521886006268502</v>
      </c>
      <c r="BF49" s="609">
        <f ca="1">SUM(AM49:BE49)</f>
        <v>-0.32521886006268502</v>
      </c>
      <c r="BH49" s="3471">
        <f t="shared" ca="1" si="118"/>
        <v>0</v>
      </c>
      <c r="BI49" s="3471">
        <f t="shared" ca="1" si="118"/>
        <v>0</v>
      </c>
      <c r="BJ49" s="3460">
        <f ca="1">SUM(BH49:BI49)</f>
        <v>0</v>
      </c>
      <c r="BL49" s="610"/>
      <c r="BM49" s="610"/>
      <c r="BN49" s="413"/>
      <c r="BO49" s="2789">
        <f t="shared" ca="1" si="119"/>
        <v>0</v>
      </c>
      <c r="BP49" s="2790">
        <f t="shared" ca="1" si="119"/>
        <v>0</v>
      </c>
      <c r="BQ49" s="2790">
        <f t="shared" ca="1" si="119"/>
        <v>0</v>
      </c>
      <c r="BR49" s="2790">
        <f t="shared" ca="1" si="119"/>
        <v>0</v>
      </c>
      <c r="BS49" s="2790">
        <f t="shared" ca="1" si="119"/>
        <v>0</v>
      </c>
      <c r="BT49" s="2790">
        <f t="shared" ca="1" si="119"/>
        <v>0</v>
      </c>
      <c r="BU49" s="2790">
        <f t="shared" ca="1" si="119"/>
        <v>0</v>
      </c>
      <c r="BV49" s="2790">
        <f t="shared" ca="1" si="119"/>
        <v>0</v>
      </c>
      <c r="BW49" s="2790">
        <f t="shared" ca="1" si="119"/>
        <v>0</v>
      </c>
      <c r="BX49" s="2790">
        <f t="shared" ca="1" si="119"/>
        <v>0</v>
      </c>
      <c r="BY49" s="2790">
        <f t="shared" ca="1" si="120"/>
        <v>0</v>
      </c>
      <c r="BZ49" s="2790">
        <f t="shared" ca="1" si="120"/>
        <v>0</v>
      </c>
      <c r="CA49" s="2790">
        <f t="shared" ca="1" si="120"/>
        <v>0</v>
      </c>
      <c r="CB49" s="2790">
        <f t="shared" ca="1" si="120"/>
        <v>0</v>
      </c>
      <c r="CC49" s="2790">
        <f t="shared" ca="1" si="120"/>
        <v>0</v>
      </c>
      <c r="CD49" s="2790">
        <f t="shared" ca="1" si="120"/>
        <v>0</v>
      </c>
      <c r="CE49" s="2790">
        <f t="shared" ca="1" si="120"/>
        <v>0</v>
      </c>
      <c r="CF49" s="2790">
        <f t="shared" ca="1" si="120"/>
        <v>0</v>
      </c>
      <c r="CG49" s="2790">
        <f t="shared" ca="1" si="120"/>
        <v>0</v>
      </c>
      <c r="CH49" s="2790">
        <f t="shared" ca="1" si="120"/>
        <v>0</v>
      </c>
      <c r="CI49" s="2790">
        <f t="shared" ca="1" si="121"/>
        <v>0</v>
      </c>
      <c r="CJ49" s="2790">
        <f t="shared" ca="1" si="121"/>
        <v>0</v>
      </c>
      <c r="CK49" s="2790">
        <f t="shared" ca="1" si="121"/>
        <v>0</v>
      </c>
      <c r="CL49" s="2790">
        <f t="shared" ca="1" si="121"/>
        <v>0</v>
      </c>
      <c r="CM49" s="2790">
        <f t="shared" ca="1" si="121"/>
        <v>0</v>
      </c>
      <c r="CN49" s="2790">
        <f t="shared" ca="1" si="121"/>
        <v>0.78153920634289342</v>
      </c>
      <c r="CO49" s="2790">
        <f t="shared" ca="1" si="121"/>
        <v>5.4813037500000002E-2</v>
      </c>
      <c r="CP49" s="2790">
        <f t="shared" ca="1" si="121"/>
        <v>0</v>
      </c>
      <c r="CQ49" s="2790">
        <f t="shared" ca="1" si="121"/>
        <v>0</v>
      </c>
      <c r="CR49" s="2790">
        <f t="shared" ca="1" si="121"/>
        <v>0</v>
      </c>
      <c r="CS49" s="2790">
        <f t="shared" ca="1" si="122"/>
        <v>0</v>
      </c>
      <c r="CT49" s="2790">
        <f t="shared" ca="1" si="122"/>
        <v>0</v>
      </c>
      <c r="CU49" s="2790">
        <f t="shared" ca="1" si="122"/>
        <v>0</v>
      </c>
      <c r="CV49" s="2790">
        <f t="shared" ca="1" si="122"/>
        <v>0</v>
      </c>
      <c r="CW49" s="2790">
        <f t="shared" ca="1" si="122"/>
        <v>0</v>
      </c>
      <c r="CX49" s="2790">
        <f t="shared" ca="1" si="122"/>
        <v>0</v>
      </c>
      <c r="CY49" s="2790">
        <f t="shared" ca="1" si="122"/>
        <v>0</v>
      </c>
      <c r="CZ49" s="2790">
        <f t="shared" ca="1" si="122"/>
        <v>0</v>
      </c>
      <c r="DA49" s="2790">
        <f t="shared" ca="1" si="122"/>
        <v>0</v>
      </c>
      <c r="DB49" s="2790">
        <f t="shared" ca="1" si="122"/>
        <v>0</v>
      </c>
      <c r="DC49" s="2790">
        <f t="shared" ca="1" si="122"/>
        <v>0</v>
      </c>
      <c r="DD49" s="2790">
        <f t="shared" ca="1" si="122"/>
        <v>0</v>
      </c>
      <c r="DE49" s="2790">
        <f t="shared" ca="1" si="122"/>
        <v>0</v>
      </c>
      <c r="DF49" s="2790">
        <f t="shared" ca="1" si="122"/>
        <v>0</v>
      </c>
      <c r="DH49" s="596">
        <f t="shared" ca="1" si="113"/>
        <v>0.83635224384289342</v>
      </c>
    </row>
    <row r="50" spans="1:112" s="6" customFormat="1">
      <c r="A50" s="607"/>
      <c r="B50" s="607"/>
      <c r="C50" s="587" t="s">
        <v>510</v>
      </c>
      <c r="D50" s="611" t="s">
        <v>511</v>
      </c>
      <c r="E50" s="611"/>
      <c r="G50" s="619">
        <f t="shared" ca="1" si="114"/>
        <v>0</v>
      </c>
      <c r="H50" s="619">
        <f t="shared" ca="1" si="114"/>
        <v>0</v>
      </c>
      <c r="I50" s="619">
        <f t="shared" ca="1" si="114"/>
        <v>2.621797585170019</v>
      </c>
      <c r="J50" s="619">
        <f t="shared" ca="1" si="114"/>
        <v>0</v>
      </c>
      <c r="K50" s="619">
        <f t="shared" ca="1" si="114"/>
        <v>0</v>
      </c>
      <c r="L50" s="619">
        <f t="shared" ca="1" si="114"/>
        <v>0</v>
      </c>
      <c r="M50" s="619">
        <f t="shared" ca="1" si="114"/>
        <v>0</v>
      </c>
      <c r="N50" s="619">
        <f t="shared" ca="1" si="114"/>
        <v>0</v>
      </c>
      <c r="O50" s="619">
        <f t="shared" ca="1" si="114"/>
        <v>0</v>
      </c>
      <c r="P50" s="619">
        <f t="shared" ca="1" si="114"/>
        <v>0</v>
      </c>
      <c r="Q50" s="612">
        <f ca="1">SUM(G50:P50)</f>
        <v>2.621797585170019</v>
      </c>
      <c r="S50" s="620">
        <f t="shared" ca="1" si="115"/>
        <v>-0.55057749288570401</v>
      </c>
      <c r="T50" s="620">
        <f t="shared" ca="1" si="115"/>
        <v>0</v>
      </c>
      <c r="U50" s="620">
        <f t="shared" ca="1" si="115"/>
        <v>0</v>
      </c>
      <c r="V50" s="620">
        <f t="shared" ca="1" si="115"/>
        <v>-2.0712200922843151</v>
      </c>
      <c r="W50" s="620">
        <f t="shared" ca="1" si="115"/>
        <v>0</v>
      </c>
      <c r="X50" s="620">
        <f t="shared" ca="1" si="115"/>
        <v>0</v>
      </c>
      <c r="Y50" s="620">
        <f t="shared" ca="1" si="115"/>
        <v>0</v>
      </c>
      <c r="Z50" s="620">
        <f t="shared" ca="1" si="115"/>
        <v>0</v>
      </c>
      <c r="AA50" s="620">
        <f t="shared" ca="1" si="115"/>
        <v>0</v>
      </c>
      <c r="AB50" s="620">
        <f t="shared" ca="1" si="115"/>
        <v>0</v>
      </c>
      <c r="AC50" s="620">
        <f t="shared" ca="1" si="115"/>
        <v>0</v>
      </c>
      <c r="AD50" s="620">
        <f t="shared" ca="1" si="115"/>
        <v>2.9254922797006762</v>
      </c>
      <c r="AE50" s="620">
        <f t="shared" ca="1" si="115"/>
        <v>0.17750982181293876</v>
      </c>
      <c r="AF50" s="620">
        <f t="shared" ca="1" si="115"/>
        <v>0.95985503891464119</v>
      </c>
      <c r="AG50" s="620">
        <f t="shared" ca="1" si="115"/>
        <v>0.29248145770300543</v>
      </c>
      <c r="AH50" s="620">
        <f t="shared" ca="1" si="115"/>
        <v>0</v>
      </c>
      <c r="AI50" s="620">
        <f t="shared" ca="1" si="115"/>
        <v>0</v>
      </c>
      <c r="AJ50" s="620">
        <f t="shared" ca="1" si="115"/>
        <v>0</v>
      </c>
      <c r="AK50" s="613">
        <f ca="1">SUM(S50:AJ50)</f>
        <v>1.7335410129612425</v>
      </c>
      <c r="AM50" s="621">
        <f t="shared" ca="1" si="116"/>
        <v>0</v>
      </c>
      <c r="AN50" s="621">
        <f t="shared" ca="1" si="116"/>
        <v>0</v>
      </c>
      <c r="AO50" s="621">
        <f t="shared" ca="1" si="116"/>
        <v>0</v>
      </c>
      <c r="AP50" s="621">
        <f t="shared" ca="1" si="116"/>
        <v>0</v>
      </c>
      <c r="AQ50" s="621">
        <f t="shared" ca="1" si="116"/>
        <v>0</v>
      </c>
      <c r="AR50" s="621">
        <f t="shared" ca="1" si="116"/>
        <v>0</v>
      </c>
      <c r="AS50" s="621">
        <f t="shared" ca="1" si="116"/>
        <v>0</v>
      </c>
      <c r="AT50" s="621">
        <f t="shared" ca="1" si="116"/>
        <v>0</v>
      </c>
      <c r="AU50" s="621">
        <f t="shared" ca="1" si="116"/>
        <v>0</v>
      </c>
      <c r="AV50" s="621">
        <f t="shared" ca="1" si="116"/>
        <v>0</v>
      </c>
      <c r="AW50" s="621">
        <f t="shared" ca="1" si="116"/>
        <v>0</v>
      </c>
      <c r="AX50" s="621">
        <f t="shared" ca="1" si="116"/>
        <v>0</v>
      </c>
      <c r="AY50" s="621">
        <f t="shared" ca="1" si="116"/>
        <v>0</v>
      </c>
      <c r="AZ50" s="621">
        <f t="shared" ca="1" si="116"/>
        <v>0</v>
      </c>
      <c r="BA50" s="621">
        <f t="shared" ca="1" si="116"/>
        <v>0</v>
      </c>
      <c r="BB50" s="621">
        <f t="shared" ca="1" si="116"/>
        <v>0</v>
      </c>
      <c r="BC50" s="621">
        <f t="shared" ca="1" si="117"/>
        <v>0</v>
      </c>
      <c r="BD50" s="621">
        <f t="shared" ca="1" si="117"/>
        <v>-3.1030021015136149</v>
      </c>
      <c r="BE50" s="621">
        <f t="shared" ca="1" si="117"/>
        <v>-1.2523364966176467</v>
      </c>
      <c r="BF50" s="615">
        <f ca="1">SUM(AM50:BE50)</f>
        <v>-4.3553385981312616</v>
      </c>
      <c r="BH50" s="3473">
        <f t="shared" ca="1" si="118"/>
        <v>0</v>
      </c>
      <c r="BI50" s="3473">
        <f t="shared" ca="1" si="118"/>
        <v>0</v>
      </c>
      <c r="BJ50" s="3462">
        <f ca="1">SUM(BH50:BI50)</f>
        <v>0</v>
      </c>
      <c r="BL50" s="610">
        <f ca="1">Q50+AK50+BF50+BJ50</f>
        <v>0</v>
      </c>
      <c r="BM50" s="610"/>
      <c r="BN50" s="413"/>
      <c r="BO50" s="2791">
        <f t="shared" ca="1" si="119"/>
        <v>0.54655355795198501</v>
      </c>
      <c r="BP50" s="2792">
        <f t="shared" ca="1" si="119"/>
        <v>4.6975271693008272E-4</v>
      </c>
      <c r="BQ50" s="2792">
        <f t="shared" ca="1" si="119"/>
        <v>1.3868889737935774E-3</v>
      </c>
      <c r="BR50" s="2792">
        <f t="shared" ca="1" si="119"/>
        <v>0</v>
      </c>
      <c r="BS50" s="2792">
        <f t="shared" ca="1" si="119"/>
        <v>0</v>
      </c>
      <c r="BT50" s="2792">
        <f t="shared" ca="1" si="119"/>
        <v>0</v>
      </c>
      <c r="BU50" s="2792">
        <f t="shared" ca="1" si="119"/>
        <v>0</v>
      </c>
      <c r="BV50" s="2792">
        <f t="shared" ca="1" si="119"/>
        <v>0</v>
      </c>
      <c r="BW50" s="2792">
        <f t="shared" ca="1" si="119"/>
        <v>0</v>
      </c>
      <c r="BX50" s="2792">
        <f t="shared" ca="1" si="119"/>
        <v>0</v>
      </c>
      <c r="BY50" s="2792">
        <f t="shared" ca="1" si="120"/>
        <v>0</v>
      </c>
      <c r="BZ50" s="2792">
        <f t="shared" ca="1" si="120"/>
        <v>0</v>
      </c>
      <c r="CA50" s="2792">
        <f t="shared" ca="1" si="120"/>
        <v>0</v>
      </c>
      <c r="CB50" s="2792">
        <f t="shared" ca="1" si="120"/>
        <v>0</v>
      </c>
      <c r="CC50" s="2792">
        <f t="shared" ca="1" si="120"/>
        <v>0</v>
      </c>
      <c r="CD50" s="2792">
        <f t="shared" ca="1" si="120"/>
        <v>0</v>
      </c>
      <c r="CE50" s="2792">
        <f t="shared" ca="1" si="120"/>
        <v>0</v>
      </c>
      <c r="CF50" s="2792">
        <f t="shared" ca="1" si="120"/>
        <v>10.863520072055604</v>
      </c>
      <c r="CG50" s="2792">
        <f t="shared" ca="1" si="120"/>
        <v>6.3677882193084141</v>
      </c>
      <c r="CH50" s="2792">
        <f t="shared" ca="1" si="120"/>
        <v>0</v>
      </c>
      <c r="CI50" s="2792">
        <f t="shared" ca="1" si="121"/>
        <v>-2.0419537671878891</v>
      </c>
      <c r="CJ50" s="2792">
        <f t="shared" ca="1" si="121"/>
        <v>0</v>
      </c>
      <c r="CK50" s="2792">
        <f t="shared" ca="1" si="121"/>
        <v>0</v>
      </c>
      <c r="CL50" s="2792">
        <f t="shared" ca="1" si="121"/>
        <v>0</v>
      </c>
      <c r="CM50" s="2792">
        <f t="shared" ca="1" si="121"/>
        <v>0</v>
      </c>
      <c r="CN50" s="2792">
        <f t="shared" ca="1" si="121"/>
        <v>0</v>
      </c>
      <c r="CO50" s="2792">
        <f t="shared" ca="1" si="121"/>
        <v>0</v>
      </c>
      <c r="CP50" s="2792">
        <f t="shared" ca="1" si="121"/>
        <v>0</v>
      </c>
      <c r="CQ50" s="2792">
        <f t="shared" ca="1" si="121"/>
        <v>0</v>
      </c>
      <c r="CR50" s="2792">
        <f t="shared" ca="1" si="121"/>
        <v>0</v>
      </c>
      <c r="CS50" s="2792">
        <f t="shared" ca="1" si="122"/>
        <v>0</v>
      </c>
      <c r="CT50" s="2792">
        <f t="shared" ca="1" si="122"/>
        <v>0</v>
      </c>
      <c r="CU50" s="2792">
        <f t="shared" ca="1" si="122"/>
        <v>0</v>
      </c>
      <c r="CV50" s="2792">
        <f t="shared" ca="1" si="122"/>
        <v>0</v>
      </c>
      <c r="CW50" s="2792">
        <f t="shared" ca="1" si="122"/>
        <v>0</v>
      </c>
      <c r="CX50" s="2792">
        <f t="shared" ca="1" si="122"/>
        <v>0</v>
      </c>
      <c r="CY50" s="2792">
        <f t="shared" ca="1" si="122"/>
        <v>0</v>
      </c>
      <c r="CZ50" s="2792">
        <f t="shared" ca="1" si="122"/>
        <v>0</v>
      </c>
      <c r="DA50" s="2792">
        <f t="shared" ca="1" si="122"/>
        <v>0</v>
      </c>
      <c r="DB50" s="2792">
        <f t="shared" ca="1" si="122"/>
        <v>0</v>
      </c>
      <c r="DC50" s="2792">
        <f t="shared" ca="1" si="122"/>
        <v>0</v>
      </c>
      <c r="DD50" s="2792">
        <f t="shared" ca="1" si="122"/>
        <v>0</v>
      </c>
      <c r="DE50" s="2792">
        <f t="shared" ca="1" si="122"/>
        <v>0</v>
      </c>
      <c r="DF50" s="2792">
        <f t="shared" ca="1" si="122"/>
        <v>0</v>
      </c>
      <c r="DH50" s="596">
        <f t="shared" ca="1" si="113"/>
        <v>15.737764723818836</v>
      </c>
    </row>
    <row r="51" spans="1:112" s="6" customFormat="1" ht="15.75">
      <c r="A51" s="4"/>
      <c r="B51" s="3"/>
      <c r="C51" s="616" t="s">
        <v>512</v>
      </c>
      <c r="D51" s="617" t="s">
        <v>513</v>
      </c>
      <c r="E51" s="206"/>
      <c r="G51" s="618">
        <f ca="1">SUM(G48:G50)</f>
        <v>0</v>
      </c>
      <c r="H51" s="618">
        <f t="shared" ref="H51:P51" ca="1" si="123">SUM(H48:H50)</f>
        <v>0</v>
      </c>
      <c r="I51" s="618">
        <f t="shared" ca="1" si="123"/>
        <v>2.621797585170019</v>
      </c>
      <c r="J51" s="618">
        <f t="shared" ca="1" si="123"/>
        <v>0</v>
      </c>
      <c r="K51" s="618">
        <f t="shared" ca="1" si="123"/>
        <v>0</v>
      </c>
      <c r="L51" s="618">
        <f t="shared" ca="1" si="123"/>
        <v>0</v>
      </c>
      <c r="M51" s="618">
        <f t="shared" ca="1" si="123"/>
        <v>0</v>
      </c>
      <c r="N51" s="618">
        <f t="shared" ca="1" si="123"/>
        <v>0</v>
      </c>
      <c r="O51" s="618">
        <f t="shared" ca="1" si="123"/>
        <v>0</v>
      </c>
      <c r="P51" s="618">
        <f t="shared" ca="1" si="123"/>
        <v>0</v>
      </c>
      <c r="Q51" s="618">
        <f ca="1">SUM(G51:P51)</f>
        <v>2.621797585170019</v>
      </c>
      <c r="S51" s="581">
        <f t="shared" ref="S51:AJ51" ca="1" si="124">SUM(S48:S50)</f>
        <v>-0.55057749288570401</v>
      </c>
      <c r="T51" s="581">
        <f t="shared" ca="1" si="124"/>
        <v>0</v>
      </c>
      <c r="U51" s="581">
        <f t="shared" ca="1" si="124"/>
        <v>0</v>
      </c>
      <c r="V51" s="581">
        <f t="shared" ca="1" si="124"/>
        <v>-2.0712200922843151</v>
      </c>
      <c r="W51" s="581">
        <f t="shared" ca="1" si="124"/>
        <v>0</v>
      </c>
      <c r="X51" s="581">
        <f t="shared" ca="1" si="124"/>
        <v>6.568800000000001E-2</v>
      </c>
      <c r="Y51" s="581">
        <f t="shared" ca="1" si="124"/>
        <v>0</v>
      </c>
      <c r="Z51" s="581">
        <f t="shared" ca="1" si="124"/>
        <v>0</v>
      </c>
      <c r="AA51" s="581">
        <f t="shared" ca="1" si="124"/>
        <v>0</v>
      </c>
      <c r="AB51" s="581">
        <f t="shared" ca="1" si="124"/>
        <v>0</v>
      </c>
      <c r="AC51" s="581">
        <f t="shared" ca="1" si="124"/>
        <v>0</v>
      </c>
      <c r="AD51" s="581">
        <f t="shared" ca="1" si="124"/>
        <v>2.9254922797006762</v>
      </c>
      <c r="AE51" s="581">
        <f ca="1">SUM(AE48:AE50)</f>
        <v>0.17750982181293876</v>
      </c>
      <c r="AF51" s="581">
        <f t="shared" ca="1" si="124"/>
        <v>1.0742385181146412</v>
      </c>
      <c r="AG51" s="581">
        <f t="shared" ca="1" si="124"/>
        <v>0.30315030492522765</v>
      </c>
      <c r="AH51" s="581">
        <f ca="1">SUM(AH48:AH50)</f>
        <v>0.13447853364046278</v>
      </c>
      <c r="AI51" s="581">
        <f t="shared" ca="1" si="124"/>
        <v>0</v>
      </c>
      <c r="AJ51" s="581">
        <f t="shared" ca="1" si="124"/>
        <v>0</v>
      </c>
      <c r="AK51" s="581">
        <f ca="1">SUM(S51:AJ51)</f>
        <v>2.0587598730239276</v>
      </c>
      <c r="AM51" s="582">
        <f t="shared" ref="AM51:BE51" ca="1" si="125">SUM(AM48:AM50)</f>
        <v>0</v>
      </c>
      <c r="AN51" s="582">
        <f t="shared" ca="1" si="125"/>
        <v>0</v>
      </c>
      <c r="AO51" s="582">
        <f t="shared" ca="1" si="125"/>
        <v>0</v>
      </c>
      <c r="AP51" s="582">
        <f t="shared" ca="1" si="125"/>
        <v>0</v>
      </c>
      <c r="AQ51" s="582">
        <f t="shared" ca="1" si="125"/>
        <v>0</v>
      </c>
      <c r="AR51" s="582">
        <f t="shared" ca="1" si="125"/>
        <v>0</v>
      </c>
      <c r="AS51" s="582">
        <f t="shared" ca="1" si="125"/>
        <v>0</v>
      </c>
      <c r="AT51" s="582">
        <f t="shared" ca="1" si="125"/>
        <v>0</v>
      </c>
      <c r="AU51" s="582">
        <f t="shared" ca="1" si="125"/>
        <v>0</v>
      </c>
      <c r="AV51" s="582">
        <f t="shared" ca="1" si="125"/>
        <v>0</v>
      </c>
      <c r="AW51" s="582">
        <f t="shared" ca="1" si="125"/>
        <v>0</v>
      </c>
      <c r="AX51" s="582">
        <f t="shared" ca="1" si="125"/>
        <v>0</v>
      </c>
      <c r="AY51" s="582">
        <f t="shared" ca="1" si="125"/>
        <v>0</v>
      </c>
      <c r="AZ51" s="582">
        <f t="shared" ca="1" si="125"/>
        <v>0</v>
      </c>
      <c r="BA51" s="582">
        <f t="shared" ca="1" si="125"/>
        <v>0</v>
      </c>
      <c r="BB51" s="582">
        <f t="shared" ca="1" si="125"/>
        <v>0</v>
      </c>
      <c r="BC51" s="582">
        <f t="shared" ca="1" si="125"/>
        <v>0</v>
      </c>
      <c r="BD51" s="582">
        <f t="shared" ca="1" si="125"/>
        <v>-3.1030021015136149</v>
      </c>
      <c r="BE51" s="582">
        <f t="shared" ca="1" si="125"/>
        <v>-1.5775553566803318</v>
      </c>
      <c r="BF51" s="582">
        <f ca="1">SUM(AM51:BE51)</f>
        <v>-4.6805574581939471</v>
      </c>
      <c r="BH51" s="3463">
        <f ca="1">SUM(BH48:BH50)</f>
        <v>0</v>
      </c>
      <c r="BI51" s="3463">
        <f ca="1">SUM(BI48:BI50)</f>
        <v>0</v>
      </c>
      <c r="BJ51" s="3463">
        <f ca="1">SUM(BH51:BI51)</f>
        <v>0</v>
      </c>
      <c r="BL51" s="3477">
        <f ca="1">Q51+AK51+BF51+BJ51</f>
        <v>0</v>
      </c>
      <c r="BM51" s="584"/>
      <c r="BN51" s="413"/>
      <c r="BO51" s="2790">
        <f t="shared" ref="BO51:DF51" ca="1" si="126">SUM(BO48:BO50)</f>
        <v>0.54655355795198501</v>
      </c>
      <c r="BP51" s="2790">
        <f t="shared" ca="1" si="126"/>
        <v>4.6975271693008272E-4</v>
      </c>
      <c r="BQ51" s="2790">
        <f t="shared" ca="1" si="126"/>
        <v>1.3868889737935774E-3</v>
      </c>
      <c r="BR51" s="2790">
        <f t="shared" ca="1" si="126"/>
        <v>0</v>
      </c>
      <c r="BS51" s="2790">
        <f t="shared" ca="1" si="126"/>
        <v>0</v>
      </c>
      <c r="BT51" s="2790">
        <f t="shared" ca="1" si="126"/>
        <v>0</v>
      </c>
      <c r="BU51" s="2790">
        <f t="shared" ca="1" si="126"/>
        <v>0</v>
      </c>
      <c r="BV51" s="2790">
        <f t="shared" ca="1" si="126"/>
        <v>0</v>
      </c>
      <c r="BW51" s="2790">
        <f t="shared" ca="1" si="126"/>
        <v>0</v>
      </c>
      <c r="BX51" s="2790">
        <f t="shared" ca="1" si="126"/>
        <v>0</v>
      </c>
      <c r="BY51" s="2790">
        <f t="shared" ca="1" si="126"/>
        <v>0</v>
      </c>
      <c r="BZ51" s="2790">
        <f t="shared" ca="1" si="126"/>
        <v>0</v>
      </c>
      <c r="CA51" s="2790">
        <f t="shared" ca="1" si="126"/>
        <v>0</v>
      </c>
      <c r="CB51" s="2790">
        <f t="shared" ca="1" si="126"/>
        <v>0</v>
      </c>
      <c r="CC51" s="2790">
        <f t="shared" ca="1" si="126"/>
        <v>0</v>
      </c>
      <c r="CD51" s="2790">
        <f t="shared" ca="1" si="126"/>
        <v>0</v>
      </c>
      <c r="CE51" s="2790">
        <f t="shared" ca="1" si="126"/>
        <v>0</v>
      </c>
      <c r="CF51" s="2790">
        <f t="shared" ca="1" si="126"/>
        <v>10.863520072055604</v>
      </c>
      <c r="CG51" s="2790">
        <f t="shared" ca="1" si="126"/>
        <v>6.3677882193084141</v>
      </c>
      <c r="CH51" s="2790">
        <f t="shared" ca="1" si="126"/>
        <v>0</v>
      </c>
      <c r="CI51" s="2790">
        <f t="shared" ca="1" si="126"/>
        <v>-2.0419537671878891</v>
      </c>
      <c r="CJ51" s="2790">
        <f t="shared" ca="1" si="126"/>
        <v>0</v>
      </c>
      <c r="CK51" s="2790">
        <f t="shared" ca="1" si="126"/>
        <v>0</v>
      </c>
      <c r="CL51" s="2790">
        <f t="shared" ca="1" si="126"/>
        <v>0</v>
      </c>
      <c r="CM51" s="2790">
        <f t="shared" ca="1" si="126"/>
        <v>0</v>
      </c>
      <c r="CN51" s="2790">
        <f t="shared" ca="1" si="126"/>
        <v>0.78153920634289342</v>
      </c>
      <c r="CO51" s="2790">
        <f t="shared" ca="1" si="126"/>
        <v>5.4813037500000002E-2</v>
      </c>
      <c r="CP51" s="2790">
        <f t="shared" ca="1" si="126"/>
        <v>0</v>
      </c>
      <c r="CQ51" s="2790">
        <f t="shared" ca="1" si="126"/>
        <v>0</v>
      </c>
      <c r="CR51" s="2790">
        <f t="shared" ca="1" si="126"/>
        <v>0</v>
      </c>
      <c r="CS51" s="2790">
        <f t="shared" ca="1" si="126"/>
        <v>0</v>
      </c>
      <c r="CT51" s="2790">
        <f t="shared" ca="1" si="126"/>
        <v>0</v>
      </c>
      <c r="CU51" s="2790">
        <f t="shared" ca="1" si="126"/>
        <v>0</v>
      </c>
      <c r="CV51" s="2790">
        <f t="shared" ca="1" si="126"/>
        <v>0</v>
      </c>
      <c r="CW51" s="2790">
        <f t="shared" ca="1" si="126"/>
        <v>0</v>
      </c>
      <c r="CX51" s="2790">
        <f t="shared" ca="1" si="126"/>
        <v>0</v>
      </c>
      <c r="CY51" s="2790">
        <f t="shared" ca="1" si="126"/>
        <v>0</v>
      </c>
      <c r="CZ51" s="2790">
        <f t="shared" ca="1" si="126"/>
        <v>0</v>
      </c>
      <c r="DA51" s="2790">
        <f t="shared" ca="1" si="126"/>
        <v>0</v>
      </c>
      <c r="DB51" s="2790">
        <f t="shared" ca="1" si="126"/>
        <v>0</v>
      </c>
      <c r="DC51" s="2790">
        <f t="shared" ca="1" si="126"/>
        <v>0</v>
      </c>
      <c r="DD51" s="2790">
        <f t="shared" ca="1" si="126"/>
        <v>0</v>
      </c>
      <c r="DE51" s="2790">
        <f t="shared" ca="1" si="126"/>
        <v>0</v>
      </c>
      <c r="DF51" s="2790">
        <f t="shared" ca="1" si="126"/>
        <v>0</v>
      </c>
      <c r="DH51" s="596">
        <f t="shared" ca="1" si="113"/>
        <v>16.57411696766173</v>
      </c>
    </row>
    <row r="52" spans="1:112" s="6" customFormat="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13"/>
        <v>0</v>
      </c>
    </row>
    <row r="53" spans="1:112" s="6" customFormat="1">
      <c r="A53" s="607"/>
      <c r="B53" s="607"/>
      <c r="C53" s="651" t="s">
        <v>514</v>
      </c>
      <c r="D53" s="588" t="s">
        <v>515</v>
      </c>
      <c r="E53" s="588"/>
      <c r="G53" s="589">
        <f t="shared" ref="G53:P54" ca="1" si="127">IFERROR(INDEX(INDIRECT($C53&amp;".Outputs["&amp;this.Year&amp;"]"), MATCH(G$5, INDIRECT($C53&amp;".Outputs[Vector]"), 0)), 0)</f>
        <v>0</v>
      </c>
      <c r="H53" s="589">
        <f t="shared" ca="1" si="127"/>
        <v>0</v>
      </c>
      <c r="I53" s="589">
        <f t="shared" ca="1" si="127"/>
        <v>0</v>
      </c>
      <c r="J53" s="589">
        <f t="shared" ca="1" si="127"/>
        <v>0</v>
      </c>
      <c r="K53" s="589">
        <f t="shared" ca="1" si="127"/>
        <v>0</v>
      </c>
      <c r="L53" s="589">
        <f t="shared" ca="1" si="127"/>
        <v>0</v>
      </c>
      <c r="M53" s="589">
        <f t="shared" ca="1" si="127"/>
        <v>0</v>
      </c>
      <c r="N53" s="589">
        <f t="shared" ca="1" si="127"/>
        <v>0</v>
      </c>
      <c r="O53" s="589">
        <f t="shared" ca="1" si="127"/>
        <v>0</v>
      </c>
      <c r="P53" s="589">
        <f t="shared" ca="1" si="127"/>
        <v>0</v>
      </c>
      <c r="Q53" s="590">
        <f ca="1">SUM(G53:P53)</f>
        <v>0</v>
      </c>
      <c r="S53" s="591">
        <f t="shared" ref="S53:AJ54" ca="1" si="128">IFERROR(INDEX(INDIRECT($C53&amp;".Outputs["&amp;this.Year&amp;"]"), MATCH(S$5, INDIRECT($C53&amp;".Outputs[Vector]"), 0)), 0)</f>
        <v>-0.22598810482362028</v>
      </c>
      <c r="T53" s="591">
        <f t="shared" ca="1" si="128"/>
        <v>0</v>
      </c>
      <c r="U53" s="591">
        <f t="shared" ca="1" si="128"/>
        <v>0</v>
      </c>
      <c r="V53" s="591">
        <f t="shared" ca="1" si="128"/>
        <v>-1.8522858135888711</v>
      </c>
      <c r="W53" s="591">
        <f t="shared" ca="1" si="128"/>
        <v>-8.2401953248703863E-2</v>
      </c>
      <c r="X53" s="591">
        <f t="shared" ca="1" si="128"/>
        <v>0</v>
      </c>
      <c r="Y53" s="591">
        <f t="shared" ca="1" si="128"/>
        <v>0</v>
      </c>
      <c r="Z53" s="591">
        <f t="shared" ca="1" si="128"/>
        <v>0</v>
      </c>
      <c r="AA53" s="591">
        <f t="shared" ca="1" si="128"/>
        <v>0</v>
      </c>
      <c r="AB53" s="591">
        <f t="shared" ca="1" si="128"/>
        <v>-2.6537999724419409E-2</v>
      </c>
      <c r="AC53" s="591">
        <f t="shared" ca="1" si="128"/>
        <v>0</v>
      </c>
      <c r="AD53" s="591">
        <f t="shared" ca="1" si="128"/>
        <v>0</v>
      </c>
      <c r="AE53" s="591">
        <f t="shared" ca="1" si="128"/>
        <v>0</v>
      </c>
      <c r="AF53" s="591">
        <f t="shared" ca="1" si="128"/>
        <v>0</v>
      </c>
      <c r="AG53" s="591">
        <f t="shared" ca="1" si="128"/>
        <v>0</v>
      </c>
      <c r="AH53" s="591">
        <f t="shared" ca="1" si="128"/>
        <v>0</v>
      </c>
      <c r="AI53" s="591">
        <f t="shared" ca="1" si="128"/>
        <v>0</v>
      </c>
      <c r="AJ53" s="591">
        <f t="shared" ca="1" si="128"/>
        <v>0</v>
      </c>
      <c r="AK53" s="592">
        <f ca="1">SUM(S53:AJ53)</f>
        <v>-2.1872138713856146</v>
      </c>
      <c r="AM53" s="593">
        <f t="shared" ref="AM53:BB54" ca="1" si="129">IFERROR(INDEX(INDIRECT($C53&amp;".Outputs["&amp;this.Year&amp;"]"), MATCH(AM$5, INDIRECT($C53&amp;".Outputs[Vector]"), 0)), 0)</f>
        <v>0</v>
      </c>
      <c r="AN53" s="593">
        <f t="shared" ca="1" si="129"/>
        <v>0</v>
      </c>
      <c r="AO53" s="593">
        <f t="shared" ca="1" si="129"/>
        <v>0</v>
      </c>
      <c r="AP53" s="593">
        <f t="shared" ca="1" si="129"/>
        <v>0</v>
      </c>
      <c r="AQ53" s="593">
        <f t="shared" ca="1" si="129"/>
        <v>0</v>
      </c>
      <c r="AR53" s="593">
        <f t="shared" ca="1" si="129"/>
        <v>0</v>
      </c>
      <c r="AS53" s="593">
        <f t="shared" ca="1" si="129"/>
        <v>0</v>
      </c>
      <c r="AT53" s="593">
        <f t="shared" ca="1" si="129"/>
        <v>0</v>
      </c>
      <c r="AU53" s="593">
        <f t="shared" ca="1" si="129"/>
        <v>0</v>
      </c>
      <c r="AV53" s="593">
        <f t="shared" ca="1" si="129"/>
        <v>0</v>
      </c>
      <c r="AW53" s="593">
        <f t="shared" ca="1" si="129"/>
        <v>0</v>
      </c>
      <c r="AX53" s="593">
        <f t="shared" ca="1" si="129"/>
        <v>0</v>
      </c>
      <c r="AY53" s="593">
        <f t="shared" ca="1" si="129"/>
        <v>0</v>
      </c>
      <c r="AZ53" s="593">
        <f t="shared" ca="1" si="129"/>
        <v>0</v>
      </c>
      <c r="BA53" s="593">
        <f t="shared" ca="1" si="129"/>
        <v>0</v>
      </c>
      <c r="BB53" s="593">
        <f t="shared" ca="1" si="129"/>
        <v>0</v>
      </c>
      <c r="BC53" s="593">
        <f t="shared" ref="BC53:BE54" ca="1" si="130">IFERROR(INDEX(INDIRECT($C53&amp;".Outputs["&amp;this.Year&amp;"]"), MATCH(BC$5, INDIRECT($C53&amp;".Outputs[Vector]"), 0)), 0)</f>
        <v>0</v>
      </c>
      <c r="BD53" s="593">
        <f t="shared" ca="1" si="130"/>
        <v>0</v>
      </c>
      <c r="BE53" s="593">
        <f t="shared" ca="1" si="130"/>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31">IFERROR(SUMIFS(INDIRECT($C53&amp;".Emissions["&amp;this.Year&amp;"]"), INDIRECT($C53&amp;".Emissions[GHG]"), BO$6, INDIRECT($C53&amp;".Emissions[IPCC Sector]"), BO$5),0)</f>
        <v>0.50565060724124977</v>
      </c>
      <c r="BP53" s="2790">
        <f t="shared" ca="1" si="131"/>
        <v>4.2632801018755801E-4</v>
      </c>
      <c r="BQ53" s="2790">
        <f t="shared" ca="1" si="131"/>
        <v>1.5069762622732133E-3</v>
      </c>
      <c r="BR53" s="2790">
        <f t="shared" ca="1" si="131"/>
        <v>0</v>
      </c>
      <c r="BS53" s="2790">
        <f t="shared" ca="1" si="131"/>
        <v>0</v>
      </c>
      <c r="BT53" s="2790">
        <f t="shared" ca="1" si="131"/>
        <v>0</v>
      </c>
      <c r="BU53" s="2790">
        <f t="shared" ca="1" si="131"/>
        <v>0</v>
      </c>
      <c r="BV53" s="2790">
        <f t="shared" ca="1" si="131"/>
        <v>0</v>
      </c>
      <c r="BW53" s="2790">
        <f t="shared" ca="1" si="131"/>
        <v>0</v>
      </c>
      <c r="BX53" s="2790">
        <f t="shared" ca="1" si="131"/>
        <v>0</v>
      </c>
      <c r="BY53" s="2790">
        <f t="shared" ref="BY53:CH54" ca="1" si="132">IFERROR(SUMIFS(INDIRECT($C53&amp;".Emissions["&amp;this.Year&amp;"]"), INDIRECT($C53&amp;".Emissions[GHG]"), BY$6, INDIRECT($C53&amp;".Emissions[IPCC Sector]"), BY$5),0)</f>
        <v>0</v>
      </c>
      <c r="BZ53" s="2790">
        <f t="shared" ca="1" si="132"/>
        <v>0</v>
      </c>
      <c r="CA53" s="2790">
        <f t="shared" ca="1" si="132"/>
        <v>0</v>
      </c>
      <c r="CB53" s="2790">
        <f t="shared" ca="1" si="132"/>
        <v>0</v>
      </c>
      <c r="CC53" s="2790">
        <f t="shared" ca="1" si="132"/>
        <v>0</v>
      </c>
      <c r="CD53" s="2790">
        <f t="shared" ca="1" si="132"/>
        <v>0</v>
      </c>
      <c r="CE53" s="2790">
        <f t="shared" ca="1" si="132"/>
        <v>0</v>
      </c>
      <c r="CF53" s="2790">
        <f t="shared" ca="1" si="132"/>
        <v>0</v>
      </c>
      <c r="CG53" s="2790">
        <f t="shared" ca="1" si="132"/>
        <v>0</v>
      </c>
      <c r="CH53" s="2790">
        <f t="shared" ca="1" si="132"/>
        <v>0</v>
      </c>
      <c r="CI53" s="2790">
        <f t="shared" ref="CI53:CR54" ca="1" si="133">IFERROR(SUMIFS(INDIRECT($C53&amp;".Emissions["&amp;this.Year&amp;"]"), INDIRECT($C53&amp;".Emissions[GHG]"), CI$6, INDIRECT($C53&amp;".Emissions[IPCC Sector]"), CI$5),0)</f>
        <v>0</v>
      </c>
      <c r="CJ53" s="2790">
        <f t="shared" ca="1" si="133"/>
        <v>0</v>
      </c>
      <c r="CK53" s="2790">
        <f t="shared" ca="1" si="133"/>
        <v>0</v>
      </c>
      <c r="CL53" s="2790">
        <f t="shared" ca="1" si="133"/>
        <v>0</v>
      </c>
      <c r="CM53" s="2790">
        <f t="shared" ca="1" si="133"/>
        <v>0</v>
      </c>
      <c r="CN53" s="2790">
        <f t="shared" ca="1" si="133"/>
        <v>0</v>
      </c>
      <c r="CO53" s="2790">
        <f t="shared" ca="1" si="133"/>
        <v>0</v>
      </c>
      <c r="CP53" s="2790">
        <f t="shared" ca="1" si="133"/>
        <v>0</v>
      </c>
      <c r="CQ53" s="2790">
        <f t="shared" ca="1" si="133"/>
        <v>0</v>
      </c>
      <c r="CR53" s="2790">
        <f t="shared" ca="1" si="133"/>
        <v>0</v>
      </c>
      <c r="CS53" s="2790">
        <f t="shared" ref="CS53:DF54" ca="1" si="134">IFERROR(SUMIFS(INDIRECT($C53&amp;".Emissions["&amp;this.Year&amp;"]"), INDIRECT($C53&amp;".Emissions[GHG]"), CS$6, INDIRECT($C53&amp;".Emissions[IPCC Sector]"), CS$5),0)</f>
        <v>0</v>
      </c>
      <c r="CT53" s="2790">
        <f t="shared" ca="1" si="134"/>
        <v>0</v>
      </c>
      <c r="CU53" s="2790">
        <f t="shared" ca="1" si="134"/>
        <v>0</v>
      </c>
      <c r="CV53" s="2790">
        <f t="shared" ca="1" si="134"/>
        <v>0</v>
      </c>
      <c r="CW53" s="2790">
        <f t="shared" ca="1" si="134"/>
        <v>0</v>
      </c>
      <c r="CX53" s="2790">
        <f t="shared" ca="1" si="134"/>
        <v>0</v>
      </c>
      <c r="CY53" s="2790">
        <f t="shared" ca="1" si="134"/>
        <v>0</v>
      </c>
      <c r="CZ53" s="2790">
        <f t="shared" ca="1" si="134"/>
        <v>0</v>
      </c>
      <c r="DA53" s="2790">
        <f t="shared" ca="1" si="134"/>
        <v>0</v>
      </c>
      <c r="DB53" s="2790">
        <f t="shared" ca="1" si="134"/>
        <v>0</v>
      </c>
      <c r="DC53" s="2790">
        <f t="shared" ca="1" si="134"/>
        <v>0</v>
      </c>
      <c r="DD53" s="2790">
        <f t="shared" ca="1" si="134"/>
        <v>0</v>
      </c>
      <c r="DE53" s="2790">
        <f t="shared" ca="1" si="134"/>
        <v>0</v>
      </c>
      <c r="DF53" s="2790">
        <f t="shared" ca="1" si="134"/>
        <v>0</v>
      </c>
      <c r="DH53" s="596">
        <f t="shared" ca="1" si="113"/>
        <v>0.50758391151371063</v>
      </c>
    </row>
    <row r="54" spans="1:112" s="6" customFormat="1">
      <c r="A54" s="607"/>
      <c r="B54" s="607"/>
      <c r="C54" s="651" t="s">
        <v>516</v>
      </c>
      <c r="D54" s="611" t="s">
        <v>517</v>
      </c>
      <c r="E54" s="611"/>
      <c r="G54" s="619">
        <f t="shared" ca="1" si="127"/>
        <v>0</v>
      </c>
      <c r="H54" s="619">
        <f t="shared" ca="1" si="127"/>
        <v>0</v>
      </c>
      <c r="I54" s="619">
        <f t="shared" ca="1" si="127"/>
        <v>0.17950357350456733</v>
      </c>
      <c r="J54" s="619">
        <f t="shared" ca="1" si="127"/>
        <v>0</v>
      </c>
      <c r="K54" s="619">
        <f t="shared" ca="1" si="127"/>
        <v>0</v>
      </c>
      <c r="L54" s="619">
        <f t="shared" ca="1" si="127"/>
        <v>0</v>
      </c>
      <c r="M54" s="619">
        <f t="shared" ca="1" si="127"/>
        <v>0</v>
      </c>
      <c r="N54" s="619">
        <f t="shared" ca="1" si="127"/>
        <v>0</v>
      </c>
      <c r="O54" s="619">
        <f t="shared" ca="1" si="127"/>
        <v>0</v>
      </c>
      <c r="P54" s="619">
        <f t="shared" ca="1" si="127"/>
        <v>0</v>
      </c>
      <c r="Q54" s="612">
        <f ca="1">SUM(G54:P54)</f>
        <v>0.17950357350456733</v>
      </c>
      <c r="S54" s="620">
        <f t="shared" ca="1" si="128"/>
        <v>-5.632506858883312E-2</v>
      </c>
      <c r="T54" s="620">
        <f t="shared" ca="1" si="128"/>
        <v>0</v>
      </c>
      <c r="U54" s="620">
        <f t="shared" ca="1" si="128"/>
        <v>-2.5149366726995451E-3</v>
      </c>
      <c r="V54" s="620">
        <f t="shared" ca="1" si="128"/>
        <v>0</v>
      </c>
      <c r="W54" s="620">
        <f t="shared" ca="1" si="128"/>
        <v>-0.12066356824303466</v>
      </c>
      <c r="X54" s="620">
        <f t="shared" ca="1" si="128"/>
        <v>7</v>
      </c>
      <c r="Y54" s="620">
        <f t="shared" ca="1" si="128"/>
        <v>0</v>
      </c>
      <c r="Z54" s="620">
        <f t="shared" ca="1" si="128"/>
        <v>1.7555282514130199</v>
      </c>
      <c r="AA54" s="620">
        <f t="shared" ca="1" si="128"/>
        <v>0</v>
      </c>
      <c r="AB54" s="620">
        <f t="shared" ca="1" si="128"/>
        <v>0</v>
      </c>
      <c r="AC54" s="620">
        <f t="shared" ca="1" si="128"/>
        <v>0</v>
      </c>
      <c r="AD54" s="620">
        <f t="shared" ca="1" si="128"/>
        <v>0</v>
      </c>
      <c r="AE54" s="620">
        <f t="shared" ca="1" si="128"/>
        <v>0</v>
      </c>
      <c r="AF54" s="620">
        <f t="shared" ca="1" si="128"/>
        <v>0</v>
      </c>
      <c r="AG54" s="620">
        <f t="shared" ca="1" si="128"/>
        <v>0</v>
      </c>
      <c r="AH54" s="620">
        <f t="shared" ca="1" si="128"/>
        <v>0</v>
      </c>
      <c r="AI54" s="620">
        <f t="shared" ca="1" si="128"/>
        <v>0</v>
      </c>
      <c r="AJ54" s="620">
        <f t="shared" ca="1" si="128"/>
        <v>0</v>
      </c>
      <c r="AK54" s="613">
        <f ca="1">SUM(S54:AJ54)</f>
        <v>8.5760246779084532</v>
      </c>
      <c r="AM54" s="621">
        <f t="shared" ca="1" si="129"/>
        <v>-7</v>
      </c>
      <c r="AN54" s="621">
        <f t="shared" ca="1" si="129"/>
        <v>0</v>
      </c>
      <c r="AO54" s="621">
        <f t="shared" ca="1" si="129"/>
        <v>-1.7555282514130199</v>
      </c>
      <c r="AP54" s="621">
        <f t="shared" ca="1" si="129"/>
        <v>0</v>
      </c>
      <c r="AQ54" s="621">
        <f t="shared" ca="1" si="129"/>
        <v>0</v>
      </c>
      <c r="AR54" s="621">
        <f t="shared" ca="1" si="129"/>
        <v>0</v>
      </c>
      <c r="AS54" s="621">
        <f t="shared" ca="1" si="129"/>
        <v>0</v>
      </c>
      <c r="AT54" s="621">
        <f t="shared" ca="1" si="129"/>
        <v>0</v>
      </c>
      <c r="AU54" s="621">
        <f t="shared" ca="1" si="129"/>
        <v>0</v>
      </c>
      <c r="AV54" s="621">
        <f t="shared" ca="1" si="129"/>
        <v>0</v>
      </c>
      <c r="AW54" s="621">
        <f t="shared" ca="1" si="129"/>
        <v>0</v>
      </c>
      <c r="AX54" s="621">
        <f t="shared" ca="1" si="129"/>
        <v>0</v>
      </c>
      <c r="AY54" s="621">
        <f t="shared" ca="1" si="129"/>
        <v>0</v>
      </c>
      <c r="AZ54" s="621">
        <f t="shared" ca="1" si="129"/>
        <v>0</v>
      </c>
      <c r="BA54" s="621">
        <f t="shared" ca="1" si="129"/>
        <v>0</v>
      </c>
      <c r="BB54" s="621">
        <f t="shared" ca="1" si="129"/>
        <v>0</v>
      </c>
      <c r="BC54" s="621">
        <f t="shared" ca="1" si="130"/>
        <v>0</v>
      </c>
      <c r="BD54" s="621">
        <f t="shared" ca="1" si="130"/>
        <v>0</v>
      </c>
      <c r="BE54" s="621">
        <f t="shared" ca="1" si="130"/>
        <v>0</v>
      </c>
      <c r="BF54" s="615">
        <f ca="1">SUM(AM54:BE54)</f>
        <v>-8.7555282514130202</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31"/>
        <v>2.3654063230198457E-2</v>
      </c>
      <c r="BP54" s="2792">
        <f t="shared" ca="1" si="131"/>
        <v>8.7350366264119374E-6</v>
      </c>
      <c r="BQ54" s="2792">
        <f t="shared" ca="1" si="131"/>
        <v>3.7394275843544432E-4</v>
      </c>
      <c r="BR54" s="2792">
        <f t="shared" ca="1" si="131"/>
        <v>0</v>
      </c>
      <c r="BS54" s="2792">
        <f t="shared" ca="1" si="131"/>
        <v>0</v>
      </c>
      <c r="BT54" s="2792">
        <f t="shared" ca="1" si="131"/>
        <v>0</v>
      </c>
      <c r="BU54" s="2792">
        <f t="shared" ca="1" si="131"/>
        <v>0</v>
      </c>
      <c r="BV54" s="2792">
        <f t="shared" ca="1" si="131"/>
        <v>0</v>
      </c>
      <c r="BW54" s="2792">
        <f t="shared" ca="1" si="131"/>
        <v>0</v>
      </c>
      <c r="BX54" s="2792">
        <f t="shared" ca="1" si="131"/>
        <v>0</v>
      </c>
      <c r="BY54" s="2792">
        <f t="shared" ca="1" si="132"/>
        <v>0</v>
      </c>
      <c r="BZ54" s="2792">
        <f t="shared" ca="1" si="132"/>
        <v>0</v>
      </c>
      <c r="CA54" s="2792">
        <f t="shared" ca="1" si="132"/>
        <v>0</v>
      </c>
      <c r="CB54" s="2792">
        <f t="shared" ca="1" si="132"/>
        <v>0</v>
      </c>
      <c r="CC54" s="2792">
        <f t="shared" ca="1" si="132"/>
        <v>0</v>
      </c>
      <c r="CD54" s="2792">
        <f t="shared" ca="1" si="132"/>
        <v>0</v>
      </c>
      <c r="CE54" s="2792">
        <f t="shared" ca="1" si="132"/>
        <v>0</v>
      </c>
      <c r="CF54" s="2792">
        <f t="shared" ca="1" si="132"/>
        <v>0</v>
      </c>
      <c r="CG54" s="2792">
        <f t="shared" ca="1" si="132"/>
        <v>0</v>
      </c>
      <c r="CH54" s="2792">
        <f t="shared" ca="1" si="132"/>
        <v>0</v>
      </c>
      <c r="CI54" s="2792">
        <f t="shared" ca="1" si="133"/>
        <v>0</v>
      </c>
      <c r="CJ54" s="2792">
        <f t="shared" ca="1" si="133"/>
        <v>0</v>
      </c>
      <c r="CK54" s="2792">
        <f t="shared" ca="1" si="133"/>
        <v>0</v>
      </c>
      <c r="CL54" s="2792">
        <f t="shared" ca="1" si="133"/>
        <v>0</v>
      </c>
      <c r="CM54" s="2792">
        <f t="shared" ca="1" si="133"/>
        <v>0</v>
      </c>
      <c r="CN54" s="2792">
        <f t="shared" ca="1" si="133"/>
        <v>0</v>
      </c>
      <c r="CO54" s="2792">
        <f t="shared" ca="1" si="133"/>
        <v>0</v>
      </c>
      <c r="CP54" s="2792">
        <f t="shared" ca="1" si="133"/>
        <v>0</v>
      </c>
      <c r="CQ54" s="2792">
        <f t="shared" ca="1" si="133"/>
        <v>0</v>
      </c>
      <c r="CR54" s="2792">
        <f t="shared" ca="1" si="133"/>
        <v>0</v>
      </c>
      <c r="CS54" s="2792">
        <f t="shared" ca="1" si="134"/>
        <v>0</v>
      </c>
      <c r="CT54" s="2792">
        <f t="shared" ca="1" si="134"/>
        <v>0</v>
      </c>
      <c r="CU54" s="2792">
        <f t="shared" ca="1" si="134"/>
        <v>0</v>
      </c>
      <c r="CV54" s="2792">
        <f t="shared" ca="1" si="134"/>
        <v>0</v>
      </c>
      <c r="CW54" s="2792">
        <f t="shared" ca="1" si="134"/>
        <v>0</v>
      </c>
      <c r="CX54" s="2792">
        <f t="shared" ca="1" si="134"/>
        <v>0</v>
      </c>
      <c r="CY54" s="2792">
        <f t="shared" ca="1" si="134"/>
        <v>0</v>
      </c>
      <c r="CZ54" s="2792">
        <f t="shared" ca="1" si="134"/>
        <v>0</v>
      </c>
      <c r="DA54" s="2792">
        <f t="shared" ca="1" si="134"/>
        <v>0</v>
      </c>
      <c r="DB54" s="2792">
        <f t="shared" ca="1" si="134"/>
        <v>0</v>
      </c>
      <c r="DC54" s="2792">
        <f t="shared" ca="1" si="134"/>
        <v>0</v>
      </c>
      <c r="DD54" s="2792">
        <f t="shared" ca="1" si="134"/>
        <v>0</v>
      </c>
      <c r="DE54" s="2792">
        <f t="shared" ca="1" si="134"/>
        <v>0</v>
      </c>
      <c r="DF54" s="2792">
        <f t="shared" ca="1" si="134"/>
        <v>0</v>
      </c>
      <c r="DH54" s="596">
        <f t="shared" ca="1" si="113"/>
        <v>2.4036741025260315E-2</v>
      </c>
    </row>
    <row r="55" spans="1:112" s="6" customFormat="1" ht="15.75">
      <c r="A55" s="652"/>
      <c r="B55" s="653"/>
      <c r="C55" s="616" t="s">
        <v>518</v>
      </c>
      <c r="D55" s="617" t="s">
        <v>519</v>
      </c>
      <c r="E55" s="206"/>
      <c r="G55" s="618">
        <f ca="1">SUM(G53:G54)</f>
        <v>0</v>
      </c>
      <c r="H55" s="618">
        <f t="shared" ref="H55:P55" ca="1" si="135">SUM(H53:H54)</f>
        <v>0</v>
      </c>
      <c r="I55" s="618">
        <f t="shared" ca="1" si="135"/>
        <v>0.17950357350456733</v>
      </c>
      <c r="J55" s="618">
        <f t="shared" ca="1" si="135"/>
        <v>0</v>
      </c>
      <c r="K55" s="618">
        <f t="shared" ca="1" si="135"/>
        <v>0</v>
      </c>
      <c r="L55" s="618">
        <f t="shared" ca="1" si="135"/>
        <v>0</v>
      </c>
      <c r="M55" s="618">
        <f t="shared" ca="1" si="135"/>
        <v>0</v>
      </c>
      <c r="N55" s="618">
        <f t="shared" ca="1" si="135"/>
        <v>0</v>
      </c>
      <c r="O55" s="618">
        <f t="shared" ca="1" si="135"/>
        <v>0</v>
      </c>
      <c r="P55" s="618">
        <f t="shared" ca="1" si="135"/>
        <v>0</v>
      </c>
      <c r="Q55" s="618">
        <f ca="1">SUM(G55:P55)</f>
        <v>0.17950357350456733</v>
      </c>
      <c r="S55" s="581">
        <f t="shared" ref="S55:AJ55" ca="1" si="136">SUM(S53:S54)</f>
        <v>-0.28231317341245338</v>
      </c>
      <c r="T55" s="581">
        <f t="shared" ca="1" si="136"/>
        <v>0</v>
      </c>
      <c r="U55" s="581">
        <f t="shared" ca="1" si="136"/>
        <v>-2.5149366726995451E-3</v>
      </c>
      <c r="V55" s="581">
        <f t="shared" ca="1" si="136"/>
        <v>-1.8522858135888711</v>
      </c>
      <c r="W55" s="581">
        <f t="shared" ca="1" si="136"/>
        <v>-0.20306552149173851</v>
      </c>
      <c r="X55" s="581">
        <f ca="1">SUM(X53:X54)</f>
        <v>7</v>
      </c>
      <c r="Y55" s="581">
        <f ca="1">SUM(Y53:Y54)</f>
        <v>0</v>
      </c>
      <c r="Z55" s="581">
        <f ca="1">SUM(Z53:Z54)</f>
        <v>1.7555282514130199</v>
      </c>
      <c r="AA55" s="581">
        <f t="shared" ca="1" si="136"/>
        <v>0</v>
      </c>
      <c r="AB55" s="581">
        <f t="shared" ca="1" si="136"/>
        <v>-2.6537999724419409E-2</v>
      </c>
      <c r="AC55" s="581">
        <f t="shared" ca="1" si="136"/>
        <v>0</v>
      </c>
      <c r="AD55" s="581">
        <f ca="1">SUM(AD53:AD54)</f>
        <v>0</v>
      </c>
      <c r="AE55" s="581">
        <f ca="1">SUM(AE53:AE54)</f>
        <v>0</v>
      </c>
      <c r="AF55" s="581">
        <f t="shared" ca="1" si="136"/>
        <v>0</v>
      </c>
      <c r="AG55" s="581">
        <f ca="1">SUM(AG53:AG54)</f>
        <v>0</v>
      </c>
      <c r="AH55" s="581">
        <f ca="1">SUM(AH53:AH54)</f>
        <v>0</v>
      </c>
      <c r="AI55" s="581">
        <f ca="1">SUM(AI53:AI54)</f>
        <v>0</v>
      </c>
      <c r="AJ55" s="581">
        <f t="shared" ca="1" si="136"/>
        <v>0</v>
      </c>
      <c r="AK55" s="581">
        <f ca="1">SUM(S55:AJ55)</f>
        <v>6.3888108065228382</v>
      </c>
      <c r="AM55" s="582">
        <f t="shared" ref="AM55:BE55" ca="1" si="137">SUM(AM53:AM54)</f>
        <v>-7</v>
      </c>
      <c r="AN55" s="582">
        <f t="shared" ca="1" si="137"/>
        <v>0</v>
      </c>
      <c r="AO55" s="582">
        <f t="shared" ca="1" si="137"/>
        <v>-1.7555282514130199</v>
      </c>
      <c r="AP55" s="582">
        <f t="shared" ca="1" si="137"/>
        <v>0</v>
      </c>
      <c r="AQ55" s="582">
        <f t="shared" ca="1" si="137"/>
        <v>0</v>
      </c>
      <c r="AR55" s="582">
        <f t="shared" ca="1" si="137"/>
        <v>0</v>
      </c>
      <c r="AS55" s="582">
        <f t="shared" ca="1" si="137"/>
        <v>0</v>
      </c>
      <c r="AT55" s="582">
        <f t="shared" ca="1" si="137"/>
        <v>0</v>
      </c>
      <c r="AU55" s="582">
        <f t="shared" ca="1" si="137"/>
        <v>0</v>
      </c>
      <c r="AV55" s="582">
        <f t="shared" ca="1" si="137"/>
        <v>0</v>
      </c>
      <c r="AW55" s="582">
        <f t="shared" ca="1" si="137"/>
        <v>0</v>
      </c>
      <c r="AX55" s="582">
        <f t="shared" ca="1" si="137"/>
        <v>0</v>
      </c>
      <c r="AY55" s="582">
        <f t="shared" ca="1" si="137"/>
        <v>0</v>
      </c>
      <c r="AZ55" s="582">
        <f t="shared" ca="1" si="137"/>
        <v>0</v>
      </c>
      <c r="BA55" s="582">
        <f t="shared" ca="1" si="137"/>
        <v>0</v>
      </c>
      <c r="BB55" s="582">
        <f t="shared" ca="1" si="137"/>
        <v>0</v>
      </c>
      <c r="BC55" s="582">
        <f t="shared" ca="1" si="137"/>
        <v>0</v>
      </c>
      <c r="BD55" s="582">
        <f ca="1">SUM(BD53:BD54)</f>
        <v>0</v>
      </c>
      <c r="BE55" s="582">
        <f t="shared" ca="1" si="137"/>
        <v>0</v>
      </c>
      <c r="BF55" s="582">
        <f ca="1">SUM(AM55:BE55)</f>
        <v>-8.7555282514130202</v>
      </c>
      <c r="BH55" s="3463">
        <f ca="1">SUM(BH53:BH54)</f>
        <v>0</v>
      </c>
      <c r="BI55" s="3463">
        <f ca="1">SUM(BI53:BI54)</f>
        <v>2.1872138713856146</v>
      </c>
      <c r="BJ55" s="3463">
        <f ca="1">SUM(BH55:BI55)</f>
        <v>2.1872138713856146</v>
      </c>
      <c r="BL55" s="3477">
        <f t="shared" ref="BL55:BL63" ca="1" si="138">Q55+AK55+BF55+BJ55</f>
        <v>0</v>
      </c>
      <c r="BM55" s="654"/>
      <c r="BN55" s="413"/>
      <c r="BO55" s="2789">
        <f t="shared" ref="BO55:DF55" ca="1" si="139">SUM(BO53:BO54)</f>
        <v>0.52930467047144825</v>
      </c>
      <c r="BP55" s="2790">
        <f t="shared" ca="1" si="139"/>
        <v>4.3506304681396993E-4</v>
      </c>
      <c r="BQ55" s="2790">
        <f t="shared" ca="1" si="139"/>
        <v>1.8809190207086577E-3</v>
      </c>
      <c r="BR55" s="2790">
        <f t="shared" ca="1" si="139"/>
        <v>0</v>
      </c>
      <c r="BS55" s="2790">
        <f t="shared" ca="1" si="139"/>
        <v>0</v>
      </c>
      <c r="BT55" s="2790">
        <f t="shared" ca="1" si="139"/>
        <v>0</v>
      </c>
      <c r="BU55" s="2790">
        <f t="shared" ca="1" si="139"/>
        <v>0</v>
      </c>
      <c r="BV55" s="2790">
        <f t="shared" ca="1" si="139"/>
        <v>0</v>
      </c>
      <c r="BW55" s="2790">
        <f t="shared" ca="1" si="139"/>
        <v>0</v>
      </c>
      <c r="BX55" s="2790">
        <f t="shared" ca="1" si="139"/>
        <v>0</v>
      </c>
      <c r="BY55" s="2790">
        <f t="shared" ca="1" si="139"/>
        <v>0</v>
      </c>
      <c r="BZ55" s="2790">
        <f t="shared" ca="1" si="139"/>
        <v>0</v>
      </c>
      <c r="CA55" s="2790">
        <f t="shared" ca="1" si="139"/>
        <v>0</v>
      </c>
      <c r="CB55" s="2790">
        <f t="shared" ca="1" si="139"/>
        <v>0</v>
      </c>
      <c r="CC55" s="2790">
        <f t="shared" ca="1" si="139"/>
        <v>0</v>
      </c>
      <c r="CD55" s="2790">
        <f t="shared" ca="1" si="139"/>
        <v>0</v>
      </c>
      <c r="CE55" s="2790">
        <f t="shared" ca="1" si="139"/>
        <v>0</v>
      </c>
      <c r="CF55" s="2790">
        <f t="shared" ca="1" si="139"/>
        <v>0</v>
      </c>
      <c r="CG55" s="2790">
        <f t="shared" ca="1" si="139"/>
        <v>0</v>
      </c>
      <c r="CH55" s="2790">
        <f t="shared" ca="1" si="139"/>
        <v>0</v>
      </c>
      <c r="CI55" s="2790">
        <f t="shared" ca="1" si="139"/>
        <v>0</v>
      </c>
      <c r="CJ55" s="2790">
        <f t="shared" ca="1" si="139"/>
        <v>0</v>
      </c>
      <c r="CK55" s="2790">
        <f t="shared" ca="1" si="139"/>
        <v>0</v>
      </c>
      <c r="CL55" s="2790">
        <f t="shared" ca="1" si="139"/>
        <v>0</v>
      </c>
      <c r="CM55" s="2790">
        <f t="shared" ca="1" si="139"/>
        <v>0</v>
      </c>
      <c r="CN55" s="2790">
        <f t="shared" ca="1" si="139"/>
        <v>0</v>
      </c>
      <c r="CO55" s="2790">
        <f t="shared" ca="1" si="139"/>
        <v>0</v>
      </c>
      <c r="CP55" s="2790">
        <f t="shared" ca="1" si="139"/>
        <v>0</v>
      </c>
      <c r="CQ55" s="2790">
        <f t="shared" ca="1" si="139"/>
        <v>0</v>
      </c>
      <c r="CR55" s="2790">
        <f t="shared" ca="1" si="139"/>
        <v>0</v>
      </c>
      <c r="CS55" s="2790">
        <f t="shared" ca="1" si="139"/>
        <v>0</v>
      </c>
      <c r="CT55" s="2790">
        <f t="shared" ca="1" si="139"/>
        <v>0</v>
      </c>
      <c r="CU55" s="2790">
        <f t="shared" ca="1" si="139"/>
        <v>0</v>
      </c>
      <c r="CV55" s="2790">
        <f t="shared" ca="1" si="139"/>
        <v>0</v>
      </c>
      <c r="CW55" s="2790">
        <f t="shared" ca="1" si="139"/>
        <v>0</v>
      </c>
      <c r="CX55" s="2790">
        <f t="shared" ca="1" si="139"/>
        <v>0</v>
      </c>
      <c r="CY55" s="2790">
        <f t="shared" ca="1" si="139"/>
        <v>0</v>
      </c>
      <c r="CZ55" s="2790">
        <f t="shared" ca="1" si="139"/>
        <v>0</v>
      </c>
      <c r="DA55" s="2790">
        <f t="shared" ca="1" si="139"/>
        <v>0</v>
      </c>
      <c r="DB55" s="2790">
        <f t="shared" ca="1" si="139"/>
        <v>0</v>
      </c>
      <c r="DC55" s="2790">
        <f t="shared" ca="1" si="139"/>
        <v>0</v>
      </c>
      <c r="DD55" s="2790">
        <f t="shared" ca="1" si="139"/>
        <v>0</v>
      </c>
      <c r="DE55" s="2790">
        <f t="shared" ca="1" si="139"/>
        <v>0</v>
      </c>
      <c r="DF55" s="2790">
        <f t="shared" ca="1" si="139"/>
        <v>0</v>
      </c>
      <c r="DH55" s="596">
        <f t="shared" ca="1" si="113"/>
        <v>0.53162065253897084</v>
      </c>
    </row>
    <row r="56" spans="1:112" s="6" customFormat="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38"/>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13"/>
        <v>0</v>
      </c>
    </row>
    <row r="57" spans="1:112" s="607" customFormat="1">
      <c r="C57" s="587" t="s">
        <v>520</v>
      </c>
      <c r="D57" s="588" t="s">
        <v>521</v>
      </c>
      <c r="E57" s="588"/>
      <c r="F57" s="6"/>
      <c r="G57" s="589">
        <f t="shared" ref="G57:P62" ca="1" si="140">IFERROR(INDEX(INDIRECT($C57&amp;".Outputs["&amp;this.Year&amp;"]"), MATCH(G$5, INDIRECT($C57&amp;".Outputs[Vector]"), 0)), 0)</f>
        <v>0</v>
      </c>
      <c r="H57" s="589">
        <f t="shared" ca="1" si="140"/>
        <v>0</v>
      </c>
      <c r="I57" s="589">
        <f t="shared" ca="1" si="140"/>
        <v>0</v>
      </c>
      <c r="J57" s="589">
        <f t="shared" ca="1" si="140"/>
        <v>0</v>
      </c>
      <c r="K57" s="589">
        <f t="shared" ca="1" si="140"/>
        <v>0</v>
      </c>
      <c r="L57" s="589">
        <f t="shared" ca="1" si="140"/>
        <v>0</v>
      </c>
      <c r="M57" s="589">
        <f t="shared" ca="1" si="140"/>
        <v>0</v>
      </c>
      <c r="N57" s="589">
        <f t="shared" ca="1" si="140"/>
        <v>0</v>
      </c>
      <c r="O57" s="589">
        <f t="shared" ca="1" si="140"/>
        <v>0</v>
      </c>
      <c r="P57" s="589">
        <f t="shared" ca="1" si="140"/>
        <v>0</v>
      </c>
      <c r="Q57" s="590">
        <f t="shared" ref="Q57:Q63" ca="1" si="141">SUM(G57:P57)</f>
        <v>0</v>
      </c>
      <c r="R57" s="6"/>
      <c r="S57" s="591">
        <f t="shared" ref="S57:AJ62" ca="1" si="142">IFERROR(INDEX(INDIRECT($C57&amp;".Outputs["&amp;this.Year&amp;"]"), MATCH(S$5, INDIRECT($C57&amp;".Outputs[Vector]"), 0)), 0)</f>
        <v>0</v>
      </c>
      <c r="T57" s="591">
        <f t="shared" ca="1" si="142"/>
        <v>5.5339757999999994</v>
      </c>
      <c r="U57" s="591">
        <f t="shared" ca="1" si="142"/>
        <v>0</v>
      </c>
      <c r="V57" s="591">
        <f t="shared" ca="1" si="142"/>
        <v>0</v>
      </c>
      <c r="W57" s="591">
        <f t="shared" ca="1" si="142"/>
        <v>0</v>
      </c>
      <c r="X57" s="591">
        <f t="shared" ca="1" si="142"/>
        <v>0</v>
      </c>
      <c r="Y57" s="591">
        <f t="shared" ca="1" si="142"/>
        <v>0</v>
      </c>
      <c r="Z57" s="591">
        <f t="shared" ca="1" si="142"/>
        <v>0</v>
      </c>
      <c r="AA57" s="591">
        <f t="shared" ca="1" si="142"/>
        <v>0</v>
      </c>
      <c r="AB57" s="591">
        <f t="shared" ca="1" si="142"/>
        <v>0</v>
      </c>
      <c r="AC57" s="591">
        <f t="shared" ca="1" si="142"/>
        <v>0</v>
      </c>
      <c r="AD57" s="591">
        <f t="shared" ca="1" si="142"/>
        <v>0</v>
      </c>
      <c r="AE57" s="591">
        <f t="shared" ca="1" si="142"/>
        <v>0</v>
      </c>
      <c r="AF57" s="591">
        <f t="shared" ca="1" si="142"/>
        <v>0</v>
      </c>
      <c r="AG57" s="591">
        <f t="shared" ca="1" si="142"/>
        <v>0</v>
      </c>
      <c r="AH57" s="591">
        <f t="shared" ca="1" si="142"/>
        <v>0</v>
      </c>
      <c r="AI57" s="591">
        <f t="shared" ca="1" si="142"/>
        <v>0</v>
      </c>
      <c r="AJ57" s="591">
        <f t="shared" ca="1" si="142"/>
        <v>0</v>
      </c>
      <c r="AK57" s="592">
        <f t="shared" ref="AK57:AK63" ca="1" si="143">SUM(S57:AJ57)</f>
        <v>5.5339757999999994</v>
      </c>
      <c r="AL57" s="6"/>
      <c r="AM57" s="593">
        <f t="shared" ref="AM57:BB62" ca="1" si="144">IFERROR(INDEX(INDIRECT($C57&amp;".Outputs["&amp;this.Year&amp;"]"), MATCH(AM$5, INDIRECT($C57&amp;".Outputs[Vector]"), 0)), 0)</f>
        <v>0</v>
      </c>
      <c r="AN57" s="593">
        <f t="shared" ca="1" si="144"/>
        <v>0</v>
      </c>
      <c r="AO57" s="593">
        <f t="shared" ca="1" si="144"/>
        <v>0</v>
      </c>
      <c r="AP57" s="593">
        <f t="shared" ca="1" si="144"/>
        <v>0</v>
      </c>
      <c r="AQ57" s="593">
        <f t="shared" ca="1" si="144"/>
        <v>0</v>
      </c>
      <c r="AR57" s="593">
        <f t="shared" ca="1" si="144"/>
        <v>0</v>
      </c>
      <c r="AS57" s="593">
        <f t="shared" ca="1" si="144"/>
        <v>0</v>
      </c>
      <c r="AT57" s="593">
        <f t="shared" ca="1" si="144"/>
        <v>0</v>
      </c>
      <c r="AU57" s="593">
        <f t="shared" ca="1" si="144"/>
        <v>0</v>
      </c>
      <c r="AV57" s="593">
        <f t="shared" ca="1" si="144"/>
        <v>0</v>
      </c>
      <c r="AW57" s="593">
        <f t="shared" ca="1" si="144"/>
        <v>0</v>
      </c>
      <c r="AX57" s="593">
        <f t="shared" ca="1" si="144"/>
        <v>-5.5339757999999994</v>
      </c>
      <c r="AY57" s="593">
        <f t="shared" ca="1" si="144"/>
        <v>0</v>
      </c>
      <c r="AZ57" s="593">
        <f t="shared" ca="1" si="144"/>
        <v>0</v>
      </c>
      <c r="BA57" s="593">
        <f t="shared" ca="1" si="144"/>
        <v>0</v>
      </c>
      <c r="BB57" s="593">
        <f t="shared" ca="1" si="144"/>
        <v>0</v>
      </c>
      <c r="BC57" s="593">
        <f t="shared" ref="BC57:BE62" ca="1" si="145">IFERROR(INDEX(INDIRECT($C57&amp;".Outputs["&amp;this.Year&amp;"]"), MATCH(BC$5, INDIRECT($C57&amp;".Outputs[Vector]"), 0)), 0)</f>
        <v>0</v>
      </c>
      <c r="BD57" s="593">
        <f t="shared" ca="1" si="145"/>
        <v>0</v>
      </c>
      <c r="BE57" s="593">
        <f t="shared" ca="1" si="145"/>
        <v>0</v>
      </c>
      <c r="BF57" s="609">
        <f t="shared" ref="BF57:BF63" ca="1" si="146">SUM(AM57:BE57)</f>
        <v>-5.5339757999999994</v>
      </c>
      <c r="BG57" s="6"/>
      <c r="BH57" s="3471">
        <f t="shared" ref="BH57:BI62" ca="1" si="147">IFERROR(INDEX(INDIRECT($C57&amp;".Outputs["&amp;this.Year&amp;"]"), MATCH(BH$5, INDIRECT($C57&amp;".Outputs[Vector]"), 0)), 0)</f>
        <v>0</v>
      </c>
      <c r="BI57" s="3471">
        <f t="shared" ca="1" si="147"/>
        <v>0</v>
      </c>
      <c r="BJ57" s="3460">
        <f t="shared" ref="BJ57:BJ63" ca="1" si="148">SUM(BH57:BI57)</f>
        <v>0</v>
      </c>
      <c r="BK57" s="6"/>
      <c r="BL57" s="610">
        <f t="shared" ca="1" si="138"/>
        <v>0</v>
      </c>
      <c r="BM57" s="610"/>
      <c r="BN57" s="413"/>
      <c r="BO57" s="2789">
        <f t="shared" ref="BO57:BX62" ca="1" si="149">IFERROR(SUMIFS(INDIRECT($C57&amp;".Emissions["&amp;this.Year&amp;"]"), INDIRECT($C57&amp;".Emissions[GHG]"), BO$6, INDIRECT($C57&amp;".Emissions[IPCC Sector]"), BO$5),0)</f>
        <v>0</v>
      </c>
      <c r="BP57" s="2790">
        <f t="shared" ca="1" si="149"/>
        <v>0</v>
      </c>
      <c r="BQ57" s="2790">
        <f t="shared" ca="1" si="149"/>
        <v>0</v>
      </c>
      <c r="BR57" s="2790">
        <f t="shared" ca="1" si="149"/>
        <v>0</v>
      </c>
      <c r="BS57" s="2790">
        <f t="shared" ca="1" si="149"/>
        <v>0</v>
      </c>
      <c r="BT57" s="2790">
        <f t="shared" ca="1" si="149"/>
        <v>0</v>
      </c>
      <c r="BU57" s="2790">
        <f t="shared" ca="1" si="149"/>
        <v>0</v>
      </c>
      <c r="BV57" s="2790">
        <f t="shared" ca="1" si="149"/>
        <v>0</v>
      </c>
      <c r="BW57" s="2790">
        <f t="shared" ca="1" si="149"/>
        <v>0</v>
      </c>
      <c r="BX57" s="2790">
        <f t="shared" ca="1" si="149"/>
        <v>0</v>
      </c>
      <c r="BY57" s="2790">
        <f t="shared" ref="BY57:CH62" ca="1" si="150">IFERROR(SUMIFS(INDIRECT($C57&amp;".Emissions["&amp;this.Year&amp;"]"), INDIRECT($C57&amp;".Emissions[GHG]"), BY$6, INDIRECT($C57&amp;".Emissions[IPCC Sector]"), BY$5),0)</f>
        <v>0</v>
      </c>
      <c r="BZ57" s="2790">
        <f t="shared" ca="1" si="150"/>
        <v>0</v>
      </c>
      <c r="CA57" s="2790">
        <f t="shared" ca="1" si="150"/>
        <v>0</v>
      </c>
      <c r="CB57" s="2790">
        <f t="shared" ca="1" si="150"/>
        <v>0</v>
      </c>
      <c r="CC57" s="2790">
        <f t="shared" ca="1" si="150"/>
        <v>0</v>
      </c>
      <c r="CD57" s="2790">
        <f t="shared" ca="1" si="150"/>
        <v>0</v>
      </c>
      <c r="CE57" s="2790">
        <f t="shared" ca="1" si="150"/>
        <v>0</v>
      </c>
      <c r="CF57" s="2790">
        <f t="shared" ca="1" si="150"/>
        <v>0</v>
      </c>
      <c r="CG57" s="2790">
        <f t="shared" ca="1" si="150"/>
        <v>0</v>
      </c>
      <c r="CH57" s="2790">
        <f t="shared" ca="1" si="150"/>
        <v>0</v>
      </c>
      <c r="CI57" s="2790">
        <f t="shared" ref="CI57:CR62" ca="1" si="151">IFERROR(SUMIFS(INDIRECT($C57&amp;".Emissions["&amp;this.Year&amp;"]"), INDIRECT($C57&amp;".Emissions[GHG]"), CI$6, INDIRECT($C57&amp;".Emissions[IPCC Sector]"), CI$5),0)</f>
        <v>0</v>
      </c>
      <c r="CJ57" s="2790">
        <f t="shared" ca="1" si="151"/>
        <v>0</v>
      </c>
      <c r="CK57" s="2790">
        <f t="shared" ca="1" si="151"/>
        <v>0</v>
      </c>
      <c r="CL57" s="2790">
        <f t="shared" ca="1" si="151"/>
        <v>0</v>
      </c>
      <c r="CM57" s="2790">
        <f t="shared" ca="1" si="151"/>
        <v>0</v>
      </c>
      <c r="CN57" s="2790">
        <f t="shared" ca="1" si="151"/>
        <v>0</v>
      </c>
      <c r="CO57" s="2790">
        <f t="shared" ca="1" si="151"/>
        <v>0</v>
      </c>
      <c r="CP57" s="2790">
        <f t="shared" ca="1" si="151"/>
        <v>0</v>
      </c>
      <c r="CQ57" s="2790">
        <f t="shared" ca="1" si="151"/>
        <v>0</v>
      </c>
      <c r="CR57" s="2790">
        <f t="shared" ca="1" si="151"/>
        <v>0</v>
      </c>
      <c r="CS57" s="2790">
        <f t="shared" ref="CS57:DF62" ca="1" si="152">IFERROR(SUMIFS(INDIRECT($C57&amp;".Emissions["&amp;this.Year&amp;"]"), INDIRECT($C57&amp;".Emissions[GHG]"), CS$6, INDIRECT($C57&amp;".Emissions[IPCC Sector]"), CS$5),0)</f>
        <v>0</v>
      </c>
      <c r="CT57" s="2790">
        <f t="shared" ca="1" si="152"/>
        <v>0</v>
      </c>
      <c r="CU57" s="2790">
        <f t="shared" ca="1" si="152"/>
        <v>0</v>
      </c>
      <c r="CV57" s="2790">
        <f t="shared" ca="1" si="152"/>
        <v>0</v>
      </c>
      <c r="CW57" s="2790">
        <f t="shared" ca="1" si="152"/>
        <v>0</v>
      </c>
      <c r="CX57" s="2790">
        <f t="shared" ca="1" si="152"/>
        <v>0</v>
      </c>
      <c r="CY57" s="2790">
        <f t="shared" ca="1" si="152"/>
        <v>0</v>
      </c>
      <c r="CZ57" s="2790">
        <f t="shared" ca="1" si="152"/>
        <v>0</v>
      </c>
      <c r="DA57" s="2790">
        <f t="shared" ca="1" si="152"/>
        <v>0</v>
      </c>
      <c r="DB57" s="2790">
        <f t="shared" ca="1" si="152"/>
        <v>0</v>
      </c>
      <c r="DC57" s="2790">
        <f t="shared" ca="1" si="152"/>
        <v>0</v>
      </c>
      <c r="DD57" s="2790">
        <f t="shared" ca="1" si="152"/>
        <v>0</v>
      </c>
      <c r="DE57" s="2790">
        <f t="shared" ca="1" si="152"/>
        <v>0</v>
      </c>
      <c r="DF57" s="2790">
        <f t="shared" ca="1" si="152"/>
        <v>0</v>
      </c>
      <c r="DH57" s="596">
        <f t="shared" ca="1" si="113"/>
        <v>0</v>
      </c>
    </row>
    <row r="58" spans="1:112" s="607" customFormat="1">
      <c r="C58" s="587" t="s">
        <v>522</v>
      </c>
      <c r="D58" s="588" t="s">
        <v>523</v>
      </c>
      <c r="E58" s="588"/>
      <c r="F58" s="6"/>
      <c r="G58" s="589">
        <f t="shared" ca="1" si="140"/>
        <v>0</v>
      </c>
      <c r="H58" s="589">
        <f t="shared" ca="1" si="140"/>
        <v>0</v>
      </c>
      <c r="I58" s="589">
        <f t="shared" ca="1" si="140"/>
        <v>0</v>
      </c>
      <c r="J58" s="589">
        <f t="shared" ca="1" si="140"/>
        <v>0</v>
      </c>
      <c r="K58" s="589">
        <f t="shared" ca="1" si="140"/>
        <v>0</v>
      </c>
      <c r="L58" s="589">
        <f t="shared" ca="1" si="140"/>
        <v>0</v>
      </c>
      <c r="M58" s="589">
        <f t="shared" ca="1" si="140"/>
        <v>0</v>
      </c>
      <c r="N58" s="589">
        <f t="shared" ca="1" si="140"/>
        <v>0</v>
      </c>
      <c r="O58" s="589">
        <f t="shared" ca="1" si="140"/>
        <v>0</v>
      </c>
      <c r="P58" s="589">
        <f t="shared" ca="1" si="140"/>
        <v>0</v>
      </c>
      <c r="Q58" s="590">
        <f ca="1">SUM(G58:P58)</f>
        <v>0</v>
      </c>
      <c r="R58" s="6"/>
      <c r="S58" s="591">
        <f t="shared" ca="1" si="142"/>
        <v>0</v>
      </c>
      <c r="T58" s="591">
        <f t="shared" ca="1" si="142"/>
        <v>8.3277000000000018E-2</v>
      </c>
      <c r="U58" s="591">
        <f t="shared" ca="1" si="142"/>
        <v>0</v>
      </c>
      <c r="V58" s="591">
        <f t="shared" ca="1" si="142"/>
        <v>0</v>
      </c>
      <c r="W58" s="591">
        <f t="shared" ca="1" si="142"/>
        <v>0</v>
      </c>
      <c r="X58" s="591">
        <f t="shared" ca="1" si="142"/>
        <v>0</v>
      </c>
      <c r="Y58" s="591">
        <f t="shared" ca="1" si="142"/>
        <v>0</v>
      </c>
      <c r="Z58" s="591">
        <f t="shared" ca="1" si="142"/>
        <v>0</v>
      </c>
      <c r="AA58" s="591">
        <f t="shared" ca="1" si="142"/>
        <v>0</v>
      </c>
      <c r="AB58" s="591">
        <f t="shared" ca="1" si="142"/>
        <v>0</v>
      </c>
      <c r="AC58" s="591">
        <f t="shared" ca="1" si="142"/>
        <v>0</v>
      </c>
      <c r="AD58" s="591">
        <f t="shared" ca="1" si="142"/>
        <v>0</v>
      </c>
      <c r="AE58" s="591">
        <f t="shared" ca="1" si="142"/>
        <v>0</v>
      </c>
      <c r="AF58" s="591">
        <f t="shared" ca="1" si="142"/>
        <v>0</v>
      </c>
      <c r="AG58" s="591">
        <f t="shared" ca="1" si="142"/>
        <v>0</v>
      </c>
      <c r="AH58" s="591">
        <f t="shared" ca="1" si="142"/>
        <v>0</v>
      </c>
      <c r="AI58" s="591">
        <f t="shared" ca="1" si="142"/>
        <v>0</v>
      </c>
      <c r="AJ58" s="591">
        <f t="shared" ca="1" si="142"/>
        <v>0</v>
      </c>
      <c r="AK58" s="592">
        <f ca="1">SUM(S58:AJ58)</f>
        <v>8.3277000000000018E-2</v>
      </c>
      <c r="AL58" s="6"/>
      <c r="AM58" s="593">
        <f t="shared" ca="1" si="144"/>
        <v>0</v>
      </c>
      <c r="AN58" s="593">
        <f t="shared" ca="1" si="144"/>
        <v>0</v>
      </c>
      <c r="AO58" s="593">
        <f t="shared" ca="1" si="144"/>
        <v>0</v>
      </c>
      <c r="AP58" s="593">
        <f t="shared" ca="1" si="144"/>
        <v>0</v>
      </c>
      <c r="AQ58" s="593">
        <f t="shared" ca="1" si="144"/>
        <v>0</v>
      </c>
      <c r="AR58" s="593">
        <f t="shared" ca="1" si="144"/>
        <v>0</v>
      </c>
      <c r="AS58" s="593">
        <f t="shared" ca="1" si="144"/>
        <v>0</v>
      </c>
      <c r="AT58" s="593">
        <f t="shared" ca="1" si="144"/>
        <v>0</v>
      </c>
      <c r="AU58" s="593">
        <f t="shared" ca="1" si="144"/>
        <v>0</v>
      </c>
      <c r="AV58" s="593">
        <f t="shared" ca="1" si="144"/>
        <v>0</v>
      </c>
      <c r="AW58" s="593">
        <f t="shared" ca="1" si="144"/>
        <v>0</v>
      </c>
      <c r="AX58" s="593">
        <f t="shared" ca="1" si="144"/>
        <v>-8.3277000000000018E-2</v>
      </c>
      <c r="AY58" s="593">
        <f t="shared" ca="1" si="144"/>
        <v>0</v>
      </c>
      <c r="AZ58" s="593">
        <f t="shared" ca="1" si="144"/>
        <v>0</v>
      </c>
      <c r="BA58" s="593">
        <f t="shared" ca="1" si="144"/>
        <v>0</v>
      </c>
      <c r="BB58" s="593">
        <f t="shared" ca="1" si="144"/>
        <v>0</v>
      </c>
      <c r="BC58" s="593">
        <f t="shared" ca="1" si="145"/>
        <v>0</v>
      </c>
      <c r="BD58" s="593">
        <f t="shared" ca="1" si="145"/>
        <v>0</v>
      </c>
      <c r="BE58" s="593">
        <f t="shared" ca="1" si="145"/>
        <v>0</v>
      </c>
      <c r="BF58" s="609">
        <f ca="1">SUM(AM58:BE58)</f>
        <v>-8.3277000000000018E-2</v>
      </c>
      <c r="BG58" s="6"/>
      <c r="BH58" s="3471">
        <f t="shared" ca="1" si="147"/>
        <v>0</v>
      </c>
      <c r="BI58" s="3471">
        <f t="shared" ca="1" si="147"/>
        <v>0</v>
      </c>
      <c r="BJ58" s="3460">
        <f ca="1">SUM(BH58:BI58)</f>
        <v>0</v>
      </c>
      <c r="BK58" s="6"/>
      <c r="BL58" s="610">
        <f t="shared" ca="1" si="138"/>
        <v>0</v>
      </c>
      <c r="BM58" s="610"/>
      <c r="BN58" s="413"/>
      <c r="BO58" s="2789">
        <f t="shared" ca="1" si="149"/>
        <v>0</v>
      </c>
      <c r="BP58" s="2790">
        <f t="shared" ca="1" si="149"/>
        <v>0</v>
      </c>
      <c r="BQ58" s="2790">
        <f t="shared" ca="1" si="149"/>
        <v>0</v>
      </c>
      <c r="BR58" s="2790">
        <f t="shared" ca="1" si="149"/>
        <v>0</v>
      </c>
      <c r="BS58" s="2790">
        <f t="shared" ca="1" si="149"/>
        <v>0</v>
      </c>
      <c r="BT58" s="2790">
        <f t="shared" ca="1" si="149"/>
        <v>0</v>
      </c>
      <c r="BU58" s="2790">
        <f t="shared" ca="1" si="149"/>
        <v>0</v>
      </c>
      <c r="BV58" s="2790">
        <f t="shared" ca="1" si="149"/>
        <v>0</v>
      </c>
      <c r="BW58" s="2790">
        <f t="shared" ca="1" si="149"/>
        <v>0</v>
      </c>
      <c r="BX58" s="2790">
        <f t="shared" ca="1" si="149"/>
        <v>0</v>
      </c>
      <c r="BY58" s="2790">
        <f t="shared" ca="1" si="150"/>
        <v>0</v>
      </c>
      <c r="BZ58" s="2790">
        <f t="shared" ca="1" si="150"/>
        <v>0</v>
      </c>
      <c r="CA58" s="2790">
        <f t="shared" ca="1" si="150"/>
        <v>0</v>
      </c>
      <c r="CB58" s="2790">
        <f t="shared" ca="1" si="150"/>
        <v>0</v>
      </c>
      <c r="CC58" s="2790">
        <f t="shared" ca="1" si="150"/>
        <v>0</v>
      </c>
      <c r="CD58" s="2790">
        <f t="shared" ca="1" si="150"/>
        <v>0</v>
      </c>
      <c r="CE58" s="2790">
        <f t="shared" ca="1" si="150"/>
        <v>0</v>
      </c>
      <c r="CF58" s="2790">
        <f t="shared" ca="1" si="150"/>
        <v>0</v>
      </c>
      <c r="CG58" s="2790">
        <f t="shared" ca="1" si="150"/>
        <v>0</v>
      </c>
      <c r="CH58" s="2790">
        <f t="shared" ca="1" si="150"/>
        <v>0</v>
      </c>
      <c r="CI58" s="2790">
        <f t="shared" ca="1" si="151"/>
        <v>0</v>
      </c>
      <c r="CJ58" s="2790">
        <f t="shared" ca="1" si="151"/>
        <v>0</v>
      </c>
      <c r="CK58" s="2790">
        <f t="shared" ca="1" si="151"/>
        <v>0</v>
      </c>
      <c r="CL58" s="2790">
        <f t="shared" ca="1" si="151"/>
        <v>0</v>
      </c>
      <c r="CM58" s="2790">
        <f t="shared" ca="1" si="151"/>
        <v>0</v>
      </c>
      <c r="CN58" s="2790">
        <f t="shared" ca="1" si="151"/>
        <v>0</v>
      </c>
      <c r="CO58" s="2790">
        <f t="shared" ca="1" si="151"/>
        <v>0</v>
      </c>
      <c r="CP58" s="2790">
        <f t="shared" ca="1" si="151"/>
        <v>0</v>
      </c>
      <c r="CQ58" s="2790">
        <f t="shared" ca="1" si="151"/>
        <v>0</v>
      </c>
      <c r="CR58" s="2790">
        <f t="shared" ca="1" si="151"/>
        <v>0</v>
      </c>
      <c r="CS58" s="2790">
        <f t="shared" ca="1" si="152"/>
        <v>0</v>
      </c>
      <c r="CT58" s="2790">
        <f t="shared" ca="1" si="152"/>
        <v>0</v>
      </c>
      <c r="CU58" s="2790">
        <f t="shared" ca="1" si="152"/>
        <v>0</v>
      </c>
      <c r="CV58" s="2790">
        <f t="shared" ca="1" si="152"/>
        <v>0</v>
      </c>
      <c r="CW58" s="2790">
        <f t="shared" ca="1" si="152"/>
        <v>0</v>
      </c>
      <c r="CX58" s="2790">
        <f t="shared" ca="1" si="152"/>
        <v>0</v>
      </c>
      <c r="CY58" s="2790">
        <f t="shared" ca="1" si="152"/>
        <v>0</v>
      </c>
      <c r="CZ58" s="2790">
        <f t="shared" ca="1" si="152"/>
        <v>0</v>
      </c>
      <c r="DA58" s="2790">
        <f t="shared" ca="1" si="152"/>
        <v>0</v>
      </c>
      <c r="DB58" s="2790">
        <f t="shared" ca="1" si="152"/>
        <v>0</v>
      </c>
      <c r="DC58" s="2790">
        <f t="shared" ca="1" si="152"/>
        <v>0</v>
      </c>
      <c r="DD58" s="2790">
        <f t="shared" ca="1" si="152"/>
        <v>0</v>
      </c>
      <c r="DE58" s="2790">
        <f t="shared" ca="1" si="152"/>
        <v>0</v>
      </c>
      <c r="DF58" s="2790">
        <f t="shared" ca="1" si="152"/>
        <v>0</v>
      </c>
      <c r="DH58" s="596">
        <f ca="1">SUM(BO58:DF58)</f>
        <v>0</v>
      </c>
    </row>
    <row r="59" spans="1:112" s="607" customFormat="1">
      <c r="C59" s="587" t="s">
        <v>524</v>
      </c>
      <c r="D59" s="588" t="s">
        <v>525</v>
      </c>
      <c r="E59" s="588"/>
      <c r="F59" s="6"/>
      <c r="G59" s="589">
        <f t="shared" ca="1" si="140"/>
        <v>0</v>
      </c>
      <c r="H59" s="589">
        <f t="shared" ca="1" si="140"/>
        <v>0</v>
      </c>
      <c r="I59" s="589">
        <f t="shared" ca="1" si="140"/>
        <v>0</v>
      </c>
      <c r="J59" s="589">
        <f t="shared" ca="1" si="140"/>
        <v>0</v>
      </c>
      <c r="K59" s="589">
        <f t="shared" ca="1" si="140"/>
        <v>0</v>
      </c>
      <c r="L59" s="589">
        <f t="shared" ca="1" si="140"/>
        <v>0</v>
      </c>
      <c r="M59" s="589">
        <f t="shared" ca="1" si="140"/>
        <v>0</v>
      </c>
      <c r="N59" s="589">
        <f t="shared" ca="1" si="140"/>
        <v>0</v>
      </c>
      <c r="O59" s="589">
        <f t="shared" ca="1" si="140"/>
        <v>0</v>
      </c>
      <c r="P59" s="589">
        <f t="shared" ca="1" si="140"/>
        <v>0</v>
      </c>
      <c r="Q59" s="590">
        <f t="shared" ca="1" si="141"/>
        <v>0</v>
      </c>
      <c r="R59" s="6"/>
      <c r="S59" s="591">
        <f t="shared" ca="1" si="142"/>
        <v>0</v>
      </c>
      <c r="T59" s="591">
        <f t="shared" ca="1" si="142"/>
        <v>0.74791511999999993</v>
      </c>
      <c r="U59" s="591">
        <f t="shared" ca="1" si="142"/>
        <v>0</v>
      </c>
      <c r="V59" s="591">
        <f t="shared" ca="1" si="142"/>
        <v>0</v>
      </c>
      <c r="W59" s="591">
        <f t="shared" ca="1" si="142"/>
        <v>0</v>
      </c>
      <c r="X59" s="591">
        <f t="shared" ca="1" si="142"/>
        <v>0</v>
      </c>
      <c r="Y59" s="591">
        <f t="shared" ca="1" si="142"/>
        <v>0</v>
      </c>
      <c r="Z59" s="591">
        <f t="shared" ca="1" si="142"/>
        <v>0</v>
      </c>
      <c r="AA59" s="591">
        <f t="shared" ca="1" si="142"/>
        <v>0</v>
      </c>
      <c r="AB59" s="591">
        <f t="shared" ca="1" si="142"/>
        <v>0</v>
      </c>
      <c r="AC59" s="591">
        <f t="shared" ca="1" si="142"/>
        <v>0</v>
      </c>
      <c r="AD59" s="591">
        <f t="shared" ca="1" si="142"/>
        <v>0</v>
      </c>
      <c r="AE59" s="591">
        <f t="shared" ca="1" si="142"/>
        <v>0</v>
      </c>
      <c r="AF59" s="591">
        <f t="shared" ca="1" si="142"/>
        <v>0</v>
      </c>
      <c r="AG59" s="591">
        <f t="shared" ca="1" si="142"/>
        <v>0</v>
      </c>
      <c r="AH59" s="591">
        <f t="shared" ca="1" si="142"/>
        <v>0</v>
      </c>
      <c r="AI59" s="591">
        <f t="shared" ca="1" si="142"/>
        <v>0</v>
      </c>
      <c r="AJ59" s="591">
        <f t="shared" ca="1" si="142"/>
        <v>0</v>
      </c>
      <c r="AK59" s="592">
        <f t="shared" ca="1" si="143"/>
        <v>0.74791511999999993</v>
      </c>
      <c r="AL59" s="6"/>
      <c r="AM59" s="593">
        <f t="shared" ca="1" si="144"/>
        <v>0</v>
      </c>
      <c r="AN59" s="593">
        <f t="shared" ca="1" si="144"/>
        <v>0</v>
      </c>
      <c r="AO59" s="593">
        <f t="shared" ca="1" si="144"/>
        <v>0</v>
      </c>
      <c r="AP59" s="593">
        <f t="shared" ca="1" si="144"/>
        <v>0</v>
      </c>
      <c r="AQ59" s="593">
        <f t="shared" ca="1" si="144"/>
        <v>0</v>
      </c>
      <c r="AR59" s="593">
        <f t="shared" ca="1" si="144"/>
        <v>0</v>
      </c>
      <c r="AS59" s="593">
        <f t="shared" ca="1" si="144"/>
        <v>0</v>
      </c>
      <c r="AT59" s="593">
        <f t="shared" ca="1" si="144"/>
        <v>0</v>
      </c>
      <c r="AU59" s="593">
        <f t="shared" ca="1" si="144"/>
        <v>0</v>
      </c>
      <c r="AV59" s="593">
        <f t="shared" ca="1" si="144"/>
        <v>0</v>
      </c>
      <c r="AW59" s="593">
        <f t="shared" ca="1" si="144"/>
        <v>0</v>
      </c>
      <c r="AX59" s="593">
        <f t="shared" ca="1" si="144"/>
        <v>0</v>
      </c>
      <c r="AY59" s="593">
        <f t="shared" ca="1" si="144"/>
        <v>0</v>
      </c>
      <c r="AZ59" s="593">
        <f t="shared" ca="1" si="144"/>
        <v>0</v>
      </c>
      <c r="BA59" s="593">
        <f t="shared" ca="1" si="144"/>
        <v>0</v>
      </c>
      <c r="BB59" s="593">
        <f t="shared" ca="1" si="144"/>
        <v>-0.74791511999999993</v>
      </c>
      <c r="BC59" s="593">
        <f t="shared" ca="1" si="145"/>
        <v>0</v>
      </c>
      <c r="BD59" s="593">
        <f t="shared" ca="1" si="145"/>
        <v>0</v>
      </c>
      <c r="BE59" s="593">
        <f t="shared" ca="1" si="145"/>
        <v>0</v>
      </c>
      <c r="BF59" s="609">
        <f t="shared" ca="1" si="146"/>
        <v>-0.74791511999999993</v>
      </c>
      <c r="BG59" s="6"/>
      <c r="BH59" s="3471">
        <f t="shared" ca="1" si="147"/>
        <v>0</v>
      </c>
      <c r="BI59" s="3471">
        <f t="shared" ca="1" si="147"/>
        <v>0</v>
      </c>
      <c r="BJ59" s="3460">
        <f t="shared" ca="1" si="148"/>
        <v>0</v>
      </c>
      <c r="BK59" s="6"/>
      <c r="BL59" s="610">
        <f t="shared" ca="1" si="138"/>
        <v>0</v>
      </c>
      <c r="BM59" s="610"/>
      <c r="BN59" s="413"/>
      <c r="BO59" s="2789">
        <f t="shared" ca="1" si="149"/>
        <v>0</v>
      </c>
      <c r="BP59" s="2790">
        <f t="shared" ca="1" si="149"/>
        <v>0</v>
      </c>
      <c r="BQ59" s="2790">
        <f t="shared" ca="1" si="149"/>
        <v>0</v>
      </c>
      <c r="BR59" s="2790">
        <f t="shared" ca="1" si="149"/>
        <v>0</v>
      </c>
      <c r="BS59" s="2790">
        <f t="shared" ca="1" si="149"/>
        <v>0</v>
      </c>
      <c r="BT59" s="2790">
        <f t="shared" ca="1" si="149"/>
        <v>0</v>
      </c>
      <c r="BU59" s="2790">
        <f t="shared" ca="1" si="149"/>
        <v>0</v>
      </c>
      <c r="BV59" s="2790">
        <f t="shared" ca="1" si="149"/>
        <v>0</v>
      </c>
      <c r="BW59" s="2790">
        <f t="shared" ca="1" si="149"/>
        <v>0</v>
      </c>
      <c r="BX59" s="2790">
        <f t="shared" ca="1" si="149"/>
        <v>0</v>
      </c>
      <c r="BY59" s="2790">
        <f t="shared" ca="1" si="150"/>
        <v>0</v>
      </c>
      <c r="BZ59" s="2790">
        <f t="shared" ca="1" si="150"/>
        <v>0</v>
      </c>
      <c r="CA59" s="2790">
        <f t="shared" ca="1" si="150"/>
        <v>0</v>
      </c>
      <c r="CB59" s="2790">
        <f t="shared" ca="1" si="150"/>
        <v>0</v>
      </c>
      <c r="CC59" s="2790">
        <f t="shared" ca="1" si="150"/>
        <v>0</v>
      </c>
      <c r="CD59" s="2790">
        <f t="shared" ca="1" si="150"/>
        <v>0</v>
      </c>
      <c r="CE59" s="2790">
        <f t="shared" ca="1" si="150"/>
        <v>0</v>
      </c>
      <c r="CF59" s="2790">
        <f t="shared" ca="1" si="150"/>
        <v>0</v>
      </c>
      <c r="CG59" s="2790">
        <f t="shared" ca="1" si="150"/>
        <v>0</v>
      </c>
      <c r="CH59" s="2790">
        <f t="shared" ca="1" si="150"/>
        <v>0</v>
      </c>
      <c r="CI59" s="2790">
        <f t="shared" ca="1" si="151"/>
        <v>0</v>
      </c>
      <c r="CJ59" s="2790">
        <f t="shared" ca="1" si="151"/>
        <v>0</v>
      </c>
      <c r="CK59" s="2790">
        <f t="shared" ca="1" si="151"/>
        <v>0</v>
      </c>
      <c r="CL59" s="2790">
        <f t="shared" ca="1" si="151"/>
        <v>0</v>
      </c>
      <c r="CM59" s="2790">
        <f t="shared" ca="1" si="151"/>
        <v>0</v>
      </c>
      <c r="CN59" s="2790">
        <f t="shared" ca="1" si="151"/>
        <v>0</v>
      </c>
      <c r="CO59" s="2790">
        <f t="shared" ca="1" si="151"/>
        <v>0</v>
      </c>
      <c r="CP59" s="2790">
        <f t="shared" ca="1" si="151"/>
        <v>0</v>
      </c>
      <c r="CQ59" s="2790">
        <f t="shared" ca="1" si="151"/>
        <v>0</v>
      </c>
      <c r="CR59" s="2790">
        <f t="shared" ca="1" si="151"/>
        <v>0</v>
      </c>
      <c r="CS59" s="2790">
        <f t="shared" ca="1" si="152"/>
        <v>0</v>
      </c>
      <c r="CT59" s="2790">
        <f t="shared" ca="1" si="152"/>
        <v>0</v>
      </c>
      <c r="CU59" s="2790">
        <f t="shared" ca="1" si="152"/>
        <v>0</v>
      </c>
      <c r="CV59" s="2790">
        <f t="shared" ca="1" si="152"/>
        <v>0</v>
      </c>
      <c r="CW59" s="2790">
        <f t="shared" ca="1" si="152"/>
        <v>0</v>
      </c>
      <c r="CX59" s="2790">
        <f t="shared" ca="1" si="152"/>
        <v>0</v>
      </c>
      <c r="CY59" s="2790">
        <f t="shared" ca="1" si="152"/>
        <v>0</v>
      </c>
      <c r="CZ59" s="2790">
        <f t="shared" ca="1" si="152"/>
        <v>0</v>
      </c>
      <c r="DA59" s="2790">
        <f t="shared" ca="1" si="152"/>
        <v>0</v>
      </c>
      <c r="DB59" s="2790">
        <f t="shared" ca="1" si="152"/>
        <v>0</v>
      </c>
      <c r="DC59" s="2790">
        <f t="shared" ca="1" si="152"/>
        <v>0</v>
      </c>
      <c r="DD59" s="2790">
        <f t="shared" ca="1" si="152"/>
        <v>0</v>
      </c>
      <c r="DE59" s="2790">
        <f t="shared" ca="1" si="152"/>
        <v>0</v>
      </c>
      <c r="DF59" s="2790">
        <f t="shared" ca="1" si="152"/>
        <v>0</v>
      </c>
      <c r="DH59" s="596">
        <f t="shared" ca="1" si="113"/>
        <v>0</v>
      </c>
    </row>
    <row r="60" spans="1:112" s="607" customFormat="1">
      <c r="C60" s="587" t="s">
        <v>526</v>
      </c>
      <c r="D60" s="588" t="s">
        <v>527</v>
      </c>
      <c r="E60" s="588"/>
      <c r="F60" s="6"/>
      <c r="G60" s="589">
        <f t="shared" ca="1" si="140"/>
        <v>0</v>
      </c>
      <c r="H60" s="589">
        <f t="shared" ca="1" si="140"/>
        <v>0</v>
      </c>
      <c r="I60" s="589">
        <f t="shared" ca="1" si="140"/>
        <v>0</v>
      </c>
      <c r="J60" s="589">
        <f t="shared" ca="1" si="140"/>
        <v>0</v>
      </c>
      <c r="K60" s="589">
        <f t="shared" ca="1" si="140"/>
        <v>0</v>
      </c>
      <c r="L60" s="589">
        <f t="shared" ca="1" si="140"/>
        <v>0</v>
      </c>
      <c r="M60" s="589">
        <f t="shared" ca="1" si="140"/>
        <v>0</v>
      </c>
      <c r="N60" s="589">
        <f t="shared" ca="1" si="140"/>
        <v>0</v>
      </c>
      <c r="O60" s="589">
        <f t="shared" ca="1" si="140"/>
        <v>0</v>
      </c>
      <c r="P60" s="589">
        <f t="shared" ca="1" si="140"/>
        <v>0</v>
      </c>
      <c r="Q60" s="590">
        <f t="shared" ca="1" si="141"/>
        <v>0</v>
      </c>
      <c r="R60" s="6"/>
      <c r="S60" s="591">
        <f t="shared" ca="1" si="142"/>
        <v>0</v>
      </c>
      <c r="T60" s="591">
        <f t="shared" ca="1" si="142"/>
        <v>3.9627123287671231E-3</v>
      </c>
      <c r="U60" s="591">
        <f t="shared" ca="1" si="142"/>
        <v>0</v>
      </c>
      <c r="V60" s="591">
        <f t="shared" ca="1" si="142"/>
        <v>0</v>
      </c>
      <c r="W60" s="591">
        <f t="shared" ca="1" si="142"/>
        <v>0</v>
      </c>
      <c r="X60" s="591">
        <f t="shared" ca="1" si="142"/>
        <v>0</v>
      </c>
      <c r="Y60" s="591">
        <f t="shared" ca="1" si="142"/>
        <v>0</v>
      </c>
      <c r="Z60" s="591">
        <f t="shared" ca="1" si="142"/>
        <v>0</v>
      </c>
      <c r="AA60" s="591">
        <f t="shared" ca="1" si="142"/>
        <v>0</v>
      </c>
      <c r="AB60" s="591">
        <f t="shared" ca="1" si="142"/>
        <v>0</v>
      </c>
      <c r="AC60" s="591">
        <f t="shared" ca="1" si="142"/>
        <v>0</v>
      </c>
      <c r="AD60" s="591">
        <f t="shared" ca="1" si="142"/>
        <v>0</v>
      </c>
      <c r="AE60" s="591">
        <f t="shared" ca="1" si="142"/>
        <v>0</v>
      </c>
      <c r="AF60" s="591">
        <f t="shared" ca="1" si="142"/>
        <v>0</v>
      </c>
      <c r="AG60" s="591">
        <f t="shared" ca="1" si="142"/>
        <v>0</v>
      </c>
      <c r="AH60" s="591">
        <f t="shared" ca="1" si="142"/>
        <v>0</v>
      </c>
      <c r="AI60" s="591">
        <f t="shared" ca="1" si="142"/>
        <v>0</v>
      </c>
      <c r="AJ60" s="591">
        <f t="shared" ca="1" si="142"/>
        <v>0</v>
      </c>
      <c r="AK60" s="592">
        <f t="shared" ca="1" si="143"/>
        <v>3.9627123287671231E-3</v>
      </c>
      <c r="AL60" s="6"/>
      <c r="AM60" s="593">
        <f t="shared" ca="1" si="144"/>
        <v>0</v>
      </c>
      <c r="AN60" s="593">
        <f t="shared" ca="1" si="144"/>
        <v>0</v>
      </c>
      <c r="AO60" s="593">
        <f t="shared" ca="1" si="144"/>
        <v>0</v>
      </c>
      <c r="AP60" s="593">
        <f t="shared" ca="1" si="144"/>
        <v>0</v>
      </c>
      <c r="AQ60" s="593">
        <f t="shared" ca="1" si="144"/>
        <v>0</v>
      </c>
      <c r="AR60" s="593">
        <f t="shared" ca="1" si="144"/>
        <v>0</v>
      </c>
      <c r="AS60" s="593">
        <f t="shared" ca="1" si="144"/>
        <v>0</v>
      </c>
      <c r="AT60" s="593">
        <f t="shared" ca="1" si="144"/>
        <v>0</v>
      </c>
      <c r="AU60" s="593">
        <f t="shared" ca="1" si="144"/>
        <v>0</v>
      </c>
      <c r="AV60" s="593">
        <f t="shared" ca="1" si="144"/>
        <v>0</v>
      </c>
      <c r="AW60" s="593">
        <f t="shared" ca="1" si="144"/>
        <v>0</v>
      </c>
      <c r="AX60" s="593">
        <f t="shared" ca="1" si="144"/>
        <v>0</v>
      </c>
      <c r="AY60" s="593">
        <f t="shared" ca="1" si="144"/>
        <v>0</v>
      </c>
      <c r="AZ60" s="593">
        <f t="shared" ca="1" si="144"/>
        <v>-3.9627123287671231E-3</v>
      </c>
      <c r="BA60" s="593">
        <f t="shared" ca="1" si="144"/>
        <v>0</v>
      </c>
      <c r="BB60" s="593">
        <f t="shared" ca="1" si="144"/>
        <v>0</v>
      </c>
      <c r="BC60" s="593">
        <f t="shared" ca="1" si="145"/>
        <v>0</v>
      </c>
      <c r="BD60" s="593">
        <f t="shared" ca="1" si="145"/>
        <v>0</v>
      </c>
      <c r="BE60" s="593">
        <f t="shared" ca="1" si="145"/>
        <v>0</v>
      </c>
      <c r="BF60" s="609">
        <f t="shared" ca="1" si="146"/>
        <v>-3.9627123287671231E-3</v>
      </c>
      <c r="BG60" s="6"/>
      <c r="BH60" s="3471">
        <f t="shared" ca="1" si="147"/>
        <v>0</v>
      </c>
      <c r="BI60" s="3471">
        <f t="shared" ca="1" si="147"/>
        <v>0</v>
      </c>
      <c r="BJ60" s="3460">
        <f t="shared" ca="1" si="148"/>
        <v>0</v>
      </c>
      <c r="BK60" s="6"/>
      <c r="BL60" s="610">
        <f t="shared" ca="1" si="138"/>
        <v>0</v>
      </c>
      <c r="BM60" s="610"/>
      <c r="BN60" s="413"/>
      <c r="BO60" s="2789">
        <f t="shared" ca="1" si="149"/>
        <v>0</v>
      </c>
      <c r="BP60" s="2790">
        <f t="shared" ca="1" si="149"/>
        <v>0</v>
      </c>
      <c r="BQ60" s="2790">
        <f t="shared" ca="1" si="149"/>
        <v>0</v>
      </c>
      <c r="BR60" s="2790">
        <f t="shared" ca="1" si="149"/>
        <v>0</v>
      </c>
      <c r="BS60" s="2790">
        <f t="shared" ca="1" si="149"/>
        <v>0</v>
      </c>
      <c r="BT60" s="2790">
        <f t="shared" ca="1" si="149"/>
        <v>0</v>
      </c>
      <c r="BU60" s="2790">
        <f t="shared" ca="1" si="149"/>
        <v>0</v>
      </c>
      <c r="BV60" s="2790">
        <f t="shared" ca="1" si="149"/>
        <v>0</v>
      </c>
      <c r="BW60" s="2790">
        <f t="shared" ca="1" si="149"/>
        <v>0</v>
      </c>
      <c r="BX60" s="2790">
        <f t="shared" ca="1" si="149"/>
        <v>0</v>
      </c>
      <c r="BY60" s="2790">
        <f t="shared" ca="1" si="150"/>
        <v>0</v>
      </c>
      <c r="BZ60" s="2790">
        <f t="shared" ca="1" si="150"/>
        <v>0</v>
      </c>
      <c r="CA60" s="2790">
        <f t="shared" ca="1" si="150"/>
        <v>0</v>
      </c>
      <c r="CB60" s="2790">
        <f t="shared" ca="1" si="150"/>
        <v>0</v>
      </c>
      <c r="CC60" s="2790">
        <f t="shared" ca="1" si="150"/>
        <v>0</v>
      </c>
      <c r="CD60" s="2790">
        <f t="shared" ca="1" si="150"/>
        <v>0</v>
      </c>
      <c r="CE60" s="2790">
        <f t="shared" ca="1" si="150"/>
        <v>0</v>
      </c>
      <c r="CF60" s="2790">
        <f t="shared" ca="1" si="150"/>
        <v>0</v>
      </c>
      <c r="CG60" s="2790">
        <f t="shared" ca="1" si="150"/>
        <v>0</v>
      </c>
      <c r="CH60" s="2790">
        <f t="shared" ca="1" si="150"/>
        <v>0</v>
      </c>
      <c r="CI60" s="2790">
        <f t="shared" ca="1" si="151"/>
        <v>0</v>
      </c>
      <c r="CJ60" s="2790">
        <f t="shared" ca="1" si="151"/>
        <v>0</v>
      </c>
      <c r="CK60" s="2790">
        <f t="shared" ca="1" si="151"/>
        <v>0</v>
      </c>
      <c r="CL60" s="2790">
        <f t="shared" ca="1" si="151"/>
        <v>0</v>
      </c>
      <c r="CM60" s="2790">
        <f t="shared" ca="1" si="151"/>
        <v>0</v>
      </c>
      <c r="CN60" s="2790">
        <f t="shared" ca="1" si="151"/>
        <v>0</v>
      </c>
      <c r="CO60" s="2790">
        <f t="shared" ca="1" si="151"/>
        <v>0</v>
      </c>
      <c r="CP60" s="2790">
        <f t="shared" ca="1" si="151"/>
        <v>0</v>
      </c>
      <c r="CQ60" s="2790">
        <f t="shared" ca="1" si="151"/>
        <v>0</v>
      </c>
      <c r="CR60" s="2790">
        <f t="shared" ca="1" si="151"/>
        <v>0</v>
      </c>
      <c r="CS60" s="2790">
        <f t="shared" ca="1" si="152"/>
        <v>0</v>
      </c>
      <c r="CT60" s="2790">
        <f t="shared" ca="1" si="152"/>
        <v>0</v>
      </c>
      <c r="CU60" s="2790">
        <f t="shared" ca="1" si="152"/>
        <v>0</v>
      </c>
      <c r="CV60" s="2790">
        <f t="shared" ca="1" si="152"/>
        <v>0</v>
      </c>
      <c r="CW60" s="2790">
        <f t="shared" ca="1" si="152"/>
        <v>0</v>
      </c>
      <c r="CX60" s="2790">
        <f t="shared" ca="1" si="152"/>
        <v>0</v>
      </c>
      <c r="CY60" s="2790">
        <f t="shared" ca="1" si="152"/>
        <v>0</v>
      </c>
      <c r="CZ60" s="2790">
        <f t="shared" ca="1" si="152"/>
        <v>0</v>
      </c>
      <c r="DA60" s="2790">
        <f t="shared" ca="1" si="152"/>
        <v>0</v>
      </c>
      <c r="DB60" s="2790">
        <f t="shared" ca="1" si="152"/>
        <v>0</v>
      </c>
      <c r="DC60" s="2790">
        <f t="shared" ca="1" si="152"/>
        <v>0</v>
      </c>
      <c r="DD60" s="2790">
        <f t="shared" ca="1" si="152"/>
        <v>0</v>
      </c>
      <c r="DE60" s="2790">
        <f t="shared" ca="1" si="152"/>
        <v>0</v>
      </c>
      <c r="DF60" s="2790">
        <f t="shared" ca="1" si="152"/>
        <v>0</v>
      </c>
      <c r="DH60" s="596">
        <f t="shared" ca="1" si="113"/>
        <v>0</v>
      </c>
    </row>
    <row r="61" spans="1:112" s="607" customFormat="1">
      <c r="C61" s="587" t="s">
        <v>528</v>
      </c>
      <c r="D61" s="588" t="s">
        <v>529</v>
      </c>
      <c r="E61" s="588"/>
      <c r="F61" s="6"/>
      <c r="G61" s="589">
        <f t="shared" ca="1" si="140"/>
        <v>0</v>
      </c>
      <c r="H61" s="589">
        <f t="shared" ca="1" si="140"/>
        <v>0</v>
      </c>
      <c r="I61" s="589">
        <f t="shared" ca="1" si="140"/>
        <v>0</v>
      </c>
      <c r="J61" s="589">
        <f t="shared" ca="1" si="140"/>
        <v>0</v>
      </c>
      <c r="K61" s="589">
        <f t="shared" ca="1" si="140"/>
        <v>0</v>
      </c>
      <c r="L61" s="589">
        <f t="shared" ca="1" si="140"/>
        <v>0</v>
      </c>
      <c r="M61" s="589">
        <f t="shared" ca="1" si="140"/>
        <v>0</v>
      </c>
      <c r="N61" s="589">
        <f t="shared" ca="1" si="140"/>
        <v>0</v>
      </c>
      <c r="O61" s="589">
        <f t="shared" ca="1" si="140"/>
        <v>0</v>
      </c>
      <c r="P61" s="589">
        <f t="shared" ca="1" si="140"/>
        <v>0</v>
      </c>
      <c r="Q61" s="590">
        <f t="shared" ca="1" si="141"/>
        <v>0</v>
      </c>
      <c r="R61" s="6"/>
      <c r="S61" s="591">
        <f t="shared" ca="1" si="142"/>
        <v>0</v>
      </c>
      <c r="T61" s="591">
        <f t="shared" ca="1" si="142"/>
        <v>0</v>
      </c>
      <c r="U61" s="591">
        <f t="shared" ca="1" si="142"/>
        <v>0</v>
      </c>
      <c r="V61" s="591">
        <f t="shared" ca="1" si="142"/>
        <v>0</v>
      </c>
      <c r="W61" s="591">
        <f t="shared" ca="1" si="142"/>
        <v>0</v>
      </c>
      <c r="X61" s="591">
        <f t="shared" ca="1" si="142"/>
        <v>0</v>
      </c>
      <c r="Y61" s="591">
        <f t="shared" ca="1" si="142"/>
        <v>0</v>
      </c>
      <c r="Z61" s="591">
        <f t="shared" ca="1" si="142"/>
        <v>0</v>
      </c>
      <c r="AA61" s="591">
        <f t="shared" ca="1" si="142"/>
        <v>0</v>
      </c>
      <c r="AB61" s="591">
        <f t="shared" ca="1" si="142"/>
        <v>0</v>
      </c>
      <c r="AC61" s="591">
        <f t="shared" ca="1" si="142"/>
        <v>0</v>
      </c>
      <c r="AD61" s="591">
        <f t="shared" ca="1" si="142"/>
        <v>0</v>
      </c>
      <c r="AE61" s="591">
        <f t="shared" ca="1" si="142"/>
        <v>0</v>
      </c>
      <c r="AF61" s="591">
        <f t="shared" ca="1" si="142"/>
        <v>0</v>
      </c>
      <c r="AG61" s="591">
        <f t="shared" ca="1" si="142"/>
        <v>0</v>
      </c>
      <c r="AH61" s="591">
        <f t="shared" ca="1" si="142"/>
        <v>0</v>
      </c>
      <c r="AI61" s="591">
        <f t="shared" ca="1" si="142"/>
        <v>0</v>
      </c>
      <c r="AJ61" s="591">
        <f t="shared" ca="1" si="142"/>
        <v>0</v>
      </c>
      <c r="AK61" s="592">
        <f t="shared" ca="1" si="143"/>
        <v>0</v>
      </c>
      <c r="AL61" s="6"/>
      <c r="AM61" s="593">
        <f t="shared" ca="1" si="144"/>
        <v>0</v>
      </c>
      <c r="AN61" s="593">
        <f t="shared" ca="1" si="144"/>
        <v>0</v>
      </c>
      <c r="AO61" s="593">
        <f t="shared" ca="1" si="144"/>
        <v>0</v>
      </c>
      <c r="AP61" s="593">
        <f t="shared" ca="1" si="144"/>
        <v>0</v>
      </c>
      <c r="AQ61" s="593">
        <f t="shared" ca="1" si="144"/>
        <v>0</v>
      </c>
      <c r="AR61" s="593">
        <f t="shared" ca="1" si="144"/>
        <v>0</v>
      </c>
      <c r="AS61" s="593">
        <f t="shared" ca="1" si="144"/>
        <v>0</v>
      </c>
      <c r="AT61" s="593">
        <f t="shared" ca="1" si="144"/>
        <v>0</v>
      </c>
      <c r="AU61" s="593">
        <f t="shared" ca="1" si="144"/>
        <v>0</v>
      </c>
      <c r="AV61" s="593">
        <f t="shared" ca="1" si="144"/>
        <v>0</v>
      </c>
      <c r="AW61" s="593">
        <f t="shared" ca="1" si="144"/>
        <v>0</v>
      </c>
      <c r="AX61" s="593">
        <f t="shared" ca="1" si="144"/>
        <v>0</v>
      </c>
      <c r="AY61" s="593">
        <f t="shared" ca="1" si="144"/>
        <v>0</v>
      </c>
      <c r="AZ61" s="593">
        <f t="shared" ca="1" si="144"/>
        <v>0</v>
      </c>
      <c r="BA61" s="593">
        <f t="shared" ca="1" si="144"/>
        <v>0</v>
      </c>
      <c r="BB61" s="593">
        <f t="shared" ca="1" si="144"/>
        <v>0</v>
      </c>
      <c r="BC61" s="593">
        <f t="shared" ca="1" si="145"/>
        <v>0</v>
      </c>
      <c r="BD61" s="593">
        <f t="shared" ca="1" si="145"/>
        <v>0</v>
      </c>
      <c r="BE61" s="593">
        <f t="shared" ca="1" si="145"/>
        <v>0</v>
      </c>
      <c r="BF61" s="609">
        <f t="shared" ca="1" si="146"/>
        <v>0</v>
      </c>
      <c r="BG61" s="6"/>
      <c r="BH61" s="3471">
        <f t="shared" ca="1" si="147"/>
        <v>0</v>
      </c>
      <c r="BI61" s="3471">
        <f t="shared" ca="1" si="147"/>
        <v>0</v>
      </c>
      <c r="BJ61" s="3460">
        <f t="shared" ca="1" si="148"/>
        <v>0</v>
      </c>
      <c r="BK61" s="6"/>
      <c r="BL61" s="610">
        <f t="shared" ca="1" si="138"/>
        <v>0</v>
      </c>
      <c r="BM61" s="610"/>
      <c r="BN61" s="413"/>
      <c r="BO61" s="2789">
        <f t="shared" ca="1" si="149"/>
        <v>0</v>
      </c>
      <c r="BP61" s="2790">
        <f t="shared" ca="1" si="149"/>
        <v>0</v>
      </c>
      <c r="BQ61" s="2790">
        <f t="shared" ca="1" si="149"/>
        <v>0</v>
      </c>
      <c r="BR61" s="2790">
        <f t="shared" ca="1" si="149"/>
        <v>0</v>
      </c>
      <c r="BS61" s="2790">
        <f t="shared" ca="1" si="149"/>
        <v>0</v>
      </c>
      <c r="BT61" s="2790">
        <f t="shared" ca="1" si="149"/>
        <v>0</v>
      </c>
      <c r="BU61" s="2790">
        <f t="shared" ca="1" si="149"/>
        <v>0</v>
      </c>
      <c r="BV61" s="2790">
        <f t="shared" ca="1" si="149"/>
        <v>0</v>
      </c>
      <c r="BW61" s="2790">
        <f t="shared" ca="1" si="149"/>
        <v>0</v>
      </c>
      <c r="BX61" s="2790">
        <f t="shared" ca="1" si="149"/>
        <v>0</v>
      </c>
      <c r="BY61" s="2790">
        <f t="shared" ca="1" si="150"/>
        <v>0</v>
      </c>
      <c r="BZ61" s="2790">
        <f t="shared" ca="1" si="150"/>
        <v>0</v>
      </c>
      <c r="CA61" s="2790">
        <f t="shared" ca="1" si="150"/>
        <v>0</v>
      </c>
      <c r="CB61" s="2790">
        <f t="shared" ca="1" si="150"/>
        <v>0</v>
      </c>
      <c r="CC61" s="2790">
        <f t="shared" ca="1" si="150"/>
        <v>0</v>
      </c>
      <c r="CD61" s="2790">
        <f t="shared" ca="1" si="150"/>
        <v>0</v>
      </c>
      <c r="CE61" s="2790">
        <f t="shared" ca="1" si="150"/>
        <v>0</v>
      </c>
      <c r="CF61" s="2790">
        <f t="shared" ca="1" si="150"/>
        <v>0</v>
      </c>
      <c r="CG61" s="2790">
        <f t="shared" ca="1" si="150"/>
        <v>0</v>
      </c>
      <c r="CH61" s="2790">
        <f t="shared" ca="1" si="150"/>
        <v>0</v>
      </c>
      <c r="CI61" s="2790">
        <f t="shared" ca="1" si="151"/>
        <v>0</v>
      </c>
      <c r="CJ61" s="2790">
        <f t="shared" ca="1" si="151"/>
        <v>0</v>
      </c>
      <c r="CK61" s="2790">
        <f t="shared" ca="1" si="151"/>
        <v>0</v>
      </c>
      <c r="CL61" s="2790">
        <f t="shared" ca="1" si="151"/>
        <v>0</v>
      </c>
      <c r="CM61" s="2790">
        <f t="shared" ca="1" si="151"/>
        <v>0</v>
      </c>
      <c r="CN61" s="2790">
        <f t="shared" ca="1" si="151"/>
        <v>0</v>
      </c>
      <c r="CO61" s="2790">
        <f t="shared" ca="1" si="151"/>
        <v>0</v>
      </c>
      <c r="CP61" s="2790">
        <f t="shared" ca="1" si="151"/>
        <v>0</v>
      </c>
      <c r="CQ61" s="2790">
        <f t="shared" ca="1" si="151"/>
        <v>0</v>
      </c>
      <c r="CR61" s="2790">
        <f t="shared" ca="1" si="151"/>
        <v>0</v>
      </c>
      <c r="CS61" s="2790">
        <f t="shared" ca="1" si="152"/>
        <v>0</v>
      </c>
      <c r="CT61" s="2790">
        <f t="shared" ca="1" si="152"/>
        <v>0</v>
      </c>
      <c r="CU61" s="2790">
        <f t="shared" ca="1" si="152"/>
        <v>0</v>
      </c>
      <c r="CV61" s="2790">
        <f t="shared" ca="1" si="152"/>
        <v>0</v>
      </c>
      <c r="CW61" s="2790">
        <f t="shared" ca="1" si="152"/>
        <v>0</v>
      </c>
      <c r="CX61" s="2790">
        <f t="shared" ca="1" si="152"/>
        <v>0</v>
      </c>
      <c r="CY61" s="2790">
        <f t="shared" ca="1" si="152"/>
        <v>0</v>
      </c>
      <c r="CZ61" s="2790">
        <f t="shared" ca="1" si="152"/>
        <v>0</v>
      </c>
      <c r="DA61" s="2790">
        <f t="shared" ca="1" si="152"/>
        <v>0</v>
      </c>
      <c r="DB61" s="2790">
        <f t="shared" ca="1" si="152"/>
        <v>0</v>
      </c>
      <c r="DC61" s="2790">
        <f t="shared" ca="1" si="152"/>
        <v>0</v>
      </c>
      <c r="DD61" s="2790">
        <f t="shared" ca="1" si="152"/>
        <v>0</v>
      </c>
      <c r="DE61" s="2790">
        <f t="shared" ca="1" si="152"/>
        <v>0</v>
      </c>
      <c r="DF61" s="2790">
        <f t="shared" ca="1" si="152"/>
        <v>0</v>
      </c>
      <c r="DH61" s="596">
        <f t="shared" ca="1" si="113"/>
        <v>0</v>
      </c>
    </row>
    <row r="62" spans="1:112" s="6" customFormat="1">
      <c r="A62" s="607"/>
      <c r="B62" s="607"/>
      <c r="C62" s="587" t="s">
        <v>530</v>
      </c>
      <c r="D62" s="611" t="s">
        <v>531</v>
      </c>
      <c r="E62" s="611"/>
      <c r="G62" s="619">
        <f t="shared" ca="1" si="140"/>
        <v>0</v>
      </c>
      <c r="H62" s="619">
        <f t="shared" ca="1" si="140"/>
        <v>0</v>
      </c>
      <c r="I62" s="619">
        <f t="shared" ca="1" si="140"/>
        <v>0</v>
      </c>
      <c r="J62" s="619">
        <f t="shared" ca="1" si="140"/>
        <v>0</v>
      </c>
      <c r="K62" s="619">
        <f t="shared" ca="1" si="140"/>
        <v>0</v>
      </c>
      <c r="L62" s="619">
        <f t="shared" ca="1" si="140"/>
        <v>0</v>
      </c>
      <c r="M62" s="619">
        <f t="shared" ca="1" si="140"/>
        <v>0</v>
      </c>
      <c r="N62" s="619">
        <f t="shared" ca="1" si="140"/>
        <v>0</v>
      </c>
      <c r="O62" s="619">
        <f t="shared" ca="1" si="140"/>
        <v>0</v>
      </c>
      <c r="P62" s="619">
        <f t="shared" ca="1" si="140"/>
        <v>0</v>
      </c>
      <c r="Q62" s="612">
        <f t="shared" ca="1" si="141"/>
        <v>0</v>
      </c>
      <c r="S62" s="620">
        <f t="shared" ca="1" si="142"/>
        <v>0</v>
      </c>
      <c r="T62" s="620">
        <f t="shared" ca="1" si="142"/>
        <v>0</v>
      </c>
      <c r="U62" s="620">
        <f t="shared" ca="1" si="142"/>
        <v>0</v>
      </c>
      <c r="V62" s="620">
        <f t="shared" ca="1" si="142"/>
        <v>0</v>
      </c>
      <c r="W62" s="620">
        <f t="shared" ca="1" si="142"/>
        <v>0</v>
      </c>
      <c r="X62" s="620">
        <f t="shared" ca="1" si="142"/>
        <v>0</v>
      </c>
      <c r="Y62" s="620">
        <f t="shared" ca="1" si="142"/>
        <v>0</v>
      </c>
      <c r="Z62" s="620">
        <f t="shared" ca="1" si="142"/>
        <v>0</v>
      </c>
      <c r="AA62" s="620">
        <f t="shared" ca="1" si="142"/>
        <v>0</v>
      </c>
      <c r="AB62" s="620">
        <f t="shared" ca="1" si="142"/>
        <v>0</v>
      </c>
      <c r="AC62" s="620">
        <f t="shared" ca="1" si="142"/>
        <v>0</v>
      </c>
      <c r="AD62" s="620">
        <f t="shared" ca="1" si="142"/>
        <v>0</v>
      </c>
      <c r="AE62" s="620">
        <f t="shared" ca="1" si="142"/>
        <v>0</v>
      </c>
      <c r="AF62" s="620">
        <f t="shared" ca="1" si="142"/>
        <v>0</v>
      </c>
      <c r="AG62" s="620">
        <f t="shared" ca="1" si="142"/>
        <v>0</v>
      </c>
      <c r="AH62" s="620">
        <f t="shared" ca="1" si="142"/>
        <v>0</v>
      </c>
      <c r="AI62" s="620">
        <f t="shared" ca="1" si="142"/>
        <v>0</v>
      </c>
      <c r="AJ62" s="620">
        <f t="shared" ca="1" si="142"/>
        <v>0</v>
      </c>
      <c r="AK62" s="613">
        <f t="shared" ca="1" si="143"/>
        <v>0</v>
      </c>
      <c r="AM62" s="621">
        <f t="shared" ca="1" si="144"/>
        <v>0</v>
      </c>
      <c r="AN62" s="621">
        <f t="shared" ca="1" si="144"/>
        <v>0</v>
      </c>
      <c r="AO62" s="621">
        <f t="shared" ca="1" si="144"/>
        <v>0</v>
      </c>
      <c r="AP62" s="621">
        <f t="shared" ca="1" si="144"/>
        <v>0</v>
      </c>
      <c r="AQ62" s="621">
        <f t="shared" ca="1" si="144"/>
        <v>0</v>
      </c>
      <c r="AR62" s="621">
        <f t="shared" ca="1" si="144"/>
        <v>0</v>
      </c>
      <c r="AS62" s="621">
        <f t="shared" ca="1" si="144"/>
        <v>0</v>
      </c>
      <c r="AT62" s="621">
        <f t="shared" ca="1" si="144"/>
        <v>0</v>
      </c>
      <c r="AU62" s="621">
        <f t="shared" ca="1" si="144"/>
        <v>0</v>
      </c>
      <c r="AV62" s="621">
        <f t="shared" ca="1" si="144"/>
        <v>0</v>
      </c>
      <c r="AW62" s="621">
        <f t="shared" ca="1" si="144"/>
        <v>0</v>
      </c>
      <c r="AX62" s="621">
        <f t="shared" ca="1" si="144"/>
        <v>0</v>
      </c>
      <c r="AY62" s="621">
        <f t="shared" ca="1" si="144"/>
        <v>0</v>
      </c>
      <c r="AZ62" s="621">
        <f t="shared" ca="1" si="144"/>
        <v>0</v>
      </c>
      <c r="BA62" s="621">
        <f t="shared" ca="1" si="144"/>
        <v>0</v>
      </c>
      <c r="BB62" s="621">
        <f t="shared" ca="1" si="144"/>
        <v>0</v>
      </c>
      <c r="BC62" s="621">
        <f t="shared" ca="1" si="145"/>
        <v>0</v>
      </c>
      <c r="BD62" s="621">
        <f t="shared" ca="1" si="145"/>
        <v>0</v>
      </c>
      <c r="BE62" s="621">
        <f t="shared" ca="1" si="145"/>
        <v>0</v>
      </c>
      <c r="BF62" s="615">
        <f t="shared" ca="1" si="146"/>
        <v>0</v>
      </c>
      <c r="BH62" s="3473">
        <f t="shared" ca="1" si="147"/>
        <v>0</v>
      </c>
      <c r="BI62" s="3473">
        <f t="shared" ca="1" si="147"/>
        <v>0</v>
      </c>
      <c r="BJ62" s="3462">
        <f t="shared" ca="1" si="148"/>
        <v>0</v>
      </c>
      <c r="BL62" s="610">
        <f t="shared" ca="1" si="138"/>
        <v>0</v>
      </c>
      <c r="BM62" s="610"/>
      <c r="BN62" s="413"/>
      <c r="BO62" s="2791">
        <f t="shared" ca="1" si="149"/>
        <v>0</v>
      </c>
      <c r="BP62" s="2792">
        <f t="shared" ca="1" si="149"/>
        <v>0</v>
      </c>
      <c r="BQ62" s="2792">
        <f t="shared" ca="1" si="149"/>
        <v>0</v>
      </c>
      <c r="BR62" s="2792">
        <f t="shared" ca="1" si="149"/>
        <v>0</v>
      </c>
      <c r="BS62" s="2792">
        <f t="shared" ca="1" si="149"/>
        <v>0</v>
      </c>
      <c r="BT62" s="2792">
        <f t="shared" ca="1" si="149"/>
        <v>0</v>
      </c>
      <c r="BU62" s="2792">
        <f t="shared" ca="1" si="149"/>
        <v>0</v>
      </c>
      <c r="BV62" s="2792">
        <f t="shared" ca="1" si="149"/>
        <v>0</v>
      </c>
      <c r="BW62" s="2792">
        <f t="shared" ca="1" si="149"/>
        <v>0</v>
      </c>
      <c r="BX62" s="2792">
        <f t="shared" ca="1" si="149"/>
        <v>0</v>
      </c>
      <c r="BY62" s="2792">
        <f t="shared" ca="1" si="150"/>
        <v>0</v>
      </c>
      <c r="BZ62" s="2792">
        <f t="shared" ca="1" si="150"/>
        <v>0</v>
      </c>
      <c r="CA62" s="2792">
        <f t="shared" ca="1" si="150"/>
        <v>0</v>
      </c>
      <c r="CB62" s="2792">
        <f t="shared" ca="1" si="150"/>
        <v>0</v>
      </c>
      <c r="CC62" s="2792">
        <f t="shared" ca="1" si="150"/>
        <v>0</v>
      </c>
      <c r="CD62" s="2792">
        <f t="shared" ca="1" si="150"/>
        <v>0</v>
      </c>
      <c r="CE62" s="2792">
        <f t="shared" ca="1" si="150"/>
        <v>0</v>
      </c>
      <c r="CF62" s="2792">
        <f t="shared" ca="1" si="150"/>
        <v>0</v>
      </c>
      <c r="CG62" s="2792">
        <f t="shared" ca="1" si="150"/>
        <v>0</v>
      </c>
      <c r="CH62" s="2792">
        <f t="shared" ca="1" si="150"/>
        <v>0</v>
      </c>
      <c r="CI62" s="2792">
        <f t="shared" ca="1" si="151"/>
        <v>0</v>
      </c>
      <c r="CJ62" s="2792">
        <f t="shared" ca="1" si="151"/>
        <v>0</v>
      </c>
      <c r="CK62" s="2792">
        <f t="shared" ca="1" si="151"/>
        <v>0</v>
      </c>
      <c r="CL62" s="2792">
        <f t="shared" ca="1" si="151"/>
        <v>0</v>
      </c>
      <c r="CM62" s="2792">
        <f t="shared" ca="1" si="151"/>
        <v>0</v>
      </c>
      <c r="CN62" s="2792">
        <f t="shared" ca="1" si="151"/>
        <v>0</v>
      </c>
      <c r="CO62" s="2792">
        <f t="shared" ca="1" si="151"/>
        <v>0</v>
      </c>
      <c r="CP62" s="2792">
        <f t="shared" ca="1" si="151"/>
        <v>0</v>
      </c>
      <c r="CQ62" s="2792">
        <f t="shared" ca="1" si="151"/>
        <v>0</v>
      </c>
      <c r="CR62" s="2792">
        <f t="shared" ca="1" si="151"/>
        <v>0</v>
      </c>
      <c r="CS62" s="2792">
        <f t="shared" ca="1" si="152"/>
        <v>0</v>
      </c>
      <c r="CT62" s="2792">
        <f t="shared" ca="1" si="152"/>
        <v>0</v>
      </c>
      <c r="CU62" s="2792">
        <f t="shared" ca="1" si="152"/>
        <v>0</v>
      </c>
      <c r="CV62" s="2792">
        <f t="shared" ca="1" si="152"/>
        <v>0</v>
      </c>
      <c r="CW62" s="2792">
        <f t="shared" ca="1" si="152"/>
        <v>0</v>
      </c>
      <c r="CX62" s="2792">
        <f t="shared" ca="1" si="152"/>
        <v>0</v>
      </c>
      <c r="CY62" s="2792">
        <f t="shared" ca="1" si="152"/>
        <v>0</v>
      </c>
      <c r="CZ62" s="2792">
        <f t="shared" ca="1" si="152"/>
        <v>0</v>
      </c>
      <c r="DA62" s="2792">
        <f t="shared" ca="1" si="152"/>
        <v>0</v>
      </c>
      <c r="DB62" s="2792">
        <f t="shared" ca="1" si="152"/>
        <v>0</v>
      </c>
      <c r="DC62" s="2792">
        <f t="shared" ca="1" si="152"/>
        <v>0</v>
      </c>
      <c r="DD62" s="2792">
        <f t="shared" ca="1" si="152"/>
        <v>0</v>
      </c>
      <c r="DE62" s="2792">
        <f t="shared" ca="1" si="152"/>
        <v>0</v>
      </c>
      <c r="DF62" s="2792">
        <f t="shared" ca="1" si="152"/>
        <v>0</v>
      </c>
      <c r="DH62" s="596">
        <f t="shared" ca="1" si="113"/>
        <v>0</v>
      </c>
    </row>
    <row r="63" spans="1:112" s="6" customFormat="1" ht="15.75">
      <c r="A63" s="4"/>
      <c r="B63" s="3"/>
      <c r="C63" s="616" t="s">
        <v>532</v>
      </c>
      <c r="D63" s="617" t="s">
        <v>533</v>
      </c>
      <c r="E63" s="206"/>
      <c r="G63" s="579">
        <f t="shared" ref="G63:P63" ca="1" si="153">SUM(G57:G62)</f>
        <v>0</v>
      </c>
      <c r="H63" s="579">
        <f t="shared" ca="1" si="153"/>
        <v>0</v>
      </c>
      <c r="I63" s="579">
        <f t="shared" ca="1" si="153"/>
        <v>0</v>
      </c>
      <c r="J63" s="579">
        <f t="shared" ca="1" si="153"/>
        <v>0</v>
      </c>
      <c r="K63" s="579">
        <f t="shared" ca="1" si="153"/>
        <v>0</v>
      </c>
      <c r="L63" s="579">
        <f t="shared" ca="1" si="153"/>
        <v>0</v>
      </c>
      <c r="M63" s="579">
        <f t="shared" ca="1" si="153"/>
        <v>0</v>
      </c>
      <c r="N63" s="579">
        <f t="shared" ca="1" si="153"/>
        <v>0</v>
      </c>
      <c r="O63" s="579">
        <f t="shared" ca="1" si="153"/>
        <v>0</v>
      </c>
      <c r="P63" s="579">
        <f t="shared" ca="1" si="153"/>
        <v>0</v>
      </c>
      <c r="Q63" s="618">
        <f t="shared" ca="1" si="141"/>
        <v>0</v>
      </c>
      <c r="S63" s="581">
        <f t="shared" ref="S63:AJ63" ca="1" si="154">SUM(S57:S62)</f>
        <v>0</v>
      </c>
      <c r="T63" s="581">
        <f t="shared" ca="1" si="154"/>
        <v>6.3691306323287664</v>
      </c>
      <c r="U63" s="581">
        <f t="shared" ca="1" si="154"/>
        <v>0</v>
      </c>
      <c r="V63" s="581">
        <f t="shared" ca="1" si="154"/>
        <v>0</v>
      </c>
      <c r="W63" s="581">
        <f t="shared" ca="1" si="154"/>
        <v>0</v>
      </c>
      <c r="X63" s="581">
        <f t="shared" ca="1" si="154"/>
        <v>0</v>
      </c>
      <c r="Y63" s="581">
        <f t="shared" ca="1" si="154"/>
        <v>0</v>
      </c>
      <c r="Z63" s="581">
        <f t="shared" ca="1" si="154"/>
        <v>0</v>
      </c>
      <c r="AA63" s="581">
        <f t="shared" ca="1" si="154"/>
        <v>0</v>
      </c>
      <c r="AB63" s="581">
        <f t="shared" ca="1" si="154"/>
        <v>0</v>
      </c>
      <c r="AC63" s="581">
        <f t="shared" ca="1" si="154"/>
        <v>0</v>
      </c>
      <c r="AD63" s="581">
        <f t="shared" ca="1" si="154"/>
        <v>0</v>
      </c>
      <c r="AE63" s="581">
        <f ca="1">SUM(AE57:AE62)</f>
        <v>0</v>
      </c>
      <c r="AF63" s="581">
        <f t="shared" ca="1" si="154"/>
        <v>0</v>
      </c>
      <c r="AG63" s="581">
        <f t="shared" ca="1" si="154"/>
        <v>0</v>
      </c>
      <c r="AH63" s="581">
        <f ca="1">SUM(AH57:AH62)</f>
        <v>0</v>
      </c>
      <c r="AI63" s="581">
        <f t="shared" ca="1" si="154"/>
        <v>0</v>
      </c>
      <c r="AJ63" s="581">
        <f t="shared" ca="1" si="154"/>
        <v>0</v>
      </c>
      <c r="AK63" s="581">
        <f t="shared" ca="1" si="143"/>
        <v>6.3691306323287664</v>
      </c>
      <c r="AM63" s="582">
        <f t="shared" ref="AM63:BE63" ca="1" si="155">SUM(AM57:AM62)</f>
        <v>0</v>
      </c>
      <c r="AN63" s="582">
        <f t="shared" ca="1" si="155"/>
        <v>0</v>
      </c>
      <c r="AO63" s="582">
        <f t="shared" ca="1" si="155"/>
        <v>0</v>
      </c>
      <c r="AP63" s="582">
        <f t="shared" ca="1" si="155"/>
        <v>0</v>
      </c>
      <c r="AQ63" s="582">
        <f t="shared" ca="1" si="155"/>
        <v>0</v>
      </c>
      <c r="AR63" s="582">
        <f t="shared" ca="1" si="155"/>
        <v>0</v>
      </c>
      <c r="AS63" s="582">
        <f t="shared" ca="1" si="155"/>
        <v>0</v>
      </c>
      <c r="AT63" s="582">
        <f t="shared" ca="1" si="155"/>
        <v>0</v>
      </c>
      <c r="AU63" s="582">
        <f t="shared" ca="1" si="155"/>
        <v>0</v>
      </c>
      <c r="AV63" s="582">
        <f t="shared" ca="1" si="155"/>
        <v>0</v>
      </c>
      <c r="AW63" s="582">
        <f t="shared" ca="1" si="155"/>
        <v>0</v>
      </c>
      <c r="AX63" s="582">
        <f t="shared" ca="1" si="155"/>
        <v>-5.6172527999999993</v>
      </c>
      <c r="AY63" s="582">
        <f t="shared" ca="1" si="155"/>
        <v>0</v>
      </c>
      <c r="AZ63" s="582">
        <f t="shared" ca="1" si="155"/>
        <v>-3.9627123287671231E-3</v>
      </c>
      <c r="BA63" s="582">
        <f t="shared" ca="1" si="155"/>
        <v>0</v>
      </c>
      <c r="BB63" s="582">
        <f t="shared" ca="1" si="155"/>
        <v>-0.74791511999999993</v>
      </c>
      <c r="BC63" s="582">
        <f t="shared" ca="1" si="155"/>
        <v>0</v>
      </c>
      <c r="BD63" s="582">
        <f t="shared" ca="1" si="155"/>
        <v>0</v>
      </c>
      <c r="BE63" s="582">
        <f t="shared" ca="1" si="155"/>
        <v>0</v>
      </c>
      <c r="BF63" s="582">
        <f t="shared" ca="1" si="146"/>
        <v>-6.3691306323287664</v>
      </c>
      <c r="BH63" s="3463">
        <f ca="1">SUM(BH57:BH62)</f>
        <v>0</v>
      </c>
      <c r="BI63" s="3463">
        <f ca="1">SUM(BI57:BI62)</f>
        <v>0</v>
      </c>
      <c r="BJ63" s="3463">
        <f t="shared" ca="1" si="148"/>
        <v>0</v>
      </c>
      <c r="BL63" s="3477">
        <f t="shared" ca="1" si="138"/>
        <v>0</v>
      </c>
      <c r="BM63" s="584"/>
      <c r="BN63" s="413"/>
      <c r="BO63" s="2790">
        <f t="shared" ref="BO63:DF63" ca="1" si="156">SUM(BO57:BO62)</f>
        <v>0</v>
      </c>
      <c r="BP63" s="2790">
        <f t="shared" ca="1" si="156"/>
        <v>0</v>
      </c>
      <c r="BQ63" s="2790">
        <f t="shared" ca="1" si="156"/>
        <v>0</v>
      </c>
      <c r="BR63" s="2790">
        <f t="shared" ca="1" si="156"/>
        <v>0</v>
      </c>
      <c r="BS63" s="2790">
        <f t="shared" ca="1" si="156"/>
        <v>0</v>
      </c>
      <c r="BT63" s="2790">
        <f t="shared" ca="1" si="156"/>
        <v>0</v>
      </c>
      <c r="BU63" s="2790">
        <f t="shared" ca="1" si="156"/>
        <v>0</v>
      </c>
      <c r="BV63" s="2790">
        <f t="shared" ca="1" si="156"/>
        <v>0</v>
      </c>
      <c r="BW63" s="2790">
        <f t="shared" ca="1" si="156"/>
        <v>0</v>
      </c>
      <c r="BX63" s="2790">
        <f t="shared" ca="1" si="156"/>
        <v>0</v>
      </c>
      <c r="BY63" s="2790">
        <f t="shared" ca="1" si="156"/>
        <v>0</v>
      </c>
      <c r="BZ63" s="2790">
        <f t="shared" ca="1" si="156"/>
        <v>0</v>
      </c>
      <c r="CA63" s="2790">
        <f t="shared" ca="1" si="156"/>
        <v>0</v>
      </c>
      <c r="CB63" s="2790">
        <f t="shared" ca="1" si="156"/>
        <v>0</v>
      </c>
      <c r="CC63" s="2790">
        <f t="shared" ca="1" si="156"/>
        <v>0</v>
      </c>
      <c r="CD63" s="2790">
        <f t="shared" ca="1" si="156"/>
        <v>0</v>
      </c>
      <c r="CE63" s="2790">
        <f t="shared" ca="1" si="156"/>
        <v>0</v>
      </c>
      <c r="CF63" s="2790">
        <f t="shared" ca="1" si="156"/>
        <v>0</v>
      </c>
      <c r="CG63" s="2790">
        <f t="shared" ca="1" si="156"/>
        <v>0</v>
      </c>
      <c r="CH63" s="2790">
        <f t="shared" ca="1" si="156"/>
        <v>0</v>
      </c>
      <c r="CI63" s="2790">
        <f t="shared" ca="1" si="156"/>
        <v>0</v>
      </c>
      <c r="CJ63" s="2790">
        <f t="shared" ca="1" si="156"/>
        <v>0</v>
      </c>
      <c r="CK63" s="2790">
        <f t="shared" ca="1" si="156"/>
        <v>0</v>
      </c>
      <c r="CL63" s="2790">
        <f t="shared" ca="1" si="156"/>
        <v>0</v>
      </c>
      <c r="CM63" s="2790">
        <f t="shared" ca="1" si="156"/>
        <v>0</v>
      </c>
      <c r="CN63" s="2790">
        <f t="shared" ca="1" si="156"/>
        <v>0</v>
      </c>
      <c r="CO63" s="2790">
        <f t="shared" ca="1" si="156"/>
        <v>0</v>
      </c>
      <c r="CP63" s="2790">
        <f t="shared" ca="1" si="156"/>
        <v>0</v>
      </c>
      <c r="CQ63" s="2790">
        <f t="shared" ca="1" si="156"/>
        <v>0</v>
      </c>
      <c r="CR63" s="2790">
        <f t="shared" ca="1" si="156"/>
        <v>0</v>
      </c>
      <c r="CS63" s="2790">
        <f t="shared" ca="1" si="156"/>
        <v>0</v>
      </c>
      <c r="CT63" s="2790">
        <f t="shared" ca="1" si="156"/>
        <v>0</v>
      </c>
      <c r="CU63" s="2790">
        <f t="shared" ca="1" si="156"/>
        <v>0</v>
      </c>
      <c r="CV63" s="2790">
        <f t="shared" ca="1" si="156"/>
        <v>0</v>
      </c>
      <c r="CW63" s="2790">
        <f t="shared" ca="1" si="156"/>
        <v>0</v>
      </c>
      <c r="CX63" s="2790">
        <f t="shared" ca="1" si="156"/>
        <v>0</v>
      </c>
      <c r="CY63" s="2790">
        <f t="shared" ca="1" si="156"/>
        <v>0</v>
      </c>
      <c r="CZ63" s="2790">
        <f t="shared" ca="1" si="156"/>
        <v>0</v>
      </c>
      <c r="DA63" s="2790">
        <f t="shared" ca="1" si="156"/>
        <v>0</v>
      </c>
      <c r="DB63" s="2790">
        <f t="shared" ca="1" si="156"/>
        <v>0</v>
      </c>
      <c r="DC63" s="2790">
        <f t="shared" ca="1" si="156"/>
        <v>0</v>
      </c>
      <c r="DD63" s="2790">
        <f t="shared" ca="1" si="156"/>
        <v>0</v>
      </c>
      <c r="DE63" s="2790">
        <f t="shared" ca="1" si="156"/>
        <v>0</v>
      </c>
      <c r="DF63" s="2790">
        <f t="shared" ca="1" si="156"/>
        <v>0</v>
      </c>
      <c r="DH63" s="596">
        <f t="shared" ca="1" si="113"/>
        <v>0</v>
      </c>
    </row>
    <row r="64" spans="1:112" s="6" customFormat="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13"/>
        <v>0</v>
      </c>
    </row>
    <row r="65" spans="1:112" s="607" customFormat="1" ht="11.25">
      <c r="C65" s="587" t="s">
        <v>534</v>
      </c>
      <c r="D65" s="588" t="s">
        <v>535</v>
      </c>
      <c r="E65" s="588"/>
      <c r="G65" s="657">
        <f t="shared" ref="G65:P67" ca="1" si="157">IFERROR(INDEX(INDIRECT($C65&amp;".Outputs["&amp;this.Year&amp;"]"), MATCH(G$5, INDIRECT($C65&amp;".Outputs[Vector]"), 0)), 0)</f>
        <v>0</v>
      </c>
      <c r="H65" s="657">
        <f t="shared" ca="1" si="157"/>
        <v>0</v>
      </c>
      <c r="I65" s="657">
        <f t="shared" ca="1" si="157"/>
        <v>0</v>
      </c>
      <c r="J65" s="657">
        <f t="shared" ca="1" si="157"/>
        <v>0</v>
      </c>
      <c r="K65" s="658">
        <f t="shared" ca="1" si="157"/>
        <v>0</v>
      </c>
      <c r="L65" s="657">
        <f t="shared" ca="1" si="157"/>
        <v>0</v>
      </c>
      <c r="M65" s="657">
        <f t="shared" ca="1" si="157"/>
        <v>0</v>
      </c>
      <c r="N65" s="657">
        <f t="shared" ca="1" si="157"/>
        <v>0</v>
      </c>
      <c r="O65" s="657">
        <f t="shared" ca="1" si="157"/>
        <v>0</v>
      </c>
      <c r="P65" s="657">
        <f t="shared" ca="1" si="157"/>
        <v>0</v>
      </c>
      <c r="Q65" s="659">
        <f ca="1">SUM(G65:P65)</f>
        <v>0</v>
      </c>
      <c r="S65" s="660">
        <f t="shared" ref="S65:AJ67" ca="1" si="158">IFERROR(INDEX(INDIRECT($C65&amp;".Outputs["&amp;this.Year&amp;"]"), MATCH(S$5, INDIRECT($C65&amp;".Outputs[Vector]"), 0)), 0)</f>
        <v>0</v>
      </c>
      <c r="T65" s="660">
        <f t="shared" ca="1" si="158"/>
        <v>0</v>
      </c>
      <c r="U65" s="660">
        <f t="shared" ca="1" si="158"/>
        <v>0</v>
      </c>
      <c r="V65" s="660">
        <f t="shared" ca="1" si="158"/>
        <v>0</v>
      </c>
      <c r="W65" s="660">
        <f t="shared" ca="1" si="158"/>
        <v>0</v>
      </c>
      <c r="X65" s="660">
        <f t="shared" ca="1" si="158"/>
        <v>0</v>
      </c>
      <c r="Y65" s="660">
        <f t="shared" ca="1" si="158"/>
        <v>0</v>
      </c>
      <c r="Z65" s="660">
        <f t="shared" ca="1" si="158"/>
        <v>0</v>
      </c>
      <c r="AA65" s="660">
        <f t="shared" ca="1" si="158"/>
        <v>0</v>
      </c>
      <c r="AB65" s="660">
        <f t="shared" ca="1" si="158"/>
        <v>0</v>
      </c>
      <c r="AC65" s="660">
        <f t="shared" ca="1" si="158"/>
        <v>0</v>
      </c>
      <c r="AD65" s="660">
        <f t="shared" ca="1" si="158"/>
        <v>0</v>
      </c>
      <c r="AE65" s="660">
        <f t="shared" ca="1" si="158"/>
        <v>0</v>
      </c>
      <c r="AF65" s="660">
        <f t="shared" ca="1" si="158"/>
        <v>0</v>
      </c>
      <c r="AG65" s="660">
        <f t="shared" ca="1" si="158"/>
        <v>0</v>
      </c>
      <c r="AH65" s="660">
        <f t="shared" ca="1" si="158"/>
        <v>0</v>
      </c>
      <c r="AI65" s="660">
        <f t="shared" ca="1" si="158"/>
        <v>0</v>
      </c>
      <c r="AJ65" s="660">
        <f t="shared" ca="1" si="158"/>
        <v>0</v>
      </c>
      <c r="AK65" s="661">
        <f ca="1">SUM(S65:AJ65)</f>
        <v>0</v>
      </c>
      <c r="AM65" s="662">
        <f t="shared" ref="AM65:BB67" ca="1" si="159">IFERROR(INDEX(INDIRECT($C65&amp;".Outputs["&amp;this.Year&amp;"]"), MATCH(AM$5, INDIRECT($C65&amp;".Outputs[Vector]"), 0)), 0)</f>
        <v>0</v>
      </c>
      <c r="AN65" s="662">
        <f t="shared" ca="1" si="159"/>
        <v>0</v>
      </c>
      <c r="AO65" s="662">
        <f t="shared" ca="1" si="159"/>
        <v>0</v>
      </c>
      <c r="AP65" s="662">
        <f t="shared" ca="1" si="159"/>
        <v>0</v>
      </c>
      <c r="AQ65" s="662">
        <f t="shared" ca="1" si="159"/>
        <v>0</v>
      </c>
      <c r="AR65" s="662">
        <f t="shared" ca="1" si="159"/>
        <v>0</v>
      </c>
      <c r="AS65" s="662">
        <f t="shared" ca="1" si="159"/>
        <v>0</v>
      </c>
      <c r="AT65" s="662">
        <f t="shared" ca="1" si="159"/>
        <v>0</v>
      </c>
      <c r="AU65" s="662">
        <f t="shared" ca="1" si="159"/>
        <v>0</v>
      </c>
      <c r="AV65" s="662">
        <f t="shared" ca="1" si="159"/>
        <v>0</v>
      </c>
      <c r="AW65" s="662">
        <f t="shared" ca="1" si="159"/>
        <v>0</v>
      </c>
      <c r="AX65" s="662">
        <f t="shared" ca="1" si="159"/>
        <v>0</v>
      </c>
      <c r="AY65" s="662">
        <f t="shared" ca="1" si="159"/>
        <v>0</v>
      </c>
      <c r="AZ65" s="662">
        <f t="shared" ca="1" si="159"/>
        <v>0</v>
      </c>
      <c r="BA65" s="662">
        <f t="shared" ca="1" si="159"/>
        <v>0</v>
      </c>
      <c r="BB65" s="662">
        <f t="shared" ca="1" si="159"/>
        <v>0</v>
      </c>
      <c r="BC65" s="662">
        <f t="shared" ref="BC65:BE67" ca="1" si="160">IFERROR(INDEX(INDIRECT($C65&amp;".Outputs["&amp;this.Year&amp;"]"), MATCH(BC$5, INDIRECT($C65&amp;".Outputs[Vector]"), 0)), 0)</f>
        <v>0</v>
      </c>
      <c r="BD65" s="662">
        <f t="shared" ca="1" si="160"/>
        <v>0</v>
      </c>
      <c r="BE65" s="662">
        <f t="shared" ca="1" si="160"/>
        <v>0</v>
      </c>
      <c r="BF65" s="609">
        <f ca="1">SUM(AM65:BE65)</f>
        <v>0</v>
      </c>
      <c r="BH65" s="663">
        <f t="shared" ref="BH65:BI67" ca="1" si="161">IFERROR(INDEX(INDIRECT($C65&amp;".Outputs["&amp;this.Year&amp;"]"), MATCH(BH$5, INDIRECT($C65&amp;".Outputs[Vector]"), 0)), 0)</f>
        <v>0</v>
      </c>
      <c r="BI65" s="663">
        <f t="shared" ca="1" si="161"/>
        <v>0</v>
      </c>
      <c r="BJ65" s="664">
        <f ca="1">SUM(BH65:BI65)</f>
        <v>0</v>
      </c>
      <c r="BL65" s="610">
        <f t="shared" ref="BL65:BL72" ca="1" si="162">Q65+AK65+BF65+BJ65</f>
        <v>0</v>
      </c>
      <c r="BM65" s="610"/>
      <c r="BO65" s="665">
        <f t="shared" ref="BO65:DF67" ca="1" si="163">IFERROR(SUMIFS(INDIRECT($C65&amp;".Emissions["&amp;this.Year&amp;"]"), INDIRECT($C65&amp;".Emissions[GHG]"), BO$6, INDIRECT($C65&amp;".Emissions[IPCC Sector]"), BO$5),0)</f>
        <v>0</v>
      </c>
      <c r="BP65" s="665">
        <f t="shared" ca="1" si="163"/>
        <v>0</v>
      </c>
      <c r="BQ65" s="665">
        <f t="shared" ca="1" si="163"/>
        <v>0</v>
      </c>
      <c r="BR65" s="665">
        <f t="shared" ca="1" si="163"/>
        <v>0</v>
      </c>
      <c r="BS65" s="665">
        <f t="shared" ca="1" si="163"/>
        <v>0</v>
      </c>
      <c r="BT65" s="665">
        <f t="shared" ca="1" si="163"/>
        <v>0</v>
      </c>
      <c r="BU65" s="665">
        <f t="shared" ca="1" si="163"/>
        <v>0</v>
      </c>
      <c r="BV65" s="665">
        <f t="shared" ca="1" si="163"/>
        <v>0</v>
      </c>
      <c r="BW65" s="665">
        <f t="shared" ca="1" si="163"/>
        <v>0</v>
      </c>
      <c r="BX65" s="665">
        <f t="shared" ca="1" si="163"/>
        <v>0</v>
      </c>
      <c r="BY65" s="665">
        <f t="shared" ca="1" si="163"/>
        <v>0</v>
      </c>
      <c r="BZ65" s="665">
        <f t="shared" ca="1" si="163"/>
        <v>0</v>
      </c>
      <c r="CA65" s="665">
        <f t="shared" ca="1" si="163"/>
        <v>0</v>
      </c>
      <c r="CB65" s="665">
        <f t="shared" ca="1" si="163"/>
        <v>0</v>
      </c>
      <c r="CC65" s="665">
        <f t="shared" ca="1" si="163"/>
        <v>0</v>
      </c>
      <c r="CD65" s="665">
        <f t="shared" ca="1" si="163"/>
        <v>0</v>
      </c>
      <c r="CE65" s="665">
        <f t="shared" ca="1" si="163"/>
        <v>0</v>
      </c>
      <c r="CF65" s="665">
        <f t="shared" ca="1" si="163"/>
        <v>0</v>
      </c>
      <c r="CG65" s="665">
        <f t="shared" ca="1" si="163"/>
        <v>0</v>
      </c>
      <c r="CH65" s="665">
        <f t="shared" ca="1" si="163"/>
        <v>0</v>
      </c>
      <c r="CI65" s="665">
        <f t="shared" ca="1" si="163"/>
        <v>0</v>
      </c>
      <c r="CJ65" s="665">
        <f t="shared" ca="1" si="163"/>
        <v>0</v>
      </c>
      <c r="CK65" s="665">
        <f t="shared" ca="1" si="163"/>
        <v>0</v>
      </c>
      <c r="CL65" s="665">
        <f t="shared" ca="1" si="163"/>
        <v>0</v>
      </c>
      <c r="CM65" s="665">
        <f t="shared" ca="1" si="163"/>
        <v>0</v>
      </c>
      <c r="CN65" s="665">
        <f t="shared" ca="1" si="163"/>
        <v>0</v>
      </c>
      <c r="CO65" s="665">
        <f t="shared" ca="1" si="163"/>
        <v>0</v>
      </c>
      <c r="CP65" s="665">
        <f t="shared" ca="1" si="163"/>
        <v>0</v>
      </c>
      <c r="CQ65" s="665">
        <f t="shared" ca="1" si="163"/>
        <v>0</v>
      </c>
      <c r="CR65" s="665">
        <f t="shared" ca="1" si="163"/>
        <v>0</v>
      </c>
      <c r="CS65" s="665">
        <f t="shared" ca="1" si="163"/>
        <v>0</v>
      </c>
      <c r="CT65" s="665">
        <f t="shared" ca="1" si="163"/>
        <v>0</v>
      </c>
      <c r="CU65" s="665">
        <f t="shared" ca="1" si="163"/>
        <v>0</v>
      </c>
      <c r="CV65" s="665">
        <f t="shared" ca="1" si="163"/>
        <v>0</v>
      </c>
      <c r="CW65" s="665">
        <f t="shared" ca="1" si="163"/>
        <v>0</v>
      </c>
      <c r="CX65" s="665">
        <f t="shared" ca="1" si="163"/>
        <v>0</v>
      </c>
      <c r="CY65" s="665">
        <f t="shared" ca="1" si="163"/>
        <v>0</v>
      </c>
      <c r="CZ65" s="665">
        <f t="shared" ca="1" si="163"/>
        <v>0</v>
      </c>
      <c r="DA65" s="665">
        <f t="shared" ca="1" si="163"/>
        <v>0</v>
      </c>
      <c r="DB65" s="665">
        <f t="shared" ca="1" si="163"/>
        <v>0</v>
      </c>
      <c r="DC65" s="665">
        <f t="shared" ca="1" si="163"/>
        <v>0</v>
      </c>
      <c r="DD65" s="665">
        <f t="shared" ca="1" si="163"/>
        <v>0</v>
      </c>
      <c r="DE65" s="665">
        <f t="shared" ca="1" si="163"/>
        <v>0</v>
      </c>
      <c r="DF65" s="665">
        <f t="shared" ca="1" si="163"/>
        <v>0</v>
      </c>
      <c r="DH65" s="666">
        <f t="shared" ca="1" si="113"/>
        <v>0</v>
      </c>
    </row>
    <row r="66" spans="1:112" s="607" customFormat="1" ht="11.25">
      <c r="C66" s="587" t="s">
        <v>25</v>
      </c>
      <c r="D66" s="588" t="s">
        <v>26</v>
      </c>
      <c r="E66" s="588"/>
      <c r="G66" s="657">
        <f t="shared" ca="1" si="157"/>
        <v>0</v>
      </c>
      <c r="H66" s="657">
        <f t="shared" ca="1" si="157"/>
        <v>2.1095706387860517E-2</v>
      </c>
      <c r="I66" s="657">
        <f t="shared" ca="1" si="157"/>
        <v>0</v>
      </c>
      <c r="J66" s="657">
        <f t="shared" ca="1" si="157"/>
        <v>0</v>
      </c>
      <c r="K66" s="658">
        <f t="shared" ca="1" si="157"/>
        <v>0</v>
      </c>
      <c r="L66" s="657">
        <f t="shared" ca="1" si="157"/>
        <v>0</v>
      </c>
      <c r="M66" s="657">
        <f t="shared" ca="1" si="157"/>
        <v>0</v>
      </c>
      <c r="N66" s="657">
        <f t="shared" ca="1" si="157"/>
        <v>0</v>
      </c>
      <c r="O66" s="657">
        <f t="shared" ca="1" si="157"/>
        <v>0</v>
      </c>
      <c r="P66" s="657">
        <f t="shared" ca="1" si="157"/>
        <v>0</v>
      </c>
      <c r="Q66" s="659">
        <f ca="1">SUM(G66:P66)</f>
        <v>2.1095706387860517E-2</v>
      </c>
      <c r="S66" s="660">
        <f t="shared" ca="1" si="158"/>
        <v>-2.1095706387860517E-2</v>
      </c>
      <c r="T66" s="660">
        <f t="shared" ca="1" si="158"/>
        <v>0</v>
      </c>
      <c r="U66" s="660">
        <f t="shared" ca="1" si="158"/>
        <v>0</v>
      </c>
      <c r="V66" s="660">
        <f t="shared" ca="1" si="158"/>
        <v>0</v>
      </c>
      <c r="W66" s="660">
        <f t="shared" ca="1" si="158"/>
        <v>0</v>
      </c>
      <c r="X66" s="660">
        <f t="shared" ca="1" si="158"/>
        <v>0</v>
      </c>
      <c r="Y66" s="660">
        <f t="shared" ca="1" si="158"/>
        <v>0</v>
      </c>
      <c r="Z66" s="660">
        <f t="shared" ca="1" si="158"/>
        <v>0</v>
      </c>
      <c r="AA66" s="660">
        <f t="shared" ca="1" si="158"/>
        <v>0</v>
      </c>
      <c r="AB66" s="660">
        <f t="shared" ca="1" si="158"/>
        <v>0</v>
      </c>
      <c r="AC66" s="660">
        <f t="shared" ca="1" si="158"/>
        <v>0</v>
      </c>
      <c r="AD66" s="660">
        <f t="shared" ca="1" si="158"/>
        <v>0</v>
      </c>
      <c r="AE66" s="660">
        <f t="shared" ca="1" si="158"/>
        <v>0</v>
      </c>
      <c r="AF66" s="660">
        <f t="shared" ca="1" si="158"/>
        <v>0</v>
      </c>
      <c r="AG66" s="660">
        <f t="shared" ca="1" si="158"/>
        <v>0</v>
      </c>
      <c r="AH66" s="660">
        <f t="shared" ca="1" si="158"/>
        <v>0</v>
      </c>
      <c r="AI66" s="660">
        <f t="shared" ca="1" si="158"/>
        <v>0.29533988943004724</v>
      </c>
      <c r="AJ66" s="660">
        <f t="shared" ca="1" si="158"/>
        <v>0</v>
      </c>
      <c r="AK66" s="661">
        <f ca="1">SUM(S66:AJ66)</f>
        <v>0.27424418304218673</v>
      </c>
      <c r="AM66" s="662">
        <f t="shared" ca="1" si="159"/>
        <v>0</v>
      </c>
      <c r="AN66" s="662">
        <f t="shared" ca="1" si="159"/>
        <v>0</v>
      </c>
      <c r="AO66" s="662">
        <f t="shared" ca="1" si="159"/>
        <v>0</v>
      </c>
      <c r="AP66" s="662">
        <f t="shared" ca="1" si="159"/>
        <v>0</v>
      </c>
      <c r="AQ66" s="662">
        <f t="shared" ca="1" si="159"/>
        <v>0</v>
      </c>
      <c r="AR66" s="662">
        <f t="shared" ca="1" si="159"/>
        <v>0</v>
      </c>
      <c r="AS66" s="662">
        <f t="shared" ca="1" si="159"/>
        <v>0</v>
      </c>
      <c r="AT66" s="662">
        <f t="shared" ca="1" si="159"/>
        <v>0</v>
      </c>
      <c r="AU66" s="662">
        <f t="shared" ca="1" si="159"/>
        <v>0</v>
      </c>
      <c r="AV66" s="662">
        <f t="shared" ca="1" si="159"/>
        <v>0</v>
      </c>
      <c r="AW66" s="662">
        <f t="shared" ca="1" si="159"/>
        <v>-0.29533988943004724</v>
      </c>
      <c r="AX66" s="662">
        <f t="shared" ca="1" si="159"/>
        <v>0</v>
      </c>
      <c r="AY66" s="662">
        <f t="shared" ca="1" si="159"/>
        <v>0</v>
      </c>
      <c r="AZ66" s="662">
        <f t="shared" ca="1" si="159"/>
        <v>0</v>
      </c>
      <c r="BA66" s="662">
        <f t="shared" ca="1" si="159"/>
        <v>0</v>
      </c>
      <c r="BB66" s="662">
        <f t="shared" ca="1" si="159"/>
        <v>0</v>
      </c>
      <c r="BC66" s="662">
        <f t="shared" ca="1" si="160"/>
        <v>0</v>
      </c>
      <c r="BD66" s="662">
        <f t="shared" ca="1" si="160"/>
        <v>0</v>
      </c>
      <c r="BE66" s="662">
        <f t="shared" ca="1" si="160"/>
        <v>0</v>
      </c>
      <c r="BF66" s="609">
        <f ca="1">SUM(AM66:BE66)</f>
        <v>-0.29533988943004724</v>
      </c>
      <c r="BH66" s="663">
        <f t="shared" ca="1" si="161"/>
        <v>0</v>
      </c>
      <c r="BI66" s="663">
        <f t="shared" ca="1" si="161"/>
        <v>0</v>
      </c>
      <c r="BJ66" s="664">
        <f ca="1">SUM(BH66:BI66)</f>
        <v>0</v>
      </c>
      <c r="BL66" s="610">
        <f t="shared" ca="1" si="162"/>
        <v>0</v>
      </c>
      <c r="BM66" s="610"/>
      <c r="BO66" s="665">
        <f t="shared" ca="1" si="163"/>
        <v>0</v>
      </c>
      <c r="BP66" s="665">
        <f t="shared" ca="1" si="163"/>
        <v>0</v>
      </c>
      <c r="BQ66" s="665">
        <f t="shared" ca="1" si="163"/>
        <v>0</v>
      </c>
      <c r="BR66" s="665">
        <f t="shared" ca="1" si="163"/>
        <v>0</v>
      </c>
      <c r="BS66" s="665">
        <f t="shared" ca="1" si="163"/>
        <v>0</v>
      </c>
      <c r="BT66" s="665">
        <f t="shared" ca="1" si="163"/>
        <v>0</v>
      </c>
      <c r="BU66" s="665">
        <f t="shared" ca="1" si="163"/>
        <v>0</v>
      </c>
      <c r="BV66" s="665">
        <f t="shared" ca="1" si="163"/>
        <v>0</v>
      </c>
      <c r="BW66" s="665">
        <f t="shared" ca="1" si="163"/>
        <v>0</v>
      </c>
      <c r="BX66" s="665">
        <f t="shared" ca="1" si="163"/>
        <v>0</v>
      </c>
      <c r="BY66" s="665">
        <f t="shared" ca="1" si="163"/>
        <v>0</v>
      </c>
      <c r="BZ66" s="665">
        <f t="shared" ca="1" si="163"/>
        <v>0</v>
      </c>
      <c r="CA66" s="665">
        <f t="shared" ca="1" si="163"/>
        <v>0</v>
      </c>
      <c r="CB66" s="665">
        <f t="shared" ca="1" si="163"/>
        <v>0</v>
      </c>
      <c r="CC66" s="665">
        <f t="shared" ca="1" si="163"/>
        <v>0</v>
      </c>
      <c r="CD66" s="665">
        <f t="shared" ca="1" si="163"/>
        <v>0</v>
      </c>
      <c r="CE66" s="665">
        <f t="shared" ca="1" si="163"/>
        <v>0</v>
      </c>
      <c r="CF66" s="665">
        <f t="shared" ca="1" si="163"/>
        <v>0</v>
      </c>
      <c r="CG66" s="665">
        <f t="shared" ca="1" si="163"/>
        <v>0</v>
      </c>
      <c r="CH66" s="665">
        <f t="shared" ca="1" si="163"/>
        <v>0</v>
      </c>
      <c r="CI66" s="665">
        <f t="shared" ca="1" si="163"/>
        <v>0</v>
      </c>
      <c r="CJ66" s="665">
        <f t="shared" ca="1" si="163"/>
        <v>0</v>
      </c>
      <c r="CK66" s="665">
        <f t="shared" ca="1" si="163"/>
        <v>0</v>
      </c>
      <c r="CL66" s="665">
        <f t="shared" ca="1" si="163"/>
        <v>0</v>
      </c>
      <c r="CM66" s="665">
        <f t="shared" ca="1" si="163"/>
        <v>0</v>
      </c>
      <c r="CN66" s="665">
        <f t="shared" ca="1" si="163"/>
        <v>0</v>
      </c>
      <c r="CO66" s="665">
        <f t="shared" ca="1" si="163"/>
        <v>0</v>
      </c>
      <c r="CP66" s="665">
        <f t="shared" ca="1" si="163"/>
        <v>0</v>
      </c>
      <c r="CQ66" s="665">
        <f t="shared" ca="1" si="163"/>
        <v>0</v>
      </c>
      <c r="CR66" s="665">
        <f t="shared" ca="1" si="163"/>
        <v>0</v>
      </c>
      <c r="CS66" s="665">
        <f t="shared" ca="1" si="163"/>
        <v>0</v>
      </c>
      <c r="CT66" s="665">
        <f t="shared" ca="1" si="163"/>
        <v>0</v>
      </c>
      <c r="CU66" s="665">
        <f t="shared" ca="1" si="163"/>
        <v>0</v>
      </c>
      <c r="CV66" s="665">
        <f t="shared" ca="1" si="163"/>
        <v>0</v>
      </c>
      <c r="CW66" s="665">
        <f t="shared" ca="1" si="163"/>
        <v>0</v>
      </c>
      <c r="CX66" s="665">
        <f t="shared" ca="1" si="163"/>
        <v>0</v>
      </c>
      <c r="CY66" s="665">
        <f t="shared" ca="1" si="163"/>
        <v>0</v>
      </c>
      <c r="CZ66" s="665">
        <f t="shared" ca="1" si="163"/>
        <v>0</v>
      </c>
      <c r="DA66" s="665">
        <f t="shared" ca="1" si="163"/>
        <v>0</v>
      </c>
      <c r="DB66" s="665">
        <f t="shared" ca="1" si="163"/>
        <v>0</v>
      </c>
      <c r="DC66" s="665">
        <f t="shared" ca="1" si="163"/>
        <v>0</v>
      </c>
      <c r="DD66" s="665">
        <f t="shared" ca="1" si="163"/>
        <v>0</v>
      </c>
      <c r="DE66" s="665">
        <f t="shared" ca="1" si="163"/>
        <v>0</v>
      </c>
      <c r="DF66" s="665">
        <f t="shared" ca="1" si="163"/>
        <v>0</v>
      </c>
      <c r="DH66" s="666">
        <f t="shared" ca="1" si="113"/>
        <v>0</v>
      </c>
    </row>
    <row r="67" spans="1:112" s="607" customFormat="1">
      <c r="C67" s="587" t="s">
        <v>536</v>
      </c>
      <c r="D67" s="611" t="s">
        <v>537</v>
      </c>
      <c r="E67" s="611"/>
      <c r="F67" s="6"/>
      <c r="G67" s="619">
        <f t="shared" ca="1" si="157"/>
        <v>0</v>
      </c>
      <c r="H67" s="619">
        <f t="shared" ca="1" si="157"/>
        <v>0</v>
      </c>
      <c r="I67" s="619">
        <f t="shared" ca="1" si="157"/>
        <v>0</v>
      </c>
      <c r="J67" s="619">
        <f t="shared" ca="1" si="157"/>
        <v>0</v>
      </c>
      <c r="K67" s="619">
        <f t="shared" ca="1" si="157"/>
        <v>0</v>
      </c>
      <c r="L67" s="619">
        <f t="shared" ca="1" si="157"/>
        <v>0</v>
      </c>
      <c r="M67" s="619">
        <f t="shared" ca="1" si="157"/>
        <v>0</v>
      </c>
      <c r="N67" s="619">
        <f t="shared" ca="1" si="157"/>
        <v>0</v>
      </c>
      <c r="O67" s="619">
        <f t="shared" ca="1" si="157"/>
        <v>0</v>
      </c>
      <c r="P67" s="619">
        <f t="shared" ca="1" si="157"/>
        <v>0</v>
      </c>
      <c r="Q67" s="612">
        <f ca="1">SUM(G67:P67)</f>
        <v>0</v>
      </c>
      <c r="R67" s="6"/>
      <c r="S67" s="620">
        <f t="shared" ca="1" si="158"/>
        <v>0</v>
      </c>
      <c r="T67" s="620">
        <f t="shared" ca="1" si="158"/>
        <v>0</v>
      </c>
      <c r="U67" s="620">
        <f t="shared" ca="1" si="158"/>
        <v>0</v>
      </c>
      <c r="V67" s="620">
        <f t="shared" ca="1" si="158"/>
        <v>0</v>
      </c>
      <c r="W67" s="620">
        <f t="shared" ca="1" si="158"/>
        <v>0</v>
      </c>
      <c r="X67" s="620">
        <f t="shared" ca="1" si="158"/>
        <v>0</v>
      </c>
      <c r="Y67" s="620">
        <f t="shared" ca="1" si="158"/>
        <v>0</v>
      </c>
      <c r="Z67" s="620">
        <f t="shared" ca="1" si="158"/>
        <v>0</v>
      </c>
      <c r="AA67" s="620">
        <f t="shared" ca="1" si="158"/>
        <v>0</v>
      </c>
      <c r="AB67" s="620">
        <f t="shared" ca="1" si="158"/>
        <v>0</v>
      </c>
      <c r="AC67" s="620">
        <f t="shared" ca="1" si="158"/>
        <v>0</v>
      </c>
      <c r="AD67" s="620">
        <f t="shared" ca="1" si="158"/>
        <v>0</v>
      </c>
      <c r="AE67" s="620">
        <f t="shared" ca="1" si="158"/>
        <v>0</v>
      </c>
      <c r="AF67" s="620">
        <f t="shared" ca="1" si="158"/>
        <v>0</v>
      </c>
      <c r="AG67" s="620">
        <f t="shared" ca="1" si="158"/>
        <v>0</v>
      </c>
      <c r="AH67" s="620">
        <f t="shared" ca="1" si="158"/>
        <v>0</v>
      </c>
      <c r="AI67" s="620">
        <f t="shared" ca="1" si="158"/>
        <v>0</v>
      </c>
      <c r="AJ67" s="620">
        <f t="shared" ca="1" si="158"/>
        <v>0</v>
      </c>
      <c r="AK67" s="613">
        <f ca="1">SUM(S67:AJ67)</f>
        <v>0</v>
      </c>
      <c r="AL67" s="6"/>
      <c r="AM67" s="621">
        <f t="shared" ca="1" si="159"/>
        <v>0</v>
      </c>
      <c r="AN67" s="621">
        <f t="shared" ca="1" si="159"/>
        <v>0</v>
      </c>
      <c r="AO67" s="621">
        <f t="shared" ca="1" si="159"/>
        <v>0</v>
      </c>
      <c r="AP67" s="621">
        <f t="shared" ca="1" si="159"/>
        <v>0</v>
      </c>
      <c r="AQ67" s="621">
        <f t="shared" ca="1" si="159"/>
        <v>0</v>
      </c>
      <c r="AR67" s="621">
        <f t="shared" ca="1" si="159"/>
        <v>0</v>
      </c>
      <c r="AS67" s="621">
        <f t="shared" ca="1" si="159"/>
        <v>0</v>
      </c>
      <c r="AT67" s="621">
        <f t="shared" ca="1" si="159"/>
        <v>0</v>
      </c>
      <c r="AU67" s="621">
        <f t="shared" ca="1" si="159"/>
        <v>0</v>
      </c>
      <c r="AV67" s="621">
        <f t="shared" ca="1" si="159"/>
        <v>0</v>
      </c>
      <c r="AW67" s="621">
        <f t="shared" ca="1" si="159"/>
        <v>0</v>
      </c>
      <c r="AX67" s="621">
        <f t="shared" ca="1" si="159"/>
        <v>0</v>
      </c>
      <c r="AY67" s="621">
        <f t="shared" ca="1" si="159"/>
        <v>0</v>
      </c>
      <c r="AZ67" s="621">
        <f t="shared" ca="1" si="159"/>
        <v>0</v>
      </c>
      <c r="BA67" s="621">
        <f t="shared" ca="1" si="159"/>
        <v>0</v>
      </c>
      <c r="BB67" s="621">
        <f t="shared" ca="1" si="159"/>
        <v>0</v>
      </c>
      <c r="BC67" s="621">
        <f t="shared" ca="1" si="160"/>
        <v>0</v>
      </c>
      <c r="BD67" s="621">
        <f t="shared" ca="1" si="160"/>
        <v>0</v>
      </c>
      <c r="BE67" s="621">
        <f t="shared" ca="1" si="160"/>
        <v>0</v>
      </c>
      <c r="BF67" s="615">
        <f ca="1">SUM(AM67:BE67)</f>
        <v>0</v>
      </c>
      <c r="BG67" s="6"/>
      <c r="BH67" s="3473">
        <f t="shared" ca="1" si="161"/>
        <v>0</v>
      </c>
      <c r="BI67" s="3473">
        <f t="shared" ca="1" si="161"/>
        <v>0</v>
      </c>
      <c r="BJ67" s="3462">
        <f ca="1">SUM(BH67:BI67)</f>
        <v>0</v>
      </c>
      <c r="BK67" s="6"/>
      <c r="BL67" s="610">
        <f t="shared" ca="1" si="162"/>
        <v>0</v>
      </c>
      <c r="BM67" s="610"/>
      <c r="BN67" s="413"/>
      <c r="BO67" s="2791">
        <f t="shared" ca="1" si="163"/>
        <v>0</v>
      </c>
      <c r="BP67" s="2792">
        <f t="shared" ca="1" si="163"/>
        <v>0</v>
      </c>
      <c r="BQ67" s="2792">
        <f t="shared" ca="1" si="163"/>
        <v>0</v>
      </c>
      <c r="BR67" s="2792">
        <f t="shared" ca="1" si="163"/>
        <v>0</v>
      </c>
      <c r="BS67" s="2792">
        <f t="shared" ca="1" si="163"/>
        <v>0</v>
      </c>
      <c r="BT67" s="2792">
        <f t="shared" ca="1" si="163"/>
        <v>0</v>
      </c>
      <c r="BU67" s="2792">
        <f t="shared" ca="1" si="163"/>
        <v>0</v>
      </c>
      <c r="BV67" s="2792">
        <f t="shared" ca="1" si="163"/>
        <v>0</v>
      </c>
      <c r="BW67" s="2792">
        <f t="shared" ca="1" si="163"/>
        <v>0</v>
      </c>
      <c r="BX67" s="2792">
        <f t="shared" ca="1" si="163"/>
        <v>0</v>
      </c>
      <c r="BY67" s="2792">
        <f t="shared" ca="1" si="163"/>
        <v>0</v>
      </c>
      <c r="BZ67" s="2792">
        <f t="shared" ca="1" si="163"/>
        <v>0</v>
      </c>
      <c r="CA67" s="2792">
        <f t="shared" ca="1" si="163"/>
        <v>0</v>
      </c>
      <c r="CB67" s="2792">
        <f t="shared" ca="1" si="163"/>
        <v>0</v>
      </c>
      <c r="CC67" s="2792">
        <f t="shared" ca="1" si="163"/>
        <v>0</v>
      </c>
      <c r="CD67" s="2792">
        <f t="shared" ca="1" si="163"/>
        <v>0</v>
      </c>
      <c r="CE67" s="2792">
        <f t="shared" ca="1" si="163"/>
        <v>0</v>
      </c>
      <c r="CF67" s="2792">
        <f t="shared" ca="1" si="163"/>
        <v>0</v>
      </c>
      <c r="CG67" s="2792">
        <f t="shared" ca="1" si="163"/>
        <v>0</v>
      </c>
      <c r="CH67" s="2792">
        <f t="shared" ca="1" si="163"/>
        <v>0</v>
      </c>
      <c r="CI67" s="2792">
        <f t="shared" ca="1" si="163"/>
        <v>0</v>
      </c>
      <c r="CJ67" s="2792">
        <f t="shared" ca="1" si="163"/>
        <v>0</v>
      </c>
      <c r="CK67" s="2792">
        <f t="shared" ca="1" si="163"/>
        <v>0</v>
      </c>
      <c r="CL67" s="2792">
        <f t="shared" ca="1" si="163"/>
        <v>0</v>
      </c>
      <c r="CM67" s="2792">
        <f t="shared" ca="1" si="163"/>
        <v>0</v>
      </c>
      <c r="CN67" s="2792">
        <f t="shared" ca="1" si="163"/>
        <v>0</v>
      </c>
      <c r="CO67" s="2792">
        <f t="shared" ca="1" si="163"/>
        <v>0</v>
      </c>
      <c r="CP67" s="2792">
        <f t="shared" ca="1" si="163"/>
        <v>0</v>
      </c>
      <c r="CQ67" s="2792">
        <f t="shared" ca="1" si="163"/>
        <v>0</v>
      </c>
      <c r="CR67" s="2792">
        <f t="shared" ca="1" si="163"/>
        <v>0</v>
      </c>
      <c r="CS67" s="2792">
        <f t="shared" ca="1" si="163"/>
        <v>0</v>
      </c>
      <c r="CT67" s="2792">
        <f t="shared" ca="1" si="163"/>
        <v>0</v>
      </c>
      <c r="CU67" s="2792">
        <f t="shared" ca="1" si="163"/>
        <v>0</v>
      </c>
      <c r="CV67" s="2792">
        <f t="shared" ca="1" si="163"/>
        <v>0</v>
      </c>
      <c r="CW67" s="2792">
        <f t="shared" ca="1" si="163"/>
        <v>0</v>
      </c>
      <c r="CX67" s="2792">
        <f t="shared" ca="1" si="163"/>
        <v>0</v>
      </c>
      <c r="CY67" s="2792">
        <f t="shared" ca="1" si="163"/>
        <v>0</v>
      </c>
      <c r="CZ67" s="2792">
        <f t="shared" ca="1" si="163"/>
        <v>0</v>
      </c>
      <c r="DA67" s="2792">
        <f t="shared" ca="1" si="163"/>
        <v>0</v>
      </c>
      <c r="DB67" s="2792">
        <f t="shared" ca="1" si="163"/>
        <v>0</v>
      </c>
      <c r="DC67" s="2792">
        <f t="shared" ca="1" si="163"/>
        <v>0</v>
      </c>
      <c r="DD67" s="2792">
        <f t="shared" ca="1" si="163"/>
        <v>0</v>
      </c>
      <c r="DE67" s="2792">
        <f t="shared" ca="1" si="163"/>
        <v>0</v>
      </c>
      <c r="DF67" s="2792">
        <f t="shared" ca="1" si="163"/>
        <v>0</v>
      </c>
      <c r="DH67" s="596">
        <f t="shared" ca="1" si="113"/>
        <v>0</v>
      </c>
    </row>
    <row r="68" spans="1:112" s="6" customFormat="1" ht="15.75">
      <c r="A68" s="4"/>
      <c r="B68" s="3"/>
      <c r="C68" s="616" t="s">
        <v>538</v>
      </c>
      <c r="D68" s="617" t="s">
        <v>539</v>
      </c>
      <c r="E68" s="206"/>
      <c r="G68" s="618">
        <f ca="1">SUM(G65:G67)</f>
        <v>0</v>
      </c>
      <c r="H68" s="618">
        <f t="shared" ref="H68:P68" ca="1" si="164">SUM(H65:H67)</f>
        <v>2.1095706387860517E-2</v>
      </c>
      <c r="I68" s="618">
        <f t="shared" ca="1" si="164"/>
        <v>0</v>
      </c>
      <c r="J68" s="618">
        <f t="shared" ca="1" si="164"/>
        <v>0</v>
      </c>
      <c r="K68" s="618">
        <f t="shared" ca="1" si="164"/>
        <v>0</v>
      </c>
      <c r="L68" s="618">
        <f t="shared" ca="1" si="164"/>
        <v>0</v>
      </c>
      <c r="M68" s="618">
        <f t="shared" ca="1" si="164"/>
        <v>0</v>
      </c>
      <c r="N68" s="618">
        <f t="shared" ca="1" si="164"/>
        <v>0</v>
      </c>
      <c r="O68" s="618">
        <f t="shared" ca="1" si="164"/>
        <v>0</v>
      </c>
      <c r="P68" s="618">
        <f t="shared" ca="1" si="164"/>
        <v>0</v>
      </c>
      <c r="Q68" s="618">
        <f ca="1">SUM(G68:P68)</f>
        <v>2.1095706387860517E-2</v>
      </c>
      <c r="S68" s="581">
        <f t="shared" ref="S68:AJ68" ca="1" si="165">SUM(S65:S67)</f>
        <v>-2.1095706387860517E-2</v>
      </c>
      <c r="T68" s="581">
        <f t="shared" ca="1" si="165"/>
        <v>0</v>
      </c>
      <c r="U68" s="581">
        <f t="shared" ca="1" si="165"/>
        <v>0</v>
      </c>
      <c r="V68" s="581">
        <f t="shared" ca="1" si="165"/>
        <v>0</v>
      </c>
      <c r="W68" s="581">
        <f t="shared" ca="1" si="165"/>
        <v>0</v>
      </c>
      <c r="X68" s="581">
        <f t="shared" ca="1" si="165"/>
        <v>0</v>
      </c>
      <c r="Y68" s="581">
        <f t="shared" ca="1" si="165"/>
        <v>0</v>
      </c>
      <c r="Z68" s="581">
        <f t="shared" ca="1" si="165"/>
        <v>0</v>
      </c>
      <c r="AA68" s="581">
        <f t="shared" ca="1" si="165"/>
        <v>0</v>
      </c>
      <c r="AB68" s="581">
        <f t="shared" ca="1" si="165"/>
        <v>0</v>
      </c>
      <c r="AC68" s="581">
        <f t="shared" ca="1" si="165"/>
        <v>0</v>
      </c>
      <c r="AD68" s="581">
        <f t="shared" ca="1" si="165"/>
        <v>0</v>
      </c>
      <c r="AE68" s="581">
        <f ca="1">SUM(AE65:AE67)</f>
        <v>0</v>
      </c>
      <c r="AF68" s="581">
        <f t="shared" ca="1" si="165"/>
        <v>0</v>
      </c>
      <c r="AG68" s="581">
        <f t="shared" ca="1" si="165"/>
        <v>0</v>
      </c>
      <c r="AH68" s="581">
        <f ca="1">SUM(AH65:AH67)</f>
        <v>0</v>
      </c>
      <c r="AI68" s="581">
        <f t="shared" ca="1" si="165"/>
        <v>0.29533988943004724</v>
      </c>
      <c r="AJ68" s="581">
        <f t="shared" ca="1" si="165"/>
        <v>0</v>
      </c>
      <c r="AK68" s="581">
        <f ca="1">SUM(S68:AJ68)</f>
        <v>0.27424418304218673</v>
      </c>
      <c r="AM68" s="582">
        <f t="shared" ref="AM68:BE68" ca="1" si="166">SUM(AM65:AM67)</f>
        <v>0</v>
      </c>
      <c r="AN68" s="582">
        <f t="shared" ca="1" si="166"/>
        <v>0</v>
      </c>
      <c r="AO68" s="582">
        <f t="shared" ca="1" si="166"/>
        <v>0</v>
      </c>
      <c r="AP68" s="582">
        <f t="shared" ca="1" si="166"/>
        <v>0</v>
      </c>
      <c r="AQ68" s="582">
        <f t="shared" ca="1" si="166"/>
        <v>0</v>
      </c>
      <c r="AR68" s="582">
        <f t="shared" ca="1" si="166"/>
        <v>0</v>
      </c>
      <c r="AS68" s="582">
        <f t="shared" ca="1" si="166"/>
        <v>0</v>
      </c>
      <c r="AT68" s="582">
        <f t="shared" ca="1" si="166"/>
        <v>0</v>
      </c>
      <c r="AU68" s="582">
        <f t="shared" ca="1" si="166"/>
        <v>0</v>
      </c>
      <c r="AV68" s="582">
        <f t="shared" ca="1" si="166"/>
        <v>0</v>
      </c>
      <c r="AW68" s="582">
        <f t="shared" ca="1" si="166"/>
        <v>-0.29533988943004724</v>
      </c>
      <c r="AX68" s="582">
        <f t="shared" ca="1" si="166"/>
        <v>0</v>
      </c>
      <c r="AY68" s="582">
        <f t="shared" ca="1" si="166"/>
        <v>0</v>
      </c>
      <c r="AZ68" s="582">
        <f t="shared" ca="1" si="166"/>
        <v>0</v>
      </c>
      <c r="BA68" s="582">
        <f t="shared" ca="1" si="166"/>
        <v>0</v>
      </c>
      <c r="BB68" s="582">
        <f t="shared" ca="1" si="166"/>
        <v>0</v>
      </c>
      <c r="BC68" s="582">
        <f t="shared" ca="1" si="166"/>
        <v>0</v>
      </c>
      <c r="BD68" s="582">
        <f t="shared" ca="1" si="166"/>
        <v>0</v>
      </c>
      <c r="BE68" s="582">
        <f t="shared" ca="1" si="166"/>
        <v>0</v>
      </c>
      <c r="BF68" s="582">
        <f ca="1">SUM(AM68:BE68)</f>
        <v>-0.29533988943004724</v>
      </c>
      <c r="BH68" s="3463">
        <f ca="1">SUM(BH65:BH67)</f>
        <v>0</v>
      </c>
      <c r="BI68" s="3463">
        <f ca="1">SUM(BI65:BI67)</f>
        <v>0</v>
      </c>
      <c r="BJ68" s="3463">
        <f ca="1">SUM(BH68:BI68)</f>
        <v>0</v>
      </c>
      <c r="BL68" s="3477">
        <f t="shared" ca="1" si="162"/>
        <v>0</v>
      </c>
      <c r="BM68" s="584"/>
      <c r="BN68" s="413"/>
      <c r="BO68" s="2790">
        <f ca="1">SUM(BO65:BO67)</f>
        <v>0</v>
      </c>
      <c r="BP68" s="2790">
        <f t="shared" ref="BP68:DF68" ca="1" si="167">SUM(BP65:BP67)</f>
        <v>0</v>
      </c>
      <c r="BQ68" s="2790">
        <f t="shared" ca="1" si="167"/>
        <v>0</v>
      </c>
      <c r="BR68" s="2790">
        <f t="shared" ca="1" si="167"/>
        <v>0</v>
      </c>
      <c r="BS68" s="2790">
        <f t="shared" ca="1" si="167"/>
        <v>0</v>
      </c>
      <c r="BT68" s="2790">
        <f t="shared" ca="1" si="167"/>
        <v>0</v>
      </c>
      <c r="BU68" s="2790">
        <f t="shared" ca="1" si="167"/>
        <v>0</v>
      </c>
      <c r="BV68" s="2790">
        <f t="shared" ca="1" si="167"/>
        <v>0</v>
      </c>
      <c r="BW68" s="2790">
        <f t="shared" ca="1" si="167"/>
        <v>0</v>
      </c>
      <c r="BX68" s="2790">
        <f t="shared" ca="1" si="167"/>
        <v>0</v>
      </c>
      <c r="BY68" s="2790">
        <f t="shared" ca="1" si="167"/>
        <v>0</v>
      </c>
      <c r="BZ68" s="2790">
        <f t="shared" ca="1" si="167"/>
        <v>0</v>
      </c>
      <c r="CA68" s="2790">
        <f t="shared" ca="1" si="167"/>
        <v>0</v>
      </c>
      <c r="CB68" s="2790">
        <f t="shared" ca="1" si="167"/>
        <v>0</v>
      </c>
      <c r="CC68" s="2790">
        <f t="shared" ca="1" si="167"/>
        <v>0</v>
      </c>
      <c r="CD68" s="2790">
        <f t="shared" ca="1" si="167"/>
        <v>0</v>
      </c>
      <c r="CE68" s="2790">
        <f t="shared" ca="1" si="167"/>
        <v>0</v>
      </c>
      <c r="CF68" s="2790">
        <f t="shared" ca="1" si="167"/>
        <v>0</v>
      </c>
      <c r="CG68" s="2790">
        <f t="shared" ca="1" si="167"/>
        <v>0</v>
      </c>
      <c r="CH68" s="2790">
        <f t="shared" ca="1" si="167"/>
        <v>0</v>
      </c>
      <c r="CI68" s="2790">
        <f t="shared" ca="1" si="167"/>
        <v>0</v>
      </c>
      <c r="CJ68" s="2790">
        <f t="shared" ca="1" si="167"/>
        <v>0</v>
      </c>
      <c r="CK68" s="2790">
        <f t="shared" ca="1" si="167"/>
        <v>0</v>
      </c>
      <c r="CL68" s="2790">
        <f t="shared" ca="1" si="167"/>
        <v>0</v>
      </c>
      <c r="CM68" s="2790">
        <f t="shared" ca="1" si="167"/>
        <v>0</v>
      </c>
      <c r="CN68" s="2790">
        <f t="shared" ca="1" si="167"/>
        <v>0</v>
      </c>
      <c r="CO68" s="2790">
        <f t="shared" ca="1" si="167"/>
        <v>0</v>
      </c>
      <c r="CP68" s="2790">
        <f t="shared" ca="1" si="167"/>
        <v>0</v>
      </c>
      <c r="CQ68" s="2790">
        <f t="shared" ca="1" si="167"/>
        <v>0</v>
      </c>
      <c r="CR68" s="2790">
        <f t="shared" ca="1" si="167"/>
        <v>0</v>
      </c>
      <c r="CS68" s="2790">
        <f t="shared" ca="1" si="167"/>
        <v>0</v>
      </c>
      <c r="CT68" s="2790">
        <f t="shared" ca="1" si="167"/>
        <v>0</v>
      </c>
      <c r="CU68" s="2790">
        <f t="shared" ca="1" si="167"/>
        <v>0</v>
      </c>
      <c r="CV68" s="2790">
        <f t="shared" ca="1" si="167"/>
        <v>0</v>
      </c>
      <c r="CW68" s="2790">
        <f t="shared" ca="1" si="167"/>
        <v>0</v>
      </c>
      <c r="CX68" s="2790">
        <f t="shared" ca="1" si="167"/>
        <v>0</v>
      </c>
      <c r="CY68" s="2790">
        <f t="shared" ca="1" si="167"/>
        <v>0</v>
      </c>
      <c r="CZ68" s="2790">
        <f t="shared" ca="1" si="167"/>
        <v>0</v>
      </c>
      <c r="DA68" s="2790">
        <f t="shared" ca="1" si="167"/>
        <v>0</v>
      </c>
      <c r="DB68" s="2790">
        <f t="shared" ca="1" si="167"/>
        <v>0</v>
      </c>
      <c r="DC68" s="2790">
        <f t="shared" ca="1" si="167"/>
        <v>0</v>
      </c>
      <c r="DD68" s="2790">
        <f t="shared" ca="1" si="167"/>
        <v>0</v>
      </c>
      <c r="DE68" s="2790">
        <f t="shared" ca="1" si="167"/>
        <v>0</v>
      </c>
      <c r="DF68" s="2790">
        <f t="shared" ca="1" si="167"/>
        <v>0</v>
      </c>
      <c r="DH68" s="596">
        <f t="shared" ca="1" si="113"/>
        <v>0</v>
      </c>
    </row>
    <row r="69" spans="1:112" s="6" customFormat="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62"/>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13"/>
        <v>0</v>
      </c>
    </row>
    <row r="70" spans="1:112" s="639" customFormat="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62"/>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13"/>
        <v>0</v>
      </c>
    </row>
    <row r="71" spans="1:112" s="607" customFormat="1">
      <c r="C71" s="587" t="s">
        <v>542</v>
      </c>
      <c r="D71" s="611" t="s">
        <v>543</v>
      </c>
      <c r="E71" s="611"/>
      <c r="F71" s="6"/>
      <c r="G71" s="619">
        <f t="shared" ref="G71:P71" ca="1" si="168">IFERROR(INDEX(INDIRECT($C71&amp;".Outputs["&amp;this.Year&amp;"]"), MATCH(G$5, INDIRECT($C71&amp;".Outputs[Vector]"), 0)), 0)</f>
        <v>0</v>
      </c>
      <c r="H71" s="619">
        <f t="shared" ca="1" si="168"/>
        <v>0</v>
      </c>
      <c r="I71" s="619">
        <f t="shared" ca="1" si="168"/>
        <v>0</v>
      </c>
      <c r="J71" s="619">
        <f t="shared" ca="1" si="168"/>
        <v>0</v>
      </c>
      <c r="K71" s="619">
        <f t="shared" ca="1" si="168"/>
        <v>0</v>
      </c>
      <c r="L71" s="619">
        <f t="shared" ca="1" si="168"/>
        <v>0</v>
      </c>
      <c r="M71" s="619">
        <f t="shared" ca="1" si="168"/>
        <v>0</v>
      </c>
      <c r="N71" s="619">
        <f t="shared" ca="1" si="168"/>
        <v>0</v>
      </c>
      <c r="O71" s="619">
        <f t="shared" ca="1" si="168"/>
        <v>0</v>
      </c>
      <c r="P71" s="619">
        <f t="shared" ca="1" si="168"/>
        <v>0</v>
      </c>
      <c r="Q71" s="612">
        <f ca="1">SUM(G71:P71)</f>
        <v>0</v>
      </c>
      <c r="R71" s="6"/>
      <c r="S71" s="620">
        <f t="shared" ref="S71:AJ71" ca="1" si="169">IFERROR(INDEX(INDIRECT($C71&amp;".Outputs["&amp;this.Year&amp;"]"), MATCH(S$5, INDIRECT($C71&amp;".Outputs[Vector]"), 0)), 0)</f>
        <v>0</v>
      </c>
      <c r="T71" s="620">
        <f t="shared" ca="1" si="169"/>
        <v>-3.7911428177742012E-3</v>
      </c>
      <c r="U71" s="620">
        <f t="shared" ca="1" si="169"/>
        <v>0</v>
      </c>
      <c r="V71" s="620">
        <f t="shared" ca="1" si="169"/>
        <v>0</v>
      </c>
      <c r="W71" s="620">
        <f t="shared" ca="1" si="169"/>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69"/>
        <v>0</v>
      </c>
      <c r="AB71" s="620">
        <f t="shared" ca="1" si="169"/>
        <v>2.6537999724419409E-2</v>
      </c>
      <c r="AC71" s="620">
        <f t="shared" ca="1" si="169"/>
        <v>0</v>
      </c>
      <c r="AD71" s="620">
        <f t="shared" ca="1" si="169"/>
        <v>0</v>
      </c>
      <c r="AE71" s="620">
        <f t="shared" ca="1" si="169"/>
        <v>0</v>
      </c>
      <c r="AF71" s="620">
        <f t="shared" ca="1" si="169"/>
        <v>0</v>
      </c>
      <c r="AG71" s="620">
        <f t="shared" ca="1" si="169"/>
        <v>0</v>
      </c>
      <c r="AH71" s="620">
        <f t="shared" ca="1" si="169"/>
        <v>0</v>
      </c>
      <c r="AI71" s="620">
        <f t="shared" ca="1" si="169"/>
        <v>0</v>
      </c>
      <c r="AJ71" s="620">
        <f t="shared" ca="1" si="169"/>
        <v>0</v>
      </c>
      <c r="AK71" s="613">
        <f ca="1">SUM(S71:AJ71)</f>
        <v>2.274685690664521E-2</v>
      </c>
      <c r="AL71" s="6"/>
      <c r="AM71" s="621">
        <f t="shared" ref="AM71:BE71" ca="1" si="170">IFERROR(INDEX(INDIRECT($C71&amp;".Outputs["&amp;this.Year&amp;"]"), MATCH(AM$5, INDIRECT($C71&amp;".Outputs[Vector]"), 0)), 0)</f>
        <v>0</v>
      </c>
      <c r="AN71" s="621">
        <f t="shared" ca="1" si="170"/>
        <v>0</v>
      </c>
      <c r="AO71" s="621">
        <f t="shared" ca="1" si="170"/>
        <v>0</v>
      </c>
      <c r="AP71" s="621">
        <f t="shared" ca="1" si="170"/>
        <v>0</v>
      </c>
      <c r="AQ71" s="621">
        <f t="shared" ca="1" si="170"/>
        <v>0</v>
      </c>
      <c r="AR71" s="621">
        <f t="shared" ca="1" si="170"/>
        <v>0</v>
      </c>
      <c r="AS71" s="621">
        <f t="shared" ca="1" si="170"/>
        <v>0</v>
      </c>
      <c r="AT71" s="621">
        <f t="shared" ca="1" si="170"/>
        <v>0</v>
      </c>
      <c r="AU71" s="621">
        <f t="shared" ca="1" si="170"/>
        <v>0</v>
      </c>
      <c r="AV71" s="621">
        <f t="shared" ca="1" si="170"/>
        <v>0</v>
      </c>
      <c r="AW71" s="621">
        <f t="shared" ca="1" si="170"/>
        <v>0</v>
      </c>
      <c r="AX71" s="621">
        <f t="shared" ca="1" si="170"/>
        <v>0</v>
      </c>
      <c r="AY71" s="621">
        <f t="shared" ca="1" si="170"/>
        <v>0</v>
      </c>
      <c r="AZ71" s="621">
        <f t="shared" ca="1" si="170"/>
        <v>0</v>
      </c>
      <c r="BA71" s="621">
        <f t="shared" ca="1" si="170"/>
        <v>0</v>
      </c>
      <c r="BB71" s="621">
        <f t="shared" ca="1" si="170"/>
        <v>0</v>
      </c>
      <c r="BC71" s="621">
        <f t="shared" ca="1" si="170"/>
        <v>0</v>
      </c>
      <c r="BD71" s="621">
        <f t="shared" ca="1" si="170"/>
        <v>0</v>
      </c>
      <c r="BE71" s="621">
        <f t="shared" ca="1" si="170"/>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62"/>
        <v>0</v>
      </c>
      <c r="BM71" s="610"/>
      <c r="BN71" s="413"/>
      <c r="BO71" s="2791">
        <f t="shared" ref="BO71:DF71" ca="1" si="171">IFERROR(SUMIFS(INDIRECT($C71&amp;".Emissions["&amp;this.Year&amp;"]"), INDIRECT($C71&amp;".Emissions[GHG]"), BO$6, INDIRECT($C71&amp;".Emissions[IPCC Sector]"), BO$5),0)</f>
        <v>0</v>
      </c>
      <c r="BP71" s="2792">
        <f t="shared" ca="1" si="171"/>
        <v>0</v>
      </c>
      <c r="BQ71" s="2792">
        <f t="shared" ca="1" si="171"/>
        <v>0</v>
      </c>
      <c r="BR71" s="2792">
        <f t="shared" ca="1" si="171"/>
        <v>0</v>
      </c>
      <c r="BS71" s="2792">
        <f t="shared" ca="1" si="171"/>
        <v>0</v>
      </c>
      <c r="BT71" s="2792">
        <f t="shared" ca="1" si="171"/>
        <v>0</v>
      </c>
      <c r="BU71" s="2792">
        <f t="shared" ca="1" si="171"/>
        <v>0</v>
      </c>
      <c r="BV71" s="2792">
        <f t="shared" ca="1" si="171"/>
        <v>0</v>
      </c>
      <c r="BW71" s="2792">
        <f t="shared" ca="1" si="171"/>
        <v>0</v>
      </c>
      <c r="BX71" s="2792">
        <f t="shared" ca="1" si="171"/>
        <v>0</v>
      </c>
      <c r="BY71" s="2792">
        <f t="shared" ca="1" si="171"/>
        <v>0</v>
      </c>
      <c r="BZ71" s="2792">
        <f t="shared" ca="1" si="171"/>
        <v>0</v>
      </c>
      <c r="CA71" s="2792">
        <f t="shared" ca="1" si="171"/>
        <v>0</v>
      </c>
      <c r="CB71" s="2792">
        <f t="shared" ca="1" si="171"/>
        <v>0</v>
      </c>
      <c r="CC71" s="2792">
        <f t="shared" ca="1" si="171"/>
        <v>0</v>
      </c>
      <c r="CD71" s="2792">
        <f t="shared" ca="1" si="171"/>
        <v>0</v>
      </c>
      <c r="CE71" s="2792">
        <f t="shared" ca="1" si="171"/>
        <v>0</v>
      </c>
      <c r="CF71" s="2792">
        <f t="shared" ca="1" si="171"/>
        <v>0</v>
      </c>
      <c r="CG71" s="2792">
        <f t="shared" ca="1" si="171"/>
        <v>0</v>
      </c>
      <c r="CH71" s="2792">
        <f t="shared" ca="1" si="171"/>
        <v>0</v>
      </c>
      <c r="CI71" s="2792">
        <f t="shared" ca="1" si="171"/>
        <v>0</v>
      </c>
      <c r="CJ71" s="2792">
        <f t="shared" ca="1" si="171"/>
        <v>0</v>
      </c>
      <c r="CK71" s="2792">
        <f t="shared" ca="1" si="171"/>
        <v>0</v>
      </c>
      <c r="CL71" s="2792">
        <f t="shared" ca="1" si="171"/>
        <v>0</v>
      </c>
      <c r="CM71" s="2792">
        <f t="shared" ca="1" si="171"/>
        <v>0</v>
      </c>
      <c r="CN71" s="2792">
        <f t="shared" ca="1" si="171"/>
        <v>0</v>
      </c>
      <c r="CO71" s="2792">
        <f t="shared" ca="1" si="171"/>
        <v>0</v>
      </c>
      <c r="CP71" s="2792">
        <f t="shared" ca="1" si="171"/>
        <v>0</v>
      </c>
      <c r="CQ71" s="2792">
        <f t="shared" ca="1" si="171"/>
        <v>0</v>
      </c>
      <c r="CR71" s="2792">
        <f t="shared" ca="1" si="171"/>
        <v>0</v>
      </c>
      <c r="CS71" s="2792">
        <f t="shared" ca="1" si="171"/>
        <v>0</v>
      </c>
      <c r="CT71" s="2792">
        <f t="shared" ca="1" si="171"/>
        <v>0</v>
      </c>
      <c r="CU71" s="2792">
        <f t="shared" ca="1" si="171"/>
        <v>0</v>
      </c>
      <c r="CV71" s="2792">
        <f t="shared" ca="1" si="171"/>
        <v>0</v>
      </c>
      <c r="CW71" s="2792">
        <f t="shared" ca="1" si="171"/>
        <v>0</v>
      </c>
      <c r="CX71" s="2792">
        <f t="shared" ca="1" si="171"/>
        <v>0</v>
      </c>
      <c r="CY71" s="2792">
        <f t="shared" ca="1" si="171"/>
        <v>0</v>
      </c>
      <c r="CZ71" s="2792">
        <f t="shared" ca="1" si="171"/>
        <v>0</v>
      </c>
      <c r="DA71" s="2792">
        <f t="shared" ca="1" si="171"/>
        <v>0</v>
      </c>
      <c r="DB71" s="2792">
        <f t="shared" ca="1" si="171"/>
        <v>0</v>
      </c>
      <c r="DC71" s="2792">
        <f t="shared" ca="1" si="171"/>
        <v>0</v>
      </c>
      <c r="DD71" s="2792">
        <f t="shared" ca="1" si="171"/>
        <v>0</v>
      </c>
      <c r="DE71" s="2792">
        <f t="shared" ca="1" si="171"/>
        <v>0</v>
      </c>
      <c r="DF71" s="2792">
        <f t="shared" ca="1" si="171"/>
        <v>0</v>
      </c>
      <c r="DH71" s="596">
        <f t="shared" ca="1" si="113"/>
        <v>0</v>
      </c>
    </row>
    <row r="72" spans="1:112" s="6" customFormat="1" ht="15.75">
      <c r="A72" s="4"/>
      <c r="B72" s="3"/>
      <c r="C72" s="616" t="s">
        <v>544</v>
      </c>
      <c r="D72" s="617" t="s">
        <v>545</v>
      </c>
      <c r="E72" s="206"/>
      <c r="G72" s="618">
        <f ca="1">G71</f>
        <v>0</v>
      </c>
      <c r="H72" s="618">
        <f t="shared" ref="H72:P72" ca="1" si="172">H71</f>
        <v>0</v>
      </c>
      <c r="I72" s="618">
        <f t="shared" ca="1" si="172"/>
        <v>0</v>
      </c>
      <c r="J72" s="618">
        <f t="shared" ca="1" si="172"/>
        <v>0</v>
      </c>
      <c r="K72" s="618">
        <f t="shared" ca="1" si="172"/>
        <v>0</v>
      </c>
      <c r="L72" s="618">
        <f t="shared" ca="1" si="172"/>
        <v>0</v>
      </c>
      <c r="M72" s="618">
        <f t="shared" ca="1" si="172"/>
        <v>0</v>
      </c>
      <c r="N72" s="618">
        <f t="shared" ca="1" si="172"/>
        <v>0</v>
      </c>
      <c r="O72" s="618">
        <f t="shared" ca="1" si="172"/>
        <v>0</v>
      </c>
      <c r="P72" s="618">
        <f t="shared" ca="1" si="172"/>
        <v>0</v>
      </c>
      <c r="Q72" s="618">
        <f ca="1">SUM(G72:P72)</f>
        <v>0</v>
      </c>
      <c r="S72" s="581">
        <f t="shared" ref="S72:AJ72" ca="1" si="173">S71</f>
        <v>0</v>
      </c>
      <c r="T72" s="581">
        <f t="shared" ca="1" si="173"/>
        <v>-3.7911428177742012E-3</v>
      </c>
      <c r="U72" s="581">
        <f t="shared" ca="1" si="173"/>
        <v>0</v>
      </c>
      <c r="V72" s="581">
        <f t="shared" ca="1" si="173"/>
        <v>0</v>
      </c>
      <c r="W72" s="581">
        <f t="shared" ca="1" si="173"/>
        <v>0</v>
      </c>
      <c r="X72" s="581">
        <f t="shared" ca="1" si="173"/>
        <v>0</v>
      </c>
      <c r="Y72" s="581">
        <f t="shared" ca="1" si="173"/>
        <v>0</v>
      </c>
      <c r="Z72" s="581">
        <f t="shared" ca="1" si="173"/>
        <v>0</v>
      </c>
      <c r="AA72" s="581">
        <f t="shared" ca="1" si="173"/>
        <v>0</v>
      </c>
      <c r="AB72" s="581">
        <f t="shared" ca="1" si="173"/>
        <v>2.6537999724419409E-2</v>
      </c>
      <c r="AC72" s="581">
        <f t="shared" ca="1" si="173"/>
        <v>0</v>
      </c>
      <c r="AD72" s="581">
        <f ca="1">AD71</f>
        <v>0</v>
      </c>
      <c r="AE72" s="581">
        <f ca="1">AE71</f>
        <v>0</v>
      </c>
      <c r="AF72" s="581">
        <f t="shared" ca="1" si="173"/>
        <v>0</v>
      </c>
      <c r="AG72" s="581">
        <f t="shared" ca="1" si="173"/>
        <v>0</v>
      </c>
      <c r="AH72" s="581">
        <f ca="1">AH71</f>
        <v>0</v>
      </c>
      <c r="AI72" s="581">
        <f ca="1">AI71</f>
        <v>0</v>
      </c>
      <c r="AJ72" s="581">
        <f t="shared" ca="1" si="173"/>
        <v>0</v>
      </c>
      <c r="AK72" s="581">
        <f ca="1">SUM(S72:AJ72)</f>
        <v>2.274685690664521E-2</v>
      </c>
      <c r="AM72" s="582">
        <f ca="1">AM71</f>
        <v>0</v>
      </c>
      <c r="AN72" s="582">
        <f t="shared" ref="AN72:BE72" ca="1" si="174">AN71</f>
        <v>0</v>
      </c>
      <c r="AO72" s="582">
        <f t="shared" ca="1" si="174"/>
        <v>0</v>
      </c>
      <c r="AP72" s="582">
        <f t="shared" ca="1" si="174"/>
        <v>0</v>
      </c>
      <c r="AQ72" s="582">
        <f t="shared" ca="1" si="174"/>
        <v>0</v>
      </c>
      <c r="AR72" s="582">
        <f t="shared" ca="1" si="174"/>
        <v>0</v>
      </c>
      <c r="AS72" s="582">
        <f t="shared" ca="1" si="174"/>
        <v>0</v>
      </c>
      <c r="AT72" s="582">
        <f t="shared" ca="1" si="174"/>
        <v>0</v>
      </c>
      <c r="AU72" s="582">
        <f t="shared" ca="1" si="174"/>
        <v>0</v>
      </c>
      <c r="AV72" s="582">
        <f t="shared" ca="1" si="174"/>
        <v>0</v>
      </c>
      <c r="AW72" s="582">
        <f t="shared" ca="1" si="174"/>
        <v>0</v>
      </c>
      <c r="AX72" s="582">
        <f t="shared" ca="1" si="174"/>
        <v>0</v>
      </c>
      <c r="AY72" s="582">
        <f t="shared" ca="1" si="174"/>
        <v>0</v>
      </c>
      <c r="AZ72" s="582">
        <f t="shared" ca="1" si="174"/>
        <v>0</v>
      </c>
      <c r="BA72" s="582">
        <f t="shared" ca="1" si="174"/>
        <v>0</v>
      </c>
      <c r="BB72" s="582">
        <f t="shared" ca="1" si="174"/>
        <v>0</v>
      </c>
      <c r="BC72" s="582">
        <f t="shared" ca="1" si="174"/>
        <v>0</v>
      </c>
      <c r="BD72" s="582">
        <f t="shared" ca="1" si="174"/>
        <v>0</v>
      </c>
      <c r="BE72" s="582">
        <f t="shared" ca="1" si="174"/>
        <v>0</v>
      </c>
      <c r="BF72" s="582">
        <f ca="1">SUM(AM72:BE72)</f>
        <v>0</v>
      </c>
      <c r="BH72" s="3463">
        <f ca="1">BH71</f>
        <v>-2.274685690664521E-2</v>
      </c>
      <c r="BI72" s="3463">
        <f ca="1">BI71</f>
        <v>0</v>
      </c>
      <c r="BJ72" s="3463">
        <f ca="1">SUM(BH72:BI72)</f>
        <v>-2.274685690664521E-2</v>
      </c>
      <c r="BL72" s="3477">
        <f t="shared" ca="1" si="162"/>
        <v>0</v>
      </c>
      <c r="BM72" s="584"/>
      <c r="BN72" s="413"/>
      <c r="BO72" s="2790">
        <f t="shared" ref="BO72:DF72" ca="1" si="175">BO71</f>
        <v>0</v>
      </c>
      <c r="BP72" s="2790">
        <f t="shared" ca="1" si="175"/>
        <v>0</v>
      </c>
      <c r="BQ72" s="2790">
        <f t="shared" ca="1" si="175"/>
        <v>0</v>
      </c>
      <c r="BR72" s="2790">
        <f t="shared" ca="1" si="175"/>
        <v>0</v>
      </c>
      <c r="BS72" s="2790">
        <f t="shared" ca="1" si="175"/>
        <v>0</v>
      </c>
      <c r="BT72" s="2790">
        <f t="shared" ca="1" si="175"/>
        <v>0</v>
      </c>
      <c r="BU72" s="2790">
        <f t="shared" ca="1" si="175"/>
        <v>0</v>
      </c>
      <c r="BV72" s="2790">
        <f t="shared" ca="1" si="175"/>
        <v>0</v>
      </c>
      <c r="BW72" s="2790">
        <f t="shared" ca="1" si="175"/>
        <v>0</v>
      </c>
      <c r="BX72" s="2790">
        <f t="shared" ca="1" si="175"/>
        <v>0</v>
      </c>
      <c r="BY72" s="2790">
        <f t="shared" ca="1" si="175"/>
        <v>0</v>
      </c>
      <c r="BZ72" s="2790">
        <f t="shared" ca="1" si="175"/>
        <v>0</v>
      </c>
      <c r="CA72" s="2790">
        <f t="shared" ca="1" si="175"/>
        <v>0</v>
      </c>
      <c r="CB72" s="2790">
        <f t="shared" ca="1" si="175"/>
        <v>0</v>
      </c>
      <c r="CC72" s="2790">
        <f t="shared" ca="1" si="175"/>
        <v>0</v>
      </c>
      <c r="CD72" s="2790">
        <f t="shared" ca="1" si="175"/>
        <v>0</v>
      </c>
      <c r="CE72" s="2790">
        <f t="shared" ca="1" si="175"/>
        <v>0</v>
      </c>
      <c r="CF72" s="2790">
        <f t="shared" ca="1" si="175"/>
        <v>0</v>
      </c>
      <c r="CG72" s="2790">
        <f t="shared" ca="1" si="175"/>
        <v>0</v>
      </c>
      <c r="CH72" s="2790">
        <f t="shared" ca="1" si="175"/>
        <v>0</v>
      </c>
      <c r="CI72" s="2790">
        <f t="shared" ca="1" si="175"/>
        <v>0</v>
      </c>
      <c r="CJ72" s="2790">
        <f t="shared" ca="1" si="175"/>
        <v>0</v>
      </c>
      <c r="CK72" s="2790">
        <f t="shared" ca="1" si="175"/>
        <v>0</v>
      </c>
      <c r="CL72" s="2790">
        <f t="shared" ca="1" si="175"/>
        <v>0</v>
      </c>
      <c r="CM72" s="2790">
        <f t="shared" ca="1" si="175"/>
        <v>0</v>
      </c>
      <c r="CN72" s="2790">
        <f t="shared" ca="1" si="175"/>
        <v>0</v>
      </c>
      <c r="CO72" s="2790">
        <f t="shared" ca="1" si="175"/>
        <v>0</v>
      </c>
      <c r="CP72" s="2790">
        <f t="shared" ca="1" si="175"/>
        <v>0</v>
      </c>
      <c r="CQ72" s="2790">
        <f t="shared" ca="1" si="175"/>
        <v>0</v>
      </c>
      <c r="CR72" s="2790">
        <f t="shared" ca="1" si="175"/>
        <v>0</v>
      </c>
      <c r="CS72" s="2790">
        <f t="shared" ca="1" si="175"/>
        <v>0</v>
      </c>
      <c r="CT72" s="2790">
        <f t="shared" ca="1" si="175"/>
        <v>0</v>
      </c>
      <c r="CU72" s="2790">
        <f t="shared" ca="1" si="175"/>
        <v>0</v>
      </c>
      <c r="CV72" s="2790">
        <f t="shared" ca="1" si="175"/>
        <v>0</v>
      </c>
      <c r="CW72" s="2790">
        <f t="shared" ca="1" si="175"/>
        <v>0</v>
      </c>
      <c r="CX72" s="2790">
        <f t="shared" ca="1" si="175"/>
        <v>0</v>
      </c>
      <c r="CY72" s="2790">
        <f t="shared" ca="1" si="175"/>
        <v>0</v>
      </c>
      <c r="CZ72" s="2790">
        <f t="shared" ca="1" si="175"/>
        <v>0</v>
      </c>
      <c r="DA72" s="2790">
        <f t="shared" ca="1" si="175"/>
        <v>0</v>
      </c>
      <c r="DB72" s="2790">
        <f t="shared" ca="1" si="175"/>
        <v>0</v>
      </c>
      <c r="DC72" s="2790">
        <f t="shared" ca="1" si="175"/>
        <v>0</v>
      </c>
      <c r="DD72" s="2790">
        <f t="shared" ca="1" si="175"/>
        <v>0</v>
      </c>
      <c r="DE72" s="2790">
        <f t="shared" ca="1" si="175"/>
        <v>0</v>
      </c>
      <c r="DF72" s="2790">
        <f t="shared" ca="1" si="175"/>
        <v>0</v>
      </c>
      <c r="DH72" s="596">
        <f t="shared" ca="1" si="113"/>
        <v>0</v>
      </c>
    </row>
    <row r="73" spans="1:112" s="6" customFormat="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13"/>
        <v>0</v>
      </c>
    </row>
    <row r="74" spans="1:112" s="652" customFormat="1">
      <c r="C74" s="667" t="s">
        <v>546</v>
      </c>
      <c r="D74" s="668" t="s">
        <v>547</v>
      </c>
      <c r="E74" s="668"/>
      <c r="F74" s="6"/>
      <c r="G74" s="669"/>
      <c r="H74" s="669"/>
      <c r="I74" s="669"/>
      <c r="J74" s="669"/>
      <c r="K74" s="670"/>
      <c r="L74" s="669"/>
      <c r="M74" s="669"/>
      <c r="N74" s="669"/>
      <c r="O74" s="669"/>
      <c r="P74" s="669"/>
      <c r="Q74" s="669"/>
      <c r="R74" s="6"/>
      <c r="S74" s="671">
        <f ca="1">S$40+S$46+S$51+S$99+S$55+S$93+S$63+S$68+S$72</f>
        <v>-24.359054991474284</v>
      </c>
      <c r="T74" s="671">
        <f ca="1">T$40+T$46+T$51+T$99+T$55+T$93+T$63+T$68+T$72</f>
        <v>5.3887197031404472</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76">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13"/>
        <v>0</v>
      </c>
    </row>
    <row r="75" spans="1:112" s="607" customFormat="1">
      <c r="C75" s="587" t="s">
        <v>548</v>
      </c>
      <c r="D75" s="611" t="s">
        <v>549</v>
      </c>
      <c r="E75" s="611"/>
      <c r="F75" s="6"/>
      <c r="G75" s="619">
        <f t="shared" ref="G75:P75" ca="1" si="177">IFERROR(INDEX(INDIRECT($C75&amp;".Outputs["&amp;this.Year&amp;"]"), MATCH(G$5, INDIRECT($C75&amp;".Outputs[Vector]"), 0)), 0)</f>
        <v>0</v>
      </c>
      <c r="H75" s="619">
        <f t="shared" ca="1" si="177"/>
        <v>0</v>
      </c>
      <c r="I75" s="619">
        <f t="shared" ca="1" si="177"/>
        <v>0</v>
      </c>
      <c r="J75" s="619">
        <f t="shared" ca="1" si="177"/>
        <v>0</v>
      </c>
      <c r="K75" s="619">
        <f t="shared" ca="1" si="177"/>
        <v>0</v>
      </c>
      <c r="L75" s="619">
        <f t="shared" ca="1" si="177"/>
        <v>0</v>
      </c>
      <c r="M75" s="619">
        <f t="shared" ca="1" si="177"/>
        <v>0</v>
      </c>
      <c r="N75" s="619">
        <f t="shared" ca="1" si="177"/>
        <v>0</v>
      </c>
      <c r="O75" s="619">
        <f t="shared" ca="1" si="177"/>
        <v>0</v>
      </c>
      <c r="P75" s="619">
        <f t="shared" ca="1" si="177"/>
        <v>0</v>
      </c>
      <c r="Q75" s="612">
        <f ca="1">SUM(G75:P75)</f>
        <v>0</v>
      </c>
      <c r="R75" s="6"/>
      <c r="S75" s="620">
        <f t="shared" ref="S75:AJ75" ca="1" si="178">IFERROR(INDEX(INDIRECT($C75&amp;".Outputs["&amp;this.Year&amp;"]"), MATCH(S$5, INDIRECT($C75&amp;".Outputs[Vector]"), 0)), 0)</f>
        <v>0</v>
      </c>
      <c r="T75" s="620">
        <f t="shared" ca="1" si="178"/>
        <v>0</v>
      </c>
      <c r="U75" s="620">
        <f t="shared" ca="1" si="178"/>
        <v>0</v>
      </c>
      <c r="V75" s="620">
        <f t="shared" ca="1" si="178"/>
        <v>0</v>
      </c>
      <c r="W75" s="620">
        <f t="shared" ca="1" si="178"/>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78"/>
        <v>0</v>
      </c>
      <c r="AB75" s="620">
        <f t="shared" ca="1" si="178"/>
        <v>0</v>
      </c>
      <c r="AC75" s="620">
        <f t="shared" ca="1" si="178"/>
        <v>0</v>
      </c>
      <c r="AD75" s="620">
        <f t="shared" ca="1" si="178"/>
        <v>0</v>
      </c>
      <c r="AE75" s="620">
        <f t="shared" ca="1" si="178"/>
        <v>0</v>
      </c>
      <c r="AF75" s="620">
        <f t="shared" ca="1" si="178"/>
        <v>0</v>
      </c>
      <c r="AG75" s="620">
        <f t="shared" ca="1" si="178"/>
        <v>0</v>
      </c>
      <c r="AH75" s="620">
        <f t="shared" ca="1" si="178"/>
        <v>0</v>
      </c>
      <c r="AI75" s="620">
        <f t="shared" ca="1" si="178"/>
        <v>0</v>
      </c>
      <c r="AJ75" s="620">
        <f t="shared" ca="1" si="178"/>
        <v>0</v>
      </c>
      <c r="AK75" s="613">
        <f ca="1">SUM(S75:AJ75)</f>
        <v>0</v>
      </c>
      <c r="AL75" s="6"/>
      <c r="AM75" s="621">
        <f t="shared" ref="AM75:BE75" ca="1" si="179">IFERROR(INDEX(INDIRECT($C75&amp;".Outputs["&amp;this.Year&amp;"]"), MATCH(AM$5, INDIRECT($C75&amp;".Outputs[Vector]"), 0)), 0)</f>
        <v>0</v>
      </c>
      <c r="AN75" s="621">
        <f t="shared" ca="1" si="179"/>
        <v>0</v>
      </c>
      <c r="AO75" s="621">
        <f t="shared" ca="1" si="179"/>
        <v>0</v>
      </c>
      <c r="AP75" s="621">
        <f t="shared" ca="1" si="179"/>
        <v>0</v>
      </c>
      <c r="AQ75" s="621">
        <f t="shared" ca="1" si="179"/>
        <v>0</v>
      </c>
      <c r="AR75" s="621">
        <f t="shared" ca="1" si="179"/>
        <v>0</v>
      </c>
      <c r="AS75" s="621">
        <f t="shared" ca="1" si="179"/>
        <v>0</v>
      </c>
      <c r="AT75" s="621">
        <f t="shared" ca="1" si="179"/>
        <v>0</v>
      </c>
      <c r="AU75" s="621">
        <f t="shared" ca="1" si="179"/>
        <v>0</v>
      </c>
      <c r="AV75" s="621">
        <f t="shared" ca="1" si="179"/>
        <v>0</v>
      </c>
      <c r="AW75" s="621">
        <f t="shared" ca="1" si="179"/>
        <v>0</v>
      </c>
      <c r="AX75" s="621">
        <f t="shared" ca="1" si="179"/>
        <v>0</v>
      </c>
      <c r="AY75" s="621">
        <f t="shared" ca="1" si="179"/>
        <v>0</v>
      </c>
      <c r="AZ75" s="621">
        <f t="shared" ca="1" si="179"/>
        <v>0</v>
      </c>
      <c r="BA75" s="621">
        <f t="shared" ca="1" si="179"/>
        <v>0</v>
      </c>
      <c r="BB75" s="621">
        <f t="shared" ca="1" si="179"/>
        <v>0</v>
      </c>
      <c r="BC75" s="621">
        <f t="shared" ca="1" si="179"/>
        <v>0</v>
      </c>
      <c r="BD75" s="621">
        <f t="shared" ca="1" si="179"/>
        <v>0</v>
      </c>
      <c r="BE75" s="621">
        <f t="shared" ca="1" si="179"/>
        <v>0</v>
      </c>
      <c r="BF75" s="615">
        <f ca="1">SUM(AM75:BE75)</f>
        <v>0</v>
      </c>
      <c r="BG75" s="6"/>
      <c r="BH75" s="3473">
        <f ca="1">IFERROR(INDEX(INDIRECT($C75&amp;".Outputs["&amp;this.Year&amp;"]"), MATCH(BH$5, INDIRECT($C75&amp;".Outputs[Vector]"), 0)), 0)</f>
        <v>0</v>
      </c>
      <c r="BI75" s="3473">
        <f ca="1">IFERROR(INDEX(INDIRECT($C75&amp;".Outputs["&amp;this.Year&amp;"]"), MATCH(BI$5, INDIRECT($C75&amp;".Outputs[Vector]"), 0)), 0)</f>
        <v>0</v>
      </c>
      <c r="BJ75" s="3462">
        <f ca="1">SUM(BH75:BI75)</f>
        <v>0</v>
      </c>
      <c r="BK75" s="6"/>
      <c r="BL75" s="610">
        <f t="shared" ca="1" si="176"/>
        <v>0</v>
      </c>
      <c r="BM75" s="610"/>
      <c r="BN75" s="413"/>
      <c r="BO75" s="2791">
        <f t="shared" ref="BO75:DF75" ca="1" si="180">IFERROR(SUMIFS(INDIRECT($C75&amp;".Emissions["&amp;this.Year&amp;"]"), INDIRECT($C75&amp;".Emissions[GHG]"), BO$6, INDIRECT($C75&amp;".Emissions[IPCC Sector]"), BO$5),0)</f>
        <v>0</v>
      </c>
      <c r="BP75" s="2792">
        <f t="shared" ca="1" si="180"/>
        <v>0</v>
      </c>
      <c r="BQ75" s="2792">
        <f t="shared" ca="1" si="180"/>
        <v>0</v>
      </c>
      <c r="BR75" s="2792">
        <f t="shared" ca="1" si="180"/>
        <v>0</v>
      </c>
      <c r="BS75" s="2792">
        <f t="shared" ca="1" si="180"/>
        <v>0</v>
      </c>
      <c r="BT75" s="2792">
        <f t="shared" ca="1" si="180"/>
        <v>0</v>
      </c>
      <c r="BU75" s="2792">
        <f t="shared" ca="1" si="180"/>
        <v>0</v>
      </c>
      <c r="BV75" s="2792">
        <f t="shared" ca="1" si="180"/>
        <v>0</v>
      </c>
      <c r="BW75" s="2792">
        <f t="shared" ca="1" si="180"/>
        <v>0</v>
      </c>
      <c r="BX75" s="2792">
        <f t="shared" ca="1" si="180"/>
        <v>0</v>
      </c>
      <c r="BY75" s="2792">
        <f t="shared" ca="1" si="180"/>
        <v>0</v>
      </c>
      <c r="BZ75" s="2792">
        <f t="shared" ca="1" si="180"/>
        <v>0</v>
      </c>
      <c r="CA75" s="2792">
        <f t="shared" ca="1" si="180"/>
        <v>0</v>
      </c>
      <c r="CB75" s="2792">
        <f t="shared" ca="1" si="180"/>
        <v>0</v>
      </c>
      <c r="CC75" s="2792">
        <f t="shared" ca="1" si="180"/>
        <v>0</v>
      </c>
      <c r="CD75" s="2792">
        <f t="shared" ca="1" si="180"/>
        <v>0</v>
      </c>
      <c r="CE75" s="2792">
        <f t="shared" ca="1" si="180"/>
        <v>0</v>
      </c>
      <c r="CF75" s="2792">
        <f t="shared" ca="1" si="180"/>
        <v>0</v>
      </c>
      <c r="CG75" s="2792">
        <f t="shared" ca="1" si="180"/>
        <v>0</v>
      </c>
      <c r="CH75" s="2792">
        <f t="shared" ca="1" si="180"/>
        <v>0</v>
      </c>
      <c r="CI75" s="2792">
        <f t="shared" ca="1" si="180"/>
        <v>0</v>
      </c>
      <c r="CJ75" s="2792">
        <f t="shared" ca="1" si="180"/>
        <v>0</v>
      </c>
      <c r="CK75" s="2792">
        <f t="shared" ca="1" si="180"/>
        <v>0</v>
      </c>
      <c r="CL75" s="2792">
        <f t="shared" ca="1" si="180"/>
        <v>0</v>
      </c>
      <c r="CM75" s="2792">
        <f t="shared" ca="1" si="180"/>
        <v>0</v>
      </c>
      <c r="CN75" s="2792">
        <f t="shared" ca="1" si="180"/>
        <v>0</v>
      </c>
      <c r="CO75" s="2792">
        <f t="shared" ca="1" si="180"/>
        <v>0</v>
      </c>
      <c r="CP75" s="2792">
        <f t="shared" ca="1" si="180"/>
        <v>0</v>
      </c>
      <c r="CQ75" s="2792">
        <f t="shared" ca="1" si="180"/>
        <v>0</v>
      </c>
      <c r="CR75" s="2792">
        <f t="shared" ca="1" si="180"/>
        <v>0</v>
      </c>
      <c r="CS75" s="2792">
        <f t="shared" ca="1" si="180"/>
        <v>0</v>
      </c>
      <c r="CT75" s="2792">
        <f t="shared" ca="1" si="180"/>
        <v>0</v>
      </c>
      <c r="CU75" s="2792">
        <f t="shared" ca="1" si="180"/>
        <v>0</v>
      </c>
      <c r="CV75" s="2792">
        <f t="shared" ca="1" si="180"/>
        <v>0</v>
      </c>
      <c r="CW75" s="2792">
        <f t="shared" ca="1" si="180"/>
        <v>0</v>
      </c>
      <c r="CX75" s="2792">
        <f t="shared" ca="1" si="180"/>
        <v>0</v>
      </c>
      <c r="CY75" s="2792">
        <f t="shared" ca="1" si="180"/>
        <v>0</v>
      </c>
      <c r="CZ75" s="2792">
        <f t="shared" ca="1" si="180"/>
        <v>0</v>
      </c>
      <c r="DA75" s="2792">
        <f t="shared" ca="1" si="180"/>
        <v>0</v>
      </c>
      <c r="DB75" s="2792">
        <f t="shared" ca="1" si="180"/>
        <v>0</v>
      </c>
      <c r="DC75" s="2792">
        <f t="shared" ca="1" si="180"/>
        <v>0</v>
      </c>
      <c r="DD75" s="2792">
        <f t="shared" ca="1" si="180"/>
        <v>0</v>
      </c>
      <c r="DE75" s="2792">
        <f t="shared" ca="1" si="180"/>
        <v>0</v>
      </c>
      <c r="DF75" s="2792">
        <f t="shared" ca="1" si="180"/>
        <v>0</v>
      </c>
      <c r="DH75" s="596">
        <f t="shared" ca="1" si="113"/>
        <v>0</v>
      </c>
    </row>
    <row r="76" spans="1:112" s="6" customFormat="1" ht="15.75">
      <c r="A76" s="4"/>
      <c r="B76" s="3"/>
      <c r="C76" s="616" t="s">
        <v>550</v>
      </c>
      <c r="D76" s="617" t="s">
        <v>551</v>
      </c>
      <c r="E76" s="206"/>
      <c r="G76" s="618">
        <f ca="1">G75</f>
        <v>0</v>
      </c>
      <c r="H76" s="618">
        <f t="shared" ref="H76:P76" ca="1" si="181">H75</f>
        <v>0</v>
      </c>
      <c r="I76" s="618">
        <f t="shared" ca="1" si="181"/>
        <v>0</v>
      </c>
      <c r="J76" s="618">
        <f t="shared" ca="1" si="181"/>
        <v>0</v>
      </c>
      <c r="K76" s="618">
        <f t="shared" ca="1" si="181"/>
        <v>0</v>
      </c>
      <c r="L76" s="618">
        <f t="shared" ca="1" si="181"/>
        <v>0</v>
      </c>
      <c r="M76" s="618">
        <f t="shared" ca="1" si="181"/>
        <v>0</v>
      </c>
      <c r="N76" s="618">
        <f t="shared" ca="1" si="181"/>
        <v>0</v>
      </c>
      <c r="O76" s="618">
        <f t="shared" ca="1" si="181"/>
        <v>0</v>
      </c>
      <c r="P76" s="618">
        <f t="shared" ca="1" si="181"/>
        <v>0</v>
      </c>
      <c r="Q76" s="618">
        <f ca="1">SUM(G76:P76)</f>
        <v>0</v>
      </c>
      <c r="S76" s="581">
        <f t="shared" ref="S76:AJ76" ca="1" si="182">S75</f>
        <v>0</v>
      </c>
      <c r="T76" s="581">
        <f t="shared" ca="1" si="182"/>
        <v>0</v>
      </c>
      <c r="U76" s="581">
        <f t="shared" ca="1" si="182"/>
        <v>0</v>
      </c>
      <c r="V76" s="581">
        <f t="shared" ca="1" si="182"/>
        <v>0</v>
      </c>
      <c r="W76" s="581">
        <f t="shared" ca="1" si="182"/>
        <v>0</v>
      </c>
      <c r="X76" s="581">
        <f t="shared" ca="1" si="182"/>
        <v>0</v>
      </c>
      <c r="Y76" s="581">
        <f t="shared" ca="1" si="182"/>
        <v>0</v>
      </c>
      <c r="Z76" s="581">
        <f t="shared" ca="1" si="182"/>
        <v>0</v>
      </c>
      <c r="AA76" s="581">
        <f t="shared" ca="1" si="182"/>
        <v>0</v>
      </c>
      <c r="AB76" s="581">
        <f t="shared" ca="1" si="182"/>
        <v>0</v>
      </c>
      <c r="AC76" s="581">
        <f t="shared" ca="1" si="182"/>
        <v>0</v>
      </c>
      <c r="AD76" s="581">
        <f t="shared" ca="1" si="182"/>
        <v>0</v>
      </c>
      <c r="AE76" s="581">
        <f ca="1">AE75</f>
        <v>0</v>
      </c>
      <c r="AF76" s="581">
        <f t="shared" ca="1" si="182"/>
        <v>0</v>
      </c>
      <c r="AG76" s="581">
        <f t="shared" ca="1" si="182"/>
        <v>0</v>
      </c>
      <c r="AH76" s="581">
        <f ca="1">AH75</f>
        <v>0</v>
      </c>
      <c r="AI76" s="581">
        <f t="shared" ca="1" si="182"/>
        <v>0</v>
      </c>
      <c r="AJ76" s="581">
        <f t="shared" ca="1" si="182"/>
        <v>0</v>
      </c>
      <c r="AK76" s="581">
        <f ca="1">SUM(S76:AJ76)</f>
        <v>0</v>
      </c>
      <c r="AM76" s="582">
        <f t="shared" ref="AM76:BE76" ca="1" si="183">AM75</f>
        <v>0</v>
      </c>
      <c r="AN76" s="582">
        <f t="shared" ca="1" si="183"/>
        <v>0</v>
      </c>
      <c r="AO76" s="582">
        <f t="shared" ca="1" si="183"/>
        <v>0</v>
      </c>
      <c r="AP76" s="582">
        <f t="shared" ca="1" si="183"/>
        <v>0</v>
      </c>
      <c r="AQ76" s="582">
        <f t="shared" ca="1" si="183"/>
        <v>0</v>
      </c>
      <c r="AR76" s="582">
        <f t="shared" ca="1" si="183"/>
        <v>0</v>
      </c>
      <c r="AS76" s="582">
        <f t="shared" ca="1" si="183"/>
        <v>0</v>
      </c>
      <c r="AT76" s="582">
        <f t="shared" ca="1" si="183"/>
        <v>0</v>
      </c>
      <c r="AU76" s="582">
        <f t="shared" ca="1" si="183"/>
        <v>0</v>
      </c>
      <c r="AV76" s="582">
        <f t="shared" ca="1" si="183"/>
        <v>0</v>
      </c>
      <c r="AW76" s="582">
        <f t="shared" ca="1" si="183"/>
        <v>0</v>
      </c>
      <c r="AX76" s="582">
        <f t="shared" ca="1" si="183"/>
        <v>0</v>
      </c>
      <c r="AY76" s="582">
        <f t="shared" ca="1" si="183"/>
        <v>0</v>
      </c>
      <c r="AZ76" s="582">
        <f t="shared" ca="1" si="183"/>
        <v>0</v>
      </c>
      <c r="BA76" s="582">
        <f t="shared" ca="1" si="183"/>
        <v>0</v>
      </c>
      <c r="BB76" s="582">
        <f t="shared" ca="1" si="183"/>
        <v>0</v>
      </c>
      <c r="BC76" s="582">
        <f t="shared" ca="1" si="183"/>
        <v>0</v>
      </c>
      <c r="BD76" s="582">
        <f t="shared" ca="1" si="183"/>
        <v>0</v>
      </c>
      <c r="BE76" s="582">
        <f t="shared" ca="1" si="183"/>
        <v>0</v>
      </c>
      <c r="BF76" s="582">
        <f ca="1">SUM(AM76:BE76)</f>
        <v>0</v>
      </c>
      <c r="BH76" s="3463">
        <f ca="1">BH75</f>
        <v>0</v>
      </c>
      <c r="BI76" s="3463">
        <f ca="1">BI75</f>
        <v>0</v>
      </c>
      <c r="BJ76" s="3463">
        <f ca="1">SUM(BH76:BI76)</f>
        <v>0</v>
      </c>
      <c r="BL76" s="3477">
        <f t="shared" ca="1" si="176"/>
        <v>0</v>
      </c>
      <c r="BM76" s="584"/>
      <c r="BN76" s="413"/>
      <c r="BO76" s="2790">
        <f t="shared" ref="BO76:DF76" ca="1" si="184">BO75</f>
        <v>0</v>
      </c>
      <c r="BP76" s="2790">
        <f t="shared" ca="1" si="184"/>
        <v>0</v>
      </c>
      <c r="BQ76" s="2790">
        <f t="shared" ca="1" si="184"/>
        <v>0</v>
      </c>
      <c r="BR76" s="2790">
        <f t="shared" ca="1" si="184"/>
        <v>0</v>
      </c>
      <c r="BS76" s="2790">
        <f t="shared" ca="1" si="184"/>
        <v>0</v>
      </c>
      <c r="BT76" s="2790">
        <f t="shared" ca="1" si="184"/>
        <v>0</v>
      </c>
      <c r="BU76" s="2790">
        <f t="shared" ca="1" si="184"/>
        <v>0</v>
      </c>
      <c r="BV76" s="2790">
        <f t="shared" ca="1" si="184"/>
        <v>0</v>
      </c>
      <c r="BW76" s="2790">
        <f t="shared" ca="1" si="184"/>
        <v>0</v>
      </c>
      <c r="BX76" s="2790">
        <f t="shared" ca="1" si="184"/>
        <v>0</v>
      </c>
      <c r="BY76" s="2790">
        <f t="shared" ca="1" si="184"/>
        <v>0</v>
      </c>
      <c r="BZ76" s="2790">
        <f t="shared" ca="1" si="184"/>
        <v>0</v>
      </c>
      <c r="CA76" s="2790">
        <f t="shared" ca="1" si="184"/>
        <v>0</v>
      </c>
      <c r="CB76" s="2790">
        <f t="shared" ca="1" si="184"/>
        <v>0</v>
      </c>
      <c r="CC76" s="2790">
        <f t="shared" ca="1" si="184"/>
        <v>0</v>
      </c>
      <c r="CD76" s="2790">
        <f t="shared" ca="1" si="184"/>
        <v>0</v>
      </c>
      <c r="CE76" s="2790">
        <f t="shared" ca="1" si="184"/>
        <v>0</v>
      </c>
      <c r="CF76" s="2790">
        <f t="shared" ca="1" si="184"/>
        <v>0</v>
      </c>
      <c r="CG76" s="2790">
        <f t="shared" ca="1" si="184"/>
        <v>0</v>
      </c>
      <c r="CH76" s="2790">
        <f t="shared" ca="1" si="184"/>
        <v>0</v>
      </c>
      <c r="CI76" s="2790">
        <f t="shared" ca="1" si="184"/>
        <v>0</v>
      </c>
      <c r="CJ76" s="2790">
        <f t="shared" ca="1" si="184"/>
        <v>0</v>
      </c>
      <c r="CK76" s="2790">
        <f t="shared" ca="1" si="184"/>
        <v>0</v>
      </c>
      <c r="CL76" s="2790">
        <f t="shared" ca="1" si="184"/>
        <v>0</v>
      </c>
      <c r="CM76" s="2790">
        <f t="shared" ca="1" si="184"/>
        <v>0</v>
      </c>
      <c r="CN76" s="2790">
        <f t="shared" ca="1" si="184"/>
        <v>0</v>
      </c>
      <c r="CO76" s="2790">
        <f t="shared" ca="1" si="184"/>
        <v>0</v>
      </c>
      <c r="CP76" s="2790">
        <f t="shared" ca="1" si="184"/>
        <v>0</v>
      </c>
      <c r="CQ76" s="2790">
        <f t="shared" ca="1" si="184"/>
        <v>0</v>
      </c>
      <c r="CR76" s="2790">
        <f t="shared" ca="1" si="184"/>
        <v>0</v>
      </c>
      <c r="CS76" s="2790">
        <f t="shared" ca="1" si="184"/>
        <v>0</v>
      </c>
      <c r="CT76" s="2790">
        <f t="shared" ca="1" si="184"/>
        <v>0</v>
      </c>
      <c r="CU76" s="2790">
        <f t="shared" ca="1" si="184"/>
        <v>0</v>
      </c>
      <c r="CV76" s="2790">
        <f t="shared" ca="1" si="184"/>
        <v>0</v>
      </c>
      <c r="CW76" s="2790">
        <f t="shared" ca="1" si="184"/>
        <v>0</v>
      </c>
      <c r="CX76" s="2790">
        <f t="shared" ca="1" si="184"/>
        <v>0</v>
      </c>
      <c r="CY76" s="2790">
        <f t="shared" ca="1" si="184"/>
        <v>0</v>
      </c>
      <c r="CZ76" s="2790">
        <f t="shared" ca="1" si="184"/>
        <v>0</v>
      </c>
      <c r="DA76" s="2790">
        <f t="shared" ca="1" si="184"/>
        <v>0</v>
      </c>
      <c r="DB76" s="2790">
        <f t="shared" ca="1" si="184"/>
        <v>0</v>
      </c>
      <c r="DC76" s="2790">
        <f t="shared" ca="1" si="184"/>
        <v>0</v>
      </c>
      <c r="DD76" s="2790">
        <f t="shared" ca="1" si="184"/>
        <v>0</v>
      </c>
      <c r="DE76" s="2790">
        <f t="shared" ca="1" si="184"/>
        <v>0</v>
      </c>
      <c r="DF76" s="2790">
        <f t="shared" ca="1" si="184"/>
        <v>0</v>
      </c>
      <c r="DH76" s="596">
        <f t="shared" ca="1" si="113"/>
        <v>0</v>
      </c>
    </row>
    <row r="77" spans="1:112" s="6" customFormat="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76"/>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13"/>
        <v>0</v>
      </c>
    </row>
    <row r="78" spans="1:112" s="652" customFormat="1">
      <c r="C78" s="667" t="s">
        <v>552</v>
      </c>
      <c r="D78" s="668" t="s">
        <v>547</v>
      </c>
      <c r="E78" s="668"/>
      <c r="F78" s="6"/>
      <c r="G78" s="669"/>
      <c r="H78" s="669"/>
      <c r="I78" s="669"/>
      <c r="J78" s="669"/>
      <c r="K78" s="670"/>
      <c r="L78" s="669"/>
      <c r="M78" s="669"/>
      <c r="N78" s="669"/>
      <c r="O78" s="669"/>
      <c r="P78" s="669"/>
      <c r="Q78" s="669"/>
      <c r="R78" s="6"/>
      <c r="S78" s="671">
        <f ca="1">S$74+S$76</f>
        <v>-24.359054991474284</v>
      </c>
      <c r="T78" s="671">
        <f ca="1">T$74+T$76</f>
        <v>5.3887197031404472</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76"/>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13"/>
        <v>0</v>
      </c>
    </row>
    <row r="79" spans="1:112" s="607" customFormat="1">
      <c r="C79" s="587" t="s">
        <v>553</v>
      </c>
      <c r="D79" s="588" t="s">
        <v>554</v>
      </c>
      <c r="E79" s="588"/>
      <c r="F79" s="6"/>
      <c r="G79" s="674">
        <f t="shared" ref="G79:P79" ca="1" si="185">IFERROR(INDEX(INDIRECT($C79&amp;".Outputs["&amp;this.Year&amp;"]"), MATCH(G$5, INDIRECT($C79&amp;".Outputs[Vector]"), 0)), 0)</f>
        <v>0</v>
      </c>
      <c r="H79" s="674">
        <f t="shared" ca="1" si="185"/>
        <v>0</v>
      </c>
      <c r="I79" s="674">
        <f t="shared" ca="1" si="185"/>
        <v>0</v>
      </c>
      <c r="J79" s="674">
        <f t="shared" ca="1" si="185"/>
        <v>0</v>
      </c>
      <c r="K79" s="674">
        <f t="shared" ca="1" si="185"/>
        <v>0</v>
      </c>
      <c r="L79" s="674">
        <f t="shared" ca="1" si="185"/>
        <v>0</v>
      </c>
      <c r="M79" s="674">
        <f t="shared" ca="1" si="185"/>
        <v>0</v>
      </c>
      <c r="N79" s="674">
        <f t="shared" ca="1" si="185"/>
        <v>0</v>
      </c>
      <c r="O79" s="674">
        <f t="shared" ca="1" si="185"/>
        <v>0</v>
      </c>
      <c r="P79" s="674">
        <f t="shared" ca="1" si="185"/>
        <v>0</v>
      </c>
      <c r="Q79" s="675">
        <f ca="1">SUM(G79:P79)</f>
        <v>0</v>
      </c>
      <c r="R79" s="6"/>
      <c r="S79" s="676">
        <f t="shared" ref="S79:AJ79" ca="1" si="186">IFERROR(INDEX(INDIRECT($C79&amp;".Outputs["&amp;this.Year&amp;"]"), MATCH(S$5, INDIRECT($C79&amp;".Outputs[Vector]"), 0)), 0)</f>
        <v>0</v>
      </c>
      <c r="T79" s="676">
        <f t="shared" ca="1" si="186"/>
        <v>0</v>
      </c>
      <c r="U79" s="676">
        <f t="shared" ca="1" si="186"/>
        <v>0</v>
      </c>
      <c r="V79" s="676">
        <f t="shared" ca="1" si="186"/>
        <v>0</v>
      </c>
      <c r="W79" s="676">
        <f t="shared" ca="1" si="186"/>
        <v>0</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186"/>
        <v>0</v>
      </c>
      <c r="AB79" s="676">
        <f t="shared" ca="1" si="186"/>
        <v>0</v>
      </c>
      <c r="AC79" s="676">
        <f t="shared" ca="1" si="186"/>
        <v>0</v>
      </c>
      <c r="AD79" s="676">
        <f t="shared" ca="1" si="186"/>
        <v>0</v>
      </c>
      <c r="AE79" s="676">
        <f t="shared" ca="1" si="186"/>
        <v>0</v>
      </c>
      <c r="AF79" s="676">
        <f t="shared" ca="1" si="186"/>
        <v>0</v>
      </c>
      <c r="AG79" s="676">
        <f t="shared" ca="1" si="186"/>
        <v>0</v>
      </c>
      <c r="AH79" s="676">
        <f t="shared" ca="1" si="186"/>
        <v>0</v>
      </c>
      <c r="AI79" s="676">
        <f t="shared" ca="1" si="186"/>
        <v>0</v>
      </c>
      <c r="AJ79" s="676">
        <f t="shared" ca="1" si="186"/>
        <v>0</v>
      </c>
      <c r="AK79" s="677">
        <f ca="1">SUM(S79:AJ79)</f>
        <v>0</v>
      </c>
      <c r="AL79" s="6"/>
      <c r="AM79" s="678">
        <f t="shared" ref="AM79:BE79" ca="1" si="187">IFERROR(INDEX(INDIRECT($C79&amp;".Outputs["&amp;this.Year&amp;"]"), MATCH(AM$5, INDIRECT($C79&amp;".Outputs[Vector]"), 0)), 0)</f>
        <v>0</v>
      </c>
      <c r="AN79" s="678">
        <f t="shared" ca="1" si="187"/>
        <v>0</v>
      </c>
      <c r="AO79" s="678">
        <f t="shared" ca="1" si="187"/>
        <v>0</v>
      </c>
      <c r="AP79" s="678">
        <f t="shared" ca="1" si="187"/>
        <v>0</v>
      </c>
      <c r="AQ79" s="678">
        <f t="shared" ca="1" si="187"/>
        <v>0</v>
      </c>
      <c r="AR79" s="678">
        <f t="shared" ca="1" si="187"/>
        <v>0</v>
      </c>
      <c r="AS79" s="678">
        <f t="shared" ca="1" si="187"/>
        <v>0</v>
      </c>
      <c r="AT79" s="678">
        <f t="shared" ca="1" si="187"/>
        <v>0</v>
      </c>
      <c r="AU79" s="678">
        <f t="shared" ca="1" si="187"/>
        <v>0</v>
      </c>
      <c r="AV79" s="678">
        <f t="shared" ca="1" si="187"/>
        <v>0</v>
      </c>
      <c r="AW79" s="678">
        <f t="shared" ca="1" si="187"/>
        <v>0</v>
      </c>
      <c r="AX79" s="678">
        <f t="shared" ca="1" si="187"/>
        <v>0</v>
      </c>
      <c r="AY79" s="678">
        <f t="shared" ca="1" si="187"/>
        <v>0</v>
      </c>
      <c r="AZ79" s="678">
        <f t="shared" ca="1" si="187"/>
        <v>0</v>
      </c>
      <c r="BA79" s="678">
        <f t="shared" ca="1" si="187"/>
        <v>0</v>
      </c>
      <c r="BB79" s="678">
        <f t="shared" ca="1" si="187"/>
        <v>0</v>
      </c>
      <c r="BC79" s="678">
        <f t="shared" ca="1" si="187"/>
        <v>0</v>
      </c>
      <c r="BD79" s="678">
        <f t="shared" ca="1" si="187"/>
        <v>0</v>
      </c>
      <c r="BE79" s="678">
        <f t="shared" ca="1" si="187"/>
        <v>0</v>
      </c>
      <c r="BF79" s="679">
        <f ca="1">SUM(AM79:BE79)</f>
        <v>0</v>
      </c>
      <c r="BG79" s="6"/>
      <c r="BH79" s="3475">
        <f ca="1">IFERROR(INDEX(INDIRECT($C79&amp;".Outputs["&amp;this.Year&amp;"]"), MATCH(BH$5, INDIRECT($C79&amp;".Outputs[Vector]"), 0)), 0)</f>
        <v>0</v>
      </c>
      <c r="BI79" s="3475">
        <f ca="1">IFERROR(INDEX(INDIRECT($C79&amp;".Outputs["&amp;this.Year&amp;"]"), MATCH(BI$5, INDIRECT($C79&amp;".Outputs[Vector]"), 0)), 0)</f>
        <v>0</v>
      </c>
      <c r="BJ79" s="3466">
        <f ca="1">SUM(BH79:BI79)</f>
        <v>0</v>
      </c>
      <c r="BK79" s="6"/>
      <c r="BL79" s="610">
        <f t="shared" ca="1" si="176"/>
        <v>0</v>
      </c>
      <c r="BM79" s="610"/>
      <c r="BN79" s="413"/>
      <c r="BO79" s="2789">
        <f t="shared" ref="BO79:DF79" ca="1" si="188">IFERROR(SUMIFS(INDIRECT($C79&amp;".Emissions["&amp;this.Year&amp;"]"), INDIRECT($C79&amp;".Emissions[GHG]"), BO$6, INDIRECT($C79&amp;".Emissions[IPCC Sector]"), BO$5),0)</f>
        <v>0</v>
      </c>
      <c r="BP79" s="2790">
        <f t="shared" ca="1" si="188"/>
        <v>0</v>
      </c>
      <c r="BQ79" s="2790">
        <f t="shared" ca="1" si="188"/>
        <v>0</v>
      </c>
      <c r="BR79" s="2790">
        <f t="shared" ca="1" si="188"/>
        <v>0</v>
      </c>
      <c r="BS79" s="2790">
        <f t="shared" ca="1" si="188"/>
        <v>0</v>
      </c>
      <c r="BT79" s="2790">
        <f t="shared" ca="1" si="188"/>
        <v>0</v>
      </c>
      <c r="BU79" s="2790">
        <f t="shared" ca="1" si="188"/>
        <v>0</v>
      </c>
      <c r="BV79" s="2790">
        <f t="shared" ca="1" si="188"/>
        <v>0</v>
      </c>
      <c r="BW79" s="2790">
        <f t="shared" ca="1" si="188"/>
        <v>0</v>
      </c>
      <c r="BX79" s="2790">
        <f t="shared" ca="1" si="188"/>
        <v>0</v>
      </c>
      <c r="BY79" s="2790">
        <f t="shared" ca="1" si="188"/>
        <v>0</v>
      </c>
      <c r="BZ79" s="2790">
        <f t="shared" ca="1" si="188"/>
        <v>0</v>
      </c>
      <c r="CA79" s="2790">
        <f t="shared" ca="1" si="188"/>
        <v>0</v>
      </c>
      <c r="CB79" s="2790">
        <f t="shared" ca="1" si="188"/>
        <v>0</v>
      </c>
      <c r="CC79" s="2790">
        <f t="shared" ca="1" si="188"/>
        <v>0</v>
      </c>
      <c r="CD79" s="2790">
        <f t="shared" ca="1" si="188"/>
        <v>0</v>
      </c>
      <c r="CE79" s="2790">
        <f t="shared" ca="1" si="188"/>
        <v>0</v>
      </c>
      <c r="CF79" s="2790">
        <f t="shared" ca="1" si="188"/>
        <v>0</v>
      </c>
      <c r="CG79" s="2790">
        <f t="shared" ca="1" si="188"/>
        <v>0</v>
      </c>
      <c r="CH79" s="2790">
        <f t="shared" ca="1" si="188"/>
        <v>0</v>
      </c>
      <c r="CI79" s="2790">
        <f t="shared" ca="1" si="188"/>
        <v>0</v>
      </c>
      <c r="CJ79" s="2790">
        <f t="shared" ca="1" si="188"/>
        <v>0</v>
      </c>
      <c r="CK79" s="2790">
        <f t="shared" ca="1" si="188"/>
        <v>0</v>
      </c>
      <c r="CL79" s="2790">
        <f t="shared" ca="1" si="188"/>
        <v>0</v>
      </c>
      <c r="CM79" s="2790">
        <f t="shared" ca="1" si="188"/>
        <v>0</v>
      </c>
      <c r="CN79" s="2790">
        <f t="shared" ca="1" si="188"/>
        <v>0</v>
      </c>
      <c r="CO79" s="2790">
        <f t="shared" ca="1" si="188"/>
        <v>0</v>
      </c>
      <c r="CP79" s="2790">
        <f t="shared" ca="1" si="188"/>
        <v>0</v>
      </c>
      <c r="CQ79" s="2790">
        <f t="shared" ca="1" si="188"/>
        <v>0</v>
      </c>
      <c r="CR79" s="2790">
        <f t="shared" ca="1" si="188"/>
        <v>0</v>
      </c>
      <c r="CS79" s="2790">
        <f t="shared" ca="1" si="188"/>
        <v>0</v>
      </c>
      <c r="CT79" s="2790">
        <f t="shared" ca="1" si="188"/>
        <v>0</v>
      </c>
      <c r="CU79" s="2790">
        <f t="shared" ca="1" si="188"/>
        <v>0</v>
      </c>
      <c r="CV79" s="2790">
        <f t="shared" ca="1" si="188"/>
        <v>0</v>
      </c>
      <c r="CW79" s="2790">
        <f t="shared" ca="1" si="188"/>
        <v>0</v>
      </c>
      <c r="CX79" s="2790">
        <f t="shared" ca="1" si="188"/>
        <v>0</v>
      </c>
      <c r="CY79" s="2790">
        <f t="shared" ca="1" si="188"/>
        <v>0</v>
      </c>
      <c r="CZ79" s="2790">
        <f t="shared" ca="1" si="188"/>
        <v>0</v>
      </c>
      <c r="DA79" s="2790">
        <f t="shared" ca="1" si="188"/>
        <v>0</v>
      </c>
      <c r="DB79" s="2790">
        <f t="shared" ca="1" si="188"/>
        <v>0</v>
      </c>
      <c r="DC79" s="2790">
        <f t="shared" ca="1" si="188"/>
        <v>0</v>
      </c>
      <c r="DD79" s="2790">
        <f t="shared" ca="1" si="188"/>
        <v>0</v>
      </c>
      <c r="DE79" s="2790">
        <f t="shared" ca="1" si="188"/>
        <v>0</v>
      </c>
      <c r="DF79" s="2790">
        <f t="shared" ca="1" si="188"/>
        <v>0</v>
      </c>
      <c r="DH79" s="596">
        <f t="shared" ca="1" si="113"/>
        <v>0</v>
      </c>
    </row>
    <row r="80" spans="1:112" s="639" customFormat="1">
      <c r="C80" s="640" t="s">
        <v>555</v>
      </c>
      <c r="D80" s="668" t="s">
        <v>547</v>
      </c>
      <c r="E80" s="641"/>
      <c r="F80" s="642"/>
      <c r="G80" s="643"/>
      <c r="H80" s="643"/>
      <c r="I80" s="643"/>
      <c r="J80" s="643"/>
      <c r="K80" s="644"/>
      <c r="L80" s="643"/>
      <c r="M80" s="643"/>
      <c r="N80" s="643"/>
      <c r="O80" s="643"/>
      <c r="P80" s="643"/>
      <c r="Q80" s="643"/>
      <c r="R80" s="642"/>
      <c r="S80" s="645">
        <f ca="1">S78+S79</f>
        <v>-24.359054991474284</v>
      </c>
      <c r="T80" s="645">
        <f ca="1">T78+T79</f>
        <v>5.3887197031404472</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76"/>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13"/>
        <v>0</v>
      </c>
    </row>
    <row r="81" spans="1:112" s="607" customFormat="1">
      <c r="C81" s="587" t="s">
        <v>556</v>
      </c>
      <c r="D81" s="588" t="s">
        <v>557</v>
      </c>
      <c r="E81" s="588"/>
      <c r="F81" s="6"/>
      <c r="G81" s="619">
        <f t="shared" ref="G81:P81" ca="1" si="189">IFERROR(INDEX(INDIRECT($C81&amp;".Outputs["&amp;this.Year&amp;"]"), MATCH(G$5, INDIRECT($C81&amp;".Outputs[Vector]"), 0)), 0)</f>
        <v>0</v>
      </c>
      <c r="H81" s="619">
        <f t="shared" ca="1" si="189"/>
        <v>0</v>
      </c>
      <c r="I81" s="619">
        <f t="shared" ca="1" si="189"/>
        <v>0</v>
      </c>
      <c r="J81" s="619">
        <f t="shared" ca="1" si="189"/>
        <v>0</v>
      </c>
      <c r="K81" s="619">
        <f t="shared" ca="1" si="189"/>
        <v>0</v>
      </c>
      <c r="L81" s="619">
        <f t="shared" ca="1" si="189"/>
        <v>0</v>
      </c>
      <c r="M81" s="619">
        <f t="shared" ca="1" si="189"/>
        <v>0</v>
      </c>
      <c r="N81" s="619">
        <f t="shared" ca="1" si="189"/>
        <v>0</v>
      </c>
      <c r="O81" s="619">
        <f t="shared" ca="1" si="189"/>
        <v>0</v>
      </c>
      <c r="P81" s="619">
        <f t="shared" ca="1" si="189"/>
        <v>0</v>
      </c>
      <c r="Q81" s="612">
        <f ca="1">SUM(G81:P81)</f>
        <v>0</v>
      </c>
      <c r="R81" s="6"/>
      <c r="S81" s="620">
        <f t="shared" ref="S81:AJ81" ca="1" si="190">IFERROR(INDEX(INDIRECT($C81&amp;".Outputs["&amp;this.Year&amp;"]"), MATCH(S$5, INDIRECT($C81&amp;".Outputs[Vector]"), 0)), 0)</f>
        <v>0</v>
      </c>
      <c r="T81" s="620">
        <f t="shared" ca="1" si="190"/>
        <v>18.970335288333835</v>
      </c>
      <c r="U81" s="620">
        <f t="shared" ca="1" si="190"/>
        <v>-20.542670935872795</v>
      </c>
      <c r="V81" s="620">
        <f t="shared" ca="1" si="190"/>
        <v>0</v>
      </c>
      <c r="W81" s="620">
        <f t="shared" ca="1" si="190"/>
        <v>-24.085043155421804</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190"/>
        <v>0</v>
      </c>
      <c r="AB81" s="620">
        <f t="shared" ca="1" si="190"/>
        <v>0</v>
      </c>
      <c r="AC81" s="620">
        <f t="shared" ca="1" si="190"/>
        <v>0</v>
      </c>
      <c r="AD81" s="620">
        <f t="shared" ca="1" si="190"/>
        <v>0</v>
      </c>
      <c r="AE81" s="620">
        <f t="shared" ca="1" si="190"/>
        <v>0</v>
      </c>
      <c r="AF81" s="620">
        <f t="shared" ca="1" si="190"/>
        <v>0</v>
      </c>
      <c r="AG81" s="620">
        <f t="shared" ca="1" si="190"/>
        <v>0</v>
      </c>
      <c r="AH81" s="620">
        <f t="shared" ca="1" si="190"/>
        <v>0</v>
      </c>
      <c r="AI81" s="620">
        <f t="shared" ca="1" si="190"/>
        <v>0</v>
      </c>
      <c r="AJ81" s="620">
        <f t="shared" ca="1" si="190"/>
        <v>0</v>
      </c>
      <c r="AK81" s="613">
        <f ca="1">SUM(S81:AJ81)</f>
        <v>-25.657378802960764</v>
      </c>
      <c r="AL81" s="6"/>
      <c r="AM81" s="621">
        <f t="shared" ref="AM81:BE81" ca="1" si="191">IFERROR(INDEX(INDIRECT($C81&amp;".Outputs["&amp;this.Year&amp;"]"), MATCH(AM$5, INDIRECT($C81&amp;".Outputs[Vector]"), 0)), 0)</f>
        <v>0</v>
      </c>
      <c r="AN81" s="621">
        <f t="shared" ca="1" si="191"/>
        <v>0</v>
      </c>
      <c r="AO81" s="621">
        <f t="shared" ca="1" si="191"/>
        <v>0</v>
      </c>
      <c r="AP81" s="621">
        <f t="shared" ca="1" si="191"/>
        <v>0</v>
      </c>
      <c r="AQ81" s="621">
        <f t="shared" ca="1" si="191"/>
        <v>0</v>
      </c>
      <c r="AR81" s="621">
        <f t="shared" ca="1" si="191"/>
        <v>0</v>
      </c>
      <c r="AS81" s="621">
        <f t="shared" ca="1" si="191"/>
        <v>0</v>
      </c>
      <c r="AT81" s="621">
        <f t="shared" ca="1" si="191"/>
        <v>0</v>
      </c>
      <c r="AU81" s="621">
        <f t="shared" ca="1" si="191"/>
        <v>0</v>
      </c>
      <c r="AV81" s="621">
        <f t="shared" ca="1" si="191"/>
        <v>0</v>
      </c>
      <c r="AW81" s="621">
        <f t="shared" ca="1" si="191"/>
        <v>0</v>
      </c>
      <c r="AX81" s="621">
        <f t="shared" ca="1" si="191"/>
        <v>0</v>
      </c>
      <c r="AY81" s="621">
        <f t="shared" ca="1" si="191"/>
        <v>0</v>
      </c>
      <c r="AZ81" s="621">
        <f t="shared" ca="1" si="191"/>
        <v>0</v>
      </c>
      <c r="BA81" s="621">
        <f t="shared" ca="1" si="191"/>
        <v>0</v>
      </c>
      <c r="BB81" s="621">
        <f t="shared" ca="1" si="191"/>
        <v>0</v>
      </c>
      <c r="BC81" s="621">
        <f t="shared" ca="1" si="191"/>
        <v>0</v>
      </c>
      <c r="BD81" s="621">
        <f t="shared" ca="1" si="191"/>
        <v>0</v>
      </c>
      <c r="BE81" s="621">
        <f t="shared" ca="1" si="191"/>
        <v>0</v>
      </c>
      <c r="BF81" s="615">
        <f ca="1">SUM(AM81:BE81)</f>
        <v>0</v>
      </c>
      <c r="BG81" s="6"/>
      <c r="BH81" s="3473">
        <f ca="1">IFERROR(INDEX(INDIRECT($C81&amp;".Outputs["&amp;this.Year&amp;"]"), MATCH(BH$5, INDIRECT($C81&amp;".Outputs[Vector]"), 0)), 0)</f>
        <v>25.218139075050768</v>
      </c>
      <c r="BI81" s="3473">
        <f ca="1">IFERROR(INDEX(INDIRECT($C81&amp;".Outputs["&amp;this.Year&amp;"]"), MATCH(BI$5, INDIRECT($C81&amp;".Outputs[Vector]"), 0)), 0)</f>
        <v>0.43923972790999549</v>
      </c>
      <c r="BJ81" s="3462">
        <f ca="1">SUM(BH81:BI81)</f>
        <v>25.657378802960764</v>
      </c>
      <c r="BK81" s="6"/>
      <c r="BL81" s="610">
        <f t="shared" ca="1" si="176"/>
        <v>0</v>
      </c>
      <c r="BM81" s="610"/>
      <c r="BN81" s="413"/>
      <c r="BO81" s="2791">
        <f t="shared" ref="BO81:DF81" ca="1" si="192">IFERROR(SUMIFS(INDIRECT($C81&amp;".Emissions["&amp;this.Year&amp;"]"), INDIRECT($C81&amp;".Emissions[GHG]"), BO$6, INDIRECT($C81&amp;".Emissions[IPCC Sector]"), BO$5),0)</f>
        <v>12.213168093798341</v>
      </c>
      <c r="BP81" s="2792">
        <f t="shared" ca="1" si="192"/>
        <v>3.0166592230689159E-3</v>
      </c>
      <c r="BQ81" s="2792">
        <f t="shared" ca="1" si="192"/>
        <v>9.0557925088645852E-2</v>
      </c>
      <c r="BR81" s="2792">
        <f t="shared" ca="1" si="192"/>
        <v>0</v>
      </c>
      <c r="BS81" s="2792">
        <f t="shared" ca="1" si="192"/>
        <v>0</v>
      </c>
      <c r="BT81" s="2792">
        <f t="shared" ca="1" si="192"/>
        <v>0</v>
      </c>
      <c r="BU81" s="2792">
        <f t="shared" ca="1" si="192"/>
        <v>0</v>
      </c>
      <c r="BV81" s="2792">
        <f t="shared" ca="1" si="192"/>
        <v>0</v>
      </c>
      <c r="BW81" s="2792">
        <f t="shared" ca="1" si="192"/>
        <v>0</v>
      </c>
      <c r="BX81" s="2792">
        <f t="shared" ca="1" si="192"/>
        <v>0</v>
      </c>
      <c r="BY81" s="2792">
        <f t="shared" ca="1" si="192"/>
        <v>0</v>
      </c>
      <c r="BZ81" s="2792">
        <f t="shared" ca="1" si="192"/>
        <v>0</v>
      </c>
      <c r="CA81" s="2792">
        <f t="shared" ca="1" si="192"/>
        <v>0</v>
      </c>
      <c r="CB81" s="2792">
        <f t="shared" ca="1" si="192"/>
        <v>0</v>
      </c>
      <c r="CC81" s="2792">
        <f t="shared" ca="1" si="192"/>
        <v>0</v>
      </c>
      <c r="CD81" s="2792">
        <f t="shared" ca="1" si="192"/>
        <v>0</v>
      </c>
      <c r="CE81" s="2792">
        <f t="shared" ca="1" si="192"/>
        <v>0</v>
      </c>
      <c r="CF81" s="2792">
        <f t="shared" ca="1" si="192"/>
        <v>0</v>
      </c>
      <c r="CG81" s="2792">
        <f t="shared" ca="1" si="192"/>
        <v>0</v>
      </c>
      <c r="CH81" s="2792">
        <f t="shared" ca="1" si="192"/>
        <v>0</v>
      </c>
      <c r="CI81" s="2792">
        <f t="shared" ca="1" si="192"/>
        <v>0</v>
      </c>
      <c r="CJ81" s="2792">
        <f t="shared" ca="1" si="192"/>
        <v>0</v>
      </c>
      <c r="CK81" s="2792">
        <f t="shared" ca="1" si="192"/>
        <v>0</v>
      </c>
      <c r="CL81" s="2792">
        <f t="shared" ca="1" si="192"/>
        <v>0</v>
      </c>
      <c r="CM81" s="2792">
        <f t="shared" ca="1" si="192"/>
        <v>0</v>
      </c>
      <c r="CN81" s="2792">
        <f t="shared" ca="1" si="192"/>
        <v>0</v>
      </c>
      <c r="CO81" s="2792">
        <f t="shared" ca="1" si="192"/>
        <v>0</v>
      </c>
      <c r="CP81" s="2792">
        <f t="shared" ca="1" si="192"/>
        <v>0</v>
      </c>
      <c r="CQ81" s="2792">
        <f t="shared" ca="1" si="192"/>
        <v>0</v>
      </c>
      <c r="CR81" s="2792">
        <f t="shared" ca="1" si="192"/>
        <v>0</v>
      </c>
      <c r="CS81" s="2792">
        <f t="shared" ca="1" si="192"/>
        <v>0</v>
      </c>
      <c r="CT81" s="2792">
        <f t="shared" ca="1" si="192"/>
        <v>0</v>
      </c>
      <c r="CU81" s="2792">
        <f t="shared" ca="1" si="192"/>
        <v>0</v>
      </c>
      <c r="CV81" s="2792">
        <f t="shared" ca="1" si="192"/>
        <v>0</v>
      </c>
      <c r="CW81" s="2792">
        <f t="shared" ca="1" si="192"/>
        <v>0</v>
      </c>
      <c r="CX81" s="2792">
        <f t="shared" ca="1" si="192"/>
        <v>0</v>
      </c>
      <c r="CY81" s="2792">
        <f t="shared" ca="1" si="192"/>
        <v>0</v>
      </c>
      <c r="CZ81" s="2792">
        <f t="shared" ca="1" si="192"/>
        <v>0</v>
      </c>
      <c r="DA81" s="2792">
        <f t="shared" ca="1" si="192"/>
        <v>0</v>
      </c>
      <c r="DB81" s="2792">
        <f t="shared" ca="1" si="192"/>
        <v>0</v>
      </c>
      <c r="DC81" s="2792">
        <f t="shared" ca="1" si="192"/>
        <v>0</v>
      </c>
      <c r="DD81" s="2792">
        <f t="shared" ca="1" si="192"/>
        <v>0</v>
      </c>
      <c r="DE81" s="2792">
        <f t="shared" ca="1" si="192"/>
        <v>0</v>
      </c>
      <c r="DF81" s="2792">
        <f t="shared" ca="1" si="192"/>
        <v>0</v>
      </c>
      <c r="DH81" s="596">
        <f t="shared" ca="1" si="113"/>
        <v>12.306742678110057</v>
      </c>
    </row>
    <row r="82" spans="1:112" s="6" customFormat="1" ht="15.75">
      <c r="A82" s="4"/>
      <c r="B82" s="3"/>
      <c r="C82" s="616" t="s">
        <v>558</v>
      </c>
      <c r="D82" s="617" t="s">
        <v>559</v>
      </c>
      <c r="E82" s="206"/>
      <c r="G82" s="618">
        <f t="shared" ref="G82:P82" ca="1" si="193">G79+G81</f>
        <v>0</v>
      </c>
      <c r="H82" s="618">
        <f t="shared" ca="1" si="193"/>
        <v>0</v>
      </c>
      <c r="I82" s="618">
        <f t="shared" ca="1" si="193"/>
        <v>0</v>
      </c>
      <c r="J82" s="618">
        <f t="shared" ca="1" si="193"/>
        <v>0</v>
      </c>
      <c r="K82" s="618">
        <f t="shared" ca="1" si="193"/>
        <v>0</v>
      </c>
      <c r="L82" s="618">
        <f t="shared" ca="1" si="193"/>
        <v>0</v>
      </c>
      <c r="M82" s="618">
        <f t="shared" ca="1" si="193"/>
        <v>0</v>
      </c>
      <c r="N82" s="618">
        <f t="shared" ca="1" si="193"/>
        <v>0</v>
      </c>
      <c r="O82" s="618">
        <f t="shared" ca="1" si="193"/>
        <v>0</v>
      </c>
      <c r="P82" s="618">
        <f t="shared" ca="1" si="193"/>
        <v>0</v>
      </c>
      <c r="Q82" s="618">
        <f ca="1">SUM(G82:P82)</f>
        <v>0</v>
      </c>
      <c r="S82" s="581">
        <f t="shared" ref="S82:AJ82" ca="1" si="194">S79+S81</f>
        <v>0</v>
      </c>
      <c r="T82" s="581">
        <f t="shared" ca="1" si="194"/>
        <v>18.970335288333835</v>
      </c>
      <c r="U82" s="581">
        <f t="shared" ca="1" si="194"/>
        <v>-20.542670935872795</v>
      </c>
      <c r="V82" s="581">
        <f t="shared" ca="1" si="194"/>
        <v>0</v>
      </c>
      <c r="W82" s="581">
        <f t="shared" ca="1" si="194"/>
        <v>-24.085043155421804</v>
      </c>
      <c r="X82" s="581">
        <f t="shared" ca="1" si="194"/>
        <v>0</v>
      </c>
      <c r="Y82" s="581">
        <f t="shared" ca="1" si="194"/>
        <v>0</v>
      </c>
      <c r="Z82" s="581">
        <f t="shared" ca="1" si="194"/>
        <v>0</v>
      </c>
      <c r="AA82" s="581">
        <f t="shared" ca="1" si="194"/>
        <v>0</v>
      </c>
      <c r="AB82" s="581">
        <f t="shared" ca="1" si="194"/>
        <v>0</v>
      </c>
      <c r="AC82" s="581">
        <f t="shared" ca="1" si="194"/>
        <v>0</v>
      </c>
      <c r="AD82" s="581">
        <f ca="1">AD79+AD81</f>
        <v>0</v>
      </c>
      <c r="AE82" s="581">
        <f ca="1">AE79+AE81</f>
        <v>0</v>
      </c>
      <c r="AF82" s="581">
        <f t="shared" ca="1" si="194"/>
        <v>0</v>
      </c>
      <c r="AG82" s="581">
        <f t="shared" ca="1" si="194"/>
        <v>0</v>
      </c>
      <c r="AH82" s="581">
        <f ca="1">AH79+AH81</f>
        <v>0</v>
      </c>
      <c r="AI82" s="581">
        <f t="shared" ca="1" si="194"/>
        <v>0</v>
      </c>
      <c r="AJ82" s="581">
        <f t="shared" ca="1" si="194"/>
        <v>0</v>
      </c>
      <c r="AK82" s="581">
        <f ca="1">SUM(S82:AJ82)</f>
        <v>-25.657378802960764</v>
      </c>
      <c r="AM82" s="582">
        <f t="shared" ref="AM82:BE82" ca="1" si="195">AM79+AM81</f>
        <v>0</v>
      </c>
      <c r="AN82" s="582">
        <f t="shared" ca="1" si="195"/>
        <v>0</v>
      </c>
      <c r="AO82" s="582">
        <f t="shared" ca="1" si="195"/>
        <v>0</v>
      </c>
      <c r="AP82" s="582">
        <f t="shared" ca="1" si="195"/>
        <v>0</v>
      </c>
      <c r="AQ82" s="582">
        <f t="shared" ca="1" si="195"/>
        <v>0</v>
      </c>
      <c r="AR82" s="582">
        <f t="shared" ca="1" si="195"/>
        <v>0</v>
      </c>
      <c r="AS82" s="582">
        <f t="shared" ca="1" si="195"/>
        <v>0</v>
      </c>
      <c r="AT82" s="582">
        <f t="shared" ca="1" si="195"/>
        <v>0</v>
      </c>
      <c r="AU82" s="582">
        <f t="shared" ca="1" si="195"/>
        <v>0</v>
      </c>
      <c r="AV82" s="582">
        <f t="shared" ca="1" si="195"/>
        <v>0</v>
      </c>
      <c r="AW82" s="582">
        <f t="shared" ca="1" si="195"/>
        <v>0</v>
      </c>
      <c r="AX82" s="582">
        <f t="shared" ca="1" si="195"/>
        <v>0</v>
      </c>
      <c r="AY82" s="582">
        <f t="shared" ca="1" si="195"/>
        <v>0</v>
      </c>
      <c r="AZ82" s="582">
        <f t="shared" ca="1" si="195"/>
        <v>0</v>
      </c>
      <c r="BA82" s="582">
        <f t="shared" ca="1" si="195"/>
        <v>0</v>
      </c>
      <c r="BB82" s="582">
        <f t="shared" ca="1" si="195"/>
        <v>0</v>
      </c>
      <c r="BC82" s="582">
        <f t="shared" ca="1" si="195"/>
        <v>0</v>
      </c>
      <c r="BD82" s="582">
        <f t="shared" ca="1" si="195"/>
        <v>0</v>
      </c>
      <c r="BE82" s="582">
        <f t="shared" ca="1" si="195"/>
        <v>0</v>
      </c>
      <c r="BF82" s="582">
        <f ca="1">SUM(AM82:BE82)</f>
        <v>0</v>
      </c>
      <c r="BH82" s="3463">
        <f ca="1">BH79+BH81</f>
        <v>25.218139075050768</v>
      </c>
      <c r="BI82" s="3463">
        <f ca="1">BI79+BI81</f>
        <v>0.43923972790999549</v>
      </c>
      <c r="BJ82" s="3463">
        <f ca="1">SUM(BH82:BI82)</f>
        <v>25.657378802960764</v>
      </c>
      <c r="BL82" s="3477">
        <f t="shared" ca="1" si="176"/>
        <v>0</v>
      </c>
      <c r="BM82" s="584"/>
      <c r="BN82" s="413"/>
      <c r="BO82" s="2790">
        <f t="shared" ref="BO82:DF82" ca="1" si="196">BO79+BO81</f>
        <v>12.213168093798341</v>
      </c>
      <c r="BP82" s="2790">
        <f t="shared" ca="1" si="196"/>
        <v>3.0166592230689159E-3</v>
      </c>
      <c r="BQ82" s="2790">
        <f t="shared" ca="1" si="196"/>
        <v>9.0557925088645852E-2</v>
      </c>
      <c r="BR82" s="2790">
        <f t="shared" ca="1" si="196"/>
        <v>0</v>
      </c>
      <c r="BS82" s="2790">
        <f t="shared" ca="1" si="196"/>
        <v>0</v>
      </c>
      <c r="BT82" s="2790">
        <f t="shared" ca="1" si="196"/>
        <v>0</v>
      </c>
      <c r="BU82" s="2790">
        <f t="shared" ca="1" si="196"/>
        <v>0</v>
      </c>
      <c r="BV82" s="2790">
        <f t="shared" ca="1" si="196"/>
        <v>0</v>
      </c>
      <c r="BW82" s="2790">
        <f t="shared" ca="1" si="196"/>
        <v>0</v>
      </c>
      <c r="BX82" s="2790">
        <f t="shared" ca="1" si="196"/>
        <v>0</v>
      </c>
      <c r="BY82" s="2790">
        <f t="shared" ca="1" si="196"/>
        <v>0</v>
      </c>
      <c r="BZ82" s="2790">
        <f t="shared" ca="1" si="196"/>
        <v>0</v>
      </c>
      <c r="CA82" s="2790">
        <f t="shared" ca="1" si="196"/>
        <v>0</v>
      </c>
      <c r="CB82" s="2790">
        <f t="shared" ca="1" si="196"/>
        <v>0</v>
      </c>
      <c r="CC82" s="2790">
        <f t="shared" ca="1" si="196"/>
        <v>0</v>
      </c>
      <c r="CD82" s="2790">
        <f t="shared" ca="1" si="196"/>
        <v>0</v>
      </c>
      <c r="CE82" s="2790">
        <f t="shared" ca="1" si="196"/>
        <v>0</v>
      </c>
      <c r="CF82" s="2790">
        <f t="shared" ca="1" si="196"/>
        <v>0</v>
      </c>
      <c r="CG82" s="2790">
        <f t="shared" ca="1" si="196"/>
        <v>0</v>
      </c>
      <c r="CH82" s="2790">
        <f t="shared" ca="1" si="196"/>
        <v>0</v>
      </c>
      <c r="CI82" s="2790">
        <f t="shared" ca="1" si="196"/>
        <v>0</v>
      </c>
      <c r="CJ82" s="2790">
        <f t="shared" ca="1" si="196"/>
        <v>0</v>
      </c>
      <c r="CK82" s="2790">
        <f t="shared" ca="1" si="196"/>
        <v>0</v>
      </c>
      <c r="CL82" s="2790">
        <f t="shared" ca="1" si="196"/>
        <v>0</v>
      </c>
      <c r="CM82" s="2790">
        <f t="shared" ca="1" si="196"/>
        <v>0</v>
      </c>
      <c r="CN82" s="2790">
        <f t="shared" ca="1" si="196"/>
        <v>0</v>
      </c>
      <c r="CO82" s="2790">
        <f t="shared" ca="1" si="196"/>
        <v>0</v>
      </c>
      <c r="CP82" s="2790">
        <f t="shared" ca="1" si="196"/>
        <v>0</v>
      </c>
      <c r="CQ82" s="2790">
        <f t="shared" ca="1" si="196"/>
        <v>0</v>
      </c>
      <c r="CR82" s="2790">
        <f t="shared" ca="1" si="196"/>
        <v>0</v>
      </c>
      <c r="CS82" s="2790">
        <f t="shared" ca="1" si="196"/>
        <v>0</v>
      </c>
      <c r="CT82" s="2790">
        <f t="shared" ca="1" si="196"/>
        <v>0</v>
      </c>
      <c r="CU82" s="2790">
        <f t="shared" ca="1" si="196"/>
        <v>0</v>
      </c>
      <c r="CV82" s="2790">
        <f t="shared" ca="1" si="196"/>
        <v>0</v>
      </c>
      <c r="CW82" s="2790">
        <f t="shared" ca="1" si="196"/>
        <v>0</v>
      </c>
      <c r="CX82" s="2790">
        <f t="shared" ca="1" si="196"/>
        <v>0</v>
      </c>
      <c r="CY82" s="2790">
        <f t="shared" ca="1" si="196"/>
        <v>0</v>
      </c>
      <c r="CZ82" s="2790">
        <f t="shared" ca="1" si="196"/>
        <v>0</v>
      </c>
      <c r="DA82" s="2790">
        <f t="shared" ca="1" si="196"/>
        <v>0</v>
      </c>
      <c r="DB82" s="2790">
        <f t="shared" ca="1" si="196"/>
        <v>0</v>
      </c>
      <c r="DC82" s="2790">
        <f t="shared" ca="1" si="196"/>
        <v>0</v>
      </c>
      <c r="DD82" s="2790">
        <f t="shared" ca="1" si="196"/>
        <v>0</v>
      </c>
      <c r="DE82" s="2790">
        <f t="shared" ca="1" si="196"/>
        <v>0</v>
      </c>
      <c r="DF82" s="2790">
        <f t="shared" ca="1" si="196"/>
        <v>0</v>
      </c>
      <c r="DH82" s="596">
        <f t="shared" ca="1" si="113"/>
        <v>12.306742678110057</v>
      </c>
    </row>
    <row r="83" spans="1:112" s="6" customForma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76"/>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197">G$51+G$55+G$63+G$68+G$72+G$76+G$82+G$46</f>
        <v>0</v>
      </c>
      <c r="H84" s="680">
        <f t="shared" ca="1" si="197"/>
        <v>2.1095706387860517E-2</v>
      </c>
      <c r="I84" s="680">
        <f t="shared" ca="1" si="197"/>
        <v>2.8013011586745864</v>
      </c>
      <c r="J84" s="680">
        <f t="shared" ca="1" si="197"/>
        <v>0</v>
      </c>
      <c r="K84" s="681">
        <f t="shared" ca="1" si="197"/>
        <v>0</v>
      </c>
      <c r="L84" s="680">
        <f t="shared" ca="1" si="197"/>
        <v>0</v>
      </c>
      <c r="M84" s="680">
        <f t="shared" ca="1" si="197"/>
        <v>0</v>
      </c>
      <c r="N84" s="680">
        <f t="shared" ca="1" si="197"/>
        <v>0</v>
      </c>
      <c r="O84" s="680">
        <f t="shared" ca="1" si="197"/>
        <v>0</v>
      </c>
      <c r="P84" s="680">
        <f t="shared" ca="1" si="197"/>
        <v>0</v>
      </c>
      <c r="Q84" s="633">
        <f ca="1">SUM(G84:P84)</f>
        <v>2.8223968650624469</v>
      </c>
      <c r="S84" s="634">
        <f t="shared" ref="S84:AJ84" ca="1" si="198">S$51+S$55+S$63+S$68+S$72+S$76+S$82+S$46</f>
        <v>-0.85400410587311471</v>
      </c>
      <c r="T84" s="634">
        <f t="shared" ca="1" si="198"/>
        <v>25.335674777844829</v>
      </c>
      <c r="U84" s="634">
        <f t="shared" ca="1" si="198"/>
        <v>-20.545185872545495</v>
      </c>
      <c r="V84" s="634">
        <f t="shared" ca="1" si="198"/>
        <v>-3.9235059058731863</v>
      </c>
      <c r="W84" s="634">
        <f t="shared" ca="1" si="198"/>
        <v>-24.288241197914598</v>
      </c>
      <c r="X84" s="634">
        <f t="shared" ca="1" si="198"/>
        <v>7.0656879999999997</v>
      </c>
      <c r="Y84" s="634">
        <f t="shared" ca="1" si="198"/>
        <v>0</v>
      </c>
      <c r="Z84" s="634">
        <f t="shared" ca="1" si="198"/>
        <v>1.7555282514130199</v>
      </c>
      <c r="AA84" s="634">
        <f t="shared" ca="1" si="198"/>
        <v>0</v>
      </c>
      <c r="AB84" s="634">
        <f t="shared" ca="1" si="198"/>
        <v>0</v>
      </c>
      <c r="AC84" s="634">
        <f t="shared" ca="1" si="198"/>
        <v>0</v>
      </c>
      <c r="AD84" s="634">
        <f t="shared" ca="1" si="198"/>
        <v>2.9254922797006762</v>
      </c>
      <c r="AE84" s="634">
        <f t="shared" ca="1" si="198"/>
        <v>0.17750982181293876</v>
      </c>
      <c r="AF84" s="634">
        <f t="shared" ca="1" si="198"/>
        <v>1.0742385181146412</v>
      </c>
      <c r="AG84" s="634">
        <f t="shared" ca="1" si="198"/>
        <v>0.30315030492522765</v>
      </c>
      <c r="AH84" s="634">
        <f t="shared" ca="1" si="198"/>
        <v>0.13447853364046278</v>
      </c>
      <c r="AI84" s="634">
        <f t="shared" ca="1" si="198"/>
        <v>0.29533988943004724</v>
      </c>
      <c r="AJ84" s="634">
        <f t="shared" ca="1" si="198"/>
        <v>1.0526549418152516E-4</v>
      </c>
      <c r="AK84" s="634">
        <f ca="1">SUM(S84:AJ84)</f>
        <v>-10.543731439830372</v>
      </c>
      <c r="AM84" s="635">
        <f t="shared" ref="AM84:BE84" ca="1" si="199">AM$51+AM$55+AM$63+AM$68+AM$72+AM$76+AM$82+AM$46</f>
        <v>-7</v>
      </c>
      <c r="AN84" s="635">
        <f t="shared" ca="1" si="199"/>
        <v>0</v>
      </c>
      <c r="AO84" s="635">
        <f t="shared" ca="1" si="199"/>
        <v>-1.7555282514130199</v>
      </c>
      <c r="AP84" s="635">
        <f t="shared" ca="1" si="199"/>
        <v>0</v>
      </c>
      <c r="AQ84" s="635">
        <f t="shared" ca="1" si="199"/>
        <v>0</v>
      </c>
      <c r="AR84" s="635">
        <f t="shared" ca="1" si="199"/>
        <v>0</v>
      </c>
      <c r="AS84" s="635">
        <f t="shared" ca="1" si="199"/>
        <v>0</v>
      </c>
      <c r="AT84" s="635">
        <f t="shared" ca="1" si="199"/>
        <v>0</v>
      </c>
      <c r="AU84" s="635">
        <f t="shared" ca="1" si="199"/>
        <v>0</v>
      </c>
      <c r="AV84" s="635">
        <f t="shared" ca="1" si="199"/>
        <v>0</v>
      </c>
      <c r="AW84" s="635">
        <f t="shared" ca="1" si="199"/>
        <v>-0.29533988943004724</v>
      </c>
      <c r="AX84" s="635">
        <f t="shared" ca="1" si="199"/>
        <v>-5.6172527999999993</v>
      </c>
      <c r="AY84" s="635">
        <f t="shared" ca="1" si="199"/>
        <v>0</v>
      </c>
      <c r="AZ84" s="635">
        <f t="shared" ca="1" si="199"/>
        <v>-3.9627123287671231E-3</v>
      </c>
      <c r="BA84" s="635">
        <f t="shared" ca="1" si="199"/>
        <v>0</v>
      </c>
      <c r="BB84" s="635">
        <f t="shared" ca="1" si="199"/>
        <v>-0.74791511999999993</v>
      </c>
      <c r="BC84" s="635">
        <f t="shared" ca="1" si="199"/>
        <v>0</v>
      </c>
      <c r="BD84" s="635">
        <f t="shared" ca="1" si="199"/>
        <v>-3.1030021015136149</v>
      </c>
      <c r="BE84" s="635">
        <f t="shared" ca="1" si="199"/>
        <v>-1.5775553566803318</v>
      </c>
      <c r="BF84" s="635">
        <f ca="1">SUM(AM84:BE84)</f>
        <v>-20.100556231365783</v>
      </c>
      <c r="BH84" s="3464">
        <f ca="1">BH$51+BH$55+BH$63+BH$68+BH$72+BH$76+BH$82+BH$46</f>
        <v>25.195437206838093</v>
      </c>
      <c r="BI84" s="3464">
        <f ca="1">BI$51+BI$55+BI$63+BI$68+BI$72+BI$76+BI$82+BI$46</f>
        <v>2.6264535992956102</v>
      </c>
      <c r="BJ84" s="3464">
        <f ca="1">SUM(BH84:BI84)</f>
        <v>27.821890806133702</v>
      </c>
      <c r="BL84" s="3478">
        <f t="shared" ca="1" si="176"/>
        <v>0</v>
      </c>
      <c r="BM84" s="636"/>
      <c r="BO84" s="2793">
        <f t="shared" ref="BO84:DE84" ca="1" si="200">BO$51+BO$55+BO$63+BO$68+BO$72+BO$76+BO$82+BO$46</f>
        <v>13.289053452080136</v>
      </c>
      <c r="BP84" s="2793">
        <f t="shared" ca="1" si="200"/>
        <v>3.9214850054006484E-3</v>
      </c>
      <c r="BQ84" s="2793">
        <f t="shared" ca="1" si="200"/>
        <v>9.3826161974115918E-2</v>
      </c>
      <c r="BR84" s="2793">
        <f t="shared" ca="1" si="200"/>
        <v>0</v>
      </c>
      <c r="BS84" s="2793">
        <f t="shared" ca="1" si="200"/>
        <v>0</v>
      </c>
      <c r="BT84" s="2793">
        <f t="shared" ca="1" si="200"/>
        <v>0</v>
      </c>
      <c r="BU84" s="2793">
        <f t="shared" ca="1" si="200"/>
        <v>0</v>
      </c>
      <c r="BV84" s="2793">
        <f t="shared" ca="1" si="200"/>
        <v>0</v>
      </c>
      <c r="BW84" s="2793">
        <f t="shared" ca="1" si="200"/>
        <v>0</v>
      </c>
      <c r="BX84" s="2793">
        <f t="shared" ca="1" si="200"/>
        <v>0</v>
      </c>
      <c r="BY84" s="2793">
        <f t="shared" ca="1" si="200"/>
        <v>0</v>
      </c>
      <c r="BZ84" s="2793">
        <f t="shared" ca="1" si="200"/>
        <v>0</v>
      </c>
      <c r="CA84" s="2793">
        <f t="shared" ca="1" si="200"/>
        <v>0</v>
      </c>
      <c r="CB84" s="2793">
        <f t="shared" ca="1" si="200"/>
        <v>0</v>
      </c>
      <c r="CC84" s="2793">
        <f t="shared" ca="1" si="200"/>
        <v>0</v>
      </c>
      <c r="CD84" s="2793">
        <f t="shared" ca="1" si="200"/>
        <v>0</v>
      </c>
      <c r="CE84" s="2793">
        <f t="shared" ca="1" si="200"/>
        <v>0</v>
      </c>
      <c r="CF84" s="2793">
        <f t="shared" ca="1" si="200"/>
        <v>10.863520072055604</v>
      </c>
      <c r="CG84" s="2793">
        <f t="shared" ca="1" si="200"/>
        <v>6.3677882193084141</v>
      </c>
      <c r="CH84" s="2793">
        <f t="shared" ca="1" si="200"/>
        <v>0</v>
      </c>
      <c r="CI84" s="2793">
        <f t="shared" ca="1" si="200"/>
        <v>-2.0419537671878891</v>
      </c>
      <c r="CJ84" s="2793">
        <f t="shared" ca="1" si="200"/>
        <v>0</v>
      </c>
      <c r="CK84" s="2793">
        <f t="shared" ca="1" si="200"/>
        <v>0</v>
      </c>
      <c r="CL84" s="2793">
        <f t="shared" ca="1" si="200"/>
        <v>0</v>
      </c>
      <c r="CM84" s="2793">
        <f t="shared" ca="1" si="200"/>
        <v>0</v>
      </c>
      <c r="CN84" s="2793">
        <f t="shared" ca="1" si="200"/>
        <v>0.78153920634289342</v>
      </c>
      <c r="CO84" s="2793">
        <f t="shared" ca="1" si="200"/>
        <v>5.4813037500000002E-2</v>
      </c>
      <c r="CP84" s="2793">
        <f t="shared" ca="1" si="200"/>
        <v>0</v>
      </c>
      <c r="CQ84" s="2793">
        <f t="shared" ca="1" si="200"/>
        <v>0</v>
      </c>
      <c r="CR84" s="2793">
        <f t="shared" ca="1" si="200"/>
        <v>0</v>
      </c>
      <c r="CS84" s="2793">
        <f t="shared" ca="1" si="200"/>
        <v>0</v>
      </c>
      <c r="CT84" s="2793">
        <f t="shared" ca="1" si="200"/>
        <v>0</v>
      </c>
      <c r="CU84" s="2793">
        <f t="shared" ca="1" si="200"/>
        <v>0</v>
      </c>
      <c r="CV84" s="2793">
        <f t="shared" ca="1" si="200"/>
        <v>0</v>
      </c>
      <c r="CW84" s="2793">
        <f t="shared" ca="1" si="200"/>
        <v>0</v>
      </c>
      <c r="CX84" s="2793">
        <f t="shared" ca="1" si="200"/>
        <v>0</v>
      </c>
      <c r="CY84" s="2793">
        <f t="shared" ca="1" si="200"/>
        <v>0</v>
      </c>
      <c r="CZ84" s="2793">
        <f t="shared" ca="1" si="200"/>
        <v>0</v>
      </c>
      <c r="DA84" s="2793">
        <f t="shared" ca="1" si="200"/>
        <v>0</v>
      </c>
      <c r="DB84" s="2793">
        <f t="shared" ca="1" si="200"/>
        <v>0</v>
      </c>
      <c r="DC84" s="2793">
        <f t="shared" ca="1" si="200"/>
        <v>0</v>
      </c>
      <c r="DD84" s="2793">
        <f t="shared" ca="1" si="200"/>
        <v>0</v>
      </c>
      <c r="DE84" s="2793">
        <f t="shared" ca="1" si="200"/>
        <v>0</v>
      </c>
      <c r="DF84" s="2793">
        <f ca="1">DF$51+DF$99+DF$55+DF$63+DF$68+DF$76+DF$82+DF$46</f>
        <v>0</v>
      </c>
      <c r="DH84" s="637">
        <f ca="1">SUM(BO84:DF84)</f>
        <v>29.412507867078677</v>
      </c>
    </row>
    <row r="85" spans="1:112" s="6" customForma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76"/>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15.75">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76"/>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76"/>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c r="C89" s="651" t="s">
        <v>563</v>
      </c>
      <c r="D89" s="588" t="s">
        <v>564</v>
      </c>
      <c r="E89" s="588"/>
      <c r="F89" s="6"/>
      <c r="G89" s="589">
        <f t="shared" ref="G89:P89" ca="1" si="201">IFERROR(INDEX(INDIRECT($C89&amp;".Outputs["&amp;this.Year&amp;"]"), MATCH(G$5, INDIRECT($C89&amp;".Outputs[Vector]"), 0)), 0)</f>
        <v>0</v>
      </c>
      <c r="H89" s="589">
        <f t="shared" ca="1" si="201"/>
        <v>0</v>
      </c>
      <c r="I89" s="589">
        <f t="shared" ca="1" si="201"/>
        <v>0</v>
      </c>
      <c r="J89" s="589">
        <f t="shared" ca="1" si="201"/>
        <v>0</v>
      </c>
      <c r="K89" s="589">
        <f t="shared" ca="1" si="201"/>
        <v>0</v>
      </c>
      <c r="L89" s="589">
        <f t="shared" ca="1" si="201"/>
        <v>0</v>
      </c>
      <c r="M89" s="589">
        <f t="shared" ca="1" si="201"/>
        <v>0</v>
      </c>
      <c r="N89" s="589">
        <f t="shared" ca="1" si="201"/>
        <v>0</v>
      </c>
      <c r="O89" s="589">
        <f t="shared" ca="1" si="201"/>
        <v>0</v>
      </c>
      <c r="P89" s="589">
        <f t="shared" ca="1" si="201"/>
        <v>0</v>
      </c>
      <c r="Q89" s="590">
        <f ca="1">SUM(G89:P89)</f>
        <v>0</v>
      </c>
      <c r="R89" s="6"/>
      <c r="S89" s="591">
        <f t="shared" ref="S89:AJ89" ca="1" si="202">IFERROR(INDEX(INDIRECT($C89&amp;".Outputs["&amp;this.Year&amp;"]"), MATCH(S$5, INDIRECT($C89&amp;".Outputs[Vector]"), 0)), 0)</f>
        <v>0</v>
      </c>
      <c r="T89" s="591">
        <f t="shared" ca="1" si="202"/>
        <v>2.5</v>
      </c>
      <c r="U89" s="591">
        <f t="shared" ca="1" si="202"/>
        <v>0</v>
      </c>
      <c r="V89" s="591">
        <f t="shared" ca="1" si="202"/>
        <v>0</v>
      </c>
      <c r="W89" s="591">
        <f t="shared" ca="1" si="202"/>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02"/>
        <v>0</v>
      </c>
      <c r="AB89" s="591">
        <f t="shared" ca="1" si="202"/>
        <v>0</v>
      </c>
      <c r="AC89" s="591">
        <f t="shared" ca="1" si="202"/>
        <v>0</v>
      </c>
      <c r="AD89" s="591">
        <f t="shared" ca="1" si="202"/>
        <v>0</v>
      </c>
      <c r="AE89" s="591">
        <f t="shared" ca="1" si="202"/>
        <v>0</v>
      </c>
      <c r="AF89" s="591">
        <f t="shared" ca="1" si="202"/>
        <v>0</v>
      </c>
      <c r="AG89" s="591">
        <f t="shared" ca="1" si="202"/>
        <v>0</v>
      </c>
      <c r="AH89" s="591">
        <f t="shared" ca="1" si="202"/>
        <v>0</v>
      </c>
      <c r="AI89" s="591">
        <f t="shared" ca="1" si="202"/>
        <v>0</v>
      </c>
      <c r="AJ89" s="591">
        <f t="shared" ca="1" si="202"/>
        <v>0</v>
      </c>
      <c r="AK89" s="592">
        <f ca="1">SUM(S89:AJ89)</f>
        <v>2.5</v>
      </c>
      <c r="AL89" s="6"/>
      <c r="AM89" s="593">
        <f t="shared" ref="AM89:BE89" ca="1" si="203">IFERROR(INDEX(INDIRECT($C89&amp;".Outputs["&amp;this.Year&amp;"]"), MATCH(AM$5, INDIRECT($C89&amp;".Outputs[Vector]"), 0)), 0)</f>
        <v>0</v>
      </c>
      <c r="AN89" s="593">
        <f t="shared" ca="1" si="203"/>
        <v>0</v>
      </c>
      <c r="AO89" s="593">
        <f t="shared" ca="1" si="203"/>
        <v>0</v>
      </c>
      <c r="AP89" s="593">
        <f t="shared" ca="1" si="203"/>
        <v>0</v>
      </c>
      <c r="AQ89" s="593">
        <f t="shared" ca="1" si="203"/>
        <v>-2.5</v>
      </c>
      <c r="AR89" s="593">
        <f t="shared" ca="1" si="203"/>
        <v>0</v>
      </c>
      <c r="AS89" s="593">
        <f t="shared" ca="1" si="203"/>
        <v>0</v>
      </c>
      <c r="AT89" s="593">
        <f t="shared" ca="1" si="203"/>
        <v>0</v>
      </c>
      <c r="AU89" s="593">
        <f t="shared" ca="1" si="203"/>
        <v>0</v>
      </c>
      <c r="AV89" s="593">
        <f t="shared" ca="1" si="203"/>
        <v>0</v>
      </c>
      <c r="AW89" s="593">
        <f t="shared" ca="1" si="203"/>
        <v>0</v>
      </c>
      <c r="AX89" s="593">
        <f t="shared" ca="1" si="203"/>
        <v>0</v>
      </c>
      <c r="AY89" s="593">
        <f t="shared" ca="1" si="203"/>
        <v>0</v>
      </c>
      <c r="AZ89" s="593">
        <f t="shared" ca="1" si="203"/>
        <v>0</v>
      </c>
      <c r="BA89" s="593">
        <f t="shared" ca="1" si="203"/>
        <v>0</v>
      </c>
      <c r="BB89" s="593">
        <f t="shared" ca="1" si="203"/>
        <v>0</v>
      </c>
      <c r="BC89" s="593">
        <f t="shared" ca="1" si="203"/>
        <v>0</v>
      </c>
      <c r="BD89" s="593">
        <f t="shared" ca="1" si="203"/>
        <v>0</v>
      </c>
      <c r="BE89" s="593">
        <f t="shared" ca="1" si="203"/>
        <v>0</v>
      </c>
      <c r="BF89" s="609">
        <f ca="1">SUM(AM89:BE89)</f>
        <v>-2.5</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04">Q89+AK89+BF89+BJ89</f>
        <v>0</v>
      </c>
      <c r="BM89" s="610"/>
      <c r="BO89" s="2789">
        <f t="shared" ref="BO89:DF89" ca="1" si="205">IFERROR(SUMIFS(INDIRECT($C89&amp;".Emissions["&amp;this.Year&amp;"]"), INDIRECT($C89&amp;".Emissions[GHG]"), BO$6, INDIRECT($C89&amp;".Emissions[IPCC Sector]"), BO$5),0)</f>
        <v>0</v>
      </c>
      <c r="BP89" s="2790">
        <f t="shared" ca="1" si="205"/>
        <v>0</v>
      </c>
      <c r="BQ89" s="2790">
        <f t="shared" ca="1" si="205"/>
        <v>0</v>
      </c>
      <c r="BR89" s="2790">
        <f t="shared" ca="1" si="205"/>
        <v>0</v>
      </c>
      <c r="BS89" s="2790">
        <f t="shared" ca="1" si="205"/>
        <v>0</v>
      </c>
      <c r="BT89" s="2790">
        <f t="shared" ca="1" si="205"/>
        <v>0</v>
      </c>
      <c r="BU89" s="2790">
        <f t="shared" ca="1" si="205"/>
        <v>0</v>
      </c>
      <c r="BV89" s="2790">
        <f t="shared" ca="1" si="205"/>
        <v>0</v>
      </c>
      <c r="BW89" s="2790">
        <f t="shared" ca="1" si="205"/>
        <v>0</v>
      </c>
      <c r="BX89" s="2790">
        <f t="shared" ca="1" si="205"/>
        <v>0</v>
      </c>
      <c r="BY89" s="2790">
        <f t="shared" ca="1" si="205"/>
        <v>0</v>
      </c>
      <c r="BZ89" s="2790">
        <f t="shared" ca="1" si="205"/>
        <v>0</v>
      </c>
      <c r="CA89" s="2790">
        <f t="shared" ca="1" si="205"/>
        <v>0</v>
      </c>
      <c r="CB89" s="2790">
        <f t="shared" ca="1" si="205"/>
        <v>0</v>
      </c>
      <c r="CC89" s="2790">
        <f t="shared" ca="1" si="205"/>
        <v>0</v>
      </c>
      <c r="CD89" s="2790">
        <f t="shared" ca="1" si="205"/>
        <v>0</v>
      </c>
      <c r="CE89" s="2790">
        <f t="shared" ca="1" si="205"/>
        <v>0</v>
      </c>
      <c r="CF89" s="2790">
        <f t="shared" ca="1" si="205"/>
        <v>0</v>
      </c>
      <c r="CG89" s="2790">
        <f t="shared" ca="1" si="205"/>
        <v>0</v>
      </c>
      <c r="CH89" s="2790">
        <f t="shared" ca="1" si="205"/>
        <v>0</v>
      </c>
      <c r="CI89" s="2790">
        <f t="shared" ca="1" si="205"/>
        <v>0</v>
      </c>
      <c r="CJ89" s="2790">
        <f t="shared" ca="1" si="205"/>
        <v>0</v>
      </c>
      <c r="CK89" s="2790">
        <f t="shared" ca="1" si="205"/>
        <v>0</v>
      </c>
      <c r="CL89" s="2790">
        <f t="shared" ca="1" si="205"/>
        <v>0</v>
      </c>
      <c r="CM89" s="2790">
        <f t="shared" ca="1" si="205"/>
        <v>0</v>
      </c>
      <c r="CN89" s="2790">
        <f t="shared" ca="1" si="205"/>
        <v>0</v>
      </c>
      <c r="CO89" s="2790">
        <f t="shared" ca="1" si="205"/>
        <v>0</v>
      </c>
      <c r="CP89" s="2790">
        <f t="shared" ca="1" si="205"/>
        <v>0</v>
      </c>
      <c r="CQ89" s="2790">
        <f t="shared" ca="1" si="205"/>
        <v>0</v>
      </c>
      <c r="CR89" s="2790">
        <f t="shared" ca="1" si="205"/>
        <v>0</v>
      </c>
      <c r="CS89" s="2790">
        <f t="shared" ca="1" si="205"/>
        <v>0</v>
      </c>
      <c r="CT89" s="2790">
        <f t="shared" ca="1" si="205"/>
        <v>0</v>
      </c>
      <c r="CU89" s="2790">
        <f t="shared" ca="1" si="205"/>
        <v>0</v>
      </c>
      <c r="CV89" s="2790">
        <f t="shared" ca="1" si="205"/>
        <v>0</v>
      </c>
      <c r="CW89" s="2790">
        <f t="shared" ca="1" si="205"/>
        <v>0</v>
      </c>
      <c r="CX89" s="2790">
        <f t="shared" ca="1" si="205"/>
        <v>0</v>
      </c>
      <c r="CY89" s="2790">
        <f t="shared" ca="1" si="205"/>
        <v>0</v>
      </c>
      <c r="CZ89" s="2790">
        <f t="shared" ca="1" si="205"/>
        <v>0</v>
      </c>
      <c r="DA89" s="2790">
        <f t="shared" ca="1" si="205"/>
        <v>0</v>
      </c>
      <c r="DB89" s="2790">
        <f t="shared" ca="1" si="205"/>
        <v>0</v>
      </c>
      <c r="DC89" s="2790">
        <f t="shared" ca="1" si="205"/>
        <v>0</v>
      </c>
      <c r="DD89" s="2790">
        <f t="shared" ca="1" si="205"/>
        <v>0</v>
      </c>
      <c r="DE89" s="2790">
        <f t="shared" ca="1" si="205"/>
        <v>0</v>
      </c>
      <c r="DF89" s="2790">
        <f t="shared" ca="1" si="205"/>
        <v>0</v>
      </c>
      <c r="DH89" s="596"/>
    </row>
    <row r="90" spans="1:112" s="652" customFormat="1">
      <c r="C90" s="667" t="s">
        <v>565</v>
      </c>
      <c r="D90" s="668" t="s">
        <v>566</v>
      </c>
      <c r="E90" s="668"/>
      <c r="F90" s="6"/>
      <c r="G90" s="643"/>
      <c r="H90" s="643"/>
      <c r="I90" s="643"/>
      <c r="J90" s="643"/>
      <c r="K90" s="644"/>
      <c r="L90" s="643"/>
      <c r="M90" s="643"/>
      <c r="N90" s="643"/>
      <c r="O90" s="643"/>
      <c r="P90" s="643"/>
      <c r="Q90" s="643"/>
      <c r="R90" s="6"/>
      <c r="S90" s="645">
        <f ca="1">S$40+$S46+S$51+S$99+S$55+S$89</f>
        <v>-24.337959285086423</v>
      </c>
      <c r="T90" s="645">
        <f ca="1">T$40+$S46+T$51+T$99+T$55+T$89</f>
        <v>2.4999822668129035</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04"/>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c r="C91" s="651" t="s">
        <v>567</v>
      </c>
      <c r="D91" s="588" t="s">
        <v>568</v>
      </c>
      <c r="E91" s="588"/>
      <c r="F91" s="6"/>
      <c r="G91" s="589">
        <f t="shared" ref="G91:P92" ca="1" si="206">IFERROR(INDEX(INDIRECT($C91&amp;".Outputs["&amp;this.Year&amp;"]"), MATCH(G$5, INDIRECT($C91&amp;".Outputs[Vector]"), 0)), 0)</f>
        <v>0</v>
      </c>
      <c r="H91" s="589">
        <f t="shared" ca="1" si="206"/>
        <v>0</v>
      </c>
      <c r="I91" s="589">
        <f t="shared" ca="1" si="206"/>
        <v>0</v>
      </c>
      <c r="J91" s="589">
        <f t="shared" ca="1" si="206"/>
        <v>0</v>
      </c>
      <c r="K91" s="589">
        <f t="shared" ca="1" si="206"/>
        <v>0</v>
      </c>
      <c r="L91" s="589">
        <f t="shared" ca="1" si="206"/>
        <v>0</v>
      </c>
      <c r="M91" s="589">
        <f t="shared" ca="1" si="206"/>
        <v>0</v>
      </c>
      <c r="N91" s="589">
        <f t="shared" ca="1" si="206"/>
        <v>0</v>
      </c>
      <c r="O91" s="589">
        <f t="shared" ca="1" si="206"/>
        <v>0</v>
      </c>
      <c r="P91" s="589">
        <f t="shared" ca="1" si="206"/>
        <v>0</v>
      </c>
      <c r="Q91" s="590">
        <f ca="1">SUM(G91:P91)</f>
        <v>0</v>
      </c>
      <c r="R91" s="6"/>
      <c r="S91" s="591">
        <f t="shared" ref="S91:AJ92" ca="1" si="207">IFERROR(INDEX(INDIRECT($C91&amp;".Outputs["&amp;this.Year&amp;"]"), MATCH(S$5, INDIRECT($C91&amp;".Outputs[Vector]"), 0)), 0)</f>
        <v>0</v>
      </c>
      <c r="T91" s="591">
        <f t="shared" ca="1" si="207"/>
        <v>-3.476619786370545</v>
      </c>
      <c r="U91" s="591">
        <f t="shared" ca="1" si="207"/>
        <v>0</v>
      </c>
      <c r="V91" s="591">
        <f t="shared" ca="1" si="207"/>
        <v>0</v>
      </c>
      <c r="W91" s="591">
        <f t="shared" ca="1" si="207"/>
        <v>0</v>
      </c>
      <c r="X91" s="591">
        <f t="shared" ca="1" si="207"/>
        <v>0</v>
      </c>
      <c r="Y91" s="591">
        <f t="shared" ca="1" si="207"/>
        <v>0</v>
      </c>
      <c r="Z91" s="591">
        <f t="shared" ca="1" si="207"/>
        <v>0</v>
      </c>
      <c r="AA91" s="591">
        <f t="shared" ca="1" si="207"/>
        <v>0</v>
      </c>
      <c r="AB91" s="591">
        <f t="shared" ca="1" si="207"/>
        <v>0</v>
      </c>
      <c r="AC91" s="591">
        <f t="shared" ca="1" si="207"/>
        <v>0</v>
      </c>
      <c r="AD91" s="591">
        <f t="shared" ca="1" si="207"/>
        <v>0</v>
      </c>
      <c r="AE91" s="591">
        <f t="shared" ca="1" si="207"/>
        <v>0</v>
      </c>
      <c r="AF91" s="591">
        <f t="shared" ca="1" si="207"/>
        <v>0</v>
      </c>
      <c r="AG91" s="591">
        <f t="shared" ca="1" si="207"/>
        <v>0</v>
      </c>
      <c r="AH91" s="591">
        <f t="shared" ca="1" si="207"/>
        <v>0</v>
      </c>
      <c r="AI91" s="591">
        <f t="shared" ca="1" si="207"/>
        <v>0</v>
      </c>
      <c r="AJ91" s="591">
        <f t="shared" ca="1" si="207"/>
        <v>0</v>
      </c>
      <c r="AK91" s="592">
        <f ca="1">SUM(S91:AJ91)</f>
        <v>-3.476619786370545</v>
      </c>
      <c r="AL91" s="6"/>
      <c r="AM91" s="593">
        <f t="shared" ref="AM91:BB92" ca="1" si="208">IFERROR(INDEX(INDIRECT($C91&amp;".Outputs["&amp;this.Year&amp;"]"), MATCH(AM$5, INDIRECT($C91&amp;".Outputs[Vector]"), 0)), 0)</f>
        <v>0</v>
      </c>
      <c r="AN91" s="593">
        <f t="shared" ca="1" si="208"/>
        <v>0</v>
      </c>
      <c r="AO91" s="593">
        <f t="shared" ca="1" si="208"/>
        <v>0</v>
      </c>
      <c r="AP91" s="593">
        <f t="shared" ca="1" si="208"/>
        <v>0</v>
      </c>
      <c r="AQ91" s="593">
        <f t="shared" ca="1" si="208"/>
        <v>0</v>
      </c>
      <c r="AR91" s="593">
        <f t="shared" ca="1" si="208"/>
        <v>0</v>
      </c>
      <c r="AS91" s="593">
        <f t="shared" ca="1" si="208"/>
        <v>0</v>
      </c>
      <c r="AT91" s="593">
        <f t="shared" ca="1" si="208"/>
        <v>0</v>
      </c>
      <c r="AU91" s="593">
        <f t="shared" ca="1" si="208"/>
        <v>0</v>
      </c>
      <c r="AV91" s="593">
        <f t="shared" ca="1" si="208"/>
        <v>0</v>
      </c>
      <c r="AW91" s="593">
        <f t="shared" ca="1" si="208"/>
        <v>0</v>
      </c>
      <c r="AX91" s="593">
        <f t="shared" ca="1" si="208"/>
        <v>0</v>
      </c>
      <c r="AY91" s="593">
        <f t="shared" ca="1" si="208"/>
        <v>0</v>
      </c>
      <c r="AZ91" s="593">
        <f t="shared" ca="1" si="208"/>
        <v>0</v>
      </c>
      <c r="BA91" s="593">
        <f t="shared" ca="1" si="208"/>
        <v>0</v>
      </c>
      <c r="BB91" s="593">
        <f t="shared" ca="1" si="208"/>
        <v>0</v>
      </c>
      <c r="BC91" s="593">
        <f t="shared" ref="BC91:BE92" ca="1" si="209">IFERROR(INDEX(INDIRECT($C91&amp;".Outputs["&amp;this.Year&amp;"]"), MATCH(BC$5, INDIRECT($C91&amp;".Outputs[Vector]"), 0)), 0)</f>
        <v>0</v>
      </c>
      <c r="BD91" s="593">
        <f t="shared" ca="1" si="209"/>
        <v>0</v>
      </c>
      <c r="BE91" s="593">
        <f t="shared" ca="1" si="20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3.4766197863705459</v>
      </c>
      <c r="BJ91" s="3460">
        <f ca="1">SUM(BH91:BI91)</f>
        <v>3.4766197863705459</v>
      </c>
      <c r="BK91" s="6"/>
      <c r="BL91" s="654">
        <f t="shared" ca="1" si="204"/>
        <v>0</v>
      </c>
      <c r="BM91" s="610"/>
      <c r="BO91" s="2789">
        <f t="shared" ref="BO91:BX92" ca="1" si="210">IFERROR(SUMIFS(INDIRECT($C91&amp;".Emissions["&amp;this.Year&amp;"]"), INDIRECT($C91&amp;".Emissions[GHG]"), BO$6, INDIRECT($C91&amp;".Emissions[IPCC Sector]"), BO$5),0)</f>
        <v>0</v>
      </c>
      <c r="BP91" s="2790">
        <f t="shared" ca="1" si="210"/>
        <v>0</v>
      </c>
      <c r="BQ91" s="2790">
        <f t="shared" ca="1" si="210"/>
        <v>0</v>
      </c>
      <c r="BR91" s="2790">
        <f t="shared" ca="1" si="210"/>
        <v>0</v>
      </c>
      <c r="BS91" s="2790">
        <f t="shared" ca="1" si="210"/>
        <v>0</v>
      </c>
      <c r="BT91" s="2790">
        <f t="shared" ca="1" si="210"/>
        <v>0</v>
      </c>
      <c r="BU91" s="2790">
        <f t="shared" ca="1" si="210"/>
        <v>0</v>
      </c>
      <c r="BV91" s="2790">
        <f t="shared" ca="1" si="210"/>
        <v>0</v>
      </c>
      <c r="BW91" s="2790">
        <f t="shared" ca="1" si="210"/>
        <v>0</v>
      </c>
      <c r="BX91" s="2790">
        <f t="shared" ca="1" si="210"/>
        <v>0</v>
      </c>
      <c r="BY91" s="2790">
        <f t="shared" ref="BY91:CH92" ca="1" si="211">IFERROR(SUMIFS(INDIRECT($C91&amp;".Emissions["&amp;this.Year&amp;"]"), INDIRECT($C91&amp;".Emissions[GHG]"), BY$6, INDIRECT($C91&amp;".Emissions[IPCC Sector]"), BY$5),0)</f>
        <v>0</v>
      </c>
      <c r="BZ91" s="2790">
        <f t="shared" ca="1" si="211"/>
        <v>0</v>
      </c>
      <c r="CA91" s="2790">
        <f t="shared" ca="1" si="211"/>
        <v>0</v>
      </c>
      <c r="CB91" s="2790">
        <f t="shared" ca="1" si="211"/>
        <v>0</v>
      </c>
      <c r="CC91" s="2790">
        <f t="shared" ca="1" si="211"/>
        <v>0</v>
      </c>
      <c r="CD91" s="2790">
        <f t="shared" ca="1" si="211"/>
        <v>0</v>
      </c>
      <c r="CE91" s="2790">
        <f t="shared" ca="1" si="211"/>
        <v>0</v>
      </c>
      <c r="CF91" s="2790">
        <f t="shared" ca="1" si="211"/>
        <v>0</v>
      </c>
      <c r="CG91" s="2790">
        <f t="shared" ca="1" si="211"/>
        <v>0</v>
      </c>
      <c r="CH91" s="2790">
        <f t="shared" ca="1" si="211"/>
        <v>0</v>
      </c>
      <c r="CI91" s="2790">
        <f t="shared" ref="CI91:CR92" ca="1" si="212">IFERROR(SUMIFS(INDIRECT($C91&amp;".Emissions["&amp;this.Year&amp;"]"), INDIRECT($C91&amp;".Emissions[GHG]"), CI$6, INDIRECT($C91&amp;".Emissions[IPCC Sector]"), CI$5),0)</f>
        <v>0</v>
      </c>
      <c r="CJ91" s="2790">
        <f t="shared" ca="1" si="212"/>
        <v>0</v>
      </c>
      <c r="CK91" s="2790">
        <f t="shared" ca="1" si="212"/>
        <v>0</v>
      </c>
      <c r="CL91" s="2790">
        <f t="shared" ca="1" si="212"/>
        <v>0</v>
      </c>
      <c r="CM91" s="2790">
        <f t="shared" ca="1" si="212"/>
        <v>0</v>
      </c>
      <c r="CN91" s="2790">
        <f t="shared" ca="1" si="212"/>
        <v>0</v>
      </c>
      <c r="CO91" s="2790">
        <f t="shared" ca="1" si="212"/>
        <v>0</v>
      </c>
      <c r="CP91" s="2790">
        <f t="shared" ca="1" si="212"/>
        <v>0</v>
      </c>
      <c r="CQ91" s="2790">
        <f t="shared" ca="1" si="212"/>
        <v>0</v>
      </c>
      <c r="CR91" s="2790">
        <f t="shared" ca="1" si="212"/>
        <v>0</v>
      </c>
      <c r="CS91" s="2790">
        <f t="shared" ref="CS91:DF92" ca="1" si="213">IFERROR(SUMIFS(INDIRECT($C91&amp;".Emissions["&amp;this.Year&amp;"]"), INDIRECT($C91&amp;".Emissions[GHG]"), CS$6, INDIRECT($C91&amp;".Emissions[IPCC Sector]"), CS$5),0)</f>
        <v>0</v>
      </c>
      <c r="CT91" s="2790">
        <f t="shared" ca="1" si="213"/>
        <v>0</v>
      </c>
      <c r="CU91" s="2790">
        <f t="shared" ca="1" si="213"/>
        <v>0</v>
      </c>
      <c r="CV91" s="2790">
        <f t="shared" ca="1" si="213"/>
        <v>0</v>
      </c>
      <c r="CW91" s="2790">
        <f t="shared" ca="1" si="213"/>
        <v>0</v>
      </c>
      <c r="CX91" s="2790">
        <f t="shared" ca="1" si="213"/>
        <v>0</v>
      </c>
      <c r="CY91" s="2790">
        <f t="shared" ca="1" si="213"/>
        <v>0</v>
      </c>
      <c r="CZ91" s="2790">
        <f t="shared" ca="1" si="213"/>
        <v>0</v>
      </c>
      <c r="DA91" s="2790">
        <f t="shared" ca="1" si="213"/>
        <v>0</v>
      </c>
      <c r="DB91" s="2790">
        <f t="shared" ca="1" si="213"/>
        <v>0</v>
      </c>
      <c r="DC91" s="2790">
        <f t="shared" ca="1" si="213"/>
        <v>0</v>
      </c>
      <c r="DD91" s="2790">
        <f t="shared" ca="1" si="213"/>
        <v>0</v>
      </c>
      <c r="DE91" s="2790">
        <f t="shared" ca="1" si="213"/>
        <v>0</v>
      </c>
      <c r="DF91" s="2790">
        <f t="shared" ca="1" si="213"/>
        <v>0</v>
      </c>
      <c r="DH91" s="596"/>
    </row>
    <row r="92" spans="1:112" s="607" customFormat="1">
      <c r="C92" s="651" t="s">
        <v>569</v>
      </c>
      <c r="D92" s="611" t="s">
        <v>570</v>
      </c>
      <c r="E92" s="611"/>
      <c r="F92" s="6"/>
      <c r="G92" s="619">
        <f t="shared" ca="1" si="206"/>
        <v>0</v>
      </c>
      <c r="H92" s="619">
        <f t="shared" ca="1" si="206"/>
        <v>0</v>
      </c>
      <c r="I92" s="619">
        <f t="shared" ca="1" si="206"/>
        <v>0</v>
      </c>
      <c r="J92" s="619">
        <f t="shared" ca="1" si="206"/>
        <v>0</v>
      </c>
      <c r="K92" s="619">
        <f t="shared" ca="1" si="206"/>
        <v>0</v>
      </c>
      <c r="L92" s="619">
        <f t="shared" ca="1" si="206"/>
        <v>0</v>
      </c>
      <c r="M92" s="619">
        <f t="shared" ca="1" si="206"/>
        <v>0</v>
      </c>
      <c r="N92" s="619">
        <f t="shared" ca="1" si="206"/>
        <v>0</v>
      </c>
      <c r="O92" s="619">
        <f t="shared" ca="1" si="206"/>
        <v>0</v>
      </c>
      <c r="P92" s="619">
        <f t="shared" ca="1" si="206"/>
        <v>0</v>
      </c>
      <c r="Q92" s="612">
        <f ca="1">SUM(G92:P92)</f>
        <v>0</v>
      </c>
      <c r="R92" s="6"/>
      <c r="S92" s="620">
        <f t="shared" ca="1" si="207"/>
        <v>0</v>
      </c>
      <c r="T92" s="620">
        <f t="shared" ca="1" si="207"/>
        <v>0</v>
      </c>
      <c r="U92" s="620">
        <f t="shared" ca="1" si="207"/>
        <v>0</v>
      </c>
      <c r="V92" s="620">
        <f t="shared" ca="1" si="207"/>
        <v>0</v>
      </c>
      <c r="W92" s="620">
        <f t="shared" ca="1" si="207"/>
        <v>-0.24486132209479483</v>
      </c>
      <c r="X92" s="620">
        <f t="shared" ca="1" si="207"/>
        <v>0</v>
      </c>
      <c r="Y92" s="620">
        <f t="shared" ca="1" si="207"/>
        <v>0</v>
      </c>
      <c r="Z92" s="620">
        <f t="shared" ca="1" si="207"/>
        <v>0</v>
      </c>
      <c r="AA92" s="620">
        <f t="shared" ca="1" si="207"/>
        <v>0</v>
      </c>
      <c r="AB92" s="620">
        <f t="shared" ca="1" si="207"/>
        <v>0</v>
      </c>
      <c r="AC92" s="620">
        <f t="shared" ca="1" si="207"/>
        <v>0</v>
      </c>
      <c r="AD92" s="620">
        <f t="shared" ca="1" si="207"/>
        <v>0</v>
      </c>
      <c r="AE92" s="620">
        <f t="shared" ca="1" si="207"/>
        <v>0</v>
      </c>
      <c r="AF92" s="620">
        <f t="shared" ca="1" si="207"/>
        <v>0</v>
      </c>
      <c r="AG92" s="620">
        <f t="shared" ca="1" si="207"/>
        <v>0</v>
      </c>
      <c r="AH92" s="620">
        <f t="shared" ca="1" si="207"/>
        <v>0</v>
      </c>
      <c r="AI92" s="620">
        <f t="shared" ca="1" si="207"/>
        <v>0</v>
      </c>
      <c r="AJ92" s="620">
        <f t="shared" ca="1" si="207"/>
        <v>0</v>
      </c>
      <c r="AK92" s="613">
        <f ca="1">SUM(S92:AJ92)</f>
        <v>-0.24486132209479483</v>
      </c>
      <c r="AL92" s="6"/>
      <c r="AM92" s="621">
        <f t="shared" ca="1" si="208"/>
        <v>0</v>
      </c>
      <c r="AN92" s="621">
        <f t="shared" ca="1" si="208"/>
        <v>0</v>
      </c>
      <c r="AO92" s="621">
        <f t="shared" ca="1" si="208"/>
        <v>0</v>
      </c>
      <c r="AP92" s="621">
        <f t="shared" ca="1" si="208"/>
        <v>0</v>
      </c>
      <c r="AQ92" s="621">
        <f t="shared" ca="1" si="208"/>
        <v>0</v>
      </c>
      <c r="AR92" s="621">
        <f t="shared" ca="1" si="208"/>
        <v>0</v>
      </c>
      <c r="AS92" s="621">
        <f t="shared" ca="1" si="208"/>
        <v>0</v>
      </c>
      <c r="AT92" s="621">
        <f t="shared" ca="1" si="208"/>
        <v>0</v>
      </c>
      <c r="AU92" s="621">
        <f t="shared" ca="1" si="208"/>
        <v>0</v>
      </c>
      <c r="AV92" s="621">
        <f t="shared" ca="1" si="208"/>
        <v>0</v>
      </c>
      <c r="AW92" s="621">
        <f t="shared" ca="1" si="208"/>
        <v>0</v>
      </c>
      <c r="AX92" s="621">
        <f t="shared" ca="1" si="208"/>
        <v>0</v>
      </c>
      <c r="AY92" s="621">
        <f t="shared" ca="1" si="208"/>
        <v>0</v>
      </c>
      <c r="AZ92" s="621">
        <f t="shared" ca="1" si="208"/>
        <v>0</v>
      </c>
      <c r="BA92" s="621">
        <f t="shared" ca="1" si="208"/>
        <v>0</v>
      </c>
      <c r="BB92" s="621">
        <f t="shared" ca="1" si="208"/>
        <v>0</v>
      </c>
      <c r="BC92" s="621">
        <f t="shared" ca="1" si="209"/>
        <v>0</v>
      </c>
      <c r="BD92" s="621">
        <f t="shared" ca="1" si="209"/>
        <v>0</v>
      </c>
      <c r="BE92" s="621">
        <f t="shared" ca="1" si="209"/>
        <v>0</v>
      </c>
      <c r="BF92" s="615">
        <f ca="1">SUM(AM92:BE92)</f>
        <v>0</v>
      </c>
      <c r="BG92" s="6"/>
      <c r="BH92" s="3473">
        <f ca="1">IFERROR(INDEX(INDIRECT($C92&amp;".Outputs["&amp;this.Year&amp;"]"), MATCH(BH$5, INDIRECT($C92&amp;".Outputs[Vector]"), 0)), 0)</f>
        <v>0.1469167932568769</v>
      </c>
      <c r="BI92" s="3473">
        <f ca="1">IFERROR(INDEX(INDIRECT($C92&amp;".Outputs["&amp;this.Year&amp;"]"), MATCH(BI$5, INDIRECT($C92&amp;".Outputs[Vector]"), 0)), 0)</f>
        <v>9.7944528837917932E-2</v>
      </c>
      <c r="BJ92" s="3462">
        <f ca="1">SUM(BH92:BI92)</f>
        <v>0.24486132209479483</v>
      </c>
      <c r="BK92" s="6"/>
      <c r="BL92" s="654">
        <f t="shared" ca="1" si="204"/>
        <v>0</v>
      </c>
      <c r="BM92" s="610"/>
      <c r="BO92" s="2791">
        <f t="shared" ca="1" si="210"/>
        <v>5.0128303692832908E-2</v>
      </c>
      <c r="BP92" s="2792">
        <f t="shared" ca="1" si="210"/>
        <v>1.8511515950366493E-5</v>
      </c>
      <c r="BQ92" s="2792">
        <f t="shared" ca="1" si="210"/>
        <v>7.9246918282759396E-4</v>
      </c>
      <c r="BR92" s="2792">
        <f t="shared" ca="1" si="210"/>
        <v>0</v>
      </c>
      <c r="BS92" s="2792">
        <f t="shared" ca="1" si="210"/>
        <v>0</v>
      </c>
      <c r="BT92" s="2792">
        <f t="shared" ca="1" si="210"/>
        <v>0</v>
      </c>
      <c r="BU92" s="2792">
        <f t="shared" ca="1" si="210"/>
        <v>0</v>
      </c>
      <c r="BV92" s="2792">
        <f t="shared" ca="1" si="210"/>
        <v>0</v>
      </c>
      <c r="BW92" s="2792">
        <f t="shared" ca="1" si="210"/>
        <v>0</v>
      </c>
      <c r="BX92" s="2792">
        <f t="shared" ca="1" si="210"/>
        <v>0</v>
      </c>
      <c r="BY92" s="2792">
        <f t="shared" ca="1" si="211"/>
        <v>0</v>
      </c>
      <c r="BZ92" s="2792">
        <f t="shared" ca="1" si="211"/>
        <v>0</v>
      </c>
      <c r="CA92" s="2792">
        <f t="shared" ca="1" si="211"/>
        <v>0</v>
      </c>
      <c r="CB92" s="2792">
        <f t="shared" ca="1" si="211"/>
        <v>0</v>
      </c>
      <c r="CC92" s="2792">
        <f t="shared" ca="1" si="211"/>
        <v>0</v>
      </c>
      <c r="CD92" s="2792">
        <f t="shared" ca="1" si="211"/>
        <v>0</v>
      </c>
      <c r="CE92" s="2792">
        <f t="shared" ca="1" si="211"/>
        <v>0</v>
      </c>
      <c r="CF92" s="2792">
        <f t="shared" ca="1" si="211"/>
        <v>0</v>
      </c>
      <c r="CG92" s="2792">
        <f t="shared" ca="1" si="211"/>
        <v>0</v>
      </c>
      <c r="CH92" s="2792">
        <f t="shared" ca="1" si="211"/>
        <v>0</v>
      </c>
      <c r="CI92" s="2792">
        <f t="shared" ca="1" si="212"/>
        <v>0</v>
      </c>
      <c r="CJ92" s="2792">
        <f t="shared" ca="1" si="212"/>
        <v>0</v>
      </c>
      <c r="CK92" s="2792">
        <f t="shared" ca="1" si="212"/>
        <v>0</v>
      </c>
      <c r="CL92" s="2792">
        <f t="shared" ca="1" si="212"/>
        <v>0</v>
      </c>
      <c r="CM92" s="2792">
        <f t="shared" ca="1" si="212"/>
        <v>0</v>
      </c>
      <c r="CN92" s="2792">
        <f t="shared" ca="1" si="212"/>
        <v>0</v>
      </c>
      <c r="CO92" s="2792">
        <f t="shared" ca="1" si="212"/>
        <v>0</v>
      </c>
      <c r="CP92" s="2792">
        <f t="shared" ca="1" si="212"/>
        <v>0</v>
      </c>
      <c r="CQ92" s="2792">
        <f t="shared" ca="1" si="212"/>
        <v>0</v>
      </c>
      <c r="CR92" s="2792">
        <f t="shared" ca="1" si="212"/>
        <v>0</v>
      </c>
      <c r="CS92" s="2792">
        <f t="shared" ca="1" si="213"/>
        <v>0</v>
      </c>
      <c r="CT92" s="2792">
        <f t="shared" ca="1" si="213"/>
        <v>0</v>
      </c>
      <c r="CU92" s="2792">
        <f t="shared" ca="1" si="213"/>
        <v>0</v>
      </c>
      <c r="CV92" s="2792">
        <f t="shared" ca="1" si="213"/>
        <v>0</v>
      </c>
      <c r="CW92" s="2792">
        <f t="shared" ca="1" si="213"/>
        <v>0</v>
      </c>
      <c r="CX92" s="2792">
        <f t="shared" ca="1" si="213"/>
        <v>0</v>
      </c>
      <c r="CY92" s="2792">
        <f t="shared" ca="1" si="213"/>
        <v>0</v>
      </c>
      <c r="CZ92" s="2792">
        <f t="shared" ca="1" si="213"/>
        <v>0</v>
      </c>
      <c r="DA92" s="2792">
        <f t="shared" ca="1" si="213"/>
        <v>0</v>
      </c>
      <c r="DB92" s="2792">
        <f t="shared" ca="1" si="213"/>
        <v>0</v>
      </c>
      <c r="DC92" s="2792">
        <f t="shared" ca="1" si="213"/>
        <v>0</v>
      </c>
      <c r="DD92" s="2792">
        <f t="shared" ca="1" si="213"/>
        <v>0</v>
      </c>
      <c r="DE92" s="2792">
        <f t="shared" ca="1" si="213"/>
        <v>0</v>
      </c>
      <c r="DF92" s="2792">
        <f t="shared" ca="1" si="213"/>
        <v>0</v>
      </c>
      <c r="DH92" s="596"/>
    </row>
    <row r="93" spans="1:112" s="4" customFormat="1" ht="15.75">
      <c r="B93" s="3"/>
      <c r="C93" s="616" t="s">
        <v>571</v>
      </c>
      <c r="D93" s="617" t="s">
        <v>572</v>
      </c>
      <c r="E93" s="206"/>
      <c r="F93" s="6"/>
      <c r="G93" s="579">
        <f t="shared" ref="G93:P93" ca="1" si="214">G$89+G$91+G$92</f>
        <v>0</v>
      </c>
      <c r="H93" s="579">
        <f t="shared" ca="1" si="214"/>
        <v>0</v>
      </c>
      <c r="I93" s="579">
        <f t="shared" ca="1" si="214"/>
        <v>0</v>
      </c>
      <c r="J93" s="579">
        <f t="shared" ca="1" si="214"/>
        <v>0</v>
      </c>
      <c r="K93" s="638">
        <f t="shared" ca="1" si="214"/>
        <v>0</v>
      </c>
      <c r="L93" s="579">
        <f t="shared" ca="1" si="214"/>
        <v>0</v>
      </c>
      <c r="M93" s="579">
        <f t="shared" ca="1" si="214"/>
        <v>0</v>
      </c>
      <c r="N93" s="579">
        <f t="shared" ca="1" si="214"/>
        <v>0</v>
      </c>
      <c r="O93" s="579">
        <f t="shared" ca="1" si="214"/>
        <v>0</v>
      </c>
      <c r="P93" s="579">
        <f t="shared" ca="1" si="214"/>
        <v>0</v>
      </c>
      <c r="Q93" s="618">
        <f ca="1">SUM(G93:P93)</f>
        <v>0</v>
      </c>
      <c r="R93" s="6"/>
      <c r="S93" s="581">
        <f t="shared" ref="S93:AJ93" ca="1" si="215">S$89+S$91+S$92</f>
        <v>0</v>
      </c>
      <c r="T93" s="581">
        <f t="shared" ca="1" si="215"/>
        <v>-0.97661978637054503</v>
      </c>
      <c r="U93" s="581">
        <f t="shared" ca="1" si="215"/>
        <v>0</v>
      </c>
      <c r="V93" s="581">
        <f t="shared" ca="1" si="215"/>
        <v>0</v>
      </c>
      <c r="W93" s="581">
        <f t="shared" ca="1" si="215"/>
        <v>-0.24486132209479483</v>
      </c>
      <c r="X93" s="581">
        <f ca="1">X$89+X$91+X$92</f>
        <v>0</v>
      </c>
      <c r="Y93" s="581">
        <f ca="1">Y$89+Y$91+Y$92</f>
        <v>0</v>
      </c>
      <c r="Z93" s="581">
        <f ca="1">Z$89+Z$91+Z$92</f>
        <v>0</v>
      </c>
      <c r="AA93" s="581">
        <f t="shared" ca="1" si="215"/>
        <v>0</v>
      </c>
      <c r="AB93" s="581">
        <f t="shared" ca="1" si="215"/>
        <v>0</v>
      </c>
      <c r="AC93" s="581">
        <f t="shared" ca="1" si="215"/>
        <v>0</v>
      </c>
      <c r="AD93" s="581">
        <f t="shared" ca="1" si="215"/>
        <v>0</v>
      </c>
      <c r="AE93" s="581">
        <f t="shared" ca="1" si="215"/>
        <v>0</v>
      </c>
      <c r="AF93" s="581">
        <f t="shared" ca="1" si="215"/>
        <v>0</v>
      </c>
      <c r="AG93" s="581">
        <f t="shared" ca="1" si="215"/>
        <v>0</v>
      </c>
      <c r="AH93" s="581">
        <f t="shared" ca="1" si="215"/>
        <v>0</v>
      </c>
      <c r="AI93" s="581">
        <f t="shared" ca="1" si="215"/>
        <v>0</v>
      </c>
      <c r="AJ93" s="581">
        <f t="shared" ca="1" si="215"/>
        <v>0</v>
      </c>
      <c r="AK93" s="581">
        <f ca="1">SUM(S93:AJ93)</f>
        <v>-1.2214811084653399</v>
      </c>
      <c r="AL93" s="6"/>
      <c r="AM93" s="582">
        <f t="shared" ref="AM93:BE93" ca="1" si="216">AM$89+AM$91+AM$92</f>
        <v>0</v>
      </c>
      <c r="AN93" s="582">
        <f t="shared" ca="1" si="216"/>
        <v>0</v>
      </c>
      <c r="AO93" s="582">
        <f t="shared" ca="1" si="216"/>
        <v>0</v>
      </c>
      <c r="AP93" s="582">
        <f t="shared" ca="1" si="216"/>
        <v>0</v>
      </c>
      <c r="AQ93" s="582">
        <f t="shared" ca="1" si="216"/>
        <v>-2.5</v>
      </c>
      <c r="AR93" s="582">
        <f t="shared" ca="1" si="216"/>
        <v>0</v>
      </c>
      <c r="AS93" s="582">
        <f t="shared" ca="1" si="216"/>
        <v>0</v>
      </c>
      <c r="AT93" s="582">
        <f t="shared" ca="1" si="216"/>
        <v>0</v>
      </c>
      <c r="AU93" s="582">
        <f t="shared" ca="1" si="216"/>
        <v>0</v>
      </c>
      <c r="AV93" s="582">
        <f t="shared" ca="1" si="216"/>
        <v>0</v>
      </c>
      <c r="AW93" s="582">
        <f t="shared" ca="1" si="216"/>
        <v>0</v>
      </c>
      <c r="AX93" s="582">
        <f t="shared" ca="1" si="216"/>
        <v>0</v>
      </c>
      <c r="AY93" s="582">
        <f t="shared" ca="1" si="216"/>
        <v>0</v>
      </c>
      <c r="AZ93" s="582">
        <f t="shared" ca="1" si="216"/>
        <v>0</v>
      </c>
      <c r="BA93" s="582">
        <f t="shared" ca="1" si="216"/>
        <v>0</v>
      </c>
      <c r="BB93" s="582">
        <f t="shared" ca="1" si="216"/>
        <v>0</v>
      </c>
      <c r="BC93" s="582">
        <f t="shared" ca="1" si="216"/>
        <v>0</v>
      </c>
      <c r="BD93" s="582">
        <f t="shared" ca="1" si="216"/>
        <v>0</v>
      </c>
      <c r="BE93" s="582">
        <f t="shared" ca="1" si="216"/>
        <v>0</v>
      </c>
      <c r="BF93" s="582">
        <f ca="1">SUM(AM93:BE93)</f>
        <v>-2.5</v>
      </c>
      <c r="BG93" s="6"/>
      <c r="BH93" s="3463">
        <f ca="1">BH$89+BH$91+BH$92</f>
        <v>0.1469167932568769</v>
      </c>
      <c r="BI93" s="3463">
        <f ca="1">BI$89+BI$91+BI$92</f>
        <v>3.5745643152084638</v>
      </c>
      <c r="BJ93" s="3463">
        <f ca="1">SUM(BH93:BI93)</f>
        <v>3.7214811084653405</v>
      </c>
      <c r="BK93" s="6"/>
      <c r="BL93" s="3477">
        <f t="shared" ca="1" si="204"/>
        <v>0</v>
      </c>
      <c r="BM93" s="584"/>
      <c r="BN93" s="413"/>
      <c r="BO93" s="2790">
        <f t="shared" ref="BO93:DF93" ca="1" si="217">BO$89+BO$91+BO$92</f>
        <v>5.0128303692832908E-2</v>
      </c>
      <c r="BP93" s="2790">
        <f t="shared" ca="1" si="217"/>
        <v>1.8511515950366493E-5</v>
      </c>
      <c r="BQ93" s="2790">
        <f t="shared" ca="1" si="217"/>
        <v>7.9246918282759396E-4</v>
      </c>
      <c r="BR93" s="2790">
        <f t="shared" ca="1" si="217"/>
        <v>0</v>
      </c>
      <c r="BS93" s="2790">
        <f t="shared" ca="1" si="217"/>
        <v>0</v>
      </c>
      <c r="BT93" s="2790">
        <f t="shared" ca="1" si="217"/>
        <v>0</v>
      </c>
      <c r="BU93" s="2790">
        <f t="shared" ca="1" si="217"/>
        <v>0</v>
      </c>
      <c r="BV93" s="2790">
        <f t="shared" ca="1" si="217"/>
        <v>0</v>
      </c>
      <c r="BW93" s="2790">
        <f t="shared" ca="1" si="217"/>
        <v>0</v>
      </c>
      <c r="BX93" s="2790">
        <f t="shared" ca="1" si="217"/>
        <v>0</v>
      </c>
      <c r="BY93" s="2790">
        <f t="shared" ca="1" si="217"/>
        <v>0</v>
      </c>
      <c r="BZ93" s="2790">
        <f t="shared" ca="1" si="217"/>
        <v>0</v>
      </c>
      <c r="CA93" s="2790">
        <f t="shared" ca="1" si="217"/>
        <v>0</v>
      </c>
      <c r="CB93" s="2790">
        <f t="shared" ca="1" si="217"/>
        <v>0</v>
      </c>
      <c r="CC93" s="2790">
        <f t="shared" ca="1" si="217"/>
        <v>0</v>
      </c>
      <c r="CD93" s="2790">
        <f t="shared" ca="1" si="217"/>
        <v>0</v>
      </c>
      <c r="CE93" s="2790">
        <f t="shared" ca="1" si="217"/>
        <v>0</v>
      </c>
      <c r="CF93" s="2790">
        <f t="shared" ca="1" si="217"/>
        <v>0</v>
      </c>
      <c r="CG93" s="2790">
        <f t="shared" ca="1" si="217"/>
        <v>0</v>
      </c>
      <c r="CH93" s="2790">
        <f t="shared" ca="1" si="217"/>
        <v>0</v>
      </c>
      <c r="CI93" s="2790">
        <f t="shared" ca="1" si="217"/>
        <v>0</v>
      </c>
      <c r="CJ93" s="2790">
        <f t="shared" ca="1" si="217"/>
        <v>0</v>
      </c>
      <c r="CK93" s="2790">
        <f t="shared" ca="1" si="217"/>
        <v>0</v>
      </c>
      <c r="CL93" s="2790">
        <f t="shared" ca="1" si="217"/>
        <v>0</v>
      </c>
      <c r="CM93" s="2790">
        <f t="shared" ca="1" si="217"/>
        <v>0</v>
      </c>
      <c r="CN93" s="2790">
        <f t="shared" ca="1" si="217"/>
        <v>0</v>
      </c>
      <c r="CO93" s="2790">
        <f t="shared" ca="1" si="217"/>
        <v>0</v>
      </c>
      <c r="CP93" s="2790">
        <f t="shared" ca="1" si="217"/>
        <v>0</v>
      </c>
      <c r="CQ93" s="2790">
        <f t="shared" ca="1" si="217"/>
        <v>0</v>
      </c>
      <c r="CR93" s="2790">
        <f t="shared" ca="1" si="217"/>
        <v>0</v>
      </c>
      <c r="CS93" s="2790">
        <f t="shared" ca="1" si="217"/>
        <v>0</v>
      </c>
      <c r="CT93" s="2790">
        <f t="shared" ca="1" si="217"/>
        <v>0</v>
      </c>
      <c r="CU93" s="2790">
        <f t="shared" ca="1" si="217"/>
        <v>0</v>
      </c>
      <c r="CV93" s="2790">
        <f t="shared" ca="1" si="217"/>
        <v>0</v>
      </c>
      <c r="CW93" s="2790">
        <f t="shared" ca="1" si="217"/>
        <v>0</v>
      </c>
      <c r="CX93" s="2790">
        <f t="shared" ca="1" si="217"/>
        <v>0</v>
      </c>
      <c r="CY93" s="2790">
        <f t="shared" ca="1" si="217"/>
        <v>0</v>
      </c>
      <c r="CZ93" s="2790">
        <f t="shared" ca="1" si="217"/>
        <v>0</v>
      </c>
      <c r="DA93" s="2790">
        <f t="shared" ca="1" si="217"/>
        <v>0</v>
      </c>
      <c r="DB93" s="2790">
        <f t="shared" ca="1" si="217"/>
        <v>0</v>
      </c>
      <c r="DC93" s="2790">
        <f t="shared" ca="1" si="217"/>
        <v>0</v>
      </c>
      <c r="DD93" s="2790">
        <f t="shared" ca="1" si="217"/>
        <v>0</v>
      </c>
      <c r="DE93" s="2790">
        <f t="shared" ca="1" si="217"/>
        <v>0</v>
      </c>
      <c r="DF93" s="2790">
        <f t="shared" ca="1" si="217"/>
        <v>0</v>
      </c>
      <c r="DH93" s="596">
        <f t="shared" ref="DH93:DH104" ca="1" si="218">SUM(BO93:DF93)</f>
        <v>5.093928439161087E-2</v>
      </c>
    </row>
    <row r="94" spans="1:112" s="6" customFormat="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04"/>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18"/>
        <v>0</v>
      </c>
    </row>
    <row r="95" spans="1:112" s="639" customFormat="1" ht="11.25">
      <c r="C95" s="640" t="s">
        <v>573</v>
      </c>
      <c r="D95" s="641" t="s">
        <v>574</v>
      </c>
      <c r="E95" s="641"/>
      <c r="G95" s="643"/>
      <c r="H95" s="643"/>
      <c r="I95" s="643"/>
      <c r="J95" s="643"/>
      <c r="K95" s="644"/>
      <c r="L95" s="643"/>
      <c r="M95" s="643"/>
      <c r="N95" s="643"/>
      <c r="O95" s="643"/>
      <c r="P95" s="643"/>
      <c r="Q95" s="643"/>
      <c r="S95" s="645"/>
      <c r="T95" s="645"/>
      <c r="U95" s="645">
        <f ca="1">(U$40+U$84+U$93)</f>
        <v>-24.283329943926542</v>
      </c>
      <c r="V95" s="645">
        <f ca="1">(V$40+V$84+V$93)</f>
        <v>-71.530693121474101</v>
      </c>
      <c r="W95" s="645">
        <f ca="1">(W$40+W$84+W$93)</f>
        <v>-47.061138851804969</v>
      </c>
      <c r="X95" s="645"/>
      <c r="Y95" s="645"/>
      <c r="Z95" s="645"/>
      <c r="AA95" s="645"/>
      <c r="AB95" s="645"/>
      <c r="AC95" s="645">
        <f t="shared" ref="AC95:AH95" ca="1" si="219">(AC$40+AC$84+AC$93)</f>
        <v>0</v>
      </c>
      <c r="AD95" s="645">
        <f t="shared" ca="1" si="219"/>
        <v>2.9254922797006762</v>
      </c>
      <c r="AE95" s="645">
        <f t="shared" ca="1" si="219"/>
        <v>0.17750982181293876</v>
      </c>
      <c r="AF95" s="645">
        <f t="shared" ca="1" si="219"/>
        <v>1.0742385181146412</v>
      </c>
      <c r="AG95" s="645">
        <f t="shared" ca="1" si="219"/>
        <v>0.30315030492522765</v>
      </c>
      <c r="AH95" s="645">
        <f t="shared" ca="1" si="219"/>
        <v>0.13447853364046278</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-1.5775553566803318</v>
      </c>
      <c r="BF95" s="646">
        <f ca="1">SUM(AM95:BE95)</f>
        <v>-1.5775553566803318</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18"/>
        <v>0</v>
      </c>
    </row>
    <row r="96" spans="1:112" s="642" customFormat="1">
      <c r="A96" s="693"/>
      <c r="B96" s="693"/>
      <c r="C96" s="694" t="s">
        <v>575</v>
      </c>
      <c r="D96" s="695" t="s">
        <v>576</v>
      </c>
      <c r="E96" s="695"/>
      <c r="G96" s="696">
        <f t="shared" ref="G96:P96" ca="1" si="220">IFERROR(INDEX(INDIRECT($C96&amp;".Outputs["&amp;this.Year&amp;"]"), MATCH(G$5, INDIRECT($C96&amp;".Outputs[Vector]"), 0)), 0)</f>
        <v>0</v>
      </c>
      <c r="H96" s="696">
        <f t="shared" ca="1" si="220"/>
        <v>0</v>
      </c>
      <c r="I96" s="696">
        <f t="shared" ca="1" si="220"/>
        <v>0</v>
      </c>
      <c r="J96" s="696">
        <f t="shared" ca="1" si="220"/>
        <v>0</v>
      </c>
      <c r="K96" s="696">
        <f t="shared" ca="1" si="220"/>
        <v>0</v>
      </c>
      <c r="L96" s="696">
        <f t="shared" ca="1" si="220"/>
        <v>0</v>
      </c>
      <c r="M96" s="696">
        <f t="shared" ca="1" si="220"/>
        <v>0</v>
      </c>
      <c r="N96" s="696">
        <f t="shared" ca="1" si="220"/>
        <v>0</v>
      </c>
      <c r="O96" s="696">
        <f t="shared" ca="1" si="220"/>
        <v>0</v>
      </c>
      <c r="P96" s="696">
        <f t="shared" ca="1" si="220"/>
        <v>0</v>
      </c>
      <c r="Q96" s="697">
        <f ca="1">SUM(G96:P96)</f>
        <v>0</v>
      </c>
      <c r="S96" s="698">
        <f t="shared" ref="S96:AJ96" ca="1" si="221">IFERROR(INDEX(INDIRECT($C96&amp;".Outputs["&amp;this.Year&amp;"]"), MATCH(S$5, INDIRECT($C96&amp;".Outputs[Vector]"), 0)), 0)</f>
        <v>0</v>
      </c>
      <c r="T96" s="698">
        <f t="shared" ca="1" si="221"/>
        <v>0</v>
      </c>
      <c r="U96" s="698">
        <f t="shared" ca="1" si="221"/>
        <v>3.5997577180337856</v>
      </c>
      <c r="V96" s="698">
        <f t="shared" ca="1" si="221"/>
        <v>5.5028044762011015E-2</v>
      </c>
      <c r="W96" s="698">
        <f t="shared" ca="1" si="221"/>
        <v>0.36184126233438352</v>
      </c>
      <c r="X96" s="698">
        <f t="shared" ca="1" si="221"/>
        <v>0</v>
      </c>
      <c r="Y96" s="698">
        <f t="shared" ca="1" si="221"/>
        <v>0</v>
      </c>
      <c r="Z96" s="698">
        <f t="shared" ca="1" si="221"/>
        <v>0</v>
      </c>
      <c r="AA96" s="698">
        <f t="shared" ca="1" si="221"/>
        <v>0</v>
      </c>
      <c r="AB96" s="698">
        <f t="shared" ca="1" si="221"/>
        <v>0</v>
      </c>
      <c r="AC96" s="698">
        <f t="shared" ca="1" si="221"/>
        <v>0</v>
      </c>
      <c r="AD96" s="698">
        <f t="shared" ca="1" si="221"/>
        <v>-2.9254922797006762</v>
      </c>
      <c r="AE96" s="698">
        <f t="shared" ca="1" si="221"/>
        <v>-0.17750982181293876</v>
      </c>
      <c r="AF96" s="698">
        <f t="shared" ca="1" si="221"/>
        <v>-1.0742385181146412</v>
      </c>
      <c r="AG96" s="698">
        <f t="shared" ca="1" si="221"/>
        <v>-0.30315030492522765</v>
      </c>
      <c r="AH96" s="698">
        <f t="shared" ca="1" si="221"/>
        <v>-0.13447853364046278</v>
      </c>
      <c r="AI96" s="698">
        <f t="shared" ca="1" si="221"/>
        <v>0</v>
      </c>
      <c r="AJ96" s="698">
        <f t="shared" ca="1" si="221"/>
        <v>0</v>
      </c>
      <c r="AK96" s="699">
        <f ca="1">SUM(S96:AJ96)</f>
        <v>-0.59824243306376623</v>
      </c>
      <c r="AM96" s="700">
        <f t="shared" ref="AM96:BE96" ca="1" si="222">IFERROR(INDEX(INDIRECT($C96&amp;".Outputs["&amp;this.Year&amp;"]"), MATCH(AM$5, INDIRECT($C96&amp;".Outputs[Vector]"), 0)), 0)</f>
        <v>0</v>
      </c>
      <c r="AN96" s="700">
        <f t="shared" ca="1" si="222"/>
        <v>0</v>
      </c>
      <c r="AO96" s="700">
        <f t="shared" ca="1" si="222"/>
        <v>0</v>
      </c>
      <c r="AP96" s="700">
        <f t="shared" ca="1" si="222"/>
        <v>0</v>
      </c>
      <c r="AQ96" s="700">
        <f t="shared" ca="1" si="222"/>
        <v>0</v>
      </c>
      <c r="AR96" s="700">
        <f t="shared" ca="1" si="222"/>
        <v>0</v>
      </c>
      <c r="AS96" s="700">
        <f t="shared" ca="1" si="222"/>
        <v>0</v>
      </c>
      <c r="AT96" s="700">
        <f t="shared" ca="1" si="222"/>
        <v>0</v>
      </c>
      <c r="AU96" s="700">
        <f t="shared" ca="1" si="222"/>
        <v>0</v>
      </c>
      <c r="AV96" s="700">
        <f t="shared" ca="1" si="222"/>
        <v>0</v>
      </c>
      <c r="AW96" s="700">
        <f t="shared" ca="1" si="222"/>
        <v>0</v>
      </c>
      <c r="AX96" s="700">
        <f t="shared" ca="1" si="222"/>
        <v>0</v>
      </c>
      <c r="AY96" s="700">
        <f t="shared" ca="1" si="222"/>
        <v>0</v>
      </c>
      <c r="AZ96" s="700">
        <f t="shared" ca="1" si="222"/>
        <v>0</v>
      </c>
      <c r="BA96" s="700">
        <f t="shared" ca="1" si="222"/>
        <v>0</v>
      </c>
      <c r="BB96" s="700">
        <f t="shared" ca="1" si="222"/>
        <v>0</v>
      </c>
      <c r="BC96" s="700">
        <f t="shared" ca="1" si="222"/>
        <v>0</v>
      </c>
      <c r="BD96" s="700">
        <f t="shared" ca="1" si="222"/>
        <v>0</v>
      </c>
      <c r="BE96" s="700">
        <f t="shared" ca="1" si="222"/>
        <v>0</v>
      </c>
      <c r="BF96" s="701">
        <f ca="1">SUM(AM96:BE96)</f>
        <v>0</v>
      </c>
      <c r="BH96" s="3476">
        <f ca="1">IFERROR(INDEX(INDIRECT($C96&amp;".Outputs["&amp;this.Year&amp;"]"), MATCH(BH$5, INDIRECT($C96&amp;".Outputs[Vector]"), 0)), 0)</f>
        <v>0.59824243306376701</v>
      </c>
      <c r="BI96" s="3476">
        <f ca="1">IFERROR(INDEX(INDIRECT($C96&amp;".Outputs["&amp;this.Year&amp;"]"), MATCH(BI$5, INDIRECT($C96&amp;".Outputs[Vector]"), 0)), 0)</f>
        <v>0</v>
      </c>
      <c r="BJ96" s="3468">
        <f ca="1">SUM(BH96:BI96)</f>
        <v>0.59824243306376701</v>
      </c>
      <c r="BL96" s="702">
        <f ca="1">Q96+AK96+BF96+BJ96</f>
        <v>0</v>
      </c>
      <c r="BM96" s="702"/>
      <c r="BN96" s="703"/>
      <c r="BO96" s="2796">
        <f t="shared" ref="BO96:DF96" ca="1" si="223">IFERROR(SUMIFS(INDIRECT($C96&amp;".Emissions["&amp;this.Year&amp;"]"), INDIRECT($C96&amp;".Emissions[GHG]"), BO$6, INDIRECT($C96&amp;".Emissions[IPCC Sector]"), BO$5),0)</f>
        <v>0</v>
      </c>
      <c r="BP96" s="2797">
        <f t="shared" ca="1" si="223"/>
        <v>0</v>
      </c>
      <c r="BQ96" s="2797">
        <f t="shared" ca="1" si="223"/>
        <v>0</v>
      </c>
      <c r="BR96" s="2797">
        <f t="shared" ca="1" si="223"/>
        <v>0</v>
      </c>
      <c r="BS96" s="2797">
        <f t="shared" ca="1" si="223"/>
        <v>0</v>
      </c>
      <c r="BT96" s="2797">
        <f t="shared" ca="1" si="223"/>
        <v>0</v>
      </c>
      <c r="BU96" s="2797">
        <f t="shared" ca="1" si="223"/>
        <v>0</v>
      </c>
      <c r="BV96" s="2797">
        <f t="shared" ca="1" si="223"/>
        <v>0</v>
      </c>
      <c r="BW96" s="2797">
        <f t="shared" ca="1" si="223"/>
        <v>0</v>
      </c>
      <c r="BX96" s="2797">
        <f t="shared" ca="1" si="223"/>
        <v>0</v>
      </c>
      <c r="BY96" s="2797">
        <f t="shared" ca="1" si="223"/>
        <v>0</v>
      </c>
      <c r="BZ96" s="2797">
        <f t="shared" ca="1" si="223"/>
        <v>0</v>
      </c>
      <c r="CA96" s="2797">
        <f t="shared" ca="1" si="223"/>
        <v>0</v>
      </c>
      <c r="CB96" s="2797">
        <f t="shared" ca="1" si="223"/>
        <v>0</v>
      </c>
      <c r="CC96" s="2797">
        <f t="shared" ca="1" si="223"/>
        <v>0</v>
      </c>
      <c r="CD96" s="2797">
        <f t="shared" ca="1" si="223"/>
        <v>0</v>
      </c>
      <c r="CE96" s="2797">
        <f t="shared" ca="1" si="223"/>
        <v>0</v>
      </c>
      <c r="CF96" s="2797">
        <f t="shared" ca="1" si="223"/>
        <v>0</v>
      </c>
      <c r="CG96" s="2797">
        <f t="shared" ca="1" si="223"/>
        <v>0</v>
      </c>
      <c r="CH96" s="2797">
        <f t="shared" ca="1" si="223"/>
        <v>0</v>
      </c>
      <c r="CI96" s="2797">
        <f t="shared" ca="1" si="223"/>
        <v>0</v>
      </c>
      <c r="CJ96" s="2797">
        <f t="shared" ca="1" si="223"/>
        <v>0</v>
      </c>
      <c r="CK96" s="2797">
        <f t="shared" ca="1" si="223"/>
        <v>0</v>
      </c>
      <c r="CL96" s="2797">
        <f t="shared" ca="1" si="223"/>
        <v>0</v>
      </c>
      <c r="CM96" s="2797">
        <f t="shared" ca="1" si="223"/>
        <v>0</v>
      </c>
      <c r="CN96" s="2797">
        <f t="shared" ca="1" si="223"/>
        <v>0</v>
      </c>
      <c r="CO96" s="2797">
        <f t="shared" ca="1" si="223"/>
        <v>0</v>
      </c>
      <c r="CP96" s="2797">
        <f t="shared" ca="1" si="223"/>
        <v>0</v>
      </c>
      <c r="CQ96" s="2797">
        <f t="shared" ca="1" si="223"/>
        <v>0</v>
      </c>
      <c r="CR96" s="2797">
        <f t="shared" ca="1" si="223"/>
        <v>0</v>
      </c>
      <c r="CS96" s="2797">
        <f t="shared" ca="1" si="223"/>
        <v>0</v>
      </c>
      <c r="CT96" s="2797">
        <f t="shared" ca="1" si="223"/>
        <v>0</v>
      </c>
      <c r="CU96" s="2797">
        <f t="shared" ca="1" si="223"/>
        <v>0</v>
      </c>
      <c r="CV96" s="2797">
        <f t="shared" ca="1" si="223"/>
        <v>0</v>
      </c>
      <c r="CW96" s="2797">
        <f t="shared" ca="1" si="223"/>
        <v>0</v>
      </c>
      <c r="CX96" s="2797">
        <f t="shared" ca="1" si="223"/>
        <v>0</v>
      </c>
      <c r="CY96" s="2797">
        <f t="shared" ca="1" si="223"/>
        <v>-1.3039562180674993</v>
      </c>
      <c r="CZ96" s="2797">
        <f t="shared" ca="1" si="223"/>
        <v>0</v>
      </c>
      <c r="DA96" s="2797">
        <f t="shared" ca="1" si="223"/>
        <v>0</v>
      </c>
      <c r="DB96" s="2797">
        <f t="shared" ca="1" si="223"/>
        <v>0</v>
      </c>
      <c r="DC96" s="2797">
        <f t="shared" ca="1" si="223"/>
        <v>0</v>
      </c>
      <c r="DD96" s="2797">
        <f t="shared" ca="1" si="223"/>
        <v>0</v>
      </c>
      <c r="DE96" s="2797">
        <f t="shared" ca="1" si="223"/>
        <v>0</v>
      </c>
      <c r="DF96" s="2797">
        <f t="shared" ca="1" si="223"/>
        <v>0</v>
      </c>
      <c r="DH96" s="649">
        <f t="shared" ca="1" si="218"/>
        <v>-1.3039562180674993</v>
      </c>
    </row>
    <row r="97" spans="1:112" s="639" customFormat="1" ht="11.25">
      <c r="C97" s="640" t="s">
        <v>577</v>
      </c>
      <c r="D97" s="641" t="s">
        <v>574</v>
      </c>
      <c r="E97" s="641"/>
      <c r="G97" s="643"/>
      <c r="H97" s="643"/>
      <c r="I97" s="643"/>
      <c r="J97" s="643"/>
      <c r="K97" s="644"/>
      <c r="L97" s="643"/>
      <c r="M97" s="643"/>
      <c r="N97" s="643"/>
      <c r="O97" s="643"/>
      <c r="P97" s="643"/>
      <c r="Q97" s="643"/>
      <c r="S97" s="645"/>
      <c r="T97" s="645"/>
      <c r="U97" s="645">
        <f ca="1">U$95+U$96</f>
        <v>-20.683572225892757</v>
      </c>
      <c r="V97" s="645">
        <f ca="1">V$95+V$96</f>
        <v>-71.47566507671209</v>
      </c>
      <c r="W97" s="645">
        <f ca="1">W$95+W$96</f>
        <v>-46.699297589470589</v>
      </c>
      <c r="X97" s="645"/>
      <c r="Y97" s="645"/>
      <c r="Z97" s="645"/>
      <c r="AA97" s="645"/>
      <c r="AB97" s="645"/>
      <c r="AC97" s="645">
        <f t="shared" ref="AC97:AH97" ca="1" si="224">AC$95+AC$96</f>
        <v>0</v>
      </c>
      <c r="AD97" s="645">
        <f t="shared" ca="1" si="224"/>
        <v>0</v>
      </c>
      <c r="AE97" s="645">
        <f t="shared" ca="1" si="224"/>
        <v>0</v>
      </c>
      <c r="AF97" s="645">
        <f t="shared" ca="1" si="224"/>
        <v>0</v>
      </c>
      <c r="AG97" s="645">
        <f t="shared" ca="1" si="224"/>
        <v>0</v>
      </c>
      <c r="AH97" s="645">
        <f t="shared" ca="1" si="22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-0.32521886006268502</v>
      </c>
      <c r="BF97" s="646">
        <f ca="1">SUM(AM97:BE97)</f>
        <v>-0.32521886006268502</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c r="A98" s="607"/>
      <c r="B98" s="607"/>
      <c r="C98" s="587" t="s">
        <v>578</v>
      </c>
      <c r="D98" s="611" t="s">
        <v>579</v>
      </c>
      <c r="E98" s="611"/>
      <c r="G98" s="619">
        <f t="shared" ref="G98:P98" ca="1" si="225">IFERROR(INDEX(INDIRECT($C98&amp;".Outputs["&amp;this.Year&amp;"]"), MATCH(G$5, INDIRECT($C98&amp;".Outputs[Vector]"), 0)), 0)</f>
        <v>0</v>
      </c>
      <c r="H98" s="619">
        <f t="shared" ca="1" si="225"/>
        <v>0</v>
      </c>
      <c r="I98" s="619">
        <f t="shared" ca="1" si="225"/>
        <v>0</v>
      </c>
      <c r="J98" s="619">
        <f t="shared" ca="1" si="225"/>
        <v>0</v>
      </c>
      <c r="K98" s="619">
        <f t="shared" ca="1" si="225"/>
        <v>0</v>
      </c>
      <c r="L98" s="619">
        <f t="shared" ca="1" si="225"/>
        <v>0</v>
      </c>
      <c r="M98" s="619">
        <f t="shared" ca="1" si="225"/>
        <v>0</v>
      </c>
      <c r="N98" s="619">
        <f t="shared" ca="1" si="225"/>
        <v>0</v>
      </c>
      <c r="O98" s="619">
        <f t="shared" ca="1" si="225"/>
        <v>0</v>
      </c>
      <c r="P98" s="619">
        <f t="shared" ca="1" si="225"/>
        <v>0</v>
      </c>
      <c r="Q98" s="612">
        <f ca="1">SUM(G98:P98)</f>
        <v>0</v>
      </c>
      <c r="S98" s="620">
        <f t="shared" ref="S98:AJ98" ca="1" si="226">IFERROR(INDEX(INDIRECT($C98&amp;".Outputs["&amp;this.Year&amp;"]"), MATCH(S$5, INDIRECT($C98&amp;".Outputs[Vector]"), 0)), 0)</f>
        <v>0</v>
      </c>
      <c r="T98" s="620">
        <f t="shared" ca="1" si="226"/>
        <v>0</v>
      </c>
      <c r="U98" s="620">
        <f t="shared" ca="1" si="226"/>
        <v>0.25</v>
      </c>
      <c r="V98" s="620">
        <f t="shared" ca="1" si="226"/>
        <v>1.0467</v>
      </c>
      <c r="W98" s="620">
        <f t="shared" ca="1" si="226"/>
        <v>0</v>
      </c>
      <c r="X98" s="620">
        <f t="shared" ca="1" si="226"/>
        <v>0</v>
      </c>
      <c r="Y98" s="620">
        <f t="shared" ca="1" si="226"/>
        <v>0</v>
      </c>
      <c r="Z98" s="620">
        <f t="shared" ca="1" si="226"/>
        <v>0</v>
      </c>
      <c r="AA98" s="620">
        <f t="shared" ca="1" si="226"/>
        <v>0</v>
      </c>
      <c r="AB98" s="620">
        <f t="shared" ca="1" si="226"/>
        <v>0</v>
      </c>
      <c r="AC98" s="620">
        <f t="shared" ca="1" si="226"/>
        <v>0</v>
      </c>
      <c r="AD98" s="620">
        <f t="shared" ca="1" si="226"/>
        <v>0</v>
      </c>
      <c r="AE98" s="620">
        <f t="shared" ca="1" si="226"/>
        <v>0</v>
      </c>
      <c r="AF98" s="620">
        <f t="shared" ca="1" si="226"/>
        <v>0</v>
      </c>
      <c r="AG98" s="620">
        <f t="shared" ca="1" si="226"/>
        <v>0</v>
      </c>
      <c r="AH98" s="620">
        <f t="shared" ca="1" si="226"/>
        <v>0</v>
      </c>
      <c r="AI98" s="620">
        <f t="shared" ca="1" si="226"/>
        <v>0</v>
      </c>
      <c r="AJ98" s="620">
        <f t="shared" ca="1" si="226"/>
        <v>0</v>
      </c>
      <c r="AK98" s="613">
        <f ca="1">SUM(S98:AJ98)</f>
        <v>1.2967</v>
      </c>
      <c r="AM98" s="621">
        <f t="shared" ref="AM98:BE98" ca="1" si="227">IFERROR(INDEX(INDIRECT($C98&amp;".Outputs["&amp;this.Year&amp;"]"), MATCH(AM$5, INDIRECT($C98&amp;".Outputs[Vector]"), 0)), 0)</f>
        <v>0</v>
      </c>
      <c r="AN98" s="621">
        <f t="shared" ca="1" si="227"/>
        <v>0</v>
      </c>
      <c r="AO98" s="621">
        <f t="shared" ca="1" si="227"/>
        <v>0</v>
      </c>
      <c r="AP98" s="621">
        <f t="shared" ca="1" si="227"/>
        <v>-1.2967</v>
      </c>
      <c r="AQ98" s="621">
        <f t="shared" ca="1" si="227"/>
        <v>0</v>
      </c>
      <c r="AR98" s="621">
        <f t="shared" ca="1" si="227"/>
        <v>0</v>
      </c>
      <c r="AS98" s="621">
        <f t="shared" ca="1" si="227"/>
        <v>0</v>
      </c>
      <c r="AT98" s="621">
        <f t="shared" ca="1" si="227"/>
        <v>0</v>
      </c>
      <c r="AU98" s="621">
        <f t="shared" ca="1" si="227"/>
        <v>0</v>
      </c>
      <c r="AV98" s="621">
        <f t="shared" ca="1" si="227"/>
        <v>0</v>
      </c>
      <c r="AW98" s="621">
        <f t="shared" ca="1" si="227"/>
        <v>0</v>
      </c>
      <c r="AX98" s="621">
        <f t="shared" ca="1" si="227"/>
        <v>0</v>
      </c>
      <c r="AY98" s="621">
        <f t="shared" ca="1" si="227"/>
        <v>0</v>
      </c>
      <c r="AZ98" s="621">
        <f t="shared" ca="1" si="227"/>
        <v>0</v>
      </c>
      <c r="BA98" s="621">
        <f t="shared" ca="1" si="227"/>
        <v>0</v>
      </c>
      <c r="BB98" s="621">
        <f t="shared" ca="1" si="227"/>
        <v>0</v>
      </c>
      <c r="BC98" s="621">
        <f t="shared" ca="1" si="227"/>
        <v>0</v>
      </c>
      <c r="BD98" s="621">
        <f t="shared" ca="1" si="227"/>
        <v>0</v>
      </c>
      <c r="BE98" s="621">
        <f t="shared" ca="1" si="227"/>
        <v>0</v>
      </c>
      <c r="BF98" s="615">
        <f ca="1">SUM(AM98:BE98)</f>
        <v>-1.2967</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28">IFERROR(SUMIFS(INDIRECT($C98&amp;".Emissions["&amp;this.Year&amp;"]"), INDIRECT($C98&amp;".Emissions[GHG]"), BO$6, INDIRECT($C98&amp;".Emissions[IPCC Sector]"), BO$5),0)</f>
        <v>0</v>
      </c>
      <c r="BP98" s="2792">
        <f t="shared" ca="1" si="228"/>
        <v>0</v>
      </c>
      <c r="BQ98" s="2792">
        <f t="shared" ca="1" si="228"/>
        <v>0</v>
      </c>
      <c r="BR98" s="2792">
        <f t="shared" ca="1" si="228"/>
        <v>0</v>
      </c>
      <c r="BS98" s="2792">
        <f t="shared" ca="1" si="228"/>
        <v>0</v>
      </c>
      <c r="BT98" s="2792">
        <f t="shared" ca="1" si="228"/>
        <v>0</v>
      </c>
      <c r="BU98" s="2792">
        <f t="shared" ca="1" si="228"/>
        <v>0</v>
      </c>
      <c r="BV98" s="2792">
        <f t="shared" ca="1" si="228"/>
        <v>0</v>
      </c>
      <c r="BW98" s="2792">
        <f t="shared" ca="1" si="228"/>
        <v>0</v>
      </c>
      <c r="BX98" s="2792">
        <f t="shared" ca="1" si="228"/>
        <v>0</v>
      </c>
      <c r="BY98" s="2792">
        <f t="shared" ca="1" si="228"/>
        <v>0</v>
      </c>
      <c r="BZ98" s="2792">
        <f t="shared" ca="1" si="228"/>
        <v>0</v>
      </c>
      <c r="CA98" s="2792">
        <f t="shared" ca="1" si="228"/>
        <v>0</v>
      </c>
      <c r="CB98" s="2792">
        <f t="shared" ca="1" si="228"/>
        <v>0</v>
      </c>
      <c r="CC98" s="2792">
        <f t="shared" ca="1" si="228"/>
        <v>0</v>
      </c>
      <c r="CD98" s="2792">
        <f t="shared" ca="1" si="228"/>
        <v>0</v>
      </c>
      <c r="CE98" s="2792">
        <f t="shared" ca="1" si="228"/>
        <v>0</v>
      </c>
      <c r="CF98" s="2792">
        <f t="shared" ca="1" si="228"/>
        <v>0</v>
      </c>
      <c r="CG98" s="2792">
        <f t="shared" ca="1" si="228"/>
        <v>0</v>
      </c>
      <c r="CH98" s="2792">
        <f t="shared" ca="1" si="228"/>
        <v>0</v>
      </c>
      <c r="CI98" s="2792">
        <f t="shared" ca="1" si="228"/>
        <v>0</v>
      </c>
      <c r="CJ98" s="2792">
        <f t="shared" ca="1" si="228"/>
        <v>0</v>
      </c>
      <c r="CK98" s="2792">
        <f t="shared" ca="1" si="228"/>
        <v>0</v>
      </c>
      <c r="CL98" s="2792">
        <f t="shared" ca="1" si="228"/>
        <v>0</v>
      </c>
      <c r="CM98" s="2792">
        <f t="shared" ca="1" si="228"/>
        <v>0</v>
      </c>
      <c r="CN98" s="2792">
        <f t="shared" ca="1" si="228"/>
        <v>0</v>
      </c>
      <c r="CO98" s="2792">
        <f t="shared" ca="1" si="228"/>
        <v>0</v>
      </c>
      <c r="CP98" s="2792">
        <f t="shared" ca="1" si="228"/>
        <v>0</v>
      </c>
      <c r="CQ98" s="2792">
        <f t="shared" ca="1" si="228"/>
        <v>0</v>
      </c>
      <c r="CR98" s="2792">
        <f t="shared" ca="1" si="228"/>
        <v>0</v>
      </c>
      <c r="CS98" s="2792">
        <f t="shared" ca="1" si="228"/>
        <v>0</v>
      </c>
      <c r="CT98" s="2792">
        <f t="shared" ca="1" si="228"/>
        <v>0</v>
      </c>
      <c r="CU98" s="2792">
        <f t="shared" ca="1" si="228"/>
        <v>0</v>
      </c>
      <c r="CV98" s="2792">
        <f t="shared" ca="1" si="228"/>
        <v>0</v>
      </c>
      <c r="CW98" s="2792">
        <f t="shared" ca="1" si="228"/>
        <v>0</v>
      </c>
      <c r="CX98" s="2792">
        <f t="shared" ca="1" si="228"/>
        <v>0</v>
      </c>
      <c r="CY98" s="2792">
        <f t="shared" ca="1" si="228"/>
        <v>-0.36060879599999995</v>
      </c>
      <c r="CZ98" s="2792">
        <f t="shared" ca="1" si="228"/>
        <v>0</v>
      </c>
      <c r="DA98" s="2792">
        <f t="shared" ca="1" si="228"/>
        <v>0</v>
      </c>
      <c r="DB98" s="2792">
        <f t="shared" ca="1" si="228"/>
        <v>0</v>
      </c>
      <c r="DC98" s="2792">
        <f t="shared" ca="1" si="228"/>
        <v>0</v>
      </c>
      <c r="DD98" s="2792">
        <f t="shared" ca="1" si="228"/>
        <v>0</v>
      </c>
      <c r="DE98" s="2792">
        <f t="shared" ca="1" si="228"/>
        <v>0</v>
      </c>
      <c r="DF98" s="2792">
        <f t="shared" ca="1" si="228"/>
        <v>0</v>
      </c>
      <c r="DH98" s="596">
        <f ca="1">SUM(BO98:DF98)</f>
        <v>-0.36060879599999995</v>
      </c>
    </row>
    <row r="99" spans="1:112" s="6" customFormat="1" ht="15.75">
      <c r="A99" s="4"/>
      <c r="B99" s="3"/>
      <c r="C99" s="616" t="s">
        <v>580</v>
      </c>
      <c r="D99" s="617" t="s">
        <v>581</v>
      </c>
      <c r="E99" s="206"/>
      <c r="G99" s="618">
        <f ca="1">G$96+G98</f>
        <v>0</v>
      </c>
      <c r="H99" s="618">
        <f t="shared" ref="H99:P99" ca="1" si="229">H$96+H98</f>
        <v>0</v>
      </c>
      <c r="I99" s="618">
        <f t="shared" ca="1" si="229"/>
        <v>0</v>
      </c>
      <c r="J99" s="618">
        <f t="shared" ca="1" si="229"/>
        <v>0</v>
      </c>
      <c r="K99" s="618">
        <f t="shared" ca="1" si="229"/>
        <v>0</v>
      </c>
      <c r="L99" s="618">
        <f t="shared" ca="1" si="229"/>
        <v>0</v>
      </c>
      <c r="M99" s="618">
        <f t="shared" ca="1" si="229"/>
        <v>0</v>
      </c>
      <c r="N99" s="618">
        <f t="shared" ca="1" si="229"/>
        <v>0</v>
      </c>
      <c r="O99" s="618">
        <f t="shared" ca="1" si="229"/>
        <v>0</v>
      </c>
      <c r="P99" s="618">
        <f t="shared" ca="1" si="229"/>
        <v>0</v>
      </c>
      <c r="Q99" s="618">
        <f ca="1">SUM(G99:P99)</f>
        <v>0</v>
      </c>
      <c r="S99" s="581">
        <f t="shared" ref="S99:AJ99" ca="1" si="230">S$96+S98</f>
        <v>0</v>
      </c>
      <c r="T99" s="581">
        <f t="shared" ca="1" si="230"/>
        <v>0</v>
      </c>
      <c r="U99" s="581">
        <f t="shared" ca="1" si="230"/>
        <v>3.8497577180337856</v>
      </c>
      <c r="V99" s="581">
        <f t="shared" ca="1" si="230"/>
        <v>1.101728044762011</v>
      </c>
      <c r="W99" s="581">
        <f t="shared" ca="1" si="230"/>
        <v>0.36184126233438352</v>
      </c>
      <c r="X99" s="581">
        <f t="shared" ca="1" si="230"/>
        <v>0</v>
      </c>
      <c r="Y99" s="581">
        <f t="shared" ca="1" si="230"/>
        <v>0</v>
      </c>
      <c r="Z99" s="581">
        <f t="shared" ca="1" si="230"/>
        <v>0</v>
      </c>
      <c r="AA99" s="581">
        <f t="shared" ca="1" si="230"/>
        <v>0</v>
      </c>
      <c r="AB99" s="581">
        <f t="shared" ca="1" si="230"/>
        <v>0</v>
      </c>
      <c r="AC99" s="581">
        <f t="shared" ca="1" si="230"/>
        <v>0</v>
      </c>
      <c r="AD99" s="581">
        <f ca="1">AD$96+AD98</f>
        <v>-2.9254922797006762</v>
      </c>
      <c r="AE99" s="581">
        <f ca="1">AE$96+AE98</f>
        <v>-0.17750982181293876</v>
      </c>
      <c r="AF99" s="581">
        <f t="shared" ca="1" si="230"/>
        <v>-1.0742385181146412</v>
      </c>
      <c r="AG99" s="581">
        <f t="shared" ca="1" si="230"/>
        <v>-0.30315030492522765</v>
      </c>
      <c r="AH99" s="581">
        <f ca="1">AH$96+AH98</f>
        <v>-0.13447853364046278</v>
      </c>
      <c r="AI99" s="581">
        <f t="shared" ca="1" si="230"/>
        <v>0</v>
      </c>
      <c r="AJ99" s="581">
        <f t="shared" ca="1" si="230"/>
        <v>0</v>
      </c>
      <c r="AK99" s="581">
        <f ca="1">SUM(S99:AJ99)</f>
        <v>0.69845756693623329</v>
      </c>
      <c r="AM99" s="582">
        <f t="shared" ref="AM99:BE99" ca="1" si="231">AM$96+AM98</f>
        <v>0</v>
      </c>
      <c r="AN99" s="582">
        <f t="shared" ca="1" si="231"/>
        <v>0</v>
      </c>
      <c r="AO99" s="582">
        <f t="shared" ca="1" si="231"/>
        <v>0</v>
      </c>
      <c r="AP99" s="582">
        <f t="shared" ca="1" si="231"/>
        <v>-1.2967</v>
      </c>
      <c r="AQ99" s="582">
        <f t="shared" ca="1" si="231"/>
        <v>0</v>
      </c>
      <c r="AR99" s="582">
        <f t="shared" ca="1" si="231"/>
        <v>0</v>
      </c>
      <c r="AS99" s="582">
        <f t="shared" ca="1" si="231"/>
        <v>0</v>
      </c>
      <c r="AT99" s="582">
        <f t="shared" ca="1" si="231"/>
        <v>0</v>
      </c>
      <c r="AU99" s="582">
        <f t="shared" ca="1" si="231"/>
        <v>0</v>
      </c>
      <c r="AV99" s="582">
        <f t="shared" ca="1" si="231"/>
        <v>0</v>
      </c>
      <c r="AW99" s="582">
        <f t="shared" ca="1" si="231"/>
        <v>0</v>
      </c>
      <c r="AX99" s="582">
        <f t="shared" ca="1" si="231"/>
        <v>0</v>
      </c>
      <c r="AY99" s="582">
        <f t="shared" ca="1" si="231"/>
        <v>0</v>
      </c>
      <c r="AZ99" s="582">
        <f t="shared" ca="1" si="231"/>
        <v>0</v>
      </c>
      <c r="BA99" s="582">
        <f t="shared" ca="1" si="231"/>
        <v>0</v>
      </c>
      <c r="BB99" s="582">
        <f t="shared" ca="1" si="231"/>
        <v>0</v>
      </c>
      <c r="BC99" s="582">
        <f t="shared" ca="1" si="231"/>
        <v>0</v>
      </c>
      <c r="BD99" s="582">
        <f t="shared" ca="1" si="231"/>
        <v>0</v>
      </c>
      <c r="BE99" s="582">
        <f t="shared" ca="1" si="231"/>
        <v>0</v>
      </c>
      <c r="BF99" s="582">
        <f ca="1">SUM(AM99:BE99)</f>
        <v>-1.2967</v>
      </c>
      <c r="BH99" s="3463">
        <f ca="1">BH$96+BH98</f>
        <v>0.59824243306376701</v>
      </c>
      <c r="BI99" s="3463">
        <f ca="1">BI$96+BI98</f>
        <v>0</v>
      </c>
      <c r="BJ99" s="3463">
        <f ca="1">SUM(BH99:BI99)</f>
        <v>0.59824243306376701</v>
      </c>
      <c r="BL99" s="3477">
        <f ca="1">Q99+AK99+BF99+BJ99</f>
        <v>0</v>
      </c>
      <c r="BM99" s="584"/>
      <c r="BN99" s="413"/>
      <c r="BO99" s="2790">
        <f t="shared" ref="BO99:DF99" ca="1" si="232">BO$96+BO98</f>
        <v>0</v>
      </c>
      <c r="BP99" s="2790">
        <f t="shared" ca="1" si="232"/>
        <v>0</v>
      </c>
      <c r="BQ99" s="2790">
        <f t="shared" ca="1" si="232"/>
        <v>0</v>
      </c>
      <c r="BR99" s="2790">
        <f t="shared" ca="1" si="232"/>
        <v>0</v>
      </c>
      <c r="BS99" s="2790">
        <f t="shared" ca="1" si="232"/>
        <v>0</v>
      </c>
      <c r="BT99" s="2790">
        <f t="shared" ca="1" si="232"/>
        <v>0</v>
      </c>
      <c r="BU99" s="2790">
        <f t="shared" ca="1" si="232"/>
        <v>0</v>
      </c>
      <c r="BV99" s="2790">
        <f t="shared" ca="1" si="232"/>
        <v>0</v>
      </c>
      <c r="BW99" s="2790">
        <f t="shared" ca="1" si="232"/>
        <v>0</v>
      </c>
      <c r="BX99" s="2790">
        <f t="shared" ca="1" si="232"/>
        <v>0</v>
      </c>
      <c r="BY99" s="2790">
        <f t="shared" ca="1" si="232"/>
        <v>0</v>
      </c>
      <c r="BZ99" s="2790">
        <f t="shared" ca="1" si="232"/>
        <v>0</v>
      </c>
      <c r="CA99" s="2790">
        <f t="shared" ca="1" si="232"/>
        <v>0</v>
      </c>
      <c r="CB99" s="2790">
        <f t="shared" ca="1" si="232"/>
        <v>0</v>
      </c>
      <c r="CC99" s="2790">
        <f t="shared" ca="1" si="232"/>
        <v>0</v>
      </c>
      <c r="CD99" s="2790">
        <f t="shared" ca="1" si="232"/>
        <v>0</v>
      </c>
      <c r="CE99" s="2790">
        <f t="shared" ca="1" si="232"/>
        <v>0</v>
      </c>
      <c r="CF99" s="2790">
        <f t="shared" ca="1" si="232"/>
        <v>0</v>
      </c>
      <c r="CG99" s="2790">
        <f t="shared" ca="1" si="232"/>
        <v>0</v>
      </c>
      <c r="CH99" s="2790">
        <f t="shared" ca="1" si="232"/>
        <v>0</v>
      </c>
      <c r="CI99" s="2790">
        <f t="shared" ca="1" si="232"/>
        <v>0</v>
      </c>
      <c r="CJ99" s="2790">
        <f t="shared" ca="1" si="232"/>
        <v>0</v>
      </c>
      <c r="CK99" s="2790">
        <f t="shared" ca="1" si="232"/>
        <v>0</v>
      </c>
      <c r="CL99" s="2790">
        <f t="shared" ca="1" si="232"/>
        <v>0</v>
      </c>
      <c r="CM99" s="2790">
        <f t="shared" ca="1" si="232"/>
        <v>0</v>
      </c>
      <c r="CN99" s="2790">
        <f t="shared" ca="1" si="232"/>
        <v>0</v>
      </c>
      <c r="CO99" s="2790">
        <f t="shared" ca="1" si="232"/>
        <v>0</v>
      </c>
      <c r="CP99" s="2790">
        <f t="shared" ca="1" si="232"/>
        <v>0</v>
      </c>
      <c r="CQ99" s="2790">
        <f t="shared" ca="1" si="232"/>
        <v>0</v>
      </c>
      <c r="CR99" s="2790">
        <f t="shared" ca="1" si="232"/>
        <v>0</v>
      </c>
      <c r="CS99" s="2790">
        <f t="shared" ca="1" si="232"/>
        <v>0</v>
      </c>
      <c r="CT99" s="2790">
        <f t="shared" ca="1" si="232"/>
        <v>0</v>
      </c>
      <c r="CU99" s="2790">
        <f t="shared" ca="1" si="232"/>
        <v>0</v>
      </c>
      <c r="CV99" s="2790">
        <f t="shared" ca="1" si="232"/>
        <v>0</v>
      </c>
      <c r="CW99" s="2790">
        <f t="shared" ca="1" si="232"/>
        <v>0</v>
      </c>
      <c r="CX99" s="2790">
        <f t="shared" ca="1" si="232"/>
        <v>0</v>
      </c>
      <c r="CY99" s="2790">
        <f t="shared" ca="1" si="232"/>
        <v>-1.6645650140674992</v>
      </c>
      <c r="CZ99" s="2790">
        <f t="shared" ca="1" si="232"/>
        <v>0</v>
      </c>
      <c r="DA99" s="2790">
        <f t="shared" ca="1" si="232"/>
        <v>0</v>
      </c>
      <c r="DB99" s="2790">
        <f t="shared" ca="1" si="232"/>
        <v>0</v>
      </c>
      <c r="DC99" s="2790">
        <f t="shared" ca="1" si="232"/>
        <v>0</v>
      </c>
      <c r="DD99" s="2790">
        <f t="shared" ca="1" si="232"/>
        <v>0</v>
      </c>
      <c r="DE99" s="2790">
        <f t="shared" ca="1" si="232"/>
        <v>0</v>
      </c>
      <c r="DF99" s="2790">
        <f t="shared" ca="1" si="232"/>
        <v>0</v>
      </c>
      <c r="DH99" s="596">
        <f t="shared" ca="1" si="218"/>
        <v>-1.6645650140674992</v>
      </c>
    </row>
    <row r="100" spans="1:112" s="4" customFormat="1" ht="15.75">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18"/>
        <v>0</v>
      </c>
    </row>
    <row r="101" spans="1:112" s="652" customFormat="1">
      <c r="C101" s="667" t="s">
        <v>582</v>
      </c>
      <c r="D101" s="641" t="s">
        <v>574</v>
      </c>
      <c r="E101" s="685"/>
      <c r="G101" s="643"/>
      <c r="H101" s="643"/>
      <c r="I101" s="643"/>
      <c r="J101" s="643"/>
      <c r="K101" s="644"/>
      <c r="L101" s="643"/>
      <c r="M101" s="643"/>
      <c r="N101" s="643"/>
      <c r="O101" s="643"/>
      <c r="P101" s="643"/>
      <c r="Q101" s="704"/>
      <c r="R101" s="639"/>
      <c r="S101" s="645">
        <f ca="1">(S$40+S$84+S$93+S$99)</f>
        <v>-24.359054991474284</v>
      </c>
      <c r="T101" s="645">
        <f ca="1">(T$40+T$84+T$93+T$99)</f>
        <v>24.359054991474284</v>
      </c>
      <c r="U101" s="645">
        <f ca="1">(U$40+U$84+U$93+U$99)</f>
        <v>-20.433572225892757</v>
      </c>
      <c r="V101" s="645">
        <f ca="1">(V$40+V$84+V$93+V$99)</f>
        <v>-70.428965076712089</v>
      </c>
      <c r="W101" s="645">
        <f ca="1">(W$40+W$84+W$93+W$99)</f>
        <v>-46.699297589470589</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18"/>
        <v>0</v>
      </c>
    </row>
    <row r="102" spans="1:112" s="607" customFormat="1">
      <c r="B102" s="705"/>
      <c r="C102" s="651" t="s">
        <v>583</v>
      </c>
      <c r="D102" s="588" t="s">
        <v>584</v>
      </c>
      <c r="E102" s="588"/>
      <c r="F102" s="6"/>
      <c r="G102" s="659">
        <f t="shared" ref="G102:P102" ca="1" si="233">IFERROR(INDEX(INDIRECT($C102&amp;".Outputs["&amp;this.Year&amp;"]"), MATCH(G$5, INDIRECT($C102&amp;".Outputs[Vector]"), 0)), 0)</f>
        <v>0</v>
      </c>
      <c r="H102" s="659">
        <f t="shared" ca="1" si="233"/>
        <v>0</v>
      </c>
      <c r="I102" s="659">
        <f t="shared" ca="1" si="233"/>
        <v>0</v>
      </c>
      <c r="J102" s="659">
        <f t="shared" ca="1" si="233"/>
        <v>0</v>
      </c>
      <c r="K102" s="706">
        <f t="shared" ca="1" si="233"/>
        <v>0</v>
      </c>
      <c r="L102" s="659">
        <f t="shared" ca="1" si="233"/>
        <v>0</v>
      </c>
      <c r="M102" s="659">
        <f t="shared" ca="1" si="233"/>
        <v>0</v>
      </c>
      <c r="N102" s="659">
        <f t="shared" ca="1" si="233"/>
        <v>0</v>
      </c>
      <c r="O102" s="659">
        <f t="shared" ca="1" si="233"/>
        <v>0</v>
      </c>
      <c r="P102" s="659">
        <f t="shared" ca="1" si="233"/>
        <v>0</v>
      </c>
      <c r="Q102" s="707">
        <f ca="1">SUM(G102:P102)</f>
        <v>0</v>
      </c>
      <c r="R102" s="6"/>
      <c r="S102" s="661">
        <f t="shared" ref="S102:AJ102" ca="1" si="234">IFERROR(INDEX(INDIRECT($C102&amp;".Outputs["&amp;this.Year&amp;"]"), MATCH(S$5, INDIRECT($C102&amp;".Outputs[Vector]"), 0)), 0)</f>
        <v>0</v>
      </c>
      <c r="T102" s="661">
        <f t="shared" ca="1" si="234"/>
        <v>0</v>
      </c>
      <c r="U102" s="661">
        <f t="shared" ca="1" si="234"/>
        <v>20.433572225892757</v>
      </c>
      <c r="V102" s="661">
        <f t="shared" ca="1" si="234"/>
        <v>70.428965076712089</v>
      </c>
      <c r="W102" s="661">
        <f t="shared" ca="1" si="234"/>
        <v>46.699297589470589</v>
      </c>
      <c r="X102" s="661">
        <f t="shared" ca="1" si="234"/>
        <v>-20.433572225892757</v>
      </c>
      <c r="Y102" s="661">
        <f t="shared" ca="1" si="234"/>
        <v>-70.428965076712089</v>
      </c>
      <c r="Z102" s="661">
        <f t="shared" ca="1" si="234"/>
        <v>-47.39978705331265</v>
      </c>
      <c r="AA102" s="661">
        <f t="shared" ca="1" si="234"/>
        <v>0</v>
      </c>
      <c r="AB102" s="661">
        <f t="shared" ca="1" si="234"/>
        <v>0</v>
      </c>
      <c r="AC102" s="661">
        <f t="shared" ca="1" si="234"/>
        <v>0</v>
      </c>
      <c r="AD102" s="661">
        <f t="shared" ca="1" si="234"/>
        <v>0</v>
      </c>
      <c r="AE102" s="661">
        <f t="shared" ca="1" si="234"/>
        <v>0</v>
      </c>
      <c r="AF102" s="661">
        <f t="shared" ca="1" si="234"/>
        <v>0</v>
      </c>
      <c r="AG102" s="661">
        <f t="shared" ca="1" si="234"/>
        <v>0</v>
      </c>
      <c r="AH102" s="661">
        <f t="shared" ca="1" si="234"/>
        <v>0</v>
      </c>
      <c r="AI102" s="661">
        <f t="shared" ca="1" si="234"/>
        <v>0</v>
      </c>
      <c r="AJ102" s="661">
        <f t="shared" ca="1" si="234"/>
        <v>0</v>
      </c>
      <c r="AK102" s="661">
        <f ca="1">SUM(S102:AJ102)</f>
        <v>-0.7004894638420609</v>
      </c>
      <c r="AL102" s="6"/>
      <c r="AM102" s="609">
        <f t="shared" ref="AM102:BE102" ca="1" si="235">IFERROR(INDEX(INDIRECT($C102&amp;".Outputs["&amp;this.Year&amp;"]"), MATCH(AM$5, INDIRECT($C102&amp;".Outputs[Vector]"), 0)), 0)</f>
        <v>0</v>
      </c>
      <c r="AN102" s="609">
        <f t="shared" ca="1" si="235"/>
        <v>0</v>
      </c>
      <c r="AO102" s="609">
        <f t="shared" ca="1" si="235"/>
        <v>0</v>
      </c>
      <c r="AP102" s="609">
        <f t="shared" ca="1" si="235"/>
        <v>0</v>
      </c>
      <c r="AQ102" s="609">
        <f t="shared" ca="1" si="235"/>
        <v>0</v>
      </c>
      <c r="AR102" s="609">
        <f t="shared" ca="1" si="235"/>
        <v>0</v>
      </c>
      <c r="AS102" s="609">
        <f t="shared" ca="1" si="235"/>
        <v>0</v>
      </c>
      <c r="AT102" s="609">
        <f t="shared" ca="1" si="235"/>
        <v>0</v>
      </c>
      <c r="AU102" s="609">
        <f t="shared" ca="1" si="235"/>
        <v>0</v>
      </c>
      <c r="AV102" s="609">
        <f t="shared" ca="1" si="235"/>
        <v>0</v>
      </c>
      <c r="AW102" s="609">
        <f t="shared" ca="1" si="235"/>
        <v>0</v>
      </c>
      <c r="AX102" s="609">
        <f t="shared" ca="1" si="235"/>
        <v>0</v>
      </c>
      <c r="AY102" s="609">
        <f t="shared" ca="1" si="235"/>
        <v>0</v>
      </c>
      <c r="AZ102" s="609">
        <f t="shared" ca="1" si="235"/>
        <v>0</v>
      </c>
      <c r="BA102" s="609">
        <f t="shared" ca="1" si="235"/>
        <v>0</v>
      </c>
      <c r="BB102" s="609">
        <f t="shared" ca="1" si="235"/>
        <v>0</v>
      </c>
      <c r="BC102" s="609">
        <f t="shared" ca="1" si="235"/>
        <v>0</v>
      </c>
      <c r="BD102" s="609">
        <f t="shared" ca="1" si="235"/>
        <v>0</v>
      </c>
      <c r="BE102" s="609">
        <f t="shared" ca="1" si="23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0.70048946384205879</v>
      </c>
      <c r="BJ102" s="664">
        <f ca="1">SUM(BH102:BI102)</f>
        <v>0.70048946384205879</v>
      </c>
      <c r="BK102" s="6"/>
      <c r="BL102" s="3477">
        <f t="shared" ref="BL102:BL109" ca="1" si="236">Q102+AK102+BF102+BJ102</f>
        <v>-2.1094237467877974E-15</v>
      </c>
      <c r="BM102" s="610"/>
      <c r="BO102" s="2789">
        <f t="shared" ref="BO102:BX103" ca="1" si="237">IFERROR(SUMIFS(INDIRECT($C102&amp;".Emissions["&amp;this.Year&amp;"]"), INDIRECT($C102&amp;".Emissions[GHG]"), BO$6, INDIRECT($C102&amp;".Emissions[IPCC Sector]"), BO$5),0)</f>
        <v>0</v>
      </c>
      <c r="BP102" s="2790">
        <f t="shared" ca="1" si="237"/>
        <v>0</v>
      </c>
      <c r="BQ102" s="2790">
        <f t="shared" ca="1" si="237"/>
        <v>0</v>
      </c>
      <c r="BR102" s="2790">
        <f t="shared" ca="1" si="237"/>
        <v>0</v>
      </c>
      <c r="BS102" s="2790">
        <f t="shared" ca="1" si="237"/>
        <v>0</v>
      </c>
      <c r="BT102" s="2790">
        <f t="shared" ca="1" si="237"/>
        <v>2.0366150823557673E-2</v>
      </c>
      <c r="BU102" s="2790">
        <f t="shared" ca="1" si="237"/>
        <v>0</v>
      </c>
      <c r="BV102" s="2790">
        <f t="shared" ca="1" si="237"/>
        <v>0</v>
      </c>
      <c r="BW102" s="2790">
        <f t="shared" ca="1" si="237"/>
        <v>0</v>
      </c>
      <c r="BX102" s="2790">
        <f t="shared" ca="1" si="237"/>
        <v>0</v>
      </c>
      <c r="BY102" s="2790">
        <f t="shared" ref="BY102:CH103" ca="1" si="238">IFERROR(SUMIFS(INDIRECT($C102&amp;".Emissions["&amp;this.Year&amp;"]"), INDIRECT($C102&amp;".Emissions[GHG]"), BY$6, INDIRECT($C102&amp;".Emissions[IPCC Sector]"), BY$5),0)</f>
        <v>0</v>
      </c>
      <c r="BZ102" s="2790">
        <f t="shared" ca="1" si="238"/>
        <v>0</v>
      </c>
      <c r="CA102" s="2790">
        <f t="shared" ca="1" si="238"/>
        <v>0</v>
      </c>
      <c r="CB102" s="2790">
        <f t="shared" ca="1" si="238"/>
        <v>0</v>
      </c>
      <c r="CC102" s="2790">
        <f t="shared" ca="1" si="238"/>
        <v>0</v>
      </c>
      <c r="CD102" s="2790">
        <f t="shared" ca="1" si="238"/>
        <v>0</v>
      </c>
      <c r="CE102" s="2790">
        <f t="shared" ca="1" si="238"/>
        <v>0</v>
      </c>
      <c r="CF102" s="2790">
        <f t="shared" ca="1" si="238"/>
        <v>0</v>
      </c>
      <c r="CG102" s="2790">
        <f t="shared" ca="1" si="238"/>
        <v>0</v>
      </c>
      <c r="CH102" s="2790">
        <f t="shared" ca="1" si="238"/>
        <v>0</v>
      </c>
      <c r="CI102" s="2790">
        <f t="shared" ref="CI102:CR103" ca="1" si="239">IFERROR(SUMIFS(INDIRECT($C102&amp;".Emissions["&amp;this.Year&amp;"]"), INDIRECT($C102&amp;".Emissions[GHG]"), CI$6, INDIRECT($C102&amp;".Emissions[IPCC Sector]"), CI$5),0)</f>
        <v>0</v>
      </c>
      <c r="CJ102" s="2790">
        <f t="shared" ca="1" si="239"/>
        <v>0</v>
      </c>
      <c r="CK102" s="2790">
        <f t="shared" ca="1" si="239"/>
        <v>0</v>
      </c>
      <c r="CL102" s="2790">
        <f t="shared" ca="1" si="239"/>
        <v>0</v>
      </c>
      <c r="CM102" s="2790">
        <f t="shared" ca="1" si="239"/>
        <v>0</v>
      </c>
      <c r="CN102" s="2790">
        <f t="shared" ca="1" si="239"/>
        <v>0</v>
      </c>
      <c r="CO102" s="2790">
        <f t="shared" ca="1" si="239"/>
        <v>0</v>
      </c>
      <c r="CP102" s="2790">
        <f t="shared" ca="1" si="239"/>
        <v>0</v>
      </c>
      <c r="CQ102" s="2790">
        <f t="shared" ca="1" si="239"/>
        <v>0</v>
      </c>
      <c r="CR102" s="2790">
        <f t="shared" ca="1" si="239"/>
        <v>0</v>
      </c>
      <c r="CS102" s="2790">
        <f t="shared" ref="CS102:DF103" ca="1" si="240">IFERROR(SUMIFS(INDIRECT($C102&amp;".Emissions["&amp;this.Year&amp;"]"), INDIRECT($C102&amp;".Emissions[GHG]"), CS$6, INDIRECT($C102&amp;".Emissions[IPCC Sector]"), CS$5),0)</f>
        <v>0</v>
      </c>
      <c r="CT102" s="2790">
        <f t="shared" ca="1" si="240"/>
        <v>0</v>
      </c>
      <c r="CU102" s="2790">
        <f t="shared" ca="1" si="240"/>
        <v>0</v>
      </c>
      <c r="CV102" s="2790">
        <f t="shared" ca="1" si="240"/>
        <v>0</v>
      </c>
      <c r="CW102" s="2790">
        <f t="shared" ca="1" si="240"/>
        <v>0</v>
      </c>
      <c r="CX102" s="2790">
        <f t="shared" ca="1" si="240"/>
        <v>0</v>
      </c>
      <c r="CY102" s="2790">
        <f t="shared" ca="1" si="240"/>
        <v>0</v>
      </c>
      <c r="CZ102" s="2790">
        <f t="shared" ca="1" si="240"/>
        <v>0</v>
      </c>
      <c r="DA102" s="2790">
        <f t="shared" ca="1" si="240"/>
        <v>0</v>
      </c>
      <c r="DB102" s="2790">
        <f t="shared" ca="1" si="240"/>
        <v>0</v>
      </c>
      <c r="DC102" s="2790">
        <f t="shared" ca="1" si="240"/>
        <v>0</v>
      </c>
      <c r="DD102" s="2790">
        <f t="shared" ca="1" si="240"/>
        <v>0</v>
      </c>
      <c r="DE102" s="2790">
        <f t="shared" ca="1" si="240"/>
        <v>0</v>
      </c>
      <c r="DF102" s="2790">
        <f t="shared" ca="1" si="240"/>
        <v>0</v>
      </c>
      <c r="DH102" s="596">
        <f t="shared" ca="1" si="218"/>
        <v>2.0366150823557673E-2</v>
      </c>
    </row>
    <row r="103" spans="1:112" s="607" customFormat="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0</v>
      </c>
      <c r="U103" s="711"/>
      <c r="V103" s="711"/>
      <c r="W103" s="711"/>
      <c r="X103" s="711">
        <f ca="1">-(X$40+X$84+X$93+X$99+X$102)</f>
        <v>13.367884225892757</v>
      </c>
      <c r="Y103" s="711">
        <f ca="1">-(Y$40+Y$84+Y$93+Y$99+Y$102)</f>
        <v>70.428965076712089</v>
      </c>
      <c r="Z103" s="711">
        <f ca="1">-(Z$40+Z$84+Z$93+Z$99+Z$102)</f>
        <v>45.644258801899632</v>
      </c>
      <c r="AA103" s="711"/>
      <c r="AB103" s="711"/>
      <c r="AC103" s="711"/>
      <c r="AD103" s="711"/>
      <c r="AE103" s="711"/>
      <c r="AF103" s="711"/>
      <c r="AG103" s="711"/>
      <c r="AH103" s="711"/>
      <c r="AI103" s="711"/>
      <c r="AJ103" s="711"/>
      <c r="AK103" s="711">
        <f ca="1">SUM(S103:AJ103)</f>
        <v>129.44110810450448</v>
      </c>
      <c r="AL103" s="6"/>
      <c r="AM103" s="615"/>
      <c r="AN103" s="615"/>
      <c r="AO103" s="615"/>
      <c r="AP103" s="615"/>
      <c r="AQ103" s="615">
        <f ca="1">-T103</f>
        <v>0</v>
      </c>
      <c r="AR103" s="615">
        <f>-V103</f>
        <v>0</v>
      </c>
      <c r="AS103" s="615">
        <f ca="1">-X103</f>
        <v>-13.367884225892757</v>
      </c>
      <c r="AT103" s="615">
        <f ca="1">-Y103</f>
        <v>-70.428965076712089</v>
      </c>
      <c r="AU103" s="615">
        <f ca="1">-Z103</f>
        <v>-45.644258801899632</v>
      </c>
      <c r="AV103" s="615"/>
      <c r="AW103" s="615"/>
      <c r="AX103" s="615"/>
      <c r="AY103" s="615"/>
      <c r="AZ103" s="615"/>
      <c r="BA103" s="615"/>
      <c r="BB103" s="615"/>
      <c r="BC103" s="615"/>
      <c r="BD103" s="615"/>
      <c r="BE103" s="615"/>
      <c r="BF103" s="615">
        <f ca="1">SUM(AM103:BE103)</f>
        <v>-129.44110810450448</v>
      </c>
      <c r="BG103" s="6"/>
      <c r="BH103" s="712"/>
      <c r="BI103" s="712"/>
      <c r="BJ103" s="712">
        <f>SUM(BH103:BI103)</f>
        <v>0</v>
      </c>
      <c r="BK103" s="6"/>
      <c r="BL103" s="3477">
        <f t="shared" ca="1" si="236"/>
        <v>0</v>
      </c>
      <c r="BM103" s="610"/>
      <c r="BO103" s="2791">
        <f t="shared" ca="1" si="237"/>
        <v>0</v>
      </c>
      <c r="BP103" s="2792">
        <f t="shared" ca="1" si="237"/>
        <v>0</v>
      </c>
      <c r="BQ103" s="2792">
        <f t="shared" ca="1" si="237"/>
        <v>0</v>
      </c>
      <c r="BR103" s="2792">
        <f t="shared" ca="1" si="237"/>
        <v>0</v>
      </c>
      <c r="BS103" s="2792">
        <f t="shared" ca="1" si="237"/>
        <v>0</v>
      </c>
      <c r="BT103" s="2792">
        <f t="shared" ca="1" si="237"/>
        <v>0</v>
      </c>
      <c r="BU103" s="2792">
        <f t="shared" ca="1" si="237"/>
        <v>0</v>
      </c>
      <c r="BV103" s="2792">
        <f t="shared" ca="1" si="237"/>
        <v>0</v>
      </c>
      <c r="BW103" s="2792">
        <f t="shared" ca="1" si="237"/>
        <v>0</v>
      </c>
      <c r="BX103" s="2792">
        <f t="shared" ca="1" si="237"/>
        <v>0</v>
      </c>
      <c r="BY103" s="2792">
        <f t="shared" ca="1" si="238"/>
        <v>0</v>
      </c>
      <c r="BZ103" s="2792">
        <f t="shared" ca="1" si="238"/>
        <v>0</v>
      </c>
      <c r="CA103" s="2792">
        <f t="shared" ca="1" si="238"/>
        <v>0</v>
      </c>
      <c r="CB103" s="2792">
        <f t="shared" ca="1" si="238"/>
        <v>0</v>
      </c>
      <c r="CC103" s="2792">
        <f t="shared" ca="1" si="238"/>
        <v>0</v>
      </c>
      <c r="CD103" s="2792">
        <f t="shared" ca="1" si="238"/>
        <v>0</v>
      </c>
      <c r="CE103" s="2792">
        <f t="shared" ca="1" si="238"/>
        <v>0</v>
      </c>
      <c r="CF103" s="2792">
        <f t="shared" ca="1" si="238"/>
        <v>0</v>
      </c>
      <c r="CG103" s="2792">
        <f t="shared" ca="1" si="238"/>
        <v>0</v>
      </c>
      <c r="CH103" s="2792">
        <f t="shared" ca="1" si="238"/>
        <v>0</v>
      </c>
      <c r="CI103" s="2792">
        <f t="shared" ca="1" si="239"/>
        <v>0</v>
      </c>
      <c r="CJ103" s="2792">
        <f t="shared" ca="1" si="239"/>
        <v>0</v>
      </c>
      <c r="CK103" s="2792">
        <f t="shared" ca="1" si="239"/>
        <v>0</v>
      </c>
      <c r="CL103" s="2792">
        <f t="shared" ca="1" si="239"/>
        <v>0</v>
      </c>
      <c r="CM103" s="2792">
        <f t="shared" ca="1" si="239"/>
        <v>0</v>
      </c>
      <c r="CN103" s="2792">
        <f t="shared" ca="1" si="239"/>
        <v>0</v>
      </c>
      <c r="CO103" s="2792">
        <f t="shared" ca="1" si="239"/>
        <v>0</v>
      </c>
      <c r="CP103" s="2792">
        <f t="shared" ca="1" si="239"/>
        <v>0</v>
      </c>
      <c r="CQ103" s="2792">
        <f t="shared" ca="1" si="239"/>
        <v>0</v>
      </c>
      <c r="CR103" s="2792">
        <f t="shared" ca="1" si="239"/>
        <v>0</v>
      </c>
      <c r="CS103" s="2792">
        <f t="shared" ca="1" si="240"/>
        <v>0</v>
      </c>
      <c r="CT103" s="2792">
        <f t="shared" ca="1" si="240"/>
        <v>0</v>
      </c>
      <c r="CU103" s="2792">
        <f t="shared" ca="1" si="240"/>
        <v>0</v>
      </c>
      <c r="CV103" s="2792">
        <f t="shared" ca="1" si="240"/>
        <v>0</v>
      </c>
      <c r="CW103" s="2792">
        <f t="shared" ca="1" si="240"/>
        <v>0</v>
      </c>
      <c r="CX103" s="2792">
        <f t="shared" ca="1" si="240"/>
        <v>0</v>
      </c>
      <c r="CY103" s="2792">
        <f t="shared" ca="1" si="240"/>
        <v>0</v>
      </c>
      <c r="CZ103" s="2792">
        <f t="shared" ca="1" si="240"/>
        <v>0</v>
      </c>
      <c r="DA103" s="2792">
        <f t="shared" ca="1" si="240"/>
        <v>0</v>
      </c>
      <c r="DB103" s="2792">
        <f t="shared" ca="1" si="240"/>
        <v>0</v>
      </c>
      <c r="DC103" s="2792">
        <f t="shared" ca="1" si="240"/>
        <v>0</v>
      </c>
      <c r="DD103" s="2792">
        <f t="shared" ca="1" si="240"/>
        <v>0</v>
      </c>
      <c r="DE103" s="2792">
        <f t="shared" ca="1" si="240"/>
        <v>0</v>
      </c>
      <c r="DF103" s="2792">
        <f t="shared" ca="1" si="240"/>
        <v>0</v>
      </c>
      <c r="DH103" s="596">
        <f t="shared" ca="1" si="218"/>
        <v>0</v>
      </c>
    </row>
    <row r="104" spans="1:112" s="6" customFormat="1" ht="15.75">
      <c r="B104" s="3" t="s">
        <v>585</v>
      </c>
      <c r="C104" s="629" t="s">
        <v>588</v>
      </c>
      <c r="D104" s="617" t="s">
        <v>589</v>
      </c>
      <c r="E104" s="519"/>
      <c r="G104" s="618">
        <f t="shared" ref="G104:P104" ca="1" si="241">SUM(G102:G103)</f>
        <v>0</v>
      </c>
      <c r="H104" s="618">
        <f t="shared" ca="1" si="241"/>
        <v>0</v>
      </c>
      <c r="I104" s="618">
        <f t="shared" ca="1" si="241"/>
        <v>0</v>
      </c>
      <c r="J104" s="618">
        <f t="shared" ca="1" si="241"/>
        <v>0</v>
      </c>
      <c r="K104" s="618">
        <f t="shared" ca="1" si="241"/>
        <v>0</v>
      </c>
      <c r="L104" s="618">
        <f t="shared" ca="1" si="241"/>
        <v>0</v>
      </c>
      <c r="M104" s="618">
        <f t="shared" ca="1" si="241"/>
        <v>0</v>
      </c>
      <c r="N104" s="618">
        <f t="shared" ca="1" si="241"/>
        <v>0</v>
      </c>
      <c r="O104" s="618">
        <f t="shared" ca="1" si="241"/>
        <v>0</v>
      </c>
      <c r="P104" s="618">
        <f t="shared" ca="1" si="241"/>
        <v>0</v>
      </c>
      <c r="Q104" s="618">
        <f ca="1">SUM(G104:P104)</f>
        <v>0</v>
      </c>
      <c r="S104" s="581">
        <f t="shared" ref="S104:AJ104" ca="1" si="242">SUM(S102:S103)</f>
        <v>0</v>
      </c>
      <c r="T104" s="581">
        <f t="shared" ca="1" si="242"/>
        <v>0</v>
      </c>
      <c r="U104" s="581">
        <f t="shared" ca="1" si="242"/>
        <v>20.433572225892757</v>
      </c>
      <c r="V104" s="581">
        <f t="shared" ca="1" si="242"/>
        <v>70.428965076712089</v>
      </c>
      <c r="W104" s="581">
        <f t="shared" ca="1" si="242"/>
        <v>46.699297589470589</v>
      </c>
      <c r="X104" s="581">
        <f t="shared" ca="1" si="242"/>
        <v>-7.0656879999999997</v>
      </c>
      <c r="Y104" s="581">
        <f t="shared" ca="1" si="242"/>
        <v>0</v>
      </c>
      <c r="Z104" s="581">
        <f t="shared" ca="1" si="242"/>
        <v>-1.7555282514130184</v>
      </c>
      <c r="AA104" s="581">
        <f t="shared" ca="1" si="242"/>
        <v>0</v>
      </c>
      <c r="AB104" s="581">
        <f t="shared" ca="1" si="242"/>
        <v>0</v>
      </c>
      <c r="AC104" s="581">
        <f t="shared" ca="1" si="242"/>
        <v>0</v>
      </c>
      <c r="AD104" s="581">
        <f t="shared" ca="1" si="242"/>
        <v>0</v>
      </c>
      <c r="AE104" s="581">
        <f ca="1">SUM(AE102:AE103)</f>
        <v>0</v>
      </c>
      <c r="AF104" s="581">
        <f t="shared" ca="1" si="242"/>
        <v>0</v>
      </c>
      <c r="AG104" s="581">
        <f t="shared" ca="1" si="242"/>
        <v>0</v>
      </c>
      <c r="AH104" s="581">
        <f ca="1">SUM(AH102:AH103)</f>
        <v>0</v>
      </c>
      <c r="AI104" s="581">
        <f t="shared" ca="1" si="242"/>
        <v>0</v>
      </c>
      <c r="AJ104" s="581">
        <f t="shared" ca="1" si="242"/>
        <v>0</v>
      </c>
      <c r="AK104" s="581">
        <f ca="1">SUM(S104:AJ104)</f>
        <v>128.74061864066243</v>
      </c>
      <c r="AM104" s="582">
        <f t="shared" ref="AM104:BE104" ca="1" si="243">SUM(AM102:AM103)</f>
        <v>0</v>
      </c>
      <c r="AN104" s="582">
        <f t="shared" ca="1" si="243"/>
        <v>0</v>
      </c>
      <c r="AO104" s="582">
        <f t="shared" ca="1" si="243"/>
        <v>0</v>
      </c>
      <c r="AP104" s="582">
        <f t="shared" ca="1" si="243"/>
        <v>0</v>
      </c>
      <c r="AQ104" s="582">
        <f t="shared" ca="1" si="243"/>
        <v>0</v>
      </c>
      <c r="AR104" s="582">
        <f t="shared" ca="1" si="243"/>
        <v>0</v>
      </c>
      <c r="AS104" s="582">
        <f t="shared" ca="1" si="243"/>
        <v>-13.367884225892757</v>
      </c>
      <c r="AT104" s="582">
        <f t="shared" ca="1" si="243"/>
        <v>-70.428965076712089</v>
      </c>
      <c r="AU104" s="582">
        <f t="shared" ca="1" si="243"/>
        <v>-45.644258801899632</v>
      </c>
      <c r="AV104" s="582">
        <f t="shared" ca="1" si="243"/>
        <v>0</v>
      </c>
      <c r="AW104" s="582">
        <f t="shared" ca="1" si="243"/>
        <v>0</v>
      </c>
      <c r="AX104" s="582">
        <f t="shared" ca="1" si="243"/>
        <v>0</v>
      </c>
      <c r="AY104" s="582">
        <f t="shared" ca="1" si="243"/>
        <v>0</v>
      </c>
      <c r="AZ104" s="582">
        <f t="shared" ca="1" si="243"/>
        <v>0</v>
      </c>
      <c r="BA104" s="582">
        <f t="shared" ca="1" si="243"/>
        <v>0</v>
      </c>
      <c r="BB104" s="582">
        <f t="shared" ca="1" si="243"/>
        <v>0</v>
      </c>
      <c r="BC104" s="582">
        <f t="shared" ca="1" si="243"/>
        <v>0</v>
      </c>
      <c r="BD104" s="582">
        <f t="shared" ca="1" si="243"/>
        <v>0</v>
      </c>
      <c r="BE104" s="582">
        <f t="shared" ca="1" si="243"/>
        <v>0</v>
      </c>
      <c r="BF104" s="582">
        <f ca="1">SUM(AM104:BE104)</f>
        <v>-129.44110810450448</v>
      </c>
      <c r="BH104" s="3463">
        <f ca="1">SUM(BH102:BH103)</f>
        <v>0</v>
      </c>
      <c r="BI104" s="3463">
        <f ca="1">SUM(BI102:BI103)</f>
        <v>0.70048946384205879</v>
      </c>
      <c r="BJ104" s="3463">
        <f ca="1">SUM(BH104:BI104)</f>
        <v>0.70048946384205879</v>
      </c>
      <c r="BL104" s="3477">
        <f t="shared" ca="1" si="236"/>
        <v>1.2101430968414206E-14</v>
      </c>
      <c r="BM104" s="584"/>
      <c r="BN104" s="413"/>
      <c r="BO104" s="2790">
        <f t="shared" ref="BO104:DF104" ca="1" si="244">SUM(BO102:BO103)</f>
        <v>0</v>
      </c>
      <c r="BP104" s="2790">
        <f t="shared" ca="1" si="244"/>
        <v>0</v>
      </c>
      <c r="BQ104" s="2790">
        <f t="shared" ca="1" si="244"/>
        <v>0</v>
      </c>
      <c r="BR104" s="2790">
        <f t="shared" ca="1" si="244"/>
        <v>0</v>
      </c>
      <c r="BS104" s="2790">
        <f t="shared" ca="1" si="244"/>
        <v>0</v>
      </c>
      <c r="BT104" s="2790">
        <f t="shared" ca="1" si="244"/>
        <v>2.0366150823557673E-2</v>
      </c>
      <c r="BU104" s="2790">
        <f t="shared" ca="1" si="244"/>
        <v>0</v>
      </c>
      <c r="BV104" s="2790">
        <f t="shared" ca="1" si="244"/>
        <v>0</v>
      </c>
      <c r="BW104" s="2790">
        <f t="shared" ca="1" si="244"/>
        <v>0</v>
      </c>
      <c r="BX104" s="2790">
        <f t="shared" ca="1" si="244"/>
        <v>0</v>
      </c>
      <c r="BY104" s="2790">
        <f t="shared" ca="1" si="244"/>
        <v>0</v>
      </c>
      <c r="BZ104" s="2790">
        <f t="shared" ca="1" si="244"/>
        <v>0</v>
      </c>
      <c r="CA104" s="2790">
        <f t="shared" ca="1" si="244"/>
        <v>0</v>
      </c>
      <c r="CB104" s="2790">
        <f t="shared" ca="1" si="244"/>
        <v>0</v>
      </c>
      <c r="CC104" s="2790">
        <f t="shared" ca="1" si="244"/>
        <v>0</v>
      </c>
      <c r="CD104" s="2790">
        <f t="shared" ca="1" si="244"/>
        <v>0</v>
      </c>
      <c r="CE104" s="2790">
        <f t="shared" ca="1" si="244"/>
        <v>0</v>
      </c>
      <c r="CF104" s="2790">
        <f t="shared" ca="1" si="244"/>
        <v>0</v>
      </c>
      <c r="CG104" s="2790">
        <f t="shared" ca="1" si="244"/>
        <v>0</v>
      </c>
      <c r="CH104" s="2790">
        <f t="shared" ca="1" si="244"/>
        <v>0</v>
      </c>
      <c r="CI104" s="2790">
        <f t="shared" ca="1" si="244"/>
        <v>0</v>
      </c>
      <c r="CJ104" s="2790">
        <f t="shared" ca="1" si="244"/>
        <v>0</v>
      </c>
      <c r="CK104" s="2790">
        <f t="shared" ca="1" si="244"/>
        <v>0</v>
      </c>
      <c r="CL104" s="2790">
        <f t="shared" ca="1" si="244"/>
        <v>0</v>
      </c>
      <c r="CM104" s="2790">
        <f t="shared" ca="1" si="244"/>
        <v>0</v>
      </c>
      <c r="CN104" s="2790">
        <f t="shared" ca="1" si="244"/>
        <v>0</v>
      </c>
      <c r="CO104" s="2790">
        <f t="shared" ca="1" si="244"/>
        <v>0</v>
      </c>
      <c r="CP104" s="2790">
        <f t="shared" ca="1" si="244"/>
        <v>0</v>
      </c>
      <c r="CQ104" s="2790">
        <f t="shared" ca="1" si="244"/>
        <v>0</v>
      </c>
      <c r="CR104" s="2790">
        <f t="shared" ca="1" si="244"/>
        <v>0</v>
      </c>
      <c r="CS104" s="2790">
        <f t="shared" ca="1" si="244"/>
        <v>0</v>
      </c>
      <c r="CT104" s="2790">
        <f t="shared" ca="1" si="244"/>
        <v>0</v>
      </c>
      <c r="CU104" s="2790">
        <f t="shared" ca="1" si="244"/>
        <v>0</v>
      </c>
      <c r="CV104" s="2790">
        <f t="shared" ca="1" si="244"/>
        <v>0</v>
      </c>
      <c r="CW104" s="2790">
        <f t="shared" ca="1" si="244"/>
        <v>0</v>
      </c>
      <c r="CX104" s="2790">
        <f t="shared" ca="1" si="244"/>
        <v>0</v>
      </c>
      <c r="CY104" s="2790">
        <f t="shared" ca="1" si="244"/>
        <v>0</v>
      </c>
      <c r="CZ104" s="2790">
        <f t="shared" ca="1" si="244"/>
        <v>0</v>
      </c>
      <c r="DA104" s="2790">
        <f t="shared" ca="1" si="244"/>
        <v>0</v>
      </c>
      <c r="DB104" s="2790">
        <f t="shared" ca="1" si="244"/>
        <v>0</v>
      </c>
      <c r="DC104" s="2790">
        <f t="shared" ca="1" si="244"/>
        <v>0</v>
      </c>
      <c r="DD104" s="2790">
        <f t="shared" ca="1" si="244"/>
        <v>0</v>
      </c>
      <c r="DE104" s="2790">
        <f t="shared" ca="1" si="244"/>
        <v>0</v>
      </c>
      <c r="DF104" s="2790">
        <f t="shared" ca="1" si="244"/>
        <v>0</v>
      </c>
      <c r="DH104" s="596">
        <f t="shared" ca="1" si="218"/>
        <v>2.0366150823557673E-2</v>
      </c>
    </row>
    <row r="105" spans="1:112" s="6" customForma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3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45">G$93+G$99+G$104</f>
        <v>0</v>
      </c>
      <c r="H106" s="680">
        <f t="shared" ca="1" si="245"/>
        <v>0</v>
      </c>
      <c r="I106" s="680">
        <f t="shared" ca="1" si="245"/>
        <v>0</v>
      </c>
      <c r="J106" s="680">
        <f t="shared" ca="1" si="245"/>
        <v>0</v>
      </c>
      <c r="K106" s="681">
        <f t="shared" ca="1" si="245"/>
        <v>0</v>
      </c>
      <c r="L106" s="680">
        <f t="shared" ca="1" si="245"/>
        <v>0</v>
      </c>
      <c r="M106" s="680">
        <f t="shared" ca="1" si="245"/>
        <v>0</v>
      </c>
      <c r="N106" s="680">
        <f t="shared" ca="1" si="245"/>
        <v>0</v>
      </c>
      <c r="O106" s="680">
        <f t="shared" ca="1" si="245"/>
        <v>0</v>
      </c>
      <c r="P106" s="680">
        <f t="shared" ca="1" si="245"/>
        <v>0</v>
      </c>
      <c r="Q106" s="633">
        <f ca="1">SUM(G106:P106)</f>
        <v>0</v>
      </c>
      <c r="S106" s="634">
        <f t="shared" ref="S106:AJ106" ca="1" si="246">S$93+S$99+S$104</f>
        <v>0</v>
      </c>
      <c r="T106" s="634">
        <f t="shared" ca="1" si="246"/>
        <v>-0.97661978637054503</v>
      </c>
      <c r="U106" s="634">
        <f t="shared" ca="1" si="246"/>
        <v>24.283329943926542</v>
      </c>
      <c r="V106" s="634">
        <f t="shared" ca="1" si="246"/>
        <v>71.530693121474101</v>
      </c>
      <c r="W106" s="634">
        <f t="shared" ca="1" si="246"/>
        <v>46.816277529710177</v>
      </c>
      <c r="X106" s="634">
        <f t="shared" ca="1" si="246"/>
        <v>-7.0656879999999997</v>
      </c>
      <c r="Y106" s="634">
        <f t="shared" ca="1" si="246"/>
        <v>0</v>
      </c>
      <c r="Z106" s="634">
        <f t="shared" ca="1" si="246"/>
        <v>-1.7555282514130184</v>
      </c>
      <c r="AA106" s="634">
        <f t="shared" ca="1" si="246"/>
        <v>0</v>
      </c>
      <c r="AB106" s="634">
        <f t="shared" ca="1" si="246"/>
        <v>0</v>
      </c>
      <c r="AC106" s="634">
        <f t="shared" ca="1" si="246"/>
        <v>0</v>
      </c>
      <c r="AD106" s="634">
        <f t="shared" ca="1" si="246"/>
        <v>-2.9254922797006762</v>
      </c>
      <c r="AE106" s="634">
        <f t="shared" ca="1" si="246"/>
        <v>-0.17750982181293876</v>
      </c>
      <c r="AF106" s="634">
        <f t="shared" ca="1" si="246"/>
        <v>-1.0742385181146412</v>
      </c>
      <c r="AG106" s="634">
        <f t="shared" ca="1" si="246"/>
        <v>-0.30315030492522765</v>
      </c>
      <c r="AH106" s="634">
        <f t="shared" ca="1" si="246"/>
        <v>-0.13447853364046278</v>
      </c>
      <c r="AI106" s="634">
        <f t="shared" ca="1" si="246"/>
        <v>0</v>
      </c>
      <c r="AJ106" s="634">
        <f t="shared" ca="1" si="246"/>
        <v>0</v>
      </c>
      <c r="AK106" s="634">
        <f ca="1">SUM(S106:AJ106)</f>
        <v>128.21759509913329</v>
      </c>
      <c r="AM106" s="635">
        <f t="shared" ref="AM106:BE106" ca="1" si="247">AM$93+AM$99+AM$104</f>
        <v>0</v>
      </c>
      <c r="AN106" s="635">
        <f t="shared" ca="1" si="247"/>
        <v>0</v>
      </c>
      <c r="AO106" s="635">
        <f t="shared" ca="1" si="247"/>
        <v>0</v>
      </c>
      <c r="AP106" s="635">
        <f t="shared" ca="1" si="247"/>
        <v>-1.2967</v>
      </c>
      <c r="AQ106" s="635">
        <f t="shared" ca="1" si="247"/>
        <v>-2.5</v>
      </c>
      <c r="AR106" s="635">
        <f t="shared" ca="1" si="247"/>
        <v>0</v>
      </c>
      <c r="AS106" s="635">
        <f t="shared" ca="1" si="247"/>
        <v>-13.367884225892757</v>
      </c>
      <c r="AT106" s="635">
        <f t="shared" ca="1" si="247"/>
        <v>-70.428965076712089</v>
      </c>
      <c r="AU106" s="635">
        <f t="shared" ca="1" si="247"/>
        <v>-45.644258801899632</v>
      </c>
      <c r="AV106" s="635">
        <f t="shared" ca="1" si="247"/>
        <v>0</v>
      </c>
      <c r="AW106" s="635">
        <f t="shared" ca="1" si="247"/>
        <v>0</v>
      </c>
      <c r="AX106" s="635">
        <f t="shared" ca="1" si="247"/>
        <v>0</v>
      </c>
      <c r="AY106" s="635">
        <f t="shared" ca="1" si="247"/>
        <v>0</v>
      </c>
      <c r="AZ106" s="635">
        <f t="shared" ca="1" si="247"/>
        <v>0</v>
      </c>
      <c r="BA106" s="635">
        <f t="shared" ca="1" si="247"/>
        <v>0</v>
      </c>
      <c r="BB106" s="635">
        <f t="shared" ca="1" si="247"/>
        <v>0</v>
      </c>
      <c r="BC106" s="635">
        <f t="shared" ca="1" si="247"/>
        <v>0</v>
      </c>
      <c r="BD106" s="635">
        <f t="shared" ca="1" si="247"/>
        <v>0</v>
      </c>
      <c r="BE106" s="635">
        <f t="shared" ca="1" si="247"/>
        <v>0</v>
      </c>
      <c r="BF106" s="635">
        <f ca="1">SUM(AM106:BE106)</f>
        <v>-133.23780810450447</v>
      </c>
      <c r="BH106" s="3464">
        <f ca="1">BH$93+BH$99+BH$104</f>
        <v>0.74515922632064391</v>
      </c>
      <c r="BI106" s="3464">
        <f ca="1">BI$93+BI$99+BI$104</f>
        <v>4.2750537790505225</v>
      </c>
      <c r="BJ106" s="3464">
        <f ca="1">SUM(BH106:BI106)</f>
        <v>5.0202130053711667</v>
      </c>
      <c r="BL106" s="3478">
        <f t="shared" ca="1" si="236"/>
        <v>-8.8817841970012523E-15</v>
      </c>
      <c r="BM106" s="636"/>
      <c r="BO106" s="2793">
        <f t="shared" ref="BO106:DE106" ca="1" si="248">BO$93+BO$99+BO$104</f>
        <v>5.0128303692832908E-2</v>
      </c>
      <c r="BP106" s="2793">
        <f t="shared" ca="1" si="248"/>
        <v>1.8511515950366493E-5</v>
      </c>
      <c r="BQ106" s="2793">
        <f t="shared" ca="1" si="248"/>
        <v>7.9246918282759396E-4</v>
      </c>
      <c r="BR106" s="2793">
        <f t="shared" ca="1" si="248"/>
        <v>0</v>
      </c>
      <c r="BS106" s="2793">
        <f t="shared" ca="1" si="248"/>
        <v>0</v>
      </c>
      <c r="BT106" s="2793">
        <f t="shared" ca="1" si="248"/>
        <v>2.0366150823557673E-2</v>
      </c>
      <c r="BU106" s="2793">
        <f t="shared" ca="1" si="248"/>
        <v>0</v>
      </c>
      <c r="BV106" s="2793">
        <f t="shared" ca="1" si="248"/>
        <v>0</v>
      </c>
      <c r="BW106" s="2793">
        <f t="shared" ca="1" si="248"/>
        <v>0</v>
      </c>
      <c r="BX106" s="2793">
        <f t="shared" ca="1" si="248"/>
        <v>0</v>
      </c>
      <c r="BY106" s="2793">
        <f t="shared" ca="1" si="248"/>
        <v>0</v>
      </c>
      <c r="BZ106" s="2793">
        <f t="shared" ca="1" si="248"/>
        <v>0</v>
      </c>
      <c r="CA106" s="2793">
        <f t="shared" ca="1" si="248"/>
        <v>0</v>
      </c>
      <c r="CB106" s="2793">
        <f t="shared" ca="1" si="248"/>
        <v>0</v>
      </c>
      <c r="CC106" s="2793">
        <f t="shared" ca="1" si="248"/>
        <v>0</v>
      </c>
      <c r="CD106" s="2793">
        <f t="shared" ca="1" si="248"/>
        <v>0</v>
      </c>
      <c r="CE106" s="2793">
        <f t="shared" ca="1" si="248"/>
        <v>0</v>
      </c>
      <c r="CF106" s="2793">
        <f t="shared" ca="1" si="248"/>
        <v>0</v>
      </c>
      <c r="CG106" s="2793">
        <f t="shared" ca="1" si="248"/>
        <v>0</v>
      </c>
      <c r="CH106" s="2793">
        <f t="shared" ca="1" si="248"/>
        <v>0</v>
      </c>
      <c r="CI106" s="2793">
        <f t="shared" ca="1" si="248"/>
        <v>0</v>
      </c>
      <c r="CJ106" s="2793">
        <f t="shared" ca="1" si="248"/>
        <v>0</v>
      </c>
      <c r="CK106" s="2793">
        <f t="shared" ca="1" si="248"/>
        <v>0</v>
      </c>
      <c r="CL106" s="2793">
        <f t="shared" ca="1" si="248"/>
        <v>0</v>
      </c>
      <c r="CM106" s="2793">
        <f t="shared" ca="1" si="248"/>
        <v>0</v>
      </c>
      <c r="CN106" s="2793">
        <f t="shared" ca="1" si="248"/>
        <v>0</v>
      </c>
      <c r="CO106" s="2793">
        <f t="shared" ca="1" si="248"/>
        <v>0</v>
      </c>
      <c r="CP106" s="2793">
        <f t="shared" ca="1" si="248"/>
        <v>0</v>
      </c>
      <c r="CQ106" s="2793">
        <f t="shared" ca="1" si="248"/>
        <v>0</v>
      </c>
      <c r="CR106" s="2793">
        <f t="shared" ca="1" si="248"/>
        <v>0</v>
      </c>
      <c r="CS106" s="2793">
        <f t="shared" ca="1" si="248"/>
        <v>0</v>
      </c>
      <c r="CT106" s="2793">
        <f t="shared" ca="1" si="248"/>
        <v>0</v>
      </c>
      <c r="CU106" s="2793">
        <f t="shared" ca="1" si="248"/>
        <v>0</v>
      </c>
      <c r="CV106" s="2793">
        <f t="shared" ca="1" si="248"/>
        <v>0</v>
      </c>
      <c r="CW106" s="2793">
        <f t="shared" ca="1" si="248"/>
        <v>0</v>
      </c>
      <c r="CX106" s="2793">
        <f t="shared" ca="1" si="248"/>
        <v>0</v>
      </c>
      <c r="CY106" s="2793">
        <f t="shared" ca="1" si="248"/>
        <v>-1.6645650140674992</v>
      </c>
      <c r="CZ106" s="2793">
        <f t="shared" ca="1" si="248"/>
        <v>0</v>
      </c>
      <c r="DA106" s="2793">
        <f t="shared" ca="1" si="248"/>
        <v>0</v>
      </c>
      <c r="DB106" s="2793">
        <f t="shared" ca="1" si="248"/>
        <v>0</v>
      </c>
      <c r="DC106" s="2793">
        <f t="shared" ca="1" si="248"/>
        <v>0</v>
      </c>
      <c r="DD106" s="2793">
        <f t="shared" ca="1" si="248"/>
        <v>0</v>
      </c>
      <c r="DE106" s="2793">
        <f t="shared" ca="1" si="248"/>
        <v>0</v>
      </c>
      <c r="DF106" s="2793">
        <f ca="1">DF$93+DF$104</f>
        <v>0</v>
      </c>
      <c r="DH106" s="637">
        <f ca="1">SUM(BO106:DF106)</f>
        <v>-1.5932595788523307</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3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3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16.5" thickBot="1">
      <c r="C109" s="713" t="s">
        <v>592</v>
      </c>
      <c r="D109" s="713"/>
      <c r="E109" s="713"/>
      <c r="G109" s="714">
        <f t="shared" ref="G109:P109" ca="1" si="249">G$40+G$84+G$106</f>
        <v>35.698527384815208</v>
      </c>
      <c r="H109" s="714">
        <f t="shared" ca="1" si="249"/>
        <v>10.094711107570451</v>
      </c>
      <c r="I109" s="714">
        <f t="shared" ca="1" si="249"/>
        <v>29.002786937023085</v>
      </c>
      <c r="J109" s="714">
        <f t="shared" ca="1" si="249"/>
        <v>37.89730059516333</v>
      </c>
      <c r="K109" s="714">
        <f t="shared" ca="1" si="249"/>
        <v>0.45199457636929957</v>
      </c>
      <c r="L109" s="714">
        <f t="shared" ca="1" si="249"/>
        <v>2.6979176745363341E-2</v>
      </c>
      <c r="M109" s="714">
        <f t="shared" ca="1" si="249"/>
        <v>0.66</v>
      </c>
      <c r="N109" s="714">
        <f t="shared" ca="1" si="249"/>
        <v>6.8942086199999997</v>
      </c>
      <c r="O109" s="714">
        <f t="shared" ca="1" si="249"/>
        <v>0</v>
      </c>
      <c r="P109" s="714">
        <f t="shared" ca="1" si="249"/>
        <v>0</v>
      </c>
      <c r="Q109" s="714">
        <f ca="1">SUM(G109:P109)</f>
        <v>120.72650839768673</v>
      </c>
      <c r="S109" s="715">
        <f t="shared" ref="S109:AJ109" ca="1" si="250">S$40+S$84+S$106</f>
        <v>-24.359054991474284</v>
      </c>
      <c r="T109" s="715">
        <f t="shared" ca="1" si="250"/>
        <v>24.359054991474284</v>
      </c>
      <c r="U109" s="715">
        <f t="shared" ca="1" si="250"/>
        <v>0</v>
      </c>
      <c r="V109" s="715">
        <f t="shared" ca="1" si="250"/>
        <v>0</v>
      </c>
      <c r="W109" s="715">
        <f t="shared" ca="1" si="250"/>
        <v>0</v>
      </c>
      <c r="X109" s="715">
        <f t="shared" ca="1" si="250"/>
        <v>0</v>
      </c>
      <c r="Y109" s="715">
        <f t="shared" ca="1" si="250"/>
        <v>0</v>
      </c>
      <c r="Z109" s="715">
        <f t="shared" ca="1" si="250"/>
        <v>0</v>
      </c>
      <c r="AA109" s="715">
        <f t="shared" ca="1" si="250"/>
        <v>0</v>
      </c>
      <c r="AB109" s="715">
        <f t="shared" ca="1" si="250"/>
        <v>0</v>
      </c>
      <c r="AC109" s="715">
        <f t="shared" ca="1" si="250"/>
        <v>0</v>
      </c>
      <c r="AD109" s="715">
        <f t="shared" ca="1" si="250"/>
        <v>0</v>
      </c>
      <c r="AE109" s="715">
        <f t="shared" ca="1" si="250"/>
        <v>0</v>
      </c>
      <c r="AF109" s="715">
        <f t="shared" ca="1" si="250"/>
        <v>0</v>
      </c>
      <c r="AG109" s="715">
        <f t="shared" ca="1" si="250"/>
        <v>0</v>
      </c>
      <c r="AH109" s="715">
        <f t="shared" ca="1" si="250"/>
        <v>0</v>
      </c>
      <c r="AI109" s="715">
        <f t="shared" ca="1" si="250"/>
        <v>0</v>
      </c>
      <c r="AJ109" s="715">
        <f t="shared" ca="1" si="250"/>
        <v>0</v>
      </c>
      <c r="AK109" s="715">
        <f ca="1">SUM(S109:AJ109)</f>
        <v>0</v>
      </c>
      <c r="AM109" s="716">
        <f t="shared" ref="AM109:BE109" ca="1" si="251">AM$40+AM$84+AM$106</f>
        <v>-7</v>
      </c>
      <c r="AN109" s="716">
        <f t="shared" ca="1" si="251"/>
        <v>0</v>
      </c>
      <c r="AO109" s="716">
        <f t="shared" ca="1" si="251"/>
        <v>-1.7555282514130199</v>
      </c>
      <c r="AP109" s="716">
        <f t="shared" ca="1" si="251"/>
        <v>-1.2967</v>
      </c>
      <c r="AQ109" s="716">
        <f t="shared" ca="1" si="251"/>
        <v>-2.5</v>
      </c>
      <c r="AR109" s="716">
        <f t="shared" ca="1" si="251"/>
        <v>0</v>
      </c>
      <c r="AS109" s="716">
        <f t="shared" ca="1" si="251"/>
        <v>-13.367884225892757</v>
      </c>
      <c r="AT109" s="716">
        <f t="shared" ca="1" si="251"/>
        <v>-70.428965076712089</v>
      </c>
      <c r="AU109" s="716">
        <f t="shared" ca="1" si="251"/>
        <v>-45.644258801899632</v>
      </c>
      <c r="AV109" s="716">
        <f t="shared" ca="1" si="251"/>
        <v>0</v>
      </c>
      <c r="AW109" s="716">
        <f t="shared" ca="1" si="251"/>
        <v>-0.29533988943004724</v>
      </c>
      <c r="AX109" s="716">
        <f t="shared" ca="1" si="251"/>
        <v>-5.6172527999999993</v>
      </c>
      <c r="AY109" s="716">
        <f t="shared" ca="1" si="251"/>
        <v>0</v>
      </c>
      <c r="AZ109" s="716">
        <f t="shared" ca="1" si="251"/>
        <v>-3.9627123287671231E-3</v>
      </c>
      <c r="BA109" s="716">
        <f t="shared" ca="1" si="251"/>
        <v>0</v>
      </c>
      <c r="BB109" s="716">
        <f t="shared" ca="1" si="251"/>
        <v>-0.74791511999999993</v>
      </c>
      <c r="BC109" s="716">
        <f t="shared" ca="1" si="251"/>
        <v>-0.23024787332134827</v>
      </c>
      <c r="BD109" s="716">
        <f t="shared" ca="1" si="251"/>
        <v>-3.1030021015136149</v>
      </c>
      <c r="BE109" s="716">
        <f t="shared" ca="1" si="251"/>
        <v>-1.5775553566803318</v>
      </c>
      <c r="BF109" s="716">
        <f ca="1">SUM(AM109:BE109)</f>
        <v>-153.5686122091916</v>
      </c>
      <c r="BH109" s="3469">
        <f ca="1">BH$40+BH$84+BH$106</f>
        <v>25.940596433158738</v>
      </c>
      <c r="BI109" s="3469">
        <f ca="1">BI$40+BI$84+BI$106</f>
        <v>6.9015073783461327</v>
      </c>
      <c r="BJ109" s="3469">
        <f ca="1">SUM(BH109:BI109)</f>
        <v>32.84210381150487</v>
      </c>
      <c r="BL109" s="3479">
        <f t="shared" ca="1" si="236"/>
        <v>0</v>
      </c>
      <c r="BM109" s="577"/>
      <c r="BO109" s="2798">
        <f t="shared" ref="BO109:DF109" ca="1" si="252">BO$40+BO$84+BO$106</f>
        <v>35.234170351994365</v>
      </c>
      <c r="BP109" s="2798">
        <f t="shared" ca="1" si="252"/>
        <v>1.9610642197774534E-2</v>
      </c>
      <c r="BQ109" s="2798">
        <f t="shared" ca="1" si="252"/>
        <v>0.21026766280061174</v>
      </c>
      <c r="BR109" s="2798">
        <f t="shared" ca="1" si="252"/>
        <v>0</v>
      </c>
      <c r="BS109" s="2798">
        <f t="shared" ca="1" si="252"/>
        <v>0</v>
      </c>
      <c r="BT109" s="2798">
        <f t="shared" ca="1" si="252"/>
        <v>2.0366150823557673E-2</v>
      </c>
      <c r="BU109" s="2798">
        <f t="shared" ca="1" si="252"/>
        <v>0</v>
      </c>
      <c r="BV109" s="2798">
        <f t="shared" ca="1" si="252"/>
        <v>0</v>
      </c>
      <c r="BW109" s="2798">
        <f t="shared" ca="1" si="252"/>
        <v>1.32136875</v>
      </c>
      <c r="BX109" s="2798">
        <f t="shared" ca="1" si="252"/>
        <v>0</v>
      </c>
      <c r="BY109" s="2798">
        <f t="shared" ca="1" si="252"/>
        <v>0</v>
      </c>
      <c r="BZ109" s="2798">
        <f t="shared" ca="1" si="252"/>
        <v>0.99607717549810115</v>
      </c>
      <c r="CA109" s="2798">
        <f t="shared" ca="1" si="252"/>
        <v>0</v>
      </c>
      <c r="CB109" s="2798">
        <f t="shared" ca="1" si="252"/>
        <v>0</v>
      </c>
      <c r="CC109" s="2798">
        <f t="shared" ca="1" si="252"/>
        <v>0</v>
      </c>
      <c r="CD109" s="2798">
        <f t="shared" ca="1" si="252"/>
        <v>0</v>
      </c>
      <c r="CE109" s="2798">
        <f t="shared" ca="1" si="252"/>
        <v>0</v>
      </c>
      <c r="CF109" s="2798">
        <f t="shared" ca="1" si="252"/>
        <v>10.863520072055604</v>
      </c>
      <c r="CG109" s="2798">
        <f t="shared" ca="1" si="252"/>
        <v>6.3677882193084141</v>
      </c>
      <c r="CH109" s="2798">
        <f t="shared" ca="1" si="252"/>
        <v>0</v>
      </c>
      <c r="CI109" s="2798">
        <f t="shared" ca="1" si="252"/>
        <v>-2.0419537671878891</v>
      </c>
      <c r="CJ109" s="2798">
        <f t="shared" ca="1" si="252"/>
        <v>0</v>
      </c>
      <c r="CK109" s="2798">
        <f t="shared" ca="1" si="252"/>
        <v>0</v>
      </c>
      <c r="CL109" s="2798">
        <f t="shared" ca="1" si="252"/>
        <v>0</v>
      </c>
      <c r="CM109" s="2798">
        <f t="shared" ca="1" si="252"/>
        <v>0</v>
      </c>
      <c r="CN109" s="2798">
        <f t="shared" ca="1" si="252"/>
        <v>0.78153920634289342</v>
      </c>
      <c r="CO109" s="2798">
        <f t="shared" ca="1" si="252"/>
        <v>5.4813037500000002E-2</v>
      </c>
      <c r="CP109" s="2798">
        <f t="shared" ca="1" si="252"/>
        <v>0</v>
      </c>
      <c r="CQ109" s="2798">
        <f t="shared" ca="1" si="252"/>
        <v>0</v>
      </c>
      <c r="CR109" s="2798">
        <f t="shared" ca="1" si="252"/>
        <v>0</v>
      </c>
      <c r="CS109" s="2798">
        <f t="shared" ca="1" si="252"/>
        <v>0</v>
      </c>
      <c r="CT109" s="2798">
        <f t="shared" ca="1" si="252"/>
        <v>0</v>
      </c>
      <c r="CU109" s="2798">
        <f t="shared" ca="1" si="252"/>
        <v>1.8192437706455995</v>
      </c>
      <c r="CV109" s="2798">
        <f t="shared" ca="1" si="252"/>
        <v>1.5636065150160001E-3</v>
      </c>
      <c r="CW109" s="2798">
        <f t="shared" ca="1" si="252"/>
        <v>4.6163620919519996E-3</v>
      </c>
      <c r="CX109" s="2798">
        <f t="shared" ca="1" si="252"/>
        <v>0</v>
      </c>
      <c r="CY109" s="2798">
        <f t="shared" ca="1" si="252"/>
        <v>-1.6645650140674992</v>
      </c>
      <c r="CZ109" s="2798">
        <f t="shared" ca="1" si="252"/>
        <v>0</v>
      </c>
      <c r="DA109" s="2798">
        <f t="shared" ca="1" si="252"/>
        <v>0</v>
      </c>
      <c r="DB109" s="2798">
        <f t="shared" ca="1" si="252"/>
        <v>0</v>
      </c>
      <c r="DC109" s="2798">
        <f t="shared" ca="1" si="252"/>
        <v>0</v>
      </c>
      <c r="DD109" s="2798">
        <f t="shared" ca="1" si="252"/>
        <v>0</v>
      </c>
      <c r="DE109" s="2798">
        <f t="shared" ca="1" si="252"/>
        <v>0</v>
      </c>
      <c r="DF109" s="2798">
        <f t="shared" ca="1" si="252"/>
        <v>0</v>
      </c>
      <c r="DH109" s="637">
        <f ca="1">SUM(BO109:DF109)</f>
        <v>53.988426226518484</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c r="BO111" s="3482"/>
      <c r="BP111" s="3482"/>
      <c r="BQ111" s="3482"/>
      <c r="BR111" s="3482"/>
      <c r="BS111" s="3482"/>
      <c r="BT111" s="3482"/>
      <c r="BU111" s="3482"/>
      <c r="BV111" s="3482"/>
      <c r="BW111" s="3482"/>
      <c r="BX111" s="3482"/>
      <c r="BY111" s="3482"/>
      <c r="BZ111" s="3482"/>
      <c r="CA111" s="3482"/>
      <c r="CB111" s="3482"/>
      <c r="CC111" s="3482"/>
      <c r="CD111" s="3482"/>
      <c r="CE111" s="3482"/>
      <c r="CF111" s="3482"/>
      <c r="CG111" s="3482"/>
      <c r="CH111" s="3482"/>
      <c r="CI111" s="3482"/>
      <c r="CJ111" s="3482"/>
      <c r="CK111" s="3482"/>
      <c r="CL111" s="3482"/>
      <c r="CM111" s="3482"/>
      <c r="CN111" s="3482"/>
      <c r="CO111" s="3482"/>
      <c r="CP111" s="3482"/>
      <c r="CQ111" s="3482"/>
      <c r="CR111" s="3482"/>
      <c r="CS111" s="3482"/>
      <c r="CT111" s="3482"/>
      <c r="CU111" s="3482"/>
      <c r="CV111" s="3482"/>
      <c r="CW111" s="3482"/>
      <c r="CX111" s="3482"/>
      <c r="CY111" s="3482"/>
      <c r="CZ111" s="3482"/>
      <c r="DA111" s="3482"/>
      <c r="DB111" s="3482"/>
      <c r="DC111" s="3482"/>
      <c r="DD111" s="3482"/>
      <c r="DE111" s="3482"/>
      <c r="DF111" s="3482"/>
      <c r="DG111" s="3482"/>
      <c r="DH111" s="3482"/>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BO112" s="3482"/>
      <c r="BP112" s="3482"/>
      <c r="BQ112" s="3482"/>
      <c r="BR112" s="3482"/>
      <c r="BS112" s="3482"/>
      <c r="BT112" s="3482"/>
      <c r="BU112" s="3482"/>
      <c r="BV112" s="3482"/>
      <c r="BW112" s="3482"/>
      <c r="BX112" s="3482"/>
      <c r="BY112" s="3482"/>
      <c r="BZ112" s="3482"/>
      <c r="CA112" s="3482"/>
      <c r="CB112" s="3482"/>
      <c r="CC112" s="3482"/>
      <c r="CD112" s="3482"/>
      <c r="CE112" s="3482"/>
      <c r="CF112" s="3482"/>
      <c r="CG112" s="3482"/>
      <c r="CH112" s="3482"/>
      <c r="CI112" s="3482"/>
      <c r="CJ112" s="3482"/>
      <c r="CK112" s="3482"/>
      <c r="CL112" s="3482"/>
      <c r="CM112" s="3482"/>
      <c r="CN112" s="3482"/>
      <c r="CO112" s="3482"/>
      <c r="CP112" s="3482"/>
      <c r="CQ112" s="3482"/>
      <c r="CR112" s="3482"/>
      <c r="CS112" s="3482"/>
      <c r="CT112" s="3482"/>
      <c r="CU112" s="3482"/>
      <c r="CV112" s="3482"/>
      <c r="CW112" s="3482"/>
      <c r="CX112" s="3482"/>
      <c r="CY112" s="3482"/>
      <c r="CZ112" s="3482"/>
      <c r="DA112" s="3482"/>
      <c r="DB112" s="3482"/>
      <c r="DC112" s="3482"/>
      <c r="DD112" s="3482"/>
      <c r="DE112" s="3482"/>
      <c r="DF112" s="382" t="s">
        <v>593</v>
      </c>
      <c r="DG112" s="3482"/>
      <c r="DH112" s="723">
        <f ca="1">SUM(DH63,DH68,DH76,DH82)</f>
        <v>12.306742678110057</v>
      </c>
    </row>
    <row r="113" spans="2:112">
      <c r="B113"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BO113" s="3482"/>
      <c r="BP113" s="3482"/>
      <c r="BQ113" s="3482"/>
      <c r="BR113" s="3482"/>
      <c r="BS113" s="3482"/>
      <c r="BT113" s="3482"/>
      <c r="BU113" s="3482"/>
      <c r="BV113" s="3482"/>
      <c r="BW113" s="3482"/>
      <c r="BX113" s="3482"/>
      <c r="BY113" s="3482"/>
      <c r="BZ113" s="3482"/>
      <c r="CA113" s="3482"/>
      <c r="CB113" s="3482"/>
      <c r="CC113" s="3482"/>
      <c r="CD113" s="3482"/>
      <c r="CE113" s="3482"/>
      <c r="CF113" s="3482"/>
      <c r="CG113" s="3482"/>
      <c r="CH113" s="3482"/>
      <c r="CI113" s="3482"/>
      <c r="CJ113" s="3482"/>
      <c r="CK113" s="3482"/>
      <c r="CL113" s="3482"/>
      <c r="CM113" s="3482"/>
      <c r="CN113" s="3482"/>
      <c r="CO113" s="3482"/>
      <c r="CP113" s="3482"/>
      <c r="CQ113" s="3482"/>
      <c r="CR113" s="3482"/>
      <c r="CS113" s="3482"/>
      <c r="CT113" s="3482"/>
      <c r="CU113" s="3482"/>
      <c r="CV113" s="3482"/>
      <c r="CW113" s="3482"/>
      <c r="CX113" s="3482"/>
      <c r="CY113" s="3482"/>
      <c r="CZ113" s="3482"/>
      <c r="DA113" s="3482"/>
      <c r="DB113" s="3482"/>
      <c r="DC113" s="3482"/>
      <c r="DD113" s="3482"/>
      <c r="DE113" s="3482"/>
      <c r="DF113" s="382" t="s">
        <v>595</v>
      </c>
      <c r="DG113" s="3482"/>
      <c r="DH113" s="723">
        <f ca="1">T109-MIN(T103,0)-T72</f>
        <v>24.362846134292059</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BO114" s="3482"/>
      <c r="BP114" s="3482"/>
      <c r="BQ114" s="3482"/>
      <c r="BR114" s="3482"/>
      <c r="BS114" s="3482"/>
      <c r="BT114" s="3482"/>
      <c r="BU114" s="3482"/>
      <c r="BV114" s="3482"/>
      <c r="BW114" s="3482"/>
      <c r="BX114" s="3482"/>
      <c r="BY114" s="3482"/>
      <c r="BZ114" s="3482"/>
      <c r="CA114" s="3482"/>
      <c r="CB114" s="3482"/>
      <c r="CC114" s="3482"/>
      <c r="CD114" s="3482"/>
      <c r="CE114" s="3482"/>
      <c r="CF114" s="3482"/>
      <c r="CG114" s="3482"/>
      <c r="CH114" s="3482"/>
      <c r="CI114" s="3482"/>
      <c r="CJ114" s="3482"/>
      <c r="CK114" s="3482"/>
      <c r="CL114" s="3482"/>
      <c r="CM114" s="3482"/>
      <c r="CN114" s="3482"/>
      <c r="CO114" s="3482"/>
      <c r="CP114" s="3482"/>
      <c r="CQ114" s="3482"/>
      <c r="CR114" s="3482"/>
      <c r="CS114" s="3482"/>
      <c r="CT114" s="3482"/>
      <c r="CU114" s="3482"/>
      <c r="CV114" s="3482"/>
      <c r="CW114" s="3482"/>
      <c r="CX114" s="3482"/>
      <c r="CY114" s="3482"/>
      <c r="CZ114" s="3482"/>
      <c r="DA114" s="3482"/>
      <c r="DB114" s="3482"/>
      <c r="DC114" s="3482"/>
      <c r="DD114" s="3482"/>
      <c r="DE114" s="3482"/>
      <c r="DF114" s="382" t="s">
        <v>596</v>
      </c>
      <c r="DG114" s="3482"/>
      <c r="DH114" s="3482">
        <f ca="1">DH112/DH113</f>
        <v>0.50514388221611073</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2:DH148"/>
  <sheetViews>
    <sheetView topLeftCell="A38" workbookViewId="0">
      <selection activeCell="I1" sqref="I1:I1048576"/>
    </sheetView>
  </sheetViews>
  <sheetFormatPr defaultColWidth="8.85546875" defaultRowHeight="15" outlineLevelCol="2"/>
  <cols>
    <col min="1" max="1" width="1.7109375" style="2685" customWidth="1"/>
    <col min="2" max="2" width="1.42578125" style="2685" customWidth="1"/>
    <col min="3" max="3" width="4.42578125" style="518" customWidth="1"/>
    <col min="4" max="4" width="3.85546875" style="519" customWidth="1"/>
    <col min="5" max="5" width="41.7109375" style="519" customWidth="1"/>
    <col min="6" max="6" width="1.140625" style="268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style="2685" customWidth="1" outlineLevel="1"/>
    <col min="19" max="19" width="11.7109375" style="519" customWidth="1" outlineLevel="2"/>
    <col min="20" max="36" width="10" style="519" customWidth="1" outlineLevel="2"/>
    <col min="37" max="37" width="10" style="519" customWidth="1" outlineLevel="1"/>
    <col min="38" max="38" width="1.140625" style="2685" customWidth="1" outlineLevel="1"/>
    <col min="39" max="57" width="10" style="519" customWidth="1" outlineLevel="2"/>
    <col min="58" max="58" width="10" style="519" customWidth="1" outlineLevel="1"/>
    <col min="59" max="59" width="1.140625" style="2685" customWidth="1" outlineLevel="1"/>
    <col min="60" max="61" width="10" style="519" customWidth="1" outlineLevel="2"/>
    <col min="62" max="62" width="10" style="519" customWidth="1" outlineLevel="1"/>
    <col min="63" max="63" width="1.140625" style="2685" customWidth="1" outlineLevel="1"/>
    <col min="64" max="64" width="11" style="519" customWidth="1" outlineLevel="1"/>
    <col min="65" max="65" width="5.28515625" style="519" customWidth="1"/>
    <col min="66" max="66" width="8.85546875" style="2685"/>
    <col min="67" max="110" width="7.42578125" style="2685" customWidth="1"/>
    <col min="111" max="111" width="2.42578125" style="2685" customWidth="1"/>
    <col min="112" max="16384" width="8.85546875" style="2685"/>
  </cols>
  <sheetData>
    <row r="2" spans="1:112" ht="22.5">
      <c r="D2" s="521"/>
      <c r="E2" s="522">
        <v>2020</v>
      </c>
      <c r="G2" s="2685"/>
      <c r="H2" s="2685"/>
      <c r="I2" s="2685"/>
      <c r="J2" s="2685"/>
      <c r="K2" s="2685"/>
      <c r="L2" s="2685"/>
      <c r="M2" s="2685"/>
      <c r="N2" s="2685"/>
      <c r="O2" s="2685"/>
      <c r="P2" s="2685"/>
      <c r="Q2" s="2685"/>
      <c r="S2" s="383"/>
      <c r="T2" s="383"/>
      <c r="U2" s="383"/>
      <c r="V2" s="383"/>
      <c r="W2" s="383"/>
      <c r="X2" s="2685"/>
      <c r="Y2" s="2685"/>
      <c r="Z2" s="2685"/>
      <c r="AA2" s="2685"/>
      <c r="AB2" s="2685"/>
      <c r="AC2" s="2685"/>
      <c r="AD2" s="2685"/>
      <c r="AE2" s="2685"/>
      <c r="AF2" s="2685"/>
      <c r="AG2" s="2685"/>
      <c r="AH2" s="2685"/>
      <c r="AI2" s="2685"/>
      <c r="AJ2" s="2685"/>
      <c r="AK2" s="2685"/>
      <c r="AM2" s="2685"/>
      <c r="AN2" s="2685"/>
      <c r="AO2" s="2685"/>
      <c r="AP2" s="2685"/>
      <c r="AQ2" s="2685"/>
      <c r="AR2" s="2685"/>
      <c r="AS2" s="2685"/>
      <c r="AT2" s="2685"/>
      <c r="AU2" s="2685"/>
      <c r="AV2" s="2685"/>
      <c r="AW2" s="2685"/>
      <c r="AX2" s="2685"/>
      <c r="AY2" s="2685"/>
      <c r="AZ2" s="2685"/>
      <c r="BA2" s="2685"/>
      <c r="BB2" s="2685"/>
      <c r="BC2" s="2685"/>
      <c r="BD2" s="2685"/>
      <c r="BE2" s="2685"/>
      <c r="BF2" s="2685"/>
      <c r="BH2" s="2685"/>
      <c r="BI2" s="2685"/>
      <c r="BJ2" s="2685"/>
      <c r="BL2" s="2685"/>
      <c r="BM2" s="523"/>
    </row>
    <row r="3" spans="1:112" ht="22.5">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63">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5.75">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c r="A9" s="586"/>
      <c r="B9" s="586"/>
      <c r="C9" s="587" t="s">
        <v>2</v>
      </c>
      <c r="D9" s="586" t="s">
        <v>3</v>
      </c>
      <c r="E9" s="588"/>
      <c r="G9" s="589">
        <f ca="1">IFERROR(INDEX(INDIRECT($C9&amp;".Outputs["&amp;this.Year&amp;"]"), MATCH(G$5, INDIRECT($C9&amp;".Outputs[Vector]"), 0)), 0)</f>
        <v>23.252127528931958</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23.252127528931958</v>
      </c>
      <c r="S9" s="591">
        <f t="shared" ref="S9:AJ13" ca="1" si="2">IFERROR(INDEX(INDIRECT($C9&amp;".Outputs["&amp;this.Year&amp;"]"), MATCH(S$5, INDIRECT($C9&amp;".Outputs[Vector]"), 0)), 0)</f>
        <v>-1.460457822648747</v>
      </c>
      <c r="T9" s="591">
        <f t="shared" ca="1" si="2"/>
        <v>0</v>
      </c>
      <c r="U9" s="591">
        <f t="shared" ca="1" si="2"/>
        <v>-0.21143772455169493</v>
      </c>
      <c r="V9" s="591">
        <f t="shared" ca="1" si="2"/>
        <v>-10.43020115443155</v>
      </c>
      <c r="W9" s="591">
        <f t="shared" ca="1" si="2"/>
        <v>-10.45827972318421</v>
      </c>
      <c r="X9" s="591">
        <f t="shared" ca="1" si="2"/>
        <v>0</v>
      </c>
      <c r="Y9" s="591">
        <f t="shared" ca="1" si="2"/>
        <v>0</v>
      </c>
      <c r="Z9" s="591">
        <f t="shared" ca="1" si="2"/>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-0.55796848364472162</v>
      </c>
      <c r="AJ9" s="591">
        <f t="shared" ca="1" si="2"/>
        <v>0</v>
      </c>
      <c r="AK9" s="592">
        <f t="shared" ref="AK9:AK15" ca="1" si="3">SUM(S9:AJ9)</f>
        <v>-23.118344908460926</v>
      </c>
      <c r="AM9" s="593">
        <f t="shared" ref="AM9:BB10" ca="1" si="4">IFERROR(INDEX(INDIRECT($C9&amp;".Outputs["&amp;this.Year&amp;"]"), MATCH(AM$5, INDIRECT($C9&amp;".Outputs[Vector]"), 0)), 0)</f>
        <v>0</v>
      </c>
      <c r="AN9" s="593">
        <f t="shared" ca="1" si="4"/>
        <v>0</v>
      </c>
      <c r="AO9" s="593">
        <f t="shared" ca="1" si="4"/>
        <v>0</v>
      </c>
      <c r="AP9" s="593">
        <f t="shared" ca="1" si="4"/>
        <v>0</v>
      </c>
      <c r="AQ9" s="593">
        <f t="shared" ca="1" si="4"/>
        <v>0</v>
      </c>
      <c r="AR9" s="593">
        <f t="shared" ca="1" si="4"/>
        <v>0</v>
      </c>
      <c r="AS9" s="593">
        <f t="shared" ca="1" si="4"/>
        <v>0</v>
      </c>
      <c r="AT9" s="593">
        <f t="shared" ca="1" si="4"/>
        <v>0</v>
      </c>
      <c r="AU9" s="593">
        <f t="shared" ca="1" si="4"/>
        <v>0</v>
      </c>
      <c r="AV9" s="593">
        <f t="shared" ca="1" si="4"/>
        <v>0</v>
      </c>
      <c r="AW9" s="593">
        <f t="shared" ca="1" si="4"/>
        <v>0</v>
      </c>
      <c r="AX9" s="593">
        <f t="shared" ca="1" si="4"/>
        <v>0</v>
      </c>
      <c r="AY9" s="593">
        <f t="shared" ca="1" si="4"/>
        <v>0</v>
      </c>
      <c r="AZ9" s="593">
        <f t="shared" ca="1" si="4"/>
        <v>0</v>
      </c>
      <c r="BA9" s="593">
        <f t="shared" ca="1" si="4"/>
        <v>0</v>
      </c>
      <c r="BB9" s="593">
        <f t="shared" ca="1" si="4"/>
        <v>0</v>
      </c>
      <c r="BC9" s="593">
        <f t="shared" ref="BC9:BE10" ca="1" si="5">IFERROR(INDEX(INDIRECT($C9&amp;".Outputs["&amp;this.Year&amp;"]"), MATCH(BC$5, INDIRECT($C9&amp;".Outputs[Vector]"), 0)), 0)</f>
        <v>-0.13378262047103262</v>
      </c>
      <c r="BD9" s="593">
        <f t="shared" ca="1" si="5"/>
        <v>0</v>
      </c>
      <c r="BE9" s="593">
        <f t="shared" ca="1" si="5"/>
        <v>0</v>
      </c>
      <c r="BF9" s="594">
        <f t="shared" ref="BF9:BF15" ca="1" si="6">SUM(AM9:BE9)</f>
        <v>-0.13378262047103262</v>
      </c>
      <c r="BH9" s="3471">
        <f ca="1">IFERROR(INDEX(INDIRECT($C9&amp;".Outputs["&amp;this.Year&amp;"]"), MATCH(BH$5, INDIRECT($C9&amp;".Outputs[Vector]"), 0)), 0)</f>
        <v>0</v>
      </c>
      <c r="BI9" s="3471">
        <f t="shared" ref="BH9:BI13" ca="1" si="7">IFERROR(INDEX(INDIRECT($C9&amp;".Outputs["&amp;this.Year&amp;"]"), MATCH(BI$5, INDIRECT($C9&amp;".Outputs[Vector]"), 0)), 0)</f>
        <v>0</v>
      </c>
      <c r="BJ9" s="3460">
        <f t="shared" ref="BJ9:BJ15" ca="1" si="8">SUM(BH9:BI9)</f>
        <v>0</v>
      </c>
      <c r="BL9" s="595">
        <f t="shared" ref="BL9:BL44" ca="1" si="9">Q9+AK9+BF9+BJ9</f>
        <v>-1.5543122344752192E-15</v>
      </c>
      <c r="BM9" s="595"/>
      <c r="BN9" s="413"/>
      <c r="BO9" s="2789">
        <f t="shared" ref="BO9:BX10" ca="1" si="10">IFERROR(SUMIFS(INDIRECT($C9&amp;".Emissions["&amp;this.Year&amp;"]"), INDIRECT($C9&amp;".Emissions[GHG]"), BO$6, INDIRECT($C9&amp;".Emissions[IPCC Sector]"), BO$5),0)</f>
        <v>4.9647391675110182</v>
      </c>
      <c r="BP9" s="2790">
        <f t="shared" ca="1" si="10"/>
        <v>3.1674048532810781E-3</v>
      </c>
      <c r="BQ9" s="2790">
        <f t="shared" ca="1" si="10"/>
        <v>4.0949221439420591E-2</v>
      </c>
      <c r="BR9" s="2790">
        <f t="shared" ca="1" si="10"/>
        <v>0</v>
      </c>
      <c r="BS9" s="2790">
        <f t="shared" ca="1" si="10"/>
        <v>0</v>
      </c>
      <c r="BT9" s="2790">
        <f t="shared" ca="1" si="10"/>
        <v>0</v>
      </c>
      <c r="BU9" s="2790">
        <f t="shared" ca="1" si="10"/>
        <v>0</v>
      </c>
      <c r="BV9" s="2790">
        <f t="shared" ca="1" si="10"/>
        <v>0</v>
      </c>
      <c r="BW9" s="2790">
        <f t="shared" ca="1" si="10"/>
        <v>0</v>
      </c>
      <c r="BX9" s="2790">
        <f t="shared" ca="1" si="10"/>
        <v>0</v>
      </c>
      <c r="BY9" s="2790">
        <f t="shared" ref="BY9:CH10" ca="1" si="11">IFERROR(SUMIFS(INDIRECT($C9&amp;".Emissions["&amp;this.Year&amp;"]"), INDIRECT($C9&amp;".Emissions[GHG]"), BY$6, INDIRECT($C9&amp;".Emissions[IPCC Sector]"), BY$5),0)</f>
        <v>0</v>
      </c>
      <c r="BZ9" s="2790">
        <f t="shared" ca="1" si="11"/>
        <v>0</v>
      </c>
      <c r="CA9" s="2790">
        <f t="shared" ca="1" si="11"/>
        <v>0</v>
      </c>
      <c r="CB9" s="2790">
        <f t="shared" ca="1" si="11"/>
        <v>0</v>
      </c>
      <c r="CC9" s="2790">
        <f t="shared" ca="1" si="11"/>
        <v>0</v>
      </c>
      <c r="CD9" s="2790">
        <f t="shared" ca="1" si="11"/>
        <v>0</v>
      </c>
      <c r="CE9" s="2790">
        <f t="shared" ca="1" si="11"/>
        <v>0</v>
      </c>
      <c r="CF9" s="2790">
        <f t="shared" ca="1" si="11"/>
        <v>0</v>
      </c>
      <c r="CG9" s="2790">
        <f t="shared" ca="1" si="11"/>
        <v>0</v>
      </c>
      <c r="CH9" s="2790">
        <f t="shared" ca="1" si="11"/>
        <v>0</v>
      </c>
      <c r="CI9" s="2790">
        <f t="shared" ref="CI9:CR10" ca="1" si="12">IFERROR(SUMIFS(INDIRECT($C9&amp;".Emissions["&amp;this.Year&amp;"]"), INDIRECT($C9&amp;".Emissions[GHG]"), CI$6, INDIRECT($C9&amp;".Emissions[IPCC Sector]"), CI$5),0)</f>
        <v>0</v>
      </c>
      <c r="CJ9" s="2790">
        <f t="shared" ca="1" si="12"/>
        <v>0</v>
      </c>
      <c r="CK9" s="2790">
        <f t="shared" ca="1" si="12"/>
        <v>0</v>
      </c>
      <c r="CL9" s="2790">
        <f t="shared" ca="1" si="12"/>
        <v>0</v>
      </c>
      <c r="CM9" s="2790">
        <f t="shared" ca="1" si="12"/>
        <v>0</v>
      </c>
      <c r="CN9" s="2790">
        <f t="shared" ca="1" si="12"/>
        <v>0</v>
      </c>
      <c r="CO9" s="2790">
        <f t="shared" ca="1" si="12"/>
        <v>0</v>
      </c>
      <c r="CP9" s="2790">
        <f t="shared" ca="1" si="12"/>
        <v>0</v>
      </c>
      <c r="CQ9" s="2790">
        <f t="shared" ca="1" si="12"/>
        <v>0</v>
      </c>
      <c r="CR9" s="2790">
        <f t="shared" ca="1" si="12"/>
        <v>0</v>
      </c>
      <c r="CS9" s="2790">
        <f t="shared" ref="CS9:DF10" ca="1" si="13">IFERROR(SUMIFS(INDIRECT($C9&amp;".Emissions["&amp;this.Year&amp;"]"), INDIRECT($C9&amp;".Emissions[GHG]"), CS$6, INDIRECT($C9&amp;".Emissions[IPCC Sector]"), CS$5),0)</f>
        <v>0</v>
      </c>
      <c r="CT9" s="2790">
        <f t="shared" ca="1" si="13"/>
        <v>0</v>
      </c>
      <c r="CU9" s="2790">
        <f t="shared" ca="1" si="13"/>
        <v>0</v>
      </c>
      <c r="CV9" s="2790">
        <f t="shared" ca="1" si="13"/>
        <v>0</v>
      </c>
      <c r="CW9" s="2790">
        <f t="shared" ca="1" si="13"/>
        <v>0</v>
      </c>
      <c r="CX9" s="2790">
        <f t="shared" ca="1" si="13"/>
        <v>0</v>
      </c>
      <c r="CY9" s="2790">
        <f t="shared" ca="1" si="13"/>
        <v>0</v>
      </c>
      <c r="CZ9" s="2790">
        <f t="shared" ca="1" si="13"/>
        <v>0</v>
      </c>
      <c r="DA9" s="2790">
        <f t="shared" ca="1" si="13"/>
        <v>0</v>
      </c>
      <c r="DB9" s="2790">
        <f t="shared" ca="1" si="13"/>
        <v>0</v>
      </c>
      <c r="DC9" s="2790">
        <f t="shared" ca="1" si="13"/>
        <v>0</v>
      </c>
      <c r="DD9" s="2790">
        <f t="shared" ca="1" si="13"/>
        <v>0</v>
      </c>
      <c r="DE9" s="2790">
        <f t="shared" ca="1" si="13"/>
        <v>0</v>
      </c>
      <c r="DF9" s="2790">
        <f t="shared" ca="1" si="13"/>
        <v>0</v>
      </c>
      <c r="DH9" s="596"/>
    </row>
    <row r="10" spans="1:112" s="6" customFormat="1">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2"/>
        <v>0</v>
      </c>
      <c r="Y10" s="602">
        <f t="shared" ca="1" si="2"/>
        <v>0</v>
      </c>
      <c r="Z10" s="602">
        <f t="shared" ca="1" si="2"/>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3"/>
        <v>0</v>
      </c>
      <c r="AM10" s="604">
        <f t="shared" ca="1" si="4"/>
        <v>0</v>
      </c>
      <c r="AN10" s="604">
        <f t="shared" ca="1" si="4"/>
        <v>0</v>
      </c>
      <c r="AO10" s="604">
        <f t="shared" ca="1" si="4"/>
        <v>0</v>
      </c>
      <c r="AP10" s="604">
        <f t="shared" ca="1" si="4"/>
        <v>0</v>
      </c>
      <c r="AQ10" s="604">
        <f t="shared" ca="1" si="4"/>
        <v>0</v>
      </c>
      <c r="AR10" s="604">
        <f t="shared" ca="1" si="4"/>
        <v>0</v>
      </c>
      <c r="AS10" s="604">
        <f t="shared" ca="1" si="4"/>
        <v>0</v>
      </c>
      <c r="AT10" s="604">
        <f t="shared" ca="1" si="4"/>
        <v>0</v>
      </c>
      <c r="AU10" s="604">
        <f t="shared" ca="1" si="4"/>
        <v>0</v>
      </c>
      <c r="AV10" s="604">
        <f t="shared" ca="1" si="4"/>
        <v>0</v>
      </c>
      <c r="AW10" s="604">
        <f t="shared" ca="1" si="4"/>
        <v>0</v>
      </c>
      <c r="AX10" s="604">
        <f t="shared" ca="1" si="4"/>
        <v>0</v>
      </c>
      <c r="AY10" s="604">
        <f t="shared" ca="1" si="4"/>
        <v>0</v>
      </c>
      <c r="AZ10" s="604">
        <f t="shared" ca="1" si="4"/>
        <v>0</v>
      </c>
      <c r="BA10" s="604">
        <f t="shared" ca="1" si="4"/>
        <v>0</v>
      </c>
      <c r="BB10" s="604">
        <f t="shared" ca="1" si="4"/>
        <v>0</v>
      </c>
      <c r="BC10" s="604">
        <f t="shared" ca="1" si="5"/>
        <v>0</v>
      </c>
      <c r="BD10" s="604">
        <f t="shared" ca="1" si="5"/>
        <v>0</v>
      </c>
      <c r="BE10" s="604">
        <f t="shared" ca="1" si="5"/>
        <v>0</v>
      </c>
      <c r="BF10" s="605">
        <f t="shared" ca="1" si="6"/>
        <v>0</v>
      </c>
      <c r="BH10" s="3472">
        <f t="shared" ca="1" si="7"/>
        <v>0</v>
      </c>
      <c r="BI10" s="3472">
        <f t="shared" ca="1" si="7"/>
        <v>0</v>
      </c>
      <c r="BJ10" s="3461">
        <f t="shared" ca="1" si="8"/>
        <v>0</v>
      </c>
      <c r="BL10" s="606">
        <f t="shared" ca="1" si="9"/>
        <v>0</v>
      </c>
      <c r="BM10" s="606"/>
      <c r="BN10" s="413"/>
      <c r="BO10" s="2789">
        <f t="shared" ca="1" si="10"/>
        <v>0</v>
      </c>
      <c r="BP10" s="2790">
        <f t="shared" ca="1" si="10"/>
        <v>0</v>
      </c>
      <c r="BQ10" s="2790">
        <f t="shared" ca="1" si="10"/>
        <v>0</v>
      </c>
      <c r="BR10" s="2790">
        <f t="shared" ca="1" si="10"/>
        <v>0</v>
      </c>
      <c r="BS10" s="2790">
        <f t="shared" ca="1" si="10"/>
        <v>0</v>
      </c>
      <c r="BT10" s="2790">
        <f t="shared" ca="1" si="10"/>
        <v>0</v>
      </c>
      <c r="BU10" s="2790">
        <f t="shared" ca="1" si="10"/>
        <v>0</v>
      </c>
      <c r="BV10" s="2790">
        <f t="shared" ca="1" si="10"/>
        <v>0</v>
      </c>
      <c r="BW10" s="2790">
        <f t="shared" ca="1" si="10"/>
        <v>0</v>
      </c>
      <c r="BX10" s="2790">
        <f t="shared" ca="1" si="10"/>
        <v>0</v>
      </c>
      <c r="BY10" s="2790">
        <f t="shared" ca="1" si="11"/>
        <v>0</v>
      </c>
      <c r="BZ10" s="2790">
        <f t="shared" ca="1" si="11"/>
        <v>0</v>
      </c>
      <c r="CA10" s="2790">
        <f t="shared" ca="1" si="11"/>
        <v>0</v>
      </c>
      <c r="CB10" s="2790">
        <f t="shared" ca="1" si="11"/>
        <v>0</v>
      </c>
      <c r="CC10" s="2790">
        <f t="shared" ca="1" si="11"/>
        <v>0</v>
      </c>
      <c r="CD10" s="2790">
        <f t="shared" ca="1" si="11"/>
        <v>0</v>
      </c>
      <c r="CE10" s="2790">
        <f t="shared" ca="1" si="11"/>
        <v>0</v>
      </c>
      <c r="CF10" s="2790">
        <f t="shared" ca="1" si="11"/>
        <v>0</v>
      </c>
      <c r="CG10" s="2790">
        <f t="shared" ca="1" si="11"/>
        <v>0</v>
      </c>
      <c r="CH10" s="2790">
        <f t="shared" ca="1" si="11"/>
        <v>0</v>
      </c>
      <c r="CI10" s="2790">
        <f t="shared" ca="1" si="12"/>
        <v>0</v>
      </c>
      <c r="CJ10" s="2790">
        <f t="shared" ca="1" si="12"/>
        <v>0</v>
      </c>
      <c r="CK10" s="2790">
        <f t="shared" ca="1" si="12"/>
        <v>0</v>
      </c>
      <c r="CL10" s="2790">
        <f t="shared" ca="1" si="12"/>
        <v>0</v>
      </c>
      <c r="CM10" s="2790">
        <f t="shared" ca="1" si="12"/>
        <v>0</v>
      </c>
      <c r="CN10" s="2790">
        <f t="shared" ca="1" si="12"/>
        <v>0</v>
      </c>
      <c r="CO10" s="2790">
        <f t="shared" ca="1" si="12"/>
        <v>0</v>
      </c>
      <c r="CP10" s="2790">
        <f t="shared" ca="1" si="12"/>
        <v>0</v>
      </c>
      <c r="CQ10" s="2790">
        <f t="shared" ca="1" si="12"/>
        <v>0</v>
      </c>
      <c r="CR10" s="2790">
        <f t="shared" ca="1" si="12"/>
        <v>0</v>
      </c>
      <c r="CS10" s="2790">
        <f t="shared" ca="1" si="13"/>
        <v>0</v>
      </c>
      <c r="CT10" s="2790">
        <f t="shared" ca="1" si="13"/>
        <v>0</v>
      </c>
      <c r="CU10" s="2790">
        <f t="shared" ca="1" si="13"/>
        <v>0</v>
      </c>
      <c r="CV10" s="2790">
        <f t="shared" ca="1" si="13"/>
        <v>0</v>
      </c>
      <c r="CW10" s="2790">
        <f t="shared" ca="1" si="13"/>
        <v>0</v>
      </c>
      <c r="CX10" s="2790">
        <f t="shared" ca="1" si="13"/>
        <v>0</v>
      </c>
      <c r="CY10" s="2790">
        <f t="shared" ca="1" si="13"/>
        <v>0</v>
      </c>
      <c r="CZ10" s="2790">
        <f t="shared" ca="1" si="13"/>
        <v>0</v>
      </c>
      <c r="DA10" s="2790">
        <f t="shared" ca="1" si="13"/>
        <v>0</v>
      </c>
      <c r="DB10" s="2790">
        <f t="shared" ca="1" si="13"/>
        <v>0</v>
      </c>
      <c r="DC10" s="2790">
        <f t="shared" ca="1" si="13"/>
        <v>0</v>
      </c>
      <c r="DD10" s="2790">
        <f t="shared" ca="1" si="13"/>
        <v>0</v>
      </c>
      <c r="DE10" s="2790">
        <f t="shared" ca="1" si="13"/>
        <v>0</v>
      </c>
      <c r="DF10" s="2790">
        <f t="shared" ca="1" si="13"/>
        <v>0</v>
      </c>
      <c r="DH10" s="596"/>
    </row>
    <row r="11" spans="1:112" s="6" customFormat="1">
      <c r="A11" s="607"/>
      <c r="B11" s="607"/>
      <c r="C11" s="587"/>
      <c r="D11" s="607" t="s">
        <v>464</v>
      </c>
      <c r="E11" s="588"/>
      <c r="G11" s="590">
        <f ca="1">SUM(G9:G10)</f>
        <v>23.252127528931958</v>
      </c>
      <c r="H11" s="590">
        <f t="shared" ref="H11:P11" ca="1" si="14">SUM(H9:H10)</f>
        <v>0</v>
      </c>
      <c r="I11" s="590">
        <f t="shared" ca="1" si="14"/>
        <v>0</v>
      </c>
      <c r="J11" s="590">
        <f t="shared" ca="1" si="14"/>
        <v>0</v>
      </c>
      <c r="K11" s="590">
        <f t="shared" ca="1" si="14"/>
        <v>0</v>
      </c>
      <c r="L11" s="590">
        <f t="shared" ca="1" si="14"/>
        <v>0</v>
      </c>
      <c r="M11" s="590">
        <f t="shared" ca="1" si="14"/>
        <v>0</v>
      </c>
      <c r="N11" s="590">
        <f ca="1">SUM(N9:N10)</f>
        <v>0</v>
      </c>
      <c r="O11" s="590">
        <f ca="1">SUM(O9:O10)</f>
        <v>0</v>
      </c>
      <c r="P11" s="590">
        <f t="shared" ca="1" si="14"/>
        <v>0</v>
      </c>
      <c r="Q11" s="590">
        <f t="shared" ca="1" si="1"/>
        <v>23.252127528931958</v>
      </c>
      <c r="S11" s="592">
        <f ca="1">SUM(S9:S10)</f>
        <v>-1.460457822648747</v>
      </c>
      <c r="T11" s="592">
        <f t="shared" ref="T11:AJ11" ca="1" si="15">SUM(T9:T10)</f>
        <v>0</v>
      </c>
      <c r="U11" s="592">
        <f t="shared" ca="1" si="15"/>
        <v>-0.21143772455169493</v>
      </c>
      <c r="V11" s="592">
        <f t="shared" ca="1" si="15"/>
        <v>-10.43020115443155</v>
      </c>
      <c r="W11" s="592">
        <f t="shared" ca="1" si="15"/>
        <v>-10.45827972318421</v>
      </c>
      <c r="X11" s="592">
        <f ca="1">SUM(X9:X10)</f>
        <v>0</v>
      </c>
      <c r="Y11" s="592">
        <f ca="1">SUM(Y9:Y10)</f>
        <v>0</v>
      </c>
      <c r="Z11" s="592">
        <f ca="1">SUM(Z9:Z10)</f>
        <v>0</v>
      </c>
      <c r="AA11" s="592">
        <f t="shared" ca="1" si="15"/>
        <v>0</v>
      </c>
      <c r="AB11" s="592">
        <f t="shared" ca="1" si="15"/>
        <v>0</v>
      </c>
      <c r="AC11" s="592">
        <f t="shared" ca="1" si="15"/>
        <v>0</v>
      </c>
      <c r="AD11" s="592">
        <f ca="1">SUM(AD9:AD10)</f>
        <v>0</v>
      </c>
      <c r="AE11" s="592">
        <f ca="1">SUM(AE9:AE10)</f>
        <v>0</v>
      </c>
      <c r="AF11" s="592">
        <f t="shared" ca="1" si="15"/>
        <v>0</v>
      </c>
      <c r="AG11" s="592">
        <f ca="1">SUM(AG9:AG10)</f>
        <v>0</v>
      </c>
      <c r="AH11" s="592">
        <f ca="1">SUM(AH9:AH10)</f>
        <v>0</v>
      </c>
      <c r="AI11" s="592">
        <f ca="1">SUM(AI9:AI10)</f>
        <v>-0.55796848364472162</v>
      </c>
      <c r="AJ11" s="592">
        <f t="shared" ca="1" si="15"/>
        <v>0</v>
      </c>
      <c r="AK11" s="592">
        <f t="shared" ca="1" si="3"/>
        <v>-23.118344908460926</v>
      </c>
      <c r="AM11" s="608">
        <f t="shared" ref="AM11:BE11" ca="1" si="16">SUM(AM9:AM10)</f>
        <v>0</v>
      </c>
      <c r="AN11" s="608">
        <f t="shared" ca="1" si="16"/>
        <v>0</v>
      </c>
      <c r="AO11" s="608">
        <f t="shared" ca="1" si="16"/>
        <v>0</v>
      </c>
      <c r="AP11" s="608">
        <f t="shared" ca="1" si="16"/>
        <v>0</v>
      </c>
      <c r="AQ11" s="608">
        <f t="shared" ca="1" si="16"/>
        <v>0</v>
      </c>
      <c r="AR11" s="608">
        <f t="shared" ca="1" si="16"/>
        <v>0</v>
      </c>
      <c r="AS11" s="608">
        <f t="shared" ca="1" si="16"/>
        <v>0</v>
      </c>
      <c r="AT11" s="608">
        <f t="shared" ca="1" si="16"/>
        <v>0</v>
      </c>
      <c r="AU11" s="608">
        <f t="shared" ca="1" si="16"/>
        <v>0</v>
      </c>
      <c r="AV11" s="608">
        <f t="shared" ca="1" si="16"/>
        <v>0</v>
      </c>
      <c r="AW11" s="608">
        <f t="shared" ca="1" si="16"/>
        <v>0</v>
      </c>
      <c r="AX11" s="608">
        <f t="shared" ca="1" si="16"/>
        <v>0</v>
      </c>
      <c r="AY11" s="608">
        <f t="shared" ca="1" si="16"/>
        <v>0</v>
      </c>
      <c r="AZ11" s="608">
        <f t="shared" ca="1" si="16"/>
        <v>0</v>
      </c>
      <c r="BA11" s="608">
        <f t="shared" ca="1" si="16"/>
        <v>0</v>
      </c>
      <c r="BB11" s="608">
        <f t="shared" ca="1" si="16"/>
        <v>0</v>
      </c>
      <c r="BC11" s="608">
        <f t="shared" ca="1" si="16"/>
        <v>-0.13378262047103262</v>
      </c>
      <c r="BD11" s="608">
        <f ca="1">SUM(BD9:BD10)</f>
        <v>0</v>
      </c>
      <c r="BE11" s="608">
        <f t="shared" ca="1" si="16"/>
        <v>0</v>
      </c>
      <c r="BF11" s="609">
        <f t="shared" ca="1" si="6"/>
        <v>-0.13378262047103262</v>
      </c>
      <c r="BH11" s="3460">
        <f ca="1">SUM(BH9:BH10)</f>
        <v>0</v>
      </c>
      <c r="BI11" s="3460">
        <f ca="1">SUM(BI9:BI10)</f>
        <v>0</v>
      </c>
      <c r="BJ11" s="3460">
        <f t="shared" ca="1" si="8"/>
        <v>0</v>
      </c>
      <c r="BL11" s="610">
        <f t="shared" ca="1" si="9"/>
        <v>-1.5543122344752192E-15</v>
      </c>
      <c r="BM11" s="610"/>
      <c r="BN11" s="413"/>
      <c r="BO11" s="2789">
        <f t="shared" ref="BO11:DF11" ca="1" si="17">SUM(BO9:BO10)</f>
        <v>4.9647391675110182</v>
      </c>
      <c r="BP11" s="2790">
        <f t="shared" ca="1" si="17"/>
        <v>3.1674048532810781E-3</v>
      </c>
      <c r="BQ11" s="2790">
        <f t="shared" ca="1" si="17"/>
        <v>4.0949221439420591E-2</v>
      </c>
      <c r="BR11" s="2790">
        <f t="shared" ca="1" si="17"/>
        <v>0</v>
      </c>
      <c r="BS11" s="2790">
        <f t="shared" ca="1" si="17"/>
        <v>0</v>
      </c>
      <c r="BT11" s="2790">
        <f t="shared" ca="1" si="17"/>
        <v>0</v>
      </c>
      <c r="BU11" s="2790">
        <f t="shared" ca="1" si="17"/>
        <v>0</v>
      </c>
      <c r="BV11" s="2790">
        <f t="shared" ca="1" si="17"/>
        <v>0</v>
      </c>
      <c r="BW11" s="2790">
        <f t="shared" ca="1" si="17"/>
        <v>0</v>
      </c>
      <c r="BX11" s="2790">
        <f t="shared" ca="1" si="17"/>
        <v>0</v>
      </c>
      <c r="BY11" s="2790">
        <f t="shared" ca="1" si="17"/>
        <v>0</v>
      </c>
      <c r="BZ11" s="2790">
        <f t="shared" ca="1" si="17"/>
        <v>0</v>
      </c>
      <c r="CA11" s="2790">
        <f t="shared" ca="1" si="17"/>
        <v>0</v>
      </c>
      <c r="CB11" s="2790">
        <f t="shared" ca="1" si="17"/>
        <v>0</v>
      </c>
      <c r="CC11" s="2790">
        <f t="shared" ca="1" si="17"/>
        <v>0</v>
      </c>
      <c r="CD11" s="2790">
        <f t="shared" ca="1" si="17"/>
        <v>0</v>
      </c>
      <c r="CE11" s="2790">
        <f t="shared" ca="1" si="17"/>
        <v>0</v>
      </c>
      <c r="CF11" s="2790">
        <f t="shared" ca="1" si="17"/>
        <v>0</v>
      </c>
      <c r="CG11" s="2790">
        <f t="shared" ca="1" si="17"/>
        <v>0</v>
      </c>
      <c r="CH11" s="2790">
        <f t="shared" ca="1" si="17"/>
        <v>0</v>
      </c>
      <c r="CI11" s="2790">
        <f t="shared" ca="1" si="17"/>
        <v>0</v>
      </c>
      <c r="CJ11" s="2790">
        <f t="shared" ca="1" si="17"/>
        <v>0</v>
      </c>
      <c r="CK11" s="2790">
        <f t="shared" ca="1" si="17"/>
        <v>0</v>
      </c>
      <c r="CL11" s="2790">
        <f t="shared" ca="1" si="17"/>
        <v>0</v>
      </c>
      <c r="CM11" s="2790">
        <f t="shared" ca="1" si="17"/>
        <v>0</v>
      </c>
      <c r="CN11" s="2790">
        <f t="shared" ca="1" si="17"/>
        <v>0</v>
      </c>
      <c r="CO11" s="2790">
        <f t="shared" ca="1" si="17"/>
        <v>0</v>
      </c>
      <c r="CP11" s="2790">
        <f t="shared" ca="1" si="17"/>
        <v>0</v>
      </c>
      <c r="CQ11" s="2790">
        <f t="shared" ca="1" si="17"/>
        <v>0</v>
      </c>
      <c r="CR11" s="2790">
        <f t="shared" ca="1" si="17"/>
        <v>0</v>
      </c>
      <c r="CS11" s="2790">
        <f t="shared" ca="1" si="17"/>
        <v>0</v>
      </c>
      <c r="CT11" s="2790">
        <f t="shared" ca="1" si="17"/>
        <v>0</v>
      </c>
      <c r="CU11" s="2790">
        <f t="shared" ca="1" si="17"/>
        <v>0</v>
      </c>
      <c r="CV11" s="2790">
        <f t="shared" ca="1" si="17"/>
        <v>0</v>
      </c>
      <c r="CW11" s="2790">
        <f t="shared" ca="1" si="17"/>
        <v>0</v>
      </c>
      <c r="CX11" s="2790">
        <f t="shared" ca="1" si="17"/>
        <v>0</v>
      </c>
      <c r="CY11" s="2790">
        <f t="shared" ca="1" si="17"/>
        <v>0</v>
      </c>
      <c r="CZ11" s="2790">
        <f t="shared" ca="1" si="17"/>
        <v>0</v>
      </c>
      <c r="DA11" s="2790">
        <f t="shared" ca="1" si="17"/>
        <v>0</v>
      </c>
      <c r="DB11" s="2790">
        <f t="shared" ca="1" si="17"/>
        <v>0</v>
      </c>
      <c r="DC11" s="2790">
        <f t="shared" ca="1" si="17"/>
        <v>0</v>
      </c>
      <c r="DD11" s="2790">
        <f t="shared" ca="1" si="17"/>
        <v>0</v>
      </c>
      <c r="DE11" s="2790">
        <f t="shared" ca="1" si="17"/>
        <v>0</v>
      </c>
      <c r="DF11" s="2790">
        <f t="shared" ca="1" si="17"/>
        <v>0</v>
      </c>
      <c r="DH11" s="596"/>
    </row>
    <row r="12" spans="1:112" s="6" customFormat="1">
      <c r="A12" s="586"/>
      <c r="B12" s="586"/>
      <c r="C12" s="587" t="s">
        <v>465</v>
      </c>
      <c r="D12" s="586" t="s">
        <v>466</v>
      </c>
      <c r="E12" s="599"/>
      <c r="G12" s="589">
        <f t="shared" ca="1" si="0"/>
        <v>12.354293983631845</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12.354293983631845</v>
      </c>
      <c r="S12" s="591">
        <f t="shared" ca="1" si="2"/>
        <v>-3.4631285714285713</v>
      </c>
      <c r="T12" s="591">
        <f t="shared" ca="1" si="2"/>
        <v>1.3644642857142859</v>
      </c>
      <c r="U12" s="591">
        <f t="shared" ca="1" si="2"/>
        <v>-0.31366995073891629</v>
      </c>
      <c r="V12" s="591">
        <f t="shared" ca="1" si="2"/>
        <v>-2.1568851251840946</v>
      </c>
      <c r="W12" s="591">
        <f t="shared" ca="1" si="2"/>
        <v>-7.726703193423119</v>
      </c>
      <c r="X12" s="591">
        <f t="shared" ca="1" si="2"/>
        <v>0</v>
      </c>
      <c r="Y12" s="591">
        <f t="shared" ca="1" si="2"/>
        <v>0</v>
      </c>
      <c r="Z12" s="591">
        <f t="shared" ca="1" si="2"/>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3"/>
        <v>-12.295922555060415</v>
      </c>
      <c r="AM12" s="593">
        <f t="shared" ref="AM12:BB13" ca="1" si="18">IFERROR(INDEX(INDIRECT($C12&amp;".Outputs["&amp;this.Year&amp;"]"), MATCH(AM$5, INDIRECT($C12&amp;".Outputs[Vector]"), 0)), 0)</f>
        <v>0</v>
      </c>
      <c r="AN12" s="593">
        <f t="shared" ca="1" si="18"/>
        <v>0</v>
      </c>
      <c r="AO12" s="593">
        <f t="shared" ca="1" si="18"/>
        <v>0</v>
      </c>
      <c r="AP12" s="593">
        <f t="shared" ca="1" si="18"/>
        <v>0</v>
      </c>
      <c r="AQ12" s="593">
        <f t="shared" ca="1" si="18"/>
        <v>0</v>
      </c>
      <c r="AR12" s="593">
        <f t="shared" ca="1" si="18"/>
        <v>0</v>
      </c>
      <c r="AS12" s="593">
        <f t="shared" ca="1" si="18"/>
        <v>0</v>
      </c>
      <c r="AT12" s="593">
        <f t="shared" ca="1" si="18"/>
        <v>0</v>
      </c>
      <c r="AU12" s="593">
        <f t="shared" ca="1" si="18"/>
        <v>0</v>
      </c>
      <c r="AV12" s="593">
        <f t="shared" ca="1" si="18"/>
        <v>0</v>
      </c>
      <c r="AW12" s="593">
        <f t="shared" ca="1" si="18"/>
        <v>0</v>
      </c>
      <c r="AX12" s="593">
        <f t="shared" ca="1" si="18"/>
        <v>0</v>
      </c>
      <c r="AY12" s="593">
        <f t="shared" ca="1" si="18"/>
        <v>0</v>
      </c>
      <c r="AZ12" s="593">
        <f t="shared" ca="1" si="18"/>
        <v>0</v>
      </c>
      <c r="BA12" s="593">
        <f t="shared" ca="1" si="18"/>
        <v>0</v>
      </c>
      <c r="BB12" s="593">
        <f t="shared" ca="1" si="18"/>
        <v>0</v>
      </c>
      <c r="BC12" s="593">
        <f t="shared" ref="BC12:BE13" ca="1" si="19">IFERROR(INDEX(INDIRECT($C12&amp;".Outputs["&amp;this.Year&amp;"]"), MATCH(BC$5, INDIRECT($C12&amp;".Outputs[Vector]"), 0)), 0)</f>
        <v>-5.8371428571428581E-2</v>
      </c>
      <c r="BD12" s="593">
        <f t="shared" ca="1" si="19"/>
        <v>0</v>
      </c>
      <c r="BE12" s="593">
        <f t="shared" ca="1" si="19"/>
        <v>0</v>
      </c>
      <c r="BF12" s="594">
        <f t="shared" ca="1" si="6"/>
        <v>-5.8371428571428581E-2</v>
      </c>
      <c r="BH12" s="3471">
        <f t="shared" ca="1" si="7"/>
        <v>0</v>
      </c>
      <c r="BI12" s="3471">
        <f t="shared" ca="1" si="7"/>
        <v>0</v>
      </c>
      <c r="BJ12" s="3460">
        <f t="shared" ca="1" si="8"/>
        <v>0</v>
      </c>
      <c r="BL12" s="595">
        <f t="shared" ca="1" si="9"/>
        <v>1.4918621893400541E-15</v>
      </c>
      <c r="BM12" s="595"/>
      <c r="BN12" s="413"/>
      <c r="BO12" s="2789">
        <f t="shared" ref="BO12:BX13" ca="1" si="20">IFERROR(SUMIFS(INDIRECT($C12&amp;".Emissions["&amp;this.Year&amp;"]"), INDIRECT($C12&amp;".Emissions[GHG]"), BO$6, INDIRECT($C12&amp;".Emissions[IPCC Sector]"), BO$5),0)</f>
        <v>2.2568807982113466</v>
      </c>
      <c r="BP12" s="2790">
        <f t="shared" ca="1" si="20"/>
        <v>1.089919721607644E-3</v>
      </c>
      <c r="BQ12" s="2790">
        <f t="shared" ca="1" si="20"/>
        <v>2.6625980327530167E-2</v>
      </c>
      <c r="BR12" s="2790">
        <f t="shared" ca="1" si="20"/>
        <v>0</v>
      </c>
      <c r="BS12" s="2790">
        <f t="shared" ca="1" si="20"/>
        <v>0</v>
      </c>
      <c r="BT12" s="2790">
        <f t="shared" ca="1" si="20"/>
        <v>0</v>
      </c>
      <c r="BU12" s="2790">
        <f t="shared" ca="1" si="20"/>
        <v>0</v>
      </c>
      <c r="BV12" s="2790">
        <f t="shared" ca="1" si="20"/>
        <v>0</v>
      </c>
      <c r="BW12" s="2790">
        <f t="shared" ca="1" si="20"/>
        <v>0</v>
      </c>
      <c r="BX12" s="2790">
        <f t="shared" ca="1" si="20"/>
        <v>0</v>
      </c>
      <c r="BY12" s="2790">
        <f t="shared" ref="BY12:CH13" ca="1" si="21">IFERROR(SUMIFS(INDIRECT($C12&amp;".Emissions["&amp;this.Year&amp;"]"), INDIRECT($C12&amp;".Emissions[GHG]"), BY$6, INDIRECT($C12&amp;".Emissions[IPCC Sector]"), BY$5),0)</f>
        <v>0</v>
      </c>
      <c r="BZ12" s="2790">
        <f t="shared" ca="1" si="21"/>
        <v>0</v>
      </c>
      <c r="CA12" s="2790">
        <f t="shared" ca="1" si="21"/>
        <v>0</v>
      </c>
      <c r="CB12" s="2790">
        <f t="shared" ca="1" si="21"/>
        <v>0</v>
      </c>
      <c r="CC12" s="2790">
        <f t="shared" ca="1" si="21"/>
        <v>0</v>
      </c>
      <c r="CD12" s="2790">
        <f t="shared" ca="1" si="21"/>
        <v>0</v>
      </c>
      <c r="CE12" s="2790">
        <f t="shared" ca="1" si="21"/>
        <v>0</v>
      </c>
      <c r="CF12" s="2790">
        <f t="shared" ca="1" si="21"/>
        <v>0</v>
      </c>
      <c r="CG12" s="2790">
        <f t="shared" ca="1" si="21"/>
        <v>0</v>
      </c>
      <c r="CH12" s="2790">
        <f t="shared" ca="1" si="21"/>
        <v>0</v>
      </c>
      <c r="CI12" s="2790">
        <f t="shared" ref="CI12:CR13" ca="1" si="22">IFERROR(SUMIFS(INDIRECT($C12&amp;".Emissions["&amp;this.Year&amp;"]"), INDIRECT($C12&amp;".Emissions[GHG]"), CI$6, INDIRECT($C12&amp;".Emissions[IPCC Sector]"), CI$5),0)</f>
        <v>0</v>
      </c>
      <c r="CJ12" s="2790">
        <f t="shared" ca="1" si="22"/>
        <v>0</v>
      </c>
      <c r="CK12" s="2790">
        <f t="shared" ca="1" si="22"/>
        <v>0</v>
      </c>
      <c r="CL12" s="2790">
        <f t="shared" ca="1" si="22"/>
        <v>0</v>
      </c>
      <c r="CM12" s="2790">
        <f t="shared" ca="1" si="22"/>
        <v>0</v>
      </c>
      <c r="CN12" s="2790">
        <f t="shared" ca="1" si="22"/>
        <v>0</v>
      </c>
      <c r="CO12" s="2790">
        <f t="shared" ca="1" si="22"/>
        <v>0</v>
      </c>
      <c r="CP12" s="2790">
        <f t="shared" ca="1" si="22"/>
        <v>0</v>
      </c>
      <c r="CQ12" s="2790">
        <f t="shared" ca="1" si="22"/>
        <v>0</v>
      </c>
      <c r="CR12" s="2790">
        <f t="shared" ca="1" si="22"/>
        <v>0</v>
      </c>
      <c r="CS12" s="2790">
        <f t="shared" ref="CS12:DF13" ca="1" si="23">IFERROR(SUMIFS(INDIRECT($C12&amp;".Emissions["&amp;this.Year&amp;"]"), INDIRECT($C12&amp;".Emissions[GHG]"), CS$6, INDIRECT($C12&amp;".Emissions[IPCC Sector]"), CS$5),0)</f>
        <v>0</v>
      </c>
      <c r="CT12" s="2790">
        <f t="shared" ca="1" si="23"/>
        <v>0</v>
      </c>
      <c r="CU12" s="2790">
        <f t="shared" ca="1" si="23"/>
        <v>0</v>
      </c>
      <c r="CV12" s="2790">
        <f t="shared" ca="1" si="23"/>
        <v>0</v>
      </c>
      <c r="CW12" s="2790">
        <f t="shared" ca="1" si="23"/>
        <v>0</v>
      </c>
      <c r="CX12" s="2790">
        <f t="shared" ca="1" si="23"/>
        <v>0</v>
      </c>
      <c r="CY12" s="2790">
        <f t="shared" ca="1" si="23"/>
        <v>0</v>
      </c>
      <c r="CZ12" s="2790">
        <f t="shared" ca="1" si="23"/>
        <v>0</v>
      </c>
      <c r="DA12" s="2790">
        <f t="shared" ca="1" si="23"/>
        <v>0</v>
      </c>
      <c r="DB12" s="2790">
        <f t="shared" ca="1" si="23"/>
        <v>0</v>
      </c>
      <c r="DC12" s="2790">
        <f t="shared" ca="1" si="23"/>
        <v>0</v>
      </c>
      <c r="DD12" s="2790">
        <f t="shared" ca="1" si="23"/>
        <v>0</v>
      </c>
      <c r="DE12" s="2790">
        <f t="shared" ca="1" si="23"/>
        <v>0</v>
      </c>
      <c r="DF12" s="2790">
        <f t="shared" ca="1" si="23"/>
        <v>0</v>
      </c>
      <c r="DH12" s="596"/>
    </row>
    <row r="13" spans="1:112" s="6" customFormat="1">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2"/>
        <v>0</v>
      </c>
      <c r="Y13" s="602">
        <f t="shared" ca="1" si="2"/>
        <v>0</v>
      </c>
      <c r="Z13" s="602">
        <f t="shared" ca="1" si="2"/>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3"/>
        <v>0</v>
      </c>
      <c r="AM13" s="604">
        <f t="shared" ca="1" si="18"/>
        <v>0</v>
      </c>
      <c r="AN13" s="604">
        <f t="shared" ca="1" si="18"/>
        <v>0</v>
      </c>
      <c r="AO13" s="604">
        <f t="shared" ca="1" si="18"/>
        <v>0</v>
      </c>
      <c r="AP13" s="604">
        <f t="shared" ca="1" si="18"/>
        <v>0</v>
      </c>
      <c r="AQ13" s="604">
        <f t="shared" ca="1" si="18"/>
        <v>0</v>
      </c>
      <c r="AR13" s="604">
        <f t="shared" ca="1" si="18"/>
        <v>0</v>
      </c>
      <c r="AS13" s="604">
        <f t="shared" ca="1" si="18"/>
        <v>0</v>
      </c>
      <c r="AT13" s="604">
        <f t="shared" ca="1" si="18"/>
        <v>0</v>
      </c>
      <c r="AU13" s="604">
        <f t="shared" ca="1" si="18"/>
        <v>0</v>
      </c>
      <c r="AV13" s="604">
        <f t="shared" ca="1" si="18"/>
        <v>0</v>
      </c>
      <c r="AW13" s="604">
        <f t="shared" ca="1" si="18"/>
        <v>0</v>
      </c>
      <c r="AX13" s="604">
        <f t="shared" ca="1" si="18"/>
        <v>0</v>
      </c>
      <c r="AY13" s="604">
        <f t="shared" ca="1" si="18"/>
        <v>0</v>
      </c>
      <c r="AZ13" s="604">
        <f t="shared" ca="1" si="18"/>
        <v>0</v>
      </c>
      <c r="BA13" s="604">
        <f t="shared" ca="1" si="18"/>
        <v>0</v>
      </c>
      <c r="BB13" s="604">
        <f t="shared" ca="1" si="18"/>
        <v>0</v>
      </c>
      <c r="BC13" s="604">
        <f t="shared" ca="1" si="19"/>
        <v>0</v>
      </c>
      <c r="BD13" s="604">
        <f t="shared" ca="1" si="19"/>
        <v>0</v>
      </c>
      <c r="BE13" s="604">
        <f t="shared" ca="1" si="19"/>
        <v>0</v>
      </c>
      <c r="BF13" s="605">
        <f t="shared" ca="1" si="6"/>
        <v>0</v>
      </c>
      <c r="BH13" s="3472">
        <f t="shared" ca="1" si="7"/>
        <v>0</v>
      </c>
      <c r="BI13" s="3472">
        <f t="shared" ca="1" si="7"/>
        <v>0</v>
      </c>
      <c r="BJ13" s="3461">
        <f t="shared" ca="1" si="8"/>
        <v>0</v>
      </c>
      <c r="BL13" s="606">
        <f t="shared" ca="1" si="9"/>
        <v>0</v>
      </c>
      <c r="BM13" s="606"/>
      <c r="BN13" s="413"/>
      <c r="BO13" s="2789">
        <f t="shared" ca="1" si="20"/>
        <v>0</v>
      </c>
      <c r="BP13" s="2790">
        <f t="shared" ca="1" si="20"/>
        <v>0</v>
      </c>
      <c r="BQ13" s="2790">
        <f t="shared" ca="1" si="20"/>
        <v>0</v>
      </c>
      <c r="BR13" s="2790">
        <f t="shared" ca="1" si="20"/>
        <v>0</v>
      </c>
      <c r="BS13" s="2790">
        <f t="shared" ca="1" si="20"/>
        <v>0</v>
      </c>
      <c r="BT13" s="2790">
        <f t="shared" ca="1" si="20"/>
        <v>0</v>
      </c>
      <c r="BU13" s="2790">
        <f t="shared" ca="1" si="20"/>
        <v>0</v>
      </c>
      <c r="BV13" s="2790">
        <f t="shared" ca="1" si="20"/>
        <v>0</v>
      </c>
      <c r="BW13" s="2790">
        <f t="shared" ca="1" si="20"/>
        <v>0</v>
      </c>
      <c r="BX13" s="2790">
        <f t="shared" ca="1" si="20"/>
        <v>0</v>
      </c>
      <c r="BY13" s="2790">
        <f t="shared" ca="1" si="21"/>
        <v>0</v>
      </c>
      <c r="BZ13" s="2790">
        <f t="shared" ca="1" si="21"/>
        <v>0</v>
      </c>
      <c r="CA13" s="2790">
        <f t="shared" ca="1" si="21"/>
        <v>0</v>
      </c>
      <c r="CB13" s="2790">
        <f t="shared" ca="1" si="21"/>
        <v>0</v>
      </c>
      <c r="CC13" s="2790">
        <f t="shared" ca="1" si="21"/>
        <v>0</v>
      </c>
      <c r="CD13" s="2790">
        <f t="shared" ca="1" si="21"/>
        <v>0</v>
      </c>
      <c r="CE13" s="2790">
        <f t="shared" ca="1" si="21"/>
        <v>0</v>
      </c>
      <c r="CF13" s="2790">
        <f t="shared" ca="1" si="21"/>
        <v>0</v>
      </c>
      <c r="CG13" s="2790">
        <f t="shared" ca="1" si="21"/>
        <v>0</v>
      </c>
      <c r="CH13" s="2790">
        <f t="shared" ca="1" si="21"/>
        <v>0</v>
      </c>
      <c r="CI13" s="2790">
        <f t="shared" ca="1" si="22"/>
        <v>0</v>
      </c>
      <c r="CJ13" s="2790">
        <f t="shared" ca="1" si="22"/>
        <v>0</v>
      </c>
      <c r="CK13" s="2790">
        <f t="shared" ca="1" si="22"/>
        <v>0</v>
      </c>
      <c r="CL13" s="2790">
        <f t="shared" ca="1" si="22"/>
        <v>0</v>
      </c>
      <c r="CM13" s="2790">
        <f t="shared" ca="1" si="22"/>
        <v>0</v>
      </c>
      <c r="CN13" s="2790">
        <f t="shared" ca="1" si="22"/>
        <v>0</v>
      </c>
      <c r="CO13" s="2790">
        <f t="shared" ca="1" si="22"/>
        <v>0</v>
      </c>
      <c r="CP13" s="2790">
        <f t="shared" ca="1" si="22"/>
        <v>0</v>
      </c>
      <c r="CQ13" s="2790">
        <f t="shared" ca="1" si="22"/>
        <v>0</v>
      </c>
      <c r="CR13" s="2790">
        <f t="shared" ca="1" si="22"/>
        <v>0</v>
      </c>
      <c r="CS13" s="2790">
        <f t="shared" ca="1" si="23"/>
        <v>0</v>
      </c>
      <c r="CT13" s="2790">
        <f t="shared" ca="1" si="23"/>
        <v>0</v>
      </c>
      <c r="CU13" s="2790">
        <f t="shared" ca="1" si="23"/>
        <v>0</v>
      </c>
      <c r="CV13" s="2790">
        <f t="shared" ca="1" si="23"/>
        <v>0</v>
      </c>
      <c r="CW13" s="2790">
        <f t="shared" ca="1" si="23"/>
        <v>0</v>
      </c>
      <c r="CX13" s="2790">
        <f t="shared" ca="1" si="23"/>
        <v>0</v>
      </c>
      <c r="CY13" s="2790">
        <f t="shared" ca="1" si="23"/>
        <v>0</v>
      </c>
      <c r="CZ13" s="2790">
        <f t="shared" ca="1" si="23"/>
        <v>0</v>
      </c>
      <c r="DA13" s="2790">
        <f t="shared" ca="1" si="23"/>
        <v>0</v>
      </c>
      <c r="DB13" s="2790">
        <f t="shared" ca="1" si="23"/>
        <v>0</v>
      </c>
      <c r="DC13" s="2790">
        <f t="shared" ca="1" si="23"/>
        <v>0</v>
      </c>
      <c r="DD13" s="2790">
        <f t="shared" ca="1" si="23"/>
        <v>0</v>
      </c>
      <c r="DE13" s="2790">
        <f t="shared" ca="1" si="23"/>
        <v>0</v>
      </c>
      <c r="DF13" s="2790">
        <f t="shared" ca="1" si="23"/>
        <v>0</v>
      </c>
      <c r="DH13" s="596"/>
    </row>
    <row r="14" spans="1:112" s="6" customFormat="1">
      <c r="A14" s="607"/>
      <c r="B14" s="607"/>
      <c r="C14" s="587"/>
      <c r="D14" s="611" t="s">
        <v>469</v>
      </c>
      <c r="E14" s="611"/>
      <c r="G14" s="612">
        <f ca="1">SUM(G12:G13)</f>
        <v>12.354293983631845</v>
      </c>
      <c r="H14" s="612">
        <f t="shared" ref="H14:P14" ca="1" si="24">SUM(H12:H13)</f>
        <v>0</v>
      </c>
      <c r="I14" s="612">
        <f t="shared" ca="1" si="24"/>
        <v>0</v>
      </c>
      <c r="J14" s="612">
        <f t="shared" ca="1" si="24"/>
        <v>0</v>
      </c>
      <c r="K14" s="612">
        <f t="shared" ca="1" si="24"/>
        <v>0</v>
      </c>
      <c r="L14" s="612">
        <f t="shared" ca="1" si="24"/>
        <v>0</v>
      </c>
      <c r="M14" s="612">
        <f t="shared" ca="1" si="24"/>
        <v>0</v>
      </c>
      <c r="N14" s="612">
        <f ca="1">SUM(N12:N13)</f>
        <v>0</v>
      </c>
      <c r="O14" s="612">
        <f ca="1">SUM(O12:O13)</f>
        <v>0</v>
      </c>
      <c r="P14" s="612">
        <f t="shared" ca="1" si="24"/>
        <v>0</v>
      </c>
      <c r="Q14" s="612">
        <f t="shared" ca="1" si="1"/>
        <v>12.354293983631845</v>
      </c>
      <c r="S14" s="613">
        <f t="shared" ref="S14:AJ14" ca="1" si="25">SUM(S12:S13)</f>
        <v>-3.4631285714285713</v>
      </c>
      <c r="T14" s="613">
        <f t="shared" ca="1" si="25"/>
        <v>1.3644642857142859</v>
      </c>
      <c r="U14" s="613">
        <f t="shared" ca="1" si="25"/>
        <v>-0.31366995073891629</v>
      </c>
      <c r="V14" s="613">
        <f t="shared" ca="1" si="25"/>
        <v>-2.1568851251840946</v>
      </c>
      <c r="W14" s="613">
        <f t="shared" ca="1" si="25"/>
        <v>-7.726703193423119</v>
      </c>
      <c r="X14" s="613">
        <f ca="1">SUM(X12:X13)</f>
        <v>0</v>
      </c>
      <c r="Y14" s="613">
        <f ca="1">SUM(Y12:Y13)</f>
        <v>0</v>
      </c>
      <c r="Z14" s="613">
        <f ca="1">SUM(Z12:Z13)</f>
        <v>0</v>
      </c>
      <c r="AA14" s="613">
        <f t="shared" ca="1" si="25"/>
        <v>0</v>
      </c>
      <c r="AB14" s="613">
        <f t="shared" ca="1" si="25"/>
        <v>0</v>
      </c>
      <c r="AC14" s="613">
        <f t="shared" ca="1" si="25"/>
        <v>0</v>
      </c>
      <c r="AD14" s="613">
        <f ca="1">SUM(AD12:AD13)</f>
        <v>0</v>
      </c>
      <c r="AE14" s="613">
        <f ca="1">SUM(AE12:AE13)</f>
        <v>0</v>
      </c>
      <c r="AF14" s="613">
        <f t="shared" ca="1" si="25"/>
        <v>0</v>
      </c>
      <c r="AG14" s="613">
        <f ca="1">SUM(AG12:AG13)</f>
        <v>0</v>
      </c>
      <c r="AH14" s="613">
        <f ca="1">SUM(AH12:AH13)</f>
        <v>0</v>
      </c>
      <c r="AI14" s="613">
        <f ca="1">SUM(AI12:AI13)</f>
        <v>0</v>
      </c>
      <c r="AJ14" s="613">
        <f t="shared" ca="1" si="25"/>
        <v>0</v>
      </c>
      <c r="AK14" s="613">
        <f t="shared" ca="1" si="3"/>
        <v>-12.295922555060415</v>
      </c>
      <c r="AM14" s="614">
        <f t="shared" ref="AM14:BE14" ca="1" si="26">SUM(AM12:AM13)</f>
        <v>0</v>
      </c>
      <c r="AN14" s="614">
        <f t="shared" ca="1" si="26"/>
        <v>0</v>
      </c>
      <c r="AO14" s="614">
        <f t="shared" ca="1" si="26"/>
        <v>0</v>
      </c>
      <c r="AP14" s="614">
        <f t="shared" ca="1" si="26"/>
        <v>0</v>
      </c>
      <c r="AQ14" s="614">
        <f t="shared" ca="1" si="26"/>
        <v>0</v>
      </c>
      <c r="AR14" s="614">
        <f t="shared" ca="1" si="26"/>
        <v>0</v>
      </c>
      <c r="AS14" s="614">
        <f t="shared" ca="1" si="26"/>
        <v>0</v>
      </c>
      <c r="AT14" s="614">
        <f t="shared" ca="1" si="26"/>
        <v>0</v>
      </c>
      <c r="AU14" s="614">
        <f t="shared" ca="1" si="26"/>
        <v>0</v>
      </c>
      <c r="AV14" s="614">
        <f t="shared" ca="1" si="26"/>
        <v>0</v>
      </c>
      <c r="AW14" s="614">
        <f t="shared" ca="1" si="26"/>
        <v>0</v>
      </c>
      <c r="AX14" s="614">
        <f t="shared" ca="1" si="26"/>
        <v>0</v>
      </c>
      <c r="AY14" s="614">
        <f t="shared" ca="1" si="26"/>
        <v>0</v>
      </c>
      <c r="AZ14" s="614">
        <f t="shared" ca="1" si="26"/>
        <v>0</v>
      </c>
      <c r="BA14" s="614">
        <f t="shared" ca="1" si="26"/>
        <v>0</v>
      </c>
      <c r="BB14" s="614">
        <f t="shared" ca="1" si="26"/>
        <v>0</v>
      </c>
      <c r="BC14" s="614">
        <f t="shared" ca="1" si="26"/>
        <v>-5.8371428571428581E-2</v>
      </c>
      <c r="BD14" s="614">
        <f ca="1">SUM(BD12:BD13)</f>
        <v>0</v>
      </c>
      <c r="BE14" s="614">
        <f t="shared" ca="1" si="26"/>
        <v>0</v>
      </c>
      <c r="BF14" s="615">
        <f t="shared" ca="1" si="6"/>
        <v>-5.8371428571428581E-2</v>
      </c>
      <c r="BH14" s="3462">
        <f ca="1">SUM(BH12:BH13)</f>
        <v>0</v>
      </c>
      <c r="BI14" s="3462">
        <f ca="1">SUM(BI12:BI13)</f>
        <v>0</v>
      </c>
      <c r="BJ14" s="3462">
        <f t="shared" ca="1" si="8"/>
        <v>0</v>
      </c>
      <c r="BL14" s="610">
        <f t="shared" ca="1" si="9"/>
        <v>1.4918621893400541E-15</v>
      </c>
      <c r="BM14" s="610"/>
      <c r="BN14" s="413"/>
      <c r="BO14" s="2791">
        <f t="shared" ref="BO14:DF14" ca="1" si="27">SUM(BO12:BO13)</f>
        <v>2.2568807982113466</v>
      </c>
      <c r="BP14" s="2792">
        <f t="shared" ca="1" si="27"/>
        <v>1.089919721607644E-3</v>
      </c>
      <c r="BQ14" s="2792">
        <f t="shared" ca="1" si="27"/>
        <v>2.6625980327530167E-2</v>
      </c>
      <c r="BR14" s="2792">
        <f t="shared" ca="1" si="27"/>
        <v>0</v>
      </c>
      <c r="BS14" s="2792">
        <f t="shared" ca="1" si="27"/>
        <v>0</v>
      </c>
      <c r="BT14" s="2792">
        <f t="shared" ca="1" si="27"/>
        <v>0</v>
      </c>
      <c r="BU14" s="2792">
        <f t="shared" ca="1" si="27"/>
        <v>0</v>
      </c>
      <c r="BV14" s="2792">
        <f t="shared" ca="1" si="27"/>
        <v>0</v>
      </c>
      <c r="BW14" s="2792">
        <f t="shared" ca="1" si="27"/>
        <v>0</v>
      </c>
      <c r="BX14" s="2792">
        <f t="shared" ca="1" si="27"/>
        <v>0</v>
      </c>
      <c r="BY14" s="2792">
        <f t="shared" ca="1" si="27"/>
        <v>0</v>
      </c>
      <c r="BZ14" s="2792">
        <f t="shared" ca="1" si="27"/>
        <v>0</v>
      </c>
      <c r="CA14" s="2792">
        <f t="shared" ca="1" si="27"/>
        <v>0</v>
      </c>
      <c r="CB14" s="2792">
        <f t="shared" ca="1" si="27"/>
        <v>0</v>
      </c>
      <c r="CC14" s="2792">
        <f t="shared" ca="1" si="27"/>
        <v>0</v>
      </c>
      <c r="CD14" s="2792">
        <f t="shared" ca="1" si="27"/>
        <v>0</v>
      </c>
      <c r="CE14" s="2792">
        <f t="shared" ca="1" si="27"/>
        <v>0</v>
      </c>
      <c r="CF14" s="2792">
        <f t="shared" ca="1" si="27"/>
        <v>0</v>
      </c>
      <c r="CG14" s="2792">
        <f t="shared" ca="1" si="27"/>
        <v>0</v>
      </c>
      <c r="CH14" s="2792">
        <f t="shared" ca="1" si="27"/>
        <v>0</v>
      </c>
      <c r="CI14" s="2792">
        <f t="shared" ca="1" si="27"/>
        <v>0</v>
      </c>
      <c r="CJ14" s="2792">
        <f t="shared" ca="1" si="27"/>
        <v>0</v>
      </c>
      <c r="CK14" s="2792">
        <f t="shared" ca="1" si="27"/>
        <v>0</v>
      </c>
      <c r="CL14" s="2792">
        <f t="shared" ca="1" si="27"/>
        <v>0</v>
      </c>
      <c r="CM14" s="2792">
        <f t="shared" ca="1" si="27"/>
        <v>0</v>
      </c>
      <c r="CN14" s="2792">
        <f t="shared" ca="1" si="27"/>
        <v>0</v>
      </c>
      <c r="CO14" s="2792">
        <f t="shared" ca="1" si="27"/>
        <v>0</v>
      </c>
      <c r="CP14" s="2792">
        <f t="shared" ca="1" si="27"/>
        <v>0</v>
      </c>
      <c r="CQ14" s="2792">
        <f t="shared" ca="1" si="27"/>
        <v>0</v>
      </c>
      <c r="CR14" s="2792">
        <f t="shared" ca="1" si="27"/>
        <v>0</v>
      </c>
      <c r="CS14" s="2792">
        <f t="shared" ca="1" si="27"/>
        <v>0</v>
      </c>
      <c r="CT14" s="2792">
        <f t="shared" ca="1" si="27"/>
        <v>0</v>
      </c>
      <c r="CU14" s="2792">
        <f t="shared" ca="1" si="27"/>
        <v>0</v>
      </c>
      <c r="CV14" s="2792">
        <f t="shared" ca="1" si="27"/>
        <v>0</v>
      </c>
      <c r="CW14" s="2792">
        <f t="shared" ca="1" si="27"/>
        <v>0</v>
      </c>
      <c r="CX14" s="2792">
        <f t="shared" ca="1" si="27"/>
        <v>0</v>
      </c>
      <c r="CY14" s="2792">
        <f t="shared" ca="1" si="27"/>
        <v>0</v>
      </c>
      <c r="CZ14" s="2792">
        <f t="shared" ca="1" si="27"/>
        <v>0</v>
      </c>
      <c r="DA14" s="2792">
        <f t="shared" ca="1" si="27"/>
        <v>0</v>
      </c>
      <c r="DB14" s="2792">
        <f t="shared" ca="1" si="27"/>
        <v>0</v>
      </c>
      <c r="DC14" s="2792">
        <f t="shared" ca="1" si="27"/>
        <v>0</v>
      </c>
      <c r="DD14" s="2792">
        <f t="shared" ca="1" si="27"/>
        <v>0</v>
      </c>
      <c r="DE14" s="2792">
        <f t="shared" ca="1" si="27"/>
        <v>0</v>
      </c>
      <c r="DF14" s="2792">
        <f t="shared" ca="1" si="27"/>
        <v>0</v>
      </c>
      <c r="DH14" s="596"/>
    </row>
    <row r="15" spans="1:112" s="6" customFormat="1" ht="15.75">
      <c r="A15" s="4"/>
      <c r="B15" s="3"/>
      <c r="C15" s="616" t="s">
        <v>0</v>
      </c>
      <c r="D15" s="617" t="s">
        <v>1</v>
      </c>
      <c r="E15" s="206"/>
      <c r="G15" s="618">
        <f t="shared" ref="G15:P15" ca="1" si="28">G14+G11</f>
        <v>35.606421512563799</v>
      </c>
      <c r="H15" s="618">
        <f t="shared" ca="1" si="28"/>
        <v>0</v>
      </c>
      <c r="I15" s="618">
        <f t="shared" ca="1" si="28"/>
        <v>0</v>
      </c>
      <c r="J15" s="618">
        <f t="shared" ca="1" si="28"/>
        <v>0</v>
      </c>
      <c r="K15" s="618">
        <f t="shared" ca="1" si="28"/>
        <v>0</v>
      </c>
      <c r="L15" s="618">
        <f t="shared" ca="1" si="28"/>
        <v>0</v>
      </c>
      <c r="M15" s="618">
        <f t="shared" ca="1" si="28"/>
        <v>0</v>
      </c>
      <c r="N15" s="618">
        <f t="shared" ca="1" si="28"/>
        <v>0</v>
      </c>
      <c r="O15" s="618">
        <f t="shared" ca="1" si="28"/>
        <v>0</v>
      </c>
      <c r="P15" s="618">
        <f t="shared" ca="1" si="28"/>
        <v>0</v>
      </c>
      <c r="Q15" s="618">
        <f t="shared" ca="1" si="1"/>
        <v>35.606421512563799</v>
      </c>
      <c r="S15" s="581">
        <f t="shared" ref="S15:AJ15" ca="1" si="29">S14+S11</f>
        <v>-4.9235863940773186</v>
      </c>
      <c r="T15" s="581">
        <f t="shared" ca="1" si="29"/>
        <v>1.3644642857142859</v>
      </c>
      <c r="U15" s="581">
        <f t="shared" ca="1" si="29"/>
        <v>-0.5251076752906112</v>
      </c>
      <c r="V15" s="581">
        <f t="shared" ca="1" si="29"/>
        <v>-12.587086279615646</v>
      </c>
      <c r="W15" s="581">
        <f t="shared" ca="1" si="29"/>
        <v>-18.184982916607328</v>
      </c>
      <c r="X15" s="581">
        <f t="shared" ca="1" si="29"/>
        <v>0</v>
      </c>
      <c r="Y15" s="581">
        <f t="shared" ca="1" si="29"/>
        <v>0</v>
      </c>
      <c r="Z15" s="581">
        <f t="shared" ca="1" si="29"/>
        <v>0</v>
      </c>
      <c r="AA15" s="581">
        <f t="shared" ca="1" si="29"/>
        <v>0</v>
      </c>
      <c r="AB15" s="581">
        <f t="shared" ca="1" si="29"/>
        <v>0</v>
      </c>
      <c r="AC15" s="581">
        <f t="shared" ca="1" si="29"/>
        <v>0</v>
      </c>
      <c r="AD15" s="581">
        <f t="shared" ca="1" si="29"/>
        <v>0</v>
      </c>
      <c r="AE15" s="581">
        <f ca="1">AE14+AE11</f>
        <v>0</v>
      </c>
      <c r="AF15" s="581">
        <f t="shared" ca="1" si="29"/>
        <v>0</v>
      </c>
      <c r="AG15" s="581">
        <f t="shared" ca="1" si="29"/>
        <v>0</v>
      </c>
      <c r="AH15" s="581">
        <f ca="1">AH14+AH11</f>
        <v>0</v>
      </c>
      <c r="AI15" s="581">
        <f t="shared" ca="1" si="29"/>
        <v>-0.55796848364472162</v>
      </c>
      <c r="AJ15" s="581">
        <f t="shared" ca="1" si="29"/>
        <v>0</v>
      </c>
      <c r="AK15" s="581">
        <f t="shared" ca="1" si="3"/>
        <v>-35.414267463521334</v>
      </c>
      <c r="AM15" s="582">
        <f t="shared" ref="AM15:BE15" ca="1" si="30">AM14+AM11</f>
        <v>0</v>
      </c>
      <c r="AN15" s="582">
        <f t="shared" ca="1" si="30"/>
        <v>0</v>
      </c>
      <c r="AO15" s="582">
        <f t="shared" ca="1" si="30"/>
        <v>0</v>
      </c>
      <c r="AP15" s="582">
        <f t="shared" ca="1" si="30"/>
        <v>0</v>
      </c>
      <c r="AQ15" s="582">
        <f t="shared" ca="1" si="30"/>
        <v>0</v>
      </c>
      <c r="AR15" s="582">
        <f t="shared" ca="1" si="30"/>
        <v>0</v>
      </c>
      <c r="AS15" s="582">
        <f t="shared" ca="1" si="30"/>
        <v>0</v>
      </c>
      <c r="AT15" s="582">
        <f t="shared" ca="1" si="30"/>
        <v>0</v>
      </c>
      <c r="AU15" s="582">
        <f t="shared" ca="1" si="30"/>
        <v>0</v>
      </c>
      <c r="AV15" s="582">
        <f t="shared" ca="1" si="30"/>
        <v>0</v>
      </c>
      <c r="AW15" s="582">
        <f t="shared" ca="1" si="30"/>
        <v>0</v>
      </c>
      <c r="AX15" s="582">
        <f t="shared" ca="1" si="30"/>
        <v>0</v>
      </c>
      <c r="AY15" s="582">
        <f t="shared" ca="1" si="30"/>
        <v>0</v>
      </c>
      <c r="AZ15" s="582">
        <f t="shared" ca="1" si="30"/>
        <v>0</v>
      </c>
      <c r="BA15" s="582">
        <f t="shared" ca="1" si="30"/>
        <v>0</v>
      </c>
      <c r="BB15" s="582">
        <f t="shared" ca="1" si="30"/>
        <v>0</v>
      </c>
      <c r="BC15" s="582">
        <f t="shared" ca="1" si="30"/>
        <v>-0.19215404904246119</v>
      </c>
      <c r="BD15" s="582">
        <f ca="1">BD14+BD11</f>
        <v>0</v>
      </c>
      <c r="BE15" s="582">
        <f t="shared" ca="1" si="30"/>
        <v>0</v>
      </c>
      <c r="BF15" s="582">
        <f t="shared" ca="1" si="6"/>
        <v>-0.19215404904246119</v>
      </c>
      <c r="BH15" s="3463">
        <f ca="1">BH14+BH11</f>
        <v>0</v>
      </c>
      <c r="BI15" s="3463">
        <f ca="1">BI14+BI11</f>
        <v>0</v>
      </c>
      <c r="BJ15" s="3463">
        <f t="shared" ca="1" si="8"/>
        <v>0</v>
      </c>
      <c r="BL15" s="3477">
        <f t="shared" ca="1" si="9"/>
        <v>3.4972025275692431E-15</v>
      </c>
      <c r="BM15" s="584"/>
      <c r="BN15" s="413"/>
      <c r="BO15" s="2790">
        <f t="shared" ref="BO15:DF15" ca="1" si="31">BO14+BO11</f>
        <v>7.2216199657223648</v>
      </c>
      <c r="BP15" s="2790">
        <f t="shared" ca="1" si="31"/>
        <v>4.2573245748887224E-3</v>
      </c>
      <c r="BQ15" s="2790">
        <f t="shared" ca="1" si="31"/>
        <v>6.7575201766950754E-2</v>
      </c>
      <c r="BR15" s="2790">
        <f t="shared" ca="1" si="31"/>
        <v>0</v>
      </c>
      <c r="BS15" s="2790">
        <f t="shared" ca="1" si="31"/>
        <v>0</v>
      </c>
      <c r="BT15" s="2790">
        <f t="shared" ca="1" si="31"/>
        <v>0</v>
      </c>
      <c r="BU15" s="2790">
        <f t="shared" ca="1" si="31"/>
        <v>0</v>
      </c>
      <c r="BV15" s="2790">
        <f t="shared" ca="1" si="31"/>
        <v>0</v>
      </c>
      <c r="BW15" s="2790">
        <f t="shared" ca="1" si="31"/>
        <v>0</v>
      </c>
      <c r="BX15" s="2790">
        <f t="shared" ca="1" si="31"/>
        <v>0</v>
      </c>
      <c r="BY15" s="2790">
        <f t="shared" ca="1" si="31"/>
        <v>0</v>
      </c>
      <c r="BZ15" s="2790">
        <f t="shared" ca="1" si="31"/>
        <v>0</v>
      </c>
      <c r="CA15" s="2790">
        <f t="shared" ca="1" si="31"/>
        <v>0</v>
      </c>
      <c r="CB15" s="2790">
        <f t="shared" ca="1" si="31"/>
        <v>0</v>
      </c>
      <c r="CC15" s="2790">
        <f t="shared" ca="1" si="31"/>
        <v>0</v>
      </c>
      <c r="CD15" s="2790">
        <f t="shared" ca="1" si="31"/>
        <v>0</v>
      </c>
      <c r="CE15" s="2790">
        <f t="shared" ca="1" si="31"/>
        <v>0</v>
      </c>
      <c r="CF15" s="2790">
        <f t="shared" ca="1" si="31"/>
        <v>0</v>
      </c>
      <c r="CG15" s="2790">
        <f t="shared" ca="1" si="31"/>
        <v>0</v>
      </c>
      <c r="CH15" s="2790">
        <f t="shared" ca="1" si="31"/>
        <v>0</v>
      </c>
      <c r="CI15" s="2790">
        <f t="shared" ca="1" si="31"/>
        <v>0</v>
      </c>
      <c r="CJ15" s="2790">
        <f t="shared" ca="1" si="31"/>
        <v>0</v>
      </c>
      <c r="CK15" s="2790">
        <f t="shared" ca="1" si="31"/>
        <v>0</v>
      </c>
      <c r="CL15" s="2790">
        <f t="shared" ca="1" si="31"/>
        <v>0</v>
      </c>
      <c r="CM15" s="2790">
        <f t="shared" ca="1" si="31"/>
        <v>0</v>
      </c>
      <c r="CN15" s="2790">
        <f t="shared" ca="1" si="31"/>
        <v>0</v>
      </c>
      <c r="CO15" s="2790">
        <f t="shared" ca="1" si="31"/>
        <v>0</v>
      </c>
      <c r="CP15" s="2790">
        <f t="shared" ca="1" si="31"/>
        <v>0</v>
      </c>
      <c r="CQ15" s="2790">
        <f t="shared" ca="1" si="31"/>
        <v>0</v>
      </c>
      <c r="CR15" s="2790">
        <f t="shared" ca="1" si="31"/>
        <v>0</v>
      </c>
      <c r="CS15" s="2790">
        <f t="shared" ca="1" si="31"/>
        <v>0</v>
      </c>
      <c r="CT15" s="2790">
        <f t="shared" ca="1" si="31"/>
        <v>0</v>
      </c>
      <c r="CU15" s="2790">
        <f t="shared" ca="1" si="31"/>
        <v>0</v>
      </c>
      <c r="CV15" s="2790">
        <f t="shared" ca="1" si="31"/>
        <v>0</v>
      </c>
      <c r="CW15" s="2790">
        <f t="shared" ca="1" si="31"/>
        <v>0</v>
      </c>
      <c r="CX15" s="2790">
        <f t="shared" ca="1" si="31"/>
        <v>0</v>
      </c>
      <c r="CY15" s="2790">
        <f t="shared" ca="1" si="31"/>
        <v>0</v>
      </c>
      <c r="CZ15" s="2790">
        <f t="shared" ca="1" si="31"/>
        <v>0</v>
      </c>
      <c r="DA15" s="2790">
        <f t="shared" ca="1" si="31"/>
        <v>0</v>
      </c>
      <c r="DB15" s="2790">
        <f t="shared" ca="1" si="31"/>
        <v>0</v>
      </c>
      <c r="DC15" s="2790">
        <f t="shared" ca="1" si="31"/>
        <v>0</v>
      </c>
      <c r="DD15" s="2790">
        <f t="shared" ca="1" si="31"/>
        <v>0</v>
      </c>
      <c r="DE15" s="2790">
        <f t="shared" ca="1" si="31"/>
        <v>0</v>
      </c>
      <c r="DF15" s="2790">
        <f t="shared" ca="1" si="31"/>
        <v>0</v>
      </c>
      <c r="DH15" s="596">
        <f t="shared" ref="DH15:DH38" ca="1" si="32">SUM(BO15:DF15)</f>
        <v>7.2934524920642039</v>
      </c>
    </row>
    <row r="16" spans="1:112" s="6" customFormat="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9"/>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2"/>
        <v>0</v>
      </c>
    </row>
    <row r="17" spans="1:112" s="6" customFormat="1">
      <c r="A17" s="607"/>
      <c r="B17" s="607"/>
      <c r="C17" s="587" t="s">
        <v>470</v>
      </c>
      <c r="D17" s="586" t="s">
        <v>471</v>
      </c>
      <c r="E17" s="599"/>
      <c r="G17" s="589">
        <f t="shared" ref="G17:P18" ca="1" si="33">IFERROR(INDEX(INDIRECT($C17&amp;".Outputs["&amp;this.Year&amp;"]"), MATCH(G$5, INDIRECT($C17&amp;".Outputs[Vector]"), 0)), 0)</f>
        <v>0</v>
      </c>
      <c r="H17" s="589">
        <f t="shared" ca="1" si="33"/>
        <v>5.6814110960729458</v>
      </c>
      <c r="I17" s="589">
        <f t="shared" ca="1" si="33"/>
        <v>0</v>
      </c>
      <c r="J17" s="589">
        <f t="shared" ca="1" si="33"/>
        <v>0</v>
      </c>
      <c r="K17" s="589">
        <f t="shared" ca="1" si="33"/>
        <v>0</v>
      </c>
      <c r="L17" s="589">
        <f t="shared" ca="1" si="33"/>
        <v>0</v>
      </c>
      <c r="M17" s="589">
        <f t="shared" ca="1" si="33"/>
        <v>0</v>
      </c>
      <c r="N17" s="589">
        <f t="shared" ca="1" si="33"/>
        <v>0</v>
      </c>
      <c r="O17" s="589">
        <f t="shared" ca="1" si="33"/>
        <v>0</v>
      </c>
      <c r="P17" s="589">
        <f t="shared" ca="1" si="33"/>
        <v>0</v>
      </c>
      <c r="Q17" s="590">
        <f ca="1">SUM(G17:P17)</f>
        <v>5.6814110960729458</v>
      </c>
      <c r="S17" s="591">
        <f t="shared" ref="S17:AJ18" ca="1" si="34">IFERROR(INDEX(INDIRECT($C17&amp;".Outputs["&amp;this.Year&amp;"]"), MATCH(S$5, INDIRECT($C17&amp;".Outputs[Vector]"), 0)), 0)</f>
        <v>-5.260733820060393</v>
      </c>
      <c r="T17" s="591">
        <f t="shared" ca="1" si="34"/>
        <v>0</v>
      </c>
      <c r="U17" s="591">
        <f t="shared" ca="1" si="34"/>
        <v>0</v>
      </c>
      <c r="V17" s="591">
        <f t="shared" ca="1" si="34"/>
        <v>0</v>
      </c>
      <c r="W17" s="591">
        <f t="shared" ca="1" si="34"/>
        <v>-0.42067727601255323</v>
      </c>
      <c r="X17" s="591">
        <f t="shared" ca="1" si="34"/>
        <v>0</v>
      </c>
      <c r="Y17" s="591">
        <f t="shared" ca="1" si="34"/>
        <v>0</v>
      </c>
      <c r="Z17" s="591">
        <f t="shared" ca="1" si="34"/>
        <v>0</v>
      </c>
      <c r="AA17" s="591">
        <f t="shared" ca="1" si="34"/>
        <v>0</v>
      </c>
      <c r="AB17" s="591">
        <f t="shared" ca="1" si="34"/>
        <v>0</v>
      </c>
      <c r="AC17" s="591">
        <f t="shared" ca="1" si="34"/>
        <v>0</v>
      </c>
      <c r="AD17" s="591">
        <f t="shared" ca="1" si="34"/>
        <v>0</v>
      </c>
      <c r="AE17" s="591">
        <f t="shared" ca="1" si="34"/>
        <v>0</v>
      </c>
      <c r="AF17" s="591">
        <f t="shared" ca="1" si="34"/>
        <v>0</v>
      </c>
      <c r="AG17" s="591">
        <f t="shared" ca="1" si="34"/>
        <v>0</v>
      </c>
      <c r="AH17" s="591">
        <f t="shared" ca="1" si="34"/>
        <v>0</v>
      </c>
      <c r="AI17" s="591">
        <f t="shared" ca="1" si="34"/>
        <v>0</v>
      </c>
      <c r="AJ17" s="591">
        <f t="shared" ca="1" si="34"/>
        <v>0</v>
      </c>
      <c r="AK17" s="592">
        <f ca="1">SUM(S17:AJ17)</f>
        <v>-5.6814110960729458</v>
      </c>
      <c r="AM17" s="593">
        <f t="shared" ref="AM17:BB18" ca="1" si="35">IFERROR(INDEX(INDIRECT($C17&amp;".Outputs["&amp;this.Year&amp;"]"), MATCH(AM$5, INDIRECT($C17&amp;".Outputs[Vector]"), 0)), 0)</f>
        <v>0</v>
      </c>
      <c r="AN17" s="593">
        <f t="shared" ca="1" si="35"/>
        <v>0</v>
      </c>
      <c r="AO17" s="593">
        <f t="shared" ca="1" si="35"/>
        <v>0</v>
      </c>
      <c r="AP17" s="593">
        <f t="shared" ca="1" si="35"/>
        <v>0</v>
      </c>
      <c r="AQ17" s="593">
        <f t="shared" ca="1" si="35"/>
        <v>0</v>
      </c>
      <c r="AR17" s="593">
        <f t="shared" ca="1" si="35"/>
        <v>0</v>
      </c>
      <c r="AS17" s="593">
        <f t="shared" ca="1" si="35"/>
        <v>0</v>
      </c>
      <c r="AT17" s="593">
        <f t="shared" ca="1" si="35"/>
        <v>0</v>
      </c>
      <c r="AU17" s="593">
        <f t="shared" ca="1" si="35"/>
        <v>0</v>
      </c>
      <c r="AV17" s="593">
        <f t="shared" ca="1" si="35"/>
        <v>0</v>
      </c>
      <c r="AW17" s="593">
        <f t="shared" ca="1" si="35"/>
        <v>0</v>
      </c>
      <c r="AX17" s="593">
        <f t="shared" ca="1" si="35"/>
        <v>0</v>
      </c>
      <c r="AY17" s="593">
        <f t="shared" ca="1" si="35"/>
        <v>0</v>
      </c>
      <c r="AZ17" s="593">
        <f t="shared" ca="1" si="35"/>
        <v>0</v>
      </c>
      <c r="BA17" s="593">
        <f t="shared" ca="1" si="35"/>
        <v>0</v>
      </c>
      <c r="BB17" s="593">
        <f t="shared" ca="1" si="35"/>
        <v>0</v>
      </c>
      <c r="BC17" s="593">
        <f t="shared" ref="BC17:BE18" ca="1" si="36">IFERROR(INDEX(INDIRECT($C17&amp;".Outputs["&amp;this.Year&amp;"]"), MATCH(BC$5, INDIRECT($C17&amp;".Outputs[Vector]"), 0)), 0)</f>
        <v>0</v>
      </c>
      <c r="BD17" s="593">
        <f t="shared" ca="1" si="36"/>
        <v>0</v>
      </c>
      <c r="BE17" s="593">
        <f t="shared" ca="1" si="36"/>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9"/>
        <v>0</v>
      </c>
      <c r="BM17" s="610"/>
      <c r="BN17" s="413"/>
      <c r="BO17" s="2789">
        <f t="shared" ref="BO17:BX18" ca="1" si="37">IFERROR(SUMIFS(INDIRECT($C17&amp;".Emissions["&amp;this.Year&amp;"]"), INDIRECT($C17&amp;".Emissions[GHG]"), BO$6, INDIRECT($C17&amp;".Emissions[IPCC Sector]"), BO$5),0)</f>
        <v>8.6121556758021106E-2</v>
      </c>
      <c r="BP17" s="2790">
        <f t="shared" ca="1" si="37"/>
        <v>3.1803202066549027E-5</v>
      </c>
      <c r="BQ17" s="2790">
        <f t="shared" ca="1" si="37"/>
        <v>1.3614799360870272E-3</v>
      </c>
      <c r="BR17" s="2790">
        <f t="shared" ca="1" si="37"/>
        <v>0</v>
      </c>
      <c r="BS17" s="2790">
        <f t="shared" ca="1" si="37"/>
        <v>0</v>
      </c>
      <c r="BT17" s="2790">
        <f t="shared" ca="1" si="37"/>
        <v>0</v>
      </c>
      <c r="BU17" s="2790">
        <f t="shared" ca="1" si="37"/>
        <v>0</v>
      </c>
      <c r="BV17" s="2790">
        <f t="shared" ca="1" si="37"/>
        <v>0</v>
      </c>
      <c r="BW17" s="2790">
        <f t="shared" ca="1" si="37"/>
        <v>0</v>
      </c>
      <c r="BX17" s="2790">
        <f t="shared" ca="1" si="37"/>
        <v>0</v>
      </c>
      <c r="BY17" s="2790">
        <f t="shared" ref="BY17:CH18" ca="1" si="38">IFERROR(SUMIFS(INDIRECT($C17&amp;".Emissions["&amp;this.Year&amp;"]"), INDIRECT($C17&amp;".Emissions[GHG]"), BY$6, INDIRECT($C17&amp;".Emissions[IPCC Sector]"), BY$5),0)</f>
        <v>0</v>
      </c>
      <c r="BZ17" s="2790">
        <f t="shared" ca="1" si="38"/>
        <v>0</v>
      </c>
      <c r="CA17" s="2790">
        <f t="shared" ca="1" si="38"/>
        <v>0</v>
      </c>
      <c r="CB17" s="2790">
        <f t="shared" ca="1" si="38"/>
        <v>0</v>
      </c>
      <c r="CC17" s="2790">
        <f t="shared" ca="1" si="38"/>
        <v>0</v>
      </c>
      <c r="CD17" s="2790">
        <f t="shared" ca="1" si="38"/>
        <v>0</v>
      </c>
      <c r="CE17" s="2790">
        <f t="shared" ca="1" si="38"/>
        <v>0</v>
      </c>
      <c r="CF17" s="2790">
        <f t="shared" ca="1" si="38"/>
        <v>0</v>
      </c>
      <c r="CG17" s="2790">
        <f t="shared" ca="1" si="38"/>
        <v>0</v>
      </c>
      <c r="CH17" s="2790">
        <f t="shared" ca="1" si="38"/>
        <v>0</v>
      </c>
      <c r="CI17" s="2790">
        <f t="shared" ref="CI17:CR18" ca="1" si="39">IFERROR(SUMIFS(INDIRECT($C17&amp;".Emissions["&amp;this.Year&amp;"]"), INDIRECT($C17&amp;".Emissions[GHG]"), CI$6, INDIRECT($C17&amp;".Emissions[IPCC Sector]"), CI$5),0)</f>
        <v>0</v>
      </c>
      <c r="CJ17" s="2790">
        <f t="shared" ca="1" si="39"/>
        <v>0</v>
      </c>
      <c r="CK17" s="2790">
        <f t="shared" ca="1" si="39"/>
        <v>0</v>
      </c>
      <c r="CL17" s="2790">
        <f t="shared" ca="1" si="39"/>
        <v>0</v>
      </c>
      <c r="CM17" s="2790">
        <f t="shared" ca="1" si="39"/>
        <v>0</v>
      </c>
      <c r="CN17" s="2790">
        <f t="shared" ca="1" si="39"/>
        <v>0</v>
      </c>
      <c r="CO17" s="2790">
        <f t="shared" ca="1" si="39"/>
        <v>0</v>
      </c>
      <c r="CP17" s="2790">
        <f t="shared" ca="1" si="39"/>
        <v>0</v>
      </c>
      <c r="CQ17" s="2790">
        <f t="shared" ca="1" si="39"/>
        <v>0</v>
      </c>
      <c r="CR17" s="2790">
        <f t="shared" ca="1" si="39"/>
        <v>0</v>
      </c>
      <c r="CS17" s="2790">
        <f t="shared" ref="CS17:DF18" ca="1" si="40">IFERROR(SUMIFS(INDIRECT($C17&amp;".Emissions["&amp;this.Year&amp;"]"), INDIRECT($C17&amp;".Emissions[GHG]"), CS$6, INDIRECT($C17&amp;".Emissions[IPCC Sector]"), CS$5),0)</f>
        <v>0</v>
      </c>
      <c r="CT17" s="2790">
        <f t="shared" ca="1" si="40"/>
        <v>0</v>
      </c>
      <c r="CU17" s="2790">
        <f t="shared" ca="1" si="40"/>
        <v>0</v>
      </c>
      <c r="CV17" s="2790">
        <f t="shared" ca="1" si="40"/>
        <v>0</v>
      </c>
      <c r="CW17" s="2790">
        <f t="shared" ca="1" si="40"/>
        <v>0</v>
      </c>
      <c r="CX17" s="2790">
        <f t="shared" ca="1" si="40"/>
        <v>0</v>
      </c>
      <c r="CY17" s="2790">
        <f t="shared" ca="1" si="40"/>
        <v>0</v>
      </c>
      <c r="CZ17" s="2790">
        <f t="shared" ca="1" si="40"/>
        <v>0</v>
      </c>
      <c r="DA17" s="2790">
        <f t="shared" ca="1" si="40"/>
        <v>0</v>
      </c>
      <c r="DB17" s="2790">
        <f t="shared" ca="1" si="40"/>
        <v>0</v>
      </c>
      <c r="DC17" s="2790">
        <f t="shared" ca="1" si="40"/>
        <v>0</v>
      </c>
      <c r="DD17" s="2790">
        <f t="shared" ca="1" si="40"/>
        <v>0</v>
      </c>
      <c r="DE17" s="2790">
        <f t="shared" ca="1" si="40"/>
        <v>0</v>
      </c>
      <c r="DF17" s="2790">
        <f t="shared" ca="1" si="40"/>
        <v>0</v>
      </c>
      <c r="DH17" s="596">
        <f t="shared" ca="1" si="32"/>
        <v>8.7514839896174687E-2</v>
      </c>
    </row>
    <row r="18" spans="1:112" s="6" customFormat="1">
      <c r="A18" s="607"/>
      <c r="B18" s="607"/>
      <c r="C18" s="587" t="s">
        <v>472</v>
      </c>
      <c r="D18" s="611" t="s">
        <v>473</v>
      </c>
      <c r="E18" s="611"/>
      <c r="G18" s="619">
        <f t="shared" ca="1" si="33"/>
        <v>0</v>
      </c>
      <c r="H18" s="619">
        <f t="shared" ca="1" si="33"/>
        <v>4.65713513513513</v>
      </c>
      <c r="I18" s="619">
        <f t="shared" ca="1" si="33"/>
        <v>0</v>
      </c>
      <c r="J18" s="619">
        <f t="shared" ca="1" si="33"/>
        <v>0</v>
      </c>
      <c r="K18" s="619">
        <f t="shared" ca="1" si="33"/>
        <v>0</v>
      </c>
      <c r="L18" s="619">
        <f t="shared" ca="1" si="33"/>
        <v>0</v>
      </c>
      <c r="M18" s="619">
        <f t="shared" ca="1" si="33"/>
        <v>0</v>
      </c>
      <c r="N18" s="619">
        <f t="shared" ca="1" si="33"/>
        <v>0</v>
      </c>
      <c r="O18" s="619">
        <f t="shared" ca="1" si="33"/>
        <v>0</v>
      </c>
      <c r="P18" s="619">
        <f t="shared" ca="1" si="33"/>
        <v>0</v>
      </c>
      <c r="Q18" s="612">
        <f ca="1">SUM(G18:P18)</f>
        <v>4.65713513513513</v>
      </c>
      <c r="S18" s="620">
        <f t="shared" ca="1" si="34"/>
        <v>-4.1683783783783737</v>
      </c>
      <c r="T18" s="620">
        <f t="shared" ca="1" si="34"/>
        <v>0</v>
      </c>
      <c r="U18" s="620">
        <f t="shared" ca="1" si="34"/>
        <v>0</v>
      </c>
      <c r="V18" s="620">
        <f t="shared" ca="1" si="34"/>
        <v>0</v>
      </c>
      <c r="W18" s="620">
        <f t="shared" ca="1" si="34"/>
        <v>-0.48875675675675601</v>
      </c>
      <c r="X18" s="620">
        <f t="shared" ca="1" si="34"/>
        <v>0</v>
      </c>
      <c r="Y18" s="620">
        <f t="shared" ca="1" si="34"/>
        <v>0</v>
      </c>
      <c r="Z18" s="620">
        <f t="shared" ca="1" si="34"/>
        <v>0</v>
      </c>
      <c r="AA18" s="620">
        <f t="shared" ca="1" si="34"/>
        <v>0</v>
      </c>
      <c r="AB18" s="620">
        <f t="shared" ca="1" si="34"/>
        <v>0</v>
      </c>
      <c r="AC18" s="620">
        <f t="shared" ca="1" si="34"/>
        <v>0</v>
      </c>
      <c r="AD18" s="620">
        <f t="shared" ca="1" si="34"/>
        <v>0</v>
      </c>
      <c r="AE18" s="620">
        <f t="shared" ca="1" si="34"/>
        <v>0</v>
      </c>
      <c r="AF18" s="620">
        <f t="shared" ca="1" si="34"/>
        <v>0</v>
      </c>
      <c r="AG18" s="620">
        <f t="shared" ca="1" si="34"/>
        <v>0</v>
      </c>
      <c r="AH18" s="620">
        <f t="shared" ca="1" si="34"/>
        <v>0</v>
      </c>
      <c r="AI18" s="620">
        <f t="shared" ca="1" si="34"/>
        <v>0</v>
      </c>
      <c r="AJ18" s="620">
        <f t="shared" ca="1" si="34"/>
        <v>0</v>
      </c>
      <c r="AK18" s="613">
        <f ca="1">SUM(S18:AJ18)</f>
        <v>-4.65713513513513</v>
      </c>
      <c r="AM18" s="621">
        <f t="shared" ca="1" si="35"/>
        <v>0</v>
      </c>
      <c r="AN18" s="621">
        <f t="shared" ca="1" si="35"/>
        <v>0</v>
      </c>
      <c r="AO18" s="621">
        <f t="shared" ca="1" si="35"/>
        <v>0</v>
      </c>
      <c r="AP18" s="621">
        <f t="shared" ca="1" si="35"/>
        <v>0</v>
      </c>
      <c r="AQ18" s="621">
        <f t="shared" ca="1" si="35"/>
        <v>0</v>
      </c>
      <c r="AR18" s="621">
        <f t="shared" ca="1" si="35"/>
        <v>0</v>
      </c>
      <c r="AS18" s="621">
        <f t="shared" ca="1" si="35"/>
        <v>0</v>
      </c>
      <c r="AT18" s="621">
        <f t="shared" ca="1" si="35"/>
        <v>0</v>
      </c>
      <c r="AU18" s="621">
        <f t="shared" ca="1" si="35"/>
        <v>0</v>
      </c>
      <c r="AV18" s="621">
        <f t="shared" ca="1" si="35"/>
        <v>0</v>
      </c>
      <c r="AW18" s="621">
        <f t="shared" ca="1" si="35"/>
        <v>0</v>
      </c>
      <c r="AX18" s="621">
        <f t="shared" ca="1" si="35"/>
        <v>0</v>
      </c>
      <c r="AY18" s="621">
        <f t="shared" ca="1" si="35"/>
        <v>0</v>
      </c>
      <c r="AZ18" s="621">
        <f t="shared" ca="1" si="35"/>
        <v>0</v>
      </c>
      <c r="BA18" s="621">
        <f t="shared" ca="1" si="35"/>
        <v>0</v>
      </c>
      <c r="BB18" s="621">
        <f t="shared" ca="1" si="35"/>
        <v>0</v>
      </c>
      <c r="BC18" s="621">
        <f t="shared" ca="1" si="36"/>
        <v>0</v>
      </c>
      <c r="BD18" s="621">
        <f t="shared" ca="1" si="36"/>
        <v>0</v>
      </c>
      <c r="BE18" s="621">
        <f t="shared" ca="1" si="36"/>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9"/>
        <v>0</v>
      </c>
      <c r="BM18" s="610"/>
      <c r="BN18" s="413"/>
      <c r="BO18" s="2791">
        <f t="shared" ca="1" si="37"/>
        <v>0.1000588697513512</v>
      </c>
      <c r="BP18" s="2792">
        <f t="shared" ca="1" si="37"/>
        <v>3.695001081081076E-5</v>
      </c>
      <c r="BQ18" s="2792">
        <f t="shared" ca="1" si="37"/>
        <v>1.5818123675675651E-3</v>
      </c>
      <c r="BR18" s="2792">
        <f t="shared" ca="1" si="37"/>
        <v>0</v>
      </c>
      <c r="BS18" s="2792">
        <f t="shared" ca="1" si="37"/>
        <v>0</v>
      </c>
      <c r="BT18" s="2792">
        <f t="shared" ca="1" si="37"/>
        <v>0</v>
      </c>
      <c r="BU18" s="2792">
        <f t="shared" ca="1" si="37"/>
        <v>0</v>
      </c>
      <c r="BV18" s="2792">
        <f t="shared" ca="1" si="37"/>
        <v>0</v>
      </c>
      <c r="BW18" s="2792">
        <f t="shared" ca="1" si="37"/>
        <v>0</v>
      </c>
      <c r="BX18" s="2792">
        <f t="shared" ca="1" si="37"/>
        <v>0</v>
      </c>
      <c r="BY18" s="2792">
        <f t="shared" ca="1" si="38"/>
        <v>0</v>
      </c>
      <c r="BZ18" s="2792">
        <f t="shared" ca="1" si="38"/>
        <v>0</v>
      </c>
      <c r="CA18" s="2792">
        <f t="shared" ca="1" si="38"/>
        <v>0</v>
      </c>
      <c r="CB18" s="2792">
        <f t="shared" ca="1" si="38"/>
        <v>0</v>
      </c>
      <c r="CC18" s="2792">
        <f t="shared" ca="1" si="38"/>
        <v>0</v>
      </c>
      <c r="CD18" s="2792">
        <f t="shared" ca="1" si="38"/>
        <v>0</v>
      </c>
      <c r="CE18" s="2792">
        <f t="shared" ca="1" si="38"/>
        <v>0</v>
      </c>
      <c r="CF18" s="2792">
        <f t="shared" ca="1" si="38"/>
        <v>0</v>
      </c>
      <c r="CG18" s="2792">
        <f t="shared" ca="1" si="38"/>
        <v>0</v>
      </c>
      <c r="CH18" s="2792">
        <f t="shared" ca="1" si="38"/>
        <v>0</v>
      </c>
      <c r="CI18" s="2792">
        <f t="shared" ca="1" si="39"/>
        <v>0</v>
      </c>
      <c r="CJ18" s="2792">
        <f t="shared" ca="1" si="39"/>
        <v>0</v>
      </c>
      <c r="CK18" s="2792">
        <f t="shared" ca="1" si="39"/>
        <v>0</v>
      </c>
      <c r="CL18" s="2792">
        <f t="shared" ca="1" si="39"/>
        <v>0</v>
      </c>
      <c r="CM18" s="2792">
        <f t="shared" ca="1" si="39"/>
        <v>0</v>
      </c>
      <c r="CN18" s="2792">
        <f t="shared" ca="1" si="39"/>
        <v>0</v>
      </c>
      <c r="CO18" s="2792">
        <f t="shared" ca="1" si="39"/>
        <v>0</v>
      </c>
      <c r="CP18" s="2792">
        <f t="shared" ca="1" si="39"/>
        <v>0</v>
      </c>
      <c r="CQ18" s="2792">
        <f t="shared" ca="1" si="39"/>
        <v>0</v>
      </c>
      <c r="CR18" s="2792">
        <f t="shared" ca="1" si="39"/>
        <v>0</v>
      </c>
      <c r="CS18" s="2792">
        <f t="shared" ca="1" si="40"/>
        <v>0</v>
      </c>
      <c r="CT18" s="2792">
        <f t="shared" ca="1" si="40"/>
        <v>0</v>
      </c>
      <c r="CU18" s="2792">
        <f t="shared" ca="1" si="40"/>
        <v>0</v>
      </c>
      <c r="CV18" s="2792">
        <f t="shared" ca="1" si="40"/>
        <v>0</v>
      </c>
      <c r="CW18" s="2792">
        <f t="shared" ca="1" si="40"/>
        <v>0</v>
      </c>
      <c r="CX18" s="2792">
        <f t="shared" ca="1" si="40"/>
        <v>0</v>
      </c>
      <c r="CY18" s="2792">
        <f t="shared" ca="1" si="40"/>
        <v>0</v>
      </c>
      <c r="CZ18" s="2792">
        <f t="shared" ca="1" si="40"/>
        <v>0</v>
      </c>
      <c r="DA18" s="2792">
        <f t="shared" ca="1" si="40"/>
        <v>0</v>
      </c>
      <c r="DB18" s="2792">
        <f t="shared" ca="1" si="40"/>
        <v>0</v>
      </c>
      <c r="DC18" s="2792">
        <f t="shared" ca="1" si="40"/>
        <v>0</v>
      </c>
      <c r="DD18" s="2792">
        <f t="shared" ca="1" si="40"/>
        <v>0</v>
      </c>
      <c r="DE18" s="2792">
        <f t="shared" ca="1" si="40"/>
        <v>0</v>
      </c>
      <c r="DF18" s="2792">
        <f t="shared" ca="1" si="40"/>
        <v>0</v>
      </c>
      <c r="DH18" s="596">
        <f t="shared" ca="1" si="32"/>
        <v>0.10167763212972956</v>
      </c>
    </row>
    <row r="19" spans="1:112" s="6" customFormat="1" ht="15.75">
      <c r="A19" s="4"/>
      <c r="B19" s="3"/>
      <c r="C19" s="616" t="s">
        <v>474</v>
      </c>
      <c r="D19" s="617" t="s">
        <v>83</v>
      </c>
      <c r="E19" s="206"/>
      <c r="G19" s="618">
        <f ca="1">G17+G18</f>
        <v>0</v>
      </c>
      <c r="H19" s="618">
        <f t="shared" ref="H19:P19" ca="1" si="41">H17+H18</f>
        <v>10.338546231208076</v>
      </c>
      <c r="I19" s="618">
        <f t="shared" ca="1" si="41"/>
        <v>0</v>
      </c>
      <c r="J19" s="618">
        <f t="shared" ca="1" si="41"/>
        <v>0</v>
      </c>
      <c r="K19" s="618">
        <f t="shared" ca="1" si="41"/>
        <v>0</v>
      </c>
      <c r="L19" s="618">
        <f t="shared" ca="1" si="41"/>
        <v>0</v>
      </c>
      <c r="M19" s="618">
        <f t="shared" ca="1" si="41"/>
        <v>0</v>
      </c>
      <c r="N19" s="618">
        <f ca="1">N17+N18</f>
        <v>0</v>
      </c>
      <c r="O19" s="618">
        <f ca="1">O17+O18</f>
        <v>0</v>
      </c>
      <c r="P19" s="618">
        <f t="shared" ca="1" si="41"/>
        <v>0</v>
      </c>
      <c r="Q19" s="618">
        <f ca="1">SUM(G19:P19)</f>
        <v>10.338546231208076</v>
      </c>
      <c r="S19" s="581">
        <f ca="1">S17+S18</f>
        <v>-9.4291121984387658</v>
      </c>
      <c r="T19" s="581">
        <f t="shared" ref="T19:AJ19" ca="1" si="42">T17+T18</f>
        <v>0</v>
      </c>
      <c r="U19" s="581">
        <f t="shared" ca="1" si="42"/>
        <v>0</v>
      </c>
      <c r="V19" s="581">
        <f t="shared" ca="1" si="42"/>
        <v>0</v>
      </c>
      <c r="W19" s="581">
        <f t="shared" ca="1" si="42"/>
        <v>-0.90943403276930923</v>
      </c>
      <c r="X19" s="581">
        <f ca="1">X17+X18</f>
        <v>0</v>
      </c>
      <c r="Y19" s="581">
        <f ca="1">Y17+Y18</f>
        <v>0</v>
      </c>
      <c r="Z19" s="581">
        <f ca="1">Z17+Z18</f>
        <v>0</v>
      </c>
      <c r="AA19" s="581">
        <f t="shared" ca="1" si="42"/>
        <v>0</v>
      </c>
      <c r="AB19" s="581">
        <f t="shared" ca="1" si="42"/>
        <v>0</v>
      </c>
      <c r="AC19" s="581">
        <f t="shared" ca="1" si="42"/>
        <v>0</v>
      </c>
      <c r="AD19" s="581">
        <f ca="1">AD17+AD18</f>
        <v>0</v>
      </c>
      <c r="AE19" s="581">
        <f ca="1">AE17+AE18</f>
        <v>0</v>
      </c>
      <c r="AF19" s="581">
        <f t="shared" ca="1" si="42"/>
        <v>0</v>
      </c>
      <c r="AG19" s="581">
        <f ca="1">AG17+AG18</f>
        <v>0</v>
      </c>
      <c r="AH19" s="581">
        <f ca="1">AH17+AH18</f>
        <v>0</v>
      </c>
      <c r="AI19" s="581">
        <f ca="1">AI17+AI18</f>
        <v>0</v>
      </c>
      <c r="AJ19" s="581">
        <f t="shared" ca="1" si="42"/>
        <v>0</v>
      </c>
      <c r="AK19" s="581">
        <f ca="1">SUM(S19:AJ19)</f>
        <v>-10.338546231208076</v>
      </c>
      <c r="AM19" s="582">
        <f t="shared" ref="AM19:BE19" ca="1" si="43">AM17+AM18</f>
        <v>0</v>
      </c>
      <c r="AN19" s="582">
        <f t="shared" ca="1" si="43"/>
        <v>0</v>
      </c>
      <c r="AO19" s="582">
        <f t="shared" ca="1" si="43"/>
        <v>0</v>
      </c>
      <c r="AP19" s="582">
        <f t="shared" ca="1" si="43"/>
        <v>0</v>
      </c>
      <c r="AQ19" s="582">
        <f t="shared" ca="1" si="43"/>
        <v>0</v>
      </c>
      <c r="AR19" s="582">
        <f t="shared" ca="1" si="43"/>
        <v>0</v>
      </c>
      <c r="AS19" s="582">
        <f t="shared" ca="1" si="43"/>
        <v>0</v>
      </c>
      <c r="AT19" s="582">
        <f t="shared" ca="1" si="43"/>
        <v>0</v>
      </c>
      <c r="AU19" s="582">
        <f t="shared" ca="1" si="43"/>
        <v>0</v>
      </c>
      <c r="AV19" s="582">
        <f t="shared" ca="1" si="43"/>
        <v>0</v>
      </c>
      <c r="AW19" s="582">
        <f t="shared" ca="1" si="43"/>
        <v>0</v>
      </c>
      <c r="AX19" s="582">
        <f t="shared" ca="1" si="43"/>
        <v>0</v>
      </c>
      <c r="AY19" s="582">
        <f t="shared" ca="1" si="43"/>
        <v>0</v>
      </c>
      <c r="AZ19" s="582">
        <f t="shared" ca="1" si="43"/>
        <v>0</v>
      </c>
      <c r="BA19" s="582">
        <f t="shared" ca="1" si="43"/>
        <v>0</v>
      </c>
      <c r="BB19" s="582">
        <f t="shared" ca="1" si="43"/>
        <v>0</v>
      </c>
      <c r="BC19" s="582">
        <f t="shared" ca="1" si="43"/>
        <v>0</v>
      </c>
      <c r="BD19" s="582">
        <f ca="1">BD17+BD18</f>
        <v>0</v>
      </c>
      <c r="BE19" s="582">
        <f t="shared" ca="1" si="43"/>
        <v>0</v>
      </c>
      <c r="BF19" s="582">
        <f ca="1">SUM(AM19:BE19)</f>
        <v>0</v>
      </c>
      <c r="BH19" s="3463">
        <f ca="1">BH17+BH18</f>
        <v>0</v>
      </c>
      <c r="BI19" s="3463">
        <f ca="1">BI17+BI18</f>
        <v>0</v>
      </c>
      <c r="BJ19" s="3463">
        <f ca="1">SUM(BH19:BI19)</f>
        <v>0</v>
      </c>
      <c r="BL19" s="3477">
        <f t="shared" ca="1" si="9"/>
        <v>0</v>
      </c>
      <c r="BM19" s="584"/>
      <c r="BN19" s="413"/>
      <c r="BO19" s="2790">
        <f t="shared" ref="BO19:DF19" ca="1" si="44">BO17+BO18</f>
        <v>0.1861804265093723</v>
      </c>
      <c r="BP19" s="2790">
        <f t="shared" ca="1" si="44"/>
        <v>6.8753212877359794E-5</v>
      </c>
      <c r="BQ19" s="2790">
        <f t="shared" ca="1" si="44"/>
        <v>2.9432923036545921E-3</v>
      </c>
      <c r="BR19" s="2790">
        <f t="shared" ca="1" si="44"/>
        <v>0</v>
      </c>
      <c r="BS19" s="2790">
        <f t="shared" ca="1" si="44"/>
        <v>0</v>
      </c>
      <c r="BT19" s="2790">
        <f t="shared" ca="1" si="44"/>
        <v>0</v>
      </c>
      <c r="BU19" s="2790">
        <f t="shared" ca="1" si="44"/>
        <v>0</v>
      </c>
      <c r="BV19" s="2790">
        <f t="shared" ca="1" si="44"/>
        <v>0</v>
      </c>
      <c r="BW19" s="2790">
        <f t="shared" ca="1" si="44"/>
        <v>0</v>
      </c>
      <c r="BX19" s="2790">
        <f t="shared" ca="1" si="44"/>
        <v>0</v>
      </c>
      <c r="BY19" s="2790">
        <f t="shared" ca="1" si="44"/>
        <v>0</v>
      </c>
      <c r="BZ19" s="2790">
        <f t="shared" ca="1" si="44"/>
        <v>0</v>
      </c>
      <c r="CA19" s="2790">
        <f t="shared" ca="1" si="44"/>
        <v>0</v>
      </c>
      <c r="CB19" s="2790">
        <f t="shared" ca="1" si="44"/>
        <v>0</v>
      </c>
      <c r="CC19" s="2790">
        <f t="shared" ca="1" si="44"/>
        <v>0</v>
      </c>
      <c r="CD19" s="2790">
        <f t="shared" ca="1" si="44"/>
        <v>0</v>
      </c>
      <c r="CE19" s="2790">
        <f t="shared" ca="1" si="44"/>
        <v>0</v>
      </c>
      <c r="CF19" s="2790">
        <f t="shared" ca="1" si="44"/>
        <v>0</v>
      </c>
      <c r="CG19" s="2790">
        <f t="shared" ca="1" si="44"/>
        <v>0</v>
      </c>
      <c r="CH19" s="2790">
        <f t="shared" ca="1" si="44"/>
        <v>0</v>
      </c>
      <c r="CI19" s="2790">
        <f t="shared" ca="1" si="44"/>
        <v>0</v>
      </c>
      <c r="CJ19" s="2790">
        <f t="shared" ca="1" si="44"/>
        <v>0</v>
      </c>
      <c r="CK19" s="2790">
        <f t="shared" ca="1" si="44"/>
        <v>0</v>
      </c>
      <c r="CL19" s="2790">
        <f t="shared" ca="1" si="44"/>
        <v>0</v>
      </c>
      <c r="CM19" s="2790">
        <f t="shared" ca="1" si="44"/>
        <v>0</v>
      </c>
      <c r="CN19" s="2790">
        <f t="shared" ca="1" si="44"/>
        <v>0</v>
      </c>
      <c r="CO19" s="2790">
        <f t="shared" ca="1" si="44"/>
        <v>0</v>
      </c>
      <c r="CP19" s="2790">
        <f t="shared" ca="1" si="44"/>
        <v>0</v>
      </c>
      <c r="CQ19" s="2790">
        <f t="shared" ca="1" si="44"/>
        <v>0</v>
      </c>
      <c r="CR19" s="2790">
        <f t="shared" ca="1" si="44"/>
        <v>0</v>
      </c>
      <c r="CS19" s="2790">
        <f t="shared" ca="1" si="44"/>
        <v>0</v>
      </c>
      <c r="CT19" s="2790">
        <f t="shared" ca="1" si="44"/>
        <v>0</v>
      </c>
      <c r="CU19" s="2790">
        <f t="shared" ca="1" si="44"/>
        <v>0</v>
      </c>
      <c r="CV19" s="2790">
        <f t="shared" ca="1" si="44"/>
        <v>0</v>
      </c>
      <c r="CW19" s="2790">
        <f t="shared" ca="1" si="44"/>
        <v>0</v>
      </c>
      <c r="CX19" s="2790">
        <f t="shared" ca="1" si="44"/>
        <v>0</v>
      </c>
      <c r="CY19" s="2790">
        <f t="shared" ca="1" si="44"/>
        <v>0</v>
      </c>
      <c r="CZ19" s="2790">
        <f t="shared" ca="1" si="44"/>
        <v>0</v>
      </c>
      <c r="DA19" s="2790">
        <f t="shared" ca="1" si="44"/>
        <v>0</v>
      </c>
      <c r="DB19" s="2790">
        <f t="shared" ca="1" si="44"/>
        <v>0</v>
      </c>
      <c r="DC19" s="2790">
        <f t="shared" ca="1" si="44"/>
        <v>0</v>
      </c>
      <c r="DD19" s="2790">
        <f t="shared" ca="1" si="44"/>
        <v>0</v>
      </c>
      <c r="DE19" s="2790">
        <f t="shared" ca="1" si="44"/>
        <v>0</v>
      </c>
      <c r="DF19" s="2790">
        <f t="shared" ca="1" si="44"/>
        <v>0</v>
      </c>
      <c r="DH19" s="596">
        <f t="shared" ca="1" si="32"/>
        <v>0.18919247202590425</v>
      </c>
    </row>
    <row r="20" spans="1:112" s="6" customFormat="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9"/>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2"/>
        <v>0</v>
      </c>
    </row>
    <row r="21" spans="1:112" s="6" customFormat="1">
      <c r="A21" s="607"/>
      <c r="B21" s="607"/>
      <c r="C21" s="587" t="s">
        <v>475</v>
      </c>
      <c r="D21" s="611" t="s">
        <v>476</v>
      </c>
      <c r="E21" s="611"/>
      <c r="G21" s="619">
        <f t="shared" ref="G21:P21" ca="1" si="45">IFERROR(INDEX(INDIRECT($C21&amp;".Outputs["&amp;this.Year&amp;"]"), MATCH(G$5, INDIRECT($C21&amp;".Outputs[Vector]"), 0)), 0)</f>
        <v>0</v>
      </c>
      <c r="H21" s="619">
        <f t="shared" ca="1" si="45"/>
        <v>0</v>
      </c>
      <c r="I21" s="619">
        <f t="shared" ca="1" si="45"/>
        <v>26.821877579890064</v>
      </c>
      <c r="J21" s="619">
        <f t="shared" ca="1" si="45"/>
        <v>0</v>
      </c>
      <c r="K21" s="619">
        <f t="shared" ca="1" si="45"/>
        <v>0</v>
      </c>
      <c r="L21" s="619">
        <f t="shared" ca="1" si="45"/>
        <v>0</v>
      </c>
      <c r="M21" s="619">
        <f t="shared" ca="1" si="45"/>
        <v>0</v>
      </c>
      <c r="N21" s="619">
        <f t="shared" ca="1" si="45"/>
        <v>0</v>
      </c>
      <c r="O21" s="619">
        <f t="shared" ca="1" si="45"/>
        <v>0</v>
      </c>
      <c r="P21" s="619">
        <f t="shared" ca="1" si="45"/>
        <v>0</v>
      </c>
      <c r="Q21" s="612">
        <f ca="1">SUM(G21:P21)</f>
        <v>26.821877579890064</v>
      </c>
      <c r="S21" s="620">
        <f t="shared" ref="S21:AJ21" ca="1" si="46">IFERROR(INDEX(INDIRECT($C21&amp;".Outputs["&amp;this.Year&amp;"]"), MATCH(S$5, INDIRECT($C21&amp;".Outputs[Vector]"), 0)), 0)</f>
        <v>-9.5873506239776329</v>
      </c>
      <c r="T21" s="620">
        <f t="shared" ca="1" si="46"/>
        <v>0</v>
      </c>
      <c r="U21" s="620">
        <f t="shared" ca="1" si="46"/>
        <v>-3.2095436426878838</v>
      </c>
      <c r="V21" s="620">
        <f t="shared" ca="1" si="46"/>
        <v>-6.553248273655325</v>
      </c>
      <c r="W21" s="620">
        <f t="shared" ca="1" si="46"/>
        <v>-7.4717350395692215</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6"/>
        <v>0</v>
      </c>
      <c r="AB21" s="620">
        <f t="shared" ca="1" si="46"/>
        <v>0</v>
      </c>
      <c r="AC21" s="620">
        <f t="shared" ca="1" si="46"/>
        <v>0</v>
      </c>
      <c r="AD21" s="620">
        <f t="shared" ca="1" si="46"/>
        <v>0</v>
      </c>
      <c r="AE21" s="620">
        <f t="shared" ca="1" si="46"/>
        <v>0</v>
      </c>
      <c r="AF21" s="620">
        <f t="shared" ca="1" si="46"/>
        <v>0</v>
      </c>
      <c r="AG21" s="620">
        <f t="shared" ca="1" si="46"/>
        <v>0</v>
      </c>
      <c r="AH21" s="620">
        <f t="shared" ca="1" si="46"/>
        <v>0</v>
      </c>
      <c r="AI21" s="620">
        <f t="shared" ca="1" si="46"/>
        <v>0</v>
      </c>
      <c r="AJ21" s="620">
        <f t="shared" ca="1" si="46"/>
        <v>0</v>
      </c>
      <c r="AK21" s="613">
        <f ca="1">SUM(S21:AJ21)</f>
        <v>-26.821877579890064</v>
      </c>
      <c r="AM21" s="621">
        <f t="shared" ref="AM21:BE21" ca="1" si="47">IFERROR(INDEX(INDIRECT($C21&amp;".Outputs["&amp;this.Year&amp;"]"), MATCH(AM$5, INDIRECT($C21&amp;".Outputs[Vector]"), 0)), 0)</f>
        <v>0</v>
      </c>
      <c r="AN21" s="621">
        <f t="shared" ca="1" si="47"/>
        <v>0</v>
      </c>
      <c r="AO21" s="621">
        <f t="shared" ca="1" si="47"/>
        <v>0</v>
      </c>
      <c r="AP21" s="621">
        <f t="shared" ca="1" si="47"/>
        <v>0</v>
      </c>
      <c r="AQ21" s="621">
        <f t="shared" ca="1" si="47"/>
        <v>0</v>
      </c>
      <c r="AR21" s="621">
        <f t="shared" ca="1" si="47"/>
        <v>0</v>
      </c>
      <c r="AS21" s="621">
        <f t="shared" ca="1" si="47"/>
        <v>0</v>
      </c>
      <c r="AT21" s="621">
        <f t="shared" ca="1" si="47"/>
        <v>0</v>
      </c>
      <c r="AU21" s="621">
        <f t="shared" ca="1" si="47"/>
        <v>0</v>
      </c>
      <c r="AV21" s="621">
        <f t="shared" ca="1" si="47"/>
        <v>0</v>
      </c>
      <c r="AW21" s="621">
        <f t="shared" ca="1" si="47"/>
        <v>0</v>
      </c>
      <c r="AX21" s="621">
        <f t="shared" ca="1" si="47"/>
        <v>0</v>
      </c>
      <c r="AY21" s="621">
        <f t="shared" ca="1" si="47"/>
        <v>0</v>
      </c>
      <c r="AZ21" s="621">
        <f t="shared" ca="1" si="47"/>
        <v>0</v>
      </c>
      <c r="BA21" s="621">
        <f t="shared" ca="1" si="47"/>
        <v>0</v>
      </c>
      <c r="BB21" s="621">
        <f t="shared" ca="1" si="47"/>
        <v>0</v>
      </c>
      <c r="BC21" s="621">
        <f t="shared" ca="1" si="47"/>
        <v>0</v>
      </c>
      <c r="BD21" s="621">
        <f t="shared" ca="1" si="47"/>
        <v>0</v>
      </c>
      <c r="BE21" s="621">
        <f t="shared" ca="1" si="47"/>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9"/>
        <v>0</v>
      </c>
      <c r="BM21" s="610"/>
      <c r="BN21" s="413"/>
      <c r="BO21" s="2791">
        <f t="shared" ref="BO21:DF21" ca="1" si="48">IFERROR(SUMIFS(INDIRECT($C21&amp;".Emissions["&amp;this.Year&amp;"]"), INDIRECT($C21&amp;".Emissions[GHG]"), BO$6, INDIRECT($C21&amp;".Emissions[IPCC Sector]"), BO$5),0)</f>
        <v>4.3425075453838513</v>
      </c>
      <c r="BP21" s="2792">
        <f t="shared" ca="1" si="48"/>
        <v>2.2209889270275039E-3</v>
      </c>
      <c r="BQ21" s="2792">
        <f t="shared" ca="1" si="48"/>
        <v>3.0360503678721274E-2</v>
      </c>
      <c r="BR21" s="2792">
        <f t="shared" ca="1" si="48"/>
        <v>0</v>
      </c>
      <c r="BS21" s="2792">
        <f t="shared" ca="1" si="48"/>
        <v>0</v>
      </c>
      <c r="BT21" s="2792">
        <f t="shared" ca="1" si="48"/>
        <v>0</v>
      </c>
      <c r="BU21" s="2792">
        <f t="shared" ca="1" si="48"/>
        <v>0</v>
      </c>
      <c r="BV21" s="2792">
        <f t="shared" ca="1" si="48"/>
        <v>0</v>
      </c>
      <c r="BW21" s="2792">
        <f t="shared" ca="1" si="48"/>
        <v>1.1642523149646604</v>
      </c>
      <c r="BX21" s="2792">
        <f t="shared" ca="1" si="48"/>
        <v>0</v>
      </c>
      <c r="BY21" s="2792">
        <f t="shared" ca="1" si="48"/>
        <v>0</v>
      </c>
      <c r="BZ21" s="2792">
        <f t="shared" ca="1" si="48"/>
        <v>0.91607788377966026</v>
      </c>
      <c r="CA21" s="2792">
        <f t="shared" ca="1" si="48"/>
        <v>0</v>
      </c>
      <c r="CB21" s="2792">
        <f t="shared" ca="1" si="48"/>
        <v>0</v>
      </c>
      <c r="CC21" s="2792">
        <f t="shared" ca="1" si="48"/>
        <v>0</v>
      </c>
      <c r="CD21" s="2792">
        <f t="shared" ca="1" si="48"/>
        <v>0</v>
      </c>
      <c r="CE21" s="2792">
        <f t="shared" ca="1" si="48"/>
        <v>0</v>
      </c>
      <c r="CF21" s="2792">
        <f t="shared" ca="1" si="48"/>
        <v>0</v>
      </c>
      <c r="CG21" s="2792">
        <f t="shared" ca="1" si="48"/>
        <v>0</v>
      </c>
      <c r="CH21" s="2792">
        <f t="shared" ca="1" si="48"/>
        <v>0</v>
      </c>
      <c r="CI21" s="2792">
        <f t="shared" ca="1" si="48"/>
        <v>0</v>
      </c>
      <c r="CJ21" s="2792">
        <f t="shared" ca="1" si="48"/>
        <v>0</v>
      </c>
      <c r="CK21" s="2792">
        <f t="shared" ca="1" si="48"/>
        <v>0</v>
      </c>
      <c r="CL21" s="2792">
        <f t="shared" ca="1" si="48"/>
        <v>0</v>
      </c>
      <c r="CM21" s="2792">
        <f t="shared" ca="1" si="48"/>
        <v>0</v>
      </c>
      <c r="CN21" s="2792">
        <f t="shared" ca="1" si="48"/>
        <v>0</v>
      </c>
      <c r="CO21" s="2792">
        <f t="shared" ca="1" si="48"/>
        <v>0</v>
      </c>
      <c r="CP21" s="2792">
        <f t="shared" ca="1" si="48"/>
        <v>0</v>
      </c>
      <c r="CQ21" s="2792">
        <f t="shared" ca="1" si="48"/>
        <v>0</v>
      </c>
      <c r="CR21" s="2792">
        <f t="shared" ca="1" si="48"/>
        <v>0</v>
      </c>
      <c r="CS21" s="2792">
        <f t="shared" ca="1" si="48"/>
        <v>0</v>
      </c>
      <c r="CT21" s="2792">
        <f t="shared" ca="1" si="48"/>
        <v>0</v>
      </c>
      <c r="CU21" s="2792">
        <f t="shared" ca="1" si="48"/>
        <v>0</v>
      </c>
      <c r="CV21" s="2792">
        <f t="shared" ca="1" si="48"/>
        <v>0</v>
      </c>
      <c r="CW21" s="2792">
        <f t="shared" ca="1" si="48"/>
        <v>0</v>
      </c>
      <c r="CX21" s="2792">
        <f t="shared" ca="1" si="48"/>
        <v>0</v>
      </c>
      <c r="CY21" s="2792">
        <f t="shared" ca="1" si="48"/>
        <v>0</v>
      </c>
      <c r="CZ21" s="2792">
        <f t="shared" ca="1" si="48"/>
        <v>0</v>
      </c>
      <c r="DA21" s="2792">
        <f t="shared" ca="1" si="48"/>
        <v>0</v>
      </c>
      <c r="DB21" s="2792">
        <f t="shared" ca="1" si="48"/>
        <v>0</v>
      </c>
      <c r="DC21" s="2792">
        <f t="shared" ca="1" si="48"/>
        <v>0</v>
      </c>
      <c r="DD21" s="2792">
        <f t="shared" ca="1" si="48"/>
        <v>0</v>
      </c>
      <c r="DE21" s="2792">
        <f t="shared" ca="1" si="48"/>
        <v>0</v>
      </c>
      <c r="DF21" s="2792">
        <f t="shared" ca="1" si="48"/>
        <v>0</v>
      </c>
      <c r="DH21" s="596">
        <f t="shared" ca="1" si="32"/>
        <v>6.4554192367339205</v>
      </c>
    </row>
    <row r="22" spans="1:112" s="6" customFormat="1" ht="15.75">
      <c r="A22" s="4"/>
      <c r="B22" s="3"/>
      <c r="C22" s="616" t="s">
        <v>477</v>
      </c>
      <c r="D22" s="617" t="s">
        <v>368</v>
      </c>
      <c r="E22" s="206"/>
      <c r="G22" s="618">
        <f ca="1">G21</f>
        <v>0</v>
      </c>
      <c r="H22" s="618">
        <f t="shared" ref="H22:P22" ca="1" si="49">H21</f>
        <v>0</v>
      </c>
      <c r="I22" s="618">
        <f t="shared" ca="1" si="49"/>
        <v>26.821877579890064</v>
      </c>
      <c r="J22" s="618">
        <f t="shared" ca="1" si="49"/>
        <v>0</v>
      </c>
      <c r="K22" s="618">
        <f t="shared" ca="1" si="49"/>
        <v>0</v>
      </c>
      <c r="L22" s="618">
        <f t="shared" ca="1" si="49"/>
        <v>0</v>
      </c>
      <c r="M22" s="618">
        <f t="shared" ca="1" si="49"/>
        <v>0</v>
      </c>
      <c r="N22" s="618">
        <f t="shared" ca="1" si="49"/>
        <v>0</v>
      </c>
      <c r="O22" s="618">
        <f t="shared" ca="1" si="49"/>
        <v>0</v>
      </c>
      <c r="P22" s="618">
        <f t="shared" ca="1" si="49"/>
        <v>0</v>
      </c>
      <c r="Q22" s="618">
        <f ca="1">SUM(G22:P22)</f>
        <v>26.821877579890064</v>
      </c>
      <c r="S22" s="581">
        <f t="shared" ref="S22:AJ22" ca="1" si="50">S21</f>
        <v>-9.5873506239776329</v>
      </c>
      <c r="T22" s="581">
        <f t="shared" ca="1" si="50"/>
        <v>0</v>
      </c>
      <c r="U22" s="581">
        <f t="shared" ca="1" si="50"/>
        <v>-3.2095436426878838</v>
      </c>
      <c r="V22" s="581">
        <f t="shared" ca="1" si="50"/>
        <v>-6.553248273655325</v>
      </c>
      <c r="W22" s="581">
        <f t="shared" ca="1" si="50"/>
        <v>-7.4717350395692215</v>
      </c>
      <c r="X22" s="581">
        <f t="shared" ca="1" si="50"/>
        <v>0</v>
      </c>
      <c r="Y22" s="581">
        <f t="shared" ca="1" si="50"/>
        <v>0</v>
      </c>
      <c r="Z22" s="581">
        <f t="shared" ca="1" si="50"/>
        <v>0</v>
      </c>
      <c r="AA22" s="581">
        <f t="shared" ca="1" si="50"/>
        <v>0</v>
      </c>
      <c r="AB22" s="581">
        <f t="shared" ca="1" si="50"/>
        <v>0</v>
      </c>
      <c r="AC22" s="581">
        <f t="shared" ca="1" si="50"/>
        <v>0</v>
      </c>
      <c r="AD22" s="581">
        <f t="shared" ca="1" si="50"/>
        <v>0</v>
      </c>
      <c r="AE22" s="581">
        <f ca="1">AE21</f>
        <v>0</v>
      </c>
      <c r="AF22" s="581">
        <f t="shared" ca="1" si="50"/>
        <v>0</v>
      </c>
      <c r="AG22" s="581">
        <f t="shared" ca="1" si="50"/>
        <v>0</v>
      </c>
      <c r="AH22" s="581">
        <f ca="1">AH21</f>
        <v>0</v>
      </c>
      <c r="AI22" s="581">
        <f t="shared" ca="1" si="50"/>
        <v>0</v>
      </c>
      <c r="AJ22" s="581">
        <f t="shared" ca="1" si="50"/>
        <v>0</v>
      </c>
      <c r="AK22" s="581">
        <f ca="1">SUM(S22:AJ22)</f>
        <v>-26.821877579890064</v>
      </c>
      <c r="AM22" s="582">
        <f t="shared" ref="AM22:BE22" ca="1" si="51">AM21</f>
        <v>0</v>
      </c>
      <c r="AN22" s="582">
        <f t="shared" ca="1" si="51"/>
        <v>0</v>
      </c>
      <c r="AO22" s="582">
        <f t="shared" ca="1" si="51"/>
        <v>0</v>
      </c>
      <c r="AP22" s="582">
        <f t="shared" ca="1" si="51"/>
        <v>0</v>
      </c>
      <c r="AQ22" s="582">
        <f t="shared" ca="1" si="51"/>
        <v>0</v>
      </c>
      <c r="AR22" s="582">
        <f t="shared" ca="1" si="51"/>
        <v>0</v>
      </c>
      <c r="AS22" s="582">
        <f t="shared" ca="1" si="51"/>
        <v>0</v>
      </c>
      <c r="AT22" s="582">
        <f t="shared" ca="1" si="51"/>
        <v>0</v>
      </c>
      <c r="AU22" s="582">
        <f t="shared" ca="1" si="51"/>
        <v>0</v>
      </c>
      <c r="AV22" s="582">
        <f t="shared" ca="1" si="51"/>
        <v>0</v>
      </c>
      <c r="AW22" s="582">
        <f t="shared" ca="1" si="51"/>
        <v>0</v>
      </c>
      <c r="AX22" s="582">
        <f t="shared" ca="1" si="51"/>
        <v>0</v>
      </c>
      <c r="AY22" s="582">
        <f t="shared" ca="1" si="51"/>
        <v>0</v>
      </c>
      <c r="AZ22" s="582">
        <f t="shared" ca="1" si="51"/>
        <v>0</v>
      </c>
      <c r="BA22" s="582">
        <f t="shared" ca="1" si="51"/>
        <v>0</v>
      </c>
      <c r="BB22" s="582">
        <f t="shared" ca="1" si="51"/>
        <v>0</v>
      </c>
      <c r="BC22" s="582">
        <f t="shared" ca="1" si="51"/>
        <v>0</v>
      </c>
      <c r="BD22" s="582">
        <f ca="1">BD21</f>
        <v>0</v>
      </c>
      <c r="BE22" s="582">
        <f t="shared" ca="1" si="51"/>
        <v>0</v>
      </c>
      <c r="BF22" s="582">
        <f ca="1">SUM(AM22:BE22)</f>
        <v>0</v>
      </c>
      <c r="BH22" s="3463">
        <f ca="1">BH21</f>
        <v>0</v>
      </c>
      <c r="BI22" s="3463">
        <f ca="1">BI21</f>
        <v>0</v>
      </c>
      <c r="BJ22" s="3463">
        <f ca="1">SUM(BH22:BI22)</f>
        <v>0</v>
      </c>
      <c r="BL22" s="3477">
        <f t="shared" ca="1" si="9"/>
        <v>0</v>
      </c>
      <c r="BM22" s="584"/>
      <c r="BN22" s="413"/>
      <c r="BO22" s="2790">
        <f t="shared" ref="BO22:DF22" ca="1" si="52">BO21</f>
        <v>4.3425075453838513</v>
      </c>
      <c r="BP22" s="2790">
        <f t="shared" ca="1" si="52"/>
        <v>2.2209889270275039E-3</v>
      </c>
      <c r="BQ22" s="2790">
        <f t="shared" ca="1" si="52"/>
        <v>3.0360503678721274E-2</v>
      </c>
      <c r="BR22" s="2790">
        <f t="shared" ca="1" si="52"/>
        <v>0</v>
      </c>
      <c r="BS22" s="2790">
        <f t="shared" ca="1" si="52"/>
        <v>0</v>
      </c>
      <c r="BT22" s="2790">
        <f t="shared" ca="1" si="52"/>
        <v>0</v>
      </c>
      <c r="BU22" s="2790">
        <f t="shared" ca="1" si="52"/>
        <v>0</v>
      </c>
      <c r="BV22" s="2790">
        <f t="shared" ca="1" si="52"/>
        <v>0</v>
      </c>
      <c r="BW22" s="2790">
        <f t="shared" ca="1" si="52"/>
        <v>1.1642523149646604</v>
      </c>
      <c r="BX22" s="2790">
        <f t="shared" ca="1" si="52"/>
        <v>0</v>
      </c>
      <c r="BY22" s="2790">
        <f t="shared" ca="1" si="52"/>
        <v>0</v>
      </c>
      <c r="BZ22" s="2790">
        <f t="shared" ca="1" si="52"/>
        <v>0.91607788377966026</v>
      </c>
      <c r="CA22" s="2790">
        <f t="shared" ca="1" si="52"/>
        <v>0</v>
      </c>
      <c r="CB22" s="2790">
        <f t="shared" ca="1" si="52"/>
        <v>0</v>
      </c>
      <c r="CC22" s="2790">
        <f t="shared" ca="1" si="52"/>
        <v>0</v>
      </c>
      <c r="CD22" s="2790">
        <f t="shared" ca="1" si="52"/>
        <v>0</v>
      </c>
      <c r="CE22" s="2790">
        <f t="shared" ca="1" si="52"/>
        <v>0</v>
      </c>
      <c r="CF22" s="2790">
        <f t="shared" ca="1" si="52"/>
        <v>0</v>
      </c>
      <c r="CG22" s="2790">
        <f t="shared" ca="1" si="52"/>
        <v>0</v>
      </c>
      <c r="CH22" s="2790">
        <f t="shared" ca="1" si="52"/>
        <v>0</v>
      </c>
      <c r="CI22" s="2790">
        <f t="shared" ca="1" si="52"/>
        <v>0</v>
      </c>
      <c r="CJ22" s="2790">
        <f t="shared" ca="1" si="52"/>
        <v>0</v>
      </c>
      <c r="CK22" s="2790">
        <f t="shared" ca="1" si="52"/>
        <v>0</v>
      </c>
      <c r="CL22" s="2790">
        <f t="shared" ca="1" si="52"/>
        <v>0</v>
      </c>
      <c r="CM22" s="2790">
        <f t="shared" ca="1" si="52"/>
        <v>0</v>
      </c>
      <c r="CN22" s="2790">
        <f t="shared" ca="1" si="52"/>
        <v>0</v>
      </c>
      <c r="CO22" s="2790">
        <f t="shared" ca="1" si="52"/>
        <v>0</v>
      </c>
      <c r="CP22" s="2790">
        <f t="shared" ca="1" si="52"/>
        <v>0</v>
      </c>
      <c r="CQ22" s="2790">
        <f t="shared" ca="1" si="52"/>
        <v>0</v>
      </c>
      <c r="CR22" s="2790">
        <f t="shared" ca="1" si="52"/>
        <v>0</v>
      </c>
      <c r="CS22" s="2790">
        <f t="shared" ca="1" si="52"/>
        <v>0</v>
      </c>
      <c r="CT22" s="2790">
        <f t="shared" ca="1" si="52"/>
        <v>0</v>
      </c>
      <c r="CU22" s="2790">
        <f t="shared" ca="1" si="52"/>
        <v>0</v>
      </c>
      <c r="CV22" s="2790">
        <f t="shared" ca="1" si="52"/>
        <v>0</v>
      </c>
      <c r="CW22" s="2790">
        <f t="shared" ca="1" si="52"/>
        <v>0</v>
      </c>
      <c r="CX22" s="2790">
        <f t="shared" ca="1" si="52"/>
        <v>0</v>
      </c>
      <c r="CY22" s="2790">
        <f t="shared" ca="1" si="52"/>
        <v>0</v>
      </c>
      <c r="CZ22" s="2790">
        <f t="shared" ca="1" si="52"/>
        <v>0</v>
      </c>
      <c r="DA22" s="2790">
        <f t="shared" ca="1" si="52"/>
        <v>0</v>
      </c>
      <c r="DB22" s="2790">
        <f t="shared" ca="1" si="52"/>
        <v>0</v>
      </c>
      <c r="DC22" s="2790">
        <f t="shared" ca="1" si="52"/>
        <v>0</v>
      </c>
      <c r="DD22" s="2790">
        <f t="shared" ca="1" si="52"/>
        <v>0</v>
      </c>
      <c r="DE22" s="2790">
        <f t="shared" ca="1" si="52"/>
        <v>0</v>
      </c>
      <c r="DF22" s="2790">
        <f t="shared" ca="1" si="52"/>
        <v>0</v>
      </c>
      <c r="DH22" s="596">
        <f t="shared" ca="1" si="32"/>
        <v>6.4554192367339205</v>
      </c>
    </row>
    <row r="23" spans="1:112" s="6" customFormat="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9"/>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2"/>
        <v>0</v>
      </c>
    </row>
    <row r="24" spans="1:112" s="6" customFormat="1">
      <c r="A24" s="607"/>
      <c r="B24" s="607"/>
      <c r="C24" s="587" t="s">
        <v>478</v>
      </c>
      <c r="D24" s="623" t="s">
        <v>479</v>
      </c>
      <c r="E24" s="599"/>
      <c r="G24" s="589">
        <f t="shared" ref="G24:P27" ca="1" si="53">IFERROR(INDEX(INDIRECT($C24&amp;".Outputs["&amp;this.Year&amp;"]"), MATCH(G$5, INDIRECT($C24&amp;".Outputs[Vector]"), 0)), 0)</f>
        <v>0</v>
      </c>
      <c r="H24" s="589">
        <f t="shared" ca="1" si="53"/>
        <v>0</v>
      </c>
      <c r="I24" s="589">
        <f t="shared" ca="1" si="53"/>
        <v>0</v>
      </c>
      <c r="J24" s="589">
        <f t="shared" ca="1" si="53"/>
        <v>20.090973289573654</v>
      </c>
      <c r="K24" s="589">
        <f t="shared" ca="1" si="53"/>
        <v>0.43342424748435998</v>
      </c>
      <c r="L24" s="589">
        <f t="shared" ca="1" si="53"/>
        <v>2.6748583502616049E-2</v>
      </c>
      <c r="M24" s="589">
        <f t="shared" ca="1" si="53"/>
        <v>0</v>
      </c>
      <c r="N24" s="589">
        <f t="shared" ca="1" si="53"/>
        <v>0</v>
      </c>
      <c r="O24" s="589">
        <f t="shared" ca="1" si="53"/>
        <v>0</v>
      </c>
      <c r="P24" s="589">
        <f t="shared" ca="1" si="53"/>
        <v>0</v>
      </c>
      <c r="Q24" s="590">
        <f t="shared" ref="Q24:Q32" ca="1" si="54">SUM(G24:P24)</f>
        <v>20.551146120560631</v>
      </c>
      <c r="S24" s="591">
        <f t="shared" ref="S24:AJ30" ca="1" si="55">IFERROR(INDEX(INDIRECT($C24&amp;".Outputs["&amp;this.Year&amp;"]"), MATCH(S$5, INDIRECT($C24&amp;".Outputs[Vector]"), 0)), 0)</f>
        <v>-7.3891754277403451E-2</v>
      </c>
      <c r="T24" s="591">
        <f t="shared" ca="1" si="55"/>
        <v>0</v>
      </c>
      <c r="U24" s="591">
        <f t="shared" ca="1" si="55"/>
        <v>0</v>
      </c>
      <c r="V24" s="591">
        <f t="shared" ca="1" si="55"/>
        <v>-20.47575584215544</v>
      </c>
      <c r="W24" s="591">
        <f t="shared" ca="1" si="55"/>
        <v>0</v>
      </c>
      <c r="X24" s="591">
        <f t="shared" ca="1" si="55"/>
        <v>0</v>
      </c>
      <c r="Y24" s="591">
        <f t="shared" ca="1" si="55"/>
        <v>0</v>
      </c>
      <c r="Z24" s="591">
        <f t="shared" ca="1" si="55"/>
        <v>0</v>
      </c>
      <c r="AA24" s="591">
        <f t="shared" ca="1" si="55"/>
        <v>0</v>
      </c>
      <c r="AB24" s="591">
        <f t="shared" ca="1" si="55"/>
        <v>0</v>
      </c>
      <c r="AC24" s="591">
        <f t="shared" ca="1" si="55"/>
        <v>0</v>
      </c>
      <c r="AD24" s="591">
        <f t="shared" ca="1" si="55"/>
        <v>0</v>
      </c>
      <c r="AE24" s="591">
        <f t="shared" ca="1" si="55"/>
        <v>0</v>
      </c>
      <c r="AF24" s="591">
        <f t="shared" ca="1" si="55"/>
        <v>0</v>
      </c>
      <c r="AG24" s="591">
        <f t="shared" ca="1" si="55"/>
        <v>0</v>
      </c>
      <c r="AH24" s="591">
        <f t="shared" ca="1" si="55"/>
        <v>0</v>
      </c>
      <c r="AI24" s="591">
        <f t="shared" ca="1" si="55"/>
        <v>0</v>
      </c>
      <c r="AJ24" s="591">
        <f t="shared" ca="1" si="55"/>
        <v>-1.4985241277847491E-3</v>
      </c>
      <c r="AK24" s="592">
        <f t="shared" ref="AK24:AK32" ca="1" si="56">SUM(S24:AJ24)</f>
        <v>-20.551146120560631</v>
      </c>
      <c r="AM24" s="593">
        <f t="shared" ref="AM24:BB27" ca="1" si="57">IFERROR(INDEX(INDIRECT($C24&amp;".Outputs["&amp;this.Year&amp;"]"), MATCH(AM$5, INDIRECT($C24&amp;".Outputs[Vector]"), 0)), 0)</f>
        <v>0</v>
      </c>
      <c r="AN24" s="593">
        <f t="shared" ca="1" si="57"/>
        <v>0</v>
      </c>
      <c r="AO24" s="593">
        <f t="shared" ca="1" si="57"/>
        <v>0</v>
      </c>
      <c r="AP24" s="593">
        <f t="shared" ca="1" si="57"/>
        <v>0</v>
      </c>
      <c r="AQ24" s="593">
        <f t="shared" ca="1" si="57"/>
        <v>0</v>
      </c>
      <c r="AR24" s="593">
        <f t="shared" ca="1" si="57"/>
        <v>0</v>
      </c>
      <c r="AS24" s="593">
        <f t="shared" ca="1" si="57"/>
        <v>0</v>
      </c>
      <c r="AT24" s="593">
        <f t="shared" ca="1" si="57"/>
        <v>0</v>
      </c>
      <c r="AU24" s="593">
        <f t="shared" ca="1" si="57"/>
        <v>0</v>
      </c>
      <c r="AV24" s="593">
        <f t="shared" ca="1" si="57"/>
        <v>0</v>
      </c>
      <c r="AW24" s="593">
        <f t="shared" ca="1" si="57"/>
        <v>0</v>
      </c>
      <c r="AX24" s="593">
        <f t="shared" ca="1" si="57"/>
        <v>0</v>
      </c>
      <c r="AY24" s="593">
        <f t="shared" ca="1" si="57"/>
        <v>0</v>
      </c>
      <c r="AZ24" s="593">
        <f t="shared" ca="1" si="57"/>
        <v>0</v>
      </c>
      <c r="BA24" s="593">
        <f t="shared" ca="1" si="57"/>
        <v>0</v>
      </c>
      <c r="BB24" s="593">
        <f t="shared" ca="1" si="57"/>
        <v>0</v>
      </c>
      <c r="BC24" s="593">
        <f t="shared" ref="BC24:BE27" ca="1" si="58">IFERROR(INDEX(INDIRECT($C24&amp;".Outputs["&amp;this.Year&amp;"]"), MATCH(BC$5, INDIRECT($C24&amp;".Outputs[Vector]"), 0)), 0)</f>
        <v>0</v>
      </c>
      <c r="BD24" s="593">
        <f t="shared" ca="1" si="58"/>
        <v>0</v>
      </c>
      <c r="BE24" s="593">
        <f t="shared" ca="1" si="58"/>
        <v>0</v>
      </c>
      <c r="BF24" s="609">
        <f t="shared" ref="BF24:BF32" ca="1" si="59">SUM(AM24:BE24)</f>
        <v>0</v>
      </c>
      <c r="BH24" s="3471">
        <f t="shared" ref="BH24:BI30" ca="1" si="60">IFERROR(INDEX(INDIRECT($C24&amp;".Outputs["&amp;this.Year&amp;"]"), MATCH(BH$5, INDIRECT($C24&amp;".Outputs[Vector]"), 0)), 0)</f>
        <v>0</v>
      </c>
      <c r="BI24" s="3471">
        <f t="shared" ca="1" si="60"/>
        <v>0</v>
      </c>
      <c r="BJ24" s="3460">
        <f t="shared" ref="BJ24:BJ32" ca="1" si="61">SUM(BH24:BI24)</f>
        <v>0</v>
      </c>
      <c r="BL24" s="610">
        <f t="shared" ca="1" si="9"/>
        <v>0</v>
      </c>
      <c r="BM24" s="610"/>
      <c r="BN24" s="413"/>
      <c r="BO24" s="2789">
        <f t="shared" ref="BO24:BX27" ca="1" si="62">IFERROR(SUMIFS(INDIRECT($C24&amp;".Emissions["&amp;this.Year&amp;"]"), INDIRECT($C24&amp;".Emissions[GHG]"), BO$6, INDIRECT($C24&amp;".Emissions[IPCC Sector]"), BO$5),0)</f>
        <v>5.4031424516279767</v>
      </c>
      <c r="BP24" s="2790">
        <f t="shared" ca="1" si="62"/>
        <v>4.6439014250008537E-3</v>
      </c>
      <c r="BQ24" s="2790">
        <f t="shared" ca="1" si="62"/>
        <v>1.3710566111907282E-2</v>
      </c>
      <c r="BR24" s="2790">
        <f t="shared" ca="1" si="62"/>
        <v>0</v>
      </c>
      <c r="BS24" s="2790">
        <f t="shared" ca="1" si="62"/>
        <v>0</v>
      </c>
      <c r="BT24" s="2790">
        <f t="shared" ca="1" si="62"/>
        <v>0</v>
      </c>
      <c r="BU24" s="2790">
        <f t="shared" ca="1" si="62"/>
        <v>0</v>
      </c>
      <c r="BV24" s="2790">
        <f t="shared" ca="1" si="62"/>
        <v>0</v>
      </c>
      <c r="BW24" s="2790">
        <f t="shared" ca="1" si="62"/>
        <v>0</v>
      </c>
      <c r="BX24" s="2790">
        <f t="shared" ca="1" si="62"/>
        <v>0</v>
      </c>
      <c r="BY24" s="2790">
        <f t="shared" ref="BY24:CH27" ca="1" si="63">IFERROR(SUMIFS(INDIRECT($C24&amp;".Emissions["&amp;this.Year&amp;"]"), INDIRECT($C24&amp;".Emissions[GHG]"), BY$6, INDIRECT($C24&amp;".Emissions[IPCC Sector]"), BY$5),0)</f>
        <v>0</v>
      </c>
      <c r="BZ24" s="2790">
        <f t="shared" ca="1" si="63"/>
        <v>0</v>
      </c>
      <c r="CA24" s="2790">
        <f t="shared" ca="1" si="63"/>
        <v>0</v>
      </c>
      <c r="CB24" s="2790">
        <f t="shared" ca="1" si="63"/>
        <v>0</v>
      </c>
      <c r="CC24" s="2790">
        <f t="shared" ca="1" si="63"/>
        <v>0</v>
      </c>
      <c r="CD24" s="2790">
        <f t="shared" ca="1" si="63"/>
        <v>0</v>
      </c>
      <c r="CE24" s="2790">
        <f t="shared" ca="1" si="63"/>
        <v>0</v>
      </c>
      <c r="CF24" s="2790">
        <f t="shared" ca="1" si="63"/>
        <v>0</v>
      </c>
      <c r="CG24" s="2790">
        <f t="shared" ca="1" si="63"/>
        <v>0</v>
      </c>
      <c r="CH24" s="2790">
        <f t="shared" ca="1" si="63"/>
        <v>0</v>
      </c>
      <c r="CI24" s="2790">
        <f t="shared" ref="CI24:CR27" ca="1" si="64">IFERROR(SUMIFS(INDIRECT($C24&amp;".Emissions["&amp;this.Year&amp;"]"), INDIRECT($C24&amp;".Emissions[GHG]"), CI$6, INDIRECT($C24&amp;".Emissions[IPCC Sector]"), CI$5),0)</f>
        <v>0</v>
      </c>
      <c r="CJ24" s="2790">
        <f t="shared" ca="1" si="64"/>
        <v>0</v>
      </c>
      <c r="CK24" s="2790">
        <f t="shared" ca="1" si="64"/>
        <v>0</v>
      </c>
      <c r="CL24" s="2790">
        <f t="shared" ca="1" si="64"/>
        <v>0</v>
      </c>
      <c r="CM24" s="2790">
        <f t="shared" ca="1" si="64"/>
        <v>0</v>
      </c>
      <c r="CN24" s="2790">
        <f t="shared" ca="1" si="64"/>
        <v>0</v>
      </c>
      <c r="CO24" s="2790">
        <f t="shared" ca="1" si="64"/>
        <v>0</v>
      </c>
      <c r="CP24" s="2790">
        <f t="shared" ca="1" si="64"/>
        <v>0</v>
      </c>
      <c r="CQ24" s="2790">
        <f t="shared" ca="1" si="64"/>
        <v>0</v>
      </c>
      <c r="CR24" s="2790">
        <f t="shared" ca="1" si="64"/>
        <v>0</v>
      </c>
      <c r="CS24" s="2790">
        <f t="shared" ref="CS24:DF27" ca="1" si="65">IFERROR(SUMIFS(INDIRECT($C24&amp;".Emissions["&amp;this.Year&amp;"]"), INDIRECT($C24&amp;".Emissions[GHG]"), CS$6, INDIRECT($C24&amp;".Emissions[IPCC Sector]"), CS$5),0)</f>
        <v>0</v>
      </c>
      <c r="CT24" s="2790">
        <f t="shared" ca="1" si="65"/>
        <v>0</v>
      </c>
      <c r="CU24" s="2790">
        <f t="shared" ca="1" si="65"/>
        <v>0</v>
      </c>
      <c r="CV24" s="2790">
        <f t="shared" ca="1" si="65"/>
        <v>0</v>
      </c>
      <c r="CW24" s="2790">
        <f t="shared" ca="1" si="65"/>
        <v>0</v>
      </c>
      <c r="CX24" s="2790">
        <f t="shared" ca="1" si="65"/>
        <v>0</v>
      </c>
      <c r="CY24" s="2790">
        <f t="shared" ca="1" si="65"/>
        <v>0</v>
      </c>
      <c r="CZ24" s="2790">
        <f t="shared" ca="1" si="65"/>
        <v>0</v>
      </c>
      <c r="DA24" s="2790">
        <f t="shared" ca="1" si="65"/>
        <v>0</v>
      </c>
      <c r="DB24" s="2790">
        <f t="shared" ca="1" si="65"/>
        <v>0</v>
      </c>
      <c r="DC24" s="2790">
        <f t="shared" ca="1" si="65"/>
        <v>0</v>
      </c>
      <c r="DD24" s="2790">
        <f t="shared" ca="1" si="65"/>
        <v>0</v>
      </c>
      <c r="DE24" s="2790">
        <f t="shared" ca="1" si="65"/>
        <v>0</v>
      </c>
      <c r="DF24" s="2790">
        <f t="shared" ca="1" si="65"/>
        <v>0</v>
      </c>
      <c r="DH24" s="596">
        <f t="shared" ca="1" si="32"/>
        <v>5.421496919164885</v>
      </c>
    </row>
    <row r="25" spans="1:112" s="6" customFormat="1">
      <c r="A25" s="607"/>
      <c r="B25" s="607"/>
      <c r="C25" s="587" t="s">
        <v>480</v>
      </c>
      <c r="D25" s="623" t="s">
        <v>481</v>
      </c>
      <c r="E25" s="599"/>
      <c r="G25" s="589">
        <f t="shared" ca="1" si="53"/>
        <v>0</v>
      </c>
      <c r="H25" s="589">
        <f t="shared" ca="1" si="53"/>
        <v>0</v>
      </c>
      <c r="I25" s="589">
        <f t="shared" ca="1" si="53"/>
        <v>0</v>
      </c>
      <c r="J25" s="589">
        <f t="shared" ca="1" si="53"/>
        <v>16.043461874999998</v>
      </c>
      <c r="K25" s="589">
        <f t="shared" ca="1" si="53"/>
        <v>5.339622905208361E-3</v>
      </c>
      <c r="L25" s="589">
        <f t="shared" ca="1" si="53"/>
        <v>0</v>
      </c>
      <c r="M25" s="589">
        <f t="shared" ca="1" si="53"/>
        <v>0.66</v>
      </c>
      <c r="N25" s="589">
        <f t="shared" ca="1" si="53"/>
        <v>0</v>
      </c>
      <c r="O25" s="589">
        <f t="shared" ca="1" si="53"/>
        <v>0</v>
      </c>
      <c r="P25" s="589">
        <f t="shared" ca="1" si="53"/>
        <v>0</v>
      </c>
      <c r="Q25" s="590">
        <f t="shared" ca="1" si="54"/>
        <v>16.708801497905206</v>
      </c>
      <c r="S25" s="591">
        <f t="shared" ca="1" si="55"/>
        <v>0</v>
      </c>
      <c r="T25" s="591">
        <f t="shared" ca="1" si="55"/>
        <v>0</v>
      </c>
      <c r="U25" s="591">
        <f t="shared" ca="1" si="55"/>
        <v>0</v>
      </c>
      <c r="V25" s="591">
        <f t="shared" ca="1" si="55"/>
        <v>-16.708801497905206</v>
      </c>
      <c r="W25" s="591">
        <f t="shared" ca="1" si="55"/>
        <v>0</v>
      </c>
      <c r="X25" s="591">
        <f t="shared" ca="1" si="55"/>
        <v>0</v>
      </c>
      <c r="Y25" s="591">
        <f t="shared" ca="1" si="55"/>
        <v>0</v>
      </c>
      <c r="Z25" s="591">
        <f t="shared" ca="1" si="55"/>
        <v>0</v>
      </c>
      <c r="AA25" s="591">
        <f t="shared" ca="1" si="55"/>
        <v>0</v>
      </c>
      <c r="AB25" s="591">
        <f t="shared" ca="1" si="55"/>
        <v>0</v>
      </c>
      <c r="AC25" s="591">
        <f t="shared" ca="1" si="55"/>
        <v>0</v>
      </c>
      <c r="AD25" s="591">
        <f t="shared" ca="1" si="55"/>
        <v>0</v>
      </c>
      <c r="AE25" s="591">
        <f t="shared" ca="1" si="55"/>
        <v>0</v>
      </c>
      <c r="AF25" s="591">
        <f t="shared" ca="1" si="55"/>
        <v>0</v>
      </c>
      <c r="AG25" s="591">
        <f t="shared" ca="1" si="55"/>
        <v>0</v>
      </c>
      <c r="AH25" s="591">
        <f t="shared" ca="1" si="55"/>
        <v>0</v>
      </c>
      <c r="AI25" s="591">
        <f t="shared" ca="1" si="55"/>
        <v>0</v>
      </c>
      <c r="AJ25" s="591">
        <f t="shared" ca="1" si="55"/>
        <v>0</v>
      </c>
      <c r="AK25" s="592">
        <f t="shared" ca="1" si="56"/>
        <v>-16.708801497905206</v>
      </c>
      <c r="AM25" s="593">
        <f t="shared" ca="1" si="57"/>
        <v>0</v>
      </c>
      <c r="AN25" s="593">
        <f t="shared" ca="1" si="57"/>
        <v>0</v>
      </c>
      <c r="AO25" s="593">
        <f t="shared" ca="1" si="57"/>
        <v>0</v>
      </c>
      <c r="AP25" s="593">
        <f t="shared" ca="1" si="57"/>
        <v>0</v>
      </c>
      <c r="AQ25" s="593">
        <f t="shared" ca="1" si="57"/>
        <v>0</v>
      </c>
      <c r="AR25" s="593">
        <f t="shared" ca="1" si="57"/>
        <v>0</v>
      </c>
      <c r="AS25" s="593">
        <f t="shared" ca="1" si="57"/>
        <v>0</v>
      </c>
      <c r="AT25" s="593">
        <f t="shared" ca="1" si="57"/>
        <v>0</v>
      </c>
      <c r="AU25" s="593">
        <f t="shared" ca="1" si="57"/>
        <v>0</v>
      </c>
      <c r="AV25" s="593">
        <f t="shared" ca="1" si="57"/>
        <v>0</v>
      </c>
      <c r="AW25" s="593">
        <f t="shared" ca="1" si="57"/>
        <v>0</v>
      </c>
      <c r="AX25" s="593">
        <f t="shared" ca="1" si="57"/>
        <v>0</v>
      </c>
      <c r="AY25" s="593">
        <f t="shared" ca="1" si="57"/>
        <v>0</v>
      </c>
      <c r="AZ25" s="593">
        <f t="shared" ca="1" si="57"/>
        <v>0</v>
      </c>
      <c r="BA25" s="593">
        <f t="shared" ca="1" si="57"/>
        <v>0</v>
      </c>
      <c r="BB25" s="593">
        <f t="shared" ca="1" si="57"/>
        <v>0</v>
      </c>
      <c r="BC25" s="593">
        <f t="shared" ca="1" si="58"/>
        <v>0</v>
      </c>
      <c r="BD25" s="593">
        <f t="shared" ca="1" si="58"/>
        <v>0</v>
      </c>
      <c r="BE25" s="593">
        <f t="shared" ca="1" si="58"/>
        <v>0</v>
      </c>
      <c r="BF25" s="609">
        <f t="shared" ca="1" si="59"/>
        <v>0</v>
      </c>
      <c r="BH25" s="3471">
        <f t="shared" ca="1" si="60"/>
        <v>0</v>
      </c>
      <c r="BI25" s="3471">
        <f t="shared" ca="1" si="60"/>
        <v>0</v>
      </c>
      <c r="BJ25" s="3460">
        <f t="shared" ca="1" si="61"/>
        <v>0</v>
      </c>
      <c r="BL25" s="610">
        <f t="shared" ca="1" si="9"/>
        <v>0</v>
      </c>
      <c r="BM25" s="610"/>
      <c r="BN25" s="413"/>
      <c r="BO25" s="2789">
        <f t="shared" ca="1" si="62"/>
        <v>4.409118539267225</v>
      </c>
      <c r="BP25" s="2790">
        <f t="shared" ca="1" si="62"/>
        <v>3.7895561797249011E-3</v>
      </c>
      <c r="BQ25" s="2790">
        <f t="shared" ca="1" si="62"/>
        <v>1.1188213482997327E-2</v>
      </c>
      <c r="BR25" s="2790">
        <f t="shared" ca="1" si="62"/>
        <v>0</v>
      </c>
      <c r="BS25" s="2790">
        <f t="shared" ca="1" si="62"/>
        <v>0</v>
      </c>
      <c r="BT25" s="2790">
        <f t="shared" ca="1" si="62"/>
        <v>0</v>
      </c>
      <c r="BU25" s="2790">
        <f t="shared" ca="1" si="62"/>
        <v>0</v>
      </c>
      <c r="BV25" s="2790">
        <f t="shared" ca="1" si="62"/>
        <v>0</v>
      </c>
      <c r="BW25" s="2790">
        <f t="shared" ca="1" si="62"/>
        <v>0</v>
      </c>
      <c r="BX25" s="2790">
        <f t="shared" ca="1" si="62"/>
        <v>0</v>
      </c>
      <c r="BY25" s="2790">
        <f t="shared" ca="1" si="63"/>
        <v>0</v>
      </c>
      <c r="BZ25" s="2790">
        <f t="shared" ca="1" si="63"/>
        <v>0</v>
      </c>
      <c r="CA25" s="2790">
        <f t="shared" ca="1" si="63"/>
        <v>0</v>
      </c>
      <c r="CB25" s="2790">
        <f t="shared" ca="1" si="63"/>
        <v>0</v>
      </c>
      <c r="CC25" s="2790">
        <f t="shared" ca="1" si="63"/>
        <v>0</v>
      </c>
      <c r="CD25" s="2790">
        <f t="shared" ca="1" si="63"/>
        <v>0</v>
      </c>
      <c r="CE25" s="2790">
        <f t="shared" ca="1" si="63"/>
        <v>0</v>
      </c>
      <c r="CF25" s="2790">
        <f t="shared" ca="1" si="63"/>
        <v>0</v>
      </c>
      <c r="CG25" s="2790">
        <f t="shared" ca="1" si="63"/>
        <v>0</v>
      </c>
      <c r="CH25" s="2790">
        <f t="shared" ca="1" si="63"/>
        <v>0</v>
      </c>
      <c r="CI25" s="2790">
        <f t="shared" ca="1" si="64"/>
        <v>0</v>
      </c>
      <c r="CJ25" s="2790">
        <f t="shared" ca="1" si="64"/>
        <v>0</v>
      </c>
      <c r="CK25" s="2790">
        <f t="shared" ca="1" si="64"/>
        <v>0</v>
      </c>
      <c r="CL25" s="2790">
        <f t="shared" ca="1" si="64"/>
        <v>0</v>
      </c>
      <c r="CM25" s="2790">
        <f t="shared" ca="1" si="64"/>
        <v>0</v>
      </c>
      <c r="CN25" s="2790">
        <f t="shared" ca="1" si="64"/>
        <v>0</v>
      </c>
      <c r="CO25" s="2790">
        <f t="shared" ca="1" si="64"/>
        <v>0</v>
      </c>
      <c r="CP25" s="2790">
        <f t="shared" ca="1" si="64"/>
        <v>0</v>
      </c>
      <c r="CQ25" s="2790">
        <f t="shared" ca="1" si="64"/>
        <v>0</v>
      </c>
      <c r="CR25" s="2790">
        <f t="shared" ca="1" si="64"/>
        <v>0</v>
      </c>
      <c r="CS25" s="2790">
        <f t="shared" ca="1" si="65"/>
        <v>0</v>
      </c>
      <c r="CT25" s="2790">
        <f t="shared" ca="1" si="65"/>
        <v>0</v>
      </c>
      <c r="CU25" s="2790">
        <f t="shared" ca="1" si="65"/>
        <v>0</v>
      </c>
      <c r="CV25" s="2790">
        <f t="shared" ca="1" si="65"/>
        <v>0</v>
      </c>
      <c r="CW25" s="2790">
        <f t="shared" ca="1" si="65"/>
        <v>0</v>
      </c>
      <c r="CX25" s="2790">
        <f t="shared" ca="1" si="65"/>
        <v>0</v>
      </c>
      <c r="CY25" s="2790">
        <f t="shared" ca="1" si="65"/>
        <v>0</v>
      </c>
      <c r="CZ25" s="2790">
        <f t="shared" ca="1" si="65"/>
        <v>0</v>
      </c>
      <c r="DA25" s="2790">
        <f t="shared" ca="1" si="65"/>
        <v>0</v>
      </c>
      <c r="DB25" s="2790">
        <f t="shared" ca="1" si="65"/>
        <v>0</v>
      </c>
      <c r="DC25" s="2790">
        <f t="shared" ca="1" si="65"/>
        <v>0</v>
      </c>
      <c r="DD25" s="2790">
        <f t="shared" ca="1" si="65"/>
        <v>0</v>
      </c>
      <c r="DE25" s="2790">
        <f t="shared" ca="1" si="65"/>
        <v>0</v>
      </c>
      <c r="DF25" s="2790">
        <f t="shared" ca="1" si="65"/>
        <v>0</v>
      </c>
      <c r="DH25" s="596">
        <f t="shared" ca="1" si="32"/>
        <v>4.424096308929947</v>
      </c>
    </row>
    <row r="26" spans="1:112" s="6" customFormat="1">
      <c r="A26" s="586"/>
      <c r="B26" s="586"/>
      <c r="C26" s="587" t="s">
        <v>482</v>
      </c>
      <c r="D26" s="623" t="s">
        <v>373</v>
      </c>
      <c r="E26" s="599"/>
      <c r="G26" s="589">
        <f t="shared" ca="1" si="53"/>
        <v>0</v>
      </c>
      <c r="H26" s="589">
        <f t="shared" ca="1" si="53"/>
        <v>0</v>
      </c>
      <c r="I26" s="589">
        <f t="shared" ca="1" si="53"/>
        <v>0</v>
      </c>
      <c r="J26" s="589">
        <f t="shared" ca="1" si="53"/>
        <v>0</v>
      </c>
      <c r="K26" s="589">
        <f t="shared" ca="1" si="53"/>
        <v>0</v>
      </c>
      <c r="L26" s="589">
        <f t="shared" ca="1" si="53"/>
        <v>0</v>
      </c>
      <c r="M26" s="589">
        <f t="shared" ca="1" si="53"/>
        <v>0</v>
      </c>
      <c r="N26" s="589">
        <f t="shared" ca="1" si="53"/>
        <v>7.4554183878892841</v>
      </c>
      <c r="O26" s="589">
        <f t="shared" ca="1" si="53"/>
        <v>0</v>
      </c>
      <c r="P26" s="589">
        <f t="shared" ca="1" si="53"/>
        <v>0</v>
      </c>
      <c r="Q26" s="590">
        <f t="shared" ca="1" si="54"/>
        <v>7.4554183878892841</v>
      </c>
      <c r="S26" s="591">
        <f t="shared" ca="1" si="55"/>
        <v>0</v>
      </c>
      <c r="T26" s="591">
        <f t="shared" ca="1" si="55"/>
        <v>0</v>
      </c>
      <c r="U26" s="591">
        <f t="shared" ca="1" si="55"/>
        <v>0</v>
      </c>
      <c r="V26" s="591">
        <f t="shared" ca="1" si="55"/>
        <v>-7.4554183878892841</v>
      </c>
      <c r="W26" s="591">
        <f t="shared" ca="1" si="55"/>
        <v>0</v>
      </c>
      <c r="X26" s="591">
        <f t="shared" ca="1" si="55"/>
        <v>0</v>
      </c>
      <c r="Y26" s="591">
        <f t="shared" ca="1" si="55"/>
        <v>0</v>
      </c>
      <c r="Z26" s="591">
        <f t="shared" ca="1" si="55"/>
        <v>0</v>
      </c>
      <c r="AA26" s="591">
        <f t="shared" ca="1" si="55"/>
        <v>0</v>
      </c>
      <c r="AB26" s="591">
        <f t="shared" ca="1" si="55"/>
        <v>0</v>
      </c>
      <c r="AC26" s="591">
        <f t="shared" ca="1" si="55"/>
        <v>0</v>
      </c>
      <c r="AD26" s="591">
        <f t="shared" ca="1" si="55"/>
        <v>0</v>
      </c>
      <c r="AE26" s="591">
        <f t="shared" ca="1" si="55"/>
        <v>0</v>
      </c>
      <c r="AF26" s="591">
        <f t="shared" ca="1" si="55"/>
        <v>0</v>
      </c>
      <c r="AG26" s="591">
        <f t="shared" ca="1" si="55"/>
        <v>0</v>
      </c>
      <c r="AH26" s="591">
        <f t="shared" ca="1" si="55"/>
        <v>0</v>
      </c>
      <c r="AI26" s="591">
        <f t="shared" ca="1" si="55"/>
        <v>0</v>
      </c>
      <c r="AJ26" s="591">
        <f t="shared" ca="1" si="55"/>
        <v>0</v>
      </c>
      <c r="AK26" s="592">
        <f t="shared" ca="1" si="56"/>
        <v>-7.4554183878892841</v>
      </c>
      <c r="AM26" s="593">
        <f t="shared" ca="1" si="57"/>
        <v>0</v>
      </c>
      <c r="AN26" s="593">
        <f t="shared" ca="1" si="57"/>
        <v>0</v>
      </c>
      <c r="AO26" s="593">
        <f t="shared" ca="1" si="57"/>
        <v>0</v>
      </c>
      <c r="AP26" s="593">
        <f t="shared" ca="1" si="57"/>
        <v>0</v>
      </c>
      <c r="AQ26" s="593">
        <f t="shared" ca="1" si="57"/>
        <v>0</v>
      </c>
      <c r="AR26" s="593">
        <f t="shared" ca="1" si="57"/>
        <v>0</v>
      </c>
      <c r="AS26" s="593">
        <f t="shared" ca="1" si="57"/>
        <v>0</v>
      </c>
      <c r="AT26" s="593">
        <f t="shared" ca="1" si="57"/>
        <v>0</v>
      </c>
      <c r="AU26" s="593">
        <f t="shared" ca="1" si="57"/>
        <v>0</v>
      </c>
      <c r="AV26" s="593">
        <f t="shared" ca="1" si="57"/>
        <v>0</v>
      </c>
      <c r="AW26" s="593">
        <f t="shared" ca="1" si="57"/>
        <v>0</v>
      </c>
      <c r="AX26" s="593">
        <f t="shared" ca="1" si="57"/>
        <v>0</v>
      </c>
      <c r="AY26" s="593">
        <f t="shared" ca="1" si="57"/>
        <v>0</v>
      </c>
      <c r="AZ26" s="593">
        <f t="shared" ca="1" si="57"/>
        <v>0</v>
      </c>
      <c r="BA26" s="593">
        <f t="shared" ca="1" si="57"/>
        <v>0</v>
      </c>
      <c r="BB26" s="593">
        <f t="shared" ca="1" si="57"/>
        <v>0</v>
      </c>
      <c r="BC26" s="593">
        <f t="shared" ca="1" si="58"/>
        <v>0</v>
      </c>
      <c r="BD26" s="593">
        <f t="shared" ca="1" si="58"/>
        <v>0</v>
      </c>
      <c r="BE26" s="593">
        <f t="shared" ca="1" si="58"/>
        <v>0</v>
      </c>
      <c r="BF26" s="594">
        <f t="shared" ca="1" si="59"/>
        <v>0</v>
      </c>
      <c r="BH26" s="3471">
        <f t="shared" ca="1" si="60"/>
        <v>0</v>
      </c>
      <c r="BI26" s="3471">
        <f t="shared" ca="1" si="60"/>
        <v>0</v>
      </c>
      <c r="BJ26" s="3460">
        <f t="shared" ca="1" si="61"/>
        <v>0</v>
      </c>
      <c r="BL26" s="595">
        <f t="shared" ca="1" si="9"/>
        <v>0</v>
      </c>
      <c r="BM26" s="595"/>
      <c r="BN26" s="413"/>
      <c r="BO26" s="2789">
        <f t="shared" ca="1" si="62"/>
        <v>0</v>
      </c>
      <c r="BP26" s="2790">
        <f t="shared" ca="1" si="62"/>
        <v>0</v>
      </c>
      <c r="BQ26" s="2790">
        <f t="shared" ca="1" si="62"/>
        <v>0</v>
      </c>
      <c r="BR26" s="2790">
        <f t="shared" ca="1" si="62"/>
        <v>0</v>
      </c>
      <c r="BS26" s="2790">
        <f t="shared" ca="1" si="62"/>
        <v>0</v>
      </c>
      <c r="BT26" s="2790">
        <f t="shared" ca="1" si="62"/>
        <v>0</v>
      </c>
      <c r="BU26" s="2790">
        <f t="shared" ca="1" si="62"/>
        <v>0</v>
      </c>
      <c r="BV26" s="2790">
        <f t="shared" ca="1" si="62"/>
        <v>0</v>
      </c>
      <c r="BW26" s="2790">
        <f t="shared" ca="1" si="62"/>
        <v>0</v>
      </c>
      <c r="BX26" s="2790">
        <f t="shared" ca="1" si="62"/>
        <v>0</v>
      </c>
      <c r="BY26" s="2790">
        <f t="shared" ca="1" si="63"/>
        <v>0</v>
      </c>
      <c r="BZ26" s="2790">
        <f t="shared" ca="1" si="63"/>
        <v>0</v>
      </c>
      <c r="CA26" s="2790">
        <f t="shared" ca="1" si="63"/>
        <v>0</v>
      </c>
      <c r="CB26" s="2790">
        <f t="shared" ca="1" si="63"/>
        <v>0</v>
      </c>
      <c r="CC26" s="2790">
        <f t="shared" ca="1" si="63"/>
        <v>0</v>
      </c>
      <c r="CD26" s="2790">
        <f t="shared" ca="1" si="63"/>
        <v>0</v>
      </c>
      <c r="CE26" s="2790">
        <f t="shared" ca="1" si="63"/>
        <v>0</v>
      </c>
      <c r="CF26" s="2790">
        <f t="shared" ca="1" si="63"/>
        <v>0</v>
      </c>
      <c r="CG26" s="2790">
        <f t="shared" ca="1" si="63"/>
        <v>0</v>
      </c>
      <c r="CH26" s="2790">
        <f t="shared" ca="1" si="63"/>
        <v>0</v>
      </c>
      <c r="CI26" s="2790">
        <f t="shared" ca="1" si="64"/>
        <v>0</v>
      </c>
      <c r="CJ26" s="2790">
        <f t="shared" ca="1" si="64"/>
        <v>0</v>
      </c>
      <c r="CK26" s="2790">
        <f t="shared" ca="1" si="64"/>
        <v>0</v>
      </c>
      <c r="CL26" s="2790">
        <f t="shared" ca="1" si="64"/>
        <v>0</v>
      </c>
      <c r="CM26" s="2790">
        <f t="shared" ca="1" si="64"/>
        <v>0</v>
      </c>
      <c r="CN26" s="2790">
        <f t="shared" ca="1" si="64"/>
        <v>0</v>
      </c>
      <c r="CO26" s="2790">
        <f t="shared" ca="1" si="64"/>
        <v>0</v>
      </c>
      <c r="CP26" s="2790">
        <f t="shared" ca="1" si="64"/>
        <v>0</v>
      </c>
      <c r="CQ26" s="2790">
        <f t="shared" ca="1" si="64"/>
        <v>0</v>
      </c>
      <c r="CR26" s="2790">
        <f t="shared" ca="1" si="64"/>
        <v>0</v>
      </c>
      <c r="CS26" s="2790">
        <f t="shared" ca="1" si="65"/>
        <v>0</v>
      </c>
      <c r="CT26" s="2790">
        <f t="shared" ca="1" si="65"/>
        <v>0</v>
      </c>
      <c r="CU26" s="2790">
        <f t="shared" ca="1" si="65"/>
        <v>1.9673358041962239</v>
      </c>
      <c r="CV26" s="2790">
        <f t="shared" ca="1" si="65"/>
        <v>1.6908888903732896E-3</v>
      </c>
      <c r="CW26" s="2790">
        <f t="shared" ca="1" si="65"/>
        <v>4.9921481525306644E-3</v>
      </c>
      <c r="CX26" s="2790">
        <f t="shared" ca="1" si="65"/>
        <v>0</v>
      </c>
      <c r="CY26" s="2790">
        <f t="shared" ca="1" si="65"/>
        <v>0</v>
      </c>
      <c r="CZ26" s="2790">
        <f t="shared" ca="1" si="65"/>
        <v>0</v>
      </c>
      <c r="DA26" s="2790">
        <f t="shared" ca="1" si="65"/>
        <v>0</v>
      </c>
      <c r="DB26" s="2790">
        <f t="shared" ca="1" si="65"/>
        <v>0</v>
      </c>
      <c r="DC26" s="2790">
        <f t="shared" ca="1" si="65"/>
        <v>0</v>
      </c>
      <c r="DD26" s="2790">
        <f t="shared" ca="1" si="65"/>
        <v>0</v>
      </c>
      <c r="DE26" s="2790">
        <f t="shared" ca="1" si="65"/>
        <v>0</v>
      </c>
      <c r="DF26" s="2790">
        <f t="shared" ca="1" si="65"/>
        <v>0</v>
      </c>
      <c r="DH26" s="596">
        <f t="shared" ca="1" si="32"/>
        <v>1.9740188412391277</v>
      </c>
    </row>
    <row r="27" spans="1:112" s="6" customFormat="1">
      <c r="A27" s="597"/>
      <c r="B27" s="597"/>
      <c r="C27" s="598" t="s">
        <v>483</v>
      </c>
      <c r="D27" s="624" t="s">
        <v>484</v>
      </c>
      <c r="E27" s="599"/>
      <c r="G27" s="600">
        <f t="shared" ca="1" si="53"/>
        <v>0</v>
      </c>
      <c r="H27" s="600">
        <f t="shared" ca="1" si="53"/>
        <v>0</v>
      </c>
      <c r="I27" s="600">
        <f t="shared" ca="1" si="53"/>
        <v>0</v>
      </c>
      <c r="J27" s="600">
        <f t="shared" ca="1" si="53"/>
        <v>0</v>
      </c>
      <c r="K27" s="600">
        <f t="shared" ca="1" si="53"/>
        <v>0</v>
      </c>
      <c r="L27" s="600">
        <f t="shared" ca="1" si="53"/>
        <v>0</v>
      </c>
      <c r="M27" s="600">
        <f t="shared" ca="1" si="53"/>
        <v>0</v>
      </c>
      <c r="N27" s="600">
        <f t="shared" ca="1" si="53"/>
        <v>0</v>
      </c>
      <c r="O27" s="600">
        <f t="shared" ca="1" si="53"/>
        <v>0</v>
      </c>
      <c r="P27" s="600">
        <f t="shared" ca="1" si="53"/>
        <v>0</v>
      </c>
      <c r="Q27" s="601">
        <f t="shared" ca="1" si="54"/>
        <v>0</v>
      </c>
      <c r="S27" s="602">
        <f t="shared" ca="1" si="55"/>
        <v>0</v>
      </c>
      <c r="T27" s="602">
        <f t="shared" ca="1" si="55"/>
        <v>0</v>
      </c>
      <c r="U27" s="602">
        <f t="shared" ca="1" si="55"/>
        <v>0</v>
      </c>
      <c r="V27" s="602">
        <f t="shared" ca="1" si="55"/>
        <v>0</v>
      </c>
      <c r="W27" s="602">
        <f t="shared" ca="1" si="55"/>
        <v>0</v>
      </c>
      <c r="X27" s="602">
        <f t="shared" ca="1" si="55"/>
        <v>0</v>
      </c>
      <c r="Y27" s="602">
        <f t="shared" ca="1" si="55"/>
        <v>0</v>
      </c>
      <c r="Z27" s="602">
        <f t="shared" ca="1" si="55"/>
        <v>0</v>
      </c>
      <c r="AA27" s="602">
        <f t="shared" ca="1" si="55"/>
        <v>0</v>
      </c>
      <c r="AB27" s="602">
        <f t="shared" ca="1" si="55"/>
        <v>0</v>
      </c>
      <c r="AC27" s="602">
        <f t="shared" ca="1" si="55"/>
        <v>0</v>
      </c>
      <c r="AD27" s="602">
        <f t="shared" ca="1" si="55"/>
        <v>0</v>
      </c>
      <c r="AE27" s="602">
        <f t="shared" ca="1" si="55"/>
        <v>0</v>
      </c>
      <c r="AF27" s="602">
        <f t="shared" ca="1" si="55"/>
        <v>0</v>
      </c>
      <c r="AG27" s="602">
        <f t="shared" ca="1" si="55"/>
        <v>0</v>
      </c>
      <c r="AH27" s="602">
        <f t="shared" ca="1" si="55"/>
        <v>0</v>
      </c>
      <c r="AI27" s="602">
        <f t="shared" ca="1" si="55"/>
        <v>0</v>
      </c>
      <c r="AJ27" s="602">
        <f t="shared" ca="1" si="55"/>
        <v>0</v>
      </c>
      <c r="AK27" s="603">
        <f t="shared" ca="1" si="56"/>
        <v>0</v>
      </c>
      <c r="AM27" s="604">
        <f t="shared" ca="1" si="57"/>
        <v>0</v>
      </c>
      <c r="AN27" s="604">
        <f t="shared" ca="1" si="57"/>
        <v>0</v>
      </c>
      <c r="AO27" s="604">
        <f t="shared" ca="1" si="57"/>
        <v>0</v>
      </c>
      <c r="AP27" s="604">
        <f t="shared" ca="1" si="57"/>
        <v>0</v>
      </c>
      <c r="AQ27" s="604">
        <f t="shared" ca="1" si="57"/>
        <v>0</v>
      </c>
      <c r="AR27" s="604">
        <f t="shared" ca="1" si="57"/>
        <v>0</v>
      </c>
      <c r="AS27" s="604">
        <f t="shared" ca="1" si="57"/>
        <v>0</v>
      </c>
      <c r="AT27" s="604">
        <f t="shared" ca="1" si="57"/>
        <v>0</v>
      </c>
      <c r="AU27" s="604">
        <f t="shared" ca="1" si="57"/>
        <v>0</v>
      </c>
      <c r="AV27" s="604">
        <f t="shared" ca="1" si="57"/>
        <v>0</v>
      </c>
      <c r="AW27" s="604">
        <f t="shared" ca="1" si="57"/>
        <v>0</v>
      </c>
      <c r="AX27" s="604">
        <f t="shared" ca="1" si="57"/>
        <v>0</v>
      </c>
      <c r="AY27" s="604">
        <f t="shared" ca="1" si="57"/>
        <v>0</v>
      </c>
      <c r="AZ27" s="604">
        <f t="shared" ca="1" si="57"/>
        <v>0</v>
      </c>
      <c r="BA27" s="604">
        <f t="shared" ca="1" si="57"/>
        <v>0</v>
      </c>
      <c r="BB27" s="604">
        <f t="shared" ca="1" si="57"/>
        <v>0</v>
      </c>
      <c r="BC27" s="604">
        <f t="shared" ca="1" si="58"/>
        <v>0</v>
      </c>
      <c r="BD27" s="604">
        <f t="shared" ca="1" si="58"/>
        <v>0</v>
      </c>
      <c r="BE27" s="604">
        <f t="shared" ca="1" si="58"/>
        <v>0</v>
      </c>
      <c r="BF27" s="605">
        <f t="shared" ca="1" si="59"/>
        <v>0</v>
      </c>
      <c r="BH27" s="3472">
        <f t="shared" ca="1" si="60"/>
        <v>0</v>
      </c>
      <c r="BI27" s="3472">
        <f t="shared" ca="1" si="60"/>
        <v>0</v>
      </c>
      <c r="BJ27" s="3461">
        <f t="shared" ca="1" si="61"/>
        <v>0</v>
      </c>
      <c r="BL27" s="606">
        <f t="shared" ca="1" si="9"/>
        <v>0</v>
      </c>
      <c r="BM27" s="606"/>
      <c r="BN27" s="413"/>
      <c r="BO27" s="2789">
        <f t="shared" ca="1" si="62"/>
        <v>0</v>
      </c>
      <c r="BP27" s="2790">
        <f t="shared" ca="1" si="62"/>
        <v>0</v>
      </c>
      <c r="BQ27" s="2790">
        <f t="shared" ca="1" si="62"/>
        <v>0</v>
      </c>
      <c r="BR27" s="2790">
        <f t="shared" ca="1" si="62"/>
        <v>0</v>
      </c>
      <c r="BS27" s="2790">
        <f t="shared" ca="1" si="62"/>
        <v>0</v>
      </c>
      <c r="BT27" s="2790">
        <f t="shared" ca="1" si="62"/>
        <v>0</v>
      </c>
      <c r="BU27" s="2790">
        <f t="shared" ca="1" si="62"/>
        <v>0</v>
      </c>
      <c r="BV27" s="2790">
        <f t="shared" ca="1" si="62"/>
        <v>0</v>
      </c>
      <c r="BW27" s="2790">
        <f t="shared" ca="1" si="62"/>
        <v>0</v>
      </c>
      <c r="BX27" s="2790">
        <f t="shared" ca="1" si="62"/>
        <v>0</v>
      </c>
      <c r="BY27" s="2790">
        <f t="shared" ca="1" si="63"/>
        <v>0</v>
      </c>
      <c r="BZ27" s="2790">
        <f t="shared" ca="1" si="63"/>
        <v>0</v>
      </c>
      <c r="CA27" s="2790">
        <f t="shared" ca="1" si="63"/>
        <v>0</v>
      </c>
      <c r="CB27" s="2790">
        <f t="shared" ca="1" si="63"/>
        <v>0</v>
      </c>
      <c r="CC27" s="2790">
        <f t="shared" ca="1" si="63"/>
        <v>0</v>
      </c>
      <c r="CD27" s="2790">
        <f t="shared" ca="1" si="63"/>
        <v>0</v>
      </c>
      <c r="CE27" s="2790">
        <f t="shared" ca="1" si="63"/>
        <v>0</v>
      </c>
      <c r="CF27" s="2790">
        <f t="shared" ca="1" si="63"/>
        <v>0</v>
      </c>
      <c r="CG27" s="2790">
        <f t="shared" ca="1" si="63"/>
        <v>0</v>
      </c>
      <c r="CH27" s="2790">
        <f t="shared" ca="1" si="63"/>
        <v>0</v>
      </c>
      <c r="CI27" s="2790">
        <f t="shared" ca="1" si="64"/>
        <v>0</v>
      </c>
      <c r="CJ27" s="2790">
        <f t="shared" ca="1" si="64"/>
        <v>0</v>
      </c>
      <c r="CK27" s="2790">
        <f t="shared" ca="1" si="64"/>
        <v>0</v>
      </c>
      <c r="CL27" s="2790">
        <f t="shared" ca="1" si="64"/>
        <v>0</v>
      </c>
      <c r="CM27" s="2790">
        <f t="shared" ca="1" si="64"/>
        <v>0</v>
      </c>
      <c r="CN27" s="2790">
        <f t="shared" ca="1" si="64"/>
        <v>0</v>
      </c>
      <c r="CO27" s="2790">
        <f t="shared" ca="1" si="64"/>
        <v>0</v>
      </c>
      <c r="CP27" s="2790">
        <f t="shared" ca="1" si="64"/>
        <v>0</v>
      </c>
      <c r="CQ27" s="2790">
        <f t="shared" ca="1" si="64"/>
        <v>0</v>
      </c>
      <c r="CR27" s="2790">
        <f t="shared" ca="1" si="64"/>
        <v>0</v>
      </c>
      <c r="CS27" s="2790">
        <f t="shared" ca="1" si="65"/>
        <v>0</v>
      </c>
      <c r="CT27" s="2790">
        <f t="shared" ca="1" si="65"/>
        <v>0</v>
      </c>
      <c r="CU27" s="2790">
        <f t="shared" ca="1" si="65"/>
        <v>0</v>
      </c>
      <c r="CV27" s="2790">
        <f t="shared" ca="1" si="65"/>
        <v>0</v>
      </c>
      <c r="CW27" s="2790">
        <f t="shared" ca="1" si="65"/>
        <v>0</v>
      </c>
      <c r="CX27" s="2790">
        <f t="shared" ca="1" si="65"/>
        <v>0</v>
      </c>
      <c r="CY27" s="2790">
        <f t="shared" ca="1" si="65"/>
        <v>0</v>
      </c>
      <c r="CZ27" s="2790">
        <f t="shared" ca="1" si="65"/>
        <v>0</v>
      </c>
      <c r="DA27" s="2790">
        <f t="shared" ca="1" si="65"/>
        <v>0</v>
      </c>
      <c r="DB27" s="2790">
        <f t="shared" ca="1" si="65"/>
        <v>0</v>
      </c>
      <c r="DC27" s="2790">
        <f t="shared" ca="1" si="65"/>
        <v>0</v>
      </c>
      <c r="DD27" s="2790">
        <f t="shared" ca="1" si="65"/>
        <v>0</v>
      </c>
      <c r="DE27" s="2790">
        <f t="shared" ca="1" si="65"/>
        <v>0</v>
      </c>
      <c r="DF27" s="2790">
        <f t="shared" ca="1" si="65"/>
        <v>0</v>
      </c>
      <c r="DH27" s="596">
        <f t="shared" ca="1" si="32"/>
        <v>0</v>
      </c>
    </row>
    <row r="28" spans="1:112" s="6" customFormat="1">
      <c r="A28" s="607"/>
      <c r="B28" s="607"/>
      <c r="C28" s="587"/>
      <c r="D28" s="623" t="s">
        <v>485</v>
      </c>
      <c r="E28" s="599"/>
      <c r="G28" s="590">
        <f ca="1">SUM(G26:G27)</f>
        <v>0</v>
      </c>
      <c r="H28" s="590">
        <f t="shared" ref="H28:P28" ca="1" si="66">SUM(H26:H27)</f>
        <v>0</v>
      </c>
      <c r="I28" s="590">
        <f t="shared" ca="1" si="66"/>
        <v>0</v>
      </c>
      <c r="J28" s="590">
        <f t="shared" ca="1" si="66"/>
        <v>0</v>
      </c>
      <c r="K28" s="590">
        <f t="shared" ca="1" si="66"/>
        <v>0</v>
      </c>
      <c r="L28" s="590">
        <f t="shared" ca="1" si="66"/>
        <v>0</v>
      </c>
      <c r="M28" s="590">
        <f t="shared" ca="1" si="66"/>
        <v>0</v>
      </c>
      <c r="N28" s="590">
        <f ca="1">SUM(N26:N27)</f>
        <v>7.4554183878892841</v>
      </c>
      <c r="O28" s="590">
        <f ca="1">SUM(O26:O27)</f>
        <v>0</v>
      </c>
      <c r="P28" s="590">
        <f t="shared" ca="1" si="66"/>
        <v>0</v>
      </c>
      <c r="Q28" s="590">
        <f t="shared" ca="1" si="54"/>
        <v>7.4554183878892841</v>
      </c>
      <c r="S28" s="592">
        <f t="shared" ref="S28:AJ28" ca="1" si="67">SUM(S26:S27)</f>
        <v>0</v>
      </c>
      <c r="T28" s="592">
        <f t="shared" ca="1" si="67"/>
        <v>0</v>
      </c>
      <c r="U28" s="592">
        <f t="shared" ca="1" si="67"/>
        <v>0</v>
      </c>
      <c r="V28" s="592">
        <f t="shared" ca="1" si="67"/>
        <v>-7.4554183878892841</v>
      </c>
      <c r="W28" s="592">
        <f t="shared" ca="1" si="67"/>
        <v>0</v>
      </c>
      <c r="X28" s="592">
        <f t="shared" ca="1" si="67"/>
        <v>0</v>
      </c>
      <c r="Y28" s="592">
        <f t="shared" ca="1" si="67"/>
        <v>0</v>
      </c>
      <c r="Z28" s="592">
        <f t="shared" ca="1" si="67"/>
        <v>0</v>
      </c>
      <c r="AA28" s="592">
        <f t="shared" ca="1" si="67"/>
        <v>0</v>
      </c>
      <c r="AB28" s="592">
        <f t="shared" ca="1" si="67"/>
        <v>0</v>
      </c>
      <c r="AC28" s="592">
        <f t="shared" ca="1" si="67"/>
        <v>0</v>
      </c>
      <c r="AD28" s="592">
        <f t="shared" ca="1" si="67"/>
        <v>0</v>
      </c>
      <c r="AE28" s="592">
        <f ca="1">SUM(AE26:AE27)</f>
        <v>0</v>
      </c>
      <c r="AF28" s="592">
        <f t="shared" ca="1" si="67"/>
        <v>0</v>
      </c>
      <c r="AG28" s="592">
        <f t="shared" ca="1" si="67"/>
        <v>0</v>
      </c>
      <c r="AH28" s="592">
        <f ca="1">SUM(AH26:AH27)</f>
        <v>0</v>
      </c>
      <c r="AI28" s="592">
        <f t="shared" ca="1" si="67"/>
        <v>0</v>
      </c>
      <c r="AJ28" s="592">
        <f t="shared" ca="1" si="67"/>
        <v>0</v>
      </c>
      <c r="AK28" s="592">
        <f t="shared" ca="1" si="56"/>
        <v>-7.4554183878892841</v>
      </c>
      <c r="AM28" s="608">
        <f t="shared" ref="AM28:BE28" ca="1" si="68">SUM(AM26:AM27)</f>
        <v>0</v>
      </c>
      <c r="AN28" s="608">
        <f t="shared" ca="1" si="68"/>
        <v>0</v>
      </c>
      <c r="AO28" s="608">
        <f t="shared" ca="1" si="68"/>
        <v>0</v>
      </c>
      <c r="AP28" s="608">
        <f t="shared" ca="1" si="68"/>
        <v>0</v>
      </c>
      <c r="AQ28" s="608">
        <f t="shared" ca="1" si="68"/>
        <v>0</v>
      </c>
      <c r="AR28" s="608">
        <f t="shared" ca="1" si="68"/>
        <v>0</v>
      </c>
      <c r="AS28" s="608">
        <f t="shared" ca="1" si="68"/>
        <v>0</v>
      </c>
      <c r="AT28" s="608">
        <f t="shared" ca="1" si="68"/>
        <v>0</v>
      </c>
      <c r="AU28" s="608">
        <f t="shared" ca="1" si="68"/>
        <v>0</v>
      </c>
      <c r="AV28" s="608">
        <f t="shared" ca="1" si="68"/>
        <v>0</v>
      </c>
      <c r="AW28" s="608">
        <f t="shared" ca="1" si="68"/>
        <v>0</v>
      </c>
      <c r="AX28" s="608">
        <f t="shared" ca="1" si="68"/>
        <v>0</v>
      </c>
      <c r="AY28" s="608">
        <f t="shared" ca="1" si="68"/>
        <v>0</v>
      </c>
      <c r="AZ28" s="608">
        <f t="shared" ca="1" si="68"/>
        <v>0</v>
      </c>
      <c r="BA28" s="608">
        <f t="shared" ca="1" si="68"/>
        <v>0</v>
      </c>
      <c r="BB28" s="608">
        <f t="shared" ca="1" si="68"/>
        <v>0</v>
      </c>
      <c r="BC28" s="608">
        <f t="shared" ca="1" si="68"/>
        <v>0</v>
      </c>
      <c r="BD28" s="608">
        <f ca="1">SUM(BD26:BD27)</f>
        <v>0</v>
      </c>
      <c r="BE28" s="608">
        <f t="shared" ca="1" si="68"/>
        <v>0</v>
      </c>
      <c r="BF28" s="594">
        <f t="shared" ca="1" si="59"/>
        <v>0</v>
      </c>
      <c r="BH28" s="3460">
        <f ca="1">SUM(BH26:BH27)</f>
        <v>0</v>
      </c>
      <c r="BI28" s="3460">
        <f ca="1">SUM(BI26:BI27)</f>
        <v>0</v>
      </c>
      <c r="BJ28" s="3460">
        <f t="shared" ca="1" si="61"/>
        <v>0</v>
      </c>
      <c r="BL28" s="595">
        <f t="shared" ca="1" si="9"/>
        <v>0</v>
      </c>
      <c r="BM28" s="595"/>
      <c r="BN28" s="413"/>
      <c r="BO28" s="2789">
        <f t="shared" ref="BO28:DF28" ca="1" si="69">SUM(BO26:BO27)</f>
        <v>0</v>
      </c>
      <c r="BP28" s="2790">
        <f t="shared" ca="1" si="69"/>
        <v>0</v>
      </c>
      <c r="BQ28" s="2790">
        <f t="shared" ca="1" si="69"/>
        <v>0</v>
      </c>
      <c r="BR28" s="2790">
        <f t="shared" ca="1" si="69"/>
        <v>0</v>
      </c>
      <c r="BS28" s="2790">
        <f t="shared" ca="1" si="69"/>
        <v>0</v>
      </c>
      <c r="BT28" s="2790">
        <f t="shared" ca="1" si="69"/>
        <v>0</v>
      </c>
      <c r="BU28" s="2790">
        <f t="shared" ca="1" si="69"/>
        <v>0</v>
      </c>
      <c r="BV28" s="2790">
        <f t="shared" ca="1" si="69"/>
        <v>0</v>
      </c>
      <c r="BW28" s="2790">
        <f t="shared" ca="1" si="69"/>
        <v>0</v>
      </c>
      <c r="BX28" s="2790">
        <f t="shared" ca="1" si="69"/>
        <v>0</v>
      </c>
      <c r="BY28" s="2790">
        <f t="shared" ca="1" si="69"/>
        <v>0</v>
      </c>
      <c r="BZ28" s="2790">
        <f t="shared" ca="1" si="69"/>
        <v>0</v>
      </c>
      <c r="CA28" s="2790">
        <f t="shared" ca="1" si="69"/>
        <v>0</v>
      </c>
      <c r="CB28" s="2790">
        <f t="shared" ca="1" si="69"/>
        <v>0</v>
      </c>
      <c r="CC28" s="2790">
        <f t="shared" ca="1" si="69"/>
        <v>0</v>
      </c>
      <c r="CD28" s="2790">
        <f t="shared" ca="1" si="69"/>
        <v>0</v>
      </c>
      <c r="CE28" s="2790">
        <f t="shared" ca="1" si="69"/>
        <v>0</v>
      </c>
      <c r="CF28" s="2790">
        <f t="shared" ca="1" si="69"/>
        <v>0</v>
      </c>
      <c r="CG28" s="2790">
        <f t="shared" ca="1" si="69"/>
        <v>0</v>
      </c>
      <c r="CH28" s="2790">
        <f t="shared" ca="1" si="69"/>
        <v>0</v>
      </c>
      <c r="CI28" s="2790">
        <f t="shared" ca="1" si="69"/>
        <v>0</v>
      </c>
      <c r="CJ28" s="2790">
        <f t="shared" ca="1" si="69"/>
        <v>0</v>
      </c>
      <c r="CK28" s="2790">
        <f t="shared" ca="1" si="69"/>
        <v>0</v>
      </c>
      <c r="CL28" s="2790">
        <f t="shared" ca="1" si="69"/>
        <v>0</v>
      </c>
      <c r="CM28" s="2790">
        <f t="shared" ca="1" si="69"/>
        <v>0</v>
      </c>
      <c r="CN28" s="2790">
        <f t="shared" ca="1" si="69"/>
        <v>0</v>
      </c>
      <c r="CO28" s="2790">
        <f t="shared" ca="1" si="69"/>
        <v>0</v>
      </c>
      <c r="CP28" s="2790">
        <f t="shared" ca="1" si="69"/>
        <v>0</v>
      </c>
      <c r="CQ28" s="2790">
        <f t="shared" ca="1" si="69"/>
        <v>0</v>
      </c>
      <c r="CR28" s="2790">
        <f t="shared" ca="1" si="69"/>
        <v>0</v>
      </c>
      <c r="CS28" s="2790">
        <f t="shared" ca="1" si="69"/>
        <v>0</v>
      </c>
      <c r="CT28" s="2790">
        <f t="shared" ca="1" si="69"/>
        <v>0</v>
      </c>
      <c r="CU28" s="2790">
        <f t="shared" ca="1" si="69"/>
        <v>1.9673358041962239</v>
      </c>
      <c r="CV28" s="2790">
        <f t="shared" ca="1" si="69"/>
        <v>1.6908888903732896E-3</v>
      </c>
      <c r="CW28" s="2790">
        <f t="shared" ca="1" si="69"/>
        <v>4.9921481525306644E-3</v>
      </c>
      <c r="CX28" s="2790">
        <f t="shared" ca="1" si="69"/>
        <v>0</v>
      </c>
      <c r="CY28" s="2790">
        <f t="shared" ca="1" si="69"/>
        <v>0</v>
      </c>
      <c r="CZ28" s="2790">
        <f t="shared" ca="1" si="69"/>
        <v>0</v>
      </c>
      <c r="DA28" s="2790">
        <f t="shared" ca="1" si="69"/>
        <v>0</v>
      </c>
      <c r="DB28" s="2790">
        <f t="shared" ca="1" si="69"/>
        <v>0</v>
      </c>
      <c r="DC28" s="2790">
        <f t="shared" ca="1" si="69"/>
        <v>0</v>
      </c>
      <c r="DD28" s="2790">
        <f t="shared" ca="1" si="69"/>
        <v>0</v>
      </c>
      <c r="DE28" s="2790">
        <f t="shared" ca="1" si="69"/>
        <v>0</v>
      </c>
      <c r="DF28" s="2790">
        <f t="shared" ca="1" si="69"/>
        <v>0</v>
      </c>
      <c r="DH28" s="596">
        <f t="shared" ca="1" si="32"/>
        <v>1.9740188412391277</v>
      </c>
    </row>
    <row r="29" spans="1:112" s="6" customFormat="1">
      <c r="A29" s="586"/>
      <c r="B29" s="586"/>
      <c r="C29" s="587" t="s">
        <v>486</v>
      </c>
      <c r="D29" s="623" t="s">
        <v>374</v>
      </c>
      <c r="E29" s="599"/>
      <c r="G29" s="589">
        <f t="shared" ref="G29:P30" ca="1" si="70">IFERROR(INDEX(INDIRECT($C29&amp;".Outputs["&amp;this.Year&amp;"]"), MATCH(G$5, INDIRECT($C29&amp;".Outputs[Vector]"), 0)), 0)</f>
        <v>0</v>
      </c>
      <c r="H29" s="589">
        <f t="shared" ca="1" si="70"/>
        <v>0</v>
      </c>
      <c r="I29" s="589">
        <f t="shared" ca="1" si="70"/>
        <v>0</v>
      </c>
      <c r="J29" s="589">
        <f t="shared" ca="1" si="70"/>
        <v>0</v>
      </c>
      <c r="K29" s="589">
        <f t="shared" ca="1" si="70"/>
        <v>0</v>
      </c>
      <c r="L29" s="589">
        <f t="shared" ca="1" si="70"/>
        <v>0</v>
      </c>
      <c r="M29" s="589">
        <f t="shared" ca="1" si="70"/>
        <v>0</v>
      </c>
      <c r="N29" s="589">
        <f t="shared" ca="1" si="70"/>
        <v>0</v>
      </c>
      <c r="O29" s="589">
        <f t="shared" ca="1" si="70"/>
        <v>0</v>
      </c>
      <c r="P29" s="589">
        <f t="shared" ca="1" si="70"/>
        <v>0</v>
      </c>
      <c r="Q29" s="590">
        <f t="shared" ca="1" si="54"/>
        <v>0</v>
      </c>
      <c r="S29" s="591">
        <f t="shared" ca="1" si="55"/>
        <v>0</v>
      </c>
      <c r="T29" s="591">
        <f t="shared" ca="1" si="55"/>
        <v>0</v>
      </c>
      <c r="U29" s="591">
        <f t="shared" ca="1" si="55"/>
        <v>0</v>
      </c>
      <c r="V29" s="591">
        <f t="shared" ca="1" si="55"/>
        <v>0</v>
      </c>
      <c r="W29" s="591">
        <f t="shared" ca="1" si="55"/>
        <v>0</v>
      </c>
      <c r="X29" s="591">
        <f t="shared" ca="1" si="55"/>
        <v>0</v>
      </c>
      <c r="Y29" s="591">
        <f t="shared" ca="1" si="55"/>
        <v>0</v>
      </c>
      <c r="Z29" s="591">
        <f t="shared" ca="1" si="55"/>
        <v>0</v>
      </c>
      <c r="AA29" s="591">
        <f t="shared" ca="1" si="55"/>
        <v>0</v>
      </c>
      <c r="AB29" s="591">
        <f t="shared" ca="1" si="55"/>
        <v>0</v>
      </c>
      <c r="AC29" s="591">
        <f t="shared" ca="1" si="55"/>
        <v>0</v>
      </c>
      <c r="AD29" s="591">
        <f t="shared" ca="1" si="55"/>
        <v>0</v>
      </c>
      <c r="AE29" s="591">
        <f t="shared" ca="1" si="55"/>
        <v>0</v>
      </c>
      <c r="AF29" s="591">
        <f t="shared" ca="1" si="55"/>
        <v>0</v>
      </c>
      <c r="AG29" s="591">
        <f t="shared" ca="1" si="55"/>
        <v>0</v>
      </c>
      <c r="AH29" s="591">
        <f t="shared" ca="1" si="55"/>
        <v>0</v>
      </c>
      <c r="AI29" s="591">
        <f t="shared" ca="1" si="55"/>
        <v>0</v>
      </c>
      <c r="AJ29" s="591">
        <f t="shared" ca="1" si="55"/>
        <v>0</v>
      </c>
      <c r="AK29" s="592">
        <f t="shared" ca="1" si="56"/>
        <v>0</v>
      </c>
      <c r="AM29" s="593">
        <f t="shared" ref="AM29:BB30" ca="1" si="71">IFERROR(INDEX(INDIRECT($C29&amp;".Outputs["&amp;this.Year&amp;"]"), MATCH(AM$5, INDIRECT($C29&amp;".Outputs[Vector]"), 0)), 0)</f>
        <v>0</v>
      </c>
      <c r="AN29" s="593">
        <f t="shared" ca="1" si="71"/>
        <v>0</v>
      </c>
      <c r="AO29" s="593">
        <f t="shared" ca="1" si="71"/>
        <v>0</v>
      </c>
      <c r="AP29" s="593">
        <f t="shared" ca="1" si="71"/>
        <v>0</v>
      </c>
      <c r="AQ29" s="593">
        <f t="shared" ca="1" si="71"/>
        <v>0</v>
      </c>
      <c r="AR29" s="593">
        <f t="shared" ca="1" si="71"/>
        <v>0</v>
      </c>
      <c r="AS29" s="593">
        <f t="shared" ca="1" si="71"/>
        <v>0</v>
      </c>
      <c r="AT29" s="593">
        <f t="shared" ca="1" si="71"/>
        <v>0</v>
      </c>
      <c r="AU29" s="593">
        <f t="shared" ca="1" si="71"/>
        <v>0</v>
      </c>
      <c r="AV29" s="593">
        <f t="shared" ca="1" si="71"/>
        <v>0</v>
      </c>
      <c r="AW29" s="593">
        <f t="shared" ca="1" si="71"/>
        <v>0</v>
      </c>
      <c r="AX29" s="593">
        <f t="shared" ca="1" si="71"/>
        <v>0</v>
      </c>
      <c r="AY29" s="593">
        <f t="shared" ca="1" si="71"/>
        <v>0</v>
      </c>
      <c r="AZ29" s="593">
        <f t="shared" ca="1" si="71"/>
        <v>0</v>
      </c>
      <c r="BA29" s="593">
        <f t="shared" ca="1" si="71"/>
        <v>0</v>
      </c>
      <c r="BB29" s="593">
        <f t="shared" ca="1" si="71"/>
        <v>0</v>
      </c>
      <c r="BC29" s="593">
        <f t="shared" ref="BC29:BE30" ca="1" si="72">IFERROR(INDEX(INDIRECT($C29&amp;".Outputs["&amp;this.Year&amp;"]"), MATCH(BC$5, INDIRECT($C29&amp;".Outputs[Vector]"), 0)), 0)</f>
        <v>0</v>
      </c>
      <c r="BD29" s="593">
        <f t="shared" ca="1" si="72"/>
        <v>0</v>
      </c>
      <c r="BE29" s="593">
        <f t="shared" ca="1" si="72"/>
        <v>0</v>
      </c>
      <c r="BF29" s="609">
        <f t="shared" ca="1" si="59"/>
        <v>0</v>
      </c>
      <c r="BH29" s="3471">
        <f t="shared" ca="1" si="60"/>
        <v>0</v>
      </c>
      <c r="BI29" s="3471">
        <f t="shared" ca="1" si="60"/>
        <v>0</v>
      </c>
      <c r="BJ29" s="3460">
        <f t="shared" ca="1" si="61"/>
        <v>0</v>
      </c>
      <c r="BL29" s="610">
        <f t="shared" ca="1" si="9"/>
        <v>0</v>
      </c>
      <c r="BM29" s="610"/>
      <c r="BN29" s="413"/>
      <c r="BO29" s="2789">
        <f t="shared" ref="BO29:BX30" ca="1" si="73">IFERROR(SUMIFS(INDIRECT($C29&amp;".Emissions["&amp;this.Year&amp;"]"), INDIRECT($C29&amp;".Emissions[GHG]"), BO$6, INDIRECT($C29&amp;".Emissions[IPCC Sector]"), BO$5),0)</f>
        <v>0</v>
      </c>
      <c r="BP29" s="2790">
        <f t="shared" ca="1" si="73"/>
        <v>0</v>
      </c>
      <c r="BQ29" s="2790">
        <f t="shared" ca="1" si="73"/>
        <v>0</v>
      </c>
      <c r="BR29" s="2790">
        <f t="shared" ca="1" si="73"/>
        <v>0</v>
      </c>
      <c r="BS29" s="2790">
        <f t="shared" ca="1" si="73"/>
        <v>0</v>
      </c>
      <c r="BT29" s="2790">
        <f t="shared" ca="1" si="73"/>
        <v>0</v>
      </c>
      <c r="BU29" s="2790">
        <f t="shared" ca="1" si="73"/>
        <v>0</v>
      </c>
      <c r="BV29" s="2790">
        <f t="shared" ca="1" si="73"/>
        <v>0</v>
      </c>
      <c r="BW29" s="2790">
        <f t="shared" ca="1" si="73"/>
        <v>0</v>
      </c>
      <c r="BX29" s="2790">
        <f t="shared" ca="1" si="73"/>
        <v>0</v>
      </c>
      <c r="BY29" s="2790">
        <f t="shared" ref="BY29:CH30" ca="1" si="74">IFERROR(SUMIFS(INDIRECT($C29&amp;".Emissions["&amp;this.Year&amp;"]"), INDIRECT($C29&amp;".Emissions[GHG]"), BY$6, INDIRECT($C29&amp;".Emissions[IPCC Sector]"), BY$5),0)</f>
        <v>0</v>
      </c>
      <c r="BZ29" s="2790">
        <f t="shared" ca="1" si="74"/>
        <v>0</v>
      </c>
      <c r="CA29" s="2790">
        <f t="shared" ca="1" si="74"/>
        <v>0</v>
      </c>
      <c r="CB29" s="2790">
        <f t="shared" ca="1" si="74"/>
        <v>0</v>
      </c>
      <c r="CC29" s="2790">
        <f t="shared" ca="1" si="74"/>
        <v>0</v>
      </c>
      <c r="CD29" s="2790">
        <f t="shared" ca="1" si="74"/>
        <v>0</v>
      </c>
      <c r="CE29" s="2790">
        <f t="shared" ca="1" si="74"/>
        <v>0</v>
      </c>
      <c r="CF29" s="2790">
        <f t="shared" ca="1" si="74"/>
        <v>0</v>
      </c>
      <c r="CG29" s="2790">
        <f t="shared" ca="1" si="74"/>
        <v>0</v>
      </c>
      <c r="CH29" s="2790">
        <f t="shared" ca="1" si="74"/>
        <v>0</v>
      </c>
      <c r="CI29" s="2790">
        <f t="shared" ref="CI29:CR30" ca="1" si="75">IFERROR(SUMIFS(INDIRECT($C29&amp;".Emissions["&amp;this.Year&amp;"]"), INDIRECT($C29&amp;".Emissions[GHG]"), CI$6, INDIRECT($C29&amp;".Emissions[IPCC Sector]"), CI$5),0)</f>
        <v>0</v>
      </c>
      <c r="CJ29" s="2790">
        <f t="shared" ca="1" si="75"/>
        <v>0</v>
      </c>
      <c r="CK29" s="2790">
        <f t="shared" ca="1" si="75"/>
        <v>0</v>
      </c>
      <c r="CL29" s="2790">
        <f t="shared" ca="1" si="75"/>
        <v>0</v>
      </c>
      <c r="CM29" s="2790">
        <f t="shared" ca="1" si="75"/>
        <v>0</v>
      </c>
      <c r="CN29" s="2790">
        <f t="shared" ca="1" si="75"/>
        <v>0</v>
      </c>
      <c r="CO29" s="2790">
        <f t="shared" ca="1" si="75"/>
        <v>0</v>
      </c>
      <c r="CP29" s="2790">
        <f t="shared" ca="1" si="75"/>
        <v>0</v>
      </c>
      <c r="CQ29" s="2790">
        <f t="shared" ca="1" si="75"/>
        <v>0</v>
      </c>
      <c r="CR29" s="2790">
        <f t="shared" ca="1" si="75"/>
        <v>0</v>
      </c>
      <c r="CS29" s="2790">
        <f t="shared" ref="CS29:DF30" ca="1" si="76">IFERROR(SUMIFS(INDIRECT($C29&amp;".Emissions["&amp;this.Year&amp;"]"), INDIRECT($C29&amp;".Emissions[GHG]"), CS$6, INDIRECT($C29&amp;".Emissions[IPCC Sector]"), CS$5),0)</f>
        <v>0</v>
      </c>
      <c r="CT29" s="2790">
        <f t="shared" ca="1" si="76"/>
        <v>0</v>
      </c>
      <c r="CU29" s="2790">
        <f t="shared" ca="1" si="76"/>
        <v>0</v>
      </c>
      <c r="CV29" s="2790">
        <f t="shared" ca="1" si="76"/>
        <v>0</v>
      </c>
      <c r="CW29" s="2790">
        <f t="shared" ca="1" si="76"/>
        <v>0</v>
      </c>
      <c r="CX29" s="2790">
        <f t="shared" ca="1" si="76"/>
        <v>0</v>
      </c>
      <c r="CY29" s="2790">
        <f t="shared" ca="1" si="76"/>
        <v>0</v>
      </c>
      <c r="CZ29" s="2790">
        <f t="shared" ca="1" si="76"/>
        <v>0</v>
      </c>
      <c r="DA29" s="2790">
        <f t="shared" ca="1" si="76"/>
        <v>0</v>
      </c>
      <c r="DB29" s="2790">
        <f t="shared" ca="1" si="76"/>
        <v>0</v>
      </c>
      <c r="DC29" s="2790">
        <f t="shared" ca="1" si="76"/>
        <v>0</v>
      </c>
      <c r="DD29" s="2790">
        <f t="shared" ca="1" si="76"/>
        <v>0</v>
      </c>
      <c r="DE29" s="2790">
        <f t="shared" ca="1" si="76"/>
        <v>0</v>
      </c>
      <c r="DF29" s="2790">
        <f t="shared" ca="1" si="76"/>
        <v>0</v>
      </c>
      <c r="DH29" s="596">
        <f t="shared" ca="1" si="32"/>
        <v>0</v>
      </c>
    </row>
    <row r="30" spans="1:112" s="6" customFormat="1">
      <c r="A30" s="597"/>
      <c r="B30" s="597"/>
      <c r="C30" s="598" t="s">
        <v>487</v>
      </c>
      <c r="D30" s="624" t="s">
        <v>488</v>
      </c>
      <c r="E30" s="599"/>
      <c r="G30" s="600">
        <f t="shared" ca="1" si="70"/>
        <v>0</v>
      </c>
      <c r="H30" s="600">
        <f t="shared" ca="1" si="70"/>
        <v>0</v>
      </c>
      <c r="I30" s="600">
        <f t="shared" ca="1" si="70"/>
        <v>0</v>
      </c>
      <c r="J30" s="600">
        <f t="shared" ca="1" si="70"/>
        <v>0</v>
      </c>
      <c r="K30" s="600">
        <f t="shared" ca="1" si="70"/>
        <v>0</v>
      </c>
      <c r="L30" s="600">
        <f t="shared" ca="1" si="70"/>
        <v>0</v>
      </c>
      <c r="M30" s="600">
        <f t="shared" ca="1" si="70"/>
        <v>0</v>
      </c>
      <c r="N30" s="600">
        <f t="shared" ca="1" si="70"/>
        <v>0</v>
      </c>
      <c r="O30" s="600">
        <f t="shared" ca="1" si="70"/>
        <v>0</v>
      </c>
      <c r="P30" s="600">
        <f t="shared" ca="1" si="70"/>
        <v>0</v>
      </c>
      <c r="Q30" s="601">
        <f t="shared" ca="1" si="54"/>
        <v>0</v>
      </c>
      <c r="S30" s="602">
        <f t="shared" ca="1" si="55"/>
        <v>0</v>
      </c>
      <c r="T30" s="602">
        <f t="shared" ca="1" si="55"/>
        <v>0</v>
      </c>
      <c r="U30" s="602">
        <f t="shared" ca="1" si="55"/>
        <v>0</v>
      </c>
      <c r="V30" s="602">
        <f t="shared" ca="1" si="55"/>
        <v>0</v>
      </c>
      <c r="W30" s="602">
        <f t="shared" ca="1" si="55"/>
        <v>0</v>
      </c>
      <c r="X30" s="602">
        <f t="shared" ca="1" si="55"/>
        <v>0</v>
      </c>
      <c r="Y30" s="602">
        <f t="shared" ca="1" si="55"/>
        <v>0</v>
      </c>
      <c r="Z30" s="602">
        <f t="shared" ca="1" si="55"/>
        <v>0</v>
      </c>
      <c r="AA30" s="602">
        <f t="shared" ca="1" si="55"/>
        <v>0</v>
      </c>
      <c r="AB30" s="602">
        <f t="shared" ca="1" si="55"/>
        <v>0</v>
      </c>
      <c r="AC30" s="602">
        <f t="shared" ca="1" si="55"/>
        <v>0</v>
      </c>
      <c r="AD30" s="602">
        <f t="shared" ca="1" si="55"/>
        <v>0</v>
      </c>
      <c r="AE30" s="602">
        <f t="shared" ca="1" si="55"/>
        <v>0</v>
      </c>
      <c r="AF30" s="602">
        <f t="shared" ca="1" si="55"/>
        <v>0</v>
      </c>
      <c r="AG30" s="602">
        <f t="shared" ca="1" si="55"/>
        <v>0</v>
      </c>
      <c r="AH30" s="602">
        <f t="shared" ca="1" si="55"/>
        <v>0</v>
      </c>
      <c r="AI30" s="602">
        <f t="shared" ca="1" si="55"/>
        <v>0</v>
      </c>
      <c r="AJ30" s="602">
        <f t="shared" ca="1" si="55"/>
        <v>0</v>
      </c>
      <c r="AK30" s="603">
        <f t="shared" ca="1" si="56"/>
        <v>0</v>
      </c>
      <c r="AM30" s="604">
        <f t="shared" ca="1" si="71"/>
        <v>0</v>
      </c>
      <c r="AN30" s="604">
        <f t="shared" ca="1" si="71"/>
        <v>0</v>
      </c>
      <c r="AO30" s="604">
        <f t="shared" ca="1" si="71"/>
        <v>0</v>
      </c>
      <c r="AP30" s="604">
        <f t="shared" ca="1" si="71"/>
        <v>0</v>
      </c>
      <c r="AQ30" s="604">
        <f t="shared" ca="1" si="71"/>
        <v>0</v>
      </c>
      <c r="AR30" s="604">
        <f t="shared" ca="1" si="71"/>
        <v>0</v>
      </c>
      <c r="AS30" s="604">
        <f t="shared" ca="1" si="71"/>
        <v>0</v>
      </c>
      <c r="AT30" s="604">
        <f t="shared" ca="1" si="71"/>
        <v>0</v>
      </c>
      <c r="AU30" s="604">
        <f t="shared" ca="1" si="71"/>
        <v>0</v>
      </c>
      <c r="AV30" s="604">
        <f t="shared" ca="1" si="71"/>
        <v>0</v>
      </c>
      <c r="AW30" s="604">
        <f t="shared" ca="1" si="71"/>
        <v>0</v>
      </c>
      <c r="AX30" s="604">
        <f t="shared" ca="1" si="71"/>
        <v>0</v>
      </c>
      <c r="AY30" s="604">
        <f t="shared" ca="1" si="71"/>
        <v>0</v>
      </c>
      <c r="AZ30" s="604">
        <f t="shared" ca="1" si="71"/>
        <v>0</v>
      </c>
      <c r="BA30" s="604">
        <f t="shared" ca="1" si="71"/>
        <v>0</v>
      </c>
      <c r="BB30" s="604">
        <f t="shared" ca="1" si="71"/>
        <v>0</v>
      </c>
      <c r="BC30" s="604">
        <f t="shared" ca="1" si="72"/>
        <v>0</v>
      </c>
      <c r="BD30" s="604">
        <f t="shared" ca="1" si="72"/>
        <v>0</v>
      </c>
      <c r="BE30" s="604">
        <f t="shared" ca="1" si="72"/>
        <v>0</v>
      </c>
      <c r="BF30" s="605">
        <f t="shared" ca="1" si="59"/>
        <v>0</v>
      </c>
      <c r="BH30" s="3472">
        <f t="shared" ca="1" si="60"/>
        <v>0</v>
      </c>
      <c r="BI30" s="3472">
        <f t="shared" ca="1" si="60"/>
        <v>0</v>
      </c>
      <c r="BJ30" s="3461">
        <f t="shared" ca="1" si="61"/>
        <v>0</v>
      </c>
      <c r="BL30" s="606">
        <f t="shared" ca="1" si="9"/>
        <v>0</v>
      </c>
      <c r="BM30" s="606"/>
      <c r="BN30" s="413"/>
      <c r="BO30" s="2789">
        <f t="shared" ca="1" si="73"/>
        <v>0</v>
      </c>
      <c r="BP30" s="2790">
        <f t="shared" ca="1" si="73"/>
        <v>0</v>
      </c>
      <c r="BQ30" s="2790">
        <f t="shared" ca="1" si="73"/>
        <v>0</v>
      </c>
      <c r="BR30" s="2790">
        <f t="shared" ca="1" si="73"/>
        <v>0</v>
      </c>
      <c r="BS30" s="2790">
        <f t="shared" ca="1" si="73"/>
        <v>0</v>
      </c>
      <c r="BT30" s="2790">
        <f t="shared" ca="1" si="73"/>
        <v>0</v>
      </c>
      <c r="BU30" s="2790">
        <f t="shared" ca="1" si="73"/>
        <v>0</v>
      </c>
      <c r="BV30" s="2790">
        <f t="shared" ca="1" si="73"/>
        <v>0</v>
      </c>
      <c r="BW30" s="2790">
        <f t="shared" ca="1" si="73"/>
        <v>0</v>
      </c>
      <c r="BX30" s="2790">
        <f t="shared" ca="1" si="73"/>
        <v>0</v>
      </c>
      <c r="BY30" s="2790">
        <f t="shared" ca="1" si="74"/>
        <v>0</v>
      </c>
      <c r="BZ30" s="2790">
        <f t="shared" ca="1" si="74"/>
        <v>0</v>
      </c>
      <c r="CA30" s="2790">
        <f t="shared" ca="1" si="74"/>
        <v>0</v>
      </c>
      <c r="CB30" s="2790">
        <f t="shared" ca="1" si="74"/>
        <v>0</v>
      </c>
      <c r="CC30" s="2790">
        <f t="shared" ca="1" si="74"/>
        <v>0</v>
      </c>
      <c r="CD30" s="2790">
        <f t="shared" ca="1" si="74"/>
        <v>0</v>
      </c>
      <c r="CE30" s="2790">
        <f t="shared" ca="1" si="74"/>
        <v>0</v>
      </c>
      <c r="CF30" s="2790">
        <f t="shared" ca="1" si="74"/>
        <v>0</v>
      </c>
      <c r="CG30" s="2790">
        <f t="shared" ca="1" si="74"/>
        <v>0</v>
      </c>
      <c r="CH30" s="2790">
        <f t="shared" ca="1" si="74"/>
        <v>0</v>
      </c>
      <c r="CI30" s="2790">
        <f t="shared" ca="1" si="75"/>
        <v>0</v>
      </c>
      <c r="CJ30" s="2790">
        <f t="shared" ca="1" si="75"/>
        <v>0</v>
      </c>
      <c r="CK30" s="2790">
        <f t="shared" ca="1" si="75"/>
        <v>0</v>
      </c>
      <c r="CL30" s="2790">
        <f t="shared" ca="1" si="75"/>
        <v>0</v>
      </c>
      <c r="CM30" s="2790">
        <f t="shared" ca="1" si="75"/>
        <v>0</v>
      </c>
      <c r="CN30" s="2790">
        <f t="shared" ca="1" si="75"/>
        <v>0</v>
      </c>
      <c r="CO30" s="2790">
        <f t="shared" ca="1" si="75"/>
        <v>0</v>
      </c>
      <c r="CP30" s="2790">
        <f t="shared" ca="1" si="75"/>
        <v>0</v>
      </c>
      <c r="CQ30" s="2790">
        <f t="shared" ca="1" si="75"/>
        <v>0</v>
      </c>
      <c r="CR30" s="2790">
        <f t="shared" ca="1" si="75"/>
        <v>0</v>
      </c>
      <c r="CS30" s="2790">
        <f t="shared" ca="1" si="76"/>
        <v>0</v>
      </c>
      <c r="CT30" s="2790">
        <f t="shared" ca="1" si="76"/>
        <v>0</v>
      </c>
      <c r="CU30" s="2790">
        <f t="shared" ca="1" si="76"/>
        <v>0</v>
      </c>
      <c r="CV30" s="2790">
        <f t="shared" ca="1" si="76"/>
        <v>0</v>
      </c>
      <c r="CW30" s="2790">
        <f t="shared" ca="1" si="76"/>
        <v>0</v>
      </c>
      <c r="CX30" s="2790">
        <f t="shared" ca="1" si="76"/>
        <v>0</v>
      </c>
      <c r="CY30" s="2790">
        <f t="shared" ca="1" si="76"/>
        <v>0</v>
      </c>
      <c r="CZ30" s="2790">
        <f t="shared" ca="1" si="76"/>
        <v>0</v>
      </c>
      <c r="DA30" s="2790">
        <f t="shared" ca="1" si="76"/>
        <v>0</v>
      </c>
      <c r="DB30" s="2790">
        <f t="shared" ca="1" si="76"/>
        <v>0</v>
      </c>
      <c r="DC30" s="2790">
        <f t="shared" ca="1" si="76"/>
        <v>0</v>
      </c>
      <c r="DD30" s="2790">
        <f t="shared" ca="1" si="76"/>
        <v>0</v>
      </c>
      <c r="DE30" s="2790">
        <f t="shared" ca="1" si="76"/>
        <v>0</v>
      </c>
      <c r="DF30" s="2790">
        <f t="shared" ca="1" si="76"/>
        <v>0</v>
      </c>
      <c r="DH30" s="596">
        <f t="shared" ca="1" si="32"/>
        <v>0</v>
      </c>
    </row>
    <row r="31" spans="1:112" s="6" customFormat="1">
      <c r="A31" s="607"/>
      <c r="B31" s="607"/>
      <c r="C31" s="587"/>
      <c r="D31" s="625" t="s">
        <v>489</v>
      </c>
      <c r="E31" s="611"/>
      <c r="G31" s="612">
        <f t="shared" ref="G31:P31" ca="1" si="77">SUM(G29:G30)</f>
        <v>0</v>
      </c>
      <c r="H31" s="612">
        <f t="shared" ca="1" si="77"/>
        <v>0</v>
      </c>
      <c r="I31" s="612">
        <f t="shared" ca="1" si="77"/>
        <v>0</v>
      </c>
      <c r="J31" s="612">
        <f t="shared" ca="1" si="77"/>
        <v>0</v>
      </c>
      <c r="K31" s="612">
        <f t="shared" ca="1" si="77"/>
        <v>0</v>
      </c>
      <c r="L31" s="612">
        <f t="shared" ca="1" si="77"/>
        <v>0</v>
      </c>
      <c r="M31" s="612">
        <f t="shared" ca="1" si="77"/>
        <v>0</v>
      </c>
      <c r="N31" s="612">
        <f t="shared" ca="1" si="77"/>
        <v>0</v>
      </c>
      <c r="O31" s="612">
        <f t="shared" ca="1" si="77"/>
        <v>0</v>
      </c>
      <c r="P31" s="612">
        <f t="shared" ca="1" si="77"/>
        <v>0</v>
      </c>
      <c r="Q31" s="612">
        <f t="shared" ca="1" si="54"/>
        <v>0</v>
      </c>
      <c r="S31" s="613">
        <f t="shared" ref="S31:AJ31" ca="1" si="78">SUM(S29:S30)</f>
        <v>0</v>
      </c>
      <c r="T31" s="613">
        <f t="shared" ca="1" si="78"/>
        <v>0</v>
      </c>
      <c r="U31" s="613">
        <f t="shared" ca="1" si="78"/>
        <v>0</v>
      </c>
      <c r="V31" s="613">
        <f t="shared" ca="1" si="78"/>
        <v>0</v>
      </c>
      <c r="W31" s="613">
        <f t="shared" ca="1" si="78"/>
        <v>0</v>
      </c>
      <c r="X31" s="626">
        <f t="shared" ca="1" si="78"/>
        <v>0</v>
      </c>
      <c r="Y31" s="626">
        <f t="shared" ca="1" si="78"/>
        <v>0</v>
      </c>
      <c r="Z31" s="626">
        <f t="shared" ca="1" si="78"/>
        <v>0</v>
      </c>
      <c r="AA31" s="613">
        <f t="shared" ca="1" si="78"/>
        <v>0</v>
      </c>
      <c r="AB31" s="613">
        <f t="shared" ca="1" si="78"/>
        <v>0</v>
      </c>
      <c r="AC31" s="613">
        <f t="shared" ca="1" si="78"/>
        <v>0</v>
      </c>
      <c r="AD31" s="613">
        <f t="shared" ca="1" si="78"/>
        <v>0</v>
      </c>
      <c r="AE31" s="613">
        <f ca="1">SUM(AE29:AE30)</f>
        <v>0</v>
      </c>
      <c r="AF31" s="613">
        <f t="shared" ca="1" si="78"/>
        <v>0</v>
      </c>
      <c r="AG31" s="613">
        <f t="shared" ca="1" si="78"/>
        <v>0</v>
      </c>
      <c r="AH31" s="613">
        <f ca="1">SUM(AH29:AH30)</f>
        <v>0</v>
      </c>
      <c r="AI31" s="613">
        <f t="shared" ca="1" si="78"/>
        <v>0</v>
      </c>
      <c r="AJ31" s="613">
        <f t="shared" ca="1" si="78"/>
        <v>0</v>
      </c>
      <c r="AK31" s="613">
        <f t="shared" ca="1" si="56"/>
        <v>0</v>
      </c>
      <c r="AM31" s="627">
        <f t="shared" ref="AM31:BE31" ca="1" si="79">SUM(AM29:AM30)</f>
        <v>0</v>
      </c>
      <c r="AN31" s="627">
        <f t="shared" ca="1" si="79"/>
        <v>0</v>
      </c>
      <c r="AO31" s="627">
        <f t="shared" ca="1" si="79"/>
        <v>0</v>
      </c>
      <c r="AP31" s="627">
        <f t="shared" ca="1" si="79"/>
        <v>0</v>
      </c>
      <c r="AQ31" s="627">
        <f t="shared" ca="1" si="79"/>
        <v>0</v>
      </c>
      <c r="AR31" s="627">
        <f t="shared" ca="1" si="79"/>
        <v>0</v>
      </c>
      <c r="AS31" s="627">
        <f t="shared" ca="1" si="79"/>
        <v>0</v>
      </c>
      <c r="AT31" s="627">
        <f t="shared" ca="1" si="79"/>
        <v>0</v>
      </c>
      <c r="AU31" s="627">
        <f t="shared" ca="1" si="79"/>
        <v>0</v>
      </c>
      <c r="AV31" s="627">
        <f t="shared" ca="1" si="79"/>
        <v>0</v>
      </c>
      <c r="AW31" s="627">
        <f t="shared" ca="1" si="79"/>
        <v>0</v>
      </c>
      <c r="AX31" s="627">
        <f t="shared" ca="1" si="79"/>
        <v>0</v>
      </c>
      <c r="AY31" s="627">
        <f t="shared" ca="1" si="79"/>
        <v>0</v>
      </c>
      <c r="AZ31" s="627">
        <f t="shared" ca="1" si="79"/>
        <v>0</v>
      </c>
      <c r="BA31" s="627">
        <f t="shared" ca="1" si="79"/>
        <v>0</v>
      </c>
      <c r="BB31" s="627">
        <f t="shared" ca="1" si="79"/>
        <v>0</v>
      </c>
      <c r="BC31" s="627">
        <f t="shared" ca="1" si="79"/>
        <v>0</v>
      </c>
      <c r="BD31" s="627">
        <f ca="1">SUM(BD29:BD30)</f>
        <v>0</v>
      </c>
      <c r="BE31" s="627">
        <f t="shared" ca="1" si="79"/>
        <v>0</v>
      </c>
      <c r="BF31" s="628">
        <f t="shared" ca="1" si="59"/>
        <v>0</v>
      </c>
      <c r="BH31" s="3474">
        <f ca="1">SUM(BH29:BH30)</f>
        <v>0</v>
      </c>
      <c r="BI31" s="3474">
        <f ca="1">SUM(BI29:BI30)</f>
        <v>0</v>
      </c>
      <c r="BJ31" s="3462">
        <f t="shared" ca="1" si="61"/>
        <v>0</v>
      </c>
      <c r="BL31" s="595">
        <f t="shared" ca="1" si="9"/>
        <v>0</v>
      </c>
      <c r="BM31" s="595"/>
      <c r="BN31" s="607"/>
      <c r="BO31" s="2791">
        <f t="shared" ref="BO31:DF31" ca="1" si="80">SUM(BO29:BO30)</f>
        <v>0</v>
      </c>
      <c r="BP31" s="2792">
        <f t="shared" ca="1" si="80"/>
        <v>0</v>
      </c>
      <c r="BQ31" s="2792">
        <f t="shared" ca="1" si="80"/>
        <v>0</v>
      </c>
      <c r="BR31" s="2792">
        <f t="shared" ca="1" si="80"/>
        <v>0</v>
      </c>
      <c r="BS31" s="2792">
        <f t="shared" ca="1" si="80"/>
        <v>0</v>
      </c>
      <c r="BT31" s="2792">
        <f t="shared" ca="1" si="80"/>
        <v>0</v>
      </c>
      <c r="BU31" s="2792">
        <f t="shared" ca="1" si="80"/>
        <v>0</v>
      </c>
      <c r="BV31" s="2792">
        <f t="shared" ca="1" si="80"/>
        <v>0</v>
      </c>
      <c r="BW31" s="2792">
        <f t="shared" ca="1" si="80"/>
        <v>0</v>
      </c>
      <c r="BX31" s="2792">
        <f t="shared" ca="1" si="80"/>
        <v>0</v>
      </c>
      <c r="BY31" s="2792">
        <f t="shared" ca="1" si="80"/>
        <v>0</v>
      </c>
      <c r="BZ31" s="2792">
        <f t="shared" ca="1" si="80"/>
        <v>0</v>
      </c>
      <c r="CA31" s="2792">
        <f t="shared" ca="1" si="80"/>
        <v>0</v>
      </c>
      <c r="CB31" s="2792">
        <f t="shared" ca="1" si="80"/>
        <v>0</v>
      </c>
      <c r="CC31" s="2792">
        <f t="shared" ca="1" si="80"/>
        <v>0</v>
      </c>
      <c r="CD31" s="2792">
        <f t="shared" ca="1" si="80"/>
        <v>0</v>
      </c>
      <c r="CE31" s="2792">
        <f t="shared" ca="1" si="80"/>
        <v>0</v>
      </c>
      <c r="CF31" s="2792">
        <f t="shared" ca="1" si="80"/>
        <v>0</v>
      </c>
      <c r="CG31" s="2792">
        <f t="shared" ca="1" si="80"/>
        <v>0</v>
      </c>
      <c r="CH31" s="2792">
        <f t="shared" ca="1" si="80"/>
        <v>0</v>
      </c>
      <c r="CI31" s="2792">
        <f t="shared" ca="1" si="80"/>
        <v>0</v>
      </c>
      <c r="CJ31" s="2792">
        <f t="shared" ca="1" si="80"/>
        <v>0</v>
      </c>
      <c r="CK31" s="2792">
        <f t="shared" ca="1" si="80"/>
        <v>0</v>
      </c>
      <c r="CL31" s="2792">
        <f t="shared" ca="1" si="80"/>
        <v>0</v>
      </c>
      <c r="CM31" s="2792">
        <f t="shared" ca="1" si="80"/>
        <v>0</v>
      </c>
      <c r="CN31" s="2792">
        <f t="shared" ca="1" si="80"/>
        <v>0</v>
      </c>
      <c r="CO31" s="2792">
        <f t="shared" ca="1" si="80"/>
        <v>0</v>
      </c>
      <c r="CP31" s="2792">
        <f t="shared" ca="1" si="80"/>
        <v>0</v>
      </c>
      <c r="CQ31" s="2792">
        <f t="shared" ca="1" si="80"/>
        <v>0</v>
      </c>
      <c r="CR31" s="2792">
        <f t="shared" ca="1" si="80"/>
        <v>0</v>
      </c>
      <c r="CS31" s="2792">
        <f t="shared" ca="1" si="80"/>
        <v>0</v>
      </c>
      <c r="CT31" s="2792">
        <f t="shared" ca="1" si="80"/>
        <v>0</v>
      </c>
      <c r="CU31" s="2792">
        <f t="shared" ca="1" si="80"/>
        <v>0</v>
      </c>
      <c r="CV31" s="2792">
        <f t="shared" ca="1" si="80"/>
        <v>0</v>
      </c>
      <c r="CW31" s="2792">
        <f t="shared" ca="1" si="80"/>
        <v>0</v>
      </c>
      <c r="CX31" s="2792">
        <f t="shared" ca="1" si="80"/>
        <v>0</v>
      </c>
      <c r="CY31" s="2792">
        <f t="shared" ca="1" si="80"/>
        <v>0</v>
      </c>
      <c r="CZ31" s="2792">
        <f t="shared" ca="1" si="80"/>
        <v>0</v>
      </c>
      <c r="DA31" s="2792">
        <f t="shared" ca="1" si="80"/>
        <v>0</v>
      </c>
      <c r="DB31" s="2792">
        <f t="shared" ca="1" si="80"/>
        <v>0</v>
      </c>
      <c r="DC31" s="2792">
        <f t="shared" ca="1" si="80"/>
        <v>0</v>
      </c>
      <c r="DD31" s="2792">
        <f t="shared" ca="1" si="80"/>
        <v>0</v>
      </c>
      <c r="DE31" s="2792">
        <f t="shared" ca="1" si="80"/>
        <v>0</v>
      </c>
      <c r="DF31" s="2792">
        <f t="shared" ca="1" si="80"/>
        <v>0</v>
      </c>
      <c r="DH31" s="596">
        <f t="shared" ca="1" si="32"/>
        <v>0</v>
      </c>
    </row>
    <row r="32" spans="1:112" s="6" customFormat="1" ht="15.75">
      <c r="A32" s="4"/>
      <c r="B32" s="3"/>
      <c r="C32" s="616" t="s">
        <v>490</v>
      </c>
      <c r="D32" s="617" t="s">
        <v>491</v>
      </c>
      <c r="E32" s="206"/>
      <c r="G32" s="618">
        <f t="shared" ref="G32:P32" ca="1" si="81">G24+G25+G28+G31</f>
        <v>0</v>
      </c>
      <c r="H32" s="618">
        <f t="shared" ca="1" si="81"/>
        <v>0</v>
      </c>
      <c r="I32" s="618">
        <f t="shared" ca="1" si="81"/>
        <v>0</v>
      </c>
      <c r="J32" s="618">
        <f t="shared" ca="1" si="81"/>
        <v>36.134435164573652</v>
      </c>
      <c r="K32" s="618">
        <f t="shared" ca="1" si="81"/>
        <v>0.43876387038956832</v>
      </c>
      <c r="L32" s="618">
        <f t="shared" ca="1" si="81"/>
        <v>2.6748583502616049E-2</v>
      </c>
      <c r="M32" s="618">
        <f t="shared" ca="1" si="81"/>
        <v>0.66</v>
      </c>
      <c r="N32" s="618">
        <f t="shared" ca="1" si="81"/>
        <v>7.4554183878892841</v>
      </c>
      <c r="O32" s="618">
        <f t="shared" ca="1" si="81"/>
        <v>0</v>
      </c>
      <c r="P32" s="618">
        <f t="shared" ca="1" si="81"/>
        <v>0</v>
      </c>
      <c r="Q32" s="618">
        <f t="shared" ca="1" si="54"/>
        <v>44.715366006355119</v>
      </c>
      <c r="S32" s="581">
        <f t="shared" ref="S32:AJ32" ca="1" si="82">S24+S25+S28+S31</f>
        <v>-7.3891754277403451E-2</v>
      </c>
      <c r="T32" s="581">
        <f t="shared" ca="1" si="82"/>
        <v>0</v>
      </c>
      <c r="U32" s="581">
        <f t="shared" ca="1" si="82"/>
        <v>0</v>
      </c>
      <c r="V32" s="581">
        <f t="shared" ca="1" si="82"/>
        <v>-44.639975727949931</v>
      </c>
      <c r="W32" s="581">
        <f t="shared" ca="1" si="82"/>
        <v>0</v>
      </c>
      <c r="X32" s="581">
        <f t="shared" ca="1" si="82"/>
        <v>0</v>
      </c>
      <c r="Y32" s="581">
        <f t="shared" ca="1" si="82"/>
        <v>0</v>
      </c>
      <c r="Z32" s="581">
        <f t="shared" ca="1" si="82"/>
        <v>0</v>
      </c>
      <c r="AA32" s="581">
        <f t="shared" ca="1" si="82"/>
        <v>0</v>
      </c>
      <c r="AB32" s="581">
        <f t="shared" ca="1" si="82"/>
        <v>0</v>
      </c>
      <c r="AC32" s="581">
        <f t="shared" ca="1" si="82"/>
        <v>0</v>
      </c>
      <c r="AD32" s="581">
        <f t="shared" ca="1" si="82"/>
        <v>0</v>
      </c>
      <c r="AE32" s="581">
        <f ca="1">AE24+AE25+AE28+AE31</f>
        <v>0</v>
      </c>
      <c r="AF32" s="581">
        <f t="shared" ca="1" si="82"/>
        <v>0</v>
      </c>
      <c r="AG32" s="581">
        <f t="shared" ca="1" si="82"/>
        <v>0</v>
      </c>
      <c r="AH32" s="581">
        <f ca="1">AH24+AH25+AH28+AH31</f>
        <v>0</v>
      </c>
      <c r="AI32" s="581">
        <f t="shared" ca="1" si="82"/>
        <v>0</v>
      </c>
      <c r="AJ32" s="581">
        <f t="shared" ca="1" si="82"/>
        <v>-1.4985241277847491E-3</v>
      </c>
      <c r="AK32" s="581">
        <f t="shared" ca="1" si="56"/>
        <v>-44.715366006355119</v>
      </c>
      <c r="AM32" s="582">
        <f t="shared" ref="AM32:BE32" ca="1" si="83">AM24+AM25+AM28+AM31</f>
        <v>0</v>
      </c>
      <c r="AN32" s="582">
        <f t="shared" ca="1" si="83"/>
        <v>0</v>
      </c>
      <c r="AO32" s="582">
        <f t="shared" ca="1" si="83"/>
        <v>0</v>
      </c>
      <c r="AP32" s="582">
        <f t="shared" ca="1" si="83"/>
        <v>0</v>
      </c>
      <c r="AQ32" s="582">
        <f t="shared" ca="1" si="83"/>
        <v>0</v>
      </c>
      <c r="AR32" s="582">
        <f t="shared" ca="1" si="83"/>
        <v>0</v>
      </c>
      <c r="AS32" s="582">
        <f t="shared" ca="1" si="83"/>
        <v>0</v>
      </c>
      <c r="AT32" s="582">
        <f t="shared" ca="1" si="83"/>
        <v>0</v>
      </c>
      <c r="AU32" s="582">
        <f t="shared" ca="1" si="83"/>
        <v>0</v>
      </c>
      <c r="AV32" s="582">
        <f t="shared" ca="1" si="83"/>
        <v>0</v>
      </c>
      <c r="AW32" s="582">
        <f t="shared" ca="1" si="83"/>
        <v>0</v>
      </c>
      <c r="AX32" s="582">
        <f t="shared" ca="1" si="83"/>
        <v>0</v>
      </c>
      <c r="AY32" s="582">
        <f t="shared" ca="1" si="83"/>
        <v>0</v>
      </c>
      <c r="AZ32" s="582">
        <f t="shared" ca="1" si="83"/>
        <v>0</v>
      </c>
      <c r="BA32" s="582">
        <f t="shared" ca="1" si="83"/>
        <v>0</v>
      </c>
      <c r="BB32" s="582">
        <f t="shared" ca="1" si="83"/>
        <v>0</v>
      </c>
      <c r="BC32" s="582">
        <f t="shared" ca="1" si="83"/>
        <v>0</v>
      </c>
      <c r="BD32" s="582">
        <f ca="1">BD24+BD25+BD28+BD31</f>
        <v>0</v>
      </c>
      <c r="BE32" s="582">
        <f t="shared" ca="1" si="83"/>
        <v>0</v>
      </c>
      <c r="BF32" s="582">
        <f t="shared" ca="1" si="59"/>
        <v>0</v>
      </c>
      <c r="BH32" s="3463">
        <f ca="1">BH24+BH25+BH28+BH31</f>
        <v>0</v>
      </c>
      <c r="BI32" s="3463">
        <f ca="1">BI24+BI25+BI28+BI31</f>
        <v>0</v>
      </c>
      <c r="BJ32" s="3463">
        <f t="shared" ca="1" si="61"/>
        <v>0</v>
      </c>
      <c r="BL32" s="3477">
        <f t="shared" ca="1" si="9"/>
        <v>0</v>
      </c>
      <c r="BM32" s="584"/>
      <c r="BN32" s="413"/>
      <c r="BO32" s="2790">
        <f t="shared" ref="BO32:DF32" ca="1" si="84">BO24+BO25+BO28+BO31</f>
        <v>9.8122609908952008</v>
      </c>
      <c r="BP32" s="2790">
        <f t="shared" ca="1" si="84"/>
        <v>8.433457604725754E-3</v>
      </c>
      <c r="BQ32" s="2790">
        <f t="shared" ca="1" si="84"/>
        <v>2.4898779594904608E-2</v>
      </c>
      <c r="BR32" s="2790">
        <f t="shared" ca="1" si="84"/>
        <v>0</v>
      </c>
      <c r="BS32" s="2790">
        <f t="shared" ca="1" si="84"/>
        <v>0</v>
      </c>
      <c r="BT32" s="2790">
        <f t="shared" ca="1" si="84"/>
        <v>0</v>
      </c>
      <c r="BU32" s="2790">
        <f t="shared" ca="1" si="84"/>
        <v>0</v>
      </c>
      <c r="BV32" s="2790">
        <f t="shared" ca="1" si="84"/>
        <v>0</v>
      </c>
      <c r="BW32" s="2790">
        <f t="shared" ca="1" si="84"/>
        <v>0</v>
      </c>
      <c r="BX32" s="2790">
        <f t="shared" ca="1" si="84"/>
        <v>0</v>
      </c>
      <c r="BY32" s="2790">
        <f t="shared" ca="1" si="84"/>
        <v>0</v>
      </c>
      <c r="BZ32" s="2790">
        <f t="shared" ca="1" si="84"/>
        <v>0</v>
      </c>
      <c r="CA32" s="2790">
        <f t="shared" ca="1" si="84"/>
        <v>0</v>
      </c>
      <c r="CB32" s="2790">
        <f t="shared" ca="1" si="84"/>
        <v>0</v>
      </c>
      <c r="CC32" s="2790">
        <f t="shared" ca="1" si="84"/>
        <v>0</v>
      </c>
      <c r="CD32" s="2790">
        <f t="shared" ca="1" si="84"/>
        <v>0</v>
      </c>
      <c r="CE32" s="2790">
        <f t="shared" ca="1" si="84"/>
        <v>0</v>
      </c>
      <c r="CF32" s="2790">
        <f t="shared" ca="1" si="84"/>
        <v>0</v>
      </c>
      <c r="CG32" s="2790">
        <f t="shared" ca="1" si="84"/>
        <v>0</v>
      </c>
      <c r="CH32" s="2790">
        <f t="shared" ca="1" si="84"/>
        <v>0</v>
      </c>
      <c r="CI32" s="2790">
        <f t="shared" ca="1" si="84"/>
        <v>0</v>
      </c>
      <c r="CJ32" s="2790">
        <f t="shared" ca="1" si="84"/>
        <v>0</v>
      </c>
      <c r="CK32" s="2790">
        <f t="shared" ca="1" si="84"/>
        <v>0</v>
      </c>
      <c r="CL32" s="2790">
        <f t="shared" ca="1" si="84"/>
        <v>0</v>
      </c>
      <c r="CM32" s="2790">
        <f t="shared" ca="1" si="84"/>
        <v>0</v>
      </c>
      <c r="CN32" s="2790">
        <f t="shared" ca="1" si="84"/>
        <v>0</v>
      </c>
      <c r="CO32" s="2790">
        <f t="shared" ca="1" si="84"/>
        <v>0</v>
      </c>
      <c r="CP32" s="2790">
        <f t="shared" ca="1" si="84"/>
        <v>0</v>
      </c>
      <c r="CQ32" s="2790">
        <f t="shared" ca="1" si="84"/>
        <v>0</v>
      </c>
      <c r="CR32" s="2790">
        <f t="shared" ca="1" si="84"/>
        <v>0</v>
      </c>
      <c r="CS32" s="2790">
        <f t="shared" ca="1" si="84"/>
        <v>0</v>
      </c>
      <c r="CT32" s="2790">
        <f t="shared" ca="1" si="84"/>
        <v>0</v>
      </c>
      <c r="CU32" s="2790">
        <f t="shared" ca="1" si="84"/>
        <v>1.9673358041962239</v>
      </c>
      <c r="CV32" s="2790">
        <f t="shared" ca="1" si="84"/>
        <v>1.6908888903732896E-3</v>
      </c>
      <c r="CW32" s="2790">
        <f t="shared" ca="1" si="84"/>
        <v>4.9921481525306644E-3</v>
      </c>
      <c r="CX32" s="2790">
        <f t="shared" ca="1" si="84"/>
        <v>0</v>
      </c>
      <c r="CY32" s="2790">
        <f t="shared" ca="1" si="84"/>
        <v>0</v>
      </c>
      <c r="CZ32" s="2790">
        <f t="shared" ca="1" si="84"/>
        <v>0</v>
      </c>
      <c r="DA32" s="2790">
        <f t="shared" ca="1" si="84"/>
        <v>0</v>
      </c>
      <c r="DB32" s="2790">
        <f t="shared" ca="1" si="84"/>
        <v>0</v>
      </c>
      <c r="DC32" s="2790">
        <f t="shared" ca="1" si="84"/>
        <v>0</v>
      </c>
      <c r="DD32" s="2790">
        <f t="shared" ca="1" si="84"/>
        <v>0</v>
      </c>
      <c r="DE32" s="2790">
        <f t="shared" ca="1" si="84"/>
        <v>0</v>
      </c>
      <c r="DF32" s="2790">
        <f t="shared" ca="1" si="84"/>
        <v>0</v>
      </c>
      <c r="DH32" s="596">
        <f t="shared" ca="1" si="32"/>
        <v>11.819612069333958</v>
      </c>
    </row>
    <row r="33" spans="1:112" s="6" customFormat="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9"/>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2"/>
        <v>0</v>
      </c>
    </row>
    <row r="34" spans="1:112" s="6" customFormat="1">
      <c r="A34" s="607"/>
      <c r="B34" s="607"/>
      <c r="C34" s="587" t="s">
        <v>492</v>
      </c>
      <c r="D34" s="611" t="s">
        <v>375</v>
      </c>
      <c r="E34" s="611"/>
      <c r="G34" s="619">
        <f t="shared" ref="G34:P34" ca="1" si="85">IFERROR(INDEX(INDIRECT($C34&amp;".Outputs["&amp;this.Year&amp;"]"), MATCH(G$5, INDIRECT($C34&amp;".Outputs[Vector]"), 0)), 0)</f>
        <v>0</v>
      </c>
      <c r="H34" s="619">
        <f t="shared" ca="1" si="85"/>
        <v>0</v>
      </c>
      <c r="I34" s="619">
        <f t="shared" ca="1" si="85"/>
        <v>0</v>
      </c>
      <c r="J34" s="619">
        <f t="shared" ca="1" si="85"/>
        <v>0</v>
      </c>
      <c r="K34" s="619">
        <f t="shared" ca="1" si="85"/>
        <v>0</v>
      </c>
      <c r="L34" s="619">
        <f t="shared" ca="1" si="85"/>
        <v>0</v>
      </c>
      <c r="M34" s="619">
        <f t="shared" ca="1" si="85"/>
        <v>0</v>
      </c>
      <c r="N34" s="619">
        <f t="shared" ca="1" si="85"/>
        <v>0</v>
      </c>
      <c r="O34" s="619">
        <f t="shared" ca="1" si="85"/>
        <v>0</v>
      </c>
      <c r="P34" s="619">
        <f t="shared" ca="1" si="85"/>
        <v>0</v>
      </c>
      <c r="Q34" s="612">
        <f ca="1">SUM(G34:P34)</f>
        <v>0</v>
      </c>
      <c r="S34" s="620">
        <f t="shared" ref="S34:AJ34" ca="1" si="86">IFERROR(INDEX(INDIRECT($C34&amp;".Outputs["&amp;this.Year&amp;"]"), MATCH(S$5, INDIRECT($C34&amp;".Outputs[Vector]"), 0)), 0)</f>
        <v>0</v>
      </c>
      <c r="T34" s="620">
        <f t="shared" ca="1" si="86"/>
        <v>0</v>
      </c>
      <c r="U34" s="620">
        <f t="shared" ca="1" si="86"/>
        <v>0</v>
      </c>
      <c r="V34" s="620">
        <f t="shared" ca="1" si="86"/>
        <v>0</v>
      </c>
      <c r="W34" s="620">
        <f t="shared" ca="1" si="86"/>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86"/>
        <v>0</v>
      </c>
      <c r="AB34" s="620">
        <f t="shared" ca="1" si="86"/>
        <v>0</v>
      </c>
      <c r="AC34" s="620">
        <f t="shared" ca="1" si="86"/>
        <v>0</v>
      </c>
      <c r="AD34" s="620">
        <f t="shared" ca="1" si="86"/>
        <v>0</v>
      </c>
      <c r="AE34" s="620">
        <f t="shared" ca="1" si="86"/>
        <v>0</v>
      </c>
      <c r="AF34" s="620">
        <f t="shared" ca="1" si="86"/>
        <v>0</v>
      </c>
      <c r="AG34" s="620">
        <f t="shared" ca="1" si="86"/>
        <v>0</v>
      </c>
      <c r="AH34" s="620">
        <f t="shared" ca="1" si="86"/>
        <v>0</v>
      </c>
      <c r="AI34" s="620">
        <f t="shared" ca="1" si="86"/>
        <v>0</v>
      </c>
      <c r="AJ34" s="620">
        <f t="shared" ca="1" si="86"/>
        <v>0</v>
      </c>
      <c r="AK34" s="613">
        <f ca="1">SUM(S34:AJ34)</f>
        <v>0</v>
      </c>
      <c r="AM34" s="621">
        <f t="shared" ref="AM34:BE34" ca="1" si="87">IFERROR(INDEX(INDIRECT($C34&amp;".Outputs["&amp;this.Year&amp;"]"), MATCH(AM$5, INDIRECT($C34&amp;".Outputs[Vector]"), 0)), 0)</f>
        <v>0</v>
      </c>
      <c r="AN34" s="621">
        <f t="shared" ca="1" si="87"/>
        <v>0</v>
      </c>
      <c r="AO34" s="621">
        <f t="shared" ca="1" si="87"/>
        <v>0</v>
      </c>
      <c r="AP34" s="621">
        <f t="shared" ca="1" si="87"/>
        <v>0</v>
      </c>
      <c r="AQ34" s="621">
        <f t="shared" ca="1" si="87"/>
        <v>0</v>
      </c>
      <c r="AR34" s="621">
        <f t="shared" ca="1" si="87"/>
        <v>0</v>
      </c>
      <c r="AS34" s="621">
        <f t="shared" ca="1" si="87"/>
        <v>0</v>
      </c>
      <c r="AT34" s="621">
        <f t="shared" ca="1" si="87"/>
        <v>0</v>
      </c>
      <c r="AU34" s="621">
        <f t="shared" ca="1" si="87"/>
        <v>0</v>
      </c>
      <c r="AV34" s="621">
        <f t="shared" ca="1" si="87"/>
        <v>0</v>
      </c>
      <c r="AW34" s="621">
        <f t="shared" ca="1" si="87"/>
        <v>0</v>
      </c>
      <c r="AX34" s="621">
        <f t="shared" ca="1" si="87"/>
        <v>0</v>
      </c>
      <c r="AY34" s="621">
        <f t="shared" ca="1" si="87"/>
        <v>0</v>
      </c>
      <c r="AZ34" s="621">
        <f t="shared" ca="1" si="87"/>
        <v>0</v>
      </c>
      <c r="BA34" s="621">
        <f t="shared" ca="1" si="87"/>
        <v>0</v>
      </c>
      <c r="BB34" s="621">
        <f t="shared" ca="1" si="87"/>
        <v>0</v>
      </c>
      <c r="BC34" s="621">
        <f t="shared" ca="1" si="87"/>
        <v>0</v>
      </c>
      <c r="BD34" s="621">
        <f t="shared" ca="1" si="87"/>
        <v>0</v>
      </c>
      <c r="BE34" s="621">
        <f t="shared" ca="1" si="87"/>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9"/>
        <v>0</v>
      </c>
      <c r="BM34" s="610"/>
      <c r="BN34" s="413"/>
      <c r="BO34" s="2791">
        <f t="shared" ref="BO34:DF34" ca="1" si="88">IFERROR(SUMIFS(INDIRECT($C34&amp;".Emissions["&amp;this.Year&amp;"]"), INDIRECT($C34&amp;".Emissions[GHG]"), BO$6, INDIRECT($C34&amp;".Emissions[IPCC Sector]"), BO$5),0)</f>
        <v>0</v>
      </c>
      <c r="BP34" s="2792">
        <f t="shared" ca="1" si="88"/>
        <v>0</v>
      </c>
      <c r="BQ34" s="2792">
        <f t="shared" ca="1" si="88"/>
        <v>0</v>
      </c>
      <c r="BR34" s="2792">
        <f t="shared" ca="1" si="88"/>
        <v>0</v>
      </c>
      <c r="BS34" s="2792">
        <f t="shared" ca="1" si="88"/>
        <v>0</v>
      </c>
      <c r="BT34" s="2792">
        <f t="shared" ca="1" si="88"/>
        <v>0</v>
      </c>
      <c r="BU34" s="2792">
        <f t="shared" ca="1" si="88"/>
        <v>0</v>
      </c>
      <c r="BV34" s="2792">
        <f t="shared" ca="1" si="88"/>
        <v>0</v>
      </c>
      <c r="BW34" s="2792">
        <f t="shared" ca="1" si="88"/>
        <v>0</v>
      </c>
      <c r="BX34" s="2792">
        <f t="shared" ca="1" si="88"/>
        <v>0</v>
      </c>
      <c r="BY34" s="2792">
        <f t="shared" ca="1" si="88"/>
        <v>0</v>
      </c>
      <c r="BZ34" s="2792">
        <f t="shared" ca="1" si="88"/>
        <v>0</v>
      </c>
      <c r="CA34" s="2792">
        <f t="shared" ca="1" si="88"/>
        <v>0</v>
      </c>
      <c r="CB34" s="2792">
        <f t="shared" ca="1" si="88"/>
        <v>0</v>
      </c>
      <c r="CC34" s="2792">
        <f t="shared" ca="1" si="88"/>
        <v>0</v>
      </c>
      <c r="CD34" s="2792">
        <f t="shared" ca="1" si="88"/>
        <v>0</v>
      </c>
      <c r="CE34" s="2792">
        <f t="shared" ca="1" si="88"/>
        <v>0</v>
      </c>
      <c r="CF34" s="2792">
        <f t="shared" ca="1" si="88"/>
        <v>0</v>
      </c>
      <c r="CG34" s="2792">
        <f t="shared" ca="1" si="88"/>
        <v>0</v>
      </c>
      <c r="CH34" s="2792">
        <f t="shared" ca="1" si="88"/>
        <v>0</v>
      </c>
      <c r="CI34" s="2792">
        <f t="shared" ca="1" si="88"/>
        <v>0</v>
      </c>
      <c r="CJ34" s="2792">
        <f t="shared" ca="1" si="88"/>
        <v>0</v>
      </c>
      <c r="CK34" s="2792">
        <f t="shared" ca="1" si="88"/>
        <v>0</v>
      </c>
      <c r="CL34" s="2792">
        <f t="shared" ca="1" si="88"/>
        <v>0</v>
      </c>
      <c r="CM34" s="2792">
        <f t="shared" ca="1" si="88"/>
        <v>0</v>
      </c>
      <c r="CN34" s="2792">
        <f t="shared" ca="1" si="88"/>
        <v>0</v>
      </c>
      <c r="CO34" s="2792">
        <f t="shared" ca="1" si="88"/>
        <v>0</v>
      </c>
      <c r="CP34" s="2792">
        <f t="shared" ca="1" si="88"/>
        <v>0</v>
      </c>
      <c r="CQ34" s="2792">
        <f t="shared" ca="1" si="88"/>
        <v>0</v>
      </c>
      <c r="CR34" s="2792">
        <f t="shared" ca="1" si="88"/>
        <v>0</v>
      </c>
      <c r="CS34" s="2792">
        <f t="shared" ca="1" si="88"/>
        <v>0</v>
      </c>
      <c r="CT34" s="2792">
        <f t="shared" ca="1" si="88"/>
        <v>0</v>
      </c>
      <c r="CU34" s="2792">
        <f t="shared" ca="1" si="88"/>
        <v>0</v>
      </c>
      <c r="CV34" s="2792">
        <f t="shared" ca="1" si="88"/>
        <v>0</v>
      </c>
      <c r="CW34" s="2792">
        <f t="shared" ca="1" si="88"/>
        <v>0</v>
      </c>
      <c r="CX34" s="2792">
        <f t="shared" ca="1" si="88"/>
        <v>0</v>
      </c>
      <c r="CY34" s="2792">
        <f t="shared" ca="1" si="88"/>
        <v>0</v>
      </c>
      <c r="CZ34" s="2792">
        <f t="shared" ca="1" si="88"/>
        <v>0</v>
      </c>
      <c r="DA34" s="2792">
        <f t="shared" ca="1" si="88"/>
        <v>0</v>
      </c>
      <c r="DB34" s="2792">
        <f t="shared" ca="1" si="88"/>
        <v>0</v>
      </c>
      <c r="DC34" s="2792">
        <f t="shared" ca="1" si="88"/>
        <v>0</v>
      </c>
      <c r="DD34" s="2792">
        <f t="shared" ca="1" si="88"/>
        <v>0</v>
      </c>
      <c r="DE34" s="2792">
        <f t="shared" ca="1" si="88"/>
        <v>0</v>
      </c>
      <c r="DF34" s="2792">
        <f t="shared" ca="1" si="88"/>
        <v>0</v>
      </c>
      <c r="DH34" s="596">
        <f t="shared" ca="1" si="32"/>
        <v>0</v>
      </c>
    </row>
    <row r="35" spans="1:112" s="6" customFormat="1" ht="15.75">
      <c r="A35" s="4"/>
      <c r="B35" s="3"/>
      <c r="C35" s="616" t="s">
        <v>493</v>
      </c>
      <c r="D35" s="617" t="s">
        <v>375</v>
      </c>
      <c r="E35" s="206"/>
      <c r="G35" s="618">
        <f ca="1">G34</f>
        <v>0</v>
      </c>
      <c r="H35" s="618">
        <f t="shared" ref="H35:P35" ca="1" si="89">H34</f>
        <v>0</v>
      </c>
      <c r="I35" s="618">
        <f t="shared" ca="1" si="89"/>
        <v>0</v>
      </c>
      <c r="J35" s="618">
        <f t="shared" ca="1" si="89"/>
        <v>0</v>
      </c>
      <c r="K35" s="618">
        <f t="shared" ca="1" si="89"/>
        <v>0</v>
      </c>
      <c r="L35" s="618">
        <f t="shared" ca="1" si="89"/>
        <v>0</v>
      </c>
      <c r="M35" s="618">
        <f t="shared" ca="1" si="89"/>
        <v>0</v>
      </c>
      <c r="N35" s="618">
        <f ca="1">N34</f>
        <v>0</v>
      </c>
      <c r="O35" s="618">
        <f ca="1">O34</f>
        <v>0</v>
      </c>
      <c r="P35" s="618">
        <f t="shared" ca="1" si="89"/>
        <v>0</v>
      </c>
      <c r="Q35" s="618">
        <f ca="1">SUM(G35:P35)</f>
        <v>0</v>
      </c>
      <c r="S35" s="581">
        <f ca="1">S34</f>
        <v>0</v>
      </c>
      <c r="T35" s="581">
        <f t="shared" ref="T35:AJ35" ca="1" si="90">T34</f>
        <v>0</v>
      </c>
      <c r="U35" s="581">
        <f t="shared" ca="1" si="90"/>
        <v>0</v>
      </c>
      <c r="V35" s="581">
        <f t="shared" ca="1" si="90"/>
        <v>0</v>
      </c>
      <c r="W35" s="581">
        <f t="shared" ca="1" si="90"/>
        <v>0</v>
      </c>
      <c r="X35" s="581">
        <f ca="1">X34</f>
        <v>0</v>
      </c>
      <c r="Y35" s="581">
        <f ca="1">Y34</f>
        <v>0</v>
      </c>
      <c r="Z35" s="581">
        <f ca="1">Z34</f>
        <v>0</v>
      </c>
      <c r="AA35" s="581">
        <f t="shared" ca="1" si="90"/>
        <v>0</v>
      </c>
      <c r="AB35" s="581">
        <f t="shared" ca="1" si="90"/>
        <v>0</v>
      </c>
      <c r="AC35" s="581">
        <f t="shared" ca="1" si="90"/>
        <v>0</v>
      </c>
      <c r="AD35" s="581">
        <f ca="1">AD34</f>
        <v>0</v>
      </c>
      <c r="AE35" s="581">
        <f ca="1">AE34</f>
        <v>0</v>
      </c>
      <c r="AF35" s="581">
        <f t="shared" ca="1" si="90"/>
        <v>0</v>
      </c>
      <c r="AG35" s="581">
        <f ca="1">AG34</f>
        <v>0</v>
      </c>
      <c r="AH35" s="581">
        <f ca="1">AH34</f>
        <v>0</v>
      </c>
      <c r="AI35" s="581">
        <f ca="1">AI34</f>
        <v>0</v>
      </c>
      <c r="AJ35" s="581">
        <f t="shared" ca="1" si="90"/>
        <v>0</v>
      </c>
      <c r="AK35" s="581">
        <f ca="1">SUM(S35:AJ35)</f>
        <v>0</v>
      </c>
      <c r="AM35" s="582">
        <f t="shared" ref="AM35:BE35" ca="1" si="91">AM34</f>
        <v>0</v>
      </c>
      <c r="AN35" s="582">
        <f t="shared" ca="1" si="91"/>
        <v>0</v>
      </c>
      <c r="AO35" s="582">
        <f t="shared" ca="1" si="91"/>
        <v>0</v>
      </c>
      <c r="AP35" s="582">
        <f t="shared" ca="1" si="91"/>
        <v>0</v>
      </c>
      <c r="AQ35" s="582">
        <f t="shared" ca="1" si="91"/>
        <v>0</v>
      </c>
      <c r="AR35" s="582">
        <f t="shared" ca="1" si="91"/>
        <v>0</v>
      </c>
      <c r="AS35" s="582">
        <f t="shared" ca="1" si="91"/>
        <v>0</v>
      </c>
      <c r="AT35" s="582">
        <f t="shared" ca="1" si="91"/>
        <v>0</v>
      </c>
      <c r="AU35" s="582">
        <f t="shared" ca="1" si="91"/>
        <v>0</v>
      </c>
      <c r="AV35" s="582">
        <f t="shared" ca="1" si="91"/>
        <v>0</v>
      </c>
      <c r="AW35" s="582">
        <f t="shared" ca="1" si="91"/>
        <v>0</v>
      </c>
      <c r="AX35" s="582">
        <f t="shared" ca="1" si="91"/>
        <v>0</v>
      </c>
      <c r="AY35" s="582">
        <f t="shared" ca="1" si="91"/>
        <v>0</v>
      </c>
      <c r="AZ35" s="582">
        <f t="shared" ca="1" si="91"/>
        <v>0</v>
      </c>
      <c r="BA35" s="582">
        <f t="shared" ca="1" si="91"/>
        <v>0</v>
      </c>
      <c r="BB35" s="582">
        <f t="shared" ca="1" si="91"/>
        <v>0</v>
      </c>
      <c r="BC35" s="582">
        <f t="shared" ca="1" si="91"/>
        <v>0</v>
      </c>
      <c r="BD35" s="582">
        <f ca="1">BD34</f>
        <v>0</v>
      </c>
      <c r="BE35" s="582">
        <f t="shared" ca="1" si="91"/>
        <v>0</v>
      </c>
      <c r="BF35" s="582">
        <f ca="1">SUM(AM35:BE35)</f>
        <v>0</v>
      </c>
      <c r="BH35" s="3463">
        <f ca="1">BH34</f>
        <v>0</v>
      </c>
      <c r="BI35" s="3463">
        <f ca="1">BI34</f>
        <v>0</v>
      </c>
      <c r="BJ35" s="3463">
        <f ca="1">SUM(BH35:BI35)</f>
        <v>0</v>
      </c>
      <c r="BL35" s="3477">
        <f t="shared" ca="1" si="9"/>
        <v>0</v>
      </c>
      <c r="BM35" s="584"/>
      <c r="BN35" s="413"/>
      <c r="BO35" s="2790">
        <f t="shared" ref="BO35:DF35" ca="1" si="92">BO34</f>
        <v>0</v>
      </c>
      <c r="BP35" s="2790">
        <f t="shared" ca="1" si="92"/>
        <v>0</v>
      </c>
      <c r="BQ35" s="2790">
        <f t="shared" ca="1" si="92"/>
        <v>0</v>
      </c>
      <c r="BR35" s="2790">
        <f t="shared" ca="1" si="92"/>
        <v>0</v>
      </c>
      <c r="BS35" s="2790">
        <f t="shared" ca="1" si="92"/>
        <v>0</v>
      </c>
      <c r="BT35" s="2790">
        <f t="shared" ca="1" si="92"/>
        <v>0</v>
      </c>
      <c r="BU35" s="2790">
        <f t="shared" ca="1" si="92"/>
        <v>0</v>
      </c>
      <c r="BV35" s="2790">
        <f t="shared" ca="1" si="92"/>
        <v>0</v>
      </c>
      <c r="BW35" s="2790">
        <f t="shared" ca="1" si="92"/>
        <v>0</v>
      </c>
      <c r="BX35" s="2790">
        <f t="shared" ca="1" si="92"/>
        <v>0</v>
      </c>
      <c r="BY35" s="2790">
        <f t="shared" ca="1" si="92"/>
        <v>0</v>
      </c>
      <c r="BZ35" s="2790">
        <f t="shared" ca="1" si="92"/>
        <v>0</v>
      </c>
      <c r="CA35" s="2790">
        <f t="shared" ca="1" si="92"/>
        <v>0</v>
      </c>
      <c r="CB35" s="2790">
        <f t="shared" ca="1" si="92"/>
        <v>0</v>
      </c>
      <c r="CC35" s="2790">
        <f t="shared" ca="1" si="92"/>
        <v>0</v>
      </c>
      <c r="CD35" s="2790">
        <f t="shared" ca="1" si="92"/>
        <v>0</v>
      </c>
      <c r="CE35" s="2790">
        <f t="shared" ca="1" si="92"/>
        <v>0</v>
      </c>
      <c r="CF35" s="2790">
        <f t="shared" ca="1" si="92"/>
        <v>0</v>
      </c>
      <c r="CG35" s="2790">
        <f t="shared" ca="1" si="92"/>
        <v>0</v>
      </c>
      <c r="CH35" s="2790">
        <f t="shared" ca="1" si="92"/>
        <v>0</v>
      </c>
      <c r="CI35" s="2790">
        <f t="shared" ca="1" si="92"/>
        <v>0</v>
      </c>
      <c r="CJ35" s="2790">
        <f t="shared" ca="1" si="92"/>
        <v>0</v>
      </c>
      <c r="CK35" s="2790">
        <f t="shared" ca="1" si="92"/>
        <v>0</v>
      </c>
      <c r="CL35" s="2790">
        <f t="shared" ca="1" si="92"/>
        <v>0</v>
      </c>
      <c r="CM35" s="2790">
        <f t="shared" ca="1" si="92"/>
        <v>0</v>
      </c>
      <c r="CN35" s="2790">
        <f t="shared" ca="1" si="92"/>
        <v>0</v>
      </c>
      <c r="CO35" s="2790">
        <f t="shared" ca="1" si="92"/>
        <v>0</v>
      </c>
      <c r="CP35" s="2790">
        <f t="shared" ca="1" si="92"/>
        <v>0</v>
      </c>
      <c r="CQ35" s="2790">
        <f t="shared" ca="1" si="92"/>
        <v>0</v>
      </c>
      <c r="CR35" s="2790">
        <f t="shared" ca="1" si="92"/>
        <v>0</v>
      </c>
      <c r="CS35" s="2790">
        <f t="shared" ca="1" si="92"/>
        <v>0</v>
      </c>
      <c r="CT35" s="2790">
        <f t="shared" ca="1" si="92"/>
        <v>0</v>
      </c>
      <c r="CU35" s="2790">
        <f t="shared" ca="1" si="92"/>
        <v>0</v>
      </c>
      <c r="CV35" s="2790">
        <f t="shared" ca="1" si="92"/>
        <v>0</v>
      </c>
      <c r="CW35" s="2790">
        <f t="shared" ca="1" si="92"/>
        <v>0</v>
      </c>
      <c r="CX35" s="2790">
        <f t="shared" ca="1" si="92"/>
        <v>0</v>
      </c>
      <c r="CY35" s="2790">
        <f t="shared" ca="1" si="92"/>
        <v>0</v>
      </c>
      <c r="CZ35" s="2790">
        <f t="shared" ca="1" si="92"/>
        <v>0</v>
      </c>
      <c r="DA35" s="2790">
        <f t="shared" ca="1" si="92"/>
        <v>0</v>
      </c>
      <c r="DB35" s="2790">
        <f t="shared" ca="1" si="92"/>
        <v>0</v>
      </c>
      <c r="DC35" s="2790">
        <f t="shared" ca="1" si="92"/>
        <v>0</v>
      </c>
      <c r="DD35" s="2790">
        <f t="shared" ca="1" si="92"/>
        <v>0</v>
      </c>
      <c r="DE35" s="2790">
        <f t="shared" ca="1" si="92"/>
        <v>0</v>
      </c>
      <c r="DF35" s="2790">
        <f t="shared" ca="1" si="92"/>
        <v>0</v>
      </c>
      <c r="DH35" s="596">
        <f t="shared" ca="1" si="32"/>
        <v>0</v>
      </c>
    </row>
    <row r="36" spans="1:112" s="6" customFormat="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9"/>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2"/>
        <v>0</v>
      </c>
    </row>
    <row r="37" spans="1:112" s="6" customFormat="1">
      <c r="A37" s="607"/>
      <c r="B37" s="607"/>
      <c r="C37" s="587" t="s">
        <v>494</v>
      </c>
      <c r="D37" s="611" t="s">
        <v>495</v>
      </c>
      <c r="E37" s="611"/>
      <c r="G37" s="619">
        <f t="shared" ref="G37:P37" ca="1" si="93">IFERROR(INDEX(INDIRECT($C37&amp;".Outputs["&amp;this.Year&amp;"]"), MATCH(G$5, INDIRECT($C37&amp;".Outputs[Vector]"), 0)), 0)</f>
        <v>0</v>
      </c>
      <c r="H37" s="619">
        <f t="shared" ca="1" si="93"/>
        <v>0</v>
      </c>
      <c r="I37" s="619">
        <f t="shared" ca="1" si="93"/>
        <v>0</v>
      </c>
      <c r="J37" s="619">
        <f t="shared" ca="1" si="93"/>
        <v>0</v>
      </c>
      <c r="K37" s="619">
        <f t="shared" ca="1" si="93"/>
        <v>0</v>
      </c>
      <c r="L37" s="619">
        <f t="shared" ca="1" si="93"/>
        <v>0</v>
      </c>
      <c r="M37" s="619">
        <f t="shared" ca="1" si="93"/>
        <v>0</v>
      </c>
      <c r="N37" s="619">
        <f t="shared" ca="1" si="93"/>
        <v>0</v>
      </c>
      <c r="O37" s="619">
        <f t="shared" ca="1" si="93"/>
        <v>0</v>
      </c>
      <c r="P37" s="619">
        <f t="shared" ca="1" si="93"/>
        <v>0</v>
      </c>
      <c r="Q37" s="612">
        <f ca="1">SUM(G37:P37)</f>
        <v>0</v>
      </c>
      <c r="S37" s="620">
        <f t="shared" ref="S37:AJ37" ca="1" si="94">IFERROR(INDEX(INDIRECT($C37&amp;".Outputs["&amp;this.Year&amp;"]"), MATCH(S$5, INDIRECT($C37&amp;".Outputs[Vector]"), 0)), 0)</f>
        <v>0</v>
      </c>
      <c r="T37" s="620">
        <f t="shared" ca="1" si="94"/>
        <v>0</v>
      </c>
      <c r="U37" s="620">
        <f t="shared" ca="1" si="94"/>
        <v>0</v>
      </c>
      <c r="V37" s="620">
        <f t="shared" ca="1" si="94"/>
        <v>0</v>
      </c>
      <c r="W37" s="620">
        <f t="shared" ca="1" si="94"/>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4"/>
        <v>0</v>
      </c>
      <c r="AB37" s="620">
        <f t="shared" ca="1" si="94"/>
        <v>0</v>
      </c>
      <c r="AC37" s="620">
        <f t="shared" ca="1" si="94"/>
        <v>0</v>
      </c>
      <c r="AD37" s="620">
        <f t="shared" ca="1" si="94"/>
        <v>0</v>
      </c>
      <c r="AE37" s="620">
        <f t="shared" ca="1" si="94"/>
        <v>0</v>
      </c>
      <c r="AF37" s="620">
        <f t="shared" ca="1" si="94"/>
        <v>0</v>
      </c>
      <c r="AG37" s="620">
        <f t="shared" ca="1" si="94"/>
        <v>0</v>
      </c>
      <c r="AH37" s="620">
        <f t="shared" ca="1" si="94"/>
        <v>0</v>
      </c>
      <c r="AI37" s="620">
        <f t="shared" ca="1" si="94"/>
        <v>0</v>
      </c>
      <c r="AJ37" s="620">
        <f t="shared" ca="1" si="94"/>
        <v>0</v>
      </c>
      <c r="AK37" s="613">
        <f ca="1">SUM(S37:AJ37)</f>
        <v>0</v>
      </c>
      <c r="AM37" s="621">
        <f t="shared" ref="AM37:BE37" ca="1" si="95">IFERROR(INDEX(INDIRECT($C37&amp;".Outputs["&amp;this.Year&amp;"]"), MATCH(AM$5, INDIRECT($C37&amp;".Outputs[Vector]"), 0)), 0)</f>
        <v>0</v>
      </c>
      <c r="AN37" s="621">
        <f t="shared" ca="1" si="95"/>
        <v>0</v>
      </c>
      <c r="AO37" s="621">
        <f t="shared" ca="1" si="95"/>
        <v>0</v>
      </c>
      <c r="AP37" s="621">
        <f t="shared" ca="1" si="95"/>
        <v>0</v>
      </c>
      <c r="AQ37" s="621">
        <f t="shared" ca="1" si="95"/>
        <v>0</v>
      </c>
      <c r="AR37" s="621">
        <f t="shared" ca="1" si="95"/>
        <v>0</v>
      </c>
      <c r="AS37" s="621">
        <f t="shared" ca="1" si="95"/>
        <v>0</v>
      </c>
      <c r="AT37" s="621">
        <f t="shared" ca="1" si="95"/>
        <v>0</v>
      </c>
      <c r="AU37" s="621">
        <f t="shared" ca="1" si="95"/>
        <v>0</v>
      </c>
      <c r="AV37" s="621">
        <f t="shared" ca="1" si="95"/>
        <v>0</v>
      </c>
      <c r="AW37" s="621">
        <f t="shared" ca="1" si="95"/>
        <v>0</v>
      </c>
      <c r="AX37" s="621">
        <f t="shared" ca="1" si="95"/>
        <v>0</v>
      </c>
      <c r="AY37" s="621">
        <f t="shared" ca="1" si="95"/>
        <v>0</v>
      </c>
      <c r="AZ37" s="621">
        <f t="shared" ca="1" si="95"/>
        <v>0</v>
      </c>
      <c r="BA37" s="621">
        <f t="shared" ca="1" si="95"/>
        <v>0</v>
      </c>
      <c r="BB37" s="621">
        <f t="shared" ca="1" si="95"/>
        <v>0</v>
      </c>
      <c r="BC37" s="621">
        <f t="shared" ca="1" si="95"/>
        <v>0</v>
      </c>
      <c r="BD37" s="621">
        <f t="shared" ca="1" si="95"/>
        <v>0</v>
      </c>
      <c r="BE37" s="621">
        <f t="shared" ca="1" si="95"/>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9"/>
        <v>0</v>
      </c>
      <c r="BM37" s="610"/>
      <c r="BN37" s="413"/>
      <c r="BO37" s="2791">
        <f t="shared" ref="BO37:DF37" ca="1" si="96">IFERROR(SUMIFS(INDIRECT($C37&amp;".Emissions["&amp;this.Year&amp;"]"), INDIRECT($C37&amp;".Emissions[GHG]"), BO$6, INDIRECT($C37&amp;".Emissions[IPCC Sector]"), BO$5),0)</f>
        <v>0</v>
      </c>
      <c r="BP37" s="2792">
        <f t="shared" ca="1" si="96"/>
        <v>0</v>
      </c>
      <c r="BQ37" s="2792">
        <f t="shared" ca="1" si="96"/>
        <v>0</v>
      </c>
      <c r="BR37" s="2792">
        <f t="shared" ca="1" si="96"/>
        <v>0</v>
      </c>
      <c r="BS37" s="2792">
        <f t="shared" ca="1" si="96"/>
        <v>0</v>
      </c>
      <c r="BT37" s="2792">
        <f t="shared" ca="1" si="96"/>
        <v>0</v>
      </c>
      <c r="BU37" s="2792">
        <f t="shared" ca="1" si="96"/>
        <v>0</v>
      </c>
      <c r="BV37" s="2792">
        <f t="shared" ca="1" si="96"/>
        <v>0</v>
      </c>
      <c r="BW37" s="2792">
        <f t="shared" ca="1" si="96"/>
        <v>0</v>
      </c>
      <c r="BX37" s="2792">
        <f t="shared" ca="1" si="96"/>
        <v>0</v>
      </c>
      <c r="BY37" s="2792">
        <f t="shared" ca="1" si="96"/>
        <v>0</v>
      </c>
      <c r="BZ37" s="2792">
        <f t="shared" ca="1" si="96"/>
        <v>0</v>
      </c>
      <c r="CA37" s="2792">
        <f t="shared" ca="1" si="96"/>
        <v>0</v>
      </c>
      <c r="CB37" s="2792">
        <f t="shared" ca="1" si="96"/>
        <v>0</v>
      </c>
      <c r="CC37" s="2792">
        <f t="shared" ca="1" si="96"/>
        <v>0</v>
      </c>
      <c r="CD37" s="2792">
        <f t="shared" ca="1" si="96"/>
        <v>0</v>
      </c>
      <c r="CE37" s="2792">
        <f t="shared" ca="1" si="96"/>
        <v>0</v>
      </c>
      <c r="CF37" s="2792">
        <f t="shared" ca="1" si="96"/>
        <v>0</v>
      </c>
      <c r="CG37" s="2792">
        <f t="shared" ca="1" si="96"/>
        <v>0</v>
      </c>
      <c r="CH37" s="2792">
        <f t="shared" ca="1" si="96"/>
        <v>0</v>
      </c>
      <c r="CI37" s="2792">
        <f t="shared" ca="1" si="96"/>
        <v>0</v>
      </c>
      <c r="CJ37" s="2792">
        <f t="shared" ca="1" si="96"/>
        <v>0</v>
      </c>
      <c r="CK37" s="2792">
        <f t="shared" ca="1" si="96"/>
        <v>0</v>
      </c>
      <c r="CL37" s="2792">
        <f t="shared" ca="1" si="96"/>
        <v>0</v>
      </c>
      <c r="CM37" s="2792">
        <f t="shared" ca="1" si="96"/>
        <v>0</v>
      </c>
      <c r="CN37" s="2792">
        <f t="shared" ca="1" si="96"/>
        <v>0</v>
      </c>
      <c r="CO37" s="2792">
        <f t="shared" ca="1" si="96"/>
        <v>0</v>
      </c>
      <c r="CP37" s="2792">
        <f t="shared" ca="1" si="96"/>
        <v>0</v>
      </c>
      <c r="CQ37" s="2792">
        <f t="shared" ca="1" si="96"/>
        <v>0</v>
      </c>
      <c r="CR37" s="2792">
        <f t="shared" ca="1" si="96"/>
        <v>0</v>
      </c>
      <c r="CS37" s="2792">
        <f t="shared" ca="1" si="96"/>
        <v>0</v>
      </c>
      <c r="CT37" s="2792">
        <f t="shared" ca="1" si="96"/>
        <v>0</v>
      </c>
      <c r="CU37" s="2792">
        <f t="shared" ca="1" si="96"/>
        <v>0</v>
      </c>
      <c r="CV37" s="2792">
        <f t="shared" ca="1" si="96"/>
        <v>0</v>
      </c>
      <c r="CW37" s="2792">
        <f t="shared" ca="1" si="96"/>
        <v>0</v>
      </c>
      <c r="CX37" s="2792">
        <f t="shared" ca="1" si="96"/>
        <v>0</v>
      </c>
      <c r="CY37" s="2792">
        <f t="shared" ca="1" si="96"/>
        <v>0</v>
      </c>
      <c r="CZ37" s="2792">
        <f t="shared" ca="1" si="96"/>
        <v>0</v>
      </c>
      <c r="DA37" s="2792">
        <f t="shared" ca="1" si="96"/>
        <v>0</v>
      </c>
      <c r="DB37" s="2792">
        <f t="shared" ca="1" si="96"/>
        <v>0</v>
      </c>
      <c r="DC37" s="2792">
        <f t="shared" ca="1" si="96"/>
        <v>0</v>
      </c>
      <c r="DD37" s="2792">
        <f t="shared" ca="1" si="96"/>
        <v>0</v>
      </c>
      <c r="DE37" s="2792">
        <f t="shared" ca="1" si="96"/>
        <v>0</v>
      </c>
      <c r="DF37" s="2792">
        <f t="shared" ca="1" si="96"/>
        <v>0</v>
      </c>
      <c r="DH37" s="596">
        <f t="shared" ca="1" si="32"/>
        <v>0</v>
      </c>
    </row>
    <row r="38" spans="1:112" s="6" customFormat="1" ht="15.75">
      <c r="A38" s="4"/>
      <c r="B38" s="3"/>
      <c r="C38" s="616" t="s">
        <v>496</v>
      </c>
      <c r="D38" s="617" t="s">
        <v>495</v>
      </c>
      <c r="E38" s="206"/>
      <c r="G38" s="618">
        <f t="shared" ref="G38:P38" ca="1" si="97">G37</f>
        <v>0</v>
      </c>
      <c r="H38" s="618">
        <f t="shared" ca="1" si="97"/>
        <v>0</v>
      </c>
      <c r="I38" s="618">
        <f t="shared" ca="1" si="97"/>
        <v>0</v>
      </c>
      <c r="J38" s="618">
        <f t="shared" ca="1" si="97"/>
        <v>0</v>
      </c>
      <c r="K38" s="618">
        <f t="shared" ca="1" si="97"/>
        <v>0</v>
      </c>
      <c r="L38" s="618">
        <f t="shared" ca="1" si="97"/>
        <v>0</v>
      </c>
      <c r="M38" s="618">
        <f t="shared" ca="1" si="97"/>
        <v>0</v>
      </c>
      <c r="N38" s="618">
        <f t="shared" ca="1" si="97"/>
        <v>0</v>
      </c>
      <c r="O38" s="618">
        <f t="shared" ca="1" si="97"/>
        <v>0</v>
      </c>
      <c r="P38" s="618">
        <f t="shared" ca="1" si="97"/>
        <v>0</v>
      </c>
      <c r="Q38" s="618">
        <f ca="1">SUM(G38:P38)</f>
        <v>0</v>
      </c>
      <c r="S38" s="581">
        <f t="shared" ref="S38:AJ38" ca="1" si="98">S37</f>
        <v>0</v>
      </c>
      <c r="T38" s="581">
        <f t="shared" ca="1" si="98"/>
        <v>0</v>
      </c>
      <c r="U38" s="581">
        <f t="shared" ca="1" si="98"/>
        <v>0</v>
      </c>
      <c r="V38" s="581">
        <f t="shared" ca="1" si="98"/>
        <v>0</v>
      </c>
      <c r="W38" s="581">
        <f t="shared" ca="1" si="98"/>
        <v>0</v>
      </c>
      <c r="X38" s="581">
        <f ca="1">X37</f>
        <v>0</v>
      </c>
      <c r="Y38" s="581">
        <f ca="1">Y37</f>
        <v>0</v>
      </c>
      <c r="Z38" s="581">
        <f ca="1">Z37</f>
        <v>0</v>
      </c>
      <c r="AA38" s="581">
        <f t="shared" ca="1" si="98"/>
        <v>0</v>
      </c>
      <c r="AB38" s="581">
        <f t="shared" ca="1" si="98"/>
        <v>0</v>
      </c>
      <c r="AC38" s="581">
        <f t="shared" ca="1" si="98"/>
        <v>0</v>
      </c>
      <c r="AD38" s="581">
        <f ca="1">AD37</f>
        <v>0</v>
      </c>
      <c r="AE38" s="581">
        <f ca="1">AE37</f>
        <v>0</v>
      </c>
      <c r="AF38" s="581">
        <f t="shared" ca="1" si="98"/>
        <v>0</v>
      </c>
      <c r="AG38" s="581">
        <f ca="1">AG37</f>
        <v>0</v>
      </c>
      <c r="AH38" s="581">
        <f ca="1">AH37</f>
        <v>0</v>
      </c>
      <c r="AI38" s="581">
        <f ca="1">AI37</f>
        <v>0</v>
      </c>
      <c r="AJ38" s="581">
        <f t="shared" ca="1" si="98"/>
        <v>0</v>
      </c>
      <c r="AK38" s="581">
        <f ca="1">SUM(S38:AJ38)</f>
        <v>0</v>
      </c>
      <c r="AM38" s="582">
        <f t="shared" ref="AM38:BE38" ca="1" si="99">AM37</f>
        <v>0</v>
      </c>
      <c r="AN38" s="582">
        <f t="shared" ca="1" si="99"/>
        <v>0</v>
      </c>
      <c r="AO38" s="582">
        <f t="shared" ca="1" si="99"/>
        <v>0</v>
      </c>
      <c r="AP38" s="582">
        <f t="shared" ca="1" si="99"/>
        <v>0</v>
      </c>
      <c r="AQ38" s="582">
        <f t="shared" ca="1" si="99"/>
        <v>0</v>
      </c>
      <c r="AR38" s="582">
        <f t="shared" ca="1" si="99"/>
        <v>0</v>
      </c>
      <c r="AS38" s="582">
        <f t="shared" ca="1" si="99"/>
        <v>0</v>
      </c>
      <c r="AT38" s="582">
        <f t="shared" ca="1" si="99"/>
        <v>0</v>
      </c>
      <c r="AU38" s="582">
        <f t="shared" ca="1" si="99"/>
        <v>0</v>
      </c>
      <c r="AV38" s="582">
        <f t="shared" ca="1" si="99"/>
        <v>0</v>
      </c>
      <c r="AW38" s="582">
        <f t="shared" ca="1" si="99"/>
        <v>0</v>
      </c>
      <c r="AX38" s="582">
        <f t="shared" ca="1" si="99"/>
        <v>0</v>
      </c>
      <c r="AY38" s="582">
        <f t="shared" ca="1" si="99"/>
        <v>0</v>
      </c>
      <c r="AZ38" s="582">
        <f t="shared" ca="1" si="99"/>
        <v>0</v>
      </c>
      <c r="BA38" s="582">
        <f t="shared" ca="1" si="99"/>
        <v>0</v>
      </c>
      <c r="BB38" s="582">
        <f t="shared" ca="1" si="99"/>
        <v>0</v>
      </c>
      <c r="BC38" s="582">
        <f t="shared" ca="1" si="99"/>
        <v>0</v>
      </c>
      <c r="BD38" s="582">
        <f ca="1">BD37</f>
        <v>0</v>
      </c>
      <c r="BE38" s="582">
        <f t="shared" ca="1" si="99"/>
        <v>0</v>
      </c>
      <c r="BF38" s="582">
        <f ca="1">SUM(AM38:BE38)</f>
        <v>0</v>
      </c>
      <c r="BH38" s="3463">
        <f ca="1">BH37</f>
        <v>0</v>
      </c>
      <c r="BI38" s="3463">
        <f ca="1">BI37</f>
        <v>0</v>
      </c>
      <c r="BJ38" s="3463">
        <f ca="1">SUM(BH38:BI38)</f>
        <v>0</v>
      </c>
      <c r="BL38" s="3477">
        <f t="shared" ca="1" si="9"/>
        <v>0</v>
      </c>
      <c r="BM38" s="584"/>
      <c r="BN38" s="413"/>
      <c r="BO38" s="2790">
        <f t="shared" ref="BO38:DF38" ca="1" si="100">BO37</f>
        <v>0</v>
      </c>
      <c r="BP38" s="2790">
        <f t="shared" ca="1" si="100"/>
        <v>0</v>
      </c>
      <c r="BQ38" s="2790">
        <f t="shared" ca="1" si="100"/>
        <v>0</v>
      </c>
      <c r="BR38" s="2790">
        <f t="shared" ca="1" si="100"/>
        <v>0</v>
      </c>
      <c r="BS38" s="2790">
        <f t="shared" ca="1" si="100"/>
        <v>0</v>
      </c>
      <c r="BT38" s="2790">
        <f t="shared" ca="1" si="100"/>
        <v>0</v>
      </c>
      <c r="BU38" s="2790">
        <f t="shared" ca="1" si="100"/>
        <v>0</v>
      </c>
      <c r="BV38" s="2790">
        <f t="shared" ca="1" si="100"/>
        <v>0</v>
      </c>
      <c r="BW38" s="2790">
        <f t="shared" ca="1" si="100"/>
        <v>0</v>
      </c>
      <c r="BX38" s="2790">
        <f t="shared" ca="1" si="100"/>
        <v>0</v>
      </c>
      <c r="BY38" s="2790">
        <f t="shared" ca="1" si="100"/>
        <v>0</v>
      </c>
      <c r="BZ38" s="2790">
        <f t="shared" ca="1" si="100"/>
        <v>0</v>
      </c>
      <c r="CA38" s="2790">
        <f t="shared" ca="1" si="100"/>
        <v>0</v>
      </c>
      <c r="CB38" s="2790">
        <f t="shared" ca="1" si="100"/>
        <v>0</v>
      </c>
      <c r="CC38" s="2790">
        <f t="shared" ca="1" si="100"/>
        <v>0</v>
      </c>
      <c r="CD38" s="2790">
        <f t="shared" ca="1" si="100"/>
        <v>0</v>
      </c>
      <c r="CE38" s="2790">
        <f t="shared" ca="1" si="100"/>
        <v>0</v>
      </c>
      <c r="CF38" s="2790">
        <f t="shared" ca="1" si="100"/>
        <v>0</v>
      </c>
      <c r="CG38" s="2790">
        <f t="shared" ca="1" si="100"/>
        <v>0</v>
      </c>
      <c r="CH38" s="2790">
        <f t="shared" ca="1" si="100"/>
        <v>0</v>
      </c>
      <c r="CI38" s="2790">
        <f t="shared" ca="1" si="100"/>
        <v>0</v>
      </c>
      <c r="CJ38" s="2790">
        <f t="shared" ca="1" si="100"/>
        <v>0</v>
      </c>
      <c r="CK38" s="2790">
        <f t="shared" ca="1" si="100"/>
        <v>0</v>
      </c>
      <c r="CL38" s="2790">
        <f t="shared" ca="1" si="100"/>
        <v>0</v>
      </c>
      <c r="CM38" s="2790">
        <f t="shared" ca="1" si="100"/>
        <v>0</v>
      </c>
      <c r="CN38" s="2790">
        <f t="shared" ca="1" si="100"/>
        <v>0</v>
      </c>
      <c r="CO38" s="2790">
        <f t="shared" ca="1" si="100"/>
        <v>0</v>
      </c>
      <c r="CP38" s="2790">
        <f t="shared" ca="1" si="100"/>
        <v>0</v>
      </c>
      <c r="CQ38" s="2790">
        <f t="shared" ca="1" si="100"/>
        <v>0</v>
      </c>
      <c r="CR38" s="2790">
        <f t="shared" ca="1" si="100"/>
        <v>0</v>
      </c>
      <c r="CS38" s="2790">
        <f t="shared" ca="1" si="100"/>
        <v>0</v>
      </c>
      <c r="CT38" s="2790">
        <f t="shared" ca="1" si="100"/>
        <v>0</v>
      </c>
      <c r="CU38" s="2790">
        <f t="shared" ca="1" si="100"/>
        <v>0</v>
      </c>
      <c r="CV38" s="2790">
        <f t="shared" ca="1" si="100"/>
        <v>0</v>
      </c>
      <c r="CW38" s="2790">
        <f t="shared" ca="1" si="100"/>
        <v>0</v>
      </c>
      <c r="CX38" s="2790">
        <f t="shared" ca="1" si="100"/>
        <v>0</v>
      </c>
      <c r="CY38" s="2790">
        <f t="shared" ca="1" si="100"/>
        <v>0</v>
      </c>
      <c r="CZ38" s="2790">
        <f t="shared" ca="1" si="100"/>
        <v>0</v>
      </c>
      <c r="DA38" s="2790">
        <f t="shared" ca="1" si="100"/>
        <v>0</v>
      </c>
      <c r="DB38" s="2790">
        <f t="shared" ca="1" si="100"/>
        <v>0</v>
      </c>
      <c r="DC38" s="2790">
        <f t="shared" ca="1" si="100"/>
        <v>0</v>
      </c>
      <c r="DD38" s="2790">
        <f t="shared" ca="1" si="100"/>
        <v>0</v>
      </c>
      <c r="DE38" s="2790">
        <f t="shared" ca="1" si="100"/>
        <v>0</v>
      </c>
      <c r="DF38" s="2790">
        <f t="shared" ca="1" si="100"/>
        <v>0</v>
      </c>
      <c r="DH38" s="596">
        <f t="shared" ca="1" si="32"/>
        <v>0</v>
      </c>
    </row>
    <row r="39" spans="1:112" s="6" customForma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9"/>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1">G$15+G$19+G$22+G$32+G$35+G$38</f>
        <v>35.606421512563799</v>
      </c>
      <c r="H40" s="633">
        <f t="shared" ca="1" si="101"/>
        <v>10.338546231208076</v>
      </c>
      <c r="I40" s="633">
        <f t="shared" ca="1" si="101"/>
        <v>26.821877579890064</v>
      </c>
      <c r="J40" s="633">
        <f t="shared" ca="1" si="101"/>
        <v>36.134435164573652</v>
      </c>
      <c r="K40" s="633">
        <f t="shared" ca="1" si="101"/>
        <v>0.43876387038956832</v>
      </c>
      <c r="L40" s="633">
        <f t="shared" ca="1" si="101"/>
        <v>2.6748583502616049E-2</v>
      </c>
      <c r="M40" s="633">
        <f t="shared" ca="1" si="101"/>
        <v>0.66</v>
      </c>
      <c r="N40" s="633">
        <f t="shared" ca="1" si="101"/>
        <v>7.4554183878892841</v>
      </c>
      <c r="O40" s="633">
        <f t="shared" ca="1" si="101"/>
        <v>0</v>
      </c>
      <c r="P40" s="633">
        <f t="shared" ca="1" si="101"/>
        <v>0</v>
      </c>
      <c r="Q40" s="633">
        <f t="shared" ca="1" si="101"/>
        <v>117.48221133001707</v>
      </c>
      <c r="S40" s="634">
        <f t="shared" ref="S40:AJ40" ca="1" si="102">S$15+S$19+S$22+S$32+S$35+S$38</f>
        <v>-24.013940970771124</v>
      </c>
      <c r="T40" s="634">
        <f t="shared" ca="1" si="102"/>
        <v>1.3644642857142859</v>
      </c>
      <c r="U40" s="634">
        <f t="shared" ca="1" si="102"/>
        <v>-3.734651317978495</v>
      </c>
      <c r="V40" s="634">
        <f t="shared" ca="1" si="102"/>
        <v>-63.780310281220906</v>
      </c>
      <c r="W40" s="634">
        <f t="shared" ca="1" si="102"/>
        <v>-26.566151988945858</v>
      </c>
      <c r="X40" s="634">
        <f ca="1">X$15+X$19+X$22+X$32+X$35+X$38</f>
        <v>0</v>
      </c>
      <c r="Y40" s="634">
        <f ca="1">Y$15+Y$19+Y$22+Y$32+Y$35+Y$38</f>
        <v>0</v>
      </c>
      <c r="Z40" s="634">
        <f ca="1">Z$15+Z$19+Z$22+Z$32+Z$35+Z$38</f>
        <v>0</v>
      </c>
      <c r="AA40" s="634">
        <f t="shared" ca="1" si="102"/>
        <v>0</v>
      </c>
      <c r="AB40" s="634">
        <f t="shared" ca="1" si="102"/>
        <v>0</v>
      </c>
      <c r="AC40" s="634">
        <f t="shared" ca="1" si="102"/>
        <v>0</v>
      </c>
      <c r="AD40" s="634">
        <f t="shared" ca="1" si="102"/>
        <v>0</v>
      </c>
      <c r="AE40" s="634">
        <f t="shared" ca="1" si="102"/>
        <v>0</v>
      </c>
      <c r="AF40" s="634">
        <f t="shared" ca="1" si="102"/>
        <v>0</v>
      </c>
      <c r="AG40" s="634">
        <f t="shared" ca="1" si="102"/>
        <v>0</v>
      </c>
      <c r="AH40" s="634">
        <f t="shared" ca="1" si="102"/>
        <v>0</v>
      </c>
      <c r="AI40" s="634">
        <f t="shared" ca="1" si="102"/>
        <v>-0.55796848364472162</v>
      </c>
      <c r="AJ40" s="634">
        <f t="shared" ca="1" si="102"/>
        <v>-1.4985241277847491E-3</v>
      </c>
      <c r="AK40" s="634">
        <f ca="1">SUM(S40:AJ40)</f>
        <v>-117.29005728097462</v>
      </c>
      <c r="AM40" s="635">
        <f t="shared" ref="AM40:BE40" ca="1" si="103">AM$15+AM$19+AM$22+AM$32+AM$35+AM$38</f>
        <v>0</v>
      </c>
      <c r="AN40" s="635">
        <f t="shared" ca="1" si="103"/>
        <v>0</v>
      </c>
      <c r="AO40" s="635">
        <f t="shared" ca="1" si="103"/>
        <v>0</v>
      </c>
      <c r="AP40" s="635">
        <f t="shared" ca="1" si="103"/>
        <v>0</v>
      </c>
      <c r="AQ40" s="635">
        <f t="shared" ca="1" si="103"/>
        <v>0</v>
      </c>
      <c r="AR40" s="635">
        <f t="shared" ca="1" si="103"/>
        <v>0</v>
      </c>
      <c r="AS40" s="635">
        <f t="shared" ca="1" si="103"/>
        <v>0</v>
      </c>
      <c r="AT40" s="635">
        <f t="shared" ca="1" si="103"/>
        <v>0</v>
      </c>
      <c r="AU40" s="635">
        <f t="shared" ca="1" si="103"/>
        <v>0</v>
      </c>
      <c r="AV40" s="635">
        <f t="shared" ca="1" si="103"/>
        <v>0</v>
      </c>
      <c r="AW40" s="635">
        <f t="shared" ca="1" si="103"/>
        <v>0</v>
      </c>
      <c r="AX40" s="635">
        <f t="shared" ca="1" si="103"/>
        <v>0</v>
      </c>
      <c r="AY40" s="635">
        <f t="shared" ca="1" si="103"/>
        <v>0</v>
      </c>
      <c r="AZ40" s="635">
        <f t="shared" ca="1" si="103"/>
        <v>0</v>
      </c>
      <c r="BA40" s="635">
        <f t="shared" ca="1" si="103"/>
        <v>0</v>
      </c>
      <c r="BB40" s="635">
        <f t="shared" ca="1" si="103"/>
        <v>0</v>
      </c>
      <c r="BC40" s="635">
        <f t="shared" ca="1" si="103"/>
        <v>-0.19215404904246119</v>
      </c>
      <c r="BD40" s="635">
        <f t="shared" ca="1" si="103"/>
        <v>0</v>
      </c>
      <c r="BE40" s="635">
        <f t="shared" ca="1" si="103"/>
        <v>0</v>
      </c>
      <c r="BF40" s="635">
        <f ca="1">SUM(AM40:BE40)</f>
        <v>-0.19215404904246119</v>
      </c>
      <c r="BH40" s="3464">
        <f ca="1">BH$15+BH$19+BH$22+BH$32+BH$35+BH$38</f>
        <v>0</v>
      </c>
      <c r="BI40" s="3464">
        <f ca="1">BI$15+BI$19+BI$22+BI$32+BI$35+BI$38</f>
        <v>0</v>
      </c>
      <c r="BJ40" s="3464">
        <f ca="1">SUM(BH40:BI40)</f>
        <v>0</v>
      </c>
      <c r="BL40" s="3478">
        <f t="shared" ca="1" si="9"/>
        <v>-1.7819079545233762E-14</v>
      </c>
      <c r="BM40" s="636"/>
      <c r="BO40" s="2793">
        <f t="shared" ref="BO40:DF40" ca="1" si="104">BO$15+BO$19+BO$22+BO$32+BO$35+BO$38</f>
        <v>21.562568928510789</v>
      </c>
      <c r="BP40" s="2793">
        <f t="shared" ca="1" si="104"/>
        <v>1.498052431951934E-2</v>
      </c>
      <c r="BQ40" s="2793">
        <f t="shared" ca="1" si="104"/>
        <v>0.12577777734423123</v>
      </c>
      <c r="BR40" s="2793">
        <f t="shared" ca="1" si="104"/>
        <v>0</v>
      </c>
      <c r="BS40" s="2793">
        <f t="shared" ca="1" si="104"/>
        <v>0</v>
      </c>
      <c r="BT40" s="2793">
        <f t="shared" ca="1" si="104"/>
        <v>0</v>
      </c>
      <c r="BU40" s="2793">
        <f t="shared" ca="1" si="104"/>
        <v>0</v>
      </c>
      <c r="BV40" s="2793">
        <f t="shared" ca="1" si="104"/>
        <v>0</v>
      </c>
      <c r="BW40" s="2793">
        <f t="shared" ca="1" si="104"/>
        <v>1.1642523149646604</v>
      </c>
      <c r="BX40" s="2793">
        <f t="shared" ca="1" si="104"/>
        <v>0</v>
      </c>
      <c r="BY40" s="2793">
        <f t="shared" ca="1" si="104"/>
        <v>0</v>
      </c>
      <c r="BZ40" s="2793">
        <f t="shared" ca="1" si="104"/>
        <v>0.91607788377966026</v>
      </c>
      <c r="CA40" s="2793">
        <f t="shared" ca="1" si="104"/>
        <v>0</v>
      </c>
      <c r="CB40" s="2793">
        <f t="shared" ca="1" si="104"/>
        <v>0</v>
      </c>
      <c r="CC40" s="2793">
        <f t="shared" ca="1" si="104"/>
        <v>0</v>
      </c>
      <c r="CD40" s="2793">
        <f t="shared" ca="1" si="104"/>
        <v>0</v>
      </c>
      <c r="CE40" s="2793">
        <f t="shared" ca="1" si="104"/>
        <v>0</v>
      </c>
      <c r="CF40" s="2793">
        <f t="shared" ca="1" si="104"/>
        <v>0</v>
      </c>
      <c r="CG40" s="2793">
        <f t="shared" ca="1" si="104"/>
        <v>0</v>
      </c>
      <c r="CH40" s="2793">
        <f t="shared" ca="1" si="104"/>
        <v>0</v>
      </c>
      <c r="CI40" s="2793">
        <f t="shared" ca="1" si="104"/>
        <v>0</v>
      </c>
      <c r="CJ40" s="2793">
        <f t="shared" ca="1" si="104"/>
        <v>0</v>
      </c>
      <c r="CK40" s="2793">
        <f t="shared" ca="1" si="104"/>
        <v>0</v>
      </c>
      <c r="CL40" s="2793">
        <f t="shared" ca="1" si="104"/>
        <v>0</v>
      </c>
      <c r="CM40" s="2793">
        <f t="shared" ca="1" si="104"/>
        <v>0</v>
      </c>
      <c r="CN40" s="2793">
        <f t="shared" ca="1" si="104"/>
        <v>0</v>
      </c>
      <c r="CO40" s="2793">
        <f t="shared" ca="1" si="104"/>
        <v>0</v>
      </c>
      <c r="CP40" s="2793">
        <f t="shared" ca="1" si="104"/>
        <v>0</v>
      </c>
      <c r="CQ40" s="2793">
        <f t="shared" ca="1" si="104"/>
        <v>0</v>
      </c>
      <c r="CR40" s="2793">
        <f t="shared" ca="1" si="104"/>
        <v>0</v>
      </c>
      <c r="CS40" s="2793">
        <f t="shared" ca="1" si="104"/>
        <v>0</v>
      </c>
      <c r="CT40" s="2793">
        <f t="shared" ca="1" si="104"/>
        <v>0</v>
      </c>
      <c r="CU40" s="2793">
        <f t="shared" ca="1" si="104"/>
        <v>1.9673358041962239</v>
      </c>
      <c r="CV40" s="2793">
        <f t="shared" ca="1" si="104"/>
        <v>1.6908888903732896E-3</v>
      </c>
      <c r="CW40" s="2793">
        <f t="shared" ca="1" si="104"/>
        <v>4.9921481525306644E-3</v>
      </c>
      <c r="CX40" s="2793">
        <f t="shared" ca="1" si="104"/>
        <v>0</v>
      </c>
      <c r="CY40" s="2793">
        <f t="shared" ca="1" si="104"/>
        <v>0</v>
      </c>
      <c r="CZ40" s="2793">
        <f t="shared" ca="1" si="104"/>
        <v>0</v>
      </c>
      <c r="DA40" s="2793">
        <f t="shared" ca="1" si="104"/>
        <v>0</v>
      </c>
      <c r="DB40" s="2793">
        <f t="shared" ca="1" si="104"/>
        <v>0</v>
      </c>
      <c r="DC40" s="2793">
        <f t="shared" ca="1" si="104"/>
        <v>0</v>
      </c>
      <c r="DD40" s="2793">
        <f t="shared" ca="1" si="104"/>
        <v>0</v>
      </c>
      <c r="DE40" s="2793">
        <f t="shared" ca="1" si="104"/>
        <v>0</v>
      </c>
      <c r="DF40" s="2793">
        <f t="shared" ca="1" si="104"/>
        <v>0</v>
      </c>
      <c r="DH40" s="637">
        <f ca="1">SUM(BO40:DF40)</f>
        <v>25.75767627015799</v>
      </c>
    </row>
    <row r="41" spans="1:112" s="6" customForma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9"/>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15.75">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9"/>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9"/>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-1.4985241277847491E-3</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9"/>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c r="A45" s="4"/>
      <c r="B45" s="4"/>
      <c r="C45" s="587" t="s">
        <v>502</v>
      </c>
      <c r="D45" s="611" t="s">
        <v>503</v>
      </c>
      <c r="E45" s="650"/>
      <c r="G45" s="619">
        <f t="shared" ref="G45:P45" ca="1" si="105">IFERROR(INDEX(INDIRECT($C45&amp;".Outputs["&amp;this.Year&amp;"]"), MATCH(G$5, INDIRECT($C45&amp;".Outputs[Vector]"), 0)), 0)</f>
        <v>0</v>
      </c>
      <c r="H45" s="619">
        <f t="shared" ca="1" si="105"/>
        <v>0</v>
      </c>
      <c r="I45" s="619">
        <f t="shared" ca="1" si="105"/>
        <v>0</v>
      </c>
      <c r="J45" s="619">
        <f t="shared" ca="1" si="105"/>
        <v>0</v>
      </c>
      <c r="K45" s="619">
        <f t="shared" ca="1" si="105"/>
        <v>0</v>
      </c>
      <c r="L45" s="619">
        <f t="shared" ca="1" si="105"/>
        <v>0</v>
      </c>
      <c r="M45" s="619">
        <f t="shared" ca="1" si="105"/>
        <v>0</v>
      </c>
      <c r="N45" s="619">
        <f t="shared" ca="1" si="105"/>
        <v>0</v>
      </c>
      <c r="O45" s="619">
        <f t="shared" ca="1" si="105"/>
        <v>0</v>
      </c>
      <c r="P45" s="619">
        <f t="shared" ca="1" si="105"/>
        <v>0</v>
      </c>
      <c r="Q45" s="612">
        <f ca="1">SUM(G45:P45)</f>
        <v>0</v>
      </c>
      <c r="S45" s="620">
        <f t="shared" ref="S45:AJ45" ca="1" si="106">IFERROR(INDEX(INDIRECT($C45&amp;".Outputs["&amp;this.Year&amp;"]"), MATCH(S$5, INDIRECT($C45&amp;".Outputs[Vector]"), 0)), 0)</f>
        <v>-6.9162652051603802E-4</v>
      </c>
      <c r="T45" s="620">
        <f t="shared" ca="1" si="106"/>
        <v>0</v>
      </c>
      <c r="U45" s="620">
        <f t="shared" ca="1" si="106"/>
        <v>0</v>
      </c>
      <c r="V45" s="620">
        <f t="shared" ca="1" si="106"/>
        <v>0</v>
      </c>
      <c r="W45" s="620">
        <f t="shared" ca="1" si="106"/>
        <v>-1.4936269901122501E-3</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06"/>
        <v>0</v>
      </c>
      <c r="AB45" s="620">
        <f t="shared" ca="1" si="106"/>
        <v>0</v>
      </c>
      <c r="AC45" s="620">
        <f t="shared" ca="1" si="106"/>
        <v>0</v>
      </c>
      <c r="AD45" s="620">
        <f t="shared" ca="1" si="106"/>
        <v>0</v>
      </c>
      <c r="AE45" s="620">
        <f t="shared" ca="1" si="106"/>
        <v>0</v>
      </c>
      <c r="AF45" s="620">
        <f t="shared" ca="1" si="106"/>
        <v>0</v>
      </c>
      <c r="AG45" s="620">
        <f t="shared" ca="1" si="106"/>
        <v>0</v>
      </c>
      <c r="AH45" s="620">
        <f t="shared" ca="1" si="106"/>
        <v>0</v>
      </c>
      <c r="AI45" s="620">
        <f t="shared" ca="1" si="106"/>
        <v>0</v>
      </c>
      <c r="AJ45" s="620">
        <f t="shared" ca="1" si="106"/>
        <v>1.4985241277847491E-3</v>
      </c>
      <c r="AK45" s="613">
        <f ca="1">SUM(S45:AJ45)</f>
        <v>-6.8672938284353906E-4</v>
      </c>
      <c r="AM45" s="621">
        <f t="shared" ref="AM45:BE45" ca="1" si="107">IFERROR(INDEX(INDIRECT($C45&amp;".Outputs["&amp;this.Year&amp;"]"), MATCH(AM$5, INDIRECT($C45&amp;".Outputs[Vector]"), 0)), 0)</f>
        <v>0</v>
      </c>
      <c r="AN45" s="621">
        <f t="shared" ca="1" si="107"/>
        <v>0</v>
      </c>
      <c r="AO45" s="621">
        <f t="shared" ca="1" si="107"/>
        <v>0</v>
      </c>
      <c r="AP45" s="621">
        <f t="shared" ca="1" si="107"/>
        <v>0</v>
      </c>
      <c r="AQ45" s="621">
        <f t="shared" ca="1" si="107"/>
        <v>0</v>
      </c>
      <c r="AR45" s="621">
        <f t="shared" ca="1" si="107"/>
        <v>0</v>
      </c>
      <c r="AS45" s="621">
        <f t="shared" ca="1" si="107"/>
        <v>0</v>
      </c>
      <c r="AT45" s="621">
        <f t="shared" ca="1" si="107"/>
        <v>0</v>
      </c>
      <c r="AU45" s="621">
        <f t="shared" ca="1" si="107"/>
        <v>0</v>
      </c>
      <c r="AV45" s="621">
        <f t="shared" ca="1" si="107"/>
        <v>0</v>
      </c>
      <c r="AW45" s="621">
        <f t="shared" ca="1" si="107"/>
        <v>0</v>
      </c>
      <c r="AX45" s="621">
        <f t="shared" ca="1" si="107"/>
        <v>0</v>
      </c>
      <c r="AY45" s="621">
        <f t="shared" ca="1" si="107"/>
        <v>0</v>
      </c>
      <c r="AZ45" s="621">
        <f t="shared" ca="1" si="107"/>
        <v>0</v>
      </c>
      <c r="BA45" s="621">
        <f t="shared" ca="1" si="107"/>
        <v>0</v>
      </c>
      <c r="BB45" s="621">
        <f t="shared" ca="1" si="107"/>
        <v>0</v>
      </c>
      <c r="BC45" s="621">
        <f t="shared" ca="1" si="107"/>
        <v>0</v>
      </c>
      <c r="BD45" s="621">
        <f t="shared" ca="1" si="107"/>
        <v>0</v>
      </c>
      <c r="BE45" s="621">
        <f t="shared" ca="1" si="107"/>
        <v>0</v>
      </c>
      <c r="BF45" s="615">
        <f ca="1">SUM(AM45:BE45)</f>
        <v>0</v>
      </c>
      <c r="BH45" s="3473">
        <f ca="1">IFERROR(INDEX(INDIRECT($C45&amp;".Outputs["&amp;this.Year&amp;"]"), MATCH(BH$5, INDIRECT($C45&amp;".Outputs[Vector]"), 0)), 0)</f>
        <v>6.8672938284353895E-4</v>
      </c>
      <c r="BI45" s="3473">
        <f ca="1">IFERROR(INDEX(INDIRECT($C45&amp;".Outputs["&amp;this.Year&amp;"]"), MATCH(BI$5, INDIRECT($C45&amp;".Outputs[Vector]"), 0)), 0)</f>
        <v>0</v>
      </c>
      <c r="BJ45" s="3462">
        <f ca="1">SUM(BH45:BI45)</f>
        <v>6.8672938284353895E-4</v>
      </c>
      <c r="BL45" s="3477"/>
      <c r="BM45" s="584"/>
      <c r="BN45" s="413"/>
      <c r="BO45" s="2791">
        <f t="shared" ref="BO45:DF45" ca="1" si="108">IFERROR(SUMIFS(INDIRECT($C45&amp;".Emissions["&amp;this.Year&amp;"]"), INDIRECT($C45&amp;".Emissions[GHG]"), BO$6, INDIRECT($C45&amp;".Emissions[IPCC Sector]"), BO$5),0)</f>
        <v>3.0577710976816794E-4</v>
      </c>
      <c r="BP45" s="2792">
        <f t="shared" ca="1" si="108"/>
        <v>1.1291820045248612E-7</v>
      </c>
      <c r="BQ45" s="2792">
        <f t="shared" ca="1" si="108"/>
        <v>4.833974390799286E-6</v>
      </c>
      <c r="BR45" s="2792">
        <f t="shared" ca="1" si="108"/>
        <v>0</v>
      </c>
      <c r="BS45" s="2792">
        <f t="shared" ca="1" si="108"/>
        <v>0</v>
      </c>
      <c r="BT45" s="2792">
        <f t="shared" ca="1" si="108"/>
        <v>0</v>
      </c>
      <c r="BU45" s="2792">
        <f t="shared" ca="1" si="108"/>
        <v>0</v>
      </c>
      <c r="BV45" s="2792">
        <f t="shared" ca="1" si="108"/>
        <v>0</v>
      </c>
      <c r="BW45" s="2792">
        <f t="shared" ca="1" si="108"/>
        <v>0</v>
      </c>
      <c r="BX45" s="2792">
        <f t="shared" ca="1" si="108"/>
        <v>0</v>
      </c>
      <c r="BY45" s="2792">
        <f t="shared" ca="1" si="108"/>
        <v>0</v>
      </c>
      <c r="BZ45" s="2792">
        <f t="shared" ca="1" si="108"/>
        <v>0</v>
      </c>
      <c r="CA45" s="2792">
        <f t="shared" ca="1" si="108"/>
        <v>0</v>
      </c>
      <c r="CB45" s="2792">
        <f t="shared" ca="1" si="108"/>
        <v>0</v>
      </c>
      <c r="CC45" s="2792">
        <f t="shared" ca="1" si="108"/>
        <v>0</v>
      </c>
      <c r="CD45" s="2792">
        <f t="shared" ca="1" si="108"/>
        <v>0</v>
      </c>
      <c r="CE45" s="2792">
        <f t="shared" ca="1" si="108"/>
        <v>0</v>
      </c>
      <c r="CF45" s="2792">
        <f t="shared" ca="1" si="108"/>
        <v>0</v>
      </c>
      <c r="CG45" s="2792">
        <f t="shared" ca="1" si="108"/>
        <v>0</v>
      </c>
      <c r="CH45" s="2792">
        <f t="shared" ca="1" si="108"/>
        <v>0</v>
      </c>
      <c r="CI45" s="2792">
        <f t="shared" ca="1" si="108"/>
        <v>0</v>
      </c>
      <c r="CJ45" s="2792">
        <f t="shared" ca="1" si="108"/>
        <v>0</v>
      </c>
      <c r="CK45" s="2792">
        <f t="shared" ca="1" si="108"/>
        <v>0</v>
      </c>
      <c r="CL45" s="2792">
        <f t="shared" ca="1" si="108"/>
        <v>0</v>
      </c>
      <c r="CM45" s="2792">
        <f t="shared" ca="1" si="108"/>
        <v>0</v>
      </c>
      <c r="CN45" s="2792">
        <f t="shared" ca="1" si="108"/>
        <v>0</v>
      </c>
      <c r="CO45" s="2792">
        <f t="shared" ca="1" si="108"/>
        <v>0</v>
      </c>
      <c r="CP45" s="2792">
        <f t="shared" ca="1" si="108"/>
        <v>0</v>
      </c>
      <c r="CQ45" s="2792">
        <f t="shared" ca="1" si="108"/>
        <v>0</v>
      </c>
      <c r="CR45" s="2792">
        <f t="shared" ca="1" si="108"/>
        <v>0</v>
      </c>
      <c r="CS45" s="2792">
        <f t="shared" ca="1" si="108"/>
        <v>0</v>
      </c>
      <c r="CT45" s="2792">
        <f t="shared" ca="1" si="108"/>
        <v>0</v>
      </c>
      <c r="CU45" s="2792">
        <f t="shared" ca="1" si="108"/>
        <v>0</v>
      </c>
      <c r="CV45" s="2792">
        <f t="shared" ca="1" si="108"/>
        <v>0</v>
      </c>
      <c r="CW45" s="2792">
        <f t="shared" ca="1" si="108"/>
        <v>0</v>
      </c>
      <c r="CX45" s="2792">
        <f t="shared" ca="1" si="108"/>
        <v>0</v>
      </c>
      <c r="CY45" s="2792">
        <f t="shared" ca="1" si="108"/>
        <v>0</v>
      </c>
      <c r="CZ45" s="2792">
        <f t="shared" ca="1" si="108"/>
        <v>0</v>
      </c>
      <c r="DA45" s="2792">
        <f t="shared" ca="1" si="108"/>
        <v>0</v>
      </c>
      <c r="DB45" s="2792">
        <f t="shared" ca="1" si="108"/>
        <v>0</v>
      </c>
      <c r="DC45" s="2792">
        <f t="shared" ca="1" si="108"/>
        <v>0</v>
      </c>
      <c r="DD45" s="2792">
        <f t="shared" ca="1" si="108"/>
        <v>0</v>
      </c>
      <c r="DE45" s="2792">
        <f t="shared" ca="1" si="108"/>
        <v>0</v>
      </c>
      <c r="DF45" s="2792">
        <f t="shared" ca="1" si="108"/>
        <v>0</v>
      </c>
      <c r="DH45" s="596"/>
    </row>
    <row r="46" spans="1:112" s="6" customFormat="1" ht="15.75">
      <c r="A46" s="4"/>
      <c r="B46" s="3"/>
      <c r="C46" s="616" t="s">
        <v>504</v>
      </c>
      <c r="D46" s="617" t="s">
        <v>505</v>
      </c>
      <c r="E46" s="206"/>
      <c r="G46" s="618">
        <f ca="1">G45</f>
        <v>0</v>
      </c>
      <c r="H46" s="618">
        <f t="shared" ref="H46:P46" ca="1" si="109">H45</f>
        <v>0</v>
      </c>
      <c r="I46" s="618">
        <f t="shared" ca="1" si="109"/>
        <v>0</v>
      </c>
      <c r="J46" s="618">
        <f t="shared" ca="1" si="109"/>
        <v>0</v>
      </c>
      <c r="K46" s="618">
        <f t="shared" ca="1" si="109"/>
        <v>0</v>
      </c>
      <c r="L46" s="618">
        <f t="shared" ca="1" si="109"/>
        <v>0</v>
      </c>
      <c r="M46" s="618">
        <f t="shared" ca="1" si="109"/>
        <v>0</v>
      </c>
      <c r="N46" s="618">
        <f t="shared" ca="1" si="109"/>
        <v>0</v>
      </c>
      <c r="O46" s="618">
        <f t="shared" ca="1" si="109"/>
        <v>0</v>
      </c>
      <c r="P46" s="618">
        <f t="shared" ca="1" si="109"/>
        <v>0</v>
      </c>
      <c r="Q46" s="618">
        <f ca="1">SUM(G46:P46)</f>
        <v>0</v>
      </c>
      <c r="S46" s="581">
        <f t="shared" ref="S46:AJ46" ca="1" si="110">S45</f>
        <v>-6.9162652051603802E-4</v>
      </c>
      <c r="T46" s="581">
        <f t="shared" ca="1" si="110"/>
        <v>0</v>
      </c>
      <c r="U46" s="581">
        <f t="shared" ca="1" si="110"/>
        <v>0</v>
      </c>
      <c r="V46" s="581">
        <f t="shared" ca="1" si="110"/>
        <v>0</v>
      </c>
      <c r="W46" s="581">
        <f t="shared" ca="1" si="110"/>
        <v>-1.4936269901122501E-3</v>
      </c>
      <c r="X46" s="581">
        <f t="shared" ca="1" si="110"/>
        <v>0</v>
      </c>
      <c r="Y46" s="581">
        <f t="shared" ca="1" si="110"/>
        <v>0</v>
      </c>
      <c r="Z46" s="581">
        <f t="shared" ca="1" si="110"/>
        <v>0</v>
      </c>
      <c r="AA46" s="581">
        <f t="shared" ca="1" si="110"/>
        <v>0</v>
      </c>
      <c r="AB46" s="581">
        <f t="shared" ca="1" si="110"/>
        <v>0</v>
      </c>
      <c r="AC46" s="581">
        <f t="shared" ca="1" si="110"/>
        <v>0</v>
      </c>
      <c r="AD46" s="581">
        <f t="shared" ca="1" si="110"/>
        <v>0</v>
      </c>
      <c r="AE46" s="581">
        <f ca="1">AE45</f>
        <v>0</v>
      </c>
      <c r="AF46" s="581">
        <f t="shared" ca="1" si="110"/>
        <v>0</v>
      </c>
      <c r="AG46" s="581">
        <f t="shared" ca="1" si="110"/>
        <v>0</v>
      </c>
      <c r="AH46" s="581">
        <f ca="1">AH45</f>
        <v>0</v>
      </c>
      <c r="AI46" s="581">
        <f t="shared" ca="1" si="110"/>
        <v>0</v>
      </c>
      <c r="AJ46" s="581">
        <f t="shared" ca="1" si="110"/>
        <v>1.4985241277847491E-3</v>
      </c>
      <c r="AK46" s="581">
        <f ca="1">SUM(S46:AJ46)</f>
        <v>-6.8672938284353906E-4</v>
      </c>
      <c r="AM46" s="582">
        <f t="shared" ref="AM46:BE46" ca="1" si="111">AM45</f>
        <v>0</v>
      </c>
      <c r="AN46" s="582">
        <f t="shared" ca="1" si="111"/>
        <v>0</v>
      </c>
      <c r="AO46" s="582">
        <f t="shared" ca="1" si="111"/>
        <v>0</v>
      </c>
      <c r="AP46" s="582">
        <f t="shared" ca="1" si="111"/>
        <v>0</v>
      </c>
      <c r="AQ46" s="582">
        <f t="shared" ca="1" si="111"/>
        <v>0</v>
      </c>
      <c r="AR46" s="582">
        <f t="shared" ca="1" si="111"/>
        <v>0</v>
      </c>
      <c r="AS46" s="582">
        <f t="shared" ca="1" si="111"/>
        <v>0</v>
      </c>
      <c r="AT46" s="582">
        <f t="shared" ca="1" si="111"/>
        <v>0</v>
      </c>
      <c r="AU46" s="582">
        <f t="shared" ca="1" si="111"/>
        <v>0</v>
      </c>
      <c r="AV46" s="582">
        <f t="shared" ca="1" si="111"/>
        <v>0</v>
      </c>
      <c r="AW46" s="582">
        <f t="shared" ca="1" si="111"/>
        <v>0</v>
      </c>
      <c r="AX46" s="582">
        <f t="shared" ca="1" si="111"/>
        <v>0</v>
      </c>
      <c r="AY46" s="582">
        <f t="shared" ca="1" si="111"/>
        <v>0</v>
      </c>
      <c r="AZ46" s="582">
        <f t="shared" ca="1" si="111"/>
        <v>0</v>
      </c>
      <c r="BA46" s="582">
        <f t="shared" ca="1" si="111"/>
        <v>0</v>
      </c>
      <c r="BB46" s="582">
        <f t="shared" ca="1" si="111"/>
        <v>0</v>
      </c>
      <c r="BC46" s="582">
        <f t="shared" ca="1" si="111"/>
        <v>0</v>
      </c>
      <c r="BD46" s="582">
        <f t="shared" ca="1" si="111"/>
        <v>0</v>
      </c>
      <c r="BE46" s="582">
        <f t="shared" ca="1" si="111"/>
        <v>0</v>
      </c>
      <c r="BF46" s="582">
        <f ca="1">SUM(AM46:BE46)</f>
        <v>0</v>
      </c>
      <c r="BH46" s="3463">
        <f ca="1">BH45</f>
        <v>6.8672938284353895E-4</v>
      </c>
      <c r="BI46" s="3463">
        <f ca="1">BI45</f>
        <v>0</v>
      </c>
      <c r="BJ46" s="3463">
        <f ca="1">SUM(BH46:BI46)</f>
        <v>6.8672938284353895E-4</v>
      </c>
      <c r="BL46" s="3477">
        <f ca="1">Q46+AK46+BF46+BJ46</f>
        <v>0</v>
      </c>
      <c r="BM46" s="584"/>
      <c r="BN46" s="413"/>
      <c r="BO46" s="2790">
        <f t="shared" ref="BO46:DF46" ca="1" si="112">BO45</f>
        <v>3.0577710976816794E-4</v>
      </c>
      <c r="BP46" s="2790">
        <f t="shared" ca="1" si="112"/>
        <v>1.1291820045248612E-7</v>
      </c>
      <c r="BQ46" s="2790">
        <f t="shared" ca="1" si="112"/>
        <v>4.833974390799286E-6</v>
      </c>
      <c r="BR46" s="2790">
        <f t="shared" ca="1" si="112"/>
        <v>0</v>
      </c>
      <c r="BS46" s="2790">
        <f t="shared" ca="1" si="112"/>
        <v>0</v>
      </c>
      <c r="BT46" s="2790">
        <f t="shared" ca="1" si="112"/>
        <v>0</v>
      </c>
      <c r="BU46" s="2790">
        <f t="shared" ca="1" si="112"/>
        <v>0</v>
      </c>
      <c r="BV46" s="2790">
        <f t="shared" ca="1" si="112"/>
        <v>0</v>
      </c>
      <c r="BW46" s="2790">
        <f t="shared" ca="1" si="112"/>
        <v>0</v>
      </c>
      <c r="BX46" s="2790">
        <f t="shared" ca="1" si="112"/>
        <v>0</v>
      </c>
      <c r="BY46" s="2790">
        <f t="shared" ca="1" si="112"/>
        <v>0</v>
      </c>
      <c r="BZ46" s="2790">
        <f t="shared" ca="1" si="112"/>
        <v>0</v>
      </c>
      <c r="CA46" s="2790">
        <f t="shared" ca="1" si="112"/>
        <v>0</v>
      </c>
      <c r="CB46" s="2790">
        <f t="shared" ca="1" si="112"/>
        <v>0</v>
      </c>
      <c r="CC46" s="2790">
        <f t="shared" ca="1" si="112"/>
        <v>0</v>
      </c>
      <c r="CD46" s="2790">
        <f t="shared" ca="1" si="112"/>
        <v>0</v>
      </c>
      <c r="CE46" s="2790">
        <f t="shared" ca="1" si="112"/>
        <v>0</v>
      </c>
      <c r="CF46" s="2790">
        <f t="shared" ca="1" si="112"/>
        <v>0</v>
      </c>
      <c r="CG46" s="2790">
        <f t="shared" ca="1" si="112"/>
        <v>0</v>
      </c>
      <c r="CH46" s="2790">
        <f t="shared" ca="1" si="112"/>
        <v>0</v>
      </c>
      <c r="CI46" s="2790">
        <f t="shared" ca="1" si="112"/>
        <v>0</v>
      </c>
      <c r="CJ46" s="2790">
        <f t="shared" ca="1" si="112"/>
        <v>0</v>
      </c>
      <c r="CK46" s="2790">
        <f t="shared" ca="1" si="112"/>
        <v>0</v>
      </c>
      <c r="CL46" s="2790">
        <f t="shared" ca="1" si="112"/>
        <v>0</v>
      </c>
      <c r="CM46" s="2790">
        <f t="shared" ca="1" si="112"/>
        <v>0</v>
      </c>
      <c r="CN46" s="2790">
        <f t="shared" ca="1" si="112"/>
        <v>0</v>
      </c>
      <c r="CO46" s="2790">
        <f t="shared" ca="1" si="112"/>
        <v>0</v>
      </c>
      <c r="CP46" s="2790">
        <f t="shared" ca="1" si="112"/>
        <v>0</v>
      </c>
      <c r="CQ46" s="2790">
        <f t="shared" ca="1" si="112"/>
        <v>0</v>
      </c>
      <c r="CR46" s="2790">
        <f t="shared" ca="1" si="112"/>
        <v>0</v>
      </c>
      <c r="CS46" s="2790">
        <f t="shared" ca="1" si="112"/>
        <v>0</v>
      </c>
      <c r="CT46" s="2790">
        <f t="shared" ca="1" si="112"/>
        <v>0</v>
      </c>
      <c r="CU46" s="2790">
        <f t="shared" ca="1" si="112"/>
        <v>0</v>
      </c>
      <c r="CV46" s="2790">
        <f t="shared" ca="1" si="112"/>
        <v>0</v>
      </c>
      <c r="CW46" s="2790">
        <f t="shared" ca="1" si="112"/>
        <v>0</v>
      </c>
      <c r="CX46" s="2790">
        <f t="shared" ca="1" si="112"/>
        <v>0</v>
      </c>
      <c r="CY46" s="2790">
        <f t="shared" ca="1" si="112"/>
        <v>0</v>
      </c>
      <c r="CZ46" s="2790">
        <f t="shared" ca="1" si="112"/>
        <v>0</v>
      </c>
      <c r="DA46" s="2790">
        <f t="shared" ca="1" si="112"/>
        <v>0</v>
      </c>
      <c r="DB46" s="2790">
        <f t="shared" ca="1" si="112"/>
        <v>0</v>
      </c>
      <c r="DC46" s="2790">
        <f t="shared" ca="1" si="112"/>
        <v>0</v>
      </c>
      <c r="DD46" s="2790">
        <f t="shared" ca="1" si="112"/>
        <v>0</v>
      </c>
      <c r="DE46" s="2790">
        <f t="shared" ca="1" si="112"/>
        <v>0</v>
      </c>
      <c r="DF46" s="2790">
        <f t="shared" ca="1" si="112"/>
        <v>0</v>
      </c>
      <c r="DH46" s="596">
        <f t="shared" ref="DH46:DH82" ca="1" si="113">SUM(BO46:DF46)</f>
        <v>3.107240023594197E-4</v>
      </c>
    </row>
    <row r="47" spans="1:112" s="6" customFormat="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13"/>
        <v>0</v>
      </c>
    </row>
    <row r="48" spans="1:112" s="6" customFormat="1">
      <c r="A48" s="607"/>
      <c r="B48" s="607"/>
      <c r="C48" s="587" t="s">
        <v>506</v>
      </c>
      <c r="D48" s="588" t="s">
        <v>507</v>
      </c>
      <c r="E48" s="588"/>
      <c r="G48" s="589">
        <f t="shared" ref="G48:P50" ca="1" si="114">IFERROR(INDEX(INDIRECT($C48&amp;".Outputs["&amp;this.Year&amp;"]"), MATCH(G$5, INDIRECT($C48&amp;".Outputs[Vector]"), 0)), 0)</f>
        <v>0</v>
      </c>
      <c r="H48" s="589">
        <f t="shared" ca="1" si="114"/>
        <v>0</v>
      </c>
      <c r="I48" s="589">
        <f t="shared" ca="1" si="114"/>
        <v>0</v>
      </c>
      <c r="J48" s="589">
        <f t="shared" ca="1" si="114"/>
        <v>0</v>
      </c>
      <c r="K48" s="589">
        <f t="shared" ca="1" si="114"/>
        <v>0</v>
      </c>
      <c r="L48" s="589">
        <f t="shared" ca="1" si="114"/>
        <v>0</v>
      </c>
      <c r="M48" s="589">
        <f t="shared" ca="1" si="114"/>
        <v>0</v>
      </c>
      <c r="N48" s="589">
        <f t="shared" ca="1" si="114"/>
        <v>0</v>
      </c>
      <c r="O48" s="589">
        <f t="shared" ca="1" si="114"/>
        <v>0</v>
      </c>
      <c r="P48" s="589">
        <f t="shared" ca="1" si="114"/>
        <v>0</v>
      </c>
      <c r="Q48" s="590">
        <f ca="1">SUM(G48:P48)</f>
        <v>0</v>
      </c>
      <c r="S48" s="591">
        <f t="shared" ref="S48:AJ50" ca="1" si="115">IFERROR(INDEX(INDIRECT($C48&amp;".Outputs["&amp;this.Year&amp;"]"), MATCH(S$5, INDIRECT($C48&amp;".Outputs[Vector]"), 0)), 0)</f>
        <v>0</v>
      </c>
      <c r="T48" s="591">
        <f t="shared" ca="1" si="115"/>
        <v>0</v>
      </c>
      <c r="U48" s="591">
        <f t="shared" ca="1" si="115"/>
        <v>0</v>
      </c>
      <c r="V48" s="591">
        <f t="shared" ca="1" si="115"/>
        <v>0</v>
      </c>
      <c r="W48" s="591">
        <f t="shared" ca="1" si="115"/>
        <v>0</v>
      </c>
      <c r="X48" s="591">
        <f t="shared" ca="1" si="115"/>
        <v>0</v>
      </c>
      <c r="Y48" s="591">
        <f t="shared" ca="1" si="115"/>
        <v>0</v>
      </c>
      <c r="Z48" s="591">
        <f t="shared" ca="1" si="115"/>
        <v>0</v>
      </c>
      <c r="AA48" s="591">
        <f t="shared" ca="1" si="115"/>
        <v>0</v>
      </c>
      <c r="AB48" s="591">
        <f t="shared" ca="1" si="115"/>
        <v>0</v>
      </c>
      <c r="AC48" s="591">
        <f t="shared" ca="1" si="115"/>
        <v>0</v>
      </c>
      <c r="AD48" s="591">
        <f t="shared" ca="1" si="115"/>
        <v>0</v>
      </c>
      <c r="AE48" s="591">
        <f t="shared" ca="1" si="115"/>
        <v>0</v>
      </c>
      <c r="AF48" s="591">
        <f t="shared" ca="1" si="115"/>
        <v>0</v>
      </c>
      <c r="AG48" s="591">
        <f t="shared" ca="1" si="115"/>
        <v>0</v>
      </c>
      <c r="AH48" s="591">
        <f t="shared" ca="1" si="115"/>
        <v>0</v>
      </c>
      <c r="AI48" s="591">
        <f t="shared" ca="1" si="115"/>
        <v>0</v>
      </c>
      <c r="AJ48" s="591">
        <f t="shared" ca="1" si="115"/>
        <v>0</v>
      </c>
      <c r="AK48" s="592">
        <f ca="1">SUM(S48:AJ48)</f>
        <v>0</v>
      </c>
      <c r="AM48" s="593">
        <f t="shared" ref="AM48:BB50" ca="1" si="116">IFERROR(INDEX(INDIRECT($C48&amp;".Outputs["&amp;this.Year&amp;"]"), MATCH(AM$5, INDIRECT($C48&amp;".Outputs[Vector]"), 0)), 0)</f>
        <v>0</v>
      </c>
      <c r="AN48" s="593">
        <f t="shared" ca="1" si="116"/>
        <v>0</v>
      </c>
      <c r="AO48" s="593">
        <f t="shared" ca="1" si="116"/>
        <v>0</v>
      </c>
      <c r="AP48" s="593">
        <f t="shared" ca="1" si="116"/>
        <v>0</v>
      </c>
      <c r="AQ48" s="593">
        <f t="shared" ca="1" si="116"/>
        <v>0</v>
      </c>
      <c r="AR48" s="593">
        <f t="shared" ca="1" si="116"/>
        <v>0</v>
      </c>
      <c r="AS48" s="593">
        <f t="shared" ca="1" si="116"/>
        <v>0</v>
      </c>
      <c r="AT48" s="593">
        <f t="shared" ca="1" si="116"/>
        <v>0</v>
      </c>
      <c r="AU48" s="593">
        <f t="shared" ca="1" si="116"/>
        <v>0</v>
      </c>
      <c r="AV48" s="593">
        <f t="shared" ca="1" si="116"/>
        <v>0</v>
      </c>
      <c r="AW48" s="593">
        <f t="shared" ca="1" si="116"/>
        <v>0</v>
      </c>
      <c r="AX48" s="593">
        <f t="shared" ca="1" si="116"/>
        <v>0</v>
      </c>
      <c r="AY48" s="593">
        <f t="shared" ca="1" si="116"/>
        <v>0</v>
      </c>
      <c r="AZ48" s="593">
        <f t="shared" ca="1" si="116"/>
        <v>0</v>
      </c>
      <c r="BA48" s="593">
        <f t="shared" ca="1" si="116"/>
        <v>0</v>
      </c>
      <c r="BB48" s="593">
        <f t="shared" ca="1" si="116"/>
        <v>0</v>
      </c>
      <c r="BC48" s="593">
        <f t="shared" ref="BC48:BE50" ca="1" si="117">IFERROR(INDEX(INDIRECT($C48&amp;".Outputs["&amp;this.Year&amp;"]"), MATCH(BC$5, INDIRECT($C48&amp;".Outputs[Vector]"), 0)), 0)</f>
        <v>0</v>
      </c>
      <c r="BD48" s="593">
        <f t="shared" ca="1" si="117"/>
        <v>0</v>
      </c>
      <c r="BE48" s="593">
        <f t="shared" ca="1" si="117"/>
        <v>0</v>
      </c>
      <c r="BF48" s="609">
        <f ca="1">SUM(AM48:BE48)</f>
        <v>0</v>
      </c>
      <c r="BH48" s="3471">
        <f t="shared" ref="BH48:BI50" ca="1" si="118">IFERROR(INDEX(INDIRECT($C48&amp;".Outputs["&amp;this.Year&amp;"]"), MATCH(BH$5, INDIRECT($C48&amp;".Outputs[Vector]"), 0)), 0)</f>
        <v>0</v>
      </c>
      <c r="BI48" s="3471">
        <f t="shared" ca="1" si="118"/>
        <v>0</v>
      </c>
      <c r="BJ48" s="3460">
        <f ca="1">SUM(BH48:BI48)</f>
        <v>0</v>
      </c>
      <c r="BL48" s="610"/>
      <c r="BM48" s="610"/>
      <c r="BN48" s="413"/>
      <c r="BO48" s="2789">
        <f t="shared" ref="BO48:BX50" ca="1" si="119">IFERROR(SUMIFS(INDIRECT($C48&amp;".Emissions["&amp;this.Year&amp;"]"), INDIRECT($C48&amp;".Emissions[GHG]"), BO$6, INDIRECT($C48&amp;".Emissions[IPCC Sector]"), BO$5),0)</f>
        <v>0</v>
      </c>
      <c r="BP48" s="2790">
        <f t="shared" ca="1" si="119"/>
        <v>0</v>
      </c>
      <c r="BQ48" s="2790">
        <f t="shared" ca="1" si="119"/>
        <v>0</v>
      </c>
      <c r="BR48" s="2790">
        <f t="shared" ca="1" si="119"/>
        <v>0</v>
      </c>
      <c r="BS48" s="2790">
        <f t="shared" ca="1" si="119"/>
        <v>0</v>
      </c>
      <c r="BT48" s="2790">
        <f t="shared" ca="1" si="119"/>
        <v>0</v>
      </c>
      <c r="BU48" s="2790">
        <f t="shared" ca="1" si="119"/>
        <v>0</v>
      </c>
      <c r="BV48" s="2790">
        <f t="shared" ca="1" si="119"/>
        <v>0</v>
      </c>
      <c r="BW48" s="2790">
        <f t="shared" ca="1" si="119"/>
        <v>0</v>
      </c>
      <c r="BX48" s="2790">
        <f t="shared" ca="1" si="119"/>
        <v>0</v>
      </c>
      <c r="BY48" s="2790">
        <f t="shared" ref="BY48:CH50" ca="1" si="120">IFERROR(SUMIFS(INDIRECT($C48&amp;".Emissions["&amp;this.Year&amp;"]"), INDIRECT($C48&amp;".Emissions[GHG]"), BY$6, INDIRECT($C48&amp;".Emissions[IPCC Sector]"), BY$5),0)</f>
        <v>0</v>
      </c>
      <c r="BZ48" s="2790">
        <f t="shared" ca="1" si="120"/>
        <v>0</v>
      </c>
      <c r="CA48" s="2790">
        <f t="shared" ca="1" si="120"/>
        <v>0</v>
      </c>
      <c r="CB48" s="2790">
        <f t="shared" ca="1" si="120"/>
        <v>0</v>
      </c>
      <c r="CC48" s="2790">
        <f t="shared" ca="1" si="120"/>
        <v>0</v>
      </c>
      <c r="CD48" s="2790">
        <f t="shared" ca="1" si="120"/>
        <v>0</v>
      </c>
      <c r="CE48" s="2790">
        <f t="shared" ca="1" si="120"/>
        <v>0</v>
      </c>
      <c r="CF48" s="2790">
        <f t="shared" ca="1" si="120"/>
        <v>0</v>
      </c>
      <c r="CG48" s="2790">
        <f t="shared" ca="1" si="120"/>
        <v>0</v>
      </c>
      <c r="CH48" s="2790">
        <f t="shared" ca="1" si="120"/>
        <v>0</v>
      </c>
      <c r="CI48" s="2790">
        <f t="shared" ref="CI48:CR50" ca="1" si="121">IFERROR(SUMIFS(INDIRECT($C48&amp;".Emissions["&amp;this.Year&amp;"]"), INDIRECT($C48&amp;".Emissions[GHG]"), CI$6, INDIRECT($C48&amp;".Emissions[IPCC Sector]"), CI$5),0)</f>
        <v>0</v>
      </c>
      <c r="CJ48" s="2790">
        <f t="shared" ca="1" si="121"/>
        <v>0</v>
      </c>
      <c r="CK48" s="2790">
        <f t="shared" ca="1" si="121"/>
        <v>0</v>
      </c>
      <c r="CL48" s="2790">
        <f t="shared" ca="1" si="121"/>
        <v>0</v>
      </c>
      <c r="CM48" s="2790">
        <f t="shared" ca="1" si="121"/>
        <v>0</v>
      </c>
      <c r="CN48" s="2790">
        <f t="shared" ca="1" si="121"/>
        <v>0</v>
      </c>
      <c r="CO48" s="2790">
        <f t="shared" ca="1" si="121"/>
        <v>0</v>
      </c>
      <c r="CP48" s="2790">
        <f t="shared" ca="1" si="121"/>
        <v>0</v>
      </c>
      <c r="CQ48" s="2790">
        <f t="shared" ca="1" si="121"/>
        <v>0</v>
      </c>
      <c r="CR48" s="2790">
        <f t="shared" ca="1" si="121"/>
        <v>0</v>
      </c>
      <c r="CS48" s="2790">
        <f t="shared" ref="CS48:DF50" ca="1" si="122">IFERROR(SUMIFS(INDIRECT($C48&amp;".Emissions["&amp;this.Year&amp;"]"), INDIRECT($C48&amp;".Emissions[GHG]"), CS$6, INDIRECT($C48&amp;".Emissions[IPCC Sector]"), CS$5),0)</f>
        <v>0</v>
      </c>
      <c r="CT48" s="2790">
        <f t="shared" ca="1" si="122"/>
        <v>0</v>
      </c>
      <c r="CU48" s="2790">
        <f t="shared" ca="1" si="122"/>
        <v>0</v>
      </c>
      <c r="CV48" s="2790">
        <f t="shared" ca="1" si="122"/>
        <v>0</v>
      </c>
      <c r="CW48" s="2790">
        <f t="shared" ca="1" si="122"/>
        <v>0</v>
      </c>
      <c r="CX48" s="2790">
        <f t="shared" ca="1" si="122"/>
        <v>0</v>
      </c>
      <c r="CY48" s="2790">
        <f t="shared" ca="1" si="122"/>
        <v>0</v>
      </c>
      <c r="CZ48" s="2790">
        <f t="shared" ca="1" si="122"/>
        <v>0</v>
      </c>
      <c r="DA48" s="2790">
        <f t="shared" ca="1" si="122"/>
        <v>0</v>
      </c>
      <c r="DB48" s="2790">
        <f t="shared" ca="1" si="122"/>
        <v>0</v>
      </c>
      <c r="DC48" s="2790">
        <f t="shared" ca="1" si="122"/>
        <v>0</v>
      </c>
      <c r="DD48" s="2790">
        <f t="shared" ca="1" si="122"/>
        <v>0</v>
      </c>
      <c r="DE48" s="2790">
        <f t="shared" ca="1" si="122"/>
        <v>0</v>
      </c>
      <c r="DF48" s="2790">
        <f t="shared" ca="1" si="122"/>
        <v>0</v>
      </c>
      <c r="DH48" s="596">
        <f ca="1">SUM(BO48:DF48)</f>
        <v>0</v>
      </c>
    </row>
    <row r="49" spans="1:112" s="6" customFormat="1">
      <c r="A49" s="607"/>
      <c r="B49" s="607"/>
      <c r="C49" s="587" t="s">
        <v>508</v>
      </c>
      <c r="D49" s="588" t="s">
        <v>509</v>
      </c>
      <c r="E49" s="588"/>
      <c r="G49" s="589">
        <f t="shared" ca="1" si="114"/>
        <v>0</v>
      </c>
      <c r="H49" s="589">
        <f t="shared" ca="1" si="114"/>
        <v>0</v>
      </c>
      <c r="I49" s="589">
        <f t="shared" ca="1" si="114"/>
        <v>0</v>
      </c>
      <c r="J49" s="589">
        <f t="shared" ca="1" si="114"/>
        <v>0</v>
      </c>
      <c r="K49" s="589">
        <f t="shared" ca="1" si="114"/>
        <v>0</v>
      </c>
      <c r="L49" s="589">
        <f t="shared" ca="1" si="114"/>
        <v>0</v>
      </c>
      <c r="M49" s="589">
        <f t="shared" ca="1" si="114"/>
        <v>0</v>
      </c>
      <c r="N49" s="589">
        <f t="shared" ca="1" si="114"/>
        <v>0</v>
      </c>
      <c r="O49" s="589">
        <f t="shared" ca="1" si="114"/>
        <v>0</v>
      </c>
      <c r="P49" s="589">
        <f t="shared" ca="1" si="114"/>
        <v>0</v>
      </c>
      <c r="Q49" s="590">
        <f ca="1">SUM(G49:P49)</f>
        <v>0</v>
      </c>
      <c r="S49" s="591">
        <f t="shared" ca="1" si="115"/>
        <v>0</v>
      </c>
      <c r="T49" s="591">
        <f t="shared" ca="1" si="115"/>
        <v>0</v>
      </c>
      <c r="U49" s="591">
        <f t="shared" ca="1" si="115"/>
        <v>0</v>
      </c>
      <c r="V49" s="591">
        <f t="shared" ca="1" si="115"/>
        <v>0</v>
      </c>
      <c r="W49" s="591">
        <f t="shared" ca="1" si="115"/>
        <v>0</v>
      </c>
      <c r="X49" s="591">
        <f t="shared" ca="1" si="115"/>
        <v>0.25170110893975794</v>
      </c>
      <c r="Y49" s="591">
        <f t="shared" ca="1" si="115"/>
        <v>0</v>
      </c>
      <c r="Z49" s="591">
        <f t="shared" ca="1" si="115"/>
        <v>0</v>
      </c>
      <c r="AA49" s="591">
        <f t="shared" ca="1" si="115"/>
        <v>0</v>
      </c>
      <c r="AB49" s="591">
        <f t="shared" ca="1" si="115"/>
        <v>0</v>
      </c>
      <c r="AC49" s="591">
        <f t="shared" ca="1" si="115"/>
        <v>0</v>
      </c>
      <c r="AD49" s="591">
        <f t="shared" ca="1" si="115"/>
        <v>0</v>
      </c>
      <c r="AE49" s="591">
        <f t="shared" ca="1" si="115"/>
        <v>0</v>
      </c>
      <c r="AF49" s="591">
        <f t="shared" ca="1" si="115"/>
        <v>0.43708704496583328</v>
      </c>
      <c r="AG49" s="591">
        <f t="shared" ca="1" si="115"/>
        <v>5.5725080845203209E-2</v>
      </c>
      <c r="AH49" s="591">
        <f t="shared" ca="1" si="115"/>
        <v>0.14794501798441054</v>
      </c>
      <c r="AI49" s="591">
        <f t="shared" ca="1" si="115"/>
        <v>0</v>
      </c>
      <c r="AJ49" s="591">
        <f t="shared" ca="1" si="115"/>
        <v>0</v>
      </c>
      <c r="AK49" s="592">
        <f ca="1">SUM(S49:AJ49)</f>
        <v>0.89245825273520496</v>
      </c>
      <c r="AM49" s="593">
        <f t="shared" ca="1" si="116"/>
        <v>0</v>
      </c>
      <c r="AN49" s="593">
        <f t="shared" ca="1" si="116"/>
        <v>0</v>
      </c>
      <c r="AO49" s="593">
        <f t="shared" ca="1" si="116"/>
        <v>0</v>
      </c>
      <c r="AP49" s="593">
        <f t="shared" ca="1" si="116"/>
        <v>0</v>
      </c>
      <c r="AQ49" s="593">
        <f t="shared" ca="1" si="116"/>
        <v>0</v>
      </c>
      <c r="AR49" s="593">
        <f t="shared" ca="1" si="116"/>
        <v>0</v>
      </c>
      <c r="AS49" s="593">
        <f t="shared" ca="1" si="116"/>
        <v>0</v>
      </c>
      <c r="AT49" s="593">
        <f t="shared" ca="1" si="116"/>
        <v>0</v>
      </c>
      <c r="AU49" s="593">
        <f t="shared" ca="1" si="116"/>
        <v>0</v>
      </c>
      <c r="AV49" s="593">
        <f t="shared" ca="1" si="116"/>
        <v>0</v>
      </c>
      <c r="AW49" s="593">
        <f t="shared" ca="1" si="116"/>
        <v>0</v>
      </c>
      <c r="AX49" s="593">
        <f t="shared" ca="1" si="116"/>
        <v>0</v>
      </c>
      <c r="AY49" s="593">
        <f t="shared" ca="1" si="116"/>
        <v>0</v>
      </c>
      <c r="AZ49" s="593">
        <f t="shared" ca="1" si="116"/>
        <v>0</v>
      </c>
      <c r="BA49" s="593">
        <f t="shared" ca="1" si="116"/>
        <v>0</v>
      </c>
      <c r="BB49" s="593">
        <f t="shared" ca="1" si="116"/>
        <v>0</v>
      </c>
      <c r="BC49" s="593">
        <f t="shared" ca="1" si="117"/>
        <v>0</v>
      </c>
      <c r="BD49" s="593">
        <f t="shared" ca="1" si="117"/>
        <v>0</v>
      </c>
      <c r="BE49" s="593">
        <f t="shared" ca="1" si="117"/>
        <v>-0.89245825273520496</v>
      </c>
      <c r="BF49" s="609">
        <f ca="1">SUM(AM49:BE49)</f>
        <v>-0.89245825273520496</v>
      </c>
      <c r="BH49" s="3471">
        <f t="shared" ca="1" si="118"/>
        <v>0</v>
      </c>
      <c r="BI49" s="3471">
        <f t="shared" ca="1" si="118"/>
        <v>0</v>
      </c>
      <c r="BJ49" s="3460">
        <f ca="1">SUM(BH49:BI49)</f>
        <v>0</v>
      </c>
      <c r="BL49" s="610"/>
      <c r="BM49" s="610"/>
      <c r="BN49" s="413"/>
      <c r="BO49" s="2789">
        <f t="shared" ca="1" si="119"/>
        <v>0</v>
      </c>
      <c r="BP49" s="2790">
        <f t="shared" ca="1" si="119"/>
        <v>0</v>
      </c>
      <c r="BQ49" s="2790">
        <f t="shared" ca="1" si="119"/>
        <v>0</v>
      </c>
      <c r="BR49" s="2790">
        <f t="shared" ca="1" si="119"/>
        <v>0</v>
      </c>
      <c r="BS49" s="2790">
        <f t="shared" ca="1" si="119"/>
        <v>0</v>
      </c>
      <c r="BT49" s="2790">
        <f t="shared" ca="1" si="119"/>
        <v>0</v>
      </c>
      <c r="BU49" s="2790">
        <f t="shared" ca="1" si="119"/>
        <v>0</v>
      </c>
      <c r="BV49" s="2790">
        <f t="shared" ca="1" si="119"/>
        <v>0</v>
      </c>
      <c r="BW49" s="2790">
        <f t="shared" ca="1" si="119"/>
        <v>0</v>
      </c>
      <c r="BX49" s="2790">
        <f t="shared" ca="1" si="119"/>
        <v>0</v>
      </c>
      <c r="BY49" s="2790">
        <f t="shared" ca="1" si="120"/>
        <v>0</v>
      </c>
      <c r="BZ49" s="2790">
        <f t="shared" ca="1" si="120"/>
        <v>0</v>
      </c>
      <c r="CA49" s="2790">
        <f t="shared" ca="1" si="120"/>
        <v>0</v>
      </c>
      <c r="CB49" s="2790">
        <f t="shared" ca="1" si="120"/>
        <v>0</v>
      </c>
      <c r="CC49" s="2790">
        <f t="shared" ca="1" si="120"/>
        <v>0</v>
      </c>
      <c r="CD49" s="2790">
        <f t="shared" ca="1" si="120"/>
        <v>0</v>
      </c>
      <c r="CE49" s="2790">
        <f t="shared" ca="1" si="120"/>
        <v>0</v>
      </c>
      <c r="CF49" s="2790">
        <f t="shared" ca="1" si="120"/>
        <v>0</v>
      </c>
      <c r="CG49" s="2790">
        <f t="shared" ca="1" si="120"/>
        <v>0</v>
      </c>
      <c r="CH49" s="2790">
        <f t="shared" ca="1" si="120"/>
        <v>0</v>
      </c>
      <c r="CI49" s="2790">
        <f t="shared" ca="1" si="121"/>
        <v>0</v>
      </c>
      <c r="CJ49" s="2790">
        <f t="shared" ca="1" si="121"/>
        <v>0</v>
      </c>
      <c r="CK49" s="2790">
        <f t="shared" ca="1" si="121"/>
        <v>0</v>
      </c>
      <c r="CL49" s="2790">
        <f t="shared" ca="1" si="121"/>
        <v>0</v>
      </c>
      <c r="CM49" s="2790">
        <f t="shared" ca="1" si="121"/>
        <v>0</v>
      </c>
      <c r="CN49" s="2790">
        <f t="shared" ca="1" si="121"/>
        <v>0.67661522642028871</v>
      </c>
      <c r="CO49" s="2790">
        <f t="shared" ca="1" si="121"/>
        <v>5.608464642857143E-2</v>
      </c>
      <c r="CP49" s="2790">
        <f t="shared" ca="1" si="121"/>
        <v>0</v>
      </c>
      <c r="CQ49" s="2790">
        <f t="shared" ca="1" si="121"/>
        <v>0</v>
      </c>
      <c r="CR49" s="2790">
        <f t="shared" ca="1" si="121"/>
        <v>0</v>
      </c>
      <c r="CS49" s="2790">
        <f t="shared" ca="1" si="122"/>
        <v>0</v>
      </c>
      <c r="CT49" s="2790">
        <f t="shared" ca="1" si="122"/>
        <v>0</v>
      </c>
      <c r="CU49" s="2790">
        <f t="shared" ca="1" si="122"/>
        <v>0</v>
      </c>
      <c r="CV49" s="2790">
        <f t="shared" ca="1" si="122"/>
        <v>0</v>
      </c>
      <c r="CW49" s="2790">
        <f t="shared" ca="1" si="122"/>
        <v>0</v>
      </c>
      <c r="CX49" s="2790">
        <f t="shared" ca="1" si="122"/>
        <v>0</v>
      </c>
      <c r="CY49" s="2790">
        <f t="shared" ca="1" si="122"/>
        <v>0</v>
      </c>
      <c r="CZ49" s="2790">
        <f t="shared" ca="1" si="122"/>
        <v>0</v>
      </c>
      <c r="DA49" s="2790">
        <f t="shared" ca="1" si="122"/>
        <v>0</v>
      </c>
      <c r="DB49" s="2790">
        <f t="shared" ca="1" si="122"/>
        <v>0</v>
      </c>
      <c r="DC49" s="2790">
        <f t="shared" ca="1" si="122"/>
        <v>0</v>
      </c>
      <c r="DD49" s="2790">
        <f t="shared" ca="1" si="122"/>
        <v>0</v>
      </c>
      <c r="DE49" s="2790">
        <f t="shared" ca="1" si="122"/>
        <v>0</v>
      </c>
      <c r="DF49" s="2790">
        <f t="shared" ca="1" si="122"/>
        <v>0</v>
      </c>
      <c r="DH49" s="596">
        <f t="shared" ca="1" si="113"/>
        <v>0.73269987284886018</v>
      </c>
    </row>
    <row r="50" spans="1:112" s="6" customFormat="1">
      <c r="A50" s="607"/>
      <c r="B50" s="607"/>
      <c r="C50" s="587" t="s">
        <v>510</v>
      </c>
      <c r="D50" s="611" t="s">
        <v>511</v>
      </c>
      <c r="E50" s="611"/>
      <c r="G50" s="619">
        <f t="shared" ca="1" si="114"/>
        <v>0</v>
      </c>
      <c r="H50" s="619">
        <f t="shared" ca="1" si="114"/>
        <v>0</v>
      </c>
      <c r="I50" s="619">
        <f t="shared" ca="1" si="114"/>
        <v>2.6522937492622916</v>
      </c>
      <c r="J50" s="619">
        <f t="shared" ca="1" si="114"/>
        <v>0</v>
      </c>
      <c r="K50" s="619">
        <f t="shared" ca="1" si="114"/>
        <v>0</v>
      </c>
      <c r="L50" s="619">
        <f t="shared" ca="1" si="114"/>
        <v>0</v>
      </c>
      <c r="M50" s="619">
        <f t="shared" ca="1" si="114"/>
        <v>0</v>
      </c>
      <c r="N50" s="619">
        <f t="shared" ca="1" si="114"/>
        <v>0</v>
      </c>
      <c r="O50" s="619">
        <f t="shared" ca="1" si="114"/>
        <v>0</v>
      </c>
      <c r="P50" s="619">
        <f t="shared" ca="1" si="114"/>
        <v>0</v>
      </c>
      <c r="Q50" s="612">
        <f ca="1">SUM(G50:P50)</f>
        <v>2.6522937492622916</v>
      </c>
      <c r="S50" s="620">
        <f t="shared" ca="1" si="115"/>
        <v>-0.55698168734508124</v>
      </c>
      <c r="T50" s="620">
        <f t="shared" ca="1" si="115"/>
        <v>0</v>
      </c>
      <c r="U50" s="620">
        <f t="shared" ca="1" si="115"/>
        <v>0</v>
      </c>
      <c r="V50" s="620">
        <f t="shared" ca="1" si="115"/>
        <v>-2.0953120619172103</v>
      </c>
      <c r="W50" s="620">
        <f t="shared" ca="1" si="115"/>
        <v>0</v>
      </c>
      <c r="X50" s="620">
        <f t="shared" ca="1" si="115"/>
        <v>0</v>
      </c>
      <c r="Y50" s="620">
        <f t="shared" ca="1" si="115"/>
        <v>0</v>
      </c>
      <c r="Z50" s="620">
        <f t="shared" ca="1" si="115"/>
        <v>0</v>
      </c>
      <c r="AA50" s="620">
        <f t="shared" ca="1" si="115"/>
        <v>0</v>
      </c>
      <c r="AB50" s="620">
        <f t="shared" ca="1" si="115"/>
        <v>0</v>
      </c>
      <c r="AC50" s="620">
        <f t="shared" ca="1" si="115"/>
        <v>0</v>
      </c>
      <c r="AD50" s="620">
        <f t="shared" ca="1" si="115"/>
        <v>10.560023127898354</v>
      </c>
      <c r="AE50" s="620">
        <f t="shared" ca="1" si="115"/>
        <v>0.26905561870922784</v>
      </c>
      <c r="AF50" s="620">
        <f t="shared" ca="1" si="115"/>
        <v>3.0359910558130929</v>
      </c>
      <c r="AG50" s="620">
        <f t="shared" ca="1" si="115"/>
        <v>1.4548913896862063</v>
      </c>
      <c r="AH50" s="620">
        <f t="shared" ca="1" si="115"/>
        <v>0</v>
      </c>
      <c r="AI50" s="620">
        <f t="shared" ca="1" si="115"/>
        <v>0</v>
      </c>
      <c r="AJ50" s="620">
        <f t="shared" ca="1" si="115"/>
        <v>0</v>
      </c>
      <c r="AK50" s="613">
        <f ca="1">SUM(S50:AJ50)</f>
        <v>12.667667442844589</v>
      </c>
      <c r="AM50" s="621">
        <f t="shared" ca="1" si="116"/>
        <v>0</v>
      </c>
      <c r="AN50" s="621">
        <f t="shared" ca="1" si="116"/>
        <v>0</v>
      </c>
      <c r="AO50" s="621">
        <f t="shared" ca="1" si="116"/>
        <v>0</v>
      </c>
      <c r="AP50" s="621">
        <f t="shared" ca="1" si="116"/>
        <v>0</v>
      </c>
      <c r="AQ50" s="621">
        <f t="shared" ca="1" si="116"/>
        <v>0</v>
      </c>
      <c r="AR50" s="621">
        <f t="shared" ca="1" si="116"/>
        <v>0</v>
      </c>
      <c r="AS50" s="621">
        <f t="shared" ca="1" si="116"/>
        <v>0</v>
      </c>
      <c r="AT50" s="621">
        <f t="shared" ca="1" si="116"/>
        <v>0</v>
      </c>
      <c r="AU50" s="621">
        <f t="shared" ca="1" si="116"/>
        <v>0</v>
      </c>
      <c r="AV50" s="621">
        <f t="shared" ca="1" si="116"/>
        <v>0</v>
      </c>
      <c r="AW50" s="621">
        <f t="shared" ca="1" si="116"/>
        <v>0</v>
      </c>
      <c r="AX50" s="621">
        <f t="shared" ca="1" si="116"/>
        <v>0</v>
      </c>
      <c r="AY50" s="621">
        <f t="shared" ca="1" si="116"/>
        <v>0</v>
      </c>
      <c r="AZ50" s="621">
        <f t="shared" ca="1" si="116"/>
        <v>0</v>
      </c>
      <c r="BA50" s="621">
        <f t="shared" ca="1" si="116"/>
        <v>0</v>
      </c>
      <c r="BB50" s="621">
        <f t="shared" ca="1" si="116"/>
        <v>0</v>
      </c>
      <c r="BC50" s="621">
        <f t="shared" ca="1" si="117"/>
        <v>0</v>
      </c>
      <c r="BD50" s="621">
        <f t="shared" ca="1" si="117"/>
        <v>-10.829078746607582</v>
      </c>
      <c r="BE50" s="621">
        <f t="shared" ca="1" si="117"/>
        <v>-4.4908824454992988</v>
      </c>
      <c r="BF50" s="615">
        <f ca="1">SUM(AM50:BE50)</f>
        <v>-15.319961192106881</v>
      </c>
      <c r="BH50" s="3473">
        <f t="shared" ca="1" si="118"/>
        <v>0</v>
      </c>
      <c r="BI50" s="3473">
        <f t="shared" ca="1" si="118"/>
        <v>0</v>
      </c>
      <c r="BJ50" s="3462">
        <f ca="1">SUM(BH50:BI50)</f>
        <v>0</v>
      </c>
      <c r="BL50" s="610">
        <f ca="1">Q50+AK50+BF50+BJ50</f>
        <v>0</v>
      </c>
      <c r="BM50" s="610"/>
      <c r="BN50" s="413"/>
      <c r="BO50" s="2791">
        <f t="shared" ca="1" si="119"/>
        <v>0.55291094689871334</v>
      </c>
      <c r="BP50" s="2792">
        <f t="shared" ca="1" si="119"/>
        <v>4.7521677564282334E-4</v>
      </c>
      <c r="BQ50" s="2792">
        <f t="shared" ca="1" si="119"/>
        <v>1.403020956659764E-3</v>
      </c>
      <c r="BR50" s="2792">
        <f t="shared" ca="1" si="119"/>
        <v>0</v>
      </c>
      <c r="BS50" s="2792">
        <f t="shared" ca="1" si="119"/>
        <v>0</v>
      </c>
      <c r="BT50" s="2792">
        <f t="shared" ca="1" si="119"/>
        <v>0</v>
      </c>
      <c r="BU50" s="2792">
        <f t="shared" ca="1" si="119"/>
        <v>0</v>
      </c>
      <c r="BV50" s="2792">
        <f t="shared" ca="1" si="119"/>
        <v>0</v>
      </c>
      <c r="BW50" s="2792">
        <f t="shared" ca="1" si="119"/>
        <v>0</v>
      </c>
      <c r="BX50" s="2792">
        <f t="shared" ca="1" si="119"/>
        <v>0</v>
      </c>
      <c r="BY50" s="2792">
        <f t="shared" ca="1" si="120"/>
        <v>0</v>
      </c>
      <c r="BZ50" s="2792">
        <f t="shared" ca="1" si="120"/>
        <v>0</v>
      </c>
      <c r="CA50" s="2792">
        <f t="shared" ca="1" si="120"/>
        <v>0</v>
      </c>
      <c r="CB50" s="2792">
        <f t="shared" ca="1" si="120"/>
        <v>0</v>
      </c>
      <c r="CC50" s="2792">
        <f t="shared" ca="1" si="120"/>
        <v>0</v>
      </c>
      <c r="CD50" s="2792">
        <f t="shared" ca="1" si="120"/>
        <v>0</v>
      </c>
      <c r="CE50" s="2792">
        <f t="shared" ca="1" si="120"/>
        <v>0</v>
      </c>
      <c r="CF50" s="2792">
        <f t="shared" ca="1" si="120"/>
        <v>10.343608996712423</v>
      </c>
      <c r="CG50" s="2792">
        <f t="shared" ca="1" si="120"/>
        <v>6.1668140391981598</v>
      </c>
      <c r="CH50" s="2792">
        <f t="shared" ca="1" si="120"/>
        <v>0</v>
      </c>
      <c r="CI50" s="2792">
        <f t="shared" ca="1" si="121"/>
        <v>-1.1817681520851633</v>
      </c>
      <c r="CJ50" s="2792">
        <f t="shared" ca="1" si="121"/>
        <v>0</v>
      </c>
      <c r="CK50" s="2792">
        <f t="shared" ca="1" si="121"/>
        <v>0</v>
      </c>
      <c r="CL50" s="2792">
        <f t="shared" ca="1" si="121"/>
        <v>0</v>
      </c>
      <c r="CM50" s="2792">
        <f t="shared" ca="1" si="121"/>
        <v>0</v>
      </c>
      <c r="CN50" s="2792">
        <f t="shared" ca="1" si="121"/>
        <v>0</v>
      </c>
      <c r="CO50" s="2792">
        <f t="shared" ca="1" si="121"/>
        <v>0</v>
      </c>
      <c r="CP50" s="2792">
        <f t="shared" ca="1" si="121"/>
        <v>0</v>
      </c>
      <c r="CQ50" s="2792">
        <f t="shared" ca="1" si="121"/>
        <v>0</v>
      </c>
      <c r="CR50" s="2792">
        <f t="shared" ca="1" si="121"/>
        <v>0</v>
      </c>
      <c r="CS50" s="2792">
        <f t="shared" ca="1" si="122"/>
        <v>0</v>
      </c>
      <c r="CT50" s="2792">
        <f t="shared" ca="1" si="122"/>
        <v>0</v>
      </c>
      <c r="CU50" s="2792">
        <f t="shared" ca="1" si="122"/>
        <v>0</v>
      </c>
      <c r="CV50" s="2792">
        <f t="shared" ca="1" si="122"/>
        <v>0</v>
      </c>
      <c r="CW50" s="2792">
        <f t="shared" ca="1" si="122"/>
        <v>0</v>
      </c>
      <c r="CX50" s="2792">
        <f t="shared" ca="1" si="122"/>
        <v>0</v>
      </c>
      <c r="CY50" s="2792">
        <f t="shared" ca="1" si="122"/>
        <v>0</v>
      </c>
      <c r="CZ50" s="2792">
        <f t="shared" ca="1" si="122"/>
        <v>0</v>
      </c>
      <c r="DA50" s="2792">
        <f t="shared" ca="1" si="122"/>
        <v>0</v>
      </c>
      <c r="DB50" s="2792">
        <f t="shared" ca="1" si="122"/>
        <v>0</v>
      </c>
      <c r="DC50" s="2792">
        <f t="shared" ca="1" si="122"/>
        <v>0</v>
      </c>
      <c r="DD50" s="2792">
        <f t="shared" ca="1" si="122"/>
        <v>0</v>
      </c>
      <c r="DE50" s="2792">
        <f t="shared" ca="1" si="122"/>
        <v>0</v>
      </c>
      <c r="DF50" s="2792">
        <f t="shared" ca="1" si="122"/>
        <v>0</v>
      </c>
      <c r="DH50" s="596">
        <f t="shared" ca="1" si="113"/>
        <v>15.883444068456432</v>
      </c>
    </row>
    <row r="51" spans="1:112" s="6" customFormat="1" ht="15.75">
      <c r="A51" s="4"/>
      <c r="B51" s="3"/>
      <c r="C51" s="616" t="s">
        <v>512</v>
      </c>
      <c r="D51" s="617" t="s">
        <v>513</v>
      </c>
      <c r="E51" s="206"/>
      <c r="G51" s="618">
        <f ca="1">SUM(G48:G50)</f>
        <v>0</v>
      </c>
      <c r="H51" s="618">
        <f t="shared" ref="H51:P51" ca="1" si="123">SUM(H48:H50)</f>
        <v>0</v>
      </c>
      <c r="I51" s="618">
        <f t="shared" ca="1" si="123"/>
        <v>2.6522937492622916</v>
      </c>
      <c r="J51" s="618">
        <f t="shared" ca="1" si="123"/>
        <v>0</v>
      </c>
      <c r="K51" s="618">
        <f t="shared" ca="1" si="123"/>
        <v>0</v>
      </c>
      <c r="L51" s="618">
        <f t="shared" ca="1" si="123"/>
        <v>0</v>
      </c>
      <c r="M51" s="618">
        <f t="shared" ca="1" si="123"/>
        <v>0</v>
      </c>
      <c r="N51" s="618">
        <f t="shared" ca="1" si="123"/>
        <v>0</v>
      </c>
      <c r="O51" s="618">
        <f t="shared" ca="1" si="123"/>
        <v>0</v>
      </c>
      <c r="P51" s="618">
        <f t="shared" ca="1" si="123"/>
        <v>0</v>
      </c>
      <c r="Q51" s="618">
        <f ca="1">SUM(G51:P51)</f>
        <v>2.6522937492622916</v>
      </c>
      <c r="S51" s="581">
        <f t="shared" ref="S51:AJ51" ca="1" si="124">SUM(S48:S50)</f>
        <v>-0.55698168734508124</v>
      </c>
      <c r="T51" s="581">
        <f t="shared" ca="1" si="124"/>
        <v>0</v>
      </c>
      <c r="U51" s="581">
        <f t="shared" ca="1" si="124"/>
        <v>0</v>
      </c>
      <c r="V51" s="581">
        <f t="shared" ca="1" si="124"/>
        <v>-2.0953120619172103</v>
      </c>
      <c r="W51" s="581">
        <f t="shared" ca="1" si="124"/>
        <v>0</v>
      </c>
      <c r="X51" s="581">
        <f t="shared" ca="1" si="124"/>
        <v>0.25170110893975794</v>
      </c>
      <c r="Y51" s="581">
        <f t="shared" ca="1" si="124"/>
        <v>0</v>
      </c>
      <c r="Z51" s="581">
        <f t="shared" ca="1" si="124"/>
        <v>0</v>
      </c>
      <c r="AA51" s="581">
        <f t="shared" ca="1" si="124"/>
        <v>0</v>
      </c>
      <c r="AB51" s="581">
        <f t="shared" ca="1" si="124"/>
        <v>0</v>
      </c>
      <c r="AC51" s="581">
        <f t="shared" ca="1" si="124"/>
        <v>0</v>
      </c>
      <c r="AD51" s="581">
        <f t="shared" ca="1" si="124"/>
        <v>10.560023127898354</v>
      </c>
      <c r="AE51" s="581">
        <f ca="1">SUM(AE48:AE50)</f>
        <v>0.26905561870922784</v>
      </c>
      <c r="AF51" s="581">
        <f t="shared" ca="1" si="124"/>
        <v>3.4730781007789262</v>
      </c>
      <c r="AG51" s="581">
        <f t="shared" ca="1" si="124"/>
        <v>1.5106164705314096</v>
      </c>
      <c r="AH51" s="581">
        <f ca="1">SUM(AH48:AH50)</f>
        <v>0.14794501798441054</v>
      </c>
      <c r="AI51" s="581">
        <f t="shared" ca="1" si="124"/>
        <v>0</v>
      </c>
      <c r="AJ51" s="581">
        <f t="shared" ca="1" si="124"/>
        <v>0</v>
      </c>
      <c r="AK51" s="581">
        <f ca="1">SUM(S51:AJ51)</f>
        <v>13.560125695579794</v>
      </c>
      <c r="AM51" s="582">
        <f t="shared" ref="AM51:BE51" ca="1" si="125">SUM(AM48:AM50)</f>
        <v>0</v>
      </c>
      <c r="AN51" s="582">
        <f t="shared" ca="1" si="125"/>
        <v>0</v>
      </c>
      <c r="AO51" s="582">
        <f t="shared" ca="1" si="125"/>
        <v>0</v>
      </c>
      <c r="AP51" s="582">
        <f t="shared" ca="1" si="125"/>
        <v>0</v>
      </c>
      <c r="AQ51" s="582">
        <f t="shared" ca="1" si="125"/>
        <v>0</v>
      </c>
      <c r="AR51" s="582">
        <f t="shared" ca="1" si="125"/>
        <v>0</v>
      </c>
      <c r="AS51" s="582">
        <f t="shared" ca="1" si="125"/>
        <v>0</v>
      </c>
      <c r="AT51" s="582">
        <f t="shared" ca="1" si="125"/>
        <v>0</v>
      </c>
      <c r="AU51" s="582">
        <f t="shared" ca="1" si="125"/>
        <v>0</v>
      </c>
      <c r="AV51" s="582">
        <f t="shared" ca="1" si="125"/>
        <v>0</v>
      </c>
      <c r="AW51" s="582">
        <f t="shared" ca="1" si="125"/>
        <v>0</v>
      </c>
      <c r="AX51" s="582">
        <f t="shared" ca="1" si="125"/>
        <v>0</v>
      </c>
      <c r="AY51" s="582">
        <f t="shared" ca="1" si="125"/>
        <v>0</v>
      </c>
      <c r="AZ51" s="582">
        <f t="shared" ca="1" si="125"/>
        <v>0</v>
      </c>
      <c r="BA51" s="582">
        <f t="shared" ca="1" si="125"/>
        <v>0</v>
      </c>
      <c r="BB51" s="582">
        <f t="shared" ca="1" si="125"/>
        <v>0</v>
      </c>
      <c r="BC51" s="582">
        <f t="shared" ca="1" si="125"/>
        <v>0</v>
      </c>
      <c r="BD51" s="582">
        <f t="shared" ca="1" si="125"/>
        <v>-10.829078746607582</v>
      </c>
      <c r="BE51" s="582">
        <f t="shared" ca="1" si="125"/>
        <v>-5.3833406982345036</v>
      </c>
      <c r="BF51" s="582">
        <f ca="1">SUM(AM51:BE51)</f>
        <v>-16.212419444842084</v>
      </c>
      <c r="BH51" s="3463">
        <f ca="1">SUM(BH48:BH50)</f>
        <v>0</v>
      </c>
      <c r="BI51" s="3463">
        <f ca="1">SUM(BI48:BI50)</f>
        <v>0</v>
      </c>
      <c r="BJ51" s="3463">
        <f ca="1">SUM(BH51:BI51)</f>
        <v>0</v>
      </c>
      <c r="BL51" s="3477">
        <f ca="1">Q51+AK51+BF51+BJ51</f>
        <v>0</v>
      </c>
      <c r="BM51" s="584"/>
      <c r="BN51" s="413"/>
      <c r="BO51" s="2790">
        <f t="shared" ref="BO51:DF51" ca="1" si="126">SUM(BO48:BO50)</f>
        <v>0.55291094689871334</v>
      </c>
      <c r="BP51" s="2790">
        <f t="shared" ca="1" si="126"/>
        <v>4.7521677564282334E-4</v>
      </c>
      <c r="BQ51" s="2790">
        <f t="shared" ca="1" si="126"/>
        <v>1.403020956659764E-3</v>
      </c>
      <c r="BR51" s="2790">
        <f t="shared" ca="1" si="126"/>
        <v>0</v>
      </c>
      <c r="BS51" s="2790">
        <f t="shared" ca="1" si="126"/>
        <v>0</v>
      </c>
      <c r="BT51" s="2790">
        <f t="shared" ca="1" si="126"/>
        <v>0</v>
      </c>
      <c r="BU51" s="2790">
        <f t="shared" ca="1" si="126"/>
        <v>0</v>
      </c>
      <c r="BV51" s="2790">
        <f t="shared" ca="1" si="126"/>
        <v>0</v>
      </c>
      <c r="BW51" s="2790">
        <f t="shared" ca="1" si="126"/>
        <v>0</v>
      </c>
      <c r="BX51" s="2790">
        <f t="shared" ca="1" si="126"/>
        <v>0</v>
      </c>
      <c r="BY51" s="2790">
        <f t="shared" ca="1" si="126"/>
        <v>0</v>
      </c>
      <c r="BZ51" s="2790">
        <f t="shared" ca="1" si="126"/>
        <v>0</v>
      </c>
      <c r="CA51" s="2790">
        <f t="shared" ca="1" si="126"/>
        <v>0</v>
      </c>
      <c r="CB51" s="2790">
        <f t="shared" ca="1" si="126"/>
        <v>0</v>
      </c>
      <c r="CC51" s="2790">
        <f t="shared" ca="1" si="126"/>
        <v>0</v>
      </c>
      <c r="CD51" s="2790">
        <f t="shared" ca="1" si="126"/>
        <v>0</v>
      </c>
      <c r="CE51" s="2790">
        <f t="shared" ca="1" si="126"/>
        <v>0</v>
      </c>
      <c r="CF51" s="2790">
        <f t="shared" ca="1" si="126"/>
        <v>10.343608996712423</v>
      </c>
      <c r="CG51" s="2790">
        <f t="shared" ca="1" si="126"/>
        <v>6.1668140391981598</v>
      </c>
      <c r="CH51" s="2790">
        <f t="shared" ca="1" si="126"/>
        <v>0</v>
      </c>
      <c r="CI51" s="2790">
        <f t="shared" ca="1" si="126"/>
        <v>-1.1817681520851633</v>
      </c>
      <c r="CJ51" s="2790">
        <f t="shared" ca="1" si="126"/>
        <v>0</v>
      </c>
      <c r="CK51" s="2790">
        <f t="shared" ca="1" si="126"/>
        <v>0</v>
      </c>
      <c r="CL51" s="2790">
        <f t="shared" ca="1" si="126"/>
        <v>0</v>
      </c>
      <c r="CM51" s="2790">
        <f t="shared" ca="1" si="126"/>
        <v>0</v>
      </c>
      <c r="CN51" s="2790">
        <f t="shared" ca="1" si="126"/>
        <v>0.67661522642028871</v>
      </c>
      <c r="CO51" s="2790">
        <f t="shared" ca="1" si="126"/>
        <v>5.608464642857143E-2</v>
      </c>
      <c r="CP51" s="2790">
        <f t="shared" ca="1" si="126"/>
        <v>0</v>
      </c>
      <c r="CQ51" s="2790">
        <f t="shared" ca="1" si="126"/>
        <v>0</v>
      </c>
      <c r="CR51" s="2790">
        <f t="shared" ca="1" si="126"/>
        <v>0</v>
      </c>
      <c r="CS51" s="2790">
        <f t="shared" ca="1" si="126"/>
        <v>0</v>
      </c>
      <c r="CT51" s="2790">
        <f t="shared" ca="1" si="126"/>
        <v>0</v>
      </c>
      <c r="CU51" s="2790">
        <f t="shared" ca="1" si="126"/>
        <v>0</v>
      </c>
      <c r="CV51" s="2790">
        <f t="shared" ca="1" si="126"/>
        <v>0</v>
      </c>
      <c r="CW51" s="2790">
        <f t="shared" ca="1" si="126"/>
        <v>0</v>
      </c>
      <c r="CX51" s="2790">
        <f t="shared" ca="1" si="126"/>
        <v>0</v>
      </c>
      <c r="CY51" s="2790">
        <f t="shared" ca="1" si="126"/>
        <v>0</v>
      </c>
      <c r="CZ51" s="2790">
        <f t="shared" ca="1" si="126"/>
        <v>0</v>
      </c>
      <c r="DA51" s="2790">
        <f t="shared" ca="1" si="126"/>
        <v>0</v>
      </c>
      <c r="DB51" s="2790">
        <f t="shared" ca="1" si="126"/>
        <v>0</v>
      </c>
      <c r="DC51" s="2790">
        <f t="shared" ca="1" si="126"/>
        <v>0</v>
      </c>
      <c r="DD51" s="2790">
        <f t="shared" ca="1" si="126"/>
        <v>0</v>
      </c>
      <c r="DE51" s="2790">
        <f t="shared" ca="1" si="126"/>
        <v>0</v>
      </c>
      <c r="DF51" s="2790">
        <f t="shared" ca="1" si="126"/>
        <v>0</v>
      </c>
      <c r="DH51" s="596">
        <f t="shared" ca="1" si="113"/>
        <v>16.616143941305296</v>
      </c>
    </row>
    <row r="52" spans="1:112" s="6" customFormat="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13"/>
        <v>0</v>
      </c>
    </row>
    <row r="53" spans="1:112" s="6" customFormat="1">
      <c r="A53" s="607"/>
      <c r="B53" s="607"/>
      <c r="C53" s="651" t="s">
        <v>514</v>
      </c>
      <c r="D53" s="588" t="s">
        <v>515</v>
      </c>
      <c r="E53" s="588"/>
      <c r="G53" s="589">
        <f t="shared" ref="G53:P54" ca="1" si="127">IFERROR(INDEX(INDIRECT($C53&amp;".Outputs["&amp;this.Year&amp;"]"), MATCH(G$5, INDIRECT($C53&amp;".Outputs[Vector]"), 0)), 0)</f>
        <v>0</v>
      </c>
      <c r="H53" s="589">
        <f t="shared" ca="1" si="127"/>
        <v>0</v>
      </c>
      <c r="I53" s="589">
        <f t="shared" ca="1" si="127"/>
        <v>0</v>
      </c>
      <c r="J53" s="589">
        <f t="shared" ca="1" si="127"/>
        <v>0</v>
      </c>
      <c r="K53" s="589">
        <f t="shared" ca="1" si="127"/>
        <v>0</v>
      </c>
      <c r="L53" s="589">
        <f t="shared" ca="1" si="127"/>
        <v>0</v>
      </c>
      <c r="M53" s="589">
        <f t="shared" ca="1" si="127"/>
        <v>0</v>
      </c>
      <c r="N53" s="589">
        <f t="shared" ca="1" si="127"/>
        <v>0</v>
      </c>
      <c r="O53" s="589">
        <f t="shared" ca="1" si="127"/>
        <v>0</v>
      </c>
      <c r="P53" s="589">
        <f t="shared" ca="1" si="127"/>
        <v>0</v>
      </c>
      <c r="Q53" s="590">
        <f ca="1">SUM(G53:P53)</f>
        <v>0</v>
      </c>
      <c r="S53" s="591">
        <f t="shared" ref="S53:AJ54" ca="1" si="128">IFERROR(INDEX(INDIRECT($C53&amp;".Outputs["&amp;this.Year&amp;"]"), MATCH(S$5, INDIRECT($C53&amp;".Outputs[Vector]"), 0)), 0)</f>
        <v>-0.22598810482362028</v>
      </c>
      <c r="T53" s="591">
        <f t="shared" ca="1" si="128"/>
        <v>0</v>
      </c>
      <c r="U53" s="591">
        <f t="shared" ca="1" si="128"/>
        <v>0</v>
      </c>
      <c r="V53" s="591">
        <f t="shared" ca="1" si="128"/>
        <v>-1.8522858135888711</v>
      </c>
      <c r="W53" s="591">
        <f t="shared" ca="1" si="128"/>
        <v>-8.2401953248703863E-2</v>
      </c>
      <c r="X53" s="591">
        <f t="shared" ca="1" si="128"/>
        <v>0</v>
      </c>
      <c r="Y53" s="591">
        <f t="shared" ca="1" si="128"/>
        <v>0</v>
      </c>
      <c r="Z53" s="591">
        <f t="shared" ca="1" si="128"/>
        <v>0</v>
      </c>
      <c r="AA53" s="591">
        <f t="shared" ca="1" si="128"/>
        <v>0</v>
      </c>
      <c r="AB53" s="591">
        <f t="shared" ca="1" si="128"/>
        <v>-2.6537999724419409E-2</v>
      </c>
      <c r="AC53" s="591">
        <f t="shared" ca="1" si="128"/>
        <v>0</v>
      </c>
      <c r="AD53" s="591">
        <f t="shared" ca="1" si="128"/>
        <v>0</v>
      </c>
      <c r="AE53" s="591">
        <f t="shared" ca="1" si="128"/>
        <v>0</v>
      </c>
      <c r="AF53" s="591">
        <f t="shared" ca="1" si="128"/>
        <v>0</v>
      </c>
      <c r="AG53" s="591">
        <f t="shared" ca="1" si="128"/>
        <v>0</v>
      </c>
      <c r="AH53" s="591">
        <f t="shared" ca="1" si="128"/>
        <v>0</v>
      </c>
      <c r="AI53" s="591">
        <f t="shared" ca="1" si="128"/>
        <v>0</v>
      </c>
      <c r="AJ53" s="591">
        <f t="shared" ca="1" si="128"/>
        <v>0</v>
      </c>
      <c r="AK53" s="592">
        <f ca="1">SUM(S53:AJ53)</f>
        <v>-2.1872138713856146</v>
      </c>
      <c r="AM53" s="593">
        <f t="shared" ref="AM53:BB54" ca="1" si="129">IFERROR(INDEX(INDIRECT($C53&amp;".Outputs["&amp;this.Year&amp;"]"), MATCH(AM$5, INDIRECT($C53&amp;".Outputs[Vector]"), 0)), 0)</f>
        <v>0</v>
      </c>
      <c r="AN53" s="593">
        <f t="shared" ca="1" si="129"/>
        <v>0</v>
      </c>
      <c r="AO53" s="593">
        <f t="shared" ca="1" si="129"/>
        <v>0</v>
      </c>
      <c r="AP53" s="593">
        <f t="shared" ca="1" si="129"/>
        <v>0</v>
      </c>
      <c r="AQ53" s="593">
        <f t="shared" ca="1" si="129"/>
        <v>0</v>
      </c>
      <c r="AR53" s="593">
        <f t="shared" ca="1" si="129"/>
        <v>0</v>
      </c>
      <c r="AS53" s="593">
        <f t="shared" ca="1" si="129"/>
        <v>0</v>
      </c>
      <c r="AT53" s="593">
        <f t="shared" ca="1" si="129"/>
        <v>0</v>
      </c>
      <c r="AU53" s="593">
        <f t="shared" ca="1" si="129"/>
        <v>0</v>
      </c>
      <c r="AV53" s="593">
        <f t="shared" ca="1" si="129"/>
        <v>0</v>
      </c>
      <c r="AW53" s="593">
        <f t="shared" ca="1" si="129"/>
        <v>0</v>
      </c>
      <c r="AX53" s="593">
        <f t="shared" ca="1" si="129"/>
        <v>0</v>
      </c>
      <c r="AY53" s="593">
        <f t="shared" ca="1" si="129"/>
        <v>0</v>
      </c>
      <c r="AZ53" s="593">
        <f t="shared" ca="1" si="129"/>
        <v>0</v>
      </c>
      <c r="BA53" s="593">
        <f t="shared" ca="1" si="129"/>
        <v>0</v>
      </c>
      <c r="BB53" s="593">
        <f t="shared" ca="1" si="129"/>
        <v>0</v>
      </c>
      <c r="BC53" s="593">
        <f t="shared" ref="BC53:BE54" ca="1" si="130">IFERROR(INDEX(INDIRECT($C53&amp;".Outputs["&amp;this.Year&amp;"]"), MATCH(BC$5, INDIRECT($C53&amp;".Outputs[Vector]"), 0)), 0)</f>
        <v>0</v>
      </c>
      <c r="BD53" s="593">
        <f t="shared" ca="1" si="130"/>
        <v>0</v>
      </c>
      <c r="BE53" s="593">
        <f t="shared" ca="1" si="130"/>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31">IFERROR(SUMIFS(INDIRECT($C53&amp;".Emissions["&amp;this.Year&amp;"]"), INDIRECT($C53&amp;".Emissions[GHG]"), BO$6, INDIRECT($C53&amp;".Emissions[IPCC Sector]"), BO$5),0)</f>
        <v>0.50565060724124977</v>
      </c>
      <c r="BP53" s="2790">
        <f t="shared" ca="1" si="131"/>
        <v>4.2632801018755801E-4</v>
      </c>
      <c r="BQ53" s="2790">
        <f t="shared" ca="1" si="131"/>
        <v>1.5069762622732133E-3</v>
      </c>
      <c r="BR53" s="2790">
        <f t="shared" ca="1" si="131"/>
        <v>0</v>
      </c>
      <c r="BS53" s="2790">
        <f t="shared" ca="1" si="131"/>
        <v>0</v>
      </c>
      <c r="BT53" s="2790">
        <f t="shared" ca="1" si="131"/>
        <v>0</v>
      </c>
      <c r="BU53" s="2790">
        <f t="shared" ca="1" si="131"/>
        <v>0</v>
      </c>
      <c r="BV53" s="2790">
        <f t="shared" ca="1" si="131"/>
        <v>0</v>
      </c>
      <c r="BW53" s="2790">
        <f t="shared" ca="1" si="131"/>
        <v>0</v>
      </c>
      <c r="BX53" s="2790">
        <f t="shared" ca="1" si="131"/>
        <v>0</v>
      </c>
      <c r="BY53" s="2790">
        <f t="shared" ref="BY53:CH54" ca="1" si="132">IFERROR(SUMIFS(INDIRECT($C53&amp;".Emissions["&amp;this.Year&amp;"]"), INDIRECT($C53&amp;".Emissions[GHG]"), BY$6, INDIRECT($C53&amp;".Emissions[IPCC Sector]"), BY$5),0)</f>
        <v>0</v>
      </c>
      <c r="BZ53" s="2790">
        <f t="shared" ca="1" si="132"/>
        <v>0</v>
      </c>
      <c r="CA53" s="2790">
        <f t="shared" ca="1" si="132"/>
        <v>0</v>
      </c>
      <c r="CB53" s="2790">
        <f t="shared" ca="1" si="132"/>
        <v>0</v>
      </c>
      <c r="CC53" s="2790">
        <f t="shared" ca="1" si="132"/>
        <v>0</v>
      </c>
      <c r="CD53" s="2790">
        <f t="shared" ca="1" si="132"/>
        <v>0</v>
      </c>
      <c r="CE53" s="2790">
        <f t="shared" ca="1" si="132"/>
        <v>0</v>
      </c>
      <c r="CF53" s="2790">
        <f t="shared" ca="1" si="132"/>
        <v>0</v>
      </c>
      <c r="CG53" s="2790">
        <f t="shared" ca="1" si="132"/>
        <v>0</v>
      </c>
      <c r="CH53" s="2790">
        <f t="shared" ca="1" si="132"/>
        <v>0</v>
      </c>
      <c r="CI53" s="2790">
        <f t="shared" ref="CI53:CR54" ca="1" si="133">IFERROR(SUMIFS(INDIRECT($C53&amp;".Emissions["&amp;this.Year&amp;"]"), INDIRECT($C53&amp;".Emissions[GHG]"), CI$6, INDIRECT($C53&amp;".Emissions[IPCC Sector]"), CI$5),0)</f>
        <v>0</v>
      </c>
      <c r="CJ53" s="2790">
        <f t="shared" ca="1" si="133"/>
        <v>0</v>
      </c>
      <c r="CK53" s="2790">
        <f t="shared" ca="1" si="133"/>
        <v>0</v>
      </c>
      <c r="CL53" s="2790">
        <f t="shared" ca="1" si="133"/>
        <v>0</v>
      </c>
      <c r="CM53" s="2790">
        <f t="shared" ca="1" si="133"/>
        <v>0</v>
      </c>
      <c r="CN53" s="2790">
        <f t="shared" ca="1" si="133"/>
        <v>0</v>
      </c>
      <c r="CO53" s="2790">
        <f t="shared" ca="1" si="133"/>
        <v>0</v>
      </c>
      <c r="CP53" s="2790">
        <f t="shared" ca="1" si="133"/>
        <v>0</v>
      </c>
      <c r="CQ53" s="2790">
        <f t="shared" ca="1" si="133"/>
        <v>0</v>
      </c>
      <c r="CR53" s="2790">
        <f t="shared" ca="1" si="133"/>
        <v>0</v>
      </c>
      <c r="CS53" s="2790">
        <f t="shared" ref="CS53:DF54" ca="1" si="134">IFERROR(SUMIFS(INDIRECT($C53&amp;".Emissions["&amp;this.Year&amp;"]"), INDIRECT($C53&amp;".Emissions[GHG]"), CS$6, INDIRECT($C53&amp;".Emissions[IPCC Sector]"), CS$5),0)</f>
        <v>0</v>
      </c>
      <c r="CT53" s="2790">
        <f t="shared" ca="1" si="134"/>
        <v>0</v>
      </c>
      <c r="CU53" s="2790">
        <f t="shared" ca="1" si="134"/>
        <v>0</v>
      </c>
      <c r="CV53" s="2790">
        <f t="shared" ca="1" si="134"/>
        <v>0</v>
      </c>
      <c r="CW53" s="2790">
        <f t="shared" ca="1" si="134"/>
        <v>0</v>
      </c>
      <c r="CX53" s="2790">
        <f t="shared" ca="1" si="134"/>
        <v>0</v>
      </c>
      <c r="CY53" s="2790">
        <f t="shared" ca="1" si="134"/>
        <v>0</v>
      </c>
      <c r="CZ53" s="2790">
        <f t="shared" ca="1" si="134"/>
        <v>0</v>
      </c>
      <c r="DA53" s="2790">
        <f t="shared" ca="1" si="134"/>
        <v>0</v>
      </c>
      <c r="DB53" s="2790">
        <f t="shared" ca="1" si="134"/>
        <v>0</v>
      </c>
      <c r="DC53" s="2790">
        <f t="shared" ca="1" si="134"/>
        <v>0</v>
      </c>
      <c r="DD53" s="2790">
        <f t="shared" ca="1" si="134"/>
        <v>0</v>
      </c>
      <c r="DE53" s="2790">
        <f t="shared" ca="1" si="134"/>
        <v>0</v>
      </c>
      <c r="DF53" s="2790">
        <f t="shared" ca="1" si="134"/>
        <v>0</v>
      </c>
      <c r="DH53" s="596">
        <f t="shared" ca="1" si="113"/>
        <v>0.50758391151371063</v>
      </c>
    </row>
    <row r="54" spans="1:112" s="6" customFormat="1">
      <c r="A54" s="607"/>
      <c r="B54" s="607"/>
      <c r="C54" s="651" t="s">
        <v>516</v>
      </c>
      <c r="D54" s="611" t="s">
        <v>517</v>
      </c>
      <c r="E54" s="611"/>
      <c r="G54" s="619">
        <f t="shared" ca="1" si="127"/>
        <v>0</v>
      </c>
      <c r="H54" s="619">
        <f t="shared" ca="1" si="127"/>
        <v>0</v>
      </c>
      <c r="I54" s="619">
        <f t="shared" ca="1" si="127"/>
        <v>2.341663707632998</v>
      </c>
      <c r="J54" s="619">
        <f t="shared" ca="1" si="127"/>
        <v>0</v>
      </c>
      <c r="K54" s="619">
        <f t="shared" ca="1" si="127"/>
        <v>0</v>
      </c>
      <c r="L54" s="619">
        <f t="shared" ca="1" si="127"/>
        <v>0</v>
      </c>
      <c r="M54" s="619">
        <f t="shared" ca="1" si="127"/>
        <v>0</v>
      </c>
      <c r="N54" s="619">
        <f t="shared" ca="1" si="127"/>
        <v>0</v>
      </c>
      <c r="O54" s="619">
        <f t="shared" ca="1" si="127"/>
        <v>0</v>
      </c>
      <c r="P54" s="619">
        <f t="shared" ca="1" si="127"/>
        <v>0</v>
      </c>
      <c r="Q54" s="612">
        <f ca="1">SUM(G54:P54)</f>
        <v>2.341663707632998</v>
      </c>
      <c r="S54" s="620">
        <f t="shared" ca="1" si="128"/>
        <v>-3.5902839544807497E-2</v>
      </c>
      <c r="T54" s="620">
        <f t="shared" ca="1" si="128"/>
        <v>0</v>
      </c>
      <c r="U54" s="620">
        <f t="shared" ca="1" si="128"/>
        <v>-7.1855333505701287E-4</v>
      </c>
      <c r="V54" s="620">
        <f t="shared" ca="1" si="128"/>
        <v>0</v>
      </c>
      <c r="W54" s="620">
        <f t="shared" ca="1" si="128"/>
        <v>-2.3050423147531336</v>
      </c>
      <c r="X54" s="620">
        <f t="shared" ca="1" si="128"/>
        <v>2</v>
      </c>
      <c r="Y54" s="620">
        <f t="shared" ca="1" si="128"/>
        <v>0</v>
      </c>
      <c r="Z54" s="620">
        <f t="shared" ca="1" si="128"/>
        <v>35</v>
      </c>
      <c r="AA54" s="620">
        <f t="shared" ca="1" si="128"/>
        <v>0</v>
      </c>
      <c r="AB54" s="620">
        <f t="shared" ca="1" si="128"/>
        <v>0</v>
      </c>
      <c r="AC54" s="620">
        <f t="shared" ca="1" si="128"/>
        <v>0</v>
      </c>
      <c r="AD54" s="620">
        <f t="shared" ca="1" si="128"/>
        <v>0</v>
      </c>
      <c r="AE54" s="620">
        <f t="shared" ca="1" si="128"/>
        <v>0</v>
      </c>
      <c r="AF54" s="620">
        <f t="shared" ca="1" si="128"/>
        <v>0</v>
      </c>
      <c r="AG54" s="620">
        <f t="shared" ca="1" si="128"/>
        <v>0</v>
      </c>
      <c r="AH54" s="620">
        <f t="shared" ca="1" si="128"/>
        <v>0</v>
      </c>
      <c r="AI54" s="620">
        <f t="shared" ca="1" si="128"/>
        <v>0</v>
      </c>
      <c r="AJ54" s="620">
        <f t="shared" ca="1" si="128"/>
        <v>0</v>
      </c>
      <c r="AK54" s="613">
        <f ca="1">SUM(S54:AJ54)</f>
        <v>34.658336292367004</v>
      </c>
      <c r="AM54" s="621">
        <f t="shared" ca="1" si="129"/>
        <v>-2</v>
      </c>
      <c r="AN54" s="621">
        <f t="shared" ca="1" si="129"/>
        <v>0</v>
      </c>
      <c r="AO54" s="621">
        <f t="shared" ca="1" si="129"/>
        <v>-35</v>
      </c>
      <c r="AP54" s="621">
        <f t="shared" ca="1" si="129"/>
        <v>0</v>
      </c>
      <c r="AQ54" s="621">
        <f t="shared" ca="1" si="129"/>
        <v>0</v>
      </c>
      <c r="AR54" s="621">
        <f t="shared" ca="1" si="129"/>
        <v>0</v>
      </c>
      <c r="AS54" s="621">
        <f t="shared" ca="1" si="129"/>
        <v>0</v>
      </c>
      <c r="AT54" s="621">
        <f t="shared" ca="1" si="129"/>
        <v>0</v>
      </c>
      <c r="AU54" s="621">
        <f t="shared" ca="1" si="129"/>
        <v>0</v>
      </c>
      <c r="AV54" s="621">
        <f t="shared" ca="1" si="129"/>
        <v>0</v>
      </c>
      <c r="AW54" s="621">
        <f t="shared" ca="1" si="129"/>
        <v>0</v>
      </c>
      <c r="AX54" s="621">
        <f t="shared" ca="1" si="129"/>
        <v>0</v>
      </c>
      <c r="AY54" s="621">
        <f t="shared" ca="1" si="129"/>
        <v>0</v>
      </c>
      <c r="AZ54" s="621">
        <f t="shared" ca="1" si="129"/>
        <v>0</v>
      </c>
      <c r="BA54" s="621">
        <f t="shared" ca="1" si="129"/>
        <v>0</v>
      </c>
      <c r="BB54" s="621">
        <f t="shared" ca="1" si="129"/>
        <v>0</v>
      </c>
      <c r="BC54" s="621">
        <f t="shared" ca="1" si="130"/>
        <v>0</v>
      </c>
      <c r="BD54" s="621">
        <f t="shared" ca="1" si="130"/>
        <v>0</v>
      </c>
      <c r="BE54" s="621">
        <f t="shared" ca="1" si="130"/>
        <v>0</v>
      </c>
      <c r="BF54" s="615">
        <f ca="1">SUM(AM54:BE54)</f>
        <v>-37</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31"/>
        <v>0.47159150665366845</v>
      </c>
      <c r="BP54" s="2792">
        <f t="shared" ca="1" si="131"/>
        <v>1.7415059067169076E-4</v>
      </c>
      <c r="BQ54" s="2792">
        <f t="shared" ca="1" si="131"/>
        <v>7.4553038578023803E-3</v>
      </c>
      <c r="BR54" s="2792">
        <f t="shared" ca="1" si="131"/>
        <v>0</v>
      </c>
      <c r="BS54" s="2792">
        <f t="shared" ca="1" si="131"/>
        <v>0</v>
      </c>
      <c r="BT54" s="2792">
        <f t="shared" ca="1" si="131"/>
        <v>0</v>
      </c>
      <c r="BU54" s="2792">
        <f t="shared" ca="1" si="131"/>
        <v>0</v>
      </c>
      <c r="BV54" s="2792">
        <f t="shared" ca="1" si="131"/>
        <v>0</v>
      </c>
      <c r="BW54" s="2792">
        <f t="shared" ca="1" si="131"/>
        <v>0</v>
      </c>
      <c r="BX54" s="2792">
        <f t="shared" ca="1" si="131"/>
        <v>0</v>
      </c>
      <c r="BY54" s="2792">
        <f t="shared" ca="1" si="132"/>
        <v>0</v>
      </c>
      <c r="BZ54" s="2792">
        <f t="shared" ca="1" si="132"/>
        <v>0</v>
      </c>
      <c r="CA54" s="2792">
        <f t="shared" ca="1" si="132"/>
        <v>0</v>
      </c>
      <c r="CB54" s="2792">
        <f t="shared" ca="1" si="132"/>
        <v>0</v>
      </c>
      <c r="CC54" s="2792">
        <f t="shared" ca="1" si="132"/>
        <v>0</v>
      </c>
      <c r="CD54" s="2792">
        <f t="shared" ca="1" si="132"/>
        <v>0</v>
      </c>
      <c r="CE54" s="2792">
        <f t="shared" ca="1" si="132"/>
        <v>0</v>
      </c>
      <c r="CF54" s="2792">
        <f t="shared" ca="1" si="132"/>
        <v>0</v>
      </c>
      <c r="CG54" s="2792">
        <f t="shared" ca="1" si="132"/>
        <v>0</v>
      </c>
      <c r="CH54" s="2792">
        <f t="shared" ca="1" si="132"/>
        <v>0</v>
      </c>
      <c r="CI54" s="2792">
        <f t="shared" ca="1" si="133"/>
        <v>0</v>
      </c>
      <c r="CJ54" s="2792">
        <f t="shared" ca="1" si="133"/>
        <v>0</v>
      </c>
      <c r="CK54" s="2792">
        <f t="shared" ca="1" si="133"/>
        <v>0</v>
      </c>
      <c r="CL54" s="2792">
        <f t="shared" ca="1" si="133"/>
        <v>0</v>
      </c>
      <c r="CM54" s="2792">
        <f t="shared" ca="1" si="133"/>
        <v>0</v>
      </c>
      <c r="CN54" s="2792">
        <f t="shared" ca="1" si="133"/>
        <v>0</v>
      </c>
      <c r="CO54" s="2792">
        <f t="shared" ca="1" si="133"/>
        <v>0</v>
      </c>
      <c r="CP54" s="2792">
        <f t="shared" ca="1" si="133"/>
        <v>0</v>
      </c>
      <c r="CQ54" s="2792">
        <f t="shared" ca="1" si="133"/>
        <v>0</v>
      </c>
      <c r="CR54" s="2792">
        <f t="shared" ca="1" si="133"/>
        <v>0</v>
      </c>
      <c r="CS54" s="2792">
        <f t="shared" ca="1" si="134"/>
        <v>0</v>
      </c>
      <c r="CT54" s="2792">
        <f t="shared" ca="1" si="134"/>
        <v>0</v>
      </c>
      <c r="CU54" s="2792">
        <f t="shared" ca="1" si="134"/>
        <v>0</v>
      </c>
      <c r="CV54" s="2792">
        <f t="shared" ca="1" si="134"/>
        <v>0</v>
      </c>
      <c r="CW54" s="2792">
        <f t="shared" ca="1" si="134"/>
        <v>0</v>
      </c>
      <c r="CX54" s="2792">
        <f t="shared" ca="1" si="134"/>
        <v>0</v>
      </c>
      <c r="CY54" s="2792">
        <f t="shared" ca="1" si="134"/>
        <v>0</v>
      </c>
      <c r="CZ54" s="2792">
        <f t="shared" ca="1" si="134"/>
        <v>0</v>
      </c>
      <c r="DA54" s="2792">
        <f t="shared" ca="1" si="134"/>
        <v>0</v>
      </c>
      <c r="DB54" s="2792">
        <f t="shared" ca="1" si="134"/>
        <v>0</v>
      </c>
      <c r="DC54" s="2792">
        <f t="shared" ca="1" si="134"/>
        <v>0</v>
      </c>
      <c r="DD54" s="2792">
        <f t="shared" ca="1" si="134"/>
        <v>0</v>
      </c>
      <c r="DE54" s="2792">
        <f t="shared" ca="1" si="134"/>
        <v>0</v>
      </c>
      <c r="DF54" s="2792">
        <f t="shared" ca="1" si="134"/>
        <v>0</v>
      </c>
      <c r="DH54" s="596">
        <f t="shared" ca="1" si="113"/>
        <v>0.47922096110214252</v>
      </c>
    </row>
    <row r="55" spans="1:112" s="6" customFormat="1" ht="15.75">
      <c r="A55" s="652"/>
      <c r="B55" s="653"/>
      <c r="C55" s="616" t="s">
        <v>518</v>
      </c>
      <c r="D55" s="617" t="s">
        <v>519</v>
      </c>
      <c r="E55" s="206"/>
      <c r="G55" s="618">
        <f ca="1">SUM(G53:G54)</f>
        <v>0</v>
      </c>
      <c r="H55" s="618">
        <f t="shared" ref="H55:P55" ca="1" si="135">SUM(H53:H54)</f>
        <v>0</v>
      </c>
      <c r="I55" s="618">
        <f t="shared" ca="1" si="135"/>
        <v>2.341663707632998</v>
      </c>
      <c r="J55" s="618">
        <f t="shared" ca="1" si="135"/>
        <v>0</v>
      </c>
      <c r="K55" s="618">
        <f t="shared" ca="1" si="135"/>
        <v>0</v>
      </c>
      <c r="L55" s="618">
        <f t="shared" ca="1" si="135"/>
        <v>0</v>
      </c>
      <c r="M55" s="618">
        <f t="shared" ca="1" si="135"/>
        <v>0</v>
      </c>
      <c r="N55" s="618">
        <f t="shared" ca="1" si="135"/>
        <v>0</v>
      </c>
      <c r="O55" s="618">
        <f t="shared" ca="1" si="135"/>
        <v>0</v>
      </c>
      <c r="P55" s="618">
        <f t="shared" ca="1" si="135"/>
        <v>0</v>
      </c>
      <c r="Q55" s="618">
        <f ca="1">SUM(G55:P55)</f>
        <v>2.341663707632998</v>
      </c>
      <c r="S55" s="581">
        <f t="shared" ref="S55:AJ55" ca="1" si="136">SUM(S53:S54)</f>
        <v>-0.26189094436842775</v>
      </c>
      <c r="T55" s="581">
        <f t="shared" ca="1" si="136"/>
        <v>0</v>
      </c>
      <c r="U55" s="581">
        <f t="shared" ca="1" si="136"/>
        <v>-7.1855333505701287E-4</v>
      </c>
      <c r="V55" s="581">
        <f t="shared" ca="1" si="136"/>
        <v>-1.8522858135888711</v>
      </c>
      <c r="W55" s="581">
        <f t="shared" ca="1" si="136"/>
        <v>-2.3874442680018375</v>
      </c>
      <c r="X55" s="581">
        <f ca="1">SUM(X53:X54)</f>
        <v>2</v>
      </c>
      <c r="Y55" s="581">
        <f ca="1">SUM(Y53:Y54)</f>
        <v>0</v>
      </c>
      <c r="Z55" s="581">
        <f ca="1">SUM(Z53:Z54)</f>
        <v>35</v>
      </c>
      <c r="AA55" s="581">
        <f t="shared" ca="1" si="136"/>
        <v>0</v>
      </c>
      <c r="AB55" s="581">
        <f t="shared" ca="1" si="136"/>
        <v>-2.6537999724419409E-2</v>
      </c>
      <c r="AC55" s="581">
        <f t="shared" ca="1" si="136"/>
        <v>0</v>
      </c>
      <c r="AD55" s="581">
        <f ca="1">SUM(AD53:AD54)</f>
        <v>0</v>
      </c>
      <c r="AE55" s="581">
        <f ca="1">SUM(AE53:AE54)</f>
        <v>0</v>
      </c>
      <c r="AF55" s="581">
        <f t="shared" ca="1" si="136"/>
        <v>0</v>
      </c>
      <c r="AG55" s="581">
        <f ca="1">SUM(AG53:AG54)</f>
        <v>0</v>
      </c>
      <c r="AH55" s="581">
        <f ca="1">SUM(AH53:AH54)</f>
        <v>0</v>
      </c>
      <c r="AI55" s="581">
        <f ca="1">SUM(AI53:AI54)</f>
        <v>0</v>
      </c>
      <c r="AJ55" s="581">
        <f t="shared" ca="1" si="136"/>
        <v>0</v>
      </c>
      <c r="AK55" s="581">
        <f ca="1">SUM(S55:AJ55)</f>
        <v>32.471122420981388</v>
      </c>
      <c r="AM55" s="582">
        <f t="shared" ref="AM55:BE55" ca="1" si="137">SUM(AM53:AM54)</f>
        <v>-2</v>
      </c>
      <c r="AN55" s="582">
        <f t="shared" ca="1" si="137"/>
        <v>0</v>
      </c>
      <c r="AO55" s="582">
        <f t="shared" ca="1" si="137"/>
        <v>-35</v>
      </c>
      <c r="AP55" s="582">
        <f t="shared" ca="1" si="137"/>
        <v>0</v>
      </c>
      <c r="AQ55" s="582">
        <f t="shared" ca="1" si="137"/>
        <v>0</v>
      </c>
      <c r="AR55" s="582">
        <f t="shared" ca="1" si="137"/>
        <v>0</v>
      </c>
      <c r="AS55" s="582">
        <f t="shared" ca="1" si="137"/>
        <v>0</v>
      </c>
      <c r="AT55" s="582">
        <f t="shared" ca="1" si="137"/>
        <v>0</v>
      </c>
      <c r="AU55" s="582">
        <f t="shared" ca="1" si="137"/>
        <v>0</v>
      </c>
      <c r="AV55" s="582">
        <f t="shared" ca="1" si="137"/>
        <v>0</v>
      </c>
      <c r="AW55" s="582">
        <f t="shared" ca="1" si="137"/>
        <v>0</v>
      </c>
      <c r="AX55" s="582">
        <f t="shared" ca="1" si="137"/>
        <v>0</v>
      </c>
      <c r="AY55" s="582">
        <f t="shared" ca="1" si="137"/>
        <v>0</v>
      </c>
      <c r="AZ55" s="582">
        <f t="shared" ca="1" si="137"/>
        <v>0</v>
      </c>
      <c r="BA55" s="582">
        <f t="shared" ca="1" si="137"/>
        <v>0</v>
      </c>
      <c r="BB55" s="582">
        <f t="shared" ca="1" si="137"/>
        <v>0</v>
      </c>
      <c r="BC55" s="582">
        <f t="shared" ca="1" si="137"/>
        <v>0</v>
      </c>
      <c r="BD55" s="582">
        <f ca="1">SUM(BD53:BD54)</f>
        <v>0</v>
      </c>
      <c r="BE55" s="582">
        <f t="shared" ca="1" si="137"/>
        <v>0</v>
      </c>
      <c r="BF55" s="582">
        <f ca="1">SUM(AM55:BE55)</f>
        <v>-37</v>
      </c>
      <c r="BH55" s="3463">
        <f ca="1">SUM(BH53:BH54)</f>
        <v>0</v>
      </c>
      <c r="BI55" s="3463">
        <f ca="1">SUM(BI53:BI54)</f>
        <v>2.1872138713856146</v>
      </c>
      <c r="BJ55" s="3463">
        <f ca="1">SUM(BH55:BI55)</f>
        <v>2.1872138713856146</v>
      </c>
      <c r="BL55" s="3477">
        <f t="shared" ref="BL55:BL63" ca="1" si="138">Q55+AK55+BF55+BJ55</f>
        <v>0</v>
      </c>
      <c r="BM55" s="654"/>
      <c r="BN55" s="413"/>
      <c r="BO55" s="2789">
        <f t="shared" ref="BO55:DF55" ca="1" si="139">SUM(BO53:BO54)</f>
        <v>0.97724211389491822</v>
      </c>
      <c r="BP55" s="2790">
        <f t="shared" ca="1" si="139"/>
        <v>6.0047860085924874E-4</v>
      </c>
      <c r="BQ55" s="2790">
        <f t="shared" ca="1" si="139"/>
        <v>8.9622801200755931E-3</v>
      </c>
      <c r="BR55" s="2790">
        <f t="shared" ca="1" si="139"/>
        <v>0</v>
      </c>
      <c r="BS55" s="2790">
        <f t="shared" ca="1" si="139"/>
        <v>0</v>
      </c>
      <c r="BT55" s="2790">
        <f t="shared" ca="1" si="139"/>
        <v>0</v>
      </c>
      <c r="BU55" s="2790">
        <f t="shared" ca="1" si="139"/>
        <v>0</v>
      </c>
      <c r="BV55" s="2790">
        <f t="shared" ca="1" si="139"/>
        <v>0</v>
      </c>
      <c r="BW55" s="2790">
        <f t="shared" ca="1" si="139"/>
        <v>0</v>
      </c>
      <c r="BX55" s="2790">
        <f t="shared" ca="1" si="139"/>
        <v>0</v>
      </c>
      <c r="BY55" s="2790">
        <f t="shared" ca="1" si="139"/>
        <v>0</v>
      </c>
      <c r="BZ55" s="2790">
        <f t="shared" ca="1" si="139"/>
        <v>0</v>
      </c>
      <c r="CA55" s="2790">
        <f t="shared" ca="1" si="139"/>
        <v>0</v>
      </c>
      <c r="CB55" s="2790">
        <f t="shared" ca="1" si="139"/>
        <v>0</v>
      </c>
      <c r="CC55" s="2790">
        <f t="shared" ca="1" si="139"/>
        <v>0</v>
      </c>
      <c r="CD55" s="2790">
        <f t="shared" ca="1" si="139"/>
        <v>0</v>
      </c>
      <c r="CE55" s="2790">
        <f t="shared" ca="1" si="139"/>
        <v>0</v>
      </c>
      <c r="CF55" s="2790">
        <f t="shared" ca="1" si="139"/>
        <v>0</v>
      </c>
      <c r="CG55" s="2790">
        <f t="shared" ca="1" si="139"/>
        <v>0</v>
      </c>
      <c r="CH55" s="2790">
        <f t="shared" ca="1" si="139"/>
        <v>0</v>
      </c>
      <c r="CI55" s="2790">
        <f t="shared" ca="1" si="139"/>
        <v>0</v>
      </c>
      <c r="CJ55" s="2790">
        <f t="shared" ca="1" si="139"/>
        <v>0</v>
      </c>
      <c r="CK55" s="2790">
        <f t="shared" ca="1" si="139"/>
        <v>0</v>
      </c>
      <c r="CL55" s="2790">
        <f t="shared" ca="1" si="139"/>
        <v>0</v>
      </c>
      <c r="CM55" s="2790">
        <f t="shared" ca="1" si="139"/>
        <v>0</v>
      </c>
      <c r="CN55" s="2790">
        <f t="shared" ca="1" si="139"/>
        <v>0</v>
      </c>
      <c r="CO55" s="2790">
        <f t="shared" ca="1" si="139"/>
        <v>0</v>
      </c>
      <c r="CP55" s="2790">
        <f t="shared" ca="1" si="139"/>
        <v>0</v>
      </c>
      <c r="CQ55" s="2790">
        <f t="shared" ca="1" si="139"/>
        <v>0</v>
      </c>
      <c r="CR55" s="2790">
        <f t="shared" ca="1" si="139"/>
        <v>0</v>
      </c>
      <c r="CS55" s="2790">
        <f t="shared" ca="1" si="139"/>
        <v>0</v>
      </c>
      <c r="CT55" s="2790">
        <f t="shared" ca="1" si="139"/>
        <v>0</v>
      </c>
      <c r="CU55" s="2790">
        <f t="shared" ca="1" si="139"/>
        <v>0</v>
      </c>
      <c r="CV55" s="2790">
        <f t="shared" ca="1" si="139"/>
        <v>0</v>
      </c>
      <c r="CW55" s="2790">
        <f t="shared" ca="1" si="139"/>
        <v>0</v>
      </c>
      <c r="CX55" s="2790">
        <f t="shared" ca="1" si="139"/>
        <v>0</v>
      </c>
      <c r="CY55" s="2790">
        <f t="shared" ca="1" si="139"/>
        <v>0</v>
      </c>
      <c r="CZ55" s="2790">
        <f t="shared" ca="1" si="139"/>
        <v>0</v>
      </c>
      <c r="DA55" s="2790">
        <f t="shared" ca="1" si="139"/>
        <v>0</v>
      </c>
      <c r="DB55" s="2790">
        <f t="shared" ca="1" si="139"/>
        <v>0</v>
      </c>
      <c r="DC55" s="2790">
        <f t="shared" ca="1" si="139"/>
        <v>0</v>
      </c>
      <c r="DD55" s="2790">
        <f t="shared" ca="1" si="139"/>
        <v>0</v>
      </c>
      <c r="DE55" s="2790">
        <f t="shared" ca="1" si="139"/>
        <v>0</v>
      </c>
      <c r="DF55" s="2790">
        <f t="shared" ca="1" si="139"/>
        <v>0</v>
      </c>
      <c r="DH55" s="596">
        <f t="shared" ca="1" si="113"/>
        <v>0.98680487261585303</v>
      </c>
    </row>
    <row r="56" spans="1:112" s="6" customFormat="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38"/>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13"/>
        <v>0</v>
      </c>
    </row>
    <row r="57" spans="1:112" s="607" customFormat="1">
      <c r="C57" s="587" t="s">
        <v>520</v>
      </c>
      <c r="D57" s="588" t="s">
        <v>521</v>
      </c>
      <c r="E57" s="588"/>
      <c r="F57" s="6"/>
      <c r="G57" s="589">
        <f t="shared" ref="G57:P62" ca="1" si="140">IFERROR(INDEX(INDIRECT($C57&amp;".Outputs["&amp;this.Year&amp;"]"), MATCH(G$5, INDIRECT($C57&amp;".Outputs[Vector]"), 0)), 0)</f>
        <v>0</v>
      </c>
      <c r="H57" s="589">
        <f t="shared" ca="1" si="140"/>
        <v>0</v>
      </c>
      <c r="I57" s="589">
        <f t="shared" ca="1" si="140"/>
        <v>0</v>
      </c>
      <c r="J57" s="589">
        <f t="shared" ca="1" si="140"/>
        <v>0</v>
      </c>
      <c r="K57" s="589">
        <f t="shared" ca="1" si="140"/>
        <v>0</v>
      </c>
      <c r="L57" s="589">
        <f t="shared" ca="1" si="140"/>
        <v>0</v>
      </c>
      <c r="M57" s="589">
        <f t="shared" ca="1" si="140"/>
        <v>0</v>
      </c>
      <c r="N57" s="589">
        <f t="shared" ca="1" si="140"/>
        <v>0</v>
      </c>
      <c r="O57" s="589">
        <f t="shared" ca="1" si="140"/>
        <v>0</v>
      </c>
      <c r="P57" s="589">
        <f t="shared" ca="1" si="140"/>
        <v>0</v>
      </c>
      <c r="Q57" s="590">
        <f t="shared" ref="Q57:Q63" ca="1" si="141">SUM(G57:P57)</f>
        <v>0</v>
      </c>
      <c r="R57" s="6"/>
      <c r="S57" s="591">
        <f t="shared" ref="S57:AJ62" ca="1" si="142">IFERROR(INDEX(INDIRECT($C57&amp;".Outputs["&amp;this.Year&amp;"]"), MATCH(S$5, INDIRECT($C57&amp;".Outputs[Vector]"), 0)), 0)</f>
        <v>0</v>
      </c>
      <c r="T57" s="591">
        <f t="shared" ca="1" si="142"/>
        <v>9.0250353000000008</v>
      </c>
      <c r="U57" s="591">
        <f t="shared" ca="1" si="142"/>
        <v>0</v>
      </c>
      <c r="V57" s="591">
        <f t="shared" ca="1" si="142"/>
        <v>0</v>
      </c>
      <c r="W57" s="591">
        <f t="shared" ca="1" si="142"/>
        <v>0</v>
      </c>
      <c r="X57" s="591">
        <f t="shared" ca="1" si="142"/>
        <v>0</v>
      </c>
      <c r="Y57" s="591">
        <f t="shared" ca="1" si="142"/>
        <v>0</v>
      </c>
      <c r="Z57" s="591">
        <f t="shared" ca="1" si="142"/>
        <v>0</v>
      </c>
      <c r="AA57" s="591">
        <f t="shared" ca="1" si="142"/>
        <v>0</v>
      </c>
      <c r="AB57" s="591">
        <f t="shared" ca="1" si="142"/>
        <v>0</v>
      </c>
      <c r="AC57" s="591">
        <f t="shared" ca="1" si="142"/>
        <v>0</v>
      </c>
      <c r="AD57" s="591">
        <f t="shared" ca="1" si="142"/>
        <v>0</v>
      </c>
      <c r="AE57" s="591">
        <f t="shared" ca="1" si="142"/>
        <v>0</v>
      </c>
      <c r="AF57" s="591">
        <f t="shared" ca="1" si="142"/>
        <v>0</v>
      </c>
      <c r="AG57" s="591">
        <f t="shared" ca="1" si="142"/>
        <v>0</v>
      </c>
      <c r="AH57" s="591">
        <f t="shared" ca="1" si="142"/>
        <v>0</v>
      </c>
      <c r="AI57" s="591">
        <f t="shared" ca="1" si="142"/>
        <v>0</v>
      </c>
      <c r="AJ57" s="591">
        <f t="shared" ca="1" si="142"/>
        <v>0</v>
      </c>
      <c r="AK57" s="592">
        <f t="shared" ref="AK57:AK63" ca="1" si="143">SUM(S57:AJ57)</f>
        <v>9.0250353000000008</v>
      </c>
      <c r="AL57" s="6"/>
      <c r="AM57" s="593">
        <f t="shared" ref="AM57:BB62" ca="1" si="144">IFERROR(INDEX(INDIRECT($C57&amp;".Outputs["&amp;this.Year&amp;"]"), MATCH(AM$5, INDIRECT($C57&amp;".Outputs[Vector]"), 0)), 0)</f>
        <v>0</v>
      </c>
      <c r="AN57" s="593">
        <f t="shared" ca="1" si="144"/>
        <v>0</v>
      </c>
      <c r="AO57" s="593">
        <f t="shared" ca="1" si="144"/>
        <v>0</v>
      </c>
      <c r="AP57" s="593">
        <f t="shared" ca="1" si="144"/>
        <v>0</v>
      </c>
      <c r="AQ57" s="593">
        <f t="shared" ca="1" si="144"/>
        <v>0</v>
      </c>
      <c r="AR57" s="593">
        <f t="shared" ca="1" si="144"/>
        <v>0</v>
      </c>
      <c r="AS57" s="593">
        <f t="shared" ca="1" si="144"/>
        <v>0</v>
      </c>
      <c r="AT57" s="593">
        <f t="shared" ca="1" si="144"/>
        <v>0</v>
      </c>
      <c r="AU57" s="593">
        <f t="shared" ca="1" si="144"/>
        <v>0</v>
      </c>
      <c r="AV57" s="593">
        <f t="shared" ca="1" si="144"/>
        <v>0</v>
      </c>
      <c r="AW57" s="593">
        <f t="shared" ca="1" si="144"/>
        <v>0</v>
      </c>
      <c r="AX57" s="593">
        <f t="shared" ca="1" si="144"/>
        <v>-9.0250353000000008</v>
      </c>
      <c r="AY57" s="593">
        <f t="shared" ca="1" si="144"/>
        <v>0</v>
      </c>
      <c r="AZ57" s="593">
        <f t="shared" ca="1" si="144"/>
        <v>0</v>
      </c>
      <c r="BA57" s="593">
        <f t="shared" ca="1" si="144"/>
        <v>0</v>
      </c>
      <c r="BB57" s="593">
        <f t="shared" ca="1" si="144"/>
        <v>0</v>
      </c>
      <c r="BC57" s="593">
        <f t="shared" ref="BC57:BE62" ca="1" si="145">IFERROR(INDEX(INDIRECT($C57&amp;".Outputs["&amp;this.Year&amp;"]"), MATCH(BC$5, INDIRECT($C57&amp;".Outputs[Vector]"), 0)), 0)</f>
        <v>0</v>
      </c>
      <c r="BD57" s="593">
        <f t="shared" ca="1" si="145"/>
        <v>0</v>
      </c>
      <c r="BE57" s="593">
        <f t="shared" ca="1" si="145"/>
        <v>0</v>
      </c>
      <c r="BF57" s="609">
        <f t="shared" ref="BF57:BF63" ca="1" si="146">SUM(AM57:BE57)</f>
        <v>-9.0250353000000008</v>
      </c>
      <c r="BG57" s="6"/>
      <c r="BH57" s="3471">
        <f t="shared" ref="BH57:BI62" ca="1" si="147">IFERROR(INDEX(INDIRECT($C57&amp;".Outputs["&amp;this.Year&amp;"]"), MATCH(BH$5, INDIRECT($C57&amp;".Outputs[Vector]"), 0)), 0)</f>
        <v>0</v>
      </c>
      <c r="BI57" s="3471">
        <f t="shared" ca="1" si="147"/>
        <v>0</v>
      </c>
      <c r="BJ57" s="3460">
        <f t="shared" ref="BJ57:BJ63" ca="1" si="148">SUM(BH57:BI57)</f>
        <v>0</v>
      </c>
      <c r="BK57" s="6"/>
      <c r="BL57" s="610">
        <f t="shared" ca="1" si="138"/>
        <v>0</v>
      </c>
      <c r="BM57" s="610"/>
      <c r="BN57" s="413"/>
      <c r="BO57" s="2789">
        <f t="shared" ref="BO57:BX62" ca="1" si="149">IFERROR(SUMIFS(INDIRECT($C57&amp;".Emissions["&amp;this.Year&amp;"]"), INDIRECT($C57&amp;".Emissions[GHG]"), BO$6, INDIRECT($C57&amp;".Emissions[IPCC Sector]"), BO$5),0)</f>
        <v>0</v>
      </c>
      <c r="BP57" s="2790">
        <f t="shared" ca="1" si="149"/>
        <v>0</v>
      </c>
      <c r="BQ57" s="2790">
        <f t="shared" ca="1" si="149"/>
        <v>0</v>
      </c>
      <c r="BR57" s="2790">
        <f t="shared" ca="1" si="149"/>
        <v>0</v>
      </c>
      <c r="BS57" s="2790">
        <f t="shared" ca="1" si="149"/>
        <v>0</v>
      </c>
      <c r="BT57" s="2790">
        <f t="shared" ca="1" si="149"/>
        <v>0</v>
      </c>
      <c r="BU57" s="2790">
        <f t="shared" ca="1" si="149"/>
        <v>0</v>
      </c>
      <c r="BV57" s="2790">
        <f t="shared" ca="1" si="149"/>
        <v>0</v>
      </c>
      <c r="BW57" s="2790">
        <f t="shared" ca="1" si="149"/>
        <v>0</v>
      </c>
      <c r="BX57" s="2790">
        <f t="shared" ca="1" si="149"/>
        <v>0</v>
      </c>
      <c r="BY57" s="2790">
        <f t="shared" ref="BY57:CH62" ca="1" si="150">IFERROR(SUMIFS(INDIRECT($C57&amp;".Emissions["&amp;this.Year&amp;"]"), INDIRECT($C57&amp;".Emissions[GHG]"), BY$6, INDIRECT($C57&amp;".Emissions[IPCC Sector]"), BY$5),0)</f>
        <v>0</v>
      </c>
      <c r="BZ57" s="2790">
        <f t="shared" ca="1" si="150"/>
        <v>0</v>
      </c>
      <c r="CA57" s="2790">
        <f t="shared" ca="1" si="150"/>
        <v>0</v>
      </c>
      <c r="CB57" s="2790">
        <f t="shared" ca="1" si="150"/>
        <v>0</v>
      </c>
      <c r="CC57" s="2790">
        <f t="shared" ca="1" si="150"/>
        <v>0</v>
      </c>
      <c r="CD57" s="2790">
        <f t="shared" ca="1" si="150"/>
        <v>0</v>
      </c>
      <c r="CE57" s="2790">
        <f t="shared" ca="1" si="150"/>
        <v>0</v>
      </c>
      <c r="CF57" s="2790">
        <f t="shared" ca="1" si="150"/>
        <v>0</v>
      </c>
      <c r="CG57" s="2790">
        <f t="shared" ca="1" si="150"/>
        <v>0</v>
      </c>
      <c r="CH57" s="2790">
        <f t="shared" ca="1" si="150"/>
        <v>0</v>
      </c>
      <c r="CI57" s="2790">
        <f t="shared" ref="CI57:CR62" ca="1" si="151">IFERROR(SUMIFS(INDIRECT($C57&amp;".Emissions["&amp;this.Year&amp;"]"), INDIRECT($C57&amp;".Emissions[GHG]"), CI$6, INDIRECT($C57&amp;".Emissions[IPCC Sector]"), CI$5),0)</f>
        <v>0</v>
      </c>
      <c r="CJ57" s="2790">
        <f t="shared" ca="1" si="151"/>
        <v>0</v>
      </c>
      <c r="CK57" s="2790">
        <f t="shared" ca="1" si="151"/>
        <v>0</v>
      </c>
      <c r="CL57" s="2790">
        <f t="shared" ca="1" si="151"/>
        <v>0</v>
      </c>
      <c r="CM57" s="2790">
        <f t="shared" ca="1" si="151"/>
        <v>0</v>
      </c>
      <c r="CN57" s="2790">
        <f t="shared" ca="1" si="151"/>
        <v>0</v>
      </c>
      <c r="CO57" s="2790">
        <f t="shared" ca="1" si="151"/>
        <v>0</v>
      </c>
      <c r="CP57" s="2790">
        <f t="shared" ca="1" si="151"/>
        <v>0</v>
      </c>
      <c r="CQ57" s="2790">
        <f t="shared" ca="1" si="151"/>
        <v>0</v>
      </c>
      <c r="CR57" s="2790">
        <f t="shared" ca="1" si="151"/>
        <v>0</v>
      </c>
      <c r="CS57" s="2790">
        <f t="shared" ref="CS57:DF62" ca="1" si="152">IFERROR(SUMIFS(INDIRECT($C57&amp;".Emissions["&amp;this.Year&amp;"]"), INDIRECT($C57&amp;".Emissions[GHG]"), CS$6, INDIRECT($C57&amp;".Emissions[IPCC Sector]"), CS$5),0)</f>
        <v>0</v>
      </c>
      <c r="CT57" s="2790">
        <f t="shared" ca="1" si="152"/>
        <v>0</v>
      </c>
      <c r="CU57" s="2790">
        <f t="shared" ca="1" si="152"/>
        <v>0</v>
      </c>
      <c r="CV57" s="2790">
        <f t="shared" ca="1" si="152"/>
        <v>0</v>
      </c>
      <c r="CW57" s="2790">
        <f t="shared" ca="1" si="152"/>
        <v>0</v>
      </c>
      <c r="CX57" s="2790">
        <f t="shared" ca="1" si="152"/>
        <v>0</v>
      </c>
      <c r="CY57" s="2790">
        <f t="shared" ca="1" si="152"/>
        <v>0</v>
      </c>
      <c r="CZ57" s="2790">
        <f t="shared" ca="1" si="152"/>
        <v>0</v>
      </c>
      <c r="DA57" s="2790">
        <f t="shared" ca="1" si="152"/>
        <v>0</v>
      </c>
      <c r="DB57" s="2790">
        <f t="shared" ca="1" si="152"/>
        <v>0</v>
      </c>
      <c r="DC57" s="2790">
        <f t="shared" ca="1" si="152"/>
        <v>0</v>
      </c>
      <c r="DD57" s="2790">
        <f t="shared" ca="1" si="152"/>
        <v>0</v>
      </c>
      <c r="DE57" s="2790">
        <f t="shared" ca="1" si="152"/>
        <v>0</v>
      </c>
      <c r="DF57" s="2790">
        <f t="shared" ca="1" si="152"/>
        <v>0</v>
      </c>
      <c r="DH57" s="596">
        <f t="shared" ca="1" si="113"/>
        <v>0</v>
      </c>
    </row>
    <row r="58" spans="1:112" s="607" customFormat="1">
      <c r="C58" s="587" t="s">
        <v>522</v>
      </c>
      <c r="D58" s="588" t="s">
        <v>523</v>
      </c>
      <c r="E58" s="588"/>
      <c r="F58" s="6"/>
      <c r="G58" s="589">
        <f t="shared" ca="1" si="140"/>
        <v>0</v>
      </c>
      <c r="H58" s="589">
        <f t="shared" ca="1" si="140"/>
        <v>0</v>
      </c>
      <c r="I58" s="589">
        <f t="shared" ca="1" si="140"/>
        <v>0</v>
      </c>
      <c r="J58" s="589">
        <f t="shared" ca="1" si="140"/>
        <v>0</v>
      </c>
      <c r="K58" s="589">
        <f t="shared" ca="1" si="140"/>
        <v>0</v>
      </c>
      <c r="L58" s="589">
        <f t="shared" ca="1" si="140"/>
        <v>0</v>
      </c>
      <c r="M58" s="589">
        <f t="shared" ca="1" si="140"/>
        <v>0</v>
      </c>
      <c r="N58" s="589">
        <f t="shared" ca="1" si="140"/>
        <v>0</v>
      </c>
      <c r="O58" s="589">
        <f t="shared" ca="1" si="140"/>
        <v>0</v>
      </c>
      <c r="P58" s="589">
        <f t="shared" ca="1" si="140"/>
        <v>0</v>
      </c>
      <c r="Q58" s="590">
        <f ca="1">SUM(G58:P58)</f>
        <v>0</v>
      </c>
      <c r="R58" s="6"/>
      <c r="S58" s="591">
        <f t="shared" ca="1" si="142"/>
        <v>0</v>
      </c>
      <c r="T58" s="591">
        <f t="shared" ca="1" si="142"/>
        <v>8.7660000000000016E-2</v>
      </c>
      <c r="U58" s="591">
        <f t="shared" ca="1" si="142"/>
        <v>0</v>
      </c>
      <c r="V58" s="591">
        <f t="shared" ca="1" si="142"/>
        <v>0</v>
      </c>
      <c r="W58" s="591">
        <f t="shared" ca="1" si="142"/>
        <v>0</v>
      </c>
      <c r="X58" s="591">
        <f t="shared" ca="1" si="142"/>
        <v>0</v>
      </c>
      <c r="Y58" s="591">
        <f t="shared" ca="1" si="142"/>
        <v>0</v>
      </c>
      <c r="Z58" s="591">
        <f t="shared" ca="1" si="142"/>
        <v>0</v>
      </c>
      <c r="AA58" s="591">
        <f t="shared" ca="1" si="142"/>
        <v>0</v>
      </c>
      <c r="AB58" s="591">
        <f t="shared" ca="1" si="142"/>
        <v>0</v>
      </c>
      <c r="AC58" s="591">
        <f t="shared" ca="1" si="142"/>
        <v>0</v>
      </c>
      <c r="AD58" s="591">
        <f t="shared" ca="1" si="142"/>
        <v>0</v>
      </c>
      <c r="AE58" s="591">
        <f t="shared" ca="1" si="142"/>
        <v>0</v>
      </c>
      <c r="AF58" s="591">
        <f t="shared" ca="1" si="142"/>
        <v>0</v>
      </c>
      <c r="AG58" s="591">
        <f t="shared" ca="1" si="142"/>
        <v>0</v>
      </c>
      <c r="AH58" s="591">
        <f t="shared" ca="1" si="142"/>
        <v>0</v>
      </c>
      <c r="AI58" s="591">
        <f t="shared" ca="1" si="142"/>
        <v>0</v>
      </c>
      <c r="AJ58" s="591">
        <f t="shared" ca="1" si="142"/>
        <v>0</v>
      </c>
      <c r="AK58" s="592">
        <f ca="1">SUM(S58:AJ58)</f>
        <v>8.7660000000000016E-2</v>
      </c>
      <c r="AL58" s="6"/>
      <c r="AM58" s="593">
        <f t="shared" ca="1" si="144"/>
        <v>0</v>
      </c>
      <c r="AN58" s="593">
        <f t="shared" ca="1" si="144"/>
        <v>0</v>
      </c>
      <c r="AO58" s="593">
        <f t="shared" ca="1" si="144"/>
        <v>0</v>
      </c>
      <c r="AP58" s="593">
        <f t="shared" ca="1" si="144"/>
        <v>0</v>
      </c>
      <c r="AQ58" s="593">
        <f t="shared" ca="1" si="144"/>
        <v>0</v>
      </c>
      <c r="AR58" s="593">
        <f t="shared" ca="1" si="144"/>
        <v>0</v>
      </c>
      <c r="AS58" s="593">
        <f t="shared" ca="1" si="144"/>
        <v>0</v>
      </c>
      <c r="AT58" s="593">
        <f t="shared" ca="1" si="144"/>
        <v>0</v>
      </c>
      <c r="AU58" s="593">
        <f t="shared" ca="1" si="144"/>
        <v>0</v>
      </c>
      <c r="AV58" s="593">
        <f t="shared" ca="1" si="144"/>
        <v>0</v>
      </c>
      <c r="AW58" s="593">
        <f t="shared" ca="1" si="144"/>
        <v>0</v>
      </c>
      <c r="AX58" s="593">
        <f t="shared" ca="1" si="144"/>
        <v>-8.7660000000000016E-2</v>
      </c>
      <c r="AY58" s="593">
        <f t="shared" ca="1" si="144"/>
        <v>0</v>
      </c>
      <c r="AZ58" s="593">
        <f t="shared" ca="1" si="144"/>
        <v>0</v>
      </c>
      <c r="BA58" s="593">
        <f t="shared" ca="1" si="144"/>
        <v>0</v>
      </c>
      <c r="BB58" s="593">
        <f t="shared" ca="1" si="144"/>
        <v>0</v>
      </c>
      <c r="BC58" s="593">
        <f t="shared" ca="1" si="145"/>
        <v>0</v>
      </c>
      <c r="BD58" s="593">
        <f t="shared" ca="1" si="145"/>
        <v>0</v>
      </c>
      <c r="BE58" s="593">
        <f t="shared" ca="1" si="145"/>
        <v>0</v>
      </c>
      <c r="BF58" s="609">
        <f ca="1">SUM(AM58:BE58)</f>
        <v>-8.7660000000000016E-2</v>
      </c>
      <c r="BG58" s="6"/>
      <c r="BH58" s="3471">
        <f t="shared" ca="1" si="147"/>
        <v>0</v>
      </c>
      <c r="BI58" s="3471">
        <f t="shared" ca="1" si="147"/>
        <v>0</v>
      </c>
      <c r="BJ58" s="3460">
        <f ca="1">SUM(BH58:BI58)</f>
        <v>0</v>
      </c>
      <c r="BK58" s="6"/>
      <c r="BL58" s="610">
        <f t="shared" ca="1" si="138"/>
        <v>0</v>
      </c>
      <c r="BM58" s="610"/>
      <c r="BN58" s="413"/>
      <c r="BO58" s="2789">
        <f t="shared" ca="1" si="149"/>
        <v>0</v>
      </c>
      <c r="BP58" s="2790">
        <f t="shared" ca="1" si="149"/>
        <v>0</v>
      </c>
      <c r="BQ58" s="2790">
        <f t="shared" ca="1" si="149"/>
        <v>0</v>
      </c>
      <c r="BR58" s="2790">
        <f t="shared" ca="1" si="149"/>
        <v>0</v>
      </c>
      <c r="BS58" s="2790">
        <f t="shared" ca="1" si="149"/>
        <v>0</v>
      </c>
      <c r="BT58" s="2790">
        <f t="shared" ca="1" si="149"/>
        <v>0</v>
      </c>
      <c r="BU58" s="2790">
        <f t="shared" ca="1" si="149"/>
        <v>0</v>
      </c>
      <c r="BV58" s="2790">
        <f t="shared" ca="1" si="149"/>
        <v>0</v>
      </c>
      <c r="BW58" s="2790">
        <f t="shared" ca="1" si="149"/>
        <v>0</v>
      </c>
      <c r="BX58" s="2790">
        <f t="shared" ca="1" si="149"/>
        <v>0</v>
      </c>
      <c r="BY58" s="2790">
        <f t="shared" ca="1" si="150"/>
        <v>0</v>
      </c>
      <c r="BZ58" s="2790">
        <f t="shared" ca="1" si="150"/>
        <v>0</v>
      </c>
      <c r="CA58" s="2790">
        <f t="shared" ca="1" si="150"/>
        <v>0</v>
      </c>
      <c r="CB58" s="2790">
        <f t="shared" ca="1" si="150"/>
        <v>0</v>
      </c>
      <c r="CC58" s="2790">
        <f t="shared" ca="1" si="150"/>
        <v>0</v>
      </c>
      <c r="CD58" s="2790">
        <f t="shared" ca="1" si="150"/>
        <v>0</v>
      </c>
      <c r="CE58" s="2790">
        <f t="shared" ca="1" si="150"/>
        <v>0</v>
      </c>
      <c r="CF58" s="2790">
        <f t="shared" ca="1" si="150"/>
        <v>0</v>
      </c>
      <c r="CG58" s="2790">
        <f t="shared" ca="1" si="150"/>
        <v>0</v>
      </c>
      <c r="CH58" s="2790">
        <f t="shared" ca="1" si="150"/>
        <v>0</v>
      </c>
      <c r="CI58" s="2790">
        <f t="shared" ca="1" si="151"/>
        <v>0</v>
      </c>
      <c r="CJ58" s="2790">
        <f t="shared" ca="1" si="151"/>
        <v>0</v>
      </c>
      <c r="CK58" s="2790">
        <f t="shared" ca="1" si="151"/>
        <v>0</v>
      </c>
      <c r="CL58" s="2790">
        <f t="shared" ca="1" si="151"/>
        <v>0</v>
      </c>
      <c r="CM58" s="2790">
        <f t="shared" ca="1" si="151"/>
        <v>0</v>
      </c>
      <c r="CN58" s="2790">
        <f t="shared" ca="1" si="151"/>
        <v>0</v>
      </c>
      <c r="CO58" s="2790">
        <f t="shared" ca="1" si="151"/>
        <v>0</v>
      </c>
      <c r="CP58" s="2790">
        <f t="shared" ca="1" si="151"/>
        <v>0</v>
      </c>
      <c r="CQ58" s="2790">
        <f t="shared" ca="1" si="151"/>
        <v>0</v>
      </c>
      <c r="CR58" s="2790">
        <f t="shared" ca="1" si="151"/>
        <v>0</v>
      </c>
      <c r="CS58" s="2790">
        <f t="shared" ca="1" si="152"/>
        <v>0</v>
      </c>
      <c r="CT58" s="2790">
        <f t="shared" ca="1" si="152"/>
        <v>0</v>
      </c>
      <c r="CU58" s="2790">
        <f t="shared" ca="1" si="152"/>
        <v>0</v>
      </c>
      <c r="CV58" s="2790">
        <f t="shared" ca="1" si="152"/>
        <v>0</v>
      </c>
      <c r="CW58" s="2790">
        <f t="shared" ca="1" si="152"/>
        <v>0</v>
      </c>
      <c r="CX58" s="2790">
        <f t="shared" ca="1" si="152"/>
        <v>0</v>
      </c>
      <c r="CY58" s="2790">
        <f t="shared" ca="1" si="152"/>
        <v>0</v>
      </c>
      <c r="CZ58" s="2790">
        <f t="shared" ca="1" si="152"/>
        <v>0</v>
      </c>
      <c r="DA58" s="2790">
        <f t="shared" ca="1" si="152"/>
        <v>0</v>
      </c>
      <c r="DB58" s="2790">
        <f t="shared" ca="1" si="152"/>
        <v>0</v>
      </c>
      <c r="DC58" s="2790">
        <f t="shared" ca="1" si="152"/>
        <v>0</v>
      </c>
      <c r="DD58" s="2790">
        <f t="shared" ca="1" si="152"/>
        <v>0</v>
      </c>
      <c r="DE58" s="2790">
        <f t="shared" ca="1" si="152"/>
        <v>0</v>
      </c>
      <c r="DF58" s="2790">
        <f t="shared" ca="1" si="152"/>
        <v>0</v>
      </c>
      <c r="DH58" s="596">
        <f ca="1">SUM(BO58:DF58)</f>
        <v>0</v>
      </c>
    </row>
    <row r="59" spans="1:112" s="607" customFormat="1">
      <c r="C59" s="587" t="s">
        <v>524</v>
      </c>
      <c r="D59" s="588" t="s">
        <v>525</v>
      </c>
      <c r="E59" s="588"/>
      <c r="F59" s="6"/>
      <c r="G59" s="589">
        <f t="shared" ca="1" si="140"/>
        <v>0</v>
      </c>
      <c r="H59" s="589">
        <f t="shared" ca="1" si="140"/>
        <v>0</v>
      </c>
      <c r="I59" s="589">
        <f t="shared" ca="1" si="140"/>
        <v>0</v>
      </c>
      <c r="J59" s="589">
        <f t="shared" ca="1" si="140"/>
        <v>0</v>
      </c>
      <c r="K59" s="589">
        <f t="shared" ca="1" si="140"/>
        <v>0</v>
      </c>
      <c r="L59" s="589">
        <f t="shared" ca="1" si="140"/>
        <v>0</v>
      </c>
      <c r="M59" s="589">
        <f t="shared" ca="1" si="140"/>
        <v>0</v>
      </c>
      <c r="N59" s="589">
        <f t="shared" ca="1" si="140"/>
        <v>0</v>
      </c>
      <c r="O59" s="589">
        <f t="shared" ca="1" si="140"/>
        <v>0</v>
      </c>
      <c r="P59" s="589">
        <f t="shared" ca="1" si="140"/>
        <v>0</v>
      </c>
      <c r="Q59" s="590">
        <f t="shared" ca="1" si="141"/>
        <v>0</v>
      </c>
      <c r="R59" s="6"/>
      <c r="S59" s="591">
        <f t="shared" ca="1" si="142"/>
        <v>0</v>
      </c>
      <c r="T59" s="591">
        <f t="shared" ca="1" si="142"/>
        <v>0.74791511999999993</v>
      </c>
      <c r="U59" s="591">
        <f t="shared" ca="1" si="142"/>
        <v>0</v>
      </c>
      <c r="V59" s="591">
        <f t="shared" ca="1" si="142"/>
        <v>0</v>
      </c>
      <c r="W59" s="591">
        <f t="shared" ca="1" si="142"/>
        <v>0</v>
      </c>
      <c r="X59" s="591">
        <f t="shared" ca="1" si="142"/>
        <v>0</v>
      </c>
      <c r="Y59" s="591">
        <f t="shared" ca="1" si="142"/>
        <v>0</v>
      </c>
      <c r="Z59" s="591">
        <f t="shared" ca="1" si="142"/>
        <v>0</v>
      </c>
      <c r="AA59" s="591">
        <f t="shared" ca="1" si="142"/>
        <v>0</v>
      </c>
      <c r="AB59" s="591">
        <f t="shared" ca="1" si="142"/>
        <v>0</v>
      </c>
      <c r="AC59" s="591">
        <f t="shared" ca="1" si="142"/>
        <v>0</v>
      </c>
      <c r="AD59" s="591">
        <f t="shared" ca="1" si="142"/>
        <v>0</v>
      </c>
      <c r="AE59" s="591">
        <f t="shared" ca="1" si="142"/>
        <v>0</v>
      </c>
      <c r="AF59" s="591">
        <f t="shared" ca="1" si="142"/>
        <v>0</v>
      </c>
      <c r="AG59" s="591">
        <f t="shared" ca="1" si="142"/>
        <v>0</v>
      </c>
      <c r="AH59" s="591">
        <f t="shared" ca="1" si="142"/>
        <v>0</v>
      </c>
      <c r="AI59" s="591">
        <f t="shared" ca="1" si="142"/>
        <v>0</v>
      </c>
      <c r="AJ59" s="591">
        <f t="shared" ca="1" si="142"/>
        <v>0</v>
      </c>
      <c r="AK59" s="592">
        <f t="shared" ca="1" si="143"/>
        <v>0.74791511999999993</v>
      </c>
      <c r="AL59" s="6"/>
      <c r="AM59" s="593">
        <f t="shared" ca="1" si="144"/>
        <v>0</v>
      </c>
      <c r="AN59" s="593">
        <f t="shared" ca="1" si="144"/>
        <v>0</v>
      </c>
      <c r="AO59" s="593">
        <f t="shared" ca="1" si="144"/>
        <v>0</v>
      </c>
      <c r="AP59" s="593">
        <f t="shared" ca="1" si="144"/>
        <v>0</v>
      </c>
      <c r="AQ59" s="593">
        <f t="shared" ca="1" si="144"/>
        <v>0</v>
      </c>
      <c r="AR59" s="593">
        <f t="shared" ca="1" si="144"/>
        <v>0</v>
      </c>
      <c r="AS59" s="593">
        <f t="shared" ca="1" si="144"/>
        <v>0</v>
      </c>
      <c r="AT59" s="593">
        <f t="shared" ca="1" si="144"/>
        <v>0</v>
      </c>
      <c r="AU59" s="593">
        <f t="shared" ca="1" si="144"/>
        <v>0</v>
      </c>
      <c r="AV59" s="593">
        <f t="shared" ca="1" si="144"/>
        <v>0</v>
      </c>
      <c r="AW59" s="593">
        <f t="shared" ca="1" si="144"/>
        <v>0</v>
      </c>
      <c r="AX59" s="593">
        <f t="shared" ca="1" si="144"/>
        <v>0</v>
      </c>
      <c r="AY59" s="593">
        <f t="shared" ca="1" si="144"/>
        <v>0</v>
      </c>
      <c r="AZ59" s="593">
        <f t="shared" ca="1" si="144"/>
        <v>0</v>
      </c>
      <c r="BA59" s="593">
        <f t="shared" ca="1" si="144"/>
        <v>0</v>
      </c>
      <c r="BB59" s="593">
        <f t="shared" ca="1" si="144"/>
        <v>-0.74791511999999993</v>
      </c>
      <c r="BC59" s="593">
        <f t="shared" ca="1" si="145"/>
        <v>0</v>
      </c>
      <c r="BD59" s="593">
        <f t="shared" ca="1" si="145"/>
        <v>0</v>
      </c>
      <c r="BE59" s="593">
        <f t="shared" ca="1" si="145"/>
        <v>0</v>
      </c>
      <c r="BF59" s="609">
        <f t="shared" ca="1" si="146"/>
        <v>-0.74791511999999993</v>
      </c>
      <c r="BG59" s="6"/>
      <c r="BH59" s="3471">
        <f t="shared" ca="1" si="147"/>
        <v>0</v>
      </c>
      <c r="BI59" s="3471">
        <f t="shared" ca="1" si="147"/>
        <v>0</v>
      </c>
      <c r="BJ59" s="3460">
        <f t="shared" ca="1" si="148"/>
        <v>0</v>
      </c>
      <c r="BK59" s="6"/>
      <c r="BL59" s="610">
        <f t="shared" ca="1" si="138"/>
        <v>0</v>
      </c>
      <c r="BM59" s="610"/>
      <c r="BN59" s="413"/>
      <c r="BO59" s="2789">
        <f t="shared" ca="1" si="149"/>
        <v>0</v>
      </c>
      <c r="BP59" s="2790">
        <f t="shared" ca="1" si="149"/>
        <v>0</v>
      </c>
      <c r="BQ59" s="2790">
        <f t="shared" ca="1" si="149"/>
        <v>0</v>
      </c>
      <c r="BR59" s="2790">
        <f t="shared" ca="1" si="149"/>
        <v>0</v>
      </c>
      <c r="BS59" s="2790">
        <f t="shared" ca="1" si="149"/>
        <v>0</v>
      </c>
      <c r="BT59" s="2790">
        <f t="shared" ca="1" si="149"/>
        <v>0</v>
      </c>
      <c r="BU59" s="2790">
        <f t="shared" ca="1" si="149"/>
        <v>0</v>
      </c>
      <c r="BV59" s="2790">
        <f t="shared" ca="1" si="149"/>
        <v>0</v>
      </c>
      <c r="BW59" s="2790">
        <f t="shared" ca="1" si="149"/>
        <v>0</v>
      </c>
      <c r="BX59" s="2790">
        <f t="shared" ca="1" si="149"/>
        <v>0</v>
      </c>
      <c r="BY59" s="2790">
        <f t="shared" ca="1" si="150"/>
        <v>0</v>
      </c>
      <c r="BZ59" s="2790">
        <f t="shared" ca="1" si="150"/>
        <v>0</v>
      </c>
      <c r="CA59" s="2790">
        <f t="shared" ca="1" si="150"/>
        <v>0</v>
      </c>
      <c r="CB59" s="2790">
        <f t="shared" ca="1" si="150"/>
        <v>0</v>
      </c>
      <c r="CC59" s="2790">
        <f t="shared" ca="1" si="150"/>
        <v>0</v>
      </c>
      <c r="CD59" s="2790">
        <f t="shared" ca="1" si="150"/>
        <v>0</v>
      </c>
      <c r="CE59" s="2790">
        <f t="shared" ca="1" si="150"/>
        <v>0</v>
      </c>
      <c r="CF59" s="2790">
        <f t="shared" ca="1" si="150"/>
        <v>0</v>
      </c>
      <c r="CG59" s="2790">
        <f t="shared" ca="1" si="150"/>
        <v>0</v>
      </c>
      <c r="CH59" s="2790">
        <f t="shared" ca="1" si="150"/>
        <v>0</v>
      </c>
      <c r="CI59" s="2790">
        <f t="shared" ca="1" si="151"/>
        <v>0</v>
      </c>
      <c r="CJ59" s="2790">
        <f t="shared" ca="1" si="151"/>
        <v>0</v>
      </c>
      <c r="CK59" s="2790">
        <f t="shared" ca="1" si="151"/>
        <v>0</v>
      </c>
      <c r="CL59" s="2790">
        <f t="shared" ca="1" si="151"/>
        <v>0</v>
      </c>
      <c r="CM59" s="2790">
        <f t="shared" ca="1" si="151"/>
        <v>0</v>
      </c>
      <c r="CN59" s="2790">
        <f t="shared" ca="1" si="151"/>
        <v>0</v>
      </c>
      <c r="CO59" s="2790">
        <f t="shared" ca="1" si="151"/>
        <v>0</v>
      </c>
      <c r="CP59" s="2790">
        <f t="shared" ca="1" si="151"/>
        <v>0</v>
      </c>
      <c r="CQ59" s="2790">
        <f t="shared" ca="1" si="151"/>
        <v>0</v>
      </c>
      <c r="CR59" s="2790">
        <f t="shared" ca="1" si="151"/>
        <v>0</v>
      </c>
      <c r="CS59" s="2790">
        <f t="shared" ca="1" si="152"/>
        <v>0</v>
      </c>
      <c r="CT59" s="2790">
        <f t="shared" ca="1" si="152"/>
        <v>0</v>
      </c>
      <c r="CU59" s="2790">
        <f t="shared" ca="1" si="152"/>
        <v>0</v>
      </c>
      <c r="CV59" s="2790">
        <f t="shared" ca="1" si="152"/>
        <v>0</v>
      </c>
      <c r="CW59" s="2790">
        <f t="shared" ca="1" si="152"/>
        <v>0</v>
      </c>
      <c r="CX59" s="2790">
        <f t="shared" ca="1" si="152"/>
        <v>0</v>
      </c>
      <c r="CY59" s="2790">
        <f t="shared" ca="1" si="152"/>
        <v>0</v>
      </c>
      <c r="CZ59" s="2790">
        <f t="shared" ca="1" si="152"/>
        <v>0</v>
      </c>
      <c r="DA59" s="2790">
        <f t="shared" ca="1" si="152"/>
        <v>0</v>
      </c>
      <c r="DB59" s="2790">
        <f t="shared" ca="1" si="152"/>
        <v>0</v>
      </c>
      <c r="DC59" s="2790">
        <f t="shared" ca="1" si="152"/>
        <v>0</v>
      </c>
      <c r="DD59" s="2790">
        <f t="shared" ca="1" si="152"/>
        <v>0</v>
      </c>
      <c r="DE59" s="2790">
        <f t="shared" ca="1" si="152"/>
        <v>0</v>
      </c>
      <c r="DF59" s="2790">
        <f t="shared" ca="1" si="152"/>
        <v>0</v>
      </c>
      <c r="DH59" s="596">
        <f t="shared" ca="1" si="113"/>
        <v>0</v>
      </c>
    </row>
    <row r="60" spans="1:112" s="607" customFormat="1">
      <c r="C60" s="587" t="s">
        <v>526</v>
      </c>
      <c r="D60" s="588" t="s">
        <v>527</v>
      </c>
      <c r="E60" s="588"/>
      <c r="F60" s="6"/>
      <c r="G60" s="589">
        <f t="shared" ca="1" si="140"/>
        <v>0</v>
      </c>
      <c r="H60" s="589">
        <f t="shared" ca="1" si="140"/>
        <v>0</v>
      </c>
      <c r="I60" s="589">
        <f t="shared" ca="1" si="140"/>
        <v>0</v>
      </c>
      <c r="J60" s="589">
        <f t="shared" ca="1" si="140"/>
        <v>0</v>
      </c>
      <c r="K60" s="589">
        <f t="shared" ca="1" si="140"/>
        <v>0</v>
      </c>
      <c r="L60" s="589">
        <f t="shared" ca="1" si="140"/>
        <v>0</v>
      </c>
      <c r="M60" s="589">
        <f t="shared" ca="1" si="140"/>
        <v>0</v>
      </c>
      <c r="N60" s="589">
        <f t="shared" ca="1" si="140"/>
        <v>0</v>
      </c>
      <c r="O60" s="589">
        <f t="shared" ca="1" si="140"/>
        <v>0</v>
      </c>
      <c r="P60" s="589">
        <f t="shared" ca="1" si="140"/>
        <v>0</v>
      </c>
      <c r="Q60" s="590">
        <f t="shared" ca="1" si="141"/>
        <v>0</v>
      </c>
      <c r="R60" s="6"/>
      <c r="S60" s="591">
        <f t="shared" ca="1" si="142"/>
        <v>0</v>
      </c>
      <c r="T60" s="591">
        <f t="shared" ca="1" si="142"/>
        <v>1.3017510000000001E-2</v>
      </c>
      <c r="U60" s="591">
        <f t="shared" ca="1" si="142"/>
        <v>0</v>
      </c>
      <c r="V60" s="591">
        <f t="shared" ca="1" si="142"/>
        <v>0</v>
      </c>
      <c r="W60" s="591">
        <f t="shared" ca="1" si="142"/>
        <v>0</v>
      </c>
      <c r="X60" s="591">
        <f t="shared" ca="1" si="142"/>
        <v>0</v>
      </c>
      <c r="Y60" s="591">
        <f t="shared" ca="1" si="142"/>
        <v>0</v>
      </c>
      <c r="Z60" s="591">
        <f t="shared" ca="1" si="142"/>
        <v>0</v>
      </c>
      <c r="AA60" s="591">
        <f t="shared" ca="1" si="142"/>
        <v>0</v>
      </c>
      <c r="AB60" s="591">
        <f t="shared" ca="1" si="142"/>
        <v>0</v>
      </c>
      <c r="AC60" s="591">
        <f t="shared" ca="1" si="142"/>
        <v>0</v>
      </c>
      <c r="AD60" s="591">
        <f t="shared" ca="1" si="142"/>
        <v>0</v>
      </c>
      <c r="AE60" s="591">
        <f t="shared" ca="1" si="142"/>
        <v>0</v>
      </c>
      <c r="AF60" s="591">
        <f t="shared" ca="1" si="142"/>
        <v>0</v>
      </c>
      <c r="AG60" s="591">
        <f t="shared" ca="1" si="142"/>
        <v>0</v>
      </c>
      <c r="AH60" s="591">
        <f t="shared" ca="1" si="142"/>
        <v>0</v>
      </c>
      <c r="AI60" s="591">
        <f t="shared" ca="1" si="142"/>
        <v>0</v>
      </c>
      <c r="AJ60" s="591">
        <f t="shared" ca="1" si="142"/>
        <v>0</v>
      </c>
      <c r="AK60" s="592">
        <f t="shared" ca="1" si="143"/>
        <v>1.3017510000000001E-2</v>
      </c>
      <c r="AL60" s="6"/>
      <c r="AM60" s="593">
        <f t="shared" ca="1" si="144"/>
        <v>0</v>
      </c>
      <c r="AN60" s="593">
        <f t="shared" ca="1" si="144"/>
        <v>0</v>
      </c>
      <c r="AO60" s="593">
        <f t="shared" ca="1" si="144"/>
        <v>0</v>
      </c>
      <c r="AP60" s="593">
        <f t="shared" ca="1" si="144"/>
        <v>0</v>
      </c>
      <c r="AQ60" s="593">
        <f t="shared" ca="1" si="144"/>
        <v>0</v>
      </c>
      <c r="AR60" s="593">
        <f t="shared" ca="1" si="144"/>
        <v>0</v>
      </c>
      <c r="AS60" s="593">
        <f t="shared" ca="1" si="144"/>
        <v>0</v>
      </c>
      <c r="AT60" s="593">
        <f t="shared" ca="1" si="144"/>
        <v>0</v>
      </c>
      <c r="AU60" s="593">
        <f t="shared" ca="1" si="144"/>
        <v>0</v>
      </c>
      <c r="AV60" s="593">
        <f t="shared" ca="1" si="144"/>
        <v>0</v>
      </c>
      <c r="AW60" s="593">
        <f t="shared" ca="1" si="144"/>
        <v>0</v>
      </c>
      <c r="AX60" s="593">
        <f t="shared" ca="1" si="144"/>
        <v>0</v>
      </c>
      <c r="AY60" s="593">
        <f t="shared" ca="1" si="144"/>
        <v>0</v>
      </c>
      <c r="AZ60" s="593">
        <f t="shared" ca="1" si="144"/>
        <v>-1.3017510000000001E-2</v>
      </c>
      <c r="BA60" s="593">
        <f t="shared" ca="1" si="144"/>
        <v>0</v>
      </c>
      <c r="BB60" s="593">
        <f t="shared" ca="1" si="144"/>
        <v>0</v>
      </c>
      <c r="BC60" s="593">
        <f t="shared" ca="1" si="145"/>
        <v>0</v>
      </c>
      <c r="BD60" s="593">
        <f t="shared" ca="1" si="145"/>
        <v>0</v>
      </c>
      <c r="BE60" s="593">
        <f t="shared" ca="1" si="145"/>
        <v>0</v>
      </c>
      <c r="BF60" s="609">
        <f t="shared" ca="1" si="146"/>
        <v>-1.3017510000000001E-2</v>
      </c>
      <c r="BG60" s="6"/>
      <c r="BH60" s="3471">
        <f t="shared" ca="1" si="147"/>
        <v>0</v>
      </c>
      <c r="BI60" s="3471">
        <f t="shared" ca="1" si="147"/>
        <v>0</v>
      </c>
      <c r="BJ60" s="3460">
        <f t="shared" ca="1" si="148"/>
        <v>0</v>
      </c>
      <c r="BK60" s="6"/>
      <c r="BL60" s="610">
        <f t="shared" ca="1" si="138"/>
        <v>0</v>
      </c>
      <c r="BM60" s="610"/>
      <c r="BN60" s="413"/>
      <c r="BO60" s="2789">
        <f t="shared" ca="1" si="149"/>
        <v>0</v>
      </c>
      <c r="BP60" s="2790">
        <f t="shared" ca="1" si="149"/>
        <v>0</v>
      </c>
      <c r="BQ60" s="2790">
        <f t="shared" ca="1" si="149"/>
        <v>0</v>
      </c>
      <c r="BR60" s="2790">
        <f t="shared" ca="1" si="149"/>
        <v>0</v>
      </c>
      <c r="BS60" s="2790">
        <f t="shared" ca="1" si="149"/>
        <v>0</v>
      </c>
      <c r="BT60" s="2790">
        <f t="shared" ca="1" si="149"/>
        <v>0</v>
      </c>
      <c r="BU60" s="2790">
        <f t="shared" ca="1" si="149"/>
        <v>0</v>
      </c>
      <c r="BV60" s="2790">
        <f t="shared" ca="1" si="149"/>
        <v>0</v>
      </c>
      <c r="BW60" s="2790">
        <f t="shared" ca="1" si="149"/>
        <v>0</v>
      </c>
      <c r="BX60" s="2790">
        <f t="shared" ca="1" si="149"/>
        <v>0</v>
      </c>
      <c r="BY60" s="2790">
        <f t="shared" ca="1" si="150"/>
        <v>0</v>
      </c>
      <c r="BZ60" s="2790">
        <f t="shared" ca="1" si="150"/>
        <v>0</v>
      </c>
      <c r="CA60" s="2790">
        <f t="shared" ca="1" si="150"/>
        <v>0</v>
      </c>
      <c r="CB60" s="2790">
        <f t="shared" ca="1" si="150"/>
        <v>0</v>
      </c>
      <c r="CC60" s="2790">
        <f t="shared" ca="1" si="150"/>
        <v>0</v>
      </c>
      <c r="CD60" s="2790">
        <f t="shared" ca="1" si="150"/>
        <v>0</v>
      </c>
      <c r="CE60" s="2790">
        <f t="shared" ca="1" si="150"/>
        <v>0</v>
      </c>
      <c r="CF60" s="2790">
        <f t="shared" ca="1" si="150"/>
        <v>0</v>
      </c>
      <c r="CG60" s="2790">
        <f t="shared" ca="1" si="150"/>
        <v>0</v>
      </c>
      <c r="CH60" s="2790">
        <f t="shared" ca="1" si="150"/>
        <v>0</v>
      </c>
      <c r="CI60" s="2790">
        <f t="shared" ca="1" si="151"/>
        <v>0</v>
      </c>
      <c r="CJ60" s="2790">
        <f t="shared" ca="1" si="151"/>
        <v>0</v>
      </c>
      <c r="CK60" s="2790">
        <f t="shared" ca="1" si="151"/>
        <v>0</v>
      </c>
      <c r="CL60" s="2790">
        <f t="shared" ca="1" si="151"/>
        <v>0</v>
      </c>
      <c r="CM60" s="2790">
        <f t="shared" ca="1" si="151"/>
        <v>0</v>
      </c>
      <c r="CN60" s="2790">
        <f t="shared" ca="1" si="151"/>
        <v>0</v>
      </c>
      <c r="CO60" s="2790">
        <f t="shared" ca="1" si="151"/>
        <v>0</v>
      </c>
      <c r="CP60" s="2790">
        <f t="shared" ca="1" si="151"/>
        <v>0</v>
      </c>
      <c r="CQ60" s="2790">
        <f t="shared" ca="1" si="151"/>
        <v>0</v>
      </c>
      <c r="CR60" s="2790">
        <f t="shared" ca="1" si="151"/>
        <v>0</v>
      </c>
      <c r="CS60" s="2790">
        <f t="shared" ca="1" si="152"/>
        <v>0</v>
      </c>
      <c r="CT60" s="2790">
        <f t="shared" ca="1" si="152"/>
        <v>0</v>
      </c>
      <c r="CU60" s="2790">
        <f t="shared" ca="1" si="152"/>
        <v>0</v>
      </c>
      <c r="CV60" s="2790">
        <f t="shared" ca="1" si="152"/>
        <v>0</v>
      </c>
      <c r="CW60" s="2790">
        <f t="shared" ca="1" si="152"/>
        <v>0</v>
      </c>
      <c r="CX60" s="2790">
        <f t="shared" ca="1" si="152"/>
        <v>0</v>
      </c>
      <c r="CY60" s="2790">
        <f t="shared" ca="1" si="152"/>
        <v>0</v>
      </c>
      <c r="CZ60" s="2790">
        <f t="shared" ca="1" si="152"/>
        <v>0</v>
      </c>
      <c r="DA60" s="2790">
        <f t="shared" ca="1" si="152"/>
        <v>0</v>
      </c>
      <c r="DB60" s="2790">
        <f t="shared" ca="1" si="152"/>
        <v>0</v>
      </c>
      <c r="DC60" s="2790">
        <f t="shared" ca="1" si="152"/>
        <v>0</v>
      </c>
      <c r="DD60" s="2790">
        <f t="shared" ca="1" si="152"/>
        <v>0</v>
      </c>
      <c r="DE60" s="2790">
        <f t="shared" ca="1" si="152"/>
        <v>0</v>
      </c>
      <c r="DF60" s="2790">
        <f t="shared" ca="1" si="152"/>
        <v>0</v>
      </c>
      <c r="DH60" s="596">
        <f t="shared" ca="1" si="113"/>
        <v>0</v>
      </c>
    </row>
    <row r="61" spans="1:112" s="607" customFormat="1">
      <c r="C61" s="587" t="s">
        <v>528</v>
      </c>
      <c r="D61" s="588" t="s">
        <v>529</v>
      </c>
      <c r="E61" s="588"/>
      <c r="F61" s="6"/>
      <c r="G61" s="589">
        <f t="shared" ca="1" si="140"/>
        <v>0</v>
      </c>
      <c r="H61" s="589">
        <f t="shared" ca="1" si="140"/>
        <v>0</v>
      </c>
      <c r="I61" s="589">
        <f t="shared" ca="1" si="140"/>
        <v>0</v>
      </c>
      <c r="J61" s="589">
        <f t="shared" ca="1" si="140"/>
        <v>0</v>
      </c>
      <c r="K61" s="589">
        <f t="shared" ca="1" si="140"/>
        <v>0</v>
      </c>
      <c r="L61" s="589">
        <f t="shared" ca="1" si="140"/>
        <v>0</v>
      </c>
      <c r="M61" s="589">
        <f t="shared" ca="1" si="140"/>
        <v>0</v>
      </c>
      <c r="N61" s="589">
        <f t="shared" ca="1" si="140"/>
        <v>0</v>
      </c>
      <c r="O61" s="589">
        <f t="shared" ca="1" si="140"/>
        <v>0</v>
      </c>
      <c r="P61" s="589">
        <f t="shared" ca="1" si="140"/>
        <v>0</v>
      </c>
      <c r="Q61" s="590">
        <f t="shared" ca="1" si="141"/>
        <v>0</v>
      </c>
      <c r="R61" s="6"/>
      <c r="S61" s="591">
        <f t="shared" ca="1" si="142"/>
        <v>0</v>
      </c>
      <c r="T61" s="591">
        <f t="shared" ca="1" si="142"/>
        <v>0</v>
      </c>
      <c r="U61" s="591">
        <f t="shared" ca="1" si="142"/>
        <v>0</v>
      </c>
      <c r="V61" s="591">
        <f t="shared" ca="1" si="142"/>
        <v>0</v>
      </c>
      <c r="W61" s="591">
        <f t="shared" ca="1" si="142"/>
        <v>0</v>
      </c>
      <c r="X61" s="591">
        <f t="shared" ca="1" si="142"/>
        <v>0</v>
      </c>
      <c r="Y61" s="591">
        <f t="shared" ca="1" si="142"/>
        <v>0</v>
      </c>
      <c r="Z61" s="591">
        <f t="shared" ca="1" si="142"/>
        <v>0</v>
      </c>
      <c r="AA61" s="591">
        <f t="shared" ca="1" si="142"/>
        <v>0</v>
      </c>
      <c r="AB61" s="591">
        <f t="shared" ca="1" si="142"/>
        <v>0</v>
      </c>
      <c r="AC61" s="591">
        <f t="shared" ca="1" si="142"/>
        <v>0</v>
      </c>
      <c r="AD61" s="591">
        <f t="shared" ca="1" si="142"/>
        <v>0</v>
      </c>
      <c r="AE61" s="591">
        <f t="shared" ca="1" si="142"/>
        <v>0</v>
      </c>
      <c r="AF61" s="591">
        <f t="shared" ca="1" si="142"/>
        <v>0</v>
      </c>
      <c r="AG61" s="591">
        <f t="shared" ca="1" si="142"/>
        <v>0</v>
      </c>
      <c r="AH61" s="591">
        <f t="shared" ca="1" si="142"/>
        <v>0</v>
      </c>
      <c r="AI61" s="591">
        <f t="shared" ca="1" si="142"/>
        <v>0</v>
      </c>
      <c r="AJ61" s="591">
        <f t="shared" ca="1" si="142"/>
        <v>0</v>
      </c>
      <c r="AK61" s="592">
        <f t="shared" ca="1" si="143"/>
        <v>0</v>
      </c>
      <c r="AL61" s="6"/>
      <c r="AM61" s="593">
        <f t="shared" ca="1" si="144"/>
        <v>0</v>
      </c>
      <c r="AN61" s="593">
        <f t="shared" ca="1" si="144"/>
        <v>0</v>
      </c>
      <c r="AO61" s="593">
        <f t="shared" ca="1" si="144"/>
        <v>0</v>
      </c>
      <c r="AP61" s="593">
        <f t="shared" ca="1" si="144"/>
        <v>0</v>
      </c>
      <c r="AQ61" s="593">
        <f t="shared" ca="1" si="144"/>
        <v>0</v>
      </c>
      <c r="AR61" s="593">
        <f t="shared" ca="1" si="144"/>
        <v>0</v>
      </c>
      <c r="AS61" s="593">
        <f t="shared" ca="1" si="144"/>
        <v>0</v>
      </c>
      <c r="AT61" s="593">
        <f t="shared" ca="1" si="144"/>
        <v>0</v>
      </c>
      <c r="AU61" s="593">
        <f t="shared" ca="1" si="144"/>
        <v>0</v>
      </c>
      <c r="AV61" s="593">
        <f t="shared" ca="1" si="144"/>
        <v>0</v>
      </c>
      <c r="AW61" s="593">
        <f t="shared" ca="1" si="144"/>
        <v>0</v>
      </c>
      <c r="AX61" s="593">
        <f t="shared" ca="1" si="144"/>
        <v>0</v>
      </c>
      <c r="AY61" s="593">
        <f t="shared" ca="1" si="144"/>
        <v>0</v>
      </c>
      <c r="AZ61" s="593">
        <f t="shared" ca="1" si="144"/>
        <v>0</v>
      </c>
      <c r="BA61" s="593">
        <f t="shared" ca="1" si="144"/>
        <v>0</v>
      </c>
      <c r="BB61" s="593">
        <f t="shared" ca="1" si="144"/>
        <v>0</v>
      </c>
      <c r="BC61" s="593">
        <f t="shared" ca="1" si="145"/>
        <v>0</v>
      </c>
      <c r="BD61" s="593">
        <f t="shared" ca="1" si="145"/>
        <v>0</v>
      </c>
      <c r="BE61" s="593">
        <f t="shared" ca="1" si="145"/>
        <v>0</v>
      </c>
      <c r="BF61" s="609">
        <f t="shared" ca="1" si="146"/>
        <v>0</v>
      </c>
      <c r="BG61" s="6"/>
      <c r="BH61" s="3471">
        <f t="shared" ca="1" si="147"/>
        <v>0</v>
      </c>
      <c r="BI61" s="3471">
        <f t="shared" ca="1" si="147"/>
        <v>0</v>
      </c>
      <c r="BJ61" s="3460">
        <f t="shared" ca="1" si="148"/>
        <v>0</v>
      </c>
      <c r="BK61" s="6"/>
      <c r="BL61" s="610">
        <f t="shared" ca="1" si="138"/>
        <v>0</v>
      </c>
      <c r="BM61" s="610"/>
      <c r="BN61" s="413"/>
      <c r="BO61" s="2789">
        <f t="shared" ca="1" si="149"/>
        <v>0</v>
      </c>
      <c r="BP61" s="2790">
        <f t="shared" ca="1" si="149"/>
        <v>0</v>
      </c>
      <c r="BQ61" s="2790">
        <f t="shared" ca="1" si="149"/>
        <v>0</v>
      </c>
      <c r="BR61" s="2790">
        <f t="shared" ca="1" si="149"/>
        <v>0</v>
      </c>
      <c r="BS61" s="2790">
        <f t="shared" ca="1" si="149"/>
        <v>0</v>
      </c>
      <c r="BT61" s="2790">
        <f t="shared" ca="1" si="149"/>
        <v>0</v>
      </c>
      <c r="BU61" s="2790">
        <f t="shared" ca="1" si="149"/>
        <v>0</v>
      </c>
      <c r="BV61" s="2790">
        <f t="shared" ca="1" si="149"/>
        <v>0</v>
      </c>
      <c r="BW61" s="2790">
        <f t="shared" ca="1" si="149"/>
        <v>0</v>
      </c>
      <c r="BX61" s="2790">
        <f t="shared" ca="1" si="149"/>
        <v>0</v>
      </c>
      <c r="BY61" s="2790">
        <f t="shared" ca="1" si="150"/>
        <v>0</v>
      </c>
      <c r="BZ61" s="2790">
        <f t="shared" ca="1" si="150"/>
        <v>0</v>
      </c>
      <c r="CA61" s="2790">
        <f t="shared" ca="1" si="150"/>
        <v>0</v>
      </c>
      <c r="CB61" s="2790">
        <f t="shared" ca="1" si="150"/>
        <v>0</v>
      </c>
      <c r="CC61" s="2790">
        <f t="shared" ca="1" si="150"/>
        <v>0</v>
      </c>
      <c r="CD61" s="2790">
        <f t="shared" ca="1" si="150"/>
        <v>0</v>
      </c>
      <c r="CE61" s="2790">
        <f t="shared" ca="1" si="150"/>
        <v>0</v>
      </c>
      <c r="CF61" s="2790">
        <f t="shared" ca="1" si="150"/>
        <v>0</v>
      </c>
      <c r="CG61" s="2790">
        <f t="shared" ca="1" si="150"/>
        <v>0</v>
      </c>
      <c r="CH61" s="2790">
        <f t="shared" ca="1" si="150"/>
        <v>0</v>
      </c>
      <c r="CI61" s="2790">
        <f t="shared" ca="1" si="151"/>
        <v>0</v>
      </c>
      <c r="CJ61" s="2790">
        <f t="shared" ca="1" si="151"/>
        <v>0</v>
      </c>
      <c r="CK61" s="2790">
        <f t="shared" ca="1" si="151"/>
        <v>0</v>
      </c>
      <c r="CL61" s="2790">
        <f t="shared" ca="1" si="151"/>
        <v>0</v>
      </c>
      <c r="CM61" s="2790">
        <f t="shared" ca="1" si="151"/>
        <v>0</v>
      </c>
      <c r="CN61" s="2790">
        <f t="shared" ca="1" si="151"/>
        <v>0</v>
      </c>
      <c r="CO61" s="2790">
        <f t="shared" ca="1" si="151"/>
        <v>0</v>
      </c>
      <c r="CP61" s="2790">
        <f t="shared" ca="1" si="151"/>
        <v>0</v>
      </c>
      <c r="CQ61" s="2790">
        <f t="shared" ca="1" si="151"/>
        <v>0</v>
      </c>
      <c r="CR61" s="2790">
        <f t="shared" ca="1" si="151"/>
        <v>0</v>
      </c>
      <c r="CS61" s="2790">
        <f t="shared" ca="1" si="152"/>
        <v>0</v>
      </c>
      <c r="CT61" s="2790">
        <f t="shared" ca="1" si="152"/>
        <v>0</v>
      </c>
      <c r="CU61" s="2790">
        <f t="shared" ca="1" si="152"/>
        <v>0</v>
      </c>
      <c r="CV61" s="2790">
        <f t="shared" ca="1" si="152"/>
        <v>0</v>
      </c>
      <c r="CW61" s="2790">
        <f t="shared" ca="1" si="152"/>
        <v>0</v>
      </c>
      <c r="CX61" s="2790">
        <f t="shared" ca="1" si="152"/>
        <v>0</v>
      </c>
      <c r="CY61" s="2790">
        <f t="shared" ca="1" si="152"/>
        <v>0</v>
      </c>
      <c r="CZ61" s="2790">
        <f t="shared" ca="1" si="152"/>
        <v>0</v>
      </c>
      <c r="DA61" s="2790">
        <f t="shared" ca="1" si="152"/>
        <v>0</v>
      </c>
      <c r="DB61" s="2790">
        <f t="shared" ca="1" si="152"/>
        <v>0</v>
      </c>
      <c r="DC61" s="2790">
        <f t="shared" ca="1" si="152"/>
        <v>0</v>
      </c>
      <c r="DD61" s="2790">
        <f t="shared" ca="1" si="152"/>
        <v>0</v>
      </c>
      <c r="DE61" s="2790">
        <f t="shared" ca="1" si="152"/>
        <v>0</v>
      </c>
      <c r="DF61" s="2790">
        <f t="shared" ca="1" si="152"/>
        <v>0</v>
      </c>
      <c r="DH61" s="596">
        <f t="shared" ca="1" si="113"/>
        <v>0</v>
      </c>
    </row>
    <row r="62" spans="1:112" s="6" customFormat="1">
      <c r="A62" s="607"/>
      <c r="B62" s="607"/>
      <c r="C62" s="587" t="s">
        <v>530</v>
      </c>
      <c r="D62" s="611" t="s">
        <v>531</v>
      </c>
      <c r="E62" s="611"/>
      <c r="G62" s="619">
        <f t="shared" ca="1" si="140"/>
        <v>0</v>
      </c>
      <c r="H62" s="619">
        <f t="shared" ca="1" si="140"/>
        <v>0</v>
      </c>
      <c r="I62" s="619">
        <f t="shared" ca="1" si="140"/>
        <v>0</v>
      </c>
      <c r="J62" s="619">
        <f t="shared" ca="1" si="140"/>
        <v>0</v>
      </c>
      <c r="K62" s="619">
        <f t="shared" ca="1" si="140"/>
        <v>0</v>
      </c>
      <c r="L62" s="619">
        <f t="shared" ca="1" si="140"/>
        <v>0</v>
      </c>
      <c r="M62" s="619">
        <f t="shared" ca="1" si="140"/>
        <v>0</v>
      </c>
      <c r="N62" s="619">
        <f t="shared" ca="1" si="140"/>
        <v>0</v>
      </c>
      <c r="O62" s="619">
        <f t="shared" ca="1" si="140"/>
        <v>0</v>
      </c>
      <c r="P62" s="619">
        <f t="shared" ca="1" si="140"/>
        <v>0</v>
      </c>
      <c r="Q62" s="612">
        <f t="shared" ca="1" si="141"/>
        <v>0</v>
      </c>
      <c r="S62" s="620">
        <f t="shared" ca="1" si="142"/>
        <v>0</v>
      </c>
      <c r="T62" s="620">
        <f t="shared" ca="1" si="142"/>
        <v>0</v>
      </c>
      <c r="U62" s="620">
        <f t="shared" ca="1" si="142"/>
        <v>0</v>
      </c>
      <c r="V62" s="620">
        <f t="shared" ca="1" si="142"/>
        <v>0</v>
      </c>
      <c r="W62" s="620">
        <f t="shared" ca="1" si="142"/>
        <v>0</v>
      </c>
      <c r="X62" s="620">
        <f t="shared" ca="1" si="142"/>
        <v>0</v>
      </c>
      <c r="Y62" s="620">
        <f t="shared" ca="1" si="142"/>
        <v>0</v>
      </c>
      <c r="Z62" s="620">
        <f t="shared" ca="1" si="142"/>
        <v>0</v>
      </c>
      <c r="AA62" s="620">
        <f t="shared" ca="1" si="142"/>
        <v>0</v>
      </c>
      <c r="AB62" s="620">
        <f t="shared" ca="1" si="142"/>
        <v>0</v>
      </c>
      <c r="AC62" s="620">
        <f t="shared" ca="1" si="142"/>
        <v>0</v>
      </c>
      <c r="AD62" s="620">
        <f t="shared" ca="1" si="142"/>
        <v>0</v>
      </c>
      <c r="AE62" s="620">
        <f t="shared" ca="1" si="142"/>
        <v>0</v>
      </c>
      <c r="AF62" s="620">
        <f t="shared" ca="1" si="142"/>
        <v>0</v>
      </c>
      <c r="AG62" s="620">
        <f t="shared" ca="1" si="142"/>
        <v>0</v>
      </c>
      <c r="AH62" s="620">
        <f t="shared" ca="1" si="142"/>
        <v>0</v>
      </c>
      <c r="AI62" s="620">
        <f t="shared" ca="1" si="142"/>
        <v>0</v>
      </c>
      <c r="AJ62" s="620">
        <f t="shared" ca="1" si="142"/>
        <v>0</v>
      </c>
      <c r="AK62" s="613">
        <f t="shared" ca="1" si="143"/>
        <v>0</v>
      </c>
      <c r="AM62" s="621">
        <f t="shared" ca="1" si="144"/>
        <v>0</v>
      </c>
      <c r="AN62" s="621">
        <f t="shared" ca="1" si="144"/>
        <v>0</v>
      </c>
      <c r="AO62" s="621">
        <f t="shared" ca="1" si="144"/>
        <v>0</v>
      </c>
      <c r="AP62" s="621">
        <f t="shared" ca="1" si="144"/>
        <v>0</v>
      </c>
      <c r="AQ62" s="621">
        <f t="shared" ca="1" si="144"/>
        <v>0</v>
      </c>
      <c r="AR62" s="621">
        <f t="shared" ca="1" si="144"/>
        <v>0</v>
      </c>
      <c r="AS62" s="621">
        <f t="shared" ca="1" si="144"/>
        <v>0</v>
      </c>
      <c r="AT62" s="621">
        <f t="shared" ca="1" si="144"/>
        <v>0</v>
      </c>
      <c r="AU62" s="621">
        <f t="shared" ca="1" si="144"/>
        <v>0</v>
      </c>
      <c r="AV62" s="621">
        <f t="shared" ca="1" si="144"/>
        <v>0</v>
      </c>
      <c r="AW62" s="621">
        <f t="shared" ca="1" si="144"/>
        <v>0</v>
      </c>
      <c r="AX62" s="621">
        <f t="shared" ca="1" si="144"/>
        <v>0</v>
      </c>
      <c r="AY62" s="621">
        <f t="shared" ca="1" si="144"/>
        <v>0</v>
      </c>
      <c r="AZ62" s="621">
        <f t="shared" ca="1" si="144"/>
        <v>0</v>
      </c>
      <c r="BA62" s="621">
        <f t="shared" ca="1" si="144"/>
        <v>0</v>
      </c>
      <c r="BB62" s="621">
        <f t="shared" ca="1" si="144"/>
        <v>0</v>
      </c>
      <c r="BC62" s="621">
        <f t="shared" ca="1" si="145"/>
        <v>0</v>
      </c>
      <c r="BD62" s="621">
        <f t="shared" ca="1" si="145"/>
        <v>0</v>
      </c>
      <c r="BE62" s="621">
        <f t="shared" ca="1" si="145"/>
        <v>0</v>
      </c>
      <c r="BF62" s="615">
        <f t="shared" ca="1" si="146"/>
        <v>0</v>
      </c>
      <c r="BH62" s="3473">
        <f t="shared" ca="1" si="147"/>
        <v>0</v>
      </c>
      <c r="BI62" s="3473">
        <f t="shared" ca="1" si="147"/>
        <v>0</v>
      </c>
      <c r="BJ62" s="3462">
        <f t="shared" ca="1" si="148"/>
        <v>0</v>
      </c>
      <c r="BL62" s="610">
        <f t="shared" ca="1" si="138"/>
        <v>0</v>
      </c>
      <c r="BM62" s="610"/>
      <c r="BN62" s="413"/>
      <c r="BO62" s="2791">
        <f t="shared" ca="1" si="149"/>
        <v>0</v>
      </c>
      <c r="BP62" s="2792">
        <f t="shared" ca="1" si="149"/>
        <v>0</v>
      </c>
      <c r="BQ62" s="2792">
        <f t="shared" ca="1" si="149"/>
        <v>0</v>
      </c>
      <c r="BR62" s="2792">
        <f t="shared" ca="1" si="149"/>
        <v>0</v>
      </c>
      <c r="BS62" s="2792">
        <f t="shared" ca="1" si="149"/>
        <v>0</v>
      </c>
      <c r="BT62" s="2792">
        <f t="shared" ca="1" si="149"/>
        <v>0</v>
      </c>
      <c r="BU62" s="2792">
        <f t="shared" ca="1" si="149"/>
        <v>0</v>
      </c>
      <c r="BV62" s="2792">
        <f t="shared" ca="1" si="149"/>
        <v>0</v>
      </c>
      <c r="BW62" s="2792">
        <f t="shared" ca="1" si="149"/>
        <v>0</v>
      </c>
      <c r="BX62" s="2792">
        <f t="shared" ca="1" si="149"/>
        <v>0</v>
      </c>
      <c r="BY62" s="2792">
        <f t="shared" ca="1" si="150"/>
        <v>0</v>
      </c>
      <c r="BZ62" s="2792">
        <f t="shared" ca="1" si="150"/>
        <v>0</v>
      </c>
      <c r="CA62" s="2792">
        <f t="shared" ca="1" si="150"/>
        <v>0</v>
      </c>
      <c r="CB62" s="2792">
        <f t="shared" ca="1" si="150"/>
        <v>0</v>
      </c>
      <c r="CC62" s="2792">
        <f t="shared" ca="1" si="150"/>
        <v>0</v>
      </c>
      <c r="CD62" s="2792">
        <f t="shared" ca="1" si="150"/>
        <v>0</v>
      </c>
      <c r="CE62" s="2792">
        <f t="shared" ca="1" si="150"/>
        <v>0</v>
      </c>
      <c r="CF62" s="2792">
        <f t="shared" ca="1" si="150"/>
        <v>0</v>
      </c>
      <c r="CG62" s="2792">
        <f t="shared" ca="1" si="150"/>
        <v>0</v>
      </c>
      <c r="CH62" s="2792">
        <f t="shared" ca="1" si="150"/>
        <v>0</v>
      </c>
      <c r="CI62" s="2792">
        <f t="shared" ca="1" si="151"/>
        <v>0</v>
      </c>
      <c r="CJ62" s="2792">
        <f t="shared" ca="1" si="151"/>
        <v>0</v>
      </c>
      <c r="CK62" s="2792">
        <f t="shared" ca="1" si="151"/>
        <v>0</v>
      </c>
      <c r="CL62" s="2792">
        <f t="shared" ca="1" si="151"/>
        <v>0</v>
      </c>
      <c r="CM62" s="2792">
        <f t="shared" ca="1" si="151"/>
        <v>0</v>
      </c>
      <c r="CN62" s="2792">
        <f t="shared" ca="1" si="151"/>
        <v>0</v>
      </c>
      <c r="CO62" s="2792">
        <f t="shared" ca="1" si="151"/>
        <v>0</v>
      </c>
      <c r="CP62" s="2792">
        <f t="shared" ca="1" si="151"/>
        <v>0</v>
      </c>
      <c r="CQ62" s="2792">
        <f t="shared" ca="1" si="151"/>
        <v>0</v>
      </c>
      <c r="CR62" s="2792">
        <f t="shared" ca="1" si="151"/>
        <v>0</v>
      </c>
      <c r="CS62" s="2792">
        <f t="shared" ca="1" si="152"/>
        <v>0</v>
      </c>
      <c r="CT62" s="2792">
        <f t="shared" ca="1" si="152"/>
        <v>0</v>
      </c>
      <c r="CU62" s="2792">
        <f t="shared" ca="1" si="152"/>
        <v>0</v>
      </c>
      <c r="CV62" s="2792">
        <f t="shared" ca="1" si="152"/>
        <v>0</v>
      </c>
      <c r="CW62" s="2792">
        <f t="shared" ca="1" si="152"/>
        <v>0</v>
      </c>
      <c r="CX62" s="2792">
        <f t="shared" ca="1" si="152"/>
        <v>0</v>
      </c>
      <c r="CY62" s="2792">
        <f t="shared" ca="1" si="152"/>
        <v>0</v>
      </c>
      <c r="CZ62" s="2792">
        <f t="shared" ca="1" si="152"/>
        <v>0</v>
      </c>
      <c r="DA62" s="2792">
        <f t="shared" ca="1" si="152"/>
        <v>0</v>
      </c>
      <c r="DB62" s="2792">
        <f t="shared" ca="1" si="152"/>
        <v>0</v>
      </c>
      <c r="DC62" s="2792">
        <f t="shared" ca="1" si="152"/>
        <v>0</v>
      </c>
      <c r="DD62" s="2792">
        <f t="shared" ca="1" si="152"/>
        <v>0</v>
      </c>
      <c r="DE62" s="2792">
        <f t="shared" ca="1" si="152"/>
        <v>0</v>
      </c>
      <c r="DF62" s="2792">
        <f t="shared" ca="1" si="152"/>
        <v>0</v>
      </c>
      <c r="DH62" s="596">
        <f t="shared" ca="1" si="113"/>
        <v>0</v>
      </c>
    </row>
    <row r="63" spans="1:112" s="6" customFormat="1" ht="15.75">
      <c r="A63" s="4"/>
      <c r="B63" s="3"/>
      <c r="C63" s="616" t="s">
        <v>532</v>
      </c>
      <c r="D63" s="617" t="s">
        <v>533</v>
      </c>
      <c r="E63" s="206"/>
      <c r="G63" s="579">
        <f t="shared" ref="G63:P63" ca="1" si="153">SUM(G57:G62)</f>
        <v>0</v>
      </c>
      <c r="H63" s="579">
        <f t="shared" ca="1" si="153"/>
        <v>0</v>
      </c>
      <c r="I63" s="579">
        <f t="shared" ca="1" si="153"/>
        <v>0</v>
      </c>
      <c r="J63" s="579">
        <f t="shared" ca="1" si="153"/>
        <v>0</v>
      </c>
      <c r="K63" s="579">
        <f t="shared" ca="1" si="153"/>
        <v>0</v>
      </c>
      <c r="L63" s="579">
        <f t="shared" ca="1" si="153"/>
        <v>0</v>
      </c>
      <c r="M63" s="579">
        <f t="shared" ca="1" si="153"/>
        <v>0</v>
      </c>
      <c r="N63" s="579">
        <f t="shared" ca="1" si="153"/>
        <v>0</v>
      </c>
      <c r="O63" s="579">
        <f t="shared" ca="1" si="153"/>
        <v>0</v>
      </c>
      <c r="P63" s="579">
        <f t="shared" ca="1" si="153"/>
        <v>0</v>
      </c>
      <c r="Q63" s="618">
        <f t="shared" ca="1" si="141"/>
        <v>0</v>
      </c>
      <c r="S63" s="581">
        <f t="shared" ref="S63:AJ63" ca="1" si="154">SUM(S57:S62)</f>
        <v>0</v>
      </c>
      <c r="T63" s="581">
        <f t="shared" ca="1" si="154"/>
        <v>9.8736279299999996</v>
      </c>
      <c r="U63" s="581">
        <f t="shared" ca="1" si="154"/>
        <v>0</v>
      </c>
      <c r="V63" s="581">
        <f t="shared" ca="1" si="154"/>
        <v>0</v>
      </c>
      <c r="W63" s="581">
        <f t="shared" ca="1" si="154"/>
        <v>0</v>
      </c>
      <c r="X63" s="581">
        <f t="shared" ca="1" si="154"/>
        <v>0</v>
      </c>
      <c r="Y63" s="581">
        <f t="shared" ca="1" si="154"/>
        <v>0</v>
      </c>
      <c r="Z63" s="581">
        <f t="shared" ca="1" si="154"/>
        <v>0</v>
      </c>
      <c r="AA63" s="581">
        <f t="shared" ca="1" si="154"/>
        <v>0</v>
      </c>
      <c r="AB63" s="581">
        <f t="shared" ca="1" si="154"/>
        <v>0</v>
      </c>
      <c r="AC63" s="581">
        <f t="shared" ca="1" si="154"/>
        <v>0</v>
      </c>
      <c r="AD63" s="581">
        <f t="shared" ca="1" si="154"/>
        <v>0</v>
      </c>
      <c r="AE63" s="581">
        <f ca="1">SUM(AE57:AE62)</f>
        <v>0</v>
      </c>
      <c r="AF63" s="581">
        <f t="shared" ca="1" si="154"/>
        <v>0</v>
      </c>
      <c r="AG63" s="581">
        <f t="shared" ca="1" si="154"/>
        <v>0</v>
      </c>
      <c r="AH63" s="581">
        <f ca="1">SUM(AH57:AH62)</f>
        <v>0</v>
      </c>
      <c r="AI63" s="581">
        <f t="shared" ca="1" si="154"/>
        <v>0</v>
      </c>
      <c r="AJ63" s="581">
        <f t="shared" ca="1" si="154"/>
        <v>0</v>
      </c>
      <c r="AK63" s="581">
        <f t="shared" ca="1" si="143"/>
        <v>9.8736279299999996</v>
      </c>
      <c r="AM63" s="582">
        <f t="shared" ref="AM63:BE63" ca="1" si="155">SUM(AM57:AM62)</f>
        <v>0</v>
      </c>
      <c r="AN63" s="582">
        <f t="shared" ca="1" si="155"/>
        <v>0</v>
      </c>
      <c r="AO63" s="582">
        <f t="shared" ca="1" si="155"/>
        <v>0</v>
      </c>
      <c r="AP63" s="582">
        <f t="shared" ca="1" si="155"/>
        <v>0</v>
      </c>
      <c r="AQ63" s="582">
        <f t="shared" ca="1" si="155"/>
        <v>0</v>
      </c>
      <c r="AR63" s="582">
        <f t="shared" ca="1" si="155"/>
        <v>0</v>
      </c>
      <c r="AS63" s="582">
        <f t="shared" ca="1" si="155"/>
        <v>0</v>
      </c>
      <c r="AT63" s="582">
        <f t="shared" ca="1" si="155"/>
        <v>0</v>
      </c>
      <c r="AU63" s="582">
        <f t="shared" ca="1" si="155"/>
        <v>0</v>
      </c>
      <c r="AV63" s="582">
        <f t="shared" ca="1" si="155"/>
        <v>0</v>
      </c>
      <c r="AW63" s="582">
        <f t="shared" ca="1" si="155"/>
        <v>0</v>
      </c>
      <c r="AX63" s="582">
        <f t="shared" ca="1" si="155"/>
        <v>-9.1126953000000004</v>
      </c>
      <c r="AY63" s="582">
        <f t="shared" ca="1" si="155"/>
        <v>0</v>
      </c>
      <c r="AZ63" s="582">
        <f t="shared" ca="1" si="155"/>
        <v>-1.3017510000000001E-2</v>
      </c>
      <c r="BA63" s="582">
        <f t="shared" ca="1" si="155"/>
        <v>0</v>
      </c>
      <c r="BB63" s="582">
        <f t="shared" ca="1" si="155"/>
        <v>-0.74791511999999993</v>
      </c>
      <c r="BC63" s="582">
        <f t="shared" ca="1" si="155"/>
        <v>0</v>
      </c>
      <c r="BD63" s="582">
        <f t="shared" ca="1" si="155"/>
        <v>0</v>
      </c>
      <c r="BE63" s="582">
        <f t="shared" ca="1" si="155"/>
        <v>0</v>
      </c>
      <c r="BF63" s="582">
        <f t="shared" ca="1" si="146"/>
        <v>-9.8736279299999996</v>
      </c>
      <c r="BH63" s="3463">
        <f ca="1">SUM(BH57:BH62)</f>
        <v>0</v>
      </c>
      <c r="BI63" s="3463">
        <f ca="1">SUM(BI57:BI62)</f>
        <v>0</v>
      </c>
      <c r="BJ63" s="3463">
        <f t="shared" ca="1" si="148"/>
        <v>0</v>
      </c>
      <c r="BL63" s="3477">
        <f t="shared" ca="1" si="138"/>
        <v>0</v>
      </c>
      <c r="BM63" s="584"/>
      <c r="BN63" s="413"/>
      <c r="BO63" s="2790">
        <f t="shared" ref="BO63:DF63" ca="1" si="156">SUM(BO57:BO62)</f>
        <v>0</v>
      </c>
      <c r="BP63" s="2790">
        <f t="shared" ca="1" si="156"/>
        <v>0</v>
      </c>
      <c r="BQ63" s="2790">
        <f t="shared" ca="1" si="156"/>
        <v>0</v>
      </c>
      <c r="BR63" s="2790">
        <f t="shared" ca="1" si="156"/>
        <v>0</v>
      </c>
      <c r="BS63" s="2790">
        <f t="shared" ca="1" si="156"/>
        <v>0</v>
      </c>
      <c r="BT63" s="2790">
        <f t="shared" ca="1" si="156"/>
        <v>0</v>
      </c>
      <c r="BU63" s="2790">
        <f t="shared" ca="1" si="156"/>
        <v>0</v>
      </c>
      <c r="BV63" s="2790">
        <f t="shared" ca="1" si="156"/>
        <v>0</v>
      </c>
      <c r="BW63" s="2790">
        <f t="shared" ca="1" si="156"/>
        <v>0</v>
      </c>
      <c r="BX63" s="2790">
        <f t="shared" ca="1" si="156"/>
        <v>0</v>
      </c>
      <c r="BY63" s="2790">
        <f t="shared" ca="1" si="156"/>
        <v>0</v>
      </c>
      <c r="BZ63" s="2790">
        <f t="shared" ca="1" si="156"/>
        <v>0</v>
      </c>
      <c r="CA63" s="2790">
        <f t="shared" ca="1" si="156"/>
        <v>0</v>
      </c>
      <c r="CB63" s="2790">
        <f t="shared" ca="1" si="156"/>
        <v>0</v>
      </c>
      <c r="CC63" s="2790">
        <f t="shared" ca="1" si="156"/>
        <v>0</v>
      </c>
      <c r="CD63" s="2790">
        <f t="shared" ca="1" si="156"/>
        <v>0</v>
      </c>
      <c r="CE63" s="2790">
        <f t="shared" ca="1" si="156"/>
        <v>0</v>
      </c>
      <c r="CF63" s="2790">
        <f t="shared" ca="1" si="156"/>
        <v>0</v>
      </c>
      <c r="CG63" s="2790">
        <f t="shared" ca="1" si="156"/>
        <v>0</v>
      </c>
      <c r="CH63" s="2790">
        <f t="shared" ca="1" si="156"/>
        <v>0</v>
      </c>
      <c r="CI63" s="2790">
        <f t="shared" ca="1" si="156"/>
        <v>0</v>
      </c>
      <c r="CJ63" s="2790">
        <f t="shared" ca="1" si="156"/>
        <v>0</v>
      </c>
      <c r="CK63" s="2790">
        <f t="shared" ca="1" si="156"/>
        <v>0</v>
      </c>
      <c r="CL63" s="2790">
        <f t="shared" ca="1" si="156"/>
        <v>0</v>
      </c>
      <c r="CM63" s="2790">
        <f t="shared" ca="1" si="156"/>
        <v>0</v>
      </c>
      <c r="CN63" s="2790">
        <f t="shared" ca="1" si="156"/>
        <v>0</v>
      </c>
      <c r="CO63" s="2790">
        <f t="shared" ca="1" si="156"/>
        <v>0</v>
      </c>
      <c r="CP63" s="2790">
        <f t="shared" ca="1" si="156"/>
        <v>0</v>
      </c>
      <c r="CQ63" s="2790">
        <f t="shared" ca="1" si="156"/>
        <v>0</v>
      </c>
      <c r="CR63" s="2790">
        <f t="shared" ca="1" si="156"/>
        <v>0</v>
      </c>
      <c r="CS63" s="2790">
        <f t="shared" ca="1" si="156"/>
        <v>0</v>
      </c>
      <c r="CT63" s="2790">
        <f t="shared" ca="1" si="156"/>
        <v>0</v>
      </c>
      <c r="CU63" s="2790">
        <f t="shared" ca="1" si="156"/>
        <v>0</v>
      </c>
      <c r="CV63" s="2790">
        <f t="shared" ca="1" si="156"/>
        <v>0</v>
      </c>
      <c r="CW63" s="2790">
        <f t="shared" ca="1" si="156"/>
        <v>0</v>
      </c>
      <c r="CX63" s="2790">
        <f t="shared" ca="1" si="156"/>
        <v>0</v>
      </c>
      <c r="CY63" s="2790">
        <f t="shared" ca="1" si="156"/>
        <v>0</v>
      </c>
      <c r="CZ63" s="2790">
        <f t="shared" ca="1" si="156"/>
        <v>0</v>
      </c>
      <c r="DA63" s="2790">
        <f t="shared" ca="1" si="156"/>
        <v>0</v>
      </c>
      <c r="DB63" s="2790">
        <f t="shared" ca="1" si="156"/>
        <v>0</v>
      </c>
      <c r="DC63" s="2790">
        <f t="shared" ca="1" si="156"/>
        <v>0</v>
      </c>
      <c r="DD63" s="2790">
        <f t="shared" ca="1" si="156"/>
        <v>0</v>
      </c>
      <c r="DE63" s="2790">
        <f t="shared" ca="1" si="156"/>
        <v>0</v>
      </c>
      <c r="DF63" s="2790">
        <f t="shared" ca="1" si="156"/>
        <v>0</v>
      </c>
      <c r="DH63" s="596">
        <f t="shared" ca="1" si="113"/>
        <v>0</v>
      </c>
    </row>
    <row r="64" spans="1:112" s="6" customFormat="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13"/>
        <v>0</v>
      </c>
    </row>
    <row r="65" spans="1:112" s="607" customFormat="1" ht="11.25">
      <c r="C65" s="587" t="s">
        <v>534</v>
      </c>
      <c r="D65" s="588" t="s">
        <v>535</v>
      </c>
      <c r="E65" s="588"/>
      <c r="G65" s="657">
        <f t="shared" ref="G65:P67" ca="1" si="157">IFERROR(INDEX(INDIRECT($C65&amp;".Outputs["&amp;this.Year&amp;"]"), MATCH(G$5, INDIRECT($C65&amp;".Outputs[Vector]"), 0)), 0)</f>
        <v>0</v>
      </c>
      <c r="H65" s="657">
        <f t="shared" ca="1" si="157"/>
        <v>0</v>
      </c>
      <c r="I65" s="657">
        <f t="shared" ca="1" si="157"/>
        <v>0</v>
      </c>
      <c r="J65" s="657">
        <f t="shared" ca="1" si="157"/>
        <v>0</v>
      </c>
      <c r="K65" s="658">
        <f t="shared" ca="1" si="157"/>
        <v>0</v>
      </c>
      <c r="L65" s="657">
        <f t="shared" ca="1" si="157"/>
        <v>0</v>
      </c>
      <c r="M65" s="657">
        <f t="shared" ca="1" si="157"/>
        <v>0</v>
      </c>
      <c r="N65" s="657">
        <f t="shared" ca="1" si="157"/>
        <v>0</v>
      </c>
      <c r="O65" s="657">
        <f t="shared" ca="1" si="157"/>
        <v>0</v>
      </c>
      <c r="P65" s="657">
        <f t="shared" ca="1" si="157"/>
        <v>0</v>
      </c>
      <c r="Q65" s="659">
        <f ca="1">SUM(G65:P65)</f>
        <v>0</v>
      </c>
      <c r="S65" s="660">
        <f t="shared" ref="S65:AJ67" ca="1" si="158">IFERROR(INDEX(INDIRECT($C65&amp;".Outputs["&amp;this.Year&amp;"]"), MATCH(S$5, INDIRECT($C65&amp;".Outputs[Vector]"), 0)), 0)</f>
        <v>0</v>
      </c>
      <c r="T65" s="660">
        <f t="shared" ca="1" si="158"/>
        <v>0.425151</v>
      </c>
      <c r="U65" s="660">
        <f t="shared" ca="1" si="158"/>
        <v>0</v>
      </c>
      <c r="V65" s="660">
        <f t="shared" ca="1" si="158"/>
        <v>0</v>
      </c>
      <c r="W65" s="660">
        <f t="shared" ca="1" si="158"/>
        <v>0</v>
      </c>
      <c r="X65" s="660">
        <f t="shared" ca="1" si="158"/>
        <v>0</v>
      </c>
      <c r="Y65" s="660">
        <f t="shared" ca="1" si="158"/>
        <v>0</v>
      </c>
      <c r="Z65" s="660">
        <f t="shared" ca="1" si="158"/>
        <v>0</v>
      </c>
      <c r="AA65" s="660">
        <f t="shared" ca="1" si="158"/>
        <v>0</v>
      </c>
      <c r="AB65" s="660">
        <f t="shared" ca="1" si="158"/>
        <v>0</v>
      </c>
      <c r="AC65" s="660">
        <f t="shared" ca="1" si="158"/>
        <v>0</v>
      </c>
      <c r="AD65" s="660">
        <f t="shared" ca="1" si="158"/>
        <v>0</v>
      </c>
      <c r="AE65" s="660">
        <f t="shared" ca="1" si="158"/>
        <v>0</v>
      </c>
      <c r="AF65" s="660">
        <f t="shared" ca="1" si="158"/>
        <v>0</v>
      </c>
      <c r="AG65" s="660">
        <f t="shared" ca="1" si="158"/>
        <v>0</v>
      </c>
      <c r="AH65" s="660">
        <f t="shared" ca="1" si="158"/>
        <v>0</v>
      </c>
      <c r="AI65" s="660">
        <f t="shared" ca="1" si="158"/>
        <v>0</v>
      </c>
      <c r="AJ65" s="660">
        <f t="shared" ca="1" si="158"/>
        <v>0</v>
      </c>
      <c r="AK65" s="661">
        <f ca="1">SUM(S65:AJ65)</f>
        <v>0.425151</v>
      </c>
      <c r="AM65" s="662">
        <f t="shared" ref="AM65:BB67" ca="1" si="159">IFERROR(INDEX(INDIRECT($C65&amp;".Outputs["&amp;this.Year&amp;"]"), MATCH(AM$5, INDIRECT($C65&amp;".Outputs[Vector]"), 0)), 0)</f>
        <v>0</v>
      </c>
      <c r="AN65" s="662">
        <f t="shared" ca="1" si="159"/>
        <v>0</v>
      </c>
      <c r="AO65" s="662">
        <f t="shared" ca="1" si="159"/>
        <v>0</v>
      </c>
      <c r="AP65" s="662">
        <f t="shared" ca="1" si="159"/>
        <v>0</v>
      </c>
      <c r="AQ65" s="662">
        <f t="shared" ca="1" si="159"/>
        <v>0</v>
      </c>
      <c r="AR65" s="662">
        <f t="shared" ca="1" si="159"/>
        <v>0</v>
      </c>
      <c r="AS65" s="662">
        <f t="shared" ca="1" si="159"/>
        <v>0</v>
      </c>
      <c r="AT65" s="662">
        <f t="shared" ca="1" si="159"/>
        <v>0</v>
      </c>
      <c r="AU65" s="662">
        <f t="shared" ca="1" si="159"/>
        <v>0</v>
      </c>
      <c r="AV65" s="662">
        <f t="shared" ca="1" si="159"/>
        <v>0</v>
      </c>
      <c r="AW65" s="662">
        <f t="shared" ca="1" si="159"/>
        <v>-0.425151</v>
      </c>
      <c r="AX65" s="662">
        <f t="shared" ca="1" si="159"/>
        <v>0</v>
      </c>
      <c r="AY65" s="662">
        <f t="shared" ca="1" si="159"/>
        <v>0</v>
      </c>
      <c r="AZ65" s="662">
        <f t="shared" ca="1" si="159"/>
        <v>0</v>
      </c>
      <c r="BA65" s="662">
        <f t="shared" ca="1" si="159"/>
        <v>0</v>
      </c>
      <c r="BB65" s="662">
        <f t="shared" ca="1" si="159"/>
        <v>0</v>
      </c>
      <c r="BC65" s="662">
        <f t="shared" ref="BC65:BE67" ca="1" si="160">IFERROR(INDEX(INDIRECT($C65&amp;".Outputs["&amp;this.Year&amp;"]"), MATCH(BC$5, INDIRECT($C65&amp;".Outputs[Vector]"), 0)), 0)</f>
        <v>0</v>
      </c>
      <c r="BD65" s="662">
        <f t="shared" ca="1" si="160"/>
        <v>0</v>
      </c>
      <c r="BE65" s="662">
        <f t="shared" ca="1" si="160"/>
        <v>0</v>
      </c>
      <c r="BF65" s="609">
        <f ca="1">SUM(AM65:BE65)</f>
        <v>-0.425151</v>
      </c>
      <c r="BH65" s="663">
        <f t="shared" ref="BH65:BI67" ca="1" si="161">IFERROR(INDEX(INDIRECT($C65&amp;".Outputs["&amp;this.Year&amp;"]"), MATCH(BH$5, INDIRECT($C65&amp;".Outputs[Vector]"), 0)), 0)</f>
        <v>0</v>
      </c>
      <c r="BI65" s="663">
        <f t="shared" ca="1" si="161"/>
        <v>0</v>
      </c>
      <c r="BJ65" s="664">
        <f ca="1">SUM(BH65:BI65)</f>
        <v>0</v>
      </c>
      <c r="BL65" s="610">
        <f t="shared" ref="BL65:BL72" ca="1" si="162">Q65+AK65+BF65+BJ65</f>
        <v>0</v>
      </c>
      <c r="BM65" s="610"/>
      <c r="BO65" s="665">
        <f t="shared" ref="BO65:DF67" ca="1" si="163">IFERROR(SUMIFS(INDIRECT($C65&amp;".Emissions["&amp;this.Year&amp;"]"), INDIRECT($C65&amp;".Emissions[GHG]"), BO$6, INDIRECT($C65&amp;".Emissions[IPCC Sector]"), BO$5),0)</f>
        <v>0</v>
      </c>
      <c r="BP65" s="665">
        <f t="shared" ca="1" si="163"/>
        <v>0</v>
      </c>
      <c r="BQ65" s="665">
        <f t="shared" ca="1" si="163"/>
        <v>0</v>
      </c>
      <c r="BR65" s="665">
        <f t="shared" ca="1" si="163"/>
        <v>0</v>
      </c>
      <c r="BS65" s="665">
        <f t="shared" ca="1" si="163"/>
        <v>0</v>
      </c>
      <c r="BT65" s="665">
        <f t="shared" ca="1" si="163"/>
        <v>0</v>
      </c>
      <c r="BU65" s="665">
        <f t="shared" ca="1" si="163"/>
        <v>0</v>
      </c>
      <c r="BV65" s="665">
        <f t="shared" ca="1" si="163"/>
        <v>0</v>
      </c>
      <c r="BW65" s="665">
        <f t="shared" ca="1" si="163"/>
        <v>0</v>
      </c>
      <c r="BX65" s="665">
        <f t="shared" ca="1" si="163"/>
        <v>0</v>
      </c>
      <c r="BY65" s="665">
        <f t="shared" ca="1" si="163"/>
        <v>0</v>
      </c>
      <c r="BZ65" s="665">
        <f t="shared" ca="1" si="163"/>
        <v>0</v>
      </c>
      <c r="CA65" s="665">
        <f t="shared" ca="1" si="163"/>
        <v>0</v>
      </c>
      <c r="CB65" s="665">
        <f t="shared" ca="1" si="163"/>
        <v>0</v>
      </c>
      <c r="CC65" s="665">
        <f t="shared" ca="1" si="163"/>
        <v>0</v>
      </c>
      <c r="CD65" s="665">
        <f t="shared" ca="1" si="163"/>
        <v>0</v>
      </c>
      <c r="CE65" s="665">
        <f t="shared" ca="1" si="163"/>
        <v>0</v>
      </c>
      <c r="CF65" s="665">
        <f t="shared" ca="1" si="163"/>
        <v>0</v>
      </c>
      <c r="CG65" s="665">
        <f t="shared" ca="1" si="163"/>
        <v>0</v>
      </c>
      <c r="CH65" s="665">
        <f t="shared" ca="1" si="163"/>
        <v>0</v>
      </c>
      <c r="CI65" s="665">
        <f t="shared" ca="1" si="163"/>
        <v>0</v>
      </c>
      <c r="CJ65" s="665">
        <f t="shared" ca="1" si="163"/>
        <v>0</v>
      </c>
      <c r="CK65" s="665">
        <f t="shared" ca="1" si="163"/>
        <v>0</v>
      </c>
      <c r="CL65" s="665">
        <f t="shared" ca="1" si="163"/>
        <v>0</v>
      </c>
      <c r="CM65" s="665">
        <f t="shared" ca="1" si="163"/>
        <v>0</v>
      </c>
      <c r="CN65" s="665">
        <f t="shared" ca="1" si="163"/>
        <v>0</v>
      </c>
      <c r="CO65" s="665">
        <f t="shared" ca="1" si="163"/>
        <v>0</v>
      </c>
      <c r="CP65" s="665">
        <f t="shared" ca="1" si="163"/>
        <v>0</v>
      </c>
      <c r="CQ65" s="665">
        <f t="shared" ca="1" si="163"/>
        <v>0</v>
      </c>
      <c r="CR65" s="665">
        <f t="shared" ca="1" si="163"/>
        <v>0</v>
      </c>
      <c r="CS65" s="665">
        <f t="shared" ca="1" si="163"/>
        <v>0</v>
      </c>
      <c r="CT65" s="665">
        <f t="shared" ca="1" si="163"/>
        <v>0</v>
      </c>
      <c r="CU65" s="665">
        <f t="shared" ca="1" si="163"/>
        <v>0</v>
      </c>
      <c r="CV65" s="665">
        <f t="shared" ca="1" si="163"/>
        <v>0</v>
      </c>
      <c r="CW65" s="665">
        <f t="shared" ca="1" si="163"/>
        <v>0</v>
      </c>
      <c r="CX65" s="665">
        <f t="shared" ca="1" si="163"/>
        <v>0</v>
      </c>
      <c r="CY65" s="665">
        <f t="shared" ca="1" si="163"/>
        <v>0</v>
      </c>
      <c r="CZ65" s="665">
        <f t="shared" ca="1" si="163"/>
        <v>0</v>
      </c>
      <c r="DA65" s="665">
        <f t="shared" ca="1" si="163"/>
        <v>0</v>
      </c>
      <c r="DB65" s="665">
        <f t="shared" ca="1" si="163"/>
        <v>0</v>
      </c>
      <c r="DC65" s="665">
        <f t="shared" ca="1" si="163"/>
        <v>0</v>
      </c>
      <c r="DD65" s="665">
        <f t="shared" ca="1" si="163"/>
        <v>0</v>
      </c>
      <c r="DE65" s="665">
        <f t="shared" ca="1" si="163"/>
        <v>0</v>
      </c>
      <c r="DF65" s="665">
        <f t="shared" ca="1" si="163"/>
        <v>0</v>
      </c>
      <c r="DH65" s="666">
        <f t="shared" ca="1" si="113"/>
        <v>0</v>
      </c>
    </row>
    <row r="66" spans="1:112" s="607" customFormat="1" ht="11.25">
      <c r="C66" s="587" t="s">
        <v>25</v>
      </c>
      <c r="D66" s="588" t="s">
        <v>26</v>
      </c>
      <c r="E66" s="588"/>
      <c r="G66" s="657">
        <f t="shared" ca="1" si="157"/>
        <v>0</v>
      </c>
      <c r="H66" s="657">
        <f t="shared" ca="1" si="157"/>
        <v>3.9854891688908684E-2</v>
      </c>
      <c r="I66" s="657">
        <f t="shared" ca="1" si="157"/>
        <v>0</v>
      </c>
      <c r="J66" s="657">
        <f t="shared" ca="1" si="157"/>
        <v>0</v>
      </c>
      <c r="K66" s="658">
        <f t="shared" ca="1" si="157"/>
        <v>0</v>
      </c>
      <c r="L66" s="657">
        <f t="shared" ca="1" si="157"/>
        <v>0</v>
      </c>
      <c r="M66" s="657">
        <f t="shared" ca="1" si="157"/>
        <v>0</v>
      </c>
      <c r="N66" s="657">
        <f t="shared" ca="1" si="157"/>
        <v>0</v>
      </c>
      <c r="O66" s="657">
        <f t="shared" ca="1" si="157"/>
        <v>0</v>
      </c>
      <c r="P66" s="657">
        <f t="shared" ca="1" si="157"/>
        <v>0</v>
      </c>
      <c r="Q66" s="659">
        <f ca="1">SUM(G66:P66)</f>
        <v>3.9854891688908684E-2</v>
      </c>
      <c r="S66" s="660">
        <f t="shared" ca="1" si="158"/>
        <v>-3.9854891688908684E-2</v>
      </c>
      <c r="T66" s="660">
        <f t="shared" ca="1" si="158"/>
        <v>0</v>
      </c>
      <c r="U66" s="660">
        <f t="shared" ca="1" si="158"/>
        <v>0</v>
      </c>
      <c r="V66" s="660">
        <f t="shared" ca="1" si="158"/>
        <v>0</v>
      </c>
      <c r="W66" s="660">
        <f t="shared" ca="1" si="158"/>
        <v>0</v>
      </c>
      <c r="X66" s="660">
        <f t="shared" ca="1" si="158"/>
        <v>0</v>
      </c>
      <c r="Y66" s="660">
        <f t="shared" ca="1" si="158"/>
        <v>0</v>
      </c>
      <c r="Z66" s="660">
        <f t="shared" ca="1" si="158"/>
        <v>0</v>
      </c>
      <c r="AA66" s="660">
        <f t="shared" ca="1" si="158"/>
        <v>0</v>
      </c>
      <c r="AB66" s="660">
        <f t="shared" ca="1" si="158"/>
        <v>0</v>
      </c>
      <c r="AC66" s="660">
        <f t="shared" ca="1" si="158"/>
        <v>0</v>
      </c>
      <c r="AD66" s="660">
        <f t="shared" ca="1" si="158"/>
        <v>0</v>
      </c>
      <c r="AE66" s="660">
        <f t="shared" ca="1" si="158"/>
        <v>0</v>
      </c>
      <c r="AF66" s="660">
        <f t="shared" ca="1" si="158"/>
        <v>0</v>
      </c>
      <c r="AG66" s="660">
        <f t="shared" ca="1" si="158"/>
        <v>0</v>
      </c>
      <c r="AH66" s="660">
        <f t="shared" ca="1" si="158"/>
        <v>0</v>
      </c>
      <c r="AI66" s="660">
        <f t="shared" ca="1" si="158"/>
        <v>0.55796848364472162</v>
      </c>
      <c r="AJ66" s="660">
        <f t="shared" ca="1" si="158"/>
        <v>0</v>
      </c>
      <c r="AK66" s="661">
        <f ca="1">SUM(S66:AJ66)</f>
        <v>0.51811359195581297</v>
      </c>
      <c r="AM66" s="662">
        <f t="shared" ca="1" si="159"/>
        <v>0</v>
      </c>
      <c r="AN66" s="662">
        <f t="shared" ca="1" si="159"/>
        <v>0</v>
      </c>
      <c r="AO66" s="662">
        <f t="shared" ca="1" si="159"/>
        <v>0</v>
      </c>
      <c r="AP66" s="662">
        <f t="shared" ca="1" si="159"/>
        <v>0</v>
      </c>
      <c r="AQ66" s="662">
        <f t="shared" ca="1" si="159"/>
        <v>0</v>
      </c>
      <c r="AR66" s="662">
        <f t="shared" ca="1" si="159"/>
        <v>0</v>
      </c>
      <c r="AS66" s="662">
        <f t="shared" ca="1" si="159"/>
        <v>0</v>
      </c>
      <c r="AT66" s="662">
        <f t="shared" ca="1" si="159"/>
        <v>0</v>
      </c>
      <c r="AU66" s="662">
        <f t="shared" ca="1" si="159"/>
        <v>0</v>
      </c>
      <c r="AV66" s="662">
        <f t="shared" ca="1" si="159"/>
        <v>0</v>
      </c>
      <c r="AW66" s="662">
        <f t="shared" ca="1" si="159"/>
        <v>-0.55796848364472162</v>
      </c>
      <c r="AX66" s="662">
        <f t="shared" ca="1" si="159"/>
        <v>0</v>
      </c>
      <c r="AY66" s="662">
        <f t="shared" ca="1" si="159"/>
        <v>0</v>
      </c>
      <c r="AZ66" s="662">
        <f t="shared" ca="1" si="159"/>
        <v>0</v>
      </c>
      <c r="BA66" s="662">
        <f t="shared" ca="1" si="159"/>
        <v>0</v>
      </c>
      <c r="BB66" s="662">
        <f t="shared" ca="1" si="159"/>
        <v>0</v>
      </c>
      <c r="BC66" s="662">
        <f t="shared" ca="1" si="160"/>
        <v>0</v>
      </c>
      <c r="BD66" s="662">
        <f t="shared" ca="1" si="160"/>
        <v>0</v>
      </c>
      <c r="BE66" s="662">
        <f t="shared" ca="1" si="160"/>
        <v>0</v>
      </c>
      <c r="BF66" s="609">
        <f ca="1">SUM(AM66:BE66)</f>
        <v>-0.55796848364472162</v>
      </c>
      <c r="BH66" s="663">
        <f t="shared" ca="1" si="161"/>
        <v>0</v>
      </c>
      <c r="BI66" s="663">
        <f t="shared" ca="1" si="161"/>
        <v>0</v>
      </c>
      <c r="BJ66" s="664">
        <f ca="1">SUM(BH66:BI66)</f>
        <v>0</v>
      </c>
      <c r="BL66" s="610">
        <f t="shared" ca="1" si="162"/>
        <v>0</v>
      </c>
      <c r="BM66" s="610"/>
      <c r="BO66" s="665">
        <f t="shared" ca="1" si="163"/>
        <v>0</v>
      </c>
      <c r="BP66" s="665">
        <f t="shared" ca="1" si="163"/>
        <v>0</v>
      </c>
      <c r="BQ66" s="665">
        <f t="shared" ca="1" si="163"/>
        <v>0</v>
      </c>
      <c r="BR66" s="665">
        <f t="shared" ca="1" si="163"/>
        <v>0</v>
      </c>
      <c r="BS66" s="665">
        <f t="shared" ca="1" si="163"/>
        <v>0</v>
      </c>
      <c r="BT66" s="665">
        <f t="shared" ca="1" si="163"/>
        <v>0</v>
      </c>
      <c r="BU66" s="665">
        <f t="shared" ca="1" si="163"/>
        <v>0</v>
      </c>
      <c r="BV66" s="665">
        <f t="shared" ca="1" si="163"/>
        <v>0</v>
      </c>
      <c r="BW66" s="665">
        <f t="shared" ca="1" si="163"/>
        <v>0</v>
      </c>
      <c r="BX66" s="665">
        <f t="shared" ca="1" si="163"/>
        <v>0</v>
      </c>
      <c r="BY66" s="665">
        <f t="shared" ca="1" si="163"/>
        <v>0</v>
      </c>
      <c r="BZ66" s="665">
        <f t="shared" ca="1" si="163"/>
        <v>0</v>
      </c>
      <c r="CA66" s="665">
        <f t="shared" ca="1" si="163"/>
        <v>0</v>
      </c>
      <c r="CB66" s="665">
        <f t="shared" ca="1" si="163"/>
        <v>0</v>
      </c>
      <c r="CC66" s="665">
        <f t="shared" ca="1" si="163"/>
        <v>0</v>
      </c>
      <c r="CD66" s="665">
        <f t="shared" ca="1" si="163"/>
        <v>0</v>
      </c>
      <c r="CE66" s="665">
        <f t="shared" ca="1" si="163"/>
        <v>0</v>
      </c>
      <c r="CF66" s="665">
        <f t="shared" ca="1" si="163"/>
        <v>0</v>
      </c>
      <c r="CG66" s="665">
        <f t="shared" ca="1" si="163"/>
        <v>0</v>
      </c>
      <c r="CH66" s="665">
        <f t="shared" ca="1" si="163"/>
        <v>0</v>
      </c>
      <c r="CI66" s="665">
        <f t="shared" ca="1" si="163"/>
        <v>0</v>
      </c>
      <c r="CJ66" s="665">
        <f t="shared" ca="1" si="163"/>
        <v>0</v>
      </c>
      <c r="CK66" s="665">
        <f t="shared" ca="1" si="163"/>
        <v>0</v>
      </c>
      <c r="CL66" s="665">
        <f t="shared" ca="1" si="163"/>
        <v>0</v>
      </c>
      <c r="CM66" s="665">
        <f t="shared" ca="1" si="163"/>
        <v>0</v>
      </c>
      <c r="CN66" s="665">
        <f t="shared" ca="1" si="163"/>
        <v>0</v>
      </c>
      <c r="CO66" s="665">
        <f t="shared" ca="1" si="163"/>
        <v>0</v>
      </c>
      <c r="CP66" s="665">
        <f t="shared" ca="1" si="163"/>
        <v>0</v>
      </c>
      <c r="CQ66" s="665">
        <f t="shared" ca="1" si="163"/>
        <v>0</v>
      </c>
      <c r="CR66" s="665">
        <f t="shared" ca="1" si="163"/>
        <v>0</v>
      </c>
      <c r="CS66" s="665">
        <f t="shared" ca="1" si="163"/>
        <v>0</v>
      </c>
      <c r="CT66" s="665">
        <f t="shared" ca="1" si="163"/>
        <v>0</v>
      </c>
      <c r="CU66" s="665">
        <f t="shared" ca="1" si="163"/>
        <v>0</v>
      </c>
      <c r="CV66" s="665">
        <f t="shared" ca="1" si="163"/>
        <v>0</v>
      </c>
      <c r="CW66" s="665">
        <f t="shared" ca="1" si="163"/>
        <v>0</v>
      </c>
      <c r="CX66" s="665">
        <f t="shared" ca="1" si="163"/>
        <v>0</v>
      </c>
      <c r="CY66" s="665">
        <f t="shared" ca="1" si="163"/>
        <v>0</v>
      </c>
      <c r="CZ66" s="665">
        <f t="shared" ca="1" si="163"/>
        <v>0</v>
      </c>
      <c r="DA66" s="665">
        <f t="shared" ca="1" si="163"/>
        <v>0</v>
      </c>
      <c r="DB66" s="665">
        <f t="shared" ca="1" si="163"/>
        <v>0</v>
      </c>
      <c r="DC66" s="665">
        <f t="shared" ca="1" si="163"/>
        <v>0</v>
      </c>
      <c r="DD66" s="665">
        <f t="shared" ca="1" si="163"/>
        <v>0</v>
      </c>
      <c r="DE66" s="665">
        <f t="shared" ca="1" si="163"/>
        <v>0</v>
      </c>
      <c r="DF66" s="665">
        <f t="shared" ca="1" si="163"/>
        <v>0</v>
      </c>
      <c r="DH66" s="666">
        <f t="shared" ca="1" si="113"/>
        <v>0</v>
      </c>
    </row>
    <row r="67" spans="1:112" s="607" customFormat="1">
      <c r="C67" s="587" t="s">
        <v>536</v>
      </c>
      <c r="D67" s="611" t="s">
        <v>537</v>
      </c>
      <c r="E67" s="611"/>
      <c r="F67" s="6"/>
      <c r="G67" s="619">
        <f t="shared" ca="1" si="157"/>
        <v>0</v>
      </c>
      <c r="H67" s="619">
        <f t="shared" ca="1" si="157"/>
        <v>0</v>
      </c>
      <c r="I67" s="619">
        <f t="shared" ca="1" si="157"/>
        <v>0</v>
      </c>
      <c r="J67" s="619">
        <f t="shared" ca="1" si="157"/>
        <v>0</v>
      </c>
      <c r="K67" s="619">
        <f t="shared" ca="1" si="157"/>
        <v>0</v>
      </c>
      <c r="L67" s="619">
        <f t="shared" ca="1" si="157"/>
        <v>0</v>
      </c>
      <c r="M67" s="619">
        <f t="shared" ca="1" si="157"/>
        <v>0</v>
      </c>
      <c r="N67" s="619">
        <f t="shared" ca="1" si="157"/>
        <v>0</v>
      </c>
      <c r="O67" s="619">
        <f t="shared" ca="1" si="157"/>
        <v>0</v>
      </c>
      <c r="P67" s="619">
        <f t="shared" ca="1" si="157"/>
        <v>0</v>
      </c>
      <c r="Q67" s="612">
        <f ca="1">SUM(G67:P67)</f>
        <v>0</v>
      </c>
      <c r="R67" s="6"/>
      <c r="S67" s="620">
        <f t="shared" ca="1" si="158"/>
        <v>0</v>
      </c>
      <c r="T67" s="620">
        <f t="shared" ca="1" si="158"/>
        <v>0.21038399999999999</v>
      </c>
      <c r="U67" s="620">
        <f t="shared" ca="1" si="158"/>
        <v>0</v>
      </c>
      <c r="V67" s="620">
        <f t="shared" ca="1" si="158"/>
        <v>0</v>
      </c>
      <c r="W67" s="620">
        <f t="shared" ca="1" si="158"/>
        <v>0</v>
      </c>
      <c r="X67" s="620">
        <f t="shared" ca="1" si="158"/>
        <v>0</v>
      </c>
      <c r="Y67" s="620">
        <f t="shared" ca="1" si="158"/>
        <v>0</v>
      </c>
      <c r="Z67" s="620">
        <f t="shared" ca="1" si="158"/>
        <v>0</v>
      </c>
      <c r="AA67" s="620">
        <f t="shared" ca="1" si="158"/>
        <v>0</v>
      </c>
      <c r="AB67" s="620">
        <f t="shared" ca="1" si="158"/>
        <v>0</v>
      </c>
      <c r="AC67" s="620">
        <f t="shared" ca="1" si="158"/>
        <v>0</v>
      </c>
      <c r="AD67" s="620">
        <f t="shared" ca="1" si="158"/>
        <v>0</v>
      </c>
      <c r="AE67" s="620">
        <f t="shared" ca="1" si="158"/>
        <v>0</v>
      </c>
      <c r="AF67" s="620">
        <f t="shared" ca="1" si="158"/>
        <v>0</v>
      </c>
      <c r="AG67" s="620">
        <f t="shared" ca="1" si="158"/>
        <v>0</v>
      </c>
      <c r="AH67" s="620">
        <f t="shared" ca="1" si="158"/>
        <v>0</v>
      </c>
      <c r="AI67" s="620">
        <f t="shared" ca="1" si="158"/>
        <v>0</v>
      </c>
      <c r="AJ67" s="620">
        <f t="shared" ca="1" si="158"/>
        <v>0</v>
      </c>
      <c r="AK67" s="613">
        <f ca="1">SUM(S67:AJ67)</f>
        <v>0.21038399999999999</v>
      </c>
      <c r="AL67" s="6"/>
      <c r="AM67" s="621">
        <f t="shared" ca="1" si="159"/>
        <v>0</v>
      </c>
      <c r="AN67" s="621">
        <f t="shared" ca="1" si="159"/>
        <v>0</v>
      </c>
      <c r="AO67" s="621">
        <f t="shared" ca="1" si="159"/>
        <v>0</v>
      </c>
      <c r="AP67" s="621">
        <f t="shared" ca="1" si="159"/>
        <v>0</v>
      </c>
      <c r="AQ67" s="621">
        <f t="shared" ca="1" si="159"/>
        <v>0</v>
      </c>
      <c r="AR67" s="621">
        <f t="shared" ca="1" si="159"/>
        <v>0</v>
      </c>
      <c r="AS67" s="621">
        <f t="shared" ca="1" si="159"/>
        <v>0</v>
      </c>
      <c r="AT67" s="621">
        <f t="shared" ca="1" si="159"/>
        <v>0</v>
      </c>
      <c r="AU67" s="621">
        <f t="shared" ca="1" si="159"/>
        <v>0</v>
      </c>
      <c r="AV67" s="621">
        <f t="shared" ca="1" si="159"/>
        <v>0</v>
      </c>
      <c r="AW67" s="621">
        <f t="shared" ca="1" si="159"/>
        <v>0</v>
      </c>
      <c r="AX67" s="621">
        <f t="shared" ca="1" si="159"/>
        <v>-0.21038399999999999</v>
      </c>
      <c r="AY67" s="621">
        <f t="shared" ca="1" si="159"/>
        <v>0</v>
      </c>
      <c r="AZ67" s="621">
        <f t="shared" ca="1" si="159"/>
        <v>0</v>
      </c>
      <c r="BA67" s="621">
        <f t="shared" ca="1" si="159"/>
        <v>0</v>
      </c>
      <c r="BB67" s="621">
        <f t="shared" ca="1" si="159"/>
        <v>0</v>
      </c>
      <c r="BC67" s="621">
        <f t="shared" ca="1" si="160"/>
        <v>0</v>
      </c>
      <c r="BD67" s="621">
        <f t="shared" ca="1" si="160"/>
        <v>0</v>
      </c>
      <c r="BE67" s="621">
        <f t="shared" ca="1" si="160"/>
        <v>0</v>
      </c>
      <c r="BF67" s="615">
        <f ca="1">SUM(AM67:BE67)</f>
        <v>-0.21038399999999999</v>
      </c>
      <c r="BG67" s="6"/>
      <c r="BH67" s="3473">
        <f t="shared" ca="1" si="161"/>
        <v>0</v>
      </c>
      <c r="BI67" s="3473">
        <f t="shared" ca="1" si="161"/>
        <v>0</v>
      </c>
      <c r="BJ67" s="3462">
        <f ca="1">SUM(BH67:BI67)</f>
        <v>0</v>
      </c>
      <c r="BK67" s="6"/>
      <c r="BL67" s="610">
        <f t="shared" ca="1" si="162"/>
        <v>0</v>
      </c>
      <c r="BM67" s="610"/>
      <c r="BN67" s="413"/>
      <c r="BO67" s="2791">
        <f t="shared" ca="1" si="163"/>
        <v>0</v>
      </c>
      <c r="BP67" s="2792">
        <f t="shared" ca="1" si="163"/>
        <v>0</v>
      </c>
      <c r="BQ67" s="2792">
        <f t="shared" ca="1" si="163"/>
        <v>0</v>
      </c>
      <c r="BR67" s="2792">
        <f t="shared" ca="1" si="163"/>
        <v>0</v>
      </c>
      <c r="BS67" s="2792">
        <f t="shared" ca="1" si="163"/>
        <v>0</v>
      </c>
      <c r="BT67" s="2792">
        <f t="shared" ca="1" si="163"/>
        <v>0</v>
      </c>
      <c r="BU67" s="2792">
        <f t="shared" ca="1" si="163"/>
        <v>0</v>
      </c>
      <c r="BV67" s="2792">
        <f t="shared" ca="1" si="163"/>
        <v>0</v>
      </c>
      <c r="BW67" s="2792">
        <f t="shared" ca="1" si="163"/>
        <v>0</v>
      </c>
      <c r="BX67" s="2792">
        <f t="shared" ca="1" si="163"/>
        <v>0</v>
      </c>
      <c r="BY67" s="2792">
        <f t="shared" ca="1" si="163"/>
        <v>0</v>
      </c>
      <c r="BZ67" s="2792">
        <f t="shared" ca="1" si="163"/>
        <v>0</v>
      </c>
      <c r="CA67" s="2792">
        <f t="shared" ca="1" si="163"/>
        <v>0</v>
      </c>
      <c r="CB67" s="2792">
        <f t="shared" ca="1" si="163"/>
        <v>0</v>
      </c>
      <c r="CC67" s="2792">
        <f t="shared" ca="1" si="163"/>
        <v>0</v>
      </c>
      <c r="CD67" s="2792">
        <f t="shared" ca="1" si="163"/>
        <v>0</v>
      </c>
      <c r="CE67" s="2792">
        <f t="shared" ca="1" si="163"/>
        <v>0</v>
      </c>
      <c r="CF67" s="2792">
        <f t="shared" ca="1" si="163"/>
        <v>0</v>
      </c>
      <c r="CG67" s="2792">
        <f t="shared" ca="1" si="163"/>
        <v>0</v>
      </c>
      <c r="CH67" s="2792">
        <f t="shared" ca="1" si="163"/>
        <v>0</v>
      </c>
      <c r="CI67" s="2792">
        <f t="shared" ca="1" si="163"/>
        <v>0</v>
      </c>
      <c r="CJ67" s="2792">
        <f t="shared" ca="1" si="163"/>
        <v>0</v>
      </c>
      <c r="CK67" s="2792">
        <f t="shared" ca="1" si="163"/>
        <v>0</v>
      </c>
      <c r="CL67" s="2792">
        <f t="shared" ca="1" si="163"/>
        <v>0</v>
      </c>
      <c r="CM67" s="2792">
        <f t="shared" ca="1" si="163"/>
        <v>0</v>
      </c>
      <c r="CN67" s="2792">
        <f t="shared" ca="1" si="163"/>
        <v>0</v>
      </c>
      <c r="CO67" s="2792">
        <f t="shared" ca="1" si="163"/>
        <v>0</v>
      </c>
      <c r="CP67" s="2792">
        <f t="shared" ca="1" si="163"/>
        <v>0</v>
      </c>
      <c r="CQ67" s="2792">
        <f t="shared" ca="1" si="163"/>
        <v>0</v>
      </c>
      <c r="CR67" s="2792">
        <f t="shared" ca="1" si="163"/>
        <v>0</v>
      </c>
      <c r="CS67" s="2792">
        <f t="shared" ca="1" si="163"/>
        <v>0</v>
      </c>
      <c r="CT67" s="2792">
        <f t="shared" ca="1" si="163"/>
        <v>0</v>
      </c>
      <c r="CU67" s="2792">
        <f t="shared" ca="1" si="163"/>
        <v>0</v>
      </c>
      <c r="CV67" s="2792">
        <f t="shared" ca="1" si="163"/>
        <v>0</v>
      </c>
      <c r="CW67" s="2792">
        <f t="shared" ca="1" si="163"/>
        <v>0</v>
      </c>
      <c r="CX67" s="2792">
        <f t="shared" ca="1" si="163"/>
        <v>0</v>
      </c>
      <c r="CY67" s="2792">
        <f t="shared" ca="1" si="163"/>
        <v>0</v>
      </c>
      <c r="CZ67" s="2792">
        <f t="shared" ca="1" si="163"/>
        <v>0</v>
      </c>
      <c r="DA67" s="2792">
        <f t="shared" ca="1" si="163"/>
        <v>0</v>
      </c>
      <c r="DB67" s="2792">
        <f t="shared" ca="1" si="163"/>
        <v>0</v>
      </c>
      <c r="DC67" s="2792">
        <f t="shared" ca="1" si="163"/>
        <v>0</v>
      </c>
      <c r="DD67" s="2792">
        <f t="shared" ca="1" si="163"/>
        <v>0</v>
      </c>
      <c r="DE67" s="2792">
        <f t="shared" ca="1" si="163"/>
        <v>0</v>
      </c>
      <c r="DF67" s="2792">
        <f t="shared" ca="1" si="163"/>
        <v>0</v>
      </c>
      <c r="DH67" s="596">
        <f t="shared" ca="1" si="113"/>
        <v>0</v>
      </c>
    </row>
    <row r="68" spans="1:112" s="6" customFormat="1" ht="15.75">
      <c r="A68" s="4"/>
      <c r="B68" s="3"/>
      <c r="C68" s="616" t="s">
        <v>538</v>
      </c>
      <c r="D68" s="617" t="s">
        <v>539</v>
      </c>
      <c r="E68" s="206"/>
      <c r="G68" s="618">
        <f ca="1">SUM(G65:G67)</f>
        <v>0</v>
      </c>
      <c r="H68" s="618">
        <f t="shared" ref="H68:P68" ca="1" si="164">SUM(H65:H67)</f>
        <v>3.9854891688908684E-2</v>
      </c>
      <c r="I68" s="618">
        <f t="shared" ca="1" si="164"/>
        <v>0</v>
      </c>
      <c r="J68" s="618">
        <f t="shared" ca="1" si="164"/>
        <v>0</v>
      </c>
      <c r="K68" s="618">
        <f t="shared" ca="1" si="164"/>
        <v>0</v>
      </c>
      <c r="L68" s="618">
        <f t="shared" ca="1" si="164"/>
        <v>0</v>
      </c>
      <c r="M68" s="618">
        <f t="shared" ca="1" si="164"/>
        <v>0</v>
      </c>
      <c r="N68" s="618">
        <f t="shared" ca="1" si="164"/>
        <v>0</v>
      </c>
      <c r="O68" s="618">
        <f t="shared" ca="1" si="164"/>
        <v>0</v>
      </c>
      <c r="P68" s="618">
        <f t="shared" ca="1" si="164"/>
        <v>0</v>
      </c>
      <c r="Q68" s="618">
        <f ca="1">SUM(G68:P68)</f>
        <v>3.9854891688908684E-2</v>
      </c>
      <c r="S68" s="581">
        <f t="shared" ref="S68:AJ68" ca="1" si="165">SUM(S65:S67)</f>
        <v>-3.9854891688908684E-2</v>
      </c>
      <c r="T68" s="581">
        <f t="shared" ca="1" si="165"/>
        <v>0.63553499999999996</v>
      </c>
      <c r="U68" s="581">
        <f t="shared" ca="1" si="165"/>
        <v>0</v>
      </c>
      <c r="V68" s="581">
        <f t="shared" ca="1" si="165"/>
        <v>0</v>
      </c>
      <c r="W68" s="581">
        <f t="shared" ca="1" si="165"/>
        <v>0</v>
      </c>
      <c r="X68" s="581">
        <f t="shared" ca="1" si="165"/>
        <v>0</v>
      </c>
      <c r="Y68" s="581">
        <f t="shared" ca="1" si="165"/>
        <v>0</v>
      </c>
      <c r="Z68" s="581">
        <f t="shared" ca="1" si="165"/>
        <v>0</v>
      </c>
      <c r="AA68" s="581">
        <f t="shared" ca="1" si="165"/>
        <v>0</v>
      </c>
      <c r="AB68" s="581">
        <f t="shared" ca="1" si="165"/>
        <v>0</v>
      </c>
      <c r="AC68" s="581">
        <f t="shared" ca="1" si="165"/>
        <v>0</v>
      </c>
      <c r="AD68" s="581">
        <f t="shared" ca="1" si="165"/>
        <v>0</v>
      </c>
      <c r="AE68" s="581">
        <f ca="1">SUM(AE65:AE67)</f>
        <v>0</v>
      </c>
      <c r="AF68" s="581">
        <f t="shared" ca="1" si="165"/>
        <v>0</v>
      </c>
      <c r="AG68" s="581">
        <f t="shared" ca="1" si="165"/>
        <v>0</v>
      </c>
      <c r="AH68" s="581">
        <f ca="1">SUM(AH65:AH67)</f>
        <v>0</v>
      </c>
      <c r="AI68" s="581">
        <f t="shared" ca="1" si="165"/>
        <v>0.55796848364472162</v>
      </c>
      <c r="AJ68" s="581">
        <f t="shared" ca="1" si="165"/>
        <v>0</v>
      </c>
      <c r="AK68" s="581">
        <f ca="1">SUM(S68:AJ68)</f>
        <v>1.1536485919558128</v>
      </c>
      <c r="AM68" s="582">
        <f t="shared" ref="AM68:BE68" ca="1" si="166">SUM(AM65:AM67)</f>
        <v>0</v>
      </c>
      <c r="AN68" s="582">
        <f t="shared" ca="1" si="166"/>
        <v>0</v>
      </c>
      <c r="AO68" s="582">
        <f t="shared" ca="1" si="166"/>
        <v>0</v>
      </c>
      <c r="AP68" s="582">
        <f t="shared" ca="1" si="166"/>
        <v>0</v>
      </c>
      <c r="AQ68" s="582">
        <f t="shared" ca="1" si="166"/>
        <v>0</v>
      </c>
      <c r="AR68" s="582">
        <f t="shared" ca="1" si="166"/>
        <v>0</v>
      </c>
      <c r="AS68" s="582">
        <f t="shared" ca="1" si="166"/>
        <v>0</v>
      </c>
      <c r="AT68" s="582">
        <f t="shared" ca="1" si="166"/>
        <v>0</v>
      </c>
      <c r="AU68" s="582">
        <f t="shared" ca="1" si="166"/>
        <v>0</v>
      </c>
      <c r="AV68" s="582">
        <f t="shared" ca="1" si="166"/>
        <v>0</v>
      </c>
      <c r="AW68" s="582">
        <f t="shared" ca="1" si="166"/>
        <v>-0.98311948364472168</v>
      </c>
      <c r="AX68" s="582">
        <f t="shared" ca="1" si="166"/>
        <v>-0.21038399999999999</v>
      </c>
      <c r="AY68" s="582">
        <f t="shared" ca="1" si="166"/>
        <v>0</v>
      </c>
      <c r="AZ68" s="582">
        <f t="shared" ca="1" si="166"/>
        <v>0</v>
      </c>
      <c r="BA68" s="582">
        <f t="shared" ca="1" si="166"/>
        <v>0</v>
      </c>
      <c r="BB68" s="582">
        <f t="shared" ca="1" si="166"/>
        <v>0</v>
      </c>
      <c r="BC68" s="582">
        <f t="shared" ca="1" si="166"/>
        <v>0</v>
      </c>
      <c r="BD68" s="582">
        <f t="shared" ca="1" si="166"/>
        <v>0</v>
      </c>
      <c r="BE68" s="582">
        <f t="shared" ca="1" si="166"/>
        <v>0</v>
      </c>
      <c r="BF68" s="582">
        <f ca="1">SUM(AM68:BE68)</f>
        <v>-1.1935034836447216</v>
      </c>
      <c r="BH68" s="3463">
        <f ca="1">SUM(BH65:BH67)</f>
        <v>0</v>
      </c>
      <c r="BI68" s="3463">
        <f ca="1">SUM(BI65:BI67)</f>
        <v>0</v>
      </c>
      <c r="BJ68" s="3463">
        <f ca="1">SUM(BH68:BI68)</f>
        <v>0</v>
      </c>
      <c r="BL68" s="3477">
        <f t="shared" ca="1" si="162"/>
        <v>0</v>
      </c>
      <c r="BM68" s="584"/>
      <c r="BN68" s="413"/>
      <c r="BO68" s="2790">
        <f ca="1">SUM(BO65:BO67)</f>
        <v>0</v>
      </c>
      <c r="BP68" s="2790">
        <f t="shared" ref="BP68:DF68" ca="1" si="167">SUM(BP65:BP67)</f>
        <v>0</v>
      </c>
      <c r="BQ68" s="2790">
        <f t="shared" ca="1" si="167"/>
        <v>0</v>
      </c>
      <c r="BR68" s="2790">
        <f t="shared" ca="1" si="167"/>
        <v>0</v>
      </c>
      <c r="BS68" s="2790">
        <f t="shared" ca="1" si="167"/>
        <v>0</v>
      </c>
      <c r="BT68" s="2790">
        <f t="shared" ca="1" si="167"/>
        <v>0</v>
      </c>
      <c r="BU68" s="2790">
        <f t="shared" ca="1" si="167"/>
        <v>0</v>
      </c>
      <c r="BV68" s="2790">
        <f t="shared" ca="1" si="167"/>
        <v>0</v>
      </c>
      <c r="BW68" s="2790">
        <f t="shared" ca="1" si="167"/>
        <v>0</v>
      </c>
      <c r="BX68" s="2790">
        <f t="shared" ca="1" si="167"/>
        <v>0</v>
      </c>
      <c r="BY68" s="2790">
        <f t="shared" ca="1" si="167"/>
        <v>0</v>
      </c>
      <c r="BZ68" s="2790">
        <f t="shared" ca="1" si="167"/>
        <v>0</v>
      </c>
      <c r="CA68" s="2790">
        <f t="shared" ca="1" si="167"/>
        <v>0</v>
      </c>
      <c r="CB68" s="2790">
        <f t="shared" ca="1" si="167"/>
        <v>0</v>
      </c>
      <c r="CC68" s="2790">
        <f t="shared" ca="1" si="167"/>
        <v>0</v>
      </c>
      <c r="CD68" s="2790">
        <f t="shared" ca="1" si="167"/>
        <v>0</v>
      </c>
      <c r="CE68" s="2790">
        <f t="shared" ca="1" si="167"/>
        <v>0</v>
      </c>
      <c r="CF68" s="2790">
        <f t="shared" ca="1" si="167"/>
        <v>0</v>
      </c>
      <c r="CG68" s="2790">
        <f t="shared" ca="1" si="167"/>
        <v>0</v>
      </c>
      <c r="CH68" s="2790">
        <f t="shared" ca="1" si="167"/>
        <v>0</v>
      </c>
      <c r="CI68" s="2790">
        <f t="shared" ca="1" si="167"/>
        <v>0</v>
      </c>
      <c r="CJ68" s="2790">
        <f t="shared" ca="1" si="167"/>
        <v>0</v>
      </c>
      <c r="CK68" s="2790">
        <f t="shared" ca="1" si="167"/>
        <v>0</v>
      </c>
      <c r="CL68" s="2790">
        <f t="shared" ca="1" si="167"/>
        <v>0</v>
      </c>
      <c r="CM68" s="2790">
        <f t="shared" ca="1" si="167"/>
        <v>0</v>
      </c>
      <c r="CN68" s="2790">
        <f t="shared" ca="1" si="167"/>
        <v>0</v>
      </c>
      <c r="CO68" s="2790">
        <f t="shared" ca="1" si="167"/>
        <v>0</v>
      </c>
      <c r="CP68" s="2790">
        <f t="shared" ca="1" si="167"/>
        <v>0</v>
      </c>
      <c r="CQ68" s="2790">
        <f t="shared" ca="1" si="167"/>
        <v>0</v>
      </c>
      <c r="CR68" s="2790">
        <f t="shared" ca="1" si="167"/>
        <v>0</v>
      </c>
      <c r="CS68" s="2790">
        <f t="shared" ca="1" si="167"/>
        <v>0</v>
      </c>
      <c r="CT68" s="2790">
        <f t="shared" ca="1" si="167"/>
        <v>0</v>
      </c>
      <c r="CU68" s="2790">
        <f t="shared" ca="1" si="167"/>
        <v>0</v>
      </c>
      <c r="CV68" s="2790">
        <f t="shared" ca="1" si="167"/>
        <v>0</v>
      </c>
      <c r="CW68" s="2790">
        <f t="shared" ca="1" si="167"/>
        <v>0</v>
      </c>
      <c r="CX68" s="2790">
        <f t="shared" ca="1" si="167"/>
        <v>0</v>
      </c>
      <c r="CY68" s="2790">
        <f t="shared" ca="1" si="167"/>
        <v>0</v>
      </c>
      <c r="CZ68" s="2790">
        <f t="shared" ca="1" si="167"/>
        <v>0</v>
      </c>
      <c r="DA68" s="2790">
        <f t="shared" ca="1" si="167"/>
        <v>0</v>
      </c>
      <c r="DB68" s="2790">
        <f t="shared" ca="1" si="167"/>
        <v>0</v>
      </c>
      <c r="DC68" s="2790">
        <f t="shared" ca="1" si="167"/>
        <v>0</v>
      </c>
      <c r="DD68" s="2790">
        <f t="shared" ca="1" si="167"/>
        <v>0</v>
      </c>
      <c r="DE68" s="2790">
        <f t="shared" ca="1" si="167"/>
        <v>0</v>
      </c>
      <c r="DF68" s="2790">
        <f t="shared" ca="1" si="167"/>
        <v>0</v>
      </c>
      <c r="DH68" s="596">
        <f t="shared" ca="1" si="113"/>
        <v>0</v>
      </c>
    </row>
    <row r="69" spans="1:112" s="6" customFormat="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62"/>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13"/>
        <v>0</v>
      </c>
    </row>
    <row r="70" spans="1:112" s="639" customFormat="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62"/>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13"/>
        <v>0</v>
      </c>
    </row>
    <row r="71" spans="1:112" s="607" customFormat="1">
      <c r="C71" s="587" t="s">
        <v>542</v>
      </c>
      <c r="D71" s="611" t="s">
        <v>543</v>
      </c>
      <c r="E71" s="611"/>
      <c r="F71" s="6"/>
      <c r="G71" s="619">
        <f t="shared" ref="G71:P71" ca="1" si="168">IFERROR(INDEX(INDIRECT($C71&amp;".Outputs["&amp;this.Year&amp;"]"), MATCH(G$5, INDIRECT($C71&amp;".Outputs[Vector]"), 0)), 0)</f>
        <v>0</v>
      </c>
      <c r="H71" s="619">
        <f t="shared" ca="1" si="168"/>
        <v>0</v>
      </c>
      <c r="I71" s="619">
        <f t="shared" ca="1" si="168"/>
        <v>0</v>
      </c>
      <c r="J71" s="619">
        <f t="shared" ca="1" si="168"/>
        <v>0</v>
      </c>
      <c r="K71" s="619">
        <f t="shared" ca="1" si="168"/>
        <v>0</v>
      </c>
      <c r="L71" s="619">
        <f t="shared" ca="1" si="168"/>
        <v>0</v>
      </c>
      <c r="M71" s="619">
        <f t="shared" ca="1" si="168"/>
        <v>0</v>
      </c>
      <c r="N71" s="619">
        <f t="shared" ca="1" si="168"/>
        <v>0</v>
      </c>
      <c r="O71" s="619">
        <f t="shared" ca="1" si="168"/>
        <v>0</v>
      </c>
      <c r="P71" s="619">
        <f t="shared" ca="1" si="168"/>
        <v>0</v>
      </c>
      <c r="Q71" s="612">
        <f ca="1">SUM(G71:P71)</f>
        <v>0</v>
      </c>
      <c r="R71" s="6"/>
      <c r="S71" s="620">
        <f t="shared" ref="S71:AJ71" ca="1" si="169">IFERROR(INDEX(INDIRECT($C71&amp;".Outputs["&amp;this.Year&amp;"]"), MATCH(S$5, INDIRECT($C71&amp;".Outputs[Vector]"), 0)), 0)</f>
        <v>0</v>
      </c>
      <c r="T71" s="620">
        <f t="shared" ca="1" si="169"/>
        <v>-3.7911428177742012E-3</v>
      </c>
      <c r="U71" s="620">
        <f t="shared" ca="1" si="169"/>
        <v>0</v>
      </c>
      <c r="V71" s="620">
        <f t="shared" ca="1" si="169"/>
        <v>0</v>
      </c>
      <c r="W71" s="620">
        <f t="shared" ca="1" si="169"/>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69"/>
        <v>0</v>
      </c>
      <c r="AB71" s="620">
        <f t="shared" ca="1" si="169"/>
        <v>2.6537999724419409E-2</v>
      </c>
      <c r="AC71" s="620">
        <f t="shared" ca="1" si="169"/>
        <v>0</v>
      </c>
      <c r="AD71" s="620">
        <f t="shared" ca="1" si="169"/>
        <v>0</v>
      </c>
      <c r="AE71" s="620">
        <f t="shared" ca="1" si="169"/>
        <v>0</v>
      </c>
      <c r="AF71" s="620">
        <f t="shared" ca="1" si="169"/>
        <v>0</v>
      </c>
      <c r="AG71" s="620">
        <f t="shared" ca="1" si="169"/>
        <v>0</v>
      </c>
      <c r="AH71" s="620">
        <f t="shared" ca="1" si="169"/>
        <v>0</v>
      </c>
      <c r="AI71" s="620">
        <f t="shared" ca="1" si="169"/>
        <v>0</v>
      </c>
      <c r="AJ71" s="620">
        <f t="shared" ca="1" si="169"/>
        <v>0</v>
      </c>
      <c r="AK71" s="613">
        <f ca="1">SUM(S71:AJ71)</f>
        <v>2.274685690664521E-2</v>
      </c>
      <c r="AL71" s="6"/>
      <c r="AM71" s="621">
        <f t="shared" ref="AM71:BE71" ca="1" si="170">IFERROR(INDEX(INDIRECT($C71&amp;".Outputs["&amp;this.Year&amp;"]"), MATCH(AM$5, INDIRECT($C71&amp;".Outputs[Vector]"), 0)), 0)</f>
        <v>0</v>
      </c>
      <c r="AN71" s="621">
        <f t="shared" ca="1" si="170"/>
        <v>0</v>
      </c>
      <c r="AO71" s="621">
        <f t="shared" ca="1" si="170"/>
        <v>0</v>
      </c>
      <c r="AP71" s="621">
        <f t="shared" ca="1" si="170"/>
        <v>0</v>
      </c>
      <c r="AQ71" s="621">
        <f t="shared" ca="1" si="170"/>
        <v>0</v>
      </c>
      <c r="AR71" s="621">
        <f t="shared" ca="1" si="170"/>
        <v>0</v>
      </c>
      <c r="AS71" s="621">
        <f t="shared" ca="1" si="170"/>
        <v>0</v>
      </c>
      <c r="AT71" s="621">
        <f t="shared" ca="1" si="170"/>
        <v>0</v>
      </c>
      <c r="AU71" s="621">
        <f t="shared" ca="1" si="170"/>
        <v>0</v>
      </c>
      <c r="AV71" s="621">
        <f t="shared" ca="1" si="170"/>
        <v>0</v>
      </c>
      <c r="AW71" s="621">
        <f t="shared" ca="1" si="170"/>
        <v>0</v>
      </c>
      <c r="AX71" s="621">
        <f t="shared" ca="1" si="170"/>
        <v>0</v>
      </c>
      <c r="AY71" s="621">
        <f t="shared" ca="1" si="170"/>
        <v>0</v>
      </c>
      <c r="AZ71" s="621">
        <f t="shared" ca="1" si="170"/>
        <v>0</v>
      </c>
      <c r="BA71" s="621">
        <f t="shared" ca="1" si="170"/>
        <v>0</v>
      </c>
      <c r="BB71" s="621">
        <f t="shared" ca="1" si="170"/>
        <v>0</v>
      </c>
      <c r="BC71" s="621">
        <f t="shared" ca="1" si="170"/>
        <v>0</v>
      </c>
      <c r="BD71" s="621">
        <f t="shared" ca="1" si="170"/>
        <v>0</v>
      </c>
      <c r="BE71" s="621">
        <f t="shared" ca="1" si="170"/>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62"/>
        <v>0</v>
      </c>
      <c r="BM71" s="610"/>
      <c r="BN71" s="413"/>
      <c r="BO71" s="2791">
        <f t="shared" ref="BO71:DF71" ca="1" si="171">IFERROR(SUMIFS(INDIRECT($C71&amp;".Emissions["&amp;this.Year&amp;"]"), INDIRECT($C71&amp;".Emissions[GHG]"), BO$6, INDIRECT($C71&amp;".Emissions[IPCC Sector]"), BO$5),0)</f>
        <v>0</v>
      </c>
      <c r="BP71" s="2792">
        <f t="shared" ca="1" si="171"/>
        <v>0</v>
      </c>
      <c r="BQ71" s="2792">
        <f t="shared" ca="1" si="171"/>
        <v>0</v>
      </c>
      <c r="BR71" s="2792">
        <f t="shared" ca="1" si="171"/>
        <v>0</v>
      </c>
      <c r="BS71" s="2792">
        <f t="shared" ca="1" si="171"/>
        <v>0</v>
      </c>
      <c r="BT71" s="2792">
        <f t="shared" ca="1" si="171"/>
        <v>0</v>
      </c>
      <c r="BU71" s="2792">
        <f t="shared" ca="1" si="171"/>
        <v>0</v>
      </c>
      <c r="BV71" s="2792">
        <f t="shared" ca="1" si="171"/>
        <v>0</v>
      </c>
      <c r="BW71" s="2792">
        <f t="shared" ca="1" si="171"/>
        <v>0</v>
      </c>
      <c r="BX71" s="2792">
        <f t="shared" ca="1" si="171"/>
        <v>0</v>
      </c>
      <c r="BY71" s="2792">
        <f t="shared" ca="1" si="171"/>
        <v>0</v>
      </c>
      <c r="BZ71" s="2792">
        <f t="shared" ca="1" si="171"/>
        <v>0</v>
      </c>
      <c r="CA71" s="2792">
        <f t="shared" ca="1" si="171"/>
        <v>0</v>
      </c>
      <c r="CB71" s="2792">
        <f t="shared" ca="1" si="171"/>
        <v>0</v>
      </c>
      <c r="CC71" s="2792">
        <f t="shared" ca="1" si="171"/>
        <v>0</v>
      </c>
      <c r="CD71" s="2792">
        <f t="shared" ca="1" si="171"/>
        <v>0</v>
      </c>
      <c r="CE71" s="2792">
        <f t="shared" ca="1" si="171"/>
        <v>0</v>
      </c>
      <c r="CF71" s="2792">
        <f t="shared" ca="1" si="171"/>
        <v>0</v>
      </c>
      <c r="CG71" s="2792">
        <f t="shared" ca="1" si="171"/>
        <v>0</v>
      </c>
      <c r="CH71" s="2792">
        <f t="shared" ca="1" si="171"/>
        <v>0</v>
      </c>
      <c r="CI71" s="2792">
        <f t="shared" ca="1" si="171"/>
        <v>0</v>
      </c>
      <c r="CJ71" s="2792">
        <f t="shared" ca="1" si="171"/>
        <v>0</v>
      </c>
      <c r="CK71" s="2792">
        <f t="shared" ca="1" si="171"/>
        <v>0</v>
      </c>
      <c r="CL71" s="2792">
        <f t="shared" ca="1" si="171"/>
        <v>0</v>
      </c>
      <c r="CM71" s="2792">
        <f t="shared" ca="1" si="171"/>
        <v>0</v>
      </c>
      <c r="CN71" s="2792">
        <f t="shared" ca="1" si="171"/>
        <v>0</v>
      </c>
      <c r="CO71" s="2792">
        <f t="shared" ca="1" si="171"/>
        <v>0</v>
      </c>
      <c r="CP71" s="2792">
        <f t="shared" ca="1" si="171"/>
        <v>0</v>
      </c>
      <c r="CQ71" s="2792">
        <f t="shared" ca="1" si="171"/>
        <v>0</v>
      </c>
      <c r="CR71" s="2792">
        <f t="shared" ca="1" si="171"/>
        <v>0</v>
      </c>
      <c r="CS71" s="2792">
        <f t="shared" ca="1" si="171"/>
        <v>0</v>
      </c>
      <c r="CT71" s="2792">
        <f t="shared" ca="1" si="171"/>
        <v>0</v>
      </c>
      <c r="CU71" s="2792">
        <f t="shared" ca="1" si="171"/>
        <v>0</v>
      </c>
      <c r="CV71" s="2792">
        <f t="shared" ca="1" si="171"/>
        <v>0</v>
      </c>
      <c r="CW71" s="2792">
        <f t="shared" ca="1" si="171"/>
        <v>0</v>
      </c>
      <c r="CX71" s="2792">
        <f t="shared" ca="1" si="171"/>
        <v>0</v>
      </c>
      <c r="CY71" s="2792">
        <f t="shared" ca="1" si="171"/>
        <v>0</v>
      </c>
      <c r="CZ71" s="2792">
        <f t="shared" ca="1" si="171"/>
        <v>0</v>
      </c>
      <c r="DA71" s="2792">
        <f t="shared" ca="1" si="171"/>
        <v>0</v>
      </c>
      <c r="DB71" s="2792">
        <f t="shared" ca="1" si="171"/>
        <v>0</v>
      </c>
      <c r="DC71" s="2792">
        <f t="shared" ca="1" si="171"/>
        <v>0</v>
      </c>
      <c r="DD71" s="2792">
        <f t="shared" ca="1" si="171"/>
        <v>0</v>
      </c>
      <c r="DE71" s="2792">
        <f t="shared" ca="1" si="171"/>
        <v>0</v>
      </c>
      <c r="DF71" s="2792">
        <f t="shared" ca="1" si="171"/>
        <v>0</v>
      </c>
      <c r="DH71" s="596">
        <f t="shared" ca="1" si="113"/>
        <v>0</v>
      </c>
    </row>
    <row r="72" spans="1:112" s="6" customFormat="1" ht="15.75">
      <c r="A72" s="4"/>
      <c r="B72" s="3"/>
      <c r="C72" s="616" t="s">
        <v>544</v>
      </c>
      <c r="D72" s="617" t="s">
        <v>545</v>
      </c>
      <c r="E72" s="206"/>
      <c r="G72" s="618">
        <f ca="1">G71</f>
        <v>0</v>
      </c>
      <c r="H72" s="618">
        <f t="shared" ref="H72:P72" ca="1" si="172">H71</f>
        <v>0</v>
      </c>
      <c r="I72" s="618">
        <f t="shared" ca="1" si="172"/>
        <v>0</v>
      </c>
      <c r="J72" s="618">
        <f t="shared" ca="1" si="172"/>
        <v>0</v>
      </c>
      <c r="K72" s="618">
        <f t="shared" ca="1" si="172"/>
        <v>0</v>
      </c>
      <c r="L72" s="618">
        <f t="shared" ca="1" si="172"/>
        <v>0</v>
      </c>
      <c r="M72" s="618">
        <f t="shared" ca="1" si="172"/>
        <v>0</v>
      </c>
      <c r="N72" s="618">
        <f t="shared" ca="1" si="172"/>
        <v>0</v>
      </c>
      <c r="O72" s="618">
        <f t="shared" ca="1" si="172"/>
        <v>0</v>
      </c>
      <c r="P72" s="618">
        <f t="shared" ca="1" si="172"/>
        <v>0</v>
      </c>
      <c r="Q72" s="618">
        <f ca="1">SUM(G72:P72)</f>
        <v>0</v>
      </c>
      <c r="S72" s="581">
        <f t="shared" ref="S72:AJ72" ca="1" si="173">S71</f>
        <v>0</v>
      </c>
      <c r="T72" s="581">
        <f t="shared" ca="1" si="173"/>
        <v>-3.7911428177742012E-3</v>
      </c>
      <c r="U72" s="581">
        <f t="shared" ca="1" si="173"/>
        <v>0</v>
      </c>
      <c r="V72" s="581">
        <f t="shared" ca="1" si="173"/>
        <v>0</v>
      </c>
      <c r="W72" s="581">
        <f t="shared" ca="1" si="173"/>
        <v>0</v>
      </c>
      <c r="X72" s="581">
        <f t="shared" ca="1" si="173"/>
        <v>0</v>
      </c>
      <c r="Y72" s="581">
        <f t="shared" ca="1" si="173"/>
        <v>0</v>
      </c>
      <c r="Z72" s="581">
        <f t="shared" ca="1" si="173"/>
        <v>0</v>
      </c>
      <c r="AA72" s="581">
        <f t="shared" ca="1" si="173"/>
        <v>0</v>
      </c>
      <c r="AB72" s="581">
        <f t="shared" ca="1" si="173"/>
        <v>2.6537999724419409E-2</v>
      </c>
      <c r="AC72" s="581">
        <f t="shared" ca="1" si="173"/>
        <v>0</v>
      </c>
      <c r="AD72" s="581">
        <f ca="1">AD71</f>
        <v>0</v>
      </c>
      <c r="AE72" s="581">
        <f ca="1">AE71</f>
        <v>0</v>
      </c>
      <c r="AF72" s="581">
        <f t="shared" ca="1" si="173"/>
        <v>0</v>
      </c>
      <c r="AG72" s="581">
        <f t="shared" ca="1" si="173"/>
        <v>0</v>
      </c>
      <c r="AH72" s="581">
        <f ca="1">AH71</f>
        <v>0</v>
      </c>
      <c r="AI72" s="581">
        <f ca="1">AI71</f>
        <v>0</v>
      </c>
      <c r="AJ72" s="581">
        <f t="shared" ca="1" si="173"/>
        <v>0</v>
      </c>
      <c r="AK72" s="581">
        <f ca="1">SUM(S72:AJ72)</f>
        <v>2.274685690664521E-2</v>
      </c>
      <c r="AM72" s="582">
        <f ca="1">AM71</f>
        <v>0</v>
      </c>
      <c r="AN72" s="582">
        <f t="shared" ref="AN72:BE72" ca="1" si="174">AN71</f>
        <v>0</v>
      </c>
      <c r="AO72" s="582">
        <f t="shared" ca="1" si="174"/>
        <v>0</v>
      </c>
      <c r="AP72" s="582">
        <f t="shared" ca="1" si="174"/>
        <v>0</v>
      </c>
      <c r="AQ72" s="582">
        <f t="shared" ca="1" si="174"/>
        <v>0</v>
      </c>
      <c r="AR72" s="582">
        <f t="shared" ca="1" si="174"/>
        <v>0</v>
      </c>
      <c r="AS72" s="582">
        <f t="shared" ca="1" si="174"/>
        <v>0</v>
      </c>
      <c r="AT72" s="582">
        <f t="shared" ca="1" si="174"/>
        <v>0</v>
      </c>
      <c r="AU72" s="582">
        <f t="shared" ca="1" si="174"/>
        <v>0</v>
      </c>
      <c r="AV72" s="582">
        <f t="shared" ca="1" si="174"/>
        <v>0</v>
      </c>
      <c r="AW72" s="582">
        <f t="shared" ca="1" si="174"/>
        <v>0</v>
      </c>
      <c r="AX72" s="582">
        <f t="shared" ca="1" si="174"/>
        <v>0</v>
      </c>
      <c r="AY72" s="582">
        <f t="shared" ca="1" si="174"/>
        <v>0</v>
      </c>
      <c r="AZ72" s="582">
        <f t="shared" ca="1" si="174"/>
        <v>0</v>
      </c>
      <c r="BA72" s="582">
        <f t="shared" ca="1" si="174"/>
        <v>0</v>
      </c>
      <c r="BB72" s="582">
        <f t="shared" ca="1" si="174"/>
        <v>0</v>
      </c>
      <c r="BC72" s="582">
        <f t="shared" ca="1" si="174"/>
        <v>0</v>
      </c>
      <c r="BD72" s="582">
        <f t="shared" ca="1" si="174"/>
        <v>0</v>
      </c>
      <c r="BE72" s="582">
        <f t="shared" ca="1" si="174"/>
        <v>0</v>
      </c>
      <c r="BF72" s="582">
        <f ca="1">SUM(AM72:BE72)</f>
        <v>0</v>
      </c>
      <c r="BH72" s="3463">
        <f ca="1">BH71</f>
        <v>-2.274685690664521E-2</v>
      </c>
      <c r="BI72" s="3463">
        <f ca="1">BI71</f>
        <v>0</v>
      </c>
      <c r="BJ72" s="3463">
        <f ca="1">SUM(BH72:BI72)</f>
        <v>-2.274685690664521E-2</v>
      </c>
      <c r="BL72" s="3477">
        <f t="shared" ca="1" si="162"/>
        <v>0</v>
      </c>
      <c r="BM72" s="584"/>
      <c r="BN72" s="413"/>
      <c r="BO72" s="2790">
        <f t="shared" ref="BO72:DF72" ca="1" si="175">BO71</f>
        <v>0</v>
      </c>
      <c r="BP72" s="2790">
        <f t="shared" ca="1" si="175"/>
        <v>0</v>
      </c>
      <c r="BQ72" s="2790">
        <f t="shared" ca="1" si="175"/>
        <v>0</v>
      </c>
      <c r="BR72" s="2790">
        <f t="shared" ca="1" si="175"/>
        <v>0</v>
      </c>
      <c r="BS72" s="2790">
        <f t="shared" ca="1" si="175"/>
        <v>0</v>
      </c>
      <c r="BT72" s="2790">
        <f t="shared" ca="1" si="175"/>
        <v>0</v>
      </c>
      <c r="BU72" s="2790">
        <f t="shared" ca="1" si="175"/>
        <v>0</v>
      </c>
      <c r="BV72" s="2790">
        <f t="shared" ca="1" si="175"/>
        <v>0</v>
      </c>
      <c r="BW72" s="2790">
        <f t="shared" ca="1" si="175"/>
        <v>0</v>
      </c>
      <c r="BX72" s="2790">
        <f t="shared" ca="1" si="175"/>
        <v>0</v>
      </c>
      <c r="BY72" s="2790">
        <f t="shared" ca="1" si="175"/>
        <v>0</v>
      </c>
      <c r="BZ72" s="2790">
        <f t="shared" ca="1" si="175"/>
        <v>0</v>
      </c>
      <c r="CA72" s="2790">
        <f t="shared" ca="1" si="175"/>
        <v>0</v>
      </c>
      <c r="CB72" s="2790">
        <f t="shared" ca="1" si="175"/>
        <v>0</v>
      </c>
      <c r="CC72" s="2790">
        <f t="shared" ca="1" si="175"/>
        <v>0</v>
      </c>
      <c r="CD72" s="2790">
        <f t="shared" ca="1" si="175"/>
        <v>0</v>
      </c>
      <c r="CE72" s="2790">
        <f t="shared" ca="1" si="175"/>
        <v>0</v>
      </c>
      <c r="CF72" s="2790">
        <f t="shared" ca="1" si="175"/>
        <v>0</v>
      </c>
      <c r="CG72" s="2790">
        <f t="shared" ca="1" si="175"/>
        <v>0</v>
      </c>
      <c r="CH72" s="2790">
        <f t="shared" ca="1" si="175"/>
        <v>0</v>
      </c>
      <c r="CI72" s="2790">
        <f t="shared" ca="1" si="175"/>
        <v>0</v>
      </c>
      <c r="CJ72" s="2790">
        <f t="shared" ca="1" si="175"/>
        <v>0</v>
      </c>
      <c r="CK72" s="2790">
        <f t="shared" ca="1" si="175"/>
        <v>0</v>
      </c>
      <c r="CL72" s="2790">
        <f t="shared" ca="1" si="175"/>
        <v>0</v>
      </c>
      <c r="CM72" s="2790">
        <f t="shared" ca="1" si="175"/>
        <v>0</v>
      </c>
      <c r="CN72" s="2790">
        <f t="shared" ca="1" si="175"/>
        <v>0</v>
      </c>
      <c r="CO72" s="2790">
        <f t="shared" ca="1" si="175"/>
        <v>0</v>
      </c>
      <c r="CP72" s="2790">
        <f t="shared" ca="1" si="175"/>
        <v>0</v>
      </c>
      <c r="CQ72" s="2790">
        <f t="shared" ca="1" si="175"/>
        <v>0</v>
      </c>
      <c r="CR72" s="2790">
        <f t="shared" ca="1" si="175"/>
        <v>0</v>
      </c>
      <c r="CS72" s="2790">
        <f t="shared" ca="1" si="175"/>
        <v>0</v>
      </c>
      <c r="CT72" s="2790">
        <f t="shared" ca="1" si="175"/>
        <v>0</v>
      </c>
      <c r="CU72" s="2790">
        <f t="shared" ca="1" si="175"/>
        <v>0</v>
      </c>
      <c r="CV72" s="2790">
        <f t="shared" ca="1" si="175"/>
        <v>0</v>
      </c>
      <c r="CW72" s="2790">
        <f t="shared" ca="1" si="175"/>
        <v>0</v>
      </c>
      <c r="CX72" s="2790">
        <f t="shared" ca="1" si="175"/>
        <v>0</v>
      </c>
      <c r="CY72" s="2790">
        <f t="shared" ca="1" si="175"/>
        <v>0</v>
      </c>
      <c r="CZ72" s="2790">
        <f t="shared" ca="1" si="175"/>
        <v>0</v>
      </c>
      <c r="DA72" s="2790">
        <f t="shared" ca="1" si="175"/>
        <v>0</v>
      </c>
      <c r="DB72" s="2790">
        <f t="shared" ca="1" si="175"/>
        <v>0</v>
      </c>
      <c r="DC72" s="2790">
        <f t="shared" ca="1" si="175"/>
        <v>0</v>
      </c>
      <c r="DD72" s="2790">
        <f t="shared" ca="1" si="175"/>
        <v>0</v>
      </c>
      <c r="DE72" s="2790">
        <f t="shared" ca="1" si="175"/>
        <v>0</v>
      </c>
      <c r="DF72" s="2790">
        <f t="shared" ca="1" si="175"/>
        <v>0</v>
      </c>
      <c r="DH72" s="596">
        <f t="shared" ca="1" si="113"/>
        <v>0</v>
      </c>
    </row>
    <row r="73" spans="1:112" s="6" customFormat="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13"/>
        <v>0</v>
      </c>
    </row>
    <row r="74" spans="1:112" s="652" customFormat="1">
      <c r="C74" s="667" t="s">
        <v>546</v>
      </c>
      <c r="D74" s="668" t="s">
        <v>547</v>
      </c>
      <c r="E74" s="668"/>
      <c r="F74" s="6"/>
      <c r="G74" s="669"/>
      <c r="H74" s="669"/>
      <c r="I74" s="669"/>
      <c r="J74" s="669"/>
      <c r="K74" s="670"/>
      <c r="L74" s="669"/>
      <c r="M74" s="669"/>
      <c r="N74" s="669"/>
      <c r="O74" s="669"/>
      <c r="P74" s="669"/>
      <c r="Q74" s="669"/>
      <c r="R74" s="6"/>
      <c r="S74" s="671">
        <f ca="1">S$40+S$46+S$51+S$99+S$55+S$93+S$63+S$68+S$72</f>
        <v>-24.873360120694059</v>
      </c>
      <c r="T74" s="671">
        <f ca="1">T$40+T$46+T$51+T$99+T$55+T$93+T$63+T$68+T$72</f>
        <v>10.822428723217843</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76">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13"/>
        <v>0</v>
      </c>
    </row>
    <row r="75" spans="1:112" s="607" customFormat="1">
      <c r="C75" s="587" t="s">
        <v>548</v>
      </c>
      <c r="D75" s="611" t="s">
        <v>549</v>
      </c>
      <c r="E75" s="611"/>
      <c r="F75" s="6"/>
      <c r="G75" s="619">
        <f t="shared" ref="G75:P75" ca="1" si="177">IFERROR(INDEX(INDIRECT($C75&amp;".Outputs["&amp;this.Year&amp;"]"), MATCH(G$5, INDIRECT($C75&amp;".Outputs[Vector]"), 0)), 0)</f>
        <v>0</v>
      </c>
      <c r="H75" s="619">
        <f t="shared" ca="1" si="177"/>
        <v>0</v>
      </c>
      <c r="I75" s="619">
        <f t="shared" ca="1" si="177"/>
        <v>0</v>
      </c>
      <c r="J75" s="619">
        <f t="shared" ca="1" si="177"/>
        <v>0</v>
      </c>
      <c r="K75" s="619">
        <f t="shared" ca="1" si="177"/>
        <v>0</v>
      </c>
      <c r="L75" s="619">
        <f t="shared" ca="1" si="177"/>
        <v>0</v>
      </c>
      <c r="M75" s="619">
        <f t="shared" ca="1" si="177"/>
        <v>0</v>
      </c>
      <c r="N75" s="619">
        <f t="shared" ca="1" si="177"/>
        <v>0</v>
      </c>
      <c r="O75" s="619">
        <f t="shared" ca="1" si="177"/>
        <v>0</v>
      </c>
      <c r="P75" s="619">
        <f t="shared" ca="1" si="177"/>
        <v>0</v>
      </c>
      <c r="Q75" s="612">
        <f ca="1">SUM(G75:P75)</f>
        <v>0</v>
      </c>
      <c r="R75" s="6"/>
      <c r="S75" s="620">
        <f t="shared" ref="S75:AJ75" ca="1" si="178">IFERROR(INDEX(INDIRECT($C75&amp;".Outputs["&amp;this.Year&amp;"]"), MATCH(S$5, INDIRECT($C75&amp;".Outputs[Vector]"), 0)), 0)</f>
        <v>0</v>
      </c>
      <c r="T75" s="620">
        <f t="shared" ca="1" si="178"/>
        <v>0</v>
      </c>
      <c r="U75" s="620">
        <f t="shared" ca="1" si="178"/>
        <v>0</v>
      </c>
      <c r="V75" s="620">
        <f t="shared" ca="1" si="178"/>
        <v>0</v>
      </c>
      <c r="W75" s="620">
        <f t="shared" ca="1" si="178"/>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78"/>
        <v>0</v>
      </c>
      <c r="AB75" s="620">
        <f t="shared" ca="1" si="178"/>
        <v>0</v>
      </c>
      <c r="AC75" s="620">
        <f t="shared" ca="1" si="178"/>
        <v>0</v>
      </c>
      <c r="AD75" s="620">
        <f t="shared" ca="1" si="178"/>
        <v>0</v>
      </c>
      <c r="AE75" s="620">
        <f t="shared" ca="1" si="178"/>
        <v>0</v>
      </c>
      <c r="AF75" s="620">
        <f t="shared" ca="1" si="178"/>
        <v>0</v>
      </c>
      <c r="AG75" s="620">
        <f t="shared" ca="1" si="178"/>
        <v>0</v>
      </c>
      <c r="AH75" s="620">
        <f t="shared" ca="1" si="178"/>
        <v>0</v>
      </c>
      <c r="AI75" s="620">
        <f t="shared" ca="1" si="178"/>
        <v>0</v>
      </c>
      <c r="AJ75" s="620">
        <f t="shared" ca="1" si="178"/>
        <v>0</v>
      </c>
      <c r="AK75" s="613">
        <f ca="1">SUM(S75:AJ75)</f>
        <v>0</v>
      </c>
      <c r="AL75" s="6"/>
      <c r="AM75" s="621">
        <f t="shared" ref="AM75:BE75" ca="1" si="179">IFERROR(INDEX(INDIRECT($C75&amp;".Outputs["&amp;this.Year&amp;"]"), MATCH(AM$5, INDIRECT($C75&amp;".Outputs[Vector]"), 0)), 0)</f>
        <v>0</v>
      </c>
      <c r="AN75" s="621">
        <f t="shared" ca="1" si="179"/>
        <v>0</v>
      </c>
      <c r="AO75" s="621">
        <f t="shared" ca="1" si="179"/>
        <v>0</v>
      </c>
      <c r="AP75" s="621">
        <f t="shared" ca="1" si="179"/>
        <v>0</v>
      </c>
      <c r="AQ75" s="621">
        <f t="shared" ca="1" si="179"/>
        <v>0</v>
      </c>
      <c r="AR75" s="621">
        <f t="shared" ca="1" si="179"/>
        <v>0</v>
      </c>
      <c r="AS75" s="621">
        <f t="shared" ca="1" si="179"/>
        <v>0</v>
      </c>
      <c r="AT75" s="621">
        <f t="shared" ca="1" si="179"/>
        <v>0</v>
      </c>
      <c r="AU75" s="621">
        <f t="shared" ca="1" si="179"/>
        <v>0</v>
      </c>
      <c r="AV75" s="621">
        <f t="shared" ca="1" si="179"/>
        <v>0</v>
      </c>
      <c r="AW75" s="621">
        <f t="shared" ca="1" si="179"/>
        <v>0</v>
      </c>
      <c r="AX75" s="621">
        <f t="shared" ca="1" si="179"/>
        <v>0</v>
      </c>
      <c r="AY75" s="621">
        <f t="shared" ca="1" si="179"/>
        <v>0</v>
      </c>
      <c r="AZ75" s="621">
        <f t="shared" ca="1" si="179"/>
        <v>0</v>
      </c>
      <c r="BA75" s="621">
        <f t="shared" ca="1" si="179"/>
        <v>0</v>
      </c>
      <c r="BB75" s="621">
        <f t="shared" ca="1" si="179"/>
        <v>0</v>
      </c>
      <c r="BC75" s="621">
        <f t="shared" ca="1" si="179"/>
        <v>0</v>
      </c>
      <c r="BD75" s="621">
        <f t="shared" ca="1" si="179"/>
        <v>0</v>
      </c>
      <c r="BE75" s="621">
        <f t="shared" ca="1" si="179"/>
        <v>0</v>
      </c>
      <c r="BF75" s="615">
        <f ca="1">SUM(AM75:BE75)</f>
        <v>0</v>
      </c>
      <c r="BG75" s="6"/>
      <c r="BH75" s="3473">
        <f ca="1">IFERROR(INDEX(INDIRECT($C75&amp;".Outputs["&amp;this.Year&amp;"]"), MATCH(BH$5, INDIRECT($C75&amp;".Outputs[Vector]"), 0)), 0)</f>
        <v>0</v>
      </c>
      <c r="BI75" s="3473">
        <f ca="1">IFERROR(INDEX(INDIRECT($C75&amp;".Outputs["&amp;this.Year&amp;"]"), MATCH(BI$5, INDIRECT($C75&amp;".Outputs[Vector]"), 0)), 0)</f>
        <v>0</v>
      </c>
      <c r="BJ75" s="3462">
        <f ca="1">SUM(BH75:BI75)</f>
        <v>0</v>
      </c>
      <c r="BK75" s="6"/>
      <c r="BL75" s="610">
        <f t="shared" ca="1" si="176"/>
        <v>0</v>
      </c>
      <c r="BM75" s="610"/>
      <c r="BN75" s="413"/>
      <c r="BO75" s="2791">
        <f t="shared" ref="BO75:DF75" ca="1" si="180">IFERROR(SUMIFS(INDIRECT($C75&amp;".Emissions["&amp;this.Year&amp;"]"), INDIRECT($C75&amp;".Emissions[GHG]"), BO$6, INDIRECT($C75&amp;".Emissions[IPCC Sector]"), BO$5),0)</f>
        <v>0</v>
      </c>
      <c r="BP75" s="2792">
        <f t="shared" ca="1" si="180"/>
        <v>0</v>
      </c>
      <c r="BQ75" s="2792">
        <f t="shared" ca="1" si="180"/>
        <v>0</v>
      </c>
      <c r="BR75" s="2792">
        <f t="shared" ca="1" si="180"/>
        <v>0</v>
      </c>
      <c r="BS75" s="2792">
        <f t="shared" ca="1" si="180"/>
        <v>0</v>
      </c>
      <c r="BT75" s="2792">
        <f t="shared" ca="1" si="180"/>
        <v>0</v>
      </c>
      <c r="BU75" s="2792">
        <f t="shared" ca="1" si="180"/>
        <v>0</v>
      </c>
      <c r="BV75" s="2792">
        <f t="shared" ca="1" si="180"/>
        <v>0</v>
      </c>
      <c r="BW75" s="2792">
        <f t="shared" ca="1" si="180"/>
        <v>0</v>
      </c>
      <c r="BX75" s="2792">
        <f t="shared" ca="1" si="180"/>
        <v>0</v>
      </c>
      <c r="BY75" s="2792">
        <f t="shared" ca="1" si="180"/>
        <v>0</v>
      </c>
      <c r="BZ75" s="2792">
        <f t="shared" ca="1" si="180"/>
        <v>0</v>
      </c>
      <c r="CA75" s="2792">
        <f t="shared" ca="1" si="180"/>
        <v>0</v>
      </c>
      <c r="CB75" s="2792">
        <f t="shared" ca="1" si="180"/>
        <v>0</v>
      </c>
      <c r="CC75" s="2792">
        <f t="shared" ca="1" si="180"/>
        <v>0</v>
      </c>
      <c r="CD75" s="2792">
        <f t="shared" ca="1" si="180"/>
        <v>0</v>
      </c>
      <c r="CE75" s="2792">
        <f t="shared" ca="1" si="180"/>
        <v>0</v>
      </c>
      <c r="CF75" s="2792">
        <f t="shared" ca="1" si="180"/>
        <v>0</v>
      </c>
      <c r="CG75" s="2792">
        <f t="shared" ca="1" si="180"/>
        <v>0</v>
      </c>
      <c r="CH75" s="2792">
        <f t="shared" ca="1" si="180"/>
        <v>0</v>
      </c>
      <c r="CI75" s="2792">
        <f t="shared" ca="1" si="180"/>
        <v>0</v>
      </c>
      <c r="CJ75" s="2792">
        <f t="shared" ca="1" si="180"/>
        <v>0</v>
      </c>
      <c r="CK75" s="2792">
        <f t="shared" ca="1" si="180"/>
        <v>0</v>
      </c>
      <c r="CL75" s="2792">
        <f t="shared" ca="1" si="180"/>
        <v>0</v>
      </c>
      <c r="CM75" s="2792">
        <f t="shared" ca="1" si="180"/>
        <v>0</v>
      </c>
      <c r="CN75" s="2792">
        <f t="shared" ca="1" si="180"/>
        <v>0</v>
      </c>
      <c r="CO75" s="2792">
        <f t="shared" ca="1" si="180"/>
        <v>0</v>
      </c>
      <c r="CP75" s="2792">
        <f t="shared" ca="1" si="180"/>
        <v>0</v>
      </c>
      <c r="CQ75" s="2792">
        <f t="shared" ca="1" si="180"/>
        <v>0</v>
      </c>
      <c r="CR75" s="2792">
        <f t="shared" ca="1" si="180"/>
        <v>0</v>
      </c>
      <c r="CS75" s="2792">
        <f t="shared" ca="1" si="180"/>
        <v>0</v>
      </c>
      <c r="CT75" s="2792">
        <f t="shared" ca="1" si="180"/>
        <v>0</v>
      </c>
      <c r="CU75" s="2792">
        <f t="shared" ca="1" si="180"/>
        <v>0</v>
      </c>
      <c r="CV75" s="2792">
        <f t="shared" ca="1" si="180"/>
        <v>0</v>
      </c>
      <c r="CW75" s="2792">
        <f t="shared" ca="1" si="180"/>
        <v>0</v>
      </c>
      <c r="CX75" s="2792">
        <f t="shared" ca="1" si="180"/>
        <v>0</v>
      </c>
      <c r="CY75" s="2792">
        <f t="shared" ca="1" si="180"/>
        <v>0</v>
      </c>
      <c r="CZ75" s="2792">
        <f t="shared" ca="1" si="180"/>
        <v>0</v>
      </c>
      <c r="DA75" s="2792">
        <f t="shared" ca="1" si="180"/>
        <v>0</v>
      </c>
      <c r="DB75" s="2792">
        <f t="shared" ca="1" si="180"/>
        <v>0</v>
      </c>
      <c r="DC75" s="2792">
        <f t="shared" ca="1" si="180"/>
        <v>0</v>
      </c>
      <c r="DD75" s="2792">
        <f t="shared" ca="1" si="180"/>
        <v>0</v>
      </c>
      <c r="DE75" s="2792">
        <f t="shared" ca="1" si="180"/>
        <v>0</v>
      </c>
      <c r="DF75" s="2792">
        <f t="shared" ca="1" si="180"/>
        <v>0</v>
      </c>
      <c r="DH75" s="596">
        <f t="shared" ca="1" si="113"/>
        <v>0</v>
      </c>
    </row>
    <row r="76" spans="1:112" s="6" customFormat="1" ht="15.75">
      <c r="A76" s="4"/>
      <c r="B76" s="3"/>
      <c r="C76" s="616" t="s">
        <v>550</v>
      </c>
      <c r="D76" s="617" t="s">
        <v>551</v>
      </c>
      <c r="E76" s="206"/>
      <c r="G76" s="618">
        <f ca="1">G75</f>
        <v>0</v>
      </c>
      <c r="H76" s="618">
        <f t="shared" ref="H76:P76" ca="1" si="181">H75</f>
        <v>0</v>
      </c>
      <c r="I76" s="618">
        <f t="shared" ca="1" si="181"/>
        <v>0</v>
      </c>
      <c r="J76" s="618">
        <f t="shared" ca="1" si="181"/>
        <v>0</v>
      </c>
      <c r="K76" s="618">
        <f t="shared" ca="1" si="181"/>
        <v>0</v>
      </c>
      <c r="L76" s="618">
        <f t="shared" ca="1" si="181"/>
        <v>0</v>
      </c>
      <c r="M76" s="618">
        <f t="shared" ca="1" si="181"/>
        <v>0</v>
      </c>
      <c r="N76" s="618">
        <f t="shared" ca="1" si="181"/>
        <v>0</v>
      </c>
      <c r="O76" s="618">
        <f t="shared" ca="1" si="181"/>
        <v>0</v>
      </c>
      <c r="P76" s="618">
        <f t="shared" ca="1" si="181"/>
        <v>0</v>
      </c>
      <c r="Q76" s="618">
        <f ca="1">SUM(G76:P76)</f>
        <v>0</v>
      </c>
      <c r="S76" s="581">
        <f t="shared" ref="S76:AJ76" ca="1" si="182">S75</f>
        <v>0</v>
      </c>
      <c r="T76" s="581">
        <f t="shared" ca="1" si="182"/>
        <v>0</v>
      </c>
      <c r="U76" s="581">
        <f t="shared" ca="1" si="182"/>
        <v>0</v>
      </c>
      <c r="V76" s="581">
        <f t="shared" ca="1" si="182"/>
        <v>0</v>
      </c>
      <c r="W76" s="581">
        <f t="shared" ca="1" si="182"/>
        <v>0</v>
      </c>
      <c r="X76" s="581">
        <f t="shared" ca="1" si="182"/>
        <v>0</v>
      </c>
      <c r="Y76" s="581">
        <f t="shared" ca="1" si="182"/>
        <v>0</v>
      </c>
      <c r="Z76" s="581">
        <f t="shared" ca="1" si="182"/>
        <v>0</v>
      </c>
      <c r="AA76" s="581">
        <f t="shared" ca="1" si="182"/>
        <v>0</v>
      </c>
      <c r="AB76" s="581">
        <f t="shared" ca="1" si="182"/>
        <v>0</v>
      </c>
      <c r="AC76" s="581">
        <f t="shared" ca="1" si="182"/>
        <v>0</v>
      </c>
      <c r="AD76" s="581">
        <f t="shared" ca="1" si="182"/>
        <v>0</v>
      </c>
      <c r="AE76" s="581">
        <f ca="1">AE75</f>
        <v>0</v>
      </c>
      <c r="AF76" s="581">
        <f t="shared" ca="1" si="182"/>
        <v>0</v>
      </c>
      <c r="AG76" s="581">
        <f t="shared" ca="1" si="182"/>
        <v>0</v>
      </c>
      <c r="AH76" s="581">
        <f ca="1">AH75</f>
        <v>0</v>
      </c>
      <c r="AI76" s="581">
        <f t="shared" ca="1" si="182"/>
        <v>0</v>
      </c>
      <c r="AJ76" s="581">
        <f t="shared" ca="1" si="182"/>
        <v>0</v>
      </c>
      <c r="AK76" s="581">
        <f ca="1">SUM(S76:AJ76)</f>
        <v>0</v>
      </c>
      <c r="AM76" s="582">
        <f t="shared" ref="AM76:BE76" ca="1" si="183">AM75</f>
        <v>0</v>
      </c>
      <c r="AN76" s="582">
        <f t="shared" ca="1" si="183"/>
        <v>0</v>
      </c>
      <c r="AO76" s="582">
        <f t="shared" ca="1" si="183"/>
        <v>0</v>
      </c>
      <c r="AP76" s="582">
        <f t="shared" ca="1" si="183"/>
        <v>0</v>
      </c>
      <c r="AQ76" s="582">
        <f t="shared" ca="1" si="183"/>
        <v>0</v>
      </c>
      <c r="AR76" s="582">
        <f t="shared" ca="1" si="183"/>
        <v>0</v>
      </c>
      <c r="AS76" s="582">
        <f t="shared" ca="1" si="183"/>
        <v>0</v>
      </c>
      <c r="AT76" s="582">
        <f t="shared" ca="1" si="183"/>
        <v>0</v>
      </c>
      <c r="AU76" s="582">
        <f t="shared" ca="1" si="183"/>
        <v>0</v>
      </c>
      <c r="AV76" s="582">
        <f t="shared" ca="1" si="183"/>
        <v>0</v>
      </c>
      <c r="AW76" s="582">
        <f t="shared" ca="1" si="183"/>
        <v>0</v>
      </c>
      <c r="AX76" s="582">
        <f t="shared" ca="1" si="183"/>
        <v>0</v>
      </c>
      <c r="AY76" s="582">
        <f t="shared" ca="1" si="183"/>
        <v>0</v>
      </c>
      <c r="AZ76" s="582">
        <f t="shared" ca="1" si="183"/>
        <v>0</v>
      </c>
      <c r="BA76" s="582">
        <f t="shared" ca="1" si="183"/>
        <v>0</v>
      </c>
      <c r="BB76" s="582">
        <f t="shared" ca="1" si="183"/>
        <v>0</v>
      </c>
      <c r="BC76" s="582">
        <f t="shared" ca="1" si="183"/>
        <v>0</v>
      </c>
      <c r="BD76" s="582">
        <f t="shared" ca="1" si="183"/>
        <v>0</v>
      </c>
      <c r="BE76" s="582">
        <f t="shared" ca="1" si="183"/>
        <v>0</v>
      </c>
      <c r="BF76" s="582">
        <f ca="1">SUM(AM76:BE76)</f>
        <v>0</v>
      </c>
      <c r="BH76" s="3463">
        <f ca="1">BH75</f>
        <v>0</v>
      </c>
      <c r="BI76" s="3463">
        <f ca="1">BI75</f>
        <v>0</v>
      </c>
      <c r="BJ76" s="3463">
        <f ca="1">SUM(BH76:BI76)</f>
        <v>0</v>
      </c>
      <c r="BL76" s="3477">
        <f t="shared" ca="1" si="176"/>
        <v>0</v>
      </c>
      <c r="BM76" s="584"/>
      <c r="BN76" s="413"/>
      <c r="BO76" s="2790">
        <f t="shared" ref="BO76:DF76" ca="1" si="184">BO75</f>
        <v>0</v>
      </c>
      <c r="BP76" s="2790">
        <f t="shared" ca="1" si="184"/>
        <v>0</v>
      </c>
      <c r="BQ76" s="2790">
        <f t="shared" ca="1" si="184"/>
        <v>0</v>
      </c>
      <c r="BR76" s="2790">
        <f t="shared" ca="1" si="184"/>
        <v>0</v>
      </c>
      <c r="BS76" s="2790">
        <f t="shared" ca="1" si="184"/>
        <v>0</v>
      </c>
      <c r="BT76" s="2790">
        <f t="shared" ca="1" si="184"/>
        <v>0</v>
      </c>
      <c r="BU76" s="2790">
        <f t="shared" ca="1" si="184"/>
        <v>0</v>
      </c>
      <c r="BV76" s="2790">
        <f t="shared" ca="1" si="184"/>
        <v>0</v>
      </c>
      <c r="BW76" s="2790">
        <f t="shared" ca="1" si="184"/>
        <v>0</v>
      </c>
      <c r="BX76" s="2790">
        <f t="shared" ca="1" si="184"/>
        <v>0</v>
      </c>
      <c r="BY76" s="2790">
        <f t="shared" ca="1" si="184"/>
        <v>0</v>
      </c>
      <c r="BZ76" s="2790">
        <f t="shared" ca="1" si="184"/>
        <v>0</v>
      </c>
      <c r="CA76" s="2790">
        <f t="shared" ca="1" si="184"/>
        <v>0</v>
      </c>
      <c r="CB76" s="2790">
        <f t="shared" ca="1" si="184"/>
        <v>0</v>
      </c>
      <c r="CC76" s="2790">
        <f t="shared" ca="1" si="184"/>
        <v>0</v>
      </c>
      <c r="CD76" s="2790">
        <f t="shared" ca="1" si="184"/>
        <v>0</v>
      </c>
      <c r="CE76" s="2790">
        <f t="shared" ca="1" si="184"/>
        <v>0</v>
      </c>
      <c r="CF76" s="2790">
        <f t="shared" ca="1" si="184"/>
        <v>0</v>
      </c>
      <c r="CG76" s="2790">
        <f t="shared" ca="1" si="184"/>
        <v>0</v>
      </c>
      <c r="CH76" s="2790">
        <f t="shared" ca="1" si="184"/>
        <v>0</v>
      </c>
      <c r="CI76" s="2790">
        <f t="shared" ca="1" si="184"/>
        <v>0</v>
      </c>
      <c r="CJ76" s="2790">
        <f t="shared" ca="1" si="184"/>
        <v>0</v>
      </c>
      <c r="CK76" s="2790">
        <f t="shared" ca="1" si="184"/>
        <v>0</v>
      </c>
      <c r="CL76" s="2790">
        <f t="shared" ca="1" si="184"/>
        <v>0</v>
      </c>
      <c r="CM76" s="2790">
        <f t="shared" ca="1" si="184"/>
        <v>0</v>
      </c>
      <c r="CN76" s="2790">
        <f t="shared" ca="1" si="184"/>
        <v>0</v>
      </c>
      <c r="CO76" s="2790">
        <f t="shared" ca="1" si="184"/>
        <v>0</v>
      </c>
      <c r="CP76" s="2790">
        <f t="shared" ca="1" si="184"/>
        <v>0</v>
      </c>
      <c r="CQ76" s="2790">
        <f t="shared" ca="1" si="184"/>
        <v>0</v>
      </c>
      <c r="CR76" s="2790">
        <f t="shared" ca="1" si="184"/>
        <v>0</v>
      </c>
      <c r="CS76" s="2790">
        <f t="shared" ca="1" si="184"/>
        <v>0</v>
      </c>
      <c r="CT76" s="2790">
        <f t="shared" ca="1" si="184"/>
        <v>0</v>
      </c>
      <c r="CU76" s="2790">
        <f t="shared" ca="1" si="184"/>
        <v>0</v>
      </c>
      <c r="CV76" s="2790">
        <f t="shared" ca="1" si="184"/>
        <v>0</v>
      </c>
      <c r="CW76" s="2790">
        <f t="shared" ca="1" si="184"/>
        <v>0</v>
      </c>
      <c r="CX76" s="2790">
        <f t="shared" ca="1" si="184"/>
        <v>0</v>
      </c>
      <c r="CY76" s="2790">
        <f t="shared" ca="1" si="184"/>
        <v>0</v>
      </c>
      <c r="CZ76" s="2790">
        <f t="shared" ca="1" si="184"/>
        <v>0</v>
      </c>
      <c r="DA76" s="2790">
        <f t="shared" ca="1" si="184"/>
        <v>0</v>
      </c>
      <c r="DB76" s="2790">
        <f t="shared" ca="1" si="184"/>
        <v>0</v>
      </c>
      <c r="DC76" s="2790">
        <f t="shared" ca="1" si="184"/>
        <v>0</v>
      </c>
      <c r="DD76" s="2790">
        <f t="shared" ca="1" si="184"/>
        <v>0</v>
      </c>
      <c r="DE76" s="2790">
        <f t="shared" ca="1" si="184"/>
        <v>0</v>
      </c>
      <c r="DF76" s="2790">
        <f t="shared" ca="1" si="184"/>
        <v>0</v>
      </c>
      <c r="DH76" s="596">
        <f t="shared" ca="1" si="113"/>
        <v>0</v>
      </c>
    </row>
    <row r="77" spans="1:112" s="6" customFormat="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76"/>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13"/>
        <v>0</v>
      </c>
    </row>
    <row r="78" spans="1:112" s="652" customFormat="1">
      <c r="C78" s="667" t="s">
        <v>552</v>
      </c>
      <c r="D78" s="668" t="s">
        <v>547</v>
      </c>
      <c r="E78" s="668"/>
      <c r="F78" s="6"/>
      <c r="G78" s="669"/>
      <c r="H78" s="669"/>
      <c r="I78" s="669"/>
      <c r="J78" s="669"/>
      <c r="K78" s="670"/>
      <c r="L78" s="669"/>
      <c r="M78" s="669"/>
      <c r="N78" s="669"/>
      <c r="O78" s="669"/>
      <c r="P78" s="669"/>
      <c r="Q78" s="669"/>
      <c r="R78" s="6"/>
      <c r="S78" s="671">
        <f ca="1">S$74+S$76</f>
        <v>-24.873360120694059</v>
      </c>
      <c r="T78" s="671">
        <f ca="1">T$74+T$76</f>
        <v>10.822428723217843</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76"/>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13"/>
        <v>0</v>
      </c>
    </row>
    <row r="79" spans="1:112" s="607" customFormat="1">
      <c r="C79" s="587" t="s">
        <v>553</v>
      </c>
      <c r="D79" s="588" t="s">
        <v>554</v>
      </c>
      <c r="E79" s="588"/>
      <c r="F79" s="6"/>
      <c r="G79" s="674">
        <f t="shared" ref="G79:P79" ca="1" si="185">IFERROR(INDEX(INDIRECT($C79&amp;".Outputs["&amp;this.Year&amp;"]"), MATCH(G$5, INDIRECT($C79&amp;".Outputs[Vector]"), 0)), 0)</f>
        <v>0</v>
      </c>
      <c r="H79" s="674">
        <f t="shared" ca="1" si="185"/>
        <v>0</v>
      </c>
      <c r="I79" s="674">
        <f t="shared" ca="1" si="185"/>
        <v>0</v>
      </c>
      <c r="J79" s="674">
        <f t="shared" ca="1" si="185"/>
        <v>0</v>
      </c>
      <c r="K79" s="674">
        <f t="shared" ca="1" si="185"/>
        <v>0</v>
      </c>
      <c r="L79" s="674">
        <f t="shared" ca="1" si="185"/>
        <v>0</v>
      </c>
      <c r="M79" s="674">
        <f t="shared" ca="1" si="185"/>
        <v>0</v>
      </c>
      <c r="N79" s="674">
        <f t="shared" ca="1" si="185"/>
        <v>0</v>
      </c>
      <c r="O79" s="674">
        <f t="shared" ca="1" si="185"/>
        <v>0</v>
      </c>
      <c r="P79" s="674">
        <f t="shared" ca="1" si="185"/>
        <v>0</v>
      </c>
      <c r="Q79" s="675">
        <f ca="1">SUM(G79:P79)</f>
        <v>0</v>
      </c>
      <c r="R79" s="6"/>
      <c r="S79" s="676">
        <f t="shared" ref="S79:AJ79" ca="1" si="186">IFERROR(INDEX(INDIRECT($C79&amp;".Outputs["&amp;this.Year&amp;"]"), MATCH(S$5, INDIRECT($C79&amp;".Outputs[Vector]"), 0)), 0)</f>
        <v>0</v>
      </c>
      <c r="T79" s="676">
        <f t="shared" ca="1" si="186"/>
        <v>0</v>
      </c>
      <c r="U79" s="676">
        <f t="shared" ca="1" si="186"/>
        <v>0</v>
      </c>
      <c r="V79" s="676">
        <f t="shared" ca="1" si="186"/>
        <v>0</v>
      </c>
      <c r="W79" s="676">
        <f t="shared" ca="1" si="186"/>
        <v>0</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186"/>
        <v>0</v>
      </c>
      <c r="AB79" s="676">
        <f t="shared" ca="1" si="186"/>
        <v>0</v>
      </c>
      <c r="AC79" s="676">
        <f t="shared" ca="1" si="186"/>
        <v>0</v>
      </c>
      <c r="AD79" s="676">
        <f t="shared" ca="1" si="186"/>
        <v>0</v>
      </c>
      <c r="AE79" s="676">
        <f t="shared" ca="1" si="186"/>
        <v>0</v>
      </c>
      <c r="AF79" s="676">
        <f t="shared" ca="1" si="186"/>
        <v>0</v>
      </c>
      <c r="AG79" s="676">
        <f t="shared" ca="1" si="186"/>
        <v>0</v>
      </c>
      <c r="AH79" s="676">
        <f t="shared" ca="1" si="186"/>
        <v>0</v>
      </c>
      <c r="AI79" s="676">
        <f t="shared" ca="1" si="186"/>
        <v>0</v>
      </c>
      <c r="AJ79" s="676">
        <f t="shared" ca="1" si="186"/>
        <v>0</v>
      </c>
      <c r="AK79" s="677">
        <f ca="1">SUM(S79:AJ79)</f>
        <v>0</v>
      </c>
      <c r="AL79" s="6"/>
      <c r="AM79" s="678">
        <f t="shared" ref="AM79:BE79" ca="1" si="187">IFERROR(INDEX(INDIRECT($C79&amp;".Outputs["&amp;this.Year&amp;"]"), MATCH(AM$5, INDIRECT($C79&amp;".Outputs[Vector]"), 0)), 0)</f>
        <v>0</v>
      </c>
      <c r="AN79" s="678">
        <f t="shared" ca="1" si="187"/>
        <v>0</v>
      </c>
      <c r="AO79" s="678">
        <f t="shared" ca="1" si="187"/>
        <v>0</v>
      </c>
      <c r="AP79" s="678">
        <f t="shared" ca="1" si="187"/>
        <v>0</v>
      </c>
      <c r="AQ79" s="678">
        <f t="shared" ca="1" si="187"/>
        <v>0</v>
      </c>
      <c r="AR79" s="678">
        <f t="shared" ca="1" si="187"/>
        <v>0</v>
      </c>
      <c r="AS79" s="678">
        <f t="shared" ca="1" si="187"/>
        <v>0</v>
      </c>
      <c r="AT79" s="678">
        <f t="shared" ca="1" si="187"/>
        <v>0</v>
      </c>
      <c r="AU79" s="678">
        <f t="shared" ca="1" si="187"/>
        <v>0</v>
      </c>
      <c r="AV79" s="678">
        <f t="shared" ca="1" si="187"/>
        <v>0</v>
      </c>
      <c r="AW79" s="678">
        <f t="shared" ca="1" si="187"/>
        <v>0</v>
      </c>
      <c r="AX79" s="678">
        <f t="shared" ca="1" si="187"/>
        <v>0</v>
      </c>
      <c r="AY79" s="678">
        <f t="shared" ca="1" si="187"/>
        <v>0</v>
      </c>
      <c r="AZ79" s="678">
        <f t="shared" ca="1" si="187"/>
        <v>0</v>
      </c>
      <c r="BA79" s="678">
        <f t="shared" ca="1" si="187"/>
        <v>0</v>
      </c>
      <c r="BB79" s="678">
        <f t="shared" ca="1" si="187"/>
        <v>0</v>
      </c>
      <c r="BC79" s="678">
        <f t="shared" ca="1" si="187"/>
        <v>0</v>
      </c>
      <c r="BD79" s="678">
        <f t="shared" ca="1" si="187"/>
        <v>0</v>
      </c>
      <c r="BE79" s="678">
        <f t="shared" ca="1" si="187"/>
        <v>0</v>
      </c>
      <c r="BF79" s="679">
        <f ca="1">SUM(AM79:BE79)</f>
        <v>0</v>
      </c>
      <c r="BG79" s="6"/>
      <c r="BH79" s="3475">
        <f ca="1">IFERROR(INDEX(INDIRECT($C79&amp;".Outputs["&amp;this.Year&amp;"]"), MATCH(BH$5, INDIRECT($C79&amp;".Outputs[Vector]"), 0)), 0)</f>
        <v>0</v>
      </c>
      <c r="BI79" s="3475">
        <f ca="1">IFERROR(INDEX(INDIRECT($C79&amp;".Outputs["&amp;this.Year&amp;"]"), MATCH(BI$5, INDIRECT($C79&amp;".Outputs[Vector]"), 0)), 0)</f>
        <v>0</v>
      </c>
      <c r="BJ79" s="3466">
        <f ca="1">SUM(BH79:BI79)</f>
        <v>0</v>
      </c>
      <c r="BK79" s="6"/>
      <c r="BL79" s="610">
        <f t="shared" ca="1" si="176"/>
        <v>0</v>
      </c>
      <c r="BM79" s="610"/>
      <c r="BN79" s="413"/>
      <c r="BO79" s="2789">
        <f t="shared" ref="BO79:DF79" ca="1" si="188">IFERROR(SUMIFS(INDIRECT($C79&amp;".Emissions["&amp;this.Year&amp;"]"), INDIRECT($C79&amp;".Emissions[GHG]"), BO$6, INDIRECT($C79&amp;".Emissions[IPCC Sector]"), BO$5),0)</f>
        <v>0</v>
      </c>
      <c r="BP79" s="2790">
        <f t="shared" ca="1" si="188"/>
        <v>0</v>
      </c>
      <c r="BQ79" s="2790">
        <f t="shared" ca="1" si="188"/>
        <v>0</v>
      </c>
      <c r="BR79" s="2790">
        <f t="shared" ca="1" si="188"/>
        <v>0</v>
      </c>
      <c r="BS79" s="2790">
        <f t="shared" ca="1" si="188"/>
        <v>0</v>
      </c>
      <c r="BT79" s="2790">
        <f t="shared" ca="1" si="188"/>
        <v>0</v>
      </c>
      <c r="BU79" s="2790">
        <f t="shared" ca="1" si="188"/>
        <v>0</v>
      </c>
      <c r="BV79" s="2790">
        <f t="shared" ca="1" si="188"/>
        <v>0</v>
      </c>
      <c r="BW79" s="2790">
        <f t="shared" ca="1" si="188"/>
        <v>0</v>
      </c>
      <c r="BX79" s="2790">
        <f t="shared" ca="1" si="188"/>
        <v>0</v>
      </c>
      <c r="BY79" s="2790">
        <f t="shared" ca="1" si="188"/>
        <v>0</v>
      </c>
      <c r="BZ79" s="2790">
        <f t="shared" ca="1" si="188"/>
        <v>0</v>
      </c>
      <c r="CA79" s="2790">
        <f t="shared" ca="1" si="188"/>
        <v>0</v>
      </c>
      <c r="CB79" s="2790">
        <f t="shared" ca="1" si="188"/>
        <v>0</v>
      </c>
      <c r="CC79" s="2790">
        <f t="shared" ca="1" si="188"/>
        <v>0</v>
      </c>
      <c r="CD79" s="2790">
        <f t="shared" ca="1" si="188"/>
        <v>0</v>
      </c>
      <c r="CE79" s="2790">
        <f t="shared" ca="1" si="188"/>
        <v>0</v>
      </c>
      <c r="CF79" s="2790">
        <f t="shared" ca="1" si="188"/>
        <v>0</v>
      </c>
      <c r="CG79" s="2790">
        <f t="shared" ca="1" si="188"/>
        <v>0</v>
      </c>
      <c r="CH79" s="2790">
        <f t="shared" ca="1" si="188"/>
        <v>0</v>
      </c>
      <c r="CI79" s="2790">
        <f t="shared" ca="1" si="188"/>
        <v>0</v>
      </c>
      <c r="CJ79" s="2790">
        <f t="shared" ca="1" si="188"/>
        <v>0</v>
      </c>
      <c r="CK79" s="2790">
        <f t="shared" ca="1" si="188"/>
        <v>0</v>
      </c>
      <c r="CL79" s="2790">
        <f t="shared" ca="1" si="188"/>
        <v>0</v>
      </c>
      <c r="CM79" s="2790">
        <f t="shared" ca="1" si="188"/>
        <v>0</v>
      </c>
      <c r="CN79" s="2790">
        <f t="shared" ca="1" si="188"/>
        <v>0</v>
      </c>
      <c r="CO79" s="2790">
        <f t="shared" ca="1" si="188"/>
        <v>0</v>
      </c>
      <c r="CP79" s="2790">
        <f t="shared" ca="1" si="188"/>
        <v>0</v>
      </c>
      <c r="CQ79" s="2790">
        <f t="shared" ca="1" si="188"/>
        <v>0</v>
      </c>
      <c r="CR79" s="2790">
        <f t="shared" ca="1" si="188"/>
        <v>0</v>
      </c>
      <c r="CS79" s="2790">
        <f t="shared" ca="1" si="188"/>
        <v>0</v>
      </c>
      <c r="CT79" s="2790">
        <f t="shared" ca="1" si="188"/>
        <v>0</v>
      </c>
      <c r="CU79" s="2790">
        <f t="shared" ca="1" si="188"/>
        <v>0</v>
      </c>
      <c r="CV79" s="2790">
        <f t="shared" ca="1" si="188"/>
        <v>0</v>
      </c>
      <c r="CW79" s="2790">
        <f t="shared" ca="1" si="188"/>
        <v>0</v>
      </c>
      <c r="CX79" s="2790">
        <f t="shared" ca="1" si="188"/>
        <v>0</v>
      </c>
      <c r="CY79" s="2790">
        <f t="shared" ca="1" si="188"/>
        <v>0</v>
      </c>
      <c r="CZ79" s="2790">
        <f t="shared" ca="1" si="188"/>
        <v>0</v>
      </c>
      <c r="DA79" s="2790">
        <f t="shared" ca="1" si="188"/>
        <v>0</v>
      </c>
      <c r="DB79" s="2790">
        <f t="shared" ca="1" si="188"/>
        <v>0</v>
      </c>
      <c r="DC79" s="2790">
        <f t="shared" ca="1" si="188"/>
        <v>0</v>
      </c>
      <c r="DD79" s="2790">
        <f t="shared" ca="1" si="188"/>
        <v>0</v>
      </c>
      <c r="DE79" s="2790">
        <f t="shared" ca="1" si="188"/>
        <v>0</v>
      </c>
      <c r="DF79" s="2790">
        <f t="shared" ca="1" si="188"/>
        <v>0</v>
      </c>
      <c r="DH79" s="596">
        <f t="shared" ca="1" si="113"/>
        <v>0</v>
      </c>
    </row>
    <row r="80" spans="1:112" s="639" customFormat="1">
      <c r="C80" s="640" t="s">
        <v>555</v>
      </c>
      <c r="D80" s="668" t="s">
        <v>547</v>
      </c>
      <c r="E80" s="641"/>
      <c r="F80" s="642"/>
      <c r="G80" s="643"/>
      <c r="H80" s="643"/>
      <c r="I80" s="643"/>
      <c r="J80" s="643"/>
      <c r="K80" s="644"/>
      <c r="L80" s="643"/>
      <c r="M80" s="643"/>
      <c r="N80" s="643"/>
      <c r="O80" s="643"/>
      <c r="P80" s="643"/>
      <c r="Q80" s="643"/>
      <c r="R80" s="642"/>
      <c r="S80" s="645">
        <f ca="1">S78+S79</f>
        <v>-24.873360120694059</v>
      </c>
      <c r="T80" s="645">
        <f ca="1">T78+T79</f>
        <v>10.822428723217843</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76"/>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13"/>
        <v>0</v>
      </c>
    </row>
    <row r="81" spans="1:112" s="607" customFormat="1">
      <c r="C81" s="587" t="s">
        <v>556</v>
      </c>
      <c r="D81" s="588" t="s">
        <v>557</v>
      </c>
      <c r="E81" s="588"/>
      <c r="F81" s="6"/>
      <c r="G81" s="619">
        <f t="shared" ref="G81:P81" ca="1" si="189">IFERROR(INDEX(INDIRECT($C81&amp;".Outputs["&amp;this.Year&amp;"]"), MATCH(G$5, INDIRECT($C81&amp;".Outputs[Vector]"), 0)), 0)</f>
        <v>0</v>
      </c>
      <c r="H81" s="619">
        <f t="shared" ca="1" si="189"/>
        <v>0</v>
      </c>
      <c r="I81" s="619">
        <f t="shared" ca="1" si="189"/>
        <v>0</v>
      </c>
      <c r="J81" s="619">
        <f t="shared" ca="1" si="189"/>
        <v>0</v>
      </c>
      <c r="K81" s="619">
        <f t="shared" ca="1" si="189"/>
        <v>0</v>
      </c>
      <c r="L81" s="619">
        <f t="shared" ca="1" si="189"/>
        <v>0</v>
      </c>
      <c r="M81" s="619">
        <f t="shared" ca="1" si="189"/>
        <v>0</v>
      </c>
      <c r="N81" s="619">
        <f t="shared" ca="1" si="189"/>
        <v>0</v>
      </c>
      <c r="O81" s="619">
        <f t="shared" ca="1" si="189"/>
        <v>0</v>
      </c>
      <c r="P81" s="619">
        <f t="shared" ca="1" si="189"/>
        <v>0</v>
      </c>
      <c r="Q81" s="612">
        <f ca="1">SUM(G81:P81)</f>
        <v>0</v>
      </c>
      <c r="R81" s="6"/>
      <c r="S81" s="620">
        <f t="shared" ref="S81:AJ81" ca="1" si="190">IFERROR(INDEX(INDIRECT($C81&amp;".Outputs["&amp;this.Year&amp;"]"), MATCH(S$5, INDIRECT($C81&amp;".Outputs[Vector]"), 0)), 0)</f>
        <v>0</v>
      </c>
      <c r="T81" s="620">
        <f t="shared" ca="1" si="190"/>
        <v>14.050931397476216</v>
      </c>
      <c r="U81" s="620">
        <f t="shared" ca="1" si="190"/>
        <v>-13.041880794577088</v>
      </c>
      <c r="V81" s="620">
        <f t="shared" ca="1" si="190"/>
        <v>0</v>
      </c>
      <c r="W81" s="620">
        <f t="shared" ca="1" si="190"/>
        <v>-17.839288759972622</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190"/>
        <v>0</v>
      </c>
      <c r="AB81" s="620">
        <f t="shared" ca="1" si="190"/>
        <v>0</v>
      </c>
      <c r="AC81" s="620">
        <f t="shared" ca="1" si="190"/>
        <v>0</v>
      </c>
      <c r="AD81" s="620">
        <f t="shared" ca="1" si="190"/>
        <v>0</v>
      </c>
      <c r="AE81" s="620">
        <f t="shared" ca="1" si="190"/>
        <v>0</v>
      </c>
      <c r="AF81" s="620">
        <f t="shared" ca="1" si="190"/>
        <v>0</v>
      </c>
      <c r="AG81" s="620">
        <f t="shared" ca="1" si="190"/>
        <v>0</v>
      </c>
      <c r="AH81" s="620">
        <f t="shared" ca="1" si="190"/>
        <v>0</v>
      </c>
      <c r="AI81" s="620">
        <f t="shared" ca="1" si="190"/>
        <v>0</v>
      </c>
      <c r="AJ81" s="620">
        <f t="shared" ca="1" si="190"/>
        <v>0</v>
      </c>
      <c r="AK81" s="613">
        <f ca="1">SUM(S81:AJ81)</f>
        <v>-16.830238157073495</v>
      </c>
      <c r="AL81" s="6"/>
      <c r="AM81" s="621">
        <f t="shared" ref="AM81:BE81" ca="1" si="191">IFERROR(INDEX(INDIRECT($C81&amp;".Outputs["&amp;this.Year&amp;"]"), MATCH(AM$5, INDIRECT($C81&amp;".Outputs[Vector]"), 0)), 0)</f>
        <v>0</v>
      </c>
      <c r="AN81" s="621">
        <f t="shared" ca="1" si="191"/>
        <v>0</v>
      </c>
      <c r="AO81" s="621">
        <f t="shared" ca="1" si="191"/>
        <v>0</v>
      </c>
      <c r="AP81" s="621">
        <f t="shared" ca="1" si="191"/>
        <v>0</v>
      </c>
      <c r="AQ81" s="621">
        <f t="shared" ca="1" si="191"/>
        <v>0</v>
      </c>
      <c r="AR81" s="621">
        <f t="shared" ca="1" si="191"/>
        <v>0</v>
      </c>
      <c r="AS81" s="621">
        <f t="shared" ca="1" si="191"/>
        <v>0</v>
      </c>
      <c r="AT81" s="621">
        <f t="shared" ca="1" si="191"/>
        <v>0</v>
      </c>
      <c r="AU81" s="621">
        <f t="shared" ca="1" si="191"/>
        <v>0</v>
      </c>
      <c r="AV81" s="621">
        <f t="shared" ca="1" si="191"/>
        <v>0</v>
      </c>
      <c r="AW81" s="621">
        <f t="shared" ca="1" si="191"/>
        <v>0</v>
      </c>
      <c r="AX81" s="621">
        <f t="shared" ca="1" si="191"/>
        <v>0</v>
      </c>
      <c r="AY81" s="621">
        <f t="shared" ca="1" si="191"/>
        <v>0</v>
      </c>
      <c r="AZ81" s="621">
        <f t="shared" ca="1" si="191"/>
        <v>0</v>
      </c>
      <c r="BA81" s="621">
        <f t="shared" ca="1" si="191"/>
        <v>0</v>
      </c>
      <c r="BB81" s="621">
        <f t="shared" ca="1" si="191"/>
        <v>0</v>
      </c>
      <c r="BC81" s="621">
        <f t="shared" ca="1" si="191"/>
        <v>0</v>
      </c>
      <c r="BD81" s="621">
        <f t="shared" ca="1" si="191"/>
        <v>0</v>
      </c>
      <c r="BE81" s="621">
        <f t="shared" ca="1" si="191"/>
        <v>0</v>
      </c>
      <c r="BF81" s="615">
        <f ca="1">SUM(AM81:BE81)</f>
        <v>0</v>
      </c>
      <c r="BG81" s="6"/>
      <c r="BH81" s="3473">
        <f ca="1">IFERROR(INDEX(INDIRECT($C81&amp;".Outputs["&amp;this.Year&amp;"]"), MATCH(BH$5, INDIRECT($C81&amp;".Outputs[Vector]"), 0)), 0)</f>
        <v>16.504902458462784</v>
      </c>
      <c r="BI81" s="3473">
        <f ca="1">IFERROR(INDEX(INDIRECT($C81&amp;".Outputs["&amp;this.Year&amp;"]"), MATCH(BI$5, INDIRECT($C81&amp;".Outputs[Vector]"), 0)), 0)</f>
        <v>0.32533569861070855</v>
      </c>
      <c r="BJ81" s="3462">
        <f ca="1">SUM(BH81:BI81)</f>
        <v>16.830238157073492</v>
      </c>
      <c r="BK81" s="6"/>
      <c r="BL81" s="610">
        <f t="shared" ca="1" si="176"/>
        <v>0</v>
      </c>
      <c r="BM81" s="610"/>
      <c r="BN81" s="413"/>
      <c r="BO81" s="2791">
        <f t="shared" ref="BO81:DF81" ca="1" si="192">IFERROR(SUMIFS(INDIRECT($C81&amp;".Emissions["&amp;this.Year&amp;"]"), INDIRECT($C81&amp;".Emissions[GHG]"), BO$6, INDIRECT($C81&amp;".Emissions[IPCC Sector]"), BO$5),0)</f>
        <v>8.2754732511860816</v>
      </c>
      <c r="BP81" s="2792">
        <f t="shared" ca="1" si="192"/>
        <v>2.1078441950678518E-3</v>
      </c>
      <c r="BQ81" s="2792">
        <f t="shared" ca="1" si="192"/>
        <v>6.5740180574486815E-2</v>
      </c>
      <c r="BR81" s="2792">
        <f t="shared" ca="1" si="192"/>
        <v>0</v>
      </c>
      <c r="BS81" s="2792">
        <f t="shared" ca="1" si="192"/>
        <v>0</v>
      </c>
      <c r="BT81" s="2792">
        <f t="shared" ca="1" si="192"/>
        <v>0</v>
      </c>
      <c r="BU81" s="2792">
        <f t="shared" ca="1" si="192"/>
        <v>0</v>
      </c>
      <c r="BV81" s="2792">
        <f t="shared" ca="1" si="192"/>
        <v>0</v>
      </c>
      <c r="BW81" s="2792">
        <f t="shared" ca="1" si="192"/>
        <v>0</v>
      </c>
      <c r="BX81" s="2792">
        <f t="shared" ca="1" si="192"/>
        <v>0</v>
      </c>
      <c r="BY81" s="2792">
        <f t="shared" ca="1" si="192"/>
        <v>0</v>
      </c>
      <c r="BZ81" s="2792">
        <f t="shared" ca="1" si="192"/>
        <v>0</v>
      </c>
      <c r="CA81" s="2792">
        <f t="shared" ca="1" si="192"/>
        <v>0</v>
      </c>
      <c r="CB81" s="2792">
        <f t="shared" ca="1" si="192"/>
        <v>0</v>
      </c>
      <c r="CC81" s="2792">
        <f t="shared" ca="1" si="192"/>
        <v>0</v>
      </c>
      <c r="CD81" s="2792">
        <f t="shared" ca="1" si="192"/>
        <v>0</v>
      </c>
      <c r="CE81" s="2792">
        <f t="shared" ca="1" si="192"/>
        <v>0</v>
      </c>
      <c r="CF81" s="2792">
        <f t="shared" ca="1" si="192"/>
        <v>0</v>
      </c>
      <c r="CG81" s="2792">
        <f t="shared" ca="1" si="192"/>
        <v>0</v>
      </c>
      <c r="CH81" s="2792">
        <f t="shared" ca="1" si="192"/>
        <v>0</v>
      </c>
      <c r="CI81" s="2792">
        <f t="shared" ca="1" si="192"/>
        <v>0</v>
      </c>
      <c r="CJ81" s="2792">
        <f t="shared" ca="1" si="192"/>
        <v>0</v>
      </c>
      <c r="CK81" s="2792">
        <f t="shared" ca="1" si="192"/>
        <v>0</v>
      </c>
      <c r="CL81" s="2792">
        <f t="shared" ca="1" si="192"/>
        <v>0</v>
      </c>
      <c r="CM81" s="2792">
        <f t="shared" ca="1" si="192"/>
        <v>0</v>
      </c>
      <c r="CN81" s="2792">
        <f t="shared" ca="1" si="192"/>
        <v>0</v>
      </c>
      <c r="CO81" s="2792">
        <f t="shared" ca="1" si="192"/>
        <v>0</v>
      </c>
      <c r="CP81" s="2792">
        <f t="shared" ca="1" si="192"/>
        <v>0</v>
      </c>
      <c r="CQ81" s="2792">
        <f t="shared" ca="1" si="192"/>
        <v>0</v>
      </c>
      <c r="CR81" s="2792">
        <f t="shared" ca="1" si="192"/>
        <v>0</v>
      </c>
      <c r="CS81" s="2792">
        <f t="shared" ca="1" si="192"/>
        <v>0</v>
      </c>
      <c r="CT81" s="2792">
        <f t="shared" ca="1" si="192"/>
        <v>0</v>
      </c>
      <c r="CU81" s="2792">
        <f t="shared" ca="1" si="192"/>
        <v>0</v>
      </c>
      <c r="CV81" s="2792">
        <f t="shared" ca="1" si="192"/>
        <v>0</v>
      </c>
      <c r="CW81" s="2792">
        <f t="shared" ca="1" si="192"/>
        <v>0</v>
      </c>
      <c r="CX81" s="2792">
        <f t="shared" ca="1" si="192"/>
        <v>0</v>
      </c>
      <c r="CY81" s="2792">
        <f t="shared" ca="1" si="192"/>
        <v>0</v>
      </c>
      <c r="CZ81" s="2792">
        <f t="shared" ca="1" si="192"/>
        <v>0</v>
      </c>
      <c r="DA81" s="2792">
        <f t="shared" ca="1" si="192"/>
        <v>0</v>
      </c>
      <c r="DB81" s="2792">
        <f t="shared" ca="1" si="192"/>
        <v>0</v>
      </c>
      <c r="DC81" s="2792">
        <f t="shared" ca="1" si="192"/>
        <v>0</v>
      </c>
      <c r="DD81" s="2792">
        <f t="shared" ca="1" si="192"/>
        <v>0</v>
      </c>
      <c r="DE81" s="2792">
        <f t="shared" ca="1" si="192"/>
        <v>0</v>
      </c>
      <c r="DF81" s="2792">
        <f t="shared" ca="1" si="192"/>
        <v>0</v>
      </c>
      <c r="DH81" s="596">
        <f t="shared" ca="1" si="113"/>
        <v>8.3433212759556366</v>
      </c>
    </row>
    <row r="82" spans="1:112" s="6" customFormat="1" ht="15.75">
      <c r="A82" s="4"/>
      <c r="B82" s="3"/>
      <c r="C82" s="616" t="s">
        <v>558</v>
      </c>
      <c r="D82" s="617" t="s">
        <v>559</v>
      </c>
      <c r="E82" s="206"/>
      <c r="G82" s="618">
        <f t="shared" ref="G82:P82" ca="1" si="193">G79+G81</f>
        <v>0</v>
      </c>
      <c r="H82" s="618">
        <f t="shared" ca="1" si="193"/>
        <v>0</v>
      </c>
      <c r="I82" s="618">
        <f t="shared" ca="1" si="193"/>
        <v>0</v>
      </c>
      <c r="J82" s="618">
        <f t="shared" ca="1" si="193"/>
        <v>0</v>
      </c>
      <c r="K82" s="618">
        <f t="shared" ca="1" si="193"/>
        <v>0</v>
      </c>
      <c r="L82" s="618">
        <f t="shared" ca="1" si="193"/>
        <v>0</v>
      </c>
      <c r="M82" s="618">
        <f t="shared" ca="1" si="193"/>
        <v>0</v>
      </c>
      <c r="N82" s="618">
        <f t="shared" ca="1" si="193"/>
        <v>0</v>
      </c>
      <c r="O82" s="618">
        <f t="shared" ca="1" si="193"/>
        <v>0</v>
      </c>
      <c r="P82" s="618">
        <f t="shared" ca="1" si="193"/>
        <v>0</v>
      </c>
      <c r="Q82" s="618">
        <f ca="1">SUM(G82:P82)</f>
        <v>0</v>
      </c>
      <c r="S82" s="581">
        <f t="shared" ref="S82:AJ82" ca="1" si="194">S79+S81</f>
        <v>0</v>
      </c>
      <c r="T82" s="581">
        <f t="shared" ca="1" si="194"/>
        <v>14.050931397476216</v>
      </c>
      <c r="U82" s="581">
        <f t="shared" ca="1" si="194"/>
        <v>-13.041880794577088</v>
      </c>
      <c r="V82" s="581">
        <f t="shared" ca="1" si="194"/>
        <v>0</v>
      </c>
      <c r="W82" s="581">
        <f t="shared" ca="1" si="194"/>
        <v>-17.839288759972622</v>
      </c>
      <c r="X82" s="581">
        <f t="shared" ca="1" si="194"/>
        <v>0</v>
      </c>
      <c r="Y82" s="581">
        <f t="shared" ca="1" si="194"/>
        <v>0</v>
      </c>
      <c r="Z82" s="581">
        <f t="shared" ca="1" si="194"/>
        <v>0</v>
      </c>
      <c r="AA82" s="581">
        <f t="shared" ca="1" si="194"/>
        <v>0</v>
      </c>
      <c r="AB82" s="581">
        <f t="shared" ca="1" si="194"/>
        <v>0</v>
      </c>
      <c r="AC82" s="581">
        <f t="shared" ca="1" si="194"/>
        <v>0</v>
      </c>
      <c r="AD82" s="581">
        <f ca="1">AD79+AD81</f>
        <v>0</v>
      </c>
      <c r="AE82" s="581">
        <f ca="1">AE79+AE81</f>
        <v>0</v>
      </c>
      <c r="AF82" s="581">
        <f t="shared" ca="1" si="194"/>
        <v>0</v>
      </c>
      <c r="AG82" s="581">
        <f t="shared" ca="1" si="194"/>
        <v>0</v>
      </c>
      <c r="AH82" s="581">
        <f ca="1">AH79+AH81</f>
        <v>0</v>
      </c>
      <c r="AI82" s="581">
        <f t="shared" ca="1" si="194"/>
        <v>0</v>
      </c>
      <c r="AJ82" s="581">
        <f t="shared" ca="1" si="194"/>
        <v>0</v>
      </c>
      <c r="AK82" s="581">
        <f ca="1">SUM(S82:AJ82)</f>
        <v>-16.830238157073495</v>
      </c>
      <c r="AM82" s="582">
        <f t="shared" ref="AM82:BE82" ca="1" si="195">AM79+AM81</f>
        <v>0</v>
      </c>
      <c r="AN82" s="582">
        <f t="shared" ca="1" si="195"/>
        <v>0</v>
      </c>
      <c r="AO82" s="582">
        <f t="shared" ca="1" si="195"/>
        <v>0</v>
      </c>
      <c r="AP82" s="582">
        <f t="shared" ca="1" si="195"/>
        <v>0</v>
      </c>
      <c r="AQ82" s="582">
        <f t="shared" ca="1" si="195"/>
        <v>0</v>
      </c>
      <c r="AR82" s="582">
        <f t="shared" ca="1" si="195"/>
        <v>0</v>
      </c>
      <c r="AS82" s="582">
        <f t="shared" ca="1" si="195"/>
        <v>0</v>
      </c>
      <c r="AT82" s="582">
        <f t="shared" ca="1" si="195"/>
        <v>0</v>
      </c>
      <c r="AU82" s="582">
        <f t="shared" ca="1" si="195"/>
        <v>0</v>
      </c>
      <c r="AV82" s="582">
        <f t="shared" ca="1" si="195"/>
        <v>0</v>
      </c>
      <c r="AW82" s="582">
        <f t="shared" ca="1" si="195"/>
        <v>0</v>
      </c>
      <c r="AX82" s="582">
        <f t="shared" ca="1" si="195"/>
        <v>0</v>
      </c>
      <c r="AY82" s="582">
        <f t="shared" ca="1" si="195"/>
        <v>0</v>
      </c>
      <c r="AZ82" s="582">
        <f t="shared" ca="1" si="195"/>
        <v>0</v>
      </c>
      <c r="BA82" s="582">
        <f t="shared" ca="1" si="195"/>
        <v>0</v>
      </c>
      <c r="BB82" s="582">
        <f t="shared" ca="1" si="195"/>
        <v>0</v>
      </c>
      <c r="BC82" s="582">
        <f t="shared" ca="1" si="195"/>
        <v>0</v>
      </c>
      <c r="BD82" s="582">
        <f t="shared" ca="1" si="195"/>
        <v>0</v>
      </c>
      <c r="BE82" s="582">
        <f t="shared" ca="1" si="195"/>
        <v>0</v>
      </c>
      <c r="BF82" s="582">
        <f ca="1">SUM(AM82:BE82)</f>
        <v>0</v>
      </c>
      <c r="BH82" s="3463">
        <f ca="1">BH79+BH81</f>
        <v>16.504902458462784</v>
      </c>
      <c r="BI82" s="3463">
        <f ca="1">BI79+BI81</f>
        <v>0.32533569861070855</v>
      </c>
      <c r="BJ82" s="3463">
        <f ca="1">SUM(BH82:BI82)</f>
        <v>16.830238157073492</v>
      </c>
      <c r="BL82" s="3477">
        <f t="shared" ca="1" si="176"/>
        <v>0</v>
      </c>
      <c r="BM82" s="584"/>
      <c r="BN82" s="413"/>
      <c r="BO82" s="2790">
        <f t="shared" ref="BO82:DF82" ca="1" si="196">BO79+BO81</f>
        <v>8.2754732511860816</v>
      </c>
      <c r="BP82" s="2790">
        <f t="shared" ca="1" si="196"/>
        <v>2.1078441950678518E-3</v>
      </c>
      <c r="BQ82" s="2790">
        <f t="shared" ca="1" si="196"/>
        <v>6.5740180574486815E-2</v>
      </c>
      <c r="BR82" s="2790">
        <f t="shared" ca="1" si="196"/>
        <v>0</v>
      </c>
      <c r="BS82" s="2790">
        <f t="shared" ca="1" si="196"/>
        <v>0</v>
      </c>
      <c r="BT82" s="2790">
        <f t="shared" ca="1" si="196"/>
        <v>0</v>
      </c>
      <c r="BU82" s="2790">
        <f t="shared" ca="1" si="196"/>
        <v>0</v>
      </c>
      <c r="BV82" s="2790">
        <f t="shared" ca="1" si="196"/>
        <v>0</v>
      </c>
      <c r="BW82" s="2790">
        <f t="shared" ca="1" si="196"/>
        <v>0</v>
      </c>
      <c r="BX82" s="2790">
        <f t="shared" ca="1" si="196"/>
        <v>0</v>
      </c>
      <c r="BY82" s="2790">
        <f t="shared" ca="1" si="196"/>
        <v>0</v>
      </c>
      <c r="BZ82" s="2790">
        <f t="shared" ca="1" si="196"/>
        <v>0</v>
      </c>
      <c r="CA82" s="2790">
        <f t="shared" ca="1" si="196"/>
        <v>0</v>
      </c>
      <c r="CB82" s="2790">
        <f t="shared" ca="1" si="196"/>
        <v>0</v>
      </c>
      <c r="CC82" s="2790">
        <f t="shared" ca="1" si="196"/>
        <v>0</v>
      </c>
      <c r="CD82" s="2790">
        <f t="shared" ca="1" si="196"/>
        <v>0</v>
      </c>
      <c r="CE82" s="2790">
        <f t="shared" ca="1" si="196"/>
        <v>0</v>
      </c>
      <c r="CF82" s="2790">
        <f t="shared" ca="1" si="196"/>
        <v>0</v>
      </c>
      <c r="CG82" s="2790">
        <f t="shared" ca="1" si="196"/>
        <v>0</v>
      </c>
      <c r="CH82" s="2790">
        <f t="shared" ca="1" si="196"/>
        <v>0</v>
      </c>
      <c r="CI82" s="2790">
        <f t="shared" ca="1" si="196"/>
        <v>0</v>
      </c>
      <c r="CJ82" s="2790">
        <f t="shared" ca="1" si="196"/>
        <v>0</v>
      </c>
      <c r="CK82" s="2790">
        <f t="shared" ca="1" si="196"/>
        <v>0</v>
      </c>
      <c r="CL82" s="2790">
        <f t="shared" ca="1" si="196"/>
        <v>0</v>
      </c>
      <c r="CM82" s="2790">
        <f t="shared" ca="1" si="196"/>
        <v>0</v>
      </c>
      <c r="CN82" s="2790">
        <f t="shared" ca="1" si="196"/>
        <v>0</v>
      </c>
      <c r="CO82" s="2790">
        <f t="shared" ca="1" si="196"/>
        <v>0</v>
      </c>
      <c r="CP82" s="2790">
        <f t="shared" ca="1" si="196"/>
        <v>0</v>
      </c>
      <c r="CQ82" s="2790">
        <f t="shared" ca="1" si="196"/>
        <v>0</v>
      </c>
      <c r="CR82" s="2790">
        <f t="shared" ca="1" si="196"/>
        <v>0</v>
      </c>
      <c r="CS82" s="2790">
        <f t="shared" ca="1" si="196"/>
        <v>0</v>
      </c>
      <c r="CT82" s="2790">
        <f t="shared" ca="1" si="196"/>
        <v>0</v>
      </c>
      <c r="CU82" s="2790">
        <f t="shared" ca="1" si="196"/>
        <v>0</v>
      </c>
      <c r="CV82" s="2790">
        <f t="shared" ca="1" si="196"/>
        <v>0</v>
      </c>
      <c r="CW82" s="2790">
        <f t="shared" ca="1" si="196"/>
        <v>0</v>
      </c>
      <c r="CX82" s="2790">
        <f t="shared" ca="1" si="196"/>
        <v>0</v>
      </c>
      <c r="CY82" s="2790">
        <f t="shared" ca="1" si="196"/>
        <v>0</v>
      </c>
      <c r="CZ82" s="2790">
        <f t="shared" ca="1" si="196"/>
        <v>0</v>
      </c>
      <c r="DA82" s="2790">
        <f t="shared" ca="1" si="196"/>
        <v>0</v>
      </c>
      <c r="DB82" s="2790">
        <f t="shared" ca="1" si="196"/>
        <v>0</v>
      </c>
      <c r="DC82" s="2790">
        <f t="shared" ca="1" si="196"/>
        <v>0</v>
      </c>
      <c r="DD82" s="2790">
        <f t="shared" ca="1" si="196"/>
        <v>0</v>
      </c>
      <c r="DE82" s="2790">
        <f t="shared" ca="1" si="196"/>
        <v>0</v>
      </c>
      <c r="DF82" s="2790">
        <f t="shared" ca="1" si="196"/>
        <v>0</v>
      </c>
      <c r="DH82" s="596">
        <f t="shared" ca="1" si="113"/>
        <v>8.3433212759556366</v>
      </c>
    </row>
    <row r="83" spans="1:112" s="6" customForma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76"/>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197">G$51+G$55+G$63+G$68+G$72+G$76+G$82+G$46</f>
        <v>0</v>
      </c>
      <c r="H84" s="680">
        <f t="shared" ca="1" si="197"/>
        <v>3.9854891688908684E-2</v>
      </c>
      <c r="I84" s="680">
        <f t="shared" ca="1" si="197"/>
        <v>4.9939574568952896</v>
      </c>
      <c r="J84" s="680">
        <f t="shared" ca="1" si="197"/>
        <v>0</v>
      </c>
      <c r="K84" s="681">
        <f t="shared" ca="1" si="197"/>
        <v>0</v>
      </c>
      <c r="L84" s="680">
        <f t="shared" ca="1" si="197"/>
        <v>0</v>
      </c>
      <c r="M84" s="680">
        <f t="shared" ca="1" si="197"/>
        <v>0</v>
      </c>
      <c r="N84" s="680">
        <f t="shared" ca="1" si="197"/>
        <v>0</v>
      </c>
      <c r="O84" s="680">
        <f t="shared" ca="1" si="197"/>
        <v>0</v>
      </c>
      <c r="P84" s="680">
        <f t="shared" ca="1" si="197"/>
        <v>0</v>
      </c>
      <c r="Q84" s="633">
        <f ca="1">SUM(G84:P84)</f>
        <v>5.0338123485841981</v>
      </c>
      <c r="S84" s="634">
        <f t="shared" ref="S84:AJ84" ca="1" si="198">S$51+S$55+S$63+S$68+S$72+S$76+S$82+S$46</f>
        <v>-0.85941914992293367</v>
      </c>
      <c r="T84" s="634">
        <f t="shared" ca="1" si="198"/>
        <v>24.556303184658439</v>
      </c>
      <c r="U84" s="634">
        <f t="shared" ca="1" si="198"/>
        <v>-13.042599347912144</v>
      </c>
      <c r="V84" s="634">
        <f t="shared" ca="1" si="198"/>
        <v>-3.9475978755060814</v>
      </c>
      <c r="W84" s="634">
        <f t="shared" ca="1" si="198"/>
        <v>-20.228226654964569</v>
      </c>
      <c r="X84" s="634">
        <f t="shared" ca="1" si="198"/>
        <v>2.2517011089397578</v>
      </c>
      <c r="Y84" s="634">
        <f t="shared" ca="1" si="198"/>
        <v>0</v>
      </c>
      <c r="Z84" s="634">
        <f t="shared" ca="1" si="198"/>
        <v>35</v>
      </c>
      <c r="AA84" s="634">
        <f t="shared" ca="1" si="198"/>
        <v>0</v>
      </c>
      <c r="AB84" s="634">
        <f t="shared" ca="1" si="198"/>
        <v>0</v>
      </c>
      <c r="AC84" s="634">
        <f t="shared" ca="1" si="198"/>
        <v>0</v>
      </c>
      <c r="AD84" s="634">
        <f t="shared" ca="1" si="198"/>
        <v>10.560023127898354</v>
      </c>
      <c r="AE84" s="634">
        <f t="shared" ca="1" si="198"/>
        <v>0.26905561870922784</v>
      </c>
      <c r="AF84" s="634">
        <f t="shared" ca="1" si="198"/>
        <v>3.4730781007789262</v>
      </c>
      <c r="AG84" s="634">
        <f t="shared" ca="1" si="198"/>
        <v>1.5106164705314096</v>
      </c>
      <c r="AH84" s="634">
        <f t="shared" ca="1" si="198"/>
        <v>0.14794501798441054</v>
      </c>
      <c r="AI84" s="634">
        <f t="shared" ca="1" si="198"/>
        <v>0.55796848364472162</v>
      </c>
      <c r="AJ84" s="634">
        <f t="shared" ca="1" si="198"/>
        <v>1.4985241277847491E-3</v>
      </c>
      <c r="AK84" s="634">
        <f ca="1">SUM(S84:AJ84)</f>
        <v>40.250346608967305</v>
      </c>
      <c r="AM84" s="635">
        <f t="shared" ref="AM84:BE84" ca="1" si="199">AM$51+AM$55+AM$63+AM$68+AM$72+AM$76+AM$82+AM$46</f>
        <v>-2</v>
      </c>
      <c r="AN84" s="635">
        <f t="shared" ca="1" si="199"/>
        <v>0</v>
      </c>
      <c r="AO84" s="635">
        <f t="shared" ca="1" si="199"/>
        <v>-35</v>
      </c>
      <c r="AP84" s="635">
        <f t="shared" ca="1" si="199"/>
        <v>0</v>
      </c>
      <c r="AQ84" s="635">
        <f t="shared" ca="1" si="199"/>
        <v>0</v>
      </c>
      <c r="AR84" s="635">
        <f t="shared" ca="1" si="199"/>
        <v>0</v>
      </c>
      <c r="AS84" s="635">
        <f t="shared" ca="1" si="199"/>
        <v>0</v>
      </c>
      <c r="AT84" s="635">
        <f t="shared" ca="1" si="199"/>
        <v>0</v>
      </c>
      <c r="AU84" s="635">
        <f t="shared" ca="1" si="199"/>
        <v>0</v>
      </c>
      <c r="AV84" s="635">
        <f t="shared" ca="1" si="199"/>
        <v>0</v>
      </c>
      <c r="AW84" s="635">
        <f t="shared" ca="1" si="199"/>
        <v>-0.98311948364472168</v>
      </c>
      <c r="AX84" s="635">
        <f t="shared" ca="1" si="199"/>
        <v>-9.3230792999999998</v>
      </c>
      <c r="AY84" s="635">
        <f t="shared" ca="1" si="199"/>
        <v>0</v>
      </c>
      <c r="AZ84" s="635">
        <f t="shared" ca="1" si="199"/>
        <v>-1.3017510000000001E-2</v>
      </c>
      <c r="BA84" s="635">
        <f t="shared" ca="1" si="199"/>
        <v>0</v>
      </c>
      <c r="BB84" s="635">
        <f t="shared" ca="1" si="199"/>
        <v>-0.74791511999999993</v>
      </c>
      <c r="BC84" s="635">
        <f t="shared" ca="1" si="199"/>
        <v>0</v>
      </c>
      <c r="BD84" s="635">
        <f t="shared" ca="1" si="199"/>
        <v>-10.829078746607582</v>
      </c>
      <c r="BE84" s="635">
        <f t="shared" ca="1" si="199"/>
        <v>-5.3833406982345036</v>
      </c>
      <c r="BF84" s="635">
        <f ca="1">SUM(AM84:BE84)</f>
        <v>-64.2795508584868</v>
      </c>
      <c r="BH84" s="3464">
        <f ca="1">BH$51+BH$55+BH$63+BH$68+BH$72+BH$76+BH$82+BH$46</f>
        <v>16.482842330938979</v>
      </c>
      <c r="BI84" s="3464">
        <f ca="1">BI$51+BI$55+BI$63+BI$68+BI$72+BI$76+BI$82+BI$46</f>
        <v>2.512549569996323</v>
      </c>
      <c r="BJ84" s="3464">
        <f ca="1">SUM(BH84:BI84)</f>
        <v>18.995391900935303</v>
      </c>
      <c r="BL84" s="3478">
        <f t="shared" ca="1" si="176"/>
        <v>0</v>
      </c>
      <c r="BM84" s="636"/>
      <c r="BO84" s="2793">
        <f t="shared" ref="BO84:DE84" ca="1" si="200">BO$51+BO$55+BO$63+BO$68+BO$72+BO$76+BO$82+BO$46</f>
        <v>9.805932089089481</v>
      </c>
      <c r="BP84" s="2793">
        <f t="shared" ca="1" si="200"/>
        <v>3.1836524897703765E-3</v>
      </c>
      <c r="BQ84" s="2793">
        <f t="shared" ca="1" si="200"/>
        <v>7.6110315625612976E-2</v>
      </c>
      <c r="BR84" s="2793">
        <f t="shared" ca="1" si="200"/>
        <v>0</v>
      </c>
      <c r="BS84" s="2793">
        <f t="shared" ca="1" si="200"/>
        <v>0</v>
      </c>
      <c r="BT84" s="2793">
        <f t="shared" ca="1" si="200"/>
        <v>0</v>
      </c>
      <c r="BU84" s="2793">
        <f t="shared" ca="1" si="200"/>
        <v>0</v>
      </c>
      <c r="BV84" s="2793">
        <f t="shared" ca="1" si="200"/>
        <v>0</v>
      </c>
      <c r="BW84" s="2793">
        <f t="shared" ca="1" si="200"/>
        <v>0</v>
      </c>
      <c r="BX84" s="2793">
        <f t="shared" ca="1" si="200"/>
        <v>0</v>
      </c>
      <c r="BY84" s="2793">
        <f t="shared" ca="1" si="200"/>
        <v>0</v>
      </c>
      <c r="BZ84" s="2793">
        <f t="shared" ca="1" si="200"/>
        <v>0</v>
      </c>
      <c r="CA84" s="2793">
        <f t="shared" ca="1" si="200"/>
        <v>0</v>
      </c>
      <c r="CB84" s="2793">
        <f t="shared" ca="1" si="200"/>
        <v>0</v>
      </c>
      <c r="CC84" s="2793">
        <f t="shared" ca="1" si="200"/>
        <v>0</v>
      </c>
      <c r="CD84" s="2793">
        <f t="shared" ca="1" si="200"/>
        <v>0</v>
      </c>
      <c r="CE84" s="2793">
        <f t="shared" ca="1" si="200"/>
        <v>0</v>
      </c>
      <c r="CF84" s="2793">
        <f t="shared" ca="1" si="200"/>
        <v>10.343608996712423</v>
      </c>
      <c r="CG84" s="2793">
        <f t="shared" ca="1" si="200"/>
        <v>6.1668140391981598</v>
      </c>
      <c r="CH84" s="2793">
        <f t="shared" ca="1" si="200"/>
        <v>0</v>
      </c>
      <c r="CI84" s="2793">
        <f t="shared" ca="1" si="200"/>
        <v>-1.1817681520851633</v>
      </c>
      <c r="CJ84" s="2793">
        <f t="shared" ca="1" si="200"/>
        <v>0</v>
      </c>
      <c r="CK84" s="2793">
        <f t="shared" ca="1" si="200"/>
        <v>0</v>
      </c>
      <c r="CL84" s="2793">
        <f t="shared" ca="1" si="200"/>
        <v>0</v>
      </c>
      <c r="CM84" s="2793">
        <f t="shared" ca="1" si="200"/>
        <v>0</v>
      </c>
      <c r="CN84" s="2793">
        <f t="shared" ca="1" si="200"/>
        <v>0.67661522642028871</v>
      </c>
      <c r="CO84" s="2793">
        <f t="shared" ca="1" si="200"/>
        <v>5.608464642857143E-2</v>
      </c>
      <c r="CP84" s="2793">
        <f t="shared" ca="1" si="200"/>
        <v>0</v>
      </c>
      <c r="CQ84" s="2793">
        <f t="shared" ca="1" si="200"/>
        <v>0</v>
      </c>
      <c r="CR84" s="2793">
        <f t="shared" ca="1" si="200"/>
        <v>0</v>
      </c>
      <c r="CS84" s="2793">
        <f t="shared" ca="1" si="200"/>
        <v>0</v>
      </c>
      <c r="CT84" s="2793">
        <f t="shared" ca="1" si="200"/>
        <v>0</v>
      </c>
      <c r="CU84" s="2793">
        <f t="shared" ca="1" si="200"/>
        <v>0</v>
      </c>
      <c r="CV84" s="2793">
        <f t="shared" ca="1" si="200"/>
        <v>0</v>
      </c>
      <c r="CW84" s="2793">
        <f t="shared" ca="1" si="200"/>
        <v>0</v>
      </c>
      <c r="CX84" s="2793">
        <f t="shared" ca="1" si="200"/>
        <v>0</v>
      </c>
      <c r="CY84" s="2793">
        <f t="shared" ca="1" si="200"/>
        <v>0</v>
      </c>
      <c r="CZ84" s="2793">
        <f t="shared" ca="1" si="200"/>
        <v>0</v>
      </c>
      <c r="DA84" s="2793">
        <f t="shared" ca="1" si="200"/>
        <v>0</v>
      </c>
      <c r="DB84" s="2793">
        <f t="shared" ca="1" si="200"/>
        <v>0</v>
      </c>
      <c r="DC84" s="2793">
        <f t="shared" ca="1" si="200"/>
        <v>0</v>
      </c>
      <c r="DD84" s="2793">
        <f t="shared" ca="1" si="200"/>
        <v>0</v>
      </c>
      <c r="DE84" s="2793">
        <f t="shared" ca="1" si="200"/>
        <v>0</v>
      </c>
      <c r="DF84" s="2793">
        <f ca="1">DF$51+DF$99+DF$55+DF$63+DF$68+DF$76+DF$82+DF$46</f>
        <v>0</v>
      </c>
      <c r="DH84" s="637">
        <f ca="1">SUM(BO84:DF84)</f>
        <v>25.946580813879145</v>
      </c>
    </row>
    <row r="85" spans="1:112" s="6" customForma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76"/>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15.75">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76"/>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76"/>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c r="C89" s="651" t="s">
        <v>563</v>
      </c>
      <c r="D89" s="588" t="s">
        <v>564</v>
      </c>
      <c r="E89" s="588"/>
      <c r="F89" s="6"/>
      <c r="G89" s="589">
        <f t="shared" ref="G89:P89" ca="1" si="201">IFERROR(INDEX(INDIRECT($C89&amp;".Outputs["&amp;this.Year&amp;"]"), MATCH(G$5, INDIRECT($C89&amp;".Outputs[Vector]"), 0)), 0)</f>
        <v>0</v>
      </c>
      <c r="H89" s="589">
        <f t="shared" ca="1" si="201"/>
        <v>0</v>
      </c>
      <c r="I89" s="589">
        <f t="shared" ca="1" si="201"/>
        <v>0</v>
      </c>
      <c r="J89" s="589">
        <f t="shared" ca="1" si="201"/>
        <v>0</v>
      </c>
      <c r="K89" s="589">
        <f t="shared" ca="1" si="201"/>
        <v>0</v>
      </c>
      <c r="L89" s="589">
        <f t="shared" ca="1" si="201"/>
        <v>0</v>
      </c>
      <c r="M89" s="589">
        <f t="shared" ca="1" si="201"/>
        <v>0</v>
      </c>
      <c r="N89" s="589">
        <f t="shared" ca="1" si="201"/>
        <v>0</v>
      </c>
      <c r="O89" s="589">
        <f t="shared" ca="1" si="201"/>
        <v>0</v>
      </c>
      <c r="P89" s="589">
        <f t="shared" ca="1" si="201"/>
        <v>0</v>
      </c>
      <c r="Q89" s="590">
        <f ca="1">SUM(G89:P89)</f>
        <v>0</v>
      </c>
      <c r="R89" s="6"/>
      <c r="S89" s="591">
        <f t="shared" ref="S89:AJ89" ca="1" si="202">IFERROR(INDEX(INDIRECT($C89&amp;".Outputs["&amp;this.Year&amp;"]"), MATCH(S$5, INDIRECT($C89&amp;".Outputs[Vector]"), 0)), 0)</f>
        <v>0</v>
      </c>
      <c r="T89" s="591">
        <f t="shared" ca="1" si="202"/>
        <v>2.5</v>
      </c>
      <c r="U89" s="591">
        <f t="shared" ca="1" si="202"/>
        <v>0</v>
      </c>
      <c r="V89" s="591">
        <f t="shared" ca="1" si="202"/>
        <v>0</v>
      </c>
      <c r="W89" s="591">
        <f t="shared" ca="1" si="202"/>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02"/>
        <v>0</v>
      </c>
      <c r="AB89" s="591">
        <f t="shared" ca="1" si="202"/>
        <v>0</v>
      </c>
      <c r="AC89" s="591">
        <f t="shared" ca="1" si="202"/>
        <v>0</v>
      </c>
      <c r="AD89" s="591">
        <f t="shared" ca="1" si="202"/>
        <v>0</v>
      </c>
      <c r="AE89" s="591">
        <f t="shared" ca="1" si="202"/>
        <v>0</v>
      </c>
      <c r="AF89" s="591">
        <f t="shared" ca="1" si="202"/>
        <v>0</v>
      </c>
      <c r="AG89" s="591">
        <f t="shared" ca="1" si="202"/>
        <v>0</v>
      </c>
      <c r="AH89" s="591">
        <f t="shared" ca="1" si="202"/>
        <v>0</v>
      </c>
      <c r="AI89" s="591">
        <f t="shared" ca="1" si="202"/>
        <v>0</v>
      </c>
      <c r="AJ89" s="591">
        <f t="shared" ca="1" si="202"/>
        <v>0</v>
      </c>
      <c r="AK89" s="592">
        <f ca="1">SUM(S89:AJ89)</f>
        <v>2.5</v>
      </c>
      <c r="AL89" s="6"/>
      <c r="AM89" s="593">
        <f t="shared" ref="AM89:BE89" ca="1" si="203">IFERROR(INDEX(INDIRECT($C89&amp;".Outputs["&amp;this.Year&amp;"]"), MATCH(AM$5, INDIRECT($C89&amp;".Outputs[Vector]"), 0)), 0)</f>
        <v>0</v>
      </c>
      <c r="AN89" s="593">
        <f t="shared" ca="1" si="203"/>
        <v>0</v>
      </c>
      <c r="AO89" s="593">
        <f t="shared" ca="1" si="203"/>
        <v>0</v>
      </c>
      <c r="AP89" s="593">
        <f t="shared" ca="1" si="203"/>
        <v>0</v>
      </c>
      <c r="AQ89" s="593">
        <f t="shared" ca="1" si="203"/>
        <v>-2.5</v>
      </c>
      <c r="AR89" s="593">
        <f t="shared" ca="1" si="203"/>
        <v>0</v>
      </c>
      <c r="AS89" s="593">
        <f t="shared" ca="1" si="203"/>
        <v>0</v>
      </c>
      <c r="AT89" s="593">
        <f t="shared" ca="1" si="203"/>
        <v>0</v>
      </c>
      <c r="AU89" s="593">
        <f t="shared" ca="1" si="203"/>
        <v>0</v>
      </c>
      <c r="AV89" s="593">
        <f t="shared" ca="1" si="203"/>
        <v>0</v>
      </c>
      <c r="AW89" s="593">
        <f t="shared" ca="1" si="203"/>
        <v>0</v>
      </c>
      <c r="AX89" s="593">
        <f t="shared" ca="1" si="203"/>
        <v>0</v>
      </c>
      <c r="AY89" s="593">
        <f t="shared" ca="1" si="203"/>
        <v>0</v>
      </c>
      <c r="AZ89" s="593">
        <f t="shared" ca="1" si="203"/>
        <v>0</v>
      </c>
      <c r="BA89" s="593">
        <f t="shared" ca="1" si="203"/>
        <v>0</v>
      </c>
      <c r="BB89" s="593">
        <f t="shared" ca="1" si="203"/>
        <v>0</v>
      </c>
      <c r="BC89" s="593">
        <f t="shared" ca="1" si="203"/>
        <v>0</v>
      </c>
      <c r="BD89" s="593">
        <f t="shared" ca="1" si="203"/>
        <v>0</v>
      </c>
      <c r="BE89" s="593">
        <f t="shared" ca="1" si="203"/>
        <v>0</v>
      </c>
      <c r="BF89" s="609">
        <f ca="1">SUM(AM89:BE89)</f>
        <v>-2.5</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04">Q89+AK89+BF89+BJ89</f>
        <v>0</v>
      </c>
      <c r="BM89" s="610"/>
      <c r="BO89" s="2789">
        <f t="shared" ref="BO89:DF89" ca="1" si="205">IFERROR(SUMIFS(INDIRECT($C89&amp;".Emissions["&amp;this.Year&amp;"]"), INDIRECT($C89&amp;".Emissions[GHG]"), BO$6, INDIRECT($C89&amp;".Emissions[IPCC Sector]"), BO$5),0)</f>
        <v>0</v>
      </c>
      <c r="BP89" s="2790">
        <f t="shared" ca="1" si="205"/>
        <v>0</v>
      </c>
      <c r="BQ89" s="2790">
        <f t="shared" ca="1" si="205"/>
        <v>0</v>
      </c>
      <c r="BR89" s="2790">
        <f t="shared" ca="1" si="205"/>
        <v>0</v>
      </c>
      <c r="BS89" s="2790">
        <f t="shared" ca="1" si="205"/>
        <v>0</v>
      </c>
      <c r="BT89" s="2790">
        <f t="shared" ca="1" si="205"/>
        <v>0</v>
      </c>
      <c r="BU89" s="2790">
        <f t="shared" ca="1" si="205"/>
        <v>0</v>
      </c>
      <c r="BV89" s="2790">
        <f t="shared" ca="1" si="205"/>
        <v>0</v>
      </c>
      <c r="BW89" s="2790">
        <f t="shared" ca="1" si="205"/>
        <v>0</v>
      </c>
      <c r="BX89" s="2790">
        <f t="shared" ca="1" si="205"/>
        <v>0</v>
      </c>
      <c r="BY89" s="2790">
        <f t="shared" ca="1" si="205"/>
        <v>0</v>
      </c>
      <c r="BZ89" s="2790">
        <f t="shared" ca="1" si="205"/>
        <v>0</v>
      </c>
      <c r="CA89" s="2790">
        <f t="shared" ca="1" si="205"/>
        <v>0</v>
      </c>
      <c r="CB89" s="2790">
        <f t="shared" ca="1" si="205"/>
        <v>0</v>
      </c>
      <c r="CC89" s="2790">
        <f t="shared" ca="1" si="205"/>
        <v>0</v>
      </c>
      <c r="CD89" s="2790">
        <f t="shared" ca="1" si="205"/>
        <v>0</v>
      </c>
      <c r="CE89" s="2790">
        <f t="shared" ca="1" si="205"/>
        <v>0</v>
      </c>
      <c r="CF89" s="2790">
        <f t="shared" ca="1" si="205"/>
        <v>0</v>
      </c>
      <c r="CG89" s="2790">
        <f t="shared" ca="1" si="205"/>
        <v>0</v>
      </c>
      <c r="CH89" s="2790">
        <f t="shared" ca="1" si="205"/>
        <v>0</v>
      </c>
      <c r="CI89" s="2790">
        <f t="shared" ca="1" si="205"/>
        <v>0</v>
      </c>
      <c r="CJ89" s="2790">
        <f t="shared" ca="1" si="205"/>
        <v>0</v>
      </c>
      <c r="CK89" s="2790">
        <f t="shared" ca="1" si="205"/>
        <v>0</v>
      </c>
      <c r="CL89" s="2790">
        <f t="shared" ca="1" si="205"/>
        <v>0</v>
      </c>
      <c r="CM89" s="2790">
        <f t="shared" ca="1" si="205"/>
        <v>0</v>
      </c>
      <c r="CN89" s="2790">
        <f t="shared" ca="1" si="205"/>
        <v>0</v>
      </c>
      <c r="CO89" s="2790">
        <f t="shared" ca="1" si="205"/>
        <v>0</v>
      </c>
      <c r="CP89" s="2790">
        <f t="shared" ca="1" si="205"/>
        <v>0</v>
      </c>
      <c r="CQ89" s="2790">
        <f t="shared" ca="1" si="205"/>
        <v>0</v>
      </c>
      <c r="CR89" s="2790">
        <f t="shared" ca="1" si="205"/>
        <v>0</v>
      </c>
      <c r="CS89" s="2790">
        <f t="shared" ca="1" si="205"/>
        <v>0</v>
      </c>
      <c r="CT89" s="2790">
        <f t="shared" ca="1" si="205"/>
        <v>0</v>
      </c>
      <c r="CU89" s="2790">
        <f t="shared" ca="1" si="205"/>
        <v>0</v>
      </c>
      <c r="CV89" s="2790">
        <f t="shared" ca="1" si="205"/>
        <v>0</v>
      </c>
      <c r="CW89" s="2790">
        <f t="shared" ca="1" si="205"/>
        <v>0</v>
      </c>
      <c r="CX89" s="2790">
        <f t="shared" ca="1" si="205"/>
        <v>0</v>
      </c>
      <c r="CY89" s="2790">
        <f t="shared" ca="1" si="205"/>
        <v>0</v>
      </c>
      <c r="CZ89" s="2790">
        <f t="shared" ca="1" si="205"/>
        <v>0</v>
      </c>
      <c r="DA89" s="2790">
        <f t="shared" ca="1" si="205"/>
        <v>0</v>
      </c>
      <c r="DB89" s="2790">
        <f t="shared" ca="1" si="205"/>
        <v>0</v>
      </c>
      <c r="DC89" s="2790">
        <f t="shared" ca="1" si="205"/>
        <v>0</v>
      </c>
      <c r="DD89" s="2790">
        <f t="shared" ca="1" si="205"/>
        <v>0</v>
      </c>
      <c r="DE89" s="2790">
        <f t="shared" ca="1" si="205"/>
        <v>0</v>
      </c>
      <c r="DF89" s="2790">
        <f t="shared" ca="1" si="205"/>
        <v>0</v>
      </c>
      <c r="DH89" s="596"/>
    </row>
    <row r="90" spans="1:112" s="652" customFormat="1">
      <c r="C90" s="667" t="s">
        <v>565</v>
      </c>
      <c r="D90" s="668" t="s">
        <v>566</v>
      </c>
      <c r="E90" s="668"/>
      <c r="F90" s="6"/>
      <c r="G90" s="643"/>
      <c r="H90" s="643"/>
      <c r="I90" s="643"/>
      <c r="J90" s="643"/>
      <c r="K90" s="644"/>
      <c r="L90" s="643"/>
      <c r="M90" s="643"/>
      <c r="N90" s="643"/>
      <c r="O90" s="643"/>
      <c r="P90" s="643"/>
      <c r="Q90" s="643"/>
      <c r="R90" s="6"/>
      <c r="S90" s="645">
        <f ca="1">S$40+$S46+S$51+S$99+S$55+S$89</f>
        <v>-24.833505229005151</v>
      </c>
      <c r="T90" s="645">
        <f ca="1">T$40+$S46+T$51+T$99+T$55+T$89</f>
        <v>3.8637726591937698</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04"/>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c r="C91" s="651" t="s">
        <v>567</v>
      </c>
      <c r="D91" s="588" t="s">
        <v>568</v>
      </c>
      <c r="E91" s="588"/>
      <c r="F91" s="6"/>
      <c r="G91" s="589">
        <f t="shared" ref="G91:P92" ca="1" si="206">IFERROR(INDEX(INDIRECT($C91&amp;".Outputs["&amp;this.Year&amp;"]"), MATCH(G$5, INDIRECT($C91&amp;".Outputs[Vector]"), 0)), 0)</f>
        <v>0</v>
      </c>
      <c r="H91" s="589">
        <f t="shared" ca="1" si="206"/>
        <v>0</v>
      </c>
      <c r="I91" s="589">
        <f t="shared" ca="1" si="206"/>
        <v>0</v>
      </c>
      <c r="J91" s="589">
        <f t="shared" ca="1" si="206"/>
        <v>0</v>
      </c>
      <c r="K91" s="589">
        <f t="shared" ca="1" si="206"/>
        <v>0</v>
      </c>
      <c r="L91" s="589">
        <f t="shared" ca="1" si="206"/>
        <v>0</v>
      </c>
      <c r="M91" s="589">
        <f t="shared" ca="1" si="206"/>
        <v>0</v>
      </c>
      <c r="N91" s="589">
        <f t="shared" ca="1" si="206"/>
        <v>0</v>
      </c>
      <c r="O91" s="589">
        <f t="shared" ca="1" si="206"/>
        <v>0</v>
      </c>
      <c r="P91" s="589">
        <f t="shared" ca="1" si="206"/>
        <v>0</v>
      </c>
      <c r="Q91" s="590">
        <f ca="1">SUM(G91:P91)</f>
        <v>0</v>
      </c>
      <c r="R91" s="6"/>
      <c r="S91" s="591">
        <f t="shared" ref="S91:AJ92" ca="1" si="207">IFERROR(INDEX(INDIRECT($C91&amp;".Outputs["&amp;this.Year&amp;"]"), MATCH(S$5, INDIRECT($C91&amp;".Outputs[Vector]"), 0)), 0)</f>
        <v>0</v>
      </c>
      <c r="T91" s="591">
        <f t="shared" ca="1" si="207"/>
        <v>-3.547407349678668</v>
      </c>
      <c r="U91" s="591">
        <f t="shared" ca="1" si="207"/>
        <v>0</v>
      </c>
      <c r="V91" s="591">
        <f t="shared" ca="1" si="207"/>
        <v>0</v>
      </c>
      <c r="W91" s="591">
        <f t="shared" ca="1" si="207"/>
        <v>0</v>
      </c>
      <c r="X91" s="591">
        <f t="shared" ca="1" si="207"/>
        <v>0</v>
      </c>
      <c r="Y91" s="591">
        <f t="shared" ca="1" si="207"/>
        <v>0</v>
      </c>
      <c r="Z91" s="591">
        <f t="shared" ca="1" si="207"/>
        <v>0</v>
      </c>
      <c r="AA91" s="591">
        <f t="shared" ca="1" si="207"/>
        <v>0</v>
      </c>
      <c r="AB91" s="591">
        <f t="shared" ca="1" si="207"/>
        <v>0</v>
      </c>
      <c r="AC91" s="591">
        <f t="shared" ca="1" si="207"/>
        <v>0</v>
      </c>
      <c r="AD91" s="591">
        <f t="shared" ca="1" si="207"/>
        <v>0</v>
      </c>
      <c r="AE91" s="591">
        <f t="shared" ca="1" si="207"/>
        <v>0</v>
      </c>
      <c r="AF91" s="591">
        <f t="shared" ca="1" si="207"/>
        <v>0</v>
      </c>
      <c r="AG91" s="591">
        <f t="shared" ca="1" si="207"/>
        <v>0</v>
      </c>
      <c r="AH91" s="591">
        <f t="shared" ca="1" si="207"/>
        <v>0</v>
      </c>
      <c r="AI91" s="591">
        <f t="shared" ca="1" si="207"/>
        <v>0</v>
      </c>
      <c r="AJ91" s="591">
        <f t="shared" ca="1" si="207"/>
        <v>0</v>
      </c>
      <c r="AK91" s="592">
        <f ca="1">SUM(S91:AJ91)</f>
        <v>-3.547407349678668</v>
      </c>
      <c r="AL91" s="6"/>
      <c r="AM91" s="593">
        <f t="shared" ref="AM91:BB92" ca="1" si="208">IFERROR(INDEX(INDIRECT($C91&amp;".Outputs["&amp;this.Year&amp;"]"), MATCH(AM$5, INDIRECT($C91&amp;".Outputs[Vector]"), 0)), 0)</f>
        <v>0</v>
      </c>
      <c r="AN91" s="593">
        <f t="shared" ca="1" si="208"/>
        <v>0</v>
      </c>
      <c r="AO91" s="593">
        <f t="shared" ca="1" si="208"/>
        <v>0</v>
      </c>
      <c r="AP91" s="593">
        <f t="shared" ca="1" si="208"/>
        <v>0</v>
      </c>
      <c r="AQ91" s="593">
        <f t="shared" ca="1" si="208"/>
        <v>0</v>
      </c>
      <c r="AR91" s="593">
        <f t="shared" ca="1" si="208"/>
        <v>0</v>
      </c>
      <c r="AS91" s="593">
        <f t="shared" ca="1" si="208"/>
        <v>0</v>
      </c>
      <c r="AT91" s="593">
        <f t="shared" ca="1" si="208"/>
        <v>0</v>
      </c>
      <c r="AU91" s="593">
        <f t="shared" ca="1" si="208"/>
        <v>0</v>
      </c>
      <c r="AV91" s="593">
        <f t="shared" ca="1" si="208"/>
        <v>0</v>
      </c>
      <c r="AW91" s="593">
        <f t="shared" ca="1" si="208"/>
        <v>0</v>
      </c>
      <c r="AX91" s="593">
        <f t="shared" ca="1" si="208"/>
        <v>0</v>
      </c>
      <c r="AY91" s="593">
        <f t="shared" ca="1" si="208"/>
        <v>0</v>
      </c>
      <c r="AZ91" s="593">
        <f t="shared" ca="1" si="208"/>
        <v>0</v>
      </c>
      <c r="BA91" s="593">
        <f t="shared" ca="1" si="208"/>
        <v>0</v>
      </c>
      <c r="BB91" s="593">
        <f t="shared" ca="1" si="208"/>
        <v>0</v>
      </c>
      <c r="BC91" s="593">
        <f t="shared" ref="BC91:BE92" ca="1" si="209">IFERROR(INDEX(INDIRECT($C91&amp;".Outputs["&amp;this.Year&amp;"]"), MATCH(BC$5, INDIRECT($C91&amp;".Outputs[Vector]"), 0)), 0)</f>
        <v>0</v>
      </c>
      <c r="BD91" s="593">
        <f t="shared" ca="1" si="209"/>
        <v>0</v>
      </c>
      <c r="BE91" s="593">
        <f t="shared" ca="1" si="20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3.5474073496786671</v>
      </c>
      <c r="BJ91" s="3460">
        <f ca="1">SUM(BH91:BI91)</f>
        <v>3.5474073496786671</v>
      </c>
      <c r="BK91" s="6"/>
      <c r="BL91" s="654">
        <f t="shared" ca="1" si="204"/>
        <v>0</v>
      </c>
      <c r="BM91" s="610"/>
      <c r="BO91" s="2789">
        <f t="shared" ref="BO91:BX92" ca="1" si="210">IFERROR(SUMIFS(INDIRECT($C91&amp;".Emissions["&amp;this.Year&amp;"]"), INDIRECT($C91&amp;".Emissions[GHG]"), BO$6, INDIRECT($C91&amp;".Emissions[IPCC Sector]"), BO$5),0)</f>
        <v>0</v>
      </c>
      <c r="BP91" s="2790">
        <f t="shared" ca="1" si="210"/>
        <v>0</v>
      </c>
      <c r="BQ91" s="2790">
        <f t="shared" ca="1" si="210"/>
        <v>0</v>
      </c>
      <c r="BR91" s="2790">
        <f t="shared" ca="1" si="210"/>
        <v>0</v>
      </c>
      <c r="BS91" s="2790">
        <f t="shared" ca="1" si="210"/>
        <v>0</v>
      </c>
      <c r="BT91" s="2790">
        <f t="shared" ca="1" si="210"/>
        <v>0</v>
      </c>
      <c r="BU91" s="2790">
        <f t="shared" ca="1" si="210"/>
        <v>0</v>
      </c>
      <c r="BV91" s="2790">
        <f t="shared" ca="1" si="210"/>
        <v>0</v>
      </c>
      <c r="BW91" s="2790">
        <f t="shared" ca="1" si="210"/>
        <v>0</v>
      </c>
      <c r="BX91" s="2790">
        <f t="shared" ca="1" si="210"/>
        <v>0</v>
      </c>
      <c r="BY91" s="2790">
        <f t="shared" ref="BY91:CH92" ca="1" si="211">IFERROR(SUMIFS(INDIRECT($C91&amp;".Emissions["&amp;this.Year&amp;"]"), INDIRECT($C91&amp;".Emissions[GHG]"), BY$6, INDIRECT($C91&amp;".Emissions[IPCC Sector]"), BY$5),0)</f>
        <v>0</v>
      </c>
      <c r="BZ91" s="2790">
        <f t="shared" ca="1" si="211"/>
        <v>0</v>
      </c>
      <c r="CA91" s="2790">
        <f t="shared" ca="1" si="211"/>
        <v>0</v>
      </c>
      <c r="CB91" s="2790">
        <f t="shared" ca="1" si="211"/>
        <v>0</v>
      </c>
      <c r="CC91" s="2790">
        <f t="shared" ca="1" si="211"/>
        <v>0</v>
      </c>
      <c r="CD91" s="2790">
        <f t="shared" ca="1" si="211"/>
        <v>0</v>
      </c>
      <c r="CE91" s="2790">
        <f t="shared" ca="1" si="211"/>
        <v>0</v>
      </c>
      <c r="CF91" s="2790">
        <f t="shared" ca="1" si="211"/>
        <v>0</v>
      </c>
      <c r="CG91" s="2790">
        <f t="shared" ca="1" si="211"/>
        <v>0</v>
      </c>
      <c r="CH91" s="2790">
        <f t="shared" ca="1" si="211"/>
        <v>0</v>
      </c>
      <c r="CI91" s="2790">
        <f t="shared" ref="CI91:CR92" ca="1" si="212">IFERROR(SUMIFS(INDIRECT($C91&amp;".Emissions["&amp;this.Year&amp;"]"), INDIRECT($C91&amp;".Emissions[GHG]"), CI$6, INDIRECT($C91&amp;".Emissions[IPCC Sector]"), CI$5),0)</f>
        <v>0</v>
      </c>
      <c r="CJ91" s="2790">
        <f t="shared" ca="1" si="212"/>
        <v>0</v>
      </c>
      <c r="CK91" s="2790">
        <f t="shared" ca="1" si="212"/>
        <v>0</v>
      </c>
      <c r="CL91" s="2790">
        <f t="shared" ca="1" si="212"/>
        <v>0</v>
      </c>
      <c r="CM91" s="2790">
        <f t="shared" ca="1" si="212"/>
        <v>0</v>
      </c>
      <c r="CN91" s="2790">
        <f t="shared" ca="1" si="212"/>
        <v>0</v>
      </c>
      <c r="CO91" s="2790">
        <f t="shared" ca="1" si="212"/>
        <v>0</v>
      </c>
      <c r="CP91" s="2790">
        <f t="shared" ca="1" si="212"/>
        <v>0</v>
      </c>
      <c r="CQ91" s="2790">
        <f t="shared" ca="1" si="212"/>
        <v>0</v>
      </c>
      <c r="CR91" s="2790">
        <f t="shared" ca="1" si="212"/>
        <v>0</v>
      </c>
      <c r="CS91" s="2790">
        <f t="shared" ref="CS91:DF92" ca="1" si="213">IFERROR(SUMIFS(INDIRECT($C91&amp;".Emissions["&amp;this.Year&amp;"]"), INDIRECT($C91&amp;".Emissions[GHG]"), CS$6, INDIRECT($C91&amp;".Emissions[IPCC Sector]"), CS$5),0)</f>
        <v>0</v>
      </c>
      <c r="CT91" s="2790">
        <f t="shared" ca="1" si="213"/>
        <v>0</v>
      </c>
      <c r="CU91" s="2790">
        <f t="shared" ca="1" si="213"/>
        <v>0</v>
      </c>
      <c r="CV91" s="2790">
        <f t="shared" ca="1" si="213"/>
        <v>0</v>
      </c>
      <c r="CW91" s="2790">
        <f t="shared" ca="1" si="213"/>
        <v>0</v>
      </c>
      <c r="CX91" s="2790">
        <f t="shared" ca="1" si="213"/>
        <v>0</v>
      </c>
      <c r="CY91" s="2790">
        <f t="shared" ca="1" si="213"/>
        <v>0</v>
      </c>
      <c r="CZ91" s="2790">
        <f t="shared" ca="1" si="213"/>
        <v>0</v>
      </c>
      <c r="DA91" s="2790">
        <f t="shared" ca="1" si="213"/>
        <v>0</v>
      </c>
      <c r="DB91" s="2790">
        <f t="shared" ca="1" si="213"/>
        <v>0</v>
      </c>
      <c r="DC91" s="2790">
        <f t="shared" ca="1" si="213"/>
        <v>0</v>
      </c>
      <c r="DD91" s="2790">
        <f t="shared" ca="1" si="213"/>
        <v>0</v>
      </c>
      <c r="DE91" s="2790">
        <f t="shared" ca="1" si="213"/>
        <v>0</v>
      </c>
      <c r="DF91" s="2790">
        <f t="shared" ca="1" si="213"/>
        <v>0</v>
      </c>
      <c r="DH91" s="596"/>
    </row>
    <row r="92" spans="1:112" s="607" customFormat="1">
      <c r="C92" s="651" t="s">
        <v>569</v>
      </c>
      <c r="D92" s="611" t="s">
        <v>570</v>
      </c>
      <c r="E92" s="611"/>
      <c r="F92" s="6"/>
      <c r="G92" s="619">
        <f t="shared" ca="1" si="206"/>
        <v>0</v>
      </c>
      <c r="H92" s="619">
        <f t="shared" ca="1" si="206"/>
        <v>0</v>
      </c>
      <c r="I92" s="619">
        <f t="shared" ca="1" si="206"/>
        <v>0</v>
      </c>
      <c r="J92" s="619">
        <f t="shared" ca="1" si="206"/>
        <v>0</v>
      </c>
      <c r="K92" s="619">
        <f t="shared" ca="1" si="206"/>
        <v>0</v>
      </c>
      <c r="L92" s="619">
        <f t="shared" ca="1" si="206"/>
        <v>0</v>
      </c>
      <c r="M92" s="619">
        <f t="shared" ca="1" si="206"/>
        <v>0</v>
      </c>
      <c r="N92" s="619">
        <f t="shared" ca="1" si="206"/>
        <v>0</v>
      </c>
      <c r="O92" s="619">
        <f t="shared" ca="1" si="206"/>
        <v>0</v>
      </c>
      <c r="P92" s="619">
        <f t="shared" ca="1" si="206"/>
        <v>0</v>
      </c>
      <c r="Q92" s="612">
        <f ca="1">SUM(G92:P92)</f>
        <v>0</v>
      </c>
      <c r="R92" s="6"/>
      <c r="S92" s="620">
        <f t="shared" ca="1" si="207"/>
        <v>0</v>
      </c>
      <c r="T92" s="620">
        <f t="shared" ca="1" si="207"/>
        <v>0</v>
      </c>
      <c r="U92" s="620">
        <f t="shared" ca="1" si="207"/>
        <v>0</v>
      </c>
      <c r="V92" s="620">
        <f t="shared" ca="1" si="207"/>
        <v>0</v>
      </c>
      <c r="W92" s="620">
        <f t="shared" ca="1" si="207"/>
        <v>-0.26295777674249471</v>
      </c>
      <c r="X92" s="620">
        <f t="shared" ca="1" si="207"/>
        <v>0</v>
      </c>
      <c r="Y92" s="620">
        <f t="shared" ca="1" si="207"/>
        <v>0</v>
      </c>
      <c r="Z92" s="620">
        <f t="shared" ca="1" si="207"/>
        <v>0</v>
      </c>
      <c r="AA92" s="620">
        <f t="shared" ca="1" si="207"/>
        <v>0</v>
      </c>
      <c r="AB92" s="620">
        <f t="shared" ca="1" si="207"/>
        <v>0</v>
      </c>
      <c r="AC92" s="620">
        <f t="shared" ca="1" si="207"/>
        <v>0</v>
      </c>
      <c r="AD92" s="620">
        <f t="shared" ca="1" si="207"/>
        <v>0</v>
      </c>
      <c r="AE92" s="620">
        <f t="shared" ca="1" si="207"/>
        <v>0</v>
      </c>
      <c r="AF92" s="620">
        <f t="shared" ca="1" si="207"/>
        <v>0</v>
      </c>
      <c r="AG92" s="620">
        <f t="shared" ca="1" si="207"/>
        <v>0</v>
      </c>
      <c r="AH92" s="620">
        <f t="shared" ca="1" si="207"/>
        <v>0</v>
      </c>
      <c r="AI92" s="620">
        <f t="shared" ca="1" si="207"/>
        <v>0</v>
      </c>
      <c r="AJ92" s="620">
        <f t="shared" ca="1" si="207"/>
        <v>0</v>
      </c>
      <c r="AK92" s="613">
        <f ca="1">SUM(S92:AJ92)</f>
        <v>-0.26295777674249471</v>
      </c>
      <c r="AL92" s="6"/>
      <c r="AM92" s="621">
        <f t="shared" ca="1" si="208"/>
        <v>0</v>
      </c>
      <c r="AN92" s="621">
        <f t="shared" ca="1" si="208"/>
        <v>0</v>
      </c>
      <c r="AO92" s="621">
        <f t="shared" ca="1" si="208"/>
        <v>0</v>
      </c>
      <c r="AP92" s="621">
        <f t="shared" ca="1" si="208"/>
        <v>0</v>
      </c>
      <c r="AQ92" s="621">
        <f t="shared" ca="1" si="208"/>
        <v>0</v>
      </c>
      <c r="AR92" s="621">
        <f t="shared" ca="1" si="208"/>
        <v>0</v>
      </c>
      <c r="AS92" s="621">
        <f t="shared" ca="1" si="208"/>
        <v>0</v>
      </c>
      <c r="AT92" s="621">
        <f t="shared" ca="1" si="208"/>
        <v>0</v>
      </c>
      <c r="AU92" s="621">
        <f t="shared" ca="1" si="208"/>
        <v>0</v>
      </c>
      <c r="AV92" s="621">
        <f t="shared" ca="1" si="208"/>
        <v>0</v>
      </c>
      <c r="AW92" s="621">
        <f t="shared" ca="1" si="208"/>
        <v>0</v>
      </c>
      <c r="AX92" s="621">
        <f t="shared" ca="1" si="208"/>
        <v>0</v>
      </c>
      <c r="AY92" s="621">
        <f t="shared" ca="1" si="208"/>
        <v>0</v>
      </c>
      <c r="AZ92" s="621">
        <f t="shared" ca="1" si="208"/>
        <v>0</v>
      </c>
      <c r="BA92" s="621">
        <f t="shared" ca="1" si="208"/>
        <v>0</v>
      </c>
      <c r="BB92" s="621">
        <f t="shared" ca="1" si="208"/>
        <v>0</v>
      </c>
      <c r="BC92" s="621">
        <f t="shared" ca="1" si="209"/>
        <v>0</v>
      </c>
      <c r="BD92" s="621">
        <f t="shared" ca="1" si="209"/>
        <v>0</v>
      </c>
      <c r="BE92" s="621">
        <f t="shared" ca="1" si="209"/>
        <v>0</v>
      </c>
      <c r="BF92" s="615">
        <f ca="1">SUM(AM92:BE92)</f>
        <v>0</v>
      </c>
      <c r="BG92" s="6"/>
      <c r="BH92" s="3473">
        <f ca="1">IFERROR(INDEX(INDIRECT($C92&amp;".Outputs["&amp;this.Year&amp;"]"), MATCH(BH$5, INDIRECT($C92&amp;".Outputs[Vector]"), 0)), 0)</f>
        <v>0.15777466604549681</v>
      </c>
      <c r="BI92" s="3473">
        <f ca="1">IFERROR(INDEX(INDIRECT($C92&amp;".Outputs["&amp;this.Year&amp;"]"), MATCH(BI$5, INDIRECT($C92&amp;".Outputs[Vector]"), 0)), 0)</f>
        <v>0.1051831106969979</v>
      </c>
      <c r="BJ92" s="3462">
        <f ca="1">SUM(BH92:BI92)</f>
        <v>0.26295777674249471</v>
      </c>
      <c r="BK92" s="6"/>
      <c r="BL92" s="654">
        <f t="shared" ca="1" si="204"/>
        <v>0</v>
      </c>
      <c r="BM92" s="610"/>
      <c r="BO92" s="2791">
        <f t="shared" ca="1" si="210"/>
        <v>5.3833031604055608E-2</v>
      </c>
      <c r="BP92" s="2792">
        <f t="shared" ca="1" si="210"/>
        <v>1.9879607921732601E-5</v>
      </c>
      <c r="BQ92" s="2792">
        <f t="shared" ca="1" si="210"/>
        <v>8.5103654864940987E-4</v>
      </c>
      <c r="BR92" s="2792">
        <f t="shared" ca="1" si="210"/>
        <v>0</v>
      </c>
      <c r="BS92" s="2792">
        <f t="shared" ca="1" si="210"/>
        <v>0</v>
      </c>
      <c r="BT92" s="2792">
        <f t="shared" ca="1" si="210"/>
        <v>0</v>
      </c>
      <c r="BU92" s="2792">
        <f t="shared" ca="1" si="210"/>
        <v>0</v>
      </c>
      <c r="BV92" s="2792">
        <f t="shared" ca="1" si="210"/>
        <v>0</v>
      </c>
      <c r="BW92" s="2792">
        <f t="shared" ca="1" si="210"/>
        <v>0</v>
      </c>
      <c r="BX92" s="2792">
        <f t="shared" ca="1" si="210"/>
        <v>0</v>
      </c>
      <c r="BY92" s="2792">
        <f t="shared" ca="1" si="211"/>
        <v>0</v>
      </c>
      <c r="BZ92" s="2792">
        <f t="shared" ca="1" si="211"/>
        <v>0</v>
      </c>
      <c r="CA92" s="2792">
        <f t="shared" ca="1" si="211"/>
        <v>0</v>
      </c>
      <c r="CB92" s="2792">
        <f t="shared" ca="1" si="211"/>
        <v>0</v>
      </c>
      <c r="CC92" s="2792">
        <f t="shared" ca="1" si="211"/>
        <v>0</v>
      </c>
      <c r="CD92" s="2792">
        <f t="shared" ca="1" si="211"/>
        <v>0</v>
      </c>
      <c r="CE92" s="2792">
        <f t="shared" ca="1" si="211"/>
        <v>0</v>
      </c>
      <c r="CF92" s="2792">
        <f t="shared" ca="1" si="211"/>
        <v>0</v>
      </c>
      <c r="CG92" s="2792">
        <f t="shared" ca="1" si="211"/>
        <v>0</v>
      </c>
      <c r="CH92" s="2792">
        <f t="shared" ca="1" si="211"/>
        <v>0</v>
      </c>
      <c r="CI92" s="2792">
        <f t="shared" ca="1" si="212"/>
        <v>0</v>
      </c>
      <c r="CJ92" s="2792">
        <f t="shared" ca="1" si="212"/>
        <v>0</v>
      </c>
      <c r="CK92" s="2792">
        <f t="shared" ca="1" si="212"/>
        <v>0</v>
      </c>
      <c r="CL92" s="2792">
        <f t="shared" ca="1" si="212"/>
        <v>0</v>
      </c>
      <c r="CM92" s="2792">
        <f t="shared" ca="1" si="212"/>
        <v>0</v>
      </c>
      <c r="CN92" s="2792">
        <f t="shared" ca="1" si="212"/>
        <v>0</v>
      </c>
      <c r="CO92" s="2792">
        <f t="shared" ca="1" si="212"/>
        <v>0</v>
      </c>
      <c r="CP92" s="2792">
        <f t="shared" ca="1" si="212"/>
        <v>0</v>
      </c>
      <c r="CQ92" s="2792">
        <f t="shared" ca="1" si="212"/>
        <v>0</v>
      </c>
      <c r="CR92" s="2792">
        <f t="shared" ca="1" si="212"/>
        <v>0</v>
      </c>
      <c r="CS92" s="2792">
        <f t="shared" ca="1" si="213"/>
        <v>0</v>
      </c>
      <c r="CT92" s="2792">
        <f t="shared" ca="1" si="213"/>
        <v>0</v>
      </c>
      <c r="CU92" s="2792">
        <f t="shared" ca="1" si="213"/>
        <v>0</v>
      </c>
      <c r="CV92" s="2792">
        <f t="shared" ca="1" si="213"/>
        <v>0</v>
      </c>
      <c r="CW92" s="2792">
        <f t="shared" ca="1" si="213"/>
        <v>0</v>
      </c>
      <c r="CX92" s="2792">
        <f t="shared" ca="1" si="213"/>
        <v>0</v>
      </c>
      <c r="CY92" s="2792">
        <f t="shared" ca="1" si="213"/>
        <v>0</v>
      </c>
      <c r="CZ92" s="2792">
        <f t="shared" ca="1" si="213"/>
        <v>0</v>
      </c>
      <c r="DA92" s="2792">
        <f t="shared" ca="1" si="213"/>
        <v>0</v>
      </c>
      <c r="DB92" s="2792">
        <f t="shared" ca="1" si="213"/>
        <v>0</v>
      </c>
      <c r="DC92" s="2792">
        <f t="shared" ca="1" si="213"/>
        <v>0</v>
      </c>
      <c r="DD92" s="2792">
        <f t="shared" ca="1" si="213"/>
        <v>0</v>
      </c>
      <c r="DE92" s="2792">
        <f t="shared" ca="1" si="213"/>
        <v>0</v>
      </c>
      <c r="DF92" s="2792">
        <f t="shared" ca="1" si="213"/>
        <v>0</v>
      </c>
      <c r="DH92" s="596"/>
    </row>
    <row r="93" spans="1:112" s="4" customFormat="1" ht="15.75">
      <c r="B93" s="3"/>
      <c r="C93" s="616" t="s">
        <v>571</v>
      </c>
      <c r="D93" s="617" t="s">
        <v>572</v>
      </c>
      <c r="E93" s="206"/>
      <c r="F93" s="6"/>
      <c r="G93" s="579">
        <f t="shared" ref="G93:P93" ca="1" si="214">G$89+G$91+G$92</f>
        <v>0</v>
      </c>
      <c r="H93" s="579">
        <f t="shared" ca="1" si="214"/>
        <v>0</v>
      </c>
      <c r="I93" s="579">
        <f t="shared" ca="1" si="214"/>
        <v>0</v>
      </c>
      <c r="J93" s="579">
        <f t="shared" ca="1" si="214"/>
        <v>0</v>
      </c>
      <c r="K93" s="638">
        <f t="shared" ca="1" si="214"/>
        <v>0</v>
      </c>
      <c r="L93" s="579">
        <f t="shared" ca="1" si="214"/>
        <v>0</v>
      </c>
      <c r="M93" s="579">
        <f t="shared" ca="1" si="214"/>
        <v>0</v>
      </c>
      <c r="N93" s="579">
        <f t="shared" ca="1" si="214"/>
        <v>0</v>
      </c>
      <c r="O93" s="579">
        <f t="shared" ca="1" si="214"/>
        <v>0</v>
      </c>
      <c r="P93" s="579">
        <f t="shared" ca="1" si="214"/>
        <v>0</v>
      </c>
      <c r="Q93" s="618">
        <f ca="1">SUM(G93:P93)</f>
        <v>0</v>
      </c>
      <c r="R93" s="6"/>
      <c r="S93" s="581">
        <f t="shared" ref="S93:AJ93" ca="1" si="215">S$89+S$91+S$92</f>
        <v>0</v>
      </c>
      <c r="T93" s="581">
        <f t="shared" ca="1" si="215"/>
        <v>-1.047407349678668</v>
      </c>
      <c r="U93" s="581">
        <f t="shared" ca="1" si="215"/>
        <v>0</v>
      </c>
      <c r="V93" s="581">
        <f t="shared" ca="1" si="215"/>
        <v>0</v>
      </c>
      <c r="W93" s="581">
        <f t="shared" ca="1" si="215"/>
        <v>-0.26295777674249471</v>
      </c>
      <c r="X93" s="581">
        <f ca="1">X$89+X$91+X$92</f>
        <v>0</v>
      </c>
      <c r="Y93" s="581">
        <f ca="1">Y$89+Y$91+Y$92</f>
        <v>0</v>
      </c>
      <c r="Z93" s="581">
        <f ca="1">Z$89+Z$91+Z$92</f>
        <v>0</v>
      </c>
      <c r="AA93" s="581">
        <f t="shared" ca="1" si="215"/>
        <v>0</v>
      </c>
      <c r="AB93" s="581">
        <f t="shared" ca="1" si="215"/>
        <v>0</v>
      </c>
      <c r="AC93" s="581">
        <f t="shared" ca="1" si="215"/>
        <v>0</v>
      </c>
      <c r="AD93" s="581">
        <f t="shared" ca="1" si="215"/>
        <v>0</v>
      </c>
      <c r="AE93" s="581">
        <f t="shared" ca="1" si="215"/>
        <v>0</v>
      </c>
      <c r="AF93" s="581">
        <f t="shared" ca="1" si="215"/>
        <v>0</v>
      </c>
      <c r="AG93" s="581">
        <f t="shared" ca="1" si="215"/>
        <v>0</v>
      </c>
      <c r="AH93" s="581">
        <f t="shared" ca="1" si="215"/>
        <v>0</v>
      </c>
      <c r="AI93" s="581">
        <f t="shared" ca="1" si="215"/>
        <v>0</v>
      </c>
      <c r="AJ93" s="581">
        <f t="shared" ca="1" si="215"/>
        <v>0</v>
      </c>
      <c r="AK93" s="581">
        <f ca="1">SUM(S93:AJ93)</f>
        <v>-1.3103651264211627</v>
      </c>
      <c r="AL93" s="6"/>
      <c r="AM93" s="582">
        <f t="shared" ref="AM93:BE93" ca="1" si="216">AM$89+AM$91+AM$92</f>
        <v>0</v>
      </c>
      <c r="AN93" s="582">
        <f t="shared" ca="1" si="216"/>
        <v>0</v>
      </c>
      <c r="AO93" s="582">
        <f t="shared" ca="1" si="216"/>
        <v>0</v>
      </c>
      <c r="AP93" s="582">
        <f t="shared" ca="1" si="216"/>
        <v>0</v>
      </c>
      <c r="AQ93" s="582">
        <f t="shared" ca="1" si="216"/>
        <v>-2.5</v>
      </c>
      <c r="AR93" s="582">
        <f t="shared" ca="1" si="216"/>
        <v>0</v>
      </c>
      <c r="AS93" s="582">
        <f t="shared" ca="1" si="216"/>
        <v>0</v>
      </c>
      <c r="AT93" s="582">
        <f t="shared" ca="1" si="216"/>
        <v>0</v>
      </c>
      <c r="AU93" s="582">
        <f t="shared" ca="1" si="216"/>
        <v>0</v>
      </c>
      <c r="AV93" s="582">
        <f t="shared" ca="1" si="216"/>
        <v>0</v>
      </c>
      <c r="AW93" s="582">
        <f t="shared" ca="1" si="216"/>
        <v>0</v>
      </c>
      <c r="AX93" s="582">
        <f t="shared" ca="1" si="216"/>
        <v>0</v>
      </c>
      <c r="AY93" s="582">
        <f t="shared" ca="1" si="216"/>
        <v>0</v>
      </c>
      <c r="AZ93" s="582">
        <f t="shared" ca="1" si="216"/>
        <v>0</v>
      </c>
      <c r="BA93" s="582">
        <f t="shared" ca="1" si="216"/>
        <v>0</v>
      </c>
      <c r="BB93" s="582">
        <f t="shared" ca="1" si="216"/>
        <v>0</v>
      </c>
      <c r="BC93" s="582">
        <f t="shared" ca="1" si="216"/>
        <v>0</v>
      </c>
      <c r="BD93" s="582">
        <f t="shared" ca="1" si="216"/>
        <v>0</v>
      </c>
      <c r="BE93" s="582">
        <f t="shared" ca="1" si="216"/>
        <v>0</v>
      </c>
      <c r="BF93" s="582">
        <f ca="1">SUM(AM93:BE93)</f>
        <v>-2.5</v>
      </c>
      <c r="BG93" s="6"/>
      <c r="BH93" s="3463">
        <f ca="1">BH$89+BH$91+BH$92</f>
        <v>0.15777466604549681</v>
      </c>
      <c r="BI93" s="3463">
        <f ca="1">BI$89+BI$91+BI$92</f>
        <v>3.6525904603756651</v>
      </c>
      <c r="BJ93" s="3463">
        <f ca="1">SUM(BH93:BI93)</f>
        <v>3.810365126421162</v>
      </c>
      <c r="BK93" s="6"/>
      <c r="BL93" s="3477">
        <f t="shared" ca="1" si="204"/>
        <v>0</v>
      </c>
      <c r="BM93" s="584"/>
      <c r="BN93" s="413"/>
      <c r="BO93" s="2790">
        <f t="shared" ref="BO93:DF93" ca="1" si="217">BO$89+BO$91+BO$92</f>
        <v>5.3833031604055608E-2</v>
      </c>
      <c r="BP93" s="2790">
        <f t="shared" ca="1" si="217"/>
        <v>1.9879607921732601E-5</v>
      </c>
      <c r="BQ93" s="2790">
        <f t="shared" ca="1" si="217"/>
        <v>8.5103654864940987E-4</v>
      </c>
      <c r="BR93" s="2790">
        <f t="shared" ca="1" si="217"/>
        <v>0</v>
      </c>
      <c r="BS93" s="2790">
        <f t="shared" ca="1" si="217"/>
        <v>0</v>
      </c>
      <c r="BT93" s="2790">
        <f t="shared" ca="1" si="217"/>
        <v>0</v>
      </c>
      <c r="BU93" s="2790">
        <f t="shared" ca="1" si="217"/>
        <v>0</v>
      </c>
      <c r="BV93" s="2790">
        <f t="shared" ca="1" si="217"/>
        <v>0</v>
      </c>
      <c r="BW93" s="2790">
        <f t="shared" ca="1" si="217"/>
        <v>0</v>
      </c>
      <c r="BX93" s="2790">
        <f t="shared" ca="1" si="217"/>
        <v>0</v>
      </c>
      <c r="BY93" s="2790">
        <f t="shared" ca="1" si="217"/>
        <v>0</v>
      </c>
      <c r="BZ93" s="2790">
        <f t="shared" ca="1" si="217"/>
        <v>0</v>
      </c>
      <c r="CA93" s="2790">
        <f t="shared" ca="1" si="217"/>
        <v>0</v>
      </c>
      <c r="CB93" s="2790">
        <f t="shared" ca="1" si="217"/>
        <v>0</v>
      </c>
      <c r="CC93" s="2790">
        <f t="shared" ca="1" si="217"/>
        <v>0</v>
      </c>
      <c r="CD93" s="2790">
        <f t="shared" ca="1" si="217"/>
        <v>0</v>
      </c>
      <c r="CE93" s="2790">
        <f t="shared" ca="1" si="217"/>
        <v>0</v>
      </c>
      <c r="CF93" s="2790">
        <f t="shared" ca="1" si="217"/>
        <v>0</v>
      </c>
      <c r="CG93" s="2790">
        <f t="shared" ca="1" si="217"/>
        <v>0</v>
      </c>
      <c r="CH93" s="2790">
        <f t="shared" ca="1" si="217"/>
        <v>0</v>
      </c>
      <c r="CI93" s="2790">
        <f t="shared" ca="1" si="217"/>
        <v>0</v>
      </c>
      <c r="CJ93" s="2790">
        <f t="shared" ca="1" si="217"/>
        <v>0</v>
      </c>
      <c r="CK93" s="2790">
        <f t="shared" ca="1" si="217"/>
        <v>0</v>
      </c>
      <c r="CL93" s="2790">
        <f t="shared" ca="1" si="217"/>
        <v>0</v>
      </c>
      <c r="CM93" s="2790">
        <f t="shared" ca="1" si="217"/>
        <v>0</v>
      </c>
      <c r="CN93" s="2790">
        <f t="shared" ca="1" si="217"/>
        <v>0</v>
      </c>
      <c r="CO93" s="2790">
        <f t="shared" ca="1" si="217"/>
        <v>0</v>
      </c>
      <c r="CP93" s="2790">
        <f t="shared" ca="1" si="217"/>
        <v>0</v>
      </c>
      <c r="CQ93" s="2790">
        <f t="shared" ca="1" si="217"/>
        <v>0</v>
      </c>
      <c r="CR93" s="2790">
        <f t="shared" ca="1" si="217"/>
        <v>0</v>
      </c>
      <c r="CS93" s="2790">
        <f t="shared" ca="1" si="217"/>
        <v>0</v>
      </c>
      <c r="CT93" s="2790">
        <f t="shared" ca="1" si="217"/>
        <v>0</v>
      </c>
      <c r="CU93" s="2790">
        <f t="shared" ca="1" si="217"/>
        <v>0</v>
      </c>
      <c r="CV93" s="2790">
        <f t="shared" ca="1" si="217"/>
        <v>0</v>
      </c>
      <c r="CW93" s="2790">
        <f t="shared" ca="1" si="217"/>
        <v>0</v>
      </c>
      <c r="CX93" s="2790">
        <f t="shared" ca="1" si="217"/>
        <v>0</v>
      </c>
      <c r="CY93" s="2790">
        <f t="shared" ca="1" si="217"/>
        <v>0</v>
      </c>
      <c r="CZ93" s="2790">
        <f t="shared" ca="1" si="217"/>
        <v>0</v>
      </c>
      <c r="DA93" s="2790">
        <f t="shared" ca="1" si="217"/>
        <v>0</v>
      </c>
      <c r="DB93" s="2790">
        <f t="shared" ca="1" si="217"/>
        <v>0</v>
      </c>
      <c r="DC93" s="2790">
        <f t="shared" ca="1" si="217"/>
        <v>0</v>
      </c>
      <c r="DD93" s="2790">
        <f t="shared" ca="1" si="217"/>
        <v>0</v>
      </c>
      <c r="DE93" s="2790">
        <f t="shared" ca="1" si="217"/>
        <v>0</v>
      </c>
      <c r="DF93" s="2790">
        <f t="shared" ca="1" si="217"/>
        <v>0</v>
      </c>
      <c r="DH93" s="596">
        <f t="shared" ref="DH93:DH104" ca="1" si="218">SUM(BO93:DF93)</f>
        <v>5.4703947760626752E-2</v>
      </c>
    </row>
    <row r="94" spans="1:112" s="6" customFormat="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04"/>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18"/>
        <v>0</v>
      </c>
    </row>
    <row r="95" spans="1:112" s="639" customFormat="1" ht="11.25">
      <c r="C95" s="640" t="s">
        <v>573</v>
      </c>
      <c r="D95" s="641" t="s">
        <v>574</v>
      </c>
      <c r="E95" s="641"/>
      <c r="G95" s="643"/>
      <c r="H95" s="643"/>
      <c r="I95" s="643"/>
      <c r="J95" s="643"/>
      <c r="K95" s="644"/>
      <c r="L95" s="643"/>
      <c r="M95" s="643"/>
      <c r="N95" s="643"/>
      <c r="O95" s="643"/>
      <c r="P95" s="643"/>
      <c r="Q95" s="643"/>
      <c r="S95" s="645"/>
      <c r="T95" s="645"/>
      <c r="U95" s="645">
        <f ca="1">(U$40+U$84+U$93)</f>
        <v>-16.777250665890641</v>
      </c>
      <c r="V95" s="645">
        <f ca="1">(V$40+V$84+V$93)</f>
        <v>-67.727908156726983</v>
      </c>
      <c r="W95" s="645">
        <f ca="1">(W$40+W$84+W$93)</f>
        <v>-47.057336420652923</v>
      </c>
      <c r="X95" s="645"/>
      <c r="Y95" s="645"/>
      <c r="Z95" s="645"/>
      <c r="AA95" s="645"/>
      <c r="AB95" s="645"/>
      <c r="AC95" s="645">
        <f t="shared" ref="AC95:AH95" ca="1" si="219">(AC$40+AC$84+AC$93)</f>
        <v>0</v>
      </c>
      <c r="AD95" s="645">
        <f t="shared" ca="1" si="219"/>
        <v>10.560023127898354</v>
      </c>
      <c r="AE95" s="645">
        <f t="shared" ca="1" si="219"/>
        <v>0.26905561870922784</v>
      </c>
      <c r="AF95" s="645">
        <f t="shared" ca="1" si="219"/>
        <v>3.4730781007789262</v>
      </c>
      <c r="AG95" s="645">
        <f t="shared" ca="1" si="219"/>
        <v>1.5106164705314096</v>
      </c>
      <c r="AH95" s="645">
        <f t="shared" ca="1" si="219"/>
        <v>0.14794501798441054</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-5.3833406982345036</v>
      </c>
      <c r="BF95" s="646">
        <f ca="1">SUM(AM95:BE95)</f>
        <v>-5.3833406982345036</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18"/>
        <v>0</v>
      </c>
    </row>
    <row r="96" spans="1:112" s="642" customFormat="1">
      <c r="A96" s="693"/>
      <c r="B96" s="693"/>
      <c r="C96" s="694" t="s">
        <v>575</v>
      </c>
      <c r="D96" s="695" t="s">
        <v>576</v>
      </c>
      <c r="E96" s="695"/>
      <c r="G96" s="696">
        <f t="shared" ref="G96:P96" ca="1" si="220">IFERROR(INDEX(INDIRECT($C96&amp;".Outputs["&amp;this.Year&amp;"]"), MATCH(G$5, INDIRECT($C96&amp;".Outputs[Vector]"), 0)), 0)</f>
        <v>0</v>
      </c>
      <c r="H96" s="696">
        <f t="shared" ca="1" si="220"/>
        <v>0</v>
      </c>
      <c r="I96" s="696">
        <f t="shared" ca="1" si="220"/>
        <v>0</v>
      </c>
      <c r="J96" s="696">
        <f t="shared" ca="1" si="220"/>
        <v>0</v>
      </c>
      <c r="K96" s="696">
        <f t="shared" ca="1" si="220"/>
        <v>0</v>
      </c>
      <c r="L96" s="696">
        <f t="shared" ca="1" si="220"/>
        <v>0</v>
      </c>
      <c r="M96" s="696">
        <f t="shared" ca="1" si="220"/>
        <v>0</v>
      </c>
      <c r="N96" s="696">
        <f t="shared" ca="1" si="220"/>
        <v>0</v>
      </c>
      <c r="O96" s="696">
        <f t="shared" ca="1" si="220"/>
        <v>0</v>
      </c>
      <c r="P96" s="696">
        <f t="shared" ca="1" si="220"/>
        <v>0</v>
      </c>
      <c r="Q96" s="697">
        <f ca="1">SUM(G96:P96)</f>
        <v>0</v>
      </c>
      <c r="S96" s="698">
        <f t="shared" ref="S96:AJ96" ca="1" si="221">IFERROR(INDEX(INDIRECT($C96&amp;".Outputs["&amp;this.Year&amp;"]"), MATCH(S$5, INDIRECT($C96&amp;".Outputs[Vector]"), 0)), 0)</f>
        <v>0</v>
      </c>
      <c r="T96" s="698">
        <f t="shared" ca="1" si="221"/>
        <v>0</v>
      </c>
      <c r="U96" s="698">
        <f t="shared" ca="1" si="221"/>
        <v>12.629791105809554</v>
      </c>
      <c r="V96" s="698">
        <f t="shared" ca="1" si="221"/>
        <v>8.3407241799860629E-2</v>
      </c>
      <c r="W96" s="698">
        <f t="shared" ca="1" si="221"/>
        <v>1.2809073708829677</v>
      </c>
      <c r="X96" s="698">
        <f t="shared" ca="1" si="221"/>
        <v>0</v>
      </c>
      <c r="Y96" s="698">
        <f t="shared" ca="1" si="221"/>
        <v>0</v>
      </c>
      <c r="Z96" s="698">
        <f t="shared" ca="1" si="221"/>
        <v>0</v>
      </c>
      <c r="AA96" s="698">
        <f t="shared" ca="1" si="221"/>
        <v>0</v>
      </c>
      <c r="AB96" s="698">
        <f t="shared" ca="1" si="221"/>
        <v>0</v>
      </c>
      <c r="AC96" s="698">
        <f t="shared" ca="1" si="221"/>
        <v>0</v>
      </c>
      <c r="AD96" s="698">
        <f t="shared" ca="1" si="221"/>
        <v>-10.560023127898354</v>
      </c>
      <c r="AE96" s="698">
        <f t="shared" ca="1" si="221"/>
        <v>-0.26905561870922784</v>
      </c>
      <c r="AF96" s="698">
        <f t="shared" ca="1" si="221"/>
        <v>-3.4730781007789262</v>
      </c>
      <c r="AG96" s="698">
        <f t="shared" ca="1" si="221"/>
        <v>-1.5106164705314096</v>
      </c>
      <c r="AH96" s="698">
        <f t="shared" ca="1" si="221"/>
        <v>-0.14794501798441054</v>
      </c>
      <c r="AI96" s="698">
        <f t="shared" ca="1" si="221"/>
        <v>0</v>
      </c>
      <c r="AJ96" s="698">
        <f t="shared" ca="1" si="221"/>
        <v>0</v>
      </c>
      <c r="AK96" s="699">
        <f ca="1">SUM(S96:AJ96)</f>
        <v>-1.9666126174099452</v>
      </c>
      <c r="AM96" s="700">
        <f t="shared" ref="AM96:BE96" ca="1" si="222">IFERROR(INDEX(INDIRECT($C96&amp;".Outputs["&amp;this.Year&amp;"]"), MATCH(AM$5, INDIRECT($C96&amp;".Outputs[Vector]"), 0)), 0)</f>
        <v>0</v>
      </c>
      <c r="AN96" s="700">
        <f t="shared" ca="1" si="222"/>
        <v>0</v>
      </c>
      <c r="AO96" s="700">
        <f t="shared" ca="1" si="222"/>
        <v>0</v>
      </c>
      <c r="AP96" s="700">
        <f t="shared" ca="1" si="222"/>
        <v>0</v>
      </c>
      <c r="AQ96" s="700">
        <f t="shared" ca="1" si="222"/>
        <v>0</v>
      </c>
      <c r="AR96" s="700">
        <f t="shared" ca="1" si="222"/>
        <v>0</v>
      </c>
      <c r="AS96" s="700">
        <f t="shared" ca="1" si="222"/>
        <v>0</v>
      </c>
      <c r="AT96" s="700">
        <f t="shared" ca="1" si="222"/>
        <v>0</v>
      </c>
      <c r="AU96" s="700">
        <f t="shared" ca="1" si="222"/>
        <v>0</v>
      </c>
      <c r="AV96" s="700">
        <f t="shared" ca="1" si="222"/>
        <v>0</v>
      </c>
      <c r="AW96" s="700">
        <f t="shared" ca="1" si="222"/>
        <v>0</v>
      </c>
      <c r="AX96" s="700">
        <f t="shared" ca="1" si="222"/>
        <v>0</v>
      </c>
      <c r="AY96" s="700">
        <f t="shared" ca="1" si="222"/>
        <v>0</v>
      </c>
      <c r="AZ96" s="700">
        <f t="shared" ca="1" si="222"/>
        <v>0</v>
      </c>
      <c r="BA96" s="700">
        <f t="shared" ca="1" si="222"/>
        <v>0</v>
      </c>
      <c r="BB96" s="700">
        <f t="shared" ca="1" si="222"/>
        <v>0</v>
      </c>
      <c r="BC96" s="700">
        <f t="shared" ca="1" si="222"/>
        <v>0</v>
      </c>
      <c r="BD96" s="700">
        <f t="shared" ca="1" si="222"/>
        <v>0</v>
      </c>
      <c r="BE96" s="700">
        <f t="shared" ca="1" si="222"/>
        <v>0</v>
      </c>
      <c r="BF96" s="701">
        <f ca="1">SUM(AM96:BE96)</f>
        <v>0</v>
      </c>
      <c r="BH96" s="3476">
        <f ca="1">IFERROR(INDEX(INDIRECT($C96&amp;".Outputs["&amp;this.Year&amp;"]"), MATCH(BH$5, INDIRECT($C96&amp;".Outputs[Vector]"), 0)), 0)</f>
        <v>1.966612617409945</v>
      </c>
      <c r="BI96" s="3476">
        <f ca="1">IFERROR(INDEX(INDIRECT($C96&amp;".Outputs["&amp;this.Year&amp;"]"), MATCH(BI$5, INDIRECT($C96&amp;".Outputs[Vector]"), 0)), 0)</f>
        <v>0</v>
      </c>
      <c r="BJ96" s="3468">
        <f ca="1">SUM(BH96:BI96)</f>
        <v>1.966612617409945</v>
      </c>
      <c r="BL96" s="702">
        <f ca="1">Q96+AK96+BF96+BJ96</f>
        <v>0</v>
      </c>
      <c r="BM96" s="702"/>
      <c r="BN96" s="703"/>
      <c r="BO96" s="2796">
        <f t="shared" ref="BO96:DF96" ca="1" si="223">IFERROR(SUMIFS(INDIRECT($C96&amp;".Emissions["&amp;this.Year&amp;"]"), INDIRECT($C96&amp;".Emissions[GHG]"), BO$6, INDIRECT($C96&amp;".Emissions[IPCC Sector]"), BO$5),0)</f>
        <v>0</v>
      </c>
      <c r="BP96" s="2797">
        <f t="shared" ca="1" si="223"/>
        <v>0</v>
      </c>
      <c r="BQ96" s="2797">
        <f t="shared" ca="1" si="223"/>
        <v>0</v>
      </c>
      <c r="BR96" s="2797">
        <f t="shared" ca="1" si="223"/>
        <v>0</v>
      </c>
      <c r="BS96" s="2797">
        <f t="shared" ca="1" si="223"/>
        <v>0</v>
      </c>
      <c r="BT96" s="2797">
        <f t="shared" ca="1" si="223"/>
        <v>0</v>
      </c>
      <c r="BU96" s="2797">
        <f t="shared" ca="1" si="223"/>
        <v>0</v>
      </c>
      <c r="BV96" s="2797">
        <f t="shared" ca="1" si="223"/>
        <v>0</v>
      </c>
      <c r="BW96" s="2797">
        <f t="shared" ca="1" si="223"/>
        <v>0</v>
      </c>
      <c r="BX96" s="2797">
        <f t="shared" ca="1" si="223"/>
        <v>0</v>
      </c>
      <c r="BY96" s="2797">
        <f t="shared" ca="1" si="223"/>
        <v>0</v>
      </c>
      <c r="BZ96" s="2797">
        <f t="shared" ca="1" si="223"/>
        <v>0</v>
      </c>
      <c r="CA96" s="2797">
        <f t="shared" ca="1" si="223"/>
        <v>0</v>
      </c>
      <c r="CB96" s="2797">
        <f t="shared" ca="1" si="223"/>
        <v>0</v>
      </c>
      <c r="CC96" s="2797">
        <f t="shared" ca="1" si="223"/>
        <v>0</v>
      </c>
      <c r="CD96" s="2797">
        <f t="shared" ca="1" si="223"/>
        <v>0</v>
      </c>
      <c r="CE96" s="2797">
        <f t="shared" ca="1" si="223"/>
        <v>0</v>
      </c>
      <c r="CF96" s="2797">
        <f t="shared" ca="1" si="223"/>
        <v>0</v>
      </c>
      <c r="CG96" s="2797">
        <f t="shared" ca="1" si="223"/>
        <v>0</v>
      </c>
      <c r="CH96" s="2797">
        <f t="shared" ca="1" si="223"/>
        <v>0</v>
      </c>
      <c r="CI96" s="2797">
        <f t="shared" ca="1" si="223"/>
        <v>0</v>
      </c>
      <c r="CJ96" s="2797">
        <f t="shared" ca="1" si="223"/>
        <v>0</v>
      </c>
      <c r="CK96" s="2797">
        <f t="shared" ca="1" si="223"/>
        <v>0</v>
      </c>
      <c r="CL96" s="2797">
        <f t="shared" ca="1" si="223"/>
        <v>0</v>
      </c>
      <c r="CM96" s="2797">
        <f t="shared" ca="1" si="223"/>
        <v>0</v>
      </c>
      <c r="CN96" s="2797">
        <f t="shared" ca="1" si="223"/>
        <v>0</v>
      </c>
      <c r="CO96" s="2797">
        <f t="shared" ca="1" si="223"/>
        <v>0</v>
      </c>
      <c r="CP96" s="2797">
        <f t="shared" ca="1" si="223"/>
        <v>0</v>
      </c>
      <c r="CQ96" s="2797">
        <f t="shared" ca="1" si="223"/>
        <v>0</v>
      </c>
      <c r="CR96" s="2797">
        <f t="shared" ca="1" si="223"/>
        <v>0</v>
      </c>
      <c r="CS96" s="2797">
        <f t="shared" ca="1" si="223"/>
        <v>0</v>
      </c>
      <c r="CT96" s="2797">
        <f t="shared" ca="1" si="223"/>
        <v>0</v>
      </c>
      <c r="CU96" s="2797">
        <f t="shared" ca="1" si="223"/>
        <v>0</v>
      </c>
      <c r="CV96" s="2797">
        <f t="shared" ca="1" si="223"/>
        <v>0</v>
      </c>
      <c r="CW96" s="2797">
        <f t="shared" ca="1" si="223"/>
        <v>0</v>
      </c>
      <c r="CX96" s="2797">
        <f t="shared" ca="1" si="223"/>
        <v>0</v>
      </c>
      <c r="CY96" s="2797">
        <f t="shared" ca="1" si="223"/>
        <v>-4.5483387816642304</v>
      </c>
      <c r="CZ96" s="2797">
        <f t="shared" ca="1" si="223"/>
        <v>0</v>
      </c>
      <c r="DA96" s="2797">
        <f t="shared" ca="1" si="223"/>
        <v>0</v>
      </c>
      <c r="DB96" s="2797">
        <f t="shared" ca="1" si="223"/>
        <v>0</v>
      </c>
      <c r="DC96" s="2797">
        <f t="shared" ca="1" si="223"/>
        <v>0</v>
      </c>
      <c r="DD96" s="2797">
        <f t="shared" ca="1" si="223"/>
        <v>0</v>
      </c>
      <c r="DE96" s="2797">
        <f t="shared" ca="1" si="223"/>
        <v>0</v>
      </c>
      <c r="DF96" s="2797">
        <f t="shared" ca="1" si="223"/>
        <v>0</v>
      </c>
      <c r="DH96" s="649">
        <f t="shared" ca="1" si="218"/>
        <v>-4.5483387816642304</v>
      </c>
    </row>
    <row r="97" spans="1:112" s="639" customFormat="1" ht="11.25">
      <c r="C97" s="640" t="s">
        <v>577</v>
      </c>
      <c r="D97" s="641" t="s">
        <v>574</v>
      </c>
      <c r="E97" s="641"/>
      <c r="G97" s="643"/>
      <c r="H97" s="643"/>
      <c r="I97" s="643"/>
      <c r="J97" s="643"/>
      <c r="K97" s="644"/>
      <c r="L97" s="643"/>
      <c r="M97" s="643"/>
      <c r="N97" s="643"/>
      <c r="O97" s="643"/>
      <c r="P97" s="643"/>
      <c r="Q97" s="643"/>
      <c r="S97" s="645"/>
      <c r="T97" s="645"/>
      <c r="U97" s="645">
        <f ca="1">U$95+U$96</f>
        <v>-4.1474595600810868</v>
      </c>
      <c r="V97" s="645">
        <f ca="1">V$95+V$96</f>
        <v>-67.644500914927121</v>
      </c>
      <c r="W97" s="645">
        <f ca="1">W$95+W$96</f>
        <v>-45.776429049769959</v>
      </c>
      <c r="X97" s="645"/>
      <c r="Y97" s="645"/>
      <c r="Z97" s="645"/>
      <c r="AA97" s="645"/>
      <c r="AB97" s="645"/>
      <c r="AC97" s="645">
        <f t="shared" ref="AC97:AH97" ca="1" si="224">AC$95+AC$96</f>
        <v>0</v>
      </c>
      <c r="AD97" s="645">
        <f t="shared" ca="1" si="224"/>
        <v>0</v>
      </c>
      <c r="AE97" s="645">
        <f t="shared" ca="1" si="224"/>
        <v>0</v>
      </c>
      <c r="AF97" s="645">
        <f t="shared" ca="1" si="224"/>
        <v>0</v>
      </c>
      <c r="AG97" s="645">
        <f t="shared" ca="1" si="224"/>
        <v>0</v>
      </c>
      <c r="AH97" s="645">
        <f t="shared" ca="1" si="22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-0.89245825273520496</v>
      </c>
      <c r="BF97" s="646">
        <f ca="1">SUM(AM97:BE97)</f>
        <v>-0.89245825273520496</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c r="A98" s="607"/>
      <c r="B98" s="607"/>
      <c r="C98" s="587" t="s">
        <v>578</v>
      </c>
      <c r="D98" s="611" t="s">
        <v>579</v>
      </c>
      <c r="E98" s="611"/>
      <c r="G98" s="619">
        <f t="shared" ref="G98:P98" ca="1" si="225">IFERROR(INDEX(INDIRECT($C98&amp;".Outputs["&amp;this.Year&amp;"]"), MATCH(G$5, INDIRECT($C98&amp;".Outputs[Vector]"), 0)), 0)</f>
        <v>0</v>
      </c>
      <c r="H98" s="619">
        <f t="shared" ca="1" si="225"/>
        <v>0</v>
      </c>
      <c r="I98" s="619">
        <f t="shared" ca="1" si="225"/>
        <v>0</v>
      </c>
      <c r="J98" s="619">
        <f t="shared" ca="1" si="225"/>
        <v>0</v>
      </c>
      <c r="K98" s="619">
        <f t="shared" ca="1" si="225"/>
        <v>0</v>
      </c>
      <c r="L98" s="619">
        <f t="shared" ca="1" si="225"/>
        <v>0</v>
      </c>
      <c r="M98" s="619">
        <f t="shared" ca="1" si="225"/>
        <v>0</v>
      </c>
      <c r="N98" s="619">
        <f t="shared" ca="1" si="225"/>
        <v>0</v>
      </c>
      <c r="O98" s="619">
        <f t="shared" ca="1" si="225"/>
        <v>0</v>
      </c>
      <c r="P98" s="619">
        <f t="shared" ca="1" si="225"/>
        <v>0</v>
      </c>
      <c r="Q98" s="612">
        <f ca="1">SUM(G98:P98)</f>
        <v>0</v>
      </c>
      <c r="S98" s="620">
        <f t="shared" ref="S98:AJ98" ca="1" si="226">IFERROR(INDEX(INDIRECT($C98&amp;".Outputs["&amp;this.Year&amp;"]"), MATCH(S$5, INDIRECT($C98&amp;".Outputs[Vector]"), 0)), 0)</f>
        <v>0</v>
      </c>
      <c r="T98" s="620">
        <f t="shared" ca="1" si="226"/>
        <v>0</v>
      </c>
      <c r="U98" s="620">
        <f t="shared" ca="1" si="226"/>
        <v>1.4</v>
      </c>
      <c r="V98" s="620">
        <f t="shared" ca="1" si="226"/>
        <v>1.5119</v>
      </c>
      <c r="W98" s="620">
        <f t="shared" ca="1" si="226"/>
        <v>0</v>
      </c>
      <c r="X98" s="620">
        <f t="shared" ca="1" si="226"/>
        <v>0</v>
      </c>
      <c r="Y98" s="620">
        <f t="shared" ca="1" si="226"/>
        <v>0</v>
      </c>
      <c r="Z98" s="620">
        <f t="shared" ca="1" si="226"/>
        <v>0</v>
      </c>
      <c r="AA98" s="620">
        <f t="shared" ca="1" si="226"/>
        <v>0</v>
      </c>
      <c r="AB98" s="620">
        <f t="shared" ca="1" si="226"/>
        <v>0</v>
      </c>
      <c r="AC98" s="620">
        <f t="shared" ca="1" si="226"/>
        <v>0</v>
      </c>
      <c r="AD98" s="620">
        <f t="shared" ca="1" si="226"/>
        <v>0</v>
      </c>
      <c r="AE98" s="620">
        <f t="shared" ca="1" si="226"/>
        <v>0</v>
      </c>
      <c r="AF98" s="620">
        <f t="shared" ca="1" si="226"/>
        <v>0</v>
      </c>
      <c r="AG98" s="620">
        <f t="shared" ca="1" si="226"/>
        <v>0</v>
      </c>
      <c r="AH98" s="620">
        <f t="shared" ca="1" si="226"/>
        <v>0</v>
      </c>
      <c r="AI98" s="620">
        <f t="shared" ca="1" si="226"/>
        <v>0</v>
      </c>
      <c r="AJ98" s="620">
        <f t="shared" ca="1" si="226"/>
        <v>0</v>
      </c>
      <c r="AK98" s="613">
        <f ca="1">SUM(S98:AJ98)</f>
        <v>2.9119000000000002</v>
      </c>
      <c r="AM98" s="621">
        <f t="shared" ref="AM98:BE98" ca="1" si="227">IFERROR(INDEX(INDIRECT($C98&amp;".Outputs["&amp;this.Year&amp;"]"), MATCH(AM$5, INDIRECT($C98&amp;".Outputs[Vector]"), 0)), 0)</f>
        <v>0</v>
      </c>
      <c r="AN98" s="621">
        <f t="shared" ca="1" si="227"/>
        <v>0</v>
      </c>
      <c r="AO98" s="621">
        <f t="shared" ca="1" si="227"/>
        <v>0</v>
      </c>
      <c r="AP98" s="621">
        <f t="shared" ca="1" si="227"/>
        <v>-2.9119000000000002</v>
      </c>
      <c r="AQ98" s="621">
        <f t="shared" ca="1" si="227"/>
        <v>0</v>
      </c>
      <c r="AR98" s="621">
        <f t="shared" ca="1" si="227"/>
        <v>0</v>
      </c>
      <c r="AS98" s="621">
        <f t="shared" ca="1" si="227"/>
        <v>0</v>
      </c>
      <c r="AT98" s="621">
        <f t="shared" ca="1" si="227"/>
        <v>0</v>
      </c>
      <c r="AU98" s="621">
        <f t="shared" ca="1" si="227"/>
        <v>0</v>
      </c>
      <c r="AV98" s="621">
        <f t="shared" ca="1" si="227"/>
        <v>0</v>
      </c>
      <c r="AW98" s="621">
        <f t="shared" ca="1" si="227"/>
        <v>0</v>
      </c>
      <c r="AX98" s="621">
        <f t="shared" ca="1" si="227"/>
        <v>0</v>
      </c>
      <c r="AY98" s="621">
        <f t="shared" ca="1" si="227"/>
        <v>0</v>
      </c>
      <c r="AZ98" s="621">
        <f t="shared" ca="1" si="227"/>
        <v>0</v>
      </c>
      <c r="BA98" s="621">
        <f t="shared" ca="1" si="227"/>
        <v>0</v>
      </c>
      <c r="BB98" s="621">
        <f t="shared" ca="1" si="227"/>
        <v>0</v>
      </c>
      <c r="BC98" s="621">
        <f t="shared" ca="1" si="227"/>
        <v>0</v>
      </c>
      <c r="BD98" s="621">
        <f t="shared" ca="1" si="227"/>
        <v>0</v>
      </c>
      <c r="BE98" s="621">
        <f t="shared" ca="1" si="227"/>
        <v>0</v>
      </c>
      <c r="BF98" s="615">
        <f ca="1">SUM(AM98:BE98)</f>
        <v>-2.9119000000000002</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28">IFERROR(SUMIFS(INDIRECT($C98&amp;".Emissions["&amp;this.Year&amp;"]"), INDIRECT($C98&amp;".Emissions[GHG]"), BO$6, INDIRECT($C98&amp;".Emissions[IPCC Sector]"), BO$5),0)</f>
        <v>0</v>
      </c>
      <c r="BP98" s="2792">
        <f t="shared" ca="1" si="228"/>
        <v>0</v>
      </c>
      <c r="BQ98" s="2792">
        <f t="shared" ca="1" si="228"/>
        <v>0</v>
      </c>
      <c r="BR98" s="2792">
        <f t="shared" ca="1" si="228"/>
        <v>0</v>
      </c>
      <c r="BS98" s="2792">
        <f t="shared" ca="1" si="228"/>
        <v>0</v>
      </c>
      <c r="BT98" s="2792">
        <f t="shared" ca="1" si="228"/>
        <v>0</v>
      </c>
      <c r="BU98" s="2792">
        <f t="shared" ca="1" si="228"/>
        <v>0</v>
      </c>
      <c r="BV98" s="2792">
        <f t="shared" ca="1" si="228"/>
        <v>0</v>
      </c>
      <c r="BW98" s="2792">
        <f t="shared" ca="1" si="228"/>
        <v>0</v>
      </c>
      <c r="BX98" s="2792">
        <f t="shared" ca="1" si="228"/>
        <v>0</v>
      </c>
      <c r="BY98" s="2792">
        <f t="shared" ca="1" si="228"/>
        <v>0</v>
      </c>
      <c r="BZ98" s="2792">
        <f t="shared" ca="1" si="228"/>
        <v>0</v>
      </c>
      <c r="CA98" s="2792">
        <f t="shared" ca="1" si="228"/>
        <v>0</v>
      </c>
      <c r="CB98" s="2792">
        <f t="shared" ca="1" si="228"/>
        <v>0</v>
      </c>
      <c r="CC98" s="2792">
        <f t="shared" ca="1" si="228"/>
        <v>0</v>
      </c>
      <c r="CD98" s="2792">
        <f t="shared" ca="1" si="228"/>
        <v>0</v>
      </c>
      <c r="CE98" s="2792">
        <f t="shared" ca="1" si="228"/>
        <v>0</v>
      </c>
      <c r="CF98" s="2792">
        <f t="shared" ca="1" si="228"/>
        <v>0</v>
      </c>
      <c r="CG98" s="2792">
        <f t="shared" ca="1" si="228"/>
        <v>0</v>
      </c>
      <c r="CH98" s="2792">
        <f t="shared" ca="1" si="228"/>
        <v>0</v>
      </c>
      <c r="CI98" s="2792">
        <f t="shared" ca="1" si="228"/>
        <v>0</v>
      </c>
      <c r="CJ98" s="2792">
        <f t="shared" ca="1" si="228"/>
        <v>0</v>
      </c>
      <c r="CK98" s="2792">
        <f t="shared" ca="1" si="228"/>
        <v>0</v>
      </c>
      <c r="CL98" s="2792">
        <f t="shared" ca="1" si="228"/>
        <v>0</v>
      </c>
      <c r="CM98" s="2792">
        <f t="shared" ca="1" si="228"/>
        <v>0</v>
      </c>
      <c r="CN98" s="2792">
        <f t="shared" ca="1" si="228"/>
        <v>0</v>
      </c>
      <c r="CO98" s="2792">
        <f t="shared" ca="1" si="228"/>
        <v>0</v>
      </c>
      <c r="CP98" s="2792">
        <f t="shared" ca="1" si="228"/>
        <v>0</v>
      </c>
      <c r="CQ98" s="2792">
        <f t="shared" ca="1" si="228"/>
        <v>0</v>
      </c>
      <c r="CR98" s="2792">
        <f t="shared" ca="1" si="228"/>
        <v>0</v>
      </c>
      <c r="CS98" s="2792">
        <f t="shared" ca="1" si="228"/>
        <v>0</v>
      </c>
      <c r="CT98" s="2792">
        <f t="shared" ca="1" si="228"/>
        <v>0</v>
      </c>
      <c r="CU98" s="2792">
        <f t="shared" ca="1" si="228"/>
        <v>0</v>
      </c>
      <c r="CV98" s="2792">
        <f t="shared" ca="1" si="228"/>
        <v>0</v>
      </c>
      <c r="CW98" s="2792">
        <f t="shared" ca="1" si="228"/>
        <v>0</v>
      </c>
      <c r="CX98" s="2792">
        <f t="shared" ca="1" si="228"/>
        <v>0</v>
      </c>
      <c r="CY98" s="2792">
        <f t="shared" ca="1" si="228"/>
        <v>-0.87163153199999999</v>
      </c>
      <c r="CZ98" s="2792">
        <f t="shared" ca="1" si="228"/>
        <v>0</v>
      </c>
      <c r="DA98" s="2792">
        <f t="shared" ca="1" si="228"/>
        <v>0</v>
      </c>
      <c r="DB98" s="2792">
        <f t="shared" ca="1" si="228"/>
        <v>0</v>
      </c>
      <c r="DC98" s="2792">
        <f t="shared" ca="1" si="228"/>
        <v>0</v>
      </c>
      <c r="DD98" s="2792">
        <f t="shared" ca="1" si="228"/>
        <v>0</v>
      </c>
      <c r="DE98" s="2792">
        <f t="shared" ca="1" si="228"/>
        <v>0</v>
      </c>
      <c r="DF98" s="2792">
        <f t="shared" ca="1" si="228"/>
        <v>0</v>
      </c>
      <c r="DH98" s="596">
        <f ca="1">SUM(BO98:DF98)</f>
        <v>-0.87163153199999999</v>
      </c>
    </row>
    <row r="99" spans="1:112" s="6" customFormat="1" ht="15.75">
      <c r="A99" s="4"/>
      <c r="B99" s="3"/>
      <c r="C99" s="616" t="s">
        <v>580</v>
      </c>
      <c r="D99" s="617" t="s">
        <v>581</v>
      </c>
      <c r="E99" s="206"/>
      <c r="G99" s="618">
        <f ca="1">G$96+G98</f>
        <v>0</v>
      </c>
      <c r="H99" s="618">
        <f t="shared" ref="H99:P99" ca="1" si="229">H$96+H98</f>
        <v>0</v>
      </c>
      <c r="I99" s="618">
        <f t="shared" ca="1" si="229"/>
        <v>0</v>
      </c>
      <c r="J99" s="618">
        <f t="shared" ca="1" si="229"/>
        <v>0</v>
      </c>
      <c r="K99" s="618">
        <f t="shared" ca="1" si="229"/>
        <v>0</v>
      </c>
      <c r="L99" s="618">
        <f t="shared" ca="1" si="229"/>
        <v>0</v>
      </c>
      <c r="M99" s="618">
        <f t="shared" ca="1" si="229"/>
        <v>0</v>
      </c>
      <c r="N99" s="618">
        <f t="shared" ca="1" si="229"/>
        <v>0</v>
      </c>
      <c r="O99" s="618">
        <f t="shared" ca="1" si="229"/>
        <v>0</v>
      </c>
      <c r="P99" s="618">
        <f t="shared" ca="1" si="229"/>
        <v>0</v>
      </c>
      <c r="Q99" s="618">
        <f ca="1">SUM(G99:P99)</f>
        <v>0</v>
      </c>
      <c r="S99" s="581">
        <f t="shared" ref="S99:AJ99" ca="1" si="230">S$96+S98</f>
        <v>0</v>
      </c>
      <c r="T99" s="581">
        <f t="shared" ca="1" si="230"/>
        <v>0</v>
      </c>
      <c r="U99" s="581">
        <f t="shared" ca="1" si="230"/>
        <v>14.029791105809554</v>
      </c>
      <c r="V99" s="581">
        <f t="shared" ca="1" si="230"/>
        <v>1.5953072417998606</v>
      </c>
      <c r="W99" s="581">
        <f t="shared" ca="1" si="230"/>
        <v>1.2809073708829677</v>
      </c>
      <c r="X99" s="581">
        <f t="shared" ca="1" si="230"/>
        <v>0</v>
      </c>
      <c r="Y99" s="581">
        <f t="shared" ca="1" si="230"/>
        <v>0</v>
      </c>
      <c r="Z99" s="581">
        <f t="shared" ca="1" si="230"/>
        <v>0</v>
      </c>
      <c r="AA99" s="581">
        <f t="shared" ca="1" si="230"/>
        <v>0</v>
      </c>
      <c r="AB99" s="581">
        <f t="shared" ca="1" si="230"/>
        <v>0</v>
      </c>
      <c r="AC99" s="581">
        <f t="shared" ca="1" si="230"/>
        <v>0</v>
      </c>
      <c r="AD99" s="581">
        <f ca="1">AD$96+AD98</f>
        <v>-10.560023127898354</v>
      </c>
      <c r="AE99" s="581">
        <f ca="1">AE$96+AE98</f>
        <v>-0.26905561870922784</v>
      </c>
      <c r="AF99" s="581">
        <f t="shared" ca="1" si="230"/>
        <v>-3.4730781007789262</v>
      </c>
      <c r="AG99" s="581">
        <f t="shared" ca="1" si="230"/>
        <v>-1.5106164705314096</v>
      </c>
      <c r="AH99" s="581">
        <f ca="1">AH$96+AH98</f>
        <v>-0.14794501798441054</v>
      </c>
      <c r="AI99" s="581">
        <f t="shared" ca="1" si="230"/>
        <v>0</v>
      </c>
      <c r="AJ99" s="581">
        <f t="shared" ca="1" si="230"/>
        <v>0</v>
      </c>
      <c r="AK99" s="581">
        <f ca="1">SUM(S99:AJ99)</f>
        <v>0.94528738259005241</v>
      </c>
      <c r="AM99" s="582">
        <f t="shared" ref="AM99:BE99" ca="1" si="231">AM$96+AM98</f>
        <v>0</v>
      </c>
      <c r="AN99" s="582">
        <f t="shared" ca="1" si="231"/>
        <v>0</v>
      </c>
      <c r="AO99" s="582">
        <f t="shared" ca="1" si="231"/>
        <v>0</v>
      </c>
      <c r="AP99" s="582">
        <f t="shared" ca="1" si="231"/>
        <v>-2.9119000000000002</v>
      </c>
      <c r="AQ99" s="582">
        <f t="shared" ca="1" si="231"/>
        <v>0</v>
      </c>
      <c r="AR99" s="582">
        <f t="shared" ca="1" si="231"/>
        <v>0</v>
      </c>
      <c r="AS99" s="582">
        <f t="shared" ca="1" si="231"/>
        <v>0</v>
      </c>
      <c r="AT99" s="582">
        <f t="shared" ca="1" si="231"/>
        <v>0</v>
      </c>
      <c r="AU99" s="582">
        <f t="shared" ca="1" si="231"/>
        <v>0</v>
      </c>
      <c r="AV99" s="582">
        <f t="shared" ca="1" si="231"/>
        <v>0</v>
      </c>
      <c r="AW99" s="582">
        <f t="shared" ca="1" si="231"/>
        <v>0</v>
      </c>
      <c r="AX99" s="582">
        <f t="shared" ca="1" si="231"/>
        <v>0</v>
      </c>
      <c r="AY99" s="582">
        <f t="shared" ca="1" si="231"/>
        <v>0</v>
      </c>
      <c r="AZ99" s="582">
        <f t="shared" ca="1" si="231"/>
        <v>0</v>
      </c>
      <c r="BA99" s="582">
        <f t="shared" ca="1" si="231"/>
        <v>0</v>
      </c>
      <c r="BB99" s="582">
        <f t="shared" ca="1" si="231"/>
        <v>0</v>
      </c>
      <c r="BC99" s="582">
        <f t="shared" ca="1" si="231"/>
        <v>0</v>
      </c>
      <c r="BD99" s="582">
        <f t="shared" ca="1" si="231"/>
        <v>0</v>
      </c>
      <c r="BE99" s="582">
        <f t="shared" ca="1" si="231"/>
        <v>0</v>
      </c>
      <c r="BF99" s="582">
        <f ca="1">SUM(AM99:BE99)</f>
        <v>-2.9119000000000002</v>
      </c>
      <c r="BH99" s="3463">
        <f ca="1">BH$96+BH98</f>
        <v>1.966612617409945</v>
      </c>
      <c r="BI99" s="3463">
        <f ca="1">BI$96+BI98</f>
        <v>0</v>
      </c>
      <c r="BJ99" s="3463">
        <f ca="1">SUM(BH99:BI99)</f>
        <v>1.966612617409945</v>
      </c>
      <c r="BL99" s="3477">
        <f ca="1">Q99+AK99+BF99+BJ99</f>
        <v>-2.6645352591003757E-15</v>
      </c>
      <c r="BM99" s="584"/>
      <c r="BN99" s="413"/>
      <c r="BO99" s="2790">
        <f t="shared" ref="BO99:DF99" ca="1" si="232">BO$96+BO98</f>
        <v>0</v>
      </c>
      <c r="BP99" s="2790">
        <f t="shared" ca="1" si="232"/>
        <v>0</v>
      </c>
      <c r="BQ99" s="2790">
        <f t="shared" ca="1" si="232"/>
        <v>0</v>
      </c>
      <c r="BR99" s="2790">
        <f t="shared" ca="1" si="232"/>
        <v>0</v>
      </c>
      <c r="BS99" s="2790">
        <f t="shared" ca="1" si="232"/>
        <v>0</v>
      </c>
      <c r="BT99" s="2790">
        <f t="shared" ca="1" si="232"/>
        <v>0</v>
      </c>
      <c r="BU99" s="2790">
        <f t="shared" ca="1" si="232"/>
        <v>0</v>
      </c>
      <c r="BV99" s="2790">
        <f t="shared" ca="1" si="232"/>
        <v>0</v>
      </c>
      <c r="BW99" s="2790">
        <f t="shared" ca="1" si="232"/>
        <v>0</v>
      </c>
      <c r="BX99" s="2790">
        <f t="shared" ca="1" si="232"/>
        <v>0</v>
      </c>
      <c r="BY99" s="2790">
        <f t="shared" ca="1" si="232"/>
        <v>0</v>
      </c>
      <c r="BZ99" s="2790">
        <f t="shared" ca="1" si="232"/>
        <v>0</v>
      </c>
      <c r="CA99" s="2790">
        <f t="shared" ca="1" si="232"/>
        <v>0</v>
      </c>
      <c r="CB99" s="2790">
        <f t="shared" ca="1" si="232"/>
        <v>0</v>
      </c>
      <c r="CC99" s="2790">
        <f t="shared" ca="1" si="232"/>
        <v>0</v>
      </c>
      <c r="CD99" s="2790">
        <f t="shared" ca="1" si="232"/>
        <v>0</v>
      </c>
      <c r="CE99" s="2790">
        <f t="shared" ca="1" si="232"/>
        <v>0</v>
      </c>
      <c r="CF99" s="2790">
        <f t="shared" ca="1" si="232"/>
        <v>0</v>
      </c>
      <c r="CG99" s="2790">
        <f t="shared" ca="1" si="232"/>
        <v>0</v>
      </c>
      <c r="CH99" s="2790">
        <f t="shared" ca="1" si="232"/>
        <v>0</v>
      </c>
      <c r="CI99" s="2790">
        <f t="shared" ca="1" si="232"/>
        <v>0</v>
      </c>
      <c r="CJ99" s="2790">
        <f t="shared" ca="1" si="232"/>
        <v>0</v>
      </c>
      <c r="CK99" s="2790">
        <f t="shared" ca="1" si="232"/>
        <v>0</v>
      </c>
      <c r="CL99" s="2790">
        <f t="shared" ca="1" si="232"/>
        <v>0</v>
      </c>
      <c r="CM99" s="2790">
        <f t="shared" ca="1" si="232"/>
        <v>0</v>
      </c>
      <c r="CN99" s="2790">
        <f t="shared" ca="1" si="232"/>
        <v>0</v>
      </c>
      <c r="CO99" s="2790">
        <f t="shared" ca="1" si="232"/>
        <v>0</v>
      </c>
      <c r="CP99" s="2790">
        <f t="shared" ca="1" si="232"/>
        <v>0</v>
      </c>
      <c r="CQ99" s="2790">
        <f t="shared" ca="1" si="232"/>
        <v>0</v>
      </c>
      <c r="CR99" s="2790">
        <f t="shared" ca="1" si="232"/>
        <v>0</v>
      </c>
      <c r="CS99" s="2790">
        <f t="shared" ca="1" si="232"/>
        <v>0</v>
      </c>
      <c r="CT99" s="2790">
        <f t="shared" ca="1" si="232"/>
        <v>0</v>
      </c>
      <c r="CU99" s="2790">
        <f t="shared" ca="1" si="232"/>
        <v>0</v>
      </c>
      <c r="CV99" s="2790">
        <f t="shared" ca="1" si="232"/>
        <v>0</v>
      </c>
      <c r="CW99" s="2790">
        <f t="shared" ca="1" si="232"/>
        <v>0</v>
      </c>
      <c r="CX99" s="2790">
        <f t="shared" ca="1" si="232"/>
        <v>0</v>
      </c>
      <c r="CY99" s="2790">
        <f t="shared" ca="1" si="232"/>
        <v>-5.4199703136642308</v>
      </c>
      <c r="CZ99" s="2790">
        <f t="shared" ca="1" si="232"/>
        <v>0</v>
      </c>
      <c r="DA99" s="2790">
        <f t="shared" ca="1" si="232"/>
        <v>0</v>
      </c>
      <c r="DB99" s="2790">
        <f t="shared" ca="1" si="232"/>
        <v>0</v>
      </c>
      <c r="DC99" s="2790">
        <f t="shared" ca="1" si="232"/>
        <v>0</v>
      </c>
      <c r="DD99" s="2790">
        <f t="shared" ca="1" si="232"/>
        <v>0</v>
      </c>
      <c r="DE99" s="2790">
        <f t="shared" ca="1" si="232"/>
        <v>0</v>
      </c>
      <c r="DF99" s="2790">
        <f t="shared" ca="1" si="232"/>
        <v>0</v>
      </c>
      <c r="DH99" s="596">
        <f t="shared" ca="1" si="218"/>
        <v>-5.4199703136642308</v>
      </c>
    </row>
    <row r="100" spans="1:112" s="4" customFormat="1" ht="15.75">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18"/>
        <v>0</v>
      </c>
    </row>
    <row r="101" spans="1:112" s="652" customFormat="1">
      <c r="C101" s="667" t="s">
        <v>582</v>
      </c>
      <c r="D101" s="641" t="s">
        <v>574</v>
      </c>
      <c r="E101" s="685"/>
      <c r="G101" s="643"/>
      <c r="H101" s="643"/>
      <c r="I101" s="643"/>
      <c r="J101" s="643"/>
      <c r="K101" s="644"/>
      <c r="L101" s="643"/>
      <c r="M101" s="643"/>
      <c r="N101" s="643"/>
      <c r="O101" s="643"/>
      <c r="P101" s="643"/>
      <c r="Q101" s="704"/>
      <c r="R101" s="639"/>
      <c r="S101" s="645">
        <f ca="1">(S$40+S$84+S$93+S$99)</f>
        <v>-24.873360120694059</v>
      </c>
      <c r="T101" s="645">
        <f ca="1">(T$40+T$84+T$93+T$99)</f>
        <v>24.873360120694056</v>
      </c>
      <c r="U101" s="645">
        <f ca="1">(U$40+U$84+U$93+U$99)</f>
        <v>-2.7474595600810865</v>
      </c>
      <c r="V101" s="645">
        <f ca="1">(V$40+V$84+V$93+V$99)</f>
        <v>-66.132600914927124</v>
      </c>
      <c r="W101" s="645">
        <f ca="1">(W$40+W$84+W$93+W$99)</f>
        <v>-45.776429049769959</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18"/>
        <v>0</v>
      </c>
    </row>
    <row r="102" spans="1:112" s="607" customFormat="1">
      <c r="B102" s="705"/>
      <c r="C102" s="651" t="s">
        <v>583</v>
      </c>
      <c r="D102" s="588" t="s">
        <v>584</v>
      </c>
      <c r="E102" s="588"/>
      <c r="F102" s="6"/>
      <c r="G102" s="659">
        <f t="shared" ref="G102:P102" ca="1" si="233">IFERROR(INDEX(INDIRECT($C102&amp;".Outputs["&amp;this.Year&amp;"]"), MATCH(G$5, INDIRECT($C102&amp;".Outputs[Vector]"), 0)), 0)</f>
        <v>0</v>
      </c>
      <c r="H102" s="659">
        <f t="shared" ca="1" si="233"/>
        <v>0</v>
      </c>
      <c r="I102" s="659">
        <f t="shared" ca="1" si="233"/>
        <v>0</v>
      </c>
      <c r="J102" s="659">
        <f t="shared" ca="1" si="233"/>
        <v>0</v>
      </c>
      <c r="K102" s="706">
        <f t="shared" ca="1" si="233"/>
        <v>0</v>
      </c>
      <c r="L102" s="659">
        <f t="shared" ca="1" si="233"/>
        <v>0</v>
      </c>
      <c r="M102" s="659">
        <f t="shared" ca="1" si="233"/>
        <v>0</v>
      </c>
      <c r="N102" s="659">
        <f t="shared" ca="1" si="233"/>
        <v>0</v>
      </c>
      <c r="O102" s="659">
        <f t="shared" ca="1" si="233"/>
        <v>0</v>
      </c>
      <c r="P102" s="659">
        <f t="shared" ca="1" si="233"/>
        <v>0</v>
      </c>
      <c r="Q102" s="707">
        <f ca="1">SUM(G102:P102)</f>
        <v>0</v>
      </c>
      <c r="R102" s="6"/>
      <c r="S102" s="661">
        <f t="shared" ref="S102:AJ102" ca="1" si="234">IFERROR(INDEX(INDIRECT($C102&amp;".Outputs["&amp;this.Year&amp;"]"), MATCH(S$5, INDIRECT($C102&amp;".Outputs[Vector]"), 0)), 0)</f>
        <v>0</v>
      </c>
      <c r="T102" s="661">
        <f t="shared" ca="1" si="234"/>
        <v>0</v>
      </c>
      <c r="U102" s="661">
        <f t="shared" ca="1" si="234"/>
        <v>2.7474595600810865</v>
      </c>
      <c r="V102" s="661">
        <f t="shared" ca="1" si="234"/>
        <v>66.132600914927124</v>
      </c>
      <c r="W102" s="661">
        <f t="shared" ca="1" si="234"/>
        <v>45.776429049769959</v>
      </c>
      <c r="X102" s="661">
        <f t="shared" ca="1" si="234"/>
        <v>-2.7474595600810865</v>
      </c>
      <c r="Y102" s="661">
        <f t="shared" ca="1" si="234"/>
        <v>-66.132600914927124</v>
      </c>
      <c r="Z102" s="661">
        <f t="shared" ca="1" si="234"/>
        <v>-46.463075485516505</v>
      </c>
      <c r="AA102" s="661">
        <f t="shared" ca="1" si="234"/>
        <v>0</v>
      </c>
      <c r="AB102" s="661">
        <f t="shared" ca="1" si="234"/>
        <v>0</v>
      </c>
      <c r="AC102" s="661">
        <f t="shared" ca="1" si="234"/>
        <v>0</v>
      </c>
      <c r="AD102" s="661">
        <f t="shared" ca="1" si="234"/>
        <v>0</v>
      </c>
      <c r="AE102" s="661">
        <f t="shared" ca="1" si="234"/>
        <v>0</v>
      </c>
      <c r="AF102" s="661">
        <f t="shared" ca="1" si="234"/>
        <v>0</v>
      </c>
      <c r="AG102" s="661">
        <f t="shared" ca="1" si="234"/>
        <v>0</v>
      </c>
      <c r="AH102" s="661">
        <f t="shared" ca="1" si="234"/>
        <v>0</v>
      </c>
      <c r="AI102" s="661">
        <f t="shared" ca="1" si="234"/>
        <v>0</v>
      </c>
      <c r="AJ102" s="661">
        <f t="shared" ca="1" si="234"/>
        <v>0</v>
      </c>
      <c r="AK102" s="661">
        <f ca="1">SUM(S102:AJ102)</f>
        <v>-0.68664643574654605</v>
      </c>
      <c r="AL102" s="6"/>
      <c r="AM102" s="609">
        <f t="shared" ref="AM102:BE102" ca="1" si="235">IFERROR(INDEX(INDIRECT($C102&amp;".Outputs["&amp;this.Year&amp;"]"), MATCH(AM$5, INDIRECT($C102&amp;".Outputs[Vector]"), 0)), 0)</f>
        <v>0</v>
      </c>
      <c r="AN102" s="609">
        <f t="shared" ca="1" si="235"/>
        <v>0</v>
      </c>
      <c r="AO102" s="609">
        <f t="shared" ca="1" si="235"/>
        <v>0</v>
      </c>
      <c r="AP102" s="609">
        <f t="shared" ca="1" si="235"/>
        <v>0</v>
      </c>
      <c r="AQ102" s="609">
        <f t="shared" ca="1" si="235"/>
        <v>0</v>
      </c>
      <c r="AR102" s="609">
        <f t="shared" ca="1" si="235"/>
        <v>0</v>
      </c>
      <c r="AS102" s="609">
        <f t="shared" ca="1" si="235"/>
        <v>0</v>
      </c>
      <c r="AT102" s="609">
        <f t="shared" ca="1" si="235"/>
        <v>0</v>
      </c>
      <c r="AU102" s="609">
        <f t="shared" ca="1" si="235"/>
        <v>0</v>
      </c>
      <c r="AV102" s="609">
        <f t="shared" ca="1" si="235"/>
        <v>0</v>
      </c>
      <c r="AW102" s="609">
        <f t="shared" ca="1" si="235"/>
        <v>0</v>
      </c>
      <c r="AX102" s="609">
        <f t="shared" ca="1" si="235"/>
        <v>0</v>
      </c>
      <c r="AY102" s="609">
        <f t="shared" ca="1" si="235"/>
        <v>0</v>
      </c>
      <c r="AZ102" s="609">
        <f t="shared" ca="1" si="235"/>
        <v>0</v>
      </c>
      <c r="BA102" s="609">
        <f t="shared" ca="1" si="235"/>
        <v>0</v>
      </c>
      <c r="BB102" s="609">
        <f t="shared" ca="1" si="235"/>
        <v>0</v>
      </c>
      <c r="BC102" s="609">
        <f t="shared" ca="1" si="235"/>
        <v>0</v>
      </c>
      <c r="BD102" s="609">
        <f t="shared" ca="1" si="235"/>
        <v>0</v>
      </c>
      <c r="BE102" s="609">
        <f t="shared" ca="1" si="23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0.68664643574654938</v>
      </c>
      <c r="BJ102" s="664">
        <f ca="1">SUM(BH102:BI102)</f>
        <v>0.68664643574654938</v>
      </c>
      <c r="BK102" s="6"/>
      <c r="BL102" s="3477">
        <f t="shared" ref="BL102:BL109" ca="1" si="236">Q102+AK102+BF102+BJ102</f>
        <v>3.3306690738754696E-15</v>
      </c>
      <c r="BM102" s="610"/>
      <c r="BO102" s="2789">
        <f t="shared" ref="BO102:BX103" ca="1" si="237">IFERROR(SUMIFS(INDIRECT($C102&amp;".Emissions["&amp;this.Year&amp;"]"), INDIRECT($C102&amp;".Emissions[GHG]"), BO$6, INDIRECT($C102&amp;".Emissions[IPCC Sector]"), BO$5),0)</f>
        <v>0</v>
      </c>
      <c r="BP102" s="2790">
        <f t="shared" ca="1" si="237"/>
        <v>0</v>
      </c>
      <c r="BQ102" s="2790">
        <f t="shared" ca="1" si="237"/>
        <v>0</v>
      </c>
      <c r="BR102" s="2790">
        <f t="shared" ca="1" si="237"/>
        <v>0</v>
      </c>
      <c r="BS102" s="2790">
        <f t="shared" ca="1" si="237"/>
        <v>0</v>
      </c>
      <c r="BT102" s="2790">
        <f t="shared" ca="1" si="237"/>
        <v>1.9963676250276358E-2</v>
      </c>
      <c r="BU102" s="2790">
        <f t="shared" ca="1" si="237"/>
        <v>0</v>
      </c>
      <c r="BV102" s="2790">
        <f t="shared" ca="1" si="237"/>
        <v>0</v>
      </c>
      <c r="BW102" s="2790">
        <f t="shared" ca="1" si="237"/>
        <v>0</v>
      </c>
      <c r="BX102" s="2790">
        <f t="shared" ca="1" si="237"/>
        <v>0</v>
      </c>
      <c r="BY102" s="2790">
        <f t="shared" ref="BY102:CH103" ca="1" si="238">IFERROR(SUMIFS(INDIRECT($C102&amp;".Emissions["&amp;this.Year&amp;"]"), INDIRECT($C102&amp;".Emissions[GHG]"), BY$6, INDIRECT($C102&amp;".Emissions[IPCC Sector]"), BY$5),0)</f>
        <v>0</v>
      </c>
      <c r="BZ102" s="2790">
        <f t="shared" ca="1" si="238"/>
        <v>0</v>
      </c>
      <c r="CA102" s="2790">
        <f t="shared" ca="1" si="238"/>
        <v>0</v>
      </c>
      <c r="CB102" s="2790">
        <f t="shared" ca="1" si="238"/>
        <v>0</v>
      </c>
      <c r="CC102" s="2790">
        <f t="shared" ca="1" si="238"/>
        <v>0</v>
      </c>
      <c r="CD102" s="2790">
        <f t="shared" ca="1" si="238"/>
        <v>0</v>
      </c>
      <c r="CE102" s="2790">
        <f t="shared" ca="1" si="238"/>
        <v>0</v>
      </c>
      <c r="CF102" s="2790">
        <f t="shared" ca="1" si="238"/>
        <v>0</v>
      </c>
      <c r="CG102" s="2790">
        <f t="shared" ca="1" si="238"/>
        <v>0</v>
      </c>
      <c r="CH102" s="2790">
        <f t="shared" ca="1" si="238"/>
        <v>0</v>
      </c>
      <c r="CI102" s="2790">
        <f t="shared" ref="CI102:CR103" ca="1" si="239">IFERROR(SUMIFS(INDIRECT($C102&amp;".Emissions["&amp;this.Year&amp;"]"), INDIRECT($C102&amp;".Emissions[GHG]"), CI$6, INDIRECT($C102&amp;".Emissions[IPCC Sector]"), CI$5),0)</f>
        <v>0</v>
      </c>
      <c r="CJ102" s="2790">
        <f t="shared" ca="1" si="239"/>
        <v>0</v>
      </c>
      <c r="CK102" s="2790">
        <f t="shared" ca="1" si="239"/>
        <v>0</v>
      </c>
      <c r="CL102" s="2790">
        <f t="shared" ca="1" si="239"/>
        <v>0</v>
      </c>
      <c r="CM102" s="2790">
        <f t="shared" ca="1" si="239"/>
        <v>0</v>
      </c>
      <c r="CN102" s="2790">
        <f t="shared" ca="1" si="239"/>
        <v>0</v>
      </c>
      <c r="CO102" s="2790">
        <f t="shared" ca="1" si="239"/>
        <v>0</v>
      </c>
      <c r="CP102" s="2790">
        <f t="shared" ca="1" si="239"/>
        <v>0</v>
      </c>
      <c r="CQ102" s="2790">
        <f t="shared" ca="1" si="239"/>
        <v>0</v>
      </c>
      <c r="CR102" s="2790">
        <f t="shared" ca="1" si="239"/>
        <v>0</v>
      </c>
      <c r="CS102" s="2790">
        <f t="shared" ref="CS102:DF103" ca="1" si="240">IFERROR(SUMIFS(INDIRECT($C102&amp;".Emissions["&amp;this.Year&amp;"]"), INDIRECT($C102&amp;".Emissions[GHG]"), CS$6, INDIRECT($C102&amp;".Emissions[IPCC Sector]"), CS$5),0)</f>
        <v>0</v>
      </c>
      <c r="CT102" s="2790">
        <f t="shared" ca="1" si="240"/>
        <v>0</v>
      </c>
      <c r="CU102" s="2790">
        <f t="shared" ca="1" si="240"/>
        <v>0</v>
      </c>
      <c r="CV102" s="2790">
        <f t="shared" ca="1" si="240"/>
        <v>0</v>
      </c>
      <c r="CW102" s="2790">
        <f t="shared" ca="1" si="240"/>
        <v>0</v>
      </c>
      <c r="CX102" s="2790">
        <f t="shared" ca="1" si="240"/>
        <v>0</v>
      </c>
      <c r="CY102" s="2790">
        <f t="shared" ca="1" si="240"/>
        <v>0</v>
      </c>
      <c r="CZ102" s="2790">
        <f t="shared" ca="1" si="240"/>
        <v>0</v>
      </c>
      <c r="DA102" s="2790">
        <f t="shared" ca="1" si="240"/>
        <v>0</v>
      </c>
      <c r="DB102" s="2790">
        <f t="shared" ca="1" si="240"/>
        <v>0</v>
      </c>
      <c r="DC102" s="2790">
        <f t="shared" ca="1" si="240"/>
        <v>0</v>
      </c>
      <c r="DD102" s="2790">
        <f t="shared" ca="1" si="240"/>
        <v>0</v>
      </c>
      <c r="DE102" s="2790">
        <f t="shared" ca="1" si="240"/>
        <v>0</v>
      </c>
      <c r="DF102" s="2790">
        <f t="shared" ca="1" si="240"/>
        <v>0</v>
      </c>
      <c r="DH102" s="596">
        <f t="shared" ca="1" si="218"/>
        <v>1.9963676250276358E-2</v>
      </c>
    </row>
    <row r="103" spans="1:112" s="607" customFormat="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3.5527136788005009E-15</v>
      </c>
      <c r="U103" s="711"/>
      <c r="V103" s="711"/>
      <c r="W103" s="711"/>
      <c r="X103" s="711">
        <f ca="1">-(X$40+X$84+X$93+X$99+X$102)</f>
        <v>0.49575845114132866</v>
      </c>
      <c r="Y103" s="711">
        <f ca="1">-(Y$40+Y$84+Y$93+Y$99+Y$102)</f>
        <v>66.132600914927124</v>
      </c>
      <c r="Z103" s="711">
        <f ca="1">-(Z$40+Z$84+Z$93+Z$99+Z$102)</f>
        <v>11.463075485516505</v>
      </c>
      <c r="AA103" s="711"/>
      <c r="AB103" s="711"/>
      <c r="AC103" s="711"/>
      <c r="AD103" s="711"/>
      <c r="AE103" s="711"/>
      <c r="AF103" s="711"/>
      <c r="AG103" s="711"/>
      <c r="AH103" s="711"/>
      <c r="AI103" s="711"/>
      <c r="AJ103" s="711"/>
      <c r="AK103" s="711">
        <f ca="1">SUM(S103:AJ103)</f>
        <v>78.09143485158495</v>
      </c>
      <c r="AL103" s="6"/>
      <c r="AM103" s="615"/>
      <c r="AN103" s="615"/>
      <c r="AO103" s="615"/>
      <c r="AP103" s="615"/>
      <c r="AQ103" s="615">
        <f ca="1">-T103</f>
        <v>-3.5527136788005009E-15</v>
      </c>
      <c r="AR103" s="615">
        <f>-V103</f>
        <v>0</v>
      </c>
      <c r="AS103" s="615">
        <f ca="1">-X103</f>
        <v>-0.49575845114132866</v>
      </c>
      <c r="AT103" s="615">
        <f ca="1">-Y103</f>
        <v>-66.132600914927124</v>
      </c>
      <c r="AU103" s="615">
        <f ca="1">-Z103</f>
        <v>-11.463075485516505</v>
      </c>
      <c r="AV103" s="615"/>
      <c r="AW103" s="615"/>
      <c r="AX103" s="615"/>
      <c r="AY103" s="615"/>
      <c r="AZ103" s="615"/>
      <c r="BA103" s="615"/>
      <c r="BB103" s="615"/>
      <c r="BC103" s="615"/>
      <c r="BD103" s="615"/>
      <c r="BE103" s="615"/>
      <c r="BF103" s="615">
        <f ca="1">SUM(AM103:BE103)</f>
        <v>-78.09143485158495</v>
      </c>
      <c r="BG103" s="6"/>
      <c r="BH103" s="712"/>
      <c r="BI103" s="712"/>
      <c r="BJ103" s="712">
        <f>SUM(BH103:BI103)</f>
        <v>0</v>
      </c>
      <c r="BK103" s="6"/>
      <c r="BL103" s="3477">
        <f t="shared" ca="1" si="236"/>
        <v>0</v>
      </c>
      <c r="BM103" s="610"/>
      <c r="BO103" s="2791">
        <f t="shared" ca="1" si="237"/>
        <v>0</v>
      </c>
      <c r="BP103" s="2792">
        <f t="shared" ca="1" si="237"/>
        <v>0</v>
      </c>
      <c r="BQ103" s="2792">
        <f t="shared" ca="1" si="237"/>
        <v>0</v>
      </c>
      <c r="BR103" s="2792">
        <f t="shared" ca="1" si="237"/>
        <v>0</v>
      </c>
      <c r="BS103" s="2792">
        <f t="shared" ca="1" si="237"/>
        <v>0</v>
      </c>
      <c r="BT103" s="2792">
        <f t="shared" ca="1" si="237"/>
        <v>0</v>
      </c>
      <c r="BU103" s="2792">
        <f t="shared" ca="1" si="237"/>
        <v>0</v>
      </c>
      <c r="BV103" s="2792">
        <f t="shared" ca="1" si="237"/>
        <v>0</v>
      </c>
      <c r="BW103" s="2792">
        <f t="shared" ca="1" si="237"/>
        <v>0</v>
      </c>
      <c r="BX103" s="2792">
        <f t="shared" ca="1" si="237"/>
        <v>0</v>
      </c>
      <c r="BY103" s="2792">
        <f t="shared" ca="1" si="238"/>
        <v>0</v>
      </c>
      <c r="BZ103" s="2792">
        <f t="shared" ca="1" si="238"/>
        <v>0</v>
      </c>
      <c r="CA103" s="2792">
        <f t="shared" ca="1" si="238"/>
        <v>0</v>
      </c>
      <c r="CB103" s="2792">
        <f t="shared" ca="1" si="238"/>
        <v>0</v>
      </c>
      <c r="CC103" s="2792">
        <f t="shared" ca="1" si="238"/>
        <v>0</v>
      </c>
      <c r="CD103" s="2792">
        <f t="shared" ca="1" si="238"/>
        <v>0</v>
      </c>
      <c r="CE103" s="2792">
        <f t="shared" ca="1" si="238"/>
        <v>0</v>
      </c>
      <c r="CF103" s="2792">
        <f t="shared" ca="1" si="238"/>
        <v>0</v>
      </c>
      <c r="CG103" s="2792">
        <f t="shared" ca="1" si="238"/>
        <v>0</v>
      </c>
      <c r="CH103" s="2792">
        <f t="shared" ca="1" si="238"/>
        <v>0</v>
      </c>
      <c r="CI103" s="2792">
        <f t="shared" ca="1" si="239"/>
        <v>0</v>
      </c>
      <c r="CJ103" s="2792">
        <f t="shared" ca="1" si="239"/>
        <v>0</v>
      </c>
      <c r="CK103" s="2792">
        <f t="shared" ca="1" si="239"/>
        <v>0</v>
      </c>
      <c r="CL103" s="2792">
        <f t="shared" ca="1" si="239"/>
        <v>0</v>
      </c>
      <c r="CM103" s="2792">
        <f t="shared" ca="1" si="239"/>
        <v>0</v>
      </c>
      <c r="CN103" s="2792">
        <f t="shared" ca="1" si="239"/>
        <v>0</v>
      </c>
      <c r="CO103" s="2792">
        <f t="shared" ca="1" si="239"/>
        <v>0</v>
      </c>
      <c r="CP103" s="2792">
        <f t="shared" ca="1" si="239"/>
        <v>0</v>
      </c>
      <c r="CQ103" s="2792">
        <f t="shared" ca="1" si="239"/>
        <v>0</v>
      </c>
      <c r="CR103" s="2792">
        <f t="shared" ca="1" si="239"/>
        <v>0</v>
      </c>
      <c r="CS103" s="2792">
        <f t="shared" ca="1" si="240"/>
        <v>0</v>
      </c>
      <c r="CT103" s="2792">
        <f t="shared" ca="1" si="240"/>
        <v>0</v>
      </c>
      <c r="CU103" s="2792">
        <f t="shared" ca="1" si="240"/>
        <v>0</v>
      </c>
      <c r="CV103" s="2792">
        <f t="shared" ca="1" si="240"/>
        <v>0</v>
      </c>
      <c r="CW103" s="2792">
        <f t="shared" ca="1" si="240"/>
        <v>0</v>
      </c>
      <c r="CX103" s="2792">
        <f t="shared" ca="1" si="240"/>
        <v>0</v>
      </c>
      <c r="CY103" s="2792">
        <f t="shared" ca="1" si="240"/>
        <v>0</v>
      </c>
      <c r="CZ103" s="2792">
        <f t="shared" ca="1" si="240"/>
        <v>0</v>
      </c>
      <c r="DA103" s="2792">
        <f t="shared" ca="1" si="240"/>
        <v>0</v>
      </c>
      <c r="DB103" s="2792">
        <f t="shared" ca="1" si="240"/>
        <v>0</v>
      </c>
      <c r="DC103" s="2792">
        <f t="shared" ca="1" si="240"/>
        <v>0</v>
      </c>
      <c r="DD103" s="2792">
        <f t="shared" ca="1" si="240"/>
        <v>0</v>
      </c>
      <c r="DE103" s="2792">
        <f t="shared" ca="1" si="240"/>
        <v>0</v>
      </c>
      <c r="DF103" s="2792">
        <f t="shared" ca="1" si="240"/>
        <v>0</v>
      </c>
      <c r="DH103" s="596">
        <f t="shared" ca="1" si="218"/>
        <v>0</v>
      </c>
    </row>
    <row r="104" spans="1:112" s="6" customFormat="1" ht="15.75">
      <c r="B104" s="3" t="s">
        <v>585</v>
      </c>
      <c r="C104" s="629" t="s">
        <v>588</v>
      </c>
      <c r="D104" s="617" t="s">
        <v>589</v>
      </c>
      <c r="E104" s="519"/>
      <c r="G104" s="618">
        <f t="shared" ref="G104:P104" ca="1" si="241">SUM(G102:G103)</f>
        <v>0</v>
      </c>
      <c r="H104" s="618">
        <f t="shared" ca="1" si="241"/>
        <v>0</v>
      </c>
      <c r="I104" s="618">
        <f t="shared" ca="1" si="241"/>
        <v>0</v>
      </c>
      <c r="J104" s="618">
        <f t="shared" ca="1" si="241"/>
        <v>0</v>
      </c>
      <c r="K104" s="618">
        <f t="shared" ca="1" si="241"/>
        <v>0</v>
      </c>
      <c r="L104" s="618">
        <f t="shared" ca="1" si="241"/>
        <v>0</v>
      </c>
      <c r="M104" s="618">
        <f t="shared" ca="1" si="241"/>
        <v>0</v>
      </c>
      <c r="N104" s="618">
        <f t="shared" ca="1" si="241"/>
        <v>0</v>
      </c>
      <c r="O104" s="618">
        <f t="shared" ca="1" si="241"/>
        <v>0</v>
      </c>
      <c r="P104" s="618">
        <f t="shared" ca="1" si="241"/>
        <v>0</v>
      </c>
      <c r="Q104" s="618">
        <f ca="1">SUM(G104:P104)</f>
        <v>0</v>
      </c>
      <c r="S104" s="581">
        <f t="shared" ref="S104:AJ104" ca="1" si="242">SUM(S102:S103)</f>
        <v>0</v>
      </c>
      <c r="T104" s="581">
        <f t="shared" ca="1" si="242"/>
        <v>3.5527136788005009E-15</v>
      </c>
      <c r="U104" s="581">
        <f t="shared" ca="1" si="242"/>
        <v>2.7474595600810865</v>
      </c>
      <c r="V104" s="581">
        <f t="shared" ca="1" si="242"/>
        <v>66.132600914927124</v>
      </c>
      <c r="W104" s="581">
        <f t="shared" ca="1" si="242"/>
        <v>45.776429049769959</v>
      </c>
      <c r="X104" s="581">
        <f t="shared" ca="1" si="242"/>
        <v>-2.2517011089397578</v>
      </c>
      <c r="Y104" s="581">
        <f t="shared" ca="1" si="242"/>
        <v>0</v>
      </c>
      <c r="Z104" s="581">
        <f t="shared" ca="1" si="242"/>
        <v>-35</v>
      </c>
      <c r="AA104" s="581">
        <f t="shared" ca="1" si="242"/>
        <v>0</v>
      </c>
      <c r="AB104" s="581">
        <f t="shared" ca="1" si="242"/>
        <v>0</v>
      </c>
      <c r="AC104" s="581">
        <f t="shared" ca="1" si="242"/>
        <v>0</v>
      </c>
      <c r="AD104" s="581">
        <f t="shared" ca="1" si="242"/>
        <v>0</v>
      </c>
      <c r="AE104" s="581">
        <f ca="1">SUM(AE102:AE103)</f>
        <v>0</v>
      </c>
      <c r="AF104" s="581">
        <f t="shared" ca="1" si="242"/>
        <v>0</v>
      </c>
      <c r="AG104" s="581">
        <f t="shared" ca="1" si="242"/>
        <v>0</v>
      </c>
      <c r="AH104" s="581">
        <f ca="1">SUM(AH102:AH103)</f>
        <v>0</v>
      </c>
      <c r="AI104" s="581">
        <f t="shared" ca="1" si="242"/>
        <v>0</v>
      </c>
      <c r="AJ104" s="581">
        <f t="shared" ca="1" si="242"/>
        <v>0</v>
      </c>
      <c r="AK104" s="581">
        <f ca="1">SUM(S104:AJ104)</f>
        <v>77.404788415838411</v>
      </c>
      <c r="AM104" s="582">
        <f t="shared" ref="AM104:BE104" ca="1" si="243">SUM(AM102:AM103)</f>
        <v>0</v>
      </c>
      <c r="AN104" s="582">
        <f t="shared" ca="1" si="243"/>
        <v>0</v>
      </c>
      <c r="AO104" s="582">
        <f t="shared" ca="1" si="243"/>
        <v>0</v>
      </c>
      <c r="AP104" s="582">
        <f t="shared" ca="1" si="243"/>
        <v>0</v>
      </c>
      <c r="AQ104" s="582">
        <f t="shared" ca="1" si="243"/>
        <v>-3.5527136788005009E-15</v>
      </c>
      <c r="AR104" s="582">
        <f t="shared" ca="1" si="243"/>
        <v>0</v>
      </c>
      <c r="AS104" s="582">
        <f t="shared" ca="1" si="243"/>
        <v>-0.49575845114132866</v>
      </c>
      <c r="AT104" s="582">
        <f t="shared" ca="1" si="243"/>
        <v>-66.132600914927124</v>
      </c>
      <c r="AU104" s="582">
        <f t="shared" ca="1" si="243"/>
        <v>-11.463075485516505</v>
      </c>
      <c r="AV104" s="582">
        <f t="shared" ca="1" si="243"/>
        <v>0</v>
      </c>
      <c r="AW104" s="582">
        <f t="shared" ca="1" si="243"/>
        <v>0</v>
      </c>
      <c r="AX104" s="582">
        <f t="shared" ca="1" si="243"/>
        <v>0</v>
      </c>
      <c r="AY104" s="582">
        <f t="shared" ca="1" si="243"/>
        <v>0</v>
      </c>
      <c r="AZ104" s="582">
        <f t="shared" ca="1" si="243"/>
        <v>0</v>
      </c>
      <c r="BA104" s="582">
        <f t="shared" ca="1" si="243"/>
        <v>0</v>
      </c>
      <c r="BB104" s="582">
        <f t="shared" ca="1" si="243"/>
        <v>0</v>
      </c>
      <c r="BC104" s="582">
        <f t="shared" ca="1" si="243"/>
        <v>0</v>
      </c>
      <c r="BD104" s="582">
        <f t="shared" ca="1" si="243"/>
        <v>0</v>
      </c>
      <c r="BE104" s="582">
        <f t="shared" ca="1" si="243"/>
        <v>0</v>
      </c>
      <c r="BF104" s="582">
        <f ca="1">SUM(AM104:BE104)</f>
        <v>-78.09143485158495</v>
      </c>
      <c r="BH104" s="3463">
        <f ca="1">SUM(BH102:BH103)</f>
        <v>0</v>
      </c>
      <c r="BI104" s="3463">
        <f ca="1">SUM(BI102:BI103)</f>
        <v>0.68664643574654938</v>
      </c>
      <c r="BJ104" s="3463">
        <f ca="1">SUM(BH104:BI104)</f>
        <v>0.68664643574654938</v>
      </c>
      <c r="BL104" s="3477">
        <f t="shared" ca="1" si="236"/>
        <v>1.0436096431476471E-14</v>
      </c>
      <c r="BM104" s="584"/>
      <c r="BN104" s="413"/>
      <c r="BO104" s="2790">
        <f t="shared" ref="BO104:DF104" ca="1" si="244">SUM(BO102:BO103)</f>
        <v>0</v>
      </c>
      <c r="BP104" s="2790">
        <f t="shared" ca="1" si="244"/>
        <v>0</v>
      </c>
      <c r="BQ104" s="2790">
        <f t="shared" ca="1" si="244"/>
        <v>0</v>
      </c>
      <c r="BR104" s="2790">
        <f t="shared" ca="1" si="244"/>
        <v>0</v>
      </c>
      <c r="BS104" s="2790">
        <f t="shared" ca="1" si="244"/>
        <v>0</v>
      </c>
      <c r="BT104" s="2790">
        <f t="shared" ca="1" si="244"/>
        <v>1.9963676250276358E-2</v>
      </c>
      <c r="BU104" s="2790">
        <f t="shared" ca="1" si="244"/>
        <v>0</v>
      </c>
      <c r="BV104" s="2790">
        <f t="shared" ca="1" si="244"/>
        <v>0</v>
      </c>
      <c r="BW104" s="2790">
        <f t="shared" ca="1" si="244"/>
        <v>0</v>
      </c>
      <c r="BX104" s="2790">
        <f t="shared" ca="1" si="244"/>
        <v>0</v>
      </c>
      <c r="BY104" s="2790">
        <f t="shared" ca="1" si="244"/>
        <v>0</v>
      </c>
      <c r="BZ104" s="2790">
        <f t="shared" ca="1" si="244"/>
        <v>0</v>
      </c>
      <c r="CA104" s="2790">
        <f t="shared" ca="1" si="244"/>
        <v>0</v>
      </c>
      <c r="CB104" s="2790">
        <f t="shared" ca="1" si="244"/>
        <v>0</v>
      </c>
      <c r="CC104" s="2790">
        <f t="shared" ca="1" si="244"/>
        <v>0</v>
      </c>
      <c r="CD104" s="2790">
        <f t="shared" ca="1" si="244"/>
        <v>0</v>
      </c>
      <c r="CE104" s="2790">
        <f t="shared" ca="1" si="244"/>
        <v>0</v>
      </c>
      <c r="CF104" s="2790">
        <f t="shared" ca="1" si="244"/>
        <v>0</v>
      </c>
      <c r="CG104" s="2790">
        <f t="shared" ca="1" si="244"/>
        <v>0</v>
      </c>
      <c r="CH104" s="2790">
        <f t="shared" ca="1" si="244"/>
        <v>0</v>
      </c>
      <c r="CI104" s="2790">
        <f t="shared" ca="1" si="244"/>
        <v>0</v>
      </c>
      <c r="CJ104" s="2790">
        <f t="shared" ca="1" si="244"/>
        <v>0</v>
      </c>
      <c r="CK104" s="2790">
        <f t="shared" ca="1" si="244"/>
        <v>0</v>
      </c>
      <c r="CL104" s="2790">
        <f t="shared" ca="1" si="244"/>
        <v>0</v>
      </c>
      <c r="CM104" s="2790">
        <f t="shared" ca="1" si="244"/>
        <v>0</v>
      </c>
      <c r="CN104" s="2790">
        <f t="shared" ca="1" si="244"/>
        <v>0</v>
      </c>
      <c r="CO104" s="2790">
        <f t="shared" ca="1" si="244"/>
        <v>0</v>
      </c>
      <c r="CP104" s="2790">
        <f t="shared" ca="1" si="244"/>
        <v>0</v>
      </c>
      <c r="CQ104" s="2790">
        <f t="shared" ca="1" si="244"/>
        <v>0</v>
      </c>
      <c r="CR104" s="2790">
        <f t="shared" ca="1" si="244"/>
        <v>0</v>
      </c>
      <c r="CS104" s="2790">
        <f t="shared" ca="1" si="244"/>
        <v>0</v>
      </c>
      <c r="CT104" s="2790">
        <f t="shared" ca="1" si="244"/>
        <v>0</v>
      </c>
      <c r="CU104" s="2790">
        <f t="shared" ca="1" si="244"/>
        <v>0</v>
      </c>
      <c r="CV104" s="2790">
        <f t="shared" ca="1" si="244"/>
        <v>0</v>
      </c>
      <c r="CW104" s="2790">
        <f t="shared" ca="1" si="244"/>
        <v>0</v>
      </c>
      <c r="CX104" s="2790">
        <f t="shared" ca="1" si="244"/>
        <v>0</v>
      </c>
      <c r="CY104" s="2790">
        <f t="shared" ca="1" si="244"/>
        <v>0</v>
      </c>
      <c r="CZ104" s="2790">
        <f t="shared" ca="1" si="244"/>
        <v>0</v>
      </c>
      <c r="DA104" s="2790">
        <f t="shared" ca="1" si="244"/>
        <v>0</v>
      </c>
      <c r="DB104" s="2790">
        <f t="shared" ca="1" si="244"/>
        <v>0</v>
      </c>
      <c r="DC104" s="2790">
        <f t="shared" ca="1" si="244"/>
        <v>0</v>
      </c>
      <c r="DD104" s="2790">
        <f t="shared" ca="1" si="244"/>
        <v>0</v>
      </c>
      <c r="DE104" s="2790">
        <f t="shared" ca="1" si="244"/>
        <v>0</v>
      </c>
      <c r="DF104" s="2790">
        <f t="shared" ca="1" si="244"/>
        <v>0</v>
      </c>
      <c r="DH104" s="596">
        <f t="shared" ca="1" si="218"/>
        <v>1.9963676250276358E-2</v>
      </c>
    </row>
    <row r="105" spans="1:112" s="6" customForma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3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45">G$93+G$99+G$104</f>
        <v>0</v>
      </c>
      <c r="H106" s="680">
        <f t="shared" ca="1" si="245"/>
        <v>0</v>
      </c>
      <c r="I106" s="680">
        <f t="shared" ca="1" si="245"/>
        <v>0</v>
      </c>
      <c r="J106" s="680">
        <f t="shared" ca="1" si="245"/>
        <v>0</v>
      </c>
      <c r="K106" s="681">
        <f t="shared" ca="1" si="245"/>
        <v>0</v>
      </c>
      <c r="L106" s="680">
        <f t="shared" ca="1" si="245"/>
        <v>0</v>
      </c>
      <c r="M106" s="680">
        <f t="shared" ca="1" si="245"/>
        <v>0</v>
      </c>
      <c r="N106" s="680">
        <f t="shared" ca="1" si="245"/>
        <v>0</v>
      </c>
      <c r="O106" s="680">
        <f t="shared" ca="1" si="245"/>
        <v>0</v>
      </c>
      <c r="P106" s="680">
        <f t="shared" ca="1" si="245"/>
        <v>0</v>
      </c>
      <c r="Q106" s="633">
        <f ca="1">SUM(G106:P106)</f>
        <v>0</v>
      </c>
      <c r="S106" s="634">
        <f t="shared" ref="S106:AJ106" ca="1" si="246">S$93+S$99+S$104</f>
        <v>0</v>
      </c>
      <c r="T106" s="634">
        <f t="shared" ca="1" si="246"/>
        <v>-1.0474073496786644</v>
      </c>
      <c r="U106" s="634">
        <f t="shared" ca="1" si="246"/>
        <v>16.777250665890641</v>
      </c>
      <c r="V106" s="634">
        <f t="shared" ca="1" si="246"/>
        <v>67.727908156726983</v>
      </c>
      <c r="W106" s="634">
        <f t="shared" ca="1" si="246"/>
        <v>46.794378643910434</v>
      </c>
      <c r="X106" s="634">
        <f t="shared" ca="1" si="246"/>
        <v>-2.2517011089397578</v>
      </c>
      <c r="Y106" s="634">
        <f t="shared" ca="1" si="246"/>
        <v>0</v>
      </c>
      <c r="Z106" s="634">
        <f t="shared" ca="1" si="246"/>
        <v>-35</v>
      </c>
      <c r="AA106" s="634">
        <f t="shared" ca="1" si="246"/>
        <v>0</v>
      </c>
      <c r="AB106" s="634">
        <f t="shared" ca="1" si="246"/>
        <v>0</v>
      </c>
      <c r="AC106" s="634">
        <f t="shared" ca="1" si="246"/>
        <v>0</v>
      </c>
      <c r="AD106" s="634">
        <f t="shared" ca="1" si="246"/>
        <v>-10.560023127898354</v>
      </c>
      <c r="AE106" s="634">
        <f t="shared" ca="1" si="246"/>
        <v>-0.26905561870922784</v>
      </c>
      <c r="AF106" s="634">
        <f t="shared" ca="1" si="246"/>
        <v>-3.4730781007789262</v>
      </c>
      <c r="AG106" s="634">
        <f t="shared" ca="1" si="246"/>
        <v>-1.5106164705314096</v>
      </c>
      <c r="AH106" s="634">
        <f t="shared" ca="1" si="246"/>
        <v>-0.14794501798441054</v>
      </c>
      <c r="AI106" s="634">
        <f t="shared" ca="1" si="246"/>
        <v>0</v>
      </c>
      <c r="AJ106" s="634">
        <f t="shared" ca="1" si="246"/>
        <v>0</v>
      </c>
      <c r="AK106" s="634">
        <f ca="1">SUM(S106:AJ106)</f>
        <v>77.039710672007331</v>
      </c>
      <c r="AM106" s="635">
        <f t="shared" ref="AM106:BE106" ca="1" si="247">AM$93+AM$99+AM$104</f>
        <v>0</v>
      </c>
      <c r="AN106" s="635">
        <f t="shared" ca="1" si="247"/>
        <v>0</v>
      </c>
      <c r="AO106" s="635">
        <f t="shared" ca="1" si="247"/>
        <v>0</v>
      </c>
      <c r="AP106" s="635">
        <f t="shared" ca="1" si="247"/>
        <v>-2.9119000000000002</v>
      </c>
      <c r="AQ106" s="635">
        <f t="shared" ca="1" si="247"/>
        <v>-2.5000000000000036</v>
      </c>
      <c r="AR106" s="635">
        <f t="shared" ca="1" si="247"/>
        <v>0</v>
      </c>
      <c r="AS106" s="635">
        <f t="shared" ca="1" si="247"/>
        <v>-0.49575845114132866</v>
      </c>
      <c r="AT106" s="635">
        <f t="shared" ca="1" si="247"/>
        <v>-66.132600914927124</v>
      </c>
      <c r="AU106" s="635">
        <f t="shared" ca="1" si="247"/>
        <v>-11.463075485516505</v>
      </c>
      <c r="AV106" s="635">
        <f t="shared" ca="1" si="247"/>
        <v>0</v>
      </c>
      <c r="AW106" s="635">
        <f t="shared" ca="1" si="247"/>
        <v>0</v>
      </c>
      <c r="AX106" s="635">
        <f t="shared" ca="1" si="247"/>
        <v>0</v>
      </c>
      <c r="AY106" s="635">
        <f t="shared" ca="1" si="247"/>
        <v>0</v>
      </c>
      <c r="AZ106" s="635">
        <f t="shared" ca="1" si="247"/>
        <v>0</v>
      </c>
      <c r="BA106" s="635">
        <f t="shared" ca="1" si="247"/>
        <v>0</v>
      </c>
      <c r="BB106" s="635">
        <f t="shared" ca="1" si="247"/>
        <v>0</v>
      </c>
      <c r="BC106" s="635">
        <f t="shared" ca="1" si="247"/>
        <v>0</v>
      </c>
      <c r="BD106" s="635">
        <f t="shared" ca="1" si="247"/>
        <v>0</v>
      </c>
      <c r="BE106" s="635">
        <f t="shared" ca="1" si="247"/>
        <v>0</v>
      </c>
      <c r="BF106" s="635">
        <f ca="1">SUM(AM106:BE106)</f>
        <v>-83.503334851584953</v>
      </c>
      <c r="BH106" s="3464">
        <f ca="1">BH$93+BH$99+BH$104</f>
        <v>2.1243872834554418</v>
      </c>
      <c r="BI106" s="3464">
        <f ca="1">BI$93+BI$99+BI$104</f>
        <v>4.3392368961222143</v>
      </c>
      <c r="BJ106" s="3464">
        <f ca="1">SUM(BH106:BI106)</f>
        <v>6.4636241795776561</v>
      </c>
      <c r="BL106" s="3478">
        <f t="shared" ca="1" si="236"/>
        <v>3.4638958368304884E-14</v>
      </c>
      <c r="BM106" s="636"/>
      <c r="BO106" s="2793">
        <f t="shared" ref="BO106:DE106" ca="1" si="248">BO$93+BO$99+BO$104</f>
        <v>5.3833031604055608E-2</v>
      </c>
      <c r="BP106" s="2793">
        <f t="shared" ca="1" si="248"/>
        <v>1.9879607921732601E-5</v>
      </c>
      <c r="BQ106" s="2793">
        <f t="shared" ca="1" si="248"/>
        <v>8.5103654864940987E-4</v>
      </c>
      <c r="BR106" s="2793">
        <f t="shared" ca="1" si="248"/>
        <v>0</v>
      </c>
      <c r="BS106" s="2793">
        <f t="shared" ca="1" si="248"/>
        <v>0</v>
      </c>
      <c r="BT106" s="2793">
        <f t="shared" ca="1" si="248"/>
        <v>1.9963676250276358E-2</v>
      </c>
      <c r="BU106" s="2793">
        <f t="shared" ca="1" si="248"/>
        <v>0</v>
      </c>
      <c r="BV106" s="2793">
        <f t="shared" ca="1" si="248"/>
        <v>0</v>
      </c>
      <c r="BW106" s="2793">
        <f t="shared" ca="1" si="248"/>
        <v>0</v>
      </c>
      <c r="BX106" s="2793">
        <f t="shared" ca="1" si="248"/>
        <v>0</v>
      </c>
      <c r="BY106" s="2793">
        <f t="shared" ca="1" si="248"/>
        <v>0</v>
      </c>
      <c r="BZ106" s="2793">
        <f t="shared" ca="1" si="248"/>
        <v>0</v>
      </c>
      <c r="CA106" s="2793">
        <f t="shared" ca="1" si="248"/>
        <v>0</v>
      </c>
      <c r="CB106" s="2793">
        <f t="shared" ca="1" si="248"/>
        <v>0</v>
      </c>
      <c r="CC106" s="2793">
        <f t="shared" ca="1" si="248"/>
        <v>0</v>
      </c>
      <c r="CD106" s="2793">
        <f t="shared" ca="1" si="248"/>
        <v>0</v>
      </c>
      <c r="CE106" s="2793">
        <f t="shared" ca="1" si="248"/>
        <v>0</v>
      </c>
      <c r="CF106" s="2793">
        <f t="shared" ca="1" si="248"/>
        <v>0</v>
      </c>
      <c r="CG106" s="2793">
        <f t="shared" ca="1" si="248"/>
        <v>0</v>
      </c>
      <c r="CH106" s="2793">
        <f t="shared" ca="1" si="248"/>
        <v>0</v>
      </c>
      <c r="CI106" s="2793">
        <f t="shared" ca="1" si="248"/>
        <v>0</v>
      </c>
      <c r="CJ106" s="2793">
        <f t="shared" ca="1" si="248"/>
        <v>0</v>
      </c>
      <c r="CK106" s="2793">
        <f t="shared" ca="1" si="248"/>
        <v>0</v>
      </c>
      <c r="CL106" s="2793">
        <f t="shared" ca="1" si="248"/>
        <v>0</v>
      </c>
      <c r="CM106" s="2793">
        <f t="shared" ca="1" si="248"/>
        <v>0</v>
      </c>
      <c r="CN106" s="2793">
        <f t="shared" ca="1" si="248"/>
        <v>0</v>
      </c>
      <c r="CO106" s="2793">
        <f t="shared" ca="1" si="248"/>
        <v>0</v>
      </c>
      <c r="CP106" s="2793">
        <f t="shared" ca="1" si="248"/>
        <v>0</v>
      </c>
      <c r="CQ106" s="2793">
        <f t="shared" ca="1" si="248"/>
        <v>0</v>
      </c>
      <c r="CR106" s="2793">
        <f t="shared" ca="1" si="248"/>
        <v>0</v>
      </c>
      <c r="CS106" s="2793">
        <f t="shared" ca="1" si="248"/>
        <v>0</v>
      </c>
      <c r="CT106" s="2793">
        <f t="shared" ca="1" si="248"/>
        <v>0</v>
      </c>
      <c r="CU106" s="2793">
        <f t="shared" ca="1" si="248"/>
        <v>0</v>
      </c>
      <c r="CV106" s="2793">
        <f t="shared" ca="1" si="248"/>
        <v>0</v>
      </c>
      <c r="CW106" s="2793">
        <f t="shared" ca="1" si="248"/>
        <v>0</v>
      </c>
      <c r="CX106" s="2793">
        <f t="shared" ca="1" si="248"/>
        <v>0</v>
      </c>
      <c r="CY106" s="2793">
        <f t="shared" ca="1" si="248"/>
        <v>-5.4199703136642308</v>
      </c>
      <c r="CZ106" s="2793">
        <f t="shared" ca="1" si="248"/>
        <v>0</v>
      </c>
      <c r="DA106" s="2793">
        <f t="shared" ca="1" si="248"/>
        <v>0</v>
      </c>
      <c r="DB106" s="2793">
        <f t="shared" ca="1" si="248"/>
        <v>0</v>
      </c>
      <c r="DC106" s="2793">
        <f t="shared" ca="1" si="248"/>
        <v>0</v>
      </c>
      <c r="DD106" s="2793">
        <f t="shared" ca="1" si="248"/>
        <v>0</v>
      </c>
      <c r="DE106" s="2793">
        <f t="shared" ca="1" si="248"/>
        <v>0</v>
      </c>
      <c r="DF106" s="2793">
        <f ca="1">DF$93+DF$104</f>
        <v>0</v>
      </c>
      <c r="DH106" s="637">
        <f ca="1">SUM(BO106:DF106)</f>
        <v>-5.3453026896533276</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3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3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16.5" thickBot="1">
      <c r="C109" s="713" t="s">
        <v>592</v>
      </c>
      <c r="D109" s="713"/>
      <c r="E109" s="713"/>
      <c r="G109" s="714">
        <f t="shared" ref="G109:P109" ca="1" si="249">G$40+G$84+G$106</f>
        <v>35.606421512563799</v>
      </c>
      <c r="H109" s="714">
        <f t="shared" ca="1" si="249"/>
        <v>10.378401122896985</v>
      </c>
      <c r="I109" s="714">
        <f t="shared" ca="1" si="249"/>
        <v>31.815835036785352</v>
      </c>
      <c r="J109" s="714">
        <f t="shared" ca="1" si="249"/>
        <v>36.134435164573652</v>
      </c>
      <c r="K109" s="714">
        <f t="shared" ca="1" si="249"/>
        <v>0.43876387038956832</v>
      </c>
      <c r="L109" s="714">
        <f t="shared" ca="1" si="249"/>
        <v>2.6748583502616049E-2</v>
      </c>
      <c r="M109" s="714">
        <f t="shared" ca="1" si="249"/>
        <v>0.66</v>
      </c>
      <c r="N109" s="714">
        <f t="shared" ca="1" si="249"/>
        <v>7.4554183878892841</v>
      </c>
      <c r="O109" s="714">
        <f t="shared" ca="1" si="249"/>
        <v>0</v>
      </c>
      <c r="P109" s="714">
        <f t="shared" ca="1" si="249"/>
        <v>0</v>
      </c>
      <c r="Q109" s="714">
        <f ca="1">SUM(G109:P109)</f>
        <v>122.51602367860124</v>
      </c>
      <c r="S109" s="715">
        <f t="shared" ref="S109:AJ109" ca="1" si="250">S$40+S$84+S$106</f>
        <v>-24.873360120694059</v>
      </c>
      <c r="T109" s="715">
        <f t="shared" ca="1" si="250"/>
        <v>24.873360120694059</v>
      </c>
      <c r="U109" s="715">
        <f t="shared" ca="1" si="250"/>
        <v>0</v>
      </c>
      <c r="V109" s="715">
        <f t="shared" ca="1" si="250"/>
        <v>0</v>
      </c>
      <c r="W109" s="715">
        <f t="shared" ca="1" si="250"/>
        <v>0</v>
      </c>
      <c r="X109" s="715">
        <f t="shared" ca="1" si="250"/>
        <v>0</v>
      </c>
      <c r="Y109" s="715">
        <f t="shared" ca="1" si="250"/>
        <v>0</v>
      </c>
      <c r="Z109" s="715">
        <f t="shared" ca="1" si="250"/>
        <v>0</v>
      </c>
      <c r="AA109" s="715">
        <f t="shared" ca="1" si="250"/>
        <v>0</v>
      </c>
      <c r="AB109" s="715">
        <f t="shared" ca="1" si="250"/>
        <v>0</v>
      </c>
      <c r="AC109" s="715">
        <f t="shared" ca="1" si="250"/>
        <v>0</v>
      </c>
      <c r="AD109" s="715">
        <f t="shared" ca="1" si="250"/>
        <v>0</v>
      </c>
      <c r="AE109" s="715">
        <f t="shared" ca="1" si="250"/>
        <v>0</v>
      </c>
      <c r="AF109" s="715">
        <f t="shared" ca="1" si="250"/>
        <v>0</v>
      </c>
      <c r="AG109" s="715">
        <f t="shared" ca="1" si="250"/>
        <v>0</v>
      </c>
      <c r="AH109" s="715">
        <f t="shared" ca="1" si="250"/>
        <v>0</v>
      </c>
      <c r="AI109" s="715">
        <f t="shared" ca="1" si="250"/>
        <v>0</v>
      </c>
      <c r="AJ109" s="715">
        <f t="shared" ca="1" si="250"/>
        <v>0</v>
      </c>
      <c r="AK109" s="715">
        <f ca="1">SUM(S109:AJ109)</f>
        <v>0</v>
      </c>
      <c r="AM109" s="716">
        <f t="shared" ref="AM109:BE109" ca="1" si="251">AM$40+AM$84+AM$106</f>
        <v>-2</v>
      </c>
      <c r="AN109" s="716">
        <f t="shared" ca="1" si="251"/>
        <v>0</v>
      </c>
      <c r="AO109" s="716">
        <f t="shared" ca="1" si="251"/>
        <v>-35</v>
      </c>
      <c r="AP109" s="716">
        <f t="shared" ca="1" si="251"/>
        <v>-2.9119000000000002</v>
      </c>
      <c r="AQ109" s="716">
        <f t="shared" ca="1" si="251"/>
        <v>-2.5000000000000036</v>
      </c>
      <c r="AR109" s="716">
        <f t="shared" ca="1" si="251"/>
        <v>0</v>
      </c>
      <c r="AS109" s="716">
        <f t="shared" ca="1" si="251"/>
        <v>-0.49575845114132866</v>
      </c>
      <c r="AT109" s="716">
        <f t="shared" ca="1" si="251"/>
        <v>-66.132600914927124</v>
      </c>
      <c r="AU109" s="716">
        <f t="shared" ca="1" si="251"/>
        <v>-11.463075485516505</v>
      </c>
      <c r="AV109" s="716">
        <f t="shared" ca="1" si="251"/>
        <v>0</v>
      </c>
      <c r="AW109" s="716">
        <f t="shared" ca="1" si="251"/>
        <v>-0.98311948364472168</v>
      </c>
      <c r="AX109" s="716">
        <f t="shared" ca="1" si="251"/>
        <v>-9.3230792999999998</v>
      </c>
      <c r="AY109" s="716">
        <f t="shared" ca="1" si="251"/>
        <v>0</v>
      </c>
      <c r="AZ109" s="716">
        <f t="shared" ca="1" si="251"/>
        <v>-1.3017510000000001E-2</v>
      </c>
      <c r="BA109" s="716">
        <f t="shared" ca="1" si="251"/>
        <v>0</v>
      </c>
      <c r="BB109" s="716">
        <f t="shared" ca="1" si="251"/>
        <v>-0.74791511999999993</v>
      </c>
      <c r="BC109" s="716">
        <f t="shared" ca="1" si="251"/>
        <v>-0.19215404904246119</v>
      </c>
      <c r="BD109" s="716">
        <f t="shared" ca="1" si="251"/>
        <v>-10.829078746607582</v>
      </c>
      <c r="BE109" s="716">
        <f t="shared" ca="1" si="251"/>
        <v>-5.3833406982345036</v>
      </c>
      <c r="BF109" s="716">
        <f ca="1">SUM(AM109:BE109)</f>
        <v>-147.97503975911422</v>
      </c>
      <c r="BH109" s="3469">
        <f ca="1">BH$40+BH$84+BH$106</f>
        <v>18.60722961439442</v>
      </c>
      <c r="BI109" s="3469">
        <f ca="1">BI$40+BI$84+BI$106</f>
        <v>6.8517864661185373</v>
      </c>
      <c r="BJ109" s="3469">
        <f ca="1">SUM(BH109:BI109)</f>
        <v>25.459016080512956</v>
      </c>
      <c r="BL109" s="3479">
        <f t="shared" ca="1" si="236"/>
        <v>0</v>
      </c>
      <c r="BM109" s="577"/>
      <c r="BO109" s="2798">
        <f t="shared" ref="BO109:DF109" ca="1" si="252">BO$40+BO$84+BO$106</f>
        <v>31.422334049204327</v>
      </c>
      <c r="BP109" s="2798">
        <f t="shared" ca="1" si="252"/>
        <v>1.818405641721145E-2</v>
      </c>
      <c r="BQ109" s="2798">
        <f t="shared" ca="1" si="252"/>
        <v>0.20273912951849363</v>
      </c>
      <c r="BR109" s="2798">
        <f t="shared" ca="1" si="252"/>
        <v>0</v>
      </c>
      <c r="BS109" s="2798">
        <f t="shared" ca="1" si="252"/>
        <v>0</v>
      </c>
      <c r="BT109" s="2798">
        <f t="shared" ca="1" si="252"/>
        <v>1.9963676250276358E-2</v>
      </c>
      <c r="BU109" s="2798">
        <f t="shared" ca="1" si="252"/>
        <v>0</v>
      </c>
      <c r="BV109" s="2798">
        <f t="shared" ca="1" si="252"/>
        <v>0</v>
      </c>
      <c r="BW109" s="2798">
        <f t="shared" ca="1" si="252"/>
        <v>1.1642523149646604</v>
      </c>
      <c r="BX109" s="2798">
        <f t="shared" ca="1" si="252"/>
        <v>0</v>
      </c>
      <c r="BY109" s="2798">
        <f t="shared" ca="1" si="252"/>
        <v>0</v>
      </c>
      <c r="BZ109" s="2798">
        <f t="shared" ca="1" si="252"/>
        <v>0.91607788377966026</v>
      </c>
      <c r="CA109" s="2798">
        <f t="shared" ca="1" si="252"/>
        <v>0</v>
      </c>
      <c r="CB109" s="2798">
        <f t="shared" ca="1" si="252"/>
        <v>0</v>
      </c>
      <c r="CC109" s="2798">
        <f t="shared" ca="1" si="252"/>
        <v>0</v>
      </c>
      <c r="CD109" s="2798">
        <f t="shared" ca="1" si="252"/>
        <v>0</v>
      </c>
      <c r="CE109" s="2798">
        <f t="shared" ca="1" si="252"/>
        <v>0</v>
      </c>
      <c r="CF109" s="2798">
        <f t="shared" ca="1" si="252"/>
        <v>10.343608996712423</v>
      </c>
      <c r="CG109" s="2798">
        <f t="shared" ca="1" si="252"/>
        <v>6.1668140391981598</v>
      </c>
      <c r="CH109" s="2798">
        <f t="shared" ca="1" si="252"/>
        <v>0</v>
      </c>
      <c r="CI109" s="2798">
        <f t="shared" ca="1" si="252"/>
        <v>-1.1817681520851633</v>
      </c>
      <c r="CJ109" s="2798">
        <f t="shared" ca="1" si="252"/>
        <v>0</v>
      </c>
      <c r="CK109" s="2798">
        <f t="shared" ca="1" si="252"/>
        <v>0</v>
      </c>
      <c r="CL109" s="2798">
        <f t="shared" ca="1" si="252"/>
        <v>0</v>
      </c>
      <c r="CM109" s="2798">
        <f t="shared" ca="1" si="252"/>
        <v>0</v>
      </c>
      <c r="CN109" s="2798">
        <f t="shared" ca="1" si="252"/>
        <v>0.67661522642028871</v>
      </c>
      <c r="CO109" s="2798">
        <f t="shared" ca="1" si="252"/>
        <v>5.608464642857143E-2</v>
      </c>
      <c r="CP109" s="2798">
        <f t="shared" ca="1" si="252"/>
        <v>0</v>
      </c>
      <c r="CQ109" s="2798">
        <f t="shared" ca="1" si="252"/>
        <v>0</v>
      </c>
      <c r="CR109" s="2798">
        <f t="shared" ca="1" si="252"/>
        <v>0</v>
      </c>
      <c r="CS109" s="2798">
        <f t="shared" ca="1" si="252"/>
        <v>0</v>
      </c>
      <c r="CT109" s="2798">
        <f t="shared" ca="1" si="252"/>
        <v>0</v>
      </c>
      <c r="CU109" s="2798">
        <f t="shared" ca="1" si="252"/>
        <v>1.9673358041962239</v>
      </c>
      <c r="CV109" s="2798">
        <f t="shared" ca="1" si="252"/>
        <v>1.6908888903732896E-3</v>
      </c>
      <c r="CW109" s="2798">
        <f t="shared" ca="1" si="252"/>
        <v>4.9921481525306644E-3</v>
      </c>
      <c r="CX109" s="2798">
        <f t="shared" ca="1" si="252"/>
        <v>0</v>
      </c>
      <c r="CY109" s="2798">
        <f t="shared" ca="1" si="252"/>
        <v>-5.4199703136642308</v>
      </c>
      <c r="CZ109" s="2798">
        <f t="shared" ca="1" si="252"/>
        <v>0</v>
      </c>
      <c r="DA109" s="2798">
        <f t="shared" ca="1" si="252"/>
        <v>0</v>
      </c>
      <c r="DB109" s="2798">
        <f t="shared" ca="1" si="252"/>
        <v>0</v>
      </c>
      <c r="DC109" s="2798">
        <f t="shared" ca="1" si="252"/>
        <v>0</v>
      </c>
      <c r="DD109" s="2798">
        <f t="shared" ca="1" si="252"/>
        <v>0</v>
      </c>
      <c r="DE109" s="2798">
        <f t="shared" ca="1" si="252"/>
        <v>0</v>
      </c>
      <c r="DF109" s="2798">
        <f t="shared" ca="1" si="252"/>
        <v>0</v>
      </c>
      <c r="DH109" s="637">
        <f ca="1">SUM(BO109:DF109)</f>
        <v>46.358954394383808</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c r="BO111" s="3482"/>
      <c r="BP111" s="3482"/>
      <c r="BQ111" s="3482"/>
      <c r="BR111" s="3482"/>
      <c r="BS111" s="3482"/>
      <c r="BT111" s="3482"/>
      <c r="BU111" s="3482"/>
      <c r="BV111" s="3482"/>
      <c r="BW111" s="3482"/>
      <c r="BX111" s="3482"/>
      <c r="BY111" s="3482"/>
      <c r="BZ111" s="3482"/>
      <c r="CA111" s="3482"/>
      <c r="CB111" s="3482"/>
      <c r="CC111" s="3482"/>
      <c r="CD111" s="3482"/>
      <c r="CE111" s="3482"/>
      <c r="CF111" s="3482"/>
      <c r="CG111" s="3482"/>
      <c r="CH111" s="3482"/>
      <c r="CI111" s="3482"/>
      <c r="CJ111" s="3482"/>
      <c r="CK111" s="3482"/>
      <c r="CL111" s="3482"/>
      <c r="CM111" s="3482"/>
      <c r="CN111" s="3482"/>
      <c r="CO111" s="3482"/>
      <c r="CP111" s="3482"/>
      <c r="CQ111" s="3482"/>
      <c r="CR111" s="3482"/>
      <c r="CS111" s="3482"/>
      <c r="CT111" s="3482"/>
      <c r="CU111" s="3482"/>
      <c r="CV111" s="3482"/>
      <c r="CW111" s="3482"/>
      <c r="CX111" s="3482"/>
      <c r="CY111" s="3482"/>
      <c r="CZ111" s="3482"/>
      <c r="DA111" s="3482"/>
      <c r="DB111" s="3482"/>
      <c r="DC111" s="3482"/>
      <c r="DD111" s="3482"/>
      <c r="DE111" s="3482"/>
      <c r="DF111" s="3482"/>
      <c r="DG111" s="3482"/>
      <c r="DH111" s="3482"/>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BO112" s="3482"/>
      <c r="BP112" s="3482"/>
      <c r="BQ112" s="3482"/>
      <c r="BR112" s="3482"/>
      <c r="BS112" s="3482"/>
      <c r="BT112" s="3482"/>
      <c r="BU112" s="3482"/>
      <c r="BV112" s="3482"/>
      <c r="BW112" s="3482"/>
      <c r="BX112" s="3482"/>
      <c r="BY112" s="3482"/>
      <c r="BZ112" s="3482"/>
      <c r="CA112" s="3482"/>
      <c r="CB112" s="3482"/>
      <c r="CC112" s="3482"/>
      <c r="CD112" s="3482"/>
      <c r="CE112" s="3482"/>
      <c r="CF112" s="3482"/>
      <c r="CG112" s="3482"/>
      <c r="CH112" s="3482"/>
      <c r="CI112" s="3482"/>
      <c r="CJ112" s="3482"/>
      <c r="CK112" s="3482"/>
      <c r="CL112" s="3482"/>
      <c r="CM112" s="3482"/>
      <c r="CN112" s="3482"/>
      <c r="CO112" s="3482"/>
      <c r="CP112" s="3482"/>
      <c r="CQ112" s="3482"/>
      <c r="CR112" s="3482"/>
      <c r="CS112" s="3482"/>
      <c r="CT112" s="3482"/>
      <c r="CU112" s="3482"/>
      <c r="CV112" s="3482"/>
      <c r="CW112" s="3482"/>
      <c r="CX112" s="3482"/>
      <c r="CY112" s="3482"/>
      <c r="CZ112" s="3482"/>
      <c r="DA112" s="3482"/>
      <c r="DB112" s="3482"/>
      <c r="DC112" s="3482"/>
      <c r="DD112" s="3482"/>
      <c r="DE112" s="3482"/>
      <c r="DF112" s="382" t="s">
        <v>593</v>
      </c>
      <c r="DG112" s="3482"/>
      <c r="DH112" s="723">
        <f ca="1">SUM(DH63,DH68,DH76,DH82)</f>
        <v>8.3433212759556366</v>
      </c>
    </row>
    <row r="113" spans="2:112">
      <c r="B113" s="2685"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BO113" s="3482"/>
      <c r="BP113" s="3482"/>
      <c r="BQ113" s="3482"/>
      <c r="BR113" s="3482"/>
      <c r="BS113" s="3482"/>
      <c r="BT113" s="3482"/>
      <c r="BU113" s="3482"/>
      <c r="BV113" s="3482"/>
      <c r="BW113" s="3482"/>
      <c r="BX113" s="3482"/>
      <c r="BY113" s="3482"/>
      <c r="BZ113" s="3482"/>
      <c r="CA113" s="3482"/>
      <c r="CB113" s="3482"/>
      <c r="CC113" s="3482"/>
      <c r="CD113" s="3482"/>
      <c r="CE113" s="3482"/>
      <c r="CF113" s="3482"/>
      <c r="CG113" s="3482"/>
      <c r="CH113" s="3482"/>
      <c r="CI113" s="3482"/>
      <c r="CJ113" s="3482"/>
      <c r="CK113" s="3482"/>
      <c r="CL113" s="3482"/>
      <c r="CM113" s="3482"/>
      <c r="CN113" s="3482"/>
      <c r="CO113" s="3482"/>
      <c r="CP113" s="3482"/>
      <c r="CQ113" s="3482"/>
      <c r="CR113" s="3482"/>
      <c r="CS113" s="3482"/>
      <c r="CT113" s="3482"/>
      <c r="CU113" s="3482"/>
      <c r="CV113" s="3482"/>
      <c r="CW113" s="3482"/>
      <c r="CX113" s="3482"/>
      <c r="CY113" s="3482"/>
      <c r="CZ113" s="3482"/>
      <c r="DA113" s="3482"/>
      <c r="DB113" s="3482"/>
      <c r="DC113" s="3482"/>
      <c r="DD113" s="3482"/>
      <c r="DE113" s="3482"/>
      <c r="DF113" s="382" t="s">
        <v>595</v>
      </c>
      <c r="DG113" s="3482"/>
      <c r="DH113" s="723">
        <f ca="1">T109-MIN(T103,0)-T72</f>
        <v>24.877151263511834</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BO114" s="3482"/>
      <c r="BP114" s="3482"/>
      <c r="BQ114" s="3482"/>
      <c r="BR114" s="3482"/>
      <c r="BS114" s="3482"/>
      <c r="BT114" s="3482"/>
      <c r="BU114" s="3482"/>
      <c r="BV114" s="3482"/>
      <c r="BW114" s="3482"/>
      <c r="BX114" s="3482"/>
      <c r="BY114" s="3482"/>
      <c r="BZ114" s="3482"/>
      <c r="CA114" s="3482"/>
      <c r="CB114" s="3482"/>
      <c r="CC114" s="3482"/>
      <c r="CD114" s="3482"/>
      <c r="CE114" s="3482"/>
      <c r="CF114" s="3482"/>
      <c r="CG114" s="3482"/>
      <c r="CH114" s="3482"/>
      <c r="CI114" s="3482"/>
      <c r="CJ114" s="3482"/>
      <c r="CK114" s="3482"/>
      <c r="CL114" s="3482"/>
      <c r="CM114" s="3482"/>
      <c r="CN114" s="3482"/>
      <c r="CO114" s="3482"/>
      <c r="CP114" s="3482"/>
      <c r="CQ114" s="3482"/>
      <c r="CR114" s="3482"/>
      <c r="CS114" s="3482"/>
      <c r="CT114" s="3482"/>
      <c r="CU114" s="3482"/>
      <c r="CV114" s="3482"/>
      <c r="CW114" s="3482"/>
      <c r="CX114" s="3482"/>
      <c r="CY114" s="3482"/>
      <c r="CZ114" s="3482"/>
      <c r="DA114" s="3482"/>
      <c r="DB114" s="3482"/>
      <c r="DC114" s="3482"/>
      <c r="DD114" s="3482"/>
      <c r="DE114" s="3482"/>
      <c r="DF114" s="382" t="s">
        <v>596</v>
      </c>
      <c r="DG114" s="3482"/>
      <c r="DH114" s="3482">
        <f ca="1">DH112/DH113</f>
        <v>0.33538089580992619</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2:DH148"/>
  <sheetViews>
    <sheetView topLeftCell="G91" workbookViewId="0">
      <selection activeCell="U98" sqref="U98"/>
    </sheetView>
  </sheetViews>
  <sheetFormatPr defaultColWidth="8.85546875" defaultRowHeight="15" outlineLevelCol="2"/>
  <cols>
    <col min="1" max="1" width="1.7109375" style="2685" customWidth="1"/>
    <col min="2" max="2" width="1.42578125" style="2685" customWidth="1"/>
    <col min="3" max="3" width="4.42578125" style="518" customWidth="1"/>
    <col min="4" max="4" width="3.85546875" style="519" customWidth="1"/>
    <col min="5" max="5" width="41.7109375" style="519" customWidth="1"/>
    <col min="6" max="6" width="1.140625" style="268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style="2685" customWidth="1" outlineLevel="1"/>
    <col min="19" max="19" width="11.7109375" style="519" customWidth="1" outlineLevel="2"/>
    <col min="20" max="36" width="10" style="519" customWidth="1" outlineLevel="2"/>
    <col min="37" max="37" width="10" style="519" customWidth="1" outlineLevel="1"/>
    <col min="38" max="38" width="1.140625" style="2685" customWidth="1" outlineLevel="1"/>
    <col min="39" max="57" width="10" style="519" customWidth="1" outlineLevel="2"/>
    <col min="58" max="58" width="10" style="519" customWidth="1" outlineLevel="1"/>
    <col min="59" max="59" width="1.140625" style="2685" customWidth="1" outlineLevel="1"/>
    <col min="60" max="61" width="10" style="519" customWidth="1" outlineLevel="2"/>
    <col min="62" max="62" width="10" style="519" customWidth="1" outlineLevel="1"/>
    <col min="63" max="63" width="1.140625" style="2685" customWidth="1" outlineLevel="1"/>
    <col min="64" max="64" width="11" style="519" customWidth="1" outlineLevel="1"/>
    <col min="65" max="65" width="5.28515625" style="519" customWidth="1"/>
    <col min="66" max="66" width="8.85546875" style="2685"/>
    <col min="67" max="110" width="7.42578125" style="2685" customWidth="1"/>
    <col min="111" max="111" width="2.42578125" style="2685" customWidth="1"/>
    <col min="112" max="16384" width="8.85546875" style="2685"/>
  </cols>
  <sheetData>
    <row r="2" spans="1:112" ht="22.5">
      <c r="D2" s="521"/>
      <c r="E2" s="522">
        <v>2025</v>
      </c>
      <c r="G2" s="2685"/>
      <c r="H2" s="2685"/>
      <c r="I2" s="2685"/>
      <c r="J2" s="2685"/>
      <c r="K2" s="2685"/>
      <c r="L2" s="2685"/>
      <c r="M2" s="2685"/>
      <c r="N2" s="2685"/>
      <c r="O2" s="2685"/>
      <c r="P2" s="2685"/>
      <c r="Q2" s="2685"/>
      <c r="S2" s="383"/>
      <c r="T2" s="383"/>
      <c r="U2" s="383"/>
      <c r="V2" s="383"/>
      <c r="W2" s="383"/>
      <c r="X2" s="2685"/>
      <c r="Y2" s="2685"/>
      <c r="Z2" s="2685"/>
      <c r="AA2" s="2685"/>
      <c r="AB2" s="2685"/>
      <c r="AC2" s="2685"/>
      <c r="AD2" s="2685"/>
      <c r="AE2" s="2685"/>
      <c r="AF2" s="2685"/>
      <c r="AG2" s="2685"/>
      <c r="AH2" s="2685"/>
      <c r="AI2" s="2685"/>
      <c r="AJ2" s="2685"/>
      <c r="AK2" s="2685"/>
      <c r="AM2" s="2685"/>
      <c r="AN2" s="2685"/>
      <c r="AO2" s="2685"/>
      <c r="AP2" s="2685"/>
      <c r="AQ2" s="2685"/>
      <c r="AR2" s="2685"/>
      <c r="AS2" s="2685"/>
      <c r="AT2" s="2685"/>
      <c r="AU2" s="2685"/>
      <c r="AV2" s="2685"/>
      <c r="AW2" s="2685"/>
      <c r="AX2" s="2685"/>
      <c r="AY2" s="2685"/>
      <c r="AZ2" s="2685"/>
      <c r="BA2" s="2685"/>
      <c r="BB2" s="2685"/>
      <c r="BC2" s="2685"/>
      <c r="BD2" s="2685"/>
      <c r="BE2" s="2685"/>
      <c r="BF2" s="2685"/>
      <c r="BH2" s="2685"/>
      <c r="BI2" s="2685"/>
      <c r="BJ2" s="2685"/>
      <c r="BL2" s="2685"/>
      <c r="BM2" s="523"/>
    </row>
    <row r="3" spans="1:112" ht="22.5">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63">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5.75">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c r="A9" s="586"/>
      <c r="B9" s="586"/>
      <c r="C9" s="587" t="s">
        <v>2</v>
      </c>
      <c r="D9" s="586" t="s">
        <v>3</v>
      </c>
      <c r="E9" s="588"/>
      <c r="G9" s="589">
        <f ca="1">IFERROR(INDEX(INDIRECT($C9&amp;".Outputs["&amp;this.Year&amp;"]"), MATCH(G$5, INDIRECT($C9&amp;".Outputs[Vector]"), 0)), 0)</f>
        <v>23.69343277226109</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23.69343277226109</v>
      </c>
      <c r="S9" s="591">
        <f t="shared" ref="S9:AJ13" ca="1" si="2">IFERROR(INDEX(INDIRECT($C9&amp;".Outputs["&amp;this.Year&amp;"]"), MATCH(S$5, INDIRECT($C9&amp;".Outputs[Vector]"), 0)), 0)</f>
        <v>-1.5751825966732684</v>
      </c>
      <c r="T9" s="591">
        <f t="shared" ca="1" si="2"/>
        <v>0</v>
      </c>
      <c r="U9" s="591">
        <f t="shared" ca="1" si="2"/>
        <v>-0.17624833604772824</v>
      </c>
      <c r="V9" s="591">
        <f t="shared" ca="1" si="2"/>
        <v>-8.694312247302884</v>
      </c>
      <c r="W9" s="591">
        <f t="shared" ca="1" si="2"/>
        <v>-12.256242010620332</v>
      </c>
      <c r="X9" s="591">
        <f t="shared" ca="1" si="2"/>
        <v>0</v>
      </c>
      <c r="Y9" s="591">
        <f t="shared" ca="1" si="2"/>
        <v>0</v>
      </c>
      <c r="Z9" s="591">
        <f t="shared" ca="1" si="2"/>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-0.87993360231339046</v>
      </c>
      <c r="AJ9" s="591">
        <f t="shared" ca="1" si="2"/>
        <v>0</v>
      </c>
      <c r="AK9" s="592">
        <f t="shared" ref="AK9:AK15" ca="1" si="3">SUM(S9:AJ9)</f>
        <v>-23.581918792957602</v>
      </c>
      <c r="AM9" s="593">
        <f t="shared" ref="AM9:BB10" ca="1" si="4">IFERROR(INDEX(INDIRECT($C9&amp;".Outputs["&amp;this.Year&amp;"]"), MATCH(AM$5, INDIRECT($C9&amp;".Outputs[Vector]"), 0)), 0)</f>
        <v>0</v>
      </c>
      <c r="AN9" s="593">
        <f t="shared" ca="1" si="4"/>
        <v>0</v>
      </c>
      <c r="AO9" s="593">
        <f t="shared" ca="1" si="4"/>
        <v>0</v>
      </c>
      <c r="AP9" s="593">
        <f t="shared" ca="1" si="4"/>
        <v>0</v>
      </c>
      <c r="AQ9" s="593">
        <f t="shared" ca="1" si="4"/>
        <v>0</v>
      </c>
      <c r="AR9" s="593">
        <f t="shared" ca="1" si="4"/>
        <v>0</v>
      </c>
      <c r="AS9" s="593">
        <f t="shared" ca="1" si="4"/>
        <v>0</v>
      </c>
      <c r="AT9" s="593">
        <f t="shared" ca="1" si="4"/>
        <v>0</v>
      </c>
      <c r="AU9" s="593">
        <f t="shared" ca="1" si="4"/>
        <v>0</v>
      </c>
      <c r="AV9" s="593">
        <f t="shared" ca="1" si="4"/>
        <v>0</v>
      </c>
      <c r="AW9" s="593">
        <f t="shared" ca="1" si="4"/>
        <v>0</v>
      </c>
      <c r="AX9" s="593">
        <f t="shared" ca="1" si="4"/>
        <v>0</v>
      </c>
      <c r="AY9" s="593">
        <f t="shared" ca="1" si="4"/>
        <v>0</v>
      </c>
      <c r="AZ9" s="593">
        <f t="shared" ca="1" si="4"/>
        <v>0</v>
      </c>
      <c r="BA9" s="593">
        <f t="shared" ca="1" si="4"/>
        <v>0</v>
      </c>
      <c r="BB9" s="593">
        <f t="shared" ca="1" si="4"/>
        <v>0</v>
      </c>
      <c r="BC9" s="593">
        <f t="shared" ref="BC9:BE10" ca="1" si="5">IFERROR(INDEX(INDIRECT($C9&amp;".Outputs["&amp;this.Year&amp;"]"), MATCH(BC$5, INDIRECT($C9&amp;".Outputs[Vector]"), 0)), 0)</f>
        <v>-0.11151397930349062</v>
      </c>
      <c r="BD9" s="593">
        <f t="shared" ca="1" si="5"/>
        <v>0</v>
      </c>
      <c r="BE9" s="593">
        <f t="shared" ca="1" si="5"/>
        <v>0</v>
      </c>
      <c r="BF9" s="594">
        <f t="shared" ref="BF9:BF15" ca="1" si="6">SUM(AM9:BE9)</f>
        <v>-0.11151397930349062</v>
      </c>
      <c r="BH9" s="3471">
        <f ca="1">IFERROR(INDEX(INDIRECT($C9&amp;".Outputs["&amp;this.Year&amp;"]"), MATCH(BH$5, INDIRECT($C9&amp;".Outputs[Vector]"), 0)), 0)</f>
        <v>0</v>
      </c>
      <c r="BI9" s="3471">
        <f t="shared" ref="BH9:BI13" ca="1" si="7">IFERROR(INDEX(INDIRECT($C9&amp;".Outputs["&amp;this.Year&amp;"]"), MATCH(BI$5, INDIRECT($C9&amp;".Outputs[Vector]"), 0)), 0)</f>
        <v>0</v>
      </c>
      <c r="BJ9" s="3460">
        <f t="shared" ref="BJ9:BJ15" ca="1" si="8">SUM(BH9:BI9)</f>
        <v>0</v>
      </c>
      <c r="BL9" s="595">
        <f t="shared" ref="BL9:BL44" ca="1" si="9">Q9+AK9+BF9+BJ9</f>
        <v>-2.1233015345956119E-15</v>
      </c>
      <c r="BM9" s="595"/>
      <c r="BN9" s="413"/>
      <c r="BO9" s="2789">
        <f t="shared" ref="BO9:BX10" ca="1" si="10">IFERROR(SUMIFS(INDIRECT($C9&amp;".Emissions["&amp;this.Year&amp;"]"), INDIRECT($C9&amp;".Emissions[GHG]"), BO$6, INDIRECT($C9&amp;".Emissions[IPCC Sector]"), BO$5),0)</f>
        <v>4.8628730739353312</v>
      </c>
      <c r="BP9" s="2790">
        <f t="shared" ca="1" si="10"/>
        <v>2.9077689756348371E-3</v>
      </c>
      <c r="BQ9" s="2790">
        <f t="shared" ca="1" si="10"/>
        <v>4.5586159695480286E-2</v>
      </c>
      <c r="BR9" s="2790">
        <f t="shared" ca="1" si="10"/>
        <v>0</v>
      </c>
      <c r="BS9" s="2790">
        <f t="shared" ca="1" si="10"/>
        <v>0</v>
      </c>
      <c r="BT9" s="2790">
        <f t="shared" ca="1" si="10"/>
        <v>0</v>
      </c>
      <c r="BU9" s="2790">
        <f t="shared" ca="1" si="10"/>
        <v>0</v>
      </c>
      <c r="BV9" s="2790">
        <f t="shared" ca="1" si="10"/>
        <v>0</v>
      </c>
      <c r="BW9" s="2790">
        <f t="shared" ca="1" si="10"/>
        <v>0</v>
      </c>
      <c r="BX9" s="2790">
        <f t="shared" ca="1" si="10"/>
        <v>0</v>
      </c>
      <c r="BY9" s="2790">
        <f t="shared" ref="BY9:CH10" ca="1" si="11">IFERROR(SUMIFS(INDIRECT($C9&amp;".Emissions["&amp;this.Year&amp;"]"), INDIRECT($C9&amp;".Emissions[GHG]"), BY$6, INDIRECT($C9&amp;".Emissions[IPCC Sector]"), BY$5),0)</f>
        <v>0</v>
      </c>
      <c r="BZ9" s="2790">
        <f t="shared" ca="1" si="11"/>
        <v>0</v>
      </c>
      <c r="CA9" s="2790">
        <f t="shared" ca="1" si="11"/>
        <v>0</v>
      </c>
      <c r="CB9" s="2790">
        <f t="shared" ca="1" si="11"/>
        <v>0</v>
      </c>
      <c r="CC9" s="2790">
        <f t="shared" ca="1" si="11"/>
        <v>0</v>
      </c>
      <c r="CD9" s="2790">
        <f t="shared" ca="1" si="11"/>
        <v>0</v>
      </c>
      <c r="CE9" s="2790">
        <f t="shared" ca="1" si="11"/>
        <v>0</v>
      </c>
      <c r="CF9" s="2790">
        <f t="shared" ca="1" si="11"/>
        <v>0</v>
      </c>
      <c r="CG9" s="2790">
        <f t="shared" ca="1" si="11"/>
        <v>0</v>
      </c>
      <c r="CH9" s="2790">
        <f t="shared" ca="1" si="11"/>
        <v>0</v>
      </c>
      <c r="CI9" s="2790">
        <f t="shared" ref="CI9:CR10" ca="1" si="12">IFERROR(SUMIFS(INDIRECT($C9&amp;".Emissions["&amp;this.Year&amp;"]"), INDIRECT($C9&amp;".Emissions[GHG]"), CI$6, INDIRECT($C9&amp;".Emissions[IPCC Sector]"), CI$5),0)</f>
        <v>0</v>
      </c>
      <c r="CJ9" s="2790">
        <f t="shared" ca="1" si="12"/>
        <v>0</v>
      </c>
      <c r="CK9" s="2790">
        <f t="shared" ca="1" si="12"/>
        <v>0</v>
      </c>
      <c r="CL9" s="2790">
        <f t="shared" ca="1" si="12"/>
        <v>0</v>
      </c>
      <c r="CM9" s="2790">
        <f t="shared" ca="1" si="12"/>
        <v>0</v>
      </c>
      <c r="CN9" s="2790">
        <f t="shared" ca="1" si="12"/>
        <v>0</v>
      </c>
      <c r="CO9" s="2790">
        <f t="shared" ca="1" si="12"/>
        <v>0</v>
      </c>
      <c r="CP9" s="2790">
        <f t="shared" ca="1" si="12"/>
        <v>0</v>
      </c>
      <c r="CQ9" s="2790">
        <f t="shared" ca="1" si="12"/>
        <v>0</v>
      </c>
      <c r="CR9" s="2790">
        <f t="shared" ca="1" si="12"/>
        <v>0</v>
      </c>
      <c r="CS9" s="2790">
        <f t="shared" ref="CS9:DF10" ca="1" si="13">IFERROR(SUMIFS(INDIRECT($C9&amp;".Emissions["&amp;this.Year&amp;"]"), INDIRECT($C9&amp;".Emissions[GHG]"), CS$6, INDIRECT($C9&amp;".Emissions[IPCC Sector]"), CS$5),0)</f>
        <v>0</v>
      </c>
      <c r="CT9" s="2790">
        <f t="shared" ca="1" si="13"/>
        <v>0</v>
      </c>
      <c r="CU9" s="2790">
        <f t="shared" ca="1" si="13"/>
        <v>0</v>
      </c>
      <c r="CV9" s="2790">
        <f t="shared" ca="1" si="13"/>
        <v>0</v>
      </c>
      <c r="CW9" s="2790">
        <f t="shared" ca="1" si="13"/>
        <v>0</v>
      </c>
      <c r="CX9" s="2790">
        <f t="shared" ca="1" si="13"/>
        <v>0</v>
      </c>
      <c r="CY9" s="2790">
        <f t="shared" ca="1" si="13"/>
        <v>0</v>
      </c>
      <c r="CZ9" s="2790">
        <f t="shared" ca="1" si="13"/>
        <v>0</v>
      </c>
      <c r="DA9" s="2790">
        <f t="shared" ca="1" si="13"/>
        <v>0</v>
      </c>
      <c r="DB9" s="2790">
        <f t="shared" ca="1" si="13"/>
        <v>0</v>
      </c>
      <c r="DC9" s="2790">
        <f t="shared" ca="1" si="13"/>
        <v>0</v>
      </c>
      <c r="DD9" s="2790">
        <f t="shared" ca="1" si="13"/>
        <v>0</v>
      </c>
      <c r="DE9" s="2790">
        <f t="shared" ca="1" si="13"/>
        <v>0</v>
      </c>
      <c r="DF9" s="2790">
        <f t="shared" ca="1" si="13"/>
        <v>0</v>
      </c>
      <c r="DH9" s="596"/>
    </row>
    <row r="10" spans="1:112" s="6" customFormat="1">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2"/>
        <v>0</v>
      </c>
      <c r="Y10" s="602">
        <f t="shared" ca="1" si="2"/>
        <v>0</v>
      </c>
      <c r="Z10" s="602">
        <f t="shared" ca="1" si="2"/>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3"/>
        <v>0</v>
      </c>
      <c r="AM10" s="604">
        <f t="shared" ca="1" si="4"/>
        <v>0</v>
      </c>
      <c r="AN10" s="604">
        <f t="shared" ca="1" si="4"/>
        <v>0</v>
      </c>
      <c r="AO10" s="604">
        <f t="shared" ca="1" si="4"/>
        <v>0</v>
      </c>
      <c r="AP10" s="604">
        <f t="shared" ca="1" si="4"/>
        <v>0</v>
      </c>
      <c r="AQ10" s="604">
        <f t="shared" ca="1" si="4"/>
        <v>0</v>
      </c>
      <c r="AR10" s="604">
        <f t="shared" ca="1" si="4"/>
        <v>0</v>
      </c>
      <c r="AS10" s="604">
        <f t="shared" ca="1" si="4"/>
        <v>0</v>
      </c>
      <c r="AT10" s="604">
        <f t="shared" ca="1" si="4"/>
        <v>0</v>
      </c>
      <c r="AU10" s="604">
        <f t="shared" ca="1" si="4"/>
        <v>0</v>
      </c>
      <c r="AV10" s="604">
        <f t="shared" ca="1" si="4"/>
        <v>0</v>
      </c>
      <c r="AW10" s="604">
        <f t="shared" ca="1" si="4"/>
        <v>0</v>
      </c>
      <c r="AX10" s="604">
        <f t="shared" ca="1" si="4"/>
        <v>0</v>
      </c>
      <c r="AY10" s="604">
        <f t="shared" ca="1" si="4"/>
        <v>0</v>
      </c>
      <c r="AZ10" s="604">
        <f t="shared" ca="1" si="4"/>
        <v>0</v>
      </c>
      <c r="BA10" s="604">
        <f t="shared" ca="1" si="4"/>
        <v>0</v>
      </c>
      <c r="BB10" s="604">
        <f t="shared" ca="1" si="4"/>
        <v>0</v>
      </c>
      <c r="BC10" s="604">
        <f t="shared" ca="1" si="5"/>
        <v>0</v>
      </c>
      <c r="BD10" s="604">
        <f t="shared" ca="1" si="5"/>
        <v>0</v>
      </c>
      <c r="BE10" s="604">
        <f t="shared" ca="1" si="5"/>
        <v>0</v>
      </c>
      <c r="BF10" s="605">
        <f t="shared" ca="1" si="6"/>
        <v>0</v>
      </c>
      <c r="BH10" s="3472">
        <f t="shared" ca="1" si="7"/>
        <v>0</v>
      </c>
      <c r="BI10" s="3472">
        <f t="shared" ca="1" si="7"/>
        <v>0</v>
      </c>
      <c r="BJ10" s="3461">
        <f t="shared" ca="1" si="8"/>
        <v>0</v>
      </c>
      <c r="BL10" s="606">
        <f t="shared" ca="1" si="9"/>
        <v>0</v>
      </c>
      <c r="BM10" s="606"/>
      <c r="BN10" s="413"/>
      <c r="BO10" s="2789">
        <f t="shared" ca="1" si="10"/>
        <v>0</v>
      </c>
      <c r="BP10" s="2790">
        <f t="shared" ca="1" si="10"/>
        <v>0</v>
      </c>
      <c r="BQ10" s="2790">
        <f t="shared" ca="1" si="10"/>
        <v>0</v>
      </c>
      <c r="BR10" s="2790">
        <f t="shared" ca="1" si="10"/>
        <v>0</v>
      </c>
      <c r="BS10" s="2790">
        <f t="shared" ca="1" si="10"/>
        <v>0</v>
      </c>
      <c r="BT10" s="2790">
        <f t="shared" ca="1" si="10"/>
        <v>0</v>
      </c>
      <c r="BU10" s="2790">
        <f t="shared" ca="1" si="10"/>
        <v>0</v>
      </c>
      <c r="BV10" s="2790">
        <f t="shared" ca="1" si="10"/>
        <v>0</v>
      </c>
      <c r="BW10" s="2790">
        <f t="shared" ca="1" si="10"/>
        <v>0</v>
      </c>
      <c r="BX10" s="2790">
        <f t="shared" ca="1" si="10"/>
        <v>0</v>
      </c>
      <c r="BY10" s="2790">
        <f t="shared" ca="1" si="11"/>
        <v>0</v>
      </c>
      <c r="BZ10" s="2790">
        <f t="shared" ca="1" si="11"/>
        <v>0</v>
      </c>
      <c r="CA10" s="2790">
        <f t="shared" ca="1" si="11"/>
        <v>0</v>
      </c>
      <c r="CB10" s="2790">
        <f t="shared" ca="1" si="11"/>
        <v>0</v>
      </c>
      <c r="CC10" s="2790">
        <f t="shared" ca="1" si="11"/>
        <v>0</v>
      </c>
      <c r="CD10" s="2790">
        <f t="shared" ca="1" si="11"/>
        <v>0</v>
      </c>
      <c r="CE10" s="2790">
        <f t="shared" ca="1" si="11"/>
        <v>0</v>
      </c>
      <c r="CF10" s="2790">
        <f t="shared" ca="1" si="11"/>
        <v>0</v>
      </c>
      <c r="CG10" s="2790">
        <f t="shared" ca="1" si="11"/>
        <v>0</v>
      </c>
      <c r="CH10" s="2790">
        <f t="shared" ca="1" si="11"/>
        <v>0</v>
      </c>
      <c r="CI10" s="2790">
        <f t="shared" ca="1" si="12"/>
        <v>0</v>
      </c>
      <c r="CJ10" s="2790">
        <f t="shared" ca="1" si="12"/>
        <v>0</v>
      </c>
      <c r="CK10" s="2790">
        <f t="shared" ca="1" si="12"/>
        <v>0</v>
      </c>
      <c r="CL10" s="2790">
        <f t="shared" ca="1" si="12"/>
        <v>0</v>
      </c>
      <c r="CM10" s="2790">
        <f t="shared" ca="1" si="12"/>
        <v>0</v>
      </c>
      <c r="CN10" s="2790">
        <f t="shared" ca="1" si="12"/>
        <v>0</v>
      </c>
      <c r="CO10" s="2790">
        <f t="shared" ca="1" si="12"/>
        <v>0</v>
      </c>
      <c r="CP10" s="2790">
        <f t="shared" ca="1" si="12"/>
        <v>0</v>
      </c>
      <c r="CQ10" s="2790">
        <f t="shared" ca="1" si="12"/>
        <v>0</v>
      </c>
      <c r="CR10" s="2790">
        <f t="shared" ca="1" si="12"/>
        <v>0</v>
      </c>
      <c r="CS10" s="2790">
        <f t="shared" ca="1" si="13"/>
        <v>0</v>
      </c>
      <c r="CT10" s="2790">
        <f t="shared" ca="1" si="13"/>
        <v>0</v>
      </c>
      <c r="CU10" s="2790">
        <f t="shared" ca="1" si="13"/>
        <v>0</v>
      </c>
      <c r="CV10" s="2790">
        <f t="shared" ca="1" si="13"/>
        <v>0</v>
      </c>
      <c r="CW10" s="2790">
        <f t="shared" ca="1" si="13"/>
        <v>0</v>
      </c>
      <c r="CX10" s="2790">
        <f t="shared" ca="1" si="13"/>
        <v>0</v>
      </c>
      <c r="CY10" s="2790">
        <f t="shared" ca="1" si="13"/>
        <v>0</v>
      </c>
      <c r="CZ10" s="2790">
        <f t="shared" ca="1" si="13"/>
        <v>0</v>
      </c>
      <c r="DA10" s="2790">
        <f t="shared" ca="1" si="13"/>
        <v>0</v>
      </c>
      <c r="DB10" s="2790">
        <f t="shared" ca="1" si="13"/>
        <v>0</v>
      </c>
      <c r="DC10" s="2790">
        <f t="shared" ca="1" si="13"/>
        <v>0</v>
      </c>
      <c r="DD10" s="2790">
        <f t="shared" ca="1" si="13"/>
        <v>0</v>
      </c>
      <c r="DE10" s="2790">
        <f t="shared" ca="1" si="13"/>
        <v>0</v>
      </c>
      <c r="DF10" s="2790">
        <f t="shared" ca="1" si="13"/>
        <v>0</v>
      </c>
      <c r="DH10" s="596"/>
    </row>
    <row r="11" spans="1:112" s="6" customFormat="1">
      <c r="A11" s="607"/>
      <c r="B11" s="607"/>
      <c r="C11" s="587"/>
      <c r="D11" s="607" t="s">
        <v>464</v>
      </c>
      <c r="E11" s="588"/>
      <c r="G11" s="590">
        <f ca="1">SUM(G9:G10)</f>
        <v>23.69343277226109</v>
      </c>
      <c r="H11" s="590">
        <f t="shared" ref="H11:P11" ca="1" si="14">SUM(H9:H10)</f>
        <v>0</v>
      </c>
      <c r="I11" s="590">
        <f t="shared" ca="1" si="14"/>
        <v>0</v>
      </c>
      <c r="J11" s="590">
        <f t="shared" ca="1" si="14"/>
        <v>0</v>
      </c>
      <c r="K11" s="590">
        <f t="shared" ca="1" si="14"/>
        <v>0</v>
      </c>
      <c r="L11" s="590">
        <f t="shared" ca="1" si="14"/>
        <v>0</v>
      </c>
      <c r="M11" s="590">
        <f t="shared" ca="1" si="14"/>
        <v>0</v>
      </c>
      <c r="N11" s="590">
        <f ca="1">SUM(N9:N10)</f>
        <v>0</v>
      </c>
      <c r="O11" s="590">
        <f ca="1">SUM(O9:O10)</f>
        <v>0</v>
      </c>
      <c r="P11" s="590">
        <f t="shared" ca="1" si="14"/>
        <v>0</v>
      </c>
      <c r="Q11" s="590">
        <f t="shared" ca="1" si="1"/>
        <v>23.69343277226109</v>
      </c>
      <c r="S11" s="592">
        <f ca="1">SUM(S9:S10)</f>
        <v>-1.5751825966732684</v>
      </c>
      <c r="T11" s="592">
        <f t="shared" ref="T11:AJ11" ca="1" si="15">SUM(T9:T10)</f>
        <v>0</v>
      </c>
      <c r="U11" s="592">
        <f t="shared" ca="1" si="15"/>
        <v>-0.17624833604772824</v>
      </c>
      <c r="V11" s="592">
        <f t="shared" ca="1" si="15"/>
        <v>-8.694312247302884</v>
      </c>
      <c r="W11" s="592">
        <f t="shared" ca="1" si="15"/>
        <v>-12.256242010620332</v>
      </c>
      <c r="X11" s="592">
        <f ca="1">SUM(X9:X10)</f>
        <v>0</v>
      </c>
      <c r="Y11" s="592">
        <f ca="1">SUM(Y9:Y10)</f>
        <v>0</v>
      </c>
      <c r="Z11" s="592">
        <f ca="1">SUM(Z9:Z10)</f>
        <v>0</v>
      </c>
      <c r="AA11" s="592">
        <f t="shared" ca="1" si="15"/>
        <v>0</v>
      </c>
      <c r="AB11" s="592">
        <f t="shared" ca="1" si="15"/>
        <v>0</v>
      </c>
      <c r="AC11" s="592">
        <f t="shared" ca="1" si="15"/>
        <v>0</v>
      </c>
      <c r="AD11" s="592">
        <f ca="1">SUM(AD9:AD10)</f>
        <v>0</v>
      </c>
      <c r="AE11" s="592">
        <f ca="1">SUM(AE9:AE10)</f>
        <v>0</v>
      </c>
      <c r="AF11" s="592">
        <f t="shared" ca="1" si="15"/>
        <v>0</v>
      </c>
      <c r="AG11" s="592">
        <f ca="1">SUM(AG9:AG10)</f>
        <v>0</v>
      </c>
      <c r="AH11" s="592">
        <f ca="1">SUM(AH9:AH10)</f>
        <v>0</v>
      </c>
      <c r="AI11" s="592">
        <f ca="1">SUM(AI9:AI10)</f>
        <v>-0.87993360231339046</v>
      </c>
      <c r="AJ11" s="592">
        <f t="shared" ca="1" si="15"/>
        <v>0</v>
      </c>
      <c r="AK11" s="592">
        <f t="shared" ca="1" si="3"/>
        <v>-23.581918792957602</v>
      </c>
      <c r="AM11" s="608">
        <f t="shared" ref="AM11:BE11" ca="1" si="16">SUM(AM9:AM10)</f>
        <v>0</v>
      </c>
      <c r="AN11" s="608">
        <f t="shared" ca="1" si="16"/>
        <v>0</v>
      </c>
      <c r="AO11" s="608">
        <f t="shared" ca="1" si="16"/>
        <v>0</v>
      </c>
      <c r="AP11" s="608">
        <f t="shared" ca="1" si="16"/>
        <v>0</v>
      </c>
      <c r="AQ11" s="608">
        <f t="shared" ca="1" si="16"/>
        <v>0</v>
      </c>
      <c r="AR11" s="608">
        <f t="shared" ca="1" si="16"/>
        <v>0</v>
      </c>
      <c r="AS11" s="608">
        <f t="shared" ca="1" si="16"/>
        <v>0</v>
      </c>
      <c r="AT11" s="608">
        <f t="shared" ca="1" si="16"/>
        <v>0</v>
      </c>
      <c r="AU11" s="608">
        <f t="shared" ca="1" si="16"/>
        <v>0</v>
      </c>
      <c r="AV11" s="608">
        <f t="shared" ca="1" si="16"/>
        <v>0</v>
      </c>
      <c r="AW11" s="608">
        <f t="shared" ca="1" si="16"/>
        <v>0</v>
      </c>
      <c r="AX11" s="608">
        <f t="shared" ca="1" si="16"/>
        <v>0</v>
      </c>
      <c r="AY11" s="608">
        <f t="shared" ca="1" si="16"/>
        <v>0</v>
      </c>
      <c r="AZ11" s="608">
        <f t="shared" ca="1" si="16"/>
        <v>0</v>
      </c>
      <c r="BA11" s="608">
        <f t="shared" ca="1" si="16"/>
        <v>0</v>
      </c>
      <c r="BB11" s="608">
        <f t="shared" ca="1" si="16"/>
        <v>0</v>
      </c>
      <c r="BC11" s="608">
        <f t="shared" ca="1" si="16"/>
        <v>-0.11151397930349062</v>
      </c>
      <c r="BD11" s="608">
        <f ca="1">SUM(BD9:BD10)</f>
        <v>0</v>
      </c>
      <c r="BE11" s="608">
        <f t="shared" ca="1" si="16"/>
        <v>0</v>
      </c>
      <c r="BF11" s="609">
        <f t="shared" ca="1" si="6"/>
        <v>-0.11151397930349062</v>
      </c>
      <c r="BH11" s="3460">
        <f ca="1">SUM(BH9:BH10)</f>
        <v>0</v>
      </c>
      <c r="BI11" s="3460">
        <f ca="1">SUM(BI9:BI10)</f>
        <v>0</v>
      </c>
      <c r="BJ11" s="3460">
        <f t="shared" ca="1" si="8"/>
        <v>0</v>
      </c>
      <c r="BL11" s="610">
        <f t="shared" ca="1" si="9"/>
        <v>-2.1233015345956119E-15</v>
      </c>
      <c r="BM11" s="610"/>
      <c r="BN11" s="413"/>
      <c r="BO11" s="2789">
        <f t="shared" ref="BO11:DF11" ca="1" si="17">SUM(BO9:BO10)</f>
        <v>4.8628730739353312</v>
      </c>
      <c r="BP11" s="2790">
        <f t="shared" ca="1" si="17"/>
        <v>2.9077689756348371E-3</v>
      </c>
      <c r="BQ11" s="2790">
        <f t="shared" ca="1" si="17"/>
        <v>4.5586159695480286E-2</v>
      </c>
      <c r="BR11" s="2790">
        <f t="shared" ca="1" si="17"/>
        <v>0</v>
      </c>
      <c r="BS11" s="2790">
        <f t="shared" ca="1" si="17"/>
        <v>0</v>
      </c>
      <c r="BT11" s="2790">
        <f t="shared" ca="1" si="17"/>
        <v>0</v>
      </c>
      <c r="BU11" s="2790">
        <f t="shared" ca="1" si="17"/>
        <v>0</v>
      </c>
      <c r="BV11" s="2790">
        <f t="shared" ca="1" si="17"/>
        <v>0</v>
      </c>
      <c r="BW11" s="2790">
        <f t="shared" ca="1" si="17"/>
        <v>0</v>
      </c>
      <c r="BX11" s="2790">
        <f t="shared" ca="1" si="17"/>
        <v>0</v>
      </c>
      <c r="BY11" s="2790">
        <f t="shared" ca="1" si="17"/>
        <v>0</v>
      </c>
      <c r="BZ11" s="2790">
        <f t="shared" ca="1" si="17"/>
        <v>0</v>
      </c>
      <c r="CA11" s="2790">
        <f t="shared" ca="1" si="17"/>
        <v>0</v>
      </c>
      <c r="CB11" s="2790">
        <f t="shared" ca="1" si="17"/>
        <v>0</v>
      </c>
      <c r="CC11" s="2790">
        <f t="shared" ca="1" si="17"/>
        <v>0</v>
      </c>
      <c r="CD11" s="2790">
        <f t="shared" ca="1" si="17"/>
        <v>0</v>
      </c>
      <c r="CE11" s="2790">
        <f t="shared" ca="1" si="17"/>
        <v>0</v>
      </c>
      <c r="CF11" s="2790">
        <f t="shared" ca="1" si="17"/>
        <v>0</v>
      </c>
      <c r="CG11" s="2790">
        <f t="shared" ca="1" si="17"/>
        <v>0</v>
      </c>
      <c r="CH11" s="2790">
        <f t="shared" ca="1" si="17"/>
        <v>0</v>
      </c>
      <c r="CI11" s="2790">
        <f t="shared" ca="1" si="17"/>
        <v>0</v>
      </c>
      <c r="CJ11" s="2790">
        <f t="shared" ca="1" si="17"/>
        <v>0</v>
      </c>
      <c r="CK11" s="2790">
        <f t="shared" ca="1" si="17"/>
        <v>0</v>
      </c>
      <c r="CL11" s="2790">
        <f t="shared" ca="1" si="17"/>
        <v>0</v>
      </c>
      <c r="CM11" s="2790">
        <f t="shared" ca="1" si="17"/>
        <v>0</v>
      </c>
      <c r="CN11" s="2790">
        <f t="shared" ca="1" si="17"/>
        <v>0</v>
      </c>
      <c r="CO11" s="2790">
        <f t="shared" ca="1" si="17"/>
        <v>0</v>
      </c>
      <c r="CP11" s="2790">
        <f t="shared" ca="1" si="17"/>
        <v>0</v>
      </c>
      <c r="CQ11" s="2790">
        <f t="shared" ca="1" si="17"/>
        <v>0</v>
      </c>
      <c r="CR11" s="2790">
        <f t="shared" ca="1" si="17"/>
        <v>0</v>
      </c>
      <c r="CS11" s="2790">
        <f t="shared" ca="1" si="17"/>
        <v>0</v>
      </c>
      <c r="CT11" s="2790">
        <f t="shared" ca="1" si="17"/>
        <v>0</v>
      </c>
      <c r="CU11" s="2790">
        <f t="shared" ca="1" si="17"/>
        <v>0</v>
      </c>
      <c r="CV11" s="2790">
        <f t="shared" ca="1" si="17"/>
        <v>0</v>
      </c>
      <c r="CW11" s="2790">
        <f t="shared" ca="1" si="17"/>
        <v>0</v>
      </c>
      <c r="CX11" s="2790">
        <f t="shared" ca="1" si="17"/>
        <v>0</v>
      </c>
      <c r="CY11" s="2790">
        <f t="shared" ca="1" si="17"/>
        <v>0</v>
      </c>
      <c r="CZ11" s="2790">
        <f t="shared" ca="1" si="17"/>
        <v>0</v>
      </c>
      <c r="DA11" s="2790">
        <f t="shared" ca="1" si="17"/>
        <v>0</v>
      </c>
      <c r="DB11" s="2790">
        <f t="shared" ca="1" si="17"/>
        <v>0</v>
      </c>
      <c r="DC11" s="2790">
        <f t="shared" ca="1" si="17"/>
        <v>0</v>
      </c>
      <c r="DD11" s="2790">
        <f t="shared" ca="1" si="17"/>
        <v>0</v>
      </c>
      <c r="DE11" s="2790">
        <f t="shared" ca="1" si="17"/>
        <v>0</v>
      </c>
      <c r="DF11" s="2790">
        <f t="shared" ca="1" si="17"/>
        <v>0</v>
      </c>
      <c r="DH11" s="596"/>
    </row>
    <row r="12" spans="1:112" s="6" customFormat="1">
      <c r="A12" s="586"/>
      <c r="B12" s="586"/>
      <c r="C12" s="587" t="s">
        <v>465</v>
      </c>
      <c r="D12" s="586" t="s">
        <v>466</v>
      </c>
      <c r="E12" s="599"/>
      <c r="G12" s="589">
        <f t="shared" ca="1" si="0"/>
        <v>13.137825369181417</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13.137825369181417</v>
      </c>
      <c r="S12" s="591">
        <f t="shared" ca="1" si="2"/>
        <v>-3.3169672619047619</v>
      </c>
      <c r="T12" s="591">
        <f t="shared" ca="1" si="2"/>
        <v>2.8642500000000002</v>
      </c>
      <c r="U12" s="591">
        <f t="shared" ca="1" si="2"/>
        <v>-0.27435344827586206</v>
      </c>
      <c r="V12" s="591">
        <f t="shared" ca="1" si="2"/>
        <v>-1.886533505154639</v>
      </c>
      <c r="W12" s="591">
        <f t="shared" ca="1" si="2"/>
        <v>-10.473167582417583</v>
      </c>
      <c r="X12" s="591">
        <f t="shared" ca="1" si="2"/>
        <v>0</v>
      </c>
      <c r="Y12" s="591">
        <f t="shared" ca="1" si="2"/>
        <v>0</v>
      </c>
      <c r="Z12" s="591">
        <f t="shared" ca="1" si="2"/>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3"/>
        <v>-13.086771797752846</v>
      </c>
      <c r="AM12" s="593">
        <f t="shared" ref="AM12:BB13" ca="1" si="18">IFERROR(INDEX(INDIRECT($C12&amp;".Outputs["&amp;this.Year&amp;"]"), MATCH(AM$5, INDIRECT($C12&amp;".Outputs[Vector]"), 0)), 0)</f>
        <v>0</v>
      </c>
      <c r="AN12" s="593">
        <f t="shared" ca="1" si="18"/>
        <v>0</v>
      </c>
      <c r="AO12" s="593">
        <f t="shared" ca="1" si="18"/>
        <v>0</v>
      </c>
      <c r="AP12" s="593">
        <f t="shared" ca="1" si="18"/>
        <v>0</v>
      </c>
      <c r="AQ12" s="593">
        <f t="shared" ca="1" si="18"/>
        <v>0</v>
      </c>
      <c r="AR12" s="593">
        <f t="shared" ca="1" si="18"/>
        <v>0</v>
      </c>
      <c r="AS12" s="593">
        <f t="shared" ca="1" si="18"/>
        <v>0</v>
      </c>
      <c r="AT12" s="593">
        <f t="shared" ca="1" si="18"/>
        <v>0</v>
      </c>
      <c r="AU12" s="593">
        <f t="shared" ca="1" si="18"/>
        <v>0</v>
      </c>
      <c r="AV12" s="593">
        <f t="shared" ca="1" si="18"/>
        <v>0</v>
      </c>
      <c r="AW12" s="593">
        <f t="shared" ca="1" si="18"/>
        <v>0</v>
      </c>
      <c r="AX12" s="593">
        <f t="shared" ca="1" si="18"/>
        <v>0</v>
      </c>
      <c r="AY12" s="593">
        <f t="shared" ca="1" si="18"/>
        <v>0</v>
      </c>
      <c r="AZ12" s="593">
        <f t="shared" ca="1" si="18"/>
        <v>0</v>
      </c>
      <c r="BA12" s="593">
        <f t="shared" ca="1" si="18"/>
        <v>0</v>
      </c>
      <c r="BB12" s="593">
        <f t="shared" ca="1" si="18"/>
        <v>0</v>
      </c>
      <c r="BC12" s="593">
        <f t="shared" ref="BC12:BE13" ca="1" si="19">IFERROR(INDEX(INDIRECT($C12&amp;".Outputs["&amp;this.Year&amp;"]"), MATCH(BC$5, INDIRECT($C12&amp;".Outputs[Vector]"), 0)), 0)</f>
        <v>-5.1053571428571434E-2</v>
      </c>
      <c r="BD12" s="593">
        <f t="shared" ca="1" si="19"/>
        <v>0</v>
      </c>
      <c r="BE12" s="593">
        <f t="shared" ca="1" si="19"/>
        <v>0</v>
      </c>
      <c r="BF12" s="594">
        <f t="shared" ca="1" si="6"/>
        <v>-5.1053571428571434E-2</v>
      </c>
      <c r="BH12" s="3471">
        <f t="shared" ca="1" si="7"/>
        <v>0</v>
      </c>
      <c r="BI12" s="3471">
        <f t="shared" ca="1" si="7"/>
        <v>0</v>
      </c>
      <c r="BJ12" s="3460">
        <f t="shared" ca="1" si="8"/>
        <v>0</v>
      </c>
      <c r="BL12" s="595">
        <f t="shared" ca="1" si="9"/>
        <v>1.5265566588595902E-16</v>
      </c>
      <c r="BM12" s="595"/>
      <c r="BN12" s="413"/>
      <c r="BO12" s="2789">
        <f t="shared" ref="BO12:BX13" ca="1" si="20">IFERROR(SUMIFS(INDIRECT($C12&amp;".Emissions["&amp;this.Year&amp;"]"), INDIRECT($C12&amp;".Emissions[GHG]"), BO$6, INDIRECT($C12&amp;".Emissions[IPCC Sector]"), BO$5),0)</f>
        <v>2.7345257662690052</v>
      </c>
      <c r="BP12" s="2790">
        <f t="shared" ca="1" si="20"/>
        <v>1.2341560526826002E-3</v>
      </c>
      <c r="BQ12" s="2790">
        <f t="shared" ca="1" si="20"/>
        <v>3.5311671622925742E-2</v>
      </c>
      <c r="BR12" s="2790">
        <f t="shared" ca="1" si="20"/>
        <v>0</v>
      </c>
      <c r="BS12" s="2790">
        <f t="shared" ca="1" si="20"/>
        <v>0</v>
      </c>
      <c r="BT12" s="2790">
        <f t="shared" ca="1" si="20"/>
        <v>0</v>
      </c>
      <c r="BU12" s="2790">
        <f t="shared" ca="1" si="20"/>
        <v>0</v>
      </c>
      <c r="BV12" s="2790">
        <f t="shared" ca="1" si="20"/>
        <v>0</v>
      </c>
      <c r="BW12" s="2790">
        <f t="shared" ca="1" si="20"/>
        <v>0</v>
      </c>
      <c r="BX12" s="2790">
        <f t="shared" ca="1" si="20"/>
        <v>0</v>
      </c>
      <c r="BY12" s="2790">
        <f t="shared" ref="BY12:CH13" ca="1" si="21">IFERROR(SUMIFS(INDIRECT($C12&amp;".Emissions["&amp;this.Year&amp;"]"), INDIRECT($C12&amp;".Emissions[GHG]"), BY$6, INDIRECT($C12&amp;".Emissions[IPCC Sector]"), BY$5),0)</f>
        <v>0</v>
      </c>
      <c r="BZ12" s="2790">
        <f t="shared" ca="1" si="21"/>
        <v>0</v>
      </c>
      <c r="CA12" s="2790">
        <f t="shared" ca="1" si="21"/>
        <v>0</v>
      </c>
      <c r="CB12" s="2790">
        <f t="shared" ca="1" si="21"/>
        <v>0</v>
      </c>
      <c r="CC12" s="2790">
        <f t="shared" ca="1" si="21"/>
        <v>0</v>
      </c>
      <c r="CD12" s="2790">
        <f t="shared" ca="1" si="21"/>
        <v>0</v>
      </c>
      <c r="CE12" s="2790">
        <f t="shared" ca="1" si="21"/>
        <v>0</v>
      </c>
      <c r="CF12" s="2790">
        <f t="shared" ca="1" si="21"/>
        <v>0</v>
      </c>
      <c r="CG12" s="2790">
        <f t="shared" ca="1" si="21"/>
        <v>0</v>
      </c>
      <c r="CH12" s="2790">
        <f t="shared" ca="1" si="21"/>
        <v>0</v>
      </c>
      <c r="CI12" s="2790">
        <f t="shared" ref="CI12:CR13" ca="1" si="22">IFERROR(SUMIFS(INDIRECT($C12&amp;".Emissions["&amp;this.Year&amp;"]"), INDIRECT($C12&amp;".Emissions[GHG]"), CI$6, INDIRECT($C12&amp;".Emissions[IPCC Sector]"), CI$5),0)</f>
        <v>0</v>
      </c>
      <c r="CJ12" s="2790">
        <f t="shared" ca="1" si="22"/>
        <v>0</v>
      </c>
      <c r="CK12" s="2790">
        <f t="shared" ca="1" si="22"/>
        <v>0</v>
      </c>
      <c r="CL12" s="2790">
        <f t="shared" ca="1" si="22"/>
        <v>0</v>
      </c>
      <c r="CM12" s="2790">
        <f t="shared" ca="1" si="22"/>
        <v>0</v>
      </c>
      <c r="CN12" s="2790">
        <f t="shared" ca="1" si="22"/>
        <v>0</v>
      </c>
      <c r="CO12" s="2790">
        <f t="shared" ca="1" si="22"/>
        <v>0</v>
      </c>
      <c r="CP12" s="2790">
        <f t="shared" ca="1" si="22"/>
        <v>0</v>
      </c>
      <c r="CQ12" s="2790">
        <f t="shared" ca="1" si="22"/>
        <v>0</v>
      </c>
      <c r="CR12" s="2790">
        <f t="shared" ca="1" si="22"/>
        <v>0</v>
      </c>
      <c r="CS12" s="2790">
        <f t="shared" ref="CS12:DF13" ca="1" si="23">IFERROR(SUMIFS(INDIRECT($C12&amp;".Emissions["&amp;this.Year&amp;"]"), INDIRECT($C12&amp;".Emissions[GHG]"), CS$6, INDIRECT($C12&amp;".Emissions[IPCC Sector]"), CS$5),0)</f>
        <v>0</v>
      </c>
      <c r="CT12" s="2790">
        <f t="shared" ca="1" si="23"/>
        <v>0</v>
      </c>
      <c r="CU12" s="2790">
        <f t="shared" ca="1" si="23"/>
        <v>0</v>
      </c>
      <c r="CV12" s="2790">
        <f t="shared" ca="1" si="23"/>
        <v>0</v>
      </c>
      <c r="CW12" s="2790">
        <f t="shared" ca="1" si="23"/>
        <v>0</v>
      </c>
      <c r="CX12" s="2790">
        <f t="shared" ca="1" si="23"/>
        <v>0</v>
      </c>
      <c r="CY12" s="2790">
        <f t="shared" ca="1" si="23"/>
        <v>0</v>
      </c>
      <c r="CZ12" s="2790">
        <f t="shared" ca="1" si="23"/>
        <v>0</v>
      </c>
      <c r="DA12" s="2790">
        <f t="shared" ca="1" si="23"/>
        <v>0</v>
      </c>
      <c r="DB12" s="2790">
        <f t="shared" ca="1" si="23"/>
        <v>0</v>
      </c>
      <c r="DC12" s="2790">
        <f t="shared" ca="1" si="23"/>
        <v>0</v>
      </c>
      <c r="DD12" s="2790">
        <f t="shared" ca="1" si="23"/>
        <v>0</v>
      </c>
      <c r="DE12" s="2790">
        <f t="shared" ca="1" si="23"/>
        <v>0</v>
      </c>
      <c r="DF12" s="2790">
        <f t="shared" ca="1" si="23"/>
        <v>0</v>
      </c>
      <c r="DH12" s="596"/>
    </row>
    <row r="13" spans="1:112" s="6" customFormat="1">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2"/>
        <v>0</v>
      </c>
      <c r="Y13" s="602">
        <f t="shared" ca="1" si="2"/>
        <v>0</v>
      </c>
      <c r="Z13" s="602">
        <f t="shared" ca="1" si="2"/>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3"/>
        <v>0</v>
      </c>
      <c r="AM13" s="604">
        <f t="shared" ca="1" si="18"/>
        <v>0</v>
      </c>
      <c r="AN13" s="604">
        <f t="shared" ca="1" si="18"/>
        <v>0</v>
      </c>
      <c r="AO13" s="604">
        <f t="shared" ca="1" si="18"/>
        <v>0</v>
      </c>
      <c r="AP13" s="604">
        <f t="shared" ca="1" si="18"/>
        <v>0</v>
      </c>
      <c r="AQ13" s="604">
        <f t="shared" ca="1" si="18"/>
        <v>0</v>
      </c>
      <c r="AR13" s="604">
        <f t="shared" ca="1" si="18"/>
        <v>0</v>
      </c>
      <c r="AS13" s="604">
        <f t="shared" ca="1" si="18"/>
        <v>0</v>
      </c>
      <c r="AT13" s="604">
        <f t="shared" ca="1" si="18"/>
        <v>0</v>
      </c>
      <c r="AU13" s="604">
        <f t="shared" ca="1" si="18"/>
        <v>0</v>
      </c>
      <c r="AV13" s="604">
        <f t="shared" ca="1" si="18"/>
        <v>0</v>
      </c>
      <c r="AW13" s="604">
        <f t="shared" ca="1" si="18"/>
        <v>0</v>
      </c>
      <c r="AX13" s="604">
        <f t="shared" ca="1" si="18"/>
        <v>0</v>
      </c>
      <c r="AY13" s="604">
        <f t="shared" ca="1" si="18"/>
        <v>0</v>
      </c>
      <c r="AZ13" s="604">
        <f t="shared" ca="1" si="18"/>
        <v>0</v>
      </c>
      <c r="BA13" s="604">
        <f t="shared" ca="1" si="18"/>
        <v>0</v>
      </c>
      <c r="BB13" s="604">
        <f t="shared" ca="1" si="18"/>
        <v>0</v>
      </c>
      <c r="BC13" s="604">
        <f t="shared" ca="1" si="19"/>
        <v>0</v>
      </c>
      <c r="BD13" s="604">
        <f t="shared" ca="1" si="19"/>
        <v>0</v>
      </c>
      <c r="BE13" s="604">
        <f t="shared" ca="1" si="19"/>
        <v>0</v>
      </c>
      <c r="BF13" s="605">
        <f t="shared" ca="1" si="6"/>
        <v>0</v>
      </c>
      <c r="BH13" s="3472">
        <f t="shared" ca="1" si="7"/>
        <v>0</v>
      </c>
      <c r="BI13" s="3472">
        <f t="shared" ca="1" si="7"/>
        <v>0</v>
      </c>
      <c r="BJ13" s="3461">
        <f t="shared" ca="1" si="8"/>
        <v>0</v>
      </c>
      <c r="BL13" s="606">
        <f t="shared" ca="1" si="9"/>
        <v>0</v>
      </c>
      <c r="BM13" s="606"/>
      <c r="BN13" s="413"/>
      <c r="BO13" s="2789">
        <f t="shared" ca="1" si="20"/>
        <v>0</v>
      </c>
      <c r="BP13" s="2790">
        <f t="shared" ca="1" si="20"/>
        <v>0</v>
      </c>
      <c r="BQ13" s="2790">
        <f t="shared" ca="1" si="20"/>
        <v>0</v>
      </c>
      <c r="BR13" s="2790">
        <f t="shared" ca="1" si="20"/>
        <v>0</v>
      </c>
      <c r="BS13" s="2790">
        <f t="shared" ca="1" si="20"/>
        <v>0</v>
      </c>
      <c r="BT13" s="2790">
        <f t="shared" ca="1" si="20"/>
        <v>0</v>
      </c>
      <c r="BU13" s="2790">
        <f t="shared" ca="1" si="20"/>
        <v>0</v>
      </c>
      <c r="BV13" s="2790">
        <f t="shared" ca="1" si="20"/>
        <v>0</v>
      </c>
      <c r="BW13" s="2790">
        <f t="shared" ca="1" si="20"/>
        <v>0</v>
      </c>
      <c r="BX13" s="2790">
        <f t="shared" ca="1" si="20"/>
        <v>0</v>
      </c>
      <c r="BY13" s="2790">
        <f t="shared" ca="1" si="21"/>
        <v>0</v>
      </c>
      <c r="BZ13" s="2790">
        <f t="shared" ca="1" si="21"/>
        <v>0</v>
      </c>
      <c r="CA13" s="2790">
        <f t="shared" ca="1" si="21"/>
        <v>0</v>
      </c>
      <c r="CB13" s="2790">
        <f t="shared" ca="1" si="21"/>
        <v>0</v>
      </c>
      <c r="CC13" s="2790">
        <f t="shared" ca="1" si="21"/>
        <v>0</v>
      </c>
      <c r="CD13" s="2790">
        <f t="shared" ca="1" si="21"/>
        <v>0</v>
      </c>
      <c r="CE13" s="2790">
        <f t="shared" ca="1" si="21"/>
        <v>0</v>
      </c>
      <c r="CF13" s="2790">
        <f t="shared" ca="1" si="21"/>
        <v>0</v>
      </c>
      <c r="CG13" s="2790">
        <f t="shared" ca="1" si="21"/>
        <v>0</v>
      </c>
      <c r="CH13" s="2790">
        <f t="shared" ca="1" si="21"/>
        <v>0</v>
      </c>
      <c r="CI13" s="2790">
        <f t="shared" ca="1" si="22"/>
        <v>0</v>
      </c>
      <c r="CJ13" s="2790">
        <f t="shared" ca="1" si="22"/>
        <v>0</v>
      </c>
      <c r="CK13" s="2790">
        <f t="shared" ca="1" si="22"/>
        <v>0</v>
      </c>
      <c r="CL13" s="2790">
        <f t="shared" ca="1" si="22"/>
        <v>0</v>
      </c>
      <c r="CM13" s="2790">
        <f t="shared" ca="1" si="22"/>
        <v>0</v>
      </c>
      <c r="CN13" s="2790">
        <f t="shared" ca="1" si="22"/>
        <v>0</v>
      </c>
      <c r="CO13" s="2790">
        <f t="shared" ca="1" si="22"/>
        <v>0</v>
      </c>
      <c r="CP13" s="2790">
        <f t="shared" ca="1" si="22"/>
        <v>0</v>
      </c>
      <c r="CQ13" s="2790">
        <f t="shared" ca="1" si="22"/>
        <v>0</v>
      </c>
      <c r="CR13" s="2790">
        <f t="shared" ca="1" si="22"/>
        <v>0</v>
      </c>
      <c r="CS13" s="2790">
        <f t="shared" ca="1" si="23"/>
        <v>0</v>
      </c>
      <c r="CT13" s="2790">
        <f t="shared" ca="1" si="23"/>
        <v>0</v>
      </c>
      <c r="CU13" s="2790">
        <f t="shared" ca="1" si="23"/>
        <v>0</v>
      </c>
      <c r="CV13" s="2790">
        <f t="shared" ca="1" si="23"/>
        <v>0</v>
      </c>
      <c r="CW13" s="2790">
        <f t="shared" ca="1" si="23"/>
        <v>0</v>
      </c>
      <c r="CX13" s="2790">
        <f t="shared" ca="1" si="23"/>
        <v>0</v>
      </c>
      <c r="CY13" s="2790">
        <f t="shared" ca="1" si="23"/>
        <v>0</v>
      </c>
      <c r="CZ13" s="2790">
        <f t="shared" ca="1" si="23"/>
        <v>0</v>
      </c>
      <c r="DA13" s="2790">
        <f t="shared" ca="1" si="23"/>
        <v>0</v>
      </c>
      <c r="DB13" s="2790">
        <f t="shared" ca="1" si="23"/>
        <v>0</v>
      </c>
      <c r="DC13" s="2790">
        <f t="shared" ca="1" si="23"/>
        <v>0</v>
      </c>
      <c r="DD13" s="2790">
        <f t="shared" ca="1" si="23"/>
        <v>0</v>
      </c>
      <c r="DE13" s="2790">
        <f t="shared" ca="1" si="23"/>
        <v>0</v>
      </c>
      <c r="DF13" s="2790">
        <f t="shared" ca="1" si="23"/>
        <v>0</v>
      </c>
      <c r="DH13" s="596"/>
    </row>
    <row r="14" spans="1:112" s="6" customFormat="1">
      <c r="A14" s="607"/>
      <c r="B14" s="607"/>
      <c r="C14" s="587"/>
      <c r="D14" s="611" t="s">
        <v>469</v>
      </c>
      <c r="E14" s="611"/>
      <c r="G14" s="612">
        <f ca="1">SUM(G12:G13)</f>
        <v>13.137825369181417</v>
      </c>
      <c r="H14" s="612">
        <f t="shared" ref="H14:P14" ca="1" si="24">SUM(H12:H13)</f>
        <v>0</v>
      </c>
      <c r="I14" s="612">
        <f t="shared" ca="1" si="24"/>
        <v>0</v>
      </c>
      <c r="J14" s="612">
        <f t="shared" ca="1" si="24"/>
        <v>0</v>
      </c>
      <c r="K14" s="612">
        <f t="shared" ca="1" si="24"/>
        <v>0</v>
      </c>
      <c r="L14" s="612">
        <f t="shared" ca="1" si="24"/>
        <v>0</v>
      </c>
      <c r="M14" s="612">
        <f t="shared" ca="1" si="24"/>
        <v>0</v>
      </c>
      <c r="N14" s="612">
        <f ca="1">SUM(N12:N13)</f>
        <v>0</v>
      </c>
      <c r="O14" s="612">
        <f ca="1">SUM(O12:O13)</f>
        <v>0</v>
      </c>
      <c r="P14" s="612">
        <f t="shared" ca="1" si="24"/>
        <v>0</v>
      </c>
      <c r="Q14" s="612">
        <f t="shared" ca="1" si="1"/>
        <v>13.137825369181417</v>
      </c>
      <c r="S14" s="613">
        <f t="shared" ref="S14:AJ14" ca="1" si="25">SUM(S12:S13)</f>
        <v>-3.3169672619047619</v>
      </c>
      <c r="T14" s="613">
        <f t="shared" ca="1" si="25"/>
        <v>2.8642500000000002</v>
      </c>
      <c r="U14" s="613">
        <f t="shared" ca="1" si="25"/>
        <v>-0.27435344827586206</v>
      </c>
      <c r="V14" s="613">
        <f t="shared" ca="1" si="25"/>
        <v>-1.886533505154639</v>
      </c>
      <c r="W14" s="613">
        <f t="shared" ca="1" si="25"/>
        <v>-10.473167582417583</v>
      </c>
      <c r="X14" s="613">
        <f ca="1">SUM(X12:X13)</f>
        <v>0</v>
      </c>
      <c r="Y14" s="613">
        <f ca="1">SUM(Y12:Y13)</f>
        <v>0</v>
      </c>
      <c r="Z14" s="613">
        <f ca="1">SUM(Z12:Z13)</f>
        <v>0</v>
      </c>
      <c r="AA14" s="613">
        <f t="shared" ca="1" si="25"/>
        <v>0</v>
      </c>
      <c r="AB14" s="613">
        <f t="shared" ca="1" si="25"/>
        <v>0</v>
      </c>
      <c r="AC14" s="613">
        <f t="shared" ca="1" si="25"/>
        <v>0</v>
      </c>
      <c r="AD14" s="613">
        <f ca="1">SUM(AD12:AD13)</f>
        <v>0</v>
      </c>
      <c r="AE14" s="613">
        <f ca="1">SUM(AE12:AE13)</f>
        <v>0</v>
      </c>
      <c r="AF14" s="613">
        <f t="shared" ca="1" si="25"/>
        <v>0</v>
      </c>
      <c r="AG14" s="613">
        <f ca="1">SUM(AG12:AG13)</f>
        <v>0</v>
      </c>
      <c r="AH14" s="613">
        <f ca="1">SUM(AH12:AH13)</f>
        <v>0</v>
      </c>
      <c r="AI14" s="613">
        <f ca="1">SUM(AI12:AI13)</f>
        <v>0</v>
      </c>
      <c r="AJ14" s="613">
        <f t="shared" ca="1" si="25"/>
        <v>0</v>
      </c>
      <c r="AK14" s="613">
        <f t="shared" ca="1" si="3"/>
        <v>-13.086771797752846</v>
      </c>
      <c r="AM14" s="614">
        <f t="shared" ref="AM14:BE14" ca="1" si="26">SUM(AM12:AM13)</f>
        <v>0</v>
      </c>
      <c r="AN14" s="614">
        <f t="shared" ca="1" si="26"/>
        <v>0</v>
      </c>
      <c r="AO14" s="614">
        <f t="shared" ca="1" si="26"/>
        <v>0</v>
      </c>
      <c r="AP14" s="614">
        <f t="shared" ca="1" si="26"/>
        <v>0</v>
      </c>
      <c r="AQ14" s="614">
        <f t="shared" ca="1" si="26"/>
        <v>0</v>
      </c>
      <c r="AR14" s="614">
        <f t="shared" ca="1" si="26"/>
        <v>0</v>
      </c>
      <c r="AS14" s="614">
        <f t="shared" ca="1" si="26"/>
        <v>0</v>
      </c>
      <c r="AT14" s="614">
        <f t="shared" ca="1" si="26"/>
        <v>0</v>
      </c>
      <c r="AU14" s="614">
        <f t="shared" ca="1" si="26"/>
        <v>0</v>
      </c>
      <c r="AV14" s="614">
        <f t="shared" ca="1" si="26"/>
        <v>0</v>
      </c>
      <c r="AW14" s="614">
        <f t="shared" ca="1" si="26"/>
        <v>0</v>
      </c>
      <c r="AX14" s="614">
        <f t="shared" ca="1" si="26"/>
        <v>0</v>
      </c>
      <c r="AY14" s="614">
        <f t="shared" ca="1" si="26"/>
        <v>0</v>
      </c>
      <c r="AZ14" s="614">
        <f t="shared" ca="1" si="26"/>
        <v>0</v>
      </c>
      <c r="BA14" s="614">
        <f t="shared" ca="1" si="26"/>
        <v>0</v>
      </c>
      <c r="BB14" s="614">
        <f t="shared" ca="1" si="26"/>
        <v>0</v>
      </c>
      <c r="BC14" s="614">
        <f t="shared" ca="1" si="26"/>
        <v>-5.1053571428571434E-2</v>
      </c>
      <c r="BD14" s="614">
        <f ca="1">SUM(BD12:BD13)</f>
        <v>0</v>
      </c>
      <c r="BE14" s="614">
        <f t="shared" ca="1" si="26"/>
        <v>0</v>
      </c>
      <c r="BF14" s="615">
        <f t="shared" ca="1" si="6"/>
        <v>-5.1053571428571434E-2</v>
      </c>
      <c r="BH14" s="3462">
        <f ca="1">SUM(BH12:BH13)</f>
        <v>0</v>
      </c>
      <c r="BI14" s="3462">
        <f ca="1">SUM(BI12:BI13)</f>
        <v>0</v>
      </c>
      <c r="BJ14" s="3462">
        <f t="shared" ca="1" si="8"/>
        <v>0</v>
      </c>
      <c r="BL14" s="610">
        <f t="shared" ca="1" si="9"/>
        <v>1.5265566588595902E-16</v>
      </c>
      <c r="BM14" s="610"/>
      <c r="BN14" s="413"/>
      <c r="BO14" s="2791">
        <f t="shared" ref="BO14:DF14" ca="1" si="27">SUM(BO12:BO13)</f>
        <v>2.7345257662690052</v>
      </c>
      <c r="BP14" s="2792">
        <f t="shared" ca="1" si="27"/>
        <v>1.2341560526826002E-3</v>
      </c>
      <c r="BQ14" s="2792">
        <f t="shared" ca="1" si="27"/>
        <v>3.5311671622925742E-2</v>
      </c>
      <c r="BR14" s="2792">
        <f t="shared" ca="1" si="27"/>
        <v>0</v>
      </c>
      <c r="BS14" s="2792">
        <f t="shared" ca="1" si="27"/>
        <v>0</v>
      </c>
      <c r="BT14" s="2792">
        <f t="shared" ca="1" si="27"/>
        <v>0</v>
      </c>
      <c r="BU14" s="2792">
        <f t="shared" ca="1" si="27"/>
        <v>0</v>
      </c>
      <c r="BV14" s="2792">
        <f t="shared" ca="1" si="27"/>
        <v>0</v>
      </c>
      <c r="BW14" s="2792">
        <f t="shared" ca="1" si="27"/>
        <v>0</v>
      </c>
      <c r="BX14" s="2792">
        <f t="shared" ca="1" si="27"/>
        <v>0</v>
      </c>
      <c r="BY14" s="2792">
        <f t="shared" ca="1" si="27"/>
        <v>0</v>
      </c>
      <c r="BZ14" s="2792">
        <f t="shared" ca="1" si="27"/>
        <v>0</v>
      </c>
      <c r="CA14" s="2792">
        <f t="shared" ca="1" si="27"/>
        <v>0</v>
      </c>
      <c r="CB14" s="2792">
        <f t="shared" ca="1" si="27"/>
        <v>0</v>
      </c>
      <c r="CC14" s="2792">
        <f t="shared" ca="1" si="27"/>
        <v>0</v>
      </c>
      <c r="CD14" s="2792">
        <f t="shared" ca="1" si="27"/>
        <v>0</v>
      </c>
      <c r="CE14" s="2792">
        <f t="shared" ca="1" si="27"/>
        <v>0</v>
      </c>
      <c r="CF14" s="2792">
        <f t="shared" ca="1" si="27"/>
        <v>0</v>
      </c>
      <c r="CG14" s="2792">
        <f t="shared" ca="1" si="27"/>
        <v>0</v>
      </c>
      <c r="CH14" s="2792">
        <f t="shared" ca="1" si="27"/>
        <v>0</v>
      </c>
      <c r="CI14" s="2792">
        <f t="shared" ca="1" si="27"/>
        <v>0</v>
      </c>
      <c r="CJ14" s="2792">
        <f t="shared" ca="1" si="27"/>
        <v>0</v>
      </c>
      <c r="CK14" s="2792">
        <f t="shared" ca="1" si="27"/>
        <v>0</v>
      </c>
      <c r="CL14" s="2792">
        <f t="shared" ca="1" si="27"/>
        <v>0</v>
      </c>
      <c r="CM14" s="2792">
        <f t="shared" ca="1" si="27"/>
        <v>0</v>
      </c>
      <c r="CN14" s="2792">
        <f t="shared" ca="1" si="27"/>
        <v>0</v>
      </c>
      <c r="CO14" s="2792">
        <f t="shared" ca="1" si="27"/>
        <v>0</v>
      </c>
      <c r="CP14" s="2792">
        <f t="shared" ca="1" si="27"/>
        <v>0</v>
      </c>
      <c r="CQ14" s="2792">
        <f t="shared" ca="1" si="27"/>
        <v>0</v>
      </c>
      <c r="CR14" s="2792">
        <f t="shared" ca="1" si="27"/>
        <v>0</v>
      </c>
      <c r="CS14" s="2792">
        <f t="shared" ca="1" si="27"/>
        <v>0</v>
      </c>
      <c r="CT14" s="2792">
        <f t="shared" ca="1" si="27"/>
        <v>0</v>
      </c>
      <c r="CU14" s="2792">
        <f t="shared" ca="1" si="27"/>
        <v>0</v>
      </c>
      <c r="CV14" s="2792">
        <f t="shared" ca="1" si="27"/>
        <v>0</v>
      </c>
      <c r="CW14" s="2792">
        <f t="shared" ca="1" si="27"/>
        <v>0</v>
      </c>
      <c r="CX14" s="2792">
        <f t="shared" ca="1" si="27"/>
        <v>0</v>
      </c>
      <c r="CY14" s="2792">
        <f t="shared" ca="1" si="27"/>
        <v>0</v>
      </c>
      <c r="CZ14" s="2792">
        <f t="shared" ca="1" si="27"/>
        <v>0</v>
      </c>
      <c r="DA14" s="2792">
        <f t="shared" ca="1" si="27"/>
        <v>0</v>
      </c>
      <c r="DB14" s="2792">
        <f t="shared" ca="1" si="27"/>
        <v>0</v>
      </c>
      <c r="DC14" s="2792">
        <f t="shared" ca="1" si="27"/>
        <v>0</v>
      </c>
      <c r="DD14" s="2792">
        <f t="shared" ca="1" si="27"/>
        <v>0</v>
      </c>
      <c r="DE14" s="2792">
        <f t="shared" ca="1" si="27"/>
        <v>0</v>
      </c>
      <c r="DF14" s="2792">
        <f t="shared" ca="1" si="27"/>
        <v>0</v>
      </c>
      <c r="DH14" s="596"/>
    </row>
    <row r="15" spans="1:112" s="6" customFormat="1" ht="15.75">
      <c r="A15" s="4"/>
      <c r="B15" s="3"/>
      <c r="C15" s="616" t="s">
        <v>0</v>
      </c>
      <c r="D15" s="617" t="s">
        <v>1</v>
      </c>
      <c r="E15" s="206"/>
      <c r="G15" s="618">
        <f t="shared" ref="G15:P15" ca="1" si="28">G14+G11</f>
        <v>36.831258141442504</v>
      </c>
      <c r="H15" s="618">
        <f t="shared" ca="1" si="28"/>
        <v>0</v>
      </c>
      <c r="I15" s="618">
        <f t="shared" ca="1" si="28"/>
        <v>0</v>
      </c>
      <c r="J15" s="618">
        <f t="shared" ca="1" si="28"/>
        <v>0</v>
      </c>
      <c r="K15" s="618">
        <f t="shared" ca="1" si="28"/>
        <v>0</v>
      </c>
      <c r="L15" s="618">
        <f t="shared" ca="1" si="28"/>
        <v>0</v>
      </c>
      <c r="M15" s="618">
        <f t="shared" ca="1" si="28"/>
        <v>0</v>
      </c>
      <c r="N15" s="618">
        <f t="shared" ca="1" si="28"/>
        <v>0</v>
      </c>
      <c r="O15" s="618">
        <f t="shared" ca="1" si="28"/>
        <v>0</v>
      </c>
      <c r="P15" s="618">
        <f t="shared" ca="1" si="28"/>
        <v>0</v>
      </c>
      <c r="Q15" s="618">
        <f t="shared" ca="1" si="1"/>
        <v>36.831258141442504</v>
      </c>
      <c r="S15" s="581">
        <f t="shared" ref="S15:AJ15" ca="1" si="29">S14+S11</f>
        <v>-4.8921498585780299</v>
      </c>
      <c r="T15" s="581">
        <f t="shared" ca="1" si="29"/>
        <v>2.8642500000000002</v>
      </c>
      <c r="U15" s="581">
        <f t="shared" ca="1" si="29"/>
        <v>-0.45060178432359033</v>
      </c>
      <c r="V15" s="581">
        <f t="shared" ca="1" si="29"/>
        <v>-10.580845752457524</v>
      </c>
      <c r="W15" s="581">
        <f t="shared" ca="1" si="29"/>
        <v>-22.729409593037914</v>
      </c>
      <c r="X15" s="581">
        <f t="shared" ca="1" si="29"/>
        <v>0</v>
      </c>
      <c r="Y15" s="581">
        <f t="shared" ca="1" si="29"/>
        <v>0</v>
      </c>
      <c r="Z15" s="581">
        <f t="shared" ca="1" si="29"/>
        <v>0</v>
      </c>
      <c r="AA15" s="581">
        <f t="shared" ca="1" si="29"/>
        <v>0</v>
      </c>
      <c r="AB15" s="581">
        <f t="shared" ca="1" si="29"/>
        <v>0</v>
      </c>
      <c r="AC15" s="581">
        <f t="shared" ca="1" si="29"/>
        <v>0</v>
      </c>
      <c r="AD15" s="581">
        <f t="shared" ca="1" si="29"/>
        <v>0</v>
      </c>
      <c r="AE15" s="581">
        <f ca="1">AE14+AE11</f>
        <v>0</v>
      </c>
      <c r="AF15" s="581">
        <f t="shared" ca="1" si="29"/>
        <v>0</v>
      </c>
      <c r="AG15" s="581">
        <f t="shared" ca="1" si="29"/>
        <v>0</v>
      </c>
      <c r="AH15" s="581">
        <f ca="1">AH14+AH11</f>
        <v>0</v>
      </c>
      <c r="AI15" s="581">
        <f t="shared" ca="1" si="29"/>
        <v>-0.87993360231339046</v>
      </c>
      <c r="AJ15" s="581">
        <f t="shared" ca="1" si="29"/>
        <v>0</v>
      </c>
      <c r="AK15" s="581">
        <f t="shared" ca="1" si="3"/>
        <v>-36.668690590710447</v>
      </c>
      <c r="AM15" s="582">
        <f t="shared" ref="AM15:BE15" ca="1" si="30">AM14+AM11</f>
        <v>0</v>
      </c>
      <c r="AN15" s="582">
        <f t="shared" ca="1" si="30"/>
        <v>0</v>
      </c>
      <c r="AO15" s="582">
        <f t="shared" ca="1" si="30"/>
        <v>0</v>
      </c>
      <c r="AP15" s="582">
        <f t="shared" ca="1" si="30"/>
        <v>0</v>
      </c>
      <c r="AQ15" s="582">
        <f t="shared" ca="1" si="30"/>
        <v>0</v>
      </c>
      <c r="AR15" s="582">
        <f t="shared" ca="1" si="30"/>
        <v>0</v>
      </c>
      <c r="AS15" s="582">
        <f t="shared" ca="1" si="30"/>
        <v>0</v>
      </c>
      <c r="AT15" s="582">
        <f t="shared" ca="1" si="30"/>
        <v>0</v>
      </c>
      <c r="AU15" s="582">
        <f t="shared" ca="1" si="30"/>
        <v>0</v>
      </c>
      <c r="AV15" s="582">
        <f t="shared" ca="1" si="30"/>
        <v>0</v>
      </c>
      <c r="AW15" s="582">
        <f t="shared" ca="1" si="30"/>
        <v>0</v>
      </c>
      <c r="AX15" s="582">
        <f t="shared" ca="1" si="30"/>
        <v>0</v>
      </c>
      <c r="AY15" s="582">
        <f t="shared" ca="1" si="30"/>
        <v>0</v>
      </c>
      <c r="AZ15" s="582">
        <f t="shared" ca="1" si="30"/>
        <v>0</v>
      </c>
      <c r="BA15" s="582">
        <f t="shared" ca="1" si="30"/>
        <v>0</v>
      </c>
      <c r="BB15" s="582">
        <f t="shared" ca="1" si="30"/>
        <v>0</v>
      </c>
      <c r="BC15" s="582">
        <f t="shared" ca="1" si="30"/>
        <v>-0.16256755073206205</v>
      </c>
      <c r="BD15" s="582">
        <f ca="1">BD14+BD11</f>
        <v>0</v>
      </c>
      <c r="BE15" s="582">
        <f t="shared" ca="1" si="30"/>
        <v>0</v>
      </c>
      <c r="BF15" s="582">
        <f t="shared" ca="1" si="6"/>
        <v>-0.16256755073206205</v>
      </c>
      <c r="BH15" s="3463">
        <f ca="1">BH14+BH11</f>
        <v>0</v>
      </c>
      <c r="BI15" s="3463">
        <f ca="1">BI14+BI11</f>
        <v>0</v>
      </c>
      <c r="BJ15" s="3463">
        <f t="shared" ca="1" si="8"/>
        <v>0</v>
      </c>
      <c r="BL15" s="3477">
        <f t="shared" ca="1" si="9"/>
        <v>-5.5233595475101538E-15</v>
      </c>
      <c r="BM15" s="584"/>
      <c r="BN15" s="413"/>
      <c r="BO15" s="2790">
        <f t="shared" ref="BO15:DF15" ca="1" si="31">BO14+BO11</f>
        <v>7.5973988402043364</v>
      </c>
      <c r="BP15" s="2790">
        <f t="shared" ca="1" si="31"/>
        <v>4.1419250283174372E-3</v>
      </c>
      <c r="BQ15" s="2790">
        <f t="shared" ca="1" si="31"/>
        <v>8.0897831318406027E-2</v>
      </c>
      <c r="BR15" s="2790">
        <f t="shared" ca="1" si="31"/>
        <v>0</v>
      </c>
      <c r="BS15" s="2790">
        <f t="shared" ca="1" si="31"/>
        <v>0</v>
      </c>
      <c r="BT15" s="2790">
        <f t="shared" ca="1" si="31"/>
        <v>0</v>
      </c>
      <c r="BU15" s="2790">
        <f t="shared" ca="1" si="31"/>
        <v>0</v>
      </c>
      <c r="BV15" s="2790">
        <f t="shared" ca="1" si="31"/>
        <v>0</v>
      </c>
      <c r="BW15" s="2790">
        <f t="shared" ca="1" si="31"/>
        <v>0</v>
      </c>
      <c r="BX15" s="2790">
        <f t="shared" ca="1" si="31"/>
        <v>0</v>
      </c>
      <c r="BY15" s="2790">
        <f t="shared" ca="1" si="31"/>
        <v>0</v>
      </c>
      <c r="BZ15" s="2790">
        <f t="shared" ca="1" si="31"/>
        <v>0</v>
      </c>
      <c r="CA15" s="2790">
        <f t="shared" ca="1" si="31"/>
        <v>0</v>
      </c>
      <c r="CB15" s="2790">
        <f t="shared" ca="1" si="31"/>
        <v>0</v>
      </c>
      <c r="CC15" s="2790">
        <f t="shared" ca="1" si="31"/>
        <v>0</v>
      </c>
      <c r="CD15" s="2790">
        <f t="shared" ca="1" si="31"/>
        <v>0</v>
      </c>
      <c r="CE15" s="2790">
        <f t="shared" ca="1" si="31"/>
        <v>0</v>
      </c>
      <c r="CF15" s="2790">
        <f t="shared" ca="1" si="31"/>
        <v>0</v>
      </c>
      <c r="CG15" s="2790">
        <f t="shared" ca="1" si="31"/>
        <v>0</v>
      </c>
      <c r="CH15" s="2790">
        <f t="shared" ca="1" si="31"/>
        <v>0</v>
      </c>
      <c r="CI15" s="2790">
        <f t="shared" ca="1" si="31"/>
        <v>0</v>
      </c>
      <c r="CJ15" s="2790">
        <f t="shared" ca="1" si="31"/>
        <v>0</v>
      </c>
      <c r="CK15" s="2790">
        <f t="shared" ca="1" si="31"/>
        <v>0</v>
      </c>
      <c r="CL15" s="2790">
        <f t="shared" ca="1" si="31"/>
        <v>0</v>
      </c>
      <c r="CM15" s="2790">
        <f t="shared" ca="1" si="31"/>
        <v>0</v>
      </c>
      <c r="CN15" s="2790">
        <f t="shared" ca="1" si="31"/>
        <v>0</v>
      </c>
      <c r="CO15" s="2790">
        <f t="shared" ca="1" si="31"/>
        <v>0</v>
      </c>
      <c r="CP15" s="2790">
        <f t="shared" ca="1" si="31"/>
        <v>0</v>
      </c>
      <c r="CQ15" s="2790">
        <f t="shared" ca="1" si="31"/>
        <v>0</v>
      </c>
      <c r="CR15" s="2790">
        <f t="shared" ca="1" si="31"/>
        <v>0</v>
      </c>
      <c r="CS15" s="2790">
        <f t="shared" ca="1" si="31"/>
        <v>0</v>
      </c>
      <c r="CT15" s="2790">
        <f t="shared" ca="1" si="31"/>
        <v>0</v>
      </c>
      <c r="CU15" s="2790">
        <f t="shared" ca="1" si="31"/>
        <v>0</v>
      </c>
      <c r="CV15" s="2790">
        <f t="shared" ca="1" si="31"/>
        <v>0</v>
      </c>
      <c r="CW15" s="2790">
        <f t="shared" ca="1" si="31"/>
        <v>0</v>
      </c>
      <c r="CX15" s="2790">
        <f t="shared" ca="1" si="31"/>
        <v>0</v>
      </c>
      <c r="CY15" s="2790">
        <f t="shared" ca="1" si="31"/>
        <v>0</v>
      </c>
      <c r="CZ15" s="2790">
        <f t="shared" ca="1" si="31"/>
        <v>0</v>
      </c>
      <c r="DA15" s="2790">
        <f t="shared" ca="1" si="31"/>
        <v>0</v>
      </c>
      <c r="DB15" s="2790">
        <f t="shared" ca="1" si="31"/>
        <v>0</v>
      </c>
      <c r="DC15" s="2790">
        <f t="shared" ca="1" si="31"/>
        <v>0</v>
      </c>
      <c r="DD15" s="2790">
        <f t="shared" ca="1" si="31"/>
        <v>0</v>
      </c>
      <c r="DE15" s="2790">
        <f t="shared" ca="1" si="31"/>
        <v>0</v>
      </c>
      <c r="DF15" s="2790">
        <f t="shared" ca="1" si="31"/>
        <v>0</v>
      </c>
      <c r="DH15" s="596">
        <f t="shared" ref="DH15:DH38" ca="1" si="32">SUM(BO15:DF15)</f>
        <v>7.6824385965510604</v>
      </c>
    </row>
    <row r="16" spans="1:112" s="6" customFormat="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9"/>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2"/>
        <v>0</v>
      </c>
    </row>
    <row r="17" spans="1:112" s="6" customFormat="1">
      <c r="A17" s="607"/>
      <c r="B17" s="607"/>
      <c r="C17" s="587" t="s">
        <v>470</v>
      </c>
      <c r="D17" s="586" t="s">
        <v>471</v>
      </c>
      <c r="E17" s="599"/>
      <c r="G17" s="589">
        <f t="shared" ref="G17:P18" ca="1" si="33">IFERROR(INDEX(INDIRECT($C17&amp;".Outputs["&amp;this.Year&amp;"]"), MATCH(G$5, INDIRECT($C17&amp;".Outputs[Vector]"), 0)), 0)</f>
        <v>0</v>
      </c>
      <c r="H17" s="589">
        <f t="shared" ca="1" si="33"/>
        <v>5.8684706278777732</v>
      </c>
      <c r="I17" s="589">
        <f t="shared" ca="1" si="33"/>
        <v>0</v>
      </c>
      <c r="J17" s="589">
        <f t="shared" ca="1" si="33"/>
        <v>0</v>
      </c>
      <c r="K17" s="589">
        <f t="shared" ca="1" si="33"/>
        <v>0</v>
      </c>
      <c r="L17" s="589">
        <f t="shared" ca="1" si="33"/>
        <v>0</v>
      </c>
      <c r="M17" s="589">
        <f t="shared" ca="1" si="33"/>
        <v>0</v>
      </c>
      <c r="N17" s="589">
        <f t="shared" ca="1" si="33"/>
        <v>0</v>
      </c>
      <c r="O17" s="589">
        <f t="shared" ca="1" si="33"/>
        <v>0</v>
      </c>
      <c r="P17" s="589">
        <f t="shared" ca="1" si="33"/>
        <v>0</v>
      </c>
      <c r="Q17" s="590">
        <f ca="1">SUM(G17:P17)</f>
        <v>5.8684706278777732</v>
      </c>
      <c r="S17" s="591">
        <f t="shared" ref="S17:AJ18" ca="1" si="34">IFERROR(INDEX(INDIRECT($C17&amp;".Outputs["&amp;this.Year&amp;"]"), MATCH(S$5, INDIRECT($C17&amp;".Outputs[Vector]"), 0)), 0)</f>
        <v>-5.4342724758055327</v>
      </c>
      <c r="T17" s="591">
        <f t="shared" ca="1" si="34"/>
        <v>0</v>
      </c>
      <c r="U17" s="591">
        <f t="shared" ca="1" si="34"/>
        <v>0</v>
      </c>
      <c r="V17" s="591">
        <f t="shared" ca="1" si="34"/>
        <v>0</v>
      </c>
      <c r="W17" s="591">
        <f t="shared" ca="1" si="34"/>
        <v>-0.43419815207224072</v>
      </c>
      <c r="X17" s="591">
        <f t="shared" ca="1" si="34"/>
        <v>0</v>
      </c>
      <c r="Y17" s="591">
        <f t="shared" ca="1" si="34"/>
        <v>0</v>
      </c>
      <c r="Z17" s="591">
        <f t="shared" ca="1" si="34"/>
        <v>0</v>
      </c>
      <c r="AA17" s="591">
        <f t="shared" ca="1" si="34"/>
        <v>0</v>
      </c>
      <c r="AB17" s="591">
        <f t="shared" ca="1" si="34"/>
        <v>0</v>
      </c>
      <c r="AC17" s="591">
        <f t="shared" ca="1" si="34"/>
        <v>0</v>
      </c>
      <c r="AD17" s="591">
        <f t="shared" ca="1" si="34"/>
        <v>0</v>
      </c>
      <c r="AE17" s="591">
        <f t="shared" ca="1" si="34"/>
        <v>0</v>
      </c>
      <c r="AF17" s="591">
        <f t="shared" ca="1" si="34"/>
        <v>0</v>
      </c>
      <c r="AG17" s="591">
        <f t="shared" ca="1" si="34"/>
        <v>0</v>
      </c>
      <c r="AH17" s="591">
        <f t="shared" ca="1" si="34"/>
        <v>0</v>
      </c>
      <c r="AI17" s="591">
        <f t="shared" ca="1" si="34"/>
        <v>0</v>
      </c>
      <c r="AJ17" s="591">
        <f t="shared" ca="1" si="34"/>
        <v>0</v>
      </c>
      <c r="AK17" s="592">
        <f ca="1">SUM(S17:AJ17)</f>
        <v>-5.8684706278777732</v>
      </c>
      <c r="AM17" s="593">
        <f t="shared" ref="AM17:BB18" ca="1" si="35">IFERROR(INDEX(INDIRECT($C17&amp;".Outputs["&amp;this.Year&amp;"]"), MATCH(AM$5, INDIRECT($C17&amp;".Outputs[Vector]"), 0)), 0)</f>
        <v>0</v>
      </c>
      <c r="AN17" s="593">
        <f t="shared" ca="1" si="35"/>
        <v>0</v>
      </c>
      <c r="AO17" s="593">
        <f t="shared" ca="1" si="35"/>
        <v>0</v>
      </c>
      <c r="AP17" s="593">
        <f t="shared" ca="1" si="35"/>
        <v>0</v>
      </c>
      <c r="AQ17" s="593">
        <f t="shared" ca="1" si="35"/>
        <v>0</v>
      </c>
      <c r="AR17" s="593">
        <f t="shared" ca="1" si="35"/>
        <v>0</v>
      </c>
      <c r="AS17" s="593">
        <f t="shared" ca="1" si="35"/>
        <v>0</v>
      </c>
      <c r="AT17" s="593">
        <f t="shared" ca="1" si="35"/>
        <v>0</v>
      </c>
      <c r="AU17" s="593">
        <f t="shared" ca="1" si="35"/>
        <v>0</v>
      </c>
      <c r="AV17" s="593">
        <f t="shared" ca="1" si="35"/>
        <v>0</v>
      </c>
      <c r="AW17" s="593">
        <f t="shared" ca="1" si="35"/>
        <v>0</v>
      </c>
      <c r="AX17" s="593">
        <f t="shared" ca="1" si="35"/>
        <v>0</v>
      </c>
      <c r="AY17" s="593">
        <f t="shared" ca="1" si="35"/>
        <v>0</v>
      </c>
      <c r="AZ17" s="593">
        <f t="shared" ca="1" si="35"/>
        <v>0</v>
      </c>
      <c r="BA17" s="593">
        <f t="shared" ca="1" si="35"/>
        <v>0</v>
      </c>
      <c r="BB17" s="593">
        <f t="shared" ca="1" si="35"/>
        <v>0</v>
      </c>
      <c r="BC17" s="593">
        <f t="shared" ref="BC17:BE18" ca="1" si="36">IFERROR(INDEX(INDIRECT($C17&amp;".Outputs["&amp;this.Year&amp;"]"), MATCH(BC$5, INDIRECT($C17&amp;".Outputs[Vector]"), 0)), 0)</f>
        <v>0</v>
      </c>
      <c r="BD17" s="593">
        <f t="shared" ca="1" si="36"/>
        <v>0</v>
      </c>
      <c r="BE17" s="593">
        <f t="shared" ca="1" si="36"/>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9"/>
        <v>0</v>
      </c>
      <c r="BM17" s="610"/>
      <c r="BN17" s="413"/>
      <c r="BO17" s="2789">
        <f t="shared" ref="BO17:BX18" ca="1" si="37">IFERROR(SUMIFS(INDIRECT($C17&amp;".Emissions["&amp;this.Year&amp;"]"), INDIRECT($C17&amp;".Emissions[GHG]"), BO$6, INDIRECT($C17&amp;".Emissions[IPCC Sector]"), BO$5),0)</f>
        <v>8.8889566730011596E-2</v>
      </c>
      <c r="BP17" s="2790">
        <f t="shared" ca="1" si="37"/>
        <v>3.2825380296661402E-5</v>
      </c>
      <c r="BQ17" s="2790">
        <f t="shared" ca="1" si="37"/>
        <v>1.4052388993665999E-3</v>
      </c>
      <c r="BR17" s="2790">
        <f t="shared" ca="1" si="37"/>
        <v>0</v>
      </c>
      <c r="BS17" s="2790">
        <f t="shared" ca="1" si="37"/>
        <v>0</v>
      </c>
      <c r="BT17" s="2790">
        <f t="shared" ca="1" si="37"/>
        <v>0</v>
      </c>
      <c r="BU17" s="2790">
        <f t="shared" ca="1" si="37"/>
        <v>0</v>
      </c>
      <c r="BV17" s="2790">
        <f t="shared" ca="1" si="37"/>
        <v>0</v>
      </c>
      <c r="BW17" s="2790">
        <f t="shared" ca="1" si="37"/>
        <v>0</v>
      </c>
      <c r="BX17" s="2790">
        <f t="shared" ca="1" si="37"/>
        <v>0</v>
      </c>
      <c r="BY17" s="2790">
        <f t="shared" ref="BY17:CH18" ca="1" si="38">IFERROR(SUMIFS(INDIRECT($C17&amp;".Emissions["&amp;this.Year&amp;"]"), INDIRECT($C17&amp;".Emissions[GHG]"), BY$6, INDIRECT($C17&amp;".Emissions[IPCC Sector]"), BY$5),0)</f>
        <v>0</v>
      </c>
      <c r="BZ17" s="2790">
        <f t="shared" ca="1" si="38"/>
        <v>0</v>
      </c>
      <c r="CA17" s="2790">
        <f t="shared" ca="1" si="38"/>
        <v>0</v>
      </c>
      <c r="CB17" s="2790">
        <f t="shared" ca="1" si="38"/>
        <v>0</v>
      </c>
      <c r="CC17" s="2790">
        <f t="shared" ca="1" si="38"/>
        <v>0</v>
      </c>
      <c r="CD17" s="2790">
        <f t="shared" ca="1" si="38"/>
        <v>0</v>
      </c>
      <c r="CE17" s="2790">
        <f t="shared" ca="1" si="38"/>
        <v>0</v>
      </c>
      <c r="CF17" s="2790">
        <f t="shared" ca="1" si="38"/>
        <v>0</v>
      </c>
      <c r="CG17" s="2790">
        <f t="shared" ca="1" si="38"/>
        <v>0</v>
      </c>
      <c r="CH17" s="2790">
        <f t="shared" ca="1" si="38"/>
        <v>0</v>
      </c>
      <c r="CI17" s="2790">
        <f t="shared" ref="CI17:CR18" ca="1" si="39">IFERROR(SUMIFS(INDIRECT($C17&amp;".Emissions["&amp;this.Year&amp;"]"), INDIRECT($C17&amp;".Emissions[GHG]"), CI$6, INDIRECT($C17&amp;".Emissions[IPCC Sector]"), CI$5),0)</f>
        <v>0</v>
      </c>
      <c r="CJ17" s="2790">
        <f t="shared" ca="1" si="39"/>
        <v>0</v>
      </c>
      <c r="CK17" s="2790">
        <f t="shared" ca="1" si="39"/>
        <v>0</v>
      </c>
      <c r="CL17" s="2790">
        <f t="shared" ca="1" si="39"/>
        <v>0</v>
      </c>
      <c r="CM17" s="2790">
        <f t="shared" ca="1" si="39"/>
        <v>0</v>
      </c>
      <c r="CN17" s="2790">
        <f t="shared" ca="1" si="39"/>
        <v>0</v>
      </c>
      <c r="CO17" s="2790">
        <f t="shared" ca="1" si="39"/>
        <v>0</v>
      </c>
      <c r="CP17" s="2790">
        <f t="shared" ca="1" si="39"/>
        <v>0</v>
      </c>
      <c r="CQ17" s="2790">
        <f t="shared" ca="1" si="39"/>
        <v>0</v>
      </c>
      <c r="CR17" s="2790">
        <f t="shared" ca="1" si="39"/>
        <v>0</v>
      </c>
      <c r="CS17" s="2790">
        <f t="shared" ref="CS17:DF18" ca="1" si="40">IFERROR(SUMIFS(INDIRECT($C17&amp;".Emissions["&amp;this.Year&amp;"]"), INDIRECT($C17&amp;".Emissions[GHG]"), CS$6, INDIRECT($C17&amp;".Emissions[IPCC Sector]"), CS$5),0)</f>
        <v>0</v>
      </c>
      <c r="CT17" s="2790">
        <f t="shared" ca="1" si="40"/>
        <v>0</v>
      </c>
      <c r="CU17" s="2790">
        <f t="shared" ca="1" si="40"/>
        <v>0</v>
      </c>
      <c r="CV17" s="2790">
        <f t="shared" ca="1" si="40"/>
        <v>0</v>
      </c>
      <c r="CW17" s="2790">
        <f t="shared" ca="1" si="40"/>
        <v>0</v>
      </c>
      <c r="CX17" s="2790">
        <f t="shared" ca="1" si="40"/>
        <v>0</v>
      </c>
      <c r="CY17" s="2790">
        <f t="shared" ca="1" si="40"/>
        <v>0</v>
      </c>
      <c r="CZ17" s="2790">
        <f t="shared" ca="1" si="40"/>
        <v>0</v>
      </c>
      <c r="DA17" s="2790">
        <f t="shared" ca="1" si="40"/>
        <v>0</v>
      </c>
      <c r="DB17" s="2790">
        <f t="shared" ca="1" si="40"/>
        <v>0</v>
      </c>
      <c r="DC17" s="2790">
        <f t="shared" ca="1" si="40"/>
        <v>0</v>
      </c>
      <c r="DD17" s="2790">
        <f t="shared" ca="1" si="40"/>
        <v>0</v>
      </c>
      <c r="DE17" s="2790">
        <f t="shared" ca="1" si="40"/>
        <v>0</v>
      </c>
      <c r="DF17" s="2790">
        <f t="shared" ca="1" si="40"/>
        <v>0</v>
      </c>
      <c r="DH17" s="596">
        <f t="shared" ca="1" si="32"/>
        <v>9.032763100967485E-2</v>
      </c>
    </row>
    <row r="18" spans="1:112" s="6" customFormat="1">
      <c r="A18" s="607"/>
      <c r="B18" s="607"/>
      <c r="C18" s="587" t="s">
        <v>472</v>
      </c>
      <c r="D18" s="611" t="s">
        <v>473</v>
      </c>
      <c r="E18" s="611"/>
      <c r="G18" s="619">
        <f t="shared" ca="1" si="33"/>
        <v>0</v>
      </c>
      <c r="H18" s="619">
        <f t="shared" ca="1" si="33"/>
        <v>4.7479459459459399</v>
      </c>
      <c r="I18" s="619">
        <f t="shared" ca="1" si="33"/>
        <v>0</v>
      </c>
      <c r="J18" s="619">
        <f t="shared" ca="1" si="33"/>
        <v>0</v>
      </c>
      <c r="K18" s="619">
        <f t="shared" ca="1" si="33"/>
        <v>0</v>
      </c>
      <c r="L18" s="619">
        <f t="shared" ca="1" si="33"/>
        <v>0</v>
      </c>
      <c r="M18" s="619">
        <f t="shared" ca="1" si="33"/>
        <v>0</v>
      </c>
      <c r="N18" s="619">
        <f t="shared" ca="1" si="33"/>
        <v>0</v>
      </c>
      <c r="O18" s="619">
        <f t="shared" ca="1" si="33"/>
        <v>0</v>
      </c>
      <c r="P18" s="619">
        <f t="shared" ca="1" si="33"/>
        <v>0</v>
      </c>
      <c r="Q18" s="612">
        <f ca="1">SUM(G18:P18)</f>
        <v>4.7479459459459399</v>
      </c>
      <c r="S18" s="620">
        <f t="shared" ca="1" si="34"/>
        <v>-4.2586486486486441</v>
      </c>
      <c r="T18" s="620">
        <f t="shared" ca="1" si="34"/>
        <v>0</v>
      </c>
      <c r="U18" s="620">
        <f t="shared" ca="1" si="34"/>
        <v>0</v>
      </c>
      <c r="V18" s="620">
        <f t="shared" ca="1" si="34"/>
        <v>0</v>
      </c>
      <c r="W18" s="620">
        <f t="shared" ca="1" si="34"/>
        <v>-0.48929729729729604</v>
      </c>
      <c r="X18" s="620">
        <f t="shared" ca="1" si="34"/>
        <v>0</v>
      </c>
      <c r="Y18" s="620">
        <f t="shared" ca="1" si="34"/>
        <v>0</v>
      </c>
      <c r="Z18" s="620">
        <f t="shared" ca="1" si="34"/>
        <v>0</v>
      </c>
      <c r="AA18" s="620">
        <f t="shared" ca="1" si="34"/>
        <v>0</v>
      </c>
      <c r="AB18" s="620">
        <f t="shared" ca="1" si="34"/>
        <v>0</v>
      </c>
      <c r="AC18" s="620">
        <f t="shared" ca="1" si="34"/>
        <v>0</v>
      </c>
      <c r="AD18" s="620">
        <f t="shared" ca="1" si="34"/>
        <v>0</v>
      </c>
      <c r="AE18" s="620">
        <f t="shared" ca="1" si="34"/>
        <v>0</v>
      </c>
      <c r="AF18" s="620">
        <f t="shared" ca="1" si="34"/>
        <v>0</v>
      </c>
      <c r="AG18" s="620">
        <f t="shared" ca="1" si="34"/>
        <v>0</v>
      </c>
      <c r="AH18" s="620">
        <f t="shared" ca="1" si="34"/>
        <v>0</v>
      </c>
      <c r="AI18" s="620">
        <f t="shared" ca="1" si="34"/>
        <v>0</v>
      </c>
      <c r="AJ18" s="620">
        <f t="shared" ca="1" si="34"/>
        <v>0</v>
      </c>
      <c r="AK18" s="613">
        <f ca="1">SUM(S18:AJ18)</f>
        <v>-4.7479459459459399</v>
      </c>
      <c r="AM18" s="621">
        <f t="shared" ca="1" si="35"/>
        <v>0</v>
      </c>
      <c r="AN18" s="621">
        <f t="shared" ca="1" si="35"/>
        <v>0</v>
      </c>
      <c r="AO18" s="621">
        <f t="shared" ca="1" si="35"/>
        <v>0</v>
      </c>
      <c r="AP18" s="621">
        <f t="shared" ca="1" si="35"/>
        <v>0</v>
      </c>
      <c r="AQ18" s="621">
        <f t="shared" ca="1" si="35"/>
        <v>0</v>
      </c>
      <c r="AR18" s="621">
        <f t="shared" ca="1" si="35"/>
        <v>0</v>
      </c>
      <c r="AS18" s="621">
        <f t="shared" ca="1" si="35"/>
        <v>0</v>
      </c>
      <c r="AT18" s="621">
        <f t="shared" ca="1" si="35"/>
        <v>0</v>
      </c>
      <c r="AU18" s="621">
        <f t="shared" ca="1" si="35"/>
        <v>0</v>
      </c>
      <c r="AV18" s="621">
        <f t="shared" ca="1" si="35"/>
        <v>0</v>
      </c>
      <c r="AW18" s="621">
        <f t="shared" ca="1" si="35"/>
        <v>0</v>
      </c>
      <c r="AX18" s="621">
        <f t="shared" ca="1" si="35"/>
        <v>0</v>
      </c>
      <c r="AY18" s="621">
        <f t="shared" ca="1" si="35"/>
        <v>0</v>
      </c>
      <c r="AZ18" s="621">
        <f t="shared" ca="1" si="35"/>
        <v>0</v>
      </c>
      <c r="BA18" s="621">
        <f t="shared" ca="1" si="35"/>
        <v>0</v>
      </c>
      <c r="BB18" s="621">
        <f t="shared" ca="1" si="35"/>
        <v>0</v>
      </c>
      <c r="BC18" s="621">
        <f t="shared" ca="1" si="36"/>
        <v>0</v>
      </c>
      <c r="BD18" s="621">
        <f t="shared" ca="1" si="36"/>
        <v>0</v>
      </c>
      <c r="BE18" s="621">
        <f t="shared" ca="1" si="36"/>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9"/>
        <v>0</v>
      </c>
      <c r="BM18" s="610"/>
      <c r="BN18" s="413"/>
      <c r="BO18" s="2791">
        <f t="shared" ca="1" si="37"/>
        <v>0.10016952985945919</v>
      </c>
      <c r="BP18" s="2792">
        <f t="shared" ca="1" si="37"/>
        <v>3.6990875675675583E-5</v>
      </c>
      <c r="BQ18" s="2792">
        <f t="shared" ca="1" si="37"/>
        <v>1.5835617729729689E-3</v>
      </c>
      <c r="BR18" s="2792">
        <f t="shared" ca="1" si="37"/>
        <v>0</v>
      </c>
      <c r="BS18" s="2792">
        <f t="shared" ca="1" si="37"/>
        <v>0</v>
      </c>
      <c r="BT18" s="2792">
        <f t="shared" ca="1" si="37"/>
        <v>0</v>
      </c>
      <c r="BU18" s="2792">
        <f t="shared" ca="1" si="37"/>
        <v>0</v>
      </c>
      <c r="BV18" s="2792">
        <f t="shared" ca="1" si="37"/>
        <v>0</v>
      </c>
      <c r="BW18" s="2792">
        <f t="shared" ca="1" si="37"/>
        <v>0</v>
      </c>
      <c r="BX18" s="2792">
        <f t="shared" ca="1" si="37"/>
        <v>0</v>
      </c>
      <c r="BY18" s="2792">
        <f t="shared" ca="1" si="38"/>
        <v>0</v>
      </c>
      <c r="BZ18" s="2792">
        <f t="shared" ca="1" si="38"/>
        <v>0</v>
      </c>
      <c r="CA18" s="2792">
        <f t="shared" ca="1" si="38"/>
        <v>0</v>
      </c>
      <c r="CB18" s="2792">
        <f t="shared" ca="1" si="38"/>
        <v>0</v>
      </c>
      <c r="CC18" s="2792">
        <f t="shared" ca="1" si="38"/>
        <v>0</v>
      </c>
      <c r="CD18" s="2792">
        <f t="shared" ca="1" si="38"/>
        <v>0</v>
      </c>
      <c r="CE18" s="2792">
        <f t="shared" ca="1" si="38"/>
        <v>0</v>
      </c>
      <c r="CF18" s="2792">
        <f t="shared" ca="1" si="38"/>
        <v>0</v>
      </c>
      <c r="CG18" s="2792">
        <f t="shared" ca="1" si="38"/>
        <v>0</v>
      </c>
      <c r="CH18" s="2792">
        <f t="shared" ca="1" si="38"/>
        <v>0</v>
      </c>
      <c r="CI18" s="2792">
        <f t="shared" ca="1" si="39"/>
        <v>0</v>
      </c>
      <c r="CJ18" s="2792">
        <f t="shared" ca="1" si="39"/>
        <v>0</v>
      </c>
      <c r="CK18" s="2792">
        <f t="shared" ca="1" si="39"/>
        <v>0</v>
      </c>
      <c r="CL18" s="2792">
        <f t="shared" ca="1" si="39"/>
        <v>0</v>
      </c>
      <c r="CM18" s="2792">
        <f t="shared" ca="1" si="39"/>
        <v>0</v>
      </c>
      <c r="CN18" s="2792">
        <f t="shared" ca="1" si="39"/>
        <v>0</v>
      </c>
      <c r="CO18" s="2792">
        <f t="shared" ca="1" si="39"/>
        <v>0</v>
      </c>
      <c r="CP18" s="2792">
        <f t="shared" ca="1" si="39"/>
        <v>0</v>
      </c>
      <c r="CQ18" s="2792">
        <f t="shared" ca="1" si="39"/>
        <v>0</v>
      </c>
      <c r="CR18" s="2792">
        <f t="shared" ca="1" si="39"/>
        <v>0</v>
      </c>
      <c r="CS18" s="2792">
        <f t="shared" ca="1" si="40"/>
        <v>0</v>
      </c>
      <c r="CT18" s="2792">
        <f t="shared" ca="1" si="40"/>
        <v>0</v>
      </c>
      <c r="CU18" s="2792">
        <f t="shared" ca="1" si="40"/>
        <v>0</v>
      </c>
      <c r="CV18" s="2792">
        <f t="shared" ca="1" si="40"/>
        <v>0</v>
      </c>
      <c r="CW18" s="2792">
        <f t="shared" ca="1" si="40"/>
        <v>0</v>
      </c>
      <c r="CX18" s="2792">
        <f t="shared" ca="1" si="40"/>
        <v>0</v>
      </c>
      <c r="CY18" s="2792">
        <f t="shared" ca="1" si="40"/>
        <v>0</v>
      </c>
      <c r="CZ18" s="2792">
        <f t="shared" ca="1" si="40"/>
        <v>0</v>
      </c>
      <c r="DA18" s="2792">
        <f t="shared" ca="1" si="40"/>
        <v>0</v>
      </c>
      <c r="DB18" s="2792">
        <f t="shared" ca="1" si="40"/>
        <v>0</v>
      </c>
      <c r="DC18" s="2792">
        <f t="shared" ca="1" si="40"/>
        <v>0</v>
      </c>
      <c r="DD18" s="2792">
        <f t="shared" ca="1" si="40"/>
        <v>0</v>
      </c>
      <c r="DE18" s="2792">
        <f t="shared" ca="1" si="40"/>
        <v>0</v>
      </c>
      <c r="DF18" s="2792">
        <f t="shared" ca="1" si="40"/>
        <v>0</v>
      </c>
      <c r="DH18" s="596">
        <f t="shared" ca="1" si="32"/>
        <v>0.10179008250810784</v>
      </c>
    </row>
    <row r="19" spans="1:112" s="6" customFormat="1" ht="15.75">
      <c r="A19" s="4"/>
      <c r="B19" s="3"/>
      <c r="C19" s="616" t="s">
        <v>474</v>
      </c>
      <c r="D19" s="617" t="s">
        <v>83</v>
      </c>
      <c r="E19" s="206"/>
      <c r="G19" s="618">
        <f ca="1">G17+G18</f>
        <v>0</v>
      </c>
      <c r="H19" s="618">
        <f t="shared" ref="H19:P19" ca="1" si="41">H17+H18</f>
        <v>10.616416573823713</v>
      </c>
      <c r="I19" s="618">
        <f t="shared" ca="1" si="41"/>
        <v>0</v>
      </c>
      <c r="J19" s="618">
        <f t="shared" ca="1" si="41"/>
        <v>0</v>
      </c>
      <c r="K19" s="618">
        <f t="shared" ca="1" si="41"/>
        <v>0</v>
      </c>
      <c r="L19" s="618">
        <f t="shared" ca="1" si="41"/>
        <v>0</v>
      </c>
      <c r="M19" s="618">
        <f t="shared" ca="1" si="41"/>
        <v>0</v>
      </c>
      <c r="N19" s="618">
        <f ca="1">N17+N18</f>
        <v>0</v>
      </c>
      <c r="O19" s="618">
        <f ca="1">O17+O18</f>
        <v>0</v>
      </c>
      <c r="P19" s="618">
        <f t="shared" ca="1" si="41"/>
        <v>0</v>
      </c>
      <c r="Q19" s="618">
        <f ca="1">SUM(G19:P19)</f>
        <v>10.616416573823713</v>
      </c>
      <c r="S19" s="581">
        <f ca="1">S17+S18</f>
        <v>-9.6929211244541769</v>
      </c>
      <c r="T19" s="581">
        <f t="shared" ref="T19:AJ19" ca="1" si="42">T17+T18</f>
        <v>0</v>
      </c>
      <c r="U19" s="581">
        <f t="shared" ca="1" si="42"/>
        <v>0</v>
      </c>
      <c r="V19" s="581">
        <f t="shared" ca="1" si="42"/>
        <v>0</v>
      </c>
      <c r="W19" s="581">
        <f t="shared" ca="1" si="42"/>
        <v>-0.92349544936953676</v>
      </c>
      <c r="X19" s="581">
        <f ca="1">X17+X18</f>
        <v>0</v>
      </c>
      <c r="Y19" s="581">
        <f ca="1">Y17+Y18</f>
        <v>0</v>
      </c>
      <c r="Z19" s="581">
        <f ca="1">Z17+Z18</f>
        <v>0</v>
      </c>
      <c r="AA19" s="581">
        <f t="shared" ca="1" si="42"/>
        <v>0</v>
      </c>
      <c r="AB19" s="581">
        <f t="shared" ca="1" si="42"/>
        <v>0</v>
      </c>
      <c r="AC19" s="581">
        <f t="shared" ca="1" si="42"/>
        <v>0</v>
      </c>
      <c r="AD19" s="581">
        <f ca="1">AD17+AD18</f>
        <v>0</v>
      </c>
      <c r="AE19" s="581">
        <f ca="1">AE17+AE18</f>
        <v>0</v>
      </c>
      <c r="AF19" s="581">
        <f t="shared" ca="1" si="42"/>
        <v>0</v>
      </c>
      <c r="AG19" s="581">
        <f ca="1">AG17+AG18</f>
        <v>0</v>
      </c>
      <c r="AH19" s="581">
        <f ca="1">AH17+AH18</f>
        <v>0</v>
      </c>
      <c r="AI19" s="581">
        <f ca="1">AI17+AI18</f>
        <v>0</v>
      </c>
      <c r="AJ19" s="581">
        <f t="shared" ca="1" si="42"/>
        <v>0</v>
      </c>
      <c r="AK19" s="581">
        <f ca="1">SUM(S19:AJ19)</f>
        <v>-10.616416573823713</v>
      </c>
      <c r="AM19" s="582">
        <f t="shared" ref="AM19:BE19" ca="1" si="43">AM17+AM18</f>
        <v>0</v>
      </c>
      <c r="AN19" s="582">
        <f t="shared" ca="1" si="43"/>
        <v>0</v>
      </c>
      <c r="AO19" s="582">
        <f t="shared" ca="1" si="43"/>
        <v>0</v>
      </c>
      <c r="AP19" s="582">
        <f t="shared" ca="1" si="43"/>
        <v>0</v>
      </c>
      <c r="AQ19" s="582">
        <f t="shared" ca="1" si="43"/>
        <v>0</v>
      </c>
      <c r="AR19" s="582">
        <f t="shared" ca="1" si="43"/>
        <v>0</v>
      </c>
      <c r="AS19" s="582">
        <f t="shared" ca="1" si="43"/>
        <v>0</v>
      </c>
      <c r="AT19" s="582">
        <f t="shared" ca="1" si="43"/>
        <v>0</v>
      </c>
      <c r="AU19" s="582">
        <f t="shared" ca="1" si="43"/>
        <v>0</v>
      </c>
      <c r="AV19" s="582">
        <f t="shared" ca="1" si="43"/>
        <v>0</v>
      </c>
      <c r="AW19" s="582">
        <f t="shared" ca="1" si="43"/>
        <v>0</v>
      </c>
      <c r="AX19" s="582">
        <f t="shared" ca="1" si="43"/>
        <v>0</v>
      </c>
      <c r="AY19" s="582">
        <f t="shared" ca="1" si="43"/>
        <v>0</v>
      </c>
      <c r="AZ19" s="582">
        <f t="shared" ca="1" si="43"/>
        <v>0</v>
      </c>
      <c r="BA19" s="582">
        <f t="shared" ca="1" si="43"/>
        <v>0</v>
      </c>
      <c r="BB19" s="582">
        <f t="shared" ca="1" si="43"/>
        <v>0</v>
      </c>
      <c r="BC19" s="582">
        <f t="shared" ca="1" si="43"/>
        <v>0</v>
      </c>
      <c r="BD19" s="582">
        <f ca="1">BD17+BD18</f>
        <v>0</v>
      </c>
      <c r="BE19" s="582">
        <f t="shared" ca="1" si="43"/>
        <v>0</v>
      </c>
      <c r="BF19" s="582">
        <f ca="1">SUM(AM19:BE19)</f>
        <v>0</v>
      </c>
      <c r="BH19" s="3463">
        <f ca="1">BH17+BH18</f>
        <v>0</v>
      </c>
      <c r="BI19" s="3463">
        <f ca="1">BI17+BI18</f>
        <v>0</v>
      </c>
      <c r="BJ19" s="3463">
        <f ca="1">SUM(BH19:BI19)</f>
        <v>0</v>
      </c>
      <c r="BL19" s="3477">
        <f t="shared" ca="1" si="9"/>
        <v>0</v>
      </c>
      <c r="BM19" s="584"/>
      <c r="BN19" s="413"/>
      <c r="BO19" s="2790">
        <f t="shared" ref="BO19:DF19" ca="1" si="44">BO17+BO18</f>
        <v>0.18905909658947079</v>
      </c>
      <c r="BP19" s="2790">
        <f t="shared" ca="1" si="44"/>
        <v>6.9816255972336992E-5</v>
      </c>
      <c r="BQ19" s="2790">
        <f t="shared" ca="1" si="44"/>
        <v>2.9888006723395688E-3</v>
      </c>
      <c r="BR19" s="2790">
        <f t="shared" ca="1" si="44"/>
        <v>0</v>
      </c>
      <c r="BS19" s="2790">
        <f t="shared" ca="1" si="44"/>
        <v>0</v>
      </c>
      <c r="BT19" s="2790">
        <f t="shared" ca="1" si="44"/>
        <v>0</v>
      </c>
      <c r="BU19" s="2790">
        <f t="shared" ca="1" si="44"/>
        <v>0</v>
      </c>
      <c r="BV19" s="2790">
        <f t="shared" ca="1" si="44"/>
        <v>0</v>
      </c>
      <c r="BW19" s="2790">
        <f t="shared" ca="1" si="44"/>
        <v>0</v>
      </c>
      <c r="BX19" s="2790">
        <f t="shared" ca="1" si="44"/>
        <v>0</v>
      </c>
      <c r="BY19" s="2790">
        <f t="shared" ca="1" si="44"/>
        <v>0</v>
      </c>
      <c r="BZ19" s="2790">
        <f t="shared" ca="1" si="44"/>
        <v>0</v>
      </c>
      <c r="CA19" s="2790">
        <f t="shared" ca="1" si="44"/>
        <v>0</v>
      </c>
      <c r="CB19" s="2790">
        <f t="shared" ca="1" si="44"/>
        <v>0</v>
      </c>
      <c r="CC19" s="2790">
        <f t="shared" ca="1" si="44"/>
        <v>0</v>
      </c>
      <c r="CD19" s="2790">
        <f t="shared" ca="1" si="44"/>
        <v>0</v>
      </c>
      <c r="CE19" s="2790">
        <f t="shared" ca="1" si="44"/>
        <v>0</v>
      </c>
      <c r="CF19" s="2790">
        <f t="shared" ca="1" si="44"/>
        <v>0</v>
      </c>
      <c r="CG19" s="2790">
        <f t="shared" ca="1" si="44"/>
        <v>0</v>
      </c>
      <c r="CH19" s="2790">
        <f t="shared" ca="1" si="44"/>
        <v>0</v>
      </c>
      <c r="CI19" s="2790">
        <f t="shared" ca="1" si="44"/>
        <v>0</v>
      </c>
      <c r="CJ19" s="2790">
        <f t="shared" ca="1" si="44"/>
        <v>0</v>
      </c>
      <c r="CK19" s="2790">
        <f t="shared" ca="1" si="44"/>
        <v>0</v>
      </c>
      <c r="CL19" s="2790">
        <f t="shared" ca="1" si="44"/>
        <v>0</v>
      </c>
      <c r="CM19" s="2790">
        <f t="shared" ca="1" si="44"/>
        <v>0</v>
      </c>
      <c r="CN19" s="2790">
        <f t="shared" ca="1" si="44"/>
        <v>0</v>
      </c>
      <c r="CO19" s="2790">
        <f t="shared" ca="1" si="44"/>
        <v>0</v>
      </c>
      <c r="CP19" s="2790">
        <f t="shared" ca="1" si="44"/>
        <v>0</v>
      </c>
      <c r="CQ19" s="2790">
        <f t="shared" ca="1" si="44"/>
        <v>0</v>
      </c>
      <c r="CR19" s="2790">
        <f t="shared" ca="1" si="44"/>
        <v>0</v>
      </c>
      <c r="CS19" s="2790">
        <f t="shared" ca="1" si="44"/>
        <v>0</v>
      </c>
      <c r="CT19" s="2790">
        <f t="shared" ca="1" si="44"/>
        <v>0</v>
      </c>
      <c r="CU19" s="2790">
        <f t="shared" ca="1" si="44"/>
        <v>0</v>
      </c>
      <c r="CV19" s="2790">
        <f t="shared" ca="1" si="44"/>
        <v>0</v>
      </c>
      <c r="CW19" s="2790">
        <f t="shared" ca="1" si="44"/>
        <v>0</v>
      </c>
      <c r="CX19" s="2790">
        <f t="shared" ca="1" si="44"/>
        <v>0</v>
      </c>
      <c r="CY19" s="2790">
        <f t="shared" ca="1" si="44"/>
        <v>0</v>
      </c>
      <c r="CZ19" s="2790">
        <f t="shared" ca="1" si="44"/>
        <v>0</v>
      </c>
      <c r="DA19" s="2790">
        <f t="shared" ca="1" si="44"/>
        <v>0</v>
      </c>
      <c r="DB19" s="2790">
        <f t="shared" ca="1" si="44"/>
        <v>0</v>
      </c>
      <c r="DC19" s="2790">
        <f t="shared" ca="1" si="44"/>
        <v>0</v>
      </c>
      <c r="DD19" s="2790">
        <f t="shared" ca="1" si="44"/>
        <v>0</v>
      </c>
      <c r="DE19" s="2790">
        <f t="shared" ca="1" si="44"/>
        <v>0</v>
      </c>
      <c r="DF19" s="2790">
        <f t="shared" ca="1" si="44"/>
        <v>0</v>
      </c>
      <c r="DH19" s="596">
        <f t="shared" ca="1" si="32"/>
        <v>0.19211771351778267</v>
      </c>
    </row>
    <row r="20" spans="1:112" s="6" customFormat="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9"/>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2"/>
        <v>0</v>
      </c>
    </row>
    <row r="21" spans="1:112" s="6" customFormat="1">
      <c r="A21" s="607"/>
      <c r="B21" s="607"/>
      <c r="C21" s="587" t="s">
        <v>475</v>
      </c>
      <c r="D21" s="611" t="s">
        <v>476</v>
      </c>
      <c r="E21" s="611"/>
      <c r="G21" s="619">
        <f t="shared" ref="G21:P21" ca="1" si="45">IFERROR(INDEX(INDIRECT($C21&amp;".Outputs["&amp;this.Year&amp;"]"), MATCH(G$5, INDIRECT($C21&amp;".Outputs[Vector]"), 0)), 0)</f>
        <v>0</v>
      </c>
      <c r="H21" s="619">
        <f t="shared" ca="1" si="45"/>
        <v>0</v>
      </c>
      <c r="I21" s="619">
        <f t="shared" ca="1" si="45"/>
        <v>27.570366994096929</v>
      </c>
      <c r="J21" s="619">
        <f t="shared" ca="1" si="45"/>
        <v>0</v>
      </c>
      <c r="K21" s="619">
        <f t="shared" ca="1" si="45"/>
        <v>0</v>
      </c>
      <c r="L21" s="619">
        <f t="shared" ca="1" si="45"/>
        <v>0</v>
      </c>
      <c r="M21" s="619">
        <f t="shared" ca="1" si="45"/>
        <v>0</v>
      </c>
      <c r="N21" s="619">
        <f t="shared" ca="1" si="45"/>
        <v>0</v>
      </c>
      <c r="O21" s="619">
        <f t="shared" ca="1" si="45"/>
        <v>0</v>
      </c>
      <c r="P21" s="619">
        <f t="shared" ca="1" si="45"/>
        <v>0</v>
      </c>
      <c r="Q21" s="612">
        <f ca="1">SUM(G21:P21)</f>
        <v>27.570366994096929</v>
      </c>
      <c r="S21" s="620">
        <f t="shared" ref="S21:AJ21" ca="1" si="46">IFERROR(INDEX(INDIRECT($C21&amp;".Outputs["&amp;this.Year&amp;"]"), MATCH(S$5, INDIRECT($C21&amp;".Outputs[Vector]"), 0)), 0)</f>
        <v>-9.8548945507949384</v>
      </c>
      <c r="T21" s="620">
        <f t="shared" ca="1" si="46"/>
        <v>0</v>
      </c>
      <c r="U21" s="620">
        <f t="shared" ca="1" si="46"/>
        <v>-3.299108940040071</v>
      </c>
      <c r="V21" s="620">
        <f t="shared" ca="1" si="46"/>
        <v>-6.7361227553872833</v>
      </c>
      <c r="W21" s="620">
        <f t="shared" ca="1" si="46"/>
        <v>-7.6802407478746355</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6"/>
        <v>0</v>
      </c>
      <c r="AB21" s="620">
        <f t="shared" ca="1" si="46"/>
        <v>0</v>
      </c>
      <c r="AC21" s="620">
        <f t="shared" ca="1" si="46"/>
        <v>0</v>
      </c>
      <c r="AD21" s="620">
        <f t="shared" ca="1" si="46"/>
        <v>0</v>
      </c>
      <c r="AE21" s="620">
        <f t="shared" ca="1" si="46"/>
        <v>0</v>
      </c>
      <c r="AF21" s="620">
        <f t="shared" ca="1" si="46"/>
        <v>0</v>
      </c>
      <c r="AG21" s="620">
        <f t="shared" ca="1" si="46"/>
        <v>0</v>
      </c>
      <c r="AH21" s="620">
        <f t="shared" ca="1" si="46"/>
        <v>0</v>
      </c>
      <c r="AI21" s="620">
        <f t="shared" ca="1" si="46"/>
        <v>0</v>
      </c>
      <c r="AJ21" s="620">
        <f t="shared" ca="1" si="46"/>
        <v>0</v>
      </c>
      <c r="AK21" s="613">
        <f ca="1">SUM(S21:AJ21)</f>
        <v>-27.570366994096929</v>
      </c>
      <c r="AM21" s="621">
        <f t="shared" ref="AM21:BE21" ca="1" si="47">IFERROR(INDEX(INDIRECT($C21&amp;".Outputs["&amp;this.Year&amp;"]"), MATCH(AM$5, INDIRECT($C21&amp;".Outputs[Vector]"), 0)), 0)</f>
        <v>0</v>
      </c>
      <c r="AN21" s="621">
        <f t="shared" ca="1" si="47"/>
        <v>0</v>
      </c>
      <c r="AO21" s="621">
        <f t="shared" ca="1" si="47"/>
        <v>0</v>
      </c>
      <c r="AP21" s="621">
        <f t="shared" ca="1" si="47"/>
        <v>0</v>
      </c>
      <c r="AQ21" s="621">
        <f t="shared" ca="1" si="47"/>
        <v>0</v>
      </c>
      <c r="AR21" s="621">
        <f t="shared" ca="1" si="47"/>
        <v>0</v>
      </c>
      <c r="AS21" s="621">
        <f t="shared" ca="1" si="47"/>
        <v>0</v>
      </c>
      <c r="AT21" s="621">
        <f t="shared" ca="1" si="47"/>
        <v>0</v>
      </c>
      <c r="AU21" s="621">
        <f t="shared" ca="1" si="47"/>
        <v>0</v>
      </c>
      <c r="AV21" s="621">
        <f t="shared" ca="1" si="47"/>
        <v>0</v>
      </c>
      <c r="AW21" s="621">
        <f t="shared" ca="1" si="47"/>
        <v>0</v>
      </c>
      <c r="AX21" s="621">
        <f t="shared" ca="1" si="47"/>
        <v>0</v>
      </c>
      <c r="AY21" s="621">
        <f t="shared" ca="1" si="47"/>
        <v>0</v>
      </c>
      <c r="AZ21" s="621">
        <f t="shared" ca="1" si="47"/>
        <v>0</v>
      </c>
      <c r="BA21" s="621">
        <f t="shared" ca="1" si="47"/>
        <v>0</v>
      </c>
      <c r="BB21" s="621">
        <f t="shared" ca="1" si="47"/>
        <v>0</v>
      </c>
      <c r="BC21" s="621">
        <f t="shared" ca="1" si="47"/>
        <v>0</v>
      </c>
      <c r="BD21" s="621">
        <f t="shared" ca="1" si="47"/>
        <v>0</v>
      </c>
      <c r="BE21" s="621">
        <f t="shared" ca="1" si="47"/>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9"/>
        <v>0</v>
      </c>
      <c r="BM21" s="610"/>
      <c r="BN21" s="413"/>
      <c r="BO21" s="2791">
        <f t="shared" ref="BO21:DF21" ca="1" si="48">IFERROR(SUMIFS(INDIRECT($C21&amp;".Emissions["&amp;this.Year&amp;"]"), INDIRECT($C21&amp;".Emissions[GHG]"), BO$6, INDIRECT($C21&amp;".Emissions[IPCC Sector]"), BO$5),0)</f>
        <v>4.4636892530831735</v>
      </c>
      <c r="BP21" s="2792">
        <f t="shared" ca="1" si="48"/>
        <v>2.2829676865680788E-3</v>
      </c>
      <c r="BQ21" s="2792">
        <f t="shared" ca="1" si="48"/>
        <v>3.1207741741971155E-2</v>
      </c>
      <c r="BR21" s="2792">
        <f t="shared" ca="1" si="48"/>
        <v>0</v>
      </c>
      <c r="BS21" s="2792">
        <f t="shared" ca="1" si="48"/>
        <v>0</v>
      </c>
      <c r="BT21" s="2792">
        <f t="shared" ca="1" si="48"/>
        <v>0</v>
      </c>
      <c r="BU21" s="2792">
        <f t="shared" ca="1" si="48"/>
        <v>0</v>
      </c>
      <c r="BV21" s="2792">
        <f t="shared" ca="1" si="48"/>
        <v>0</v>
      </c>
      <c r="BW21" s="2792">
        <f t="shared" ca="1" si="48"/>
        <v>1.0258177006990448</v>
      </c>
      <c r="BX21" s="2792">
        <f t="shared" ca="1" si="48"/>
        <v>0</v>
      </c>
      <c r="BY21" s="2792">
        <f t="shared" ca="1" si="48"/>
        <v>0</v>
      </c>
      <c r="BZ21" s="2792">
        <f t="shared" ca="1" si="48"/>
        <v>0.84250368324178171</v>
      </c>
      <c r="CA21" s="2792">
        <f t="shared" ca="1" si="48"/>
        <v>0</v>
      </c>
      <c r="CB21" s="2792">
        <f t="shared" ca="1" si="48"/>
        <v>0</v>
      </c>
      <c r="CC21" s="2792">
        <f t="shared" ca="1" si="48"/>
        <v>0</v>
      </c>
      <c r="CD21" s="2792">
        <f t="shared" ca="1" si="48"/>
        <v>0</v>
      </c>
      <c r="CE21" s="2792">
        <f t="shared" ca="1" si="48"/>
        <v>0</v>
      </c>
      <c r="CF21" s="2792">
        <f t="shared" ca="1" si="48"/>
        <v>0</v>
      </c>
      <c r="CG21" s="2792">
        <f t="shared" ca="1" si="48"/>
        <v>0</v>
      </c>
      <c r="CH21" s="2792">
        <f t="shared" ca="1" si="48"/>
        <v>0</v>
      </c>
      <c r="CI21" s="2792">
        <f t="shared" ca="1" si="48"/>
        <v>0</v>
      </c>
      <c r="CJ21" s="2792">
        <f t="shared" ca="1" si="48"/>
        <v>0</v>
      </c>
      <c r="CK21" s="2792">
        <f t="shared" ca="1" si="48"/>
        <v>0</v>
      </c>
      <c r="CL21" s="2792">
        <f t="shared" ca="1" si="48"/>
        <v>0</v>
      </c>
      <c r="CM21" s="2792">
        <f t="shared" ca="1" si="48"/>
        <v>0</v>
      </c>
      <c r="CN21" s="2792">
        <f t="shared" ca="1" si="48"/>
        <v>0</v>
      </c>
      <c r="CO21" s="2792">
        <f t="shared" ca="1" si="48"/>
        <v>0</v>
      </c>
      <c r="CP21" s="2792">
        <f t="shared" ca="1" si="48"/>
        <v>0</v>
      </c>
      <c r="CQ21" s="2792">
        <f t="shared" ca="1" si="48"/>
        <v>0</v>
      </c>
      <c r="CR21" s="2792">
        <f t="shared" ca="1" si="48"/>
        <v>0</v>
      </c>
      <c r="CS21" s="2792">
        <f t="shared" ca="1" si="48"/>
        <v>0</v>
      </c>
      <c r="CT21" s="2792">
        <f t="shared" ca="1" si="48"/>
        <v>0</v>
      </c>
      <c r="CU21" s="2792">
        <f t="shared" ca="1" si="48"/>
        <v>0</v>
      </c>
      <c r="CV21" s="2792">
        <f t="shared" ca="1" si="48"/>
        <v>0</v>
      </c>
      <c r="CW21" s="2792">
        <f t="shared" ca="1" si="48"/>
        <v>0</v>
      </c>
      <c r="CX21" s="2792">
        <f t="shared" ca="1" si="48"/>
        <v>0</v>
      </c>
      <c r="CY21" s="2792">
        <f t="shared" ca="1" si="48"/>
        <v>0</v>
      </c>
      <c r="CZ21" s="2792">
        <f t="shared" ca="1" si="48"/>
        <v>0</v>
      </c>
      <c r="DA21" s="2792">
        <f t="shared" ca="1" si="48"/>
        <v>0</v>
      </c>
      <c r="DB21" s="2792">
        <f t="shared" ca="1" si="48"/>
        <v>0</v>
      </c>
      <c r="DC21" s="2792">
        <f t="shared" ca="1" si="48"/>
        <v>0</v>
      </c>
      <c r="DD21" s="2792">
        <f t="shared" ca="1" si="48"/>
        <v>0</v>
      </c>
      <c r="DE21" s="2792">
        <f t="shared" ca="1" si="48"/>
        <v>0</v>
      </c>
      <c r="DF21" s="2792">
        <f t="shared" ca="1" si="48"/>
        <v>0</v>
      </c>
      <c r="DH21" s="596">
        <f t="shared" ca="1" si="32"/>
        <v>6.3655013464525396</v>
      </c>
    </row>
    <row r="22" spans="1:112" s="6" customFormat="1" ht="15.75">
      <c r="A22" s="4"/>
      <c r="B22" s="3"/>
      <c r="C22" s="616" t="s">
        <v>477</v>
      </c>
      <c r="D22" s="617" t="s">
        <v>368</v>
      </c>
      <c r="E22" s="206"/>
      <c r="G22" s="618">
        <f ca="1">G21</f>
        <v>0</v>
      </c>
      <c r="H22" s="618">
        <f t="shared" ref="H22:P22" ca="1" si="49">H21</f>
        <v>0</v>
      </c>
      <c r="I22" s="618">
        <f t="shared" ca="1" si="49"/>
        <v>27.570366994096929</v>
      </c>
      <c r="J22" s="618">
        <f t="shared" ca="1" si="49"/>
        <v>0</v>
      </c>
      <c r="K22" s="618">
        <f t="shared" ca="1" si="49"/>
        <v>0</v>
      </c>
      <c r="L22" s="618">
        <f t="shared" ca="1" si="49"/>
        <v>0</v>
      </c>
      <c r="M22" s="618">
        <f t="shared" ca="1" si="49"/>
        <v>0</v>
      </c>
      <c r="N22" s="618">
        <f t="shared" ca="1" si="49"/>
        <v>0</v>
      </c>
      <c r="O22" s="618">
        <f t="shared" ca="1" si="49"/>
        <v>0</v>
      </c>
      <c r="P22" s="618">
        <f t="shared" ca="1" si="49"/>
        <v>0</v>
      </c>
      <c r="Q22" s="618">
        <f ca="1">SUM(G22:P22)</f>
        <v>27.570366994096929</v>
      </c>
      <c r="S22" s="581">
        <f t="shared" ref="S22:AJ22" ca="1" si="50">S21</f>
        <v>-9.8548945507949384</v>
      </c>
      <c r="T22" s="581">
        <f t="shared" ca="1" si="50"/>
        <v>0</v>
      </c>
      <c r="U22" s="581">
        <f t="shared" ca="1" si="50"/>
        <v>-3.299108940040071</v>
      </c>
      <c r="V22" s="581">
        <f t="shared" ca="1" si="50"/>
        <v>-6.7361227553872833</v>
      </c>
      <c r="W22" s="581">
        <f t="shared" ca="1" si="50"/>
        <v>-7.6802407478746355</v>
      </c>
      <c r="X22" s="581">
        <f t="shared" ca="1" si="50"/>
        <v>0</v>
      </c>
      <c r="Y22" s="581">
        <f t="shared" ca="1" si="50"/>
        <v>0</v>
      </c>
      <c r="Z22" s="581">
        <f t="shared" ca="1" si="50"/>
        <v>0</v>
      </c>
      <c r="AA22" s="581">
        <f t="shared" ca="1" si="50"/>
        <v>0</v>
      </c>
      <c r="AB22" s="581">
        <f t="shared" ca="1" si="50"/>
        <v>0</v>
      </c>
      <c r="AC22" s="581">
        <f t="shared" ca="1" si="50"/>
        <v>0</v>
      </c>
      <c r="AD22" s="581">
        <f t="shared" ca="1" si="50"/>
        <v>0</v>
      </c>
      <c r="AE22" s="581">
        <f ca="1">AE21</f>
        <v>0</v>
      </c>
      <c r="AF22" s="581">
        <f t="shared" ca="1" si="50"/>
        <v>0</v>
      </c>
      <c r="AG22" s="581">
        <f t="shared" ca="1" si="50"/>
        <v>0</v>
      </c>
      <c r="AH22" s="581">
        <f ca="1">AH21</f>
        <v>0</v>
      </c>
      <c r="AI22" s="581">
        <f t="shared" ca="1" si="50"/>
        <v>0</v>
      </c>
      <c r="AJ22" s="581">
        <f t="shared" ca="1" si="50"/>
        <v>0</v>
      </c>
      <c r="AK22" s="581">
        <f ca="1">SUM(S22:AJ22)</f>
        <v>-27.570366994096929</v>
      </c>
      <c r="AM22" s="582">
        <f t="shared" ref="AM22:BE22" ca="1" si="51">AM21</f>
        <v>0</v>
      </c>
      <c r="AN22" s="582">
        <f t="shared" ca="1" si="51"/>
        <v>0</v>
      </c>
      <c r="AO22" s="582">
        <f t="shared" ca="1" si="51"/>
        <v>0</v>
      </c>
      <c r="AP22" s="582">
        <f t="shared" ca="1" si="51"/>
        <v>0</v>
      </c>
      <c r="AQ22" s="582">
        <f t="shared" ca="1" si="51"/>
        <v>0</v>
      </c>
      <c r="AR22" s="582">
        <f t="shared" ca="1" si="51"/>
        <v>0</v>
      </c>
      <c r="AS22" s="582">
        <f t="shared" ca="1" si="51"/>
        <v>0</v>
      </c>
      <c r="AT22" s="582">
        <f t="shared" ca="1" si="51"/>
        <v>0</v>
      </c>
      <c r="AU22" s="582">
        <f t="shared" ca="1" si="51"/>
        <v>0</v>
      </c>
      <c r="AV22" s="582">
        <f t="shared" ca="1" si="51"/>
        <v>0</v>
      </c>
      <c r="AW22" s="582">
        <f t="shared" ca="1" si="51"/>
        <v>0</v>
      </c>
      <c r="AX22" s="582">
        <f t="shared" ca="1" si="51"/>
        <v>0</v>
      </c>
      <c r="AY22" s="582">
        <f t="shared" ca="1" si="51"/>
        <v>0</v>
      </c>
      <c r="AZ22" s="582">
        <f t="shared" ca="1" si="51"/>
        <v>0</v>
      </c>
      <c r="BA22" s="582">
        <f t="shared" ca="1" si="51"/>
        <v>0</v>
      </c>
      <c r="BB22" s="582">
        <f t="shared" ca="1" si="51"/>
        <v>0</v>
      </c>
      <c r="BC22" s="582">
        <f t="shared" ca="1" si="51"/>
        <v>0</v>
      </c>
      <c r="BD22" s="582">
        <f ca="1">BD21</f>
        <v>0</v>
      </c>
      <c r="BE22" s="582">
        <f t="shared" ca="1" si="51"/>
        <v>0</v>
      </c>
      <c r="BF22" s="582">
        <f ca="1">SUM(AM22:BE22)</f>
        <v>0</v>
      </c>
      <c r="BH22" s="3463">
        <f ca="1">BH21</f>
        <v>0</v>
      </c>
      <c r="BI22" s="3463">
        <f ca="1">BI21</f>
        <v>0</v>
      </c>
      <c r="BJ22" s="3463">
        <f ca="1">SUM(BH22:BI22)</f>
        <v>0</v>
      </c>
      <c r="BL22" s="3477">
        <f t="shared" ca="1" si="9"/>
        <v>0</v>
      </c>
      <c r="BM22" s="584"/>
      <c r="BN22" s="413"/>
      <c r="BO22" s="2790">
        <f t="shared" ref="BO22:DF22" ca="1" si="52">BO21</f>
        <v>4.4636892530831735</v>
      </c>
      <c r="BP22" s="2790">
        <f t="shared" ca="1" si="52"/>
        <v>2.2829676865680788E-3</v>
      </c>
      <c r="BQ22" s="2790">
        <f t="shared" ca="1" si="52"/>
        <v>3.1207741741971155E-2</v>
      </c>
      <c r="BR22" s="2790">
        <f t="shared" ca="1" si="52"/>
        <v>0</v>
      </c>
      <c r="BS22" s="2790">
        <f t="shared" ca="1" si="52"/>
        <v>0</v>
      </c>
      <c r="BT22" s="2790">
        <f t="shared" ca="1" si="52"/>
        <v>0</v>
      </c>
      <c r="BU22" s="2790">
        <f t="shared" ca="1" si="52"/>
        <v>0</v>
      </c>
      <c r="BV22" s="2790">
        <f t="shared" ca="1" si="52"/>
        <v>0</v>
      </c>
      <c r="BW22" s="2790">
        <f t="shared" ca="1" si="52"/>
        <v>1.0258177006990448</v>
      </c>
      <c r="BX22" s="2790">
        <f t="shared" ca="1" si="52"/>
        <v>0</v>
      </c>
      <c r="BY22" s="2790">
        <f t="shared" ca="1" si="52"/>
        <v>0</v>
      </c>
      <c r="BZ22" s="2790">
        <f t="shared" ca="1" si="52"/>
        <v>0.84250368324178171</v>
      </c>
      <c r="CA22" s="2790">
        <f t="shared" ca="1" si="52"/>
        <v>0</v>
      </c>
      <c r="CB22" s="2790">
        <f t="shared" ca="1" si="52"/>
        <v>0</v>
      </c>
      <c r="CC22" s="2790">
        <f t="shared" ca="1" si="52"/>
        <v>0</v>
      </c>
      <c r="CD22" s="2790">
        <f t="shared" ca="1" si="52"/>
        <v>0</v>
      </c>
      <c r="CE22" s="2790">
        <f t="shared" ca="1" si="52"/>
        <v>0</v>
      </c>
      <c r="CF22" s="2790">
        <f t="shared" ca="1" si="52"/>
        <v>0</v>
      </c>
      <c r="CG22" s="2790">
        <f t="shared" ca="1" si="52"/>
        <v>0</v>
      </c>
      <c r="CH22" s="2790">
        <f t="shared" ca="1" si="52"/>
        <v>0</v>
      </c>
      <c r="CI22" s="2790">
        <f t="shared" ca="1" si="52"/>
        <v>0</v>
      </c>
      <c r="CJ22" s="2790">
        <f t="shared" ca="1" si="52"/>
        <v>0</v>
      </c>
      <c r="CK22" s="2790">
        <f t="shared" ca="1" si="52"/>
        <v>0</v>
      </c>
      <c r="CL22" s="2790">
        <f t="shared" ca="1" si="52"/>
        <v>0</v>
      </c>
      <c r="CM22" s="2790">
        <f t="shared" ca="1" si="52"/>
        <v>0</v>
      </c>
      <c r="CN22" s="2790">
        <f t="shared" ca="1" si="52"/>
        <v>0</v>
      </c>
      <c r="CO22" s="2790">
        <f t="shared" ca="1" si="52"/>
        <v>0</v>
      </c>
      <c r="CP22" s="2790">
        <f t="shared" ca="1" si="52"/>
        <v>0</v>
      </c>
      <c r="CQ22" s="2790">
        <f t="shared" ca="1" si="52"/>
        <v>0</v>
      </c>
      <c r="CR22" s="2790">
        <f t="shared" ca="1" si="52"/>
        <v>0</v>
      </c>
      <c r="CS22" s="2790">
        <f t="shared" ca="1" si="52"/>
        <v>0</v>
      </c>
      <c r="CT22" s="2790">
        <f t="shared" ca="1" si="52"/>
        <v>0</v>
      </c>
      <c r="CU22" s="2790">
        <f t="shared" ca="1" si="52"/>
        <v>0</v>
      </c>
      <c r="CV22" s="2790">
        <f t="shared" ca="1" si="52"/>
        <v>0</v>
      </c>
      <c r="CW22" s="2790">
        <f t="shared" ca="1" si="52"/>
        <v>0</v>
      </c>
      <c r="CX22" s="2790">
        <f t="shared" ca="1" si="52"/>
        <v>0</v>
      </c>
      <c r="CY22" s="2790">
        <f t="shared" ca="1" si="52"/>
        <v>0</v>
      </c>
      <c r="CZ22" s="2790">
        <f t="shared" ca="1" si="52"/>
        <v>0</v>
      </c>
      <c r="DA22" s="2790">
        <f t="shared" ca="1" si="52"/>
        <v>0</v>
      </c>
      <c r="DB22" s="2790">
        <f t="shared" ca="1" si="52"/>
        <v>0</v>
      </c>
      <c r="DC22" s="2790">
        <f t="shared" ca="1" si="52"/>
        <v>0</v>
      </c>
      <c r="DD22" s="2790">
        <f t="shared" ca="1" si="52"/>
        <v>0</v>
      </c>
      <c r="DE22" s="2790">
        <f t="shared" ca="1" si="52"/>
        <v>0</v>
      </c>
      <c r="DF22" s="2790">
        <f t="shared" ca="1" si="52"/>
        <v>0</v>
      </c>
      <c r="DH22" s="596">
        <f t="shared" ca="1" si="32"/>
        <v>6.3655013464525396</v>
      </c>
    </row>
    <row r="23" spans="1:112" s="6" customFormat="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9"/>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2"/>
        <v>0</v>
      </c>
    </row>
    <row r="24" spans="1:112" s="6" customFormat="1">
      <c r="A24" s="607"/>
      <c r="B24" s="607"/>
      <c r="C24" s="587" t="s">
        <v>478</v>
      </c>
      <c r="D24" s="623" t="s">
        <v>479</v>
      </c>
      <c r="E24" s="599"/>
      <c r="G24" s="589">
        <f t="shared" ref="G24:P27" ca="1" si="53">IFERROR(INDEX(INDIRECT($C24&amp;".Outputs["&amp;this.Year&amp;"]"), MATCH(G$5, INDIRECT($C24&amp;".Outputs[Vector]"), 0)), 0)</f>
        <v>0</v>
      </c>
      <c r="H24" s="589">
        <f t="shared" ca="1" si="53"/>
        <v>0</v>
      </c>
      <c r="I24" s="589">
        <f t="shared" ca="1" si="53"/>
        <v>0</v>
      </c>
      <c r="J24" s="589">
        <f t="shared" ca="1" si="53"/>
        <v>17.642063414511885</v>
      </c>
      <c r="K24" s="589">
        <f t="shared" ca="1" si="53"/>
        <v>0.41710076461262624</v>
      </c>
      <c r="L24" s="589">
        <f t="shared" ca="1" si="53"/>
        <v>2.6377315657889075E-2</v>
      </c>
      <c r="M24" s="589">
        <f t="shared" ca="1" si="53"/>
        <v>0</v>
      </c>
      <c r="N24" s="589">
        <f t="shared" ca="1" si="53"/>
        <v>0</v>
      </c>
      <c r="O24" s="589">
        <f t="shared" ca="1" si="53"/>
        <v>0</v>
      </c>
      <c r="P24" s="589">
        <f t="shared" ca="1" si="53"/>
        <v>0</v>
      </c>
      <c r="Q24" s="590">
        <f t="shared" ref="Q24:Q32" ca="1" si="54">SUM(G24:P24)</f>
        <v>18.085541494782401</v>
      </c>
      <c r="S24" s="591">
        <f t="shared" ref="S24:AJ30" ca="1" si="55">IFERROR(INDEX(INDIRECT($C24&amp;".Outputs["&amp;this.Year&amp;"]"), MATCH(S$5, INDIRECT($C24&amp;".Outputs[Vector]"), 0)), 0)</f>
        <v>-8.9494609635553585E-2</v>
      </c>
      <c r="T24" s="591">
        <f t="shared" ca="1" si="55"/>
        <v>0</v>
      </c>
      <c r="U24" s="591">
        <f t="shared" ca="1" si="55"/>
        <v>0</v>
      </c>
      <c r="V24" s="591">
        <f t="shared" ca="1" si="55"/>
        <v>-17.992939124444657</v>
      </c>
      <c r="W24" s="591">
        <f t="shared" ca="1" si="55"/>
        <v>0</v>
      </c>
      <c r="X24" s="591">
        <f t="shared" ca="1" si="55"/>
        <v>0</v>
      </c>
      <c r="Y24" s="591">
        <f t="shared" ca="1" si="55"/>
        <v>0</v>
      </c>
      <c r="Z24" s="591">
        <f t="shared" ca="1" si="55"/>
        <v>0</v>
      </c>
      <c r="AA24" s="591">
        <f t="shared" ca="1" si="55"/>
        <v>0</v>
      </c>
      <c r="AB24" s="591">
        <f t="shared" ca="1" si="55"/>
        <v>0</v>
      </c>
      <c r="AC24" s="591">
        <f t="shared" ca="1" si="55"/>
        <v>0</v>
      </c>
      <c r="AD24" s="591">
        <f t="shared" ca="1" si="55"/>
        <v>0</v>
      </c>
      <c r="AE24" s="591">
        <f t="shared" ca="1" si="55"/>
        <v>0</v>
      </c>
      <c r="AF24" s="591">
        <f t="shared" ca="1" si="55"/>
        <v>0</v>
      </c>
      <c r="AG24" s="591">
        <f t="shared" ca="1" si="55"/>
        <v>0</v>
      </c>
      <c r="AH24" s="591">
        <f t="shared" ca="1" si="55"/>
        <v>0</v>
      </c>
      <c r="AI24" s="591">
        <f t="shared" ca="1" si="55"/>
        <v>0</v>
      </c>
      <c r="AJ24" s="591">
        <f t="shared" ca="1" si="55"/>
        <v>-3.1077607021923297E-3</v>
      </c>
      <c r="AK24" s="592">
        <f t="shared" ref="AK24:AK32" ca="1" si="56">SUM(S24:AJ24)</f>
        <v>-18.085541494782404</v>
      </c>
      <c r="AM24" s="593">
        <f t="shared" ref="AM24:BB27" ca="1" si="57">IFERROR(INDEX(INDIRECT($C24&amp;".Outputs["&amp;this.Year&amp;"]"), MATCH(AM$5, INDIRECT($C24&amp;".Outputs[Vector]"), 0)), 0)</f>
        <v>0</v>
      </c>
      <c r="AN24" s="593">
        <f t="shared" ca="1" si="57"/>
        <v>0</v>
      </c>
      <c r="AO24" s="593">
        <f t="shared" ca="1" si="57"/>
        <v>0</v>
      </c>
      <c r="AP24" s="593">
        <f t="shared" ca="1" si="57"/>
        <v>0</v>
      </c>
      <c r="AQ24" s="593">
        <f t="shared" ca="1" si="57"/>
        <v>0</v>
      </c>
      <c r="AR24" s="593">
        <f t="shared" ca="1" si="57"/>
        <v>0</v>
      </c>
      <c r="AS24" s="593">
        <f t="shared" ca="1" si="57"/>
        <v>0</v>
      </c>
      <c r="AT24" s="593">
        <f t="shared" ca="1" si="57"/>
        <v>0</v>
      </c>
      <c r="AU24" s="593">
        <f t="shared" ca="1" si="57"/>
        <v>0</v>
      </c>
      <c r="AV24" s="593">
        <f t="shared" ca="1" si="57"/>
        <v>0</v>
      </c>
      <c r="AW24" s="593">
        <f t="shared" ca="1" si="57"/>
        <v>0</v>
      </c>
      <c r="AX24" s="593">
        <f t="shared" ca="1" si="57"/>
        <v>0</v>
      </c>
      <c r="AY24" s="593">
        <f t="shared" ca="1" si="57"/>
        <v>0</v>
      </c>
      <c r="AZ24" s="593">
        <f t="shared" ca="1" si="57"/>
        <v>0</v>
      </c>
      <c r="BA24" s="593">
        <f t="shared" ca="1" si="57"/>
        <v>0</v>
      </c>
      <c r="BB24" s="593">
        <f t="shared" ca="1" si="57"/>
        <v>0</v>
      </c>
      <c r="BC24" s="593">
        <f t="shared" ref="BC24:BE27" ca="1" si="58">IFERROR(INDEX(INDIRECT($C24&amp;".Outputs["&amp;this.Year&amp;"]"), MATCH(BC$5, INDIRECT($C24&amp;".Outputs[Vector]"), 0)), 0)</f>
        <v>0</v>
      </c>
      <c r="BD24" s="593">
        <f t="shared" ca="1" si="58"/>
        <v>0</v>
      </c>
      <c r="BE24" s="593">
        <f t="shared" ca="1" si="58"/>
        <v>0</v>
      </c>
      <c r="BF24" s="609">
        <f t="shared" ref="BF24:BF32" ca="1" si="59">SUM(AM24:BE24)</f>
        <v>0</v>
      </c>
      <c r="BH24" s="3471">
        <f t="shared" ref="BH24:BI30" ca="1" si="60">IFERROR(INDEX(INDIRECT($C24&amp;".Outputs["&amp;this.Year&amp;"]"), MATCH(BH$5, INDIRECT($C24&amp;".Outputs[Vector]"), 0)), 0)</f>
        <v>0</v>
      </c>
      <c r="BI24" s="3471">
        <f t="shared" ca="1" si="60"/>
        <v>0</v>
      </c>
      <c r="BJ24" s="3460">
        <f t="shared" ref="BJ24:BJ32" ca="1" si="61">SUM(BH24:BI24)</f>
        <v>0</v>
      </c>
      <c r="BL24" s="610">
        <f t="shared" ca="1" si="9"/>
        <v>-3.5527136788005009E-15</v>
      </c>
      <c r="BM24" s="610"/>
      <c r="BN24" s="413"/>
      <c r="BO24" s="2789">
        <f t="shared" ref="BO24:BX27" ca="1" si="62">IFERROR(SUMIFS(INDIRECT($C24&amp;".Emissions["&amp;this.Year&amp;"]"), INDIRECT($C24&amp;".Emissions[GHG]"), BO$6, INDIRECT($C24&amp;".Emissions[IPCC Sector]"), BO$5),0)</f>
        <v>4.7479767761584553</v>
      </c>
      <c r="BP24" s="2790">
        <f t="shared" ca="1" si="62"/>
        <v>4.0807985934240487E-3</v>
      </c>
      <c r="BQ24" s="2790">
        <f t="shared" ca="1" si="62"/>
        <v>1.2048072037728142E-2</v>
      </c>
      <c r="BR24" s="2790">
        <f t="shared" ca="1" si="62"/>
        <v>0</v>
      </c>
      <c r="BS24" s="2790">
        <f t="shared" ca="1" si="62"/>
        <v>0</v>
      </c>
      <c r="BT24" s="2790">
        <f t="shared" ca="1" si="62"/>
        <v>0</v>
      </c>
      <c r="BU24" s="2790">
        <f t="shared" ca="1" si="62"/>
        <v>0</v>
      </c>
      <c r="BV24" s="2790">
        <f t="shared" ca="1" si="62"/>
        <v>0</v>
      </c>
      <c r="BW24" s="2790">
        <f t="shared" ca="1" si="62"/>
        <v>0</v>
      </c>
      <c r="BX24" s="2790">
        <f t="shared" ca="1" si="62"/>
        <v>0</v>
      </c>
      <c r="BY24" s="2790">
        <f t="shared" ref="BY24:CH27" ca="1" si="63">IFERROR(SUMIFS(INDIRECT($C24&amp;".Emissions["&amp;this.Year&amp;"]"), INDIRECT($C24&amp;".Emissions[GHG]"), BY$6, INDIRECT($C24&amp;".Emissions[IPCC Sector]"), BY$5),0)</f>
        <v>0</v>
      </c>
      <c r="BZ24" s="2790">
        <f t="shared" ca="1" si="63"/>
        <v>0</v>
      </c>
      <c r="CA24" s="2790">
        <f t="shared" ca="1" si="63"/>
        <v>0</v>
      </c>
      <c r="CB24" s="2790">
        <f t="shared" ca="1" si="63"/>
        <v>0</v>
      </c>
      <c r="CC24" s="2790">
        <f t="shared" ca="1" si="63"/>
        <v>0</v>
      </c>
      <c r="CD24" s="2790">
        <f t="shared" ca="1" si="63"/>
        <v>0</v>
      </c>
      <c r="CE24" s="2790">
        <f t="shared" ca="1" si="63"/>
        <v>0</v>
      </c>
      <c r="CF24" s="2790">
        <f t="shared" ca="1" si="63"/>
        <v>0</v>
      </c>
      <c r="CG24" s="2790">
        <f t="shared" ca="1" si="63"/>
        <v>0</v>
      </c>
      <c r="CH24" s="2790">
        <f t="shared" ca="1" si="63"/>
        <v>0</v>
      </c>
      <c r="CI24" s="2790">
        <f t="shared" ref="CI24:CR27" ca="1" si="64">IFERROR(SUMIFS(INDIRECT($C24&amp;".Emissions["&amp;this.Year&amp;"]"), INDIRECT($C24&amp;".Emissions[GHG]"), CI$6, INDIRECT($C24&amp;".Emissions[IPCC Sector]"), CI$5),0)</f>
        <v>0</v>
      </c>
      <c r="CJ24" s="2790">
        <f t="shared" ca="1" si="64"/>
        <v>0</v>
      </c>
      <c r="CK24" s="2790">
        <f t="shared" ca="1" si="64"/>
        <v>0</v>
      </c>
      <c r="CL24" s="2790">
        <f t="shared" ca="1" si="64"/>
        <v>0</v>
      </c>
      <c r="CM24" s="2790">
        <f t="shared" ca="1" si="64"/>
        <v>0</v>
      </c>
      <c r="CN24" s="2790">
        <f t="shared" ca="1" si="64"/>
        <v>0</v>
      </c>
      <c r="CO24" s="2790">
        <f t="shared" ca="1" si="64"/>
        <v>0</v>
      </c>
      <c r="CP24" s="2790">
        <f t="shared" ca="1" si="64"/>
        <v>0</v>
      </c>
      <c r="CQ24" s="2790">
        <f t="shared" ca="1" si="64"/>
        <v>0</v>
      </c>
      <c r="CR24" s="2790">
        <f t="shared" ca="1" si="64"/>
        <v>0</v>
      </c>
      <c r="CS24" s="2790">
        <f t="shared" ref="CS24:DF27" ca="1" si="65">IFERROR(SUMIFS(INDIRECT($C24&amp;".Emissions["&amp;this.Year&amp;"]"), INDIRECT($C24&amp;".Emissions[GHG]"), CS$6, INDIRECT($C24&amp;".Emissions[IPCC Sector]"), CS$5),0)</f>
        <v>0</v>
      </c>
      <c r="CT24" s="2790">
        <f t="shared" ca="1" si="65"/>
        <v>0</v>
      </c>
      <c r="CU24" s="2790">
        <f t="shared" ca="1" si="65"/>
        <v>0</v>
      </c>
      <c r="CV24" s="2790">
        <f t="shared" ca="1" si="65"/>
        <v>0</v>
      </c>
      <c r="CW24" s="2790">
        <f t="shared" ca="1" si="65"/>
        <v>0</v>
      </c>
      <c r="CX24" s="2790">
        <f t="shared" ca="1" si="65"/>
        <v>0</v>
      </c>
      <c r="CY24" s="2790">
        <f t="shared" ca="1" si="65"/>
        <v>0</v>
      </c>
      <c r="CZ24" s="2790">
        <f t="shared" ca="1" si="65"/>
        <v>0</v>
      </c>
      <c r="DA24" s="2790">
        <f t="shared" ca="1" si="65"/>
        <v>0</v>
      </c>
      <c r="DB24" s="2790">
        <f t="shared" ca="1" si="65"/>
        <v>0</v>
      </c>
      <c r="DC24" s="2790">
        <f t="shared" ca="1" si="65"/>
        <v>0</v>
      </c>
      <c r="DD24" s="2790">
        <f t="shared" ca="1" si="65"/>
        <v>0</v>
      </c>
      <c r="DE24" s="2790">
        <f t="shared" ca="1" si="65"/>
        <v>0</v>
      </c>
      <c r="DF24" s="2790">
        <f t="shared" ca="1" si="65"/>
        <v>0</v>
      </c>
      <c r="DH24" s="596">
        <f t="shared" ca="1" si="32"/>
        <v>4.7641056467896075</v>
      </c>
    </row>
    <row r="25" spans="1:112" s="6" customFormat="1">
      <c r="A25" s="607"/>
      <c r="B25" s="607"/>
      <c r="C25" s="587" t="s">
        <v>480</v>
      </c>
      <c r="D25" s="623" t="s">
        <v>481</v>
      </c>
      <c r="E25" s="599"/>
      <c r="G25" s="589">
        <f t="shared" ca="1" si="53"/>
        <v>0</v>
      </c>
      <c r="H25" s="589">
        <f t="shared" ca="1" si="53"/>
        <v>0</v>
      </c>
      <c r="I25" s="589">
        <f t="shared" ca="1" si="53"/>
        <v>0</v>
      </c>
      <c r="J25" s="589">
        <f t="shared" ca="1" si="53"/>
        <v>16.309686093749999</v>
      </c>
      <c r="K25" s="589">
        <f t="shared" ca="1" si="53"/>
        <v>5.5430958334668776E-3</v>
      </c>
      <c r="L25" s="589">
        <f t="shared" ca="1" si="53"/>
        <v>0</v>
      </c>
      <c r="M25" s="589">
        <f t="shared" ca="1" si="53"/>
        <v>0.66</v>
      </c>
      <c r="N25" s="589">
        <f t="shared" ca="1" si="53"/>
        <v>0</v>
      </c>
      <c r="O25" s="589">
        <f t="shared" ca="1" si="53"/>
        <v>0</v>
      </c>
      <c r="P25" s="589">
        <f t="shared" ca="1" si="53"/>
        <v>0</v>
      </c>
      <c r="Q25" s="590">
        <f t="shared" ca="1" si="54"/>
        <v>16.975229189583466</v>
      </c>
      <c r="S25" s="591">
        <f t="shared" ca="1" si="55"/>
        <v>0</v>
      </c>
      <c r="T25" s="591">
        <f t="shared" ca="1" si="55"/>
        <v>0</v>
      </c>
      <c r="U25" s="591">
        <f t="shared" ca="1" si="55"/>
        <v>0</v>
      </c>
      <c r="V25" s="591">
        <f t="shared" ca="1" si="55"/>
        <v>-16.975229189583466</v>
      </c>
      <c r="W25" s="591">
        <f t="shared" ca="1" si="55"/>
        <v>0</v>
      </c>
      <c r="X25" s="591">
        <f t="shared" ca="1" si="55"/>
        <v>0</v>
      </c>
      <c r="Y25" s="591">
        <f t="shared" ca="1" si="55"/>
        <v>0</v>
      </c>
      <c r="Z25" s="591">
        <f t="shared" ca="1" si="55"/>
        <v>0</v>
      </c>
      <c r="AA25" s="591">
        <f t="shared" ca="1" si="55"/>
        <v>0</v>
      </c>
      <c r="AB25" s="591">
        <f t="shared" ca="1" si="55"/>
        <v>0</v>
      </c>
      <c r="AC25" s="591">
        <f t="shared" ca="1" si="55"/>
        <v>0</v>
      </c>
      <c r="AD25" s="591">
        <f t="shared" ca="1" si="55"/>
        <v>0</v>
      </c>
      <c r="AE25" s="591">
        <f t="shared" ca="1" si="55"/>
        <v>0</v>
      </c>
      <c r="AF25" s="591">
        <f t="shared" ca="1" si="55"/>
        <v>0</v>
      </c>
      <c r="AG25" s="591">
        <f t="shared" ca="1" si="55"/>
        <v>0</v>
      </c>
      <c r="AH25" s="591">
        <f t="shared" ca="1" si="55"/>
        <v>0</v>
      </c>
      <c r="AI25" s="591">
        <f t="shared" ca="1" si="55"/>
        <v>0</v>
      </c>
      <c r="AJ25" s="591">
        <f t="shared" ca="1" si="55"/>
        <v>0</v>
      </c>
      <c r="AK25" s="592">
        <f t="shared" ca="1" si="56"/>
        <v>-16.975229189583466</v>
      </c>
      <c r="AM25" s="593">
        <f t="shared" ca="1" si="57"/>
        <v>0</v>
      </c>
      <c r="AN25" s="593">
        <f t="shared" ca="1" si="57"/>
        <v>0</v>
      </c>
      <c r="AO25" s="593">
        <f t="shared" ca="1" si="57"/>
        <v>0</v>
      </c>
      <c r="AP25" s="593">
        <f t="shared" ca="1" si="57"/>
        <v>0</v>
      </c>
      <c r="AQ25" s="593">
        <f t="shared" ca="1" si="57"/>
        <v>0</v>
      </c>
      <c r="AR25" s="593">
        <f t="shared" ca="1" si="57"/>
        <v>0</v>
      </c>
      <c r="AS25" s="593">
        <f t="shared" ca="1" si="57"/>
        <v>0</v>
      </c>
      <c r="AT25" s="593">
        <f t="shared" ca="1" si="57"/>
        <v>0</v>
      </c>
      <c r="AU25" s="593">
        <f t="shared" ca="1" si="57"/>
        <v>0</v>
      </c>
      <c r="AV25" s="593">
        <f t="shared" ca="1" si="57"/>
        <v>0</v>
      </c>
      <c r="AW25" s="593">
        <f t="shared" ca="1" si="57"/>
        <v>0</v>
      </c>
      <c r="AX25" s="593">
        <f t="shared" ca="1" si="57"/>
        <v>0</v>
      </c>
      <c r="AY25" s="593">
        <f t="shared" ca="1" si="57"/>
        <v>0</v>
      </c>
      <c r="AZ25" s="593">
        <f t="shared" ca="1" si="57"/>
        <v>0</v>
      </c>
      <c r="BA25" s="593">
        <f t="shared" ca="1" si="57"/>
        <v>0</v>
      </c>
      <c r="BB25" s="593">
        <f t="shared" ca="1" si="57"/>
        <v>0</v>
      </c>
      <c r="BC25" s="593">
        <f t="shared" ca="1" si="58"/>
        <v>0</v>
      </c>
      <c r="BD25" s="593">
        <f t="shared" ca="1" si="58"/>
        <v>0</v>
      </c>
      <c r="BE25" s="593">
        <f t="shared" ca="1" si="58"/>
        <v>0</v>
      </c>
      <c r="BF25" s="609">
        <f t="shared" ca="1" si="59"/>
        <v>0</v>
      </c>
      <c r="BH25" s="3471">
        <f t="shared" ca="1" si="60"/>
        <v>0</v>
      </c>
      <c r="BI25" s="3471">
        <f t="shared" ca="1" si="60"/>
        <v>0</v>
      </c>
      <c r="BJ25" s="3460">
        <f t="shared" ca="1" si="61"/>
        <v>0</v>
      </c>
      <c r="BL25" s="610">
        <f t="shared" ca="1" si="9"/>
        <v>0</v>
      </c>
      <c r="BM25" s="610"/>
      <c r="BN25" s="413"/>
      <c r="BO25" s="2789">
        <f t="shared" ca="1" si="62"/>
        <v>4.4794234785472842</v>
      </c>
      <c r="BP25" s="2790">
        <f t="shared" ca="1" si="62"/>
        <v>3.8499819801975301E-3</v>
      </c>
      <c r="BQ25" s="2790">
        <f t="shared" ca="1" si="62"/>
        <v>1.1366613465345088E-2</v>
      </c>
      <c r="BR25" s="2790">
        <f t="shared" ca="1" si="62"/>
        <v>0</v>
      </c>
      <c r="BS25" s="2790">
        <f t="shared" ca="1" si="62"/>
        <v>0</v>
      </c>
      <c r="BT25" s="2790">
        <f t="shared" ca="1" si="62"/>
        <v>0</v>
      </c>
      <c r="BU25" s="2790">
        <f t="shared" ca="1" si="62"/>
        <v>0</v>
      </c>
      <c r="BV25" s="2790">
        <f t="shared" ca="1" si="62"/>
        <v>0</v>
      </c>
      <c r="BW25" s="2790">
        <f t="shared" ca="1" si="62"/>
        <v>0</v>
      </c>
      <c r="BX25" s="2790">
        <f t="shared" ca="1" si="62"/>
        <v>0</v>
      </c>
      <c r="BY25" s="2790">
        <f t="shared" ca="1" si="63"/>
        <v>0</v>
      </c>
      <c r="BZ25" s="2790">
        <f t="shared" ca="1" si="63"/>
        <v>0</v>
      </c>
      <c r="CA25" s="2790">
        <f t="shared" ca="1" si="63"/>
        <v>0</v>
      </c>
      <c r="CB25" s="2790">
        <f t="shared" ca="1" si="63"/>
        <v>0</v>
      </c>
      <c r="CC25" s="2790">
        <f t="shared" ca="1" si="63"/>
        <v>0</v>
      </c>
      <c r="CD25" s="2790">
        <f t="shared" ca="1" si="63"/>
        <v>0</v>
      </c>
      <c r="CE25" s="2790">
        <f t="shared" ca="1" si="63"/>
        <v>0</v>
      </c>
      <c r="CF25" s="2790">
        <f t="shared" ca="1" si="63"/>
        <v>0</v>
      </c>
      <c r="CG25" s="2790">
        <f t="shared" ca="1" si="63"/>
        <v>0</v>
      </c>
      <c r="CH25" s="2790">
        <f t="shared" ca="1" si="63"/>
        <v>0</v>
      </c>
      <c r="CI25" s="2790">
        <f t="shared" ca="1" si="64"/>
        <v>0</v>
      </c>
      <c r="CJ25" s="2790">
        <f t="shared" ca="1" si="64"/>
        <v>0</v>
      </c>
      <c r="CK25" s="2790">
        <f t="shared" ca="1" si="64"/>
        <v>0</v>
      </c>
      <c r="CL25" s="2790">
        <f t="shared" ca="1" si="64"/>
        <v>0</v>
      </c>
      <c r="CM25" s="2790">
        <f t="shared" ca="1" si="64"/>
        <v>0</v>
      </c>
      <c r="CN25" s="2790">
        <f t="shared" ca="1" si="64"/>
        <v>0</v>
      </c>
      <c r="CO25" s="2790">
        <f t="shared" ca="1" si="64"/>
        <v>0</v>
      </c>
      <c r="CP25" s="2790">
        <f t="shared" ca="1" si="64"/>
        <v>0</v>
      </c>
      <c r="CQ25" s="2790">
        <f t="shared" ca="1" si="64"/>
        <v>0</v>
      </c>
      <c r="CR25" s="2790">
        <f t="shared" ca="1" si="64"/>
        <v>0</v>
      </c>
      <c r="CS25" s="2790">
        <f t="shared" ca="1" si="65"/>
        <v>0</v>
      </c>
      <c r="CT25" s="2790">
        <f t="shared" ca="1" si="65"/>
        <v>0</v>
      </c>
      <c r="CU25" s="2790">
        <f t="shared" ca="1" si="65"/>
        <v>0</v>
      </c>
      <c r="CV25" s="2790">
        <f t="shared" ca="1" si="65"/>
        <v>0</v>
      </c>
      <c r="CW25" s="2790">
        <f t="shared" ca="1" si="65"/>
        <v>0</v>
      </c>
      <c r="CX25" s="2790">
        <f t="shared" ca="1" si="65"/>
        <v>0</v>
      </c>
      <c r="CY25" s="2790">
        <f t="shared" ca="1" si="65"/>
        <v>0</v>
      </c>
      <c r="CZ25" s="2790">
        <f t="shared" ca="1" si="65"/>
        <v>0</v>
      </c>
      <c r="DA25" s="2790">
        <f t="shared" ca="1" si="65"/>
        <v>0</v>
      </c>
      <c r="DB25" s="2790">
        <f t="shared" ca="1" si="65"/>
        <v>0</v>
      </c>
      <c r="DC25" s="2790">
        <f t="shared" ca="1" si="65"/>
        <v>0</v>
      </c>
      <c r="DD25" s="2790">
        <f t="shared" ca="1" si="65"/>
        <v>0</v>
      </c>
      <c r="DE25" s="2790">
        <f t="shared" ca="1" si="65"/>
        <v>0</v>
      </c>
      <c r="DF25" s="2790">
        <f t="shared" ca="1" si="65"/>
        <v>0</v>
      </c>
      <c r="DH25" s="596">
        <f t="shared" ca="1" si="32"/>
        <v>4.4946400739928265</v>
      </c>
    </row>
    <row r="26" spans="1:112" s="6" customFormat="1">
      <c r="A26" s="586"/>
      <c r="B26" s="586"/>
      <c r="C26" s="587" t="s">
        <v>482</v>
      </c>
      <c r="D26" s="623" t="s">
        <v>373</v>
      </c>
      <c r="E26" s="599"/>
      <c r="G26" s="589">
        <f t="shared" ca="1" si="53"/>
        <v>0</v>
      </c>
      <c r="H26" s="589">
        <f t="shared" ca="1" si="53"/>
        <v>0</v>
      </c>
      <c r="I26" s="589">
        <f t="shared" ca="1" si="53"/>
        <v>0</v>
      </c>
      <c r="J26" s="589">
        <f t="shared" ca="1" si="53"/>
        <v>0</v>
      </c>
      <c r="K26" s="589">
        <f t="shared" ca="1" si="53"/>
        <v>0</v>
      </c>
      <c r="L26" s="589">
        <f t="shared" ca="1" si="53"/>
        <v>0</v>
      </c>
      <c r="M26" s="589">
        <f t="shared" ca="1" si="53"/>
        <v>0</v>
      </c>
      <c r="N26" s="589">
        <f t="shared" ca="1" si="53"/>
        <v>8.0623123555082739</v>
      </c>
      <c r="O26" s="589">
        <f t="shared" ca="1" si="53"/>
        <v>0</v>
      </c>
      <c r="P26" s="589">
        <f t="shared" ca="1" si="53"/>
        <v>0</v>
      </c>
      <c r="Q26" s="590">
        <f t="shared" ca="1" si="54"/>
        <v>8.0623123555082739</v>
      </c>
      <c r="S26" s="591">
        <f t="shared" ca="1" si="55"/>
        <v>0</v>
      </c>
      <c r="T26" s="591">
        <f t="shared" ca="1" si="55"/>
        <v>0</v>
      </c>
      <c r="U26" s="591">
        <f t="shared" ca="1" si="55"/>
        <v>0</v>
      </c>
      <c r="V26" s="591">
        <f t="shared" ca="1" si="55"/>
        <v>-8.0623123555082739</v>
      </c>
      <c r="W26" s="591">
        <f t="shared" ca="1" si="55"/>
        <v>0</v>
      </c>
      <c r="X26" s="591">
        <f t="shared" ca="1" si="55"/>
        <v>0</v>
      </c>
      <c r="Y26" s="591">
        <f t="shared" ca="1" si="55"/>
        <v>0</v>
      </c>
      <c r="Z26" s="591">
        <f t="shared" ca="1" si="55"/>
        <v>0</v>
      </c>
      <c r="AA26" s="591">
        <f t="shared" ca="1" si="55"/>
        <v>0</v>
      </c>
      <c r="AB26" s="591">
        <f t="shared" ca="1" si="55"/>
        <v>0</v>
      </c>
      <c r="AC26" s="591">
        <f t="shared" ca="1" si="55"/>
        <v>0</v>
      </c>
      <c r="AD26" s="591">
        <f t="shared" ca="1" si="55"/>
        <v>0</v>
      </c>
      <c r="AE26" s="591">
        <f t="shared" ca="1" si="55"/>
        <v>0</v>
      </c>
      <c r="AF26" s="591">
        <f t="shared" ca="1" si="55"/>
        <v>0</v>
      </c>
      <c r="AG26" s="591">
        <f t="shared" ca="1" si="55"/>
        <v>0</v>
      </c>
      <c r="AH26" s="591">
        <f t="shared" ca="1" si="55"/>
        <v>0</v>
      </c>
      <c r="AI26" s="591">
        <f t="shared" ca="1" si="55"/>
        <v>0</v>
      </c>
      <c r="AJ26" s="591">
        <f t="shared" ca="1" si="55"/>
        <v>0</v>
      </c>
      <c r="AK26" s="592">
        <f t="shared" ca="1" si="56"/>
        <v>-8.0623123555082739</v>
      </c>
      <c r="AM26" s="593">
        <f t="shared" ca="1" si="57"/>
        <v>0</v>
      </c>
      <c r="AN26" s="593">
        <f t="shared" ca="1" si="57"/>
        <v>0</v>
      </c>
      <c r="AO26" s="593">
        <f t="shared" ca="1" si="57"/>
        <v>0</v>
      </c>
      <c r="AP26" s="593">
        <f t="shared" ca="1" si="57"/>
        <v>0</v>
      </c>
      <c r="AQ26" s="593">
        <f t="shared" ca="1" si="57"/>
        <v>0</v>
      </c>
      <c r="AR26" s="593">
        <f t="shared" ca="1" si="57"/>
        <v>0</v>
      </c>
      <c r="AS26" s="593">
        <f t="shared" ca="1" si="57"/>
        <v>0</v>
      </c>
      <c r="AT26" s="593">
        <f t="shared" ca="1" si="57"/>
        <v>0</v>
      </c>
      <c r="AU26" s="593">
        <f t="shared" ca="1" si="57"/>
        <v>0</v>
      </c>
      <c r="AV26" s="593">
        <f t="shared" ca="1" si="57"/>
        <v>0</v>
      </c>
      <c r="AW26" s="593">
        <f t="shared" ca="1" si="57"/>
        <v>0</v>
      </c>
      <c r="AX26" s="593">
        <f t="shared" ca="1" si="57"/>
        <v>0</v>
      </c>
      <c r="AY26" s="593">
        <f t="shared" ca="1" si="57"/>
        <v>0</v>
      </c>
      <c r="AZ26" s="593">
        <f t="shared" ca="1" si="57"/>
        <v>0</v>
      </c>
      <c r="BA26" s="593">
        <f t="shared" ca="1" si="57"/>
        <v>0</v>
      </c>
      <c r="BB26" s="593">
        <f t="shared" ca="1" si="57"/>
        <v>0</v>
      </c>
      <c r="BC26" s="593">
        <f t="shared" ca="1" si="58"/>
        <v>0</v>
      </c>
      <c r="BD26" s="593">
        <f t="shared" ca="1" si="58"/>
        <v>0</v>
      </c>
      <c r="BE26" s="593">
        <f t="shared" ca="1" si="58"/>
        <v>0</v>
      </c>
      <c r="BF26" s="594">
        <f t="shared" ca="1" si="59"/>
        <v>0</v>
      </c>
      <c r="BH26" s="3471">
        <f t="shared" ca="1" si="60"/>
        <v>0</v>
      </c>
      <c r="BI26" s="3471">
        <f t="shared" ca="1" si="60"/>
        <v>0</v>
      </c>
      <c r="BJ26" s="3460">
        <f t="shared" ca="1" si="61"/>
        <v>0</v>
      </c>
      <c r="BL26" s="595">
        <f t="shared" ca="1" si="9"/>
        <v>0</v>
      </c>
      <c r="BM26" s="595"/>
      <c r="BN26" s="413"/>
      <c r="BO26" s="2789">
        <f t="shared" ca="1" si="62"/>
        <v>0</v>
      </c>
      <c r="BP26" s="2790">
        <f t="shared" ca="1" si="62"/>
        <v>0</v>
      </c>
      <c r="BQ26" s="2790">
        <f t="shared" ca="1" si="62"/>
        <v>0</v>
      </c>
      <c r="BR26" s="2790">
        <f t="shared" ca="1" si="62"/>
        <v>0</v>
      </c>
      <c r="BS26" s="2790">
        <f t="shared" ca="1" si="62"/>
        <v>0</v>
      </c>
      <c r="BT26" s="2790">
        <f t="shared" ca="1" si="62"/>
        <v>0</v>
      </c>
      <c r="BU26" s="2790">
        <f t="shared" ca="1" si="62"/>
        <v>0</v>
      </c>
      <c r="BV26" s="2790">
        <f t="shared" ca="1" si="62"/>
        <v>0</v>
      </c>
      <c r="BW26" s="2790">
        <f t="shared" ca="1" si="62"/>
        <v>0</v>
      </c>
      <c r="BX26" s="2790">
        <f t="shared" ca="1" si="62"/>
        <v>0</v>
      </c>
      <c r="BY26" s="2790">
        <f t="shared" ca="1" si="63"/>
        <v>0</v>
      </c>
      <c r="BZ26" s="2790">
        <f t="shared" ca="1" si="63"/>
        <v>0</v>
      </c>
      <c r="CA26" s="2790">
        <f t="shared" ca="1" si="63"/>
        <v>0</v>
      </c>
      <c r="CB26" s="2790">
        <f t="shared" ca="1" si="63"/>
        <v>0</v>
      </c>
      <c r="CC26" s="2790">
        <f t="shared" ca="1" si="63"/>
        <v>0</v>
      </c>
      <c r="CD26" s="2790">
        <f t="shared" ca="1" si="63"/>
        <v>0</v>
      </c>
      <c r="CE26" s="2790">
        <f t="shared" ca="1" si="63"/>
        <v>0</v>
      </c>
      <c r="CF26" s="2790">
        <f t="shared" ca="1" si="63"/>
        <v>0</v>
      </c>
      <c r="CG26" s="2790">
        <f t="shared" ca="1" si="63"/>
        <v>0</v>
      </c>
      <c r="CH26" s="2790">
        <f t="shared" ca="1" si="63"/>
        <v>0</v>
      </c>
      <c r="CI26" s="2790">
        <f t="shared" ca="1" si="64"/>
        <v>0</v>
      </c>
      <c r="CJ26" s="2790">
        <f t="shared" ca="1" si="64"/>
        <v>0</v>
      </c>
      <c r="CK26" s="2790">
        <f t="shared" ca="1" si="64"/>
        <v>0</v>
      </c>
      <c r="CL26" s="2790">
        <f t="shared" ca="1" si="64"/>
        <v>0</v>
      </c>
      <c r="CM26" s="2790">
        <f t="shared" ca="1" si="64"/>
        <v>0</v>
      </c>
      <c r="CN26" s="2790">
        <f t="shared" ca="1" si="64"/>
        <v>0</v>
      </c>
      <c r="CO26" s="2790">
        <f t="shared" ca="1" si="64"/>
        <v>0</v>
      </c>
      <c r="CP26" s="2790">
        <f t="shared" ca="1" si="64"/>
        <v>0</v>
      </c>
      <c r="CQ26" s="2790">
        <f t="shared" ca="1" si="64"/>
        <v>0</v>
      </c>
      <c r="CR26" s="2790">
        <f t="shared" ca="1" si="64"/>
        <v>0</v>
      </c>
      <c r="CS26" s="2790">
        <f t="shared" ca="1" si="65"/>
        <v>0</v>
      </c>
      <c r="CT26" s="2790">
        <f t="shared" ca="1" si="65"/>
        <v>0</v>
      </c>
      <c r="CU26" s="2790">
        <f t="shared" ca="1" si="65"/>
        <v>2.1274829843715231</v>
      </c>
      <c r="CV26" s="2790">
        <f t="shared" ca="1" si="65"/>
        <v>1.8285324422292765E-3</v>
      </c>
      <c r="CW26" s="2790">
        <f t="shared" ca="1" si="65"/>
        <v>5.3985243532483403E-3</v>
      </c>
      <c r="CX26" s="2790">
        <f t="shared" ca="1" si="65"/>
        <v>0</v>
      </c>
      <c r="CY26" s="2790">
        <f t="shared" ca="1" si="65"/>
        <v>0</v>
      </c>
      <c r="CZ26" s="2790">
        <f t="shared" ca="1" si="65"/>
        <v>0</v>
      </c>
      <c r="DA26" s="2790">
        <f t="shared" ca="1" si="65"/>
        <v>0</v>
      </c>
      <c r="DB26" s="2790">
        <f t="shared" ca="1" si="65"/>
        <v>0</v>
      </c>
      <c r="DC26" s="2790">
        <f t="shared" ca="1" si="65"/>
        <v>0</v>
      </c>
      <c r="DD26" s="2790">
        <f t="shared" ca="1" si="65"/>
        <v>0</v>
      </c>
      <c r="DE26" s="2790">
        <f t="shared" ca="1" si="65"/>
        <v>0</v>
      </c>
      <c r="DF26" s="2790">
        <f t="shared" ca="1" si="65"/>
        <v>0</v>
      </c>
      <c r="DH26" s="596">
        <f t="shared" ca="1" si="32"/>
        <v>2.1347100411670006</v>
      </c>
    </row>
    <row r="27" spans="1:112" s="6" customFormat="1">
      <c r="A27" s="597"/>
      <c r="B27" s="597"/>
      <c r="C27" s="598" t="s">
        <v>483</v>
      </c>
      <c r="D27" s="624" t="s">
        <v>484</v>
      </c>
      <c r="E27" s="599"/>
      <c r="G27" s="600">
        <f t="shared" ca="1" si="53"/>
        <v>0</v>
      </c>
      <c r="H27" s="600">
        <f t="shared" ca="1" si="53"/>
        <v>0</v>
      </c>
      <c r="I27" s="600">
        <f t="shared" ca="1" si="53"/>
        <v>0</v>
      </c>
      <c r="J27" s="600">
        <f t="shared" ca="1" si="53"/>
        <v>0</v>
      </c>
      <c r="K27" s="600">
        <f t="shared" ca="1" si="53"/>
        <v>0</v>
      </c>
      <c r="L27" s="600">
        <f t="shared" ca="1" si="53"/>
        <v>0</v>
      </c>
      <c r="M27" s="600">
        <f t="shared" ca="1" si="53"/>
        <v>0</v>
      </c>
      <c r="N27" s="600">
        <f t="shared" ca="1" si="53"/>
        <v>0</v>
      </c>
      <c r="O27" s="600">
        <f t="shared" ca="1" si="53"/>
        <v>0</v>
      </c>
      <c r="P27" s="600">
        <f t="shared" ca="1" si="53"/>
        <v>0</v>
      </c>
      <c r="Q27" s="601">
        <f t="shared" ca="1" si="54"/>
        <v>0</v>
      </c>
      <c r="S27" s="602">
        <f t="shared" ca="1" si="55"/>
        <v>0</v>
      </c>
      <c r="T27" s="602">
        <f t="shared" ca="1" si="55"/>
        <v>0</v>
      </c>
      <c r="U27" s="602">
        <f t="shared" ca="1" si="55"/>
        <v>0</v>
      </c>
      <c r="V27" s="602">
        <f t="shared" ca="1" si="55"/>
        <v>0</v>
      </c>
      <c r="W27" s="602">
        <f t="shared" ca="1" si="55"/>
        <v>0</v>
      </c>
      <c r="X27" s="602">
        <f t="shared" ca="1" si="55"/>
        <v>0</v>
      </c>
      <c r="Y27" s="602">
        <f t="shared" ca="1" si="55"/>
        <v>0</v>
      </c>
      <c r="Z27" s="602">
        <f t="shared" ca="1" si="55"/>
        <v>0</v>
      </c>
      <c r="AA27" s="602">
        <f t="shared" ca="1" si="55"/>
        <v>0</v>
      </c>
      <c r="AB27" s="602">
        <f t="shared" ca="1" si="55"/>
        <v>0</v>
      </c>
      <c r="AC27" s="602">
        <f t="shared" ca="1" si="55"/>
        <v>0</v>
      </c>
      <c r="AD27" s="602">
        <f t="shared" ca="1" si="55"/>
        <v>0</v>
      </c>
      <c r="AE27" s="602">
        <f t="shared" ca="1" si="55"/>
        <v>0</v>
      </c>
      <c r="AF27" s="602">
        <f t="shared" ca="1" si="55"/>
        <v>0</v>
      </c>
      <c r="AG27" s="602">
        <f t="shared" ca="1" si="55"/>
        <v>0</v>
      </c>
      <c r="AH27" s="602">
        <f t="shared" ca="1" si="55"/>
        <v>0</v>
      </c>
      <c r="AI27" s="602">
        <f t="shared" ca="1" si="55"/>
        <v>0</v>
      </c>
      <c r="AJ27" s="602">
        <f t="shared" ca="1" si="55"/>
        <v>0</v>
      </c>
      <c r="AK27" s="603">
        <f t="shared" ca="1" si="56"/>
        <v>0</v>
      </c>
      <c r="AM27" s="604">
        <f t="shared" ca="1" si="57"/>
        <v>0</v>
      </c>
      <c r="AN27" s="604">
        <f t="shared" ca="1" si="57"/>
        <v>0</v>
      </c>
      <c r="AO27" s="604">
        <f t="shared" ca="1" si="57"/>
        <v>0</v>
      </c>
      <c r="AP27" s="604">
        <f t="shared" ca="1" si="57"/>
        <v>0</v>
      </c>
      <c r="AQ27" s="604">
        <f t="shared" ca="1" si="57"/>
        <v>0</v>
      </c>
      <c r="AR27" s="604">
        <f t="shared" ca="1" si="57"/>
        <v>0</v>
      </c>
      <c r="AS27" s="604">
        <f t="shared" ca="1" si="57"/>
        <v>0</v>
      </c>
      <c r="AT27" s="604">
        <f t="shared" ca="1" si="57"/>
        <v>0</v>
      </c>
      <c r="AU27" s="604">
        <f t="shared" ca="1" si="57"/>
        <v>0</v>
      </c>
      <c r="AV27" s="604">
        <f t="shared" ca="1" si="57"/>
        <v>0</v>
      </c>
      <c r="AW27" s="604">
        <f t="shared" ca="1" si="57"/>
        <v>0</v>
      </c>
      <c r="AX27" s="604">
        <f t="shared" ca="1" si="57"/>
        <v>0</v>
      </c>
      <c r="AY27" s="604">
        <f t="shared" ca="1" si="57"/>
        <v>0</v>
      </c>
      <c r="AZ27" s="604">
        <f t="shared" ca="1" si="57"/>
        <v>0</v>
      </c>
      <c r="BA27" s="604">
        <f t="shared" ca="1" si="57"/>
        <v>0</v>
      </c>
      <c r="BB27" s="604">
        <f t="shared" ca="1" si="57"/>
        <v>0</v>
      </c>
      <c r="BC27" s="604">
        <f t="shared" ca="1" si="58"/>
        <v>0</v>
      </c>
      <c r="BD27" s="604">
        <f t="shared" ca="1" si="58"/>
        <v>0</v>
      </c>
      <c r="BE27" s="604">
        <f t="shared" ca="1" si="58"/>
        <v>0</v>
      </c>
      <c r="BF27" s="605">
        <f t="shared" ca="1" si="59"/>
        <v>0</v>
      </c>
      <c r="BH27" s="3472">
        <f t="shared" ca="1" si="60"/>
        <v>0</v>
      </c>
      <c r="BI27" s="3472">
        <f t="shared" ca="1" si="60"/>
        <v>0</v>
      </c>
      <c r="BJ27" s="3461">
        <f t="shared" ca="1" si="61"/>
        <v>0</v>
      </c>
      <c r="BL27" s="606">
        <f t="shared" ca="1" si="9"/>
        <v>0</v>
      </c>
      <c r="BM27" s="606"/>
      <c r="BN27" s="413"/>
      <c r="BO27" s="2789">
        <f t="shared" ca="1" si="62"/>
        <v>0</v>
      </c>
      <c r="BP27" s="2790">
        <f t="shared" ca="1" si="62"/>
        <v>0</v>
      </c>
      <c r="BQ27" s="2790">
        <f t="shared" ca="1" si="62"/>
        <v>0</v>
      </c>
      <c r="BR27" s="2790">
        <f t="shared" ca="1" si="62"/>
        <v>0</v>
      </c>
      <c r="BS27" s="2790">
        <f t="shared" ca="1" si="62"/>
        <v>0</v>
      </c>
      <c r="BT27" s="2790">
        <f t="shared" ca="1" si="62"/>
        <v>0</v>
      </c>
      <c r="BU27" s="2790">
        <f t="shared" ca="1" si="62"/>
        <v>0</v>
      </c>
      <c r="BV27" s="2790">
        <f t="shared" ca="1" si="62"/>
        <v>0</v>
      </c>
      <c r="BW27" s="2790">
        <f t="shared" ca="1" si="62"/>
        <v>0</v>
      </c>
      <c r="BX27" s="2790">
        <f t="shared" ca="1" si="62"/>
        <v>0</v>
      </c>
      <c r="BY27" s="2790">
        <f t="shared" ca="1" si="63"/>
        <v>0</v>
      </c>
      <c r="BZ27" s="2790">
        <f t="shared" ca="1" si="63"/>
        <v>0</v>
      </c>
      <c r="CA27" s="2790">
        <f t="shared" ca="1" si="63"/>
        <v>0</v>
      </c>
      <c r="CB27" s="2790">
        <f t="shared" ca="1" si="63"/>
        <v>0</v>
      </c>
      <c r="CC27" s="2790">
        <f t="shared" ca="1" si="63"/>
        <v>0</v>
      </c>
      <c r="CD27" s="2790">
        <f t="shared" ca="1" si="63"/>
        <v>0</v>
      </c>
      <c r="CE27" s="2790">
        <f t="shared" ca="1" si="63"/>
        <v>0</v>
      </c>
      <c r="CF27" s="2790">
        <f t="shared" ca="1" si="63"/>
        <v>0</v>
      </c>
      <c r="CG27" s="2790">
        <f t="shared" ca="1" si="63"/>
        <v>0</v>
      </c>
      <c r="CH27" s="2790">
        <f t="shared" ca="1" si="63"/>
        <v>0</v>
      </c>
      <c r="CI27" s="2790">
        <f t="shared" ca="1" si="64"/>
        <v>0</v>
      </c>
      <c r="CJ27" s="2790">
        <f t="shared" ca="1" si="64"/>
        <v>0</v>
      </c>
      <c r="CK27" s="2790">
        <f t="shared" ca="1" si="64"/>
        <v>0</v>
      </c>
      <c r="CL27" s="2790">
        <f t="shared" ca="1" si="64"/>
        <v>0</v>
      </c>
      <c r="CM27" s="2790">
        <f t="shared" ca="1" si="64"/>
        <v>0</v>
      </c>
      <c r="CN27" s="2790">
        <f t="shared" ca="1" si="64"/>
        <v>0</v>
      </c>
      <c r="CO27" s="2790">
        <f t="shared" ca="1" si="64"/>
        <v>0</v>
      </c>
      <c r="CP27" s="2790">
        <f t="shared" ca="1" si="64"/>
        <v>0</v>
      </c>
      <c r="CQ27" s="2790">
        <f t="shared" ca="1" si="64"/>
        <v>0</v>
      </c>
      <c r="CR27" s="2790">
        <f t="shared" ca="1" si="64"/>
        <v>0</v>
      </c>
      <c r="CS27" s="2790">
        <f t="shared" ca="1" si="65"/>
        <v>0</v>
      </c>
      <c r="CT27" s="2790">
        <f t="shared" ca="1" si="65"/>
        <v>0</v>
      </c>
      <c r="CU27" s="2790">
        <f t="shared" ca="1" si="65"/>
        <v>0</v>
      </c>
      <c r="CV27" s="2790">
        <f t="shared" ca="1" si="65"/>
        <v>0</v>
      </c>
      <c r="CW27" s="2790">
        <f t="shared" ca="1" si="65"/>
        <v>0</v>
      </c>
      <c r="CX27" s="2790">
        <f t="shared" ca="1" si="65"/>
        <v>0</v>
      </c>
      <c r="CY27" s="2790">
        <f t="shared" ca="1" si="65"/>
        <v>0</v>
      </c>
      <c r="CZ27" s="2790">
        <f t="shared" ca="1" si="65"/>
        <v>0</v>
      </c>
      <c r="DA27" s="2790">
        <f t="shared" ca="1" si="65"/>
        <v>0</v>
      </c>
      <c r="DB27" s="2790">
        <f t="shared" ca="1" si="65"/>
        <v>0</v>
      </c>
      <c r="DC27" s="2790">
        <f t="shared" ca="1" si="65"/>
        <v>0</v>
      </c>
      <c r="DD27" s="2790">
        <f t="shared" ca="1" si="65"/>
        <v>0</v>
      </c>
      <c r="DE27" s="2790">
        <f t="shared" ca="1" si="65"/>
        <v>0</v>
      </c>
      <c r="DF27" s="2790">
        <f t="shared" ca="1" si="65"/>
        <v>0</v>
      </c>
      <c r="DH27" s="596">
        <f t="shared" ca="1" si="32"/>
        <v>0</v>
      </c>
    </row>
    <row r="28" spans="1:112" s="6" customFormat="1">
      <c r="A28" s="607"/>
      <c r="B28" s="607"/>
      <c r="C28" s="587"/>
      <c r="D28" s="623" t="s">
        <v>485</v>
      </c>
      <c r="E28" s="599"/>
      <c r="G28" s="590">
        <f ca="1">SUM(G26:G27)</f>
        <v>0</v>
      </c>
      <c r="H28" s="590">
        <f t="shared" ref="H28:P28" ca="1" si="66">SUM(H26:H27)</f>
        <v>0</v>
      </c>
      <c r="I28" s="590">
        <f t="shared" ca="1" si="66"/>
        <v>0</v>
      </c>
      <c r="J28" s="590">
        <f t="shared" ca="1" si="66"/>
        <v>0</v>
      </c>
      <c r="K28" s="590">
        <f t="shared" ca="1" si="66"/>
        <v>0</v>
      </c>
      <c r="L28" s="590">
        <f t="shared" ca="1" si="66"/>
        <v>0</v>
      </c>
      <c r="M28" s="590">
        <f t="shared" ca="1" si="66"/>
        <v>0</v>
      </c>
      <c r="N28" s="590">
        <f ca="1">SUM(N26:N27)</f>
        <v>8.0623123555082739</v>
      </c>
      <c r="O28" s="590">
        <f ca="1">SUM(O26:O27)</f>
        <v>0</v>
      </c>
      <c r="P28" s="590">
        <f t="shared" ca="1" si="66"/>
        <v>0</v>
      </c>
      <c r="Q28" s="590">
        <f t="shared" ca="1" si="54"/>
        <v>8.0623123555082739</v>
      </c>
      <c r="S28" s="592">
        <f t="shared" ref="S28:AJ28" ca="1" si="67">SUM(S26:S27)</f>
        <v>0</v>
      </c>
      <c r="T28" s="592">
        <f t="shared" ca="1" si="67"/>
        <v>0</v>
      </c>
      <c r="U28" s="592">
        <f t="shared" ca="1" si="67"/>
        <v>0</v>
      </c>
      <c r="V28" s="592">
        <f t="shared" ca="1" si="67"/>
        <v>-8.0623123555082739</v>
      </c>
      <c r="W28" s="592">
        <f t="shared" ca="1" si="67"/>
        <v>0</v>
      </c>
      <c r="X28" s="592">
        <f t="shared" ca="1" si="67"/>
        <v>0</v>
      </c>
      <c r="Y28" s="592">
        <f t="shared" ca="1" si="67"/>
        <v>0</v>
      </c>
      <c r="Z28" s="592">
        <f t="shared" ca="1" si="67"/>
        <v>0</v>
      </c>
      <c r="AA28" s="592">
        <f t="shared" ca="1" si="67"/>
        <v>0</v>
      </c>
      <c r="AB28" s="592">
        <f t="shared" ca="1" si="67"/>
        <v>0</v>
      </c>
      <c r="AC28" s="592">
        <f t="shared" ca="1" si="67"/>
        <v>0</v>
      </c>
      <c r="AD28" s="592">
        <f t="shared" ca="1" si="67"/>
        <v>0</v>
      </c>
      <c r="AE28" s="592">
        <f ca="1">SUM(AE26:AE27)</f>
        <v>0</v>
      </c>
      <c r="AF28" s="592">
        <f t="shared" ca="1" si="67"/>
        <v>0</v>
      </c>
      <c r="AG28" s="592">
        <f t="shared" ca="1" si="67"/>
        <v>0</v>
      </c>
      <c r="AH28" s="592">
        <f ca="1">SUM(AH26:AH27)</f>
        <v>0</v>
      </c>
      <c r="AI28" s="592">
        <f t="shared" ca="1" si="67"/>
        <v>0</v>
      </c>
      <c r="AJ28" s="592">
        <f t="shared" ca="1" si="67"/>
        <v>0</v>
      </c>
      <c r="AK28" s="592">
        <f t="shared" ca="1" si="56"/>
        <v>-8.0623123555082739</v>
      </c>
      <c r="AM28" s="608">
        <f t="shared" ref="AM28:BE28" ca="1" si="68">SUM(AM26:AM27)</f>
        <v>0</v>
      </c>
      <c r="AN28" s="608">
        <f t="shared" ca="1" si="68"/>
        <v>0</v>
      </c>
      <c r="AO28" s="608">
        <f t="shared" ca="1" si="68"/>
        <v>0</v>
      </c>
      <c r="AP28" s="608">
        <f t="shared" ca="1" si="68"/>
        <v>0</v>
      </c>
      <c r="AQ28" s="608">
        <f t="shared" ca="1" si="68"/>
        <v>0</v>
      </c>
      <c r="AR28" s="608">
        <f t="shared" ca="1" si="68"/>
        <v>0</v>
      </c>
      <c r="AS28" s="608">
        <f t="shared" ca="1" si="68"/>
        <v>0</v>
      </c>
      <c r="AT28" s="608">
        <f t="shared" ca="1" si="68"/>
        <v>0</v>
      </c>
      <c r="AU28" s="608">
        <f t="shared" ca="1" si="68"/>
        <v>0</v>
      </c>
      <c r="AV28" s="608">
        <f t="shared" ca="1" si="68"/>
        <v>0</v>
      </c>
      <c r="AW28" s="608">
        <f t="shared" ca="1" si="68"/>
        <v>0</v>
      </c>
      <c r="AX28" s="608">
        <f t="shared" ca="1" si="68"/>
        <v>0</v>
      </c>
      <c r="AY28" s="608">
        <f t="shared" ca="1" si="68"/>
        <v>0</v>
      </c>
      <c r="AZ28" s="608">
        <f t="shared" ca="1" si="68"/>
        <v>0</v>
      </c>
      <c r="BA28" s="608">
        <f t="shared" ca="1" si="68"/>
        <v>0</v>
      </c>
      <c r="BB28" s="608">
        <f t="shared" ca="1" si="68"/>
        <v>0</v>
      </c>
      <c r="BC28" s="608">
        <f t="shared" ca="1" si="68"/>
        <v>0</v>
      </c>
      <c r="BD28" s="608">
        <f ca="1">SUM(BD26:BD27)</f>
        <v>0</v>
      </c>
      <c r="BE28" s="608">
        <f t="shared" ca="1" si="68"/>
        <v>0</v>
      </c>
      <c r="BF28" s="594">
        <f t="shared" ca="1" si="59"/>
        <v>0</v>
      </c>
      <c r="BH28" s="3460">
        <f ca="1">SUM(BH26:BH27)</f>
        <v>0</v>
      </c>
      <c r="BI28" s="3460">
        <f ca="1">SUM(BI26:BI27)</f>
        <v>0</v>
      </c>
      <c r="BJ28" s="3460">
        <f t="shared" ca="1" si="61"/>
        <v>0</v>
      </c>
      <c r="BL28" s="595">
        <f t="shared" ca="1" si="9"/>
        <v>0</v>
      </c>
      <c r="BM28" s="595"/>
      <c r="BN28" s="413"/>
      <c r="BO28" s="2789">
        <f t="shared" ref="BO28:DF28" ca="1" si="69">SUM(BO26:BO27)</f>
        <v>0</v>
      </c>
      <c r="BP28" s="2790">
        <f t="shared" ca="1" si="69"/>
        <v>0</v>
      </c>
      <c r="BQ28" s="2790">
        <f t="shared" ca="1" si="69"/>
        <v>0</v>
      </c>
      <c r="BR28" s="2790">
        <f t="shared" ca="1" si="69"/>
        <v>0</v>
      </c>
      <c r="BS28" s="2790">
        <f t="shared" ca="1" si="69"/>
        <v>0</v>
      </c>
      <c r="BT28" s="2790">
        <f t="shared" ca="1" si="69"/>
        <v>0</v>
      </c>
      <c r="BU28" s="2790">
        <f t="shared" ca="1" si="69"/>
        <v>0</v>
      </c>
      <c r="BV28" s="2790">
        <f t="shared" ca="1" si="69"/>
        <v>0</v>
      </c>
      <c r="BW28" s="2790">
        <f t="shared" ca="1" si="69"/>
        <v>0</v>
      </c>
      <c r="BX28" s="2790">
        <f t="shared" ca="1" si="69"/>
        <v>0</v>
      </c>
      <c r="BY28" s="2790">
        <f t="shared" ca="1" si="69"/>
        <v>0</v>
      </c>
      <c r="BZ28" s="2790">
        <f t="shared" ca="1" si="69"/>
        <v>0</v>
      </c>
      <c r="CA28" s="2790">
        <f t="shared" ca="1" si="69"/>
        <v>0</v>
      </c>
      <c r="CB28" s="2790">
        <f t="shared" ca="1" si="69"/>
        <v>0</v>
      </c>
      <c r="CC28" s="2790">
        <f t="shared" ca="1" si="69"/>
        <v>0</v>
      </c>
      <c r="CD28" s="2790">
        <f t="shared" ca="1" si="69"/>
        <v>0</v>
      </c>
      <c r="CE28" s="2790">
        <f t="shared" ca="1" si="69"/>
        <v>0</v>
      </c>
      <c r="CF28" s="2790">
        <f t="shared" ca="1" si="69"/>
        <v>0</v>
      </c>
      <c r="CG28" s="2790">
        <f t="shared" ca="1" si="69"/>
        <v>0</v>
      </c>
      <c r="CH28" s="2790">
        <f t="shared" ca="1" si="69"/>
        <v>0</v>
      </c>
      <c r="CI28" s="2790">
        <f t="shared" ca="1" si="69"/>
        <v>0</v>
      </c>
      <c r="CJ28" s="2790">
        <f t="shared" ca="1" si="69"/>
        <v>0</v>
      </c>
      <c r="CK28" s="2790">
        <f t="shared" ca="1" si="69"/>
        <v>0</v>
      </c>
      <c r="CL28" s="2790">
        <f t="shared" ca="1" si="69"/>
        <v>0</v>
      </c>
      <c r="CM28" s="2790">
        <f t="shared" ca="1" si="69"/>
        <v>0</v>
      </c>
      <c r="CN28" s="2790">
        <f t="shared" ca="1" si="69"/>
        <v>0</v>
      </c>
      <c r="CO28" s="2790">
        <f t="shared" ca="1" si="69"/>
        <v>0</v>
      </c>
      <c r="CP28" s="2790">
        <f t="shared" ca="1" si="69"/>
        <v>0</v>
      </c>
      <c r="CQ28" s="2790">
        <f t="shared" ca="1" si="69"/>
        <v>0</v>
      </c>
      <c r="CR28" s="2790">
        <f t="shared" ca="1" si="69"/>
        <v>0</v>
      </c>
      <c r="CS28" s="2790">
        <f t="shared" ca="1" si="69"/>
        <v>0</v>
      </c>
      <c r="CT28" s="2790">
        <f t="shared" ca="1" si="69"/>
        <v>0</v>
      </c>
      <c r="CU28" s="2790">
        <f t="shared" ca="1" si="69"/>
        <v>2.1274829843715231</v>
      </c>
      <c r="CV28" s="2790">
        <f t="shared" ca="1" si="69"/>
        <v>1.8285324422292765E-3</v>
      </c>
      <c r="CW28" s="2790">
        <f t="shared" ca="1" si="69"/>
        <v>5.3985243532483403E-3</v>
      </c>
      <c r="CX28" s="2790">
        <f t="shared" ca="1" si="69"/>
        <v>0</v>
      </c>
      <c r="CY28" s="2790">
        <f t="shared" ca="1" si="69"/>
        <v>0</v>
      </c>
      <c r="CZ28" s="2790">
        <f t="shared" ca="1" si="69"/>
        <v>0</v>
      </c>
      <c r="DA28" s="2790">
        <f t="shared" ca="1" si="69"/>
        <v>0</v>
      </c>
      <c r="DB28" s="2790">
        <f t="shared" ca="1" si="69"/>
        <v>0</v>
      </c>
      <c r="DC28" s="2790">
        <f t="shared" ca="1" si="69"/>
        <v>0</v>
      </c>
      <c r="DD28" s="2790">
        <f t="shared" ca="1" si="69"/>
        <v>0</v>
      </c>
      <c r="DE28" s="2790">
        <f t="shared" ca="1" si="69"/>
        <v>0</v>
      </c>
      <c r="DF28" s="2790">
        <f t="shared" ca="1" si="69"/>
        <v>0</v>
      </c>
      <c r="DH28" s="596">
        <f t="shared" ca="1" si="32"/>
        <v>2.1347100411670006</v>
      </c>
    </row>
    <row r="29" spans="1:112" s="6" customFormat="1">
      <c r="A29" s="586"/>
      <c r="B29" s="586"/>
      <c r="C29" s="587" t="s">
        <v>486</v>
      </c>
      <c r="D29" s="623" t="s">
        <v>374</v>
      </c>
      <c r="E29" s="599"/>
      <c r="G29" s="589">
        <f t="shared" ref="G29:P30" ca="1" si="70">IFERROR(INDEX(INDIRECT($C29&amp;".Outputs["&amp;this.Year&amp;"]"), MATCH(G$5, INDIRECT($C29&amp;".Outputs[Vector]"), 0)), 0)</f>
        <v>0</v>
      </c>
      <c r="H29" s="589">
        <f t="shared" ca="1" si="70"/>
        <v>0</v>
      </c>
      <c r="I29" s="589">
        <f t="shared" ca="1" si="70"/>
        <v>0</v>
      </c>
      <c r="J29" s="589">
        <f t="shared" ca="1" si="70"/>
        <v>0</v>
      </c>
      <c r="K29" s="589">
        <f t="shared" ca="1" si="70"/>
        <v>0</v>
      </c>
      <c r="L29" s="589">
        <f t="shared" ca="1" si="70"/>
        <v>0</v>
      </c>
      <c r="M29" s="589">
        <f t="shared" ca="1" si="70"/>
        <v>0</v>
      </c>
      <c r="N29" s="589">
        <f t="shared" ca="1" si="70"/>
        <v>0</v>
      </c>
      <c r="O29" s="589">
        <f t="shared" ca="1" si="70"/>
        <v>0</v>
      </c>
      <c r="P29" s="589">
        <f t="shared" ca="1" si="70"/>
        <v>0</v>
      </c>
      <c r="Q29" s="590">
        <f t="shared" ca="1" si="54"/>
        <v>0</v>
      </c>
      <c r="S29" s="591">
        <f t="shared" ca="1" si="55"/>
        <v>0</v>
      </c>
      <c r="T29" s="591">
        <f t="shared" ca="1" si="55"/>
        <v>0</v>
      </c>
      <c r="U29" s="591">
        <f t="shared" ca="1" si="55"/>
        <v>0</v>
      </c>
      <c r="V29" s="591">
        <f t="shared" ca="1" si="55"/>
        <v>0</v>
      </c>
      <c r="W29" s="591">
        <f t="shared" ca="1" si="55"/>
        <v>0</v>
      </c>
      <c r="X29" s="591">
        <f t="shared" ca="1" si="55"/>
        <v>0</v>
      </c>
      <c r="Y29" s="591">
        <f t="shared" ca="1" si="55"/>
        <v>0</v>
      </c>
      <c r="Z29" s="591">
        <f t="shared" ca="1" si="55"/>
        <v>0</v>
      </c>
      <c r="AA29" s="591">
        <f t="shared" ca="1" si="55"/>
        <v>0</v>
      </c>
      <c r="AB29" s="591">
        <f t="shared" ca="1" si="55"/>
        <v>0</v>
      </c>
      <c r="AC29" s="591">
        <f t="shared" ca="1" si="55"/>
        <v>0</v>
      </c>
      <c r="AD29" s="591">
        <f t="shared" ca="1" si="55"/>
        <v>0</v>
      </c>
      <c r="AE29" s="591">
        <f t="shared" ca="1" si="55"/>
        <v>0</v>
      </c>
      <c r="AF29" s="591">
        <f t="shared" ca="1" si="55"/>
        <v>0</v>
      </c>
      <c r="AG29" s="591">
        <f t="shared" ca="1" si="55"/>
        <v>0</v>
      </c>
      <c r="AH29" s="591">
        <f t="shared" ca="1" si="55"/>
        <v>0</v>
      </c>
      <c r="AI29" s="591">
        <f t="shared" ca="1" si="55"/>
        <v>0</v>
      </c>
      <c r="AJ29" s="591">
        <f t="shared" ca="1" si="55"/>
        <v>0</v>
      </c>
      <c r="AK29" s="592">
        <f t="shared" ca="1" si="56"/>
        <v>0</v>
      </c>
      <c r="AM29" s="593">
        <f t="shared" ref="AM29:BB30" ca="1" si="71">IFERROR(INDEX(INDIRECT($C29&amp;".Outputs["&amp;this.Year&amp;"]"), MATCH(AM$5, INDIRECT($C29&amp;".Outputs[Vector]"), 0)), 0)</f>
        <v>0</v>
      </c>
      <c r="AN29" s="593">
        <f t="shared" ca="1" si="71"/>
        <v>0</v>
      </c>
      <c r="AO29" s="593">
        <f t="shared" ca="1" si="71"/>
        <v>0</v>
      </c>
      <c r="AP29" s="593">
        <f t="shared" ca="1" si="71"/>
        <v>0</v>
      </c>
      <c r="AQ29" s="593">
        <f t="shared" ca="1" si="71"/>
        <v>0</v>
      </c>
      <c r="AR29" s="593">
        <f t="shared" ca="1" si="71"/>
        <v>0</v>
      </c>
      <c r="AS29" s="593">
        <f t="shared" ca="1" si="71"/>
        <v>0</v>
      </c>
      <c r="AT29" s="593">
        <f t="shared" ca="1" si="71"/>
        <v>0</v>
      </c>
      <c r="AU29" s="593">
        <f t="shared" ca="1" si="71"/>
        <v>0</v>
      </c>
      <c r="AV29" s="593">
        <f t="shared" ca="1" si="71"/>
        <v>0</v>
      </c>
      <c r="AW29" s="593">
        <f t="shared" ca="1" si="71"/>
        <v>0</v>
      </c>
      <c r="AX29" s="593">
        <f t="shared" ca="1" si="71"/>
        <v>0</v>
      </c>
      <c r="AY29" s="593">
        <f t="shared" ca="1" si="71"/>
        <v>0</v>
      </c>
      <c r="AZ29" s="593">
        <f t="shared" ca="1" si="71"/>
        <v>0</v>
      </c>
      <c r="BA29" s="593">
        <f t="shared" ca="1" si="71"/>
        <v>0</v>
      </c>
      <c r="BB29" s="593">
        <f t="shared" ca="1" si="71"/>
        <v>0</v>
      </c>
      <c r="BC29" s="593">
        <f t="shared" ref="BC29:BE30" ca="1" si="72">IFERROR(INDEX(INDIRECT($C29&amp;".Outputs["&amp;this.Year&amp;"]"), MATCH(BC$5, INDIRECT($C29&amp;".Outputs[Vector]"), 0)), 0)</f>
        <v>0</v>
      </c>
      <c r="BD29" s="593">
        <f t="shared" ca="1" si="72"/>
        <v>0</v>
      </c>
      <c r="BE29" s="593">
        <f t="shared" ca="1" si="72"/>
        <v>0</v>
      </c>
      <c r="BF29" s="609">
        <f t="shared" ca="1" si="59"/>
        <v>0</v>
      </c>
      <c r="BH29" s="3471">
        <f t="shared" ca="1" si="60"/>
        <v>0</v>
      </c>
      <c r="BI29" s="3471">
        <f t="shared" ca="1" si="60"/>
        <v>0</v>
      </c>
      <c r="BJ29" s="3460">
        <f t="shared" ca="1" si="61"/>
        <v>0</v>
      </c>
      <c r="BL29" s="610">
        <f t="shared" ca="1" si="9"/>
        <v>0</v>
      </c>
      <c r="BM29" s="610"/>
      <c r="BN29" s="413"/>
      <c r="BO29" s="2789">
        <f t="shared" ref="BO29:BX30" ca="1" si="73">IFERROR(SUMIFS(INDIRECT($C29&amp;".Emissions["&amp;this.Year&amp;"]"), INDIRECT($C29&amp;".Emissions[GHG]"), BO$6, INDIRECT($C29&amp;".Emissions[IPCC Sector]"), BO$5),0)</f>
        <v>0</v>
      </c>
      <c r="BP29" s="2790">
        <f t="shared" ca="1" si="73"/>
        <v>0</v>
      </c>
      <c r="BQ29" s="2790">
        <f t="shared" ca="1" si="73"/>
        <v>0</v>
      </c>
      <c r="BR29" s="2790">
        <f t="shared" ca="1" si="73"/>
        <v>0</v>
      </c>
      <c r="BS29" s="2790">
        <f t="shared" ca="1" si="73"/>
        <v>0</v>
      </c>
      <c r="BT29" s="2790">
        <f t="shared" ca="1" si="73"/>
        <v>0</v>
      </c>
      <c r="BU29" s="2790">
        <f t="shared" ca="1" si="73"/>
        <v>0</v>
      </c>
      <c r="BV29" s="2790">
        <f t="shared" ca="1" si="73"/>
        <v>0</v>
      </c>
      <c r="BW29" s="2790">
        <f t="shared" ca="1" si="73"/>
        <v>0</v>
      </c>
      <c r="BX29" s="2790">
        <f t="shared" ca="1" si="73"/>
        <v>0</v>
      </c>
      <c r="BY29" s="2790">
        <f t="shared" ref="BY29:CH30" ca="1" si="74">IFERROR(SUMIFS(INDIRECT($C29&amp;".Emissions["&amp;this.Year&amp;"]"), INDIRECT($C29&amp;".Emissions[GHG]"), BY$6, INDIRECT($C29&amp;".Emissions[IPCC Sector]"), BY$5),0)</f>
        <v>0</v>
      </c>
      <c r="BZ29" s="2790">
        <f t="shared" ca="1" si="74"/>
        <v>0</v>
      </c>
      <c r="CA29" s="2790">
        <f t="shared" ca="1" si="74"/>
        <v>0</v>
      </c>
      <c r="CB29" s="2790">
        <f t="shared" ca="1" si="74"/>
        <v>0</v>
      </c>
      <c r="CC29" s="2790">
        <f t="shared" ca="1" si="74"/>
        <v>0</v>
      </c>
      <c r="CD29" s="2790">
        <f t="shared" ca="1" si="74"/>
        <v>0</v>
      </c>
      <c r="CE29" s="2790">
        <f t="shared" ca="1" si="74"/>
        <v>0</v>
      </c>
      <c r="CF29" s="2790">
        <f t="shared" ca="1" si="74"/>
        <v>0</v>
      </c>
      <c r="CG29" s="2790">
        <f t="shared" ca="1" si="74"/>
        <v>0</v>
      </c>
      <c r="CH29" s="2790">
        <f t="shared" ca="1" si="74"/>
        <v>0</v>
      </c>
      <c r="CI29" s="2790">
        <f t="shared" ref="CI29:CR30" ca="1" si="75">IFERROR(SUMIFS(INDIRECT($C29&amp;".Emissions["&amp;this.Year&amp;"]"), INDIRECT($C29&amp;".Emissions[GHG]"), CI$6, INDIRECT($C29&amp;".Emissions[IPCC Sector]"), CI$5),0)</f>
        <v>0</v>
      </c>
      <c r="CJ29" s="2790">
        <f t="shared" ca="1" si="75"/>
        <v>0</v>
      </c>
      <c r="CK29" s="2790">
        <f t="shared" ca="1" si="75"/>
        <v>0</v>
      </c>
      <c r="CL29" s="2790">
        <f t="shared" ca="1" si="75"/>
        <v>0</v>
      </c>
      <c r="CM29" s="2790">
        <f t="shared" ca="1" si="75"/>
        <v>0</v>
      </c>
      <c r="CN29" s="2790">
        <f t="shared" ca="1" si="75"/>
        <v>0</v>
      </c>
      <c r="CO29" s="2790">
        <f t="shared" ca="1" si="75"/>
        <v>0</v>
      </c>
      <c r="CP29" s="2790">
        <f t="shared" ca="1" si="75"/>
        <v>0</v>
      </c>
      <c r="CQ29" s="2790">
        <f t="shared" ca="1" si="75"/>
        <v>0</v>
      </c>
      <c r="CR29" s="2790">
        <f t="shared" ca="1" si="75"/>
        <v>0</v>
      </c>
      <c r="CS29" s="2790">
        <f t="shared" ref="CS29:DF30" ca="1" si="76">IFERROR(SUMIFS(INDIRECT($C29&amp;".Emissions["&amp;this.Year&amp;"]"), INDIRECT($C29&amp;".Emissions[GHG]"), CS$6, INDIRECT($C29&amp;".Emissions[IPCC Sector]"), CS$5),0)</f>
        <v>0</v>
      </c>
      <c r="CT29" s="2790">
        <f t="shared" ca="1" si="76"/>
        <v>0</v>
      </c>
      <c r="CU29" s="2790">
        <f t="shared" ca="1" si="76"/>
        <v>0</v>
      </c>
      <c r="CV29" s="2790">
        <f t="shared" ca="1" si="76"/>
        <v>0</v>
      </c>
      <c r="CW29" s="2790">
        <f t="shared" ca="1" si="76"/>
        <v>0</v>
      </c>
      <c r="CX29" s="2790">
        <f t="shared" ca="1" si="76"/>
        <v>0</v>
      </c>
      <c r="CY29" s="2790">
        <f t="shared" ca="1" si="76"/>
        <v>0</v>
      </c>
      <c r="CZ29" s="2790">
        <f t="shared" ca="1" si="76"/>
        <v>0</v>
      </c>
      <c r="DA29" s="2790">
        <f t="shared" ca="1" si="76"/>
        <v>0</v>
      </c>
      <c r="DB29" s="2790">
        <f t="shared" ca="1" si="76"/>
        <v>0</v>
      </c>
      <c r="DC29" s="2790">
        <f t="shared" ca="1" si="76"/>
        <v>0</v>
      </c>
      <c r="DD29" s="2790">
        <f t="shared" ca="1" si="76"/>
        <v>0</v>
      </c>
      <c r="DE29" s="2790">
        <f t="shared" ca="1" si="76"/>
        <v>0</v>
      </c>
      <c r="DF29" s="2790">
        <f t="shared" ca="1" si="76"/>
        <v>0</v>
      </c>
      <c r="DH29" s="596">
        <f t="shared" ca="1" si="32"/>
        <v>0</v>
      </c>
    </row>
    <row r="30" spans="1:112" s="6" customFormat="1">
      <c r="A30" s="597"/>
      <c r="B30" s="597"/>
      <c r="C30" s="598" t="s">
        <v>487</v>
      </c>
      <c r="D30" s="624" t="s">
        <v>488</v>
      </c>
      <c r="E30" s="599"/>
      <c r="G30" s="600">
        <f t="shared" ca="1" si="70"/>
        <v>0</v>
      </c>
      <c r="H30" s="600">
        <f t="shared" ca="1" si="70"/>
        <v>0</v>
      </c>
      <c r="I30" s="600">
        <f t="shared" ca="1" si="70"/>
        <v>0</v>
      </c>
      <c r="J30" s="600">
        <f t="shared" ca="1" si="70"/>
        <v>0</v>
      </c>
      <c r="K30" s="600">
        <f t="shared" ca="1" si="70"/>
        <v>0</v>
      </c>
      <c r="L30" s="600">
        <f t="shared" ca="1" si="70"/>
        <v>0</v>
      </c>
      <c r="M30" s="600">
        <f t="shared" ca="1" si="70"/>
        <v>0</v>
      </c>
      <c r="N30" s="600">
        <f t="shared" ca="1" si="70"/>
        <v>0</v>
      </c>
      <c r="O30" s="600">
        <f t="shared" ca="1" si="70"/>
        <v>0</v>
      </c>
      <c r="P30" s="600">
        <f t="shared" ca="1" si="70"/>
        <v>0</v>
      </c>
      <c r="Q30" s="601">
        <f t="shared" ca="1" si="54"/>
        <v>0</v>
      </c>
      <c r="S30" s="602">
        <f t="shared" ca="1" si="55"/>
        <v>0</v>
      </c>
      <c r="T30" s="602">
        <f t="shared" ca="1" si="55"/>
        <v>0</v>
      </c>
      <c r="U30" s="602">
        <f t="shared" ca="1" si="55"/>
        <v>0</v>
      </c>
      <c r="V30" s="602">
        <f t="shared" ca="1" si="55"/>
        <v>0</v>
      </c>
      <c r="W30" s="602">
        <f t="shared" ca="1" si="55"/>
        <v>0</v>
      </c>
      <c r="X30" s="602">
        <f t="shared" ca="1" si="55"/>
        <v>0</v>
      </c>
      <c r="Y30" s="602">
        <f t="shared" ca="1" si="55"/>
        <v>0</v>
      </c>
      <c r="Z30" s="602">
        <f t="shared" ca="1" si="55"/>
        <v>0</v>
      </c>
      <c r="AA30" s="602">
        <f t="shared" ca="1" si="55"/>
        <v>0</v>
      </c>
      <c r="AB30" s="602">
        <f t="shared" ca="1" si="55"/>
        <v>0</v>
      </c>
      <c r="AC30" s="602">
        <f t="shared" ca="1" si="55"/>
        <v>0</v>
      </c>
      <c r="AD30" s="602">
        <f t="shared" ca="1" si="55"/>
        <v>0</v>
      </c>
      <c r="AE30" s="602">
        <f t="shared" ca="1" si="55"/>
        <v>0</v>
      </c>
      <c r="AF30" s="602">
        <f t="shared" ca="1" si="55"/>
        <v>0</v>
      </c>
      <c r="AG30" s="602">
        <f t="shared" ca="1" si="55"/>
        <v>0</v>
      </c>
      <c r="AH30" s="602">
        <f t="shared" ca="1" si="55"/>
        <v>0</v>
      </c>
      <c r="AI30" s="602">
        <f t="shared" ca="1" si="55"/>
        <v>0</v>
      </c>
      <c r="AJ30" s="602">
        <f t="shared" ca="1" si="55"/>
        <v>0</v>
      </c>
      <c r="AK30" s="603">
        <f t="shared" ca="1" si="56"/>
        <v>0</v>
      </c>
      <c r="AM30" s="604">
        <f t="shared" ca="1" si="71"/>
        <v>0</v>
      </c>
      <c r="AN30" s="604">
        <f t="shared" ca="1" si="71"/>
        <v>0</v>
      </c>
      <c r="AO30" s="604">
        <f t="shared" ca="1" si="71"/>
        <v>0</v>
      </c>
      <c r="AP30" s="604">
        <f t="shared" ca="1" si="71"/>
        <v>0</v>
      </c>
      <c r="AQ30" s="604">
        <f t="shared" ca="1" si="71"/>
        <v>0</v>
      </c>
      <c r="AR30" s="604">
        <f t="shared" ca="1" si="71"/>
        <v>0</v>
      </c>
      <c r="AS30" s="604">
        <f t="shared" ca="1" si="71"/>
        <v>0</v>
      </c>
      <c r="AT30" s="604">
        <f t="shared" ca="1" si="71"/>
        <v>0</v>
      </c>
      <c r="AU30" s="604">
        <f t="shared" ca="1" si="71"/>
        <v>0</v>
      </c>
      <c r="AV30" s="604">
        <f t="shared" ca="1" si="71"/>
        <v>0</v>
      </c>
      <c r="AW30" s="604">
        <f t="shared" ca="1" si="71"/>
        <v>0</v>
      </c>
      <c r="AX30" s="604">
        <f t="shared" ca="1" si="71"/>
        <v>0</v>
      </c>
      <c r="AY30" s="604">
        <f t="shared" ca="1" si="71"/>
        <v>0</v>
      </c>
      <c r="AZ30" s="604">
        <f t="shared" ca="1" si="71"/>
        <v>0</v>
      </c>
      <c r="BA30" s="604">
        <f t="shared" ca="1" si="71"/>
        <v>0</v>
      </c>
      <c r="BB30" s="604">
        <f t="shared" ca="1" si="71"/>
        <v>0</v>
      </c>
      <c r="BC30" s="604">
        <f t="shared" ca="1" si="72"/>
        <v>0</v>
      </c>
      <c r="BD30" s="604">
        <f t="shared" ca="1" si="72"/>
        <v>0</v>
      </c>
      <c r="BE30" s="604">
        <f t="shared" ca="1" si="72"/>
        <v>0</v>
      </c>
      <c r="BF30" s="605">
        <f t="shared" ca="1" si="59"/>
        <v>0</v>
      </c>
      <c r="BH30" s="3472">
        <f t="shared" ca="1" si="60"/>
        <v>0</v>
      </c>
      <c r="BI30" s="3472">
        <f t="shared" ca="1" si="60"/>
        <v>0</v>
      </c>
      <c r="BJ30" s="3461">
        <f t="shared" ca="1" si="61"/>
        <v>0</v>
      </c>
      <c r="BL30" s="606">
        <f t="shared" ca="1" si="9"/>
        <v>0</v>
      </c>
      <c r="BM30" s="606"/>
      <c r="BN30" s="413"/>
      <c r="BO30" s="2789">
        <f t="shared" ca="1" si="73"/>
        <v>0</v>
      </c>
      <c r="BP30" s="2790">
        <f t="shared" ca="1" si="73"/>
        <v>0</v>
      </c>
      <c r="BQ30" s="2790">
        <f t="shared" ca="1" si="73"/>
        <v>0</v>
      </c>
      <c r="BR30" s="2790">
        <f t="shared" ca="1" si="73"/>
        <v>0</v>
      </c>
      <c r="BS30" s="2790">
        <f t="shared" ca="1" si="73"/>
        <v>0</v>
      </c>
      <c r="BT30" s="2790">
        <f t="shared" ca="1" si="73"/>
        <v>0</v>
      </c>
      <c r="BU30" s="2790">
        <f t="shared" ca="1" si="73"/>
        <v>0</v>
      </c>
      <c r="BV30" s="2790">
        <f t="shared" ca="1" si="73"/>
        <v>0</v>
      </c>
      <c r="BW30" s="2790">
        <f t="shared" ca="1" si="73"/>
        <v>0</v>
      </c>
      <c r="BX30" s="2790">
        <f t="shared" ca="1" si="73"/>
        <v>0</v>
      </c>
      <c r="BY30" s="2790">
        <f t="shared" ca="1" si="74"/>
        <v>0</v>
      </c>
      <c r="BZ30" s="2790">
        <f t="shared" ca="1" si="74"/>
        <v>0</v>
      </c>
      <c r="CA30" s="2790">
        <f t="shared" ca="1" si="74"/>
        <v>0</v>
      </c>
      <c r="CB30" s="2790">
        <f t="shared" ca="1" si="74"/>
        <v>0</v>
      </c>
      <c r="CC30" s="2790">
        <f t="shared" ca="1" si="74"/>
        <v>0</v>
      </c>
      <c r="CD30" s="2790">
        <f t="shared" ca="1" si="74"/>
        <v>0</v>
      </c>
      <c r="CE30" s="2790">
        <f t="shared" ca="1" si="74"/>
        <v>0</v>
      </c>
      <c r="CF30" s="2790">
        <f t="shared" ca="1" si="74"/>
        <v>0</v>
      </c>
      <c r="CG30" s="2790">
        <f t="shared" ca="1" si="74"/>
        <v>0</v>
      </c>
      <c r="CH30" s="2790">
        <f t="shared" ca="1" si="74"/>
        <v>0</v>
      </c>
      <c r="CI30" s="2790">
        <f t="shared" ca="1" si="75"/>
        <v>0</v>
      </c>
      <c r="CJ30" s="2790">
        <f t="shared" ca="1" si="75"/>
        <v>0</v>
      </c>
      <c r="CK30" s="2790">
        <f t="shared" ca="1" si="75"/>
        <v>0</v>
      </c>
      <c r="CL30" s="2790">
        <f t="shared" ca="1" si="75"/>
        <v>0</v>
      </c>
      <c r="CM30" s="2790">
        <f t="shared" ca="1" si="75"/>
        <v>0</v>
      </c>
      <c r="CN30" s="2790">
        <f t="shared" ca="1" si="75"/>
        <v>0</v>
      </c>
      <c r="CO30" s="2790">
        <f t="shared" ca="1" si="75"/>
        <v>0</v>
      </c>
      <c r="CP30" s="2790">
        <f t="shared" ca="1" si="75"/>
        <v>0</v>
      </c>
      <c r="CQ30" s="2790">
        <f t="shared" ca="1" si="75"/>
        <v>0</v>
      </c>
      <c r="CR30" s="2790">
        <f t="shared" ca="1" si="75"/>
        <v>0</v>
      </c>
      <c r="CS30" s="2790">
        <f t="shared" ca="1" si="76"/>
        <v>0</v>
      </c>
      <c r="CT30" s="2790">
        <f t="shared" ca="1" si="76"/>
        <v>0</v>
      </c>
      <c r="CU30" s="2790">
        <f t="shared" ca="1" si="76"/>
        <v>0</v>
      </c>
      <c r="CV30" s="2790">
        <f t="shared" ca="1" si="76"/>
        <v>0</v>
      </c>
      <c r="CW30" s="2790">
        <f t="shared" ca="1" si="76"/>
        <v>0</v>
      </c>
      <c r="CX30" s="2790">
        <f t="shared" ca="1" si="76"/>
        <v>0</v>
      </c>
      <c r="CY30" s="2790">
        <f t="shared" ca="1" si="76"/>
        <v>0</v>
      </c>
      <c r="CZ30" s="2790">
        <f t="shared" ca="1" si="76"/>
        <v>0</v>
      </c>
      <c r="DA30" s="2790">
        <f t="shared" ca="1" si="76"/>
        <v>0</v>
      </c>
      <c r="DB30" s="2790">
        <f t="shared" ca="1" si="76"/>
        <v>0</v>
      </c>
      <c r="DC30" s="2790">
        <f t="shared" ca="1" si="76"/>
        <v>0</v>
      </c>
      <c r="DD30" s="2790">
        <f t="shared" ca="1" si="76"/>
        <v>0</v>
      </c>
      <c r="DE30" s="2790">
        <f t="shared" ca="1" si="76"/>
        <v>0</v>
      </c>
      <c r="DF30" s="2790">
        <f t="shared" ca="1" si="76"/>
        <v>0</v>
      </c>
      <c r="DH30" s="596">
        <f t="shared" ca="1" si="32"/>
        <v>0</v>
      </c>
    </row>
    <row r="31" spans="1:112" s="6" customFormat="1">
      <c r="A31" s="607"/>
      <c r="B31" s="607"/>
      <c r="C31" s="587"/>
      <c r="D31" s="625" t="s">
        <v>489</v>
      </c>
      <c r="E31" s="611"/>
      <c r="G31" s="612">
        <f t="shared" ref="G31:P31" ca="1" si="77">SUM(G29:G30)</f>
        <v>0</v>
      </c>
      <c r="H31" s="612">
        <f t="shared" ca="1" si="77"/>
        <v>0</v>
      </c>
      <c r="I31" s="612">
        <f t="shared" ca="1" si="77"/>
        <v>0</v>
      </c>
      <c r="J31" s="612">
        <f t="shared" ca="1" si="77"/>
        <v>0</v>
      </c>
      <c r="K31" s="612">
        <f t="shared" ca="1" si="77"/>
        <v>0</v>
      </c>
      <c r="L31" s="612">
        <f t="shared" ca="1" si="77"/>
        <v>0</v>
      </c>
      <c r="M31" s="612">
        <f t="shared" ca="1" si="77"/>
        <v>0</v>
      </c>
      <c r="N31" s="612">
        <f t="shared" ca="1" si="77"/>
        <v>0</v>
      </c>
      <c r="O31" s="612">
        <f t="shared" ca="1" si="77"/>
        <v>0</v>
      </c>
      <c r="P31" s="612">
        <f t="shared" ca="1" si="77"/>
        <v>0</v>
      </c>
      <c r="Q31" s="612">
        <f t="shared" ca="1" si="54"/>
        <v>0</v>
      </c>
      <c r="S31" s="613">
        <f t="shared" ref="S31:AJ31" ca="1" si="78">SUM(S29:S30)</f>
        <v>0</v>
      </c>
      <c r="T31" s="613">
        <f t="shared" ca="1" si="78"/>
        <v>0</v>
      </c>
      <c r="U31" s="613">
        <f t="shared" ca="1" si="78"/>
        <v>0</v>
      </c>
      <c r="V31" s="613">
        <f t="shared" ca="1" si="78"/>
        <v>0</v>
      </c>
      <c r="W31" s="613">
        <f t="shared" ca="1" si="78"/>
        <v>0</v>
      </c>
      <c r="X31" s="626">
        <f t="shared" ca="1" si="78"/>
        <v>0</v>
      </c>
      <c r="Y31" s="626">
        <f t="shared" ca="1" si="78"/>
        <v>0</v>
      </c>
      <c r="Z31" s="626">
        <f t="shared" ca="1" si="78"/>
        <v>0</v>
      </c>
      <c r="AA31" s="613">
        <f t="shared" ca="1" si="78"/>
        <v>0</v>
      </c>
      <c r="AB31" s="613">
        <f t="shared" ca="1" si="78"/>
        <v>0</v>
      </c>
      <c r="AC31" s="613">
        <f t="shared" ca="1" si="78"/>
        <v>0</v>
      </c>
      <c r="AD31" s="613">
        <f t="shared" ca="1" si="78"/>
        <v>0</v>
      </c>
      <c r="AE31" s="613">
        <f ca="1">SUM(AE29:AE30)</f>
        <v>0</v>
      </c>
      <c r="AF31" s="613">
        <f t="shared" ca="1" si="78"/>
        <v>0</v>
      </c>
      <c r="AG31" s="613">
        <f t="shared" ca="1" si="78"/>
        <v>0</v>
      </c>
      <c r="AH31" s="613">
        <f ca="1">SUM(AH29:AH30)</f>
        <v>0</v>
      </c>
      <c r="AI31" s="613">
        <f t="shared" ca="1" si="78"/>
        <v>0</v>
      </c>
      <c r="AJ31" s="613">
        <f t="shared" ca="1" si="78"/>
        <v>0</v>
      </c>
      <c r="AK31" s="613">
        <f t="shared" ca="1" si="56"/>
        <v>0</v>
      </c>
      <c r="AM31" s="627">
        <f t="shared" ref="AM31:BE31" ca="1" si="79">SUM(AM29:AM30)</f>
        <v>0</v>
      </c>
      <c r="AN31" s="627">
        <f t="shared" ca="1" si="79"/>
        <v>0</v>
      </c>
      <c r="AO31" s="627">
        <f t="shared" ca="1" si="79"/>
        <v>0</v>
      </c>
      <c r="AP31" s="627">
        <f t="shared" ca="1" si="79"/>
        <v>0</v>
      </c>
      <c r="AQ31" s="627">
        <f t="shared" ca="1" si="79"/>
        <v>0</v>
      </c>
      <c r="AR31" s="627">
        <f t="shared" ca="1" si="79"/>
        <v>0</v>
      </c>
      <c r="AS31" s="627">
        <f t="shared" ca="1" si="79"/>
        <v>0</v>
      </c>
      <c r="AT31" s="627">
        <f t="shared" ca="1" si="79"/>
        <v>0</v>
      </c>
      <c r="AU31" s="627">
        <f t="shared" ca="1" si="79"/>
        <v>0</v>
      </c>
      <c r="AV31" s="627">
        <f t="shared" ca="1" si="79"/>
        <v>0</v>
      </c>
      <c r="AW31" s="627">
        <f t="shared" ca="1" si="79"/>
        <v>0</v>
      </c>
      <c r="AX31" s="627">
        <f t="shared" ca="1" si="79"/>
        <v>0</v>
      </c>
      <c r="AY31" s="627">
        <f t="shared" ca="1" si="79"/>
        <v>0</v>
      </c>
      <c r="AZ31" s="627">
        <f t="shared" ca="1" si="79"/>
        <v>0</v>
      </c>
      <c r="BA31" s="627">
        <f t="shared" ca="1" si="79"/>
        <v>0</v>
      </c>
      <c r="BB31" s="627">
        <f t="shared" ca="1" si="79"/>
        <v>0</v>
      </c>
      <c r="BC31" s="627">
        <f t="shared" ca="1" si="79"/>
        <v>0</v>
      </c>
      <c r="BD31" s="627">
        <f ca="1">SUM(BD29:BD30)</f>
        <v>0</v>
      </c>
      <c r="BE31" s="627">
        <f t="shared" ca="1" si="79"/>
        <v>0</v>
      </c>
      <c r="BF31" s="628">
        <f t="shared" ca="1" si="59"/>
        <v>0</v>
      </c>
      <c r="BH31" s="3474">
        <f ca="1">SUM(BH29:BH30)</f>
        <v>0</v>
      </c>
      <c r="BI31" s="3474">
        <f ca="1">SUM(BI29:BI30)</f>
        <v>0</v>
      </c>
      <c r="BJ31" s="3462">
        <f t="shared" ca="1" si="61"/>
        <v>0</v>
      </c>
      <c r="BL31" s="595">
        <f t="shared" ca="1" si="9"/>
        <v>0</v>
      </c>
      <c r="BM31" s="595"/>
      <c r="BN31" s="607"/>
      <c r="BO31" s="2791">
        <f t="shared" ref="BO31:DF31" ca="1" si="80">SUM(BO29:BO30)</f>
        <v>0</v>
      </c>
      <c r="BP31" s="2792">
        <f t="shared" ca="1" si="80"/>
        <v>0</v>
      </c>
      <c r="BQ31" s="2792">
        <f t="shared" ca="1" si="80"/>
        <v>0</v>
      </c>
      <c r="BR31" s="2792">
        <f t="shared" ca="1" si="80"/>
        <v>0</v>
      </c>
      <c r="BS31" s="2792">
        <f t="shared" ca="1" si="80"/>
        <v>0</v>
      </c>
      <c r="BT31" s="2792">
        <f t="shared" ca="1" si="80"/>
        <v>0</v>
      </c>
      <c r="BU31" s="2792">
        <f t="shared" ca="1" si="80"/>
        <v>0</v>
      </c>
      <c r="BV31" s="2792">
        <f t="shared" ca="1" si="80"/>
        <v>0</v>
      </c>
      <c r="BW31" s="2792">
        <f t="shared" ca="1" si="80"/>
        <v>0</v>
      </c>
      <c r="BX31" s="2792">
        <f t="shared" ca="1" si="80"/>
        <v>0</v>
      </c>
      <c r="BY31" s="2792">
        <f t="shared" ca="1" si="80"/>
        <v>0</v>
      </c>
      <c r="BZ31" s="2792">
        <f t="shared" ca="1" si="80"/>
        <v>0</v>
      </c>
      <c r="CA31" s="2792">
        <f t="shared" ca="1" si="80"/>
        <v>0</v>
      </c>
      <c r="CB31" s="2792">
        <f t="shared" ca="1" si="80"/>
        <v>0</v>
      </c>
      <c r="CC31" s="2792">
        <f t="shared" ca="1" si="80"/>
        <v>0</v>
      </c>
      <c r="CD31" s="2792">
        <f t="shared" ca="1" si="80"/>
        <v>0</v>
      </c>
      <c r="CE31" s="2792">
        <f t="shared" ca="1" si="80"/>
        <v>0</v>
      </c>
      <c r="CF31" s="2792">
        <f t="shared" ca="1" si="80"/>
        <v>0</v>
      </c>
      <c r="CG31" s="2792">
        <f t="shared" ca="1" si="80"/>
        <v>0</v>
      </c>
      <c r="CH31" s="2792">
        <f t="shared" ca="1" si="80"/>
        <v>0</v>
      </c>
      <c r="CI31" s="2792">
        <f t="shared" ca="1" si="80"/>
        <v>0</v>
      </c>
      <c r="CJ31" s="2792">
        <f t="shared" ca="1" si="80"/>
        <v>0</v>
      </c>
      <c r="CK31" s="2792">
        <f t="shared" ca="1" si="80"/>
        <v>0</v>
      </c>
      <c r="CL31" s="2792">
        <f t="shared" ca="1" si="80"/>
        <v>0</v>
      </c>
      <c r="CM31" s="2792">
        <f t="shared" ca="1" si="80"/>
        <v>0</v>
      </c>
      <c r="CN31" s="2792">
        <f t="shared" ca="1" si="80"/>
        <v>0</v>
      </c>
      <c r="CO31" s="2792">
        <f t="shared" ca="1" si="80"/>
        <v>0</v>
      </c>
      <c r="CP31" s="2792">
        <f t="shared" ca="1" si="80"/>
        <v>0</v>
      </c>
      <c r="CQ31" s="2792">
        <f t="shared" ca="1" si="80"/>
        <v>0</v>
      </c>
      <c r="CR31" s="2792">
        <f t="shared" ca="1" si="80"/>
        <v>0</v>
      </c>
      <c r="CS31" s="2792">
        <f t="shared" ca="1" si="80"/>
        <v>0</v>
      </c>
      <c r="CT31" s="2792">
        <f t="shared" ca="1" si="80"/>
        <v>0</v>
      </c>
      <c r="CU31" s="2792">
        <f t="shared" ca="1" si="80"/>
        <v>0</v>
      </c>
      <c r="CV31" s="2792">
        <f t="shared" ca="1" si="80"/>
        <v>0</v>
      </c>
      <c r="CW31" s="2792">
        <f t="shared" ca="1" si="80"/>
        <v>0</v>
      </c>
      <c r="CX31" s="2792">
        <f t="shared" ca="1" si="80"/>
        <v>0</v>
      </c>
      <c r="CY31" s="2792">
        <f t="shared" ca="1" si="80"/>
        <v>0</v>
      </c>
      <c r="CZ31" s="2792">
        <f t="shared" ca="1" si="80"/>
        <v>0</v>
      </c>
      <c r="DA31" s="2792">
        <f t="shared" ca="1" si="80"/>
        <v>0</v>
      </c>
      <c r="DB31" s="2792">
        <f t="shared" ca="1" si="80"/>
        <v>0</v>
      </c>
      <c r="DC31" s="2792">
        <f t="shared" ca="1" si="80"/>
        <v>0</v>
      </c>
      <c r="DD31" s="2792">
        <f t="shared" ca="1" si="80"/>
        <v>0</v>
      </c>
      <c r="DE31" s="2792">
        <f t="shared" ca="1" si="80"/>
        <v>0</v>
      </c>
      <c r="DF31" s="2792">
        <f t="shared" ca="1" si="80"/>
        <v>0</v>
      </c>
      <c r="DH31" s="596">
        <f t="shared" ca="1" si="32"/>
        <v>0</v>
      </c>
    </row>
    <row r="32" spans="1:112" s="6" customFormat="1" ht="15.75">
      <c r="A32" s="4"/>
      <c r="B32" s="3"/>
      <c r="C32" s="616" t="s">
        <v>490</v>
      </c>
      <c r="D32" s="617" t="s">
        <v>491</v>
      </c>
      <c r="E32" s="206"/>
      <c r="G32" s="618">
        <f t="shared" ref="G32:P32" ca="1" si="81">G24+G25+G28+G31</f>
        <v>0</v>
      </c>
      <c r="H32" s="618">
        <f t="shared" ca="1" si="81"/>
        <v>0</v>
      </c>
      <c r="I32" s="618">
        <f t="shared" ca="1" si="81"/>
        <v>0</v>
      </c>
      <c r="J32" s="618">
        <f t="shared" ca="1" si="81"/>
        <v>33.951749508261884</v>
      </c>
      <c r="K32" s="618">
        <f t="shared" ca="1" si="81"/>
        <v>0.42264386044609314</v>
      </c>
      <c r="L32" s="618">
        <f t="shared" ca="1" si="81"/>
        <v>2.6377315657889075E-2</v>
      </c>
      <c r="M32" s="618">
        <f t="shared" ca="1" si="81"/>
        <v>0.66</v>
      </c>
      <c r="N32" s="618">
        <f t="shared" ca="1" si="81"/>
        <v>8.0623123555082739</v>
      </c>
      <c r="O32" s="618">
        <f t="shared" ca="1" si="81"/>
        <v>0</v>
      </c>
      <c r="P32" s="618">
        <f t="shared" ca="1" si="81"/>
        <v>0</v>
      </c>
      <c r="Q32" s="618">
        <f t="shared" ca="1" si="54"/>
        <v>43.123083039874139</v>
      </c>
      <c r="S32" s="581">
        <f t="shared" ref="S32:AJ32" ca="1" si="82">S24+S25+S28+S31</f>
        <v>-8.9494609635553585E-2</v>
      </c>
      <c r="T32" s="581">
        <f t="shared" ca="1" si="82"/>
        <v>0</v>
      </c>
      <c r="U32" s="581">
        <f t="shared" ca="1" si="82"/>
        <v>0</v>
      </c>
      <c r="V32" s="581">
        <f t="shared" ca="1" si="82"/>
        <v>-43.030480669536395</v>
      </c>
      <c r="W32" s="581">
        <f t="shared" ca="1" si="82"/>
        <v>0</v>
      </c>
      <c r="X32" s="581">
        <f t="shared" ca="1" si="82"/>
        <v>0</v>
      </c>
      <c r="Y32" s="581">
        <f t="shared" ca="1" si="82"/>
        <v>0</v>
      </c>
      <c r="Z32" s="581">
        <f t="shared" ca="1" si="82"/>
        <v>0</v>
      </c>
      <c r="AA32" s="581">
        <f t="shared" ca="1" si="82"/>
        <v>0</v>
      </c>
      <c r="AB32" s="581">
        <f t="shared" ca="1" si="82"/>
        <v>0</v>
      </c>
      <c r="AC32" s="581">
        <f t="shared" ca="1" si="82"/>
        <v>0</v>
      </c>
      <c r="AD32" s="581">
        <f t="shared" ca="1" si="82"/>
        <v>0</v>
      </c>
      <c r="AE32" s="581">
        <f ca="1">AE24+AE25+AE28+AE31</f>
        <v>0</v>
      </c>
      <c r="AF32" s="581">
        <f t="shared" ca="1" si="82"/>
        <v>0</v>
      </c>
      <c r="AG32" s="581">
        <f t="shared" ca="1" si="82"/>
        <v>0</v>
      </c>
      <c r="AH32" s="581">
        <f ca="1">AH24+AH25+AH28+AH31</f>
        <v>0</v>
      </c>
      <c r="AI32" s="581">
        <f t="shared" ca="1" si="82"/>
        <v>0</v>
      </c>
      <c r="AJ32" s="581">
        <f t="shared" ca="1" si="82"/>
        <v>-3.1077607021923297E-3</v>
      </c>
      <c r="AK32" s="581">
        <f t="shared" ca="1" si="56"/>
        <v>-43.123083039874139</v>
      </c>
      <c r="AM32" s="582">
        <f t="shared" ref="AM32:BE32" ca="1" si="83">AM24+AM25+AM28+AM31</f>
        <v>0</v>
      </c>
      <c r="AN32" s="582">
        <f t="shared" ca="1" si="83"/>
        <v>0</v>
      </c>
      <c r="AO32" s="582">
        <f t="shared" ca="1" si="83"/>
        <v>0</v>
      </c>
      <c r="AP32" s="582">
        <f t="shared" ca="1" si="83"/>
        <v>0</v>
      </c>
      <c r="AQ32" s="582">
        <f t="shared" ca="1" si="83"/>
        <v>0</v>
      </c>
      <c r="AR32" s="582">
        <f t="shared" ca="1" si="83"/>
        <v>0</v>
      </c>
      <c r="AS32" s="582">
        <f t="shared" ca="1" si="83"/>
        <v>0</v>
      </c>
      <c r="AT32" s="582">
        <f t="shared" ca="1" si="83"/>
        <v>0</v>
      </c>
      <c r="AU32" s="582">
        <f t="shared" ca="1" si="83"/>
        <v>0</v>
      </c>
      <c r="AV32" s="582">
        <f t="shared" ca="1" si="83"/>
        <v>0</v>
      </c>
      <c r="AW32" s="582">
        <f t="shared" ca="1" si="83"/>
        <v>0</v>
      </c>
      <c r="AX32" s="582">
        <f t="shared" ca="1" si="83"/>
        <v>0</v>
      </c>
      <c r="AY32" s="582">
        <f t="shared" ca="1" si="83"/>
        <v>0</v>
      </c>
      <c r="AZ32" s="582">
        <f t="shared" ca="1" si="83"/>
        <v>0</v>
      </c>
      <c r="BA32" s="582">
        <f t="shared" ca="1" si="83"/>
        <v>0</v>
      </c>
      <c r="BB32" s="582">
        <f t="shared" ca="1" si="83"/>
        <v>0</v>
      </c>
      <c r="BC32" s="582">
        <f t="shared" ca="1" si="83"/>
        <v>0</v>
      </c>
      <c r="BD32" s="582">
        <f ca="1">BD24+BD25+BD28+BD31</f>
        <v>0</v>
      </c>
      <c r="BE32" s="582">
        <f t="shared" ca="1" si="83"/>
        <v>0</v>
      </c>
      <c r="BF32" s="582">
        <f t="shared" ca="1" si="59"/>
        <v>0</v>
      </c>
      <c r="BH32" s="3463">
        <f ca="1">BH24+BH25+BH28+BH31</f>
        <v>0</v>
      </c>
      <c r="BI32" s="3463">
        <f ca="1">BI24+BI25+BI28+BI31</f>
        <v>0</v>
      </c>
      <c r="BJ32" s="3463">
        <f t="shared" ca="1" si="61"/>
        <v>0</v>
      </c>
      <c r="BL32" s="3477">
        <f t="shared" ca="1" si="9"/>
        <v>0</v>
      </c>
      <c r="BM32" s="584"/>
      <c r="BN32" s="413"/>
      <c r="BO32" s="2790">
        <f t="shared" ref="BO32:DF32" ca="1" si="84">BO24+BO25+BO28+BO31</f>
        <v>9.2274002547057385</v>
      </c>
      <c r="BP32" s="2790">
        <f t="shared" ca="1" si="84"/>
        <v>7.9307805736215792E-3</v>
      </c>
      <c r="BQ32" s="2790">
        <f t="shared" ca="1" si="84"/>
        <v>2.341468550307323E-2</v>
      </c>
      <c r="BR32" s="2790">
        <f t="shared" ca="1" si="84"/>
        <v>0</v>
      </c>
      <c r="BS32" s="2790">
        <f t="shared" ca="1" si="84"/>
        <v>0</v>
      </c>
      <c r="BT32" s="2790">
        <f t="shared" ca="1" si="84"/>
        <v>0</v>
      </c>
      <c r="BU32" s="2790">
        <f t="shared" ca="1" si="84"/>
        <v>0</v>
      </c>
      <c r="BV32" s="2790">
        <f t="shared" ca="1" si="84"/>
        <v>0</v>
      </c>
      <c r="BW32" s="2790">
        <f t="shared" ca="1" si="84"/>
        <v>0</v>
      </c>
      <c r="BX32" s="2790">
        <f t="shared" ca="1" si="84"/>
        <v>0</v>
      </c>
      <c r="BY32" s="2790">
        <f t="shared" ca="1" si="84"/>
        <v>0</v>
      </c>
      <c r="BZ32" s="2790">
        <f t="shared" ca="1" si="84"/>
        <v>0</v>
      </c>
      <c r="CA32" s="2790">
        <f t="shared" ca="1" si="84"/>
        <v>0</v>
      </c>
      <c r="CB32" s="2790">
        <f t="shared" ca="1" si="84"/>
        <v>0</v>
      </c>
      <c r="CC32" s="2790">
        <f t="shared" ca="1" si="84"/>
        <v>0</v>
      </c>
      <c r="CD32" s="2790">
        <f t="shared" ca="1" si="84"/>
        <v>0</v>
      </c>
      <c r="CE32" s="2790">
        <f t="shared" ca="1" si="84"/>
        <v>0</v>
      </c>
      <c r="CF32" s="2790">
        <f t="shared" ca="1" si="84"/>
        <v>0</v>
      </c>
      <c r="CG32" s="2790">
        <f t="shared" ca="1" si="84"/>
        <v>0</v>
      </c>
      <c r="CH32" s="2790">
        <f t="shared" ca="1" si="84"/>
        <v>0</v>
      </c>
      <c r="CI32" s="2790">
        <f t="shared" ca="1" si="84"/>
        <v>0</v>
      </c>
      <c r="CJ32" s="2790">
        <f t="shared" ca="1" si="84"/>
        <v>0</v>
      </c>
      <c r="CK32" s="2790">
        <f t="shared" ca="1" si="84"/>
        <v>0</v>
      </c>
      <c r="CL32" s="2790">
        <f t="shared" ca="1" si="84"/>
        <v>0</v>
      </c>
      <c r="CM32" s="2790">
        <f t="shared" ca="1" si="84"/>
        <v>0</v>
      </c>
      <c r="CN32" s="2790">
        <f t="shared" ca="1" si="84"/>
        <v>0</v>
      </c>
      <c r="CO32" s="2790">
        <f t="shared" ca="1" si="84"/>
        <v>0</v>
      </c>
      <c r="CP32" s="2790">
        <f t="shared" ca="1" si="84"/>
        <v>0</v>
      </c>
      <c r="CQ32" s="2790">
        <f t="shared" ca="1" si="84"/>
        <v>0</v>
      </c>
      <c r="CR32" s="2790">
        <f t="shared" ca="1" si="84"/>
        <v>0</v>
      </c>
      <c r="CS32" s="2790">
        <f t="shared" ca="1" si="84"/>
        <v>0</v>
      </c>
      <c r="CT32" s="2790">
        <f t="shared" ca="1" si="84"/>
        <v>0</v>
      </c>
      <c r="CU32" s="2790">
        <f t="shared" ca="1" si="84"/>
        <v>2.1274829843715231</v>
      </c>
      <c r="CV32" s="2790">
        <f t="shared" ca="1" si="84"/>
        <v>1.8285324422292765E-3</v>
      </c>
      <c r="CW32" s="2790">
        <f t="shared" ca="1" si="84"/>
        <v>5.3985243532483403E-3</v>
      </c>
      <c r="CX32" s="2790">
        <f t="shared" ca="1" si="84"/>
        <v>0</v>
      </c>
      <c r="CY32" s="2790">
        <f t="shared" ca="1" si="84"/>
        <v>0</v>
      </c>
      <c r="CZ32" s="2790">
        <f t="shared" ca="1" si="84"/>
        <v>0</v>
      </c>
      <c r="DA32" s="2790">
        <f t="shared" ca="1" si="84"/>
        <v>0</v>
      </c>
      <c r="DB32" s="2790">
        <f t="shared" ca="1" si="84"/>
        <v>0</v>
      </c>
      <c r="DC32" s="2790">
        <f t="shared" ca="1" si="84"/>
        <v>0</v>
      </c>
      <c r="DD32" s="2790">
        <f t="shared" ca="1" si="84"/>
        <v>0</v>
      </c>
      <c r="DE32" s="2790">
        <f t="shared" ca="1" si="84"/>
        <v>0</v>
      </c>
      <c r="DF32" s="2790">
        <f t="shared" ca="1" si="84"/>
        <v>0</v>
      </c>
      <c r="DH32" s="596">
        <f t="shared" ca="1" si="32"/>
        <v>11.393455761949435</v>
      </c>
    </row>
    <row r="33" spans="1:112" s="6" customFormat="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9"/>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2"/>
        <v>0</v>
      </c>
    </row>
    <row r="34" spans="1:112" s="6" customFormat="1">
      <c r="A34" s="607"/>
      <c r="B34" s="607"/>
      <c r="C34" s="587" t="s">
        <v>492</v>
      </c>
      <c r="D34" s="611" t="s">
        <v>375</v>
      </c>
      <c r="E34" s="611"/>
      <c r="G34" s="619">
        <f t="shared" ref="G34:P34" ca="1" si="85">IFERROR(INDEX(INDIRECT($C34&amp;".Outputs["&amp;this.Year&amp;"]"), MATCH(G$5, INDIRECT($C34&amp;".Outputs[Vector]"), 0)), 0)</f>
        <v>0</v>
      </c>
      <c r="H34" s="619">
        <f t="shared" ca="1" si="85"/>
        <v>0</v>
      </c>
      <c r="I34" s="619">
        <f t="shared" ca="1" si="85"/>
        <v>0</v>
      </c>
      <c r="J34" s="619">
        <f t="shared" ca="1" si="85"/>
        <v>0</v>
      </c>
      <c r="K34" s="619">
        <f t="shared" ca="1" si="85"/>
        <v>0</v>
      </c>
      <c r="L34" s="619">
        <f t="shared" ca="1" si="85"/>
        <v>0</v>
      </c>
      <c r="M34" s="619">
        <f t="shared" ca="1" si="85"/>
        <v>0</v>
      </c>
      <c r="N34" s="619">
        <f t="shared" ca="1" si="85"/>
        <v>0</v>
      </c>
      <c r="O34" s="619">
        <f t="shared" ca="1" si="85"/>
        <v>0</v>
      </c>
      <c r="P34" s="619">
        <f t="shared" ca="1" si="85"/>
        <v>0</v>
      </c>
      <c r="Q34" s="612">
        <f ca="1">SUM(G34:P34)</f>
        <v>0</v>
      </c>
      <c r="S34" s="620">
        <f t="shared" ref="S34:AJ34" ca="1" si="86">IFERROR(INDEX(INDIRECT($C34&amp;".Outputs["&amp;this.Year&amp;"]"), MATCH(S$5, INDIRECT($C34&amp;".Outputs[Vector]"), 0)), 0)</f>
        <v>0</v>
      </c>
      <c r="T34" s="620">
        <f t="shared" ca="1" si="86"/>
        <v>0</v>
      </c>
      <c r="U34" s="620">
        <f t="shared" ca="1" si="86"/>
        <v>0</v>
      </c>
      <c r="V34" s="620">
        <f t="shared" ca="1" si="86"/>
        <v>0</v>
      </c>
      <c r="W34" s="620">
        <f t="shared" ca="1" si="86"/>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86"/>
        <v>0</v>
      </c>
      <c r="AB34" s="620">
        <f t="shared" ca="1" si="86"/>
        <v>0</v>
      </c>
      <c r="AC34" s="620">
        <f t="shared" ca="1" si="86"/>
        <v>0</v>
      </c>
      <c r="AD34" s="620">
        <f t="shared" ca="1" si="86"/>
        <v>0</v>
      </c>
      <c r="AE34" s="620">
        <f t="shared" ca="1" si="86"/>
        <v>0</v>
      </c>
      <c r="AF34" s="620">
        <f t="shared" ca="1" si="86"/>
        <v>0</v>
      </c>
      <c r="AG34" s="620">
        <f t="shared" ca="1" si="86"/>
        <v>0</v>
      </c>
      <c r="AH34" s="620">
        <f t="shared" ca="1" si="86"/>
        <v>0</v>
      </c>
      <c r="AI34" s="620">
        <f t="shared" ca="1" si="86"/>
        <v>0</v>
      </c>
      <c r="AJ34" s="620">
        <f t="shared" ca="1" si="86"/>
        <v>0</v>
      </c>
      <c r="AK34" s="613">
        <f ca="1">SUM(S34:AJ34)</f>
        <v>0</v>
      </c>
      <c r="AM34" s="621">
        <f t="shared" ref="AM34:BE34" ca="1" si="87">IFERROR(INDEX(INDIRECT($C34&amp;".Outputs["&amp;this.Year&amp;"]"), MATCH(AM$5, INDIRECT($C34&amp;".Outputs[Vector]"), 0)), 0)</f>
        <v>0</v>
      </c>
      <c r="AN34" s="621">
        <f t="shared" ca="1" si="87"/>
        <v>0</v>
      </c>
      <c r="AO34" s="621">
        <f t="shared" ca="1" si="87"/>
        <v>0</v>
      </c>
      <c r="AP34" s="621">
        <f t="shared" ca="1" si="87"/>
        <v>0</v>
      </c>
      <c r="AQ34" s="621">
        <f t="shared" ca="1" si="87"/>
        <v>0</v>
      </c>
      <c r="AR34" s="621">
        <f t="shared" ca="1" si="87"/>
        <v>0</v>
      </c>
      <c r="AS34" s="621">
        <f t="shared" ca="1" si="87"/>
        <v>0</v>
      </c>
      <c r="AT34" s="621">
        <f t="shared" ca="1" si="87"/>
        <v>0</v>
      </c>
      <c r="AU34" s="621">
        <f t="shared" ca="1" si="87"/>
        <v>0</v>
      </c>
      <c r="AV34" s="621">
        <f t="shared" ca="1" si="87"/>
        <v>0</v>
      </c>
      <c r="AW34" s="621">
        <f t="shared" ca="1" si="87"/>
        <v>0</v>
      </c>
      <c r="AX34" s="621">
        <f t="shared" ca="1" si="87"/>
        <v>0</v>
      </c>
      <c r="AY34" s="621">
        <f t="shared" ca="1" si="87"/>
        <v>0</v>
      </c>
      <c r="AZ34" s="621">
        <f t="shared" ca="1" si="87"/>
        <v>0</v>
      </c>
      <c r="BA34" s="621">
        <f t="shared" ca="1" si="87"/>
        <v>0</v>
      </c>
      <c r="BB34" s="621">
        <f t="shared" ca="1" si="87"/>
        <v>0</v>
      </c>
      <c r="BC34" s="621">
        <f t="shared" ca="1" si="87"/>
        <v>0</v>
      </c>
      <c r="BD34" s="621">
        <f t="shared" ca="1" si="87"/>
        <v>0</v>
      </c>
      <c r="BE34" s="621">
        <f t="shared" ca="1" si="87"/>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9"/>
        <v>0</v>
      </c>
      <c r="BM34" s="610"/>
      <c r="BN34" s="413"/>
      <c r="BO34" s="2791">
        <f t="shared" ref="BO34:DF34" ca="1" si="88">IFERROR(SUMIFS(INDIRECT($C34&amp;".Emissions["&amp;this.Year&amp;"]"), INDIRECT($C34&amp;".Emissions[GHG]"), BO$6, INDIRECT($C34&amp;".Emissions[IPCC Sector]"), BO$5),0)</f>
        <v>0</v>
      </c>
      <c r="BP34" s="2792">
        <f t="shared" ca="1" si="88"/>
        <v>0</v>
      </c>
      <c r="BQ34" s="2792">
        <f t="shared" ca="1" si="88"/>
        <v>0</v>
      </c>
      <c r="BR34" s="2792">
        <f t="shared" ca="1" si="88"/>
        <v>0</v>
      </c>
      <c r="BS34" s="2792">
        <f t="shared" ca="1" si="88"/>
        <v>0</v>
      </c>
      <c r="BT34" s="2792">
        <f t="shared" ca="1" si="88"/>
        <v>0</v>
      </c>
      <c r="BU34" s="2792">
        <f t="shared" ca="1" si="88"/>
        <v>0</v>
      </c>
      <c r="BV34" s="2792">
        <f t="shared" ca="1" si="88"/>
        <v>0</v>
      </c>
      <c r="BW34" s="2792">
        <f t="shared" ca="1" si="88"/>
        <v>0</v>
      </c>
      <c r="BX34" s="2792">
        <f t="shared" ca="1" si="88"/>
        <v>0</v>
      </c>
      <c r="BY34" s="2792">
        <f t="shared" ca="1" si="88"/>
        <v>0</v>
      </c>
      <c r="BZ34" s="2792">
        <f t="shared" ca="1" si="88"/>
        <v>0</v>
      </c>
      <c r="CA34" s="2792">
        <f t="shared" ca="1" si="88"/>
        <v>0</v>
      </c>
      <c r="CB34" s="2792">
        <f t="shared" ca="1" si="88"/>
        <v>0</v>
      </c>
      <c r="CC34" s="2792">
        <f t="shared" ca="1" si="88"/>
        <v>0</v>
      </c>
      <c r="CD34" s="2792">
        <f t="shared" ca="1" si="88"/>
        <v>0</v>
      </c>
      <c r="CE34" s="2792">
        <f t="shared" ca="1" si="88"/>
        <v>0</v>
      </c>
      <c r="CF34" s="2792">
        <f t="shared" ca="1" si="88"/>
        <v>0</v>
      </c>
      <c r="CG34" s="2792">
        <f t="shared" ca="1" si="88"/>
        <v>0</v>
      </c>
      <c r="CH34" s="2792">
        <f t="shared" ca="1" si="88"/>
        <v>0</v>
      </c>
      <c r="CI34" s="2792">
        <f t="shared" ca="1" si="88"/>
        <v>0</v>
      </c>
      <c r="CJ34" s="2792">
        <f t="shared" ca="1" si="88"/>
        <v>0</v>
      </c>
      <c r="CK34" s="2792">
        <f t="shared" ca="1" si="88"/>
        <v>0</v>
      </c>
      <c r="CL34" s="2792">
        <f t="shared" ca="1" si="88"/>
        <v>0</v>
      </c>
      <c r="CM34" s="2792">
        <f t="shared" ca="1" si="88"/>
        <v>0</v>
      </c>
      <c r="CN34" s="2792">
        <f t="shared" ca="1" si="88"/>
        <v>0</v>
      </c>
      <c r="CO34" s="2792">
        <f t="shared" ca="1" si="88"/>
        <v>0</v>
      </c>
      <c r="CP34" s="2792">
        <f t="shared" ca="1" si="88"/>
        <v>0</v>
      </c>
      <c r="CQ34" s="2792">
        <f t="shared" ca="1" si="88"/>
        <v>0</v>
      </c>
      <c r="CR34" s="2792">
        <f t="shared" ca="1" si="88"/>
        <v>0</v>
      </c>
      <c r="CS34" s="2792">
        <f t="shared" ca="1" si="88"/>
        <v>0</v>
      </c>
      <c r="CT34" s="2792">
        <f t="shared" ca="1" si="88"/>
        <v>0</v>
      </c>
      <c r="CU34" s="2792">
        <f t="shared" ca="1" si="88"/>
        <v>0</v>
      </c>
      <c r="CV34" s="2792">
        <f t="shared" ca="1" si="88"/>
        <v>0</v>
      </c>
      <c r="CW34" s="2792">
        <f t="shared" ca="1" si="88"/>
        <v>0</v>
      </c>
      <c r="CX34" s="2792">
        <f t="shared" ca="1" si="88"/>
        <v>0</v>
      </c>
      <c r="CY34" s="2792">
        <f t="shared" ca="1" si="88"/>
        <v>0</v>
      </c>
      <c r="CZ34" s="2792">
        <f t="shared" ca="1" si="88"/>
        <v>0</v>
      </c>
      <c r="DA34" s="2792">
        <f t="shared" ca="1" si="88"/>
        <v>0</v>
      </c>
      <c r="DB34" s="2792">
        <f t="shared" ca="1" si="88"/>
        <v>0</v>
      </c>
      <c r="DC34" s="2792">
        <f t="shared" ca="1" si="88"/>
        <v>0</v>
      </c>
      <c r="DD34" s="2792">
        <f t="shared" ca="1" si="88"/>
        <v>0</v>
      </c>
      <c r="DE34" s="2792">
        <f t="shared" ca="1" si="88"/>
        <v>0</v>
      </c>
      <c r="DF34" s="2792">
        <f t="shared" ca="1" si="88"/>
        <v>0</v>
      </c>
      <c r="DH34" s="596">
        <f t="shared" ca="1" si="32"/>
        <v>0</v>
      </c>
    </row>
    <row r="35" spans="1:112" s="6" customFormat="1" ht="15.75">
      <c r="A35" s="4"/>
      <c r="B35" s="3"/>
      <c r="C35" s="616" t="s">
        <v>493</v>
      </c>
      <c r="D35" s="617" t="s">
        <v>375</v>
      </c>
      <c r="E35" s="206"/>
      <c r="G35" s="618">
        <f ca="1">G34</f>
        <v>0</v>
      </c>
      <c r="H35" s="618">
        <f t="shared" ref="H35:P35" ca="1" si="89">H34</f>
        <v>0</v>
      </c>
      <c r="I35" s="618">
        <f t="shared" ca="1" si="89"/>
        <v>0</v>
      </c>
      <c r="J35" s="618">
        <f t="shared" ca="1" si="89"/>
        <v>0</v>
      </c>
      <c r="K35" s="618">
        <f t="shared" ca="1" si="89"/>
        <v>0</v>
      </c>
      <c r="L35" s="618">
        <f t="shared" ca="1" si="89"/>
        <v>0</v>
      </c>
      <c r="M35" s="618">
        <f t="shared" ca="1" si="89"/>
        <v>0</v>
      </c>
      <c r="N35" s="618">
        <f ca="1">N34</f>
        <v>0</v>
      </c>
      <c r="O35" s="618">
        <f ca="1">O34</f>
        <v>0</v>
      </c>
      <c r="P35" s="618">
        <f t="shared" ca="1" si="89"/>
        <v>0</v>
      </c>
      <c r="Q35" s="618">
        <f ca="1">SUM(G35:P35)</f>
        <v>0</v>
      </c>
      <c r="S35" s="581">
        <f ca="1">S34</f>
        <v>0</v>
      </c>
      <c r="T35" s="581">
        <f t="shared" ref="T35:AJ35" ca="1" si="90">T34</f>
        <v>0</v>
      </c>
      <c r="U35" s="581">
        <f t="shared" ca="1" si="90"/>
        <v>0</v>
      </c>
      <c r="V35" s="581">
        <f t="shared" ca="1" si="90"/>
        <v>0</v>
      </c>
      <c r="W35" s="581">
        <f t="shared" ca="1" si="90"/>
        <v>0</v>
      </c>
      <c r="X35" s="581">
        <f ca="1">X34</f>
        <v>0</v>
      </c>
      <c r="Y35" s="581">
        <f ca="1">Y34</f>
        <v>0</v>
      </c>
      <c r="Z35" s="581">
        <f ca="1">Z34</f>
        <v>0</v>
      </c>
      <c r="AA35" s="581">
        <f t="shared" ca="1" si="90"/>
        <v>0</v>
      </c>
      <c r="AB35" s="581">
        <f t="shared" ca="1" si="90"/>
        <v>0</v>
      </c>
      <c r="AC35" s="581">
        <f t="shared" ca="1" si="90"/>
        <v>0</v>
      </c>
      <c r="AD35" s="581">
        <f ca="1">AD34</f>
        <v>0</v>
      </c>
      <c r="AE35" s="581">
        <f ca="1">AE34</f>
        <v>0</v>
      </c>
      <c r="AF35" s="581">
        <f t="shared" ca="1" si="90"/>
        <v>0</v>
      </c>
      <c r="AG35" s="581">
        <f ca="1">AG34</f>
        <v>0</v>
      </c>
      <c r="AH35" s="581">
        <f ca="1">AH34</f>
        <v>0</v>
      </c>
      <c r="AI35" s="581">
        <f ca="1">AI34</f>
        <v>0</v>
      </c>
      <c r="AJ35" s="581">
        <f t="shared" ca="1" si="90"/>
        <v>0</v>
      </c>
      <c r="AK35" s="581">
        <f ca="1">SUM(S35:AJ35)</f>
        <v>0</v>
      </c>
      <c r="AM35" s="582">
        <f t="shared" ref="AM35:BE35" ca="1" si="91">AM34</f>
        <v>0</v>
      </c>
      <c r="AN35" s="582">
        <f t="shared" ca="1" si="91"/>
        <v>0</v>
      </c>
      <c r="AO35" s="582">
        <f t="shared" ca="1" si="91"/>
        <v>0</v>
      </c>
      <c r="AP35" s="582">
        <f t="shared" ca="1" si="91"/>
        <v>0</v>
      </c>
      <c r="AQ35" s="582">
        <f t="shared" ca="1" si="91"/>
        <v>0</v>
      </c>
      <c r="AR35" s="582">
        <f t="shared" ca="1" si="91"/>
        <v>0</v>
      </c>
      <c r="AS35" s="582">
        <f t="shared" ca="1" si="91"/>
        <v>0</v>
      </c>
      <c r="AT35" s="582">
        <f t="shared" ca="1" si="91"/>
        <v>0</v>
      </c>
      <c r="AU35" s="582">
        <f t="shared" ca="1" si="91"/>
        <v>0</v>
      </c>
      <c r="AV35" s="582">
        <f t="shared" ca="1" si="91"/>
        <v>0</v>
      </c>
      <c r="AW35" s="582">
        <f t="shared" ca="1" si="91"/>
        <v>0</v>
      </c>
      <c r="AX35" s="582">
        <f t="shared" ca="1" si="91"/>
        <v>0</v>
      </c>
      <c r="AY35" s="582">
        <f t="shared" ca="1" si="91"/>
        <v>0</v>
      </c>
      <c r="AZ35" s="582">
        <f t="shared" ca="1" si="91"/>
        <v>0</v>
      </c>
      <c r="BA35" s="582">
        <f t="shared" ca="1" si="91"/>
        <v>0</v>
      </c>
      <c r="BB35" s="582">
        <f t="shared" ca="1" si="91"/>
        <v>0</v>
      </c>
      <c r="BC35" s="582">
        <f t="shared" ca="1" si="91"/>
        <v>0</v>
      </c>
      <c r="BD35" s="582">
        <f ca="1">BD34</f>
        <v>0</v>
      </c>
      <c r="BE35" s="582">
        <f t="shared" ca="1" si="91"/>
        <v>0</v>
      </c>
      <c r="BF35" s="582">
        <f ca="1">SUM(AM35:BE35)</f>
        <v>0</v>
      </c>
      <c r="BH35" s="3463">
        <f ca="1">BH34</f>
        <v>0</v>
      </c>
      <c r="BI35" s="3463">
        <f ca="1">BI34</f>
        <v>0</v>
      </c>
      <c r="BJ35" s="3463">
        <f ca="1">SUM(BH35:BI35)</f>
        <v>0</v>
      </c>
      <c r="BL35" s="3477">
        <f t="shared" ca="1" si="9"/>
        <v>0</v>
      </c>
      <c r="BM35" s="584"/>
      <c r="BN35" s="413"/>
      <c r="BO35" s="2790">
        <f t="shared" ref="BO35:DF35" ca="1" si="92">BO34</f>
        <v>0</v>
      </c>
      <c r="BP35" s="2790">
        <f t="shared" ca="1" si="92"/>
        <v>0</v>
      </c>
      <c r="BQ35" s="2790">
        <f t="shared" ca="1" si="92"/>
        <v>0</v>
      </c>
      <c r="BR35" s="2790">
        <f t="shared" ca="1" si="92"/>
        <v>0</v>
      </c>
      <c r="BS35" s="2790">
        <f t="shared" ca="1" si="92"/>
        <v>0</v>
      </c>
      <c r="BT35" s="2790">
        <f t="shared" ca="1" si="92"/>
        <v>0</v>
      </c>
      <c r="BU35" s="2790">
        <f t="shared" ca="1" si="92"/>
        <v>0</v>
      </c>
      <c r="BV35" s="2790">
        <f t="shared" ca="1" si="92"/>
        <v>0</v>
      </c>
      <c r="BW35" s="2790">
        <f t="shared" ca="1" si="92"/>
        <v>0</v>
      </c>
      <c r="BX35" s="2790">
        <f t="shared" ca="1" si="92"/>
        <v>0</v>
      </c>
      <c r="BY35" s="2790">
        <f t="shared" ca="1" si="92"/>
        <v>0</v>
      </c>
      <c r="BZ35" s="2790">
        <f t="shared" ca="1" si="92"/>
        <v>0</v>
      </c>
      <c r="CA35" s="2790">
        <f t="shared" ca="1" si="92"/>
        <v>0</v>
      </c>
      <c r="CB35" s="2790">
        <f t="shared" ca="1" si="92"/>
        <v>0</v>
      </c>
      <c r="CC35" s="2790">
        <f t="shared" ca="1" si="92"/>
        <v>0</v>
      </c>
      <c r="CD35" s="2790">
        <f t="shared" ca="1" si="92"/>
        <v>0</v>
      </c>
      <c r="CE35" s="2790">
        <f t="shared" ca="1" si="92"/>
        <v>0</v>
      </c>
      <c r="CF35" s="2790">
        <f t="shared" ca="1" si="92"/>
        <v>0</v>
      </c>
      <c r="CG35" s="2790">
        <f t="shared" ca="1" si="92"/>
        <v>0</v>
      </c>
      <c r="CH35" s="2790">
        <f t="shared" ca="1" si="92"/>
        <v>0</v>
      </c>
      <c r="CI35" s="2790">
        <f t="shared" ca="1" si="92"/>
        <v>0</v>
      </c>
      <c r="CJ35" s="2790">
        <f t="shared" ca="1" si="92"/>
        <v>0</v>
      </c>
      <c r="CK35" s="2790">
        <f t="shared" ca="1" si="92"/>
        <v>0</v>
      </c>
      <c r="CL35" s="2790">
        <f t="shared" ca="1" si="92"/>
        <v>0</v>
      </c>
      <c r="CM35" s="2790">
        <f t="shared" ca="1" si="92"/>
        <v>0</v>
      </c>
      <c r="CN35" s="2790">
        <f t="shared" ca="1" si="92"/>
        <v>0</v>
      </c>
      <c r="CO35" s="2790">
        <f t="shared" ca="1" si="92"/>
        <v>0</v>
      </c>
      <c r="CP35" s="2790">
        <f t="shared" ca="1" si="92"/>
        <v>0</v>
      </c>
      <c r="CQ35" s="2790">
        <f t="shared" ca="1" si="92"/>
        <v>0</v>
      </c>
      <c r="CR35" s="2790">
        <f t="shared" ca="1" si="92"/>
        <v>0</v>
      </c>
      <c r="CS35" s="2790">
        <f t="shared" ca="1" si="92"/>
        <v>0</v>
      </c>
      <c r="CT35" s="2790">
        <f t="shared" ca="1" si="92"/>
        <v>0</v>
      </c>
      <c r="CU35" s="2790">
        <f t="shared" ca="1" si="92"/>
        <v>0</v>
      </c>
      <c r="CV35" s="2790">
        <f t="shared" ca="1" si="92"/>
        <v>0</v>
      </c>
      <c r="CW35" s="2790">
        <f t="shared" ca="1" si="92"/>
        <v>0</v>
      </c>
      <c r="CX35" s="2790">
        <f t="shared" ca="1" si="92"/>
        <v>0</v>
      </c>
      <c r="CY35" s="2790">
        <f t="shared" ca="1" si="92"/>
        <v>0</v>
      </c>
      <c r="CZ35" s="2790">
        <f t="shared" ca="1" si="92"/>
        <v>0</v>
      </c>
      <c r="DA35" s="2790">
        <f t="shared" ca="1" si="92"/>
        <v>0</v>
      </c>
      <c r="DB35" s="2790">
        <f t="shared" ca="1" si="92"/>
        <v>0</v>
      </c>
      <c r="DC35" s="2790">
        <f t="shared" ca="1" si="92"/>
        <v>0</v>
      </c>
      <c r="DD35" s="2790">
        <f t="shared" ca="1" si="92"/>
        <v>0</v>
      </c>
      <c r="DE35" s="2790">
        <f t="shared" ca="1" si="92"/>
        <v>0</v>
      </c>
      <c r="DF35" s="2790">
        <f t="shared" ca="1" si="92"/>
        <v>0</v>
      </c>
      <c r="DH35" s="596">
        <f t="shared" ca="1" si="32"/>
        <v>0</v>
      </c>
    </row>
    <row r="36" spans="1:112" s="6" customFormat="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9"/>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2"/>
        <v>0</v>
      </c>
    </row>
    <row r="37" spans="1:112" s="6" customFormat="1">
      <c r="A37" s="607"/>
      <c r="B37" s="607"/>
      <c r="C37" s="587" t="s">
        <v>494</v>
      </c>
      <c r="D37" s="611" t="s">
        <v>495</v>
      </c>
      <c r="E37" s="611"/>
      <c r="G37" s="619">
        <f t="shared" ref="G37:P37" ca="1" si="93">IFERROR(INDEX(INDIRECT($C37&amp;".Outputs["&amp;this.Year&amp;"]"), MATCH(G$5, INDIRECT($C37&amp;".Outputs[Vector]"), 0)), 0)</f>
        <v>0</v>
      </c>
      <c r="H37" s="619">
        <f t="shared" ca="1" si="93"/>
        <v>0</v>
      </c>
      <c r="I37" s="619">
        <f t="shared" ca="1" si="93"/>
        <v>0</v>
      </c>
      <c r="J37" s="619">
        <f t="shared" ca="1" si="93"/>
        <v>0</v>
      </c>
      <c r="K37" s="619">
        <f t="shared" ca="1" si="93"/>
        <v>0</v>
      </c>
      <c r="L37" s="619">
        <f t="shared" ca="1" si="93"/>
        <v>0</v>
      </c>
      <c r="M37" s="619">
        <f t="shared" ca="1" si="93"/>
        <v>0</v>
      </c>
      <c r="N37" s="619">
        <f t="shared" ca="1" si="93"/>
        <v>0</v>
      </c>
      <c r="O37" s="619">
        <f t="shared" ca="1" si="93"/>
        <v>0</v>
      </c>
      <c r="P37" s="619">
        <f t="shared" ca="1" si="93"/>
        <v>0</v>
      </c>
      <c r="Q37" s="612">
        <f ca="1">SUM(G37:P37)</f>
        <v>0</v>
      </c>
      <c r="S37" s="620">
        <f t="shared" ref="S37:AJ37" ca="1" si="94">IFERROR(INDEX(INDIRECT($C37&amp;".Outputs["&amp;this.Year&amp;"]"), MATCH(S$5, INDIRECT($C37&amp;".Outputs[Vector]"), 0)), 0)</f>
        <v>0</v>
      </c>
      <c r="T37" s="620">
        <f t="shared" ca="1" si="94"/>
        <v>0</v>
      </c>
      <c r="U37" s="620">
        <f t="shared" ca="1" si="94"/>
        <v>0</v>
      </c>
      <c r="V37" s="620">
        <f t="shared" ca="1" si="94"/>
        <v>0</v>
      </c>
      <c r="W37" s="620">
        <f t="shared" ca="1" si="94"/>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4"/>
        <v>0</v>
      </c>
      <c r="AB37" s="620">
        <f t="shared" ca="1" si="94"/>
        <v>0</v>
      </c>
      <c r="AC37" s="620">
        <f t="shared" ca="1" si="94"/>
        <v>0</v>
      </c>
      <c r="AD37" s="620">
        <f t="shared" ca="1" si="94"/>
        <v>0</v>
      </c>
      <c r="AE37" s="620">
        <f t="shared" ca="1" si="94"/>
        <v>0</v>
      </c>
      <c r="AF37" s="620">
        <f t="shared" ca="1" si="94"/>
        <v>0</v>
      </c>
      <c r="AG37" s="620">
        <f t="shared" ca="1" si="94"/>
        <v>0</v>
      </c>
      <c r="AH37" s="620">
        <f t="shared" ca="1" si="94"/>
        <v>0</v>
      </c>
      <c r="AI37" s="620">
        <f t="shared" ca="1" si="94"/>
        <v>0</v>
      </c>
      <c r="AJ37" s="620">
        <f t="shared" ca="1" si="94"/>
        <v>0</v>
      </c>
      <c r="AK37" s="613">
        <f ca="1">SUM(S37:AJ37)</f>
        <v>0</v>
      </c>
      <c r="AM37" s="621">
        <f t="shared" ref="AM37:BE37" ca="1" si="95">IFERROR(INDEX(INDIRECT($C37&amp;".Outputs["&amp;this.Year&amp;"]"), MATCH(AM$5, INDIRECT($C37&amp;".Outputs[Vector]"), 0)), 0)</f>
        <v>0</v>
      </c>
      <c r="AN37" s="621">
        <f t="shared" ca="1" si="95"/>
        <v>0</v>
      </c>
      <c r="AO37" s="621">
        <f t="shared" ca="1" si="95"/>
        <v>0</v>
      </c>
      <c r="AP37" s="621">
        <f t="shared" ca="1" si="95"/>
        <v>0</v>
      </c>
      <c r="AQ37" s="621">
        <f t="shared" ca="1" si="95"/>
        <v>0</v>
      </c>
      <c r="AR37" s="621">
        <f t="shared" ca="1" si="95"/>
        <v>0</v>
      </c>
      <c r="AS37" s="621">
        <f t="shared" ca="1" si="95"/>
        <v>0</v>
      </c>
      <c r="AT37" s="621">
        <f t="shared" ca="1" si="95"/>
        <v>0</v>
      </c>
      <c r="AU37" s="621">
        <f t="shared" ca="1" si="95"/>
        <v>0</v>
      </c>
      <c r="AV37" s="621">
        <f t="shared" ca="1" si="95"/>
        <v>0</v>
      </c>
      <c r="AW37" s="621">
        <f t="shared" ca="1" si="95"/>
        <v>0</v>
      </c>
      <c r="AX37" s="621">
        <f t="shared" ca="1" si="95"/>
        <v>0</v>
      </c>
      <c r="AY37" s="621">
        <f t="shared" ca="1" si="95"/>
        <v>0</v>
      </c>
      <c r="AZ37" s="621">
        <f t="shared" ca="1" si="95"/>
        <v>0</v>
      </c>
      <c r="BA37" s="621">
        <f t="shared" ca="1" si="95"/>
        <v>0</v>
      </c>
      <c r="BB37" s="621">
        <f t="shared" ca="1" si="95"/>
        <v>0</v>
      </c>
      <c r="BC37" s="621">
        <f t="shared" ca="1" si="95"/>
        <v>0</v>
      </c>
      <c r="BD37" s="621">
        <f t="shared" ca="1" si="95"/>
        <v>0</v>
      </c>
      <c r="BE37" s="621">
        <f t="shared" ca="1" si="95"/>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9"/>
        <v>0</v>
      </c>
      <c r="BM37" s="610"/>
      <c r="BN37" s="413"/>
      <c r="BO37" s="2791">
        <f t="shared" ref="BO37:DF37" ca="1" si="96">IFERROR(SUMIFS(INDIRECT($C37&amp;".Emissions["&amp;this.Year&amp;"]"), INDIRECT($C37&amp;".Emissions[GHG]"), BO$6, INDIRECT($C37&amp;".Emissions[IPCC Sector]"), BO$5),0)</f>
        <v>0</v>
      </c>
      <c r="BP37" s="2792">
        <f t="shared" ca="1" si="96"/>
        <v>0</v>
      </c>
      <c r="BQ37" s="2792">
        <f t="shared" ca="1" si="96"/>
        <v>0</v>
      </c>
      <c r="BR37" s="2792">
        <f t="shared" ca="1" si="96"/>
        <v>0</v>
      </c>
      <c r="BS37" s="2792">
        <f t="shared" ca="1" si="96"/>
        <v>0</v>
      </c>
      <c r="BT37" s="2792">
        <f t="shared" ca="1" si="96"/>
        <v>0</v>
      </c>
      <c r="BU37" s="2792">
        <f t="shared" ca="1" si="96"/>
        <v>0</v>
      </c>
      <c r="BV37" s="2792">
        <f t="shared" ca="1" si="96"/>
        <v>0</v>
      </c>
      <c r="BW37" s="2792">
        <f t="shared" ca="1" si="96"/>
        <v>0</v>
      </c>
      <c r="BX37" s="2792">
        <f t="shared" ca="1" si="96"/>
        <v>0</v>
      </c>
      <c r="BY37" s="2792">
        <f t="shared" ca="1" si="96"/>
        <v>0</v>
      </c>
      <c r="BZ37" s="2792">
        <f t="shared" ca="1" si="96"/>
        <v>0</v>
      </c>
      <c r="CA37" s="2792">
        <f t="shared" ca="1" si="96"/>
        <v>0</v>
      </c>
      <c r="CB37" s="2792">
        <f t="shared" ca="1" si="96"/>
        <v>0</v>
      </c>
      <c r="CC37" s="2792">
        <f t="shared" ca="1" si="96"/>
        <v>0</v>
      </c>
      <c r="CD37" s="2792">
        <f t="shared" ca="1" si="96"/>
        <v>0</v>
      </c>
      <c r="CE37" s="2792">
        <f t="shared" ca="1" si="96"/>
        <v>0</v>
      </c>
      <c r="CF37" s="2792">
        <f t="shared" ca="1" si="96"/>
        <v>0</v>
      </c>
      <c r="CG37" s="2792">
        <f t="shared" ca="1" si="96"/>
        <v>0</v>
      </c>
      <c r="CH37" s="2792">
        <f t="shared" ca="1" si="96"/>
        <v>0</v>
      </c>
      <c r="CI37" s="2792">
        <f t="shared" ca="1" si="96"/>
        <v>0</v>
      </c>
      <c r="CJ37" s="2792">
        <f t="shared" ca="1" si="96"/>
        <v>0</v>
      </c>
      <c r="CK37" s="2792">
        <f t="shared" ca="1" si="96"/>
        <v>0</v>
      </c>
      <c r="CL37" s="2792">
        <f t="shared" ca="1" si="96"/>
        <v>0</v>
      </c>
      <c r="CM37" s="2792">
        <f t="shared" ca="1" si="96"/>
        <v>0</v>
      </c>
      <c r="CN37" s="2792">
        <f t="shared" ca="1" si="96"/>
        <v>0</v>
      </c>
      <c r="CO37" s="2792">
        <f t="shared" ca="1" si="96"/>
        <v>0</v>
      </c>
      <c r="CP37" s="2792">
        <f t="shared" ca="1" si="96"/>
        <v>0</v>
      </c>
      <c r="CQ37" s="2792">
        <f t="shared" ca="1" si="96"/>
        <v>0</v>
      </c>
      <c r="CR37" s="2792">
        <f t="shared" ca="1" si="96"/>
        <v>0</v>
      </c>
      <c r="CS37" s="2792">
        <f t="shared" ca="1" si="96"/>
        <v>0</v>
      </c>
      <c r="CT37" s="2792">
        <f t="shared" ca="1" si="96"/>
        <v>0</v>
      </c>
      <c r="CU37" s="2792">
        <f t="shared" ca="1" si="96"/>
        <v>0</v>
      </c>
      <c r="CV37" s="2792">
        <f t="shared" ca="1" si="96"/>
        <v>0</v>
      </c>
      <c r="CW37" s="2792">
        <f t="shared" ca="1" si="96"/>
        <v>0</v>
      </c>
      <c r="CX37" s="2792">
        <f t="shared" ca="1" si="96"/>
        <v>0</v>
      </c>
      <c r="CY37" s="2792">
        <f t="shared" ca="1" si="96"/>
        <v>0</v>
      </c>
      <c r="CZ37" s="2792">
        <f t="shared" ca="1" si="96"/>
        <v>0</v>
      </c>
      <c r="DA37" s="2792">
        <f t="shared" ca="1" si="96"/>
        <v>0</v>
      </c>
      <c r="DB37" s="2792">
        <f t="shared" ca="1" si="96"/>
        <v>0</v>
      </c>
      <c r="DC37" s="2792">
        <f t="shared" ca="1" si="96"/>
        <v>0</v>
      </c>
      <c r="DD37" s="2792">
        <f t="shared" ca="1" si="96"/>
        <v>0</v>
      </c>
      <c r="DE37" s="2792">
        <f t="shared" ca="1" si="96"/>
        <v>0</v>
      </c>
      <c r="DF37" s="2792">
        <f t="shared" ca="1" si="96"/>
        <v>0</v>
      </c>
      <c r="DH37" s="596">
        <f t="shared" ca="1" si="32"/>
        <v>0</v>
      </c>
    </row>
    <row r="38" spans="1:112" s="6" customFormat="1" ht="15.75">
      <c r="A38" s="4"/>
      <c r="B38" s="3"/>
      <c r="C38" s="616" t="s">
        <v>496</v>
      </c>
      <c r="D38" s="617" t="s">
        <v>495</v>
      </c>
      <c r="E38" s="206"/>
      <c r="G38" s="618">
        <f t="shared" ref="G38:P38" ca="1" si="97">G37</f>
        <v>0</v>
      </c>
      <c r="H38" s="618">
        <f t="shared" ca="1" si="97"/>
        <v>0</v>
      </c>
      <c r="I38" s="618">
        <f t="shared" ca="1" si="97"/>
        <v>0</v>
      </c>
      <c r="J38" s="618">
        <f t="shared" ca="1" si="97"/>
        <v>0</v>
      </c>
      <c r="K38" s="618">
        <f t="shared" ca="1" si="97"/>
        <v>0</v>
      </c>
      <c r="L38" s="618">
        <f t="shared" ca="1" si="97"/>
        <v>0</v>
      </c>
      <c r="M38" s="618">
        <f t="shared" ca="1" si="97"/>
        <v>0</v>
      </c>
      <c r="N38" s="618">
        <f t="shared" ca="1" si="97"/>
        <v>0</v>
      </c>
      <c r="O38" s="618">
        <f t="shared" ca="1" si="97"/>
        <v>0</v>
      </c>
      <c r="P38" s="618">
        <f t="shared" ca="1" si="97"/>
        <v>0</v>
      </c>
      <c r="Q38" s="618">
        <f ca="1">SUM(G38:P38)</f>
        <v>0</v>
      </c>
      <c r="S38" s="581">
        <f t="shared" ref="S38:AJ38" ca="1" si="98">S37</f>
        <v>0</v>
      </c>
      <c r="T38" s="581">
        <f t="shared" ca="1" si="98"/>
        <v>0</v>
      </c>
      <c r="U38" s="581">
        <f t="shared" ca="1" si="98"/>
        <v>0</v>
      </c>
      <c r="V38" s="581">
        <f t="shared" ca="1" si="98"/>
        <v>0</v>
      </c>
      <c r="W38" s="581">
        <f t="shared" ca="1" si="98"/>
        <v>0</v>
      </c>
      <c r="X38" s="581">
        <f ca="1">X37</f>
        <v>0</v>
      </c>
      <c r="Y38" s="581">
        <f ca="1">Y37</f>
        <v>0</v>
      </c>
      <c r="Z38" s="581">
        <f ca="1">Z37</f>
        <v>0</v>
      </c>
      <c r="AA38" s="581">
        <f t="shared" ca="1" si="98"/>
        <v>0</v>
      </c>
      <c r="AB38" s="581">
        <f t="shared" ca="1" si="98"/>
        <v>0</v>
      </c>
      <c r="AC38" s="581">
        <f t="shared" ca="1" si="98"/>
        <v>0</v>
      </c>
      <c r="AD38" s="581">
        <f ca="1">AD37</f>
        <v>0</v>
      </c>
      <c r="AE38" s="581">
        <f ca="1">AE37</f>
        <v>0</v>
      </c>
      <c r="AF38" s="581">
        <f t="shared" ca="1" si="98"/>
        <v>0</v>
      </c>
      <c r="AG38" s="581">
        <f ca="1">AG37</f>
        <v>0</v>
      </c>
      <c r="AH38" s="581">
        <f ca="1">AH37</f>
        <v>0</v>
      </c>
      <c r="AI38" s="581">
        <f ca="1">AI37</f>
        <v>0</v>
      </c>
      <c r="AJ38" s="581">
        <f t="shared" ca="1" si="98"/>
        <v>0</v>
      </c>
      <c r="AK38" s="581">
        <f ca="1">SUM(S38:AJ38)</f>
        <v>0</v>
      </c>
      <c r="AM38" s="582">
        <f t="shared" ref="AM38:BE38" ca="1" si="99">AM37</f>
        <v>0</v>
      </c>
      <c r="AN38" s="582">
        <f t="shared" ca="1" si="99"/>
        <v>0</v>
      </c>
      <c r="AO38" s="582">
        <f t="shared" ca="1" si="99"/>
        <v>0</v>
      </c>
      <c r="AP38" s="582">
        <f t="shared" ca="1" si="99"/>
        <v>0</v>
      </c>
      <c r="AQ38" s="582">
        <f t="shared" ca="1" si="99"/>
        <v>0</v>
      </c>
      <c r="AR38" s="582">
        <f t="shared" ca="1" si="99"/>
        <v>0</v>
      </c>
      <c r="AS38" s="582">
        <f t="shared" ca="1" si="99"/>
        <v>0</v>
      </c>
      <c r="AT38" s="582">
        <f t="shared" ca="1" si="99"/>
        <v>0</v>
      </c>
      <c r="AU38" s="582">
        <f t="shared" ca="1" si="99"/>
        <v>0</v>
      </c>
      <c r="AV38" s="582">
        <f t="shared" ca="1" si="99"/>
        <v>0</v>
      </c>
      <c r="AW38" s="582">
        <f t="shared" ca="1" si="99"/>
        <v>0</v>
      </c>
      <c r="AX38" s="582">
        <f t="shared" ca="1" si="99"/>
        <v>0</v>
      </c>
      <c r="AY38" s="582">
        <f t="shared" ca="1" si="99"/>
        <v>0</v>
      </c>
      <c r="AZ38" s="582">
        <f t="shared" ca="1" si="99"/>
        <v>0</v>
      </c>
      <c r="BA38" s="582">
        <f t="shared" ca="1" si="99"/>
        <v>0</v>
      </c>
      <c r="BB38" s="582">
        <f t="shared" ca="1" si="99"/>
        <v>0</v>
      </c>
      <c r="BC38" s="582">
        <f t="shared" ca="1" si="99"/>
        <v>0</v>
      </c>
      <c r="BD38" s="582">
        <f ca="1">BD37</f>
        <v>0</v>
      </c>
      <c r="BE38" s="582">
        <f t="shared" ca="1" si="99"/>
        <v>0</v>
      </c>
      <c r="BF38" s="582">
        <f ca="1">SUM(AM38:BE38)</f>
        <v>0</v>
      </c>
      <c r="BH38" s="3463">
        <f ca="1">BH37</f>
        <v>0</v>
      </c>
      <c r="BI38" s="3463">
        <f ca="1">BI37</f>
        <v>0</v>
      </c>
      <c r="BJ38" s="3463">
        <f ca="1">SUM(BH38:BI38)</f>
        <v>0</v>
      </c>
      <c r="BL38" s="3477">
        <f t="shared" ca="1" si="9"/>
        <v>0</v>
      </c>
      <c r="BM38" s="584"/>
      <c r="BN38" s="413"/>
      <c r="BO38" s="2790">
        <f t="shared" ref="BO38:DF38" ca="1" si="100">BO37</f>
        <v>0</v>
      </c>
      <c r="BP38" s="2790">
        <f t="shared" ca="1" si="100"/>
        <v>0</v>
      </c>
      <c r="BQ38" s="2790">
        <f t="shared" ca="1" si="100"/>
        <v>0</v>
      </c>
      <c r="BR38" s="2790">
        <f t="shared" ca="1" si="100"/>
        <v>0</v>
      </c>
      <c r="BS38" s="2790">
        <f t="shared" ca="1" si="100"/>
        <v>0</v>
      </c>
      <c r="BT38" s="2790">
        <f t="shared" ca="1" si="100"/>
        <v>0</v>
      </c>
      <c r="BU38" s="2790">
        <f t="shared" ca="1" si="100"/>
        <v>0</v>
      </c>
      <c r="BV38" s="2790">
        <f t="shared" ca="1" si="100"/>
        <v>0</v>
      </c>
      <c r="BW38" s="2790">
        <f t="shared" ca="1" si="100"/>
        <v>0</v>
      </c>
      <c r="BX38" s="2790">
        <f t="shared" ca="1" si="100"/>
        <v>0</v>
      </c>
      <c r="BY38" s="2790">
        <f t="shared" ca="1" si="100"/>
        <v>0</v>
      </c>
      <c r="BZ38" s="2790">
        <f t="shared" ca="1" si="100"/>
        <v>0</v>
      </c>
      <c r="CA38" s="2790">
        <f t="shared" ca="1" si="100"/>
        <v>0</v>
      </c>
      <c r="CB38" s="2790">
        <f t="shared" ca="1" si="100"/>
        <v>0</v>
      </c>
      <c r="CC38" s="2790">
        <f t="shared" ca="1" si="100"/>
        <v>0</v>
      </c>
      <c r="CD38" s="2790">
        <f t="shared" ca="1" si="100"/>
        <v>0</v>
      </c>
      <c r="CE38" s="2790">
        <f t="shared" ca="1" si="100"/>
        <v>0</v>
      </c>
      <c r="CF38" s="2790">
        <f t="shared" ca="1" si="100"/>
        <v>0</v>
      </c>
      <c r="CG38" s="2790">
        <f t="shared" ca="1" si="100"/>
        <v>0</v>
      </c>
      <c r="CH38" s="2790">
        <f t="shared" ca="1" si="100"/>
        <v>0</v>
      </c>
      <c r="CI38" s="2790">
        <f t="shared" ca="1" si="100"/>
        <v>0</v>
      </c>
      <c r="CJ38" s="2790">
        <f t="shared" ca="1" si="100"/>
        <v>0</v>
      </c>
      <c r="CK38" s="2790">
        <f t="shared" ca="1" si="100"/>
        <v>0</v>
      </c>
      <c r="CL38" s="2790">
        <f t="shared" ca="1" si="100"/>
        <v>0</v>
      </c>
      <c r="CM38" s="2790">
        <f t="shared" ca="1" si="100"/>
        <v>0</v>
      </c>
      <c r="CN38" s="2790">
        <f t="shared" ca="1" si="100"/>
        <v>0</v>
      </c>
      <c r="CO38" s="2790">
        <f t="shared" ca="1" si="100"/>
        <v>0</v>
      </c>
      <c r="CP38" s="2790">
        <f t="shared" ca="1" si="100"/>
        <v>0</v>
      </c>
      <c r="CQ38" s="2790">
        <f t="shared" ca="1" si="100"/>
        <v>0</v>
      </c>
      <c r="CR38" s="2790">
        <f t="shared" ca="1" si="100"/>
        <v>0</v>
      </c>
      <c r="CS38" s="2790">
        <f t="shared" ca="1" si="100"/>
        <v>0</v>
      </c>
      <c r="CT38" s="2790">
        <f t="shared" ca="1" si="100"/>
        <v>0</v>
      </c>
      <c r="CU38" s="2790">
        <f t="shared" ca="1" si="100"/>
        <v>0</v>
      </c>
      <c r="CV38" s="2790">
        <f t="shared" ca="1" si="100"/>
        <v>0</v>
      </c>
      <c r="CW38" s="2790">
        <f t="shared" ca="1" si="100"/>
        <v>0</v>
      </c>
      <c r="CX38" s="2790">
        <f t="shared" ca="1" si="100"/>
        <v>0</v>
      </c>
      <c r="CY38" s="2790">
        <f t="shared" ca="1" si="100"/>
        <v>0</v>
      </c>
      <c r="CZ38" s="2790">
        <f t="shared" ca="1" si="100"/>
        <v>0</v>
      </c>
      <c r="DA38" s="2790">
        <f t="shared" ca="1" si="100"/>
        <v>0</v>
      </c>
      <c r="DB38" s="2790">
        <f t="shared" ca="1" si="100"/>
        <v>0</v>
      </c>
      <c r="DC38" s="2790">
        <f t="shared" ca="1" si="100"/>
        <v>0</v>
      </c>
      <c r="DD38" s="2790">
        <f t="shared" ca="1" si="100"/>
        <v>0</v>
      </c>
      <c r="DE38" s="2790">
        <f t="shared" ca="1" si="100"/>
        <v>0</v>
      </c>
      <c r="DF38" s="2790">
        <f t="shared" ca="1" si="100"/>
        <v>0</v>
      </c>
      <c r="DH38" s="596">
        <f t="shared" ca="1" si="32"/>
        <v>0</v>
      </c>
    </row>
    <row r="39" spans="1:112" s="6" customForma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9"/>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1">G$15+G$19+G$22+G$32+G$35+G$38</f>
        <v>36.831258141442504</v>
      </c>
      <c r="H40" s="633">
        <f t="shared" ca="1" si="101"/>
        <v>10.616416573823713</v>
      </c>
      <c r="I40" s="633">
        <f t="shared" ca="1" si="101"/>
        <v>27.570366994096929</v>
      </c>
      <c r="J40" s="633">
        <f t="shared" ca="1" si="101"/>
        <v>33.951749508261884</v>
      </c>
      <c r="K40" s="633">
        <f t="shared" ca="1" si="101"/>
        <v>0.42264386044609314</v>
      </c>
      <c r="L40" s="633">
        <f t="shared" ca="1" si="101"/>
        <v>2.6377315657889075E-2</v>
      </c>
      <c r="M40" s="633">
        <f t="shared" ca="1" si="101"/>
        <v>0.66</v>
      </c>
      <c r="N40" s="633">
        <f t="shared" ca="1" si="101"/>
        <v>8.0623123555082739</v>
      </c>
      <c r="O40" s="633">
        <f t="shared" ca="1" si="101"/>
        <v>0</v>
      </c>
      <c r="P40" s="633">
        <f t="shared" ca="1" si="101"/>
        <v>0</v>
      </c>
      <c r="Q40" s="633">
        <f t="shared" ca="1" si="101"/>
        <v>118.14112474923729</v>
      </c>
      <c r="S40" s="634">
        <f t="shared" ref="S40:AJ40" ca="1" si="102">S$15+S$19+S$22+S$32+S$35+S$38</f>
        <v>-24.5294601434627</v>
      </c>
      <c r="T40" s="634">
        <f t="shared" ca="1" si="102"/>
        <v>2.8642500000000002</v>
      </c>
      <c r="U40" s="634">
        <f t="shared" ca="1" si="102"/>
        <v>-3.7497107243636614</v>
      </c>
      <c r="V40" s="634">
        <f t="shared" ca="1" si="102"/>
        <v>-60.347449177381201</v>
      </c>
      <c r="W40" s="634">
        <f t="shared" ca="1" si="102"/>
        <v>-31.333145790282085</v>
      </c>
      <c r="X40" s="634">
        <f ca="1">X$15+X$19+X$22+X$32+X$35+X$38</f>
        <v>0</v>
      </c>
      <c r="Y40" s="634">
        <f ca="1">Y$15+Y$19+Y$22+Y$32+Y$35+Y$38</f>
        <v>0</v>
      </c>
      <c r="Z40" s="634">
        <f ca="1">Z$15+Z$19+Z$22+Z$32+Z$35+Z$38</f>
        <v>0</v>
      </c>
      <c r="AA40" s="634">
        <f t="shared" ca="1" si="102"/>
        <v>0</v>
      </c>
      <c r="AB40" s="634">
        <f t="shared" ca="1" si="102"/>
        <v>0</v>
      </c>
      <c r="AC40" s="634">
        <f t="shared" ca="1" si="102"/>
        <v>0</v>
      </c>
      <c r="AD40" s="634">
        <f t="shared" ca="1" si="102"/>
        <v>0</v>
      </c>
      <c r="AE40" s="634">
        <f t="shared" ca="1" si="102"/>
        <v>0</v>
      </c>
      <c r="AF40" s="634">
        <f t="shared" ca="1" si="102"/>
        <v>0</v>
      </c>
      <c r="AG40" s="634">
        <f t="shared" ca="1" si="102"/>
        <v>0</v>
      </c>
      <c r="AH40" s="634">
        <f t="shared" ca="1" si="102"/>
        <v>0</v>
      </c>
      <c r="AI40" s="634">
        <f t="shared" ca="1" si="102"/>
        <v>-0.87993360231339046</v>
      </c>
      <c r="AJ40" s="634">
        <f t="shared" ca="1" si="102"/>
        <v>-3.1077607021923297E-3</v>
      </c>
      <c r="AK40" s="634">
        <f ca="1">SUM(S40:AJ40)</f>
        <v>-117.97855719850523</v>
      </c>
      <c r="AM40" s="635">
        <f t="shared" ref="AM40:BE40" ca="1" si="103">AM$15+AM$19+AM$22+AM$32+AM$35+AM$38</f>
        <v>0</v>
      </c>
      <c r="AN40" s="635">
        <f t="shared" ca="1" si="103"/>
        <v>0</v>
      </c>
      <c r="AO40" s="635">
        <f t="shared" ca="1" si="103"/>
        <v>0</v>
      </c>
      <c r="AP40" s="635">
        <f t="shared" ca="1" si="103"/>
        <v>0</v>
      </c>
      <c r="AQ40" s="635">
        <f t="shared" ca="1" si="103"/>
        <v>0</v>
      </c>
      <c r="AR40" s="635">
        <f t="shared" ca="1" si="103"/>
        <v>0</v>
      </c>
      <c r="AS40" s="635">
        <f t="shared" ca="1" si="103"/>
        <v>0</v>
      </c>
      <c r="AT40" s="635">
        <f t="shared" ca="1" si="103"/>
        <v>0</v>
      </c>
      <c r="AU40" s="635">
        <f t="shared" ca="1" si="103"/>
        <v>0</v>
      </c>
      <c r="AV40" s="635">
        <f t="shared" ca="1" si="103"/>
        <v>0</v>
      </c>
      <c r="AW40" s="635">
        <f t="shared" ca="1" si="103"/>
        <v>0</v>
      </c>
      <c r="AX40" s="635">
        <f t="shared" ca="1" si="103"/>
        <v>0</v>
      </c>
      <c r="AY40" s="635">
        <f t="shared" ca="1" si="103"/>
        <v>0</v>
      </c>
      <c r="AZ40" s="635">
        <f t="shared" ca="1" si="103"/>
        <v>0</v>
      </c>
      <c r="BA40" s="635">
        <f t="shared" ca="1" si="103"/>
        <v>0</v>
      </c>
      <c r="BB40" s="635">
        <f t="shared" ca="1" si="103"/>
        <v>0</v>
      </c>
      <c r="BC40" s="635">
        <f t="shared" ca="1" si="103"/>
        <v>-0.16256755073206205</v>
      </c>
      <c r="BD40" s="635">
        <f t="shared" ca="1" si="103"/>
        <v>0</v>
      </c>
      <c r="BE40" s="635">
        <f t="shared" ca="1" si="103"/>
        <v>0</v>
      </c>
      <c r="BF40" s="635">
        <f ca="1">SUM(AM40:BE40)</f>
        <v>-0.16256755073206205</v>
      </c>
      <c r="BH40" s="3464">
        <f ca="1">BH$15+BH$19+BH$22+BH$32+BH$35+BH$38</f>
        <v>0</v>
      </c>
      <c r="BI40" s="3464">
        <f ca="1">BI$15+BI$19+BI$22+BI$32+BI$35+BI$38</f>
        <v>0</v>
      </c>
      <c r="BJ40" s="3464">
        <f ca="1">SUM(BH40:BI40)</f>
        <v>0</v>
      </c>
      <c r="BL40" s="3478">
        <f t="shared" ca="1" si="9"/>
        <v>1.5820678100908481E-15</v>
      </c>
      <c r="BM40" s="636"/>
      <c r="BO40" s="2793">
        <f t="shared" ref="BO40:DF40" ca="1" si="104">BO$15+BO$19+BO$22+BO$32+BO$35+BO$38</f>
        <v>21.477547444582719</v>
      </c>
      <c r="BP40" s="2793">
        <f t="shared" ca="1" si="104"/>
        <v>1.4425489544479433E-2</v>
      </c>
      <c r="BQ40" s="2793">
        <f t="shared" ca="1" si="104"/>
        <v>0.13850905923578999</v>
      </c>
      <c r="BR40" s="2793">
        <f t="shared" ca="1" si="104"/>
        <v>0</v>
      </c>
      <c r="BS40" s="2793">
        <f t="shared" ca="1" si="104"/>
        <v>0</v>
      </c>
      <c r="BT40" s="2793">
        <f t="shared" ca="1" si="104"/>
        <v>0</v>
      </c>
      <c r="BU40" s="2793">
        <f t="shared" ca="1" si="104"/>
        <v>0</v>
      </c>
      <c r="BV40" s="2793">
        <f t="shared" ca="1" si="104"/>
        <v>0</v>
      </c>
      <c r="BW40" s="2793">
        <f t="shared" ca="1" si="104"/>
        <v>1.0258177006990448</v>
      </c>
      <c r="BX40" s="2793">
        <f t="shared" ca="1" si="104"/>
        <v>0</v>
      </c>
      <c r="BY40" s="2793">
        <f t="shared" ca="1" si="104"/>
        <v>0</v>
      </c>
      <c r="BZ40" s="2793">
        <f t="shared" ca="1" si="104"/>
        <v>0.84250368324178171</v>
      </c>
      <c r="CA40" s="2793">
        <f t="shared" ca="1" si="104"/>
        <v>0</v>
      </c>
      <c r="CB40" s="2793">
        <f t="shared" ca="1" si="104"/>
        <v>0</v>
      </c>
      <c r="CC40" s="2793">
        <f t="shared" ca="1" si="104"/>
        <v>0</v>
      </c>
      <c r="CD40" s="2793">
        <f t="shared" ca="1" si="104"/>
        <v>0</v>
      </c>
      <c r="CE40" s="2793">
        <f t="shared" ca="1" si="104"/>
        <v>0</v>
      </c>
      <c r="CF40" s="2793">
        <f t="shared" ca="1" si="104"/>
        <v>0</v>
      </c>
      <c r="CG40" s="2793">
        <f t="shared" ca="1" si="104"/>
        <v>0</v>
      </c>
      <c r="CH40" s="2793">
        <f t="shared" ca="1" si="104"/>
        <v>0</v>
      </c>
      <c r="CI40" s="2793">
        <f t="shared" ca="1" si="104"/>
        <v>0</v>
      </c>
      <c r="CJ40" s="2793">
        <f t="shared" ca="1" si="104"/>
        <v>0</v>
      </c>
      <c r="CK40" s="2793">
        <f t="shared" ca="1" si="104"/>
        <v>0</v>
      </c>
      <c r="CL40" s="2793">
        <f t="shared" ca="1" si="104"/>
        <v>0</v>
      </c>
      <c r="CM40" s="2793">
        <f t="shared" ca="1" si="104"/>
        <v>0</v>
      </c>
      <c r="CN40" s="2793">
        <f t="shared" ca="1" si="104"/>
        <v>0</v>
      </c>
      <c r="CO40" s="2793">
        <f t="shared" ca="1" si="104"/>
        <v>0</v>
      </c>
      <c r="CP40" s="2793">
        <f t="shared" ca="1" si="104"/>
        <v>0</v>
      </c>
      <c r="CQ40" s="2793">
        <f t="shared" ca="1" si="104"/>
        <v>0</v>
      </c>
      <c r="CR40" s="2793">
        <f t="shared" ca="1" si="104"/>
        <v>0</v>
      </c>
      <c r="CS40" s="2793">
        <f t="shared" ca="1" si="104"/>
        <v>0</v>
      </c>
      <c r="CT40" s="2793">
        <f t="shared" ca="1" si="104"/>
        <v>0</v>
      </c>
      <c r="CU40" s="2793">
        <f t="shared" ca="1" si="104"/>
        <v>2.1274829843715231</v>
      </c>
      <c r="CV40" s="2793">
        <f t="shared" ca="1" si="104"/>
        <v>1.8285324422292765E-3</v>
      </c>
      <c r="CW40" s="2793">
        <f t="shared" ca="1" si="104"/>
        <v>5.3985243532483403E-3</v>
      </c>
      <c r="CX40" s="2793">
        <f t="shared" ca="1" si="104"/>
        <v>0</v>
      </c>
      <c r="CY40" s="2793">
        <f t="shared" ca="1" si="104"/>
        <v>0</v>
      </c>
      <c r="CZ40" s="2793">
        <f t="shared" ca="1" si="104"/>
        <v>0</v>
      </c>
      <c r="DA40" s="2793">
        <f t="shared" ca="1" si="104"/>
        <v>0</v>
      </c>
      <c r="DB40" s="2793">
        <f t="shared" ca="1" si="104"/>
        <v>0</v>
      </c>
      <c r="DC40" s="2793">
        <f t="shared" ca="1" si="104"/>
        <v>0</v>
      </c>
      <c r="DD40" s="2793">
        <f t="shared" ca="1" si="104"/>
        <v>0</v>
      </c>
      <c r="DE40" s="2793">
        <f t="shared" ca="1" si="104"/>
        <v>0</v>
      </c>
      <c r="DF40" s="2793">
        <f t="shared" ca="1" si="104"/>
        <v>0</v>
      </c>
      <c r="DH40" s="637">
        <f ca="1">SUM(BO40:DF40)</f>
        <v>25.633513418470809</v>
      </c>
    </row>
    <row r="41" spans="1:112" s="6" customForma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9"/>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15.75">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9"/>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9"/>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-3.1077607021923297E-3</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9"/>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c r="A45" s="4"/>
      <c r="B45" s="4"/>
      <c r="C45" s="587" t="s">
        <v>502</v>
      </c>
      <c r="D45" s="611" t="s">
        <v>503</v>
      </c>
      <c r="E45" s="650"/>
      <c r="G45" s="619">
        <f t="shared" ref="G45:P45" ca="1" si="105">IFERROR(INDEX(INDIRECT($C45&amp;".Outputs["&amp;this.Year&amp;"]"), MATCH(G$5, INDIRECT($C45&amp;".Outputs[Vector]"), 0)), 0)</f>
        <v>0</v>
      </c>
      <c r="H45" s="619">
        <f t="shared" ca="1" si="105"/>
        <v>0</v>
      </c>
      <c r="I45" s="619">
        <f t="shared" ca="1" si="105"/>
        <v>0</v>
      </c>
      <c r="J45" s="619">
        <f t="shared" ca="1" si="105"/>
        <v>0</v>
      </c>
      <c r="K45" s="619">
        <f t="shared" ca="1" si="105"/>
        <v>0</v>
      </c>
      <c r="L45" s="619">
        <f t="shared" ca="1" si="105"/>
        <v>0</v>
      </c>
      <c r="M45" s="619">
        <f t="shared" ca="1" si="105"/>
        <v>0</v>
      </c>
      <c r="N45" s="619">
        <f t="shared" ca="1" si="105"/>
        <v>0</v>
      </c>
      <c r="O45" s="619">
        <f t="shared" ca="1" si="105"/>
        <v>0</v>
      </c>
      <c r="P45" s="619">
        <f t="shared" ca="1" si="105"/>
        <v>0</v>
      </c>
      <c r="Q45" s="612">
        <f ca="1">SUM(G45:P45)</f>
        <v>0</v>
      </c>
      <c r="S45" s="620">
        <f t="shared" ref="S45:AJ45" ca="1" si="106">IFERROR(INDEX(INDIRECT($C45&amp;".Outputs["&amp;this.Year&amp;"]"), MATCH(S$5, INDIRECT($C45&amp;".Outputs[Vector]"), 0)), 0)</f>
        <v>-1.7037611386626409E-3</v>
      </c>
      <c r="T45" s="620">
        <f t="shared" ca="1" si="106"/>
        <v>0</v>
      </c>
      <c r="U45" s="620">
        <f t="shared" ca="1" si="106"/>
        <v>0</v>
      </c>
      <c r="V45" s="620">
        <f t="shared" ca="1" si="106"/>
        <v>0</v>
      </c>
      <c r="W45" s="620">
        <f t="shared" ca="1" si="106"/>
        <v>-2.7840300234183235E-3</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06"/>
        <v>0</v>
      </c>
      <c r="AB45" s="620">
        <f t="shared" ca="1" si="106"/>
        <v>0</v>
      </c>
      <c r="AC45" s="620">
        <f t="shared" ca="1" si="106"/>
        <v>0</v>
      </c>
      <c r="AD45" s="620">
        <f t="shared" ca="1" si="106"/>
        <v>0</v>
      </c>
      <c r="AE45" s="620">
        <f t="shared" ca="1" si="106"/>
        <v>0</v>
      </c>
      <c r="AF45" s="620">
        <f t="shared" ca="1" si="106"/>
        <v>0</v>
      </c>
      <c r="AG45" s="620">
        <f t="shared" ca="1" si="106"/>
        <v>0</v>
      </c>
      <c r="AH45" s="620">
        <f t="shared" ca="1" si="106"/>
        <v>0</v>
      </c>
      <c r="AI45" s="620">
        <f t="shared" ca="1" si="106"/>
        <v>0</v>
      </c>
      <c r="AJ45" s="620">
        <f t="shared" ca="1" si="106"/>
        <v>3.1077607021923297E-3</v>
      </c>
      <c r="AK45" s="613">
        <f ca="1">SUM(S45:AJ45)</f>
        <v>-1.380030459888635E-3</v>
      </c>
      <c r="AM45" s="621">
        <f t="shared" ref="AM45:BE45" ca="1" si="107">IFERROR(INDEX(INDIRECT($C45&amp;".Outputs["&amp;this.Year&amp;"]"), MATCH(AM$5, INDIRECT($C45&amp;".Outputs[Vector]"), 0)), 0)</f>
        <v>0</v>
      </c>
      <c r="AN45" s="621">
        <f t="shared" ca="1" si="107"/>
        <v>0</v>
      </c>
      <c r="AO45" s="621">
        <f t="shared" ca="1" si="107"/>
        <v>0</v>
      </c>
      <c r="AP45" s="621">
        <f t="shared" ca="1" si="107"/>
        <v>0</v>
      </c>
      <c r="AQ45" s="621">
        <f t="shared" ca="1" si="107"/>
        <v>0</v>
      </c>
      <c r="AR45" s="621">
        <f t="shared" ca="1" si="107"/>
        <v>0</v>
      </c>
      <c r="AS45" s="621">
        <f t="shared" ca="1" si="107"/>
        <v>0</v>
      </c>
      <c r="AT45" s="621">
        <f t="shared" ca="1" si="107"/>
        <v>0</v>
      </c>
      <c r="AU45" s="621">
        <f t="shared" ca="1" si="107"/>
        <v>0</v>
      </c>
      <c r="AV45" s="621">
        <f t="shared" ca="1" si="107"/>
        <v>0</v>
      </c>
      <c r="AW45" s="621">
        <f t="shared" ca="1" si="107"/>
        <v>0</v>
      </c>
      <c r="AX45" s="621">
        <f t="shared" ca="1" si="107"/>
        <v>0</v>
      </c>
      <c r="AY45" s="621">
        <f t="shared" ca="1" si="107"/>
        <v>0</v>
      </c>
      <c r="AZ45" s="621">
        <f t="shared" ca="1" si="107"/>
        <v>0</v>
      </c>
      <c r="BA45" s="621">
        <f t="shared" ca="1" si="107"/>
        <v>0</v>
      </c>
      <c r="BB45" s="621">
        <f t="shared" ca="1" si="107"/>
        <v>0</v>
      </c>
      <c r="BC45" s="621">
        <f t="shared" ca="1" si="107"/>
        <v>0</v>
      </c>
      <c r="BD45" s="621">
        <f t="shared" ca="1" si="107"/>
        <v>0</v>
      </c>
      <c r="BE45" s="621">
        <f t="shared" ca="1" si="107"/>
        <v>0</v>
      </c>
      <c r="BF45" s="615">
        <f ca="1">SUM(AM45:BE45)</f>
        <v>0</v>
      </c>
      <c r="BH45" s="3473">
        <f ca="1">IFERROR(INDEX(INDIRECT($C45&amp;".Outputs["&amp;this.Year&amp;"]"), MATCH(BH$5, INDIRECT($C45&amp;".Outputs[Vector]"), 0)), 0)</f>
        <v>1.3800304598886345E-3</v>
      </c>
      <c r="BI45" s="3473">
        <f ca="1">IFERROR(INDEX(INDIRECT($C45&amp;".Outputs["&amp;this.Year&amp;"]"), MATCH(BI$5, INDIRECT($C45&amp;".Outputs[Vector]"), 0)), 0)</f>
        <v>0</v>
      </c>
      <c r="BJ45" s="3462">
        <f ca="1">SUM(BH45:BI45)</f>
        <v>1.3800304598886345E-3</v>
      </c>
      <c r="BL45" s="3477"/>
      <c r="BM45" s="584"/>
      <c r="BN45" s="413"/>
      <c r="BO45" s="2791">
        <f t="shared" ref="BO45:DF45" ca="1" si="108">IFERROR(SUMIFS(INDIRECT($C45&amp;".Emissions["&amp;this.Year&amp;"]"), INDIRECT($C45&amp;".Emissions[GHG]"), BO$6, INDIRECT($C45&amp;".Emissions[IPCC Sector]"), BO$5),0)</f>
        <v>5.6994996723022727E-4</v>
      </c>
      <c r="BP45" s="2792">
        <f t="shared" ca="1" si="108"/>
        <v>2.1047266977042527E-7</v>
      </c>
      <c r="BQ45" s="2792">
        <f t="shared" ca="1" si="108"/>
        <v>9.010234767791062E-6</v>
      </c>
      <c r="BR45" s="2792">
        <f t="shared" ca="1" si="108"/>
        <v>0</v>
      </c>
      <c r="BS45" s="2792">
        <f t="shared" ca="1" si="108"/>
        <v>0</v>
      </c>
      <c r="BT45" s="2792">
        <f t="shared" ca="1" si="108"/>
        <v>0</v>
      </c>
      <c r="BU45" s="2792">
        <f t="shared" ca="1" si="108"/>
        <v>0</v>
      </c>
      <c r="BV45" s="2792">
        <f t="shared" ca="1" si="108"/>
        <v>0</v>
      </c>
      <c r="BW45" s="2792">
        <f t="shared" ca="1" si="108"/>
        <v>0</v>
      </c>
      <c r="BX45" s="2792">
        <f t="shared" ca="1" si="108"/>
        <v>0</v>
      </c>
      <c r="BY45" s="2792">
        <f t="shared" ca="1" si="108"/>
        <v>0</v>
      </c>
      <c r="BZ45" s="2792">
        <f t="shared" ca="1" si="108"/>
        <v>0</v>
      </c>
      <c r="CA45" s="2792">
        <f t="shared" ca="1" si="108"/>
        <v>0</v>
      </c>
      <c r="CB45" s="2792">
        <f t="shared" ca="1" si="108"/>
        <v>0</v>
      </c>
      <c r="CC45" s="2792">
        <f t="shared" ca="1" si="108"/>
        <v>0</v>
      </c>
      <c r="CD45" s="2792">
        <f t="shared" ca="1" si="108"/>
        <v>0</v>
      </c>
      <c r="CE45" s="2792">
        <f t="shared" ca="1" si="108"/>
        <v>0</v>
      </c>
      <c r="CF45" s="2792">
        <f t="shared" ca="1" si="108"/>
        <v>0</v>
      </c>
      <c r="CG45" s="2792">
        <f t="shared" ca="1" si="108"/>
        <v>0</v>
      </c>
      <c r="CH45" s="2792">
        <f t="shared" ca="1" si="108"/>
        <v>0</v>
      </c>
      <c r="CI45" s="2792">
        <f t="shared" ca="1" si="108"/>
        <v>0</v>
      </c>
      <c r="CJ45" s="2792">
        <f t="shared" ca="1" si="108"/>
        <v>0</v>
      </c>
      <c r="CK45" s="2792">
        <f t="shared" ca="1" si="108"/>
        <v>0</v>
      </c>
      <c r="CL45" s="2792">
        <f t="shared" ca="1" si="108"/>
        <v>0</v>
      </c>
      <c r="CM45" s="2792">
        <f t="shared" ca="1" si="108"/>
        <v>0</v>
      </c>
      <c r="CN45" s="2792">
        <f t="shared" ca="1" si="108"/>
        <v>0</v>
      </c>
      <c r="CO45" s="2792">
        <f t="shared" ca="1" si="108"/>
        <v>0</v>
      </c>
      <c r="CP45" s="2792">
        <f t="shared" ca="1" si="108"/>
        <v>0</v>
      </c>
      <c r="CQ45" s="2792">
        <f t="shared" ca="1" si="108"/>
        <v>0</v>
      </c>
      <c r="CR45" s="2792">
        <f t="shared" ca="1" si="108"/>
        <v>0</v>
      </c>
      <c r="CS45" s="2792">
        <f t="shared" ca="1" si="108"/>
        <v>0</v>
      </c>
      <c r="CT45" s="2792">
        <f t="shared" ca="1" si="108"/>
        <v>0</v>
      </c>
      <c r="CU45" s="2792">
        <f t="shared" ca="1" si="108"/>
        <v>0</v>
      </c>
      <c r="CV45" s="2792">
        <f t="shared" ca="1" si="108"/>
        <v>0</v>
      </c>
      <c r="CW45" s="2792">
        <f t="shared" ca="1" si="108"/>
        <v>0</v>
      </c>
      <c r="CX45" s="2792">
        <f t="shared" ca="1" si="108"/>
        <v>0</v>
      </c>
      <c r="CY45" s="2792">
        <f t="shared" ca="1" si="108"/>
        <v>0</v>
      </c>
      <c r="CZ45" s="2792">
        <f t="shared" ca="1" si="108"/>
        <v>0</v>
      </c>
      <c r="DA45" s="2792">
        <f t="shared" ca="1" si="108"/>
        <v>0</v>
      </c>
      <c r="DB45" s="2792">
        <f t="shared" ca="1" si="108"/>
        <v>0</v>
      </c>
      <c r="DC45" s="2792">
        <f t="shared" ca="1" si="108"/>
        <v>0</v>
      </c>
      <c r="DD45" s="2792">
        <f t="shared" ca="1" si="108"/>
        <v>0</v>
      </c>
      <c r="DE45" s="2792">
        <f t="shared" ca="1" si="108"/>
        <v>0</v>
      </c>
      <c r="DF45" s="2792">
        <f t="shared" ca="1" si="108"/>
        <v>0</v>
      </c>
      <c r="DH45" s="596"/>
    </row>
    <row r="46" spans="1:112" s="6" customFormat="1" ht="15.75">
      <c r="A46" s="4"/>
      <c r="B46" s="3"/>
      <c r="C46" s="616" t="s">
        <v>504</v>
      </c>
      <c r="D46" s="617" t="s">
        <v>505</v>
      </c>
      <c r="E46" s="206"/>
      <c r="G46" s="618">
        <f ca="1">G45</f>
        <v>0</v>
      </c>
      <c r="H46" s="618">
        <f t="shared" ref="H46:P46" ca="1" si="109">H45</f>
        <v>0</v>
      </c>
      <c r="I46" s="618">
        <f t="shared" ca="1" si="109"/>
        <v>0</v>
      </c>
      <c r="J46" s="618">
        <f t="shared" ca="1" si="109"/>
        <v>0</v>
      </c>
      <c r="K46" s="618">
        <f t="shared" ca="1" si="109"/>
        <v>0</v>
      </c>
      <c r="L46" s="618">
        <f t="shared" ca="1" si="109"/>
        <v>0</v>
      </c>
      <c r="M46" s="618">
        <f t="shared" ca="1" si="109"/>
        <v>0</v>
      </c>
      <c r="N46" s="618">
        <f t="shared" ca="1" si="109"/>
        <v>0</v>
      </c>
      <c r="O46" s="618">
        <f t="shared" ca="1" si="109"/>
        <v>0</v>
      </c>
      <c r="P46" s="618">
        <f t="shared" ca="1" si="109"/>
        <v>0</v>
      </c>
      <c r="Q46" s="618">
        <f ca="1">SUM(G46:P46)</f>
        <v>0</v>
      </c>
      <c r="S46" s="581">
        <f t="shared" ref="S46:AJ46" ca="1" si="110">S45</f>
        <v>-1.7037611386626409E-3</v>
      </c>
      <c r="T46" s="581">
        <f t="shared" ca="1" si="110"/>
        <v>0</v>
      </c>
      <c r="U46" s="581">
        <f t="shared" ca="1" si="110"/>
        <v>0</v>
      </c>
      <c r="V46" s="581">
        <f t="shared" ca="1" si="110"/>
        <v>0</v>
      </c>
      <c r="W46" s="581">
        <f t="shared" ca="1" si="110"/>
        <v>-2.7840300234183235E-3</v>
      </c>
      <c r="X46" s="581">
        <f t="shared" ca="1" si="110"/>
        <v>0</v>
      </c>
      <c r="Y46" s="581">
        <f t="shared" ca="1" si="110"/>
        <v>0</v>
      </c>
      <c r="Z46" s="581">
        <f t="shared" ca="1" si="110"/>
        <v>0</v>
      </c>
      <c r="AA46" s="581">
        <f t="shared" ca="1" si="110"/>
        <v>0</v>
      </c>
      <c r="AB46" s="581">
        <f t="shared" ca="1" si="110"/>
        <v>0</v>
      </c>
      <c r="AC46" s="581">
        <f t="shared" ca="1" si="110"/>
        <v>0</v>
      </c>
      <c r="AD46" s="581">
        <f t="shared" ca="1" si="110"/>
        <v>0</v>
      </c>
      <c r="AE46" s="581">
        <f ca="1">AE45</f>
        <v>0</v>
      </c>
      <c r="AF46" s="581">
        <f t="shared" ca="1" si="110"/>
        <v>0</v>
      </c>
      <c r="AG46" s="581">
        <f t="shared" ca="1" si="110"/>
        <v>0</v>
      </c>
      <c r="AH46" s="581">
        <f ca="1">AH45</f>
        <v>0</v>
      </c>
      <c r="AI46" s="581">
        <f t="shared" ca="1" si="110"/>
        <v>0</v>
      </c>
      <c r="AJ46" s="581">
        <f t="shared" ca="1" si="110"/>
        <v>3.1077607021923297E-3</v>
      </c>
      <c r="AK46" s="581">
        <f ca="1">SUM(S46:AJ46)</f>
        <v>-1.380030459888635E-3</v>
      </c>
      <c r="AM46" s="582">
        <f t="shared" ref="AM46:BE46" ca="1" si="111">AM45</f>
        <v>0</v>
      </c>
      <c r="AN46" s="582">
        <f t="shared" ca="1" si="111"/>
        <v>0</v>
      </c>
      <c r="AO46" s="582">
        <f t="shared" ca="1" si="111"/>
        <v>0</v>
      </c>
      <c r="AP46" s="582">
        <f t="shared" ca="1" si="111"/>
        <v>0</v>
      </c>
      <c r="AQ46" s="582">
        <f t="shared" ca="1" si="111"/>
        <v>0</v>
      </c>
      <c r="AR46" s="582">
        <f t="shared" ca="1" si="111"/>
        <v>0</v>
      </c>
      <c r="AS46" s="582">
        <f t="shared" ca="1" si="111"/>
        <v>0</v>
      </c>
      <c r="AT46" s="582">
        <f t="shared" ca="1" si="111"/>
        <v>0</v>
      </c>
      <c r="AU46" s="582">
        <f t="shared" ca="1" si="111"/>
        <v>0</v>
      </c>
      <c r="AV46" s="582">
        <f t="shared" ca="1" si="111"/>
        <v>0</v>
      </c>
      <c r="AW46" s="582">
        <f t="shared" ca="1" si="111"/>
        <v>0</v>
      </c>
      <c r="AX46" s="582">
        <f t="shared" ca="1" si="111"/>
        <v>0</v>
      </c>
      <c r="AY46" s="582">
        <f t="shared" ca="1" si="111"/>
        <v>0</v>
      </c>
      <c r="AZ46" s="582">
        <f t="shared" ca="1" si="111"/>
        <v>0</v>
      </c>
      <c r="BA46" s="582">
        <f t="shared" ca="1" si="111"/>
        <v>0</v>
      </c>
      <c r="BB46" s="582">
        <f t="shared" ca="1" si="111"/>
        <v>0</v>
      </c>
      <c r="BC46" s="582">
        <f t="shared" ca="1" si="111"/>
        <v>0</v>
      </c>
      <c r="BD46" s="582">
        <f t="shared" ca="1" si="111"/>
        <v>0</v>
      </c>
      <c r="BE46" s="582">
        <f t="shared" ca="1" si="111"/>
        <v>0</v>
      </c>
      <c r="BF46" s="582">
        <f ca="1">SUM(AM46:BE46)</f>
        <v>0</v>
      </c>
      <c r="BH46" s="3463">
        <f ca="1">BH45</f>
        <v>1.3800304598886345E-3</v>
      </c>
      <c r="BI46" s="3463">
        <f ca="1">BI45</f>
        <v>0</v>
      </c>
      <c r="BJ46" s="3463">
        <f ca="1">SUM(BH46:BI46)</f>
        <v>1.3800304598886345E-3</v>
      </c>
      <c r="BL46" s="3477">
        <f ca="1">Q46+AK46+BF46+BJ46</f>
        <v>0</v>
      </c>
      <c r="BM46" s="584"/>
      <c r="BN46" s="413"/>
      <c r="BO46" s="2790">
        <f t="shared" ref="BO46:DF46" ca="1" si="112">BO45</f>
        <v>5.6994996723022727E-4</v>
      </c>
      <c r="BP46" s="2790">
        <f t="shared" ca="1" si="112"/>
        <v>2.1047266977042527E-7</v>
      </c>
      <c r="BQ46" s="2790">
        <f t="shared" ca="1" si="112"/>
        <v>9.010234767791062E-6</v>
      </c>
      <c r="BR46" s="2790">
        <f t="shared" ca="1" si="112"/>
        <v>0</v>
      </c>
      <c r="BS46" s="2790">
        <f t="shared" ca="1" si="112"/>
        <v>0</v>
      </c>
      <c r="BT46" s="2790">
        <f t="shared" ca="1" si="112"/>
        <v>0</v>
      </c>
      <c r="BU46" s="2790">
        <f t="shared" ca="1" si="112"/>
        <v>0</v>
      </c>
      <c r="BV46" s="2790">
        <f t="shared" ca="1" si="112"/>
        <v>0</v>
      </c>
      <c r="BW46" s="2790">
        <f t="shared" ca="1" si="112"/>
        <v>0</v>
      </c>
      <c r="BX46" s="2790">
        <f t="shared" ca="1" si="112"/>
        <v>0</v>
      </c>
      <c r="BY46" s="2790">
        <f t="shared" ca="1" si="112"/>
        <v>0</v>
      </c>
      <c r="BZ46" s="2790">
        <f t="shared" ca="1" si="112"/>
        <v>0</v>
      </c>
      <c r="CA46" s="2790">
        <f t="shared" ca="1" si="112"/>
        <v>0</v>
      </c>
      <c r="CB46" s="2790">
        <f t="shared" ca="1" si="112"/>
        <v>0</v>
      </c>
      <c r="CC46" s="2790">
        <f t="shared" ca="1" si="112"/>
        <v>0</v>
      </c>
      <c r="CD46" s="2790">
        <f t="shared" ca="1" si="112"/>
        <v>0</v>
      </c>
      <c r="CE46" s="2790">
        <f t="shared" ca="1" si="112"/>
        <v>0</v>
      </c>
      <c r="CF46" s="2790">
        <f t="shared" ca="1" si="112"/>
        <v>0</v>
      </c>
      <c r="CG46" s="2790">
        <f t="shared" ca="1" si="112"/>
        <v>0</v>
      </c>
      <c r="CH46" s="2790">
        <f t="shared" ca="1" si="112"/>
        <v>0</v>
      </c>
      <c r="CI46" s="2790">
        <f t="shared" ca="1" si="112"/>
        <v>0</v>
      </c>
      <c r="CJ46" s="2790">
        <f t="shared" ca="1" si="112"/>
        <v>0</v>
      </c>
      <c r="CK46" s="2790">
        <f t="shared" ca="1" si="112"/>
        <v>0</v>
      </c>
      <c r="CL46" s="2790">
        <f t="shared" ca="1" si="112"/>
        <v>0</v>
      </c>
      <c r="CM46" s="2790">
        <f t="shared" ca="1" si="112"/>
        <v>0</v>
      </c>
      <c r="CN46" s="2790">
        <f t="shared" ca="1" si="112"/>
        <v>0</v>
      </c>
      <c r="CO46" s="2790">
        <f t="shared" ca="1" si="112"/>
        <v>0</v>
      </c>
      <c r="CP46" s="2790">
        <f t="shared" ca="1" si="112"/>
        <v>0</v>
      </c>
      <c r="CQ46" s="2790">
        <f t="shared" ca="1" si="112"/>
        <v>0</v>
      </c>
      <c r="CR46" s="2790">
        <f t="shared" ca="1" si="112"/>
        <v>0</v>
      </c>
      <c r="CS46" s="2790">
        <f t="shared" ca="1" si="112"/>
        <v>0</v>
      </c>
      <c r="CT46" s="2790">
        <f t="shared" ca="1" si="112"/>
        <v>0</v>
      </c>
      <c r="CU46" s="2790">
        <f t="shared" ca="1" si="112"/>
        <v>0</v>
      </c>
      <c r="CV46" s="2790">
        <f t="shared" ca="1" si="112"/>
        <v>0</v>
      </c>
      <c r="CW46" s="2790">
        <f t="shared" ca="1" si="112"/>
        <v>0</v>
      </c>
      <c r="CX46" s="2790">
        <f t="shared" ca="1" si="112"/>
        <v>0</v>
      </c>
      <c r="CY46" s="2790">
        <f t="shared" ca="1" si="112"/>
        <v>0</v>
      </c>
      <c r="CZ46" s="2790">
        <f t="shared" ca="1" si="112"/>
        <v>0</v>
      </c>
      <c r="DA46" s="2790">
        <f t="shared" ca="1" si="112"/>
        <v>0</v>
      </c>
      <c r="DB46" s="2790">
        <f t="shared" ca="1" si="112"/>
        <v>0</v>
      </c>
      <c r="DC46" s="2790">
        <f t="shared" ca="1" si="112"/>
        <v>0</v>
      </c>
      <c r="DD46" s="2790">
        <f t="shared" ca="1" si="112"/>
        <v>0</v>
      </c>
      <c r="DE46" s="2790">
        <f t="shared" ca="1" si="112"/>
        <v>0</v>
      </c>
      <c r="DF46" s="2790">
        <f t="shared" ca="1" si="112"/>
        <v>0</v>
      </c>
      <c r="DH46" s="596">
        <f t="shared" ref="DH46:DH82" ca="1" si="113">SUM(BO46:DF46)</f>
        <v>5.7917067466778881E-4</v>
      </c>
    </row>
    <row r="47" spans="1:112" s="6" customFormat="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13"/>
        <v>0</v>
      </c>
    </row>
    <row r="48" spans="1:112" s="6" customFormat="1">
      <c r="A48" s="607"/>
      <c r="B48" s="607"/>
      <c r="C48" s="587" t="s">
        <v>506</v>
      </c>
      <c r="D48" s="588" t="s">
        <v>507</v>
      </c>
      <c r="E48" s="588"/>
      <c r="G48" s="589">
        <f t="shared" ref="G48:P50" ca="1" si="114">IFERROR(INDEX(INDIRECT($C48&amp;".Outputs["&amp;this.Year&amp;"]"), MATCH(G$5, INDIRECT($C48&amp;".Outputs[Vector]"), 0)), 0)</f>
        <v>0</v>
      </c>
      <c r="H48" s="589">
        <f t="shared" ca="1" si="114"/>
        <v>0</v>
      </c>
      <c r="I48" s="589">
        <f t="shared" ca="1" si="114"/>
        <v>0</v>
      </c>
      <c r="J48" s="589">
        <f t="shared" ca="1" si="114"/>
        <v>0</v>
      </c>
      <c r="K48" s="589">
        <f t="shared" ca="1" si="114"/>
        <v>0</v>
      </c>
      <c r="L48" s="589">
        <f t="shared" ca="1" si="114"/>
        <v>0</v>
      </c>
      <c r="M48" s="589">
        <f t="shared" ca="1" si="114"/>
        <v>0</v>
      </c>
      <c r="N48" s="589">
        <f t="shared" ca="1" si="114"/>
        <v>0</v>
      </c>
      <c r="O48" s="589">
        <f t="shared" ca="1" si="114"/>
        <v>0</v>
      </c>
      <c r="P48" s="589">
        <f t="shared" ca="1" si="114"/>
        <v>0</v>
      </c>
      <c r="Q48" s="590">
        <f ca="1">SUM(G48:P48)</f>
        <v>0</v>
      </c>
      <c r="S48" s="591">
        <f t="shared" ref="S48:AJ50" ca="1" si="115">IFERROR(INDEX(INDIRECT($C48&amp;".Outputs["&amp;this.Year&amp;"]"), MATCH(S$5, INDIRECT($C48&amp;".Outputs[Vector]"), 0)), 0)</f>
        <v>0</v>
      </c>
      <c r="T48" s="591">
        <f t="shared" ca="1" si="115"/>
        <v>0</v>
      </c>
      <c r="U48" s="591">
        <f t="shared" ca="1" si="115"/>
        <v>0</v>
      </c>
      <c r="V48" s="591">
        <f t="shared" ca="1" si="115"/>
        <v>0</v>
      </c>
      <c r="W48" s="591">
        <f t="shared" ca="1" si="115"/>
        <v>0</v>
      </c>
      <c r="X48" s="591">
        <f t="shared" ca="1" si="115"/>
        <v>0</v>
      </c>
      <c r="Y48" s="591">
        <f t="shared" ca="1" si="115"/>
        <v>0</v>
      </c>
      <c r="Z48" s="591">
        <f t="shared" ca="1" si="115"/>
        <v>0</v>
      </c>
      <c r="AA48" s="591">
        <f t="shared" ca="1" si="115"/>
        <v>0</v>
      </c>
      <c r="AB48" s="591">
        <f t="shared" ca="1" si="115"/>
        <v>0</v>
      </c>
      <c r="AC48" s="591">
        <f t="shared" ca="1" si="115"/>
        <v>0</v>
      </c>
      <c r="AD48" s="591">
        <f t="shared" ca="1" si="115"/>
        <v>0</v>
      </c>
      <c r="AE48" s="591">
        <f t="shared" ca="1" si="115"/>
        <v>0</v>
      </c>
      <c r="AF48" s="591">
        <f t="shared" ca="1" si="115"/>
        <v>0</v>
      </c>
      <c r="AG48" s="591">
        <f t="shared" ca="1" si="115"/>
        <v>3.8888888888888896E-2</v>
      </c>
      <c r="AH48" s="591">
        <f t="shared" ca="1" si="115"/>
        <v>0</v>
      </c>
      <c r="AI48" s="591">
        <f t="shared" ca="1" si="115"/>
        <v>0</v>
      </c>
      <c r="AJ48" s="591">
        <f t="shared" ca="1" si="115"/>
        <v>0</v>
      </c>
      <c r="AK48" s="592">
        <f ca="1">SUM(S48:AJ48)</f>
        <v>3.8888888888888896E-2</v>
      </c>
      <c r="AM48" s="593">
        <f t="shared" ref="AM48:BB50" ca="1" si="116">IFERROR(INDEX(INDIRECT($C48&amp;".Outputs["&amp;this.Year&amp;"]"), MATCH(AM$5, INDIRECT($C48&amp;".Outputs[Vector]"), 0)), 0)</f>
        <v>0</v>
      </c>
      <c r="AN48" s="593">
        <f t="shared" ca="1" si="116"/>
        <v>0</v>
      </c>
      <c r="AO48" s="593">
        <f t="shared" ca="1" si="116"/>
        <v>0</v>
      </c>
      <c r="AP48" s="593">
        <f t="shared" ca="1" si="116"/>
        <v>0</v>
      </c>
      <c r="AQ48" s="593">
        <f t="shared" ca="1" si="116"/>
        <v>0</v>
      </c>
      <c r="AR48" s="593">
        <f t="shared" ca="1" si="116"/>
        <v>0</v>
      </c>
      <c r="AS48" s="593">
        <f t="shared" ca="1" si="116"/>
        <v>0</v>
      </c>
      <c r="AT48" s="593">
        <f t="shared" ca="1" si="116"/>
        <v>0</v>
      </c>
      <c r="AU48" s="593">
        <f t="shared" ca="1" si="116"/>
        <v>0</v>
      </c>
      <c r="AV48" s="593">
        <f t="shared" ca="1" si="116"/>
        <v>0</v>
      </c>
      <c r="AW48" s="593">
        <f t="shared" ca="1" si="116"/>
        <v>0</v>
      </c>
      <c r="AX48" s="593">
        <f t="shared" ca="1" si="116"/>
        <v>0</v>
      </c>
      <c r="AY48" s="593">
        <f t="shared" ca="1" si="116"/>
        <v>0</v>
      </c>
      <c r="AZ48" s="593">
        <f t="shared" ca="1" si="116"/>
        <v>0</v>
      </c>
      <c r="BA48" s="593">
        <f t="shared" ca="1" si="116"/>
        <v>0</v>
      </c>
      <c r="BB48" s="593">
        <f t="shared" ca="1" si="116"/>
        <v>0</v>
      </c>
      <c r="BC48" s="593">
        <f t="shared" ref="BC48:BE50" ca="1" si="117">IFERROR(INDEX(INDIRECT($C48&amp;".Outputs["&amp;this.Year&amp;"]"), MATCH(BC$5, INDIRECT($C48&amp;".Outputs[Vector]"), 0)), 0)</f>
        <v>0</v>
      </c>
      <c r="BD48" s="593">
        <f t="shared" ca="1" si="117"/>
        <v>-3.8888888888888896E-2</v>
      </c>
      <c r="BE48" s="593">
        <f t="shared" ca="1" si="117"/>
        <v>0</v>
      </c>
      <c r="BF48" s="609">
        <f ca="1">SUM(AM48:BE48)</f>
        <v>-3.8888888888888896E-2</v>
      </c>
      <c r="BH48" s="3471">
        <f t="shared" ref="BH48:BI50" ca="1" si="118">IFERROR(INDEX(INDIRECT($C48&amp;".Outputs["&amp;this.Year&amp;"]"), MATCH(BH$5, INDIRECT($C48&amp;".Outputs[Vector]"), 0)), 0)</f>
        <v>0</v>
      </c>
      <c r="BI48" s="3471">
        <f t="shared" ca="1" si="118"/>
        <v>0</v>
      </c>
      <c r="BJ48" s="3460">
        <f ca="1">SUM(BH48:BI48)</f>
        <v>0</v>
      </c>
      <c r="BL48" s="610"/>
      <c r="BM48" s="610"/>
      <c r="BN48" s="413"/>
      <c r="BO48" s="2789">
        <f t="shared" ref="BO48:BX50" ca="1" si="119">IFERROR(SUMIFS(INDIRECT($C48&amp;".Emissions["&amp;this.Year&amp;"]"), INDIRECT($C48&amp;".Emissions[GHG]"), BO$6, INDIRECT($C48&amp;".Emissions[IPCC Sector]"), BO$5),0)</f>
        <v>0</v>
      </c>
      <c r="BP48" s="2790">
        <f t="shared" ca="1" si="119"/>
        <v>0</v>
      </c>
      <c r="BQ48" s="2790">
        <f t="shared" ca="1" si="119"/>
        <v>0</v>
      </c>
      <c r="BR48" s="2790">
        <f t="shared" ca="1" si="119"/>
        <v>0</v>
      </c>
      <c r="BS48" s="2790">
        <f t="shared" ca="1" si="119"/>
        <v>0</v>
      </c>
      <c r="BT48" s="2790">
        <f t="shared" ca="1" si="119"/>
        <v>0</v>
      </c>
      <c r="BU48" s="2790">
        <f t="shared" ca="1" si="119"/>
        <v>0</v>
      </c>
      <c r="BV48" s="2790">
        <f t="shared" ca="1" si="119"/>
        <v>0</v>
      </c>
      <c r="BW48" s="2790">
        <f t="shared" ca="1" si="119"/>
        <v>0</v>
      </c>
      <c r="BX48" s="2790">
        <f t="shared" ca="1" si="119"/>
        <v>0</v>
      </c>
      <c r="BY48" s="2790">
        <f t="shared" ref="BY48:CH50" ca="1" si="120">IFERROR(SUMIFS(INDIRECT($C48&amp;".Emissions["&amp;this.Year&amp;"]"), INDIRECT($C48&amp;".Emissions[GHG]"), BY$6, INDIRECT($C48&amp;".Emissions[IPCC Sector]"), BY$5),0)</f>
        <v>0</v>
      </c>
      <c r="BZ48" s="2790">
        <f t="shared" ca="1" si="120"/>
        <v>0</v>
      </c>
      <c r="CA48" s="2790">
        <f t="shared" ca="1" si="120"/>
        <v>0</v>
      </c>
      <c r="CB48" s="2790">
        <f t="shared" ca="1" si="120"/>
        <v>0</v>
      </c>
      <c r="CC48" s="2790">
        <f t="shared" ca="1" si="120"/>
        <v>0</v>
      </c>
      <c r="CD48" s="2790">
        <f t="shared" ca="1" si="120"/>
        <v>0</v>
      </c>
      <c r="CE48" s="2790">
        <f t="shared" ca="1" si="120"/>
        <v>0</v>
      </c>
      <c r="CF48" s="2790">
        <f t="shared" ca="1" si="120"/>
        <v>0</v>
      </c>
      <c r="CG48" s="2790">
        <f t="shared" ca="1" si="120"/>
        <v>0</v>
      </c>
      <c r="CH48" s="2790">
        <f t="shared" ca="1" si="120"/>
        <v>0</v>
      </c>
      <c r="CI48" s="2790">
        <f t="shared" ref="CI48:CR50" ca="1" si="121">IFERROR(SUMIFS(INDIRECT($C48&amp;".Emissions["&amp;this.Year&amp;"]"), INDIRECT($C48&amp;".Emissions[GHG]"), CI$6, INDIRECT($C48&amp;".Emissions[IPCC Sector]"), CI$5),0)</f>
        <v>0</v>
      </c>
      <c r="CJ48" s="2790">
        <f t="shared" ca="1" si="121"/>
        <v>0</v>
      </c>
      <c r="CK48" s="2790">
        <f t="shared" ca="1" si="121"/>
        <v>0</v>
      </c>
      <c r="CL48" s="2790">
        <f t="shared" ca="1" si="121"/>
        <v>0</v>
      </c>
      <c r="CM48" s="2790">
        <f t="shared" ca="1" si="121"/>
        <v>0</v>
      </c>
      <c r="CN48" s="2790">
        <f t="shared" ca="1" si="121"/>
        <v>0</v>
      </c>
      <c r="CO48" s="2790">
        <f t="shared" ca="1" si="121"/>
        <v>0</v>
      </c>
      <c r="CP48" s="2790">
        <f t="shared" ca="1" si="121"/>
        <v>0</v>
      </c>
      <c r="CQ48" s="2790">
        <f t="shared" ca="1" si="121"/>
        <v>0</v>
      </c>
      <c r="CR48" s="2790">
        <f t="shared" ca="1" si="121"/>
        <v>0</v>
      </c>
      <c r="CS48" s="2790">
        <f t="shared" ref="CS48:DF50" ca="1" si="122">IFERROR(SUMIFS(INDIRECT($C48&amp;".Emissions["&amp;this.Year&amp;"]"), INDIRECT($C48&amp;".Emissions[GHG]"), CS$6, INDIRECT($C48&amp;".Emissions[IPCC Sector]"), CS$5),0)</f>
        <v>0</v>
      </c>
      <c r="CT48" s="2790">
        <f t="shared" ca="1" si="122"/>
        <v>0</v>
      </c>
      <c r="CU48" s="2790">
        <f t="shared" ca="1" si="122"/>
        <v>0</v>
      </c>
      <c r="CV48" s="2790">
        <f t="shared" ca="1" si="122"/>
        <v>0</v>
      </c>
      <c r="CW48" s="2790">
        <f t="shared" ca="1" si="122"/>
        <v>0</v>
      </c>
      <c r="CX48" s="2790">
        <f t="shared" ca="1" si="122"/>
        <v>0</v>
      </c>
      <c r="CY48" s="2790">
        <f t="shared" ca="1" si="122"/>
        <v>0</v>
      </c>
      <c r="CZ48" s="2790">
        <f t="shared" ca="1" si="122"/>
        <v>0</v>
      </c>
      <c r="DA48" s="2790">
        <f t="shared" ca="1" si="122"/>
        <v>0</v>
      </c>
      <c r="DB48" s="2790">
        <f t="shared" ca="1" si="122"/>
        <v>0</v>
      </c>
      <c r="DC48" s="2790">
        <f t="shared" ca="1" si="122"/>
        <v>0</v>
      </c>
      <c r="DD48" s="2790">
        <f t="shared" ca="1" si="122"/>
        <v>0</v>
      </c>
      <c r="DE48" s="2790">
        <f t="shared" ca="1" si="122"/>
        <v>0</v>
      </c>
      <c r="DF48" s="2790">
        <f t="shared" ca="1" si="122"/>
        <v>0</v>
      </c>
      <c r="DH48" s="596">
        <f ca="1">SUM(BO48:DF48)</f>
        <v>0</v>
      </c>
    </row>
    <row r="49" spans="1:112" s="6" customFormat="1">
      <c r="A49" s="607"/>
      <c r="B49" s="607"/>
      <c r="C49" s="587" t="s">
        <v>508</v>
      </c>
      <c r="D49" s="588" t="s">
        <v>509</v>
      </c>
      <c r="E49" s="588"/>
      <c r="G49" s="589">
        <f t="shared" ca="1" si="114"/>
        <v>0</v>
      </c>
      <c r="H49" s="589">
        <f t="shared" ca="1" si="114"/>
        <v>0</v>
      </c>
      <c r="I49" s="589">
        <f t="shared" ca="1" si="114"/>
        <v>0</v>
      </c>
      <c r="J49" s="589">
        <f t="shared" ca="1" si="114"/>
        <v>0</v>
      </c>
      <c r="K49" s="589">
        <f t="shared" ca="1" si="114"/>
        <v>0</v>
      </c>
      <c r="L49" s="589">
        <f t="shared" ca="1" si="114"/>
        <v>0</v>
      </c>
      <c r="M49" s="589">
        <f t="shared" ca="1" si="114"/>
        <v>0</v>
      </c>
      <c r="N49" s="589">
        <f t="shared" ca="1" si="114"/>
        <v>0</v>
      </c>
      <c r="O49" s="589">
        <f t="shared" ca="1" si="114"/>
        <v>0</v>
      </c>
      <c r="P49" s="589">
        <f t="shared" ca="1" si="114"/>
        <v>0</v>
      </c>
      <c r="Q49" s="590">
        <f ca="1">SUM(G49:P49)</f>
        <v>0</v>
      </c>
      <c r="S49" s="591">
        <f t="shared" ca="1" si="115"/>
        <v>0</v>
      </c>
      <c r="T49" s="591">
        <f t="shared" ca="1" si="115"/>
        <v>0</v>
      </c>
      <c r="U49" s="591">
        <f t="shared" ca="1" si="115"/>
        <v>0</v>
      </c>
      <c r="V49" s="591">
        <f t="shared" ca="1" si="115"/>
        <v>0</v>
      </c>
      <c r="W49" s="591">
        <f t="shared" ca="1" si="115"/>
        <v>0</v>
      </c>
      <c r="X49" s="591">
        <f t="shared" ca="1" si="115"/>
        <v>0.24021866884806434</v>
      </c>
      <c r="Y49" s="591">
        <f t="shared" ca="1" si="115"/>
        <v>0</v>
      </c>
      <c r="Z49" s="591">
        <f t="shared" ca="1" si="115"/>
        <v>0</v>
      </c>
      <c r="AA49" s="591">
        <f t="shared" ca="1" si="115"/>
        <v>0</v>
      </c>
      <c r="AB49" s="591">
        <f t="shared" ca="1" si="115"/>
        <v>0</v>
      </c>
      <c r="AC49" s="591">
        <f t="shared" ca="1" si="115"/>
        <v>0</v>
      </c>
      <c r="AD49" s="591">
        <f t="shared" ca="1" si="115"/>
        <v>0</v>
      </c>
      <c r="AE49" s="591">
        <f t="shared" ca="1" si="115"/>
        <v>0</v>
      </c>
      <c r="AF49" s="591">
        <f t="shared" ca="1" si="115"/>
        <v>0.43000976772869509</v>
      </c>
      <c r="AG49" s="591">
        <f t="shared" ca="1" si="115"/>
        <v>8.7471306265643783E-2</v>
      </c>
      <c r="AH49" s="591">
        <f t="shared" ca="1" si="115"/>
        <v>0.16872527422163447</v>
      </c>
      <c r="AI49" s="591">
        <f t="shared" ca="1" si="115"/>
        <v>0</v>
      </c>
      <c r="AJ49" s="591">
        <f t="shared" ca="1" si="115"/>
        <v>0</v>
      </c>
      <c r="AK49" s="592">
        <f ca="1">SUM(S49:AJ49)</f>
        <v>0.92642501706403779</v>
      </c>
      <c r="AM49" s="593">
        <f t="shared" ca="1" si="116"/>
        <v>0</v>
      </c>
      <c r="AN49" s="593">
        <f t="shared" ca="1" si="116"/>
        <v>0</v>
      </c>
      <c r="AO49" s="593">
        <f t="shared" ca="1" si="116"/>
        <v>0</v>
      </c>
      <c r="AP49" s="593">
        <f t="shared" ca="1" si="116"/>
        <v>0</v>
      </c>
      <c r="AQ49" s="593">
        <f t="shared" ca="1" si="116"/>
        <v>0</v>
      </c>
      <c r="AR49" s="593">
        <f t="shared" ca="1" si="116"/>
        <v>0</v>
      </c>
      <c r="AS49" s="593">
        <f t="shared" ca="1" si="116"/>
        <v>0</v>
      </c>
      <c r="AT49" s="593">
        <f t="shared" ca="1" si="116"/>
        <v>0</v>
      </c>
      <c r="AU49" s="593">
        <f t="shared" ca="1" si="116"/>
        <v>0</v>
      </c>
      <c r="AV49" s="593">
        <f t="shared" ca="1" si="116"/>
        <v>0</v>
      </c>
      <c r="AW49" s="593">
        <f t="shared" ca="1" si="116"/>
        <v>0</v>
      </c>
      <c r="AX49" s="593">
        <f t="shared" ca="1" si="116"/>
        <v>0</v>
      </c>
      <c r="AY49" s="593">
        <f t="shared" ca="1" si="116"/>
        <v>0</v>
      </c>
      <c r="AZ49" s="593">
        <f t="shared" ca="1" si="116"/>
        <v>0</v>
      </c>
      <c r="BA49" s="593">
        <f t="shared" ca="1" si="116"/>
        <v>0</v>
      </c>
      <c r="BB49" s="593">
        <f t="shared" ca="1" si="116"/>
        <v>0</v>
      </c>
      <c r="BC49" s="593">
        <f t="shared" ca="1" si="117"/>
        <v>0</v>
      </c>
      <c r="BD49" s="593">
        <f t="shared" ca="1" si="117"/>
        <v>0</v>
      </c>
      <c r="BE49" s="593">
        <f t="shared" ca="1" si="117"/>
        <v>-0.92642501706403768</v>
      </c>
      <c r="BF49" s="609">
        <f ca="1">SUM(AM49:BE49)</f>
        <v>-0.92642501706403768</v>
      </c>
      <c r="BH49" s="3471">
        <f t="shared" ca="1" si="118"/>
        <v>0</v>
      </c>
      <c r="BI49" s="3471">
        <f t="shared" ca="1" si="118"/>
        <v>0</v>
      </c>
      <c r="BJ49" s="3460">
        <f ca="1">SUM(BH49:BI49)</f>
        <v>0</v>
      </c>
      <c r="BL49" s="610"/>
      <c r="BM49" s="610"/>
      <c r="BN49" s="413"/>
      <c r="BO49" s="2789">
        <f t="shared" ca="1" si="119"/>
        <v>0</v>
      </c>
      <c r="BP49" s="2790">
        <f t="shared" ca="1" si="119"/>
        <v>0</v>
      </c>
      <c r="BQ49" s="2790">
        <f t="shared" ca="1" si="119"/>
        <v>0</v>
      </c>
      <c r="BR49" s="2790">
        <f t="shared" ca="1" si="119"/>
        <v>0</v>
      </c>
      <c r="BS49" s="2790">
        <f t="shared" ca="1" si="119"/>
        <v>0</v>
      </c>
      <c r="BT49" s="2790">
        <f t="shared" ca="1" si="119"/>
        <v>0</v>
      </c>
      <c r="BU49" s="2790">
        <f t="shared" ca="1" si="119"/>
        <v>0</v>
      </c>
      <c r="BV49" s="2790">
        <f t="shared" ca="1" si="119"/>
        <v>0</v>
      </c>
      <c r="BW49" s="2790">
        <f t="shared" ca="1" si="119"/>
        <v>0</v>
      </c>
      <c r="BX49" s="2790">
        <f t="shared" ca="1" si="119"/>
        <v>0</v>
      </c>
      <c r="BY49" s="2790">
        <f t="shared" ca="1" si="120"/>
        <v>0</v>
      </c>
      <c r="BZ49" s="2790">
        <f t="shared" ca="1" si="120"/>
        <v>0</v>
      </c>
      <c r="CA49" s="2790">
        <f t="shared" ca="1" si="120"/>
        <v>0</v>
      </c>
      <c r="CB49" s="2790">
        <f t="shared" ca="1" si="120"/>
        <v>0</v>
      </c>
      <c r="CC49" s="2790">
        <f t="shared" ca="1" si="120"/>
        <v>0</v>
      </c>
      <c r="CD49" s="2790">
        <f t="shared" ca="1" si="120"/>
        <v>0</v>
      </c>
      <c r="CE49" s="2790">
        <f t="shared" ca="1" si="120"/>
        <v>0</v>
      </c>
      <c r="CF49" s="2790">
        <f t="shared" ca="1" si="120"/>
        <v>0</v>
      </c>
      <c r="CG49" s="2790">
        <f t="shared" ca="1" si="120"/>
        <v>0</v>
      </c>
      <c r="CH49" s="2790">
        <f t="shared" ca="1" si="120"/>
        <v>0</v>
      </c>
      <c r="CI49" s="2790">
        <f t="shared" ca="1" si="121"/>
        <v>0</v>
      </c>
      <c r="CJ49" s="2790">
        <f t="shared" ca="1" si="121"/>
        <v>0</v>
      </c>
      <c r="CK49" s="2790">
        <f t="shared" ca="1" si="121"/>
        <v>0</v>
      </c>
      <c r="CL49" s="2790">
        <f t="shared" ca="1" si="121"/>
        <v>0</v>
      </c>
      <c r="CM49" s="2790">
        <f t="shared" ca="1" si="121"/>
        <v>0</v>
      </c>
      <c r="CN49" s="2790">
        <f t="shared" ca="1" si="121"/>
        <v>0.60925043615004382</v>
      </c>
      <c r="CO49" s="2790">
        <f t="shared" ca="1" si="121"/>
        <v>5.7356255357142859E-2</v>
      </c>
      <c r="CP49" s="2790">
        <f t="shared" ca="1" si="121"/>
        <v>0</v>
      </c>
      <c r="CQ49" s="2790">
        <f t="shared" ca="1" si="121"/>
        <v>0</v>
      </c>
      <c r="CR49" s="2790">
        <f t="shared" ca="1" si="121"/>
        <v>0</v>
      </c>
      <c r="CS49" s="2790">
        <f t="shared" ca="1" si="122"/>
        <v>0</v>
      </c>
      <c r="CT49" s="2790">
        <f t="shared" ca="1" si="122"/>
        <v>0</v>
      </c>
      <c r="CU49" s="2790">
        <f t="shared" ca="1" si="122"/>
        <v>0</v>
      </c>
      <c r="CV49" s="2790">
        <f t="shared" ca="1" si="122"/>
        <v>0</v>
      </c>
      <c r="CW49" s="2790">
        <f t="shared" ca="1" si="122"/>
        <v>0</v>
      </c>
      <c r="CX49" s="2790">
        <f t="shared" ca="1" si="122"/>
        <v>0</v>
      </c>
      <c r="CY49" s="2790">
        <f t="shared" ca="1" si="122"/>
        <v>0</v>
      </c>
      <c r="CZ49" s="2790">
        <f t="shared" ca="1" si="122"/>
        <v>0</v>
      </c>
      <c r="DA49" s="2790">
        <f t="shared" ca="1" si="122"/>
        <v>0</v>
      </c>
      <c r="DB49" s="2790">
        <f t="shared" ca="1" si="122"/>
        <v>0</v>
      </c>
      <c r="DC49" s="2790">
        <f t="shared" ca="1" si="122"/>
        <v>0</v>
      </c>
      <c r="DD49" s="2790">
        <f t="shared" ca="1" si="122"/>
        <v>0</v>
      </c>
      <c r="DE49" s="2790">
        <f t="shared" ca="1" si="122"/>
        <v>0</v>
      </c>
      <c r="DF49" s="2790">
        <f t="shared" ca="1" si="122"/>
        <v>0</v>
      </c>
      <c r="DH49" s="596">
        <f t="shared" ca="1" si="113"/>
        <v>0.66660669150718665</v>
      </c>
    </row>
    <row r="50" spans="1:112" s="6" customFormat="1">
      <c r="A50" s="607"/>
      <c r="B50" s="607"/>
      <c r="C50" s="587" t="s">
        <v>510</v>
      </c>
      <c r="D50" s="611" t="s">
        <v>511</v>
      </c>
      <c r="E50" s="611"/>
      <c r="G50" s="619">
        <f t="shared" ca="1" si="114"/>
        <v>0</v>
      </c>
      <c r="H50" s="619">
        <f t="shared" ca="1" si="114"/>
        <v>0</v>
      </c>
      <c r="I50" s="619">
        <f t="shared" ca="1" si="114"/>
        <v>2.6841876268210387</v>
      </c>
      <c r="J50" s="619">
        <f t="shared" ca="1" si="114"/>
        <v>0</v>
      </c>
      <c r="K50" s="619">
        <f t="shared" ca="1" si="114"/>
        <v>0</v>
      </c>
      <c r="L50" s="619">
        <f t="shared" ca="1" si="114"/>
        <v>0</v>
      </c>
      <c r="M50" s="619">
        <f t="shared" ca="1" si="114"/>
        <v>0</v>
      </c>
      <c r="N50" s="619">
        <f t="shared" ca="1" si="114"/>
        <v>0</v>
      </c>
      <c r="O50" s="619">
        <f t="shared" ca="1" si="114"/>
        <v>0</v>
      </c>
      <c r="P50" s="619">
        <f t="shared" ca="1" si="114"/>
        <v>0</v>
      </c>
      <c r="Q50" s="612">
        <f ca="1">SUM(G50:P50)</f>
        <v>2.6841876268210387</v>
      </c>
      <c r="S50" s="620">
        <f t="shared" ca="1" si="115"/>
        <v>-0.56367940163241814</v>
      </c>
      <c r="T50" s="620">
        <f t="shared" ca="1" si="115"/>
        <v>0</v>
      </c>
      <c r="U50" s="620">
        <f t="shared" ca="1" si="115"/>
        <v>0</v>
      </c>
      <c r="V50" s="620">
        <f t="shared" ca="1" si="115"/>
        <v>-2.1205082251886207</v>
      </c>
      <c r="W50" s="620">
        <f t="shared" ca="1" si="115"/>
        <v>0</v>
      </c>
      <c r="X50" s="620">
        <f t="shared" ca="1" si="115"/>
        <v>0</v>
      </c>
      <c r="Y50" s="620">
        <f t="shared" ca="1" si="115"/>
        <v>0</v>
      </c>
      <c r="Z50" s="620">
        <f t="shared" ca="1" si="115"/>
        <v>0</v>
      </c>
      <c r="AA50" s="620">
        <f t="shared" ca="1" si="115"/>
        <v>0</v>
      </c>
      <c r="AB50" s="620">
        <f t="shared" ca="1" si="115"/>
        <v>0</v>
      </c>
      <c r="AC50" s="620">
        <f t="shared" ca="1" si="115"/>
        <v>0</v>
      </c>
      <c r="AD50" s="620">
        <f t="shared" ca="1" si="115"/>
        <v>19.357134768779371</v>
      </c>
      <c r="AE50" s="620">
        <f t="shared" ca="1" si="115"/>
        <v>0.37055006275752844</v>
      </c>
      <c r="AF50" s="620">
        <f t="shared" ca="1" si="115"/>
        <v>7.9020153337748189</v>
      </c>
      <c r="AG50" s="620">
        <f t="shared" ca="1" si="115"/>
        <v>2.8948282361645394</v>
      </c>
      <c r="AH50" s="620">
        <f t="shared" ca="1" si="115"/>
        <v>0</v>
      </c>
      <c r="AI50" s="620">
        <f t="shared" ca="1" si="115"/>
        <v>0</v>
      </c>
      <c r="AJ50" s="620">
        <f t="shared" ca="1" si="115"/>
        <v>0</v>
      </c>
      <c r="AK50" s="613">
        <f ca="1">SUM(S50:AJ50)</f>
        <v>27.840340774655218</v>
      </c>
      <c r="AM50" s="621">
        <f t="shared" ca="1" si="116"/>
        <v>0</v>
      </c>
      <c r="AN50" s="621">
        <f t="shared" ca="1" si="116"/>
        <v>0</v>
      </c>
      <c r="AO50" s="621">
        <f t="shared" ca="1" si="116"/>
        <v>0</v>
      </c>
      <c r="AP50" s="621">
        <f t="shared" ca="1" si="116"/>
        <v>0</v>
      </c>
      <c r="AQ50" s="621">
        <f t="shared" ca="1" si="116"/>
        <v>0</v>
      </c>
      <c r="AR50" s="621">
        <f t="shared" ca="1" si="116"/>
        <v>0</v>
      </c>
      <c r="AS50" s="621">
        <f t="shared" ca="1" si="116"/>
        <v>0</v>
      </c>
      <c r="AT50" s="621">
        <f t="shared" ca="1" si="116"/>
        <v>0</v>
      </c>
      <c r="AU50" s="621">
        <f t="shared" ca="1" si="116"/>
        <v>0</v>
      </c>
      <c r="AV50" s="621">
        <f t="shared" ca="1" si="116"/>
        <v>0</v>
      </c>
      <c r="AW50" s="621">
        <f t="shared" ca="1" si="116"/>
        <v>0</v>
      </c>
      <c r="AX50" s="621">
        <f t="shared" ca="1" si="116"/>
        <v>0</v>
      </c>
      <c r="AY50" s="621">
        <f t="shared" ca="1" si="116"/>
        <v>0</v>
      </c>
      <c r="AZ50" s="621">
        <f t="shared" ca="1" si="116"/>
        <v>0</v>
      </c>
      <c r="BA50" s="621">
        <f t="shared" ca="1" si="116"/>
        <v>0</v>
      </c>
      <c r="BB50" s="621">
        <f t="shared" ca="1" si="116"/>
        <v>0</v>
      </c>
      <c r="BC50" s="621">
        <f t="shared" ca="1" si="117"/>
        <v>0</v>
      </c>
      <c r="BD50" s="621">
        <f t="shared" ca="1" si="117"/>
        <v>-19.727684831536898</v>
      </c>
      <c r="BE50" s="621">
        <f t="shared" ca="1" si="117"/>
        <v>-10.796843569939359</v>
      </c>
      <c r="BF50" s="615">
        <f ca="1">SUM(AM50:BE50)</f>
        <v>-30.524528401476257</v>
      </c>
      <c r="BH50" s="3473">
        <f t="shared" ca="1" si="118"/>
        <v>0</v>
      </c>
      <c r="BI50" s="3473">
        <f t="shared" ca="1" si="118"/>
        <v>0</v>
      </c>
      <c r="BJ50" s="3462">
        <f ca="1">SUM(BH50:BI50)</f>
        <v>0</v>
      </c>
      <c r="BL50" s="610">
        <f ca="1">Q50+AK50+BF50+BJ50</f>
        <v>0</v>
      </c>
      <c r="BM50" s="610"/>
      <c r="BN50" s="413"/>
      <c r="BO50" s="2791">
        <f t="shared" ca="1" si="119"/>
        <v>0.55955971046277309</v>
      </c>
      <c r="BP50" s="2792">
        <f t="shared" ca="1" si="119"/>
        <v>4.8093126547277921E-4</v>
      </c>
      <c r="BQ50" s="2792">
        <f t="shared" ca="1" si="119"/>
        <v>1.4198923075863005E-3</v>
      </c>
      <c r="BR50" s="2792">
        <f t="shared" ca="1" si="119"/>
        <v>0</v>
      </c>
      <c r="BS50" s="2792">
        <f t="shared" ca="1" si="119"/>
        <v>0</v>
      </c>
      <c r="BT50" s="2792">
        <f t="shared" ca="1" si="119"/>
        <v>0</v>
      </c>
      <c r="BU50" s="2792">
        <f t="shared" ca="1" si="119"/>
        <v>0</v>
      </c>
      <c r="BV50" s="2792">
        <f t="shared" ca="1" si="119"/>
        <v>0</v>
      </c>
      <c r="BW50" s="2792">
        <f t="shared" ca="1" si="119"/>
        <v>0</v>
      </c>
      <c r="BX50" s="2792">
        <f t="shared" ca="1" si="119"/>
        <v>0</v>
      </c>
      <c r="BY50" s="2792">
        <f t="shared" ca="1" si="120"/>
        <v>0</v>
      </c>
      <c r="BZ50" s="2792">
        <f t="shared" ca="1" si="120"/>
        <v>0</v>
      </c>
      <c r="CA50" s="2792">
        <f t="shared" ca="1" si="120"/>
        <v>0</v>
      </c>
      <c r="CB50" s="2792">
        <f t="shared" ca="1" si="120"/>
        <v>0</v>
      </c>
      <c r="CC50" s="2792">
        <f t="shared" ca="1" si="120"/>
        <v>0</v>
      </c>
      <c r="CD50" s="2792">
        <f t="shared" ca="1" si="120"/>
        <v>0</v>
      </c>
      <c r="CE50" s="2792">
        <f t="shared" ca="1" si="120"/>
        <v>0</v>
      </c>
      <c r="CF50" s="2792">
        <f t="shared" ca="1" si="120"/>
        <v>9.7983306774184697</v>
      </c>
      <c r="CG50" s="2792">
        <f t="shared" ca="1" si="120"/>
        <v>5.9721828183195766</v>
      </c>
      <c r="CH50" s="2792">
        <f t="shared" ca="1" si="120"/>
        <v>0</v>
      </c>
      <c r="CI50" s="2792">
        <f t="shared" ca="1" si="121"/>
        <v>-0.65512751732099117</v>
      </c>
      <c r="CJ50" s="2792">
        <f t="shared" ca="1" si="121"/>
        <v>0</v>
      </c>
      <c r="CK50" s="2792">
        <f t="shared" ca="1" si="121"/>
        <v>0</v>
      </c>
      <c r="CL50" s="2792">
        <f t="shared" ca="1" si="121"/>
        <v>0</v>
      </c>
      <c r="CM50" s="2792">
        <f t="shared" ca="1" si="121"/>
        <v>0</v>
      </c>
      <c r="CN50" s="2792">
        <f t="shared" ca="1" si="121"/>
        <v>0</v>
      </c>
      <c r="CO50" s="2792">
        <f t="shared" ca="1" si="121"/>
        <v>0</v>
      </c>
      <c r="CP50" s="2792">
        <f t="shared" ca="1" si="121"/>
        <v>0</v>
      </c>
      <c r="CQ50" s="2792">
        <f t="shared" ca="1" si="121"/>
        <v>0</v>
      </c>
      <c r="CR50" s="2792">
        <f t="shared" ca="1" si="121"/>
        <v>0</v>
      </c>
      <c r="CS50" s="2792">
        <f t="shared" ca="1" si="122"/>
        <v>0</v>
      </c>
      <c r="CT50" s="2792">
        <f t="shared" ca="1" si="122"/>
        <v>0</v>
      </c>
      <c r="CU50" s="2792">
        <f t="shared" ca="1" si="122"/>
        <v>0</v>
      </c>
      <c r="CV50" s="2792">
        <f t="shared" ca="1" si="122"/>
        <v>0</v>
      </c>
      <c r="CW50" s="2792">
        <f t="shared" ca="1" si="122"/>
        <v>0</v>
      </c>
      <c r="CX50" s="2792">
        <f t="shared" ca="1" si="122"/>
        <v>0</v>
      </c>
      <c r="CY50" s="2792">
        <f t="shared" ca="1" si="122"/>
        <v>0</v>
      </c>
      <c r="CZ50" s="2792">
        <f t="shared" ca="1" si="122"/>
        <v>0</v>
      </c>
      <c r="DA50" s="2792">
        <f t="shared" ca="1" si="122"/>
        <v>0</v>
      </c>
      <c r="DB50" s="2792">
        <f t="shared" ca="1" si="122"/>
        <v>0</v>
      </c>
      <c r="DC50" s="2792">
        <f t="shared" ca="1" si="122"/>
        <v>0</v>
      </c>
      <c r="DD50" s="2792">
        <f t="shared" ca="1" si="122"/>
        <v>0</v>
      </c>
      <c r="DE50" s="2792">
        <f t="shared" ca="1" si="122"/>
        <v>0</v>
      </c>
      <c r="DF50" s="2792">
        <f t="shared" ca="1" si="122"/>
        <v>0</v>
      </c>
      <c r="DH50" s="596">
        <f t="shared" ca="1" si="113"/>
        <v>15.676846512452887</v>
      </c>
    </row>
    <row r="51" spans="1:112" s="6" customFormat="1" ht="15.75">
      <c r="A51" s="4"/>
      <c r="B51" s="3"/>
      <c r="C51" s="616" t="s">
        <v>512</v>
      </c>
      <c r="D51" s="617" t="s">
        <v>513</v>
      </c>
      <c r="E51" s="206"/>
      <c r="G51" s="618">
        <f ca="1">SUM(G48:G50)</f>
        <v>0</v>
      </c>
      <c r="H51" s="618">
        <f t="shared" ref="H51:P51" ca="1" si="123">SUM(H48:H50)</f>
        <v>0</v>
      </c>
      <c r="I51" s="618">
        <f t="shared" ca="1" si="123"/>
        <v>2.6841876268210387</v>
      </c>
      <c r="J51" s="618">
        <f t="shared" ca="1" si="123"/>
        <v>0</v>
      </c>
      <c r="K51" s="618">
        <f t="shared" ca="1" si="123"/>
        <v>0</v>
      </c>
      <c r="L51" s="618">
        <f t="shared" ca="1" si="123"/>
        <v>0</v>
      </c>
      <c r="M51" s="618">
        <f t="shared" ca="1" si="123"/>
        <v>0</v>
      </c>
      <c r="N51" s="618">
        <f t="shared" ca="1" si="123"/>
        <v>0</v>
      </c>
      <c r="O51" s="618">
        <f t="shared" ca="1" si="123"/>
        <v>0</v>
      </c>
      <c r="P51" s="618">
        <f t="shared" ca="1" si="123"/>
        <v>0</v>
      </c>
      <c r="Q51" s="618">
        <f ca="1">SUM(G51:P51)</f>
        <v>2.6841876268210387</v>
      </c>
      <c r="S51" s="581">
        <f t="shared" ref="S51:AJ51" ca="1" si="124">SUM(S48:S50)</f>
        <v>-0.56367940163241814</v>
      </c>
      <c r="T51" s="581">
        <f t="shared" ca="1" si="124"/>
        <v>0</v>
      </c>
      <c r="U51" s="581">
        <f t="shared" ca="1" si="124"/>
        <v>0</v>
      </c>
      <c r="V51" s="581">
        <f t="shared" ca="1" si="124"/>
        <v>-2.1205082251886207</v>
      </c>
      <c r="W51" s="581">
        <f t="shared" ca="1" si="124"/>
        <v>0</v>
      </c>
      <c r="X51" s="581">
        <f t="shared" ca="1" si="124"/>
        <v>0.24021866884806434</v>
      </c>
      <c r="Y51" s="581">
        <f t="shared" ca="1" si="124"/>
        <v>0</v>
      </c>
      <c r="Z51" s="581">
        <f t="shared" ca="1" si="124"/>
        <v>0</v>
      </c>
      <c r="AA51" s="581">
        <f t="shared" ca="1" si="124"/>
        <v>0</v>
      </c>
      <c r="AB51" s="581">
        <f t="shared" ca="1" si="124"/>
        <v>0</v>
      </c>
      <c r="AC51" s="581">
        <f t="shared" ca="1" si="124"/>
        <v>0</v>
      </c>
      <c r="AD51" s="581">
        <f t="shared" ca="1" si="124"/>
        <v>19.357134768779371</v>
      </c>
      <c r="AE51" s="581">
        <f ca="1">SUM(AE48:AE50)</f>
        <v>0.37055006275752844</v>
      </c>
      <c r="AF51" s="581">
        <f t="shared" ca="1" si="124"/>
        <v>8.3320251015035147</v>
      </c>
      <c r="AG51" s="581">
        <f t="shared" ca="1" si="124"/>
        <v>3.021188431319072</v>
      </c>
      <c r="AH51" s="581">
        <f ca="1">SUM(AH48:AH50)</f>
        <v>0.16872527422163447</v>
      </c>
      <c r="AI51" s="581">
        <f t="shared" ca="1" si="124"/>
        <v>0</v>
      </c>
      <c r="AJ51" s="581">
        <f t="shared" ca="1" si="124"/>
        <v>0</v>
      </c>
      <c r="AK51" s="581">
        <f ca="1">SUM(S51:AJ51)</f>
        <v>28.805654680608146</v>
      </c>
      <c r="AM51" s="582">
        <f t="shared" ref="AM51:BE51" ca="1" si="125">SUM(AM48:AM50)</f>
        <v>0</v>
      </c>
      <c r="AN51" s="582">
        <f t="shared" ca="1" si="125"/>
        <v>0</v>
      </c>
      <c r="AO51" s="582">
        <f t="shared" ca="1" si="125"/>
        <v>0</v>
      </c>
      <c r="AP51" s="582">
        <f t="shared" ca="1" si="125"/>
        <v>0</v>
      </c>
      <c r="AQ51" s="582">
        <f t="shared" ca="1" si="125"/>
        <v>0</v>
      </c>
      <c r="AR51" s="582">
        <f t="shared" ca="1" si="125"/>
        <v>0</v>
      </c>
      <c r="AS51" s="582">
        <f t="shared" ca="1" si="125"/>
        <v>0</v>
      </c>
      <c r="AT51" s="582">
        <f t="shared" ca="1" si="125"/>
        <v>0</v>
      </c>
      <c r="AU51" s="582">
        <f t="shared" ca="1" si="125"/>
        <v>0</v>
      </c>
      <c r="AV51" s="582">
        <f t="shared" ca="1" si="125"/>
        <v>0</v>
      </c>
      <c r="AW51" s="582">
        <f t="shared" ca="1" si="125"/>
        <v>0</v>
      </c>
      <c r="AX51" s="582">
        <f t="shared" ca="1" si="125"/>
        <v>0</v>
      </c>
      <c r="AY51" s="582">
        <f t="shared" ca="1" si="125"/>
        <v>0</v>
      </c>
      <c r="AZ51" s="582">
        <f t="shared" ca="1" si="125"/>
        <v>0</v>
      </c>
      <c r="BA51" s="582">
        <f t="shared" ca="1" si="125"/>
        <v>0</v>
      </c>
      <c r="BB51" s="582">
        <f t="shared" ca="1" si="125"/>
        <v>0</v>
      </c>
      <c r="BC51" s="582">
        <f t="shared" ca="1" si="125"/>
        <v>0</v>
      </c>
      <c r="BD51" s="582">
        <f t="shared" ca="1" si="125"/>
        <v>-19.766573720425786</v>
      </c>
      <c r="BE51" s="582">
        <f t="shared" ca="1" si="125"/>
        <v>-11.723268587003396</v>
      </c>
      <c r="BF51" s="582">
        <f ca="1">SUM(AM51:BE51)</f>
        <v>-31.489842307429182</v>
      </c>
      <c r="BH51" s="3463">
        <f ca="1">SUM(BH48:BH50)</f>
        <v>0</v>
      </c>
      <c r="BI51" s="3463">
        <f ca="1">SUM(BI48:BI50)</f>
        <v>0</v>
      </c>
      <c r="BJ51" s="3463">
        <f ca="1">SUM(BH51:BI51)</f>
        <v>0</v>
      </c>
      <c r="BL51" s="3477">
        <f ca="1">Q51+AK51+BF51+BJ51</f>
        <v>3.5527136788005009E-15</v>
      </c>
      <c r="BM51" s="584"/>
      <c r="BN51" s="413"/>
      <c r="BO51" s="2790">
        <f t="shared" ref="BO51:DF51" ca="1" si="126">SUM(BO48:BO50)</f>
        <v>0.55955971046277309</v>
      </c>
      <c r="BP51" s="2790">
        <f t="shared" ca="1" si="126"/>
        <v>4.8093126547277921E-4</v>
      </c>
      <c r="BQ51" s="2790">
        <f t="shared" ca="1" si="126"/>
        <v>1.4198923075863005E-3</v>
      </c>
      <c r="BR51" s="2790">
        <f t="shared" ca="1" si="126"/>
        <v>0</v>
      </c>
      <c r="BS51" s="2790">
        <f t="shared" ca="1" si="126"/>
        <v>0</v>
      </c>
      <c r="BT51" s="2790">
        <f t="shared" ca="1" si="126"/>
        <v>0</v>
      </c>
      <c r="BU51" s="2790">
        <f t="shared" ca="1" si="126"/>
        <v>0</v>
      </c>
      <c r="BV51" s="2790">
        <f t="shared" ca="1" si="126"/>
        <v>0</v>
      </c>
      <c r="BW51" s="2790">
        <f t="shared" ca="1" si="126"/>
        <v>0</v>
      </c>
      <c r="BX51" s="2790">
        <f t="shared" ca="1" si="126"/>
        <v>0</v>
      </c>
      <c r="BY51" s="2790">
        <f t="shared" ca="1" si="126"/>
        <v>0</v>
      </c>
      <c r="BZ51" s="2790">
        <f t="shared" ca="1" si="126"/>
        <v>0</v>
      </c>
      <c r="CA51" s="2790">
        <f t="shared" ca="1" si="126"/>
        <v>0</v>
      </c>
      <c r="CB51" s="2790">
        <f t="shared" ca="1" si="126"/>
        <v>0</v>
      </c>
      <c r="CC51" s="2790">
        <f t="shared" ca="1" si="126"/>
        <v>0</v>
      </c>
      <c r="CD51" s="2790">
        <f t="shared" ca="1" si="126"/>
        <v>0</v>
      </c>
      <c r="CE51" s="2790">
        <f t="shared" ca="1" si="126"/>
        <v>0</v>
      </c>
      <c r="CF51" s="2790">
        <f t="shared" ca="1" si="126"/>
        <v>9.7983306774184697</v>
      </c>
      <c r="CG51" s="2790">
        <f t="shared" ca="1" si="126"/>
        <v>5.9721828183195766</v>
      </c>
      <c r="CH51" s="2790">
        <f t="shared" ca="1" si="126"/>
        <v>0</v>
      </c>
      <c r="CI51" s="2790">
        <f t="shared" ca="1" si="126"/>
        <v>-0.65512751732099117</v>
      </c>
      <c r="CJ51" s="2790">
        <f t="shared" ca="1" si="126"/>
        <v>0</v>
      </c>
      <c r="CK51" s="2790">
        <f t="shared" ca="1" si="126"/>
        <v>0</v>
      </c>
      <c r="CL51" s="2790">
        <f t="shared" ca="1" si="126"/>
        <v>0</v>
      </c>
      <c r="CM51" s="2790">
        <f t="shared" ca="1" si="126"/>
        <v>0</v>
      </c>
      <c r="CN51" s="2790">
        <f t="shared" ca="1" si="126"/>
        <v>0.60925043615004382</v>
      </c>
      <c r="CO51" s="2790">
        <f t="shared" ca="1" si="126"/>
        <v>5.7356255357142859E-2</v>
      </c>
      <c r="CP51" s="2790">
        <f t="shared" ca="1" si="126"/>
        <v>0</v>
      </c>
      <c r="CQ51" s="2790">
        <f t="shared" ca="1" si="126"/>
        <v>0</v>
      </c>
      <c r="CR51" s="2790">
        <f t="shared" ca="1" si="126"/>
        <v>0</v>
      </c>
      <c r="CS51" s="2790">
        <f t="shared" ca="1" si="126"/>
        <v>0</v>
      </c>
      <c r="CT51" s="2790">
        <f t="shared" ca="1" si="126"/>
        <v>0</v>
      </c>
      <c r="CU51" s="2790">
        <f t="shared" ca="1" si="126"/>
        <v>0</v>
      </c>
      <c r="CV51" s="2790">
        <f t="shared" ca="1" si="126"/>
        <v>0</v>
      </c>
      <c r="CW51" s="2790">
        <f t="shared" ca="1" si="126"/>
        <v>0</v>
      </c>
      <c r="CX51" s="2790">
        <f t="shared" ca="1" si="126"/>
        <v>0</v>
      </c>
      <c r="CY51" s="2790">
        <f t="shared" ca="1" si="126"/>
        <v>0</v>
      </c>
      <c r="CZ51" s="2790">
        <f t="shared" ca="1" si="126"/>
        <v>0</v>
      </c>
      <c r="DA51" s="2790">
        <f t="shared" ca="1" si="126"/>
        <v>0</v>
      </c>
      <c r="DB51" s="2790">
        <f t="shared" ca="1" si="126"/>
        <v>0</v>
      </c>
      <c r="DC51" s="2790">
        <f t="shared" ca="1" si="126"/>
        <v>0</v>
      </c>
      <c r="DD51" s="2790">
        <f t="shared" ca="1" si="126"/>
        <v>0</v>
      </c>
      <c r="DE51" s="2790">
        <f t="shared" ca="1" si="126"/>
        <v>0</v>
      </c>
      <c r="DF51" s="2790">
        <f t="shared" ca="1" si="126"/>
        <v>0</v>
      </c>
      <c r="DH51" s="596">
        <f t="shared" ca="1" si="113"/>
        <v>16.343453203960074</v>
      </c>
    </row>
    <row r="52" spans="1:112" s="6" customFormat="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13"/>
        <v>0</v>
      </c>
    </row>
    <row r="53" spans="1:112" s="6" customFormat="1">
      <c r="A53" s="607"/>
      <c r="B53" s="607"/>
      <c r="C53" s="651" t="s">
        <v>514</v>
      </c>
      <c r="D53" s="588" t="s">
        <v>515</v>
      </c>
      <c r="E53" s="588"/>
      <c r="G53" s="589">
        <f t="shared" ref="G53:P54" ca="1" si="127">IFERROR(INDEX(INDIRECT($C53&amp;".Outputs["&amp;this.Year&amp;"]"), MATCH(G$5, INDIRECT($C53&amp;".Outputs[Vector]"), 0)), 0)</f>
        <v>0</v>
      </c>
      <c r="H53" s="589">
        <f t="shared" ca="1" si="127"/>
        <v>0</v>
      </c>
      <c r="I53" s="589">
        <f t="shared" ca="1" si="127"/>
        <v>0</v>
      </c>
      <c r="J53" s="589">
        <f t="shared" ca="1" si="127"/>
        <v>0</v>
      </c>
      <c r="K53" s="589">
        <f t="shared" ca="1" si="127"/>
        <v>0</v>
      </c>
      <c r="L53" s="589">
        <f t="shared" ca="1" si="127"/>
        <v>0</v>
      </c>
      <c r="M53" s="589">
        <f t="shared" ca="1" si="127"/>
        <v>0</v>
      </c>
      <c r="N53" s="589">
        <f t="shared" ca="1" si="127"/>
        <v>0</v>
      </c>
      <c r="O53" s="589">
        <f t="shared" ca="1" si="127"/>
        <v>0</v>
      </c>
      <c r="P53" s="589">
        <f t="shared" ca="1" si="127"/>
        <v>0</v>
      </c>
      <c r="Q53" s="590">
        <f ca="1">SUM(G53:P53)</f>
        <v>0</v>
      </c>
      <c r="S53" s="591">
        <f t="shared" ref="S53:AJ54" ca="1" si="128">IFERROR(INDEX(INDIRECT($C53&amp;".Outputs["&amp;this.Year&amp;"]"), MATCH(S$5, INDIRECT($C53&amp;".Outputs[Vector]"), 0)), 0)</f>
        <v>-0.22598810482362028</v>
      </c>
      <c r="T53" s="591">
        <f t="shared" ca="1" si="128"/>
        <v>0</v>
      </c>
      <c r="U53" s="591">
        <f t="shared" ca="1" si="128"/>
        <v>0</v>
      </c>
      <c r="V53" s="591">
        <f t="shared" ca="1" si="128"/>
        <v>-1.8522858135888711</v>
      </c>
      <c r="W53" s="591">
        <f t="shared" ca="1" si="128"/>
        <v>-8.2401953248703863E-2</v>
      </c>
      <c r="X53" s="591">
        <f t="shared" ca="1" si="128"/>
        <v>0</v>
      </c>
      <c r="Y53" s="591">
        <f t="shared" ca="1" si="128"/>
        <v>0</v>
      </c>
      <c r="Z53" s="591">
        <f t="shared" ca="1" si="128"/>
        <v>0</v>
      </c>
      <c r="AA53" s="591">
        <f t="shared" ca="1" si="128"/>
        <v>0</v>
      </c>
      <c r="AB53" s="591">
        <f t="shared" ca="1" si="128"/>
        <v>-2.6537999724419409E-2</v>
      </c>
      <c r="AC53" s="591">
        <f t="shared" ca="1" si="128"/>
        <v>0</v>
      </c>
      <c r="AD53" s="591">
        <f t="shared" ca="1" si="128"/>
        <v>0</v>
      </c>
      <c r="AE53" s="591">
        <f t="shared" ca="1" si="128"/>
        <v>0</v>
      </c>
      <c r="AF53" s="591">
        <f t="shared" ca="1" si="128"/>
        <v>0</v>
      </c>
      <c r="AG53" s="591">
        <f t="shared" ca="1" si="128"/>
        <v>0</v>
      </c>
      <c r="AH53" s="591">
        <f t="shared" ca="1" si="128"/>
        <v>0</v>
      </c>
      <c r="AI53" s="591">
        <f t="shared" ca="1" si="128"/>
        <v>0</v>
      </c>
      <c r="AJ53" s="591">
        <f t="shared" ca="1" si="128"/>
        <v>0</v>
      </c>
      <c r="AK53" s="592">
        <f ca="1">SUM(S53:AJ53)</f>
        <v>-2.1872138713856146</v>
      </c>
      <c r="AM53" s="593">
        <f t="shared" ref="AM53:BB54" ca="1" si="129">IFERROR(INDEX(INDIRECT($C53&amp;".Outputs["&amp;this.Year&amp;"]"), MATCH(AM$5, INDIRECT($C53&amp;".Outputs[Vector]"), 0)), 0)</f>
        <v>0</v>
      </c>
      <c r="AN53" s="593">
        <f t="shared" ca="1" si="129"/>
        <v>0</v>
      </c>
      <c r="AO53" s="593">
        <f t="shared" ca="1" si="129"/>
        <v>0</v>
      </c>
      <c r="AP53" s="593">
        <f t="shared" ca="1" si="129"/>
        <v>0</v>
      </c>
      <c r="AQ53" s="593">
        <f t="shared" ca="1" si="129"/>
        <v>0</v>
      </c>
      <c r="AR53" s="593">
        <f t="shared" ca="1" si="129"/>
        <v>0</v>
      </c>
      <c r="AS53" s="593">
        <f t="shared" ca="1" si="129"/>
        <v>0</v>
      </c>
      <c r="AT53" s="593">
        <f t="shared" ca="1" si="129"/>
        <v>0</v>
      </c>
      <c r="AU53" s="593">
        <f t="shared" ca="1" si="129"/>
        <v>0</v>
      </c>
      <c r="AV53" s="593">
        <f t="shared" ca="1" si="129"/>
        <v>0</v>
      </c>
      <c r="AW53" s="593">
        <f t="shared" ca="1" si="129"/>
        <v>0</v>
      </c>
      <c r="AX53" s="593">
        <f t="shared" ca="1" si="129"/>
        <v>0</v>
      </c>
      <c r="AY53" s="593">
        <f t="shared" ca="1" si="129"/>
        <v>0</v>
      </c>
      <c r="AZ53" s="593">
        <f t="shared" ca="1" si="129"/>
        <v>0</v>
      </c>
      <c r="BA53" s="593">
        <f t="shared" ca="1" si="129"/>
        <v>0</v>
      </c>
      <c r="BB53" s="593">
        <f t="shared" ca="1" si="129"/>
        <v>0</v>
      </c>
      <c r="BC53" s="593">
        <f t="shared" ref="BC53:BE54" ca="1" si="130">IFERROR(INDEX(INDIRECT($C53&amp;".Outputs["&amp;this.Year&amp;"]"), MATCH(BC$5, INDIRECT($C53&amp;".Outputs[Vector]"), 0)), 0)</f>
        <v>0</v>
      </c>
      <c r="BD53" s="593">
        <f t="shared" ca="1" si="130"/>
        <v>0</v>
      </c>
      <c r="BE53" s="593">
        <f t="shared" ca="1" si="130"/>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31">IFERROR(SUMIFS(INDIRECT($C53&amp;".Emissions["&amp;this.Year&amp;"]"), INDIRECT($C53&amp;".Emissions[GHG]"), BO$6, INDIRECT($C53&amp;".Emissions[IPCC Sector]"), BO$5),0)</f>
        <v>0.50565060724124977</v>
      </c>
      <c r="BP53" s="2790">
        <f t="shared" ca="1" si="131"/>
        <v>4.2632801018755801E-4</v>
      </c>
      <c r="BQ53" s="2790">
        <f t="shared" ca="1" si="131"/>
        <v>1.5069762622732133E-3</v>
      </c>
      <c r="BR53" s="2790">
        <f t="shared" ca="1" si="131"/>
        <v>0</v>
      </c>
      <c r="BS53" s="2790">
        <f t="shared" ca="1" si="131"/>
        <v>0</v>
      </c>
      <c r="BT53" s="2790">
        <f t="shared" ca="1" si="131"/>
        <v>0</v>
      </c>
      <c r="BU53" s="2790">
        <f t="shared" ca="1" si="131"/>
        <v>0</v>
      </c>
      <c r="BV53" s="2790">
        <f t="shared" ca="1" si="131"/>
        <v>0</v>
      </c>
      <c r="BW53" s="2790">
        <f t="shared" ca="1" si="131"/>
        <v>0</v>
      </c>
      <c r="BX53" s="2790">
        <f t="shared" ca="1" si="131"/>
        <v>0</v>
      </c>
      <c r="BY53" s="2790">
        <f t="shared" ref="BY53:CH54" ca="1" si="132">IFERROR(SUMIFS(INDIRECT($C53&amp;".Emissions["&amp;this.Year&amp;"]"), INDIRECT($C53&amp;".Emissions[GHG]"), BY$6, INDIRECT($C53&amp;".Emissions[IPCC Sector]"), BY$5),0)</f>
        <v>0</v>
      </c>
      <c r="BZ53" s="2790">
        <f t="shared" ca="1" si="132"/>
        <v>0</v>
      </c>
      <c r="CA53" s="2790">
        <f t="shared" ca="1" si="132"/>
        <v>0</v>
      </c>
      <c r="CB53" s="2790">
        <f t="shared" ca="1" si="132"/>
        <v>0</v>
      </c>
      <c r="CC53" s="2790">
        <f t="shared" ca="1" si="132"/>
        <v>0</v>
      </c>
      <c r="CD53" s="2790">
        <f t="shared" ca="1" si="132"/>
        <v>0</v>
      </c>
      <c r="CE53" s="2790">
        <f t="shared" ca="1" si="132"/>
        <v>0</v>
      </c>
      <c r="CF53" s="2790">
        <f t="shared" ca="1" si="132"/>
        <v>0</v>
      </c>
      <c r="CG53" s="2790">
        <f t="shared" ca="1" si="132"/>
        <v>0</v>
      </c>
      <c r="CH53" s="2790">
        <f t="shared" ca="1" si="132"/>
        <v>0</v>
      </c>
      <c r="CI53" s="2790">
        <f t="shared" ref="CI53:CR54" ca="1" si="133">IFERROR(SUMIFS(INDIRECT($C53&amp;".Emissions["&amp;this.Year&amp;"]"), INDIRECT($C53&amp;".Emissions[GHG]"), CI$6, INDIRECT($C53&amp;".Emissions[IPCC Sector]"), CI$5),0)</f>
        <v>0</v>
      </c>
      <c r="CJ53" s="2790">
        <f t="shared" ca="1" si="133"/>
        <v>0</v>
      </c>
      <c r="CK53" s="2790">
        <f t="shared" ca="1" si="133"/>
        <v>0</v>
      </c>
      <c r="CL53" s="2790">
        <f t="shared" ca="1" si="133"/>
        <v>0</v>
      </c>
      <c r="CM53" s="2790">
        <f t="shared" ca="1" si="133"/>
        <v>0</v>
      </c>
      <c r="CN53" s="2790">
        <f t="shared" ca="1" si="133"/>
        <v>0</v>
      </c>
      <c r="CO53" s="2790">
        <f t="shared" ca="1" si="133"/>
        <v>0</v>
      </c>
      <c r="CP53" s="2790">
        <f t="shared" ca="1" si="133"/>
        <v>0</v>
      </c>
      <c r="CQ53" s="2790">
        <f t="shared" ca="1" si="133"/>
        <v>0</v>
      </c>
      <c r="CR53" s="2790">
        <f t="shared" ca="1" si="133"/>
        <v>0</v>
      </c>
      <c r="CS53" s="2790">
        <f t="shared" ref="CS53:DF54" ca="1" si="134">IFERROR(SUMIFS(INDIRECT($C53&amp;".Emissions["&amp;this.Year&amp;"]"), INDIRECT($C53&amp;".Emissions[GHG]"), CS$6, INDIRECT($C53&amp;".Emissions[IPCC Sector]"), CS$5),0)</f>
        <v>0</v>
      </c>
      <c r="CT53" s="2790">
        <f t="shared" ca="1" si="134"/>
        <v>0</v>
      </c>
      <c r="CU53" s="2790">
        <f t="shared" ca="1" si="134"/>
        <v>0</v>
      </c>
      <c r="CV53" s="2790">
        <f t="shared" ca="1" si="134"/>
        <v>0</v>
      </c>
      <c r="CW53" s="2790">
        <f t="shared" ca="1" si="134"/>
        <v>0</v>
      </c>
      <c r="CX53" s="2790">
        <f t="shared" ca="1" si="134"/>
        <v>0</v>
      </c>
      <c r="CY53" s="2790">
        <f t="shared" ca="1" si="134"/>
        <v>0</v>
      </c>
      <c r="CZ53" s="2790">
        <f t="shared" ca="1" si="134"/>
        <v>0</v>
      </c>
      <c r="DA53" s="2790">
        <f t="shared" ca="1" si="134"/>
        <v>0</v>
      </c>
      <c r="DB53" s="2790">
        <f t="shared" ca="1" si="134"/>
        <v>0</v>
      </c>
      <c r="DC53" s="2790">
        <f t="shared" ca="1" si="134"/>
        <v>0</v>
      </c>
      <c r="DD53" s="2790">
        <f t="shared" ca="1" si="134"/>
        <v>0</v>
      </c>
      <c r="DE53" s="2790">
        <f t="shared" ca="1" si="134"/>
        <v>0</v>
      </c>
      <c r="DF53" s="2790">
        <f t="shared" ca="1" si="134"/>
        <v>0</v>
      </c>
      <c r="DH53" s="596">
        <f t="shared" ca="1" si="113"/>
        <v>0.50758391151371063</v>
      </c>
    </row>
    <row r="54" spans="1:112" s="6" customFormat="1">
      <c r="A54" s="607"/>
      <c r="B54" s="607"/>
      <c r="C54" s="651" t="s">
        <v>516</v>
      </c>
      <c r="D54" s="611" t="s">
        <v>517</v>
      </c>
      <c r="E54" s="611"/>
      <c r="G54" s="619">
        <f t="shared" ca="1" si="127"/>
        <v>0</v>
      </c>
      <c r="H54" s="619">
        <f t="shared" ca="1" si="127"/>
        <v>0</v>
      </c>
      <c r="I54" s="619">
        <f t="shared" ca="1" si="127"/>
        <v>0.68189426081674298</v>
      </c>
      <c r="J54" s="619">
        <f t="shared" ca="1" si="127"/>
        <v>0</v>
      </c>
      <c r="K54" s="619">
        <f t="shared" ca="1" si="127"/>
        <v>0</v>
      </c>
      <c r="L54" s="619">
        <f t="shared" ca="1" si="127"/>
        <v>0</v>
      </c>
      <c r="M54" s="619">
        <f t="shared" ca="1" si="127"/>
        <v>0</v>
      </c>
      <c r="N54" s="619">
        <f t="shared" ca="1" si="127"/>
        <v>0</v>
      </c>
      <c r="O54" s="619">
        <f t="shared" ca="1" si="127"/>
        <v>0</v>
      </c>
      <c r="P54" s="619">
        <f t="shared" ca="1" si="127"/>
        <v>0</v>
      </c>
      <c r="Q54" s="612">
        <f ca="1">SUM(G54:P54)</f>
        <v>0.68189426081674298</v>
      </c>
      <c r="S54" s="620">
        <f t="shared" ca="1" si="128"/>
        <v>-2.154713679214617E-2</v>
      </c>
      <c r="T54" s="620">
        <f t="shared" ca="1" si="128"/>
        <v>0</v>
      </c>
      <c r="U54" s="620">
        <f t="shared" ca="1" si="128"/>
        <v>-7.1855333505701287E-4</v>
      </c>
      <c r="V54" s="620">
        <f t="shared" ca="1" si="128"/>
        <v>0</v>
      </c>
      <c r="W54" s="620">
        <f t="shared" ca="1" si="128"/>
        <v>-0.65962857068953973</v>
      </c>
      <c r="X54" s="620">
        <f t="shared" ca="1" si="128"/>
        <v>2</v>
      </c>
      <c r="Y54" s="620">
        <f t="shared" ca="1" si="128"/>
        <v>0</v>
      </c>
      <c r="Z54" s="620">
        <f t="shared" ca="1" si="128"/>
        <v>10</v>
      </c>
      <c r="AA54" s="620">
        <f t="shared" ca="1" si="128"/>
        <v>0</v>
      </c>
      <c r="AB54" s="620">
        <f t="shared" ca="1" si="128"/>
        <v>0</v>
      </c>
      <c r="AC54" s="620">
        <f t="shared" ca="1" si="128"/>
        <v>0</v>
      </c>
      <c r="AD54" s="620">
        <f t="shared" ca="1" si="128"/>
        <v>0</v>
      </c>
      <c r="AE54" s="620">
        <f t="shared" ca="1" si="128"/>
        <v>0</v>
      </c>
      <c r="AF54" s="620">
        <f t="shared" ca="1" si="128"/>
        <v>0</v>
      </c>
      <c r="AG54" s="620">
        <f t="shared" ca="1" si="128"/>
        <v>0</v>
      </c>
      <c r="AH54" s="620">
        <f t="shared" ca="1" si="128"/>
        <v>0</v>
      </c>
      <c r="AI54" s="620">
        <f t="shared" ca="1" si="128"/>
        <v>0</v>
      </c>
      <c r="AJ54" s="620">
        <f t="shared" ca="1" si="128"/>
        <v>0</v>
      </c>
      <c r="AK54" s="613">
        <f ca="1">SUM(S54:AJ54)</f>
        <v>11.318105739183258</v>
      </c>
      <c r="AM54" s="621">
        <f t="shared" ca="1" si="129"/>
        <v>-2</v>
      </c>
      <c r="AN54" s="621">
        <f t="shared" ca="1" si="129"/>
        <v>0</v>
      </c>
      <c r="AO54" s="621">
        <f t="shared" ca="1" si="129"/>
        <v>-10</v>
      </c>
      <c r="AP54" s="621">
        <f t="shared" ca="1" si="129"/>
        <v>0</v>
      </c>
      <c r="AQ54" s="621">
        <f t="shared" ca="1" si="129"/>
        <v>0</v>
      </c>
      <c r="AR54" s="621">
        <f t="shared" ca="1" si="129"/>
        <v>0</v>
      </c>
      <c r="AS54" s="621">
        <f t="shared" ca="1" si="129"/>
        <v>0</v>
      </c>
      <c r="AT54" s="621">
        <f t="shared" ca="1" si="129"/>
        <v>0</v>
      </c>
      <c r="AU54" s="621">
        <f t="shared" ca="1" si="129"/>
        <v>0</v>
      </c>
      <c r="AV54" s="621">
        <f t="shared" ca="1" si="129"/>
        <v>0</v>
      </c>
      <c r="AW54" s="621">
        <f t="shared" ca="1" si="129"/>
        <v>0</v>
      </c>
      <c r="AX54" s="621">
        <f t="shared" ca="1" si="129"/>
        <v>0</v>
      </c>
      <c r="AY54" s="621">
        <f t="shared" ca="1" si="129"/>
        <v>0</v>
      </c>
      <c r="AZ54" s="621">
        <f t="shared" ca="1" si="129"/>
        <v>0</v>
      </c>
      <c r="BA54" s="621">
        <f t="shared" ca="1" si="129"/>
        <v>0</v>
      </c>
      <c r="BB54" s="621">
        <f t="shared" ca="1" si="129"/>
        <v>0</v>
      </c>
      <c r="BC54" s="621">
        <f t="shared" ca="1" si="130"/>
        <v>0</v>
      </c>
      <c r="BD54" s="621">
        <f t="shared" ca="1" si="130"/>
        <v>0</v>
      </c>
      <c r="BE54" s="621">
        <f t="shared" ca="1" si="130"/>
        <v>0</v>
      </c>
      <c r="BF54" s="615">
        <f ca="1">SUM(AM54:BE54)</f>
        <v>-12</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31"/>
        <v>0.13474043047247669</v>
      </c>
      <c r="BP54" s="2792">
        <f t="shared" ca="1" si="131"/>
        <v>4.9757311620483071E-5</v>
      </c>
      <c r="BQ54" s="2792">
        <f t="shared" ca="1" si="131"/>
        <v>2.1300868165149657E-3</v>
      </c>
      <c r="BR54" s="2792">
        <f t="shared" ca="1" si="131"/>
        <v>0</v>
      </c>
      <c r="BS54" s="2792">
        <f t="shared" ca="1" si="131"/>
        <v>0</v>
      </c>
      <c r="BT54" s="2792">
        <f t="shared" ca="1" si="131"/>
        <v>0</v>
      </c>
      <c r="BU54" s="2792">
        <f t="shared" ca="1" si="131"/>
        <v>0</v>
      </c>
      <c r="BV54" s="2792">
        <f t="shared" ca="1" si="131"/>
        <v>0</v>
      </c>
      <c r="BW54" s="2792">
        <f t="shared" ca="1" si="131"/>
        <v>0</v>
      </c>
      <c r="BX54" s="2792">
        <f t="shared" ca="1" si="131"/>
        <v>0</v>
      </c>
      <c r="BY54" s="2792">
        <f t="shared" ca="1" si="132"/>
        <v>0</v>
      </c>
      <c r="BZ54" s="2792">
        <f t="shared" ca="1" si="132"/>
        <v>0</v>
      </c>
      <c r="CA54" s="2792">
        <f t="shared" ca="1" si="132"/>
        <v>0</v>
      </c>
      <c r="CB54" s="2792">
        <f t="shared" ca="1" si="132"/>
        <v>0</v>
      </c>
      <c r="CC54" s="2792">
        <f t="shared" ca="1" si="132"/>
        <v>0</v>
      </c>
      <c r="CD54" s="2792">
        <f t="shared" ca="1" si="132"/>
        <v>0</v>
      </c>
      <c r="CE54" s="2792">
        <f t="shared" ca="1" si="132"/>
        <v>0</v>
      </c>
      <c r="CF54" s="2792">
        <f t="shared" ca="1" si="132"/>
        <v>0</v>
      </c>
      <c r="CG54" s="2792">
        <f t="shared" ca="1" si="132"/>
        <v>0</v>
      </c>
      <c r="CH54" s="2792">
        <f t="shared" ca="1" si="132"/>
        <v>0</v>
      </c>
      <c r="CI54" s="2792">
        <f t="shared" ca="1" si="133"/>
        <v>0</v>
      </c>
      <c r="CJ54" s="2792">
        <f t="shared" ca="1" si="133"/>
        <v>0</v>
      </c>
      <c r="CK54" s="2792">
        <f t="shared" ca="1" si="133"/>
        <v>0</v>
      </c>
      <c r="CL54" s="2792">
        <f t="shared" ca="1" si="133"/>
        <v>0</v>
      </c>
      <c r="CM54" s="2792">
        <f t="shared" ca="1" si="133"/>
        <v>0</v>
      </c>
      <c r="CN54" s="2792">
        <f t="shared" ca="1" si="133"/>
        <v>0</v>
      </c>
      <c r="CO54" s="2792">
        <f t="shared" ca="1" si="133"/>
        <v>0</v>
      </c>
      <c r="CP54" s="2792">
        <f t="shared" ca="1" si="133"/>
        <v>0</v>
      </c>
      <c r="CQ54" s="2792">
        <f t="shared" ca="1" si="133"/>
        <v>0</v>
      </c>
      <c r="CR54" s="2792">
        <f t="shared" ca="1" si="133"/>
        <v>0</v>
      </c>
      <c r="CS54" s="2792">
        <f t="shared" ca="1" si="134"/>
        <v>0</v>
      </c>
      <c r="CT54" s="2792">
        <f t="shared" ca="1" si="134"/>
        <v>0</v>
      </c>
      <c r="CU54" s="2792">
        <f t="shared" ca="1" si="134"/>
        <v>0</v>
      </c>
      <c r="CV54" s="2792">
        <f t="shared" ca="1" si="134"/>
        <v>0</v>
      </c>
      <c r="CW54" s="2792">
        <f t="shared" ca="1" si="134"/>
        <v>0</v>
      </c>
      <c r="CX54" s="2792">
        <f t="shared" ca="1" si="134"/>
        <v>0</v>
      </c>
      <c r="CY54" s="2792">
        <f t="shared" ca="1" si="134"/>
        <v>0</v>
      </c>
      <c r="CZ54" s="2792">
        <f t="shared" ca="1" si="134"/>
        <v>0</v>
      </c>
      <c r="DA54" s="2792">
        <f t="shared" ca="1" si="134"/>
        <v>0</v>
      </c>
      <c r="DB54" s="2792">
        <f t="shared" ca="1" si="134"/>
        <v>0</v>
      </c>
      <c r="DC54" s="2792">
        <f t="shared" ca="1" si="134"/>
        <v>0</v>
      </c>
      <c r="DD54" s="2792">
        <f t="shared" ca="1" si="134"/>
        <v>0</v>
      </c>
      <c r="DE54" s="2792">
        <f t="shared" ca="1" si="134"/>
        <v>0</v>
      </c>
      <c r="DF54" s="2792">
        <f t="shared" ca="1" si="134"/>
        <v>0</v>
      </c>
      <c r="DH54" s="596">
        <f t="shared" ca="1" si="113"/>
        <v>0.13692027460061215</v>
      </c>
    </row>
    <row r="55" spans="1:112" s="6" customFormat="1" ht="15.75">
      <c r="A55" s="652"/>
      <c r="B55" s="653"/>
      <c r="C55" s="616" t="s">
        <v>518</v>
      </c>
      <c r="D55" s="617" t="s">
        <v>519</v>
      </c>
      <c r="E55" s="206"/>
      <c r="G55" s="618">
        <f ca="1">SUM(G53:G54)</f>
        <v>0</v>
      </c>
      <c r="H55" s="618">
        <f t="shared" ref="H55:P55" ca="1" si="135">SUM(H53:H54)</f>
        <v>0</v>
      </c>
      <c r="I55" s="618">
        <f t="shared" ca="1" si="135"/>
        <v>0.68189426081674298</v>
      </c>
      <c r="J55" s="618">
        <f t="shared" ca="1" si="135"/>
        <v>0</v>
      </c>
      <c r="K55" s="618">
        <f t="shared" ca="1" si="135"/>
        <v>0</v>
      </c>
      <c r="L55" s="618">
        <f t="shared" ca="1" si="135"/>
        <v>0</v>
      </c>
      <c r="M55" s="618">
        <f t="shared" ca="1" si="135"/>
        <v>0</v>
      </c>
      <c r="N55" s="618">
        <f t="shared" ca="1" si="135"/>
        <v>0</v>
      </c>
      <c r="O55" s="618">
        <f t="shared" ca="1" si="135"/>
        <v>0</v>
      </c>
      <c r="P55" s="618">
        <f t="shared" ca="1" si="135"/>
        <v>0</v>
      </c>
      <c r="Q55" s="618">
        <f ca="1">SUM(G55:P55)</f>
        <v>0.68189426081674298</v>
      </c>
      <c r="S55" s="581">
        <f t="shared" ref="S55:AJ55" ca="1" si="136">SUM(S53:S54)</f>
        <v>-0.24753524161576645</v>
      </c>
      <c r="T55" s="581">
        <f t="shared" ca="1" si="136"/>
        <v>0</v>
      </c>
      <c r="U55" s="581">
        <f t="shared" ca="1" si="136"/>
        <v>-7.1855333505701287E-4</v>
      </c>
      <c r="V55" s="581">
        <f t="shared" ca="1" si="136"/>
        <v>-1.8522858135888711</v>
      </c>
      <c r="W55" s="581">
        <f t="shared" ca="1" si="136"/>
        <v>-0.74203052393824365</v>
      </c>
      <c r="X55" s="581">
        <f ca="1">SUM(X53:X54)</f>
        <v>2</v>
      </c>
      <c r="Y55" s="581">
        <f ca="1">SUM(Y53:Y54)</f>
        <v>0</v>
      </c>
      <c r="Z55" s="581">
        <f ca="1">SUM(Z53:Z54)</f>
        <v>10</v>
      </c>
      <c r="AA55" s="581">
        <f t="shared" ca="1" si="136"/>
        <v>0</v>
      </c>
      <c r="AB55" s="581">
        <f t="shared" ca="1" si="136"/>
        <v>-2.6537999724419409E-2</v>
      </c>
      <c r="AC55" s="581">
        <f t="shared" ca="1" si="136"/>
        <v>0</v>
      </c>
      <c r="AD55" s="581">
        <f ca="1">SUM(AD53:AD54)</f>
        <v>0</v>
      </c>
      <c r="AE55" s="581">
        <f ca="1">SUM(AE53:AE54)</f>
        <v>0</v>
      </c>
      <c r="AF55" s="581">
        <f t="shared" ca="1" si="136"/>
        <v>0</v>
      </c>
      <c r="AG55" s="581">
        <f ca="1">SUM(AG53:AG54)</f>
        <v>0</v>
      </c>
      <c r="AH55" s="581">
        <f ca="1">SUM(AH53:AH54)</f>
        <v>0</v>
      </c>
      <c r="AI55" s="581">
        <f ca="1">SUM(AI53:AI54)</f>
        <v>0</v>
      </c>
      <c r="AJ55" s="581">
        <f t="shared" ca="1" si="136"/>
        <v>0</v>
      </c>
      <c r="AK55" s="581">
        <f ca="1">SUM(S55:AJ55)</f>
        <v>9.1308918677976418</v>
      </c>
      <c r="AM55" s="582">
        <f t="shared" ref="AM55:BE55" ca="1" si="137">SUM(AM53:AM54)</f>
        <v>-2</v>
      </c>
      <c r="AN55" s="582">
        <f t="shared" ca="1" si="137"/>
        <v>0</v>
      </c>
      <c r="AO55" s="582">
        <f t="shared" ca="1" si="137"/>
        <v>-10</v>
      </c>
      <c r="AP55" s="582">
        <f t="shared" ca="1" si="137"/>
        <v>0</v>
      </c>
      <c r="AQ55" s="582">
        <f t="shared" ca="1" si="137"/>
        <v>0</v>
      </c>
      <c r="AR55" s="582">
        <f t="shared" ca="1" si="137"/>
        <v>0</v>
      </c>
      <c r="AS55" s="582">
        <f t="shared" ca="1" si="137"/>
        <v>0</v>
      </c>
      <c r="AT55" s="582">
        <f t="shared" ca="1" si="137"/>
        <v>0</v>
      </c>
      <c r="AU55" s="582">
        <f t="shared" ca="1" si="137"/>
        <v>0</v>
      </c>
      <c r="AV55" s="582">
        <f t="shared" ca="1" si="137"/>
        <v>0</v>
      </c>
      <c r="AW55" s="582">
        <f t="shared" ca="1" si="137"/>
        <v>0</v>
      </c>
      <c r="AX55" s="582">
        <f t="shared" ca="1" si="137"/>
        <v>0</v>
      </c>
      <c r="AY55" s="582">
        <f t="shared" ca="1" si="137"/>
        <v>0</v>
      </c>
      <c r="AZ55" s="582">
        <f t="shared" ca="1" si="137"/>
        <v>0</v>
      </c>
      <c r="BA55" s="582">
        <f t="shared" ca="1" si="137"/>
        <v>0</v>
      </c>
      <c r="BB55" s="582">
        <f t="shared" ca="1" si="137"/>
        <v>0</v>
      </c>
      <c r="BC55" s="582">
        <f t="shared" ca="1" si="137"/>
        <v>0</v>
      </c>
      <c r="BD55" s="582">
        <f ca="1">SUM(BD53:BD54)</f>
        <v>0</v>
      </c>
      <c r="BE55" s="582">
        <f t="shared" ca="1" si="137"/>
        <v>0</v>
      </c>
      <c r="BF55" s="582">
        <f ca="1">SUM(AM55:BE55)</f>
        <v>-12</v>
      </c>
      <c r="BH55" s="3463">
        <f ca="1">SUM(BH53:BH54)</f>
        <v>0</v>
      </c>
      <c r="BI55" s="3463">
        <f ca="1">SUM(BI53:BI54)</f>
        <v>2.1872138713856146</v>
      </c>
      <c r="BJ55" s="3463">
        <f ca="1">SUM(BH55:BI55)</f>
        <v>2.1872138713856146</v>
      </c>
      <c r="BL55" s="3477">
        <f t="shared" ref="BL55:BL63" ca="1" si="138">Q55+AK55+BF55+BJ55</f>
        <v>0</v>
      </c>
      <c r="BM55" s="654"/>
      <c r="BN55" s="413"/>
      <c r="BO55" s="2789">
        <f t="shared" ref="BO55:DF55" ca="1" si="139">SUM(BO53:BO54)</f>
        <v>0.64039103771372652</v>
      </c>
      <c r="BP55" s="2790">
        <f t="shared" ca="1" si="139"/>
        <v>4.7608532180804105E-4</v>
      </c>
      <c r="BQ55" s="2790">
        <f t="shared" ca="1" si="139"/>
        <v>3.6370630787881789E-3</v>
      </c>
      <c r="BR55" s="2790">
        <f t="shared" ca="1" si="139"/>
        <v>0</v>
      </c>
      <c r="BS55" s="2790">
        <f t="shared" ca="1" si="139"/>
        <v>0</v>
      </c>
      <c r="BT55" s="2790">
        <f t="shared" ca="1" si="139"/>
        <v>0</v>
      </c>
      <c r="BU55" s="2790">
        <f t="shared" ca="1" si="139"/>
        <v>0</v>
      </c>
      <c r="BV55" s="2790">
        <f t="shared" ca="1" si="139"/>
        <v>0</v>
      </c>
      <c r="BW55" s="2790">
        <f t="shared" ca="1" si="139"/>
        <v>0</v>
      </c>
      <c r="BX55" s="2790">
        <f t="shared" ca="1" si="139"/>
        <v>0</v>
      </c>
      <c r="BY55" s="2790">
        <f t="shared" ca="1" si="139"/>
        <v>0</v>
      </c>
      <c r="BZ55" s="2790">
        <f t="shared" ca="1" si="139"/>
        <v>0</v>
      </c>
      <c r="CA55" s="2790">
        <f t="shared" ca="1" si="139"/>
        <v>0</v>
      </c>
      <c r="CB55" s="2790">
        <f t="shared" ca="1" si="139"/>
        <v>0</v>
      </c>
      <c r="CC55" s="2790">
        <f t="shared" ca="1" si="139"/>
        <v>0</v>
      </c>
      <c r="CD55" s="2790">
        <f t="shared" ca="1" si="139"/>
        <v>0</v>
      </c>
      <c r="CE55" s="2790">
        <f t="shared" ca="1" si="139"/>
        <v>0</v>
      </c>
      <c r="CF55" s="2790">
        <f t="shared" ca="1" si="139"/>
        <v>0</v>
      </c>
      <c r="CG55" s="2790">
        <f t="shared" ca="1" si="139"/>
        <v>0</v>
      </c>
      <c r="CH55" s="2790">
        <f t="shared" ca="1" si="139"/>
        <v>0</v>
      </c>
      <c r="CI55" s="2790">
        <f t="shared" ca="1" si="139"/>
        <v>0</v>
      </c>
      <c r="CJ55" s="2790">
        <f t="shared" ca="1" si="139"/>
        <v>0</v>
      </c>
      <c r="CK55" s="2790">
        <f t="shared" ca="1" si="139"/>
        <v>0</v>
      </c>
      <c r="CL55" s="2790">
        <f t="shared" ca="1" si="139"/>
        <v>0</v>
      </c>
      <c r="CM55" s="2790">
        <f t="shared" ca="1" si="139"/>
        <v>0</v>
      </c>
      <c r="CN55" s="2790">
        <f t="shared" ca="1" si="139"/>
        <v>0</v>
      </c>
      <c r="CO55" s="2790">
        <f t="shared" ca="1" si="139"/>
        <v>0</v>
      </c>
      <c r="CP55" s="2790">
        <f t="shared" ca="1" si="139"/>
        <v>0</v>
      </c>
      <c r="CQ55" s="2790">
        <f t="shared" ca="1" si="139"/>
        <v>0</v>
      </c>
      <c r="CR55" s="2790">
        <f t="shared" ca="1" si="139"/>
        <v>0</v>
      </c>
      <c r="CS55" s="2790">
        <f t="shared" ca="1" si="139"/>
        <v>0</v>
      </c>
      <c r="CT55" s="2790">
        <f t="shared" ca="1" si="139"/>
        <v>0</v>
      </c>
      <c r="CU55" s="2790">
        <f t="shared" ca="1" si="139"/>
        <v>0</v>
      </c>
      <c r="CV55" s="2790">
        <f t="shared" ca="1" si="139"/>
        <v>0</v>
      </c>
      <c r="CW55" s="2790">
        <f t="shared" ca="1" si="139"/>
        <v>0</v>
      </c>
      <c r="CX55" s="2790">
        <f t="shared" ca="1" si="139"/>
        <v>0</v>
      </c>
      <c r="CY55" s="2790">
        <f t="shared" ca="1" si="139"/>
        <v>0</v>
      </c>
      <c r="CZ55" s="2790">
        <f t="shared" ca="1" si="139"/>
        <v>0</v>
      </c>
      <c r="DA55" s="2790">
        <f t="shared" ca="1" si="139"/>
        <v>0</v>
      </c>
      <c r="DB55" s="2790">
        <f t="shared" ca="1" si="139"/>
        <v>0</v>
      </c>
      <c r="DC55" s="2790">
        <f t="shared" ca="1" si="139"/>
        <v>0</v>
      </c>
      <c r="DD55" s="2790">
        <f t="shared" ca="1" si="139"/>
        <v>0</v>
      </c>
      <c r="DE55" s="2790">
        <f t="shared" ca="1" si="139"/>
        <v>0</v>
      </c>
      <c r="DF55" s="2790">
        <f t="shared" ca="1" si="139"/>
        <v>0</v>
      </c>
      <c r="DH55" s="596">
        <f t="shared" ca="1" si="113"/>
        <v>0.64450418611432281</v>
      </c>
    </row>
    <row r="56" spans="1:112" s="6" customFormat="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38"/>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13"/>
        <v>0</v>
      </c>
    </row>
    <row r="57" spans="1:112" s="607" customFormat="1">
      <c r="C57" s="587" t="s">
        <v>520</v>
      </c>
      <c r="D57" s="588" t="s">
        <v>521</v>
      </c>
      <c r="E57" s="588"/>
      <c r="F57" s="6"/>
      <c r="G57" s="589">
        <f t="shared" ref="G57:P62" ca="1" si="140">IFERROR(INDEX(INDIRECT($C57&amp;".Outputs["&amp;this.Year&amp;"]"), MATCH(G$5, INDIRECT($C57&amp;".Outputs[Vector]"), 0)), 0)</f>
        <v>0</v>
      </c>
      <c r="H57" s="589">
        <f t="shared" ca="1" si="140"/>
        <v>0</v>
      </c>
      <c r="I57" s="589">
        <f t="shared" ca="1" si="140"/>
        <v>0</v>
      </c>
      <c r="J57" s="589">
        <f t="shared" ca="1" si="140"/>
        <v>0</v>
      </c>
      <c r="K57" s="589">
        <f t="shared" ca="1" si="140"/>
        <v>0</v>
      </c>
      <c r="L57" s="589">
        <f t="shared" ca="1" si="140"/>
        <v>0</v>
      </c>
      <c r="M57" s="589">
        <f t="shared" ca="1" si="140"/>
        <v>0</v>
      </c>
      <c r="N57" s="589">
        <f t="shared" ca="1" si="140"/>
        <v>0</v>
      </c>
      <c r="O57" s="589">
        <f t="shared" ca="1" si="140"/>
        <v>0</v>
      </c>
      <c r="P57" s="589">
        <f t="shared" ca="1" si="140"/>
        <v>0</v>
      </c>
      <c r="Q57" s="590">
        <f t="shared" ref="Q57:Q63" ca="1" si="141">SUM(G57:P57)</f>
        <v>0</v>
      </c>
      <c r="R57" s="6"/>
      <c r="S57" s="591">
        <f t="shared" ref="S57:AJ62" ca="1" si="142">IFERROR(INDEX(INDIRECT($C57&amp;".Outputs["&amp;this.Year&amp;"]"), MATCH(S$5, INDIRECT($C57&amp;".Outputs[Vector]"), 0)), 0)</f>
        <v>0</v>
      </c>
      <c r="T57" s="591">
        <f t="shared" ca="1" si="142"/>
        <v>13.291885799999999</v>
      </c>
      <c r="U57" s="591">
        <f t="shared" ca="1" si="142"/>
        <v>0</v>
      </c>
      <c r="V57" s="591">
        <f t="shared" ca="1" si="142"/>
        <v>0</v>
      </c>
      <c r="W57" s="591">
        <f t="shared" ca="1" si="142"/>
        <v>0</v>
      </c>
      <c r="X57" s="591">
        <f t="shared" ca="1" si="142"/>
        <v>0</v>
      </c>
      <c r="Y57" s="591">
        <f t="shared" ca="1" si="142"/>
        <v>0</v>
      </c>
      <c r="Z57" s="591">
        <f t="shared" ca="1" si="142"/>
        <v>0</v>
      </c>
      <c r="AA57" s="591">
        <f t="shared" ca="1" si="142"/>
        <v>0</v>
      </c>
      <c r="AB57" s="591">
        <f t="shared" ca="1" si="142"/>
        <v>0</v>
      </c>
      <c r="AC57" s="591">
        <f t="shared" ca="1" si="142"/>
        <v>0</v>
      </c>
      <c r="AD57" s="591">
        <f t="shared" ca="1" si="142"/>
        <v>0</v>
      </c>
      <c r="AE57" s="591">
        <f t="shared" ca="1" si="142"/>
        <v>0</v>
      </c>
      <c r="AF57" s="591">
        <f t="shared" ca="1" si="142"/>
        <v>0</v>
      </c>
      <c r="AG57" s="591">
        <f t="shared" ca="1" si="142"/>
        <v>0</v>
      </c>
      <c r="AH57" s="591">
        <f t="shared" ca="1" si="142"/>
        <v>0</v>
      </c>
      <c r="AI57" s="591">
        <f t="shared" ca="1" si="142"/>
        <v>0</v>
      </c>
      <c r="AJ57" s="591">
        <f t="shared" ca="1" si="142"/>
        <v>0</v>
      </c>
      <c r="AK57" s="592">
        <f t="shared" ref="AK57:AK63" ca="1" si="143">SUM(S57:AJ57)</f>
        <v>13.291885799999999</v>
      </c>
      <c r="AL57" s="6"/>
      <c r="AM57" s="593">
        <f t="shared" ref="AM57:BB62" ca="1" si="144">IFERROR(INDEX(INDIRECT($C57&amp;".Outputs["&amp;this.Year&amp;"]"), MATCH(AM$5, INDIRECT($C57&amp;".Outputs[Vector]"), 0)), 0)</f>
        <v>0</v>
      </c>
      <c r="AN57" s="593">
        <f t="shared" ca="1" si="144"/>
        <v>0</v>
      </c>
      <c r="AO57" s="593">
        <f t="shared" ca="1" si="144"/>
        <v>0</v>
      </c>
      <c r="AP57" s="593">
        <f t="shared" ca="1" si="144"/>
        <v>0</v>
      </c>
      <c r="AQ57" s="593">
        <f t="shared" ca="1" si="144"/>
        <v>0</v>
      </c>
      <c r="AR57" s="593">
        <f t="shared" ca="1" si="144"/>
        <v>0</v>
      </c>
      <c r="AS57" s="593">
        <f t="shared" ca="1" si="144"/>
        <v>0</v>
      </c>
      <c r="AT57" s="593">
        <f t="shared" ca="1" si="144"/>
        <v>0</v>
      </c>
      <c r="AU57" s="593">
        <f t="shared" ca="1" si="144"/>
        <v>0</v>
      </c>
      <c r="AV57" s="593">
        <f t="shared" ca="1" si="144"/>
        <v>0</v>
      </c>
      <c r="AW57" s="593">
        <f t="shared" ca="1" si="144"/>
        <v>0</v>
      </c>
      <c r="AX57" s="593">
        <f t="shared" ca="1" si="144"/>
        <v>-13.291885799999999</v>
      </c>
      <c r="AY57" s="593">
        <f t="shared" ca="1" si="144"/>
        <v>0</v>
      </c>
      <c r="AZ57" s="593">
        <f t="shared" ca="1" si="144"/>
        <v>0</v>
      </c>
      <c r="BA57" s="593">
        <f t="shared" ca="1" si="144"/>
        <v>0</v>
      </c>
      <c r="BB57" s="593">
        <f t="shared" ca="1" si="144"/>
        <v>0</v>
      </c>
      <c r="BC57" s="593">
        <f t="shared" ref="BC57:BE62" ca="1" si="145">IFERROR(INDEX(INDIRECT($C57&amp;".Outputs["&amp;this.Year&amp;"]"), MATCH(BC$5, INDIRECT($C57&amp;".Outputs[Vector]"), 0)), 0)</f>
        <v>0</v>
      </c>
      <c r="BD57" s="593">
        <f t="shared" ca="1" si="145"/>
        <v>0</v>
      </c>
      <c r="BE57" s="593">
        <f t="shared" ca="1" si="145"/>
        <v>0</v>
      </c>
      <c r="BF57" s="609">
        <f t="shared" ref="BF57:BF63" ca="1" si="146">SUM(AM57:BE57)</f>
        <v>-13.291885799999999</v>
      </c>
      <c r="BG57" s="6"/>
      <c r="BH57" s="3471">
        <f t="shared" ref="BH57:BI62" ca="1" si="147">IFERROR(INDEX(INDIRECT($C57&amp;".Outputs["&amp;this.Year&amp;"]"), MATCH(BH$5, INDIRECT($C57&amp;".Outputs[Vector]"), 0)), 0)</f>
        <v>0</v>
      </c>
      <c r="BI57" s="3471">
        <f t="shared" ca="1" si="147"/>
        <v>0</v>
      </c>
      <c r="BJ57" s="3460">
        <f t="shared" ref="BJ57:BJ63" ca="1" si="148">SUM(BH57:BI57)</f>
        <v>0</v>
      </c>
      <c r="BK57" s="6"/>
      <c r="BL57" s="610">
        <f t="shared" ca="1" si="138"/>
        <v>0</v>
      </c>
      <c r="BM57" s="610"/>
      <c r="BN57" s="413"/>
      <c r="BO57" s="2789">
        <f t="shared" ref="BO57:BX62" ca="1" si="149">IFERROR(SUMIFS(INDIRECT($C57&amp;".Emissions["&amp;this.Year&amp;"]"), INDIRECT($C57&amp;".Emissions[GHG]"), BO$6, INDIRECT($C57&amp;".Emissions[IPCC Sector]"), BO$5),0)</f>
        <v>0</v>
      </c>
      <c r="BP57" s="2790">
        <f t="shared" ca="1" si="149"/>
        <v>0</v>
      </c>
      <c r="BQ57" s="2790">
        <f t="shared" ca="1" si="149"/>
        <v>0</v>
      </c>
      <c r="BR57" s="2790">
        <f t="shared" ca="1" si="149"/>
        <v>0</v>
      </c>
      <c r="BS57" s="2790">
        <f t="shared" ca="1" si="149"/>
        <v>0</v>
      </c>
      <c r="BT57" s="2790">
        <f t="shared" ca="1" si="149"/>
        <v>0</v>
      </c>
      <c r="BU57" s="2790">
        <f t="shared" ca="1" si="149"/>
        <v>0</v>
      </c>
      <c r="BV57" s="2790">
        <f t="shared" ca="1" si="149"/>
        <v>0</v>
      </c>
      <c r="BW57" s="2790">
        <f t="shared" ca="1" si="149"/>
        <v>0</v>
      </c>
      <c r="BX57" s="2790">
        <f t="shared" ca="1" si="149"/>
        <v>0</v>
      </c>
      <c r="BY57" s="2790">
        <f t="shared" ref="BY57:CH62" ca="1" si="150">IFERROR(SUMIFS(INDIRECT($C57&amp;".Emissions["&amp;this.Year&amp;"]"), INDIRECT($C57&amp;".Emissions[GHG]"), BY$6, INDIRECT($C57&amp;".Emissions[IPCC Sector]"), BY$5),0)</f>
        <v>0</v>
      </c>
      <c r="BZ57" s="2790">
        <f t="shared" ca="1" si="150"/>
        <v>0</v>
      </c>
      <c r="CA57" s="2790">
        <f t="shared" ca="1" si="150"/>
        <v>0</v>
      </c>
      <c r="CB57" s="2790">
        <f t="shared" ca="1" si="150"/>
        <v>0</v>
      </c>
      <c r="CC57" s="2790">
        <f t="shared" ca="1" si="150"/>
        <v>0</v>
      </c>
      <c r="CD57" s="2790">
        <f t="shared" ca="1" si="150"/>
        <v>0</v>
      </c>
      <c r="CE57" s="2790">
        <f t="shared" ca="1" si="150"/>
        <v>0</v>
      </c>
      <c r="CF57" s="2790">
        <f t="shared" ca="1" si="150"/>
        <v>0</v>
      </c>
      <c r="CG57" s="2790">
        <f t="shared" ca="1" si="150"/>
        <v>0</v>
      </c>
      <c r="CH57" s="2790">
        <f t="shared" ca="1" si="150"/>
        <v>0</v>
      </c>
      <c r="CI57" s="2790">
        <f t="shared" ref="CI57:CR62" ca="1" si="151">IFERROR(SUMIFS(INDIRECT($C57&amp;".Emissions["&amp;this.Year&amp;"]"), INDIRECT($C57&amp;".Emissions[GHG]"), CI$6, INDIRECT($C57&amp;".Emissions[IPCC Sector]"), CI$5),0)</f>
        <v>0</v>
      </c>
      <c r="CJ57" s="2790">
        <f t="shared" ca="1" si="151"/>
        <v>0</v>
      </c>
      <c r="CK57" s="2790">
        <f t="shared" ca="1" si="151"/>
        <v>0</v>
      </c>
      <c r="CL57" s="2790">
        <f t="shared" ca="1" si="151"/>
        <v>0</v>
      </c>
      <c r="CM57" s="2790">
        <f t="shared" ca="1" si="151"/>
        <v>0</v>
      </c>
      <c r="CN57" s="2790">
        <f t="shared" ca="1" si="151"/>
        <v>0</v>
      </c>
      <c r="CO57" s="2790">
        <f t="shared" ca="1" si="151"/>
        <v>0</v>
      </c>
      <c r="CP57" s="2790">
        <f t="shared" ca="1" si="151"/>
        <v>0</v>
      </c>
      <c r="CQ57" s="2790">
        <f t="shared" ca="1" si="151"/>
        <v>0</v>
      </c>
      <c r="CR57" s="2790">
        <f t="shared" ca="1" si="151"/>
        <v>0</v>
      </c>
      <c r="CS57" s="2790">
        <f t="shared" ref="CS57:DF62" ca="1" si="152">IFERROR(SUMIFS(INDIRECT($C57&amp;".Emissions["&amp;this.Year&amp;"]"), INDIRECT($C57&amp;".Emissions[GHG]"), CS$6, INDIRECT($C57&amp;".Emissions[IPCC Sector]"), CS$5),0)</f>
        <v>0</v>
      </c>
      <c r="CT57" s="2790">
        <f t="shared" ca="1" si="152"/>
        <v>0</v>
      </c>
      <c r="CU57" s="2790">
        <f t="shared" ca="1" si="152"/>
        <v>0</v>
      </c>
      <c r="CV57" s="2790">
        <f t="shared" ca="1" si="152"/>
        <v>0</v>
      </c>
      <c r="CW57" s="2790">
        <f t="shared" ca="1" si="152"/>
        <v>0</v>
      </c>
      <c r="CX57" s="2790">
        <f t="shared" ca="1" si="152"/>
        <v>0</v>
      </c>
      <c r="CY57" s="2790">
        <f t="shared" ca="1" si="152"/>
        <v>0</v>
      </c>
      <c r="CZ57" s="2790">
        <f t="shared" ca="1" si="152"/>
        <v>0</v>
      </c>
      <c r="DA57" s="2790">
        <f t="shared" ca="1" si="152"/>
        <v>0</v>
      </c>
      <c r="DB57" s="2790">
        <f t="shared" ca="1" si="152"/>
        <v>0</v>
      </c>
      <c r="DC57" s="2790">
        <f t="shared" ca="1" si="152"/>
        <v>0</v>
      </c>
      <c r="DD57" s="2790">
        <f t="shared" ca="1" si="152"/>
        <v>0</v>
      </c>
      <c r="DE57" s="2790">
        <f t="shared" ca="1" si="152"/>
        <v>0</v>
      </c>
      <c r="DF57" s="2790">
        <f t="shared" ca="1" si="152"/>
        <v>0</v>
      </c>
      <c r="DH57" s="596">
        <f t="shared" ca="1" si="113"/>
        <v>0</v>
      </c>
    </row>
    <row r="58" spans="1:112" s="607" customFormat="1">
      <c r="C58" s="587" t="s">
        <v>522</v>
      </c>
      <c r="D58" s="588" t="s">
        <v>523</v>
      </c>
      <c r="E58" s="588"/>
      <c r="F58" s="6"/>
      <c r="G58" s="589">
        <f t="shared" ca="1" si="140"/>
        <v>0</v>
      </c>
      <c r="H58" s="589">
        <f t="shared" ca="1" si="140"/>
        <v>0</v>
      </c>
      <c r="I58" s="589">
        <f t="shared" ca="1" si="140"/>
        <v>0</v>
      </c>
      <c r="J58" s="589">
        <f t="shared" ca="1" si="140"/>
        <v>0</v>
      </c>
      <c r="K58" s="589">
        <f t="shared" ca="1" si="140"/>
        <v>0</v>
      </c>
      <c r="L58" s="589">
        <f t="shared" ca="1" si="140"/>
        <v>0</v>
      </c>
      <c r="M58" s="589">
        <f t="shared" ca="1" si="140"/>
        <v>0</v>
      </c>
      <c r="N58" s="589">
        <f t="shared" ca="1" si="140"/>
        <v>0</v>
      </c>
      <c r="O58" s="589">
        <f t="shared" ca="1" si="140"/>
        <v>0</v>
      </c>
      <c r="P58" s="589">
        <f t="shared" ca="1" si="140"/>
        <v>0</v>
      </c>
      <c r="Q58" s="590">
        <f ca="1">SUM(G58:P58)</f>
        <v>0</v>
      </c>
      <c r="R58" s="6"/>
      <c r="S58" s="591">
        <f t="shared" ca="1" si="142"/>
        <v>0</v>
      </c>
      <c r="T58" s="591">
        <f t="shared" ca="1" si="142"/>
        <v>8.7660000000000016E-2</v>
      </c>
      <c r="U58" s="591">
        <f t="shared" ca="1" si="142"/>
        <v>0</v>
      </c>
      <c r="V58" s="591">
        <f t="shared" ca="1" si="142"/>
        <v>0</v>
      </c>
      <c r="W58" s="591">
        <f t="shared" ca="1" si="142"/>
        <v>0</v>
      </c>
      <c r="X58" s="591">
        <f t="shared" ca="1" si="142"/>
        <v>0</v>
      </c>
      <c r="Y58" s="591">
        <f t="shared" ca="1" si="142"/>
        <v>0</v>
      </c>
      <c r="Z58" s="591">
        <f t="shared" ca="1" si="142"/>
        <v>0</v>
      </c>
      <c r="AA58" s="591">
        <f t="shared" ca="1" si="142"/>
        <v>0</v>
      </c>
      <c r="AB58" s="591">
        <f t="shared" ca="1" si="142"/>
        <v>0</v>
      </c>
      <c r="AC58" s="591">
        <f t="shared" ca="1" si="142"/>
        <v>0</v>
      </c>
      <c r="AD58" s="591">
        <f t="shared" ca="1" si="142"/>
        <v>0</v>
      </c>
      <c r="AE58" s="591">
        <f t="shared" ca="1" si="142"/>
        <v>0</v>
      </c>
      <c r="AF58" s="591">
        <f t="shared" ca="1" si="142"/>
        <v>0</v>
      </c>
      <c r="AG58" s="591">
        <f t="shared" ca="1" si="142"/>
        <v>0</v>
      </c>
      <c r="AH58" s="591">
        <f t="shared" ca="1" si="142"/>
        <v>0</v>
      </c>
      <c r="AI58" s="591">
        <f t="shared" ca="1" si="142"/>
        <v>0</v>
      </c>
      <c r="AJ58" s="591">
        <f t="shared" ca="1" si="142"/>
        <v>0</v>
      </c>
      <c r="AK58" s="592">
        <f ca="1">SUM(S58:AJ58)</f>
        <v>8.7660000000000016E-2</v>
      </c>
      <c r="AL58" s="6"/>
      <c r="AM58" s="593">
        <f t="shared" ca="1" si="144"/>
        <v>0</v>
      </c>
      <c r="AN58" s="593">
        <f t="shared" ca="1" si="144"/>
        <v>0</v>
      </c>
      <c r="AO58" s="593">
        <f t="shared" ca="1" si="144"/>
        <v>0</v>
      </c>
      <c r="AP58" s="593">
        <f t="shared" ca="1" si="144"/>
        <v>0</v>
      </c>
      <c r="AQ58" s="593">
        <f t="shared" ca="1" si="144"/>
        <v>0</v>
      </c>
      <c r="AR58" s="593">
        <f t="shared" ca="1" si="144"/>
        <v>0</v>
      </c>
      <c r="AS58" s="593">
        <f t="shared" ca="1" si="144"/>
        <v>0</v>
      </c>
      <c r="AT58" s="593">
        <f t="shared" ca="1" si="144"/>
        <v>0</v>
      </c>
      <c r="AU58" s="593">
        <f t="shared" ca="1" si="144"/>
        <v>0</v>
      </c>
      <c r="AV58" s="593">
        <f t="shared" ca="1" si="144"/>
        <v>0</v>
      </c>
      <c r="AW58" s="593">
        <f t="shared" ca="1" si="144"/>
        <v>0</v>
      </c>
      <c r="AX58" s="593">
        <f t="shared" ca="1" si="144"/>
        <v>-8.7660000000000016E-2</v>
      </c>
      <c r="AY58" s="593">
        <f t="shared" ca="1" si="144"/>
        <v>0</v>
      </c>
      <c r="AZ58" s="593">
        <f t="shared" ca="1" si="144"/>
        <v>0</v>
      </c>
      <c r="BA58" s="593">
        <f t="shared" ca="1" si="144"/>
        <v>0</v>
      </c>
      <c r="BB58" s="593">
        <f t="shared" ca="1" si="144"/>
        <v>0</v>
      </c>
      <c r="BC58" s="593">
        <f t="shared" ca="1" si="145"/>
        <v>0</v>
      </c>
      <c r="BD58" s="593">
        <f t="shared" ca="1" si="145"/>
        <v>0</v>
      </c>
      <c r="BE58" s="593">
        <f t="shared" ca="1" si="145"/>
        <v>0</v>
      </c>
      <c r="BF58" s="609">
        <f ca="1">SUM(AM58:BE58)</f>
        <v>-8.7660000000000016E-2</v>
      </c>
      <c r="BG58" s="6"/>
      <c r="BH58" s="3471">
        <f t="shared" ca="1" si="147"/>
        <v>0</v>
      </c>
      <c r="BI58" s="3471">
        <f t="shared" ca="1" si="147"/>
        <v>0</v>
      </c>
      <c r="BJ58" s="3460">
        <f ca="1">SUM(BH58:BI58)</f>
        <v>0</v>
      </c>
      <c r="BK58" s="6"/>
      <c r="BL58" s="610">
        <f t="shared" ca="1" si="138"/>
        <v>0</v>
      </c>
      <c r="BM58" s="610"/>
      <c r="BN58" s="413"/>
      <c r="BO58" s="2789">
        <f t="shared" ca="1" si="149"/>
        <v>0</v>
      </c>
      <c r="BP58" s="2790">
        <f t="shared" ca="1" si="149"/>
        <v>0</v>
      </c>
      <c r="BQ58" s="2790">
        <f t="shared" ca="1" si="149"/>
        <v>0</v>
      </c>
      <c r="BR58" s="2790">
        <f t="shared" ca="1" si="149"/>
        <v>0</v>
      </c>
      <c r="BS58" s="2790">
        <f t="shared" ca="1" si="149"/>
        <v>0</v>
      </c>
      <c r="BT58" s="2790">
        <f t="shared" ca="1" si="149"/>
        <v>0</v>
      </c>
      <c r="BU58" s="2790">
        <f t="shared" ca="1" si="149"/>
        <v>0</v>
      </c>
      <c r="BV58" s="2790">
        <f t="shared" ca="1" si="149"/>
        <v>0</v>
      </c>
      <c r="BW58" s="2790">
        <f t="shared" ca="1" si="149"/>
        <v>0</v>
      </c>
      <c r="BX58" s="2790">
        <f t="shared" ca="1" si="149"/>
        <v>0</v>
      </c>
      <c r="BY58" s="2790">
        <f t="shared" ca="1" si="150"/>
        <v>0</v>
      </c>
      <c r="BZ58" s="2790">
        <f t="shared" ca="1" si="150"/>
        <v>0</v>
      </c>
      <c r="CA58" s="2790">
        <f t="shared" ca="1" si="150"/>
        <v>0</v>
      </c>
      <c r="CB58" s="2790">
        <f t="shared" ca="1" si="150"/>
        <v>0</v>
      </c>
      <c r="CC58" s="2790">
        <f t="shared" ca="1" si="150"/>
        <v>0</v>
      </c>
      <c r="CD58" s="2790">
        <f t="shared" ca="1" si="150"/>
        <v>0</v>
      </c>
      <c r="CE58" s="2790">
        <f t="shared" ca="1" si="150"/>
        <v>0</v>
      </c>
      <c r="CF58" s="2790">
        <f t="shared" ca="1" si="150"/>
        <v>0</v>
      </c>
      <c r="CG58" s="2790">
        <f t="shared" ca="1" si="150"/>
        <v>0</v>
      </c>
      <c r="CH58" s="2790">
        <f t="shared" ca="1" si="150"/>
        <v>0</v>
      </c>
      <c r="CI58" s="2790">
        <f t="shared" ca="1" si="151"/>
        <v>0</v>
      </c>
      <c r="CJ58" s="2790">
        <f t="shared" ca="1" si="151"/>
        <v>0</v>
      </c>
      <c r="CK58" s="2790">
        <f t="shared" ca="1" si="151"/>
        <v>0</v>
      </c>
      <c r="CL58" s="2790">
        <f t="shared" ca="1" si="151"/>
        <v>0</v>
      </c>
      <c r="CM58" s="2790">
        <f t="shared" ca="1" si="151"/>
        <v>0</v>
      </c>
      <c r="CN58" s="2790">
        <f t="shared" ca="1" si="151"/>
        <v>0</v>
      </c>
      <c r="CO58" s="2790">
        <f t="shared" ca="1" si="151"/>
        <v>0</v>
      </c>
      <c r="CP58" s="2790">
        <f t="shared" ca="1" si="151"/>
        <v>0</v>
      </c>
      <c r="CQ58" s="2790">
        <f t="shared" ca="1" si="151"/>
        <v>0</v>
      </c>
      <c r="CR58" s="2790">
        <f t="shared" ca="1" si="151"/>
        <v>0</v>
      </c>
      <c r="CS58" s="2790">
        <f t="shared" ca="1" si="152"/>
        <v>0</v>
      </c>
      <c r="CT58" s="2790">
        <f t="shared" ca="1" si="152"/>
        <v>0</v>
      </c>
      <c r="CU58" s="2790">
        <f t="shared" ca="1" si="152"/>
        <v>0</v>
      </c>
      <c r="CV58" s="2790">
        <f t="shared" ca="1" si="152"/>
        <v>0</v>
      </c>
      <c r="CW58" s="2790">
        <f t="shared" ca="1" si="152"/>
        <v>0</v>
      </c>
      <c r="CX58" s="2790">
        <f t="shared" ca="1" si="152"/>
        <v>0</v>
      </c>
      <c r="CY58" s="2790">
        <f t="shared" ca="1" si="152"/>
        <v>0</v>
      </c>
      <c r="CZ58" s="2790">
        <f t="shared" ca="1" si="152"/>
        <v>0</v>
      </c>
      <c r="DA58" s="2790">
        <f t="shared" ca="1" si="152"/>
        <v>0</v>
      </c>
      <c r="DB58" s="2790">
        <f t="shared" ca="1" si="152"/>
        <v>0</v>
      </c>
      <c r="DC58" s="2790">
        <f t="shared" ca="1" si="152"/>
        <v>0</v>
      </c>
      <c r="DD58" s="2790">
        <f t="shared" ca="1" si="152"/>
        <v>0</v>
      </c>
      <c r="DE58" s="2790">
        <f t="shared" ca="1" si="152"/>
        <v>0</v>
      </c>
      <c r="DF58" s="2790">
        <f t="shared" ca="1" si="152"/>
        <v>0</v>
      </c>
      <c r="DH58" s="596">
        <f ca="1">SUM(BO58:DF58)</f>
        <v>0</v>
      </c>
    </row>
    <row r="59" spans="1:112" s="607" customFormat="1">
      <c r="C59" s="587" t="s">
        <v>524</v>
      </c>
      <c r="D59" s="588" t="s">
        <v>525</v>
      </c>
      <c r="E59" s="588"/>
      <c r="F59" s="6"/>
      <c r="G59" s="589">
        <f t="shared" ca="1" si="140"/>
        <v>0</v>
      </c>
      <c r="H59" s="589">
        <f t="shared" ca="1" si="140"/>
        <v>0</v>
      </c>
      <c r="I59" s="589">
        <f t="shared" ca="1" si="140"/>
        <v>0</v>
      </c>
      <c r="J59" s="589">
        <f t="shared" ca="1" si="140"/>
        <v>0</v>
      </c>
      <c r="K59" s="589">
        <f t="shared" ca="1" si="140"/>
        <v>0</v>
      </c>
      <c r="L59" s="589">
        <f t="shared" ca="1" si="140"/>
        <v>0</v>
      </c>
      <c r="M59" s="589">
        <f t="shared" ca="1" si="140"/>
        <v>0</v>
      </c>
      <c r="N59" s="589">
        <f t="shared" ca="1" si="140"/>
        <v>0</v>
      </c>
      <c r="O59" s="589">
        <f t="shared" ca="1" si="140"/>
        <v>0</v>
      </c>
      <c r="P59" s="589">
        <f t="shared" ca="1" si="140"/>
        <v>0</v>
      </c>
      <c r="Q59" s="590">
        <f t="shared" ca="1" si="141"/>
        <v>0</v>
      </c>
      <c r="R59" s="6"/>
      <c r="S59" s="591">
        <f t="shared" ca="1" si="142"/>
        <v>0</v>
      </c>
      <c r="T59" s="591">
        <f t="shared" ca="1" si="142"/>
        <v>0.78946596000000002</v>
      </c>
      <c r="U59" s="591">
        <f t="shared" ca="1" si="142"/>
        <v>0</v>
      </c>
      <c r="V59" s="591">
        <f t="shared" ca="1" si="142"/>
        <v>0</v>
      </c>
      <c r="W59" s="591">
        <f t="shared" ca="1" si="142"/>
        <v>0</v>
      </c>
      <c r="X59" s="591">
        <f t="shared" ca="1" si="142"/>
        <v>0</v>
      </c>
      <c r="Y59" s="591">
        <f t="shared" ca="1" si="142"/>
        <v>0</v>
      </c>
      <c r="Z59" s="591">
        <f t="shared" ca="1" si="142"/>
        <v>0</v>
      </c>
      <c r="AA59" s="591">
        <f t="shared" ca="1" si="142"/>
        <v>0</v>
      </c>
      <c r="AB59" s="591">
        <f t="shared" ca="1" si="142"/>
        <v>0</v>
      </c>
      <c r="AC59" s="591">
        <f t="shared" ca="1" si="142"/>
        <v>0</v>
      </c>
      <c r="AD59" s="591">
        <f t="shared" ca="1" si="142"/>
        <v>0</v>
      </c>
      <c r="AE59" s="591">
        <f t="shared" ca="1" si="142"/>
        <v>0</v>
      </c>
      <c r="AF59" s="591">
        <f t="shared" ca="1" si="142"/>
        <v>0</v>
      </c>
      <c r="AG59" s="591">
        <f t="shared" ca="1" si="142"/>
        <v>0</v>
      </c>
      <c r="AH59" s="591">
        <f t="shared" ca="1" si="142"/>
        <v>0</v>
      </c>
      <c r="AI59" s="591">
        <f t="shared" ca="1" si="142"/>
        <v>0</v>
      </c>
      <c r="AJ59" s="591">
        <f t="shared" ca="1" si="142"/>
        <v>0</v>
      </c>
      <c r="AK59" s="592">
        <f t="shared" ca="1" si="143"/>
        <v>0.78946596000000002</v>
      </c>
      <c r="AL59" s="6"/>
      <c r="AM59" s="593">
        <f t="shared" ca="1" si="144"/>
        <v>0</v>
      </c>
      <c r="AN59" s="593">
        <f t="shared" ca="1" si="144"/>
        <v>0</v>
      </c>
      <c r="AO59" s="593">
        <f t="shared" ca="1" si="144"/>
        <v>0</v>
      </c>
      <c r="AP59" s="593">
        <f t="shared" ca="1" si="144"/>
        <v>0</v>
      </c>
      <c r="AQ59" s="593">
        <f t="shared" ca="1" si="144"/>
        <v>0</v>
      </c>
      <c r="AR59" s="593">
        <f t="shared" ca="1" si="144"/>
        <v>0</v>
      </c>
      <c r="AS59" s="593">
        <f t="shared" ca="1" si="144"/>
        <v>0</v>
      </c>
      <c r="AT59" s="593">
        <f t="shared" ca="1" si="144"/>
        <v>0</v>
      </c>
      <c r="AU59" s="593">
        <f t="shared" ca="1" si="144"/>
        <v>0</v>
      </c>
      <c r="AV59" s="593">
        <f t="shared" ca="1" si="144"/>
        <v>0</v>
      </c>
      <c r="AW59" s="593">
        <f t="shared" ca="1" si="144"/>
        <v>0</v>
      </c>
      <c r="AX59" s="593">
        <f t="shared" ca="1" si="144"/>
        <v>0</v>
      </c>
      <c r="AY59" s="593">
        <f t="shared" ca="1" si="144"/>
        <v>0</v>
      </c>
      <c r="AZ59" s="593">
        <f t="shared" ca="1" si="144"/>
        <v>0</v>
      </c>
      <c r="BA59" s="593">
        <f t="shared" ca="1" si="144"/>
        <v>0</v>
      </c>
      <c r="BB59" s="593">
        <f t="shared" ca="1" si="144"/>
        <v>-0.78946596000000002</v>
      </c>
      <c r="BC59" s="593">
        <f t="shared" ca="1" si="145"/>
        <v>0</v>
      </c>
      <c r="BD59" s="593">
        <f t="shared" ca="1" si="145"/>
        <v>0</v>
      </c>
      <c r="BE59" s="593">
        <f t="shared" ca="1" si="145"/>
        <v>0</v>
      </c>
      <c r="BF59" s="609">
        <f t="shared" ca="1" si="146"/>
        <v>-0.78946596000000002</v>
      </c>
      <c r="BG59" s="6"/>
      <c r="BH59" s="3471">
        <f t="shared" ca="1" si="147"/>
        <v>0</v>
      </c>
      <c r="BI59" s="3471">
        <f t="shared" ca="1" si="147"/>
        <v>0</v>
      </c>
      <c r="BJ59" s="3460">
        <f t="shared" ca="1" si="148"/>
        <v>0</v>
      </c>
      <c r="BK59" s="6"/>
      <c r="BL59" s="610">
        <f t="shared" ca="1" si="138"/>
        <v>0</v>
      </c>
      <c r="BM59" s="610"/>
      <c r="BN59" s="413"/>
      <c r="BO59" s="2789">
        <f t="shared" ca="1" si="149"/>
        <v>0</v>
      </c>
      <c r="BP59" s="2790">
        <f t="shared" ca="1" si="149"/>
        <v>0</v>
      </c>
      <c r="BQ59" s="2790">
        <f t="shared" ca="1" si="149"/>
        <v>0</v>
      </c>
      <c r="BR59" s="2790">
        <f t="shared" ca="1" si="149"/>
        <v>0</v>
      </c>
      <c r="BS59" s="2790">
        <f t="shared" ca="1" si="149"/>
        <v>0</v>
      </c>
      <c r="BT59" s="2790">
        <f t="shared" ca="1" si="149"/>
        <v>0</v>
      </c>
      <c r="BU59" s="2790">
        <f t="shared" ca="1" si="149"/>
        <v>0</v>
      </c>
      <c r="BV59" s="2790">
        <f t="shared" ca="1" si="149"/>
        <v>0</v>
      </c>
      <c r="BW59" s="2790">
        <f t="shared" ca="1" si="149"/>
        <v>0</v>
      </c>
      <c r="BX59" s="2790">
        <f t="shared" ca="1" si="149"/>
        <v>0</v>
      </c>
      <c r="BY59" s="2790">
        <f t="shared" ca="1" si="150"/>
        <v>0</v>
      </c>
      <c r="BZ59" s="2790">
        <f t="shared" ca="1" si="150"/>
        <v>0</v>
      </c>
      <c r="CA59" s="2790">
        <f t="shared" ca="1" si="150"/>
        <v>0</v>
      </c>
      <c r="CB59" s="2790">
        <f t="shared" ca="1" si="150"/>
        <v>0</v>
      </c>
      <c r="CC59" s="2790">
        <f t="shared" ca="1" si="150"/>
        <v>0</v>
      </c>
      <c r="CD59" s="2790">
        <f t="shared" ca="1" si="150"/>
        <v>0</v>
      </c>
      <c r="CE59" s="2790">
        <f t="shared" ca="1" si="150"/>
        <v>0</v>
      </c>
      <c r="CF59" s="2790">
        <f t="shared" ca="1" si="150"/>
        <v>0</v>
      </c>
      <c r="CG59" s="2790">
        <f t="shared" ca="1" si="150"/>
        <v>0</v>
      </c>
      <c r="CH59" s="2790">
        <f t="shared" ca="1" si="150"/>
        <v>0</v>
      </c>
      <c r="CI59" s="2790">
        <f t="shared" ca="1" si="151"/>
        <v>0</v>
      </c>
      <c r="CJ59" s="2790">
        <f t="shared" ca="1" si="151"/>
        <v>0</v>
      </c>
      <c r="CK59" s="2790">
        <f t="shared" ca="1" si="151"/>
        <v>0</v>
      </c>
      <c r="CL59" s="2790">
        <f t="shared" ca="1" si="151"/>
        <v>0</v>
      </c>
      <c r="CM59" s="2790">
        <f t="shared" ca="1" si="151"/>
        <v>0</v>
      </c>
      <c r="CN59" s="2790">
        <f t="shared" ca="1" si="151"/>
        <v>0</v>
      </c>
      <c r="CO59" s="2790">
        <f t="shared" ca="1" si="151"/>
        <v>0</v>
      </c>
      <c r="CP59" s="2790">
        <f t="shared" ca="1" si="151"/>
        <v>0</v>
      </c>
      <c r="CQ59" s="2790">
        <f t="shared" ca="1" si="151"/>
        <v>0</v>
      </c>
      <c r="CR59" s="2790">
        <f t="shared" ca="1" si="151"/>
        <v>0</v>
      </c>
      <c r="CS59" s="2790">
        <f t="shared" ca="1" si="152"/>
        <v>0</v>
      </c>
      <c r="CT59" s="2790">
        <f t="shared" ca="1" si="152"/>
        <v>0</v>
      </c>
      <c r="CU59" s="2790">
        <f t="shared" ca="1" si="152"/>
        <v>0</v>
      </c>
      <c r="CV59" s="2790">
        <f t="shared" ca="1" si="152"/>
        <v>0</v>
      </c>
      <c r="CW59" s="2790">
        <f t="shared" ca="1" si="152"/>
        <v>0</v>
      </c>
      <c r="CX59" s="2790">
        <f t="shared" ca="1" si="152"/>
        <v>0</v>
      </c>
      <c r="CY59" s="2790">
        <f t="shared" ca="1" si="152"/>
        <v>0</v>
      </c>
      <c r="CZ59" s="2790">
        <f t="shared" ca="1" si="152"/>
        <v>0</v>
      </c>
      <c r="DA59" s="2790">
        <f t="shared" ca="1" si="152"/>
        <v>0</v>
      </c>
      <c r="DB59" s="2790">
        <f t="shared" ca="1" si="152"/>
        <v>0</v>
      </c>
      <c r="DC59" s="2790">
        <f t="shared" ca="1" si="152"/>
        <v>0</v>
      </c>
      <c r="DD59" s="2790">
        <f t="shared" ca="1" si="152"/>
        <v>0</v>
      </c>
      <c r="DE59" s="2790">
        <f t="shared" ca="1" si="152"/>
        <v>0</v>
      </c>
      <c r="DF59" s="2790">
        <f t="shared" ca="1" si="152"/>
        <v>0</v>
      </c>
      <c r="DH59" s="596">
        <f t="shared" ca="1" si="113"/>
        <v>0</v>
      </c>
    </row>
    <row r="60" spans="1:112" s="607" customFormat="1">
      <c r="C60" s="587" t="s">
        <v>526</v>
      </c>
      <c r="D60" s="588" t="s">
        <v>527</v>
      </c>
      <c r="E60" s="588"/>
      <c r="F60" s="6"/>
      <c r="G60" s="589">
        <f t="shared" ca="1" si="140"/>
        <v>0</v>
      </c>
      <c r="H60" s="589">
        <f t="shared" ca="1" si="140"/>
        <v>0</v>
      </c>
      <c r="I60" s="589">
        <f t="shared" ca="1" si="140"/>
        <v>0</v>
      </c>
      <c r="J60" s="589">
        <f t="shared" ca="1" si="140"/>
        <v>0</v>
      </c>
      <c r="K60" s="589">
        <f t="shared" ca="1" si="140"/>
        <v>0</v>
      </c>
      <c r="L60" s="589">
        <f t="shared" ca="1" si="140"/>
        <v>0</v>
      </c>
      <c r="M60" s="589">
        <f t="shared" ca="1" si="140"/>
        <v>0</v>
      </c>
      <c r="N60" s="589">
        <f t="shared" ca="1" si="140"/>
        <v>0</v>
      </c>
      <c r="O60" s="589">
        <f t="shared" ca="1" si="140"/>
        <v>0</v>
      </c>
      <c r="P60" s="589">
        <f t="shared" ca="1" si="140"/>
        <v>0</v>
      </c>
      <c r="Q60" s="590">
        <f t="shared" ca="1" si="141"/>
        <v>0</v>
      </c>
      <c r="R60" s="6"/>
      <c r="S60" s="591">
        <f t="shared" ca="1" si="142"/>
        <v>0</v>
      </c>
      <c r="T60" s="591">
        <f t="shared" ca="1" si="142"/>
        <v>0.70610130000000026</v>
      </c>
      <c r="U60" s="591">
        <f t="shared" ca="1" si="142"/>
        <v>0</v>
      </c>
      <c r="V60" s="591">
        <f t="shared" ca="1" si="142"/>
        <v>0</v>
      </c>
      <c r="W60" s="591">
        <f t="shared" ca="1" si="142"/>
        <v>0</v>
      </c>
      <c r="X60" s="591">
        <f t="shared" ca="1" si="142"/>
        <v>0</v>
      </c>
      <c r="Y60" s="591">
        <f t="shared" ca="1" si="142"/>
        <v>0</v>
      </c>
      <c r="Z60" s="591">
        <f t="shared" ca="1" si="142"/>
        <v>0</v>
      </c>
      <c r="AA60" s="591">
        <f t="shared" ca="1" si="142"/>
        <v>0</v>
      </c>
      <c r="AB60" s="591">
        <f t="shared" ca="1" si="142"/>
        <v>0</v>
      </c>
      <c r="AC60" s="591">
        <f t="shared" ca="1" si="142"/>
        <v>0</v>
      </c>
      <c r="AD60" s="591">
        <f t="shared" ca="1" si="142"/>
        <v>0</v>
      </c>
      <c r="AE60" s="591">
        <f t="shared" ca="1" si="142"/>
        <v>0</v>
      </c>
      <c r="AF60" s="591">
        <f t="shared" ca="1" si="142"/>
        <v>0</v>
      </c>
      <c r="AG60" s="591">
        <f t="shared" ca="1" si="142"/>
        <v>0</v>
      </c>
      <c r="AH60" s="591">
        <f t="shared" ca="1" si="142"/>
        <v>0</v>
      </c>
      <c r="AI60" s="591">
        <f t="shared" ca="1" si="142"/>
        <v>0</v>
      </c>
      <c r="AJ60" s="591">
        <f t="shared" ca="1" si="142"/>
        <v>0</v>
      </c>
      <c r="AK60" s="592">
        <f t="shared" ca="1" si="143"/>
        <v>0.70610130000000026</v>
      </c>
      <c r="AL60" s="6"/>
      <c r="AM60" s="593">
        <f t="shared" ca="1" si="144"/>
        <v>0</v>
      </c>
      <c r="AN60" s="593">
        <f t="shared" ca="1" si="144"/>
        <v>0</v>
      </c>
      <c r="AO60" s="593">
        <f t="shared" ca="1" si="144"/>
        <v>0</v>
      </c>
      <c r="AP60" s="593">
        <f t="shared" ca="1" si="144"/>
        <v>0</v>
      </c>
      <c r="AQ60" s="593">
        <f t="shared" ca="1" si="144"/>
        <v>0</v>
      </c>
      <c r="AR60" s="593">
        <f t="shared" ca="1" si="144"/>
        <v>0</v>
      </c>
      <c r="AS60" s="593">
        <f t="shared" ca="1" si="144"/>
        <v>0</v>
      </c>
      <c r="AT60" s="593">
        <f t="shared" ca="1" si="144"/>
        <v>0</v>
      </c>
      <c r="AU60" s="593">
        <f t="shared" ca="1" si="144"/>
        <v>0</v>
      </c>
      <c r="AV60" s="593">
        <f t="shared" ca="1" si="144"/>
        <v>0</v>
      </c>
      <c r="AW60" s="593">
        <f t="shared" ca="1" si="144"/>
        <v>0</v>
      </c>
      <c r="AX60" s="593">
        <f t="shared" ca="1" si="144"/>
        <v>0</v>
      </c>
      <c r="AY60" s="593">
        <f t="shared" ca="1" si="144"/>
        <v>-0.31557600000000013</v>
      </c>
      <c r="AZ60" s="593">
        <f t="shared" ca="1" si="144"/>
        <v>-0.39052530000000008</v>
      </c>
      <c r="BA60" s="593">
        <f t="shared" ca="1" si="144"/>
        <v>0</v>
      </c>
      <c r="BB60" s="593">
        <f t="shared" ca="1" si="144"/>
        <v>0</v>
      </c>
      <c r="BC60" s="593">
        <f t="shared" ca="1" si="145"/>
        <v>0</v>
      </c>
      <c r="BD60" s="593">
        <f t="shared" ca="1" si="145"/>
        <v>0</v>
      </c>
      <c r="BE60" s="593">
        <f t="shared" ca="1" si="145"/>
        <v>0</v>
      </c>
      <c r="BF60" s="609">
        <f t="shared" ca="1" si="146"/>
        <v>-0.70610130000000026</v>
      </c>
      <c r="BG60" s="6"/>
      <c r="BH60" s="3471">
        <f t="shared" ca="1" si="147"/>
        <v>0</v>
      </c>
      <c r="BI60" s="3471">
        <f t="shared" ca="1" si="147"/>
        <v>0</v>
      </c>
      <c r="BJ60" s="3460">
        <f t="shared" ca="1" si="148"/>
        <v>0</v>
      </c>
      <c r="BK60" s="6"/>
      <c r="BL60" s="610">
        <f t="shared" ca="1" si="138"/>
        <v>0</v>
      </c>
      <c r="BM60" s="610"/>
      <c r="BN60" s="413"/>
      <c r="BO60" s="2789">
        <f t="shared" ca="1" si="149"/>
        <v>0</v>
      </c>
      <c r="BP60" s="2790">
        <f t="shared" ca="1" si="149"/>
        <v>0</v>
      </c>
      <c r="BQ60" s="2790">
        <f t="shared" ca="1" si="149"/>
        <v>0</v>
      </c>
      <c r="BR60" s="2790">
        <f t="shared" ca="1" si="149"/>
        <v>0</v>
      </c>
      <c r="BS60" s="2790">
        <f t="shared" ca="1" si="149"/>
        <v>0</v>
      </c>
      <c r="BT60" s="2790">
        <f t="shared" ca="1" si="149"/>
        <v>0</v>
      </c>
      <c r="BU60" s="2790">
        <f t="shared" ca="1" si="149"/>
        <v>0</v>
      </c>
      <c r="BV60" s="2790">
        <f t="shared" ca="1" si="149"/>
        <v>0</v>
      </c>
      <c r="BW60" s="2790">
        <f t="shared" ca="1" si="149"/>
        <v>0</v>
      </c>
      <c r="BX60" s="2790">
        <f t="shared" ca="1" si="149"/>
        <v>0</v>
      </c>
      <c r="BY60" s="2790">
        <f t="shared" ca="1" si="150"/>
        <v>0</v>
      </c>
      <c r="BZ60" s="2790">
        <f t="shared" ca="1" si="150"/>
        <v>0</v>
      </c>
      <c r="CA60" s="2790">
        <f t="shared" ca="1" si="150"/>
        <v>0</v>
      </c>
      <c r="CB60" s="2790">
        <f t="shared" ca="1" si="150"/>
        <v>0</v>
      </c>
      <c r="CC60" s="2790">
        <f t="shared" ca="1" si="150"/>
        <v>0</v>
      </c>
      <c r="CD60" s="2790">
        <f t="shared" ca="1" si="150"/>
        <v>0</v>
      </c>
      <c r="CE60" s="2790">
        <f t="shared" ca="1" si="150"/>
        <v>0</v>
      </c>
      <c r="CF60" s="2790">
        <f t="shared" ca="1" si="150"/>
        <v>0</v>
      </c>
      <c r="CG60" s="2790">
        <f t="shared" ca="1" si="150"/>
        <v>0</v>
      </c>
      <c r="CH60" s="2790">
        <f t="shared" ca="1" si="150"/>
        <v>0</v>
      </c>
      <c r="CI60" s="2790">
        <f t="shared" ca="1" si="151"/>
        <v>0</v>
      </c>
      <c r="CJ60" s="2790">
        <f t="shared" ca="1" si="151"/>
        <v>0</v>
      </c>
      <c r="CK60" s="2790">
        <f t="shared" ca="1" si="151"/>
        <v>0</v>
      </c>
      <c r="CL60" s="2790">
        <f t="shared" ca="1" si="151"/>
        <v>0</v>
      </c>
      <c r="CM60" s="2790">
        <f t="shared" ca="1" si="151"/>
        <v>0</v>
      </c>
      <c r="CN60" s="2790">
        <f t="shared" ca="1" si="151"/>
        <v>0</v>
      </c>
      <c r="CO60" s="2790">
        <f t="shared" ca="1" si="151"/>
        <v>0</v>
      </c>
      <c r="CP60" s="2790">
        <f t="shared" ca="1" si="151"/>
        <v>0</v>
      </c>
      <c r="CQ60" s="2790">
        <f t="shared" ca="1" si="151"/>
        <v>0</v>
      </c>
      <c r="CR60" s="2790">
        <f t="shared" ca="1" si="151"/>
        <v>0</v>
      </c>
      <c r="CS60" s="2790">
        <f t="shared" ca="1" si="152"/>
        <v>0</v>
      </c>
      <c r="CT60" s="2790">
        <f t="shared" ca="1" si="152"/>
        <v>0</v>
      </c>
      <c r="CU60" s="2790">
        <f t="shared" ca="1" si="152"/>
        <v>0</v>
      </c>
      <c r="CV60" s="2790">
        <f t="shared" ca="1" si="152"/>
        <v>0</v>
      </c>
      <c r="CW60" s="2790">
        <f t="shared" ca="1" si="152"/>
        <v>0</v>
      </c>
      <c r="CX60" s="2790">
        <f t="shared" ca="1" si="152"/>
        <v>0</v>
      </c>
      <c r="CY60" s="2790">
        <f t="shared" ca="1" si="152"/>
        <v>0</v>
      </c>
      <c r="CZ60" s="2790">
        <f t="shared" ca="1" si="152"/>
        <v>0</v>
      </c>
      <c r="DA60" s="2790">
        <f t="shared" ca="1" si="152"/>
        <v>0</v>
      </c>
      <c r="DB60" s="2790">
        <f t="shared" ca="1" si="152"/>
        <v>0</v>
      </c>
      <c r="DC60" s="2790">
        <f t="shared" ca="1" si="152"/>
        <v>0</v>
      </c>
      <c r="DD60" s="2790">
        <f t="shared" ca="1" si="152"/>
        <v>0</v>
      </c>
      <c r="DE60" s="2790">
        <f t="shared" ca="1" si="152"/>
        <v>0</v>
      </c>
      <c r="DF60" s="2790">
        <f t="shared" ca="1" si="152"/>
        <v>0</v>
      </c>
      <c r="DH60" s="596">
        <f t="shared" ca="1" si="113"/>
        <v>0</v>
      </c>
    </row>
    <row r="61" spans="1:112" s="607" customFormat="1">
      <c r="C61" s="587" t="s">
        <v>528</v>
      </c>
      <c r="D61" s="588" t="s">
        <v>529</v>
      </c>
      <c r="E61" s="588"/>
      <c r="F61" s="6"/>
      <c r="G61" s="589">
        <f t="shared" ca="1" si="140"/>
        <v>0</v>
      </c>
      <c r="H61" s="589">
        <f t="shared" ca="1" si="140"/>
        <v>0</v>
      </c>
      <c r="I61" s="589">
        <f t="shared" ca="1" si="140"/>
        <v>0</v>
      </c>
      <c r="J61" s="589">
        <f t="shared" ca="1" si="140"/>
        <v>0</v>
      </c>
      <c r="K61" s="589">
        <f t="shared" ca="1" si="140"/>
        <v>0</v>
      </c>
      <c r="L61" s="589">
        <f t="shared" ca="1" si="140"/>
        <v>0</v>
      </c>
      <c r="M61" s="589">
        <f t="shared" ca="1" si="140"/>
        <v>0</v>
      </c>
      <c r="N61" s="589">
        <f t="shared" ca="1" si="140"/>
        <v>0</v>
      </c>
      <c r="O61" s="589">
        <f t="shared" ca="1" si="140"/>
        <v>0</v>
      </c>
      <c r="P61" s="589">
        <f t="shared" ca="1" si="140"/>
        <v>0</v>
      </c>
      <c r="Q61" s="590">
        <f t="shared" ca="1" si="141"/>
        <v>0</v>
      </c>
      <c r="R61" s="6"/>
      <c r="S61" s="591">
        <f t="shared" ca="1" si="142"/>
        <v>0</v>
      </c>
      <c r="T61" s="591">
        <f t="shared" ca="1" si="142"/>
        <v>0</v>
      </c>
      <c r="U61" s="591">
        <f t="shared" ca="1" si="142"/>
        <v>0</v>
      </c>
      <c r="V61" s="591">
        <f t="shared" ca="1" si="142"/>
        <v>0</v>
      </c>
      <c r="W61" s="591">
        <f t="shared" ca="1" si="142"/>
        <v>0</v>
      </c>
      <c r="X61" s="591">
        <f t="shared" ca="1" si="142"/>
        <v>0</v>
      </c>
      <c r="Y61" s="591">
        <f t="shared" ca="1" si="142"/>
        <v>0</v>
      </c>
      <c r="Z61" s="591">
        <f t="shared" ca="1" si="142"/>
        <v>0</v>
      </c>
      <c r="AA61" s="591">
        <f t="shared" ca="1" si="142"/>
        <v>0</v>
      </c>
      <c r="AB61" s="591">
        <f t="shared" ca="1" si="142"/>
        <v>0</v>
      </c>
      <c r="AC61" s="591">
        <f t="shared" ca="1" si="142"/>
        <v>0</v>
      </c>
      <c r="AD61" s="591">
        <f t="shared" ca="1" si="142"/>
        <v>0</v>
      </c>
      <c r="AE61" s="591">
        <f t="shared" ca="1" si="142"/>
        <v>0</v>
      </c>
      <c r="AF61" s="591">
        <f t="shared" ca="1" si="142"/>
        <v>0</v>
      </c>
      <c r="AG61" s="591">
        <f t="shared" ca="1" si="142"/>
        <v>0</v>
      </c>
      <c r="AH61" s="591">
        <f t="shared" ca="1" si="142"/>
        <v>0</v>
      </c>
      <c r="AI61" s="591">
        <f t="shared" ca="1" si="142"/>
        <v>0</v>
      </c>
      <c r="AJ61" s="591">
        <f t="shared" ca="1" si="142"/>
        <v>0</v>
      </c>
      <c r="AK61" s="592">
        <f t="shared" ca="1" si="143"/>
        <v>0</v>
      </c>
      <c r="AL61" s="6"/>
      <c r="AM61" s="593">
        <f t="shared" ca="1" si="144"/>
        <v>0</v>
      </c>
      <c r="AN61" s="593">
        <f t="shared" ca="1" si="144"/>
        <v>0</v>
      </c>
      <c r="AO61" s="593">
        <f t="shared" ca="1" si="144"/>
        <v>0</v>
      </c>
      <c r="AP61" s="593">
        <f t="shared" ca="1" si="144"/>
        <v>0</v>
      </c>
      <c r="AQ61" s="593">
        <f t="shared" ca="1" si="144"/>
        <v>0</v>
      </c>
      <c r="AR61" s="593">
        <f t="shared" ca="1" si="144"/>
        <v>0</v>
      </c>
      <c r="AS61" s="593">
        <f t="shared" ca="1" si="144"/>
        <v>0</v>
      </c>
      <c r="AT61" s="593">
        <f t="shared" ca="1" si="144"/>
        <v>0</v>
      </c>
      <c r="AU61" s="593">
        <f t="shared" ca="1" si="144"/>
        <v>0</v>
      </c>
      <c r="AV61" s="593">
        <f t="shared" ca="1" si="144"/>
        <v>0</v>
      </c>
      <c r="AW61" s="593">
        <f t="shared" ca="1" si="144"/>
        <v>0</v>
      </c>
      <c r="AX61" s="593">
        <f t="shared" ca="1" si="144"/>
        <v>0</v>
      </c>
      <c r="AY61" s="593">
        <f t="shared" ca="1" si="144"/>
        <v>0</v>
      </c>
      <c r="AZ61" s="593">
        <f t="shared" ca="1" si="144"/>
        <v>0</v>
      </c>
      <c r="BA61" s="593">
        <f t="shared" ca="1" si="144"/>
        <v>0</v>
      </c>
      <c r="BB61" s="593">
        <f t="shared" ca="1" si="144"/>
        <v>0</v>
      </c>
      <c r="BC61" s="593">
        <f t="shared" ca="1" si="145"/>
        <v>0</v>
      </c>
      <c r="BD61" s="593">
        <f t="shared" ca="1" si="145"/>
        <v>0</v>
      </c>
      <c r="BE61" s="593">
        <f t="shared" ca="1" si="145"/>
        <v>0</v>
      </c>
      <c r="BF61" s="609">
        <f t="shared" ca="1" si="146"/>
        <v>0</v>
      </c>
      <c r="BG61" s="6"/>
      <c r="BH61" s="3471">
        <f t="shared" ca="1" si="147"/>
        <v>0</v>
      </c>
      <c r="BI61" s="3471">
        <f t="shared" ca="1" si="147"/>
        <v>0</v>
      </c>
      <c r="BJ61" s="3460">
        <f t="shared" ca="1" si="148"/>
        <v>0</v>
      </c>
      <c r="BK61" s="6"/>
      <c r="BL61" s="610">
        <f t="shared" ca="1" si="138"/>
        <v>0</v>
      </c>
      <c r="BM61" s="610"/>
      <c r="BN61" s="413"/>
      <c r="BO61" s="2789">
        <f t="shared" ca="1" si="149"/>
        <v>0</v>
      </c>
      <c r="BP61" s="2790">
        <f t="shared" ca="1" si="149"/>
        <v>0</v>
      </c>
      <c r="BQ61" s="2790">
        <f t="shared" ca="1" si="149"/>
        <v>0</v>
      </c>
      <c r="BR61" s="2790">
        <f t="shared" ca="1" si="149"/>
        <v>0</v>
      </c>
      <c r="BS61" s="2790">
        <f t="shared" ca="1" si="149"/>
        <v>0</v>
      </c>
      <c r="BT61" s="2790">
        <f t="shared" ca="1" si="149"/>
        <v>0</v>
      </c>
      <c r="BU61" s="2790">
        <f t="shared" ca="1" si="149"/>
        <v>0</v>
      </c>
      <c r="BV61" s="2790">
        <f t="shared" ca="1" si="149"/>
        <v>0</v>
      </c>
      <c r="BW61" s="2790">
        <f t="shared" ca="1" si="149"/>
        <v>0</v>
      </c>
      <c r="BX61" s="2790">
        <f t="shared" ca="1" si="149"/>
        <v>0</v>
      </c>
      <c r="BY61" s="2790">
        <f t="shared" ca="1" si="150"/>
        <v>0</v>
      </c>
      <c r="BZ61" s="2790">
        <f t="shared" ca="1" si="150"/>
        <v>0</v>
      </c>
      <c r="CA61" s="2790">
        <f t="shared" ca="1" si="150"/>
        <v>0</v>
      </c>
      <c r="CB61" s="2790">
        <f t="shared" ca="1" si="150"/>
        <v>0</v>
      </c>
      <c r="CC61" s="2790">
        <f t="shared" ca="1" si="150"/>
        <v>0</v>
      </c>
      <c r="CD61" s="2790">
        <f t="shared" ca="1" si="150"/>
        <v>0</v>
      </c>
      <c r="CE61" s="2790">
        <f t="shared" ca="1" si="150"/>
        <v>0</v>
      </c>
      <c r="CF61" s="2790">
        <f t="shared" ca="1" si="150"/>
        <v>0</v>
      </c>
      <c r="CG61" s="2790">
        <f t="shared" ca="1" si="150"/>
        <v>0</v>
      </c>
      <c r="CH61" s="2790">
        <f t="shared" ca="1" si="150"/>
        <v>0</v>
      </c>
      <c r="CI61" s="2790">
        <f t="shared" ca="1" si="151"/>
        <v>0</v>
      </c>
      <c r="CJ61" s="2790">
        <f t="shared" ca="1" si="151"/>
        <v>0</v>
      </c>
      <c r="CK61" s="2790">
        <f t="shared" ca="1" si="151"/>
        <v>0</v>
      </c>
      <c r="CL61" s="2790">
        <f t="shared" ca="1" si="151"/>
        <v>0</v>
      </c>
      <c r="CM61" s="2790">
        <f t="shared" ca="1" si="151"/>
        <v>0</v>
      </c>
      <c r="CN61" s="2790">
        <f t="shared" ca="1" si="151"/>
        <v>0</v>
      </c>
      <c r="CO61" s="2790">
        <f t="shared" ca="1" si="151"/>
        <v>0</v>
      </c>
      <c r="CP61" s="2790">
        <f t="shared" ca="1" si="151"/>
        <v>0</v>
      </c>
      <c r="CQ61" s="2790">
        <f t="shared" ca="1" si="151"/>
        <v>0</v>
      </c>
      <c r="CR61" s="2790">
        <f t="shared" ca="1" si="151"/>
        <v>0</v>
      </c>
      <c r="CS61" s="2790">
        <f t="shared" ca="1" si="152"/>
        <v>0</v>
      </c>
      <c r="CT61" s="2790">
        <f t="shared" ca="1" si="152"/>
        <v>0</v>
      </c>
      <c r="CU61" s="2790">
        <f t="shared" ca="1" si="152"/>
        <v>0</v>
      </c>
      <c r="CV61" s="2790">
        <f t="shared" ca="1" si="152"/>
        <v>0</v>
      </c>
      <c r="CW61" s="2790">
        <f t="shared" ca="1" si="152"/>
        <v>0</v>
      </c>
      <c r="CX61" s="2790">
        <f t="shared" ca="1" si="152"/>
        <v>0</v>
      </c>
      <c r="CY61" s="2790">
        <f t="shared" ca="1" si="152"/>
        <v>0</v>
      </c>
      <c r="CZ61" s="2790">
        <f t="shared" ca="1" si="152"/>
        <v>0</v>
      </c>
      <c r="DA61" s="2790">
        <f t="shared" ca="1" si="152"/>
        <v>0</v>
      </c>
      <c r="DB61" s="2790">
        <f t="shared" ca="1" si="152"/>
        <v>0</v>
      </c>
      <c r="DC61" s="2790">
        <f t="shared" ca="1" si="152"/>
        <v>0</v>
      </c>
      <c r="DD61" s="2790">
        <f t="shared" ca="1" si="152"/>
        <v>0</v>
      </c>
      <c r="DE61" s="2790">
        <f t="shared" ca="1" si="152"/>
        <v>0</v>
      </c>
      <c r="DF61" s="2790">
        <f t="shared" ca="1" si="152"/>
        <v>0</v>
      </c>
      <c r="DH61" s="596">
        <f t="shared" ca="1" si="113"/>
        <v>0</v>
      </c>
    </row>
    <row r="62" spans="1:112" s="6" customFormat="1">
      <c r="A62" s="607"/>
      <c r="B62" s="607"/>
      <c r="C62" s="587" t="s">
        <v>530</v>
      </c>
      <c r="D62" s="611" t="s">
        <v>531</v>
      </c>
      <c r="E62" s="611"/>
      <c r="G62" s="619">
        <f t="shared" ca="1" si="140"/>
        <v>0</v>
      </c>
      <c r="H62" s="619">
        <f t="shared" ca="1" si="140"/>
        <v>0</v>
      </c>
      <c r="I62" s="619">
        <f t="shared" ca="1" si="140"/>
        <v>0</v>
      </c>
      <c r="J62" s="619">
        <f t="shared" ca="1" si="140"/>
        <v>0</v>
      </c>
      <c r="K62" s="619">
        <f t="shared" ca="1" si="140"/>
        <v>0</v>
      </c>
      <c r="L62" s="619">
        <f t="shared" ca="1" si="140"/>
        <v>0</v>
      </c>
      <c r="M62" s="619">
        <f t="shared" ca="1" si="140"/>
        <v>0</v>
      </c>
      <c r="N62" s="619">
        <f t="shared" ca="1" si="140"/>
        <v>0</v>
      </c>
      <c r="O62" s="619">
        <f t="shared" ca="1" si="140"/>
        <v>0</v>
      </c>
      <c r="P62" s="619">
        <f t="shared" ca="1" si="140"/>
        <v>0</v>
      </c>
      <c r="Q62" s="612">
        <f t="shared" ca="1" si="141"/>
        <v>0</v>
      </c>
      <c r="S62" s="620">
        <f t="shared" ca="1" si="142"/>
        <v>0</v>
      </c>
      <c r="T62" s="620">
        <f t="shared" ca="1" si="142"/>
        <v>0</v>
      </c>
      <c r="U62" s="620">
        <f t="shared" ca="1" si="142"/>
        <v>0</v>
      </c>
      <c r="V62" s="620">
        <f t="shared" ca="1" si="142"/>
        <v>0</v>
      </c>
      <c r="W62" s="620">
        <f t="shared" ca="1" si="142"/>
        <v>0</v>
      </c>
      <c r="X62" s="620">
        <f t="shared" ca="1" si="142"/>
        <v>0</v>
      </c>
      <c r="Y62" s="620">
        <f t="shared" ca="1" si="142"/>
        <v>0</v>
      </c>
      <c r="Z62" s="620">
        <f t="shared" ca="1" si="142"/>
        <v>0</v>
      </c>
      <c r="AA62" s="620">
        <f t="shared" ca="1" si="142"/>
        <v>0</v>
      </c>
      <c r="AB62" s="620">
        <f t="shared" ca="1" si="142"/>
        <v>0</v>
      </c>
      <c r="AC62" s="620">
        <f t="shared" ca="1" si="142"/>
        <v>0</v>
      </c>
      <c r="AD62" s="620">
        <f t="shared" ca="1" si="142"/>
        <v>0</v>
      </c>
      <c r="AE62" s="620">
        <f t="shared" ca="1" si="142"/>
        <v>0</v>
      </c>
      <c r="AF62" s="620">
        <f t="shared" ca="1" si="142"/>
        <v>0</v>
      </c>
      <c r="AG62" s="620">
        <f t="shared" ca="1" si="142"/>
        <v>0</v>
      </c>
      <c r="AH62" s="620">
        <f t="shared" ca="1" si="142"/>
        <v>0</v>
      </c>
      <c r="AI62" s="620">
        <f t="shared" ca="1" si="142"/>
        <v>0</v>
      </c>
      <c r="AJ62" s="620">
        <f t="shared" ca="1" si="142"/>
        <v>0</v>
      </c>
      <c r="AK62" s="613">
        <f t="shared" ca="1" si="143"/>
        <v>0</v>
      </c>
      <c r="AM62" s="621">
        <f t="shared" ca="1" si="144"/>
        <v>0</v>
      </c>
      <c r="AN62" s="621">
        <f t="shared" ca="1" si="144"/>
        <v>0</v>
      </c>
      <c r="AO62" s="621">
        <f t="shared" ca="1" si="144"/>
        <v>0</v>
      </c>
      <c r="AP62" s="621">
        <f t="shared" ca="1" si="144"/>
        <v>0</v>
      </c>
      <c r="AQ62" s="621">
        <f t="shared" ca="1" si="144"/>
        <v>0</v>
      </c>
      <c r="AR62" s="621">
        <f t="shared" ca="1" si="144"/>
        <v>0</v>
      </c>
      <c r="AS62" s="621">
        <f t="shared" ca="1" si="144"/>
        <v>0</v>
      </c>
      <c r="AT62" s="621">
        <f t="shared" ca="1" si="144"/>
        <v>0</v>
      </c>
      <c r="AU62" s="621">
        <f t="shared" ca="1" si="144"/>
        <v>0</v>
      </c>
      <c r="AV62" s="621">
        <f t="shared" ca="1" si="144"/>
        <v>0</v>
      </c>
      <c r="AW62" s="621">
        <f t="shared" ca="1" si="144"/>
        <v>0</v>
      </c>
      <c r="AX62" s="621">
        <f t="shared" ca="1" si="144"/>
        <v>0</v>
      </c>
      <c r="AY62" s="621">
        <f t="shared" ca="1" si="144"/>
        <v>0</v>
      </c>
      <c r="AZ62" s="621">
        <f t="shared" ca="1" si="144"/>
        <v>0</v>
      </c>
      <c r="BA62" s="621">
        <f t="shared" ca="1" si="144"/>
        <v>0</v>
      </c>
      <c r="BB62" s="621">
        <f t="shared" ca="1" si="144"/>
        <v>0</v>
      </c>
      <c r="BC62" s="621">
        <f t="shared" ca="1" si="145"/>
        <v>0</v>
      </c>
      <c r="BD62" s="621">
        <f t="shared" ca="1" si="145"/>
        <v>0</v>
      </c>
      <c r="BE62" s="621">
        <f t="shared" ca="1" si="145"/>
        <v>0</v>
      </c>
      <c r="BF62" s="615">
        <f t="shared" ca="1" si="146"/>
        <v>0</v>
      </c>
      <c r="BH62" s="3473">
        <f t="shared" ca="1" si="147"/>
        <v>0</v>
      </c>
      <c r="BI62" s="3473">
        <f t="shared" ca="1" si="147"/>
        <v>0</v>
      </c>
      <c r="BJ62" s="3462">
        <f t="shared" ca="1" si="148"/>
        <v>0</v>
      </c>
      <c r="BL62" s="610">
        <f t="shared" ca="1" si="138"/>
        <v>0</v>
      </c>
      <c r="BM62" s="610"/>
      <c r="BN62" s="413"/>
      <c r="BO62" s="2791">
        <f t="shared" ca="1" si="149"/>
        <v>0</v>
      </c>
      <c r="BP62" s="2792">
        <f t="shared" ca="1" si="149"/>
        <v>0</v>
      </c>
      <c r="BQ62" s="2792">
        <f t="shared" ca="1" si="149"/>
        <v>0</v>
      </c>
      <c r="BR62" s="2792">
        <f t="shared" ca="1" si="149"/>
        <v>0</v>
      </c>
      <c r="BS62" s="2792">
        <f t="shared" ca="1" si="149"/>
        <v>0</v>
      </c>
      <c r="BT62" s="2792">
        <f t="shared" ca="1" si="149"/>
        <v>0</v>
      </c>
      <c r="BU62" s="2792">
        <f t="shared" ca="1" si="149"/>
        <v>0</v>
      </c>
      <c r="BV62" s="2792">
        <f t="shared" ca="1" si="149"/>
        <v>0</v>
      </c>
      <c r="BW62" s="2792">
        <f t="shared" ca="1" si="149"/>
        <v>0</v>
      </c>
      <c r="BX62" s="2792">
        <f t="shared" ca="1" si="149"/>
        <v>0</v>
      </c>
      <c r="BY62" s="2792">
        <f t="shared" ca="1" si="150"/>
        <v>0</v>
      </c>
      <c r="BZ62" s="2792">
        <f t="shared" ca="1" si="150"/>
        <v>0</v>
      </c>
      <c r="CA62" s="2792">
        <f t="shared" ca="1" si="150"/>
        <v>0</v>
      </c>
      <c r="CB62" s="2792">
        <f t="shared" ca="1" si="150"/>
        <v>0</v>
      </c>
      <c r="CC62" s="2792">
        <f t="shared" ca="1" si="150"/>
        <v>0</v>
      </c>
      <c r="CD62" s="2792">
        <f t="shared" ca="1" si="150"/>
        <v>0</v>
      </c>
      <c r="CE62" s="2792">
        <f t="shared" ca="1" si="150"/>
        <v>0</v>
      </c>
      <c r="CF62" s="2792">
        <f t="shared" ca="1" si="150"/>
        <v>0</v>
      </c>
      <c r="CG62" s="2792">
        <f t="shared" ca="1" si="150"/>
        <v>0</v>
      </c>
      <c r="CH62" s="2792">
        <f t="shared" ca="1" si="150"/>
        <v>0</v>
      </c>
      <c r="CI62" s="2792">
        <f t="shared" ca="1" si="151"/>
        <v>0</v>
      </c>
      <c r="CJ62" s="2792">
        <f t="shared" ca="1" si="151"/>
        <v>0</v>
      </c>
      <c r="CK62" s="2792">
        <f t="shared" ca="1" si="151"/>
        <v>0</v>
      </c>
      <c r="CL62" s="2792">
        <f t="shared" ca="1" si="151"/>
        <v>0</v>
      </c>
      <c r="CM62" s="2792">
        <f t="shared" ca="1" si="151"/>
        <v>0</v>
      </c>
      <c r="CN62" s="2792">
        <f t="shared" ca="1" si="151"/>
        <v>0</v>
      </c>
      <c r="CO62" s="2792">
        <f t="shared" ca="1" si="151"/>
        <v>0</v>
      </c>
      <c r="CP62" s="2792">
        <f t="shared" ca="1" si="151"/>
        <v>0</v>
      </c>
      <c r="CQ62" s="2792">
        <f t="shared" ca="1" si="151"/>
        <v>0</v>
      </c>
      <c r="CR62" s="2792">
        <f t="shared" ca="1" si="151"/>
        <v>0</v>
      </c>
      <c r="CS62" s="2792">
        <f t="shared" ca="1" si="152"/>
        <v>0</v>
      </c>
      <c r="CT62" s="2792">
        <f t="shared" ca="1" si="152"/>
        <v>0</v>
      </c>
      <c r="CU62" s="2792">
        <f t="shared" ca="1" si="152"/>
        <v>0</v>
      </c>
      <c r="CV62" s="2792">
        <f t="shared" ca="1" si="152"/>
        <v>0</v>
      </c>
      <c r="CW62" s="2792">
        <f t="shared" ca="1" si="152"/>
        <v>0</v>
      </c>
      <c r="CX62" s="2792">
        <f t="shared" ca="1" si="152"/>
        <v>0</v>
      </c>
      <c r="CY62" s="2792">
        <f t="shared" ca="1" si="152"/>
        <v>0</v>
      </c>
      <c r="CZ62" s="2792">
        <f t="shared" ca="1" si="152"/>
        <v>0</v>
      </c>
      <c r="DA62" s="2792">
        <f t="shared" ca="1" si="152"/>
        <v>0</v>
      </c>
      <c r="DB62" s="2792">
        <f t="shared" ca="1" si="152"/>
        <v>0</v>
      </c>
      <c r="DC62" s="2792">
        <f t="shared" ca="1" si="152"/>
        <v>0</v>
      </c>
      <c r="DD62" s="2792">
        <f t="shared" ca="1" si="152"/>
        <v>0</v>
      </c>
      <c r="DE62" s="2792">
        <f t="shared" ca="1" si="152"/>
        <v>0</v>
      </c>
      <c r="DF62" s="2792">
        <f t="shared" ca="1" si="152"/>
        <v>0</v>
      </c>
      <c r="DH62" s="596">
        <f t="shared" ca="1" si="113"/>
        <v>0</v>
      </c>
    </row>
    <row r="63" spans="1:112" s="6" customFormat="1" ht="15.75">
      <c r="A63" s="4"/>
      <c r="B63" s="3"/>
      <c r="C63" s="616" t="s">
        <v>532</v>
      </c>
      <c r="D63" s="617" t="s">
        <v>533</v>
      </c>
      <c r="E63" s="206"/>
      <c r="G63" s="579">
        <f t="shared" ref="G63:P63" ca="1" si="153">SUM(G57:G62)</f>
        <v>0</v>
      </c>
      <c r="H63" s="579">
        <f t="shared" ca="1" si="153"/>
        <v>0</v>
      </c>
      <c r="I63" s="579">
        <f t="shared" ca="1" si="153"/>
        <v>0</v>
      </c>
      <c r="J63" s="579">
        <f t="shared" ca="1" si="153"/>
        <v>0</v>
      </c>
      <c r="K63" s="579">
        <f t="shared" ca="1" si="153"/>
        <v>0</v>
      </c>
      <c r="L63" s="579">
        <f t="shared" ca="1" si="153"/>
        <v>0</v>
      </c>
      <c r="M63" s="579">
        <f t="shared" ca="1" si="153"/>
        <v>0</v>
      </c>
      <c r="N63" s="579">
        <f t="shared" ca="1" si="153"/>
        <v>0</v>
      </c>
      <c r="O63" s="579">
        <f t="shared" ca="1" si="153"/>
        <v>0</v>
      </c>
      <c r="P63" s="579">
        <f t="shared" ca="1" si="153"/>
        <v>0</v>
      </c>
      <c r="Q63" s="618">
        <f t="shared" ca="1" si="141"/>
        <v>0</v>
      </c>
      <c r="S63" s="581">
        <f t="shared" ref="S63:AJ63" ca="1" si="154">SUM(S57:S62)</f>
        <v>0</v>
      </c>
      <c r="T63" s="581">
        <f t="shared" ca="1" si="154"/>
        <v>14.875113059999999</v>
      </c>
      <c r="U63" s="581">
        <f t="shared" ca="1" si="154"/>
        <v>0</v>
      </c>
      <c r="V63" s="581">
        <f t="shared" ca="1" si="154"/>
        <v>0</v>
      </c>
      <c r="W63" s="581">
        <f t="shared" ca="1" si="154"/>
        <v>0</v>
      </c>
      <c r="X63" s="581">
        <f t="shared" ca="1" si="154"/>
        <v>0</v>
      </c>
      <c r="Y63" s="581">
        <f t="shared" ca="1" si="154"/>
        <v>0</v>
      </c>
      <c r="Z63" s="581">
        <f t="shared" ca="1" si="154"/>
        <v>0</v>
      </c>
      <c r="AA63" s="581">
        <f t="shared" ca="1" si="154"/>
        <v>0</v>
      </c>
      <c r="AB63" s="581">
        <f t="shared" ca="1" si="154"/>
        <v>0</v>
      </c>
      <c r="AC63" s="581">
        <f t="shared" ca="1" si="154"/>
        <v>0</v>
      </c>
      <c r="AD63" s="581">
        <f t="shared" ca="1" si="154"/>
        <v>0</v>
      </c>
      <c r="AE63" s="581">
        <f ca="1">SUM(AE57:AE62)</f>
        <v>0</v>
      </c>
      <c r="AF63" s="581">
        <f t="shared" ca="1" si="154"/>
        <v>0</v>
      </c>
      <c r="AG63" s="581">
        <f t="shared" ca="1" si="154"/>
        <v>0</v>
      </c>
      <c r="AH63" s="581">
        <f ca="1">SUM(AH57:AH62)</f>
        <v>0</v>
      </c>
      <c r="AI63" s="581">
        <f t="shared" ca="1" si="154"/>
        <v>0</v>
      </c>
      <c r="AJ63" s="581">
        <f t="shared" ca="1" si="154"/>
        <v>0</v>
      </c>
      <c r="AK63" s="581">
        <f t="shared" ca="1" si="143"/>
        <v>14.875113059999999</v>
      </c>
      <c r="AM63" s="582">
        <f t="shared" ref="AM63:BE63" ca="1" si="155">SUM(AM57:AM62)</f>
        <v>0</v>
      </c>
      <c r="AN63" s="582">
        <f t="shared" ca="1" si="155"/>
        <v>0</v>
      </c>
      <c r="AO63" s="582">
        <f t="shared" ca="1" si="155"/>
        <v>0</v>
      </c>
      <c r="AP63" s="582">
        <f t="shared" ca="1" si="155"/>
        <v>0</v>
      </c>
      <c r="AQ63" s="582">
        <f t="shared" ca="1" si="155"/>
        <v>0</v>
      </c>
      <c r="AR63" s="582">
        <f t="shared" ca="1" si="155"/>
        <v>0</v>
      </c>
      <c r="AS63" s="582">
        <f t="shared" ca="1" si="155"/>
        <v>0</v>
      </c>
      <c r="AT63" s="582">
        <f t="shared" ca="1" si="155"/>
        <v>0</v>
      </c>
      <c r="AU63" s="582">
        <f t="shared" ca="1" si="155"/>
        <v>0</v>
      </c>
      <c r="AV63" s="582">
        <f t="shared" ca="1" si="155"/>
        <v>0</v>
      </c>
      <c r="AW63" s="582">
        <f t="shared" ca="1" si="155"/>
        <v>0</v>
      </c>
      <c r="AX63" s="582">
        <f t="shared" ca="1" si="155"/>
        <v>-13.379545799999999</v>
      </c>
      <c r="AY63" s="582">
        <f t="shared" ca="1" si="155"/>
        <v>-0.31557600000000013</v>
      </c>
      <c r="AZ63" s="582">
        <f t="shared" ca="1" si="155"/>
        <v>-0.39052530000000008</v>
      </c>
      <c r="BA63" s="582">
        <f t="shared" ca="1" si="155"/>
        <v>0</v>
      </c>
      <c r="BB63" s="582">
        <f t="shared" ca="1" si="155"/>
        <v>-0.78946596000000002</v>
      </c>
      <c r="BC63" s="582">
        <f t="shared" ca="1" si="155"/>
        <v>0</v>
      </c>
      <c r="BD63" s="582">
        <f t="shared" ca="1" si="155"/>
        <v>0</v>
      </c>
      <c r="BE63" s="582">
        <f t="shared" ca="1" si="155"/>
        <v>0</v>
      </c>
      <c r="BF63" s="582">
        <f t="shared" ca="1" si="146"/>
        <v>-14.875113059999999</v>
      </c>
      <c r="BH63" s="3463">
        <f ca="1">SUM(BH57:BH62)</f>
        <v>0</v>
      </c>
      <c r="BI63" s="3463">
        <f ca="1">SUM(BI57:BI62)</f>
        <v>0</v>
      </c>
      <c r="BJ63" s="3463">
        <f t="shared" ca="1" si="148"/>
        <v>0</v>
      </c>
      <c r="BL63" s="3477">
        <f t="shared" ca="1" si="138"/>
        <v>0</v>
      </c>
      <c r="BM63" s="584"/>
      <c r="BN63" s="413"/>
      <c r="BO63" s="2790">
        <f t="shared" ref="BO63:DF63" ca="1" si="156">SUM(BO57:BO62)</f>
        <v>0</v>
      </c>
      <c r="BP63" s="2790">
        <f t="shared" ca="1" si="156"/>
        <v>0</v>
      </c>
      <c r="BQ63" s="2790">
        <f t="shared" ca="1" si="156"/>
        <v>0</v>
      </c>
      <c r="BR63" s="2790">
        <f t="shared" ca="1" si="156"/>
        <v>0</v>
      </c>
      <c r="BS63" s="2790">
        <f t="shared" ca="1" si="156"/>
        <v>0</v>
      </c>
      <c r="BT63" s="2790">
        <f t="shared" ca="1" si="156"/>
        <v>0</v>
      </c>
      <c r="BU63" s="2790">
        <f t="shared" ca="1" si="156"/>
        <v>0</v>
      </c>
      <c r="BV63" s="2790">
        <f t="shared" ca="1" si="156"/>
        <v>0</v>
      </c>
      <c r="BW63" s="2790">
        <f t="shared" ca="1" si="156"/>
        <v>0</v>
      </c>
      <c r="BX63" s="2790">
        <f t="shared" ca="1" si="156"/>
        <v>0</v>
      </c>
      <c r="BY63" s="2790">
        <f t="shared" ca="1" si="156"/>
        <v>0</v>
      </c>
      <c r="BZ63" s="2790">
        <f t="shared" ca="1" si="156"/>
        <v>0</v>
      </c>
      <c r="CA63" s="2790">
        <f t="shared" ca="1" si="156"/>
        <v>0</v>
      </c>
      <c r="CB63" s="2790">
        <f t="shared" ca="1" si="156"/>
        <v>0</v>
      </c>
      <c r="CC63" s="2790">
        <f t="shared" ca="1" si="156"/>
        <v>0</v>
      </c>
      <c r="CD63" s="2790">
        <f t="shared" ca="1" si="156"/>
        <v>0</v>
      </c>
      <c r="CE63" s="2790">
        <f t="shared" ca="1" si="156"/>
        <v>0</v>
      </c>
      <c r="CF63" s="2790">
        <f t="shared" ca="1" si="156"/>
        <v>0</v>
      </c>
      <c r="CG63" s="2790">
        <f t="shared" ca="1" si="156"/>
        <v>0</v>
      </c>
      <c r="CH63" s="2790">
        <f t="shared" ca="1" si="156"/>
        <v>0</v>
      </c>
      <c r="CI63" s="2790">
        <f t="shared" ca="1" si="156"/>
        <v>0</v>
      </c>
      <c r="CJ63" s="2790">
        <f t="shared" ca="1" si="156"/>
        <v>0</v>
      </c>
      <c r="CK63" s="2790">
        <f t="shared" ca="1" si="156"/>
        <v>0</v>
      </c>
      <c r="CL63" s="2790">
        <f t="shared" ca="1" si="156"/>
        <v>0</v>
      </c>
      <c r="CM63" s="2790">
        <f t="shared" ca="1" si="156"/>
        <v>0</v>
      </c>
      <c r="CN63" s="2790">
        <f t="shared" ca="1" si="156"/>
        <v>0</v>
      </c>
      <c r="CO63" s="2790">
        <f t="shared" ca="1" si="156"/>
        <v>0</v>
      </c>
      <c r="CP63" s="2790">
        <f t="shared" ca="1" si="156"/>
        <v>0</v>
      </c>
      <c r="CQ63" s="2790">
        <f t="shared" ca="1" si="156"/>
        <v>0</v>
      </c>
      <c r="CR63" s="2790">
        <f t="shared" ca="1" si="156"/>
        <v>0</v>
      </c>
      <c r="CS63" s="2790">
        <f t="shared" ca="1" si="156"/>
        <v>0</v>
      </c>
      <c r="CT63" s="2790">
        <f t="shared" ca="1" si="156"/>
        <v>0</v>
      </c>
      <c r="CU63" s="2790">
        <f t="shared" ca="1" si="156"/>
        <v>0</v>
      </c>
      <c r="CV63" s="2790">
        <f t="shared" ca="1" si="156"/>
        <v>0</v>
      </c>
      <c r="CW63" s="2790">
        <f t="shared" ca="1" si="156"/>
        <v>0</v>
      </c>
      <c r="CX63" s="2790">
        <f t="shared" ca="1" si="156"/>
        <v>0</v>
      </c>
      <c r="CY63" s="2790">
        <f t="shared" ca="1" si="156"/>
        <v>0</v>
      </c>
      <c r="CZ63" s="2790">
        <f t="shared" ca="1" si="156"/>
        <v>0</v>
      </c>
      <c r="DA63" s="2790">
        <f t="shared" ca="1" si="156"/>
        <v>0</v>
      </c>
      <c r="DB63" s="2790">
        <f t="shared" ca="1" si="156"/>
        <v>0</v>
      </c>
      <c r="DC63" s="2790">
        <f t="shared" ca="1" si="156"/>
        <v>0</v>
      </c>
      <c r="DD63" s="2790">
        <f t="shared" ca="1" si="156"/>
        <v>0</v>
      </c>
      <c r="DE63" s="2790">
        <f t="shared" ca="1" si="156"/>
        <v>0</v>
      </c>
      <c r="DF63" s="2790">
        <f t="shared" ca="1" si="156"/>
        <v>0</v>
      </c>
      <c r="DH63" s="596">
        <f t="shared" ca="1" si="113"/>
        <v>0</v>
      </c>
    </row>
    <row r="64" spans="1:112" s="6" customFormat="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13"/>
        <v>0</v>
      </c>
    </row>
    <row r="65" spans="1:112" s="607" customFormat="1" ht="11.25">
      <c r="C65" s="587" t="s">
        <v>534</v>
      </c>
      <c r="D65" s="588" t="s">
        <v>535</v>
      </c>
      <c r="E65" s="588"/>
      <c r="G65" s="657">
        <f t="shared" ref="G65:P67" ca="1" si="157">IFERROR(INDEX(INDIRECT($C65&amp;".Outputs["&amp;this.Year&amp;"]"), MATCH(G$5, INDIRECT($C65&amp;".Outputs[Vector]"), 0)), 0)</f>
        <v>0</v>
      </c>
      <c r="H65" s="657">
        <f t="shared" ca="1" si="157"/>
        <v>0</v>
      </c>
      <c r="I65" s="657">
        <f t="shared" ca="1" si="157"/>
        <v>0</v>
      </c>
      <c r="J65" s="657">
        <f t="shared" ca="1" si="157"/>
        <v>0</v>
      </c>
      <c r="K65" s="658">
        <f t="shared" ca="1" si="157"/>
        <v>0</v>
      </c>
      <c r="L65" s="657">
        <f t="shared" ca="1" si="157"/>
        <v>0</v>
      </c>
      <c r="M65" s="657">
        <f t="shared" ca="1" si="157"/>
        <v>0</v>
      </c>
      <c r="N65" s="657">
        <f t="shared" ca="1" si="157"/>
        <v>0</v>
      </c>
      <c r="O65" s="657">
        <f t="shared" ca="1" si="157"/>
        <v>0</v>
      </c>
      <c r="P65" s="657">
        <f t="shared" ca="1" si="157"/>
        <v>0</v>
      </c>
      <c r="Q65" s="659">
        <f ca="1">SUM(G65:P65)</f>
        <v>0</v>
      </c>
      <c r="S65" s="660">
        <f t="shared" ref="S65:AJ67" ca="1" si="158">IFERROR(INDEX(INDIRECT($C65&amp;".Outputs["&amp;this.Year&amp;"]"), MATCH(S$5, INDIRECT($C65&amp;".Outputs[Vector]"), 0)), 0)</f>
        <v>0</v>
      </c>
      <c r="T65" s="660">
        <f t="shared" ca="1" si="158"/>
        <v>0.850302</v>
      </c>
      <c r="U65" s="660">
        <f t="shared" ca="1" si="158"/>
        <v>0</v>
      </c>
      <c r="V65" s="660">
        <f t="shared" ca="1" si="158"/>
        <v>0</v>
      </c>
      <c r="W65" s="660">
        <f t="shared" ca="1" si="158"/>
        <v>0</v>
      </c>
      <c r="X65" s="660">
        <f t="shared" ca="1" si="158"/>
        <v>0</v>
      </c>
      <c r="Y65" s="660">
        <f t="shared" ca="1" si="158"/>
        <v>0</v>
      </c>
      <c r="Z65" s="660">
        <f t="shared" ca="1" si="158"/>
        <v>0</v>
      </c>
      <c r="AA65" s="660">
        <f t="shared" ca="1" si="158"/>
        <v>0</v>
      </c>
      <c r="AB65" s="660">
        <f t="shared" ca="1" si="158"/>
        <v>0</v>
      </c>
      <c r="AC65" s="660">
        <f t="shared" ca="1" si="158"/>
        <v>0</v>
      </c>
      <c r="AD65" s="660">
        <f t="shared" ca="1" si="158"/>
        <v>0</v>
      </c>
      <c r="AE65" s="660">
        <f t="shared" ca="1" si="158"/>
        <v>0</v>
      </c>
      <c r="AF65" s="660">
        <f t="shared" ca="1" si="158"/>
        <v>0</v>
      </c>
      <c r="AG65" s="660">
        <f t="shared" ca="1" si="158"/>
        <v>0</v>
      </c>
      <c r="AH65" s="660">
        <f t="shared" ca="1" si="158"/>
        <v>0</v>
      </c>
      <c r="AI65" s="660">
        <f t="shared" ca="1" si="158"/>
        <v>0</v>
      </c>
      <c r="AJ65" s="660">
        <f t="shared" ca="1" si="158"/>
        <v>0</v>
      </c>
      <c r="AK65" s="661">
        <f ca="1">SUM(S65:AJ65)</f>
        <v>0.850302</v>
      </c>
      <c r="AM65" s="662">
        <f t="shared" ref="AM65:BB67" ca="1" si="159">IFERROR(INDEX(INDIRECT($C65&amp;".Outputs["&amp;this.Year&amp;"]"), MATCH(AM$5, INDIRECT($C65&amp;".Outputs[Vector]"), 0)), 0)</f>
        <v>0</v>
      </c>
      <c r="AN65" s="662">
        <f t="shared" ca="1" si="159"/>
        <v>0</v>
      </c>
      <c r="AO65" s="662">
        <f t="shared" ca="1" si="159"/>
        <v>0</v>
      </c>
      <c r="AP65" s="662">
        <f t="shared" ca="1" si="159"/>
        <v>0</v>
      </c>
      <c r="AQ65" s="662">
        <f t="shared" ca="1" si="159"/>
        <v>0</v>
      </c>
      <c r="AR65" s="662">
        <f t="shared" ca="1" si="159"/>
        <v>0</v>
      </c>
      <c r="AS65" s="662">
        <f t="shared" ca="1" si="159"/>
        <v>0</v>
      </c>
      <c r="AT65" s="662">
        <f t="shared" ca="1" si="159"/>
        <v>0</v>
      </c>
      <c r="AU65" s="662">
        <f t="shared" ca="1" si="159"/>
        <v>0</v>
      </c>
      <c r="AV65" s="662">
        <f t="shared" ca="1" si="159"/>
        <v>0</v>
      </c>
      <c r="AW65" s="662">
        <f t="shared" ca="1" si="159"/>
        <v>-0.850302</v>
      </c>
      <c r="AX65" s="662">
        <f t="shared" ca="1" si="159"/>
        <v>0</v>
      </c>
      <c r="AY65" s="662">
        <f t="shared" ca="1" si="159"/>
        <v>0</v>
      </c>
      <c r="AZ65" s="662">
        <f t="shared" ca="1" si="159"/>
        <v>0</v>
      </c>
      <c r="BA65" s="662">
        <f t="shared" ca="1" si="159"/>
        <v>0</v>
      </c>
      <c r="BB65" s="662">
        <f t="shared" ca="1" si="159"/>
        <v>0</v>
      </c>
      <c r="BC65" s="662">
        <f t="shared" ref="BC65:BE67" ca="1" si="160">IFERROR(INDEX(INDIRECT($C65&amp;".Outputs["&amp;this.Year&amp;"]"), MATCH(BC$5, INDIRECT($C65&amp;".Outputs[Vector]"), 0)), 0)</f>
        <v>0</v>
      </c>
      <c r="BD65" s="662">
        <f t="shared" ca="1" si="160"/>
        <v>0</v>
      </c>
      <c r="BE65" s="662">
        <f t="shared" ca="1" si="160"/>
        <v>0</v>
      </c>
      <c r="BF65" s="609">
        <f ca="1">SUM(AM65:BE65)</f>
        <v>-0.850302</v>
      </c>
      <c r="BH65" s="663">
        <f t="shared" ref="BH65:BI67" ca="1" si="161">IFERROR(INDEX(INDIRECT($C65&amp;".Outputs["&amp;this.Year&amp;"]"), MATCH(BH$5, INDIRECT($C65&amp;".Outputs[Vector]"), 0)), 0)</f>
        <v>0</v>
      </c>
      <c r="BI65" s="663">
        <f t="shared" ca="1" si="161"/>
        <v>0</v>
      </c>
      <c r="BJ65" s="664">
        <f ca="1">SUM(BH65:BI65)</f>
        <v>0</v>
      </c>
      <c r="BL65" s="610">
        <f t="shared" ref="BL65:BL72" ca="1" si="162">Q65+AK65+BF65+BJ65</f>
        <v>0</v>
      </c>
      <c r="BM65" s="610"/>
      <c r="BO65" s="665">
        <f t="shared" ref="BO65:DF67" ca="1" si="163">IFERROR(SUMIFS(INDIRECT($C65&amp;".Emissions["&amp;this.Year&amp;"]"), INDIRECT($C65&amp;".Emissions[GHG]"), BO$6, INDIRECT($C65&amp;".Emissions[IPCC Sector]"), BO$5),0)</f>
        <v>0</v>
      </c>
      <c r="BP65" s="665">
        <f t="shared" ca="1" si="163"/>
        <v>0</v>
      </c>
      <c r="BQ65" s="665">
        <f t="shared" ca="1" si="163"/>
        <v>0</v>
      </c>
      <c r="BR65" s="665">
        <f t="shared" ca="1" si="163"/>
        <v>0</v>
      </c>
      <c r="BS65" s="665">
        <f t="shared" ca="1" si="163"/>
        <v>0</v>
      </c>
      <c r="BT65" s="665">
        <f t="shared" ca="1" si="163"/>
        <v>0</v>
      </c>
      <c r="BU65" s="665">
        <f t="shared" ca="1" si="163"/>
        <v>0</v>
      </c>
      <c r="BV65" s="665">
        <f t="shared" ca="1" si="163"/>
        <v>0</v>
      </c>
      <c r="BW65" s="665">
        <f t="shared" ca="1" si="163"/>
        <v>0</v>
      </c>
      <c r="BX65" s="665">
        <f t="shared" ca="1" si="163"/>
        <v>0</v>
      </c>
      <c r="BY65" s="665">
        <f t="shared" ca="1" si="163"/>
        <v>0</v>
      </c>
      <c r="BZ65" s="665">
        <f t="shared" ca="1" si="163"/>
        <v>0</v>
      </c>
      <c r="CA65" s="665">
        <f t="shared" ca="1" si="163"/>
        <v>0</v>
      </c>
      <c r="CB65" s="665">
        <f t="shared" ca="1" si="163"/>
        <v>0</v>
      </c>
      <c r="CC65" s="665">
        <f t="shared" ca="1" si="163"/>
        <v>0</v>
      </c>
      <c r="CD65" s="665">
        <f t="shared" ca="1" si="163"/>
        <v>0</v>
      </c>
      <c r="CE65" s="665">
        <f t="shared" ca="1" si="163"/>
        <v>0</v>
      </c>
      <c r="CF65" s="665">
        <f t="shared" ca="1" si="163"/>
        <v>0</v>
      </c>
      <c r="CG65" s="665">
        <f t="shared" ca="1" si="163"/>
        <v>0</v>
      </c>
      <c r="CH65" s="665">
        <f t="shared" ca="1" si="163"/>
        <v>0</v>
      </c>
      <c r="CI65" s="665">
        <f t="shared" ca="1" si="163"/>
        <v>0</v>
      </c>
      <c r="CJ65" s="665">
        <f t="shared" ca="1" si="163"/>
        <v>0</v>
      </c>
      <c r="CK65" s="665">
        <f t="shared" ca="1" si="163"/>
        <v>0</v>
      </c>
      <c r="CL65" s="665">
        <f t="shared" ca="1" si="163"/>
        <v>0</v>
      </c>
      <c r="CM65" s="665">
        <f t="shared" ca="1" si="163"/>
        <v>0</v>
      </c>
      <c r="CN65" s="665">
        <f t="shared" ca="1" si="163"/>
        <v>0</v>
      </c>
      <c r="CO65" s="665">
        <f t="shared" ca="1" si="163"/>
        <v>0</v>
      </c>
      <c r="CP65" s="665">
        <f t="shared" ca="1" si="163"/>
        <v>0</v>
      </c>
      <c r="CQ65" s="665">
        <f t="shared" ca="1" si="163"/>
        <v>0</v>
      </c>
      <c r="CR65" s="665">
        <f t="shared" ca="1" si="163"/>
        <v>0</v>
      </c>
      <c r="CS65" s="665">
        <f t="shared" ca="1" si="163"/>
        <v>0</v>
      </c>
      <c r="CT65" s="665">
        <f t="shared" ca="1" si="163"/>
        <v>0</v>
      </c>
      <c r="CU65" s="665">
        <f t="shared" ca="1" si="163"/>
        <v>0</v>
      </c>
      <c r="CV65" s="665">
        <f t="shared" ca="1" si="163"/>
        <v>0</v>
      </c>
      <c r="CW65" s="665">
        <f t="shared" ca="1" si="163"/>
        <v>0</v>
      </c>
      <c r="CX65" s="665">
        <f t="shared" ca="1" si="163"/>
        <v>0</v>
      </c>
      <c r="CY65" s="665">
        <f t="shared" ca="1" si="163"/>
        <v>0</v>
      </c>
      <c r="CZ65" s="665">
        <f t="shared" ca="1" si="163"/>
        <v>0</v>
      </c>
      <c r="DA65" s="665">
        <f t="shared" ca="1" si="163"/>
        <v>0</v>
      </c>
      <c r="DB65" s="665">
        <f t="shared" ca="1" si="163"/>
        <v>0</v>
      </c>
      <c r="DC65" s="665">
        <f t="shared" ca="1" si="163"/>
        <v>0</v>
      </c>
      <c r="DD65" s="665">
        <f t="shared" ca="1" si="163"/>
        <v>0</v>
      </c>
      <c r="DE65" s="665">
        <f t="shared" ca="1" si="163"/>
        <v>0</v>
      </c>
      <c r="DF65" s="665">
        <f t="shared" ca="1" si="163"/>
        <v>0</v>
      </c>
      <c r="DH65" s="666">
        <f t="shared" ca="1" si="113"/>
        <v>0</v>
      </c>
    </row>
    <row r="66" spans="1:112" s="607" customFormat="1" ht="11.25">
      <c r="C66" s="587" t="s">
        <v>25</v>
      </c>
      <c r="D66" s="588" t="s">
        <v>26</v>
      </c>
      <c r="E66" s="588"/>
      <c r="G66" s="657">
        <f t="shared" ca="1" si="157"/>
        <v>0</v>
      </c>
      <c r="H66" s="657">
        <f t="shared" ca="1" si="157"/>
        <v>6.285240016524217E-2</v>
      </c>
      <c r="I66" s="657">
        <f t="shared" ca="1" si="157"/>
        <v>0</v>
      </c>
      <c r="J66" s="657">
        <f t="shared" ca="1" si="157"/>
        <v>0</v>
      </c>
      <c r="K66" s="658">
        <f t="shared" ca="1" si="157"/>
        <v>0</v>
      </c>
      <c r="L66" s="657">
        <f t="shared" ca="1" si="157"/>
        <v>0</v>
      </c>
      <c r="M66" s="657">
        <f t="shared" ca="1" si="157"/>
        <v>0</v>
      </c>
      <c r="N66" s="657">
        <f t="shared" ca="1" si="157"/>
        <v>0</v>
      </c>
      <c r="O66" s="657">
        <f t="shared" ca="1" si="157"/>
        <v>0</v>
      </c>
      <c r="P66" s="657">
        <f t="shared" ca="1" si="157"/>
        <v>0</v>
      </c>
      <c r="Q66" s="659">
        <f ca="1">SUM(G66:P66)</f>
        <v>6.285240016524217E-2</v>
      </c>
      <c r="S66" s="660">
        <f t="shared" ca="1" si="158"/>
        <v>-6.285240016524217E-2</v>
      </c>
      <c r="T66" s="660">
        <f t="shared" ca="1" si="158"/>
        <v>0</v>
      </c>
      <c r="U66" s="660">
        <f t="shared" ca="1" si="158"/>
        <v>0</v>
      </c>
      <c r="V66" s="660">
        <f t="shared" ca="1" si="158"/>
        <v>0</v>
      </c>
      <c r="W66" s="660">
        <f t="shared" ca="1" si="158"/>
        <v>0</v>
      </c>
      <c r="X66" s="660">
        <f t="shared" ca="1" si="158"/>
        <v>0</v>
      </c>
      <c r="Y66" s="660">
        <f t="shared" ca="1" si="158"/>
        <v>0</v>
      </c>
      <c r="Z66" s="660">
        <f t="shared" ca="1" si="158"/>
        <v>0</v>
      </c>
      <c r="AA66" s="660">
        <f t="shared" ca="1" si="158"/>
        <v>0</v>
      </c>
      <c r="AB66" s="660">
        <f t="shared" ca="1" si="158"/>
        <v>0</v>
      </c>
      <c r="AC66" s="660">
        <f t="shared" ca="1" si="158"/>
        <v>0</v>
      </c>
      <c r="AD66" s="660">
        <f t="shared" ca="1" si="158"/>
        <v>0</v>
      </c>
      <c r="AE66" s="660">
        <f t="shared" ca="1" si="158"/>
        <v>0</v>
      </c>
      <c r="AF66" s="660">
        <f t="shared" ca="1" si="158"/>
        <v>0</v>
      </c>
      <c r="AG66" s="660">
        <f t="shared" ca="1" si="158"/>
        <v>0</v>
      </c>
      <c r="AH66" s="660">
        <f t="shared" ca="1" si="158"/>
        <v>0</v>
      </c>
      <c r="AI66" s="660">
        <f t="shared" ca="1" si="158"/>
        <v>0.87993360231339046</v>
      </c>
      <c r="AJ66" s="660">
        <f t="shared" ca="1" si="158"/>
        <v>0</v>
      </c>
      <c r="AK66" s="661">
        <f ca="1">SUM(S66:AJ66)</f>
        <v>0.81708120214814828</v>
      </c>
      <c r="AM66" s="662">
        <f t="shared" ca="1" si="159"/>
        <v>0</v>
      </c>
      <c r="AN66" s="662">
        <f t="shared" ca="1" si="159"/>
        <v>0</v>
      </c>
      <c r="AO66" s="662">
        <f t="shared" ca="1" si="159"/>
        <v>0</v>
      </c>
      <c r="AP66" s="662">
        <f t="shared" ca="1" si="159"/>
        <v>0</v>
      </c>
      <c r="AQ66" s="662">
        <f t="shared" ca="1" si="159"/>
        <v>0</v>
      </c>
      <c r="AR66" s="662">
        <f t="shared" ca="1" si="159"/>
        <v>0</v>
      </c>
      <c r="AS66" s="662">
        <f t="shared" ca="1" si="159"/>
        <v>0</v>
      </c>
      <c r="AT66" s="662">
        <f t="shared" ca="1" si="159"/>
        <v>0</v>
      </c>
      <c r="AU66" s="662">
        <f t="shared" ca="1" si="159"/>
        <v>0</v>
      </c>
      <c r="AV66" s="662">
        <f t="shared" ca="1" si="159"/>
        <v>0</v>
      </c>
      <c r="AW66" s="662">
        <f t="shared" ca="1" si="159"/>
        <v>-0.87993360231339046</v>
      </c>
      <c r="AX66" s="662">
        <f t="shared" ca="1" si="159"/>
        <v>0</v>
      </c>
      <c r="AY66" s="662">
        <f t="shared" ca="1" si="159"/>
        <v>0</v>
      </c>
      <c r="AZ66" s="662">
        <f t="shared" ca="1" si="159"/>
        <v>0</v>
      </c>
      <c r="BA66" s="662">
        <f t="shared" ca="1" si="159"/>
        <v>0</v>
      </c>
      <c r="BB66" s="662">
        <f t="shared" ca="1" si="159"/>
        <v>0</v>
      </c>
      <c r="BC66" s="662">
        <f t="shared" ca="1" si="160"/>
        <v>0</v>
      </c>
      <c r="BD66" s="662">
        <f t="shared" ca="1" si="160"/>
        <v>0</v>
      </c>
      <c r="BE66" s="662">
        <f t="shared" ca="1" si="160"/>
        <v>0</v>
      </c>
      <c r="BF66" s="609">
        <f ca="1">SUM(AM66:BE66)</f>
        <v>-0.87993360231339046</v>
      </c>
      <c r="BH66" s="663">
        <f t="shared" ca="1" si="161"/>
        <v>0</v>
      </c>
      <c r="BI66" s="663">
        <f t="shared" ca="1" si="161"/>
        <v>0</v>
      </c>
      <c r="BJ66" s="664">
        <f ca="1">SUM(BH66:BI66)</f>
        <v>0</v>
      </c>
      <c r="BL66" s="610">
        <f t="shared" ca="1" si="162"/>
        <v>0</v>
      </c>
      <c r="BM66" s="610"/>
      <c r="BO66" s="665">
        <f t="shared" ca="1" si="163"/>
        <v>0</v>
      </c>
      <c r="BP66" s="665">
        <f t="shared" ca="1" si="163"/>
        <v>0</v>
      </c>
      <c r="BQ66" s="665">
        <f t="shared" ca="1" si="163"/>
        <v>0</v>
      </c>
      <c r="BR66" s="665">
        <f t="shared" ca="1" si="163"/>
        <v>0</v>
      </c>
      <c r="BS66" s="665">
        <f t="shared" ca="1" si="163"/>
        <v>0</v>
      </c>
      <c r="BT66" s="665">
        <f t="shared" ca="1" si="163"/>
        <v>0</v>
      </c>
      <c r="BU66" s="665">
        <f t="shared" ca="1" si="163"/>
        <v>0</v>
      </c>
      <c r="BV66" s="665">
        <f t="shared" ca="1" si="163"/>
        <v>0</v>
      </c>
      <c r="BW66" s="665">
        <f t="shared" ca="1" si="163"/>
        <v>0</v>
      </c>
      <c r="BX66" s="665">
        <f t="shared" ca="1" si="163"/>
        <v>0</v>
      </c>
      <c r="BY66" s="665">
        <f t="shared" ca="1" si="163"/>
        <v>0</v>
      </c>
      <c r="BZ66" s="665">
        <f t="shared" ca="1" si="163"/>
        <v>0</v>
      </c>
      <c r="CA66" s="665">
        <f t="shared" ca="1" si="163"/>
        <v>0</v>
      </c>
      <c r="CB66" s="665">
        <f t="shared" ca="1" si="163"/>
        <v>0</v>
      </c>
      <c r="CC66" s="665">
        <f t="shared" ca="1" si="163"/>
        <v>0</v>
      </c>
      <c r="CD66" s="665">
        <f t="shared" ca="1" si="163"/>
        <v>0</v>
      </c>
      <c r="CE66" s="665">
        <f t="shared" ca="1" si="163"/>
        <v>0</v>
      </c>
      <c r="CF66" s="665">
        <f t="shared" ca="1" si="163"/>
        <v>0</v>
      </c>
      <c r="CG66" s="665">
        <f t="shared" ca="1" si="163"/>
        <v>0</v>
      </c>
      <c r="CH66" s="665">
        <f t="shared" ca="1" si="163"/>
        <v>0</v>
      </c>
      <c r="CI66" s="665">
        <f t="shared" ca="1" si="163"/>
        <v>0</v>
      </c>
      <c r="CJ66" s="665">
        <f t="shared" ca="1" si="163"/>
        <v>0</v>
      </c>
      <c r="CK66" s="665">
        <f t="shared" ca="1" si="163"/>
        <v>0</v>
      </c>
      <c r="CL66" s="665">
        <f t="shared" ca="1" si="163"/>
        <v>0</v>
      </c>
      <c r="CM66" s="665">
        <f t="shared" ca="1" si="163"/>
        <v>0</v>
      </c>
      <c r="CN66" s="665">
        <f t="shared" ca="1" si="163"/>
        <v>0</v>
      </c>
      <c r="CO66" s="665">
        <f t="shared" ca="1" si="163"/>
        <v>0</v>
      </c>
      <c r="CP66" s="665">
        <f t="shared" ca="1" si="163"/>
        <v>0</v>
      </c>
      <c r="CQ66" s="665">
        <f t="shared" ca="1" si="163"/>
        <v>0</v>
      </c>
      <c r="CR66" s="665">
        <f t="shared" ca="1" si="163"/>
        <v>0</v>
      </c>
      <c r="CS66" s="665">
        <f t="shared" ca="1" si="163"/>
        <v>0</v>
      </c>
      <c r="CT66" s="665">
        <f t="shared" ca="1" si="163"/>
        <v>0</v>
      </c>
      <c r="CU66" s="665">
        <f t="shared" ca="1" si="163"/>
        <v>0</v>
      </c>
      <c r="CV66" s="665">
        <f t="shared" ca="1" si="163"/>
        <v>0</v>
      </c>
      <c r="CW66" s="665">
        <f t="shared" ca="1" si="163"/>
        <v>0</v>
      </c>
      <c r="CX66" s="665">
        <f t="shared" ca="1" si="163"/>
        <v>0</v>
      </c>
      <c r="CY66" s="665">
        <f t="shared" ca="1" si="163"/>
        <v>0</v>
      </c>
      <c r="CZ66" s="665">
        <f t="shared" ca="1" si="163"/>
        <v>0</v>
      </c>
      <c r="DA66" s="665">
        <f t="shared" ca="1" si="163"/>
        <v>0</v>
      </c>
      <c r="DB66" s="665">
        <f t="shared" ca="1" si="163"/>
        <v>0</v>
      </c>
      <c r="DC66" s="665">
        <f t="shared" ca="1" si="163"/>
        <v>0</v>
      </c>
      <c r="DD66" s="665">
        <f t="shared" ca="1" si="163"/>
        <v>0</v>
      </c>
      <c r="DE66" s="665">
        <f t="shared" ca="1" si="163"/>
        <v>0</v>
      </c>
      <c r="DF66" s="665">
        <f t="shared" ca="1" si="163"/>
        <v>0</v>
      </c>
      <c r="DH66" s="666">
        <f t="shared" ca="1" si="113"/>
        <v>0</v>
      </c>
    </row>
    <row r="67" spans="1:112" s="607" customFormat="1">
      <c r="C67" s="587" t="s">
        <v>536</v>
      </c>
      <c r="D67" s="611" t="s">
        <v>537</v>
      </c>
      <c r="E67" s="611"/>
      <c r="F67" s="6"/>
      <c r="G67" s="619">
        <f t="shared" ca="1" si="157"/>
        <v>0</v>
      </c>
      <c r="H67" s="619">
        <f t="shared" ca="1" si="157"/>
        <v>0</v>
      </c>
      <c r="I67" s="619">
        <f t="shared" ca="1" si="157"/>
        <v>0</v>
      </c>
      <c r="J67" s="619">
        <f t="shared" ca="1" si="157"/>
        <v>0</v>
      </c>
      <c r="K67" s="619">
        <f t="shared" ca="1" si="157"/>
        <v>0</v>
      </c>
      <c r="L67" s="619">
        <f t="shared" ca="1" si="157"/>
        <v>0</v>
      </c>
      <c r="M67" s="619">
        <f t="shared" ca="1" si="157"/>
        <v>0</v>
      </c>
      <c r="N67" s="619">
        <f t="shared" ca="1" si="157"/>
        <v>0</v>
      </c>
      <c r="O67" s="619">
        <f t="shared" ca="1" si="157"/>
        <v>0</v>
      </c>
      <c r="P67" s="619">
        <f t="shared" ca="1" si="157"/>
        <v>0</v>
      </c>
      <c r="Q67" s="612">
        <f ca="1">SUM(G67:P67)</f>
        <v>0</v>
      </c>
      <c r="R67" s="6"/>
      <c r="S67" s="620">
        <f t="shared" ca="1" si="158"/>
        <v>0</v>
      </c>
      <c r="T67" s="620">
        <f t="shared" ca="1" si="158"/>
        <v>0.21038399999999999</v>
      </c>
      <c r="U67" s="620">
        <f t="shared" ca="1" si="158"/>
        <v>0</v>
      </c>
      <c r="V67" s="620">
        <f t="shared" ca="1" si="158"/>
        <v>0</v>
      </c>
      <c r="W67" s="620">
        <f t="shared" ca="1" si="158"/>
        <v>0</v>
      </c>
      <c r="X67" s="620">
        <f t="shared" ca="1" si="158"/>
        <v>0</v>
      </c>
      <c r="Y67" s="620">
        <f t="shared" ca="1" si="158"/>
        <v>0</v>
      </c>
      <c r="Z67" s="620">
        <f t="shared" ca="1" si="158"/>
        <v>0</v>
      </c>
      <c r="AA67" s="620">
        <f t="shared" ca="1" si="158"/>
        <v>0</v>
      </c>
      <c r="AB67" s="620">
        <f t="shared" ca="1" si="158"/>
        <v>0</v>
      </c>
      <c r="AC67" s="620">
        <f t="shared" ca="1" si="158"/>
        <v>0</v>
      </c>
      <c r="AD67" s="620">
        <f t="shared" ca="1" si="158"/>
        <v>0</v>
      </c>
      <c r="AE67" s="620">
        <f t="shared" ca="1" si="158"/>
        <v>0</v>
      </c>
      <c r="AF67" s="620">
        <f t="shared" ca="1" si="158"/>
        <v>0</v>
      </c>
      <c r="AG67" s="620">
        <f t="shared" ca="1" si="158"/>
        <v>0</v>
      </c>
      <c r="AH67" s="620">
        <f t="shared" ca="1" si="158"/>
        <v>0</v>
      </c>
      <c r="AI67" s="620">
        <f t="shared" ca="1" si="158"/>
        <v>0</v>
      </c>
      <c r="AJ67" s="620">
        <f t="shared" ca="1" si="158"/>
        <v>0</v>
      </c>
      <c r="AK67" s="613">
        <f ca="1">SUM(S67:AJ67)</f>
        <v>0.21038399999999999</v>
      </c>
      <c r="AL67" s="6"/>
      <c r="AM67" s="621">
        <f t="shared" ca="1" si="159"/>
        <v>0</v>
      </c>
      <c r="AN67" s="621">
        <f t="shared" ca="1" si="159"/>
        <v>0</v>
      </c>
      <c r="AO67" s="621">
        <f t="shared" ca="1" si="159"/>
        <v>0</v>
      </c>
      <c r="AP67" s="621">
        <f t="shared" ca="1" si="159"/>
        <v>0</v>
      </c>
      <c r="AQ67" s="621">
        <f t="shared" ca="1" si="159"/>
        <v>0</v>
      </c>
      <c r="AR67" s="621">
        <f t="shared" ca="1" si="159"/>
        <v>0</v>
      </c>
      <c r="AS67" s="621">
        <f t="shared" ca="1" si="159"/>
        <v>0</v>
      </c>
      <c r="AT67" s="621">
        <f t="shared" ca="1" si="159"/>
        <v>0</v>
      </c>
      <c r="AU67" s="621">
        <f t="shared" ca="1" si="159"/>
        <v>0</v>
      </c>
      <c r="AV67" s="621">
        <f t="shared" ca="1" si="159"/>
        <v>0</v>
      </c>
      <c r="AW67" s="621">
        <f t="shared" ca="1" si="159"/>
        <v>0</v>
      </c>
      <c r="AX67" s="621">
        <f t="shared" ca="1" si="159"/>
        <v>-0.21038399999999999</v>
      </c>
      <c r="AY67" s="621">
        <f t="shared" ca="1" si="159"/>
        <v>0</v>
      </c>
      <c r="AZ67" s="621">
        <f t="shared" ca="1" si="159"/>
        <v>0</v>
      </c>
      <c r="BA67" s="621">
        <f t="shared" ca="1" si="159"/>
        <v>0</v>
      </c>
      <c r="BB67" s="621">
        <f t="shared" ca="1" si="159"/>
        <v>0</v>
      </c>
      <c r="BC67" s="621">
        <f t="shared" ca="1" si="160"/>
        <v>0</v>
      </c>
      <c r="BD67" s="621">
        <f t="shared" ca="1" si="160"/>
        <v>0</v>
      </c>
      <c r="BE67" s="621">
        <f t="shared" ca="1" si="160"/>
        <v>0</v>
      </c>
      <c r="BF67" s="615">
        <f ca="1">SUM(AM67:BE67)</f>
        <v>-0.21038399999999999</v>
      </c>
      <c r="BG67" s="6"/>
      <c r="BH67" s="3473">
        <f t="shared" ca="1" si="161"/>
        <v>0</v>
      </c>
      <c r="BI67" s="3473">
        <f t="shared" ca="1" si="161"/>
        <v>0</v>
      </c>
      <c r="BJ67" s="3462">
        <f ca="1">SUM(BH67:BI67)</f>
        <v>0</v>
      </c>
      <c r="BK67" s="6"/>
      <c r="BL67" s="610">
        <f t="shared" ca="1" si="162"/>
        <v>0</v>
      </c>
      <c r="BM67" s="610"/>
      <c r="BN67" s="413"/>
      <c r="BO67" s="2791">
        <f t="shared" ca="1" si="163"/>
        <v>0</v>
      </c>
      <c r="BP67" s="2792">
        <f t="shared" ca="1" si="163"/>
        <v>0</v>
      </c>
      <c r="BQ67" s="2792">
        <f t="shared" ca="1" si="163"/>
        <v>0</v>
      </c>
      <c r="BR67" s="2792">
        <f t="shared" ca="1" si="163"/>
        <v>0</v>
      </c>
      <c r="BS67" s="2792">
        <f t="shared" ca="1" si="163"/>
        <v>0</v>
      </c>
      <c r="BT67" s="2792">
        <f t="shared" ca="1" si="163"/>
        <v>0</v>
      </c>
      <c r="BU67" s="2792">
        <f t="shared" ca="1" si="163"/>
        <v>0</v>
      </c>
      <c r="BV67" s="2792">
        <f t="shared" ca="1" si="163"/>
        <v>0</v>
      </c>
      <c r="BW67" s="2792">
        <f t="shared" ca="1" si="163"/>
        <v>0</v>
      </c>
      <c r="BX67" s="2792">
        <f t="shared" ca="1" si="163"/>
        <v>0</v>
      </c>
      <c r="BY67" s="2792">
        <f t="shared" ca="1" si="163"/>
        <v>0</v>
      </c>
      <c r="BZ67" s="2792">
        <f t="shared" ca="1" si="163"/>
        <v>0</v>
      </c>
      <c r="CA67" s="2792">
        <f t="shared" ca="1" si="163"/>
        <v>0</v>
      </c>
      <c r="CB67" s="2792">
        <f t="shared" ca="1" si="163"/>
        <v>0</v>
      </c>
      <c r="CC67" s="2792">
        <f t="shared" ca="1" si="163"/>
        <v>0</v>
      </c>
      <c r="CD67" s="2792">
        <f t="shared" ca="1" si="163"/>
        <v>0</v>
      </c>
      <c r="CE67" s="2792">
        <f t="shared" ca="1" si="163"/>
        <v>0</v>
      </c>
      <c r="CF67" s="2792">
        <f t="shared" ca="1" si="163"/>
        <v>0</v>
      </c>
      <c r="CG67" s="2792">
        <f t="shared" ca="1" si="163"/>
        <v>0</v>
      </c>
      <c r="CH67" s="2792">
        <f t="shared" ca="1" si="163"/>
        <v>0</v>
      </c>
      <c r="CI67" s="2792">
        <f t="shared" ca="1" si="163"/>
        <v>0</v>
      </c>
      <c r="CJ67" s="2792">
        <f t="shared" ca="1" si="163"/>
        <v>0</v>
      </c>
      <c r="CK67" s="2792">
        <f t="shared" ca="1" si="163"/>
        <v>0</v>
      </c>
      <c r="CL67" s="2792">
        <f t="shared" ca="1" si="163"/>
        <v>0</v>
      </c>
      <c r="CM67" s="2792">
        <f t="shared" ca="1" si="163"/>
        <v>0</v>
      </c>
      <c r="CN67" s="2792">
        <f t="shared" ca="1" si="163"/>
        <v>0</v>
      </c>
      <c r="CO67" s="2792">
        <f t="shared" ca="1" si="163"/>
        <v>0</v>
      </c>
      <c r="CP67" s="2792">
        <f t="shared" ca="1" si="163"/>
        <v>0</v>
      </c>
      <c r="CQ67" s="2792">
        <f t="shared" ca="1" si="163"/>
        <v>0</v>
      </c>
      <c r="CR67" s="2792">
        <f t="shared" ca="1" si="163"/>
        <v>0</v>
      </c>
      <c r="CS67" s="2792">
        <f t="shared" ca="1" si="163"/>
        <v>0</v>
      </c>
      <c r="CT67" s="2792">
        <f t="shared" ca="1" si="163"/>
        <v>0</v>
      </c>
      <c r="CU67" s="2792">
        <f t="shared" ca="1" si="163"/>
        <v>0</v>
      </c>
      <c r="CV67" s="2792">
        <f t="shared" ca="1" si="163"/>
        <v>0</v>
      </c>
      <c r="CW67" s="2792">
        <f t="shared" ca="1" si="163"/>
        <v>0</v>
      </c>
      <c r="CX67" s="2792">
        <f t="shared" ca="1" si="163"/>
        <v>0</v>
      </c>
      <c r="CY67" s="2792">
        <f t="shared" ca="1" si="163"/>
        <v>0</v>
      </c>
      <c r="CZ67" s="2792">
        <f t="shared" ca="1" si="163"/>
        <v>0</v>
      </c>
      <c r="DA67" s="2792">
        <f t="shared" ca="1" si="163"/>
        <v>0</v>
      </c>
      <c r="DB67" s="2792">
        <f t="shared" ca="1" si="163"/>
        <v>0</v>
      </c>
      <c r="DC67" s="2792">
        <f t="shared" ca="1" si="163"/>
        <v>0</v>
      </c>
      <c r="DD67" s="2792">
        <f t="shared" ca="1" si="163"/>
        <v>0</v>
      </c>
      <c r="DE67" s="2792">
        <f t="shared" ca="1" si="163"/>
        <v>0</v>
      </c>
      <c r="DF67" s="2792">
        <f t="shared" ca="1" si="163"/>
        <v>0</v>
      </c>
      <c r="DH67" s="596">
        <f t="shared" ca="1" si="113"/>
        <v>0</v>
      </c>
    </row>
    <row r="68" spans="1:112" s="6" customFormat="1" ht="15.75">
      <c r="A68" s="4"/>
      <c r="B68" s="3"/>
      <c r="C68" s="616" t="s">
        <v>538</v>
      </c>
      <c r="D68" s="617" t="s">
        <v>539</v>
      </c>
      <c r="E68" s="206"/>
      <c r="G68" s="618">
        <f ca="1">SUM(G65:G67)</f>
        <v>0</v>
      </c>
      <c r="H68" s="618">
        <f t="shared" ref="H68:P68" ca="1" si="164">SUM(H65:H67)</f>
        <v>6.285240016524217E-2</v>
      </c>
      <c r="I68" s="618">
        <f t="shared" ca="1" si="164"/>
        <v>0</v>
      </c>
      <c r="J68" s="618">
        <f t="shared" ca="1" si="164"/>
        <v>0</v>
      </c>
      <c r="K68" s="618">
        <f t="shared" ca="1" si="164"/>
        <v>0</v>
      </c>
      <c r="L68" s="618">
        <f t="shared" ca="1" si="164"/>
        <v>0</v>
      </c>
      <c r="M68" s="618">
        <f t="shared" ca="1" si="164"/>
        <v>0</v>
      </c>
      <c r="N68" s="618">
        <f t="shared" ca="1" si="164"/>
        <v>0</v>
      </c>
      <c r="O68" s="618">
        <f t="shared" ca="1" si="164"/>
        <v>0</v>
      </c>
      <c r="P68" s="618">
        <f t="shared" ca="1" si="164"/>
        <v>0</v>
      </c>
      <c r="Q68" s="618">
        <f ca="1">SUM(G68:P68)</f>
        <v>6.285240016524217E-2</v>
      </c>
      <c r="S68" s="581">
        <f t="shared" ref="S68:AJ68" ca="1" si="165">SUM(S65:S67)</f>
        <v>-6.285240016524217E-2</v>
      </c>
      <c r="T68" s="581">
        <f t="shared" ca="1" si="165"/>
        <v>1.060686</v>
      </c>
      <c r="U68" s="581">
        <f t="shared" ca="1" si="165"/>
        <v>0</v>
      </c>
      <c r="V68" s="581">
        <f t="shared" ca="1" si="165"/>
        <v>0</v>
      </c>
      <c r="W68" s="581">
        <f t="shared" ca="1" si="165"/>
        <v>0</v>
      </c>
      <c r="X68" s="581">
        <f t="shared" ca="1" si="165"/>
        <v>0</v>
      </c>
      <c r="Y68" s="581">
        <f t="shared" ca="1" si="165"/>
        <v>0</v>
      </c>
      <c r="Z68" s="581">
        <f t="shared" ca="1" si="165"/>
        <v>0</v>
      </c>
      <c r="AA68" s="581">
        <f t="shared" ca="1" si="165"/>
        <v>0</v>
      </c>
      <c r="AB68" s="581">
        <f t="shared" ca="1" si="165"/>
        <v>0</v>
      </c>
      <c r="AC68" s="581">
        <f t="shared" ca="1" si="165"/>
        <v>0</v>
      </c>
      <c r="AD68" s="581">
        <f t="shared" ca="1" si="165"/>
        <v>0</v>
      </c>
      <c r="AE68" s="581">
        <f ca="1">SUM(AE65:AE67)</f>
        <v>0</v>
      </c>
      <c r="AF68" s="581">
        <f t="shared" ca="1" si="165"/>
        <v>0</v>
      </c>
      <c r="AG68" s="581">
        <f t="shared" ca="1" si="165"/>
        <v>0</v>
      </c>
      <c r="AH68" s="581">
        <f ca="1">SUM(AH65:AH67)</f>
        <v>0</v>
      </c>
      <c r="AI68" s="581">
        <f t="shared" ca="1" si="165"/>
        <v>0.87993360231339046</v>
      </c>
      <c r="AJ68" s="581">
        <f t="shared" ca="1" si="165"/>
        <v>0</v>
      </c>
      <c r="AK68" s="581">
        <f ca="1">SUM(S68:AJ68)</f>
        <v>1.8777672021481484</v>
      </c>
      <c r="AM68" s="582">
        <f t="shared" ref="AM68:BE68" ca="1" si="166">SUM(AM65:AM67)</f>
        <v>0</v>
      </c>
      <c r="AN68" s="582">
        <f t="shared" ca="1" si="166"/>
        <v>0</v>
      </c>
      <c r="AO68" s="582">
        <f t="shared" ca="1" si="166"/>
        <v>0</v>
      </c>
      <c r="AP68" s="582">
        <f t="shared" ca="1" si="166"/>
        <v>0</v>
      </c>
      <c r="AQ68" s="582">
        <f t="shared" ca="1" si="166"/>
        <v>0</v>
      </c>
      <c r="AR68" s="582">
        <f t="shared" ca="1" si="166"/>
        <v>0</v>
      </c>
      <c r="AS68" s="582">
        <f t="shared" ca="1" si="166"/>
        <v>0</v>
      </c>
      <c r="AT68" s="582">
        <f t="shared" ca="1" si="166"/>
        <v>0</v>
      </c>
      <c r="AU68" s="582">
        <f t="shared" ca="1" si="166"/>
        <v>0</v>
      </c>
      <c r="AV68" s="582">
        <f t="shared" ca="1" si="166"/>
        <v>0</v>
      </c>
      <c r="AW68" s="582">
        <f t="shared" ca="1" si="166"/>
        <v>-1.7302356023133905</v>
      </c>
      <c r="AX68" s="582">
        <f t="shared" ca="1" si="166"/>
        <v>-0.21038399999999999</v>
      </c>
      <c r="AY68" s="582">
        <f t="shared" ca="1" si="166"/>
        <v>0</v>
      </c>
      <c r="AZ68" s="582">
        <f t="shared" ca="1" si="166"/>
        <v>0</v>
      </c>
      <c r="BA68" s="582">
        <f t="shared" ca="1" si="166"/>
        <v>0</v>
      </c>
      <c r="BB68" s="582">
        <f t="shared" ca="1" si="166"/>
        <v>0</v>
      </c>
      <c r="BC68" s="582">
        <f t="shared" ca="1" si="166"/>
        <v>0</v>
      </c>
      <c r="BD68" s="582">
        <f t="shared" ca="1" si="166"/>
        <v>0</v>
      </c>
      <c r="BE68" s="582">
        <f t="shared" ca="1" si="166"/>
        <v>0</v>
      </c>
      <c r="BF68" s="582">
        <f ca="1">SUM(AM68:BE68)</f>
        <v>-1.9406196023133904</v>
      </c>
      <c r="BH68" s="3463">
        <f ca="1">SUM(BH65:BH67)</f>
        <v>0</v>
      </c>
      <c r="BI68" s="3463">
        <f ca="1">SUM(BI65:BI67)</f>
        <v>0</v>
      </c>
      <c r="BJ68" s="3463">
        <f ca="1">SUM(BH68:BI68)</f>
        <v>0</v>
      </c>
      <c r="BL68" s="3477">
        <f t="shared" ca="1" si="162"/>
        <v>2.2204460492503131E-16</v>
      </c>
      <c r="BM68" s="584"/>
      <c r="BN68" s="413"/>
      <c r="BO68" s="2790">
        <f ca="1">SUM(BO65:BO67)</f>
        <v>0</v>
      </c>
      <c r="BP68" s="2790">
        <f t="shared" ref="BP68:DF68" ca="1" si="167">SUM(BP65:BP67)</f>
        <v>0</v>
      </c>
      <c r="BQ68" s="2790">
        <f t="shared" ca="1" si="167"/>
        <v>0</v>
      </c>
      <c r="BR68" s="2790">
        <f t="shared" ca="1" si="167"/>
        <v>0</v>
      </c>
      <c r="BS68" s="2790">
        <f t="shared" ca="1" si="167"/>
        <v>0</v>
      </c>
      <c r="BT68" s="2790">
        <f t="shared" ca="1" si="167"/>
        <v>0</v>
      </c>
      <c r="BU68" s="2790">
        <f t="shared" ca="1" si="167"/>
        <v>0</v>
      </c>
      <c r="BV68" s="2790">
        <f t="shared" ca="1" si="167"/>
        <v>0</v>
      </c>
      <c r="BW68" s="2790">
        <f t="shared" ca="1" si="167"/>
        <v>0</v>
      </c>
      <c r="BX68" s="2790">
        <f t="shared" ca="1" si="167"/>
        <v>0</v>
      </c>
      <c r="BY68" s="2790">
        <f t="shared" ca="1" si="167"/>
        <v>0</v>
      </c>
      <c r="BZ68" s="2790">
        <f t="shared" ca="1" si="167"/>
        <v>0</v>
      </c>
      <c r="CA68" s="2790">
        <f t="shared" ca="1" si="167"/>
        <v>0</v>
      </c>
      <c r="CB68" s="2790">
        <f t="shared" ca="1" si="167"/>
        <v>0</v>
      </c>
      <c r="CC68" s="2790">
        <f t="shared" ca="1" si="167"/>
        <v>0</v>
      </c>
      <c r="CD68" s="2790">
        <f t="shared" ca="1" si="167"/>
        <v>0</v>
      </c>
      <c r="CE68" s="2790">
        <f t="shared" ca="1" si="167"/>
        <v>0</v>
      </c>
      <c r="CF68" s="2790">
        <f t="shared" ca="1" si="167"/>
        <v>0</v>
      </c>
      <c r="CG68" s="2790">
        <f t="shared" ca="1" si="167"/>
        <v>0</v>
      </c>
      <c r="CH68" s="2790">
        <f t="shared" ca="1" si="167"/>
        <v>0</v>
      </c>
      <c r="CI68" s="2790">
        <f t="shared" ca="1" si="167"/>
        <v>0</v>
      </c>
      <c r="CJ68" s="2790">
        <f t="shared" ca="1" si="167"/>
        <v>0</v>
      </c>
      <c r="CK68" s="2790">
        <f t="shared" ca="1" si="167"/>
        <v>0</v>
      </c>
      <c r="CL68" s="2790">
        <f t="shared" ca="1" si="167"/>
        <v>0</v>
      </c>
      <c r="CM68" s="2790">
        <f t="shared" ca="1" si="167"/>
        <v>0</v>
      </c>
      <c r="CN68" s="2790">
        <f t="shared" ca="1" si="167"/>
        <v>0</v>
      </c>
      <c r="CO68" s="2790">
        <f t="shared" ca="1" si="167"/>
        <v>0</v>
      </c>
      <c r="CP68" s="2790">
        <f t="shared" ca="1" si="167"/>
        <v>0</v>
      </c>
      <c r="CQ68" s="2790">
        <f t="shared" ca="1" si="167"/>
        <v>0</v>
      </c>
      <c r="CR68" s="2790">
        <f t="shared" ca="1" si="167"/>
        <v>0</v>
      </c>
      <c r="CS68" s="2790">
        <f t="shared" ca="1" si="167"/>
        <v>0</v>
      </c>
      <c r="CT68" s="2790">
        <f t="shared" ca="1" si="167"/>
        <v>0</v>
      </c>
      <c r="CU68" s="2790">
        <f t="shared" ca="1" si="167"/>
        <v>0</v>
      </c>
      <c r="CV68" s="2790">
        <f t="shared" ca="1" si="167"/>
        <v>0</v>
      </c>
      <c r="CW68" s="2790">
        <f t="shared" ca="1" si="167"/>
        <v>0</v>
      </c>
      <c r="CX68" s="2790">
        <f t="shared" ca="1" si="167"/>
        <v>0</v>
      </c>
      <c r="CY68" s="2790">
        <f t="shared" ca="1" si="167"/>
        <v>0</v>
      </c>
      <c r="CZ68" s="2790">
        <f t="shared" ca="1" si="167"/>
        <v>0</v>
      </c>
      <c r="DA68" s="2790">
        <f t="shared" ca="1" si="167"/>
        <v>0</v>
      </c>
      <c r="DB68" s="2790">
        <f t="shared" ca="1" si="167"/>
        <v>0</v>
      </c>
      <c r="DC68" s="2790">
        <f t="shared" ca="1" si="167"/>
        <v>0</v>
      </c>
      <c r="DD68" s="2790">
        <f t="shared" ca="1" si="167"/>
        <v>0</v>
      </c>
      <c r="DE68" s="2790">
        <f t="shared" ca="1" si="167"/>
        <v>0</v>
      </c>
      <c r="DF68" s="2790">
        <f t="shared" ca="1" si="167"/>
        <v>0</v>
      </c>
      <c r="DH68" s="596">
        <f t="shared" ca="1" si="113"/>
        <v>0</v>
      </c>
    </row>
    <row r="69" spans="1:112" s="6" customFormat="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62"/>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13"/>
        <v>0</v>
      </c>
    </row>
    <row r="70" spans="1:112" s="639" customFormat="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62"/>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13"/>
        <v>0</v>
      </c>
    </row>
    <row r="71" spans="1:112" s="607" customFormat="1">
      <c r="C71" s="587" t="s">
        <v>542</v>
      </c>
      <c r="D71" s="611" t="s">
        <v>543</v>
      </c>
      <c r="E71" s="611"/>
      <c r="F71" s="6"/>
      <c r="G71" s="619">
        <f t="shared" ref="G71:P71" ca="1" si="168">IFERROR(INDEX(INDIRECT($C71&amp;".Outputs["&amp;this.Year&amp;"]"), MATCH(G$5, INDIRECT($C71&amp;".Outputs[Vector]"), 0)), 0)</f>
        <v>0</v>
      </c>
      <c r="H71" s="619">
        <f t="shared" ca="1" si="168"/>
        <v>0</v>
      </c>
      <c r="I71" s="619">
        <f t="shared" ca="1" si="168"/>
        <v>0</v>
      </c>
      <c r="J71" s="619">
        <f t="shared" ca="1" si="168"/>
        <v>0</v>
      </c>
      <c r="K71" s="619">
        <f t="shared" ca="1" si="168"/>
        <v>0</v>
      </c>
      <c r="L71" s="619">
        <f t="shared" ca="1" si="168"/>
        <v>0</v>
      </c>
      <c r="M71" s="619">
        <f t="shared" ca="1" si="168"/>
        <v>0</v>
      </c>
      <c r="N71" s="619">
        <f t="shared" ca="1" si="168"/>
        <v>0</v>
      </c>
      <c r="O71" s="619">
        <f t="shared" ca="1" si="168"/>
        <v>0</v>
      </c>
      <c r="P71" s="619">
        <f t="shared" ca="1" si="168"/>
        <v>0</v>
      </c>
      <c r="Q71" s="612">
        <f ca="1">SUM(G71:P71)</f>
        <v>0</v>
      </c>
      <c r="R71" s="6"/>
      <c r="S71" s="620">
        <f t="shared" ref="S71:AJ71" ca="1" si="169">IFERROR(INDEX(INDIRECT($C71&amp;".Outputs["&amp;this.Year&amp;"]"), MATCH(S$5, INDIRECT($C71&amp;".Outputs[Vector]"), 0)), 0)</f>
        <v>0</v>
      </c>
      <c r="T71" s="620">
        <f t="shared" ca="1" si="169"/>
        <v>-3.7911428177742012E-3</v>
      </c>
      <c r="U71" s="620">
        <f t="shared" ca="1" si="169"/>
        <v>0</v>
      </c>
      <c r="V71" s="620">
        <f t="shared" ca="1" si="169"/>
        <v>0</v>
      </c>
      <c r="W71" s="620">
        <f t="shared" ca="1" si="169"/>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69"/>
        <v>0</v>
      </c>
      <c r="AB71" s="620">
        <f t="shared" ca="1" si="169"/>
        <v>2.6537999724419409E-2</v>
      </c>
      <c r="AC71" s="620">
        <f t="shared" ca="1" si="169"/>
        <v>0</v>
      </c>
      <c r="AD71" s="620">
        <f t="shared" ca="1" si="169"/>
        <v>0</v>
      </c>
      <c r="AE71" s="620">
        <f t="shared" ca="1" si="169"/>
        <v>0</v>
      </c>
      <c r="AF71" s="620">
        <f t="shared" ca="1" si="169"/>
        <v>0</v>
      </c>
      <c r="AG71" s="620">
        <f t="shared" ca="1" si="169"/>
        <v>0</v>
      </c>
      <c r="AH71" s="620">
        <f t="shared" ca="1" si="169"/>
        <v>0</v>
      </c>
      <c r="AI71" s="620">
        <f t="shared" ca="1" si="169"/>
        <v>0</v>
      </c>
      <c r="AJ71" s="620">
        <f t="shared" ca="1" si="169"/>
        <v>0</v>
      </c>
      <c r="AK71" s="613">
        <f ca="1">SUM(S71:AJ71)</f>
        <v>2.274685690664521E-2</v>
      </c>
      <c r="AL71" s="6"/>
      <c r="AM71" s="621">
        <f t="shared" ref="AM71:BE71" ca="1" si="170">IFERROR(INDEX(INDIRECT($C71&amp;".Outputs["&amp;this.Year&amp;"]"), MATCH(AM$5, INDIRECT($C71&amp;".Outputs[Vector]"), 0)), 0)</f>
        <v>0</v>
      </c>
      <c r="AN71" s="621">
        <f t="shared" ca="1" si="170"/>
        <v>0</v>
      </c>
      <c r="AO71" s="621">
        <f t="shared" ca="1" si="170"/>
        <v>0</v>
      </c>
      <c r="AP71" s="621">
        <f t="shared" ca="1" si="170"/>
        <v>0</v>
      </c>
      <c r="AQ71" s="621">
        <f t="shared" ca="1" si="170"/>
        <v>0</v>
      </c>
      <c r="AR71" s="621">
        <f t="shared" ca="1" si="170"/>
        <v>0</v>
      </c>
      <c r="AS71" s="621">
        <f t="shared" ca="1" si="170"/>
        <v>0</v>
      </c>
      <c r="AT71" s="621">
        <f t="shared" ca="1" si="170"/>
        <v>0</v>
      </c>
      <c r="AU71" s="621">
        <f t="shared" ca="1" si="170"/>
        <v>0</v>
      </c>
      <c r="AV71" s="621">
        <f t="shared" ca="1" si="170"/>
        <v>0</v>
      </c>
      <c r="AW71" s="621">
        <f t="shared" ca="1" si="170"/>
        <v>0</v>
      </c>
      <c r="AX71" s="621">
        <f t="shared" ca="1" si="170"/>
        <v>0</v>
      </c>
      <c r="AY71" s="621">
        <f t="shared" ca="1" si="170"/>
        <v>0</v>
      </c>
      <c r="AZ71" s="621">
        <f t="shared" ca="1" si="170"/>
        <v>0</v>
      </c>
      <c r="BA71" s="621">
        <f t="shared" ca="1" si="170"/>
        <v>0</v>
      </c>
      <c r="BB71" s="621">
        <f t="shared" ca="1" si="170"/>
        <v>0</v>
      </c>
      <c r="BC71" s="621">
        <f t="shared" ca="1" si="170"/>
        <v>0</v>
      </c>
      <c r="BD71" s="621">
        <f t="shared" ca="1" si="170"/>
        <v>0</v>
      </c>
      <c r="BE71" s="621">
        <f t="shared" ca="1" si="170"/>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62"/>
        <v>0</v>
      </c>
      <c r="BM71" s="610"/>
      <c r="BN71" s="413"/>
      <c r="BO71" s="2791">
        <f t="shared" ref="BO71:DF71" ca="1" si="171">IFERROR(SUMIFS(INDIRECT($C71&amp;".Emissions["&amp;this.Year&amp;"]"), INDIRECT($C71&amp;".Emissions[GHG]"), BO$6, INDIRECT($C71&amp;".Emissions[IPCC Sector]"), BO$5),0)</f>
        <v>0</v>
      </c>
      <c r="BP71" s="2792">
        <f t="shared" ca="1" si="171"/>
        <v>0</v>
      </c>
      <c r="BQ71" s="2792">
        <f t="shared" ca="1" si="171"/>
        <v>0</v>
      </c>
      <c r="BR71" s="2792">
        <f t="shared" ca="1" si="171"/>
        <v>0</v>
      </c>
      <c r="BS71" s="2792">
        <f t="shared" ca="1" si="171"/>
        <v>0</v>
      </c>
      <c r="BT71" s="2792">
        <f t="shared" ca="1" si="171"/>
        <v>0</v>
      </c>
      <c r="BU71" s="2792">
        <f t="shared" ca="1" si="171"/>
        <v>0</v>
      </c>
      <c r="BV71" s="2792">
        <f t="shared" ca="1" si="171"/>
        <v>0</v>
      </c>
      <c r="BW71" s="2792">
        <f t="shared" ca="1" si="171"/>
        <v>0</v>
      </c>
      <c r="BX71" s="2792">
        <f t="shared" ca="1" si="171"/>
        <v>0</v>
      </c>
      <c r="BY71" s="2792">
        <f t="shared" ca="1" si="171"/>
        <v>0</v>
      </c>
      <c r="BZ71" s="2792">
        <f t="shared" ca="1" si="171"/>
        <v>0</v>
      </c>
      <c r="CA71" s="2792">
        <f t="shared" ca="1" si="171"/>
        <v>0</v>
      </c>
      <c r="CB71" s="2792">
        <f t="shared" ca="1" si="171"/>
        <v>0</v>
      </c>
      <c r="CC71" s="2792">
        <f t="shared" ca="1" si="171"/>
        <v>0</v>
      </c>
      <c r="CD71" s="2792">
        <f t="shared" ca="1" si="171"/>
        <v>0</v>
      </c>
      <c r="CE71" s="2792">
        <f t="shared" ca="1" si="171"/>
        <v>0</v>
      </c>
      <c r="CF71" s="2792">
        <f t="shared" ca="1" si="171"/>
        <v>0</v>
      </c>
      <c r="CG71" s="2792">
        <f t="shared" ca="1" si="171"/>
        <v>0</v>
      </c>
      <c r="CH71" s="2792">
        <f t="shared" ca="1" si="171"/>
        <v>0</v>
      </c>
      <c r="CI71" s="2792">
        <f t="shared" ca="1" si="171"/>
        <v>0</v>
      </c>
      <c r="CJ71" s="2792">
        <f t="shared" ca="1" si="171"/>
        <v>0</v>
      </c>
      <c r="CK71" s="2792">
        <f t="shared" ca="1" si="171"/>
        <v>0</v>
      </c>
      <c r="CL71" s="2792">
        <f t="shared" ca="1" si="171"/>
        <v>0</v>
      </c>
      <c r="CM71" s="2792">
        <f t="shared" ca="1" si="171"/>
        <v>0</v>
      </c>
      <c r="CN71" s="2792">
        <f t="shared" ca="1" si="171"/>
        <v>0</v>
      </c>
      <c r="CO71" s="2792">
        <f t="shared" ca="1" si="171"/>
        <v>0</v>
      </c>
      <c r="CP71" s="2792">
        <f t="shared" ca="1" si="171"/>
        <v>0</v>
      </c>
      <c r="CQ71" s="2792">
        <f t="shared" ca="1" si="171"/>
        <v>0</v>
      </c>
      <c r="CR71" s="2792">
        <f t="shared" ca="1" si="171"/>
        <v>0</v>
      </c>
      <c r="CS71" s="2792">
        <f t="shared" ca="1" si="171"/>
        <v>0</v>
      </c>
      <c r="CT71" s="2792">
        <f t="shared" ca="1" si="171"/>
        <v>0</v>
      </c>
      <c r="CU71" s="2792">
        <f t="shared" ca="1" si="171"/>
        <v>0</v>
      </c>
      <c r="CV71" s="2792">
        <f t="shared" ca="1" si="171"/>
        <v>0</v>
      </c>
      <c r="CW71" s="2792">
        <f t="shared" ca="1" si="171"/>
        <v>0</v>
      </c>
      <c r="CX71" s="2792">
        <f t="shared" ca="1" si="171"/>
        <v>0</v>
      </c>
      <c r="CY71" s="2792">
        <f t="shared" ca="1" si="171"/>
        <v>0</v>
      </c>
      <c r="CZ71" s="2792">
        <f t="shared" ca="1" si="171"/>
        <v>0</v>
      </c>
      <c r="DA71" s="2792">
        <f t="shared" ca="1" si="171"/>
        <v>0</v>
      </c>
      <c r="DB71" s="2792">
        <f t="shared" ca="1" si="171"/>
        <v>0</v>
      </c>
      <c r="DC71" s="2792">
        <f t="shared" ca="1" si="171"/>
        <v>0</v>
      </c>
      <c r="DD71" s="2792">
        <f t="shared" ca="1" si="171"/>
        <v>0</v>
      </c>
      <c r="DE71" s="2792">
        <f t="shared" ca="1" si="171"/>
        <v>0</v>
      </c>
      <c r="DF71" s="2792">
        <f t="shared" ca="1" si="171"/>
        <v>0</v>
      </c>
      <c r="DH71" s="596">
        <f t="shared" ca="1" si="113"/>
        <v>0</v>
      </c>
    </row>
    <row r="72" spans="1:112" s="6" customFormat="1" ht="15.75">
      <c r="A72" s="4"/>
      <c r="B72" s="3"/>
      <c r="C72" s="616" t="s">
        <v>544</v>
      </c>
      <c r="D72" s="617" t="s">
        <v>545</v>
      </c>
      <c r="E72" s="206"/>
      <c r="G72" s="618">
        <f ca="1">G71</f>
        <v>0</v>
      </c>
      <c r="H72" s="618">
        <f t="shared" ref="H72:P72" ca="1" si="172">H71</f>
        <v>0</v>
      </c>
      <c r="I72" s="618">
        <f t="shared" ca="1" si="172"/>
        <v>0</v>
      </c>
      <c r="J72" s="618">
        <f t="shared" ca="1" si="172"/>
        <v>0</v>
      </c>
      <c r="K72" s="618">
        <f t="shared" ca="1" si="172"/>
        <v>0</v>
      </c>
      <c r="L72" s="618">
        <f t="shared" ca="1" si="172"/>
        <v>0</v>
      </c>
      <c r="M72" s="618">
        <f t="shared" ca="1" si="172"/>
        <v>0</v>
      </c>
      <c r="N72" s="618">
        <f t="shared" ca="1" si="172"/>
        <v>0</v>
      </c>
      <c r="O72" s="618">
        <f t="shared" ca="1" si="172"/>
        <v>0</v>
      </c>
      <c r="P72" s="618">
        <f t="shared" ca="1" si="172"/>
        <v>0</v>
      </c>
      <c r="Q72" s="618">
        <f ca="1">SUM(G72:P72)</f>
        <v>0</v>
      </c>
      <c r="S72" s="581">
        <f t="shared" ref="S72:AJ72" ca="1" si="173">S71</f>
        <v>0</v>
      </c>
      <c r="T72" s="581">
        <f t="shared" ca="1" si="173"/>
        <v>-3.7911428177742012E-3</v>
      </c>
      <c r="U72" s="581">
        <f t="shared" ca="1" si="173"/>
        <v>0</v>
      </c>
      <c r="V72" s="581">
        <f t="shared" ca="1" si="173"/>
        <v>0</v>
      </c>
      <c r="W72" s="581">
        <f t="shared" ca="1" si="173"/>
        <v>0</v>
      </c>
      <c r="X72" s="581">
        <f t="shared" ca="1" si="173"/>
        <v>0</v>
      </c>
      <c r="Y72" s="581">
        <f t="shared" ca="1" si="173"/>
        <v>0</v>
      </c>
      <c r="Z72" s="581">
        <f t="shared" ca="1" si="173"/>
        <v>0</v>
      </c>
      <c r="AA72" s="581">
        <f t="shared" ca="1" si="173"/>
        <v>0</v>
      </c>
      <c r="AB72" s="581">
        <f t="shared" ca="1" si="173"/>
        <v>2.6537999724419409E-2</v>
      </c>
      <c r="AC72" s="581">
        <f t="shared" ca="1" si="173"/>
        <v>0</v>
      </c>
      <c r="AD72" s="581">
        <f ca="1">AD71</f>
        <v>0</v>
      </c>
      <c r="AE72" s="581">
        <f ca="1">AE71</f>
        <v>0</v>
      </c>
      <c r="AF72" s="581">
        <f t="shared" ca="1" si="173"/>
        <v>0</v>
      </c>
      <c r="AG72" s="581">
        <f t="shared" ca="1" si="173"/>
        <v>0</v>
      </c>
      <c r="AH72" s="581">
        <f ca="1">AH71</f>
        <v>0</v>
      </c>
      <c r="AI72" s="581">
        <f ca="1">AI71</f>
        <v>0</v>
      </c>
      <c r="AJ72" s="581">
        <f t="shared" ca="1" si="173"/>
        <v>0</v>
      </c>
      <c r="AK72" s="581">
        <f ca="1">SUM(S72:AJ72)</f>
        <v>2.274685690664521E-2</v>
      </c>
      <c r="AM72" s="582">
        <f ca="1">AM71</f>
        <v>0</v>
      </c>
      <c r="AN72" s="582">
        <f t="shared" ref="AN72:BE72" ca="1" si="174">AN71</f>
        <v>0</v>
      </c>
      <c r="AO72" s="582">
        <f t="shared" ca="1" si="174"/>
        <v>0</v>
      </c>
      <c r="AP72" s="582">
        <f t="shared" ca="1" si="174"/>
        <v>0</v>
      </c>
      <c r="AQ72" s="582">
        <f t="shared" ca="1" si="174"/>
        <v>0</v>
      </c>
      <c r="AR72" s="582">
        <f t="shared" ca="1" si="174"/>
        <v>0</v>
      </c>
      <c r="AS72" s="582">
        <f t="shared" ca="1" si="174"/>
        <v>0</v>
      </c>
      <c r="AT72" s="582">
        <f t="shared" ca="1" si="174"/>
        <v>0</v>
      </c>
      <c r="AU72" s="582">
        <f t="shared" ca="1" si="174"/>
        <v>0</v>
      </c>
      <c r="AV72" s="582">
        <f t="shared" ca="1" si="174"/>
        <v>0</v>
      </c>
      <c r="AW72" s="582">
        <f t="shared" ca="1" si="174"/>
        <v>0</v>
      </c>
      <c r="AX72" s="582">
        <f t="shared" ca="1" si="174"/>
        <v>0</v>
      </c>
      <c r="AY72" s="582">
        <f t="shared" ca="1" si="174"/>
        <v>0</v>
      </c>
      <c r="AZ72" s="582">
        <f t="shared" ca="1" si="174"/>
        <v>0</v>
      </c>
      <c r="BA72" s="582">
        <f t="shared" ca="1" si="174"/>
        <v>0</v>
      </c>
      <c r="BB72" s="582">
        <f t="shared" ca="1" si="174"/>
        <v>0</v>
      </c>
      <c r="BC72" s="582">
        <f t="shared" ca="1" si="174"/>
        <v>0</v>
      </c>
      <c r="BD72" s="582">
        <f t="shared" ca="1" si="174"/>
        <v>0</v>
      </c>
      <c r="BE72" s="582">
        <f t="shared" ca="1" si="174"/>
        <v>0</v>
      </c>
      <c r="BF72" s="582">
        <f ca="1">SUM(AM72:BE72)</f>
        <v>0</v>
      </c>
      <c r="BH72" s="3463">
        <f ca="1">BH71</f>
        <v>-2.274685690664521E-2</v>
      </c>
      <c r="BI72" s="3463">
        <f ca="1">BI71</f>
        <v>0</v>
      </c>
      <c r="BJ72" s="3463">
        <f ca="1">SUM(BH72:BI72)</f>
        <v>-2.274685690664521E-2</v>
      </c>
      <c r="BL72" s="3477">
        <f t="shared" ca="1" si="162"/>
        <v>0</v>
      </c>
      <c r="BM72" s="584"/>
      <c r="BN72" s="413"/>
      <c r="BO72" s="2790">
        <f t="shared" ref="BO72:DF72" ca="1" si="175">BO71</f>
        <v>0</v>
      </c>
      <c r="BP72" s="2790">
        <f t="shared" ca="1" si="175"/>
        <v>0</v>
      </c>
      <c r="BQ72" s="2790">
        <f t="shared" ca="1" si="175"/>
        <v>0</v>
      </c>
      <c r="BR72" s="2790">
        <f t="shared" ca="1" si="175"/>
        <v>0</v>
      </c>
      <c r="BS72" s="2790">
        <f t="shared" ca="1" si="175"/>
        <v>0</v>
      </c>
      <c r="BT72" s="2790">
        <f t="shared" ca="1" si="175"/>
        <v>0</v>
      </c>
      <c r="BU72" s="2790">
        <f t="shared" ca="1" si="175"/>
        <v>0</v>
      </c>
      <c r="BV72" s="2790">
        <f t="shared" ca="1" si="175"/>
        <v>0</v>
      </c>
      <c r="BW72" s="2790">
        <f t="shared" ca="1" si="175"/>
        <v>0</v>
      </c>
      <c r="BX72" s="2790">
        <f t="shared" ca="1" si="175"/>
        <v>0</v>
      </c>
      <c r="BY72" s="2790">
        <f t="shared" ca="1" si="175"/>
        <v>0</v>
      </c>
      <c r="BZ72" s="2790">
        <f t="shared" ca="1" si="175"/>
        <v>0</v>
      </c>
      <c r="CA72" s="2790">
        <f t="shared" ca="1" si="175"/>
        <v>0</v>
      </c>
      <c r="CB72" s="2790">
        <f t="shared" ca="1" si="175"/>
        <v>0</v>
      </c>
      <c r="CC72" s="2790">
        <f t="shared" ca="1" si="175"/>
        <v>0</v>
      </c>
      <c r="CD72" s="2790">
        <f t="shared" ca="1" si="175"/>
        <v>0</v>
      </c>
      <c r="CE72" s="2790">
        <f t="shared" ca="1" si="175"/>
        <v>0</v>
      </c>
      <c r="CF72" s="2790">
        <f t="shared" ca="1" si="175"/>
        <v>0</v>
      </c>
      <c r="CG72" s="2790">
        <f t="shared" ca="1" si="175"/>
        <v>0</v>
      </c>
      <c r="CH72" s="2790">
        <f t="shared" ca="1" si="175"/>
        <v>0</v>
      </c>
      <c r="CI72" s="2790">
        <f t="shared" ca="1" si="175"/>
        <v>0</v>
      </c>
      <c r="CJ72" s="2790">
        <f t="shared" ca="1" si="175"/>
        <v>0</v>
      </c>
      <c r="CK72" s="2790">
        <f t="shared" ca="1" si="175"/>
        <v>0</v>
      </c>
      <c r="CL72" s="2790">
        <f t="shared" ca="1" si="175"/>
        <v>0</v>
      </c>
      <c r="CM72" s="2790">
        <f t="shared" ca="1" si="175"/>
        <v>0</v>
      </c>
      <c r="CN72" s="2790">
        <f t="shared" ca="1" si="175"/>
        <v>0</v>
      </c>
      <c r="CO72" s="2790">
        <f t="shared" ca="1" si="175"/>
        <v>0</v>
      </c>
      <c r="CP72" s="2790">
        <f t="shared" ca="1" si="175"/>
        <v>0</v>
      </c>
      <c r="CQ72" s="2790">
        <f t="shared" ca="1" si="175"/>
        <v>0</v>
      </c>
      <c r="CR72" s="2790">
        <f t="shared" ca="1" si="175"/>
        <v>0</v>
      </c>
      <c r="CS72" s="2790">
        <f t="shared" ca="1" si="175"/>
        <v>0</v>
      </c>
      <c r="CT72" s="2790">
        <f t="shared" ca="1" si="175"/>
        <v>0</v>
      </c>
      <c r="CU72" s="2790">
        <f t="shared" ca="1" si="175"/>
        <v>0</v>
      </c>
      <c r="CV72" s="2790">
        <f t="shared" ca="1" si="175"/>
        <v>0</v>
      </c>
      <c r="CW72" s="2790">
        <f t="shared" ca="1" si="175"/>
        <v>0</v>
      </c>
      <c r="CX72" s="2790">
        <f t="shared" ca="1" si="175"/>
        <v>0</v>
      </c>
      <c r="CY72" s="2790">
        <f t="shared" ca="1" si="175"/>
        <v>0</v>
      </c>
      <c r="CZ72" s="2790">
        <f t="shared" ca="1" si="175"/>
        <v>0</v>
      </c>
      <c r="DA72" s="2790">
        <f t="shared" ca="1" si="175"/>
        <v>0</v>
      </c>
      <c r="DB72" s="2790">
        <f t="shared" ca="1" si="175"/>
        <v>0</v>
      </c>
      <c r="DC72" s="2790">
        <f t="shared" ca="1" si="175"/>
        <v>0</v>
      </c>
      <c r="DD72" s="2790">
        <f t="shared" ca="1" si="175"/>
        <v>0</v>
      </c>
      <c r="DE72" s="2790">
        <f t="shared" ca="1" si="175"/>
        <v>0</v>
      </c>
      <c r="DF72" s="2790">
        <f t="shared" ca="1" si="175"/>
        <v>0</v>
      </c>
      <c r="DH72" s="596">
        <f t="shared" ca="1" si="113"/>
        <v>0</v>
      </c>
    </row>
    <row r="73" spans="1:112" s="6" customFormat="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13"/>
        <v>0</v>
      </c>
    </row>
    <row r="74" spans="1:112" s="652" customFormat="1">
      <c r="C74" s="667" t="s">
        <v>546</v>
      </c>
      <c r="D74" s="668" t="s">
        <v>547</v>
      </c>
      <c r="E74" s="668"/>
      <c r="F74" s="6"/>
      <c r="G74" s="669"/>
      <c r="H74" s="669"/>
      <c r="I74" s="669"/>
      <c r="J74" s="669"/>
      <c r="K74" s="670"/>
      <c r="L74" s="669"/>
      <c r="M74" s="669"/>
      <c r="N74" s="669"/>
      <c r="O74" s="669"/>
      <c r="P74" s="669"/>
      <c r="Q74" s="669"/>
      <c r="R74" s="6"/>
      <c r="S74" s="671">
        <f ca="1">S$40+S$46+S$51+S$99+S$55+S$93+S$63+S$68+S$72</f>
        <v>-25.405230948014786</v>
      </c>
      <c r="T74" s="671">
        <f ca="1">T$40+T$46+T$51+T$99+T$55+T$93+T$63+T$68+T$72</f>
        <v>17.676159220282241</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76">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13"/>
        <v>0</v>
      </c>
    </row>
    <row r="75" spans="1:112" s="607" customFormat="1">
      <c r="C75" s="587" t="s">
        <v>548</v>
      </c>
      <c r="D75" s="611" t="s">
        <v>549</v>
      </c>
      <c r="E75" s="611"/>
      <c r="F75" s="6"/>
      <c r="G75" s="619">
        <f t="shared" ref="G75:P75" ca="1" si="177">IFERROR(INDEX(INDIRECT($C75&amp;".Outputs["&amp;this.Year&amp;"]"), MATCH(G$5, INDIRECT($C75&amp;".Outputs[Vector]"), 0)), 0)</f>
        <v>0</v>
      </c>
      <c r="H75" s="619">
        <f t="shared" ca="1" si="177"/>
        <v>0</v>
      </c>
      <c r="I75" s="619">
        <f t="shared" ca="1" si="177"/>
        <v>0</v>
      </c>
      <c r="J75" s="619">
        <f t="shared" ca="1" si="177"/>
        <v>0</v>
      </c>
      <c r="K75" s="619">
        <f t="shared" ca="1" si="177"/>
        <v>0</v>
      </c>
      <c r="L75" s="619">
        <f t="shared" ca="1" si="177"/>
        <v>0</v>
      </c>
      <c r="M75" s="619">
        <f t="shared" ca="1" si="177"/>
        <v>0</v>
      </c>
      <c r="N75" s="619">
        <f t="shared" ca="1" si="177"/>
        <v>0</v>
      </c>
      <c r="O75" s="619">
        <f t="shared" ca="1" si="177"/>
        <v>0</v>
      </c>
      <c r="P75" s="619">
        <f t="shared" ca="1" si="177"/>
        <v>0</v>
      </c>
      <c r="Q75" s="612">
        <f ca="1">SUM(G75:P75)</f>
        <v>0</v>
      </c>
      <c r="R75" s="6"/>
      <c r="S75" s="620">
        <f t="shared" ref="S75:AJ75" ca="1" si="178">IFERROR(INDEX(INDIRECT($C75&amp;".Outputs["&amp;this.Year&amp;"]"), MATCH(S$5, INDIRECT($C75&amp;".Outputs[Vector]"), 0)), 0)</f>
        <v>0</v>
      </c>
      <c r="T75" s="620">
        <f t="shared" ca="1" si="178"/>
        <v>0</v>
      </c>
      <c r="U75" s="620">
        <f t="shared" ca="1" si="178"/>
        <v>0</v>
      </c>
      <c r="V75" s="620">
        <f t="shared" ca="1" si="178"/>
        <v>0</v>
      </c>
      <c r="W75" s="620">
        <f t="shared" ca="1" si="178"/>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78"/>
        <v>0</v>
      </c>
      <c r="AB75" s="620">
        <f t="shared" ca="1" si="178"/>
        <v>0</v>
      </c>
      <c r="AC75" s="620">
        <f t="shared" ca="1" si="178"/>
        <v>0</v>
      </c>
      <c r="AD75" s="620">
        <f t="shared" ca="1" si="178"/>
        <v>0</v>
      </c>
      <c r="AE75" s="620">
        <f t="shared" ca="1" si="178"/>
        <v>0</v>
      </c>
      <c r="AF75" s="620">
        <f t="shared" ca="1" si="178"/>
        <v>0</v>
      </c>
      <c r="AG75" s="620">
        <f t="shared" ca="1" si="178"/>
        <v>0</v>
      </c>
      <c r="AH75" s="620">
        <f t="shared" ca="1" si="178"/>
        <v>0</v>
      </c>
      <c r="AI75" s="620">
        <f t="shared" ca="1" si="178"/>
        <v>0</v>
      </c>
      <c r="AJ75" s="620">
        <f t="shared" ca="1" si="178"/>
        <v>0</v>
      </c>
      <c r="AK75" s="613">
        <f ca="1">SUM(S75:AJ75)</f>
        <v>0</v>
      </c>
      <c r="AL75" s="6"/>
      <c r="AM75" s="621">
        <f t="shared" ref="AM75:BE75" ca="1" si="179">IFERROR(INDEX(INDIRECT($C75&amp;".Outputs["&amp;this.Year&amp;"]"), MATCH(AM$5, INDIRECT($C75&amp;".Outputs[Vector]"), 0)), 0)</f>
        <v>0</v>
      </c>
      <c r="AN75" s="621">
        <f t="shared" ca="1" si="179"/>
        <v>0</v>
      </c>
      <c r="AO75" s="621">
        <f t="shared" ca="1" si="179"/>
        <v>0</v>
      </c>
      <c r="AP75" s="621">
        <f t="shared" ca="1" si="179"/>
        <v>0</v>
      </c>
      <c r="AQ75" s="621">
        <f t="shared" ca="1" si="179"/>
        <v>0</v>
      </c>
      <c r="AR75" s="621">
        <f t="shared" ca="1" si="179"/>
        <v>0</v>
      </c>
      <c r="AS75" s="621">
        <f t="shared" ca="1" si="179"/>
        <v>0</v>
      </c>
      <c r="AT75" s="621">
        <f t="shared" ca="1" si="179"/>
        <v>0</v>
      </c>
      <c r="AU75" s="621">
        <f t="shared" ca="1" si="179"/>
        <v>0</v>
      </c>
      <c r="AV75" s="621">
        <f t="shared" ca="1" si="179"/>
        <v>0</v>
      </c>
      <c r="AW75" s="621">
        <f t="shared" ca="1" si="179"/>
        <v>0</v>
      </c>
      <c r="AX75" s="621">
        <f t="shared" ca="1" si="179"/>
        <v>0</v>
      </c>
      <c r="AY75" s="621">
        <f t="shared" ca="1" si="179"/>
        <v>0</v>
      </c>
      <c r="AZ75" s="621">
        <f t="shared" ca="1" si="179"/>
        <v>0</v>
      </c>
      <c r="BA75" s="621">
        <f t="shared" ca="1" si="179"/>
        <v>0</v>
      </c>
      <c r="BB75" s="621">
        <f t="shared" ca="1" si="179"/>
        <v>0</v>
      </c>
      <c r="BC75" s="621">
        <f t="shared" ca="1" si="179"/>
        <v>0</v>
      </c>
      <c r="BD75" s="621">
        <f t="shared" ca="1" si="179"/>
        <v>0</v>
      </c>
      <c r="BE75" s="621">
        <f t="shared" ca="1" si="179"/>
        <v>0</v>
      </c>
      <c r="BF75" s="615">
        <f ca="1">SUM(AM75:BE75)</f>
        <v>0</v>
      </c>
      <c r="BG75" s="6"/>
      <c r="BH75" s="3473">
        <f ca="1">IFERROR(INDEX(INDIRECT($C75&amp;".Outputs["&amp;this.Year&amp;"]"), MATCH(BH$5, INDIRECT($C75&amp;".Outputs[Vector]"), 0)), 0)</f>
        <v>0</v>
      </c>
      <c r="BI75" s="3473">
        <f ca="1">IFERROR(INDEX(INDIRECT($C75&amp;".Outputs["&amp;this.Year&amp;"]"), MATCH(BI$5, INDIRECT($C75&amp;".Outputs[Vector]"), 0)), 0)</f>
        <v>0</v>
      </c>
      <c r="BJ75" s="3462">
        <f ca="1">SUM(BH75:BI75)</f>
        <v>0</v>
      </c>
      <c r="BK75" s="6"/>
      <c r="BL75" s="610">
        <f t="shared" ca="1" si="176"/>
        <v>0</v>
      </c>
      <c r="BM75" s="610"/>
      <c r="BN75" s="413"/>
      <c r="BO75" s="2791">
        <f t="shared" ref="BO75:DF75" ca="1" si="180">IFERROR(SUMIFS(INDIRECT($C75&amp;".Emissions["&amp;this.Year&amp;"]"), INDIRECT($C75&amp;".Emissions[GHG]"), BO$6, INDIRECT($C75&amp;".Emissions[IPCC Sector]"), BO$5),0)</f>
        <v>0</v>
      </c>
      <c r="BP75" s="2792">
        <f t="shared" ca="1" si="180"/>
        <v>0</v>
      </c>
      <c r="BQ75" s="2792">
        <f t="shared" ca="1" si="180"/>
        <v>0</v>
      </c>
      <c r="BR75" s="2792">
        <f t="shared" ca="1" si="180"/>
        <v>0</v>
      </c>
      <c r="BS75" s="2792">
        <f t="shared" ca="1" si="180"/>
        <v>0</v>
      </c>
      <c r="BT75" s="2792">
        <f t="shared" ca="1" si="180"/>
        <v>0</v>
      </c>
      <c r="BU75" s="2792">
        <f t="shared" ca="1" si="180"/>
        <v>0</v>
      </c>
      <c r="BV75" s="2792">
        <f t="shared" ca="1" si="180"/>
        <v>0</v>
      </c>
      <c r="BW75" s="2792">
        <f t="shared" ca="1" si="180"/>
        <v>0</v>
      </c>
      <c r="BX75" s="2792">
        <f t="shared" ca="1" si="180"/>
        <v>0</v>
      </c>
      <c r="BY75" s="2792">
        <f t="shared" ca="1" si="180"/>
        <v>0</v>
      </c>
      <c r="BZ75" s="2792">
        <f t="shared" ca="1" si="180"/>
        <v>0</v>
      </c>
      <c r="CA75" s="2792">
        <f t="shared" ca="1" si="180"/>
        <v>0</v>
      </c>
      <c r="CB75" s="2792">
        <f t="shared" ca="1" si="180"/>
        <v>0</v>
      </c>
      <c r="CC75" s="2792">
        <f t="shared" ca="1" si="180"/>
        <v>0</v>
      </c>
      <c r="CD75" s="2792">
        <f t="shared" ca="1" si="180"/>
        <v>0</v>
      </c>
      <c r="CE75" s="2792">
        <f t="shared" ca="1" si="180"/>
        <v>0</v>
      </c>
      <c r="CF75" s="2792">
        <f t="shared" ca="1" si="180"/>
        <v>0</v>
      </c>
      <c r="CG75" s="2792">
        <f t="shared" ca="1" si="180"/>
        <v>0</v>
      </c>
      <c r="CH75" s="2792">
        <f t="shared" ca="1" si="180"/>
        <v>0</v>
      </c>
      <c r="CI75" s="2792">
        <f t="shared" ca="1" si="180"/>
        <v>0</v>
      </c>
      <c r="CJ75" s="2792">
        <f t="shared" ca="1" si="180"/>
        <v>0</v>
      </c>
      <c r="CK75" s="2792">
        <f t="shared" ca="1" si="180"/>
        <v>0</v>
      </c>
      <c r="CL75" s="2792">
        <f t="shared" ca="1" si="180"/>
        <v>0</v>
      </c>
      <c r="CM75" s="2792">
        <f t="shared" ca="1" si="180"/>
        <v>0</v>
      </c>
      <c r="CN75" s="2792">
        <f t="shared" ca="1" si="180"/>
        <v>0</v>
      </c>
      <c r="CO75" s="2792">
        <f t="shared" ca="1" si="180"/>
        <v>0</v>
      </c>
      <c r="CP75" s="2792">
        <f t="shared" ca="1" si="180"/>
        <v>0</v>
      </c>
      <c r="CQ75" s="2792">
        <f t="shared" ca="1" si="180"/>
        <v>0</v>
      </c>
      <c r="CR75" s="2792">
        <f t="shared" ca="1" si="180"/>
        <v>0</v>
      </c>
      <c r="CS75" s="2792">
        <f t="shared" ca="1" si="180"/>
        <v>0</v>
      </c>
      <c r="CT75" s="2792">
        <f t="shared" ca="1" si="180"/>
        <v>0</v>
      </c>
      <c r="CU75" s="2792">
        <f t="shared" ca="1" si="180"/>
        <v>0</v>
      </c>
      <c r="CV75" s="2792">
        <f t="shared" ca="1" si="180"/>
        <v>0</v>
      </c>
      <c r="CW75" s="2792">
        <f t="shared" ca="1" si="180"/>
        <v>0</v>
      </c>
      <c r="CX75" s="2792">
        <f t="shared" ca="1" si="180"/>
        <v>0</v>
      </c>
      <c r="CY75" s="2792">
        <f t="shared" ca="1" si="180"/>
        <v>0</v>
      </c>
      <c r="CZ75" s="2792">
        <f t="shared" ca="1" si="180"/>
        <v>0</v>
      </c>
      <c r="DA75" s="2792">
        <f t="shared" ca="1" si="180"/>
        <v>0</v>
      </c>
      <c r="DB75" s="2792">
        <f t="shared" ca="1" si="180"/>
        <v>0</v>
      </c>
      <c r="DC75" s="2792">
        <f t="shared" ca="1" si="180"/>
        <v>0</v>
      </c>
      <c r="DD75" s="2792">
        <f t="shared" ca="1" si="180"/>
        <v>0</v>
      </c>
      <c r="DE75" s="2792">
        <f t="shared" ca="1" si="180"/>
        <v>0</v>
      </c>
      <c r="DF75" s="2792">
        <f t="shared" ca="1" si="180"/>
        <v>0</v>
      </c>
      <c r="DH75" s="596">
        <f t="shared" ca="1" si="113"/>
        <v>0</v>
      </c>
    </row>
    <row r="76" spans="1:112" s="6" customFormat="1" ht="15.75">
      <c r="A76" s="4"/>
      <c r="B76" s="3"/>
      <c r="C76" s="616" t="s">
        <v>550</v>
      </c>
      <c r="D76" s="617" t="s">
        <v>551</v>
      </c>
      <c r="E76" s="206"/>
      <c r="G76" s="618">
        <f ca="1">G75</f>
        <v>0</v>
      </c>
      <c r="H76" s="618">
        <f t="shared" ref="H76:P76" ca="1" si="181">H75</f>
        <v>0</v>
      </c>
      <c r="I76" s="618">
        <f t="shared" ca="1" si="181"/>
        <v>0</v>
      </c>
      <c r="J76" s="618">
        <f t="shared" ca="1" si="181"/>
        <v>0</v>
      </c>
      <c r="K76" s="618">
        <f t="shared" ca="1" si="181"/>
        <v>0</v>
      </c>
      <c r="L76" s="618">
        <f t="shared" ca="1" si="181"/>
        <v>0</v>
      </c>
      <c r="M76" s="618">
        <f t="shared" ca="1" si="181"/>
        <v>0</v>
      </c>
      <c r="N76" s="618">
        <f t="shared" ca="1" si="181"/>
        <v>0</v>
      </c>
      <c r="O76" s="618">
        <f t="shared" ca="1" si="181"/>
        <v>0</v>
      </c>
      <c r="P76" s="618">
        <f t="shared" ca="1" si="181"/>
        <v>0</v>
      </c>
      <c r="Q76" s="618">
        <f ca="1">SUM(G76:P76)</f>
        <v>0</v>
      </c>
      <c r="S76" s="581">
        <f t="shared" ref="S76:AJ76" ca="1" si="182">S75</f>
        <v>0</v>
      </c>
      <c r="T76" s="581">
        <f t="shared" ca="1" si="182"/>
        <v>0</v>
      </c>
      <c r="U76" s="581">
        <f t="shared" ca="1" si="182"/>
        <v>0</v>
      </c>
      <c r="V76" s="581">
        <f t="shared" ca="1" si="182"/>
        <v>0</v>
      </c>
      <c r="W76" s="581">
        <f t="shared" ca="1" si="182"/>
        <v>0</v>
      </c>
      <c r="X76" s="581">
        <f t="shared" ca="1" si="182"/>
        <v>0</v>
      </c>
      <c r="Y76" s="581">
        <f t="shared" ca="1" si="182"/>
        <v>0</v>
      </c>
      <c r="Z76" s="581">
        <f t="shared" ca="1" si="182"/>
        <v>0</v>
      </c>
      <c r="AA76" s="581">
        <f t="shared" ca="1" si="182"/>
        <v>0</v>
      </c>
      <c r="AB76" s="581">
        <f t="shared" ca="1" si="182"/>
        <v>0</v>
      </c>
      <c r="AC76" s="581">
        <f t="shared" ca="1" si="182"/>
        <v>0</v>
      </c>
      <c r="AD76" s="581">
        <f t="shared" ca="1" si="182"/>
        <v>0</v>
      </c>
      <c r="AE76" s="581">
        <f ca="1">AE75</f>
        <v>0</v>
      </c>
      <c r="AF76" s="581">
        <f t="shared" ca="1" si="182"/>
        <v>0</v>
      </c>
      <c r="AG76" s="581">
        <f t="shared" ca="1" si="182"/>
        <v>0</v>
      </c>
      <c r="AH76" s="581">
        <f ca="1">AH75</f>
        <v>0</v>
      </c>
      <c r="AI76" s="581">
        <f t="shared" ca="1" si="182"/>
        <v>0</v>
      </c>
      <c r="AJ76" s="581">
        <f t="shared" ca="1" si="182"/>
        <v>0</v>
      </c>
      <c r="AK76" s="581">
        <f ca="1">SUM(S76:AJ76)</f>
        <v>0</v>
      </c>
      <c r="AM76" s="582">
        <f t="shared" ref="AM76:BE76" ca="1" si="183">AM75</f>
        <v>0</v>
      </c>
      <c r="AN76" s="582">
        <f t="shared" ca="1" si="183"/>
        <v>0</v>
      </c>
      <c r="AO76" s="582">
        <f t="shared" ca="1" si="183"/>
        <v>0</v>
      </c>
      <c r="AP76" s="582">
        <f t="shared" ca="1" si="183"/>
        <v>0</v>
      </c>
      <c r="AQ76" s="582">
        <f t="shared" ca="1" si="183"/>
        <v>0</v>
      </c>
      <c r="AR76" s="582">
        <f t="shared" ca="1" si="183"/>
        <v>0</v>
      </c>
      <c r="AS76" s="582">
        <f t="shared" ca="1" si="183"/>
        <v>0</v>
      </c>
      <c r="AT76" s="582">
        <f t="shared" ca="1" si="183"/>
        <v>0</v>
      </c>
      <c r="AU76" s="582">
        <f t="shared" ca="1" si="183"/>
        <v>0</v>
      </c>
      <c r="AV76" s="582">
        <f t="shared" ca="1" si="183"/>
        <v>0</v>
      </c>
      <c r="AW76" s="582">
        <f t="shared" ca="1" si="183"/>
        <v>0</v>
      </c>
      <c r="AX76" s="582">
        <f t="shared" ca="1" si="183"/>
        <v>0</v>
      </c>
      <c r="AY76" s="582">
        <f t="shared" ca="1" si="183"/>
        <v>0</v>
      </c>
      <c r="AZ76" s="582">
        <f t="shared" ca="1" si="183"/>
        <v>0</v>
      </c>
      <c r="BA76" s="582">
        <f t="shared" ca="1" si="183"/>
        <v>0</v>
      </c>
      <c r="BB76" s="582">
        <f t="shared" ca="1" si="183"/>
        <v>0</v>
      </c>
      <c r="BC76" s="582">
        <f t="shared" ca="1" si="183"/>
        <v>0</v>
      </c>
      <c r="BD76" s="582">
        <f t="shared" ca="1" si="183"/>
        <v>0</v>
      </c>
      <c r="BE76" s="582">
        <f t="shared" ca="1" si="183"/>
        <v>0</v>
      </c>
      <c r="BF76" s="582">
        <f ca="1">SUM(AM76:BE76)</f>
        <v>0</v>
      </c>
      <c r="BH76" s="3463">
        <f ca="1">BH75</f>
        <v>0</v>
      </c>
      <c r="BI76" s="3463">
        <f ca="1">BI75</f>
        <v>0</v>
      </c>
      <c r="BJ76" s="3463">
        <f ca="1">SUM(BH76:BI76)</f>
        <v>0</v>
      </c>
      <c r="BL76" s="3477">
        <f t="shared" ca="1" si="176"/>
        <v>0</v>
      </c>
      <c r="BM76" s="584"/>
      <c r="BN76" s="413"/>
      <c r="BO76" s="2790">
        <f t="shared" ref="BO76:DF76" ca="1" si="184">BO75</f>
        <v>0</v>
      </c>
      <c r="BP76" s="2790">
        <f t="shared" ca="1" si="184"/>
        <v>0</v>
      </c>
      <c r="BQ76" s="2790">
        <f t="shared" ca="1" si="184"/>
        <v>0</v>
      </c>
      <c r="BR76" s="2790">
        <f t="shared" ca="1" si="184"/>
        <v>0</v>
      </c>
      <c r="BS76" s="2790">
        <f t="shared" ca="1" si="184"/>
        <v>0</v>
      </c>
      <c r="BT76" s="2790">
        <f t="shared" ca="1" si="184"/>
        <v>0</v>
      </c>
      <c r="BU76" s="2790">
        <f t="shared" ca="1" si="184"/>
        <v>0</v>
      </c>
      <c r="BV76" s="2790">
        <f t="shared" ca="1" si="184"/>
        <v>0</v>
      </c>
      <c r="BW76" s="2790">
        <f t="shared" ca="1" si="184"/>
        <v>0</v>
      </c>
      <c r="BX76" s="2790">
        <f t="shared" ca="1" si="184"/>
        <v>0</v>
      </c>
      <c r="BY76" s="2790">
        <f t="shared" ca="1" si="184"/>
        <v>0</v>
      </c>
      <c r="BZ76" s="2790">
        <f t="shared" ca="1" si="184"/>
        <v>0</v>
      </c>
      <c r="CA76" s="2790">
        <f t="shared" ca="1" si="184"/>
        <v>0</v>
      </c>
      <c r="CB76" s="2790">
        <f t="shared" ca="1" si="184"/>
        <v>0</v>
      </c>
      <c r="CC76" s="2790">
        <f t="shared" ca="1" si="184"/>
        <v>0</v>
      </c>
      <c r="CD76" s="2790">
        <f t="shared" ca="1" si="184"/>
        <v>0</v>
      </c>
      <c r="CE76" s="2790">
        <f t="shared" ca="1" si="184"/>
        <v>0</v>
      </c>
      <c r="CF76" s="2790">
        <f t="shared" ca="1" si="184"/>
        <v>0</v>
      </c>
      <c r="CG76" s="2790">
        <f t="shared" ca="1" si="184"/>
        <v>0</v>
      </c>
      <c r="CH76" s="2790">
        <f t="shared" ca="1" si="184"/>
        <v>0</v>
      </c>
      <c r="CI76" s="2790">
        <f t="shared" ca="1" si="184"/>
        <v>0</v>
      </c>
      <c r="CJ76" s="2790">
        <f t="shared" ca="1" si="184"/>
        <v>0</v>
      </c>
      <c r="CK76" s="2790">
        <f t="shared" ca="1" si="184"/>
        <v>0</v>
      </c>
      <c r="CL76" s="2790">
        <f t="shared" ca="1" si="184"/>
        <v>0</v>
      </c>
      <c r="CM76" s="2790">
        <f t="shared" ca="1" si="184"/>
        <v>0</v>
      </c>
      <c r="CN76" s="2790">
        <f t="shared" ca="1" si="184"/>
        <v>0</v>
      </c>
      <c r="CO76" s="2790">
        <f t="shared" ca="1" si="184"/>
        <v>0</v>
      </c>
      <c r="CP76" s="2790">
        <f t="shared" ca="1" si="184"/>
        <v>0</v>
      </c>
      <c r="CQ76" s="2790">
        <f t="shared" ca="1" si="184"/>
        <v>0</v>
      </c>
      <c r="CR76" s="2790">
        <f t="shared" ca="1" si="184"/>
        <v>0</v>
      </c>
      <c r="CS76" s="2790">
        <f t="shared" ca="1" si="184"/>
        <v>0</v>
      </c>
      <c r="CT76" s="2790">
        <f t="shared" ca="1" si="184"/>
        <v>0</v>
      </c>
      <c r="CU76" s="2790">
        <f t="shared" ca="1" si="184"/>
        <v>0</v>
      </c>
      <c r="CV76" s="2790">
        <f t="shared" ca="1" si="184"/>
        <v>0</v>
      </c>
      <c r="CW76" s="2790">
        <f t="shared" ca="1" si="184"/>
        <v>0</v>
      </c>
      <c r="CX76" s="2790">
        <f t="shared" ca="1" si="184"/>
        <v>0</v>
      </c>
      <c r="CY76" s="2790">
        <f t="shared" ca="1" si="184"/>
        <v>0</v>
      </c>
      <c r="CZ76" s="2790">
        <f t="shared" ca="1" si="184"/>
        <v>0</v>
      </c>
      <c r="DA76" s="2790">
        <f t="shared" ca="1" si="184"/>
        <v>0</v>
      </c>
      <c r="DB76" s="2790">
        <f t="shared" ca="1" si="184"/>
        <v>0</v>
      </c>
      <c r="DC76" s="2790">
        <f t="shared" ca="1" si="184"/>
        <v>0</v>
      </c>
      <c r="DD76" s="2790">
        <f t="shared" ca="1" si="184"/>
        <v>0</v>
      </c>
      <c r="DE76" s="2790">
        <f t="shared" ca="1" si="184"/>
        <v>0</v>
      </c>
      <c r="DF76" s="2790">
        <f t="shared" ca="1" si="184"/>
        <v>0</v>
      </c>
      <c r="DH76" s="596">
        <f t="shared" ca="1" si="113"/>
        <v>0</v>
      </c>
    </row>
    <row r="77" spans="1:112" s="6" customFormat="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76"/>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13"/>
        <v>0</v>
      </c>
    </row>
    <row r="78" spans="1:112" s="652" customFormat="1">
      <c r="C78" s="667" t="s">
        <v>552</v>
      </c>
      <c r="D78" s="668" t="s">
        <v>547</v>
      </c>
      <c r="E78" s="668"/>
      <c r="F78" s="6"/>
      <c r="G78" s="669"/>
      <c r="H78" s="669"/>
      <c r="I78" s="669"/>
      <c r="J78" s="669"/>
      <c r="K78" s="670"/>
      <c r="L78" s="669"/>
      <c r="M78" s="669"/>
      <c r="N78" s="669"/>
      <c r="O78" s="669"/>
      <c r="P78" s="669"/>
      <c r="Q78" s="669"/>
      <c r="R78" s="6"/>
      <c r="S78" s="671">
        <f ca="1">S$74+S$76</f>
        <v>-25.405230948014786</v>
      </c>
      <c r="T78" s="671">
        <f ca="1">T$74+T$76</f>
        <v>17.676159220282241</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76"/>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13"/>
        <v>0</v>
      </c>
    </row>
    <row r="79" spans="1:112" s="607" customFormat="1">
      <c r="C79" s="587" t="s">
        <v>553</v>
      </c>
      <c r="D79" s="588" t="s">
        <v>554</v>
      </c>
      <c r="E79" s="588"/>
      <c r="F79" s="6"/>
      <c r="G79" s="674">
        <f t="shared" ref="G79:P79" ca="1" si="185">IFERROR(INDEX(INDIRECT($C79&amp;".Outputs["&amp;this.Year&amp;"]"), MATCH(G$5, INDIRECT($C79&amp;".Outputs[Vector]"), 0)), 0)</f>
        <v>0</v>
      </c>
      <c r="H79" s="674">
        <f t="shared" ca="1" si="185"/>
        <v>0</v>
      </c>
      <c r="I79" s="674">
        <f t="shared" ca="1" si="185"/>
        <v>0</v>
      </c>
      <c r="J79" s="674">
        <f t="shared" ca="1" si="185"/>
        <v>0</v>
      </c>
      <c r="K79" s="674">
        <f t="shared" ca="1" si="185"/>
        <v>0</v>
      </c>
      <c r="L79" s="674">
        <f t="shared" ca="1" si="185"/>
        <v>0</v>
      </c>
      <c r="M79" s="674">
        <f t="shared" ca="1" si="185"/>
        <v>0</v>
      </c>
      <c r="N79" s="674">
        <f t="shared" ca="1" si="185"/>
        <v>0</v>
      </c>
      <c r="O79" s="674">
        <f t="shared" ca="1" si="185"/>
        <v>0</v>
      </c>
      <c r="P79" s="674">
        <f t="shared" ca="1" si="185"/>
        <v>0</v>
      </c>
      <c r="Q79" s="675">
        <f ca="1">SUM(G79:P79)</f>
        <v>0</v>
      </c>
      <c r="R79" s="6"/>
      <c r="S79" s="676">
        <f t="shared" ref="S79:AJ79" ca="1" si="186">IFERROR(INDEX(INDIRECT($C79&amp;".Outputs["&amp;this.Year&amp;"]"), MATCH(S$5, INDIRECT($C79&amp;".Outputs[Vector]"), 0)), 0)</f>
        <v>0</v>
      </c>
      <c r="T79" s="676">
        <f t="shared" ca="1" si="186"/>
        <v>0</v>
      </c>
      <c r="U79" s="676">
        <f t="shared" ca="1" si="186"/>
        <v>0</v>
      </c>
      <c r="V79" s="676">
        <f t="shared" ca="1" si="186"/>
        <v>0</v>
      </c>
      <c r="W79" s="676">
        <f t="shared" ca="1" si="186"/>
        <v>0</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186"/>
        <v>0</v>
      </c>
      <c r="AB79" s="676">
        <f t="shared" ca="1" si="186"/>
        <v>0</v>
      </c>
      <c r="AC79" s="676">
        <f t="shared" ca="1" si="186"/>
        <v>0</v>
      </c>
      <c r="AD79" s="676">
        <f t="shared" ca="1" si="186"/>
        <v>0</v>
      </c>
      <c r="AE79" s="676">
        <f t="shared" ca="1" si="186"/>
        <v>0</v>
      </c>
      <c r="AF79" s="676">
        <f t="shared" ca="1" si="186"/>
        <v>0</v>
      </c>
      <c r="AG79" s="676">
        <f t="shared" ca="1" si="186"/>
        <v>0</v>
      </c>
      <c r="AH79" s="676">
        <f t="shared" ca="1" si="186"/>
        <v>0</v>
      </c>
      <c r="AI79" s="676">
        <f t="shared" ca="1" si="186"/>
        <v>0</v>
      </c>
      <c r="AJ79" s="676">
        <f t="shared" ca="1" si="186"/>
        <v>0</v>
      </c>
      <c r="AK79" s="677">
        <f ca="1">SUM(S79:AJ79)</f>
        <v>0</v>
      </c>
      <c r="AL79" s="6"/>
      <c r="AM79" s="678">
        <f t="shared" ref="AM79:BE79" ca="1" si="187">IFERROR(INDEX(INDIRECT($C79&amp;".Outputs["&amp;this.Year&amp;"]"), MATCH(AM$5, INDIRECT($C79&amp;".Outputs[Vector]"), 0)), 0)</f>
        <v>0</v>
      </c>
      <c r="AN79" s="678">
        <f t="shared" ca="1" si="187"/>
        <v>0</v>
      </c>
      <c r="AO79" s="678">
        <f t="shared" ca="1" si="187"/>
        <v>0</v>
      </c>
      <c r="AP79" s="678">
        <f t="shared" ca="1" si="187"/>
        <v>0</v>
      </c>
      <c r="AQ79" s="678">
        <f t="shared" ca="1" si="187"/>
        <v>0</v>
      </c>
      <c r="AR79" s="678">
        <f t="shared" ca="1" si="187"/>
        <v>0</v>
      </c>
      <c r="AS79" s="678">
        <f t="shared" ca="1" si="187"/>
        <v>0</v>
      </c>
      <c r="AT79" s="678">
        <f t="shared" ca="1" si="187"/>
        <v>0</v>
      </c>
      <c r="AU79" s="678">
        <f t="shared" ca="1" si="187"/>
        <v>0</v>
      </c>
      <c r="AV79" s="678">
        <f t="shared" ca="1" si="187"/>
        <v>0</v>
      </c>
      <c r="AW79" s="678">
        <f t="shared" ca="1" si="187"/>
        <v>0</v>
      </c>
      <c r="AX79" s="678">
        <f t="shared" ca="1" si="187"/>
        <v>0</v>
      </c>
      <c r="AY79" s="678">
        <f t="shared" ca="1" si="187"/>
        <v>0</v>
      </c>
      <c r="AZ79" s="678">
        <f t="shared" ca="1" si="187"/>
        <v>0</v>
      </c>
      <c r="BA79" s="678">
        <f t="shared" ca="1" si="187"/>
        <v>0</v>
      </c>
      <c r="BB79" s="678">
        <f t="shared" ca="1" si="187"/>
        <v>0</v>
      </c>
      <c r="BC79" s="678">
        <f t="shared" ca="1" si="187"/>
        <v>0</v>
      </c>
      <c r="BD79" s="678">
        <f t="shared" ca="1" si="187"/>
        <v>0</v>
      </c>
      <c r="BE79" s="678">
        <f t="shared" ca="1" si="187"/>
        <v>0</v>
      </c>
      <c r="BF79" s="679">
        <f ca="1">SUM(AM79:BE79)</f>
        <v>0</v>
      </c>
      <c r="BG79" s="6"/>
      <c r="BH79" s="3475">
        <f ca="1">IFERROR(INDEX(INDIRECT($C79&amp;".Outputs["&amp;this.Year&amp;"]"), MATCH(BH$5, INDIRECT($C79&amp;".Outputs[Vector]"), 0)), 0)</f>
        <v>0</v>
      </c>
      <c r="BI79" s="3475">
        <f ca="1">IFERROR(INDEX(INDIRECT($C79&amp;".Outputs["&amp;this.Year&amp;"]"), MATCH(BI$5, INDIRECT($C79&amp;".Outputs[Vector]"), 0)), 0)</f>
        <v>0</v>
      </c>
      <c r="BJ79" s="3466">
        <f ca="1">SUM(BH79:BI79)</f>
        <v>0</v>
      </c>
      <c r="BK79" s="6"/>
      <c r="BL79" s="610">
        <f t="shared" ca="1" si="176"/>
        <v>0</v>
      </c>
      <c r="BM79" s="610"/>
      <c r="BN79" s="413"/>
      <c r="BO79" s="2789">
        <f t="shared" ref="BO79:DF79" ca="1" si="188">IFERROR(SUMIFS(INDIRECT($C79&amp;".Emissions["&amp;this.Year&amp;"]"), INDIRECT($C79&amp;".Emissions[GHG]"), BO$6, INDIRECT($C79&amp;".Emissions[IPCC Sector]"), BO$5),0)</f>
        <v>0</v>
      </c>
      <c r="BP79" s="2790">
        <f t="shared" ca="1" si="188"/>
        <v>0</v>
      </c>
      <c r="BQ79" s="2790">
        <f t="shared" ca="1" si="188"/>
        <v>0</v>
      </c>
      <c r="BR79" s="2790">
        <f t="shared" ca="1" si="188"/>
        <v>0</v>
      </c>
      <c r="BS79" s="2790">
        <f t="shared" ca="1" si="188"/>
        <v>0</v>
      </c>
      <c r="BT79" s="2790">
        <f t="shared" ca="1" si="188"/>
        <v>0</v>
      </c>
      <c r="BU79" s="2790">
        <f t="shared" ca="1" si="188"/>
        <v>0</v>
      </c>
      <c r="BV79" s="2790">
        <f t="shared" ca="1" si="188"/>
        <v>0</v>
      </c>
      <c r="BW79" s="2790">
        <f t="shared" ca="1" si="188"/>
        <v>0</v>
      </c>
      <c r="BX79" s="2790">
        <f t="shared" ca="1" si="188"/>
        <v>0</v>
      </c>
      <c r="BY79" s="2790">
        <f t="shared" ca="1" si="188"/>
        <v>0</v>
      </c>
      <c r="BZ79" s="2790">
        <f t="shared" ca="1" si="188"/>
        <v>0</v>
      </c>
      <c r="CA79" s="2790">
        <f t="shared" ca="1" si="188"/>
        <v>0</v>
      </c>
      <c r="CB79" s="2790">
        <f t="shared" ca="1" si="188"/>
        <v>0</v>
      </c>
      <c r="CC79" s="2790">
        <f t="shared" ca="1" si="188"/>
        <v>0</v>
      </c>
      <c r="CD79" s="2790">
        <f t="shared" ca="1" si="188"/>
        <v>0</v>
      </c>
      <c r="CE79" s="2790">
        <f t="shared" ca="1" si="188"/>
        <v>0</v>
      </c>
      <c r="CF79" s="2790">
        <f t="shared" ca="1" si="188"/>
        <v>0</v>
      </c>
      <c r="CG79" s="2790">
        <f t="shared" ca="1" si="188"/>
        <v>0</v>
      </c>
      <c r="CH79" s="2790">
        <f t="shared" ca="1" si="188"/>
        <v>0</v>
      </c>
      <c r="CI79" s="2790">
        <f t="shared" ca="1" si="188"/>
        <v>0</v>
      </c>
      <c r="CJ79" s="2790">
        <f t="shared" ca="1" si="188"/>
        <v>0</v>
      </c>
      <c r="CK79" s="2790">
        <f t="shared" ca="1" si="188"/>
        <v>0</v>
      </c>
      <c r="CL79" s="2790">
        <f t="shared" ca="1" si="188"/>
        <v>0</v>
      </c>
      <c r="CM79" s="2790">
        <f t="shared" ca="1" si="188"/>
        <v>0</v>
      </c>
      <c r="CN79" s="2790">
        <f t="shared" ca="1" si="188"/>
        <v>0</v>
      </c>
      <c r="CO79" s="2790">
        <f t="shared" ca="1" si="188"/>
        <v>0</v>
      </c>
      <c r="CP79" s="2790">
        <f t="shared" ca="1" si="188"/>
        <v>0</v>
      </c>
      <c r="CQ79" s="2790">
        <f t="shared" ca="1" si="188"/>
        <v>0</v>
      </c>
      <c r="CR79" s="2790">
        <f t="shared" ca="1" si="188"/>
        <v>0</v>
      </c>
      <c r="CS79" s="2790">
        <f t="shared" ca="1" si="188"/>
        <v>0</v>
      </c>
      <c r="CT79" s="2790">
        <f t="shared" ca="1" si="188"/>
        <v>0</v>
      </c>
      <c r="CU79" s="2790">
        <f t="shared" ca="1" si="188"/>
        <v>0</v>
      </c>
      <c r="CV79" s="2790">
        <f t="shared" ca="1" si="188"/>
        <v>0</v>
      </c>
      <c r="CW79" s="2790">
        <f t="shared" ca="1" si="188"/>
        <v>0</v>
      </c>
      <c r="CX79" s="2790">
        <f t="shared" ca="1" si="188"/>
        <v>0</v>
      </c>
      <c r="CY79" s="2790">
        <f t="shared" ca="1" si="188"/>
        <v>0</v>
      </c>
      <c r="CZ79" s="2790">
        <f t="shared" ca="1" si="188"/>
        <v>0</v>
      </c>
      <c r="DA79" s="2790">
        <f t="shared" ca="1" si="188"/>
        <v>0</v>
      </c>
      <c r="DB79" s="2790">
        <f t="shared" ca="1" si="188"/>
        <v>0</v>
      </c>
      <c r="DC79" s="2790">
        <f t="shared" ca="1" si="188"/>
        <v>0</v>
      </c>
      <c r="DD79" s="2790">
        <f t="shared" ca="1" si="188"/>
        <v>0</v>
      </c>
      <c r="DE79" s="2790">
        <f t="shared" ca="1" si="188"/>
        <v>0</v>
      </c>
      <c r="DF79" s="2790">
        <f t="shared" ca="1" si="188"/>
        <v>0</v>
      </c>
      <c r="DH79" s="596">
        <f t="shared" ca="1" si="113"/>
        <v>0</v>
      </c>
    </row>
    <row r="80" spans="1:112" s="639" customFormat="1">
      <c r="C80" s="640" t="s">
        <v>555</v>
      </c>
      <c r="D80" s="668" t="s">
        <v>547</v>
      </c>
      <c r="E80" s="641"/>
      <c r="F80" s="642"/>
      <c r="G80" s="643"/>
      <c r="H80" s="643"/>
      <c r="I80" s="643"/>
      <c r="J80" s="643"/>
      <c r="K80" s="644"/>
      <c r="L80" s="643"/>
      <c r="M80" s="643"/>
      <c r="N80" s="643"/>
      <c r="O80" s="643"/>
      <c r="P80" s="643"/>
      <c r="Q80" s="643"/>
      <c r="R80" s="642"/>
      <c r="S80" s="645">
        <f ca="1">S78+S79</f>
        <v>-25.405230948014786</v>
      </c>
      <c r="T80" s="645">
        <f ca="1">T78+T79</f>
        <v>17.676159220282241</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76"/>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13"/>
        <v>0</v>
      </c>
    </row>
    <row r="81" spans="1:112" s="607" customFormat="1">
      <c r="C81" s="587" t="s">
        <v>556</v>
      </c>
      <c r="D81" s="588" t="s">
        <v>557</v>
      </c>
      <c r="E81" s="588"/>
      <c r="F81" s="6"/>
      <c r="G81" s="619">
        <f t="shared" ref="G81:P81" ca="1" si="189">IFERROR(INDEX(INDIRECT($C81&amp;".Outputs["&amp;this.Year&amp;"]"), MATCH(G$5, INDIRECT($C81&amp;".Outputs[Vector]"), 0)), 0)</f>
        <v>0</v>
      </c>
      <c r="H81" s="619">
        <f t="shared" ca="1" si="189"/>
        <v>0</v>
      </c>
      <c r="I81" s="619">
        <f t="shared" ca="1" si="189"/>
        <v>0</v>
      </c>
      <c r="J81" s="619">
        <f t="shared" ca="1" si="189"/>
        <v>0</v>
      </c>
      <c r="K81" s="619">
        <f t="shared" ca="1" si="189"/>
        <v>0</v>
      </c>
      <c r="L81" s="619">
        <f t="shared" ca="1" si="189"/>
        <v>0</v>
      </c>
      <c r="M81" s="619">
        <f t="shared" ca="1" si="189"/>
        <v>0</v>
      </c>
      <c r="N81" s="619">
        <f t="shared" ca="1" si="189"/>
        <v>0</v>
      </c>
      <c r="O81" s="619">
        <f t="shared" ca="1" si="189"/>
        <v>0</v>
      </c>
      <c r="P81" s="619">
        <f t="shared" ca="1" si="189"/>
        <v>0</v>
      </c>
      <c r="Q81" s="612">
        <f ca="1">SUM(G81:P81)</f>
        <v>0</v>
      </c>
      <c r="R81" s="6"/>
      <c r="S81" s="620">
        <f t="shared" ref="S81:AJ81" ca="1" si="190">IFERROR(INDEX(INDIRECT($C81&amp;".Outputs["&amp;this.Year&amp;"]"), MATCH(S$5, INDIRECT($C81&amp;".Outputs[Vector]"), 0)), 0)</f>
        <v>0</v>
      </c>
      <c r="T81" s="620">
        <f t="shared" ca="1" si="190"/>
        <v>7.7290717277325456</v>
      </c>
      <c r="U81" s="620">
        <f t="shared" ca="1" si="190"/>
        <v>-7.1740178123657694</v>
      </c>
      <c r="V81" s="620">
        <f t="shared" ca="1" si="190"/>
        <v>0</v>
      </c>
      <c r="W81" s="620">
        <f t="shared" ca="1" si="190"/>
        <v>-9.8129539243446295</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190"/>
        <v>0</v>
      </c>
      <c r="AB81" s="620">
        <f t="shared" ca="1" si="190"/>
        <v>0</v>
      </c>
      <c r="AC81" s="620">
        <f t="shared" ca="1" si="190"/>
        <v>0</v>
      </c>
      <c r="AD81" s="620">
        <f t="shared" ca="1" si="190"/>
        <v>0</v>
      </c>
      <c r="AE81" s="620">
        <f t="shared" ca="1" si="190"/>
        <v>0</v>
      </c>
      <c r="AF81" s="620">
        <f t="shared" ca="1" si="190"/>
        <v>0</v>
      </c>
      <c r="AG81" s="620">
        <f t="shared" ca="1" si="190"/>
        <v>0</v>
      </c>
      <c r="AH81" s="620">
        <f t="shared" ca="1" si="190"/>
        <v>0</v>
      </c>
      <c r="AI81" s="620">
        <f t="shared" ca="1" si="190"/>
        <v>0</v>
      </c>
      <c r="AJ81" s="620">
        <f t="shared" ca="1" si="190"/>
        <v>0</v>
      </c>
      <c r="AK81" s="613">
        <f ca="1">SUM(S81:AJ81)</f>
        <v>-9.2579000089778525</v>
      </c>
      <c r="AL81" s="6"/>
      <c r="AM81" s="621">
        <f t="shared" ref="AM81:BE81" ca="1" si="191">IFERROR(INDEX(INDIRECT($C81&amp;".Outputs["&amp;this.Year&amp;"]"), MATCH(AM$5, INDIRECT($C81&amp;".Outputs[Vector]"), 0)), 0)</f>
        <v>0</v>
      </c>
      <c r="AN81" s="621">
        <f t="shared" ca="1" si="191"/>
        <v>0</v>
      </c>
      <c r="AO81" s="621">
        <f t="shared" ca="1" si="191"/>
        <v>0</v>
      </c>
      <c r="AP81" s="621">
        <f t="shared" ca="1" si="191"/>
        <v>0</v>
      </c>
      <c r="AQ81" s="621">
        <f t="shared" ca="1" si="191"/>
        <v>0</v>
      </c>
      <c r="AR81" s="621">
        <f t="shared" ca="1" si="191"/>
        <v>0</v>
      </c>
      <c r="AS81" s="621">
        <f t="shared" ca="1" si="191"/>
        <v>0</v>
      </c>
      <c r="AT81" s="621">
        <f t="shared" ca="1" si="191"/>
        <v>0</v>
      </c>
      <c r="AU81" s="621">
        <f t="shared" ca="1" si="191"/>
        <v>0</v>
      </c>
      <c r="AV81" s="621">
        <f t="shared" ca="1" si="191"/>
        <v>0</v>
      </c>
      <c r="AW81" s="621">
        <f t="shared" ca="1" si="191"/>
        <v>0</v>
      </c>
      <c r="AX81" s="621">
        <f t="shared" ca="1" si="191"/>
        <v>0</v>
      </c>
      <c r="AY81" s="621">
        <f t="shared" ca="1" si="191"/>
        <v>0</v>
      </c>
      <c r="AZ81" s="621">
        <f t="shared" ca="1" si="191"/>
        <v>0</v>
      </c>
      <c r="BA81" s="621">
        <f t="shared" ca="1" si="191"/>
        <v>0</v>
      </c>
      <c r="BB81" s="621">
        <f t="shared" ca="1" si="191"/>
        <v>0</v>
      </c>
      <c r="BC81" s="621">
        <f t="shared" ca="1" si="191"/>
        <v>0</v>
      </c>
      <c r="BD81" s="621">
        <f t="shared" ca="1" si="191"/>
        <v>0</v>
      </c>
      <c r="BE81" s="621">
        <f t="shared" ca="1" si="191"/>
        <v>0</v>
      </c>
      <c r="BF81" s="615">
        <f ca="1">SUM(AM81:BE81)</f>
        <v>0</v>
      </c>
      <c r="BG81" s="6"/>
      <c r="BH81" s="3473">
        <f ca="1">IFERROR(INDEX(INDIRECT($C81&amp;".Outputs["&amp;this.Year&amp;"]"), MATCH(BH$5, INDIRECT($C81&amp;".Outputs[Vector]"), 0)), 0)</f>
        <v>9.0789408439928323</v>
      </c>
      <c r="BI81" s="3473">
        <f ca="1">IFERROR(INDEX(INDIRECT($C81&amp;".Outputs["&amp;this.Year&amp;"]"), MATCH(BI$5, INDIRECT($C81&amp;".Outputs[Vector]"), 0)), 0)</f>
        <v>0.17895916498502001</v>
      </c>
      <c r="BJ81" s="3462">
        <f ca="1">SUM(BH81:BI81)</f>
        <v>9.2579000089778525</v>
      </c>
      <c r="BK81" s="6"/>
      <c r="BL81" s="610">
        <f t="shared" ca="1" si="176"/>
        <v>0</v>
      </c>
      <c r="BM81" s="610"/>
      <c r="BN81" s="413"/>
      <c r="BO81" s="2791">
        <f t="shared" ref="BO81:DF81" ca="1" si="192">IFERROR(SUMIFS(INDIRECT($C81&amp;".Emissions["&amp;this.Year&amp;"]"), INDIRECT($C81&amp;".Emissions[GHG]"), BO$6, INDIRECT($C81&amp;".Emissions[IPCC Sector]"), BO$5),0)</f>
        <v>4.5521342699629068</v>
      </c>
      <c r="BP81" s="2792">
        <f t="shared" ca="1" si="192"/>
        <v>1.1594732415738903E-3</v>
      </c>
      <c r="BQ81" s="2792">
        <f t="shared" ca="1" si="192"/>
        <v>3.6162056213979069E-2</v>
      </c>
      <c r="BR81" s="2792">
        <f t="shared" ca="1" si="192"/>
        <v>0</v>
      </c>
      <c r="BS81" s="2792">
        <f t="shared" ca="1" si="192"/>
        <v>0</v>
      </c>
      <c r="BT81" s="2792">
        <f t="shared" ca="1" si="192"/>
        <v>0</v>
      </c>
      <c r="BU81" s="2792">
        <f t="shared" ca="1" si="192"/>
        <v>0</v>
      </c>
      <c r="BV81" s="2792">
        <f t="shared" ca="1" si="192"/>
        <v>0</v>
      </c>
      <c r="BW81" s="2792">
        <f t="shared" ca="1" si="192"/>
        <v>0</v>
      </c>
      <c r="BX81" s="2792">
        <f t="shared" ca="1" si="192"/>
        <v>0</v>
      </c>
      <c r="BY81" s="2792">
        <f t="shared" ca="1" si="192"/>
        <v>0</v>
      </c>
      <c r="BZ81" s="2792">
        <f t="shared" ca="1" si="192"/>
        <v>0</v>
      </c>
      <c r="CA81" s="2792">
        <f t="shared" ca="1" si="192"/>
        <v>0</v>
      </c>
      <c r="CB81" s="2792">
        <f t="shared" ca="1" si="192"/>
        <v>0</v>
      </c>
      <c r="CC81" s="2792">
        <f t="shared" ca="1" si="192"/>
        <v>0</v>
      </c>
      <c r="CD81" s="2792">
        <f t="shared" ca="1" si="192"/>
        <v>0</v>
      </c>
      <c r="CE81" s="2792">
        <f t="shared" ca="1" si="192"/>
        <v>0</v>
      </c>
      <c r="CF81" s="2792">
        <f t="shared" ca="1" si="192"/>
        <v>0</v>
      </c>
      <c r="CG81" s="2792">
        <f t="shared" ca="1" si="192"/>
        <v>0</v>
      </c>
      <c r="CH81" s="2792">
        <f t="shared" ca="1" si="192"/>
        <v>0</v>
      </c>
      <c r="CI81" s="2792">
        <f t="shared" ca="1" si="192"/>
        <v>0</v>
      </c>
      <c r="CJ81" s="2792">
        <f t="shared" ca="1" si="192"/>
        <v>0</v>
      </c>
      <c r="CK81" s="2792">
        <f t="shared" ca="1" si="192"/>
        <v>0</v>
      </c>
      <c r="CL81" s="2792">
        <f t="shared" ca="1" si="192"/>
        <v>0</v>
      </c>
      <c r="CM81" s="2792">
        <f t="shared" ca="1" si="192"/>
        <v>0</v>
      </c>
      <c r="CN81" s="2792">
        <f t="shared" ca="1" si="192"/>
        <v>0</v>
      </c>
      <c r="CO81" s="2792">
        <f t="shared" ca="1" si="192"/>
        <v>0</v>
      </c>
      <c r="CP81" s="2792">
        <f t="shared" ca="1" si="192"/>
        <v>0</v>
      </c>
      <c r="CQ81" s="2792">
        <f t="shared" ca="1" si="192"/>
        <v>0</v>
      </c>
      <c r="CR81" s="2792">
        <f t="shared" ca="1" si="192"/>
        <v>0</v>
      </c>
      <c r="CS81" s="2792">
        <f t="shared" ca="1" si="192"/>
        <v>0</v>
      </c>
      <c r="CT81" s="2792">
        <f t="shared" ca="1" si="192"/>
        <v>0</v>
      </c>
      <c r="CU81" s="2792">
        <f t="shared" ca="1" si="192"/>
        <v>0</v>
      </c>
      <c r="CV81" s="2792">
        <f t="shared" ca="1" si="192"/>
        <v>0</v>
      </c>
      <c r="CW81" s="2792">
        <f t="shared" ca="1" si="192"/>
        <v>0</v>
      </c>
      <c r="CX81" s="2792">
        <f t="shared" ca="1" si="192"/>
        <v>0</v>
      </c>
      <c r="CY81" s="2792">
        <f t="shared" ca="1" si="192"/>
        <v>0</v>
      </c>
      <c r="CZ81" s="2792">
        <f t="shared" ca="1" si="192"/>
        <v>0</v>
      </c>
      <c r="DA81" s="2792">
        <f t="shared" ca="1" si="192"/>
        <v>0</v>
      </c>
      <c r="DB81" s="2792">
        <f t="shared" ca="1" si="192"/>
        <v>0</v>
      </c>
      <c r="DC81" s="2792">
        <f t="shared" ca="1" si="192"/>
        <v>0</v>
      </c>
      <c r="DD81" s="2792">
        <f t="shared" ca="1" si="192"/>
        <v>0</v>
      </c>
      <c r="DE81" s="2792">
        <f t="shared" ca="1" si="192"/>
        <v>0</v>
      </c>
      <c r="DF81" s="2792">
        <f t="shared" ca="1" si="192"/>
        <v>0</v>
      </c>
      <c r="DH81" s="596">
        <f t="shared" ca="1" si="113"/>
        <v>4.5894557994184604</v>
      </c>
    </row>
    <row r="82" spans="1:112" s="6" customFormat="1" ht="15.75">
      <c r="A82" s="4"/>
      <c r="B82" s="3"/>
      <c r="C82" s="616" t="s">
        <v>558</v>
      </c>
      <c r="D82" s="617" t="s">
        <v>559</v>
      </c>
      <c r="E82" s="206"/>
      <c r="G82" s="618">
        <f t="shared" ref="G82:P82" ca="1" si="193">G79+G81</f>
        <v>0</v>
      </c>
      <c r="H82" s="618">
        <f t="shared" ca="1" si="193"/>
        <v>0</v>
      </c>
      <c r="I82" s="618">
        <f t="shared" ca="1" si="193"/>
        <v>0</v>
      </c>
      <c r="J82" s="618">
        <f t="shared" ca="1" si="193"/>
        <v>0</v>
      </c>
      <c r="K82" s="618">
        <f t="shared" ca="1" si="193"/>
        <v>0</v>
      </c>
      <c r="L82" s="618">
        <f t="shared" ca="1" si="193"/>
        <v>0</v>
      </c>
      <c r="M82" s="618">
        <f t="shared" ca="1" si="193"/>
        <v>0</v>
      </c>
      <c r="N82" s="618">
        <f t="shared" ca="1" si="193"/>
        <v>0</v>
      </c>
      <c r="O82" s="618">
        <f t="shared" ca="1" si="193"/>
        <v>0</v>
      </c>
      <c r="P82" s="618">
        <f t="shared" ca="1" si="193"/>
        <v>0</v>
      </c>
      <c r="Q82" s="618">
        <f ca="1">SUM(G82:P82)</f>
        <v>0</v>
      </c>
      <c r="S82" s="581">
        <f t="shared" ref="S82:AJ82" ca="1" si="194">S79+S81</f>
        <v>0</v>
      </c>
      <c r="T82" s="581">
        <f t="shared" ca="1" si="194"/>
        <v>7.7290717277325456</v>
      </c>
      <c r="U82" s="581">
        <f t="shared" ca="1" si="194"/>
        <v>-7.1740178123657694</v>
      </c>
      <c r="V82" s="581">
        <f t="shared" ca="1" si="194"/>
        <v>0</v>
      </c>
      <c r="W82" s="581">
        <f t="shared" ca="1" si="194"/>
        <v>-9.8129539243446295</v>
      </c>
      <c r="X82" s="581">
        <f t="shared" ca="1" si="194"/>
        <v>0</v>
      </c>
      <c r="Y82" s="581">
        <f t="shared" ca="1" si="194"/>
        <v>0</v>
      </c>
      <c r="Z82" s="581">
        <f t="shared" ca="1" si="194"/>
        <v>0</v>
      </c>
      <c r="AA82" s="581">
        <f t="shared" ca="1" si="194"/>
        <v>0</v>
      </c>
      <c r="AB82" s="581">
        <f t="shared" ca="1" si="194"/>
        <v>0</v>
      </c>
      <c r="AC82" s="581">
        <f t="shared" ca="1" si="194"/>
        <v>0</v>
      </c>
      <c r="AD82" s="581">
        <f ca="1">AD79+AD81</f>
        <v>0</v>
      </c>
      <c r="AE82" s="581">
        <f ca="1">AE79+AE81</f>
        <v>0</v>
      </c>
      <c r="AF82" s="581">
        <f t="shared" ca="1" si="194"/>
        <v>0</v>
      </c>
      <c r="AG82" s="581">
        <f t="shared" ca="1" si="194"/>
        <v>0</v>
      </c>
      <c r="AH82" s="581">
        <f ca="1">AH79+AH81</f>
        <v>0</v>
      </c>
      <c r="AI82" s="581">
        <f t="shared" ca="1" si="194"/>
        <v>0</v>
      </c>
      <c r="AJ82" s="581">
        <f t="shared" ca="1" si="194"/>
        <v>0</v>
      </c>
      <c r="AK82" s="581">
        <f ca="1">SUM(S82:AJ82)</f>
        <v>-9.2579000089778525</v>
      </c>
      <c r="AM82" s="582">
        <f t="shared" ref="AM82:BE82" ca="1" si="195">AM79+AM81</f>
        <v>0</v>
      </c>
      <c r="AN82" s="582">
        <f t="shared" ca="1" si="195"/>
        <v>0</v>
      </c>
      <c r="AO82" s="582">
        <f t="shared" ca="1" si="195"/>
        <v>0</v>
      </c>
      <c r="AP82" s="582">
        <f t="shared" ca="1" si="195"/>
        <v>0</v>
      </c>
      <c r="AQ82" s="582">
        <f t="shared" ca="1" si="195"/>
        <v>0</v>
      </c>
      <c r="AR82" s="582">
        <f t="shared" ca="1" si="195"/>
        <v>0</v>
      </c>
      <c r="AS82" s="582">
        <f t="shared" ca="1" si="195"/>
        <v>0</v>
      </c>
      <c r="AT82" s="582">
        <f t="shared" ca="1" si="195"/>
        <v>0</v>
      </c>
      <c r="AU82" s="582">
        <f t="shared" ca="1" si="195"/>
        <v>0</v>
      </c>
      <c r="AV82" s="582">
        <f t="shared" ca="1" si="195"/>
        <v>0</v>
      </c>
      <c r="AW82" s="582">
        <f t="shared" ca="1" si="195"/>
        <v>0</v>
      </c>
      <c r="AX82" s="582">
        <f t="shared" ca="1" si="195"/>
        <v>0</v>
      </c>
      <c r="AY82" s="582">
        <f t="shared" ca="1" si="195"/>
        <v>0</v>
      </c>
      <c r="AZ82" s="582">
        <f t="shared" ca="1" si="195"/>
        <v>0</v>
      </c>
      <c r="BA82" s="582">
        <f t="shared" ca="1" si="195"/>
        <v>0</v>
      </c>
      <c r="BB82" s="582">
        <f t="shared" ca="1" si="195"/>
        <v>0</v>
      </c>
      <c r="BC82" s="582">
        <f t="shared" ca="1" si="195"/>
        <v>0</v>
      </c>
      <c r="BD82" s="582">
        <f t="shared" ca="1" si="195"/>
        <v>0</v>
      </c>
      <c r="BE82" s="582">
        <f t="shared" ca="1" si="195"/>
        <v>0</v>
      </c>
      <c r="BF82" s="582">
        <f ca="1">SUM(AM82:BE82)</f>
        <v>0</v>
      </c>
      <c r="BH82" s="3463">
        <f ca="1">BH79+BH81</f>
        <v>9.0789408439928323</v>
      </c>
      <c r="BI82" s="3463">
        <f ca="1">BI79+BI81</f>
        <v>0.17895916498502001</v>
      </c>
      <c r="BJ82" s="3463">
        <f ca="1">SUM(BH82:BI82)</f>
        <v>9.2579000089778525</v>
      </c>
      <c r="BL82" s="3477">
        <f t="shared" ca="1" si="176"/>
        <v>0</v>
      </c>
      <c r="BM82" s="584"/>
      <c r="BN82" s="413"/>
      <c r="BO82" s="2790">
        <f t="shared" ref="BO82:DF82" ca="1" si="196">BO79+BO81</f>
        <v>4.5521342699629068</v>
      </c>
      <c r="BP82" s="2790">
        <f t="shared" ca="1" si="196"/>
        <v>1.1594732415738903E-3</v>
      </c>
      <c r="BQ82" s="2790">
        <f t="shared" ca="1" si="196"/>
        <v>3.6162056213979069E-2</v>
      </c>
      <c r="BR82" s="2790">
        <f t="shared" ca="1" si="196"/>
        <v>0</v>
      </c>
      <c r="BS82" s="2790">
        <f t="shared" ca="1" si="196"/>
        <v>0</v>
      </c>
      <c r="BT82" s="2790">
        <f t="shared" ca="1" si="196"/>
        <v>0</v>
      </c>
      <c r="BU82" s="2790">
        <f t="shared" ca="1" si="196"/>
        <v>0</v>
      </c>
      <c r="BV82" s="2790">
        <f t="shared" ca="1" si="196"/>
        <v>0</v>
      </c>
      <c r="BW82" s="2790">
        <f t="shared" ca="1" si="196"/>
        <v>0</v>
      </c>
      <c r="BX82" s="2790">
        <f t="shared" ca="1" si="196"/>
        <v>0</v>
      </c>
      <c r="BY82" s="2790">
        <f t="shared" ca="1" si="196"/>
        <v>0</v>
      </c>
      <c r="BZ82" s="2790">
        <f t="shared" ca="1" si="196"/>
        <v>0</v>
      </c>
      <c r="CA82" s="2790">
        <f t="shared" ca="1" si="196"/>
        <v>0</v>
      </c>
      <c r="CB82" s="2790">
        <f t="shared" ca="1" si="196"/>
        <v>0</v>
      </c>
      <c r="CC82" s="2790">
        <f t="shared" ca="1" si="196"/>
        <v>0</v>
      </c>
      <c r="CD82" s="2790">
        <f t="shared" ca="1" si="196"/>
        <v>0</v>
      </c>
      <c r="CE82" s="2790">
        <f t="shared" ca="1" si="196"/>
        <v>0</v>
      </c>
      <c r="CF82" s="2790">
        <f t="shared" ca="1" si="196"/>
        <v>0</v>
      </c>
      <c r="CG82" s="2790">
        <f t="shared" ca="1" si="196"/>
        <v>0</v>
      </c>
      <c r="CH82" s="2790">
        <f t="shared" ca="1" si="196"/>
        <v>0</v>
      </c>
      <c r="CI82" s="2790">
        <f t="shared" ca="1" si="196"/>
        <v>0</v>
      </c>
      <c r="CJ82" s="2790">
        <f t="shared" ca="1" si="196"/>
        <v>0</v>
      </c>
      <c r="CK82" s="2790">
        <f t="shared" ca="1" si="196"/>
        <v>0</v>
      </c>
      <c r="CL82" s="2790">
        <f t="shared" ca="1" si="196"/>
        <v>0</v>
      </c>
      <c r="CM82" s="2790">
        <f t="shared" ca="1" si="196"/>
        <v>0</v>
      </c>
      <c r="CN82" s="2790">
        <f t="shared" ca="1" si="196"/>
        <v>0</v>
      </c>
      <c r="CO82" s="2790">
        <f t="shared" ca="1" si="196"/>
        <v>0</v>
      </c>
      <c r="CP82" s="2790">
        <f t="shared" ca="1" si="196"/>
        <v>0</v>
      </c>
      <c r="CQ82" s="2790">
        <f t="shared" ca="1" si="196"/>
        <v>0</v>
      </c>
      <c r="CR82" s="2790">
        <f t="shared" ca="1" si="196"/>
        <v>0</v>
      </c>
      <c r="CS82" s="2790">
        <f t="shared" ca="1" si="196"/>
        <v>0</v>
      </c>
      <c r="CT82" s="2790">
        <f t="shared" ca="1" si="196"/>
        <v>0</v>
      </c>
      <c r="CU82" s="2790">
        <f t="shared" ca="1" si="196"/>
        <v>0</v>
      </c>
      <c r="CV82" s="2790">
        <f t="shared" ca="1" si="196"/>
        <v>0</v>
      </c>
      <c r="CW82" s="2790">
        <f t="shared" ca="1" si="196"/>
        <v>0</v>
      </c>
      <c r="CX82" s="2790">
        <f t="shared" ca="1" si="196"/>
        <v>0</v>
      </c>
      <c r="CY82" s="2790">
        <f t="shared" ca="1" si="196"/>
        <v>0</v>
      </c>
      <c r="CZ82" s="2790">
        <f t="shared" ca="1" si="196"/>
        <v>0</v>
      </c>
      <c r="DA82" s="2790">
        <f t="shared" ca="1" si="196"/>
        <v>0</v>
      </c>
      <c r="DB82" s="2790">
        <f t="shared" ca="1" si="196"/>
        <v>0</v>
      </c>
      <c r="DC82" s="2790">
        <f t="shared" ca="1" si="196"/>
        <v>0</v>
      </c>
      <c r="DD82" s="2790">
        <f t="shared" ca="1" si="196"/>
        <v>0</v>
      </c>
      <c r="DE82" s="2790">
        <f t="shared" ca="1" si="196"/>
        <v>0</v>
      </c>
      <c r="DF82" s="2790">
        <f t="shared" ca="1" si="196"/>
        <v>0</v>
      </c>
      <c r="DH82" s="596">
        <f t="shared" ca="1" si="113"/>
        <v>4.5894557994184604</v>
      </c>
    </row>
    <row r="83" spans="1:112" s="6" customForma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76"/>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197">G$51+G$55+G$63+G$68+G$72+G$76+G$82+G$46</f>
        <v>0</v>
      </c>
      <c r="H84" s="680">
        <f t="shared" ca="1" si="197"/>
        <v>6.285240016524217E-2</v>
      </c>
      <c r="I84" s="680">
        <f t="shared" ca="1" si="197"/>
        <v>3.3660818876377818</v>
      </c>
      <c r="J84" s="680">
        <f t="shared" ca="1" si="197"/>
        <v>0</v>
      </c>
      <c r="K84" s="681">
        <f t="shared" ca="1" si="197"/>
        <v>0</v>
      </c>
      <c r="L84" s="680">
        <f t="shared" ca="1" si="197"/>
        <v>0</v>
      </c>
      <c r="M84" s="680">
        <f t="shared" ca="1" si="197"/>
        <v>0</v>
      </c>
      <c r="N84" s="680">
        <f t="shared" ca="1" si="197"/>
        <v>0</v>
      </c>
      <c r="O84" s="680">
        <f t="shared" ca="1" si="197"/>
        <v>0</v>
      </c>
      <c r="P84" s="680">
        <f t="shared" ca="1" si="197"/>
        <v>0</v>
      </c>
      <c r="Q84" s="633">
        <f ca="1">SUM(G84:P84)</f>
        <v>3.428934287803024</v>
      </c>
      <c r="S84" s="634">
        <f t="shared" ref="S84:AJ84" ca="1" si="198">S$51+S$55+S$63+S$68+S$72+S$76+S$82+S$46</f>
        <v>-0.87577080455208944</v>
      </c>
      <c r="T84" s="634">
        <f t="shared" ca="1" si="198"/>
        <v>23.661079644914771</v>
      </c>
      <c r="U84" s="634">
        <f t="shared" ca="1" si="198"/>
        <v>-7.1747363657008263</v>
      </c>
      <c r="V84" s="634">
        <f t="shared" ca="1" si="198"/>
        <v>-3.9727940387774918</v>
      </c>
      <c r="W84" s="634">
        <f t="shared" ca="1" si="198"/>
        <v>-10.557768478306292</v>
      </c>
      <c r="X84" s="634">
        <f t="shared" ca="1" si="198"/>
        <v>2.2402186688480645</v>
      </c>
      <c r="Y84" s="634">
        <f t="shared" ca="1" si="198"/>
        <v>0</v>
      </c>
      <c r="Z84" s="634">
        <f t="shared" ca="1" si="198"/>
        <v>10</v>
      </c>
      <c r="AA84" s="634">
        <f t="shared" ca="1" si="198"/>
        <v>0</v>
      </c>
      <c r="AB84" s="634">
        <f t="shared" ca="1" si="198"/>
        <v>0</v>
      </c>
      <c r="AC84" s="634">
        <f t="shared" ca="1" si="198"/>
        <v>0</v>
      </c>
      <c r="AD84" s="634">
        <f t="shared" ca="1" si="198"/>
        <v>19.357134768779371</v>
      </c>
      <c r="AE84" s="634">
        <f t="shared" ca="1" si="198"/>
        <v>0.37055006275752844</v>
      </c>
      <c r="AF84" s="634">
        <f t="shared" ca="1" si="198"/>
        <v>8.3320251015035147</v>
      </c>
      <c r="AG84" s="634">
        <f t="shared" ca="1" si="198"/>
        <v>3.021188431319072</v>
      </c>
      <c r="AH84" s="634">
        <f t="shared" ca="1" si="198"/>
        <v>0.16872527422163447</v>
      </c>
      <c r="AI84" s="634">
        <f t="shared" ca="1" si="198"/>
        <v>0.87993360231339046</v>
      </c>
      <c r="AJ84" s="634">
        <f t="shared" ca="1" si="198"/>
        <v>3.1077607021923297E-3</v>
      </c>
      <c r="AK84" s="634">
        <f ca="1">SUM(S84:AJ84)</f>
        <v>45.452893628022849</v>
      </c>
      <c r="AM84" s="635">
        <f t="shared" ref="AM84:BE84" ca="1" si="199">AM$51+AM$55+AM$63+AM$68+AM$72+AM$76+AM$82+AM$46</f>
        <v>-2</v>
      </c>
      <c r="AN84" s="635">
        <f t="shared" ca="1" si="199"/>
        <v>0</v>
      </c>
      <c r="AO84" s="635">
        <f t="shared" ca="1" si="199"/>
        <v>-10</v>
      </c>
      <c r="AP84" s="635">
        <f t="shared" ca="1" si="199"/>
        <v>0</v>
      </c>
      <c r="AQ84" s="635">
        <f t="shared" ca="1" si="199"/>
        <v>0</v>
      </c>
      <c r="AR84" s="635">
        <f t="shared" ca="1" si="199"/>
        <v>0</v>
      </c>
      <c r="AS84" s="635">
        <f t="shared" ca="1" si="199"/>
        <v>0</v>
      </c>
      <c r="AT84" s="635">
        <f t="shared" ca="1" si="199"/>
        <v>0</v>
      </c>
      <c r="AU84" s="635">
        <f t="shared" ca="1" si="199"/>
        <v>0</v>
      </c>
      <c r="AV84" s="635">
        <f t="shared" ca="1" si="199"/>
        <v>0</v>
      </c>
      <c r="AW84" s="635">
        <f t="shared" ca="1" si="199"/>
        <v>-1.7302356023133905</v>
      </c>
      <c r="AX84" s="635">
        <f t="shared" ca="1" si="199"/>
        <v>-13.589929799999998</v>
      </c>
      <c r="AY84" s="635">
        <f t="shared" ca="1" si="199"/>
        <v>-0.31557600000000013</v>
      </c>
      <c r="AZ84" s="635">
        <f t="shared" ca="1" si="199"/>
        <v>-0.39052530000000008</v>
      </c>
      <c r="BA84" s="635">
        <f t="shared" ca="1" si="199"/>
        <v>0</v>
      </c>
      <c r="BB84" s="635">
        <f t="shared" ca="1" si="199"/>
        <v>-0.78946596000000002</v>
      </c>
      <c r="BC84" s="635">
        <f t="shared" ca="1" si="199"/>
        <v>0</v>
      </c>
      <c r="BD84" s="635">
        <f t="shared" ca="1" si="199"/>
        <v>-19.766573720425786</v>
      </c>
      <c r="BE84" s="635">
        <f t="shared" ca="1" si="199"/>
        <v>-11.723268587003396</v>
      </c>
      <c r="BF84" s="635">
        <f ca="1">SUM(AM84:BE84)</f>
        <v>-60.305574969742572</v>
      </c>
      <c r="BH84" s="3464">
        <f ca="1">BH$51+BH$55+BH$63+BH$68+BH$72+BH$76+BH$82+BH$46</f>
        <v>9.0575740175460755</v>
      </c>
      <c r="BI84" s="3464">
        <f ca="1">BI$51+BI$55+BI$63+BI$68+BI$72+BI$76+BI$82+BI$46</f>
        <v>2.3661730363706348</v>
      </c>
      <c r="BJ84" s="3464">
        <f ca="1">SUM(BH84:BI84)</f>
        <v>11.42374705391671</v>
      </c>
      <c r="BL84" s="3478">
        <f t="shared" ca="1" si="176"/>
        <v>0</v>
      </c>
      <c r="BM84" s="636"/>
      <c r="BO84" s="2793">
        <f t="shared" ref="BO84:DE84" ca="1" si="200">BO$51+BO$55+BO$63+BO$68+BO$72+BO$76+BO$82+BO$46</f>
        <v>5.7526549681066363</v>
      </c>
      <c r="BP84" s="2793">
        <f t="shared" ca="1" si="200"/>
        <v>2.1167003015244812E-3</v>
      </c>
      <c r="BQ84" s="2793">
        <f t="shared" ca="1" si="200"/>
        <v>4.1228021835121337E-2</v>
      </c>
      <c r="BR84" s="2793">
        <f t="shared" ca="1" si="200"/>
        <v>0</v>
      </c>
      <c r="BS84" s="2793">
        <f t="shared" ca="1" si="200"/>
        <v>0</v>
      </c>
      <c r="BT84" s="2793">
        <f t="shared" ca="1" si="200"/>
        <v>0</v>
      </c>
      <c r="BU84" s="2793">
        <f t="shared" ca="1" si="200"/>
        <v>0</v>
      </c>
      <c r="BV84" s="2793">
        <f t="shared" ca="1" si="200"/>
        <v>0</v>
      </c>
      <c r="BW84" s="2793">
        <f t="shared" ca="1" si="200"/>
        <v>0</v>
      </c>
      <c r="BX84" s="2793">
        <f t="shared" ca="1" si="200"/>
        <v>0</v>
      </c>
      <c r="BY84" s="2793">
        <f t="shared" ca="1" si="200"/>
        <v>0</v>
      </c>
      <c r="BZ84" s="2793">
        <f t="shared" ca="1" si="200"/>
        <v>0</v>
      </c>
      <c r="CA84" s="2793">
        <f t="shared" ca="1" si="200"/>
        <v>0</v>
      </c>
      <c r="CB84" s="2793">
        <f t="shared" ca="1" si="200"/>
        <v>0</v>
      </c>
      <c r="CC84" s="2793">
        <f t="shared" ca="1" si="200"/>
        <v>0</v>
      </c>
      <c r="CD84" s="2793">
        <f t="shared" ca="1" si="200"/>
        <v>0</v>
      </c>
      <c r="CE84" s="2793">
        <f t="shared" ca="1" si="200"/>
        <v>0</v>
      </c>
      <c r="CF84" s="2793">
        <f t="shared" ca="1" si="200"/>
        <v>9.7983306774184697</v>
      </c>
      <c r="CG84" s="2793">
        <f t="shared" ca="1" si="200"/>
        <v>5.9721828183195766</v>
      </c>
      <c r="CH84" s="2793">
        <f t="shared" ca="1" si="200"/>
        <v>0</v>
      </c>
      <c r="CI84" s="2793">
        <f t="shared" ca="1" si="200"/>
        <v>-0.65512751732099117</v>
      </c>
      <c r="CJ84" s="2793">
        <f t="shared" ca="1" si="200"/>
        <v>0</v>
      </c>
      <c r="CK84" s="2793">
        <f t="shared" ca="1" si="200"/>
        <v>0</v>
      </c>
      <c r="CL84" s="2793">
        <f t="shared" ca="1" si="200"/>
        <v>0</v>
      </c>
      <c r="CM84" s="2793">
        <f t="shared" ca="1" si="200"/>
        <v>0</v>
      </c>
      <c r="CN84" s="2793">
        <f t="shared" ca="1" si="200"/>
        <v>0.60925043615004382</v>
      </c>
      <c r="CO84" s="2793">
        <f t="shared" ca="1" si="200"/>
        <v>5.7356255357142859E-2</v>
      </c>
      <c r="CP84" s="2793">
        <f t="shared" ca="1" si="200"/>
        <v>0</v>
      </c>
      <c r="CQ84" s="2793">
        <f t="shared" ca="1" si="200"/>
        <v>0</v>
      </c>
      <c r="CR84" s="2793">
        <f t="shared" ca="1" si="200"/>
        <v>0</v>
      </c>
      <c r="CS84" s="2793">
        <f t="shared" ca="1" si="200"/>
        <v>0</v>
      </c>
      <c r="CT84" s="2793">
        <f t="shared" ca="1" si="200"/>
        <v>0</v>
      </c>
      <c r="CU84" s="2793">
        <f t="shared" ca="1" si="200"/>
        <v>0</v>
      </c>
      <c r="CV84" s="2793">
        <f t="shared" ca="1" si="200"/>
        <v>0</v>
      </c>
      <c r="CW84" s="2793">
        <f t="shared" ca="1" si="200"/>
        <v>0</v>
      </c>
      <c r="CX84" s="2793">
        <f t="shared" ca="1" si="200"/>
        <v>0</v>
      </c>
      <c r="CY84" s="2793">
        <f t="shared" ca="1" si="200"/>
        <v>0</v>
      </c>
      <c r="CZ84" s="2793">
        <f t="shared" ca="1" si="200"/>
        <v>0</v>
      </c>
      <c r="DA84" s="2793">
        <f t="shared" ca="1" si="200"/>
        <v>0</v>
      </c>
      <c r="DB84" s="2793">
        <f t="shared" ca="1" si="200"/>
        <v>0</v>
      </c>
      <c r="DC84" s="2793">
        <f t="shared" ca="1" si="200"/>
        <v>0</v>
      </c>
      <c r="DD84" s="2793">
        <f t="shared" ca="1" si="200"/>
        <v>0</v>
      </c>
      <c r="DE84" s="2793">
        <f t="shared" ca="1" si="200"/>
        <v>0</v>
      </c>
      <c r="DF84" s="2793">
        <f ca="1">DF$51+DF$99+DF$55+DF$63+DF$68+DF$76+DF$82+DF$46</f>
        <v>0</v>
      </c>
      <c r="DH84" s="637">
        <f ca="1">SUM(BO84:DF84)</f>
        <v>21.577992360167524</v>
      </c>
    </row>
    <row r="85" spans="1:112" s="6" customForma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76"/>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15.75">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76"/>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76"/>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c r="C89" s="651" t="s">
        <v>563</v>
      </c>
      <c r="D89" s="588" t="s">
        <v>564</v>
      </c>
      <c r="E89" s="588"/>
      <c r="F89" s="6"/>
      <c r="G89" s="589">
        <f t="shared" ref="G89:P89" ca="1" si="201">IFERROR(INDEX(INDIRECT($C89&amp;".Outputs["&amp;this.Year&amp;"]"), MATCH(G$5, INDIRECT($C89&amp;".Outputs[Vector]"), 0)), 0)</f>
        <v>0</v>
      </c>
      <c r="H89" s="589">
        <f t="shared" ca="1" si="201"/>
        <v>0</v>
      </c>
      <c r="I89" s="589">
        <f t="shared" ca="1" si="201"/>
        <v>0</v>
      </c>
      <c r="J89" s="589">
        <f t="shared" ca="1" si="201"/>
        <v>0</v>
      </c>
      <c r="K89" s="589">
        <f t="shared" ca="1" si="201"/>
        <v>0</v>
      </c>
      <c r="L89" s="589">
        <f t="shared" ca="1" si="201"/>
        <v>0</v>
      </c>
      <c r="M89" s="589">
        <f t="shared" ca="1" si="201"/>
        <v>0</v>
      </c>
      <c r="N89" s="589">
        <f t="shared" ca="1" si="201"/>
        <v>0</v>
      </c>
      <c r="O89" s="589">
        <f t="shared" ca="1" si="201"/>
        <v>0</v>
      </c>
      <c r="P89" s="589">
        <f t="shared" ca="1" si="201"/>
        <v>0</v>
      </c>
      <c r="Q89" s="590">
        <f ca="1">SUM(G89:P89)</f>
        <v>0</v>
      </c>
      <c r="R89" s="6"/>
      <c r="S89" s="591">
        <f t="shared" ref="S89:AJ89" ca="1" si="202">IFERROR(INDEX(INDIRECT($C89&amp;".Outputs["&amp;this.Year&amp;"]"), MATCH(S$5, INDIRECT($C89&amp;".Outputs[Vector]"), 0)), 0)</f>
        <v>0</v>
      </c>
      <c r="T89" s="591">
        <f t="shared" ca="1" si="202"/>
        <v>2.5</v>
      </c>
      <c r="U89" s="591">
        <f t="shared" ca="1" si="202"/>
        <v>0</v>
      </c>
      <c r="V89" s="591">
        <f t="shared" ca="1" si="202"/>
        <v>0</v>
      </c>
      <c r="W89" s="591">
        <f t="shared" ca="1" si="202"/>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02"/>
        <v>0</v>
      </c>
      <c r="AB89" s="591">
        <f t="shared" ca="1" si="202"/>
        <v>0</v>
      </c>
      <c r="AC89" s="591">
        <f t="shared" ca="1" si="202"/>
        <v>0</v>
      </c>
      <c r="AD89" s="591">
        <f t="shared" ca="1" si="202"/>
        <v>0</v>
      </c>
      <c r="AE89" s="591">
        <f t="shared" ca="1" si="202"/>
        <v>0</v>
      </c>
      <c r="AF89" s="591">
        <f t="shared" ca="1" si="202"/>
        <v>0</v>
      </c>
      <c r="AG89" s="591">
        <f t="shared" ca="1" si="202"/>
        <v>0</v>
      </c>
      <c r="AH89" s="591">
        <f t="shared" ca="1" si="202"/>
        <v>0</v>
      </c>
      <c r="AI89" s="591">
        <f t="shared" ca="1" si="202"/>
        <v>0</v>
      </c>
      <c r="AJ89" s="591">
        <f t="shared" ca="1" si="202"/>
        <v>0</v>
      </c>
      <c r="AK89" s="592">
        <f ca="1">SUM(S89:AJ89)</f>
        <v>2.5</v>
      </c>
      <c r="AL89" s="6"/>
      <c r="AM89" s="593">
        <f t="shared" ref="AM89:BE89" ca="1" si="203">IFERROR(INDEX(INDIRECT($C89&amp;".Outputs["&amp;this.Year&amp;"]"), MATCH(AM$5, INDIRECT($C89&amp;".Outputs[Vector]"), 0)), 0)</f>
        <v>0</v>
      </c>
      <c r="AN89" s="593">
        <f t="shared" ca="1" si="203"/>
        <v>0</v>
      </c>
      <c r="AO89" s="593">
        <f t="shared" ca="1" si="203"/>
        <v>0</v>
      </c>
      <c r="AP89" s="593">
        <f t="shared" ca="1" si="203"/>
        <v>0</v>
      </c>
      <c r="AQ89" s="593">
        <f t="shared" ca="1" si="203"/>
        <v>-2.5</v>
      </c>
      <c r="AR89" s="593">
        <f t="shared" ca="1" si="203"/>
        <v>0</v>
      </c>
      <c r="AS89" s="593">
        <f t="shared" ca="1" si="203"/>
        <v>0</v>
      </c>
      <c r="AT89" s="593">
        <f t="shared" ca="1" si="203"/>
        <v>0</v>
      </c>
      <c r="AU89" s="593">
        <f t="shared" ca="1" si="203"/>
        <v>0</v>
      </c>
      <c r="AV89" s="593">
        <f t="shared" ca="1" si="203"/>
        <v>0</v>
      </c>
      <c r="AW89" s="593">
        <f t="shared" ca="1" si="203"/>
        <v>0</v>
      </c>
      <c r="AX89" s="593">
        <f t="shared" ca="1" si="203"/>
        <v>0</v>
      </c>
      <c r="AY89" s="593">
        <f t="shared" ca="1" si="203"/>
        <v>0</v>
      </c>
      <c r="AZ89" s="593">
        <f t="shared" ca="1" si="203"/>
        <v>0</v>
      </c>
      <c r="BA89" s="593">
        <f t="shared" ca="1" si="203"/>
        <v>0</v>
      </c>
      <c r="BB89" s="593">
        <f t="shared" ca="1" si="203"/>
        <v>0</v>
      </c>
      <c r="BC89" s="593">
        <f t="shared" ca="1" si="203"/>
        <v>0</v>
      </c>
      <c r="BD89" s="593">
        <f t="shared" ca="1" si="203"/>
        <v>0</v>
      </c>
      <c r="BE89" s="593">
        <f t="shared" ca="1" si="203"/>
        <v>0</v>
      </c>
      <c r="BF89" s="609">
        <f ca="1">SUM(AM89:BE89)</f>
        <v>-2.5</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04">Q89+AK89+BF89+BJ89</f>
        <v>0</v>
      </c>
      <c r="BM89" s="610"/>
      <c r="BO89" s="2789">
        <f t="shared" ref="BO89:DF89" ca="1" si="205">IFERROR(SUMIFS(INDIRECT($C89&amp;".Emissions["&amp;this.Year&amp;"]"), INDIRECT($C89&amp;".Emissions[GHG]"), BO$6, INDIRECT($C89&amp;".Emissions[IPCC Sector]"), BO$5),0)</f>
        <v>0</v>
      </c>
      <c r="BP89" s="2790">
        <f t="shared" ca="1" si="205"/>
        <v>0</v>
      </c>
      <c r="BQ89" s="2790">
        <f t="shared" ca="1" si="205"/>
        <v>0</v>
      </c>
      <c r="BR89" s="2790">
        <f t="shared" ca="1" si="205"/>
        <v>0</v>
      </c>
      <c r="BS89" s="2790">
        <f t="shared" ca="1" si="205"/>
        <v>0</v>
      </c>
      <c r="BT89" s="2790">
        <f t="shared" ca="1" si="205"/>
        <v>0</v>
      </c>
      <c r="BU89" s="2790">
        <f t="shared" ca="1" si="205"/>
        <v>0</v>
      </c>
      <c r="BV89" s="2790">
        <f t="shared" ca="1" si="205"/>
        <v>0</v>
      </c>
      <c r="BW89" s="2790">
        <f t="shared" ca="1" si="205"/>
        <v>0</v>
      </c>
      <c r="BX89" s="2790">
        <f t="shared" ca="1" si="205"/>
        <v>0</v>
      </c>
      <c r="BY89" s="2790">
        <f t="shared" ca="1" si="205"/>
        <v>0</v>
      </c>
      <c r="BZ89" s="2790">
        <f t="shared" ca="1" si="205"/>
        <v>0</v>
      </c>
      <c r="CA89" s="2790">
        <f t="shared" ca="1" si="205"/>
        <v>0</v>
      </c>
      <c r="CB89" s="2790">
        <f t="shared" ca="1" si="205"/>
        <v>0</v>
      </c>
      <c r="CC89" s="2790">
        <f t="shared" ca="1" si="205"/>
        <v>0</v>
      </c>
      <c r="CD89" s="2790">
        <f t="shared" ca="1" si="205"/>
        <v>0</v>
      </c>
      <c r="CE89" s="2790">
        <f t="shared" ca="1" si="205"/>
        <v>0</v>
      </c>
      <c r="CF89" s="2790">
        <f t="shared" ca="1" si="205"/>
        <v>0</v>
      </c>
      <c r="CG89" s="2790">
        <f t="shared" ca="1" si="205"/>
        <v>0</v>
      </c>
      <c r="CH89" s="2790">
        <f t="shared" ca="1" si="205"/>
        <v>0</v>
      </c>
      <c r="CI89" s="2790">
        <f t="shared" ca="1" si="205"/>
        <v>0</v>
      </c>
      <c r="CJ89" s="2790">
        <f t="shared" ca="1" si="205"/>
        <v>0</v>
      </c>
      <c r="CK89" s="2790">
        <f t="shared" ca="1" si="205"/>
        <v>0</v>
      </c>
      <c r="CL89" s="2790">
        <f t="shared" ca="1" si="205"/>
        <v>0</v>
      </c>
      <c r="CM89" s="2790">
        <f t="shared" ca="1" si="205"/>
        <v>0</v>
      </c>
      <c r="CN89" s="2790">
        <f t="shared" ca="1" si="205"/>
        <v>0</v>
      </c>
      <c r="CO89" s="2790">
        <f t="shared" ca="1" si="205"/>
        <v>0</v>
      </c>
      <c r="CP89" s="2790">
        <f t="shared" ca="1" si="205"/>
        <v>0</v>
      </c>
      <c r="CQ89" s="2790">
        <f t="shared" ca="1" si="205"/>
        <v>0</v>
      </c>
      <c r="CR89" s="2790">
        <f t="shared" ca="1" si="205"/>
        <v>0</v>
      </c>
      <c r="CS89" s="2790">
        <f t="shared" ca="1" si="205"/>
        <v>0</v>
      </c>
      <c r="CT89" s="2790">
        <f t="shared" ca="1" si="205"/>
        <v>0</v>
      </c>
      <c r="CU89" s="2790">
        <f t="shared" ca="1" si="205"/>
        <v>0</v>
      </c>
      <c r="CV89" s="2790">
        <f t="shared" ca="1" si="205"/>
        <v>0</v>
      </c>
      <c r="CW89" s="2790">
        <f t="shared" ca="1" si="205"/>
        <v>0</v>
      </c>
      <c r="CX89" s="2790">
        <f t="shared" ca="1" si="205"/>
        <v>0</v>
      </c>
      <c r="CY89" s="2790">
        <f t="shared" ca="1" si="205"/>
        <v>0</v>
      </c>
      <c r="CZ89" s="2790">
        <f t="shared" ca="1" si="205"/>
        <v>0</v>
      </c>
      <c r="DA89" s="2790">
        <f t="shared" ca="1" si="205"/>
        <v>0</v>
      </c>
      <c r="DB89" s="2790">
        <f t="shared" ca="1" si="205"/>
        <v>0</v>
      </c>
      <c r="DC89" s="2790">
        <f t="shared" ca="1" si="205"/>
        <v>0</v>
      </c>
      <c r="DD89" s="2790">
        <f t="shared" ca="1" si="205"/>
        <v>0</v>
      </c>
      <c r="DE89" s="2790">
        <f t="shared" ca="1" si="205"/>
        <v>0</v>
      </c>
      <c r="DF89" s="2790">
        <f t="shared" ca="1" si="205"/>
        <v>0</v>
      </c>
      <c r="DH89" s="596"/>
    </row>
    <row r="90" spans="1:112" s="652" customFormat="1">
      <c r="C90" s="667" t="s">
        <v>565</v>
      </c>
      <c r="D90" s="668" t="s">
        <v>566</v>
      </c>
      <c r="E90" s="668"/>
      <c r="F90" s="6"/>
      <c r="G90" s="643"/>
      <c r="H90" s="643"/>
      <c r="I90" s="643"/>
      <c r="J90" s="643"/>
      <c r="K90" s="644"/>
      <c r="L90" s="643"/>
      <c r="M90" s="643"/>
      <c r="N90" s="643"/>
      <c r="O90" s="643"/>
      <c r="P90" s="643"/>
      <c r="Q90" s="643"/>
      <c r="R90" s="6"/>
      <c r="S90" s="645">
        <f ca="1">S$40+$S46+S$51+S$99+S$55+S$89</f>
        <v>-25.342378547849545</v>
      </c>
      <c r="T90" s="645">
        <f ca="1">T$40+$S46+T$51+T$99+T$55+T$89</f>
        <v>5.3625462388613379</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04"/>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c r="C91" s="651" t="s">
        <v>567</v>
      </c>
      <c r="D91" s="588" t="s">
        <v>568</v>
      </c>
      <c r="E91" s="588"/>
      <c r="F91" s="6"/>
      <c r="G91" s="589">
        <f t="shared" ref="G91:P92" ca="1" si="206">IFERROR(INDEX(INDIRECT($C91&amp;".Outputs["&amp;this.Year&amp;"]"), MATCH(G$5, INDIRECT($C91&amp;".Outputs[Vector]"), 0)), 0)</f>
        <v>0</v>
      </c>
      <c r="H91" s="589">
        <f t="shared" ca="1" si="206"/>
        <v>0</v>
      </c>
      <c r="I91" s="589">
        <f t="shared" ca="1" si="206"/>
        <v>0</v>
      </c>
      <c r="J91" s="589">
        <f t="shared" ca="1" si="206"/>
        <v>0</v>
      </c>
      <c r="K91" s="589">
        <f t="shared" ca="1" si="206"/>
        <v>0</v>
      </c>
      <c r="L91" s="589">
        <f t="shared" ca="1" si="206"/>
        <v>0</v>
      </c>
      <c r="M91" s="589">
        <f t="shared" ca="1" si="206"/>
        <v>0</v>
      </c>
      <c r="N91" s="589">
        <f t="shared" ca="1" si="206"/>
        <v>0</v>
      </c>
      <c r="O91" s="589">
        <f t="shared" ca="1" si="206"/>
        <v>0</v>
      </c>
      <c r="P91" s="589">
        <f t="shared" ca="1" si="206"/>
        <v>0</v>
      </c>
      <c r="Q91" s="590">
        <f ca="1">SUM(G91:P91)</f>
        <v>0</v>
      </c>
      <c r="R91" s="6"/>
      <c r="S91" s="591">
        <f t="shared" ref="S91:AJ92" ca="1" si="207">IFERROR(INDEX(INDIRECT($C91&amp;".Outputs["&amp;this.Year&amp;"]"), MATCH(S$5, INDIRECT($C91&amp;".Outputs[Vector]"), 0)), 0)</f>
        <v>0</v>
      </c>
      <c r="T91" s="591">
        <f t="shared" ca="1" si="207"/>
        <v>-3.6200986968999835</v>
      </c>
      <c r="U91" s="591">
        <f t="shared" ca="1" si="207"/>
        <v>0</v>
      </c>
      <c r="V91" s="591">
        <f t="shared" ca="1" si="207"/>
        <v>0</v>
      </c>
      <c r="W91" s="591">
        <f t="shared" ca="1" si="207"/>
        <v>0</v>
      </c>
      <c r="X91" s="591">
        <f t="shared" ca="1" si="207"/>
        <v>0</v>
      </c>
      <c r="Y91" s="591">
        <f t="shared" ca="1" si="207"/>
        <v>0</v>
      </c>
      <c r="Z91" s="591">
        <f t="shared" ca="1" si="207"/>
        <v>0</v>
      </c>
      <c r="AA91" s="591">
        <f t="shared" ca="1" si="207"/>
        <v>0</v>
      </c>
      <c r="AB91" s="591">
        <f t="shared" ca="1" si="207"/>
        <v>0</v>
      </c>
      <c r="AC91" s="591">
        <f t="shared" ca="1" si="207"/>
        <v>0</v>
      </c>
      <c r="AD91" s="591">
        <f t="shared" ca="1" si="207"/>
        <v>0</v>
      </c>
      <c r="AE91" s="591">
        <f t="shared" ca="1" si="207"/>
        <v>0</v>
      </c>
      <c r="AF91" s="591">
        <f t="shared" ca="1" si="207"/>
        <v>0</v>
      </c>
      <c r="AG91" s="591">
        <f t="shared" ca="1" si="207"/>
        <v>0</v>
      </c>
      <c r="AH91" s="591">
        <f t="shared" ca="1" si="207"/>
        <v>0</v>
      </c>
      <c r="AI91" s="591">
        <f t="shared" ca="1" si="207"/>
        <v>0</v>
      </c>
      <c r="AJ91" s="591">
        <f t="shared" ca="1" si="207"/>
        <v>0</v>
      </c>
      <c r="AK91" s="592">
        <f ca="1">SUM(S91:AJ91)</f>
        <v>-3.6200986968999835</v>
      </c>
      <c r="AL91" s="6"/>
      <c r="AM91" s="593">
        <f t="shared" ref="AM91:BB92" ca="1" si="208">IFERROR(INDEX(INDIRECT($C91&amp;".Outputs["&amp;this.Year&amp;"]"), MATCH(AM$5, INDIRECT($C91&amp;".Outputs[Vector]"), 0)), 0)</f>
        <v>0</v>
      </c>
      <c r="AN91" s="593">
        <f t="shared" ca="1" si="208"/>
        <v>0</v>
      </c>
      <c r="AO91" s="593">
        <f t="shared" ca="1" si="208"/>
        <v>0</v>
      </c>
      <c r="AP91" s="593">
        <f t="shared" ca="1" si="208"/>
        <v>0</v>
      </c>
      <c r="AQ91" s="593">
        <f t="shared" ca="1" si="208"/>
        <v>0</v>
      </c>
      <c r="AR91" s="593">
        <f t="shared" ca="1" si="208"/>
        <v>0</v>
      </c>
      <c r="AS91" s="593">
        <f t="shared" ca="1" si="208"/>
        <v>0</v>
      </c>
      <c r="AT91" s="593">
        <f t="shared" ca="1" si="208"/>
        <v>0</v>
      </c>
      <c r="AU91" s="593">
        <f t="shared" ca="1" si="208"/>
        <v>0</v>
      </c>
      <c r="AV91" s="593">
        <f t="shared" ca="1" si="208"/>
        <v>0</v>
      </c>
      <c r="AW91" s="593">
        <f t="shared" ca="1" si="208"/>
        <v>0</v>
      </c>
      <c r="AX91" s="593">
        <f t="shared" ca="1" si="208"/>
        <v>0</v>
      </c>
      <c r="AY91" s="593">
        <f t="shared" ca="1" si="208"/>
        <v>0</v>
      </c>
      <c r="AZ91" s="593">
        <f t="shared" ca="1" si="208"/>
        <v>0</v>
      </c>
      <c r="BA91" s="593">
        <f t="shared" ca="1" si="208"/>
        <v>0</v>
      </c>
      <c r="BB91" s="593">
        <f t="shared" ca="1" si="208"/>
        <v>0</v>
      </c>
      <c r="BC91" s="593">
        <f t="shared" ref="BC91:BE92" ca="1" si="209">IFERROR(INDEX(INDIRECT($C91&amp;".Outputs["&amp;this.Year&amp;"]"), MATCH(BC$5, INDIRECT($C91&amp;".Outputs[Vector]"), 0)), 0)</f>
        <v>0</v>
      </c>
      <c r="BD91" s="593">
        <f t="shared" ca="1" si="209"/>
        <v>0</v>
      </c>
      <c r="BE91" s="593">
        <f t="shared" ca="1" si="20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3.6200986968999831</v>
      </c>
      <c r="BJ91" s="3460">
        <f ca="1">SUM(BH91:BI91)</f>
        <v>3.6200986968999831</v>
      </c>
      <c r="BK91" s="6"/>
      <c r="BL91" s="654">
        <f t="shared" ca="1" si="204"/>
        <v>0</v>
      </c>
      <c r="BM91" s="610"/>
      <c r="BO91" s="2789">
        <f t="shared" ref="BO91:BX92" ca="1" si="210">IFERROR(SUMIFS(INDIRECT($C91&amp;".Emissions["&amp;this.Year&amp;"]"), INDIRECT($C91&amp;".Emissions[GHG]"), BO$6, INDIRECT($C91&amp;".Emissions[IPCC Sector]"), BO$5),0)</f>
        <v>0</v>
      </c>
      <c r="BP91" s="2790">
        <f t="shared" ca="1" si="210"/>
        <v>0</v>
      </c>
      <c r="BQ91" s="2790">
        <f t="shared" ca="1" si="210"/>
        <v>0</v>
      </c>
      <c r="BR91" s="2790">
        <f t="shared" ca="1" si="210"/>
        <v>0</v>
      </c>
      <c r="BS91" s="2790">
        <f t="shared" ca="1" si="210"/>
        <v>0</v>
      </c>
      <c r="BT91" s="2790">
        <f t="shared" ca="1" si="210"/>
        <v>0</v>
      </c>
      <c r="BU91" s="2790">
        <f t="shared" ca="1" si="210"/>
        <v>0</v>
      </c>
      <c r="BV91" s="2790">
        <f t="shared" ca="1" si="210"/>
        <v>0</v>
      </c>
      <c r="BW91" s="2790">
        <f t="shared" ca="1" si="210"/>
        <v>0</v>
      </c>
      <c r="BX91" s="2790">
        <f t="shared" ca="1" si="210"/>
        <v>0</v>
      </c>
      <c r="BY91" s="2790">
        <f t="shared" ref="BY91:CH92" ca="1" si="211">IFERROR(SUMIFS(INDIRECT($C91&amp;".Emissions["&amp;this.Year&amp;"]"), INDIRECT($C91&amp;".Emissions[GHG]"), BY$6, INDIRECT($C91&amp;".Emissions[IPCC Sector]"), BY$5),0)</f>
        <v>0</v>
      </c>
      <c r="BZ91" s="2790">
        <f t="shared" ca="1" si="211"/>
        <v>0</v>
      </c>
      <c r="CA91" s="2790">
        <f t="shared" ca="1" si="211"/>
        <v>0</v>
      </c>
      <c r="CB91" s="2790">
        <f t="shared" ca="1" si="211"/>
        <v>0</v>
      </c>
      <c r="CC91" s="2790">
        <f t="shared" ca="1" si="211"/>
        <v>0</v>
      </c>
      <c r="CD91" s="2790">
        <f t="shared" ca="1" si="211"/>
        <v>0</v>
      </c>
      <c r="CE91" s="2790">
        <f t="shared" ca="1" si="211"/>
        <v>0</v>
      </c>
      <c r="CF91" s="2790">
        <f t="shared" ca="1" si="211"/>
        <v>0</v>
      </c>
      <c r="CG91" s="2790">
        <f t="shared" ca="1" si="211"/>
        <v>0</v>
      </c>
      <c r="CH91" s="2790">
        <f t="shared" ca="1" si="211"/>
        <v>0</v>
      </c>
      <c r="CI91" s="2790">
        <f t="shared" ref="CI91:CR92" ca="1" si="212">IFERROR(SUMIFS(INDIRECT($C91&amp;".Emissions["&amp;this.Year&amp;"]"), INDIRECT($C91&amp;".Emissions[GHG]"), CI$6, INDIRECT($C91&amp;".Emissions[IPCC Sector]"), CI$5),0)</f>
        <v>0</v>
      </c>
      <c r="CJ91" s="2790">
        <f t="shared" ca="1" si="212"/>
        <v>0</v>
      </c>
      <c r="CK91" s="2790">
        <f t="shared" ca="1" si="212"/>
        <v>0</v>
      </c>
      <c r="CL91" s="2790">
        <f t="shared" ca="1" si="212"/>
        <v>0</v>
      </c>
      <c r="CM91" s="2790">
        <f t="shared" ca="1" si="212"/>
        <v>0</v>
      </c>
      <c r="CN91" s="2790">
        <f t="shared" ca="1" si="212"/>
        <v>0</v>
      </c>
      <c r="CO91" s="2790">
        <f t="shared" ca="1" si="212"/>
        <v>0</v>
      </c>
      <c r="CP91" s="2790">
        <f t="shared" ca="1" si="212"/>
        <v>0</v>
      </c>
      <c r="CQ91" s="2790">
        <f t="shared" ca="1" si="212"/>
        <v>0</v>
      </c>
      <c r="CR91" s="2790">
        <f t="shared" ca="1" si="212"/>
        <v>0</v>
      </c>
      <c r="CS91" s="2790">
        <f t="shared" ref="CS91:DF92" ca="1" si="213">IFERROR(SUMIFS(INDIRECT($C91&amp;".Emissions["&amp;this.Year&amp;"]"), INDIRECT($C91&amp;".Emissions[GHG]"), CS$6, INDIRECT($C91&amp;".Emissions[IPCC Sector]"), CS$5),0)</f>
        <v>0</v>
      </c>
      <c r="CT91" s="2790">
        <f t="shared" ca="1" si="213"/>
        <v>0</v>
      </c>
      <c r="CU91" s="2790">
        <f t="shared" ca="1" si="213"/>
        <v>0</v>
      </c>
      <c r="CV91" s="2790">
        <f t="shared" ca="1" si="213"/>
        <v>0</v>
      </c>
      <c r="CW91" s="2790">
        <f t="shared" ca="1" si="213"/>
        <v>0</v>
      </c>
      <c r="CX91" s="2790">
        <f t="shared" ca="1" si="213"/>
        <v>0</v>
      </c>
      <c r="CY91" s="2790">
        <f t="shared" ca="1" si="213"/>
        <v>0</v>
      </c>
      <c r="CZ91" s="2790">
        <f t="shared" ca="1" si="213"/>
        <v>0</v>
      </c>
      <c r="DA91" s="2790">
        <f t="shared" ca="1" si="213"/>
        <v>0</v>
      </c>
      <c r="DB91" s="2790">
        <f t="shared" ca="1" si="213"/>
        <v>0</v>
      </c>
      <c r="DC91" s="2790">
        <f t="shared" ca="1" si="213"/>
        <v>0</v>
      </c>
      <c r="DD91" s="2790">
        <f t="shared" ca="1" si="213"/>
        <v>0</v>
      </c>
      <c r="DE91" s="2790">
        <f t="shared" ca="1" si="213"/>
        <v>0</v>
      </c>
      <c r="DF91" s="2790">
        <f t="shared" ca="1" si="213"/>
        <v>0</v>
      </c>
      <c r="DH91" s="596"/>
    </row>
    <row r="92" spans="1:112" s="607" customFormat="1">
      <c r="C92" s="651" t="s">
        <v>569</v>
      </c>
      <c r="D92" s="611" t="s">
        <v>570</v>
      </c>
      <c r="E92" s="611"/>
      <c r="F92" s="6"/>
      <c r="G92" s="619">
        <f t="shared" ca="1" si="206"/>
        <v>0</v>
      </c>
      <c r="H92" s="619">
        <f t="shared" ca="1" si="206"/>
        <v>0</v>
      </c>
      <c r="I92" s="619">
        <f t="shared" ca="1" si="206"/>
        <v>0</v>
      </c>
      <c r="J92" s="619">
        <f t="shared" ca="1" si="206"/>
        <v>0</v>
      </c>
      <c r="K92" s="619">
        <f t="shared" ca="1" si="206"/>
        <v>0</v>
      </c>
      <c r="L92" s="619">
        <f t="shared" ca="1" si="206"/>
        <v>0</v>
      </c>
      <c r="M92" s="619">
        <f t="shared" ca="1" si="206"/>
        <v>0</v>
      </c>
      <c r="N92" s="619">
        <f t="shared" ca="1" si="206"/>
        <v>0</v>
      </c>
      <c r="O92" s="619">
        <f t="shared" ca="1" si="206"/>
        <v>0</v>
      </c>
      <c r="P92" s="619">
        <f t="shared" ca="1" si="206"/>
        <v>0</v>
      </c>
      <c r="Q92" s="612">
        <f ca="1">SUM(G92:P92)</f>
        <v>0</v>
      </c>
      <c r="R92" s="6"/>
      <c r="S92" s="620">
        <f t="shared" ca="1" si="207"/>
        <v>0</v>
      </c>
      <c r="T92" s="620">
        <f t="shared" ca="1" si="207"/>
        <v>0</v>
      </c>
      <c r="U92" s="620">
        <f t="shared" ca="1" si="207"/>
        <v>0</v>
      </c>
      <c r="V92" s="620">
        <f t="shared" ca="1" si="207"/>
        <v>0</v>
      </c>
      <c r="W92" s="620">
        <f t="shared" ca="1" si="207"/>
        <v>0</v>
      </c>
      <c r="X92" s="620">
        <f t="shared" ca="1" si="207"/>
        <v>0</v>
      </c>
      <c r="Y92" s="620">
        <f t="shared" ca="1" si="207"/>
        <v>0</v>
      </c>
      <c r="Z92" s="620">
        <f t="shared" ca="1" si="207"/>
        <v>0</v>
      </c>
      <c r="AA92" s="620">
        <f t="shared" ca="1" si="207"/>
        <v>0</v>
      </c>
      <c r="AB92" s="620">
        <f t="shared" ca="1" si="207"/>
        <v>0</v>
      </c>
      <c r="AC92" s="620">
        <f t="shared" ca="1" si="207"/>
        <v>0</v>
      </c>
      <c r="AD92" s="620">
        <f t="shared" ca="1" si="207"/>
        <v>0</v>
      </c>
      <c r="AE92" s="620">
        <f t="shared" ca="1" si="207"/>
        <v>0</v>
      </c>
      <c r="AF92" s="620">
        <f t="shared" ca="1" si="207"/>
        <v>0</v>
      </c>
      <c r="AG92" s="620">
        <f t="shared" ca="1" si="207"/>
        <v>0</v>
      </c>
      <c r="AH92" s="620">
        <f t="shared" ca="1" si="207"/>
        <v>0</v>
      </c>
      <c r="AI92" s="620">
        <f t="shared" ca="1" si="207"/>
        <v>0</v>
      </c>
      <c r="AJ92" s="620">
        <f t="shared" ca="1" si="207"/>
        <v>0</v>
      </c>
      <c r="AK92" s="613">
        <f ca="1">SUM(S92:AJ92)</f>
        <v>0</v>
      </c>
      <c r="AL92" s="6"/>
      <c r="AM92" s="621">
        <f t="shared" ca="1" si="208"/>
        <v>0</v>
      </c>
      <c r="AN92" s="621">
        <f t="shared" ca="1" si="208"/>
        <v>0</v>
      </c>
      <c r="AO92" s="621">
        <f t="shared" ca="1" si="208"/>
        <v>0</v>
      </c>
      <c r="AP92" s="621">
        <f t="shared" ca="1" si="208"/>
        <v>0</v>
      </c>
      <c r="AQ92" s="621">
        <f t="shared" ca="1" si="208"/>
        <v>0</v>
      </c>
      <c r="AR92" s="621">
        <f t="shared" ca="1" si="208"/>
        <v>0</v>
      </c>
      <c r="AS92" s="621">
        <f t="shared" ca="1" si="208"/>
        <v>0</v>
      </c>
      <c r="AT92" s="621">
        <f t="shared" ca="1" si="208"/>
        <v>0</v>
      </c>
      <c r="AU92" s="621">
        <f t="shared" ca="1" si="208"/>
        <v>0</v>
      </c>
      <c r="AV92" s="621">
        <f t="shared" ca="1" si="208"/>
        <v>0</v>
      </c>
      <c r="AW92" s="621">
        <f t="shared" ca="1" si="208"/>
        <v>0</v>
      </c>
      <c r="AX92" s="621">
        <f t="shared" ca="1" si="208"/>
        <v>0</v>
      </c>
      <c r="AY92" s="621">
        <f t="shared" ca="1" si="208"/>
        <v>0</v>
      </c>
      <c r="AZ92" s="621">
        <f t="shared" ca="1" si="208"/>
        <v>0</v>
      </c>
      <c r="BA92" s="621">
        <f t="shared" ca="1" si="208"/>
        <v>0</v>
      </c>
      <c r="BB92" s="621">
        <f t="shared" ca="1" si="208"/>
        <v>0</v>
      </c>
      <c r="BC92" s="621">
        <f t="shared" ca="1" si="209"/>
        <v>0</v>
      </c>
      <c r="BD92" s="621">
        <f t="shared" ca="1" si="209"/>
        <v>0</v>
      </c>
      <c r="BE92" s="621">
        <f t="shared" ca="1" si="209"/>
        <v>0</v>
      </c>
      <c r="BF92" s="615">
        <f ca="1">SUM(AM92:BE92)</f>
        <v>0</v>
      </c>
      <c r="BG92" s="6"/>
      <c r="BH92" s="3473">
        <f ca="1">IFERROR(INDEX(INDIRECT($C92&amp;".Outputs["&amp;this.Year&amp;"]"), MATCH(BH$5, INDIRECT($C92&amp;".Outputs[Vector]"), 0)), 0)</f>
        <v>0</v>
      </c>
      <c r="BI92" s="3473">
        <f ca="1">IFERROR(INDEX(INDIRECT($C92&amp;".Outputs["&amp;this.Year&amp;"]"), MATCH(BI$5, INDIRECT($C92&amp;".Outputs[Vector]"), 0)), 0)</f>
        <v>0</v>
      </c>
      <c r="BJ92" s="3462">
        <f ca="1">SUM(BH92:BI92)</f>
        <v>0</v>
      </c>
      <c r="BK92" s="6"/>
      <c r="BL92" s="654">
        <f t="shared" ca="1" si="204"/>
        <v>0</v>
      </c>
      <c r="BM92" s="610"/>
      <c r="BO92" s="2791">
        <f t="shared" ca="1" si="210"/>
        <v>0</v>
      </c>
      <c r="BP92" s="2792">
        <f t="shared" ca="1" si="210"/>
        <v>0</v>
      </c>
      <c r="BQ92" s="2792">
        <f t="shared" ca="1" si="210"/>
        <v>0</v>
      </c>
      <c r="BR92" s="2792">
        <f t="shared" ca="1" si="210"/>
        <v>0</v>
      </c>
      <c r="BS92" s="2792">
        <f t="shared" ca="1" si="210"/>
        <v>0</v>
      </c>
      <c r="BT92" s="2792">
        <f t="shared" ca="1" si="210"/>
        <v>0</v>
      </c>
      <c r="BU92" s="2792">
        <f t="shared" ca="1" si="210"/>
        <v>0</v>
      </c>
      <c r="BV92" s="2792">
        <f t="shared" ca="1" si="210"/>
        <v>0</v>
      </c>
      <c r="BW92" s="2792">
        <f t="shared" ca="1" si="210"/>
        <v>0</v>
      </c>
      <c r="BX92" s="2792">
        <f t="shared" ca="1" si="210"/>
        <v>0</v>
      </c>
      <c r="BY92" s="2792">
        <f t="shared" ca="1" si="211"/>
        <v>0</v>
      </c>
      <c r="BZ92" s="2792">
        <f t="shared" ca="1" si="211"/>
        <v>0</v>
      </c>
      <c r="CA92" s="2792">
        <f t="shared" ca="1" si="211"/>
        <v>0</v>
      </c>
      <c r="CB92" s="2792">
        <f t="shared" ca="1" si="211"/>
        <v>0</v>
      </c>
      <c r="CC92" s="2792">
        <f t="shared" ca="1" si="211"/>
        <v>0</v>
      </c>
      <c r="CD92" s="2792">
        <f t="shared" ca="1" si="211"/>
        <v>0</v>
      </c>
      <c r="CE92" s="2792">
        <f t="shared" ca="1" si="211"/>
        <v>0</v>
      </c>
      <c r="CF92" s="2792">
        <f t="shared" ca="1" si="211"/>
        <v>0</v>
      </c>
      <c r="CG92" s="2792">
        <f t="shared" ca="1" si="211"/>
        <v>0</v>
      </c>
      <c r="CH92" s="2792">
        <f t="shared" ca="1" si="211"/>
        <v>0</v>
      </c>
      <c r="CI92" s="2792">
        <f t="shared" ca="1" si="212"/>
        <v>0</v>
      </c>
      <c r="CJ92" s="2792">
        <f t="shared" ca="1" si="212"/>
        <v>0</v>
      </c>
      <c r="CK92" s="2792">
        <f t="shared" ca="1" si="212"/>
        <v>0</v>
      </c>
      <c r="CL92" s="2792">
        <f t="shared" ca="1" si="212"/>
        <v>0</v>
      </c>
      <c r="CM92" s="2792">
        <f t="shared" ca="1" si="212"/>
        <v>0</v>
      </c>
      <c r="CN92" s="2792">
        <f t="shared" ca="1" si="212"/>
        <v>0</v>
      </c>
      <c r="CO92" s="2792">
        <f t="shared" ca="1" si="212"/>
        <v>0</v>
      </c>
      <c r="CP92" s="2792">
        <f t="shared" ca="1" si="212"/>
        <v>0</v>
      </c>
      <c r="CQ92" s="2792">
        <f t="shared" ca="1" si="212"/>
        <v>0</v>
      </c>
      <c r="CR92" s="2792">
        <f t="shared" ca="1" si="212"/>
        <v>0</v>
      </c>
      <c r="CS92" s="2792">
        <f t="shared" ca="1" si="213"/>
        <v>0</v>
      </c>
      <c r="CT92" s="2792">
        <f t="shared" ca="1" si="213"/>
        <v>0</v>
      </c>
      <c r="CU92" s="2792">
        <f t="shared" ca="1" si="213"/>
        <v>0</v>
      </c>
      <c r="CV92" s="2792">
        <f t="shared" ca="1" si="213"/>
        <v>0</v>
      </c>
      <c r="CW92" s="2792">
        <f t="shared" ca="1" si="213"/>
        <v>0</v>
      </c>
      <c r="CX92" s="2792">
        <f t="shared" ca="1" si="213"/>
        <v>0</v>
      </c>
      <c r="CY92" s="2792">
        <f t="shared" ca="1" si="213"/>
        <v>0</v>
      </c>
      <c r="CZ92" s="2792">
        <f t="shared" ca="1" si="213"/>
        <v>0</v>
      </c>
      <c r="DA92" s="2792">
        <f t="shared" ca="1" si="213"/>
        <v>0</v>
      </c>
      <c r="DB92" s="2792">
        <f t="shared" ca="1" si="213"/>
        <v>0</v>
      </c>
      <c r="DC92" s="2792">
        <f t="shared" ca="1" si="213"/>
        <v>0</v>
      </c>
      <c r="DD92" s="2792">
        <f t="shared" ca="1" si="213"/>
        <v>0</v>
      </c>
      <c r="DE92" s="2792">
        <f t="shared" ca="1" si="213"/>
        <v>0</v>
      </c>
      <c r="DF92" s="2792">
        <f t="shared" ca="1" si="213"/>
        <v>0</v>
      </c>
      <c r="DH92" s="596"/>
    </row>
    <row r="93" spans="1:112" s="4" customFormat="1" ht="15.75">
      <c r="B93" s="3"/>
      <c r="C93" s="616" t="s">
        <v>571</v>
      </c>
      <c r="D93" s="617" t="s">
        <v>572</v>
      </c>
      <c r="E93" s="206"/>
      <c r="F93" s="6"/>
      <c r="G93" s="579">
        <f t="shared" ref="G93:P93" ca="1" si="214">G$89+G$91+G$92</f>
        <v>0</v>
      </c>
      <c r="H93" s="579">
        <f t="shared" ca="1" si="214"/>
        <v>0</v>
      </c>
      <c r="I93" s="579">
        <f t="shared" ca="1" si="214"/>
        <v>0</v>
      </c>
      <c r="J93" s="579">
        <f t="shared" ca="1" si="214"/>
        <v>0</v>
      </c>
      <c r="K93" s="638">
        <f t="shared" ca="1" si="214"/>
        <v>0</v>
      </c>
      <c r="L93" s="579">
        <f t="shared" ca="1" si="214"/>
        <v>0</v>
      </c>
      <c r="M93" s="579">
        <f t="shared" ca="1" si="214"/>
        <v>0</v>
      </c>
      <c r="N93" s="579">
        <f t="shared" ca="1" si="214"/>
        <v>0</v>
      </c>
      <c r="O93" s="579">
        <f t="shared" ca="1" si="214"/>
        <v>0</v>
      </c>
      <c r="P93" s="579">
        <f t="shared" ca="1" si="214"/>
        <v>0</v>
      </c>
      <c r="Q93" s="618">
        <f ca="1">SUM(G93:P93)</f>
        <v>0</v>
      </c>
      <c r="R93" s="6"/>
      <c r="S93" s="581">
        <f t="shared" ref="S93:AJ93" ca="1" si="215">S$89+S$91+S$92</f>
        <v>0</v>
      </c>
      <c r="T93" s="581">
        <f t="shared" ca="1" si="215"/>
        <v>-1.1200986968999835</v>
      </c>
      <c r="U93" s="581">
        <f t="shared" ca="1" si="215"/>
        <v>0</v>
      </c>
      <c r="V93" s="581">
        <f t="shared" ca="1" si="215"/>
        <v>0</v>
      </c>
      <c r="W93" s="581">
        <f t="shared" ca="1" si="215"/>
        <v>0</v>
      </c>
      <c r="X93" s="581">
        <f ca="1">X$89+X$91+X$92</f>
        <v>0</v>
      </c>
      <c r="Y93" s="581">
        <f ca="1">Y$89+Y$91+Y$92</f>
        <v>0</v>
      </c>
      <c r="Z93" s="581">
        <f ca="1">Z$89+Z$91+Z$92</f>
        <v>0</v>
      </c>
      <c r="AA93" s="581">
        <f t="shared" ca="1" si="215"/>
        <v>0</v>
      </c>
      <c r="AB93" s="581">
        <f t="shared" ca="1" si="215"/>
        <v>0</v>
      </c>
      <c r="AC93" s="581">
        <f t="shared" ca="1" si="215"/>
        <v>0</v>
      </c>
      <c r="AD93" s="581">
        <f t="shared" ca="1" si="215"/>
        <v>0</v>
      </c>
      <c r="AE93" s="581">
        <f t="shared" ca="1" si="215"/>
        <v>0</v>
      </c>
      <c r="AF93" s="581">
        <f t="shared" ca="1" si="215"/>
        <v>0</v>
      </c>
      <c r="AG93" s="581">
        <f t="shared" ca="1" si="215"/>
        <v>0</v>
      </c>
      <c r="AH93" s="581">
        <f t="shared" ca="1" si="215"/>
        <v>0</v>
      </c>
      <c r="AI93" s="581">
        <f t="shared" ca="1" si="215"/>
        <v>0</v>
      </c>
      <c r="AJ93" s="581">
        <f t="shared" ca="1" si="215"/>
        <v>0</v>
      </c>
      <c r="AK93" s="581">
        <f ca="1">SUM(S93:AJ93)</f>
        <v>-1.1200986968999835</v>
      </c>
      <c r="AL93" s="6"/>
      <c r="AM93" s="582">
        <f t="shared" ref="AM93:BE93" ca="1" si="216">AM$89+AM$91+AM$92</f>
        <v>0</v>
      </c>
      <c r="AN93" s="582">
        <f t="shared" ca="1" si="216"/>
        <v>0</v>
      </c>
      <c r="AO93" s="582">
        <f t="shared" ca="1" si="216"/>
        <v>0</v>
      </c>
      <c r="AP93" s="582">
        <f t="shared" ca="1" si="216"/>
        <v>0</v>
      </c>
      <c r="AQ93" s="582">
        <f t="shared" ca="1" si="216"/>
        <v>-2.5</v>
      </c>
      <c r="AR93" s="582">
        <f t="shared" ca="1" si="216"/>
        <v>0</v>
      </c>
      <c r="AS93" s="582">
        <f t="shared" ca="1" si="216"/>
        <v>0</v>
      </c>
      <c r="AT93" s="582">
        <f t="shared" ca="1" si="216"/>
        <v>0</v>
      </c>
      <c r="AU93" s="582">
        <f t="shared" ca="1" si="216"/>
        <v>0</v>
      </c>
      <c r="AV93" s="582">
        <f t="shared" ca="1" si="216"/>
        <v>0</v>
      </c>
      <c r="AW93" s="582">
        <f t="shared" ca="1" si="216"/>
        <v>0</v>
      </c>
      <c r="AX93" s="582">
        <f t="shared" ca="1" si="216"/>
        <v>0</v>
      </c>
      <c r="AY93" s="582">
        <f t="shared" ca="1" si="216"/>
        <v>0</v>
      </c>
      <c r="AZ93" s="582">
        <f t="shared" ca="1" si="216"/>
        <v>0</v>
      </c>
      <c r="BA93" s="582">
        <f t="shared" ca="1" si="216"/>
        <v>0</v>
      </c>
      <c r="BB93" s="582">
        <f t="shared" ca="1" si="216"/>
        <v>0</v>
      </c>
      <c r="BC93" s="582">
        <f t="shared" ca="1" si="216"/>
        <v>0</v>
      </c>
      <c r="BD93" s="582">
        <f t="shared" ca="1" si="216"/>
        <v>0</v>
      </c>
      <c r="BE93" s="582">
        <f t="shared" ca="1" si="216"/>
        <v>0</v>
      </c>
      <c r="BF93" s="582">
        <f ca="1">SUM(AM93:BE93)</f>
        <v>-2.5</v>
      </c>
      <c r="BG93" s="6"/>
      <c r="BH93" s="3463">
        <f ca="1">BH$89+BH$91+BH$92</f>
        <v>0</v>
      </c>
      <c r="BI93" s="3463">
        <f ca="1">BI$89+BI$91+BI$92</f>
        <v>3.6200986968999831</v>
      </c>
      <c r="BJ93" s="3463">
        <f ca="1">SUM(BH93:BI93)</f>
        <v>3.6200986968999831</v>
      </c>
      <c r="BK93" s="6"/>
      <c r="BL93" s="3477">
        <f t="shared" ca="1" si="204"/>
        <v>0</v>
      </c>
      <c r="BM93" s="584"/>
      <c r="BN93" s="413"/>
      <c r="BO93" s="2790">
        <f t="shared" ref="BO93:DF93" ca="1" si="217">BO$89+BO$91+BO$92</f>
        <v>0</v>
      </c>
      <c r="BP93" s="2790">
        <f t="shared" ca="1" si="217"/>
        <v>0</v>
      </c>
      <c r="BQ93" s="2790">
        <f t="shared" ca="1" si="217"/>
        <v>0</v>
      </c>
      <c r="BR93" s="2790">
        <f t="shared" ca="1" si="217"/>
        <v>0</v>
      </c>
      <c r="BS93" s="2790">
        <f t="shared" ca="1" si="217"/>
        <v>0</v>
      </c>
      <c r="BT93" s="2790">
        <f t="shared" ca="1" si="217"/>
        <v>0</v>
      </c>
      <c r="BU93" s="2790">
        <f t="shared" ca="1" si="217"/>
        <v>0</v>
      </c>
      <c r="BV93" s="2790">
        <f t="shared" ca="1" si="217"/>
        <v>0</v>
      </c>
      <c r="BW93" s="2790">
        <f t="shared" ca="1" si="217"/>
        <v>0</v>
      </c>
      <c r="BX93" s="2790">
        <f t="shared" ca="1" si="217"/>
        <v>0</v>
      </c>
      <c r="BY93" s="2790">
        <f t="shared" ca="1" si="217"/>
        <v>0</v>
      </c>
      <c r="BZ93" s="2790">
        <f t="shared" ca="1" si="217"/>
        <v>0</v>
      </c>
      <c r="CA93" s="2790">
        <f t="shared" ca="1" si="217"/>
        <v>0</v>
      </c>
      <c r="CB93" s="2790">
        <f t="shared" ca="1" si="217"/>
        <v>0</v>
      </c>
      <c r="CC93" s="2790">
        <f t="shared" ca="1" si="217"/>
        <v>0</v>
      </c>
      <c r="CD93" s="2790">
        <f t="shared" ca="1" si="217"/>
        <v>0</v>
      </c>
      <c r="CE93" s="2790">
        <f t="shared" ca="1" si="217"/>
        <v>0</v>
      </c>
      <c r="CF93" s="2790">
        <f t="shared" ca="1" si="217"/>
        <v>0</v>
      </c>
      <c r="CG93" s="2790">
        <f t="shared" ca="1" si="217"/>
        <v>0</v>
      </c>
      <c r="CH93" s="2790">
        <f t="shared" ca="1" si="217"/>
        <v>0</v>
      </c>
      <c r="CI93" s="2790">
        <f t="shared" ca="1" si="217"/>
        <v>0</v>
      </c>
      <c r="CJ93" s="2790">
        <f t="shared" ca="1" si="217"/>
        <v>0</v>
      </c>
      <c r="CK93" s="2790">
        <f t="shared" ca="1" si="217"/>
        <v>0</v>
      </c>
      <c r="CL93" s="2790">
        <f t="shared" ca="1" si="217"/>
        <v>0</v>
      </c>
      <c r="CM93" s="2790">
        <f t="shared" ca="1" si="217"/>
        <v>0</v>
      </c>
      <c r="CN93" s="2790">
        <f t="shared" ca="1" si="217"/>
        <v>0</v>
      </c>
      <c r="CO93" s="2790">
        <f t="shared" ca="1" si="217"/>
        <v>0</v>
      </c>
      <c r="CP93" s="2790">
        <f t="shared" ca="1" si="217"/>
        <v>0</v>
      </c>
      <c r="CQ93" s="2790">
        <f t="shared" ca="1" si="217"/>
        <v>0</v>
      </c>
      <c r="CR93" s="2790">
        <f t="shared" ca="1" si="217"/>
        <v>0</v>
      </c>
      <c r="CS93" s="2790">
        <f t="shared" ca="1" si="217"/>
        <v>0</v>
      </c>
      <c r="CT93" s="2790">
        <f t="shared" ca="1" si="217"/>
        <v>0</v>
      </c>
      <c r="CU93" s="2790">
        <f t="shared" ca="1" si="217"/>
        <v>0</v>
      </c>
      <c r="CV93" s="2790">
        <f t="shared" ca="1" si="217"/>
        <v>0</v>
      </c>
      <c r="CW93" s="2790">
        <f t="shared" ca="1" si="217"/>
        <v>0</v>
      </c>
      <c r="CX93" s="2790">
        <f t="shared" ca="1" si="217"/>
        <v>0</v>
      </c>
      <c r="CY93" s="2790">
        <f t="shared" ca="1" si="217"/>
        <v>0</v>
      </c>
      <c r="CZ93" s="2790">
        <f t="shared" ca="1" si="217"/>
        <v>0</v>
      </c>
      <c r="DA93" s="2790">
        <f t="shared" ca="1" si="217"/>
        <v>0</v>
      </c>
      <c r="DB93" s="2790">
        <f t="shared" ca="1" si="217"/>
        <v>0</v>
      </c>
      <c r="DC93" s="2790">
        <f t="shared" ca="1" si="217"/>
        <v>0</v>
      </c>
      <c r="DD93" s="2790">
        <f t="shared" ca="1" si="217"/>
        <v>0</v>
      </c>
      <c r="DE93" s="2790">
        <f t="shared" ca="1" si="217"/>
        <v>0</v>
      </c>
      <c r="DF93" s="2790">
        <f t="shared" ca="1" si="217"/>
        <v>0</v>
      </c>
      <c r="DH93" s="596">
        <f t="shared" ref="DH93:DH104" ca="1" si="218">SUM(BO93:DF93)</f>
        <v>0</v>
      </c>
    </row>
    <row r="94" spans="1:112" s="6" customFormat="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04"/>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18"/>
        <v>0</v>
      </c>
    </row>
    <row r="95" spans="1:112" s="639" customFormat="1" ht="11.25">
      <c r="C95" s="640" t="s">
        <v>573</v>
      </c>
      <c r="D95" s="641" t="s">
        <v>574</v>
      </c>
      <c r="E95" s="641"/>
      <c r="G95" s="643"/>
      <c r="H95" s="643"/>
      <c r="I95" s="643"/>
      <c r="J95" s="643"/>
      <c r="K95" s="644"/>
      <c r="L95" s="643"/>
      <c r="M95" s="643"/>
      <c r="N95" s="643"/>
      <c r="O95" s="643"/>
      <c r="P95" s="643"/>
      <c r="Q95" s="643"/>
      <c r="S95" s="645"/>
      <c r="T95" s="645"/>
      <c r="U95" s="645">
        <f ca="1">(U$40+U$84+U$93)</f>
        <v>-10.924447090064488</v>
      </c>
      <c r="V95" s="645">
        <f ca="1">(V$40+V$84+V$93)</f>
        <v>-64.320243216158687</v>
      </c>
      <c r="W95" s="645">
        <f ca="1">(W$40+W$84+W$93)</f>
        <v>-41.890914268588375</v>
      </c>
      <c r="X95" s="645"/>
      <c r="Y95" s="645"/>
      <c r="Z95" s="645"/>
      <c r="AA95" s="645"/>
      <c r="AB95" s="645"/>
      <c r="AC95" s="645">
        <f t="shared" ref="AC95:AH95" ca="1" si="219">(AC$40+AC$84+AC$93)</f>
        <v>0</v>
      </c>
      <c r="AD95" s="645">
        <f t="shared" ca="1" si="219"/>
        <v>19.357134768779371</v>
      </c>
      <c r="AE95" s="645">
        <f t="shared" ca="1" si="219"/>
        <v>0.37055006275752844</v>
      </c>
      <c r="AF95" s="645">
        <f t="shared" ca="1" si="219"/>
        <v>8.3320251015035147</v>
      </c>
      <c r="AG95" s="645">
        <f t="shared" ca="1" si="219"/>
        <v>3.021188431319072</v>
      </c>
      <c r="AH95" s="645">
        <f t="shared" ca="1" si="219"/>
        <v>0.16872527422163447</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-11.723268587003396</v>
      </c>
      <c r="BF95" s="646">
        <f ca="1">SUM(AM95:BE95)</f>
        <v>-11.723268587003396</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18"/>
        <v>0</v>
      </c>
    </row>
    <row r="96" spans="1:112" s="642" customFormat="1">
      <c r="A96" s="693"/>
      <c r="B96" s="693"/>
      <c r="C96" s="694" t="s">
        <v>575</v>
      </c>
      <c r="D96" s="695" t="s">
        <v>576</v>
      </c>
      <c r="E96" s="695"/>
      <c r="G96" s="696">
        <f t="shared" ref="G96:P96" ca="1" si="220">IFERROR(INDEX(INDIRECT($C96&amp;".Outputs["&amp;this.Year&amp;"]"), MATCH(G$5, INDIRECT($C96&amp;".Outputs[Vector]"), 0)), 0)</f>
        <v>0</v>
      </c>
      <c r="H96" s="696">
        <f t="shared" ca="1" si="220"/>
        <v>0</v>
      </c>
      <c r="I96" s="696">
        <f t="shared" ca="1" si="220"/>
        <v>0</v>
      </c>
      <c r="J96" s="696">
        <f t="shared" ca="1" si="220"/>
        <v>0</v>
      </c>
      <c r="K96" s="696">
        <f t="shared" ca="1" si="220"/>
        <v>0</v>
      </c>
      <c r="L96" s="696">
        <f t="shared" ca="1" si="220"/>
        <v>0</v>
      </c>
      <c r="M96" s="696">
        <f t="shared" ca="1" si="220"/>
        <v>0</v>
      </c>
      <c r="N96" s="696">
        <f t="shared" ca="1" si="220"/>
        <v>0</v>
      </c>
      <c r="O96" s="696">
        <f t="shared" ca="1" si="220"/>
        <v>0</v>
      </c>
      <c r="P96" s="696">
        <f t="shared" ca="1" si="220"/>
        <v>0</v>
      </c>
      <c r="Q96" s="697">
        <f ca="1">SUM(G96:P96)</f>
        <v>0</v>
      </c>
      <c r="S96" s="698">
        <f t="shared" ref="S96:AJ96" ca="1" si="221">IFERROR(INDEX(INDIRECT($C96&amp;".Outputs["&amp;this.Year&amp;"]"), MATCH(S$5, INDIRECT($C96&amp;".Outputs[Vector]"), 0)), 0)</f>
        <v>0</v>
      </c>
      <c r="T96" s="698">
        <f t="shared" ca="1" si="221"/>
        <v>0</v>
      </c>
      <c r="U96" s="698">
        <f t="shared" ca="1" si="221"/>
        <v>26.304701876768743</v>
      </c>
      <c r="V96" s="698">
        <f t="shared" ca="1" si="221"/>
        <v>0.117093819831379</v>
      </c>
      <c r="W96" s="698">
        <f t="shared" ca="1" si="221"/>
        <v>2.7367354408428457</v>
      </c>
      <c r="X96" s="698">
        <f t="shared" ca="1" si="221"/>
        <v>0</v>
      </c>
      <c r="Y96" s="698">
        <f t="shared" ca="1" si="221"/>
        <v>0</v>
      </c>
      <c r="Z96" s="698">
        <f t="shared" ca="1" si="221"/>
        <v>0</v>
      </c>
      <c r="AA96" s="698">
        <f t="shared" ca="1" si="221"/>
        <v>0</v>
      </c>
      <c r="AB96" s="698">
        <f t="shared" ca="1" si="221"/>
        <v>0</v>
      </c>
      <c r="AC96" s="698">
        <f t="shared" ca="1" si="221"/>
        <v>0</v>
      </c>
      <c r="AD96" s="698">
        <f t="shared" ca="1" si="221"/>
        <v>-19.357134768779371</v>
      </c>
      <c r="AE96" s="698">
        <f t="shared" ca="1" si="221"/>
        <v>-0.37055006275752844</v>
      </c>
      <c r="AF96" s="698">
        <f t="shared" ca="1" si="221"/>
        <v>-8.3320251015035147</v>
      </c>
      <c r="AG96" s="698">
        <f t="shared" ca="1" si="221"/>
        <v>-3.021188431319072</v>
      </c>
      <c r="AH96" s="698">
        <f t="shared" ca="1" si="221"/>
        <v>-0.16872527422163447</v>
      </c>
      <c r="AI96" s="698">
        <f t="shared" ca="1" si="221"/>
        <v>0</v>
      </c>
      <c r="AJ96" s="698">
        <f t="shared" ca="1" si="221"/>
        <v>0</v>
      </c>
      <c r="AK96" s="699">
        <f ca="1">SUM(S96:AJ96)</f>
        <v>-2.0910925011381538</v>
      </c>
      <c r="AM96" s="700">
        <f t="shared" ref="AM96:BE96" ca="1" si="222">IFERROR(INDEX(INDIRECT($C96&amp;".Outputs["&amp;this.Year&amp;"]"), MATCH(AM$5, INDIRECT($C96&amp;".Outputs[Vector]"), 0)), 0)</f>
        <v>0</v>
      </c>
      <c r="AN96" s="700">
        <f t="shared" ca="1" si="222"/>
        <v>0</v>
      </c>
      <c r="AO96" s="700">
        <f t="shared" ca="1" si="222"/>
        <v>0</v>
      </c>
      <c r="AP96" s="700">
        <f t="shared" ca="1" si="222"/>
        <v>0</v>
      </c>
      <c r="AQ96" s="700">
        <f t="shared" ca="1" si="222"/>
        <v>0</v>
      </c>
      <c r="AR96" s="700">
        <f t="shared" ca="1" si="222"/>
        <v>0</v>
      </c>
      <c r="AS96" s="700">
        <f t="shared" ca="1" si="222"/>
        <v>0</v>
      </c>
      <c r="AT96" s="700">
        <f t="shared" ca="1" si="222"/>
        <v>0</v>
      </c>
      <c r="AU96" s="700">
        <f t="shared" ca="1" si="222"/>
        <v>0</v>
      </c>
      <c r="AV96" s="700">
        <f t="shared" ca="1" si="222"/>
        <v>0</v>
      </c>
      <c r="AW96" s="700">
        <f t="shared" ca="1" si="222"/>
        <v>0</v>
      </c>
      <c r="AX96" s="700">
        <f t="shared" ca="1" si="222"/>
        <v>0</v>
      </c>
      <c r="AY96" s="700">
        <f t="shared" ca="1" si="222"/>
        <v>0</v>
      </c>
      <c r="AZ96" s="700">
        <f t="shared" ca="1" si="222"/>
        <v>0</v>
      </c>
      <c r="BA96" s="700">
        <f t="shared" ca="1" si="222"/>
        <v>0</v>
      </c>
      <c r="BB96" s="700">
        <f t="shared" ca="1" si="222"/>
        <v>0</v>
      </c>
      <c r="BC96" s="700">
        <f t="shared" ca="1" si="222"/>
        <v>0</v>
      </c>
      <c r="BD96" s="700">
        <f t="shared" ca="1" si="222"/>
        <v>0</v>
      </c>
      <c r="BE96" s="700">
        <f t="shared" ca="1" si="222"/>
        <v>0</v>
      </c>
      <c r="BF96" s="701">
        <f ca="1">SUM(AM96:BE96)</f>
        <v>0</v>
      </c>
      <c r="BH96" s="3476">
        <f ca="1">IFERROR(INDEX(INDIRECT($C96&amp;".Outputs["&amp;this.Year&amp;"]"), MATCH(BH$5, INDIRECT($C96&amp;".Outputs[Vector]"), 0)), 0)</f>
        <v>2.0910925011381494</v>
      </c>
      <c r="BI96" s="3476">
        <f ca="1">IFERROR(INDEX(INDIRECT($C96&amp;".Outputs["&amp;this.Year&amp;"]"), MATCH(BI$5, INDIRECT($C96&amp;".Outputs[Vector]"), 0)), 0)</f>
        <v>0</v>
      </c>
      <c r="BJ96" s="3468">
        <f ca="1">SUM(BH96:BI96)</f>
        <v>2.0910925011381494</v>
      </c>
      <c r="BL96" s="702">
        <f ca="1">Q96+AK96+BF96+BJ96</f>
        <v>-4.4408920985006262E-15</v>
      </c>
      <c r="BM96" s="702"/>
      <c r="BN96" s="703"/>
      <c r="BO96" s="2796">
        <f t="shared" ref="BO96:DF96" ca="1" si="223">IFERROR(SUMIFS(INDIRECT($C96&amp;".Emissions["&amp;this.Year&amp;"]"), INDIRECT($C96&amp;".Emissions[GHG]"), BO$6, INDIRECT($C96&amp;".Emissions[IPCC Sector]"), BO$5),0)</f>
        <v>0</v>
      </c>
      <c r="BP96" s="2797">
        <f t="shared" ca="1" si="223"/>
        <v>0</v>
      </c>
      <c r="BQ96" s="2797">
        <f t="shared" ca="1" si="223"/>
        <v>0</v>
      </c>
      <c r="BR96" s="2797">
        <f t="shared" ca="1" si="223"/>
        <v>0</v>
      </c>
      <c r="BS96" s="2797">
        <f t="shared" ca="1" si="223"/>
        <v>0</v>
      </c>
      <c r="BT96" s="2797">
        <f t="shared" ca="1" si="223"/>
        <v>0</v>
      </c>
      <c r="BU96" s="2797">
        <f t="shared" ca="1" si="223"/>
        <v>0</v>
      </c>
      <c r="BV96" s="2797">
        <f t="shared" ca="1" si="223"/>
        <v>0</v>
      </c>
      <c r="BW96" s="2797">
        <f t="shared" ca="1" si="223"/>
        <v>0</v>
      </c>
      <c r="BX96" s="2797">
        <f t="shared" ca="1" si="223"/>
        <v>0</v>
      </c>
      <c r="BY96" s="2797">
        <f t="shared" ca="1" si="223"/>
        <v>0</v>
      </c>
      <c r="BZ96" s="2797">
        <f t="shared" ca="1" si="223"/>
        <v>0</v>
      </c>
      <c r="CA96" s="2797">
        <f t="shared" ca="1" si="223"/>
        <v>0</v>
      </c>
      <c r="CB96" s="2797">
        <f t="shared" ca="1" si="223"/>
        <v>0</v>
      </c>
      <c r="CC96" s="2797">
        <f t="shared" ca="1" si="223"/>
        <v>0</v>
      </c>
      <c r="CD96" s="2797">
        <f t="shared" ca="1" si="223"/>
        <v>0</v>
      </c>
      <c r="CE96" s="2797">
        <f t="shared" ca="1" si="223"/>
        <v>0</v>
      </c>
      <c r="CF96" s="2797">
        <f t="shared" ca="1" si="223"/>
        <v>0</v>
      </c>
      <c r="CG96" s="2797">
        <f t="shared" ca="1" si="223"/>
        <v>0</v>
      </c>
      <c r="CH96" s="2797">
        <f t="shared" ca="1" si="223"/>
        <v>0</v>
      </c>
      <c r="CI96" s="2797">
        <f t="shared" ca="1" si="223"/>
        <v>0</v>
      </c>
      <c r="CJ96" s="2797">
        <f t="shared" ca="1" si="223"/>
        <v>0</v>
      </c>
      <c r="CK96" s="2797">
        <f t="shared" ca="1" si="223"/>
        <v>0</v>
      </c>
      <c r="CL96" s="2797">
        <f t="shared" ca="1" si="223"/>
        <v>0</v>
      </c>
      <c r="CM96" s="2797">
        <f t="shared" ca="1" si="223"/>
        <v>0</v>
      </c>
      <c r="CN96" s="2797">
        <f t="shared" ca="1" si="223"/>
        <v>0</v>
      </c>
      <c r="CO96" s="2797">
        <f t="shared" ca="1" si="223"/>
        <v>0</v>
      </c>
      <c r="CP96" s="2797">
        <f t="shared" ca="1" si="223"/>
        <v>0</v>
      </c>
      <c r="CQ96" s="2797">
        <f t="shared" ca="1" si="223"/>
        <v>0</v>
      </c>
      <c r="CR96" s="2797">
        <f t="shared" ca="1" si="223"/>
        <v>0</v>
      </c>
      <c r="CS96" s="2797">
        <f t="shared" ca="1" si="223"/>
        <v>0</v>
      </c>
      <c r="CT96" s="2797">
        <f t="shared" ca="1" si="223"/>
        <v>0</v>
      </c>
      <c r="CU96" s="2797">
        <f t="shared" ca="1" si="223"/>
        <v>0</v>
      </c>
      <c r="CV96" s="2797">
        <f t="shared" ca="1" si="223"/>
        <v>0</v>
      </c>
      <c r="CW96" s="2797">
        <f t="shared" ca="1" si="223"/>
        <v>0</v>
      </c>
      <c r="CX96" s="2797">
        <f t="shared" ca="1" si="223"/>
        <v>0</v>
      </c>
      <c r="CY96" s="2797">
        <f t="shared" ca="1" si="223"/>
        <v>-4.2795045259295694</v>
      </c>
      <c r="CZ96" s="2797">
        <f t="shared" ca="1" si="223"/>
        <v>0</v>
      </c>
      <c r="DA96" s="2797">
        <f t="shared" ca="1" si="223"/>
        <v>0</v>
      </c>
      <c r="DB96" s="2797">
        <f t="shared" ca="1" si="223"/>
        <v>0</v>
      </c>
      <c r="DC96" s="2797">
        <f t="shared" ca="1" si="223"/>
        <v>0</v>
      </c>
      <c r="DD96" s="2797">
        <f t="shared" ca="1" si="223"/>
        <v>0</v>
      </c>
      <c r="DE96" s="2797">
        <f t="shared" ca="1" si="223"/>
        <v>0</v>
      </c>
      <c r="DF96" s="2797">
        <f t="shared" ca="1" si="223"/>
        <v>0</v>
      </c>
      <c r="DH96" s="649">
        <f t="shared" ca="1" si="218"/>
        <v>-4.2795045259295694</v>
      </c>
    </row>
    <row r="97" spans="1:112" s="639" customFormat="1" ht="11.25">
      <c r="C97" s="640" t="s">
        <v>577</v>
      </c>
      <c r="D97" s="641" t="s">
        <v>574</v>
      </c>
      <c r="E97" s="641"/>
      <c r="G97" s="643"/>
      <c r="H97" s="643"/>
      <c r="I97" s="643"/>
      <c r="J97" s="643"/>
      <c r="K97" s="644"/>
      <c r="L97" s="643"/>
      <c r="M97" s="643"/>
      <c r="N97" s="643"/>
      <c r="O97" s="643"/>
      <c r="P97" s="643"/>
      <c r="Q97" s="643"/>
      <c r="S97" s="645"/>
      <c r="T97" s="645"/>
      <c r="U97" s="645">
        <f ca="1">U$95+U$96</f>
        <v>15.380254786704254</v>
      </c>
      <c r="V97" s="645">
        <f ca="1">V$95+V$96</f>
        <v>-64.203149396327305</v>
      </c>
      <c r="W97" s="645">
        <f ca="1">W$95+W$96</f>
        <v>-39.154178827745532</v>
      </c>
      <c r="X97" s="645"/>
      <c r="Y97" s="645"/>
      <c r="Z97" s="645"/>
      <c r="AA97" s="645"/>
      <c r="AB97" s="645"/>
      <c r="AC97" s="645">
        <f t="shared" ref="AC97:AH97" ca="1" si="224">AC$95+AC$96</f>
        <v>0</v>
      </c>
      <c r="AD97" s="645">
        <f t="shared" ca="1" si="224"/>
        <v>0</v>
      </c>
      <c r="AE97" s="645">
        <f t="shared" ca="1" si="224"/>
        <v>0</v>
      </c>
      <c r="AF97" s="645">
        <f t="shared" ca="1" si="224"/>
        <v>0</v>
      </c>
      <c r="AG97" s="645">
        <f t="shared" ca="1" si="224"/>
        <v>0</v>
      </c>
      <c r="AH97" s="645">
        <f t="shared" ca="1" si="22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-0.92642501706403768</v>
      </c>
      <c r="BF97" s="646">
        <f ca="1">SUM(AM97:BE97)</f>
        <v>-0.92642501706403768</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c r="A98" s="607"/>
      <c r="B98" s="607"/>
      <c r="C98" s="587" t="s">
        <v>578</v>
      </c>
      <c r="D98" s="611" t="s">
        <v>579</v>
      </c>
      <c r="E98" s="611"/>
      <c r="G98" s="619">
        <f t="shared" ref="G98:P98" ca="1" si="225">IFERROR(INDEX(INDIRECT($C98&amp;".Outputs["&amp;this.Year&amp;"]"), MATCH(G$5, INDIRECT($C98&amp;".Outputs[Vector]"), 0)), 0)</f>
        <v>0</v>
      </c>
      <c r="H98" s="619">
        <f t="shared" ca="1" si="225"/>
        <v>0</v>
      </c>
      <c r="I98" s="619">
        <f t="shared" ca="1" si="225"/>
        <v>0</v>
      </c>
      <c r="J98" s="619">
        <f t="shared" ca="1" si="225"/>
        <v>0</v>
      </c>
      <c r="K98" s="619">
        <f t="shared" ca="1" si="225"/>
        <v>0</v>
      </c>
      <c r="L98" s="619">
        <f t="shared" ca="1" si="225"/>
        <v>0</v>
      </c>
      <c r="M98" s="619">
        <f t="shared" ca="1" si="225"/>
        <v>0</v>
      </c>
      <c r="N98" s="619">
        <f t="shared" ca="1" si="225"/>
        <v>0</v>
      </c>
      <c r="O98" s="619">
        <f t="shared" ca="1" si="225"/>
        <v>0</v>
      </c>
      <c r="P98" s="619">
        <f t="shared" ca="1" si="225"/>
        <v>0</v>
      </c>
      <c r="Q98" s="612">
        <f ca="1">SUM(G98:P98)</f>
        <v>0</v>
      </c>
      <c r="S98" s="620">
        <f t="shared" ref="S98:AJ98" ca="1" si="226">IFERROR(INDEX(INDIRECT($C98&amp;".Outputs["&amp;this.Year&amp;"]"), MATCH(S$5, INDIRECT($C98&amp;".Outputs[Vector]"), 0)), 0)</f>
        <v>0</v>
      </c>
      <c r="T98" s="620">
        <f t="shared" ca="1" si="226"/>
        <v>0</v>
      </c>
      <c r="U98" s="620">
        <f t="shared" ca="1" si="226"/>
        <v>-15.380254786704254</v>
      </c>
      <c r="V98" s="620">
        <f t="shared" ca="1" si="226"/>
        <v>2.4963333333333302</v>
      </c>
      <c r="W98" s="620">
        <f t="shared" ca="1" si="226"/>
        <v>0</v>
      </c>
      <c r="X98" s="620">
        <f t="shared" ca="1" si="226"/>
        <v>0</v>
      </c>
      <c r="Y98" s="620">
        <f t="shared" ca="1" si="226"/>
        <v>0</v>
      </c>
      <c r="Z98" s="620">
        <f t="shared" ca="1" si="226"/>
        <v>0</v>
      </c>
      <c r="AA98" s="620">
        <f t="shared" ca="1" si="226"/>
        <v>0</v>
      </c>
      <c r="AB98" s="620">
        <f t="shared" ca="1" si="226"/>
        <v>0</v>
      </c>
      <c r="AC98" s="620">
        <f t="shared" ca="1" si="226"/>
        <v>0</v>
      </c>
      <c r="AD98" s="620">
        <f t="shared" ca="1" si="226"/>
        <v>0</v>
      </c>
      <c r="AE98" s="620">
        <f t="shared" ca="1" si="226"/>
        <v>0</v>
      </c>
      <c r="AF98" s="620">
        <f t="shared" ca="1" si="226"/>
        <v>0</v>
      </c>
      <c r="AG98" s="620">
        <f t="shared" ca="1" si="226"/>
        <v>0</v>
      </c>
      <c r="AH98" s="620">
        <f t="shared" ca="1" si="226"/>
        <v>0</v>
      </c>
      <c r="AI98" s="620">
        <f t="shared" ca="1" si="226"/>
        <v>0</v>
      </c>
      <c r="AJ98" s="620">
        <f t="shared" ca="1" si="226"/>
        <v>0</v>
      </c>
      <c r="AK98" s="613">
        <f ca="1">SUM(S98:AJ98)</f>
        <v>-12.883921453370924</v>
      </c>
      <c r="AM98" s="621">
        <f t="shared" ref="AM98:BE98" ca="1" si="227">IFERROR(INDEX(INDIRECT($C98&amp;".Outputs["&amp;this.Year&amp;"]"), MATCH(AM$5, INDIRECT($C98&amp;".Outputs[Vector]"), 0)), 0)</f>
        <v>0</v>
      </c>
      <c r="AN98" s="621">
        <f t="shared" ca="1" si="227"/>
        <v>0</v>
      </c>
      <c r="AO98" s="621">
        <f t="shared" ca="1" si="227"/>
        <v>0</v>
      </c>
      <c r="AP98" s="621">
        <f t="shared" ca="1" si="227"/>
        <v>12.883921453370924</v>
      </c>
      <c r="AQ98" s="621">
        <f t="shared" ca="1" si="227"/>
        <v>0</v>
      </c>
      <c r="AR98" s="621">
        <f t="shared" ca="1" si="227"/>
        <v>0</v>
      </c>
      <c r="AS98" s="621">
        <f t="shared" ca="1" si="227"/>
        <v>0</v>
      </c>
      <c r="AT98" s="621">
        <f t="shared" ca="1" si="227"/>
        <v>0</v>
      </c>
      <c r="AU98" s="621">
        <f t="shared" ca="1" si="227"/>
        <v>0</v>
      </c>
      <c r="AV98" s="621">
        <f t="shared" ca="1" si="227"/>
        <v>0</v>
      </c>
      <c r="AW98" s="621">
        <f t="shared" ca="1" si="227"/>
        <v>0</v>
      </c>
      <c r="AX98" s="621">
        <f t="shared" ca="1" si="227"/>
        <v>0</v>
      </c>
      <c r="AY98" s="621">
        <f t="shared" ca="1" si="227"/>
        <v>0</v>
      </c>
      <c r="AZ98" s="621">
        <f t="shared" ca="1" si="227"/>
        <v>0</v>
      </c>
      <c r="BA98" s="621">
        <f t="shared" ca="1" si="227"/>
        <v>0</v>
      </c>
      <c r="BB98" s="621">
        <f t="shared" ca="1" si="227"/>
        <v>0</v>
      </c>
      <c r="BC98" s="621">
        <f t="shared" ca="1" si="227"/>
        <v>0</v>
      </c>
      <c r="BD98" s="621">
        <f t="shared" ca="1" si="227"/>
        <v>0</v>
      </c>
      <c r="BE98" s="621">
        <f t="shared" ca="1" si="227"/>
        <v>0</v>
      </c>
      <c r="BF98" s="615">
        <f ca="1">SUM(AM98:BE98)</f>
        <v>12.883921453370924</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28">IFERROR(SUMIFS(INDIRECT($C98&amp;".Emissions["&amp;this.Year&amp;"]"), INDIRECT($C98&amp;".Emissions[GHG]"), BO$6, INDIRECT($C98&amp;".Emissions[IPCC Sector]"), BO$5),0)</f>
        <v>0</v>
      </c>
      <c r="BP98" s="2792">
        <f t="shared" ca="1" si="228"/>
        <v>0</v>
      </c>
      <c r="BQ98" s="2792">
        <f t="shared" ca="1" si="228"/>
        <v>0</v>
      </c>
      <c r="BR98" s="2792">
        <f t="shared" ca="1" si="228"/>
        <v>0</v>
      </c>
      <c r="BS98" s="2792">
        <f t="shared" ca="1" si="228"/>
        <v>0</v>
      </c>
      <c r="BT98" s="2792">
        <f t="shared" ca="1" si="228"/>
        <v>0</v>
      </c>
      <c r="BU98" s="2792">
        <f t="shared" ca="1" si="228"/>
        <v>0</v>
      </c>
      <c r="BV98" s="2792">
        <f t="shared" ca="1" si="228"/>
        <v>0</v>
      </c>
      <c r="BW98" s="2792">
        <f t="shared" ca="1" si="228"/>
        <v>0</v>
      </c>
      <c r="BX98" s="2792">
        <f t="shared" ca="1" si="228"/>
        <v>0</v>
      </c>
      <c r="BY98" s="2792">
        <f t="shared" ca="1" si="228"/>
        <v>0</v>
      </c>
      <c r="BZ98" s="2792">
        <f t="shared" ca="1" si="228"/>
        <v>0</v>
      </c>
      <c r="CA98" s="2792">
        <f t="shared" ca="1" si="228"/>
        <v>0</v>
      </c>
      <c r="CB98" s="2792">
        <f t="shared" ca="1" si="228"/>
        <v>0</v>
      </c>
      <c r="CC98" s="2792">
        <f t="shared" ca="1" si="228"/>
        <v>0</v>
      </c>
      <c r="CD98" s="2792">
        <f t="shared" ca="1" si="228"/>
        <v>0</v>
      </c>
      <c r="CE98" s="2792">
        <f t="shared" ca="1" si="228"/>
        <v>0</v>
      </c>
      <c r="CF98" s="2792">
        <f t="shared" ca="1" si="228"/>
        <v>0</v>
      </c>
      <c r="CG98" s="2792">
        <f t="shared" ca="1" si="228"/>
        <v>0</v>
      </c>
      <c r="CH98" s="2792">
        <f t="shared" ca="1" si="228"/>
        <v>0</v>
      </c>
      <c r="CI98" s="2792">
        <f t="shared" ca="1" si="228"/>
        <v>0</v>
      </c>
      <c r="CJ98" s="2792">
        <f t="shared" ca="1" si="228"/>
        <v>0</v>
      </c>
      <c r="CK98" s="2792">
        <f t="shared" ca="1" si="228"/>
        <v>0</v>
      </c>
      <c r="CL98" s="2792">
        <f t="shared" ca="1" si="228"/>
        <v>0</v>
      </c>
      <c r="CM98" s="2792">
        <f t="shared" ca="1" si="228"/>
        <v>0</v>
      </c>
      <c r="CN98" s="2792">
        <f t="shared" ca="1" si="228"/>
        <v>0</v>
      </c>
      <c r="CO98" s="2792">
        <f t="shared" ca="1" si="228"/>
        <v>0</v>
      </c>
      <c r="CP98" s="2792">
        <f t="shared" ca="1" si="228"/>
        <v>0</v>
      </c>
      <c r="CQ98" s="2792">
        <f t="shared" ca="1" si="228"/>
        <v>0</v>
      </c>
      <c r="CR98" s="2792">
        <f t="shared" ca="1" si="228"/>
        <v>0</v>
      </c>
      <c r="CS98" s="2792">
        <f t="shared" ca="1" si="228"/>
        <v>0</v>
      </c>
      <c r="CT98" s="2792">
        <f t="shared" ca="1" si="228"/>
        <v>0</v>
      </c>
      <c r="CU98" s="2792">
        <f t="shared" ca="1" si="228"/>
        <v>0</v>
      </c>
      <c r="CV98" s="2792">
        <f t="shared" ca="1" si="228"/>
        <v>0</v>
      </c>
      <c r="CW98" s="2792">
        <f t="shared" ca="1" si="228"/>
        <v>0</v>
      </c>
      <c r="CX98" s="2792">
        <f t="shared" ca="1" si="228"/>
        <v>0</v>
      </c>
      <c r="CY98" s="2792">
        <f t="shared" ca="1" si="228"/>
        <v>-0.65873243999999909</v>
      </c>
      <c r="CZ98" s="2792">
        <f t="shared" ca="1" si="228"/>
        <v>0</v>
      </c>
      <c r="DA98" s="2792">
        <f t="shared" ca="1" si="228"/>
        <v>0</v>
      </c>
      <c r="DB98" s="2792">
        <f t="shared" ca="1" si="228"/>
        <v>0</v>
      </c>
      <c r="DC98" s="2792">
        <f t="shared" ca="1" si="228"/>
        <v>0</v>
      </c>
      <c r="DD98" s="2792">
        <f t="shared" ca="1" si="228"/>
        <v>0</v>
      </c>
      <c r="DE98" s="2792">
        <f t="shared" ca="1" si="228"/>
        <v>0</v>
      </c>
      <c r="DF98" s="2792">
        <f t="shared" ca="1" si="228"/>
        <v>0</v>
      </c>
      <c r="DH98" s="596">
        <f ca="1">SUM(BO98:DF98)</f>
        <v>-0.65873243999999909</v>
      </c>
    </row>
    <row r="99" spans="1:112" s="6" customFormat="1" ht="15.75">
      <c r="A99" s="4"/>
      <c r="B99" s="3"/>
      <c r="C99" s="616" t="s">
        <v>580</v>
      </c>
      <c r="D99" s="617" t="s">
        <v>581</v>
      </c>
      <c r="E99" s="206"/>
      <c r="G99" s="618">
        <f ca="1">G$96+G98</f>
        <v>0</v>
      </c>
      <c r="H99" s="618">
        <f t="shared" ref="H99:P99" ca="1" si="229">H$96+H98</f>
        <v>0</v>
      </c>
      <c r="I99" s="618">
        <f t="shared" ca="1" si="229"/>
        <v>0</v>
      </c>
      <c r="J99" s="618">
        <f t="shared" ca="1" si="229"/>
        <v>0</v>
      </c>
      <c r="K99" s="618">
        <f t="shared" ca="1" si="229"/>
        <v>0</v>
      </c>
      <c r="L99" s="618">
        <f t="shared" ca="1" si="229"/>
        <v>0</v>
      </c>
      <c r="M99" s="618">
        <f t="shared" ca="1" si="229"/>
        <v>0</v>
      </c>
      <c r="N99" s="618">
        <f t="shared" ca="1" si="229"/>
        <v>0</v>
      </c>
      <c r="O99" s="618">
        <f t="shared" ca="1" si="229"/>
        <v>0</v>
      </c>
      <c r="P99" s="618">
        <f t="shared" ca="1" si="229"/>
        <v>0</v>
      </c>
      <c r="Q99" s="618">
        <f ca="1">SUM(G99:P99)</f>
        <v>0</v>
      </c>
      <c r="S99" s="581">
        <f t="shared" ref="S99:AJ99" ca="1" si="230">S$96+S98</f>
        <v>0</v>
      </c>
      <c r="T99" s="581">
        <f t="shared" ca="1" si="230"/>
        <v>0</v>
      </c>
      <c r="U99" s="581">
        <f t="shared" ca="1" si="230"/>
        <v>10.924447090064488</v>
      </c>
      <c r="V99" s="581">
        <f t="shared" ca="1" si="230"/>
        <v>2.6134271531647091</v>
      </c>
      <c r="W99" s="581">
        <f t="shared" ca="1" si="230"/>
        <v>2.7367354408428457</v>
      </c>
      <c r="X99" s="581">
        <f t="shared" ca="1" si="230"/>
        <v>0</v>
      </c>
      <c r="Y99" s="581">
        <f t="shared" ca="1" si="230"/>
        <v>0</v>
      </c>
      <c r="Z99" s="581">
        <f t="shared" ca="1" si="230"/>
        <v>0</v>
      </c>
      <c r="AA99" s="581">
        <f t="shared" ca="1" si="230"/>
        <v>0</v>
      </c>
      <c r="AB99" s="581">
        <f t="shared" ca="1" si="230"/>
        <v>0</v>
      </c>
      <c r="AC99" s="581">
        <f t="shared" ca="1" si="230"/>
        <v>0</v>
      </c>
      <c r="AD99" s="581">
        <f ca="1">AD$96+AD98</f>
        <v>-19.357134768779371</v>
      </c>
      <c r="AE99" s="581">
        <f ca="1">AE$96+AE98</f>
        <v>-0.37055006275752844</v>
      </c>
      <c r="AF99" s="581">
        <f t="shared" ca="1" si="230"/>
        <v>-8.3320251015035147</v>
      </c>
      <c r="AG99" s="581">
        <f t="shared" ca="1" si="230"/>
        <v>-3.021188431319072</v>
      </c>
      <c r="AH99" s="581">
        <f ca="1">AH$96+AH98</f>
        <v>-0.16872527422163447</v>
      </c>
      <c r="AI99" s="581">
        <f t="shared" ca="1" si="230"/>
        <v>0</v>
      </c>
      <c r="AJ99" s="581">
        <f t="shared" ca="1" si="230"/>
        <v>0</v>
      </c>
      <c r="AK99" s="581">
        <f ca="1">SUM(S99:AJ99)</f>
        <v>-14.975013954509077</v>
      </c>
      <c r="AM99" s="582">
        <f t="shared" ref="AM99:BE99" ca="1" si="231">AM$96+AM98</f>
        <v>0</v>
      </c>
      <c r="AN99" s="582">
        <f t="shared" ca="1" si="231"/>
        <v>0</v>
      </c>
      <c r="AO99" s="582">
        <f t="shared" ca="1" si="231"/>
        <v>0</v>
      </c>
      <c r="AP99" s="582">
        <f t="shared" ca="1" si="231"/>
        <v>12.883921453370924</v>
      </c>
      <c r="AQ99" s="582">
        <f t="shared" ca="1" si="231"/>
        <v>0</v>
      </c>
      <c r="AR99" s="582">
        <f t="shared" ca="1" si="231"/>
        <v>0</v>
      </c>
      <c r="AS99" s="582">
        <f t="shared" ca="1" si="231"/>
        <v>0</v>
      </c>
      <c r="AT99" s="582">
        <f t="shared" ca="1" si="231"/>
        <v>0</v>
      </c>
      <c r="AU99" s="582">
        <f t="shared" ca="1" si="231"/>
        <v>0</v>
      </c>
      <c r="AV99" s="582">
        <f t="shared" ca="1" si="231"/>
        <v>0</v>
      </c>
      <c r="AW99" s="582">
        <f t="shared" ca="1" si="231"/>
        <v>0</v>
      </c>
      <c r="AX99" s="582">
        <f t="shared" ca="1" si="231"/>
        <v>0</v>
      </c>
      <c r="AY99" s="582">
        <f t="shared" ca="1" si="231"/>
        <v>0</v>
      </c>
      <c r="AZ99" s="582">
        <f t="shared" ca="1" si="231"/>
        <v>0</v>
      </c>
      <c r="BA99" s="582">
        <f t="shared" ca="1" si="231"/>
        <v>0</v>
      </c>
      <c r="BB99" s="582">
        <f t="shared" ca="1" si="231"/>
        <v>0</v>
      </c>
      <c r="BC99" s="582">
        <f t="shared" ca="1" si="231"/>
        <v>0</v>
      </c>
      <c r="BD99" s="582">
        <f t="shared" ca="1" si="231"/>
        <v>0</v>
      </c>
      <c r="BE99" s="582">
        <f t="shared" ca="1" si="231"/>
        <v>0</v>
      </c>
      <c r="BF99" s="582">
        <f ca="1">SUM(AM99:BE99)</f>
        <v>12.883921453370924</v>
      </c>
      <c r="BH99" s="3463">
        <f ca="1">BH$96+BH98</f>
        <v>2.0910925011381494</v>
      </c>
      <c r="BI99" s="3463">
        <f ca="1">BI$96+BI98</f>
        <v>0</v>
      </c>
      <c r="BJ99" s="3463">
        <f ca="1">SUM(BH99:BI99)</f>
        <v>2.0910925011381494</v>
      </c>
      <c r="BL99" s="3477">
        <f ca="1">Q99+AK99+BF99+BJ99</f>
        <v>-3.5527136788005009E-15</v>
      </c>
      <c r="BM99" s="584"/>
      <c r="BN99" s="413"/>
      <c r="BO99" s="2790">
        <f t="shared" ref="BO99:DF99" ca="1" si="232">BO$96+BO98</f>
        <v>0</v>
      </c>
      <c r="BP99" s="2790">
        <f t="shared" ca="1" si="232"/>
        <v>0</v>
      </c>
      <c r="BQ99" s="2790">
        <f t="shared" ca="1" si="232"/>
        <v>0</v>
      </c>
      <c r="BR99" s="2790">
        <f t="shared" ca="1" si="232"/>
        <v>0</v>
      </c>
      <c r="BS99" s="2790">
        <f t="shared" ca="1" si="232"/>
        <v>0</v>
      </c>
      <c r="BT99" s="2790">
        <f t="shared" ca="1" si="232"/>
        <v>0</v>
      </c>
      <c r="BU99" s="2790">
        <f t="shared" ca="1" si="232"/>
        <v>0</v>
      </c>
      <c r="BV99" s="2790">
        <f t="shared" ca="1" si="232"/>
        <v>0</v>
      </c>
      <c r="BW99" s="2790">
        <f t="shared" ca="1" si="232"/>
        <v>0</v>
      </c>
      <c r="BX99" s="2790">
        <f t="shared" ca="1" si="232"/>
        <v>0</v>
      </c>
      <c r="BY99" s="2790">
        <f t="shared" ca="1" si="232"/>
        <v>0</v>
      </c>
      <c r="BZ99" s="2790">
        <f t="shared" ca="1" si="232"/>
        <v>0</v>
      </c>
      <c r="CA99" s="2790">
        <f t="shared" ca="1" si="232"/>
        <v>0</v>
      </c>
      <c r="CB99" s="2790">
        <f t="shared" ca="1" si="232"/>
        <v>0</v>
      </c>
      <c r="CC99" s="2790">
        <f t="shared" ca="1" si="232"/>
        <v>0</v>
      </c>
      <c r="CD99" s="2790">
        <f t="shared" ca="1" si="232"/>
        <v>0</v>
      </c>
      <c r="CE99" s="2790">
        <f t="shared" ca="1" si="232"/>
        <v>0</v>
      </c>
      <c r="CF99" s="2790">
        <f t="shared" ca="1" si="232"/>
        <v>0</v>
      </c>
      <c r="CG99" s="2790">
        <f t="shared" ca="1" si="232"/>
        <v>0</v>
      </c>
      <c r="CH99" s="2790">
        <f t="shared" ca="1" si="232"/>
        <v>0</v>
      </c>
      <c r="CI99" s="2790">
        <f t="shared" ca="1" si="232"/>
        <v>0</v>
      </c>
      <c r="CJ99" s="2790">
        <f t="shared" ca="1" si="232"/>
        <v>0</v>
      </c>
      <c r="CK99" s="2790">
        <f t="shared" ca="1" si="232"/>
        <v>0</v>
      </c>
      <c r="CL99" s="2790">
        <f t="shared" ca="1" si="232"/>
        <v>0</v>
      </c>
      <c r="CM99" s="2790">
        <f t="shared" ca="1" si="232"/>
        <v>0</v>
      </c>
      <c r="CN99" s="2790">
        <f t="shared" ca="1" si="232"/>
        <v>0</v>
      </c>
      <c r="CO99" s="2790">
        <f t="shared" ca="1" si="232"/>
        <v>0</v>
      </c>
      <c r="CP99" s="2790">
        <f t="shared" ca="1" si="232"/>
        <v>0</v>
      </c>
      <c r="CQ99" s="2790">
        <f t="shared" ca="1" si="232"/>
        <v>0</v>
      </c>
      <c r="CR99" s="2790">
        <f t="shared" ca="1" si="232"/>
        <v>0</v>
      </c>
      <c r="CS99" s="2790">
        <f t="shared" ca="1" si="232"/>
        <v>0</v>
      </c>
      <c r="CT99" s="2790">
        <f t="shared" ca="1" si="232"/>
        <v>0</v>
      </c>
      <c r="CU99" s="2790">
        <f t="shared" ca="1" si="232"/>
        <v>0</v>
      </c>
      <c r="CV99" s="2790">
        <f t="shared" ca="1" si="232"/>
        <v>0</v>
      </c>
      <c r="CW99" s="2790">
        <f t="shared" ca="1" si="232"/>
        <v>0</v>
      </c>
      <c r="CX99" s="2790">
        <f t="shared" ca="1" si="232"/>
        <v>0</v>
      </c>
      <c r="CY99" s="2790">
        <f t="shared" ca="1" si="232"/>
        <v>-4.9382369659295682</v>
      </c>
      <c r="CZ99" s="2790">
        <f t="shared" ca="1" si="232"/>
        <v>0</v>
      </c>
      <c r="DA99" s="2790">
        <f t="shared" ca="1" si="232"/>
        <v>0</v>
      </c>
      <c r="DB99" s="2790">
        <f t="shared" ca="1" si="232"/>
        <v>0</v>
      </c>
      <c r="DC99" s="2790">
        <f t="shared" ca="1" si="232"/>
        <v>0</v>
      </c>
      <c r="DD99" s="2790">
        <f t="shared" ca="1" si="232"/>
        <v>0</v>
      </c>
      <c r="DE99" s="2790">
        <f t="shared" ca="1" si="232"/>
        <v>0</v>
      </c>
      <c r="DF99" s="2790">
        <f t="shared" ca="1" si="232"/>
        <v>0</v>
      </c>
      <c r="DH99" s="596">
        <f t="shared" ca="1" si="218"/>
        <v>-4.9382369659295682</v>
      </c>
    </row>
    <row r="100" spans="1:112" s="4" customFormat="1" ht="15.75">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18"/>
        <v>0</v>
      </c>
    </row>
    <row r="101" spans="1:112" s="652" customFormat="1">
      <c r="C101" s="667" t="s">
        <v>582</v>
      </c>
      <c r="D101" s="641" t="s">
        <v>574</v>
      </c>
      <c r="E101" s="685"/>
      <c r="G101" s="643"/>
      <c r="H101" s="643"/>
      <c r="I101" s="643"/>
      <c r="J101" s="643"/>
      <c r="K101" s="644"/>
      <c r="L101" s="643"/>
      <c r="M101" s="643"/>
      <c r="N101" s="643"/>
      <c r="O101" s="643"/>
      <c r="P101" s="643"/>
      <c r="Q101" s="704"/>
      <c r="R101" s="639"/>
      <c r="S101" s="645">
        <f ca="1">(S$40+S$84+S$93+S$99)</f>
        <v>-25.40523094801479</v>
      </c>
      <c r="T101" s="645">
        <f ca="1">(T$40+T$84+T$93+T$99)</f>
        <v>25.405230948014786</v>
      </c>
      <c r="U101" s="645">
        <f ca="1">(U$40+U$84+U$93+U$99)</f>
        <v>0</v>
      </c>
      <c r="V101" s="645">
        <f ca="1">(V$40+V$84+V$93+V$99)</f>
        <v>-61.70681606299398</v>
      </c>
      <c r="W101" s="645">
        <f ca="1">(W$40+W$84+W$93+W$99)</f>
        <v>-39.154178827745532</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18"/>
        <v>0</v>
      </c>
    </row>
    <row r="102" spans="1:112" s="607" customFormat="1">
      <c r="B102" s="705"/>
      <c r="C102" s="651" t="s">
        <v>583</v>
      </c>
      <c r="D102" s="588" t="s">
        <v>584</v>
      </c>
      <c r="E102" s="588"/>
      <c r="F102" s="6"/>
      <c r="G102" s="659">
        <f t="shared" ref="G102:P102" ca="1" si="233">IFERROR(INDEX(INDIRECT($C102&amp;".Outputs["&amp;this.Year&amp;"]"), MATCH(G$5, INDIRECT($C102&amp;".Outputs[Vector]"), 0)), 0)</f>
        <v>0</v>
      </c>
      <c r="H102" s="659">
        <f t="shared" ca="1" si="233"/>
        <v>0</v>
      </c>
      <c r="I102" s="659">
        <f t="shared" ca="1" si="233"/>
        <v>0</v>
      </c>
      <c r="J102" s="659">
        <f t="shared" ca="1" si="233"/>
        <v>0</v>
      </c>
      <c r="K102" s="706">
        <f t="shared" ca="1" si="233"/>
        <v>0</v>
      </c>
      <c r="L102" s="659">
        <f t="shared" ca="1" si="233"/>
        <v>0</v>
      </c>
      <c r="M102" s="659">
        <f t="shared" ca="1" si="233"/>
        <v>0</v>
      </c>
      <c r="N102" s="659">
        <f t="shared" ca="1" si="233"/>
        <v>0</v>
      </c>
      <c r="O102" s="659">
        <f t="shared" ca="1" si="233"/>
        <v>0</v>
      </c>
      <c r="P102" s="659">
        <f t="shared" ca="1" si="233"/>
        <v>0</v>
      </c>
      <c r="Q102" s="707">
        <f ca="1">SUM(G102:P102)</f>
        <v>0</v>
      </c>
      <c r="R102" s="6"/>
      <c r="S102" s="661">
        <f t="shared" ref="S102:AJ102" ca="1" si="234">IFERROR(INDEX(INDIRECT($C102&amp;".Outputs["&amp;this.Year&amp;"]"), MATCH(S$5, INDIRECT($C102&amp;".Outputs[Vector]"), 0)), 0)</f>
        <v>0</v>
      </c>
      <c r="T102" s="661">
        <f t="shared" ca="1" si="234"/>
        <v>0</v>
      </c>
      <c r="U102" s="661">
        <f t="shared" ca="1" si="234"/>
        <v>0</v>
      </c>
      <c r="V102" s="661">
        <f t="shared" ca="1" si="234"/>
        <v>61.70681606299398</v>
      </c>
      <c r="W102" s="661">
        <f t="shared" ca="1" si="234"/>
        <v>39.154178827745532</v>
      </c>
      <c r="X102" s="661">
        <f t="shared" ca="1" si="234"/>
        <v>0</v>
      </c>
      <c r="Y102" s="661">
        <f t="shared" ca="1" si="234"/>
        <v>-61.70681606299398</v>
      </c>
      <c r="Z102" s="661">
        <f t="shared" ca="1" si="234"/>
        <v>-39.741491510161715</v>
      </c>
      <c r="AA102" s="661">
        <f t="shared" ca="1" si="234"/>
        <v>0</v>
      </c>
      <c r="AB102" s="661">
        <f t="shared" ca="1" si="234"/>
        <v>0</v>
      </c>
      <c r="AC102" s="661">
        <f t="shared" ca="1" si="234"/>
        <v>0</v>
      </c>
      <c r="AD102" s="661">
        <f t="shared" ca="1" si="234"/>
        <v>0</v>
      </c>
      <c r="AE102" s="661">
        <f t="shared" ca="1" si="234"/>
        <v>0</v>
      </c>
      <c r="AF102" s="661">
        <f t="shared" ca="1" si="234"/>
        <v>0</v>
      </c>
      <c r="AG102" s="661">
        <f t="shared" ca="1" si="234"/>
        <v>0</v>
      </c>
      <c r="AH102" s="661">
        <f t="shared" ca="1" si="234"/>
        <v>0</v>
      </c>
      <c r="AI102" s="661">
        <f t="shared" ca="1" si="234"/>
        <v>0</v>
      </c>
      <c r="AJ102" s="661">
        <f t="shared" ca="1" si="234"/>
        <v>0</v>
      </c>
      <c r="AK102" s="661">
        <f ca="1">SUM(S102:AJ102)</f>
        <v>-0.58731268241619006</v>
      </c>
      <c r="AL102" s="6"/>
      <c r="AM102" s="609">
        <f t="shared" ref="AM102:BE102" ca="1" si="235">IFERROR(INDEX(INDIRECT($C102&amp;".Outputs["&amp;this.Year&amp;"]"), MATCH(AM$5, INDIRECT($C102&amp;".Outputs[Vector]"), 0)), 0)</f>
        <v>0</v>
      </c>
      <c r="AN102" s="609">
        <f t="shared" ca="1" si="235"/>
        <v>0</v>
      </c>
      <c r="AO102" s="609">
        <f t="shared" ca="1" si="235"/>
        <v>0</v>
      </c>
      <c r="AP102" s="609">
        <f t="shared" ca="1" si="235"/>
        <v>0</v>
      </c>
      <c r="AQ102" s="609">
        <f t="shared" ca="1" si="235"/>
        <v>0</v>
      </c>
      <c r="AR102" s="609">
        <f t="shared" ca="1" si="235"/>
        <v>0</v>
      </c>
      <c r="AS102" s="609">
        <f t="shared" ca="1" si="235"/>
        <v>0</v>
      </c>
      <c r="AT102" s="609">
        <f t="shared" ca="1" si="235"/>
        <v>0</v>
      </c>
      <c r="AU102" s="609">
        <f t="shared" ca="1" si="235"/>
        <v>0</v>
      </c>
      <c r="AV102" s="609">
        <f t="shared" ca="1" si="235"/>
        <v>0</v>
      </c>
      <c r="AW102" s="609">
        <f t="shared" ca="1" si="235"/>
        <v>0</v>
      </c>
      <c r="AX102" s="609">
        <f t="shared" ca="1" si="235"/>
        <v>0</v>
      </c>
      <c r="AY102" s="609">
        <f t="shared" ca="1" si="235"/>
        <v>0</v>
      </c>
      <c r="AZ102" s="609">
        <f t="shared" ca="1" si="235"/>
        <v>0</v>
      </c>
      <c r="BA102" s="609">
        <f t="shared" ca="1" si="235"/>
        <v>0</v>
      </c>
      <c r="BB102" s="609">
        <f t="shared" ca="1" si="235"/>
        <v>0</v>
      </c>
      <c r="BC102" s="609">
        <f t="shared" ca="1" si="235"/>
        <v>0</v>
      </c>
      <c r="BD102" s="609">
        <f t="shared" ca="1" si="235"/>
        <v>0</v>
      </c>
      <c r="BE102" s="609">
        <f t="shared" ca="1" si="23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0.58731268241618295</v>
      </c>
      <c r="BJ102" s="664">
        <f ca="1">SUM(BH102:BI102)</f>
        <v>0.58731268241618295</v>
      </c>
      <c r="BK102" s="6"/>
      <c r="BL102" s="3477">
        <f t="shared" ref="BL102:BL109" ca="1" si="236">Q102+AK102+BF102+BJ102</f>
        <v>-7.1054273576010019E-15</v>
      </c>
      <c r="BM102" s="610"/>
      <c r="BO102" s="2789">
        <f t="shared" ref="BO102:BX103" ca="1" si="237">IFERROR(SUMIFS(INDIRECT($C102&amp;".Emissions["&amp;this.Year&amp;"]"), INDIRECT($C102&amp;".Emissions[GHG]"), BO$6, INDIRECT($C102&amp;".Emissions[IPCC Sector]"), BO$5),0)</f>
        <v>0</v>
      </c>
      <c r="BP102" s="2790">
        <f t="shared" ca="1" si="237"/>
        <v>0</v>
      </c>
      <c r="BQ102" s="2790">
        <f t="shared" ca="1" si="237"/>
        <v>0</v>
      </c>
      <c r="BR102" s="2790">
        <f t="shared" ca="1" si="237"/>
        <v>0</v>
      </c>
      <c r="BS102" s="2790">
        <f t="shared" ca="1" si="237"/>
        <v>0</v>
      </c>
      <c r="BT102" s="2790">
        <f t="shared" ca="1" si="237"/>
        <v>1.7075629667676426E-2</v>
      </c>
      <c r="BU102" s="2790">
        <f t="shared" ca="1" si="237"/>
        <v>0</v>
      </c>
      <c r="BV102" s="2790">
        <f t="shared" ca="1" si="237"/>
        <v>0</v>
      </c>
      <c r="BW102" s="2790">
        <f t="shared" ca="1" si="237"/>
        <v>0</v>
      </c>
      <c r="BX102" s="2790">
        <f t="shared" ca="1" si="237"/>
        <v>0</v>
      </c>
      <c r="BY102" s="2790">
        <f t="shared" ref="BY102:CH103" ca="1" si="238">IFERROR(SUMIFS(INDIRECT($C102&amp;".Emissions["&amp;this.Year&amp;"]"), INDIRECT($C102&amp;".Emissions[GHG]"), BY$6, INDIRECT($C102&amp;".Emissions[IPCC Sector]"), BY$5),0)</f>
        <v>0</v>
      </c>
      <c r="BZ102" s="2790">
        <f t="shared" ca="1" si="238"/>
        <v>0</v>
      </c>
      <c r="CA102" s="2790">
        <f t="shared" ca="1" si="238"/>
        <v>0</v>
      </c>
      <c r="CB102" s="2790">
        <f t="shared" ca="1" si="238"/>
        <v>0</v>
      </c>
      <c r="CC102" s="2790">
        <f t="shared" ca="1" si="238"/>
        <v>0</v>
      </c>
      <c r="CD102" s="2790">
        <f t="shared" ca="1" si="238"/>
        <v>0</v>
      </c>
      <c r="CE102" s="2790">
        <f t="shared" ca="1" si="238"/>
        <v>0</v>
      </c>
      <c r="CF102" s="2790">
        <f t="shared" ca="1" si="238"/>
        <v>0</v>
      </c>
      <c r="CG102" s="2790">
        <f t="shared" ca="1" si="238"/>
        <v>0</v>
      </c>
      <c r="CH102" s="2790">
        <f t="shared" ca="1" si="238"/>
        <v>0</v>
      </c>
      <c r="CI102" s="2790">
        <f t="shared" ref="CI102:CR103" ca="1" si="239">IFERROR(SUMIFS(INDIRECT($C102&amp;".Emissions["&amp;this.Year&amp;"]"), INDIRECT($C102&amp;".Emissions[GHG]"), CI$6, INDIRECT($C102&amp;".Emissions[IPCC Sector]"), CI$5),0)</f>
        <v>0</v>
      </c>
      <c r="CJ102" s="2790">
        <f t="shared" ca="1" si="239"/>
        <v>0</v>
      </c>
      <c r="CK102" s="2790">
        <f t="shared" ca="1" si="239"/>
        <v>0</v>
      </c>
      <c r="CL102" s="2790">
        <f t="shared" ca="1" si="239"/>
        <v>0</v>
      </c>
      <c r="CM102" s="2790">
        <f t="shared" ca="1" si="239"/>
        <v>0</v>
      </c>
      <c r="CN102" s="2790">
        <f t="shared" ca="1" si="239"/>
        <v>0</v>
      </c>
      <c r="CO102" s="2790">
        <f t="shared" ca="1" si="239"/>
        <v>0</v>
      </c>
      <c r="CP102" s="2790">
        <f t="shared" ca="1" si="239"/>
        <v>0</v>
      </c>
      <c r="CQ102" s="2790">
        <f t="shared" ca="1" si="239"/>
        <v>0</v>
      </c>
      <c r="CR102" s="2790">
        <f t="shared" ca="1" si="239"/>
        <v>0</v>
      </c>
      <c r="CS102" s="2790">
        <f t="shared" ref="CS102:DF103" ca="1" si="240">IFERROR(SUMIFS(INDIRECT($C102&amp;".Emissions["&amp;this.Year&amp;"]"), INDIRECT($C102&amp;".Emissions[GHG]"), CS$6, INDIRECT($C102&amp;".Emissions[IPCC Sector]"), CS$5),0)</f>
        <v>0</v>
      </c>
      <c r="CT102" s="2790">
        <f t="shared" ca="1" si="240"/>
        <v>0</v>
      </c>
      <c r="CU102" s="2790">
        <f t="shared" ca="1" si="240"/>
        <v>0</v>
      </c>
      <c r="CV102" s="2790">
        <f t="shared" ca="1" si="240"/>
        <v>0</v>
      </c>
      <c r="CW102" s="2790">
        <f t="shared" ca="1" si="240"/>
        <v>0</v>
      </c>
      <c r="CX102" s="2790">
        <f t="shared" ca="1" si="240"/>
        <v>0</v>
      </c>
      <c r="CY102" s="2790">
        <f t="shared" ca="1" si="240"/>
        <v>0</v>
      </c>
      <c r="CZ102" s="2790">
        <f t="shared" ca="1" si="240"/>
        <v>0</v>
      </c>
      <c r="DA102" s="2790">
        <f t="shared" ca="1" si="240"/>
        <v>0</v>
      </c>
      <c r="DB102" s="2790">
        <f t="shared" ca="1" si="240"/>
        <v>0</v>
      </c>
      <c r="DC102" s="2790">
        <f t="shared" ca="1" si="240"/>
        <v>0</v>
      </c>
      <c r="DD102" s="2790">
        <f t="shared" ca="1" si="240"/>
        <v>0</v>
      </c>
      <c r="DE102" s="2790">
        <f t="shared" ca="1" si="240"/>
        <v>0</v>
      </c>
      <c r="DF102" s="2790">
        <f t="shared" ca="1" si="240"/>
        <v>0</v>
      </c>
      <c r="DH102" s="596">
        <f t="shared" ca="1" si="218"/>
        <v>1.7075629667676426E-2</v>
      </c>
    </row>
    <row r="103" spans="1:112" s="607" customFormat="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3.5527136788005009E-15</v>
      </c>
      <c r="U103" s="711"/>
      <c r="V103" s="711"/>
      <c r="W103" s="711"/>
      <c r="X103" s="711">
        <f ca="1">-(X$40+X$84+X$93+X$99+X$102)</f>
        <v>-2.2402186688480645</v>
      </c>
      <c r="Y103" s="711">
        <f ca="1">-(Y$40+Y$84+Y$93+Y$99+Y$102)</f>
        <v>61.70681606299398</v>
      </c>
      <c r="Z103" s="711">
        <f ca="1">-(Z$40+Z$84+Z$93+Z$99+Z$102)</f>
        <v>29.741491510161715</v>
      </c>
      <c r="AA103" s="711"/>
      <c r="AB103" s="711"/>
      <c r="AC103" s="711"/>
      <c r="AD103" s="711"/>
      <c r="AE103" s="711"/>
      <c r="AF103" s="711"/>
      <c r="AG103" s="711"/>
      <c r="AH103" s="711"/>
      <c r="AI103" s="711"/>
      <c r="AJ103" s="711"/>
      <c r="AK103" s="711">
        <f ca="1">SUM(S103:AJ103)</f>
        <v>89.20808890430763</v>
      </c>
      <c r="AL103" s="6"/>
      <c r="AM103" s="615"/>
      <c r="AN103" s="615"/>
      <c r="AO103" s="615"/>
      <c r="AP103" s="615"/>
      <c r="AQ103" s="615">
        <f ca="1">-T103</f>
        <v>-3.5527136788005009E-15</v>
      </c>
      <c r="AR103" s="615">
        <f>-V103</f>
        <v>0</v>
      </c>
      <c r="AS103" s="615">
        <f ca="1">-X103</f>
        <v>2.2402186688480645</v>
      </c>
      <c r="AT103" s="615">
        <f ca="1">-Y103</f>
        <v>-61.70681606299398</v>
      </c>
      <c r="AU103" s="615">
        <f ca="1">-Z103</f>
        <v>-29.741491510161715</v>
      </c>
      <c r="AV103" s="615"/>
      <c r="AW103" s="615"/>
      <c r="AX103" s="615"/>
      <c r="AY103" s="615"/>
      <c r="AZ103" s="615"/>
      <c r="BA103" s="615"/>
      <c r="BB103" s="615"/>
      <c r="BC103" s="615"/>
      <c r="BD103" s="615"/>
      <c r="BE103" s="615"/>
      <c r="BF103" s="615">
        <f ca="1">SUM(AM103:BE103)</f>
        <v>-89.20808890430763</v>
      </c>
      <c r="BG103" s="6"/>
      <c r="BH103" s="712"/>
      <c r="BI103" s="712"/>
      <c r="BJ103" s="712">
        <f>SUM(BH103:BI103)</f>
        <v>0</v>
      </c>
      <c r="BK103" s="6"/>
      <c r="BL103" s="3477">
        <f t="shared" ca="1" si="236"/>
        <v>0</v>
      </c>
      <c r="BM103" s="610"/>
      <c r="BO103" s="2791">
        <f t="shared" ca="1" si="237"/>
        <v>0</v>
      </c>
      <c r="BP103" s="2792">
        <f t="shared" ca="1" si="237"/>
        <v>0</v>
      </c>
      <c r="BQ103" s="2792">
        <f t="shared" ca="1" si="237"/>
        <v>0</v>
      </c>
      <c r="BR103" s="2792">
        <f t="shared" ca="1" si="237"/>
        <v>0</v>
      </c>
      <c r="BS103" s="2792">
        <f t="shared" ca="1" si="237"/>
        <v>0</v>
      </c>
      <c r="BT103" s="2792">
        <f t="shared" ca="1" si="237"/>
        <v>0</v>
      </c>
      <c r="BU103" s="2792">
        <f t="shared" ca="1" si="237"/>
        <v>0</v>
      </c>
      <c r="BV103" s="2792">
        <f t="shared" ca="1" si="237"/>
        <v>0</v>
      </c>
      <c r="BW103" s="2792">
        <f t="shared" ca="1" si="237"/>
        <v>0</v>
      </c>
      <c r="BX103" s="2792">
        <f t="shared" ca="1" si="237"/>
        <v>0</v>
      </c>
      <c r="BY103" s="2792">
        <f t="shared" ca="1" si="238"/>
        <v>0</v>
      </c>
      <c r="BZ103" s="2792">
        <f t="shared" ca="1" si="238"/>
        <v>0</v>
      </c>
      <c r="CA103" s="2792">
        <f t="shared" ca="1" si="238"/>
        <v>0</v>
      </c>
      <c r="CB103" s="2792">
        <f t="shared" ca="1" si="238"/>
        <v>0</v>
      </c>
      <c r="CC103" s="2792">
        <f t="shared" ca="1" si="238"/>
        <v>0</v>
      </c>
      <c r="CD103" s="2792">
        <f t="shared" ca="1" si="238"/>
        <v>0</v>
      </c>
      <c r="CE103" s="2792">
        <f t="shared" ca="1" si="238"/>
        <v>0</v>
      </c>
      <c r="CF103" s="2792">
        <f t="shared" ca="1" si="238"/>
        <v>0</v>
      </c>
      <c r="CG103" s="2792">
        <f t="shared" ca="1" si="238"/>
        <v>0</v>
      </c>
      <c r="CH103" s="2792">
        <f t="shared" ca="1" si="238"/>
        <v>0</v>
      </c>
      <c r="CI103" s="2792">
        <f t="shared" ca="1" si="239"/>
        <v>0</v>
      </c>
      <c r="CJ103" s="2792">
        <f t="shared" ca="1" si="239"/>
        <v>0</v>
      </c>
      <c r="CK103" s="2792">
        <f t="shared" ca="1" si="239"/>
        <v>0</v>
      </c>
      <c r="CL103" s="2792">
        <f t="shared" ca="1" si="239"/>
        <v>0</v>
      </c>
      <c r="CM103" s="2792">
        <f t="shared" ca="1" si="239"/>
        <v>0</v>
      </c>
      <c r="CN103" s="2792">
        <f t="shared" ca="1" si="239"/>
        <v>0</v>
      </c>
      <c r="CO103" s="2792">
        <f t="shared" ca="1" si="239"/>
        <v>0</v>
      </c>
      <c r="CP103" s="2792">
        <f t="shared" ca="1" si="239"/>
        <v>0</v>
      </c>
      <c r="CQ103" s="2792">
        <f t="shared" ca="1" si="239"/>
        <v>0</v>
      </c>
      <c r="CR103" s="2792">
        <f t="shared" ca="1" si="239"/>
        <v>0</v>
      </c>
      <c r="CS103" s="2792">
        <f t="shared" ca="1" si="240"/>
        <v>0</v>
      </c>
      <c r="CT103" s="2792">
        <f t="shared" ca="1" si="240"/>
        <v>0</v>
      </c>
      <c r="CU103" s="2792">
        <f t="shared" ca="1" si="240"/>
        <v>0</v>
      </c>
      <c r="CV103" s="2792">
        <f t="shared" ca="1" si="240"/>
        <v>0</v>
      </c>
      <c r="CW103" s="2792">
        <f t="shared" ca="1" si="240"/>
        <v>0</v>
      </c>
      <c r="CX103" s="2792">
        <f t="shared" ca="1" si="240"/>
        <v>0</v>
      </c>
      <c r="CY103" s="2792">
        <f t="shared" ca="1" si="240"/>
        <v>0</v>
      </c>
      <c r="CZ103" s="2792">
        <f t="shared" ca="1" si="240"/>
        <v>0</v>
      </c>
      <c r="DA103" s="2792">
        <f t="shared" ca="1" si="240"/>
        <v>0</v>
      </c>
      <c r="DB103" s="2792">
        <f t="shared" ca="1" si="240"/>
        <v>0</v>
      </c>
      <c r="DC103" s="2792">
        <f t="shared" ca="1" si="240"/>
        <v>0</v>
      </c>
      <c r="DD103" s="2792">
        <f t="shared" ca="1" si="240"/>
        <v>0</v>
      </c>
      <c r="DE103" s="2792">
        <f t="shared" ca="1" si="240"/>
        <v>0</v>
      </c>
      <c r="DF103" s="2792">
        <f t="shared" ca="1" si="240"/>
        <v>0</v>
      </c>
      <c r="DH103" s="596">
        <f t="shared" ca="1" si="218"/>
        <v>0</v>
      </c>
    </row>
    <row r="104" spans="1:112" s="6" customFormat="1" ht="15.75">
      <c r="B104" s="3" t="s">
        <v>585</v>
      </c>
      <c r="C104" s="629" t="s">
        <v>588</v>
      </c>
      <c r="D104" s="617" t="s">
        <v>589</v>
      </c>
      <c r="E104" s="519"/>
      <c r="G104" s="618">
        <f t="shared" ref="G104:P104" ca="1" si="241">SUM(G102:G103)</f>
        <v>0</v>
      </c>
      <c r="H104" s="618">
        <f t="shared" ca="1" si="241"/>
        <v>0</v>
      </c>
      <c r="I104" s="618">
        <f t="shared" ca="1" si="241"/>
        <v>0</v>
      </c>
      <c r="J104" s="618">
        <f t="shared" ca="1" si="241"/>
        <v>0</v>
      </c>
      <c r="K104" s="618">
        <f t="shared" ca="1" si="241"/>
        <v>0</v>
      </c>
      <c r="L104" s="618">
        <f t="shared" ca="1" si="241"/>
        <v>0</v>
      </c>
      <c r="M104" s="618">
        <f t="shared" ca="1" si="241"/>
        <v>0</v>
      </c>
      <c r="N104" s="618">
        <f t="shared" ca="1" si="241"/>
        <v>0</v>
      </c>
      <c r="O104" s="618">
        <f t="shared" ca="1" si="241"/>
        <v>0</v>
      </c>
      <c r="P104" s="618">
        <f t="shared" ca="1" si="241"/>
        <v>0</v>
      </c>
      <c r="Q104" s="618">
        <f ca="1">SUM(G104:P104)</f>
        <v>0</v>
      </c>
      <c r="S104" s="581">
        <f t="shared" ref="S104:AJ104" ca="1" si="242">SUM(S102:S103)</f>
        <v>0</v>
      </c>
      <c r="T104" s="581">
        <f t="shared" ca="1" si="242"/>
        <v>3.5527136788005009E-15</v>
      </c>
      <c r="U104" s="581">
        <f t="shared" ca="1" si="242"/>
        <v>0</v>
      </c>
      <c r="V104" s="581">
        <f t="shared" ca="1" si="242"/>
        <v>61.70681606299398</v>
      </c>
      <c r="W104" s="581">
        <f t="shared" ca="1" si="242"/>
        <v>39.154178827745532</v>
      </c>
      <c r="X104" s="581">
        <f t="shared" ca="1" si="242"/>
        <v>-2.2402186688480645</v>
      </c>
      <c r="Y104" s="581">
        <f t="shared" ca="1" si="242"/>
        <v>0</v>
      </c>
      <c r="Z104" s="581">
        <f t="shared" ca="1" si="242"/>
        <v>-10</v>
      </c>
      <c r="AA104" s="581">
        <f t="shared" ca="1" si="242"/>
        <v>0</v>
      </c>
      <c r="AB104" s="581">
        <f t="shared" ca="1" si="242"/>
        <v>0</v>
      </c>
      <c r="AC104" s="581">
        <f t="shared" ca="1" si="242"/>
        <v>0</v>
      </c>
      <c r="AD104" s="581">
        <f t="shared" ca="1" si="242"/>
        <v>0</v>
      </c>
      <c r="AE104" s="581">
        <f ca="1">SUM(AE102:AE103)</f>
        <v>0</v>
      </c>
      <c r="AF104" s="581">
        <f t="shared" ca="1" si="242"/>
        <v>0</v>
      </c>
      <c r="AG104" s="581">
        <f t="shared" ca="1" si="242"/>
        <v>0</v>
      </c>
      <c r="AH104" s="581">
        <f ca="1">SUM(AH102:AH103)</f>
        <v>0</v>
      </c>
      <c r="AI104" s="581">
        <f t="shared" ca="1" si="242"/>
        <v>0</v>
      </c>
      <c r="AJ104" s="581">
        <f t="shared" ca="1" si="242"/>
        <v>0</v>
      </c>
      <c r="AK104" s="581">
        <f ca="1">SUM(S104:AJ104)</f>
        <v>88.620776221891447</v>
      </c>
      <c r="AM104" s="582">
        <f t="shared" ref="AM104:BE104" ca="1" si="243">SUM(AM102:AM103)</f>
        <v>0</v>
      </c>
      <c r="AN104" s="582">
        <f t="shared" ca="1" si="243"/>
        <v>0</v>
      </c>
      <c r="AO104" s="582">
        <f t="shared" ca="1" si="243"/>
        <v>0</v>
      </c>
      <c r="AP104" s="582">
        <f t="shared" ca="1" si="243"/>
        <v>0</v>
      </c>
      <c r="AQ104" s="582">
        <f t="shared" ca="1" si="243"/>
        <v>-3.5527136788005009E-15</v>
      </c>
      <c r="AR104" s="582">
        <f t="shared" ca="1" si="243"/>
        <v>0</v>
      </c>
      <c r="AS104" s="582">
        <f t="shared" ca="1" si="243"/>
        <v>2.2402186688480645</v>
      </c>
      <c r="AT104" s="582">
        <f t="shared" ca="1" si="243"/>
        <v>-61.70681606299398</v>
      </c>
      <c r="AU104" s="582">
        <f t="shared" ca="1" si="243"/>
        <v>-29.741491510161715</v>
      </c>
      <c r="AV104" s="582">
        <f t="shared" ca="1" si="243"/>
        <v>0</v>
      </c>
      <c r="AW104" s="582">
        <f t="shared" ca="1" si="243"/>
        <v>0</v>
      </c>
      <c r="AX104" s="582">
        <f t="shared" ca="1" si="243"/>
        <v>0</v>
      </c>
      <c r="AY104" s="582">
        <f t="shared" ca="1" si="243"/>
        <v>0</v>
      </c>
      <c r="AZ104" s="582">
        <f t="shared" ca="1" si="243"/>
        <v>0</v>
      </c>
      <c r="BA104" s="582">
        <f t="shared" ca="1" si="243"/>
        <v>0</v>
      </c>
      <c r="BB104" s="582">
        <f t="shared" ca="1" si="243"/>
        <v>0</v>
      </c>
      <c r="BC104" s="582">
        <f t="shared" ca="1" si="243"/>
        <v>0</v>
      </c>
      <c r="BD104" s="582">
        <f t="shared" ca="1" si="243"/>
        <v>0</v>
      </c>
      <c r="BE104" s="582">
        <f t="shared" ca="1" si="243"/>
        <v>0</v>
      </c>
      <c r="BF104" s="582">
        <f ca="1">SUM(AM104:BE104)</f>
        <v>-89.20808890430763</v>
      </c>
      <c r="BH104" s="3463">
        <f ca="1">SUM(BH102:BH103)</f>
        <v>0</v>
      </c>
      <c r="BI104" s="3463">
        <f ca="1">SUM(BI102:BI103)</f>
        <v>0.58731268241618295</v>
      </c>
      <c r="BJ104" s="3463">
        <f ca="1">SUM(BH104:BI104)</f>
        <v>0.58731268241618295</v>
      </c>
      <c r="BL104" s="3477">
        <f t="shared" ca="1" si="236"/>
        <v>0</v>
      </c>
      <c r="BM104" s="584"/>
      <c r="BN104" s="413"/>
      <c r="BO104" s="2790">
        <f t="shared" ref="BO104:DF104" ca="1" si="244">SUM(BO102:BO103)</f>
        <v>0</v>
      </c>
      <c r="BP104" s="2790">
        <f t="shared" ca="1" si="244"/>
        <v>0</v>
      </c>
      <c r="BQ104" s="2790">
        <f t="shared" ca="1" si="244"/>
        <v>0</v>
      </c>
      <c r="BR104" s="2790">
        <f t="shared" ca="1" si="244"/>
        <v>0</v>
      </c>
      <c r="BS104" s="2790">
        <f t="shared" ca="1" si="244"/>
        <v>0</v>
      </c>
      <c r="BT104" s="2790">
        <f t="shared" ca="1" si="244"/>
        <v>1.7075629667676426E-2</v>
      </c>
      <c r="BU104" s="2790">
        <f t="shared" ca="1" si="244"/>
        <v>0</v>
      </c>
      <c r="BV104" s="2790">
        <f t="shared" ca="1" si="244"/>
        <v>0</v>
      </c>
      <c r="BW104" s="2790">
        <f t="shared" ca="1" si="244"/>
        <v>0</v>
      </c>
      <c r="BX104" s="2790">
        <f t="shared" ca="1" si="244"/>
        <v>0</v>
      </c>
      <c r="BY104" s="2790">
        <f t="shared" ca="1" si="244"/>
        <v>0</v>
      </c>
      <c r="BZ104" s="2790">
        <f t="shared" ca="1" si="244"/>
        <v>0</v>
      </c>
      <c r="CA104" s="2790">
        <f t="shared" ca="1" si="244"/>
        <v>0</v>
      </c>
      <c r="CB104" s="2790">
        <f t="shared" ca="1" si="244"/>
        <v>0</v>
      </c>
      <c r="CC104" s="2790">
        <f t="shared" ca="1" si="244"/>
        <v>0</v>
      </c>
      <c r="CD104" s="2790">
        <f t="shared" ca="1" si="244"/>
        <v>0</v>
      </c>
      <c r="CE104" s="2790">
        <f t="shared" ca="1" si="244"/>
        <v>0</v>
      </c>
      <c r="CF104" s="2790">
        <f t="shared" ca="1" si="244"/>
        <v>0</v>
      </c>
      <c r="CG104" s="2790">
        <f t="shared" ca="1" si="244"/>
        <v>0</v>
      </c>
      <c r="CH104" s="2790">
        <f t="shared" ca="1" si="244"/>
        <v>0</v>
      </c>
      <c r="CI104" s="2790">
        <f t="shared" ca="1" si="244"/>
        <v>0</v>
      </c>
      <c r="CJ104" s="2790">
        <f t="shared" ca="1" si="244"/>
        <v>0</v>
      </c>
      <c r="CK104" s="2790">
        <f t="shared" ca="1" si="244"/>
        <v>0</v>
      </c>
      <c r="CL104" s="2790">
        <f t="shared" ca="1" si="244"/>
        <v>0</v>
      </c>
      <c r="CM104" s="2790">
        <f t="shared" ca="1" si="244"/>
        <v>0</v>
      </c>
      <c r="CN104" s="2790">
        <f t="shared" ca="1" si="244"/>
        <v>0</v>
      </c>
      <c r="CO104" s="2790">
        <f t="shared" ca="1" si="244"/>
        <v>0</v>
      </c>
      <c r="CP104" s="2790">
        <f t="shared" ca="1" si="244"/>
        <v>0</v>
      </c>
      <c r="CQ104" s="2790">
        <f t="shared" ca="1" si="244"/>
        <v>0</v>
      </c>
      <c r="CR104" s="2790">
        <f t="shared" ca="1" si="244"/>
        <v>0</v>
      </c>
      <c r="CS104" s="2790">
        <f t="shared" ca="1" si="244"/>
        <v>0</v>
      </c>
      <c r="CT104" s="2790">
        <f t="shared" ca="1" si="244"/>
        <v>0</v>
      </c>
      <c r="CU104" s="2790">
        <f t="shared" ca="1" si="244"/>
        <v>0</v>
      </c>
      <c r="CV104" s="2790">
        <f t="shared" ca="1" si="244"/>
        <v>0</v>
      </c>
      <c r="CW104" s="2790">
        <f t="shared" ca="1" si="244"/>
        <v>0</v>
      </c>
      <c r="CX104" s="2790">
        <f t="shared" ca="1" si="244"/>
        <v>0</v>
      </c>
      <c r="CY104" s="2790">
        <f t="shared" ca="1" si="244"/>
        <v>0</v>
      </c>
      <c r="CZ104" s="2790">
        <f t="shared" ca="1" si="244"/>
        <v>0</v>
      </c>
      <c r="DA104" s="2790">
        <f t="shared" ca="1" si="244"/>
        <v>0</v>
      </c>
      <c r="DB104" s="2790">
        <f t="shared" ca="1" si="244"/>
        <v>0</v>
      </c>
      <c r="DC104" s="2790">
        <f t="shared" ca="1" si="244"/>
        <v>0</v>
      </c>
      <c r="DD104" s="2790">
        <f t="shared" ca="1" si="244"/>
        <v>0</v>
      </c>
      <c r="DE104" s="2790">
        <f t="shared" ca="1" si="244"/>
        <v>0</v>
      </c>
      <c r="DF104" s="2790">
        <f t="shared" ca="1" si="244"/>
        <v>0</v>
      </c>
      <c r="DH104" s="596">
        <f t="shared" ca="1" si="218"/>
        <v>1.7075629667676426E-2</v>
      </c>
    </row>
    <row r="105" spans="1:112" s="6" customForma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3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45">G$93+G$99+G$104</f>
        <v>0</v>
      </c>
      <c r="H106" s="680">
        <f t="shared" ca="1" si="245"/>
        <v>0</v>
      </c>
      <c r="I106" s="680">
        <f t="shared" ca="1" si="245"/>
        <v>0</v>
      </c>
      <c r="J106" s="680">
        <f t="shared" ca="1" si="245"/>
        <v>0</v>
      </c>
      <c r="K106" s="681">
        <f t="shared" ca="1" si="245"/>
        <v>0</v>
      </c>
      <c r="L106" s="680">
        <f t="shared" ca="1" si="245"/>
        <v>0</v>
      </c>
      <c r="M106" s="680">
        <f t="shared" ca="1" si="245"/>
        <v>0</v>
      </c>
      <c r="N106" s="680">
        <f t="shared" ca="1" si="245"/>
        <v>0</v>
      </c>
      <c r="O106" s="680">
        <f t="shared" ca="1" si="245"/>
        <v>0</v>
      </c>
      <c r="P106" s="680">
        <f t="shared" ca="1" si="245"/>
        <v>0</v>
      </c>
      <c r="Q106" s="633">
        <f ca="1">SUM(G106:P106)</f>
        <v>0</v>
      </c>
      <c r="S106" s="634">
        <f t="shared" ref="S106:AJ106" ca="1" si="246">S$93+S$99+S$104</f>
        <v>0</v>
      </c>
      <c r="T106" s="634">
        <f t="shared" ca="1" si="246"/>
        <v>-1.12009869689998</v>
      </c>
      <c r="U106" s="634">
        <f t="shared" ca="1" si="246"/>
        <v>10.924447090064488</v>
      </c>
      <c r="V106" s="634">
        <f t="shared" ca="1" si="246"/>
        <v>64.320243216158687</v>
      </c>
      <c r="W106" s="634">
        <f t="shared" ca="1" si="246"/>
        <v>41.890914268588375</v>
      </c>
      <c r="X106" s="634">
        <f t="shared" ca="1" si="246"/>
        <v>-2.2402186688480645</v>
      </c>
      <c r="Y106" s="634">
        <f t="shared" ca="1" si="246"/>
        <v>0</v>
      </c>
      <c r="Z106" s="634">
        <f t="shared" ca="1" si="246"/>
        <v>-10</v>
      </c>
      <c r="AA106" s="634">
        <f t="shared" ca="1" si="246"/>
        <v>0</v>
      </c>
      <c r="AB106" s="634">
        <f t="shared" ca="1" si="246"/>
        <v>0</v>
      </c>
      <c r="AC106" s="634">
        <f t="shared" ca="1" si="246"/>
        <v>0</v>
      </c>
      <c r="AD106" s="634">
        <f t="shared" ca="1" si="246"/>
        <v>-19.357134768779371</v>
      </c>
      <c r="AE106" s="634">
        <f t="shared" ca="1" si="246"/>
        <v>-0.37055006275752844</v>
      </c>
      <c r="AF106" s="634">
        <f t="shared" ca="1" si="246"/>
        <v>-8.3320251015035147</v>
      </c>
      <c r="AG106" s="634">
        <f t="shared" ca="1" si="246"/>
        <v>-3.021188431319072</v>
      </c>
      <c r="AH106" s="634">
        <f t="shared" ca="1" si="246"/>
        <v>-0.16872527422163447</v>
      </c>
      <c r="AI106" s="634">
        <f t="shared" ca="1" si="246"/>
        <v>0</v>
      </c>
      <c r="AJ106" s="634">
        <f t="shared" ca="1" si="246"/>
        <v>0</v>
      </c>
      <c r="AK106" s="634">
        <f ca="1">SUM(S106:AJ106)</f>
        <v>72.525663570482379</v>
      </c>
      <c r="AM106" s="635">
        <f t="shared" ref="AM106:BE106" ca="1" si="247">AM$93+AM$99+AM$104</f>
        <v>0</v>
      </c>
      <c r="AN106" s="635">
        <f t="shared" ca="1" si="247"/>
        <v>0</v>
      </c>
      <c r="AO106" s="635">
        <f t="shared" ca="1" si="247"/>
        <v>0</v>
      </c>
      <c r="AP106" s="635">
        <f t="shared" ca="1" si="247"/>
        <v>12.883921453370924</v>
      </c>
      <c r="AQ106" s="635">
        <f t="shared" ca="1" si="247"/>
        <v>-2.5000000000000036</v>
      </c>
      <c r="AR106" s="635">
        <f t="shared" ca="1" si="247"/>
        <v>0</v>
      </c>
      <c r="AS106" s="635">
        <f t="shared" ca="1" si="247"/>
        <v>2.2402186688480645</v>
      </c>
      <c r="AT106" s="635">
        <f t="shared" ca="1" si="247"/>
        <v>-61.70681606299398</v>
      </c>
      <c r="AU106" s="635">
        <f t="shared" ca="1" si="247"/>
        <v>-29.741491510161715</v>
      </c>
      <c r="AV106" s="635">
        <f t="shared" ca="1" si="247"/>
        <v>0</v>
      </c>
      <c r="AW106" s="635">
        <f t="shared" ca="1" si="247"/>
        <v>0</v>
      </c>
      <c r="AX106" s="635">
        <f t="shared" ca="1" si="247"/>
        <v>0</v>
      </c>
      <c r="AY106" s="635">
        <f t="shared" ca="1" si="247"/>
        <v>0</v>
      </c>
      <c r="AZ106" s="635">
        <f t="shared" ca="1" si="247"/>
        <v>0</v>
      </c>
      <c r="BA106" s="635">
        <f t="shared" ca="1" si="247"/>
        <v>0</v>
      </c>
      <c r="BB106" s="635">
        <f t="shared" ca="1" si="247"/>
        <v>0</v>
      </c>
      <c r="BC106" s="635">
        <f t="shared" ca="1" si="247"/>
        <v>0</v>
      </c>
      <c r="BD106" s="635">
        <f t="shared" ca="1" si="247"/>
        <v>0</v>
      </c>
      <c r="BE106" s="635">
        <f t="shared" ca="1" si="247"/>
        <v>0</v>
      </c>
      <c r="BF106" s="635">
        <f ca="1">SUM(AM106:BE106)</f>
        <v>-78.824167450936699</v>
      </c>
      <c r="BH106" s="3464">
        <f ca="1">BH$93+BH$99+BH$104</f>
        <v>2.0910925011381494</v>
      </c>
      <c r="BI106" s="3464">
        <f ca="1">BI$93+BI$99+BI$104</f>
        <v>4.2074113793161665</v>
      </c>
      <c r="BJ106" s="3464">
        <f ca="1">SUM(BH106:BI106)</f>
        <v>6.2985038804543159</v>
      </c>
      <c r="BL106" s="3478">
        <f t="shared" ca="1" si="236"/>
        <v>0</v>
      </c>
      <c r="BM106" s="636"/>
      <c r="BO106" s="2793">
        <f t="shared" ref="BO106:DE106" ca="1" si="248">BO$93+BO$99+BO$104</f>
        <v>0</v>
      </c>
      <c r="BP106" s="2793">
        <f t="shared" ca="1" si="248"/>
        <v>0</v>
      </c>
      <c r="BQ106" s="2793">
        <f t="shared" ca="1" si="248"/>
        <v>0</v>
      </c>
      <c r="BR106" s="2793">
        <f t="shared" ca="1" si="248"/>
        <v>0</v>
      </c>
      <c r="BS106" s="2793">
        <f t="shared" ca="1" si="248"/>
        <v>0</v>
      </c>
      <c r="BT106" s="2793">
        <f t="shared" ca="1" si="248"/>
        <v>1.7075629667676426E-2</v>
      </c>
      <c r="BU106" s="2793">
        <f t="shared" ca="1" si="248"/>
        <v>0</v>
      </c>
      <c r="BV106" s="2793">
        <f t="shared" ca="1" si="248"/>
        <v>0</v>
      </c>
      <c r="BW106" s="2793">
        <f t="shared" ca="1" si="248"/>
        <v>0</v>
      </c>
      <c r="BX106" s="2793">
        <f t="shared" ca="1" si="248"/>
        <v>0</v>
      </c>
      <c r="BY106" s="2793">
        <f t="shared" ca="1" si="248"/>
        <v>0</v>
      </c>
      <c r="BZ106" s="2793">
        <f t="shared" ca="1" si="248"/>
        <v>0</v>
      </c>
      <c r="CA106" s="2793">
        <f t="shared" ca="1" si="248"/>
        <v>0</v>
      </c>
      <c r="CB106" s="2793">
        <f t="shared" ca="1" si="248"/>
        <v>0</v>
      </c>
      <c r="CC106" s="2793">
        <f t="shared" ca="1" si="248"/>
        <v>0</v>
      </c>
      <c r="CD106" s="2793">
        <f t="shared" ca="1" si="248"/>
        <v>0</v>
      </c>
      <c r="CE106" s="2793">
        <f t="shared" ca="1" si="248"/>
        <v>0</v>
      </c>
      <c r="CF106" s="2793">
        <f t="shared" ca="1" si="248"/>
        <v>0</v>
      </c>
      <c r="CG106" s="2793">
        <f t="shared" ca="1" si="248"/>
        <v>0</v>
      </c>
      <c r="CH106" s="2793">
        <f t="shared" ca="1" si="248"/>
        <v>0</v>
      </c>
      <c r="CI106" s="2793">
        <f t="shared" ca="1" si="248"/>
        <v>0</v>
      </c>
      <c r="CJ106" s="2793">
        <f t="shared" ca="1" si="248"/>
        <v>0</v>
      </c>
      <c r="CK106" s="2793">
        <f t="shared" ca="1" si="248"/>
        <v>0</v>
      </c>
      <c r="CL106" s="2793">
        <f t="shared" ca="1" si="248"/>
        <v>0</v>
      </c>
      <c r="CM106" s="2793">
        <f t="shared" ca="1" si="248"/>
        <v>0</v>
      </c>
      <c r="CN106" s="2793">
        <f t="shared" ca="1" si="248"/>
        <v>0</v>
      </c>
      <c r="CO106" s="2793">
        <f t="shared" ca="1" si="248"/>
        <v>0</v>
      </c>
      <c r="CP106" s="2793">
        <f t="shared" ca="1" si="248"/>
        <v>0</v>
      </c>
      <c r="CQ106" s="2793">
        <f t="shared" ca="1" si="248"/>
        <v>0</v>
      </c>
      <c r="CR106" s="2793">
        <f t="shared" ca="1" si="248"/>
        <v>0</v>
      </c>
      <c r="CS106" s="2793">
        <f t="shared" ca="1" si="248"/>
        <v>0</v>
      </c>
      <c r="CT106" s="2793">
        <f t="shared" ca="1" si="248"/>
        <v>0</v>
      </c>
      <c r="CU106" s="2793">
        <f t="shared" ca="1" si="248"/>
        <v>0</v>
      </c>
      <c r="CV106" s="2793">
        <f t="shared" ca="1" si="248"/>
        <v>0</v>
      </c>
      <c r="CW106" s="2793">
        <f t="shared" ca="1" si="248"/>
        <v>0</v>
      </c>
      <c r="CX106" s="2793">
        <f t="shared" ca="1" si="248"/>
        <v>0</v>
      </c>
      <c r="CY106" s="2793">
        <f t="shared" ca="1" si="248"/>
        <v>-4.9382369659295682</v>
      </c>
      <c r="CZ106" s="2793">
        <f t="shared" ca="1" si="248"/>
        <v>0</v>
      </c>
      <c r="DA106" s="2793">
        <f t="shared" ca="1" si="248"/>
        <v>0</v>
      </c>
      <c r="DB106" s="2793">
        <f t="shared" ca="1" si="248"/>
        <v>0</v>
      </c>
      <c r="DC106" s="2793">
        <f t="shared" ca="1" si="248"/>
        <v>0</v>
      </c>
      <c r="DD106" s="2793">
        <f t="shared" ca="1" si="248"/>
        <v>0</v>
      </c>
      <c r="DE106" s="2793">
        <f t="shared" ca="1" si="248"/>
        <v>0</v>
      </c>
      <c r="DF106" s="2793">
        <f ca="1">DF$93+DF$104</f>
        <v>0</v>
      </c>
      <c r="DH106" s="637">
        <f ca="1">SUM(BO106:DF106)</f>
        <v>-4.9211613362618918</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3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3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16.5" thickBot="1">
      <c r="C109" s="713" t="s">
        <v>592</v>
      </c>
      <c r="D109" s="713"/>
      <c r="E109" s="713"/>
      <c r="G109" s="714">
        <f t="shared" ref="G109:P109" ca="1" si="249">G$40+G$84+G$106</f>
        <v>36.831258141442504</v>
      </c>
      <c r="H109" s="714">
        <f t="shared" ca="1" si="249"/>
        <v>10.679268973988956</v>
      </c>
      <c r="I109" s="714">
        <f t="shared" ca="1" si="249"/>
        <v>30.936448881734712</v>
      </c>
      <c r="J109" s="714">
        <f t="shared" ca="1" si="249"/>
        <v>33.951749508261884</v>
      </c>
      <c r="K109" s="714">
        <f t="shared" ca="1" si="249"/>
        <v>0.42264386044609314</v>
      </c>
      <c r="L109" s="714">
        <f t="shared" ca="1" si="249"/>
        <v>2.6377315657889075E-2</v>
      </c>
      <c r="M109" s="714">
        <f t="shared" ca="1" si="249"/>
        <v>0.66</v>
      </c>
      <c r="N109" s="714">
        <f t="shared" ca="1" si="249"/>
        <v>8.0623123555082739</v>
      </c>
      <c r="O109" s="714">
        <f t="shared" ca="1" si="249"/>
        <v>0</v>
      </c>
      <c r="P109" s="714">
        <f t="shared" ca="1" si="249"/>
        <v>0</v>
      </c>
      <c r="Q109" s="714">
        <f ca="1">SUM(G109:P109)</f>
        <v>121.57005903704028</v>
      </c>
      <c r="S109" s="715">
        <f t="shared" ref="S109:AJ109" ca="1" si="250">S$40+S$84+S$106</f>
        <v>-25.40523094801479</v>
      </c>
      <c r="T109" s="715">
        <f t="shared" ca="1" si="250"/>
        <v>25.40523094801479</v>
      </c>
      <c r="U109" s="715">
        <f t="shared" ca="1" si="250"/>
        <v>0</v>
      </c>
      <c r="V109" s="715">
        <f t="shared" ca="1" si="250"/>
        <v>0</v>
      </c>
      <c r="W109" s="715">
        <f t="shared" ca="1" si="250"/>
        <v>0</v>
      </c>
      <c r="X109" s="715">
        <f t="shared" ca="1" si="250"/>
        <v>0</v>
      </c>
      <c r="Y109" s="715">
        <f t="shared" ca="1" si="250"/>
        <v>0</v>
      </c>
      <c r="Z109" s="715">
        <f t="shared" ca="1" si="250"/>
        <v>0</v>
      </c>
      <c r="AA109" s="715">
        <f t="shared" ca="1" si="250"/>
        <v>0</v>
      </c>
      <c r="AB109" s="715">
        <f t="shared" ca="1" si="250"/>
        <v>0</v>
      </c>
      <c r="AC109" s="715">
        <f t="shared" ca="1" si="250"/>
        <v>0</v>
      </c>
      <c r="AD109" s="715">
        <f t="shared" ca="1" si="250"/>
        <v>0</v>
      </c>
      <c r="AE109" s="715">
        <f t="shared" ca="1" si="250"/>
        <v>0</v>
      </c>
      <c r="AF109" s="715">
        <f t="shared" ca="1" si="250"/>
        <v>0</v>
      </c>
      <c r="AG109" s="715">
        <f t="shared" ca="1" si="250"/>
        <v>0</v>
      </c>
      <c r="AH109" s="715">
        <f t="shared" ca="1" si="250"/>
        <v>0</v>
      </c>
      <c r="AI109" s="715">
        <f t="shared" ca="1" si="250"/>
        <v>0</v>
      </c>
      <c r="AJ109" s="715">
        <f t="shared" ca="1" si="250"/>
        <v>0</v>
      </c>
      <c r="AK109" s="715">
        <f ca="1">SUM(S109:AJ109)</f>
        <v>0</v>
      </c>
      <c r="AM109" s="716">
        <f t="shared" ref="AM109:BE109" ca="1" si="251">AM$40+AM$84+AM$106</f>
        <v>-2</v>
      </c>
      <c r="AN109" s="716">
        <f t="shared" ca="1" si="251"/>
        <v>0</v>
      </c>
      <c r="AO109" s="716">
        <f t="shared" ca="1" si="251"/>
        <v>-10</v>
      </c>
      <c r="AP109" s="716">
        <f t="shared" ca="1" si="251"/>
        <v>12.883921453370924</v>
      </c>
      <c r="AQ109" s="716">
        <f t="shared" ca="1" si="251"/>
        <v>-2.5000000000000036</v>
      </c>
      <c r="AR109" s="716">
        <f t="shared" ca="1" si="251"/>
        <v>0</v>
      </c>
      <c r="AS109" s="716">
        <f t="shared" ca="1" si="251"/>
        <v>2.2402186688480645</v>
      </c>
      <c r="AT109" s="716">
        <f t="shared" ca="1" si="251"/>
        <v>-61.70681606299398</v>
      </c>
      <c r="AU109" s="716">
        <f t="shared" ca="1" si="251"/>
        <v>-29.741491510161715</v>
      </c>
      <c r="AV109" s="716">
        <f t="shared" ca="1" si="251"/>
        <v>0</v>
      </c>
      <c r="AW109" s="716">
        <f t="shared" ca="1" si="251"/>
        <v>-1.7302356023133905</v>
      </c>
      <c r="AX109" s="716">
        <f t="shared" ca="1" si="251"/>
        <v>-13.589929799999998</v>
      </c>
      <c r="AY109" s="716">
        <f t="shared" ca="1" si="251"/>
        <v>-0.31557600000000013</v>
      </c>
      <c r="AZ109" s="716">
        <f t="shared" ca="1" si="251"/>
        <v>-0.39052530000000008</v>
      </c>
      <c r="BA109" s="716">
        <f t="shared" ca="1" si="251"/>
        <v>0</v>
      </c>
      <c r="BB109" s="716">
        <f t="shared" ca="1" si="251"/>
        <v>-0.78946596000000002</v>
      </c>
      <c r="BC109" s="716">
        <f t="shared" ca="1" si="251"/>
        <v>-0.16256755073206205</v>
      </c>
      <c r="BD109" s="716">
        <f t="shared" ca="1" si="251"/>
        <v>-19.766573720425786</v>
      </c>
      <c r="BE109" s="716">
        <f t="shared" ca="1" si="251"/>
        <v>-11.723268587003396</v>
      </c>
      <c r="BF109" s="716">
        <f ca="1">SUM(AM109:BE109)</f>
        <v>-139.29230997141133</v>
      </c>
      <c r="BH109" s="3469">
        <f ca="1">BH$40+BH$84+BH$106</f>
        <v>11.148666518684225</v>
      </c>
      <c r="BI109" s="3469">
        <f ca="1">BI$40+BI$84+BI$106</f>
        <v>6.5735844156868009</v>
      </c>
      <c r="BJ109" s="3469">
        <f ca="1">SUM(BH109:BI109)</f>
        <v>17.722250934371026</v>
      </c>
      <c r="BL109" s="3479">
        <f t="shared" ca="1" si="236"/>
        <v>0</v>
      </c>
      <c r="BM109" s="577"/>
      <c r="BO109" s="2798">
        <f t="shared" ref="BO109:DF109" ca="1" si="252">BO$40+BO$84+BO$106</f>
        <v>27.230202412689355</v>
      </c>
      <c r="BP109" s="2798">
        <f t="shared" ca="1" si="252"/>
        <v>1.6542189846003915E-2</v>
      </c>
      <c r="BQ109" s="2798">
        <f t="shared" ca="1" si="252"/>
        <v>0.17973708107091133</v>
      </c>
      <c r="BR109" s="2798">
        <f t="shared" ca="1" si="252"/>
        <v>0</v>
      </c>
      <c r="BS109" s="2798">
        <f t="shared" ca="1" si="252"/>
        <v>0</v>
      </c>
      <c r="BT109" s="2798">
        <f t="shared" ca="1" si="252"/>
        <v>1.7075629667676426E-2</v>
      </c>
      <c r="BU109" s="2798">
        <f t="shared" ca="1" si="252"/>
        <v>0</v>
      </c>
      <c r="BV109" s="2798">
        <f t="shared" ca="1" si="252"/>
        <v>0</v>
      </c>
      <c r="BW109" s="2798">
        <f t="shared" ca="1" si="252"/>
        <v>1.0258177006990448</v>
      </c>
      <c r="BX109" s="2798">
        <f t="shared" ca="1" si="252"/>
        <v>0</v>
      </c>
      <c r="BY109" s="2798">
        <f t="shared" ca="1" si="252"/>
        <v>0</v>
      </c>
      <c r="BZ109" s="2798">
        <f t="shared" ca="1" si="252"/>
        <v>0.84250368324178171</v>
      </c>
      <c r="CA109" s="2798">
        <f t="shared" ca="1" si="252"/>
        <v>0</v>
      </c>
      <c r="CB109" s="2798">
        <f t="shared" ca="1" si="252"/>
        <v>0</v>
      </c>
      <c r="CC109" s="2798">
        <f t="shared" ca="1" si="252"/>
        <v>0</v>
      </c>
      <c r="CD109" s="2798">
        <f t="shared" ca="1" si="252"/>
        <v>0</v>
      </c>
      <c r="CE109" s="2798">
        <f t="shared" ca="1" si="252"/>
        <v>0</v>
      </c>
      <c r="CF109" s="2798">
        <f t="shared" ca="1" si="252"/>
        <v>9.7983306774184697</v>
      </c>
      <c r="CG109" s="2798">
        <f t="shared" ca="1" si="252"/>
        <v>5.9721828183195766</v>
      </c>
      <c r="CH109" s="2798">
        <f t="shared" ca="1" si="252"/>
        <v>0</v>
      </c>
      <c r="CI109" s="2798">
        <f t="shared" ca="1" si="252"/>
        <v>-0.65512751732099117</v>
      </c>
      <c r="CJ109" s="2798">
        <f t="shared" ca="1" si="252"/>
        <v>0</v>
      </c>
      <c r="CK109" s="2798">
        <f t="shared" ca="1" si="252"/>
        <v>0</v>
      </c>
      <c r="CL109" s="2798">
        <f t="shared" ca="1" si="252"/>
        <v>0</v>
      </c>
      <c r="CM109" s="2798">
        <f t="shared" ca="1" si="252"/>
        <v>0</v>
      </c>
      <c r="CN109" s="2798">
        <f t="shared" ca="1" si="252"/>
        <v>0.60925043615004382</v>
      </c>
      <c r="CO109" s="2798">
        <f t="shared" ca="1" si="252"/>
        <v>5.7356255357142859E-2</v>
      </c>
      <c r="CP109" s="2798">
        <f t="shared" ca="1" si="252"/>
        <v>0</v>
      </c>
      <c r="CQ109" s="2798">
        <f t="shared" ca="1" si="252"/>
        <v>0</v>
      </c>
      <c r="CR109" s="2798">
        <f t="shared" ca="1" si="252"/>
        <v>0</v>
      </c>
      <c r="CS109" s="2798">
        <f t="shared" ca="1" si="252"/>
        <v>0</v>
      </c>
      <c r="CT109" s="2798">
        <f t="shared" ca="1" si="252"/>
        <v>0</v>
      </c>
      <c r="CU109" s="2798">
        <f t="shared" ca="1" si="252"/>
        <v>2.1274829843715231</v>
      </c>
      <c r="CV109" s="2798">
        <f t="shared" ca="1" si="252"/>
        <v>1.8285324422292765E-3</v>
      </c>
      <c r="CW109" s="2798">
        <f t="shared" ca="1" si="252"/>
        <v>5.3985243532483403E-3</v>
      </c>
      <c r="CX109" s="2798">
        <f t="shared" ca="1" si="252"/>
        <v>0</v>
      </c>
      <c r="CY109" s="2798">
        <f t="shared" ca="1" si="252"/>
        <v>-4.9382369659295682</v>
      </c>
      <c r="CZ109" s="2798">
        <f t="shared" ca="1" si="252"/>
        <v>0</v>
      </c>
      <c r="DA109" s="2798">
        <f t="shared" ca="1" si="252"/>
        <v>0</v>
      </c>
      <c r="DB109" s="2798">
        <f t="shared" ca="1" si="252"/>
        <v>0</v>
      </c>
      <c r="DC109" s="2798">
        <f t="shared" ca="1" si="252"/>
        <v>0</v>
      </c>
      <c r="DD109" s="2798">
        <f t="shared" ca="1" si="252"/>
        <v>0</v>
      </c>
      <c r="DE109" s="2798">
        <f t="shared" ca="1" si="252"/>
        <v>0</v>
      </c>
      <c r="DF109" s="2798">
        <f t="shared" ca="1" si="252"/>
        <v>0</v>
      </c>
      <c r="DH109" s="637">
        <f ca="1">SUM(BO109:DF109)</f>
        <v>42.290344442376444</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c r="BO111" s="3482"/>
      <c r="BP111" s="3482"/>
      <c r="BQ111" s="3482"/>
      <c r="BR111" s="3482"/>
      <c r="BS111" s="3482"/>
      <c r="BT111" s="3482"/>
      <c r="BU111" s="3482"/>
      <c r="BV111" s="3482"/>
      <c r="BW111" s="3482"/>
      <c r="BX111" s="3482"/>
      <c r="BY111" s="3482"/>
      <c r="BZ111" s="3482"/>
      <c r="CA111" s="3482"/>
      <c r="CB111" s="3482"/>
      <c r="CC111" s="3482"/>
      <c r="CD111" s="3482"/>
      <c r="CE111" s="3482"/>
      <c r="CF111" s="3482"/>
      <c r="CG111" s="3482"/>
      <c r="CH111" s="3482"/>
      <c r="CI111" s="3482"/>
      <c r="CJ111" s="3482"/>
      <c r="CK111" s="3482"/>
      <c r="CL111" s="3482"/>
      <c r="CM111" s="3482"/>
      <c r="CN111" s="3482"/>
      <c r="CO111" s="3482"/>
      <c r="CP111" s="3482"/>
      <c r="CQ111" s="3482"/>
      <c r="CR111" s="3482"/>
      <c r="CS111" s="3482"/>
      <c r="CT111" s="3482"/>
      <c r="CU111" s="3482"/>
      <c r="CV111" s="3482"/>
      <c r="CW111" s="3482"/>
      <c r="CX111" s="3482"/>
      <c r="CY111" s="3482"/>
      <c r="CZ111" s="3482"/>
      <c r="DA111" s="3482"/>
      <c r="DB111" s="3482"/>
      <c r="DC111" s="3482"/>
      <c r="DD111" s="3482"/>
      <c r="DE111" s="3482"/>
      <c r="DF111" s="3482"/>
      <c r="DG111" s="3482"/>
      <c r="DH111" s="3482"/>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BO112" s="3482"/>
      <c r="BP112" s="3482"/>
      <c r="BQ112" s="3482"/>
      <c r="BR112" s="3482"/>
      <c r="BS112" s="3482"/>
      <c r="BT112" s="3482"/>
      <c r="BU112" s="3482"/>
      <c r="BV112" s="3482"/>
      <c r="BW112" s="3482"/>
      <c r="BX112" s="3482"/>
      <c r="BY112" s="3482"/>
      <c r="BZ112" s="3482"/>
      <c r="CA112" s="3482"/>
      <c r="CB112" s="3482"/>
      <c r="CC112" s="3482"/>
      <c r="CD112" s="3482"/>
      <c r="CE112" s="3482"/>
      <c r="CF112" s="3482"/>
      <c r="CG112" s="3482"/>
      <c r="CH112" s="3482"/>
      <c r="CI112" s="3482"/>
      <c r="CJ112" s="3482"/>
      <c r="CK112" s="3482"/>
      <c r="CL112" s="3482"/>
      <c r="CM112" s="3482"/>
      <c r="CN112" s="3482"/>
      <c r="CO112" s="3482"/>
      <c r="CP112" s="3482"/>
      <c r="CQ112" s="3482"/>
      <c r="CR112" s="3482"/>
      <c r="CS112" s="3482"/>
      <c r="CT112" s="3482"/>
      <c r="CU112" s="3482"/>
      <c r="CV112" s="3482"/>
      <c r="CW112" s="3482"/>
      <c r="CX112" s="3482"/>
      <c r="CY112" s="3482"/>
      <c r="CZ112" s="3482"/>
      <c r="DA112" s="3482"/>
      <c r="DB112" s="3482"/>
      <c r="DC112" s="3482"/>
      <c r="DD112" s="3482"/>
      <c r="DE112" s="3482"/>
      <c r="DF112" s="382" t="s">
        <v>593</v>
      </c>
      <c r="DG112" s="3482"/>
      <c r="DH112" s="723">
        <f ca="1">SUM(DH63,DH68,DH76,DH82)</f>
        <v>4.5894557994184604</v>
      </c>
    </row>
    <row r="113" spans="2:112">
      <c r="B113" s="2685"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BO113" s="3482"/>
      <c r="BP113" s="3482"/>
      <c r="BQ113" s="3482"/>
      <c r="BR113" s="3482"/>
      <c r="BS113" s="3482"/>
      <c r="BT113" s="3482"/>
      <c r="BU113" s="3482"/>
      <c r="BV113" s="3482"/>
      <c r="BW113" s="3482"/>
      <c r="BX113" s="3482"/>
      <c r="BY113" s="3482"/>
      <c r="BZ113" s="3482"/>
      <c r="CA113" s="3482"/>
      <c r="CB113" s="3482"/>
      <c r="CC113" s="3482"/>
      <c r="CD113" s="3482"/>
      <c r="CE113" s="3482"/>
      <c r="CF113" s="3482"/>
      <c r="CG113" s="3482"/>
      <c r="CH113" s="3482"/>
      <c r="CI113" s="3482"/>
      <c r="CJ113" s="3482"/>
      <c r="CK113" s="3482"/>
      <c r="CL113" s="3482"/>
      <c r="CM113" s="3482"/>
      <c r="CN113" s="3482"/>
      <c r="CO113" s="3482"/>
      <c r="CP113" s="3482"/>
      <c r="CQ113" s="3482"/>
      <c r="CR113" s="3482"/>
      <c r="CS113" s="3482"/>
      <c r="CT113" s="3482"/>
      <c r="CU113" s="3482"/>
      <c r="CV113" s="3482"/>
      <c r="CW113" s="3482"/>
      <c r="CX113" s="3482"/>
      <c r="CY113" s="3482"/>
      <c r="CZ113" s="3482"/>
      <c r="DA113" s="3482"/>
      <c r="DB113" s="3482"/>
      <c r="DC113" s="3482"/>
      <c r="DD113" s="3482"/>
      <c r="DE113" s="3482"/>
      <c r="DF113" s="382" t="s">
        <v>595</v>
      </c>
      <c r="DG113" s="3482"/>
      <c r="DH113" s="723">
        <f ca="1">T109-MIN(T103,0)-T72</f>
        <v>25.409022090832565</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BO114" s="3482"/>
      <c r="BP114" s="3482"/>
      <c r="BQ114" s="3482"/>
      <c r="BR114" s="3482"/>
      <c r="BS114" s="3482"/>
      <c r="BT114" s="3482"/>
      <c r="BU114" s="3482"/>
      <c r="BV114" s="3482"/>
      <c r="BW114" s="3482"/>
      <c r="BX114" s="3482"/>
      <c r="BY114" s="3482"/>
      <c r="BZ114" s="3482"/>
      <c r="CA114" s="3482"/>
      <c r="CB114" s="3482"/>
      <c r="CC114" s="3482"/>
      <c r="CD114" s="3482"/>
      <c r="CE114" s="3482"/>
      <c r="CF114" s="3482"/>
      <c r="CG114" s="3482"/>
      <c r="CH114" s="3482"/>
      <c r="CI114" s="3482"/>
      <c r="CJ114" s="3482"/>
      <c r="CK114" s="3482"/>
      <c r="CL114" s="3482"/>
      <c r="CM114" s="3482"/>
      <c r="CN114" s="3482"/>
      <c r="CO114" s="3482"/>
      <c r="CP114" s="3482"/>
      <c r="CQ114" s="3482"/>
      <c r="CR114" s="3482"/>
      <c r="CS114" s="3482"/>
      <c r="CT114" s="3482"/>
      <c r="CU114" s="3482"/>
      <c r="CV114" s="3482"/>
      <c r="CW114" s="3482"/>
      <c r="CX114" s="3482"/>
      <c r="CY114" s="3482"/>
      <c r="CZ114" s="3482"/>
      <c r="DA114" s="3482"/>
      <c r="DB114" s="3482"/>
      <c r="DC114" s="3482"/>
      <c r="DD114" s="3482"/>
      <c r="DE114" s="3482"/>
      <c r="DF114" s="382" t="s">
        <v>596</v>
      </c>
      <c r="DG114" s="3482"/>
      <c r="DH114" s="3482">
        <f ca="1">DH112/DH113</f>
        <v>0.18062307880295445</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DH148"/>
  <sheetViews>
    <sheetView topLeftCell="G78" workbookViewId="0">
      <selection activeCell="U97" sqref="U97"/>
    </sheetView>
  </sheetViews>
  <sheetFormatPr defaultColWidth="8.85546875" defaultRowHeight="15" outlineLevelRow="2" outlineLevelCol="2"/>
  <cols>
    <col min="1" max="1" width="1.7109375" style="2685" customWidth="1"/>
    <col min="2" max="2" width="1.42578125" style="2685" customWidth="1"/>
    <col min="3" max="3" width="4.42578125" style="518" customWidth="1"/>
    <col min="4" max="4" width="3.85546875" style="519" customWidth="1"/>
    <col min="5" max="5" width="41.7109375" style="519" customWidth="1"/>
    <col min="6" max="6" width="1.140625" style="268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style="2685" customWidth="1" outlineLevel="1"/>
    <col min="19" max="19" width="11.7109375" style="519" customWidth="1" outlineLevel="2"/>
    <col min="20" max="36" width="10" style="519" customWidth="1" outlineLevel="2"/>
    <col min="37" max="37" width="10" style="519" customWidth="1" outlineLevel="1"/>
    <col min="38" max="38" width="1.140625" style="2685" customWidth="1" outlineLevel="1"/>
    <col min="39" max="57" width="10" style="519" customWidth="1" outlineLevel="2"/>
    <col min="58" max="58" width="10" style="519" customWidth="1" outlineLevel="1"/>
    <col min="59" max="59" width="1.140625" style="2685" customWidth="1" outlineLevel="1"/>
    <col min="60" max="61" width="10" style="519" customWidth="1" outlineLevel="2"/>
    <col min="62" max="62" width="10" style="519" customWidth="1" outlineLevel="1"/>
    <col min="63" max="63" width="1.140625" style="2685" customWidth="1" outlineLevel="1"/>
    <col min="64" max="64" width="11" style="519" customWidth="1" outlineLevel="1"/>
    <col min="65" max="65" width="5.28515625" style="519" customWidth="1"/>
    <col min="66" max="66" width="8.85546875" style="2685"/>
    <col min="67" max="110" width="7.42578125" style="2685" customWidth="1"/>
    <col min="111" max="111" width="2.42578125" style="2685" customWidth="1"/>
    <col min="112" max="16384" width="8.85546875" style="2685"/>
  </cols>
  <sheetData>
    <row r="1" spans="1:112" ht="6" customHeight="1"/>
    <row r="2" spans="1:112" ht="21" customHeight="1">
      <c r="D2" s="521"/>
      <c r="E2" s="522">
        <v>2030</v>
      </c>
      <c r="G2" s="2685"/>
      <c r="H2" s="2685"/>
      <c r="I2" s="2685"/>
      <c r="J2" s="2685"/>
      <c r="K2" s="2685"/>
      <c r="L2" s="2685"/>
      <c r="M2" s="2685"/>
      <c r="N2" s="2685"/>
      <c r="O2" s="2685"/>
      <c r="P2" s="2685"/>
      <c r="Q2" s="2685"/>
      <c r="S2" s="383"/>
      <c r="T2" s="383"/>
      <c r="U2" s="383"/>
      <c r="V2" s="383"/>
      <c r="W2" s="383"/>
      <c r="X2" s="2685"/>
      <c r="Y2" s="2685"/>
      <c r="Z2" s="2685"/>
      <c r="AA2" s="2685"/>
      <c r="AB2" s="2685"/>
      <c r="AC2" s="2685"/>
      <c r="AD2" s="2685"/>
      <c r="AE2" s="2685"/>
      <c r="AF2" s="2685"/>
      <c r="AG2" s="2685"/>
      <c r="AH2" s="2685"/>
      <c r="AI2" s="2685"/>
      <c r="AJ2" s="2685"/>
      <c r="AK2" s="2685"/>
      <c r="AM2" s="2685"/>
      <c r="AN2" s="2685"/>
      <c r="AO2" s="2685"/>
      <c r="AP2" s="2685"/>
      <c r="AQ2" s="2685"/>
      <c r="AR2" s="2685"/>
      <c r="AS2" s="2685"/>
      <c r="AT2" s="2685"/>
      <c r="AU2" s="2685"/>
      <c r="AV2" s="2685"/>
      <c r="AW2" s="2685"/>
      <c r="AX2" s="2685"/>
      <c r="AY2" s="2685"/>
      <c r="AZ2" s="2685"/>
      <c r="BA2" s="2685"/>
      <c r="BB2" s="2685"/>
      <c r="BC2" s="2685"/>
      <c r="BD2" s="2685"/>
      <c r="BE2" s="2685"/>
      <c r="BF2" s="2685"/>
      <c r="BH2" s="2685"/>
      <c r="BI2" s="2685"/>
      <c r="BJ2" s="2685"/>
      <c r="BL2" s="2685"/>
      <c r="BM2" s="523"/>
    </row>
    <row r="3" spans="1:112" ht="39" customHeight="1">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36.75" customHeight="1">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ht="15.75" customHeight="1">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8" customHeight="1">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ht="6" customHeight="1" outlineLevel="1">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ht="10.5" customHeight="1" outlineLevel="2">
      <c r="A9" s="586"/>
      <c r="B9" s="586"/>
      <c r="C9" s="587" t="s">
        <v>2</v>
      </c>
      <c r="D9" s="586" t="s">
        <v>3</v>
      </c>
      <c r="E9" s="588"/>
      <c r="G9" s="589">
        <f ca="1">IFERROR(INDEX(INDIRECT($C9&amp;".Outputs["&amp;this.Year&amp;"]"), MATCH(G$5, INDIRECT($C9&amp;".Outputs[Vector]"), 0)), 0)</f>
        <v>23.87280554368072</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23.87280554368072</v>
      </c>
      <c r="S9" s="591">
        <f t="shared" ref="S9:AJ13" ca="1" si="2">IFERROR(INDEX(INDIRECT($C9&amp;".Outputs["&amp;this.Year&amp;"]"), MATCH(S$5, INDIRECT($C9&amp;".Outputs[Vector]"), 0)), 0)</f>
        <v>-1.6558259787752996</v>
      </c>
      <c r="T9" s="591">
        <f t="shared" ca="1" si="2"/>
        <v>0</v>
      </c>
      <c r="U9" s="591">
        <f t="shared" ca="1" si="2"/>
        <v>-0.13819323886480134</v>
      </c>
      <c r="V9" s="591">
        <f t="shared" ca="1" si="2"/>
        <v>-6.8170582264749946</v>
      </c>
      <c r="W9" s="591">
        <f t="shared" ca="1" si="2"/>
        <v>-13.771647618705204</v>
      </c>
      <c r="X9" s="591">
        <f t="shared" ref="X9:Z10" ca="1" si="3">IFERROR(INDEX(INDIRECT($C9&amp;".Outputs["&amp;this.Year&amp;"]"), MATCH(X$5, INDIRECT($C9&amp;".Outputs[Vector]"), 0)), 0)</f>
        <v>0</v>
      </c>
      <c r="Y9" s="591">
        <f t="shared" ca="1" si="3"/>
        <v>0</v>
      </c>
      <c r="Z9" s="591">
        <f t="shared" ca="1" si="3"/>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-1.4025987513562512</v>
      </c>
      <c r="AJ9" s="591">
        <f t="shared" ca="1" si="2"/>
        <v>0</v>
      </c>
      <c r="AK9" s="592">
        <f t="shared" ref="AK9:AK15" ca="1" si="4">SUM(S9:AJ9)</f>
        <v>-23.78532381417655</v>
      </c>
      <c r="AM9" s="593">
        <f t="shared" ref="AM9:AU10" ca="1" si="5">IFERROR(INDEX(INDIRECT($C9&amp;".Outputs["&amp;this.Year&amp;"]"), MATCH(AM$5, INDIRECT($C9&amp;".Outputs[Vector]"), 0)), 0)</f>
        <v>0</v>
      </c>
      <c r="AN9" s="593">
        <f t="shared" ca="1" si="5"/>
        <v>0</v>
      </c>
      <c r="AO9" s="593">
        <f t="shared" ca="1" si="5"/>
        <v>0</v>
      </c>
      <c r="AP9" s="593">
        <f t="shared" ca="1" si="5"/>
        <v>0</v>
      </c>
      <c r="AQ9" s="593">
        <f t="shared" ca="1" si="5"/>
        <v>0</v>
      </c>
      <c r="AR9" s="593">
        <f t="shared" ca="1" si="5"/>
        <v>0</v>
      </c>
      <c r="AS9" s="593">
        <f t="shared" ca="1" si="5"/>
        <v>0</v>
      </c>
      <c r="AT9" s="593">
        <f t="shared" ca="1" si="5"/>
        <v>0</v>
      </c>
      <c r="AU9" s="593">
        <f t="shared" ca="1" si="5"/>
        <v>0</v>
      </c>
      <c r="AV9" s="593">
        <f t="shared" ref="AV9:BE13" ca="1" si="6">IFERROR(INDEX(INDIRECT($C9&amp;".Outputs["&amp;this.Year&amp;"]"), MATCH(AV$5, INDIRECT($C9&amp;".Outputs[Vector]"), 0)), 0)</f>
        <v>0</v>
      </c>
      <c r="AW9" s="593">
        <f t="shared" ca="1" si="6"/>
        <v>0</v>
      </c>
      <c r="AX9" s="593">
        <f t="shared" ca="1" si="6"/>
        <v>0</v>
      </c>
      <c r="AY9" s="593">
        <f t="shared" ca="1" si="6"/>
        <v>0</v>
      </c>
      <c r="AZ9" s="593">
        <f t="shared" ca="1" si="6"/>
        <v>0</v>
      </c>
      <c r="BA9" s="593">
        <f t="shared" ca="1" si="6"/>
        <v>0</v>
      </c>
      <c r="BB9" s="593">
        <f t="shared" ca="1" si="6"/>
        <v>0</v>
      </c>
      <c r="BC9" s="593">
        <f t="shared" ca="1" si="6"/>
        <v>-8.7481729504168951E-2</v>
      </c>
      <c r="BD9" s="593">
        <f t="shared" ca="1" si="6"/>
        <v>0</v>
      </c>
      <c r="BE9" s="593">
        <f t="shared" ca="1" si="6"/>
        <v>0</v>
      </c>
      <c r="BF9" s="594">
        <f t="shared" ref="BF9:BF15" ca="1" si="7">SUM(AM9:BE9)</f>
        <v>-8.7481729504168951E-2</v>
      </c>
      <c r="BH9" s="3471">
        <f ca="1">IFERROR(INDEX(INDIRECT($C9&amp;".Outputs["&amp;this.Year&amp;"]"), MATCH(BH$5, INDIRECT($C9&amp;".Outputs[Vector]"), 0)), 0)</f>
        <v>0</v>
      </c>
      <c r="BI9" s="3471">
        <f t="shared" ref="BH9:BI13" ca="1" si="8">IFERROR(INDEX(INDIRECT($C9&amp;".Outputs["&amp;this.Year&amp;"]"), MATCH(BI$5, INDIRECT($C9&amp;".Outputs[Vector]"), 0)), 0)</f>
        <v>0</v>
      </c>
      <c r="BJ9" s="3460">
        <f t="shared" ref="BJ9:BJ15" ca="1" si="9">SUM(BH9:BI9)</f>
        <v>0</v>
      </c>
      <c r="BL9" s="595">
        <f t="shared" ref="BL9:BL44" ca="1" si="10">Q9+AK9+BF9+BJ9</f>
        <v>4.8572257327350599E-16</v>
      </c>
      <c r="BM9" s="595"/>
      <c r="BN9" s="413"/>
      <c r="BO9" s="2789">
        <f t="shared" ref="BO9:BX10" ca="1" si="11">IFERROR(SUMIFS(INDIRECT($C9&amp;".Emissions["&amp;this.Year&amp;"]"), INDIRECT($C9&amp;".Emissions[GHG]"), BO$6, INDIRECT($C9&amp;".Emissions[IPCC Sector]"), BO$5),0)</f>
        <v>4.6648906842500004</v>
      </c>
      <c r="BP9" s="2790">
        <f t="shared" ca="1" si="11"/>
        <v>2.5945585519393678E-3</v>
      </c>
      <c r="BQ9" s="2790">
        <f t="shared" ca="1" si="11"/>
        <v>4.9212374368911738E-2</v>
      </c>
      <c r="BR9" s="2790">
        <f t="shared" ca="1" si="11"/>
        <v>0</v>
      </c>
      <c r="BS9" s="2790">
        <f t="shared" ca="1" si="11"/>
        <v>0</v>
      </c>
      <c r="BT9" s="2790">
        <f t="shared" ca="1" si="11"/>
        <v>0</v>
      </c>
      <c r="BU9" s="2790">
        <f t="shared" ca="1" si="11"/>
        <v>0</v>
      </c>
      <c r="BV9" s="2790">
        <f t="shared" ca="1" si="11"/>
        <v>0</v>
      </c>
      <c r="BW9" s="2790">
        <f t="shared" ca="1" si="11"/>
        <v>0</v>
      </c>
      <c r="BX9" s="2790">
        <f t="shared" ca="1" si="11"/>
        <v>0</v>
      </c>
      <c r="BY9" s="2790">
        <f t="shared" ref="BY9:CH10" ca="1" si="12">IFERROR(SUMIFS(INDIRECT($C9&amp;".Emissions["&amp;this.Year&amp;"]"), INDIRECT($C9&amp;".Emissions[GHG]"), BY$6, INDIRECT($C9&amp;".Emissions[IPCC Sector]"), BY$5),0)</f>
        <v>0</v>
      </c>
      <c r="BZ9" s="2790">
        <f t="shared" ca="1" si="12"/>
        <v>0</v>
      </c>
      <c r="CA9" s="2790">
        <f t="shared" ca="1" si="12"/>
        <v>0</v>
      </c>
      <c r="CB9" s="2790">
        <f t="shared" ca="1" si="12"/>
        <v>0</v>
      </c>
      <c r="CC9" s="2790">
        <f t="shared" ca="1" si="12"/>
        <v>0</v>
      </c>
      <c r="CD9" s="2790">
        <f t="shared" ca="1" si="12"/>
        <v>0</v>
      </c>
      <c r="CE9" s="2790">
        <f t="shared" ca="1" si="12"/>
        <v>0</v>
      </c>
      <c r="CF9" s="2790">
        <f t="shared" ca="1" si="12"/>
        <v>0</v>
      </c>
      <c r="CG9" s="2790">
        <f t="shared" ca="1" si="12"/>
        <v>0</v>
      </c>
      <c r="CH9" s="2790">
        <f t="shared" ca="1" si="12"/>
        <v>0</v>
      </c>
      <c r="CI9" s="2790">
        <f t="shared" ref="CI9:CR10" ca="1" si="13">IFERROR(SUMIFS(INDIRECT($C9&amp;".Emissions["&amp;this.Year&amp;"]"), INDIRECT($C9&amp;".Emissions[GHG]"), CI$6, INDIRECT($C9&amp;".Emissions[IPCC Sector]"), CI$5),0)</f>
        <v>0</v>
      </c>
      <c r="CJ9" s="2790">
        <f t="shared" ca="1" si="13"/>
        <v>0</v>
      </c>
      <c r="CK9" s="2790">
        <f t="shared" ca="1" si="13"/>
        <v>0</v>
      </c>
      <c r="CL9" s="2790">
        <f t="shared" ca="1" si="13"/>
        <v>0</v>
      </c>
      <c r="CM9" s="2790">
        <f t="shared" ca="1" si="13"/>
        <v>0</v>
      </c>
      <c r="CN9" s="2790">
        <f t="shared" ca="1" si="13"/>
        <v>0</v>
      </c>
      <c r="CO9" s="2790">
        <f t="shared" ca="1" si="13"/>
        <v>0</v>
      </c>
      <c r="CP9" s="2790">
        <f t="shared" ca="1" si="13"/>
        <v>0</v>
      </c>
      <c r="CQ9" s="2790">
        <f t="shared" ca="1" si="13"/>
        <v>0</v>
      </c>
      <c r="CR9" s="2790">
        <f t="shared" ca="1" si="13"/>
        <v>0</v>
      </c>
      <c r="CS9" s="2790">
        <f t="shared" ref="CS9:DF10" ca="1" si="14">IFERROR(SUMIFS(INDIRECT($C9&amp;".Emissions["&amp;this.Year&amp;"]"), INDIRECT($C9&amp;".Emissions[GHG]"), CS$6, INDIRECT($C9&amp;".Emissions[IPCC Sector]"), CS$5),0)</f>
        <v>0</v>
      </c>
      <c r="CT9" s="2790">
        <f t="shared" ca="1" si="14"/>
        <v>0</v>
      </c>
      <c r="CU9" s="2790">
        <f t="shared" ca="1" si="14"/>
        <v>0</v>
      </c>
      <c r="CV9" s="2790">
        <f t="shared" ca="1" si="14"/>
        <v>0</v>
      </c>
      <c r="CW9" s="2790">
        <f t="shared" ca="1" si="14"/>
        <v>0</v>
      </c>
      <c r="CX9" s="2790">
        <f t="shared" ca="1" si="14"/>
        <v>0</v>
      </c>
      <c r="CY9" s="2790">
        <f t="shared" ca="1" si="14"/>
        <v>0</v>
      </c>
      <c r="CZ9" s="2790">
        <f t="shared" ca="1" si="14"/>
        <v>0</v>
      </c>
      <c r="DA9" s="2790">
        <f t="shared" ca="1" si="14"/>
        <v>0</v>
      </c>
      <c r="DB9" s="2790">
        <f t="shared" ca="1" si="14"/>
        <v>0</v>
      </c>
      <c r="DC9" s="2790">
        <f t="shared" ca="1" si="14"/>
        <v>0</v>
      </c>
      <c r="DD9" s="2790">
        <f t="shared" ca="1" si="14"/>
        <v>0</v>
      </c>
      <c r="DE9" s="2790">
        <f t="shared" ca="1" si="14"/>
        <v>0</v>
      </c>
      <c r="DF9" s="2790">
        <f t="shared" ca="1" si="14"/>
        <v>0</v>
      </c>
      <c r="DH9" s="596"/>
    </row>
    <row r="10" spans="1:112" s="6" customFormat="1" ht="10.5" customHeight="1" outlineLevel="2">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3"/>
        <v>0</v>
      </c>
      <c r="Y10" s="602">
        <f t="shared" ca="1" si="3"/>
        <v>0</v>
      </c>
      <c r="Z10" s="602">
        <f t="shared" ca="1" si="3"/>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4"/>
        <v>0</v>
      </c>
      <c r="AM10" s="604">
        <f t="shared" ca="1" si="5"/>
        <v>0</v>
      </c>
      <c r="AN10" s="604">
        <f t="shared" ca="1" si="5"/>
        <v>0</v>
      </c>
      <c r="AO10" s="604">
        <f t="shared" ca="1" si="5"/>
        <v>0</v>
      </c>
      <c r="AP10" s="604">
        <f t="shared" ca="1" si="5"/>
        <v>0</v>
      </c>
      <c r="AQ10" s="604">
        <f t="shared" ca="1" si="5"/>
        <v>0</v>
      </c>
      <c r="AR10" s="604">
        <f t="shared" ca="1" si="5"/>
        <v>0</v>
      </c>
      <c r="AS10" s="604">
        <f t="shared" ca="1" si="5"/>
        <v>0</v>
      </c>
      <c r="AT10" s="604">
        <f t="shared" ca="1" si="5"/>
        <v>0</v>
      </c>
      <c r="AU10" s="604">
        <f t="shared" ca="1" si="5"/>
        <v>0</v>
      </c>
      <c r="AV10" s="604">
        <f t="shared" ca="1" si="6"/>
        <v>0</v>
      </c>
      <c r="AW10" s="604">
        <f t="shared" ca="1" si="6"/>
        <v>0</v>
      </c>
      <c r="AX10" s="604">
        <f t="shared" ca="1" si="6"/>
        <v>0</v>
      </c>
      <c r="AY10" s="604">
        <f t="shared" ca="1" si="6"/>
        <v>0</v>
      </c>
      <c r="AZ10" s="604">
        <f t="shared" ca="1" si="6"/>
        <v>0</v>
      </c>
      <c r="BA10" s="604">
        <f t="shared" ca="1" si="6"/>
        <v>0</v>
      </c>
      <c r="BB10" s="604">
        <f t="shared" ca="1" si="6"/>
        <v>0</v>
      </c>
      <c r="BC10" s="604">
        <f t="shared" ca="1" si="6"/>
        <v>0</v>
      </c>
      <c r="BD10" s="604">
        <f t="shared" ca="1" si="6"/>
        <v>0</v>
      </c>
      <c r="BE10" s="604">
        <f t="shared" ca="1" si="6"/>
        <v>0</v>
      </c>
      <c r="BF10" s="605">
        <f t="shared" ca="1" si="7"/>
        <v>0</v>
      </c>
      <c r="BH10" s="3472">
        <f t="shared" ca="1" si="8"/>
        <v>0</v>
      </c>
      <c r="BI10" s="3472">
        <f t="shared" ca="1" si="8"/>
        <v>0</v>
      </c>
      <c r="BJ10" s="3461">
        <f t="shared" ca="1" si="9"/>
        <v>0</v>
      </c>
      <c r="BL10" s="606">
        <f t="shared" ca="1" si="10"/>
        <v>0</v>
      </c>
      <c r="BM10" s="606"/>
      <c r="BN10" s="413"/>
      <c r="BO10" s="2789">
        <f t="shared" ca="1" si="11"/>
        <v>0</v>
      </c>
      <c r="BP10" s="2790">
        <f t="shared" ca="1" si="11"/>
        <v>0</v>
      </c>
      <c r="BQ10" s="2790">
        <f t="shared" ca="1" si="11"/>
        <v>0</v>
      </c>
      <c r="BR10" s="2790">
        <f t="shared" ca="1" si="11"/>
        <v>0</v>
      </c>
      <c r="BS10" s="2790">
        <f t="shared" ca="1" si="11"/>
        <v>0</v>
      </c>
      <c r="BT10" s="2790">
        <f t="shared" ca="1" si="11"/>
        <v>0</v>
      </c>
      <c r="BU10" s="2790">
        <f t="shared" ca="1" si="11"/>
        <v>0</v>
      </c>
      <c r="BV10" s="2790">
        <f t="shared" ca="1" si="11"/>
        <v>0</v>
      </c>
      <c r="BW10" s="2790">
        <f t="shared" ca="1" si="11"/>
        <v>0</v>
      </c>
      <c r="BX10" s="2790">
        <f t="shared" ca="1" si="11"/>
        <v>0</v>
      </c>
      <c r="BY10" s="2790">
        <f t="shared" ca="1" si="12"/>
        <v>0</v>
      </c>
      <c r="BZ10" s="2790">
        <f t="shared" ca="1" si="12"/>
        <v>0</v>
      </c>
      <c r="CA10" s="2790">
        <f t="shared" ca="1" si="12"/>
        <v>0</v>
      </c>
      <c r="CB10" s="2790">
        <f t="shared" ca="1" si="12"/>
        <v>0</v>
      </c>
      <c r="CC10" s="2790">
        <f t="shared" ca="1" si="12"/>
        <v>0</v>
      </c>
      <c r="CD10" s="2790">
        <f t="shared" ca="1" si="12"/>
        <v>0</v>
      </c>
      <c r="CE10" s="2790">
        <f t="shared" ca="1" si="12"/>
        <v>0</v>
      </c>
      <c r="CF10" s="2790">
        <f t="shared" ca="1" si="12"/>
        <v>0</v>
      </c>
      <c r="CG10" s="2790">
        <f t="shared" ca="1" si="12"/>
        <v>0</v>
      </c>
      <c r="CH10" s="2790">
        <f t="shared" ca="1" si="12"/>
        <v>0</v>
      </c>
      <c r="CI10" s="2790">
        <f t="shared" ca="1" si="13"/>
        <v>0</v>
      </c>
      <c r="CJ10" s="2790">
        <f t="shared" ca="1" si="13"/>
        <v>0</v>
      </c>
      <c r="CK10" s="2790">
        <f t="shared" ca="1" si="13"/>
        <v>0</v>
      </c>
      <c r="CL10" s="2790">
        <f t="shared" ca="1" si="13"/>
        <v>0</v>
      </c>
      <c r="CM10" s="2790">
        <f t="shared" ca="1" si="13"/>
        <v>0</v>
      </c>
      <c r="CN10" s="2790">
        <f t="shared" ca="1" si="13"/>
        <v>0</v>
      </c>
      <c r="CO10" s="2790">
        <f t="shared" ca="1" si="13"/>
        <v>0</v>
      </c>
      <c r="CP10" s="2790">
        <f t="shared" ca="1" si="13"/>
        <v>0</v>
      </c>
      <c r="CQ10" s="2790">
        <f t="shared" ca="1" si="13"/>
        <v>0</v>
      </c>
      <c r="CR10" s="2790">
        <f t="shared" ca="1" si="13"/>
        <v>0</v>
      </c>
      <c r="CS10" s="2790">
        <f t="shared" ca="1" si="14"/>
        <v>0</v>
      </c>
      <c r="CT10" s="2790">
        <f t="shared" ca="1" si="14"/>
        <v>0</v>
      </c>
      <c r="CU10" s="2790">
        <f t="shared" ca="1" si="14"/>
        <v>0</v>
      </c>
      <c r="CV10" s="2790">
        <f t="shared" ca="1" si="14"/>
        <v>0</v>
      </c>
      <c r="CW10" s="2790">
        <f t="shared" ca="1" si="14"/>
        <v>0</v>
      </c>
      <c r="CX10" s="2790">
        <f t="shared" ca="1" si="14"/>
        <v>0</v>
      </c>
      <c r="CY10" s="2790">
        <f t="shared" ca="1" si="14"/>
        <v>0</v>
      </c>
      <c r="CZ10" s="2790">
        <f t="shared" ca="1" si="14"/>
        <v>0</v>
      </c>
      <c r="DA10" s="2790">
        <f t="shared" ca="1" si="14"/>
        <v>0</v>
      </c>
      <c r="DB10" s="2790">
        <f t="shared" ca="1" si="14"/>
        <v>0</v>
      </c>
      <c r="DC10" s="2790">
        <f t="shared" ca="1" si="14"/>
        <v>0</v>
      </c>
      <c r="DD10" s="2790">
        <f t="shared" ca="1" si="14"/>
        <v>0</v>
      </c>
      <c r="DE10" s="2790">
        <f t="shared" ca="1" si="14"/>
        <v>0</v>
      </c>
      <c r="DF10" s="2790">
        <f t="shared" ca="1" si="14"/>
        <v>0</v>
      </c>
      <c r="DH10" s="596"/>
    </row>
    <row r="11" spans="1:112" s="6" customFormat="1" ht="12.75" customHeight="1" outlineLevel="1">
      <c r="A11" s="607"/>
      <c r="B11" s="607"/>
      <c r="C11" s="587"/>
      <c r="D11" s="607" t="s">
        <v>464</v>
      </c>
      <c r="E11" s="588"/>
      <c r="G11" s="590">
        <f ca="1">SUM(G9:G10)</f>
        <v>23.87280554368072</v>
      </c>
      <c r="H11" s="590">
        <f t="shared" ref="H11:P11" ca="1" si="15">SUM(H9:H10)</f>
        <v>0</v>
      </c>
      <c r="I11" s="590">
        <f t="shared" ca="1" si="15"/>
        <v>0</v>
      </c>
      <c r="J11" s="590">
        <f t="shared" ca="1" si="15"/>
        <v>0</v>
      </c>
      <c r="K11" s="590">
        <f t="shared" ca="1" si="15"/>
        <v>0</v>
      </c>
      <c r="L11" s="590">
        <f t="shared" ca="1" si="15"/>
        <v>0</v>
      </c>
      <c r="M11" s="590">
        <f t="shared" ca="1" si="15"/>
        <v>0</v>
      </c>
      <c r="N11" s="590">
        <f ca="1">SUM(N9:N10)</f>
        <v>0</v>
      </c>
      <c r="O11" s="590">
        <f ca="1">SUM(O9:O10)</f>
        <v>0</v>
      </c>
      <c r="P11" s="590">
        <f t="shared" ca="1" si="15"/>
        <v>0</v>
      </c>
      <c r="Q11" s="590">
        <f t="shared" ca="1" si="1"/>
        <v>23.87280554368072</v>
      </c>
      <c r="S11" s="592">
        <f ca="1">SUM(S9:S10)</f>
        <v>-1.6558259787752996</v>
      </c>
      <c r="T11" s="592">
        <f t="shared" ref="T11:AJ11" ca="1" si="16">SUM(T9:T10)</f>
        <v>0</v>
      </c>
      <c r="U11" s="592">
        <f t="shared" ca="1" si="16"/>
        <v>-0.13819323886480134</v>
      </c>
      <c r="V11" s="592">
        <f t="shared" ca="1" si="16"/>
        <v>-6.8170582264749946</v>
      </c>
      <c r="W11" s="592">
        <f t="shared" ca="1" si="16"/>
        <v>-13.771647618705204</v>
      </c>
      <c r="X11" s="592">
        <f ca="1">SUM(X9:X10)</f>
        <v>0</v>
      </c>
      <c r="Y11" s="592">
        <f ca="1">SUM(Y9:Y10)</f>
        <v>0</v>
      </c>
      <c r="Z11" s="592">
        <f ca="1">SUM(Z9:Z10)</f>
        <v>0</v>
      </c>
      <c r="AA11" s="592">
        <f t="shared" ca="1" si="16"/>
        <v>0</v>
      </c>
      <c r="AB11" s="592">
        <f t="shared" ca="1" si="16"/>
        <v>0</v>
      </c>
      <c r="AC11" s="592">
        <f t="shared" ca="1" si="16"/>
        <v>0</v>
      </c>
      <c r="AD11" s="592">
        <f ca="1">SUM(AD9:AD10)</f>
        <v>0</v>
      </c>
      <c r="AE11" s="592">
        <f ca="1">SUM(AE9:AE10)</f>
        <v>0</v>
      </c>
      <c r="AF11" s="592">
        <f t="shared" ca="1" si="16"/>
        <v>0</v>
      </c>
      <c r="AG11" s="592">
        <f ca="1">SUM(AG9:AG10)</f>
        <v>0</v>
      </c>
      <c r="AH11" s="592">
        <f ca="1">SUM(AH9:AH10)</f>
        <v>0</v>
      </c>
      <c r="AI11" s="592">
        <f ca="1">SUM(AI9:AI10)</f>
        <v>-1.4025987513562512</v>
      </c>
      <c r="AJ11" s="592">
        <f t="shared" ca="1" si="16"/>
        <v>0</v>
      </c>
      <c r="AK11" s="592">
        <f t="shared" ca="1" si="4"/>
        <v>-23.78532381417655</v>
      </c>
      <c r="AM11" s="608">
        <f t="shared" ref="AM11:BE11" ca="1" si="17">SUM(AM9:AM10)</f>
        <v>0</v>
      </c>
      <c r="AN11" s="608">
        <f t="shared" ca="1" si="17"/>
        <v>0</v>
      </c>
      <c r="AO11" s="608">
        <f t="shared" ca="1" si="17"/>
        <v>0</v>
      </c>
      <c r="AP11" s="608">
        <f t="shared" ca="1" si="17"/>
        <v>0</v>
      </c>
      <c r="AQ11" s="608">
        <f t="shared" ca="1" si="17"/>
        <v>0</v>
      </c>
      <c r="AR11" s="608">
        <f t="shared" ca="1" si="17"/>
        <v>0</v>
      </c>
      <c r="AS11" s="608">
        <f t="shared" ca="1" si="17"/>
        <v>0</v>
      </c>
      <c r="AT11" s="608">
        <f t="shared" ca="1" si="17"/>
        <v>0</v>
      </c>
      <c r="AU11" s="608">
        <f t="shared" ca="1" si="17"/>
        <v>0</v>
      </c>
      <c r="AV11" s="608">
        <f t="shared" ca="1" si="17"/>
        <v>0</v>
      </c>
      <c r="AW11" s="608">
        <f t="shared" ca="1" si="17"/>
        <v>0</v>
      </c>
      <c r="AX11" s="608">
        <f t="shared" ca="1" si="17"/>
        <v>0</v>
      </c>
      <c r="AY11" s="608">
        <f t="shared" ca="1" si="17"/>
        <v>0</v>
      </c>
      <c r="AZ11" s="608">
        <f t="shared" ca="1" si="17"/>
        <v>0</v>
      </c>
      <c r="BA11" s="608">
        <f t="shared" ca="1" si="17"/>
        <v>0</v>
      </c>
      <c r="BB11" s="608">
        <f t="shared" ca="1" si="17"/>
        <v>0</v>
      </c>
      <c r="BC11" s="608">
        <f t="shared" ca="1" si="17"/>
        <v>-8.7481729504168951E-2</v>
      </c>
      <c r="BD11" s="608">
        <f ca="1">SUM(BD9:BD10)</f>
        <v>0</v>
      </c>
      <c r="BE11" s="608">
        <f t="shared" ca="1" si="17"/>
        <v>0</v>
      </c>
      <c r="BF11" s="609">
        <f t="shared" ca="1" si="7"/>
        <v>-8.7481729504168951E-2</v>
      </c>
      <c r="BH11" s="3460">
        <f ca="1">SUM(BH9:BH10)</f>
        <v>0</v>
      </c>
      <c r="BI11" s="3460">
        <f ca="1">SUM(BI9:BI10)</f>
        <v>0</v>
      </c>
      <c r="BJ11" s="3460">
        <f t="shared" ca="1" si="9"/>
        <v>0</v>
      </c>
      <c r="BL11" s="610">
        <f t="shared" ca="1" si="10"/>
        <v>4.8572257327350599E-16</v>
      </c>
      <c r="BM11" s="610"/>
      <c r="BN11" s="413"/>
      <c r="BO11" s="2789">
        <f t="shared" ref="BO11:DF11" ca="1" si="18">SUM(BO9:BO10)</f>
        <v>4.6648906842500004</v>
      </c>
      <c r="BP11" s="2790">
        <f t="shared" ca="1" si="18"/>
        <v>2.5945585519393678E-3</v>
      </c>
      <c r="BQ11" s="2790">
        <f t="shared" ca="1" si="18"/>
        <v>4.9212374368911738E-2</v>
      </c>
      <c r="BR11" s="2790">
        <f t="shared" ca="1" si="18"/>
        <v>0</v>
      </c>
      <c r="BS11" s="2790">
        <f t="shared" ca="1" si="18"/>
        <v>0</v>
      </c>
      <c r="BT11" s="2790">
        <f t="shared" ca="1" si="18"/>
        <v>0</v>
      </c>
      <c r="BU11" s="2790">
        <f t="shared" ca="1" si="18"/>
        <v>0</v>
      </c>
      <c r="BV11" s="2790">
        <f t="shared" ca="1" si="18"/>
        <v>0</v>
      </c>
      <c r="BW11" s="2790">
        <f t="shared" ca="1" si="18"/>
        <v>0</v>
      </c>
      <c r="BX11" s="2790">
        <f t="shared" ca="1" si="18"/>
        <v>0</v>
      </c>
      <c r="BY11" s="2790">
        <f t="shared" ca="1" si="18"/>
        <v>0</v>
      </c>
      <c r="BZ11" s="2790">
        <f t="shared" ca="1" si="18"/>
        <v>0</v>
      </c>
      <c r="CA11" s="2790">
        <f t="shared" ca="1" si="18"/>
        <v>0</v>
      </c>
      <c r="CB11" s="2790">
        <f t="shared" ca="1" si="18"/>
        <v>0</v>
      </c>
      <c r="CC11" s="2790">
        <f t="shared" ca="1" si="18"/>
        <v>0</v>
      </c>
      <c r="CD11" s="2790">
        <f t="shared" ca="1" si="18"/>
        <v>0</v>
      </c>
      <c r="CE11" s="2790">
        <f t="shared" ca="1" si="18"/>
        <v>0</v>
      </c>
      <c r="CF11" s="2790">
        <f t="shared" ca="1" si="18"/>
        <v>0</v>
      </c>
      <c r="CG11" s="2790">
        <f t="shared" ca="1" si="18"/>
        <v>0</v>
      </c>
      <c r="CH11" s="2790">
        <f t="shared" ca="1" si="18"/>
        <v>0</v>
      </c>
      <c r="CI11" s="2790">
        <f t="shared" ca="1" si="18"/>
        <v>0</v>
      </c>
      <c r="CJ11" s="2790">
        <f t="shared" ca="1" si="18"/>
        <v>0</v>
      </c>
      <c r="CK11" s="2790">
        <f t="shared" ca="1" si="18"/>
        <v>0</v>
      </c>
      <c r="CL11" s="2790">
        <f t="shared" ca="1" si="18"/>
        <v>0</v>
      </c>
      <c r="CM11" s="2790">
        <f t="shared" ca="1" si="18"/>
        <v>0</v>
      </c>
      <c r="CN11" s="2790">
        <f t="shared" ca="1" si="18"/>
        <v>0</v>
      </c>
      <c r="CO11" s="2790">
        <f t="shared" ca="1" si="18"/>
        <v>0</v>
      </c>
      <c r="CP11" s="2790">
        <f t="shared" ca="1" si="18"/>
        <v>0</v>
      </c>
      <c r="CQ11" s="2790">
        <f t="shared" ca="1" si="18"/>
        <v>0</v>
      </c>
      <c r="CR11" s="2790">
        <f t="shared" ca="1" si="18"/>
        <v>0</v>
      </c>
      <c r="CS11" s="2790">
        <f t="shared" ca="1" si="18"/>
        <v>0</v>
      </c>
      <c r="CT11" s="2790">
        <f t="shared" ca="1" si="18"/>
        <v>0</v>
      </c>
      <c r="CU11" s="2790">
        <f t="shared" ca="1" si="18"/>
        <v>0</v>
      </c>
      <c r="CV11" s="2790">
        <f t="shared" ca="1" si="18"/>
        <v>0</v>
      </c>
      <c r="CW11" s="2790">
        <f t="shared" ca="1" si="18"/>
        <v>0</v>
      </c>
      <c r="CX11" s="2790">
        <f t="shared" ca="1" si="18"/>
        <v>0</v>
      </c>
      <c r="CY11" s="2790">
        <f t="shared" ca="1" si="18"/>
        <v>0</v>
      </c>
      <c r="CZ11" s="2790">
        <f t="shared" ca="1" si="18"/>
        <v>0</v>
      </c>
      <c r="DA11" s="2790">
        <f t="shared" ca="1" si="18"/>
        <v>0</v>
      </c>
      <c r="DB11" s="2790">
        <f t="shared" ca="1" si="18"/>
        <v>0</v>
      </c>
      <c r="DC11" s="2790">
        <f t="shared" ca="1" si="18"/>
        <v>0</v>
      </c>
      <c r="DD11" s="2790">
        <f t="shared" ca="1" si="18"/>
        <v>0</v>
      </c>
      <c r="DE11" s="2790">
        <f t="shared" ca="1" si="18"/>
        <v>0</v>
      </c>
      <c r="DF11" s="2790">
        <f t="shared" ca="1" si="18"/>
        <v>0</v>
      </c>
      <c r="DH11" s="596"/>
    </row>
    <row r="12" spans="1:112" s="6" customFormat="1" ht="10.5" customHeight="1" outlineLevel="2">
      <c r="A12" s="586"/>
      <c r="B12" s="586"/>
      <c r="C12" s="587" t="s">
        <v>465</v>
      </c>
      <c r="D12" s="586" t="s">
        <v>466</v>
      </c>
      <c r="E12" s="599"/>
      <c r="G12" s="589">
        <f t="shared" ca="1" si="0"/>
        <v>13.920266726144494</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13.920266726144494</v>
      </c>
      <c r="S12" s="591">
        <f t="shared" ca="1" si="2"/>
        <v>-3.1235285714285705</v>
      </c>
      <c r="T12" s="591">
        <f t="shared" ca="1" si="2"/>
        <v>4.4993571428571428</v>
      </c>
      <c r="U12" s="591">
        <f t="shared" ca="1" si="2"/>
        <v>-0.22985221674876849</v>
      </c>
      <c r="V12" s="591">
        <f t="shared" ca="1" si="2"/>
        <v>-1.5805301914580263</v>
      </c>
      <c r="W12" s="591">
        <f t="shared" ca="1" si="2"/>
        <v>-13.442941460794843</v>
      </c>
      <c r="X12" s="591">
        <f t="shared" ref="X12:Z13" ca="1" si="19">IFERROR(INDEX(INDIRECT($C12&amp;".Outputs["&amp;this.Year&amp;"]"), MATCH(X$5, INDIRECT($C12&amp;".Outputs[Vector]"), 0)), 0)</f>
        <v>0</v>
      </c>
      <c r="Y12" s="591">
        <f t="shared" ca="1" si="19"/>
        <v>0</v>
      </c>
      <c r="Z12" s="591">
        <f t="shared" ca="1" si="19"/>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4"/>
        <v>-13.877495297573066</v>
      </c>
      <c r="AM12" s="593">
        <f t="shared" ref="AM12:AU13" ca="1" si="20">IFERROR(INDEX(INDIRECT($C12&amp;".Outputs["&amp;this.Year&amp;"]"), MATCH(AM$5, INDIRECT($C12&amp;".Outputs[Vector]"), 0)), 0)</f>
        <v>0</v>
      </c>
      <c r="AN12" s="593">
        <f t="shared" ca="1" si="20"/>
        <v>0</v>
      </c>
      <c r="AO12" s="593">
        <f t="shared" ca="1" si="20"/>
        <v>0</v>
      </c>
      <c r="AP12" s="593">
        <f t="shared" ca="1" si="20"/>
        <v>0</v>
      </c>
      <c r="AQ12" s="593">
        <f t="shared" ca="1" si="20"/>
        <v>0</v>
      </c>
      <c r="AR12" s="593">
        <f t="shared" ca="1" si="20"/>
        <v>0</v>
      </c>
      <c r="AS12" s="593">
        <f t="shared" ca="1" si="20"/>
        <v>0</v>
      </c>
      <c r="AT12" s="593">
        <f t="shared" ca="1" si="20"/>
        <v>0</v>
      </c>
      <c r="AU12" s="593">
        <f t="shared" ca="1" si="20"/>
        <v>0</v>
      </c>
      <c r="AV12" s="593">
        <f t="shared" ca="1" si="6"/>
        <v>0</v>
      </c>
      <c r="AW12" s="593">
        <f t="shared" ca="1" si="6"/>
        <v>0</v>
      </c>
      <c r="AX12" s="593">
        <f t="shared" ca="1" si="6"/>
        <v>0</v>
      </c>
      <c r="AY12" s="593">
        <f t="shared" ca="1" si="6"/>
        <v>0</v>
      </c>
      <c r="AZ12" s="593">
        <f t="shared" ca="1" si="6"/>
        <v>0</v>
      </c>
      <c r="BA12" s="593">
        <f t="shared" ca="1" si="6"/>
        <v>0</v>
      </c>
      <c r="BB12" s="593">
        <f t="shared" ca="1" si="6"/>
        <v>0</v>
      </c>
      <c r="BC12" s="593">
        <f t="shared" ca="1" si="6"/>
        <v>-4.2771428571428571E-2</v>
      </c>
      <c r="BD12" s="593">
        <f t="shared" ca="1" si="6"/>
        <v>0</v>
      </c>
      <c r="BE12" s="593">
        <f t="shared" ca="1" si="6"/>
        <v>0</v>
      </c>
      <c r="BF12" s="594">
        <f t="shared" ca="1" si="7"/>
        <v>-4.2771428571428571E-2</v>
      </c>
      <c r="BH12" s="3471">
        <f t="shared" ca="1" si="8"/>
        <v>0</v>
      </c>
      <c r="BI12" s="3471">
        <f t="shared" ca="1" si="8"/>
        <v>0</v>
      </c>
      <c r="BJ12" s="3460">
        <f t="shared" ca="1" si="9"/>
        <v>0</v>
      </c>
      <c r="BL12" s="595">
        <f t="shared" ca="1" si="10"/>
        <v>-1.2212453270876722E-15</v>
      </c>
      <c r="BM12" s="595"/>
      <c r="BN12" s="413"/>
      <c r="BO12" s="2789">
        <f t="shared" ref="BO12:BX13" ca="1" si="21">IFERROR(SUMIFS(INDIRECT($C12&amp;".Emissions["&amp;this.Year&amp;"]"), INDIRECT($C12&amp;".Emissions[GHG]"), BO$6, INDIRECT($C12&amp;".Emissions[IPCC Sector]"), BO$5),0)</f>
        <v>3.2467286713696564</v>
      </c>
      <c r="BP12" s="2790">
        <f t="shared" ca="1" si="21"/>
        <v>1.3869144011691157E-3</v>
      </c>
      <c r="BQ12" s="2790">
        <f t="shared" ca="1" si="21"/>
        <v>4.4693316296862538E-2</v>
      </c>
      <c r="BR12" s="2790">
        <f t="shared" ca="1" si="21"/>
        <v>0</v>
      </c>
      <c r="BS12" s="2790">
        <f t="shared" ca="1" si="21"/>
        <v>0</v>
      </c>
      <c r="BT12" s="2790">
        <f t="shared" ca="1" si="21"/>
        <v>0</v>
      </c>
      <c r="BU12" s="2790">
        <f t="shared" ca="1" si="21"/>
        <v>0</v>
      </c>
      <c r="BV12" s="2790">
        <f t="shared" ca="1" si="21"/>
        <v>0</v>
      </c>
      <c r="BW12" s="2790">
        <f t="shared" ca="1" si="21"/>
        <v>0</v>
      </c>
      <c r="BX12" s="2790">
        <f t="shared" ca="1" si="21"/>
        <v>0</v>
      </c>
      <c r="BY12" s="2790">
        <f t="shared" ref="BY12:CH13" ca="1" si="22">IFERROR(SUMIFS(INDIRECT($C12&amp;".Emissions["&amp;this.Year&amp;"]"), INDIRECT($C12&amp;".Emissions[GHG]"), BY$6, INDIRECT($C12&amp;".Emissions[IPCC Sector]"), BY$5),0)</f>
        <v>0</v>
      </c>
      <c r="BZ12" s="2790">
        <f t="shared" ca="1" si="22"/>
        <v>0</v>
      </c>
      <c r="CA12" s="2790">
        <f t="shared" ca="1" si="22"/>
        <v>0</v>
      </c>
      <c r="CB12" s="2790">
        <f t="shared" ca="1" si="22"/>
        <v>0</v>
      </c>
      <c r="CC12" s="2790">
        <f t="shared" ca="1" si="22"/>
        <v>0</v>
      </c>
      <c r="CD12" s="2790">
        <f t="shared" ca="1" si="22"/>
        <v>0</v>
      </c>
      <c r="CE12" s="2790">
        <f t="shared" ca="1" si="22"/>
        <v>0</v>
      </c>
      <c r="CF12" s="2790">
        <f t="shared" ca="1" si="22"/>
        <v>0</v>
      </c>
      <c r="CG12" s="2790">
        <f t="shared" ca="1" si="22"/>
        <v>0</v>
      </c>
      <c r="CH12" s="2790">
        <f t="shared" ca="1" si="22"/>
        <v>0</v>
      </c>
      <c r="CI12" s="2790">
        <f t="shared" ref="CI12:CR13" ca="1" si="23">IFERROR(SUMIFS(INDIRECT($C12&amp;".Emissions["&amp;this.Year&amp;"]"), INDIRECT($C12&amp;".Emissions[GHG]"), CI$6, INDIRECT($C12&amp;".Emissions[IPCC Sector]"), CI$5),0)</f>
        <v>0</v>
      </c>
      <c r="CJ12" s="2790">
        <f t="shared" ca="1" si="23"/>
        <v>0</v>
      </c>
      <c r="CK12" s="2790">
        <f t="shared" ca="1" si="23"/>
        <v>0</v>
      </c>
      <c r="CL12" s="2790">
        <f t="shared" ca="1" si="23"/>
        <v>0</v>
      </c>
      <c r="CM12" s="2790">
        <f t="shared" ca="1" si="23"/>
        <v>0</v>
      </c>
      <c r="CN12" s="2790">
        <f t="shared" ca="1" si="23"/>
        <v>0</v>
      </c>
      <c r="CO12" s="2790">
        <f t="shared" ca="1" si="23"/>
        <v>0</v>
      </c>
      <c r="CP12" s="2790">
        <f t="shared" ca="1" si="23"/>
        <v>0</v>
      </c>
      <c r="CQ12" s="2790">
        <f t="shared" ca="1" si="23"/>
        <v>0</v>
      </c>
      <c r="CR12" s="2790">
        <f t="shared" ca="1" si="23"/>
        <v>0</v>
      </c>
      <c r="CS12" s="2790">
        <f t="shared" ref="CS12:DF13" ca="1" si="24">IFERROR(SUMIFS(INDIRECT($C12&amp;".Emissions["&amp;this.Year&amp;"]"), INDIRECT($C12&amp;".Emissions[GHG]"), CS$6, INDIRECT($C12&amp;".Emissions[IPCC Sector]"), CS$5),0)</f>
        <v>0</v>
      </c>
      <c r="CT12" s="2790">
        <f t="shared" ca="1" si="24"/>
        <v>0</v>
      </c>
      <c r="CU12" s="2790">
        <f t="shared" ca="1" si="24"/>
        <v>0</v>
      </c>
      <c r="CV12" s="2790">
        <f t="shared" ca="1" si="24"/>
        <v>0</v>
      </c>
      <c r="CW12" s="2790">
        <f t="shared" ca="1" si="24"/>
        <v>0</v>
      </c>
      <c r="CX12" s="2790">
        <f t="shared" ca="1" si="24"/>
        <v>0</v>
      </c>
      <c r="CY12" s="2790">
        <f t="shared" ca="1" si="24"/>
        <v>0</v>
      </c>
      <c r="CZ12" s="2790">
        <f t="shared" ca="1" si="24"/>
        <v>0</v>
      </c>
      <c r="DA12" s="2790">
        <f t="shared" ca="1" si="24"/>
        <v>0</v>
      </c>
      <c r="DB12" s="2790">
        <f t="shared" ca="1" si="24"/>
        <v>0</v>
      </c>
      <c r="DC12" s="2790">
        <f t="shared" ca="1" si="24"/>
        <v>0</v>
      </c>
      <c r="DD12" s="2790">
        <f t="shared" ca="1" si="24"/>
        <v>0</v>
      </c>
      <c r="DE12" s="2790">
        <f t="shared" ca="1" si="24"/>
        <v>0</v>
      </c>
      <c r="DF12" s="2790">
        <f t="shared" ca="1" si="24"/>
        <v>0</v>
      </c>
      <c r="DH12" s="596"/>
    </row>
    <row r="13" spans="1:112" s="6" customFormat="1" ht="10.5" customHeight="1" outlineLevel="2">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19"/>
        <v>0</v>
      </c>
      <c r="Y13" s="602">
        <f t="shared" ca="1" si="19"/>
        <v>0</v>
      </c>
      <c r="Z13" s="602">
        <f t="shared" ca="1" si="19"/>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4"/>
        <v>0</v>
      </c>
      <c r="AM13" s="604">
        <f t="shared" ca="1" si="20"/>
        <v>0</v>
      </c>
      <c r="AN13" s="604">
        <f t="shared" ca="1" si="20"/>
        <v>0</v>
      </c>
      <c r="AO13" s="604">
        <f t="shared" ca="1" si="20"/>
        <v>0</v>
      </c>
      <c r="AP13" s="604">
        <f t="shared" ca="1" si="20"/>
        <v>0</v>
      </c>
      <c r="AQ13" s="604">
        <f t="shared" ca="1" si="20"/>
        <v>0</v>
      </c>
      <c r="AR13" s="604">
        <f t="shared" ca="1" si="20"/>
        <v>0</v>
      </c>
      <c r="AS13" s="604">
        <f t="shared" ca="1" si="20"/>
        <v>0</v>
      </c>
      <c r="AT13" s="604">
        <f t="shared" ca="1" si="20"/>
        <v>0</v>
      </c>
      <c r="AU13" s="604">
        <f t="shared" ca="1" si="20"/>
        <v>0</v>
      </c>
      <c r="AV13" s="604">
        <f t="shared" ca="1" si="6"/>
        <v>0</v>
      </c>
      <c r="AW13" s="604">
        <f t="shared" ca="1" si="6"/>
        <v>0</v>
      </c>
      <c r="AX13" s="604">
        <f t="shared" ca="1" si="6"/>
        <v>0</v>
      </c>
      <c r="AY13" s="604">
        <f t="shared" ca="1" si="6"/>
        <v>0</v>
      </c>
      <c r="AZ13" s="604">
        <f t="shared" ca="1" si="6"/>
        <v>0</v>
      </c>
      <c r="BA13" s="604">
        <f t="shared" ca="1" si="6"/>
        <v>0</v>
      </c>
      <c r="BB13" s="604">
        <f t="shared" ca="1" si="6"/>
        <v>0</v>
      </c>
      <c r="BC13" s="604">
        <f t="shared" ca="1" si="6"/>
        <v>0</v>
      </c>
      <c r="BD13" s="604">
        <f t="shared" ca="1" si="6"/>
        <v>0</v>
      </c>
      <c r="BE13" s="604">
        <f t="shared" ca="1" si="6"/>
        <v>0</v>
      </c>
      <c r="BF13" s="605">
        <f t="shared" ca="1" si="7"/>
        <v>0</v>
      </c>
      <c r="BH13" s="3472">
        <f t="shared" ca="1" si="8"/>
        <v>0</v>
      </c>
      <c r="BI13" s="3472">
        <f t="shared" ca="1" si="8"/>
        <v>0</v>
      </c>
      <c r="BJ13" s="3461">
        <f t="shared" ca="1" si="9"/>
        <v>0</v>
      </c>
      <c r="BL13" s="606">
        <f t="shared" ca="1" si="10"/>
        <v>0</v>
      </c>
      <c r="BM13" s="606"/>
      <c r="BN13" s="413"/>
      <c r="BO13" s="2789">
        <f t="shared" ca="1" si="21"/>
        <v>0</v>
      </c>
      <c r="BP13" s="2790">
        <f t="shared" ca="1" si="21"/>
        <v>0</v>
      </c>
      <c r="BQ13" s="2790">
        <f t="shared" ca="1" si="21"/>
        <v>0</v>
      </c>
      <c r="BR13" s="2790">
        <f t="shared" ca="1" si="21"/>
        <v>0</v>
      </c>
      <c r="BS13" s="2790">
        <f t="shared" ca="1" si="21"/>
        <v>0</v>
      </c>
      <c r="BT13" s="2790">
        <f t="shared" ca="1" si="21"/>
        <v>0</v>
      </c>
      <c r="BU13" s="2790">
        <f t="shared" ca="1" si="21"/>
        <v>0</v>
      </c>
      <c r="BV13" s="2790">
        <f t="shared" ca="1" si="21"/>
        <v>0</v>
      </c>
      <c r="BW13" s="2790">
        <f t="shared" ca="1" si="21"/>
        <v>0</v>
      </c>
      <c r="BX13" s="2790">
        <f t="shared" ca="1" si="21"/>
        <v>0</v>
      </c>
      <c r="BY13" s="2790">
        <f t="shared" ca="1" si="22"/>
        <v>0</v>
      </c>
      <c r="BZ13" s="2790">
        <f t="shared" ca="1" si="22"/>
        <v>0</v>
      </c>
      <c r="CA13" s="2790">
        <f t="shared" ca="1" si="22"/>
        <v>0</v>
      </c>
      <c r="CB13" s="2790">
        <f t="shared" ca="1" si="22"/>
        <v>0</v>
      </c>
      <c r="CC13" s="2790">
        <f t="shared" ca="1" si="22"/>
        <v>0</v>
      </c>
      <c r="CD13" s="2790">
        <f t="shared" ca="1" si="22"/>
        <v>0</v>
      </c>
      <c r="CE13" s="2790">
        <f t="shared" ca="1" si="22"/>
        <v>0</v>
      </c>
      <c r="CF13" s="2790">
        <f t="shared" ca="1" si="22"/>
        <v>0</v>
      </c>
      <c r="CG13" s="2790">
        <f t="shared" ca="1" si="22"/>
        <v>0</v>
      </c>
      <c r="CH13" s="2790">
        <f t="shared" ca="1" si="22"/>
        <v>0</v>
      </c>
      <c r="CI13" s="2790">
        <f t="shared" ca="1" si="23"/>
        <v>0</v>
      </c>
      <c r="CJ13" s="2790">
        <f t="shared" ca="1" si="23"/>
        <v>0</v>
      </c>
      <c r="CK13" s="2790">
        <f t="shared" ca="1" si="23"/>
        <v>0</v>
      </c>
      <c r="CL13" s="2790">
        <f t="shared" ca="1" si="23"/>
        <v>0</v>
      </c>
      <c r="CM13" s="2790">
        <f t="shared" ca="1" si="23"/>
        <v>0</v>
      </c>
      <c r="CN13" s="2790">
        <f t="shared" ca="1" si="23"/>
        <v>0</v>
      </c>
      <c r="CO13" s="2790">
        <f t="shared" ca="1" si="23"/>
        <v>0</v>
      </c>
      <c r="CP13" s="2790">
        <f t="shared" ca="1" si="23"/>
        <v>0</v>
      </c>
      <c r="CQ13" s="2790">
        <f t="shared" ca="1" si="23"/>
        <v>0</v>
      </c>
      <c r="CR13" s="2790">
        <f t="shared" ca="1" si="23"/>
        <v>0</v>
      </c>
      <c r="CS13" s="2790">
        <f t="shared" ca="1" si="24"/>
        <v>0</v>
      </c>
      <c r="CT13" s="2790">
        <f t="shared" ca="1" si="24"/>
        <v>0</v>
      </c>
      <c r="CU13" s="2790">
        <f t="shared" ca="1" si="24"/>
        <v>0</v>
      </c>
      <c r="CV13" s="2790">
        <f t="shared" ca="1" si="24"/>
        <v>0</v>
      </c>
      <c r="CW13" s="2790">
        <f t="shared" ca="1" si="24"/>
        <v>0</v>
      </c>
      <c r="CX13" s="2790">
        <f t="shared" ca="1" si="24"/>
        <v>0</v>
      </c>
      <c r="CY13" s="2790">
        <f t="shared" ca="1" si="24"/>
        <v>0</v>
      </c>
      <c r="CZ13" s="2790">
        <f t="shared" ca="1" si="24"/>
        <v>0</v>
      </c>
      <c r="DA13" s="2790">
        <f t="shared" ca="1" si="24"/>
        <v>0</v>
      </c>
      <c r="DB13" s="2790">
        <f t="shared" ca="1" si="24"/>
        <v>0</v>
      </c>
      <c r="DC13" s="2790">
        <f t="shared" ca="1" si="24"/>
        <v>0</v>
      </c>
      <c r="DD13" s="2790">
        <f t="shared" ca="1" si="24"/>
        <v>0</v>
      </c>
      <c r="DE13" s="2790">
        <f t="shared" ca="1" si="24"/>
        <v>0</v>
      </c>
      <c r="DF13" s="2790">
        <f t="shared" ca="1" si="24"/>
        <v>0</v>
      </c>
      <c r="DH13" s="596"/>
    </row>
    <row r="14" spans="1:112" s="6" customFormat="1" ht="12.75" customHeight="1" outlineLevel="1">
      <c r="A14" s="607"/>
      <c r="B14" s="607"/>
      <c r="C14" s="587"/>
      <c r="D14" s="611" t="s">
        <v>469</v>
      </c>
      <c r="E14" s="611"/>
      <c r="G14" s="612">
        <f ca="1">SUM(G12:G13)</f>
        <v>13.920266726144494</v>
      </c>
      <c r="H14" s="612">
        <f t="shared" ref="H14:P14" ca="1" si="25">SUM(H12:H13)</f>
        <v>0</v>
      </c>
      <c r="I14" s="612">
        <f t="shared" ca="1" si="25"/>
        <v>0</v>
      </c>
      <c r="J14" s="612">
        <f t="shared" ca="1" si="25"/>
        <v>0</v>
      </c>
      <c r="K14" s="612">
        <f t="shared" ca="1" si="25"/>
        <v>0</v>
      </c>
      <c r="L14" s="612">
        <f t="shared" ca="1" si="25"/>
        <v>0</v>
      </c>
      <c r="M14" s="612">
        <f t="shared" ca="1" si="25"/>
        <v>0</v>
      </c>
      <c r="N14" s="612">
        <f ca="1">SUM(N12:N13)</f>
        <v>0</v>
      </c>
      <c r="O14" s="612">
        <f ca="1">SUM(O12:O13)</f>
        <v>0</v>
      </c>
      <c r="P14" s="612">
        <f t="shared" ca="1" si="25"/>
        <v>0</v>
      </c>
      <c r="Q14" s="612">
        <f t="shared" ca="1" si="1"/>
        <v>13.920266726144494</v>
      </c>
      <c r="S14" s="613">
        <f t="shared" ref="S14:AJ14" ca="1" si="26">SUM(S12:S13)</f>
        <v>-3.1235285714285705</v>
      </c>
      <c r="T14" s="613">
        <f t="shared" ca="1" si="26"/>
        <v>4.4993571428571428</v>
      </c>
      <c r="U14" s="613">
        <f t="shared" ca="1" si="26"/>
        <v>-0.22985221674876849</v>
      </c>
      <c r="V14" s="613">
        <f t="shared" ca="1" si="26"/>
        <v>-1.5805301914580263</v>
      </c>
      <c r="W14" s="613">
        <f t="shared" ca="1" si="26"/>
        <v>-13.442941460794843</v>
      </c>
      <c r="X14" s="613">
        <f ca="1">SUM(X12:X13)</f>
        <v>0</v>
      </c>
      <c r="Y14" s="613">
        <f ca="1">SUM(Y12:Y13)</f>
        <v>0</v>
      </c>
      <c r="Z14" s="613">
        <f ca="1">SUM(Z12:Z13)</f>
        <v>0</v>
      </c>
      <c r="AA14" s="613">
        <f t="shared" ca="1" si="26"/>
        <v>0</v>
      </c>
      <c r="AB14" s="613">
        <f t="shared" ca="1" si="26"/>
        <v>0</v>
      </c>
      <c r="AC14" s="613">
        <f t="shared" ca="1" si="26"/>
        <v>0</v>
      </c>
      <c r="AD14" s="613">
        <f ca="1">SUM(AD12:AD13)</f>
        <v>0</v>
      </c>
      <c r="AE14" s="613">
        <f ca="1">SUM(AE12:AE13)</f>
        <v>0</v>
      </c>
      <c r="AF14" s="613">
        <f t="shared" ca="1" si="26"/>
        <v>0</v>
      </c>
      <c r="AG14" s="613">
        <f ca="1">SUM(AG12:AG13)</f>
        <v>0</v>
      </c>
      <c r="AH14" s="613">
        <f ca="1">SUM(AH12:AH13)</f>
        <v>0</v>
      </c>
      <c r="AI14" s="613">
        <f ca="1">SUM(AI12:AI13)</f>
        <v>0</v>
      </c>
      <c r="AJ14" s="613">
        <f t="shared" ca="1" si="26"/>
        <v>0</v>
      </c>
      <c r="AK14" s="613">
        <f t="shared" ca="1" si="4"/>
        <v>-13.877495297573066</v>
      </c>
      <c r="AM14" s="614">
        <f t="shared" ref="AM14:BE14" ca="1" si="27">SUM(AM12:AM13)</f>
        <v>0</v>
      </c>
      <c r="AN14" s="614">
        <f t="shared" ca="1" si="27"/>
        <v>0</v>
      </c>
      <c r="AO14" s="614">
        <f t="shared" ca="1" si="27"/>
        <v>0</v>
      </c>
      <c r="AP14" s="614">
        <f t="shared" ca="1" si="27"/>
        <v>0</v>
      </c>
      <c r="AQ14" s="614">
        <f t="shared" ca="1" si="27"/>
        <v>0</v>
      </c>
      <c r="AR14" s="614">
        <f t="shared" ca="1" si="27"/>
        <v>0</v>
      </c>
      <c r="AS14" s="614">
        <f t="shared" ca="1" si="27"/>
        <v>0</v>
      </c>
      <c r="AT14" s="614">
        <f t="shared" ca="1" si="27"/>
        <v>0</v>
      </c>
      <c r="AU14" s="614">
        <f t="shared" ca="1" si="27"/>
        <v>0</v>
      </c>
      <c r="AV14" s="614">
        <f t="shared" ca="1" si="27"/>
        <v>0</v>
      </c>
      <c r="AW14" s="614">
        <f t="shared" ca="1" si="27"/>
        <v>0</v>
      </c>
      <c r="AX14" s="614">
        <f t="shared" ca="1" si="27"/>
        <v>0</v>
      </c>
      <c r="AY14" s="614">
        <f t="shared" ca="1" si="27"/>
        <v>0</v>
      </c>
      <c r="AZ14" s="614">
        <f t="shared" ca="1" si="27"/>
        <v>0</v>
      </c>
      <c r="BA14" s="614">
        <f t="shared" ca="1" si="27"/>
        <v>0</v>
      </c>
      <c r="BB14" s="614">
        <f t="shared" ca="1" si="27"/>
        <v>0</v>
      </c>
      <c r="BC14" s="614">
        <f t="shared" ca="1" si="27"/>
        <v>-4.2771428571428571E-2</v>
      </c>
      <c r="BD14" s="614">
        <f ca="1">SUM(BD12:BD13)</f>
        <v>0</v>
      </c>
      <c r="BE14" s="614">
        <f t="shared" ca="1" si="27"/>
        <v>0</v>
      </c>
      <c r="BF14" s="615">
        <f t="shared" ca="1" si="7"/>
        <v>-4.2771428571428571E-2</v>
      </c>
      <c r="BH14" s="3462">
        <f ca="1">SUM(BH12:BH13)</f>
        <v>0</v>
      </c>
      <c r="BI14" s="3462">
        <f ca="1">SUM(BI12:BI13)</f>
        <v>0</v>
      </c>
      <c r="BJ14" s="3462">
        <f t="shared" ca="1" si="9"/>
        <v>0</v>
      </c>
      <c r="BL14" s="610">
        <f t="shared" ca="1" si="10"/>
        <v>-1.2212453270876722E-15</v>
      </c>
      <c r="BM14" s="610"/>
      <c r="BN14" s="413"/>
      <c r="BO14" s="2791">
        <f t="shared" ref="BO14:DF14" ca="1" si="28">SUM(BO12:BO13)</f>
        <v>3.2467286713696564</v>
      </c>
      <c r="BP14" s="2792">
        <f t="shared" ca="1" si="28"/>
        <v>1.3869144011691157E-3</v>
      </c>
      <c r="BQ14" s="2792">
        <f t="shared" ca="1" si="28"/>
        <v>4.4693316296862538E-2</v>
      </c>
      <c r="BR14" s="2792">
        <f t="shared" ca="1" si="28"/>
        <v>0</v>
      </c>
      <c r="BS14" s="2792">
        <f t="shared" ca="1" si="28"/>
        <v>0</v>
      </c>
      <c r="BT14" s="2792">
        <f t="shared" ca="1" si="28"/>
        <v>0</v>
      </c>
      <c r="BU14" s="2792">
        <f t="shared" ca="1" si="28"/>
        <v>0</v>
      </c>
      <c r="BV14" s="2792">
        <f t="shared" ca="1" si="28"/>
        <v>0</v>
      </c>
      <c r="BW14" s="2792">
        <f t="shared" ca="1" si="28"/>
        <v>0</v>
      </c>
      <c r="BX14" s="2792">
        <f t="shared" ca="1" si="28"/>
        <v>0</v>
      </c>
      <c r="BY14" s="2792">
        <f t="shared" ca="1" si="28"/>
        <v>0</v>
      </c>
      <c r="BZ14" s="2792">
        <f t="shared" ca="1" si="28"/>
        <v>0</v>
      </c>
      <c r="CA14" s="2792">
        <f t="shared" ca="1" si="28"/>
        <v>0</v>
      </c>
      <c r="CB14" s="2792">
        <f t="shared" ca="1" si="28"/>
        <v>0</v>
      </c>
      <c r="CC14" s="2792">
        <f t="shared" ca="1" si="28"/>
        <v>0</v>
      </c>
      <c r="CD14" s="2792">
        <f t="shared" ca="1" si="28"/>
        <v>0</v>
      </c>
      <c r="CE14" s="2792">
        <f t="shared" ca="1" si="28"/>
        <v>0</v>
      </c>
      <c r="CF14" s="2792">
        <f t="shared" ca="1" si="28"/>
        <v>0</v>
      </c>
      <c r="CG14" s="2792">
        <f t="shared" ca="1" si="28"/>
        <v>0</v>
      </c>
      <c r="CH14" s="2792">
        <f t="shared" ca="1" si="28"/>
        <v>0</v>
      </c>
      <c r="CI14" s="2792">
        <f t="shared" ca="1" si="28"/>
        <v>0</v>
      </c>
      <c r="CJ14" s="2792">
        <f t="shared" ca="1" si="28"/>
        <v>0</v>
      </c>
      <c r="CK14" s="2792">
        <f t="shared" ca="1" si="28"/>
        <v>0</v>
      </c>
      <c r="CL14" s="2792">
        <f t="shared" ca="1" si="28"/>
        <v>0</v>
      </c>
      <c r="CM14" s="2792">
        <f t="shared" ca="1" si="28"/>
        <v>0</v>
      </c>
      <c r="CN14" s="2792">
        <f t="shared" ca="1" si="28"/>
        <v>0</v>
      </c>
      <c r="CO14" s="2792">
        <f t="shared" ca="1" si="28"/>
        <v>0</v>
      </c>
      <c r="CP14" s="2792">
        <f t="shared" ca="1" si="28"/>
        <v>0</v>
      </c>
      <c r="CQ14" s="2792">
        <f t="shared" ca="1" si="28"/>
        <v>0</v>
      </c>
      <c r="CR14" s="2792">
        <f t="shared" ca="1" si="28"/>
        <v>0</v>
      </c>
      <c r="CS14" s="2792">
        <f t="shared" ca="1" si="28"/>
        <v>0</v>
      </c>
      <c r="CT14" s="2792">
        <f t="shared" ca="1" si="28"/>
        <v>0</v>
      </c>
      <c r="CU14" s="2792">
        <f t="shared" ca="1" si="28"/>
        <v>0</v>
      </c>
      <c r="CV14" s="2792">
        <f t="shared" ca="1" si="28"/>
        <v>0</v>
      </c>
      <c r="CW14" s="2792">
        <f t="shared" ca="1" si="28"/>
        <v>0</v>
      </c>
      <c r="CX14" s="2792">
        <f t="shared" ca="1" si="28"/>
        <v>0</v>
      </c>
      <c r="CY14" s="2792">
        <f t="shared" ca="1" si="28"/>
        <v>0</v>
      </c>
      <c r="CZ14" s="2792">
        <f t="shared" ca="1" si="28"/>
        <v>0</v>
      </c>
      <c r="DA14" s="2792">
        <f t="shared" ca="1" si="28"/>
        <v>0</v>
      </c>
      <c r="DB14" s="2792">
        <f t="shared" ca="1" si="28"/>
        <v>0</v>
      </c>
      <c r="DC14" s="2792">
        <f t="shared" ca="1" si="28"/>
        <v>0</v>
      </c>
      <c r="DD14" s="2792">
        <f t="shared" ca="1" si="28"/>
        <v>0</v>
      </c>
      <c r="DE14" s="2792">
        <f t="shared" ca="1" si="28"/>
        <v>0</v>
      </c>
      <c r="DF14" s="2792">
        <f t="shared" ca="1" si="28"/>
        <v>0</v>
      </c>
      <c r="DH14" s="596"/>
    </row>
    <row r="15" spans="1:112" s="6" customFormat="1" ht="15.75">
      <c r="A15" s="4"/>
      <c r="B15" s="3"/>
      <c r="C15" s="616" t="s">
        <v>0</v>
      </c>
      <c r="D15" s="617" t="s">
        <v>1</v>
      </c>
      <c r="E15" s="206"/>
      <c r="G15" s="618">
        <f t="shared" ref="G15:P15" ca="1" si="29">G14+G11</f>
        <v>37.793072269825217</v>
      </c>
      <c r="H15" s="618">
        <f t="shared" ca="1" si="29"/>
        <v>0</v>
      </c>
      <c r="I15" s="618">
        <f t="shared" ca="1" si="29"/>
        <v>0</v>
      </c>
      <c r="J15" s="618">
        <f t="shared" ca="1" si="29"/>
        <v>0</v>
      </c>
      <c r="K15" s="618">
        <f t="shared" ca="1" si="29"/>
        <v>0</v>
      </c>
      <c r="L15" s="618">
        <f t="shared" ca="1" si="29"/>
        <v>0</v>
      </c>
      <c r="M15" s="618">
        <f t="shared" ca="1" si="29"/>
        <v>0</v>
      </c>
      <c r="N15" s="618">
        <f t="shared" ca="1" si="29"/>
        <v>0</v>
      </c>
      <c r="O15" s="618">
        <f t="shared" ca="1" si="29"/>
        <v>0</v>
      </c>
      <c r="P15" s="618">
        <f t="shared" ca="1" si="29"/>
        <v>0</v>
      </c>
      <c r="Q15" s="618">
        <f t="shared" ca="1" si="1"/>
        <v>37.793072269825217</v>
      </c>
      <c r="S15" s="581">
        <f t="shared" ref="S15:AJ15" ca="1" si="30">S14+S11</f>
        <v>-4.7793545502038697</v>
      </c>
      <c r="T15" s="581">
        <f t="shared" ca="1" si="30"/>
        <v>4.4993571428571428</v>
      </c>
      <c r="U15" s="581">
        <f t="shared" ca="1" si="30"/>
        <v>-0.36804545561356983</v>
      </c>
      <c r="V15" s="581">
        <f t="shared" ca="1" si="30"/>
        <v>-8.3975884179330205</v>
      </c>
      <c r="W15" s="581">
        <f t="shared" ca="1" si="30"/>
        <v>-27.214589079500048</v>
      </c>
      <c r="X15" s="581">
        <f t="shared" ca="1" si="30"/>
        <v>0</v>
      </c>
      <c r="Y15" s="581">
        <f t="shared" ca="1" si="30"/>
        <v>0</v>
      </c>
      <c r="Z15" s="581">
        <f t="shared" ca="1" si="30"/>
        <v>0</v>
      </c>
      <c r="AA15" s="581">
        <f t="shared" ca="1" si="30"/>
        <v>0</v>
      </c>
      <c r="AB15" s="581">
        <f t="shared" ca="1" si="30"/>
        <v>0</v>
      </c>
      <c r="AC15" s="581">
        <f t="shared" ca="1" si="30"/>
        <v>0</v>
      </c>
      <c r="AD15" s="581">
        <f t="shared" ca="1" si="30"/>
        <v>0</v>
      </c>
      <c r="AE15" s="581">
        <f ca="1">AE14+AE11</f>
        <v>0</v>
      </c>
      <c r="AF15" s="581">
        <f t="shared" ca="1" si="30"/>
        <v>0</v>
      </c>
      <c r="AG15" s="581">
        <f t="shared" ca="1" si="30"/>
        <v>0</v>
      </c>
      <c r="AH15" s="581">
        <f ca="1">AH14+AH11</f>
        <v>0</v>
      </c>
      <c r="AI15" s="581">
        <f t="shared" ca="1" si="30"/>
        <v>-1.4025987513562512</v>
      </c>
      <c r="AJ15" s="581">
        <f t="shared" ca="1" si="30"/>
        <v>0</v>
      </c>
      <c r="AK15" s="581">
        <f t="shared" ca="1" si="4"/>
        <v>-37.662819111749613</v>
      </c>
      <c r="AM15" s="582">
        <f t="shared" ref="AM15:BE15" ca="1" si="31">AM14+AM11</f>
        <v>0</v>
      </c>
      <c r="AN15" s="582">
        <f t="shared" ca="1" si="31"/>
        <v>0</v>
      </c>
      <c r="AO15" s="582">
        <f t="shared" ca="1" si="31"/>
        <v>0</v>
      </c>
      <c r="AP15" s="582">
        <f t="shared" ca="1" si="31"/>
        <v>0</v>
      </c>
      <c r="AQ15" s="582">
        <f t="shared" ca="1" si="31"/>
        <v>0</v>
      </c>
      <c r="AR15" s="582">
        <f t="shared" ca="1" si="31"/>
        <v>0</v>
      </c>
      <c r="AS15" s="582">
        <f t="shared" ca="1" si="31"/>
        <v>0</v>
      </c>
      <c r="AT15" s="582">
        <f t="shared" ca="1" si="31"/>
        <v>0</v>
      </c>
      <c r="AU15" s="582">
        <f t="shared" ca="1" si="31"/>
        <v>0</v>
      </c>
      <c r="AV15" s="582">
        <f t="shared" ca="1" si="31"/>
        <v>0</v>
      </c>
      <c r="AW15" s="582">
        <f t="shared" ca="1" si="31"/>
        <v>0</v>
      </c>
      <c r="AX15" s="582">
        <f t="shared" ca="1" si="31"/>
        <v>0</v>
      </c>
      <c r="AY15" s="582">
        <f t="shared" ca="1" si="31"/>
        <v>0</v>
      </c>
      <c r="AZ15" s="582">
        <f t="shared" ca="1" si="31"/>
        <v>0</v>
      </c>
      <c r="BA15" s="582">
        <f t="shared" ca="1" si="31"/>
        <v>0</v>
      </c>
      <c r="BB15" s="582">
        <f t="shared" ca="1" si="31"/>
        <v>0</v>
      </c>
      <c r="BC15" s="582">
        <f t="shared" ca="1" si="31"/>
        <v>-0.13025315807559751</v>
      </c>
      <c r="BD15" s="582">
        <f ca="1">BD14+BD11</f>
        <v>0</v>
      </c>
      <c r="BE15" s="582">
        <f t="shared" ca="1" si="31"/>
        <v>0</v>
      </c>
      <c r="BF15" s="582">
        <f t="shared" ca="1" si="7"/>
        <v>-0.13025315807559751</v>
      </c>
      <c r="BH15" s="3463">
        <f ca="1">BH14+BH11</f>
        <v>0</v>
      </c>
      <c r="BI15" s="3463">
        <f ca="1">BI14+BI11</f>
        <v>0</v>
      </c>
      <c r="BJ15" s="3463">
        <f t="shared" ca="1" si="9"/>
        <v>0</v>
      </c>
      <c r="BL15" s="3477">
        <f t="shared" ca="1" si="10"/>
        <v>6.3837823915946501E-15</v>
      </c>
      <c r="BM15" s="584"/>
      <c r="BN15" s="413"/>
      <c r="BO15" s="2790">
        <f t="shared" ref="BO15:DF15" ca="1" si="32">BO14+BO11</f>
        <v>7.9116193556196563</v>
      </c>
      <c r="BP15" s="2790">
        <f t="shared" ca="1" si="32"/>
        <v>3.9814729531084834E-3</v>
      </c>
      <c r="BQ15" s="2790">
        <f t="shared" ca="1" si="32"/>
        <v>9.3905690665774283E-2</v>
      </c>
      <c r="BR15" s="2790">
        <f t="shared" ca="1" si="32"/>
        <v>0</v>
      </c>
      <c r="BS15" s="2790">
        <f t="shared" ca="1" si="32"/>
        <v>0</v>
      </c>
      <c r="BT15" s="2790">
        <f t="shared" ca="1" si="32"/>
        <v>0</v>
      </c>
      <c r="BU15" s="2790">
        <f t="shared" ca="1" si="32"/>
        <v>0</v>
      </c>
      <c r="BV15" s="2790">
        <f t="shared" ca="1" si="32"/>
        <v>0</v>
      </c>
      <c r="BW15" s="2790">
        <f t="shared" ca="1" si="32"/>
        <v>0</v>
      </c>
      <c r="BX15" s="2790">
        <f t="shared" ca="1" si="32"/>
        <v>0</v>
      </c>
      <c r="BY15" s="2790">
        <f t="shared" ca="1" si="32"/>
        <v>0</v>
      </c>
      <c r="BZ15" s="2790">
        <f t="shared" ca="1" si="32"/>
        <v>0</v>
      </c>
      <c r="CA15" s="2790">
        <f t="shared" ca="1" si="32"/>
        <v>0</v>
      </c>
      <c r="CB15" s="2790">
        <f t="shared" ca="1" si="32"/>
        <v>0</v>
      </c>
      <c r="CC15" s="2790">
        <f t="shared" ca="1" si="32"/>
        <v>0</v>
      </c>
      <c r="CD15" s="2790">
        <f t="shared" ca="1" si="32"/>
        <v>0</v>
      </c>
      <c r="CE15" s="2790">
        <f t="shared" ca="1" si="32"/>
        <v>0</v>
      </c>
      <c r="CF15" s="2790">
        <f t="shared" ca="1" si="32"/>
        <v>0</v>
      </c>
      <c r="CG15" s="2790">
        <f t="shared" ca="1" si="32"/>
        <v>0</v>
      </c>
      <c r="CH15" s="2790">
        <f t="shared" ca="1" si="32"/>
        <v>0</v>
      </c>
      <c r="CI15" s="2790">
        <f t="shared" ca="1" si="32"/>
        <v>0</v>
      </c>
      <c r="CJ15" s="2790">
        <f t="shared" ca="1" si="32"/>
        <v>0</v>
      </c>
      <c r="CK15" s="2790">
        <f t="shared" ca="1" si="32"/>
        <v>0</v>
      </c>
      <c r="CL15" s="2790">
        <f t="shared" ca="1" si="32"/>
        <v>0</v>
      </c>
      <c r="CM15" s="2790">
        <f t="shared" ca="1" si="32"/>
        <v>0</v>
      </c>
      <c r="CN15" s="2790">
        <f t="shared" ca="1" si="32"/>
        <v>0</v>
      </c>
      <c r="CO15" s="2790">
        <f t="shared" ca="1" si="32"/>
        <v>0</v>
      </c>
      <c r="CP15" s="2790">
        <f t="shared" ca="1" si="32"/>
        <v>0</v>
      </c>
      <c r="CQ15" s="2790">
        <f t="shared" ca="1" si="32"/>
        <v>0</v>
      </c>
      <c r="CR15" s="2790">
        <f t="shared" ca="1" si="32"/>
        <v>0</v>
      </c>
      <c r="CS15" s="2790">
        <f t="shared" ca="1" si="32"/>
        <v>0</v>
      </c>
      <c r="CT15" s="2790">
        <f t="shared" ca="1" si="32"/>
        <v>0</v>
      </c>
      <c r="CU15" s="2790">
        <f t="shared" ca="1" si="32"/>
        <v>0</v>
      </c>
      <c r="CV15" s="2790">
        <f t="shared" ca="1" si="32"/>
        <v>0</v>
      </c>
      <c r="CW15" s="2790">
        <f t="shared" ca="1" si="32"/>
        <v>0</v>
      </c>
      <c r="CX15" s="2790">
        <f t="shared" ca="1" si="32"/>
        <v>0</v>
      </c>
      <c r="CY15" s="2790">
        <f t="shared" ca="1" si="32"/>
        <v>0</v>
      </c>
      <c r="CZ15" s="2790">
        <f t="shared" ca="1" si="32"/>
        <v>0</v>
      </c>
      <c r="DA15" s="2790">
        <f t="shared" ca="1" si="32"/>
        <v>0</v>
      </c>
      <c r="DB15" s="2790">
        <f t="shared" ca="1" si="32"/>
        <v>0</v>
      </c>
      <c r="DC15" s="2790">
        <f t="shared" ca="1" si="32"/>
        <v>0</v>
      </c>
      <c r="DD15" s="2790">
        <f t="shared" ca="1" si="32"/>
        <v>0</v>
      </c>
      <c r="DE15" s="2790">
        <f t="shared" ca="1" si="32"/>
        <v>0</v>
      </c>
      <c r="DF15" s="2790">
        <f t="shared" ca="1" si="32"/>
        <v>0</v>
      </c>
      <c r="DH15" s="596">
        <f t="shared" ref="DH15:DH38" ca="1" si="33">SUM(BO15:DF15)</f>
        <v>8.0095065192385384</v>
      </c>
    </row>
    <row r="16" spans="1:112" s="6" customFormat="1" outlineLevel="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10"/>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3"/>
        <v>0</v>
      </c>
    </row>
    <row r="17" spans="1:112" s="6" customFormat="1" ht="12.75" customHeight="1" outlineLevel="1">
      <c r="A17" s="607"/>
      <c r="B17" s="607"/>
      <c r="C17" s="587" t="s">
        <v>470</v>
      </c>
      <c r="D17" s="586" t="s">
        <v>471</v>
      </c>
      <c r="E17" s="599"/>
      <c r="G17" s="589">
        <f t="shared" ref="G17:P18" ca="1" si="34">IFERROR(INDEX(INDIRECT($C17&amp;".Outputs["&amp;this.Year&amp;"]"), MATCH(G$5, INDIRECT($C17&amp;".Outputs[Vector]"), 0)), 0)</f>
        <v>0</v>
      </c>
      <c r="H17" s="589">
        <f t="shared" ca="1" si="34"/>
        <v>6.0656727292204788</v>
      </c>
      <c r="I17" s="589">
        <f t="shared" ca="1" si="34"/>
        <v>0</v>
      </c>
      <c r="J17" s="589">
        <f t="shared" ca="1" si="34"/>
        <v>0</v>
      </c>
      <c r="K17" s="589">
        <f t="shared" ca="1" si="34"/>
        <v>0</v>
      </c>
      <c r="L17" s="589">
        <f t="shared" ca="1" si="34"/>
        <v>0</v>
      </c>
      <c r="M17" s="589">
        <f t="shared" ca="1" si="34"/>
        <v>0</v>
      </c>
      <c r="N17" s="589">
        <f t="shared" ca="1" si="34"/>
        <v>0</v>
      </c>
      <c r="O17" s="589">
        <f t="shared" ca="1" si="34"/>
        <v>0</v>
      </c>
      <c r="P17" s="589">
        <f t="shared" ca="1" si="34"/>
        <v>0</v>
      </c>
      <c r="Q17" s="590">
        <f ca="1">SUM(G17:P17)</f>
        <v>6.0656727292204788</v>
      </c>
      <c r="S17" s="591">
        <f t="shared" ref="S17:AJ18" ca="1" si="35">IFERROR(INDEX(INDIRECT($C17&amp;".Outputs["&amp;this.Year&amp;"]"), MATCH(S$5, INDIRECT($C17&amp;".Outputs[Vector]"), 0)), 0)</f>
        <v>-5.6170229262762756</v>
      </c>
      <c r="T17" s="591">
        <f t="shared" ca="1" si="35"/>
        <v>0</v>
      </c>
      <c r="U17" s="591">
        <f t="shared" ca="1" si="35"/>
        <v>0</v>
      </c>
      <c r="V17" s="591">
        <f t="shared" ca="1" si="35"/>
        <v>0</v>
      </c>
      <c r="W17" s="591">
        <f t="shared" ca="1" si="35"/>
        <v>-0.44864980294420276</v>
      </c>
      <c r="X17" s="591">
        <f t="shared" ref="X17:Z18" ca="1" si="36">IFERROR(INDEX(INDIRECT($C17&amp;".Outputs["&amp;this.Year&amp;"]"), MATCH(X$5, INDIRECT($C17&amp;".Outputs[Vector]"), 0)), 0)</f>
        <v>0</v>
      </c>
      <c r="Y17" s="591">
        <f t="shared" ca="1" si="36"/>
        <v>0</v>
      </c>
      <c r="Z17" s="591">
        <f t="shared" ca="1" si="36"/>
        <v>0</v>
      </c>
      <c r="AA17" s="591">
        <f t="shared" ca="1" si="35"/>
        <v>0</v>
      </c>
      <c r="AB17" s="591">
        <f t="shared" ca="1" si="35"/>
        <v>0</v>
      </c>
      <c r="AC17" s="591">
        <f t="shared" ca="1" si="35"/>
        <v>0</v>
      </c>
      <c r="AD17" s="591">
        <f t="shared" ca="1" si="35"/>
        <v>0</v>
      </c>
      <c r="AE17" s="591">
        <f t="shared" ca="1" si="35"/>
        <v>0</v>
      </c>
      <c r="AF17" s="591">
        <f t="shared" ca="1" si="35"/>
        <v>0</v>
      </c>
      <c r="AG17" s="591">
        <f t="shared" ca="1" si="35"/>
        <v>0</v>
      </c>
      <c r="AH17" s="591">
        <f t="shared" ca="1" si="35"/>
        <v>0</v>
      </c>
      <c r="AI17" s="591">
        <f t="shared" ca="1" si="35"/>
        <v>0</v>
      </c>
      <c r="AJ17" s="591">
        <f t="shared" ca="1" si="35"/>
        <v>0</v>
      </c>
      <c r="AK17" s="592">
        <f ca="1">SUM(S17:AJ17)</f>
        <v>-6.0656727292204788</v>
      </c>
      <c r="AM17" s="593">
        <f t="shared" ref="AM17:AU18" ca="1" si="37">IFERROR(INDEX(INDIRECT($C17&amp;".Outputs["&amp;this.Year&amp;"]"), MATCH(AM$5, INDIRECT($C17&amp;".Outputs[Vector]"), 0)), 0)</f>
        <v>0</v>
      </c>
      <c r="AN17" s="593">
        <f t="shared" ca="1" si="37"/>
        <v>0</v>
      </c>
      <c r="AO17" s="593">
        <f t="shared" ca="1" si="37"/>
        <v>0</v>
      </c>
      <c r="AP17" s="593">
        <f t="shared" ca="1" si="37"/>
        <v>0</v>
      </c>
      <c r="AQ17" s="593">
        <f t="shared" ca="1" si="37"/>
        <v>0</v>
      </c>
      <c r="AR17" s="593">
        <f t="shared" ca="1" si="37"/>
        <v>0</v>
      </c>
      <c r="AS17" s="593">
        <f t="shared" ca="1" si="37"/>
        <v>0</v>
      </c>
      <c r="AT17" s="593">
        <f t="shared" ca="1" si="37"/>
        <v>0</v>
      </c>
      <c r="AU17" s="593">
        <f t="shared" ca="1" si="37"/>
        <v>0</v>
      </c>
      <c r="AV17" s="593">
        <f t="shared" ref="AV17:BE18" ca="1" si="38">IFERROR(INDEX(INDIRECT($C17&amp;".Outputs["&amp;this.Year&amp;"]"), MATCH(AV$5, INDIRECT($C17&amp;".Outputs[Vector]"), 0)), 0)</f>
        <v>0</v>
      </c>
      <c r="AW17" s="593">
        <f t="shared" ca="1" si="38"/>
        <v>0</v>
      </c>
      <c r="AX17" s="593">
        <f t="shared" ca="1" si="38"/>
        <v>0</v>
      </c>
      <c r="AY17" s="593">
        <f t="shared" ca="1" si="38"/>
        <v>0</v>
      </c>
      <c r="AZ17" s="593">
        <f t="shared" ca="1" si="38"/>
        <v>0</v>
      </c>
      <c r="BA17" s="593">
        <f t="shared" ca="1" si="38"/>
        <v>0</v>
      </c>
      <c r="BB17" s="593">
        <f t="shared" ca="1" si="38"/>
        <v>0</v>
      </c>
      <c r="BC17" s="593">
        <f t="shared" ca="1" si="38"/>
        <v>0</v>
      </c>
      <c r="BD17" s="593">
        <f t="shared" ca="1" si="38"/>
        <v>0</v>
      </c>
      <c r="BE17" s="593">
        <f t="shared" ca="1" si="38"/>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10"/>
        <v>0</v>
      </c>
      <c r="BM17" s="610"/>
      <c r="BN17" s="413"/>
      <c r="BO17" s="2789">
        <f t="shared" ref="BO17:BX18" ca="1" si="39">IFERROR(SUMIFS(INDIRECT($C17&amp;".Emissions["&amp;this.Year&amp;"]"), INDIRECT($C17&amp;".Emissions[GHG]"), BO$6, INDIRECT($C17&amp;".Emissions[IPCC Sector]"), BO$5),0)</f>
        <v>9.1848126038500719E-2</v>
      </c>
      <c r="BP17" s="2790">
        <f t="shared" ca="1" si="39"/>
        <v>3.3917925102581732E-5</v>
      </c>
      <c r="BQ17" s="2790">
        <f t="shared" ca="1" si="39"/>
        <v>1.4520102222486178E-3</v>
      </c>
      <c r="BR17" s="2790">
        <f t="shared" ca="1" si="39"/>
        <v>0</v>
      </c>
      <c r="BS17" s="2790">
        <f t="shared" ca="1" si="39"/>
        <v>0</v>
      </c>
      <c r="BT17" s="2790">
        <f t="shared" ca="1" si="39"/>
        <v>0</v>
      </c>
      <c r="BU17" s="2790">
        <f t="shared" ca="1" si="39"/>
        <v>0</v>
      </c>
      <c r="BV17" s="2790">
        <f t="shared" ca="1" si="39"/>
        <v>0</v>
      </c>
      <c r="BW17" s="2790">
        <f t="shared" ca="1" si="39"/>
        <v>0</v>
      </c>
      <c r="BX17" s="2790">
        <f t="shared" ca="1" si="39"/>
        <v>0</v>
      </c>
      <c r="BY17" s="2790">
        <f t="shared" ref="BY17:CH18" ca="1" si="40">IFERROR(SUMIFS(INDIRECT($C17&amp;".Emissions["&amp;this.Year&amp;"]"), INDIRECT($C17&amp;".Emissions[GHG]"), BY$6, INDIRECT($C17&amp;".Emissions[IPCC Sector]"), BY$5),0)</f>
        <v>0</v>
      </c>
      <c r="BZ17" s="2790">
        <f t="shared" ca="1" si="40"/>
        <v>0</v>
      </c>
      <c r="CA17" s="2790">
        <f t="shared" ca="1" si="40"/>
        <v>0</v>
      </c>
      <c r="CB17" s="2790">
        <f t="shared" ca="1" si="40"/>
        <v>0</v>
      </c>
      <c r="CC17" s="2790">
        <f t="shared" ca="1" si="40"/>
        <v>0</v>
      </c>
      <c r="CD17" s="2790">
        <f t="shared" ca="1" si="40"/>
        <v>0</v>
      </c>
      <c r="CE17" s="2790">
        <f t="shared" ca="1" si="40"/>
        <v>0</v>
      </c>
      <c r="CF17" s="2790">
        <f t="shared" ca="1" si="40"/>
        <v>0</v>
      </c>
      <c r="CG17" s="2790">
        <f t="shared" ca="1" si="40"/>
        <v>0</v>
      </c>
      <c r="CH17" s="2790">
        <f t="shared" ca="1" si="40"/>
        <v>0</v>
      </c>
      <c r="CI17" s="2790">
        <f t="shared" ref="CI17:CR18" ca="1" si="41">IFERROR(SUMIFS(INDIRECT($C17&amp;".Emissions["&amp;this.Year&amp;"]"), INDIRECT($C17&amp;".Emissions[GHG]"), CI$6, INDIRECT($C17&amp;".Emissions[IPCC Sector]"), CI$5),0)</f>
        <v>0</v>
      </c>
      <c r="CJ17" s="2790">
        <f t="shared" ca="1" si="41"/>
        <v>0</v>
      </c>
      <c r="CK17" s="2790">
        <f t="shared" ca="1" si="41"/>
        <v>0</v>
      </c>
      <c r="CL17" s="2790">
        <f t="shared" ca="1" si="41"/>
        <v>0</v>
      </c>
      <c r="CM17" s="2790">
        <f t="shared" ca="1" si="41"/>
        <v>0</v>
      </c>
      <c r="CN17" s="2790">
        <f t="shared" ca="1" si="41"/>
        <v>0</v>
      </c>
      <c r="CO17" s="2790">
        <f t="shared" ca="1" si="41"/>
        <v>0</v>
      </c>
      <c r="CP17" s="2790">
        <f t="shared" ca="1" si="41"/>
        <v>0</v>
      </c>
      <c r="CQ17" s="2790">
        <f t="shared" ca="1" si="41"/>
        <v>0</v>
      </c>
      <c r="CR17" s="2790">
        <f t="shared" ca="1" si="41"/>
        <v>0</v>
      </c>
      <c r="CS17" s="2790">
        <f t="shared" ref="CS17:DF18" ca="1" si="42">IFERROR(SUMIFS(INDIRECT($C17&amp;".Emissions["&amp;this.Year&amp;"]"), INDIRECT($C17&amp;".Emissions[GHG]"), CS$6, INDIRECT($C17&amp;".Emissions[IPCC Sector]"), CS$5),0)</f>
        <v>0</v>
      </c>
      <c r="CT17" s="2790">
        <f t="shared" ca="1" si="42"/>
        <v>0</v>
      </c>
      <c r="CU17" s="2790">
        <f t="shared" ca="1" si="42"/>
        <v>0</v>
      </c>
      <c r="CV17" s="2790">
        <f t="shared" ca="1" si="42"/>
        <v>0</v>
      </c>
      <c r="CW17" s="2790">
        <f t="shared" ca="1" si="42"/>
        <v>0</v>
      </c>
      <c r="CX17" s="2790">
        <f t="shared" ca="1" si="42"/>
        <v>0</v>
      </c>
      <c r="CY17" s="2790">
        <f t="shared" ca="1" si="42"/>
        <v>0</v>
      </c>
      <c r="CZ17" s="2790">
        <f t="shared" ca="1" si="42"/>
        <v>0</v>
      </c>
      <c r="DA17" s="2790">
        <f t="shared" ca="1" si="42"/>
        <v>0</v>
      </c>
      <c r="DB17" s="2790">
        <f t="shared" ca="1" si="42"/>
        <v>0</v>
      </c>
      <c r="DC17" s="2790">
        <f t="shared" ca="1" si="42"/>
        <v>0</v>
      </c>
      <c r="DD17" s="2790">
        <f t="shared" ca="1" si="42"/>
        <v>0</v>
      </c>
      <c r="DE17" s="2790">
        <f t="shared" ca="1" si="42"/>
        <v>0</v>
      </c>
      <c r="DF17" s="2790">
        <f t="shared" ca="1" si="42"/>
        <v>0</v>
      </c>
      <c r="DH17" s="596">
        <f t="shared" ca="1" si="33"/>
        <v>9.3334054185851917E-2</v>
      </c>
    </row>
    <row r="18" spans="1:112" s="6" customFormat="1" ht="12.75" customHeight="1" outlineLevel="1">
      <c r="A18" s="607"/>
      <c r="B18" s="607"/>
      <c r="C18" s="587" t="s">
        <v>472</v>
      </c>
      <c r="D18" s="611" t="s">
        <v>473</v>
      </c>
      <c r="E18" s="611"/>
      <c r="G18" s="619">
        <f t="shared" ca="1" si="34"/>
        <v>0</v>
      </c>
      <c r="H18" s="619">
        <f t="shared" ca="1" si="34"/>
        <v>4.8387567567567498</v>
      </c>
      <c r="I18" s="619">
        <f t="shared" ca="1" si="34"/>
        <v>0</v>
      </c>
      <c r="J18" s="619">
        <f t="shared" ca="1" si="34"/>
        <v>0</v>
      </c>
      <c r="K18" s="619">
        <f t="shared" ca="1" si="34"/>
        <v>0</v>
      </c>
      <c r="L18" s="619">
        <f t="shared" ca="1" si="34"/>
        <v>0</v>
      </c>
      <c r="M18" s="619">
        <f t="shared" ca="1" si="34"/>
        <v>0</v>
      </c>
      <c r="N18" s="619">
        <f t="shared" ca="1" si="34"/>
        <v>0</v>
      </c>
      <c r="O18" s="619">
        <f t="shared" ca="1" si="34"/>
        <v>0</v>
      </c>
      <c r="P18" s="619">
        <f t="shared" ca="1" si="34"/>
        <v>0</v>
      </c>
      <c r="Q18" s="612">
        <f ca="1">SUM(G18:P18)</f>
        <v>4.8387567567567498</v>
      </c>
      <c r="S18" s="620">
        <f t="shared" ca="1" si="35"/>
        <v>-4.3489189189189137</v>
      </c>
      <c r="T18" s="620">
        <f t="shared" ca="1" si="35"/>
        <v>0</v>
      </c>
      <c r="U18" s="620">
        <f t="shared" ca="1" si="35"/>
        <v>0</v>
      </c>
      <c r="V18" s="620">
        <f t="shared" ca="1" si="35"/>
        <v>0</v>
      </c>
      <c r="W18" s="620">
        <f t="shared" ca="1" si="35"/>
        <v>-0.48983783783783602</v>
      </c>
      <c r="X18" s="620">
        <f t="shared" ca="1" si="36"/>
        <v>0</v>
      </c>
      <c r="Y18" s="620">
        <f t="shared" ca="1" si="36"/>
        <v>0</v>
      </c>
      <c r="Z18" s="620">
        <f t="shared" ca="1" si="36"/>
        <v>0</v>
      </c>
      <c r="AA18" s="620">
        <f t="shared" ca="1" si="35"/>
        <v>0</v>
      </c>
      <c r="AB18" s="620">
        <f t="shared" ca="1" si="35"/>
        <v>0</v>
      </c>
      <c r="AC18" s="620">
        <f t="shared" ca="1" si="35"/>
        <v>0</v>
      </c>
      <c r="AD18" s="620">
        <f t="shared" ca="1" si="35"/>
        <v>0</v>
      </c>
      <c r="AE18" s="620">
        <f t="shared" ca="1" si="35"/>
        <v>0</v>
      </c>
      <c r="AF18" s="620">
        <f t="shared" ca="1" si="35"/>
        <v>0</v>
      </c>
      <c r="AG18" s="620">
        <f t="shared" ca="1" si="35"/>
        <v>0</v>
      </c>
      <c r="AH18" s="620">
        <f t="shared" ca="1" si="35"/>
        <v>0</v>
      </c>
      <c r="AI18" s="620">
        <f t="shared" ca="1" si="35"/>
        <v>0</v>
      </c>
      <c r="AJ18" s="620">
        <f t="shared" ca="1" si="35"/>
        <v>0</v>
      </c>
      <c r="AK18" s="613">
        <f ca="1">SUM(S18:AJ18)</f>
        <v>-4.8387567567567498</v>
      </c>
      <c r="AM18" s="621">
        <f t="shared" ca="1" si="37"/>
        <v>0</v>
      </c>
      <c r="AN18" s="621">
        <f t="shared" ca="1" si="37"/>
        <v>0</v>
      </c>
      <c r="AO18" s="621">
        <f t="shared" ca="1" si="37"/>
        <v>0</v>
      </c>
      <c r="AP18" s="621">
        <f t="shared" ca="1" si="37"/>
        <v>0</v>
      </c>
      <c r="AQ18" s="621">
        <f t="shared" ca="1" si="37"/>
        <v>0</v>
      </c>
      <c r="AR18" s="621">
        <f t="shared" ca="1" si="37"/>
        <v>0</v>
      </c>
      <c r="AS18" s="621">
        <f t="shared" ca="1" si="37"/>
        <v>0</v>
      </c>
      <c r="AT18" s="621">
        <f t="shared" ca="1" si="37"/>
        <v>0</v>
      </c>
      <c r="AU18" s="621">
        <f t="shared" ca="1" si="37"/>
        <v>0</v>
      </c>
      <c r="AV18" s="621">
        <f t="shared" ca="1" si="38"/>
        <v>0</v>
      </c>
      <c r="AW18" s="621">
        <f t="shared" ca="1" si="38"/>
        <v>0</v>
      </c>
      <c r="AX18" s="621">
        <f t="shared" ca="1" si="38"/>
        <v>0</v>
      </c>
      <c r="AY18" s="621">
        <f t="shared" ca="1" si="38"/>
        <v>0</v>
      </c>
      <c r="AZ18" s="621">
        <f t="shared" ca="1" si="38"/>
        <v>0</v>
      </c>
      <c r="BA18" s="621">
        <f t="shared" ca="1" si="38"/>
        <v>0</v>
      </c>
      <c r="BB18" s="621">
        <f t="shared" ca="1" si="38"/>
        <v>0</v>
      </c>
      <c r="BC18" s="621">
        <f t="shared" ca="1" si="38"/>
        <v>0</v>
      </c>
      <c r="BD18" s="621">
        <f t="shared" ca="1" si="38"/>
        <v>0</v>
      </c>
      <c r="BE18" s="621">
        <f t="shared" ca="1" si="38"/>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10"/>
        <v>0</v>
      </c>
      <c r="BM18" s="610"/>
      <c r="BN18" s="413"/>
      <c r="BO18" s="2791">
        <f t="shared" ca="1" si="39"/>
        <v>0.10028018996756718</v>
      </c>
      <c r="BP18" s="2792">
        <f t="shared" ca="1" si="39"/>
        <v>3.7031740540540407E-5</v>
      </c>
      <c r="BQ18" s="2792">
        <f t="shared" ca="1" si="39"/>
        <v>1.5853111783783725E-3</v>
      </c>
      <c r="BR18" s="2792">
        <f t="shared" ca="1" si="39"/>
        <v>0</v>
      </c>
      <c r="BS18" s="2792">
        <f t="shared" ca="1" si="39"/>
        <v>0</v>
      </c>
      <c r="BT18" s="2792">
        <f t="shared" ca="1" si="39"/>
        <v>0</v>
      </c>
      <c r="BU18" s="2792">
        <f t="shared" ca="1" si="39"/>
        <v>0</v>
      </c>
      <c r="BV18" s="2792">
        <f t="shared" ca="1" si="39"/>
        <v>0</v>
      </c>
      <c r="BW18" s="2792">
        <f t="shared" ca="1" si="39"/>
        <v>0</v>
      </c>
      <c r="BX18" s="2792">
        <f t="shared" ca="1" si="39"/>
        <v>0</v>
      </c>
      <c r="BY18" s="2792">
        <f t="shared" ca="1" si="40"/>
        <v>0</v>
      </c>
      <c r="BZ18" s="2792">
        <f t="shared" ca="1" si="40"/>
        <v>0</v>
      </c>
      <c r="CA18" s="2792">
        <f t="shared" ca="1" si="40"/>
        <v>0</v>
      </c>
      <c r="CB18" s="2792">
        <f t="shared" ca="1" si="40"/>
        <v>0</v>
      </c>
      <c r="CC18" s="2792">
        <f t="shared" ca="1" si="40"/>
        <v>0</v>
      </c>
      <c r="CD18" s="2792">
        <f t="shared" ca="1" si="40"/>
        <v>0</v>
      </c>
      <c r="CE18" s="2792">
        <f t="shared" ca="1" si="40"/>
        <v>0</v>
      </c>
      <c r="CF18" s="2792">
        <f t="shared" ca="1" si="40"/>
        <v>0</v>
      </c>
      <c r="CG18" s="2792">
        <f t="shared" ca="1" si="40"/>
        <v>0</v>
      </c>
      <c r="CH18" s="2792">
        <f t="shared" ca="1" si="40"/>
        <v>0</v>
      </c>
      <c r="CI18" s="2792">
        <f t="shared" ca="1" si="41"/>
        <v>0</v>
      </c>
      <c r="CJ18" s="2792">
        <f t="shared" ca="1" si="41"/>
        <v>0</v>
      </c>
      <c r="CK18" s="2792">
        <f t="shared" ca="1" si="41"/>
        <v>0</v>
      </c>
      <c r="CL18" s="2792">
        <f t="shared" ca="1" si="41"/>
        <v>0</v>
      </c>
      <c r="CM18" s="2792">
        <f t="shared" ca="1" si="41"/>
        <v>0</v>
      </c>
      <c r="CN18" s="2792">
        <f t="shared" ca="1" si="41"/>
        <v>0</v>
      </c>
      <c r="CO18" s="2792">
        <f t="shared" ca="1" si="41"/>
        <v>0</v>
      </c>
      <c r="CP18" s="2792">
        <f t="shared" ca="1" si="41"/>
        <v>0</v>
      </c>
      <c r="CQ18" s="2792">
        <f t="shared" ca="1" si="41"/>
        <v>0</v>
      </c>
      <c r="CR18" s="2792">
        <f t="shared" ca="1" si="41"/>
        <v>0</v>
      </c>
      <c r="CS18" s="2792">
        <f t="shared" ca="1" si="42"/>
        <v>0</v>
      </c>
      <c r="CT18" s="2792">
        <f t="shared" ca="1" si="42"/>
        <v>0</v>
      </c>
      <c r="CU18" s="2792">
        <f t="shared" ca="1" si="42"/>
        <v>0</v>
      </c>
      <c r="CV18" s="2792">
        <f t="shared" ca="1" si="42"/>
        <v>0</v>
      </c>
      <c r="CW18" s="2792">
        <f t="shared" ca="1" si="42"/>
        <v>0</v>
      </c>
      <c r="CX18" s="2792">
        <f t="shared" ca="1" si="42"/>
        <v>0</v>
      </c>
      <c r="CY18" s="2792">
        <f t="shared" ca="1" si="42"/>
        <v>0</v>
      </c>
      <c r="CZ18" s="2792">
        <f t="shared" ca="1" si="42"/>
        <v>0</v>
      </c>
      <c r="DA18" s="2792">
        <f t="shared" ca="1" si="42"/>
        <v>0</v>
      </c>
      <c r="DB18" s="2792">
        <f t="shared" ca="1" si="42"/>
        <v>0</v>
      </c>
      <c r="DC18" s="2792">
        <f t="shared" ca="1" si="42"/>
        <v>0</v>
      </c>
      <c r="DD18" s="2792">
        <f t="shared" ca="1" si="42"/>
        <v>0</v>
      </c>
      <c r="DE18" s="2792">
        <f t="shared" ca="1" si="42"/>
        <v>0</v>
      </c>
      <c r="DF18" s="2792">
        <f t="shared" ca="1" si="42"/>
        <v>0</v>
      </c>
      <c r="DH18" s="596">
        <f t="shared" ca="1" si="33"/>
        <v>0.1019025328864861</v>
      </c>
    </row>
    <row r="19" spans="1:112" s="6" customFormat="1" ht="15.75">
      <c r="A19" s="4"/>
      <c r="B19" s="3"/>
      <c r="C19" s="616" t="s">
        <v>474</v>
      </c>
      <c r="D19" s="617" t="s">
        <v>83</v>
      </c>
      <c r="E19" s="206"/>
      <c r="G19" s="618">
        <f ca="1">G17+G18</f>
        <v>0</v>
      </c>
      <c r="H19" s="618">
        <f t="shared" ref="H19:P19" ca="1" si="43">H17+H18</f>
        <v>10.904429485977229</v>
      </c>
      <c r="I19" s="618">
        <f t="shared" ca="1" si="43"/>
        <v>0</v>
      </c>
      <c r="J19" s="618">
        <f t="shared" ca="1" si="43"/>
        <v>0</v>
      </c>
      <c r="K19" s="618">
        <f t="shared" ca="1" si="43"/>
        <v>0</v>
      </c>
      <c r="L19" s="618">
        <f t="shared" ca="1" si="43"/>
        <v>0</v>
      </c>
      <c r="M19" s="618">
        <f t="shared" ca="1" si="43"/>
        <v>0</v>
      </c>
      <c r="N19" s="618">
        <f ca="1">N17+N18</f>
        <v>0</v>
      </c>
      <c r="O19" s="618">
        <f ca="1">O17+O18</f>
        <v>0</v>
      </c>
      <c r="P19" s="618">
        <f t="shared" ca="1" si="43"/>
        <v>0</v>
      </c>
      <c r="Q19" s="618">
        <f ca="1">SUM(G19:P19)</f>
        <v>10.904429485977229</v>
      </c>
      <c r="S19" s="581">
        <f ca="1">S17+S18</f>
        <v>-9.9659418451951893</v>
      </c>
      <c r="T19" s="581">
        <f t="shared" ref="T19:AJ19" ca="1" si="44">T17+T18</f>
        <v>0</v>
      </c>
      <c r="U19" s="581">
        <f t="shared" ca="1" si="44"/>
        <v>0</v>
      </c>
      <c r="V19" s="581">
        <f t="shared" ca="1" si="44"/>
        <v>0</v>
      </c>
      <c r="W19" s="581">
        <f t="shared" ca="1" si="44"/>
        <v>-0.93848764078203883</v>
      </c>
      <c r="X19" s="581">
        <f ca="1">X17+X18</f>
        <v>0</v>
      </c>
      <c r="Y19" s="581">
        <f ca="1">Y17+Y18</f>
        <v>0</v>
      </c>
      <c r="Z19" s="581">
        <f ca="1">Z17+Z18</f>
        <v>0</v>
      </c>
      <c r="AA19" s="581">
        <f t="shared" ca="1" si="44"/>
        <v>0</v>
      </c>
      <c r="AB19" s="581">
        <f t="shared" ca="1" si="44"/>
        <v>0</v>
      </c>
      <c r="AC19" s="581">
        <f t="shared" ca="1" si="44"/>
        <v>0</v>
      </c>
      <c r="AD19" s="581">
        <f ca="1">AD17+AD18</f>
        <v>0</v>
      </c>
      <c r="AE19" s="581">
        <f ca="1">AE17+AE18</f>
        <v>0</v>
      </c>
      <c r="AF19" s="581">
        <f t="shared" ca="1" si="44"/>
        <v>0</v>
      </c>
      <c r="AG19" s="581">
        <f ca="1">AG17+AG18</f>
        <v>0</v>
      </c>
      <c r="AH19" s="581">
        <f ca="1">AH17+AH18</f>
        <v>0</v>
      </c>
      <c r="AI19" s="581">
        <f ca="1">AI17+AI18</f>
        <v>0</v>
      </c>
      <c r="AJ19" s="581">
        <f t="shared" ca="1" si="44"/>
        <v>0</v>
      </c>
      <c r="AK19" s="581">
        <f ca="1">SUM(S19:AJ19)</f>
        <v>-10.904429485977229</v>
      </c>
      <c r="AM19" s="582">
        <f t="shared" ref="AM19:BE19" ca="1" si="45">AM17+AM18</f>
        <v>0</v>
      </c>
      <c r="AN19" s="582">
        <f t="shared" ca="1" si="45"/>
        <v>0</v>
      </c>
      <c r="AO19" s="582">
        <f t="shared" ca="1" si="45"/>
        <v>0</v>
      </c>
      <c r="AP19" s="582">
        <f t="shared" ca="1" si="45"/>
        <v>0</v>
      </c>
      <c r="AQ19" s="582">
        <f t="shared" ca="1" si="45"/>
        <v>0</v>
      </c>
      <c r="AR19" s="582">
        <f t="shared" ca="1" si="45"/>
        <v>0</v>
      </c>
      <c r="AS19" s="582">
        <f t="shared" ca="1" si="45"/>
        <v>0</v>
      </c>
      <c r="AT19" s="582">
        <f t="shared" ca="1" si="45"/>
        <v>0</v>
      </c>
      <c r="AU19" s="582">
        <f t="shared" ca="1" si="45"/>
        <v>0</v>
      </c>
      <c r="AV19" s="582">
        <f t="shared" ca="1" si="45"/>
        <v>0</v>
      </c>
      <c r="AW19" s="582">
        <f t="shared" ca="1" si="45"/>
        <v>0</v>
      </c>
      <c r="AX19" s="582">
        <f t="shared" ca="1" si="45"/>
        <v>0</v>
      </c>
      <c r="AY19" s="582">
        <f t="shared" ca="1" si="45"/>
        <v>0</v>
      </c>
      <c r="AZ19" s="582">
        <f t="shared" ca="1" si="45"/>
        <v>0</v>
      </c>
      <c r="BA19" s="582">
        <f t="shared" ca="1" si="45"/>
        <v>0</v>
      </c>
      <c r="BB19" s="582">
        <f t="shared" ca="1" si="45"/>
        <v>0</v>
      </c>
      <c r="BC19" s="582">
        <f t="shared" ca="1" si="45"/>
        <v>0</v>
      </c>
      <c r="BD19" s="582">
        <f ca="1">BD17+BD18</f>
        <v>0</v>
      </c>
      <c r="BE19" s="582">
        <f t="shared" ca="1" si="45"/>
        <v>0</v>
      </c>
      <c r="BF19" s="582">
        <f ca="1">SUM(AM19:BE19)</f>
        <v>0</v>
      </c>
      <c r="BH19" s="3463">
        <f ca="1">BH17+BH18</f>
        <v>0</v>
      </c>
      <c r="BI19" s="3463">
        <f ca="1">BI17+BI18</f>
        <v>0</v>
      </c>
      <c r="BJ19" s="3463">
        <f ca="1">SUM(BH19:BI19)</f>
        <v>0</v>
      </c>
      <c r="BL19" s="3477">
        <f t="shared" ca="1" si="10"/>
        <v>0</v>
      </c>
      <c r="BM19" s="584"/>
      <c r="BN19" s="413"/>
      <c r="BO19" s="2790">
        <f t="shared" ref="BO19:DF19" ca="1" si="46">BO17+BO18</f>
        <v>0.19212831600606789</v>
      </c>
      <c r="BP19" s="2790">
        <f t="shared" ca="1" si="46"/>
        <v>7.0949665643122139E-5</v>
      </c>
      <c r="BQ19" s="2790">
        <f t="shared" ca="1" si="46"/>
        <v>3.0373214006269903E-3</v>
      </c>
      <c r="BR19" s="2790">
        <f t="shared" ca="1" si="46"/>
        <v>0</v>
      </c>
      <c r="BS19" s="2790">
        <f t="shared" ca="1" si="46"/>
        <v>0</v>
      </c>
      <c r="BT19" s="2790">
        <f t="shared" ca="1" si="46"/>
        <v>0</v>
      </c>
      <c r="BU19" s="2790">
        <f t="shared" ca="1" si="46"/>
        <v>0</v>
      </c>
      <c r="BV19" s="2790">
        <f t="shared" ca="1" si="46"/>
        <v>0</v>
      </c>
      <c r="BW19" s="2790">
        <f t="shared" ca="1" si="46"/>
        <v>0</v>
      </c>
      <c r="BX19" s="2790">
        <f t="shared" ca="1" si="46"/>
        <v>0</v>
      </c>
      <c r="BY19" s="2790">
        <f t="shared" ca="1" si="46"/>
        <v>0</v>
      </c>
      <c r="BZ19" s="2790">
        <f t="shared" ca="1" si="46"/>
        <v>0</v>
      </c>
      <c r="CA19" s="2790">
        <f t="shared" ca="1" si="46"/>
        <v>0</v>
      </c>
      <c r="CB19" s="2790">
        <f t="shared" ca="1" si="46"/>
        <v>0</v>
      </c>
      <c r="CC19" s="2790">
        <f t="shared" ca="1" si="46"/>
        <v>0</v>
      </c>
      <c r="CD19" s="2790">
        <f t="shared" ca="1" si="46"/>
        <v>0</v>
      </c>
      <c r="CE19" s="2790">
        <f t="shared" ca="1" si="46"/>
        <v>0</v>
      </c>
      <c r="CF19" s="2790">
        <f t="shared" ca="1" si="46"/>
        <v>0</v>
      </c>
      <c r="CG19" s="2790">
        <f t="shared" ca="1" si="46"/>
        <v>0</v>
      </c>
      <c r="CH19" s="2790">
        <f t="shared" ca="1" si="46"/>
        <v>0</v>
      </c>
      <c r="CI19" s="2790">
        <f t="shared" ca="1" si="46"/>
        <v>0</v>
      </c>
      <c r="CJ19" s="2790">
        <f t="shared" ca="1" si="46"/>
        <v>0</v>
      </c>
      <c r="CK19" s="2790">
        <f t="shared" ca="1" si="46"/>
        <v>0</v>
      </c>
      <c r="CL19" s="2790">
        <f t="shared" ca="1" si="46"/>
        <v>0</v>
      </c>
      <c r="CM19" s="2790">
        <f t="shared" ca="1" si="46"/>
        <v>0</v>
      </c>
      <c r="CN19" s="2790">
        <f t="shared" ca="1" si="46"/>
        <v>0</v>
      </c>
      <c r="CO19" s="2790">
        <f t="shared" ca="1" si="46"/>
        <v>0</v>
      </c>
      <c r="CP19" s="2790">
        <f t="shared" ca="1" si="46"/>
        <v>0</v>
      </c>
      <c r="CQ19" s="2790">
        <f t="shared" ca="1" si="46"/>
        <v>0</v>
      </c>
      <c r="CR19" s="2790">
        <f t="shared" ca="1" si="46"/>
        <v>0</v>
      </c>
      <c r="CS19" s="2790">
        <f t="shared" ca="1" si="46"/>
        <v>0</v>
      </c>
      <c r="CT19" s="2790">
        <f t="shared" ca="1" si="46"/>
        <v>0</v>
      </c>
      <c r="CU19" s="2790">
        <f t="shared" ca="1" si="46"/>
        <v>0</v>
      </c>
      <c r="CV19" s="2790">
        <f t="shared" ca="1" si="46"/>
        <v>0</v>
      </c>
      <c r="CW19" s="2790">
        <f t="shared" ca="1" si="46"/>
        <v>0</v>
      </c>
      <c r="CX19" s="2790">
        <f t="shared" ca="1" si="46"/>
        <v>0</v>
      </c>
      <c r="CY19" s="2790">
        <f t="shared" ca="1" si="46"/>
        <v>0</v>
      </c>
      <c r="CZ19" s="2790">
        <f t="shared" ca="1" si="46"/>
        <v>0</v>
      </c>
      <c r="DA19" s="2790">
        <f t="shared" ca="1" si="46"/>
        <v>0</v>
      </c>
      <c r="DB19" s="2790">
        <f t="shared" ca="1" si="46"/>
        <v>0</v>
      </c>
      <c r="DC19" s="2790">
        <f t="shared" ca="1" si="46"/>
        <v>0</v>
      </c>
      <c r="DD19" s="2790">
        <f t="shared" ca="1" si="46"/>
        <v>0</v>
      </c>
      <c r="DE19" s="2790">
        <f t="shared" ca="1" si="46"/>
        <v>0</v>
      </c>
      <c r="DF19" s="2790">
        <f t="shared" ca="1" si="46"/>
        <v>0</v>
      </c>
      <c r="DH19" s="596">
        <f t="shared" ca="1" si="33"/>
        <v>0.19523658707233799</v>
      </c>
    </row>
    <row r="20" spans="1:112" s="6" customFormat="1" ht="12.75" customHeight="1" outlineLevel="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10"/>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3"/>
        <v>0</v>
      </c>
    </row>
    <row r="21" spans="1:112" s="6" customFormat="1" ht="12.75" customHeight="1" outlineLevel="1">
      <c r="A21" s="607"/>
      <c r="B21" s="607"/>
      <c r="C21" s="587" t="s">
        <v>475</v>
      </c>
      <c r="D21" s="611" t="s">
        <v>476</v>
      </c>
      <c r="E21" s="611"/>
      <c r="G21" s="619">
        <f t="shared" ref="G21:P21" ca="1" si="47">IFERROR(INDEX(INDIRECT($C21&amp;".Outputs["&amp;this.Year&amp;"]"), MATCH(G$5, INDIRECT($C21&amp;".Outputs[Vector]"), 0)), 0)</f>
        <v>0</v>
      </c>
      <c r="H21" s="619">
        <f t="shared" ca="1" si="47"/>
        <v>0</v>
      </c>
      <c r="I21" s="619">
        <f t="shared" ca="1" si="47"/>
        <v>28.444788847516165</v>
      </c>
      <c r="J21" s="619">
        <f t="shared" ca="1" si="47"/>
        <v>0</v>
      </c>
      <c r="K21" s="619">
        <f t="shared" ca="1" si="47"/>
        <v>0</v>
      </c>
      <c r="L21" s="619">
        <f t="shared" ca="1" si="47"/>
        <v>0</v>
      </c>
      <c r="M21" s="619">
        <f t="shared" ca="1" si="47"/>
        <v>0</v>
      </c>
      <c r="N21" s="619">
        <f t="shared" ca="1" si="47"/>
        <v>0</v>
      </c>
      <c r="O21" s="619">
        <f t="shared" ca="1" si="47"/>
        <v>0</v>
      </c>
      <c r="P21" s="619">
        <f t="shared" ca="1" si="47"/>
        <v>0</v>
      </c>
      <c r="Q21" s="612">
        <f ca="1">SUM(G21:P21)</f>
        <v>28.444788847516165</v>
      </c>
      <c r="S21" s="620">
        <f t="shared" ref="S21:AJ21" ca="1" si="48">IFERROR(INDEX(INDIRECT($C21&amp;".Outputs["&amp;this.Year&amp;"]"), MATCH(S$5, INDIRECT($C21&amp;".Outputs[Vector]"), 0)), 0)</f>
        <v>-10.167452419908624</v>
      </c>
      <c r="T21" s="620">
        <f t="shared" ca="1" si="48"/>
        <v>0</v>
      </c>
      <c r="U21" s="620">
        <f t="shared" ca="1" si="48"/>
        <v>-3.4037434904107453</v>
      </c>
      <c r="V21" s="620">
        <f t="shared" ca="1" si="48"/>
        <v>-6.9497656476232264</v>
      </c>
      <c r="W21" s="620">
        <f t="shared" ca="1" si="48"/>
        <v>-7.9238272895735689</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8"/>
        <v>0</v>
      </c>
      <c r="AB21" s="620">
        <f t="shared" ca="1" si="48"/>
        <v>0</v>
      </c>
      <c r="AC21" s="620">
        <f t="shared" ca="1" si="48"/>
        <v>0</v>
      </c>
      <c r="AD21" s="620">
        <f t="shared" ca="1" si="48"/>
        <v>0</v>
      </c>
      <c r="AE21" s="620">
        <f t="shared" ca="1" si="48"/>
        <v>0</v>
      </c>
      <c r="AF21" s="620">
        <f t="shared" ca="1" si="48"/>
        <v>0</v>
      </c>
      <c r="AG21" s="620">
        <f t="shared" ca="1" si="48"/>
        <v>0</v>
      </c>
      <c r="AH21" s="620">
        <f t="shared" ca="1" si="48"/>
        <v>0</v>
      </c>
      <c r="AI21" s="620">
        <f t="shared" ca="1" si="48"/>
        <v>0</v>
      </c>
      <c r="AJ21" s="620">
        <f t="shared" ca="1" si="48"/>
        <v>0</v>
      </c>
      <c r="AK21" s="613">
        <f ca="1">SUM(S21:AJ21)</f>
        <v>-28.444788847516165</v>
      </c>
      <c r="AM21" s="621">
        <f t="shared" ref="AM21:AU21" ca="1" si="49">IFERROR(INDEX(INDIRECT($C21&amp;".Outputs["&amp;this.Year&amp;"]"), MATCH(AM$5, INDIRECT($C21&amp;".Outputs[Vector]"), 0)), 0)</f>
        <v>0</v>
      </c>
      <c r="AN21" s="621">
        <f t="shared" ca="1" si="49"/>
        <v>0</v>
      </c>
      <c r="AO21" s="621">
        <f t="shared" ca="1" si="49"/>
        <v>0</v>
      </c>
      <c r="AP21" s="621">
        <f t="shared" ca="1" si="49"/>
        <v>0</v>
      </c>
      <c r="AQ21" s="621">
        <f t="shared" ca="1" si="49"/>
        <v>0</v>
      </c>
      <c r="AR21" s="621">
        <f t="shared" ca="1" si="49"/>
        <v>0</v>
      </c>
      <c r="AS21" s="621">
        <f t="shared" ca="1" si="49"/>
        <v>0</v>
      </c>
      <c r="AT21" s="621">
        <f t="shared" ca="1" si="49"/>
        <v>0</v>
      </c>
      <c r="AU21" s="621">
        <f t="shared" ca="1" si="49"/>
        <v>0</v>
      </c>
      <c r="AV21" s="621">
        <f t="shared" ref="AV21:BE21" ca="1" si="50">IFERROR(INDEX(INDIRECT($C21&amp;".Outputs["&amp;this.Year&amp;"]"), MATCH(AV$5, INDIRECT($C21&amp;".Outputs[Vector]"), 0)), 0)</f>
        <v>0</v>
      </c>
      <c r="AW21" s="621">
        <f t="shared" ca="1" si="50"/>
        <v>0</v>
      </c>
      <c r="AX21" s="621">
        <f t="shared" ca="1" si="50"/>
        <v>0</v>
      </c>
      <c r="AY21" s="621">
        <f t="shared" ca="1" si="50"/>
        <v>0</v>
      </c>
      <c r="AZ21" s="621">
        <f t="shared" ca="1" si="50"/>
        <v>0</v>
      </c>
      <c r="BA21" s="621">
        <f t="shared" ca="1" si="50"/>
        <v>0</v>
      </c>
      <c r="BB21" s="621">
        <f t="shared" ca="1" si="50"/>
        <v>0</v>
      </c>
      <c r="BC21" s="621">
        <f t="shared" ca="1" si="50"/>
        <v>0</v>
      </c>
      <c r="BD21" s="621">
        <f t="shared" ca="1" si="50"/>
        <v>0</v>
      </c>
      <c r="BE21" s="621">
        <f t="shared" ca="1" si="50"/>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10"/>
        <v>0</v>
      </c>
      <c r="BM21" s="610"/>
      <c r="BN21" s="413"/>
      <c r="BO21" s="2791">
        <f t="shared" ref="BO21:DF21" ca="1" si="51">IFERROR(SUMIFS(INDIRECT($C21&amp;".Emissions["&amp;this.Year&amp;"]"), INDIRECT($C21&amp;".Emissions[GHG]"), BO$6, INDIRECT($C21&amp;".Emissions[IPCC Sector]"), BO$5),0)</f>
        <v>4.6052596366259184</v>
      </c>
      <c r="BP21" s="2792">
        <f t="shared" ca="1" si="51"/>
        <v>2.3553742974852464E-3</v>
      </c>
      <c r="BQ21" s="2792">
        <f t="shared" ca="1" si="51"/>
        <v>3.2197526585273605E-2</v>
      </c>
      <c r="BR21" s="2792">
        <f t="shared" ca="1" si="51"/>
        <v>0</v>
      </c>
      <c r="BS21" s="2792">
        <f t="shared" ca="1" si="51"/>
        <v>0</v>
      </c>
      <c r="BT21" s="2792">
        <f t="shared" ca="1" si="51"/>
        <v>0</v>
      </c>
      <c r="BU21" s="2792">
        <f t="shared" ca="1" si="51"/>
        <v>0</v>
      </c>
      <c r="BV21" s="2792">
        <f t="shared" ca="1" si="51"/>
        <v>0</v>
      </c>
      <c r="BW21" s="2792">
        <f t="shared" ca="1" si="51"/>
        <v>0.90384355825774465</v>
      </c>
      <c r="BX21" s="2792">
        <f t="shared" ca="1" si="51"/>
        <v>0</v>
      </c>
      <c r="BY21" s="2792">
        <f t="shared" ca="1" si="51"/>
        <v>0</v>
      </c>
      <c r="BZ21" s="2792">
        <f t="shared" ca="1" si="51"/>
        <v>0.77483854685732834</v>
      </c>
      <c r="CA21" s="2792">
        <f t="shared" ca="1" si="51"/>
        <v>0</v>
      </c>
      <c r="CB21" s="2792">
        <f t="shared" ca="1" si="51"/>
        <v>0</v>
      </c>
      <c r="CC21" s="2792">
        <f t="shared" ca="1" si="51"/>
        <v>0</v>
      </c>
      <c r="CD21" s="2792">
        <f t="shared" ca="1" si="51"/>
        <v>0</v>
      </c>
      <c r="CE21" s="2792">
        <f t="shared" ca="1" si="51"/>
        <v>0</v>
      </c>
      <c r="CF21" s="2792">
        <f t="shared" ca="1" si="51"/>
        <v>0</v>
      </c>
      <c r="CG21" s="2792">
        <f t="shared" ca="1" si="51"/>
        <v>0</v>
      </c>
      <c r="CH21" s="2792">
        <f t="shared" ca="1" si="51"/>
        <v>0</v>
      </c>
      <c r="CI21" s="2792">
        <f t="shared" ca="1" si="51"/>
        <v>0</v>
      </c>
      <c r="CJ21" s="2792">
        <f t="shared" ca="1" si="51"/>
        <v>0</v>
      </c>
      <c r="CK21" s="2792">
        <f t="shared" ca="1" si="51"/>
        <v>0</v>
      </c>
      <c r="CL21" s="2792">
        <f t="shared" ca="1" si="51"/>
        <v>0</v>
      </c>
      <c r="CM21" s="2792">
        <f t="shared" ca="1" si="51"/>
        <v>0</v>
      </c>
      <c r="CN21" s="2792">
        <f t="shared" ca="1" si="51"/>
        <v>0</v>
      </c>
      <c r="CO21" s="2792">
        <f t="shared" ca="1" si="51"/>
        <v>0</v>
      </c>
      <c r="CP21" s="2792">
        <f t="shared" ca="1" si="51"/>
        <v>0</v>
      </c>
      <c r="CQ21" s="2792">
        <f t="shared" ca="1" si="51"/>
        <v>0</v>
      </c>
      <c r="CR21" s="2792">
        <f t="shared" ca="1" si="51"/>
        <v>0</v>
      </c>
      <c r="CS21" s="2792">
        <f t="shared" ca="1" si="51"/>
        <v>0</v>
      </c>
      <c r="CT21" s="2792">
        <f t="shared" ca="1" si="51"/>
        <v>0</v>
      </c>
      <c r="CU21" s="2792">
        <f t="shared" ca="1" si="51"/>
        <v>0</v>
      </c>
      <c r="CV21" s="2792">
        <f t="shared" ca="1" si="51"/>
        <v>0</v>
      </c>
      <c r="CW21" s="2792">
        <f t="shared" ca="1" si="51"/>
        <v>0</v>
      </c>
      <c r="CX21" s="2792">
        <f t="shared" ca="1" si="51"/>
        <v>0</v>
      </c>
      <c r="CY21" s="2792">
        <f t="shared" ca="1" si="51"/>
        <v>0</v>
      </c>
      <c r="CZ21" s="2792">
        <f t="shared" ca="1" si="51"/>
        <v>0</v>
      </c>
      <c r="DA21" s="2792">
        <f t="shared" ca="1" si="51"/>
        <v>0</v>
      </c>
      <c r="DB21" s="2792">
        <f t="shared" ca="1" si="51"/>
        <v>0</v>
      </c>
      <c r="DC21" s="2792">
        <f t="shared" ca="1" si="51"/>
        <v>0</v>
      </c>
      <c r="DD21" s="2792">
        <f t="shared" ca="1" si="51"/>
        <v>0</v>
      </c>
      <c r="DE21" s="2792">
        <f t="shared" ca="1" si="51"/>
        <v>0</v>
      </c>
      <c r="DF21" s="2792">
        <f t="shared" ca="1" si="51"/>
        <v>0</v>
      </c>
      <c r="DH21" s="596">
        <f t="shared" ca="1" si="33"/>
        <v>6.3184946426237492</v>
      </c>
    </row>
    <row r="22" spans="1:112" s="6" customFormat="1" ht="15.75">
      <c r="A22" s="4"/>
      <c r="B22" s="3"/>
      <c r="C22" s="616" t="s">
        <v>477</v>
      </c>
      <c r="D22" s="617" t="s">
        <v>368</v>
      </c>
      <c r="E22" s="206"/>
      <c r="G22" s="618">
        <f ca="1">G21</f>
        <v>0</v>
      </c>
      <c r="H22" s="618">
        <f t="shared" ref="H22:P22" ca="1" si="52">H21</f>
        <v>0</v>
      </c>
      <c r="I22" s="618">
        <f t="shared" ca="1" si="52"/>
        <v>28.444788847516165</v>
      </c>
      <c r="J22" s="618">
        <f t="shared" ca="1" si="52"/>
        <v>0</v>
      </c>
      <c r="K22" s="618">
        <f t="shared" ca="1" si="52"/>
        <v>0</v>
      </c>
      <c r="L22" s="618">
        <f t="shared" ca="1" si="52"/>
        <v>0</v>
      </c>
      <c r="M22" s="618">
        <f t="shared" ca="1" si="52"/>
        <v>0</v>
      </c>
      <c r="N22" s="618">
        <f t="shared" ca="1" si="52"/>
        <v>0</v>
      </c>
      <c r="O22" s="618">
        <f t="shared" ca="1" si="52"/>
        <v>0</v>
      </c>
      <c r="P22" s="618">
        <f t="shared" ca="1" si="52"/>
        <v>0</v>
      </c>
      <c r="Q22" s="618">
        <f ca="1">SUM(G22:P22)</f>
        <v>28.444788847516165</v>
      </c>
      <c r="S22" s="581">
        <f t="shared" ref="S22:AJ22" ca="1" si="53">S21</f>
        <v>-10.167452419908624</v>
      </c>
      <c r="T22" s="581">
        <f t="shared" ca="1" si="53"/>
        <v>0</v>
      </c>
      <c r="U22" s="581">
        <f t="shared" ca="1" si="53"/>
        <v>-3.4037434904107453</v>
      </c>
      <c r="V22" s="581">
        <f t="shared" ca="1" si="53"/>
        <v>-6.9497656476232264</v>
      </c>
      <c r="W22" s="581">
        <f t="shared" ca="1" si="53"/>
        <v>-7.9238272895735689</v>
      </c>
      <c r="X22" s="581">
        <f t="shared" ca="1" si="53"/>
        <v>0</v>
      </c>
      <c r="Y22" s="581">
        <f t="shared" ca="1" si="53"/>
        <v>0</v>
      </c>
      <c r="Z22" s="581">
        <f t="shared" ca="1" si="53"/>
        <v>0</v>
      </c>
      <c r="AA22" s="581">
        <f t="shared" ca="1" si="53"/>
        <v>0</v>
      </c>
      <c r="AB22" s="581">
        <f t="shared" ca="1" si="53"/>
        <v>0</v>
      </c>
      <c r="AC22" s="581">
        <f t="shared" ca="1" si="53"/>
        <v>0</v>
      </c>
      <c r="AD22" s="581">
        <f t="shared" ca="1" si="53"/>
        <v>0</v>
      </c>
      <c r="AE22" s="581">
        <f ca="1">AE21</f>
        <v>0</v>
      </c>
      <c r="AF22" s="581">
        <f t="shared" ca="1" si="53"/>
        <v>0</v>
      </c>
      <c r="AG22" s="581">
        <f t="shared" ca="1" si="53"/>
        <v>0</v>
      </c>
      <c r="AH22" s="581">
        <f ca="1">AH21</f>
        <v>0</v>
      </c>
      <c r="AI22" s="581">
        <f t="shared" ca="1" si="53"/>
        <v>0</v>
      </c>
      <c r="AJ22" s="581">
        <f t="shared" ca="1" si="53"/>
        <v>0</v>
      </c>
      <c r="AK22" s="581">
        <f ca="1">SUM(S22:AJ22)</f>
        <v>-28.444788847516165</v>
      </c>
      <c r="AM22" s="582">
        <f t="shared" ref="AM22:BE22" ca="1" si="54">AM21</f>
        <v>0</v>
      </c>
      <c r="AN22" s="582">
        <f t="shared" ca="1" si="54"/>
        <v>0</v>
      </c>
      <c r="AO22" s="582">
        <f t="shared" ca="1" si="54"/>
        <v>0</v>
      </c>
      <c r="AP22" s="582">
        <f t="shared" ca="1" si="54"/>
        <v>0</v>
      </c>
      <c r="AQ22" s="582">
        <f t="shared" ca="1" si="54"/>
        <v>0</v>
      </c>
      <c r="AR22" s="582">
        <f t="shared" ca="1" si="54"/>
        <v>0</v>
      </c>
      <c r="AS22" s="582">
        <f t="shared" ca="1" si="54"/>
        <v>0</v>
      </c>
      <c r="AT22" s="582">
        <f t="shared" ca="1" si="54"/>
        <v>0</v>
      </c>
      <c r="AU22" s="582">
        <f t="shared" ca="1" si="54"/>
        <v>0</v>
      </c>
      <c r="AV22" s="582">
        <f t="shared" ca="1" si="54"/>
        <v>0</v>
      </c>
      <c r="AW22" s="582">
        <f t="shared" ca="1" si="54"/>
        <v>0</v>
      </c>
      <c r="AX22" s="582">
        <f t="shared" ca="1" si="54"/>
        <v>0</v>
      </c>
      <c r="AY22" s="582">
        <f t="shared" ca="1" si="54"/>
        <v>0</v>
      </c>
      <c r="AZ22" s="582">
        <f t="shared" ca="1" si="54"/>
        <v>0</v>
      </c>
      <c r="BA22" s="582">
        <f t="shared" ca="1" si="54"/>
        <v>0</v>
      </c>
      <c r="BB22" s="582">
        <f t="shared" ca="1" si="54"/>
        <v>0</v>
      </c>
      <c r="BC22" s="582">
        <f t="shared" ca="1" si="54"/>
        <v>0</v>
      </c>
      <c r="BD22" s="582">
        <f ca="1">BD21</f>
        <v>0</v>
      </c>
      <c r="BE22" s="582">
        <f t="shared" ca="1" si="54"/>
        <v>0</v>
      </c>
      <c r="BF22" s="582">
        <f ca="1">SUM(AM22:BE22)</f>
        <v>0</v>
      </c>
      <c r="BH22" s="3463">
        <f ca="1">BH21</f>
        <v>0</v>
      </c>
      <c r="BI22" s="3463">
        <f ca="1">BI21</f>
        <v>0</v>
      </c>
      <c r="BJ22" s="3463">
        <f ca="1">SUM(BH22:BI22)</f>
        <v>0</v>
      </c>
      <c r="BL22" s="3477">
        <f t="shared" ca="1" si="10"/>
        <v>0</v>
      </c>
      <c r="BM22" s="584"/>
      <c r="BN22" s="413"/>
      <c r="BO22" s="2790">
        <f t="shared" ref="BO22:DF22" ca="1" si="55">BO21</f>
        <v>4.6052596366259184</v>
      </c>
      <c r="BP22" s="2790">
        <f t="shared" ca="1" si="55"/>
        <v>2.3553742974852464E-3</v>
      </c>
      <c r="BQ22" s="2790">
        <f t="shared" ca="1" si="55"/>
        <v>3.2197526585273605E-2</v>
      </c>
      <c r="BR22" s="2790">
        <f t="shared" ca="1" si="55"/>
        <v>0</v>
      </c>
      <c r="BS22" s="2790">
        <f t="shared" ca="1" si="55"/>
        <v>0</v>
      </c>
      <c r="BT22" s="2790">
        <f t="shared" ca="1" si="55"/>
        <v>0</v>
      </c>
      <c r="BU22" s="2790">
        <f t="shared" ca="1" si="55"/>
        <v>0</v>
      </c>
      <c r="BV22" s="2790">
        <f t="shared" ca="1" si="55"/>
        <v>0</v>
      </c>
      <c r="BW22" s="2790">
        <f t="shared" ca="1" si="55"/>
        <v>0.90384355825774465</v>
      </c>
      <c r="BX22" s="2790">
        <f t="shared" ca="1" si="55"/>
        <v>0</v>
      </c>
      <c r="BY22" s="2790">
        <f t="shared" ca="1" si="55"/>
        <v>0</v>
      </c>
      <c r="BZ22" s="2790">
        <f t="shared" ca="1" si="55"/>
        <v>0.77483854685732834</v>
      </c>
      <c r="CA22" s="2790">
        <f t="shared" ca="1" si="55"/>
        <v>0</v>
      </c>
      <c r="CB22" s="2790">
        <f t="shared" ca="1" si="55"/>
        <v>0</v>
      </c>
      <c r="CC22" s="2790">
        <f t="shared" ca="1" si="55"/>
        <v>0</v>
      </c>
      <c r="CD22" s="2790">
        <f t="shared" ca="1" si="55"/>
        <v>0</v>
      </c>
      <c r="CE22" s="2790">
        <f t="shared" ca="1" si="55"/>
        <v>0</v>
      </c>
      <c r="CF22" s="2790">
        <f t="shared" ca="1" si="55"/>
        <v>0</v>
      </c>
      <c r="CG22" s="2790">
        <f t="shared" ca="1" si="55"/>
        <v>0</v>
      </c>
      <c r="CH22" s="2790">
        <f t="shared" ca="1" si="55"/>
        <v>0</v>
      </c>
      <c r="CI22" s="2790">
        <f t="shared" ca="1" si="55"/>
        <v>0</v>
      </c>
      <c r="CJ22" s="2790">
        <f t="shared" ca="1" si="55"/>
        <v>0</v>
      </c>
      <c r="CK22" s="2790">
        <f t="shared" ca="1" si="55"/>
        <v>0</v>
      </c>
      <c r="CL22" s="2790">
        <f t="shared" ca="1" si="55"/>
        <v>0</v>
      </c>
      <c r="CM22" s="2790">
        <f t="shared" ca="1" si="55"/>
        <v>0</v>
      </c>
      <c r="CN22" s="2790">
        <f t="shared" ca="1" si="55"/>
        <v>0</v>
      </c>
      <c r="CO22" s="2790">
        <f t="shared" ca="1" si="55"/>
        <v>0</v>
      </c>
      <c r="CP22" s="2790">
        <f t="shared" ca="1" si="55"/>
        <v>0</v>
      </c>
      <c r="CQ22" s="2790">
        <f t="shared" ca="1" si="55"/>
        <v>0</v>
      </c>
      <c r="CR22" s="2790">
        <f t="shared" ca="1" si="55"/>
        <v>0</v>
      </c>
      <c r="CS22" s="2790">
        <f t="shared" ca="1" si="55"/>
        <v>0</v>
      </c>
      <c r="CT22" s="2790">
        <f t="shared" ca="1" si="55"/>
        <v>0</v>
      </c>
      <c r="CU22" s="2790">
        <f t="shared" ca="1" si="55"/>
        <v>0</v>
      </c>
      <c r="CV22" s="2790">
        <f t="shared" ca="1" si="55"/>
        <v>0</v>
      </c>
      <c r="CW22" s="2790">
        <f t="shared" ca="1" si="55"/>
        <v>0</v>
      </c>
      <c r="CX22" s="2790">
        <f t="shared" ca="1" si="55"/>
        <v>0</v>
      </c>
      <c r="CY22" s="2790">
        <f t="shared" ca="1" si="55"/>
        <v>0</v>
      </c>
      <c r="CZ22" s="2790">
        <f t="shared" ca="1" si="55"/>
        <v>0</v>
      </c>
      <c r="DA22" s="2790">
        <f t="shared" ca="1" si="55"/>
        <v>0</v>
      </c>
      <c r="DB22" s="2790">
        <f t="shared" ca="1" si="55"/>
        <v>0</v>
      </c>
      <c r="DC22" s="2790">
        <f t="shared" ca="1" si="55"/>
        <v>0</v>
      </c>
      <c r="DD22" s="2790">
        <f t="shared" ca="1" si="55"/>
        <v>0</v>
      </c>
      <c r="DE22" s="2790">
        <f t="shared" ca="1" si="55"/>
        <v>0</v>
      </c>
      <c r="DF22" s="2790">
        <f t="shared" ca="1" si="55"/>
        <v>0</v>
      </c>
      <c r="DH22" s="596">
        <f t="shared" ca="1" si="33"/>
        <v>6.3184946426237492</v>
      </c>
    </row>
    <row r="23" spans="1:112" s="6" customFormat="1" ht="12.75" customHeight="1" outlineLevel="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10"/>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3"/>
        <v>0</v>
      </c>
    </row>
    <row r="24" spans="1:112" s="6" customFormat="1" ht="12.75" customHeight="1" outlineLevel="1">
      <c r="A24" s="607"/>
      <c r="B24" s="607"/>
      <c r="C24" s="587" t="s">
        <v>478</v>
      </c>
      <c r="D24" s="623" t="s">
        <v>479</v>
      </c>
      <c r="E24" s="599"/>
      <c r="G24" s="589">
        <f t="shared" ref="G24:P27" ca="1" si="56">IFERROR(INDEX(INDIRECT($C24&amp;".Outputs["&amp;this.Year&amp;"]"), MATCH(G$5, INDIRECT($C24&amp;".Outputs[Vector]"), 0)), 0)</f>
        <v>0</v>
      </c>
      <c r="H24" s="589">
        <f t="shared" ca="1" si="56"/>
        <v>0</v>
      </c>
      <c r="I24" s="589">
        <f t="shared" ca="1" si="56"/>
        <v>0</v>
      </c>
      <c r="J24" s="589">
        <f t="shared" ca="1" si="56"/>
        <v>17.136541765346468</v>
      </c>
      <c r="K24" s="589">
        <f t="shared" ca="1" si="56"/>
        <v>0.40017204330856654</v>
      </c>
      <c r="L24" s="589">
        <f t="shared" ca="1" si="56"/>
        <v>2.6013627209398826E-2</v>
      </c>
      <c r="M24" s="589">
        <f t="shared" ca="1" si="56"/>
        <v>0</v>
      </c>
      <c r="N24" s="589">
        <f t="shared" ca="1" si="56"/>
        <v>0</v>
      </c>
      <c r="O24" s="589">
        <f t="shared" ca="1" si="56"/>
        <v>0</v>
      </c>
      <c r="P24" s="589">
        <f t="shared" ca="1" si="56"/>
        <v>0</v>
      </c>
      <c r="Q24" s="590">
        <f t="shared" ref="Q24:Q32" ca="1" si="57">SUM(G24:P24)</f>
        <v>17.562727435864431</v>
      </c>
      <c r="S24" s="591">
        <f t="shared" ref="S24:AJ30" ca="1" si="58">IFERROR(INDEX(INDIRECT($C24&amp;".Outputs["&amp;this.Year&amp;"]"), MATCH(S$5, INDIRECT($C24&amp;".Outputs[Vector]"), 0)), 0)</f>
        <v>-0.23216101436158487</v>
      </c>
      <c r="T24" s="591">
        <f t="shared" ca="1" si="58"/>
        <v>0</v>
      </c>
      <c r="U24" s="591">
        <f t="shared" ca="1" si="58"/>
        <v>0</v>
      </c>
      <c r="V24" s="591">
        <f t="shared" ca="1" si="58"/>
        <v>-17.322032967086088</v>
      </c>
      <c r="W24" s="591">
        <f t="shared" ca="1" si="58"/>
        <v>0</v>
      </c>
      <c r="X24" s="591">
        <f t="shared" ref="X24:Z27" ca="1" si="59">IFERROR(INDEX(INDIRECT($C24&amp;".Outputs["&amp;this.Year&amp;"]"), MATCH(X$5, INDIRECT($C24&amp;".Outputs[Vector]"), 0)), 0)</f>
        <v>0</v>
      </c>
      <c r="Y24" s="591">
        <f t="shared" ca="1" si="59"/>
        <v>0</v>
      </c>
      <c r="Z24" s="591">
        <f t="shared" ca="1" si="59"/>
        <v>0</v>
      </c>
      <c r="AA24" s="591">
        <f t="shared" ca="1" si="58"/>
        <v>0</v>
      </c>
      <c r="AB24" s="591">
        <f t="shared" ca="1" si="58"/>
        <v>0</v>
      </c>
      <c r="AC24" s="591">
        <f t="shared" ca="1" si="58"/>
        <v>0</v>
      </c>
      <c r="AD24" s="591">
        <f t="shared" ca="1" si="58"/>
        <v>0</v>
      </c>
      <c r="AE24" s="591">
        <f t="shared" ca="1" si="58"/>
        <v>0</v>
      </c>
      <c r="AF24" s="591">
        <f t="shared" ca="1" si="58"/>
        <v>0</v>
      </c>
      <c r="AG24" s="591">
        <f t="shared" ca="1" si="58"/>
        <v>0</v>
      </c>
      <c r="AH24" s="591">
        <f t="shared" ca="1" si="58"/>
        <v>0</v>
      </c>
      <c r="AI24" s="591">
        <f t="shared" ca="1" si="58"/>
        <v>0</v>
      </c>
      <c r="AJ24" s="591">
        <f t="shared" ca="1" si="58"/>
        <v>-8.5334544167595186E-3</v>
      </c>
      <c r="AK24" s="592">
        <f t="shared" ref="AK24:AK32" ca="1" si="60">SUM(S24:AJ24)</f>
        <v>-17.562727435864431</v>
      </c>
      <c r="AM24" s="593">
        <f t="shared" ref="AM24:AU27" ca="1" si="61">IFERROR(INDEX(INDIRECT($C24&amp;".Outputs["&amp;this.Year&amp;"]"), MATCH(AM$5, INDIRECT($C24&amp;".Outputs[Vector]"), 0)), 0)</f>
        <v>0</v>
      </c>
      <c r="AN24" s="593">
        <f t="shared" ca="1" si="61"/>
        <v>0</v>
      </c>
      <c r="AO24" s="593">
        <f t="shared" ca="1" si="61"/>
        <v>0</v>
      </c>
      <c r="AP24" s="593">
        <f t="shared" ca="1" si="61"/>
        <v>0</v>
      </c>
      <c r="AQ24" s="593">
        <f t="shared" ca="1" si="61"/>
        <v>0</v>
      </c>
      <c r="AR24" s="593">
        <f t="shared" ca="1" si="61"/>
        <v>0</v>
      </c>
      <c r="AS24" s="593">
        <f t="shared" ca="1" si="61"/>
        <v>0</v>
      </c>
      <c r="AT24" s="593">
        <f t="shared" ca="1" si="61"/>
        <v>0</v>
      </c>
      <c r="AU24" s="593">
        <f t="shared" ca="1" si="61"/>
        <v>0</v>
      </c>
      <c r="AV24" s="593">
        <f t="shared" ref="AV24:BE30" ca="1" si="62">IFERROR(INDEX(INDIRECT($C24&amp;".Outputs["&amp;this.Year&amp;"]"), MATCH(AV$5, INDIRECT($C24&amp;".Outputs[Vector]"), 0)), 0)</f>
        <v>0</v>
      </c>
      <c r="AW24" s="593">
        <f t="shared" ca="1" si="62"/>
        <v>0</v>
      </c>
      <c r="AX24" s="593">
        <f t="shared" ca="1" si="62"/>
        <v>0</v>
      </c>
      <c r="AY24" s="593">
        <f t="shared" ca="1" si="62"/>
        <v>0</v>
      </c>
      <c r="AZ24" s="593">
        <f t="shared" ca="1" si="62"/>
        <v>0</v>
      </c>
      <c r="BA24" s="593">
        <f t="shared" ca="1" si="62"/>
        <v>0</v>
      </c>
      <c r="BB24" s="593">
        <f t="shared" ca="1" si="62"/>
        <v>0</v>
      </c>
      <c r="BC24" s="593">
        <f t="shared" ca="1" si="62"/>
        <v>0</v>
      </c>
      <c r="BD24" s="593">
        <f t="shared" ca="1" si="62"/>
        <v>0</v>
      </c>
      <c r="BE24" s="593">
        <f t="shared" ca="1" si="62"/>
        <v>0</v>
      </c>
      <c r="BF24" s="609">
        <f t="shared" ref="BF24:BF32" ca="1" si="63">SUM(AM24:BE24)</f>
        <v>0</v>
      </c>
      <c r="BH24" s="3471">
        <f t="shared" ref="BH24:BI30" ca="1" si="64">IFERROR(INDEX(INDIRECT($C24&amp;".Outputs["&amp;this.Year&amp;"]"), MATCH(BH$5, INDIRECT($C24&amp;".Outputs[Vector]"), 0)), 0)</f>
        <v>0</v>
      </c>
      <c r="BI24" s="3471">
        <f t="shared" ca="1" si="64"/>
        <v>0</v>
      </c>
      <c r="BJ24" s="3460">
        <f t="shared" ref="BJ24:BJ32" ca="1" si="65">SUM(BH24:BI24)</f>
        <v>0</v>
      </c>
      <c r="BL24" s="610">
        <f t="shared" ca="1" si="10"/>
        <v>0</v>
      </c>
      <c r="BM24" s="610"/>
      <c r="BN24" s="413"/>
      <c r="BO24" s="2789">
        <f t="shared" ref="BO24:BX27" ca="1" si="66">IFERROR(SUMIFS(INDIRECT($C24&amp;".Emissions["&amp;this.Year&amp;"]"), INDIRECT($C24&amp;".Emissions[GHG]"), BO$6, INDIRECT($C24&amp;".Emissions[IPCC Sector]"), BO$5),0)</f>
        <v>4.5709380593546758</v>
      </c>
      <c r="BP24" s="2790">
        <f t="shared" ca="1" si="66"/>
        <v>3.9286370769351245E-3</v>
      </c>
      <c r="BQ24" s="2790">
        <f t="shared" ca="1" si="66"/>
        <v>1.1598833274760845E-2</v>
      </c>
      <c r="BR24" s="2790">
        <f t="shared" ca="1" si="66"/>
        <v>0</v>
      </c>
      <c r="BS24" s="2790">
        <f t="shared" ca="1" si="66"/>
        <v>0</v>
      </c>
      <c r="BT24" s="2790">
        <f t="shared" ca="1" si="66"/>
        <v>0</v>
      </c>
      <c r="BU24" s="2790">
        <f t="shared" ca="1" si="66"/>
        <v>0</v>
      </c>
      <c r="BV24" s="2790">
        <f t="shared" ca="1" si="66"/>
        <v>0</v>
      </c>
      <c r="BW24" s="2790">
        <f t="shared" ca="1" si="66"/>
        <v>0</v>
      </c>
      <c r="BX24" s="2790">
        <f t="shared" ca="1" si="66"/>
        <v>0</v>
      </c>
      <c r="BY24" s="2790">
        <f t="shared" ref="BY24:CH27" ca="1" si="67">IFERROR(SUMIFS(INDIRECT($C24&amp;".Emissions["&amp;this.Year&amp;"]"), INDIRECT($C24&amp;".Emissions[GHG]"), BY$6, INDIRECT($C24&amp;".Emissions[IPCC Sector]"), BY$5),0)</f>
        <v>0</v>
      </c>
      <c r="BZ24" s="2790">
        <f t="shared" ca="1" si="67"/>
        <v>0</v>
      </c>
      <c r="CA24" s="2790">
        <f t="shared" ca="1" si="67"/>
        <v>0</v>
      </c>
      <c r="CB24" s="2790">
        <f t="shared" ca="1" si="67"/>
        <v>0</v>
      </c>
      <c r="CC24" s="2790">
        <f t="shared" ca="1" si="67"/>
        <v>0</v>
      </c>
      <c r="CD24" s="2790">
        <f t="shared" ca="1" si="67"/>
        <v>0</v>
      </c>
      <c r="CE24" s="2790">
        <f t="shared" ca="1" si="67"/>
        <v>0</v>
      </c>
      <c r="CF24" s="2790">
        <f t="shared" ca="1" si="67"/>
        <v>0</v>
      </c>
      <c r="CG24" s="2790">
        <f t="shared" ca="1" si="67"/>
        <v>0</v>
      </c>
      <c r="CH24" s="2790">
        <f t="shared" ca="1" si="67"/>
        <v>0</v>
      </c>
      <c r="CI24" s="2790">
        <f t="shared" ref="CI24:CR27" ca="1" si="68">IFERROR(SUMIFS(INDIRECT($C24&amp;".Emissions["&amp;this.Year&amp;"]"), INDIRECT($C24&amp;".Emissions[GHG]"), CI$6, INDIRECT($C24&amp;".Emissions[IPCC Sector]"), CI$5),0)</f>
        <v>0</v>
      </c>
      <c r="CJ24" s="2790">
        <f t="shared" ca="1" si="68"/>
        <v>0</v>
      </c>
      <c r="CK24" s="2790">
        <f t="shared" ca="1" si="68"/>
        <v>0</v>
      </c>
      <c r="CL24" s="2790">
        <f t="shared" ca="1" si="68"/>
        <v>0</v>
      </c>
      <c r="CM24" s="2790">
        <f t="shared" ca="1" si="68"/>
        <v>0</v>
      </c>
      <c r="CN24" s="2790">
        <f t="shared" ca="1" si="68"/>
        <v>0</v>
      </c>
      <c r="CO24" s="2790">
        <f t="shared" ca="1" si="68"/>
        <v>0</v>
      </c>
      <c r="CP24" s="2790">
        <f t="shared" ca="1" si="68"/>
        <v>0</v>
      </c>
      <c r="CQ24" s="2790">
        <f t="shared" ca="1" si="68"/>
        <v>0</v>
      </c>
      <c r="CR24" s="2790">
        <f t="shared" ca="1" si="68"/>
        <v>0</v>
      </c>
      <c r="CS24" s="2790">
        <f t="shared" ref="CS24:DF27" ca="1" si="69">IFERROR(SUMIFS(INDIRECT($C24&amp;".Emissions["&amp;this.Year&amp;"]"), INDIRECT($C24&amp;".Emissions[GHG]"), CS$6, INDIRECT($C24&amp;".Emissions[IPCC Sector]"), CS$5),0)</f>
        <v>0</v>
      </c>
      <c r="CT24" s="2790">
        <f t="shared" ca="1" si="69"/>
        <v>0</v>
      </c>
      <c r="CU24" s="2790">
        <f t="shared" ca="1" si="69"/>
        <v>0</v>
      </c>
      <c r="CV24" s="2790">
        <f t="shared" ca="1" si="69"/>
        <v>0</v>
      </c>
      <c r="CW24" s="2790">
        <f t="shared" ca="1" si="69"/>
        <v>0</v>
      </c>
      <c r="CX24" s="2790">
        <f t="shared" ca="1" si="69"/>
        <v>0</v>
      </c>
      <c r="CY24" s="2790">
        <f t="shared" ca="1" si="69"/>
        <v>0</v>
      </c>
      <c r="CZ24" s="2790">
        <f t="shared" ca="1" si="69"/>
        <v>0</v>
      </c>
      <c r="DA24" s="2790">
        <f t="shared" ca="1" si="69"/>
        <v>0</v>
      </c>
      <c r="DB24" s="2790">
        <f t="shared" ca="1" si="69"/>
        <v>0</v>
      </c>
      <c r="DC24" s="2790">
        <f t="shared" ca="1" si="69"/>
        <v>0</v>
      </c>
      <c r="DD24" s="2790">
        <f t="shared" ca="1" si="69"/>
        <v>0</v>
      </c>
      <c r="DE24" s="2790">
        <f t="shared" ca="1" si="69"/>
        <v>0</v>
      </c>
      <c r="DF24" s="2790">
        <f t="shared" ca="1" si="69"/>
        <v>0</v>
      </c>
      <c r="DH24" s="596">
        <f t="shared" ca="1" si="33"/>
        <v>4.5864655297063717</v>
      </c>
    </row>
    <row r="25" spans="1:112" s="6" customFormat="1" ht="12.75" customHeight="1" outlineLevel="1">
      <c r="A25" s="607"/>
      <c r="B25" s="607"/>
      <c r="C25" s="587" t="s">
        <v>480</v>
      </c>
      <c r="D25" s="623" t="s">
        <v>481</v>
      </c>
      <c r="E25" s="599"/>
      <c r="G25" s="589">
        <f t="shared" ca="1" si="56"/>
        <v>0</v>
      </c>
      <c r="H25" s="589">
        <f t="shared" ca="1" si="56"/>
        <v>0</v>
      </c>
      <c r="I25" s="589">
        <f t="shared" ca="1" si="56"/>
        <v>0</v>
      </c>
      <c r="J25" s="589">
        <f t="shared" ca="1" si="56"/>
        <v>16.550572499999998</v>
      </c>
      <c r="K25" s="589">
        <f t="shared" ca="1" si="56"/>
        <v>5.7465687617253951E-3</v>
      </c>
      <c r="L25" s="589">
        <f t="shared" ca="1" si="56"/>
        <v>0</v>
      </c>
      <c r="M25" s="589">
        <f t="shared" ca="1" si="56"/>
        <v>0.66</v>
      </c>
      <c r="N25" s="589">
        <f t="shared" ca="1" si="56"/>
        <v>0</v>
      </c>
      <c r="O25" s="589">
        <f t="shared" ca="1" si="56"/>
        <v>0</v>
      </c>
      <c r="P25" s="589">
        <f t="shared" ca="1" si="56"/>
        <v>0</v>
      </c>
      <c r="Q25" s="590">
        <f t="shared" ca="1" si="57"/>
        <v>17.216319068761724</v>
      </c>
      <c r="S25" s="591">
        <f t="shared" ca="1" si="58"/>
        <v>0</v>
      </c>
      <c r="T25" s="591">
        <f t="shared" ca="1" si="58"/>
        <v>0</v>
      </c>
      <c r="U25" s="591">
        <f t="shared" ca="1" si="58"/>
        <v>0</v>
      </c>
      <c r="V25" s="591">
        <f t="shared" ca="1" si="58"/>
        <v>-17.216319068761724</v>
      </c>
      <c r="W25" s="591">
        <f t="shared" ca="1" si="58"/>
        <v>0</v>
      </c>
      <c r="X25" s="591">
        <f t="shared" ca="1" si="59"/>
        <v>0</v>
      </c>
      <c r="Y25" s="591">
        <f t="shared" ca="1" si="59"/>
        <v>0</v>
      </c>
      <c r="Z25" s="591">
        <f t="shared" ca="1" si="59"/>
        <v>0</v>
      </c>
      <c r="AA25" s="591">
        <f t="shared" ca="1" si="58"/>
        <v>0</v>
      </c>
      <c r="AB25" s="591">
        <f t="shared" ca="1" si="58"/>
        <v>0</v>
      </c>
      <c r="AC25" s="591">
        <f t="shared" ca="1" si="58"/>
        <v>0</v>
      </c>
      <c r="AD25" s="591">
        <f t="shared" ca="1" si="58"/>
        <v>0</v>
      </c>
      <c r="AE25" s="591">
        <f t="shared" ca="1" si="58"/>
        <v>0</v>
      </c>
      <c r="AF25" s="591">
        <f t="shared" ca="1" si="58"/>
        <v>0</v>
      </c>
      <c r="AG25" s="591">
        <f t="shared" ca="1" si="58"/>
        <v>0</v>
      </c>
      <c r="AH25" s="591">
        <f t="shared" ca="1" si="58"/>
        <v>0</v>
      </c>
      <c r="AI25" s="591">
        <f t="shared" ca="1" si="58"/>
        <v>0</v>
      </c>
      <c r="AJ25" s="591">
        <f t="shared" ca="1" si="58"/>
        <v>0</v>
      </c>
      <c r="AK25" s="592">
        <f t="shared" ca="1" si="60"/>
        <v>-17.216319068761724</v>
      </c>
      <c r="AM25" s="593">
        <f t="shared" ca="1" si="61"/>
        <v>0</v>
      </c>
      <c r="AN25" s="593">
        <f t="shared" ca="1" si="61"/>
        <v>0</v>
      </c>
      <c r="AO25" s="593">
        <f t="shared" ca="1" si="61"/>
        <v>0</v>
      </c>
      <c r="AP25" s="593">
        <f t="shared" ca="1" si="61"/>
        <v>0</v>
      </c>
      <c r="AQ25" s="593">
        <f t="shared" ca="1" si="61"/>
        <v>0</v>
      </c>
      <c r="AR25" s="593">
        <f t="shared" ca="1" si="61"/>
        <v>0</v>
      </c>
      <c r="AS25" s="593">
        <f t="shared" ca="1" si="61"/>
        <v>0</v>
      </c>
      <c r="AT25" s="593">
        <f t="shared" ca="1" si="61"/>
        <v>0</v>
      </c>
      <c r="AU25" s="593">
        <f t="shared" ca="1" si="61"/>
        <v>0</v>
      </c>
      <c r="AV25" s="593">
        <f t="shared" ca="1" si="62"/>
        <v>0</v>
      </c>
      <c r="AW25" s="593">
        <f t="shared" ca="1" si="62"/>
        <v>0</v>
      </c>
      <c r="AX25" s="593">
        <f t="shared" ca="1" si="62"/>
        <v>0</v>
      </c>
      <c r="AY25" s="593">
        <f t="shared" ca="1" si="62"/>
        <v>0</v>
      </c>
      <c r="AZ25" s="593">
        <f t="shared" ca="1" si="62"/>
        <v>0</v>
      </c>
      <c r="BA25" s="593">
        <f t="shared" ca="1" si="62"/>
        <v>0</v>
      </c>
      <c r="BB25" s="593">
        <f t="shared" ca="1" si="62"/>
        <v>0</v>
      </c>
      <c r="BC25" s="593">
        <f t="shared" ca="1" si="62"/>
        <v>0</v>
      </c>
      <c r="BD25" s="593">
        <f t="shared" ca="1" si="62"/>
        <v>0</v>
      </c>
      <c r="BE25" s="593">
        <f t="shared" ca="1" si="62"/>
        <v>0</v>
      </c>
      <c r="BF25" s="609">
        <f t="shared" ca="1" si="63"/>
        <v>0</v>
      </c>
      <c r="BH25" s="3471">
        <f t="shared" ca="1" si="64"/>
        <v>0</v>
      </c>
      <c r="BI25" s="3471">
        <f t="shared" ca="1" si="64"/>
        <v>0</v>
      </c>
      <c r="BJ25" s="3460">
        <f t="shared" ca="1" si="65"/>
        <v>0</v>
      </c>
      <c r="BL25" s="610">
        <f t="shared" ca="1" si="10"/>
        <v>0</v>
      </c>
      <c r="BM25" s="610"/>
      <c r="BN25" s="413"/>
      <c r="BO25" s="2789">
        <f t="shared" ca="1" si="66"/>
        <v>4.5430422758648428</v>
      </c>
      <c r="BP25" s="2790">
        <f t="shared" ca="1" si="66"/>
        <v>3.9046611647951591E-3</v>
      </c>
      <c r="BQ25" s="2790">
        <f t="shared" ca="1" si="66"/>
        <v>1.1528047248442851E-2</v>
      </c>
      <c r="BR25" s="2790">
        <f t="shared" ca="1" si="66"/>
        <v>0</v>
      </c>
      <c r="BS25" s="2790">
        <f t="shared" ca="1" si="66"/>
        <v>0</v>
      </c>
      <c r="BT25" s="2790">
        <f t="shared" ca="1" si="66"/>
        <v>0</v>
      </c>
      <c r="BU25" s="2790">
        <f t="shared" ca="1" si="66"/>
        <v>0</v>
      </c>
      <c r="BV25" s="2790">
        <f t="shared" ca="1" si="66"/>
        <v>0</v>
      </c>
      <c r="BW25" s="2790">
        <f t="shared" ca="1" si="66"/>
        <v>0</v>
      </c>
      <c r="BX25" s="2790">
        <f t="shared" ca="1" si="66"/>
        <v>0</v>
      </c>
      <c r="BY25" s="2790">
        <f t="shared" ca="1" si="67"/>
        <v>0</v>
      </c>
      <c r="BZ25" s="2790">
        <f t="shared" ca="1" si="67"/>
        <v>0</v>
      </c>
      <c r="CA25" s="2790">
        <f t="shared" ca="1" si="67"/>
        <v>0</v>
      </c>
      <c r="CB25" s="2790">
        <f t="shared" ca="1" si="67"/>
        <v>0</v>
      </c>
      <c r="CC25" s="2790">
        <f t="shared" ca="1" si="67"/>
        <v>0</v>
      </c>
      <c r="CD25" s="2790">
        <f t="shared" ca="1" si="67"/>
        <v>0</v>
      </c>
      <c r="CE25" s="2790">
        <f t="shared" ca="1" si="67"/>
        <v>0</v>
      </c>
      <c r="CF25" s="2790">
        <f t="shared" ca="1" si="67"/>
        <v>0</v>
      </c>
      <c r="CG25" s="2790">
        <f t="shared" ca="1" si="67"/>
        <v>0</v>
      </c>
      <c r="CH25" s="2790">
        <f t="shared" ca="1" si="67"/>
        <v>0</v>
      </c>
      <c r="CI25" s="2790">
        <f t="shared" ca="1" si="68"/>
        <v>0</v>
      </c>
      <c r="CJ25" s="2790">
        <f t="shared" ca="1" si="68"/>
        <v>0</v>
      </c>
      <c r="CK25" s="2790">
        <f t="shared" ca="1" si="68"/>
        <v>0</v>
      </c>
      <c r="CL25" s="2790">
        <f t="shared" ca="1" si="68"/>
        <v>0</v>
      </c>
      <c r="CM25" s="2790">
        <f t="shared" ca="1" si="68"/>
        <v>0</v>
      </c>
      <c r="CN25" s="2790">
        <f t="shared" ca="1" si="68"/>
        <v>0</v>
      </c>
      <c r="CO25" s="2790">
        <f t="shared" ca="1" si="68"/>
        <v>0</v>
      </c>
      <c r="CP25" s="2790">
        <f t="shared" ca="1" si="68"/>
        <v>0</v>
      </c>
      <c r="CQ25" s="2790">
        <f t="shared" ca="1" si="68"/>
        <v>0</v>
      </c>
      <c r="CR25" s="2790">
        <f t="shared" ca="1" si="68"/>
        <v>0</v>
      </c>
      <c r="CS25" s="2790">
        <f t="shared" ca="1" si="69"/>
        <v>0</v>
      </c>
      <c r="CT25" s="2790">
        <f t="shared" ca="1" si="69"/>
        <v>0</v>
      </c>
      <c r="CU25" s="2790">
        <f t="shared" ca="1" si="69"/>
        <v>0</v>
      </c>
      <c r="CV25" s="2790">
        <f t="shared" ca="1" si="69"/>
        <v>0</v>
      </c>
      <c r="CW25" s="2790">
        <f t="shared" ca="1" si="69"/>
        <v>0</v>
      </c>
      <c r="CX25" s="2790">
        <f t="shared" ca="1" si="69"/>
        <v>0</v>
      </c>
      <c r="CY25" s="2790">
        <f t="shared" ca="1" si="69"/>
        <v>0</v>
      </c>
      <c r="CZ25" s="2790">
        <f t="shared" ca="1" si="69"/>
        <v>0</v>
      </c>
      <c r="DA25" s="2790">
        <f t="shared" ca="1" si="69"/>
        <v>0</v>
      </c>
      <c r="DB25" s="2790">
        <f t="shared" ca="1" si="69"/>
        <v>0</v>
      </c>
      <c r="DC25" s="2790">
        <f t="shared" ca="1" si="69"/>
        <v>0</v>
      </c>
      <c r="DD25" s="2790">
        <f t="shared" ca="1" si="69"/>
        <v>0</v>
      </c>
      <c r="DE25" s="2790">
        <f t="shared" ca="1" si="69"/>
        <v>0</v>
      </c>
      <c r="DF25" s="2790">
        <f t="shared" ca="1" si="69"/>
        <v>0</v>
      </c>
      <c r="DH25" s="596">
        <f t="shared" ca="1" si="33"/>
        <v>4.5584749842780807</v>
      </c>
    </row>
    <row r="26" spans="1:112" s="6" customFormat="1" ht="10.5" customHeight="1" outlineLevel="2">
      <c r="A26" s="586"/>
      <c r="B26" s="586"/>
      <c r="C26" s="587" t="s">
        <v>482</v>
      </c>
      <c r="D26" s="623" t="s">
        <v>373</v>
      </c>
      <c r="E26" s="599"/>
      <c r="G26" s="589">
        <f t="shared" ca="1" si="56"/>
        <v>0</v>
      </c>
      <c r="H26" s="589">
        <f t="shared" ca="1" si="56"/>
        <v>0</v>
      </c>
      <c r="I26" s="589">
        <f t="shared" ca="1" si="56"/>
        <v>0</v>
      </c>
      <c r="J26" s="589">
        <f t="shared" ca="1" si="56"/>
        <v>0</v>
      </c>
      <c r="K26" s="589">
        <f t="shared" ca="1" si="56"/>
        <v>0</v>
      </c>
      <c r="L26" s="589">
        <f t="shared" ca="1" si="56"/>
        <v>0</v>
      </c>
      <c r="M26" s="589">
        <f t="shared" ca="1" si="56"/>
        <v>0</v>
      </c>
      <c r="N26" s="589">
        <f t="shared" ca="1" si="56"/>
        <v>8.7186093571046239</v>
      </c>
      <c r="O26" s="589">
        <f t="shared" ca="1" si="56"/>
        <v>0</v>
      </c>
      <c r="P26" s="589">
        <f t="shared" ca="1" si="56"/>
        <v>0</v>
      </c>
      <c r="Q26" s="590">
        <f t="shared" ca="1" si="57"/>
        <v>8.7186093571046239</v>
      </c>
      <c r="S26" s="591">
        <f t="shared" ca="1" si="58"/>
        <v>0</v>
      </c>
      <c r="T26" s="591">
        <f t="shared" ca="1" si="58"/>
        <v>0</v>
      </c>
      <c r="U26" s="591">
        <f t="shared" ca="1" si="58"/>
        <v>0</v>
      </c>
      <c r="V26" s="591">
        <f t="shared" ca="1" si="58"/>
        <v>-8.7186093571046239</v>
      </c>
      <c r="W26" s="591">
        <f t="shared" ca="1" si="58"/>
        <v>0</v>
      </c>
      <c r="X26" s="591">
        <f t="shared" ca="1" si="59"/>
        <v>0</v>
      </c>
      <c r="Y26" s="591">
        <f t="shared" ca="1" si="59"/>
        <v>0</v>
      </c>
      <c r="Z26" s="591">
        <f t="shared" ca="1" si="59"/>
        <v>0</v>
      </c>
      <c r="AA26" s="591">
        <f t="shared" ca="1" si="58"/>
        <v>0</v>
      </c>
      <c r="AB26" s="591">
        <f t="shared" ca="1" si="58"/>
        <v>0</v>
      </c>
      <c r="AC26" s="591">
        <f t="shared" ca="1" si="58"/>
        <v>0</v>
      </c>
      <c r="AD26" s="591">
        <f t="shared" ca="1" si="58"/>
        <v>0</v>
      </c>
      <c r="AE26" s="591">
        <f t="shared" ca="1" si="58"/>
        <v>0</v>
      </c>
      <c r="AF26" s="591">
        <f t="shared" ca="1" si="58"/>
        <v>0</v>
      </c>
      <c r="AG26" s="591">
        <f t="shared" ca="1" si="58"/>
        <v>0</v>
      </c>
      <c r="AH26" s="591">
        <f t="shared" ca="1" si="58"/>
        <v>0</v>
      </c>
      <c r="AI26" s="591">
        <f t="shared" ca="1" si="58"/>
        <v>0</v>
      </c>
      <c r="AJ26" s="591">
        <f t="shared" ca="1" si="58"/>
        <v>0</v>
      </c>
      <c r="AK26" s="592">
        <f t="shared" ca="1" si="60"/>
        <v>-8.7186093571046239</v>
      </c>
      <c r="AM26" s="593">
        <f t="shared" ca="1" si="61"/>
        <v>0</v>
      </c>
      <c r="AN26" s="593">
        <f t="shared" ca="1" si="61"/>
        <v>0</v>
      </c>
      <c r="AO26" s="593">
        <f t="shared" ca="1" si="61"/>
        <v>0</v>
      </c>
      <c r="AP26" s="593">
        <f t="shared" ca="1" si="61"/>
        <v>0</v>
      </c>
      <c r="AQ26" s="593">
        <f t="shared" ca="1" si="61"/>
        <v>0</v>
      </c>
      <c r="AR26" s="593">
        <f t="shared" ca="1" si="61"/>
        <v>0</v>
      </c>
      <c r="AS26" s="593">
        <f t="shared" ca="1" si="61"/>
        <v>0</v>
      </c>
      <c r="AT26" s="593">
        <f t="shared" ca="1" si="61"/>
        <v>0</v>
      </c>
      <c r="AU26" s="593">
        <f t="shared" ca="1" si="61"/>
        <v>0</v>
      </c>
      <c r="AV26" s="593">
        <f t="shared" ca="1" si="62"/>
        <v>0</v>
      </c>
      <c r="AW26" s="593">
        <f t="shared" ca="1" si="62"/>
        <v>0</v>
      </c>
      <c r="AX26" s="593">
        <f t="shared" ca="1" si="62"/>
        <v>0</v>
      </c>
      <c r="AY26" s="593">
        <f t="shared" ca="1" si="62"/>
        <v>0</v>
      </c>
      <c r="AZ26" s="593">
        <f t="shared" ca="1" si="62"/>
        <v>0</v>
      </c>
      <c r="BA26" s="593">
        <f t="shared" ca="1" si="62"/>
        <v>0</v>
      </c>
      <c r="BB26" s="593">
        <f t="shared" ca="1" si="62"/>
        <v>0</v>
      </c>
      <c r="BC26" s="593">
        <f t="shared" ca="1" si="62"/>
        <v>0</v>
      </c>
      <c r="BD26" s="593">
        <f t="shared" ca="1" si="62"/>
        <v>0</v>
      </c>
      <c r="BE26" s="593">
        <f t="shared" ca="1" si="62"/>
        <v>0</v>
      </c>
      <c r="BF26" s="594">
        <f t="shared" ca="1" si="63"/>
        <v>0</v>
      </c>
      <c r="BH26" s="3471">
        <f t="shared" ca="1" si="64"/>
        <v>0</v>
      </c>
      <c r="BI26" s="3471">
        <f t="shared" ca="1" si="64"/>
        <v>0</v>
      </c>
      <c r="BJ26" s="3460">
        <f t="shared" ca="1" si="65"/>
        <v>0</v>
      </c>
      <c r="BL26" s="595">
        <f t="shared" ca="1" si="10"/>
        <v>0</v>
      </c>
      <c r="BM26" s="595"/>
      <c r="BN26" s="413"/>
      <c r="BO26" s="2789">
        <f t="shared" ca="1" si="66"/>
        <v>0</v>
      </c>
      <c r="BP26" s="2790">
        <f t="shared" ca="1" si="66"/>
        <v>0</v>
      </c>
      <c r="BQ26" s="2790">
        <f t="shared" ca="1" si="66"/>
        <v>0</v>
      </c>
      <c r="BR26" s="2790">
        <f t="shared" ca="1" si="66"/>
        <v>0</v>
      </c>
      <c r="BS26" s="2790">
        <f t="shared" ca="1" si="66"/>
        <v>0</v>
      </c>
      <c r="BT26" s="2790">
        <f t="shared" ca="1" si="66"/>
        <v>0</v>
      </c>
      <c r="BU26" s="2790">
        <f t="shared" ca="1" si="66"/>
        <v>0</v>
      </c>
      <c r="BV26" s="2790">
        <f t="shared" ca="1" si="66"/>
        <v>0</v>
      </c>
      <c r="BW26" s="2790">
        <f t="shared" ca="1" si="66"/>
        <v>0</v>
      </c>
      <c r="BX26" s="2790">
        <f t="shared" ca="1" si="66"/>
        <v>0</v>
      </c>
      <c r="BY26" s="2790">
        <f t="shared" ca="1" si="67"/>
        <v>0</v>
      </c>
      <c r="BZ26" s="2790">
        <f t="shared" ca="1" si="67"/>
        <v>0</v>
      </c>
      <c r="CA26" s="2790">
        <f t="shared" ca="1" si="67"/>
        <v>0</v>
      </c>
      <c r="CB26" s="2790">
        <f t="shared" ca="1" si="67"/>
        <v>0</v>
      </c>
      <c r="CC26" s="2790">
        <f t="shared" ca="1" si="67"/>
        <v>0</v>
      </c>
      <c r="CD26" s="2790">
        <f t="shared" ca="1" si="67"/>
        <v>0</v>
      </c>
      <c r="CE26" s="2790">
        <f t="shared" ca="1" si="67"/>
        <v>0</v>
      </c>
      <c r="CF26" s="2790">
        <f t="shared" ca="1" si="67"/>
        <v>0</v>
      </c>
      <c r="CG26" s="2790">
        <f t="shared" ca="1" si="67"/>
        <v>0</v>
      </c>
      <c r="CH26" s="2790">
        <f t="shared" ca="1" si="67"/>
        <v>0</v>
      </c>
      <c r="CI26" s="2790">
        <f t="shared" ca="1" si="68"/>
        <v>0</v>
      </c>
      <c r="CJ26" s="2790">
        <f t="shared" ca="1" si="68"/>
        <v>0</v>
      </c>
      <c r="CK26" s="2790">
        <f t="shared" ca="1" si="68"/>
        <v>0</v>
      </c>
      <c r="CL26" s="2790">
        <f t="shared" ca="1" si="68"/>
        <v>0</v>
      </c>
      <c r="CM26" s="2790">
        <f t="shared" ca="1" si="68"/>
        <v>0</v>
      </c>
      <c r="CN26" s="2790">
        <f t="shared" ca="1" si="68"/>
        <v>0</v>
      </c>
      <c r="CO26" s="2790">
        <f t="shared" ca="1" si="68"/>
        <v>0</v>
      </c>
      <c r="CP26" s="2790">
        <f t="shared" ca="1" si="68"/>
        <v>0</v>
      </c>
      <c r="CQ26" s="2790">
        <f t="shared" ca="1" si="68"/>
        <v>0</v>
      </c>
      <c r="CR26" s="2790">
        <f t="shared" ca="1" si="68"/>
        <v>0</v>
      </c>
      <c r="CS26" s="2790">
        <f t="shared" ca="1" si="69"/>
        <v>0</v>
      </c>
      <c r="CT26" s="2790">
        <f t="shared" ca="1" si="69"/>
        <v>0</v>
      </c>
      <c r="CU26" s="2790">
        <f t="shared" ca="1" si="69"/>
        <v>2.3006666371527675</v>
      </c>
      <c r="CV26" s="2790">
        <f t="shared" ca="1" si="69"/>
        <v>1.9773806021913289E-3</v>
      </c>
      <c r="CW26" s="2790">
        <f t="shared" ca="1" si="69"/>
        <v>5.8379808255172565E-3</v>
      </c>
      <c r="CX26" s="2790">
        <f t="shared" ca="1" si="69"/>
        <v>0</v>
      </c>
      <c r="CY26" s="2790">
        <f t="shared" ca="1" si="69"/>
        <v>0</v>
      </c>
      <c r="CZ26" s="2790">
        <f t="shared" ca="1" si="69"/>
        <v>0</v>
      </c>
      <c r="DA26" s="2790">
        <f t="shared" ca="1" si="69"/>
        <v>0</v>
      </c>
      <c r="DB26" s="2790">
        <f t="shared" ca="1" si="69"/>
        <v>0</v>
      </c>
      <c r="DC26" s="2790">
        <f t="shared" ca="1" si="69"/>
        <v>0</v>
      </c>
      <c r="DD26" s="2790">
        <f t="shared" ca="1" si="69"/>
        <v>0</v>
      </c>
      <c r="DE26" s="2790">
        <f t="shared" ca="1" si="69"/>
        <v>0</v>
      </c>
      <c r="DF26" s="2790">
        <f t="shared" ca="1" si="69"/>
        <v>0</v>
      </c>
      <c r="DH26" s="596">
        <f t="shared" ca="1" si="33"/>
        <v>2.3084819985804761</v>
      </c>
    </row>
    <row r="27" spans="1:112" s="6" customFormat="1" ht="10.5" customHeight="1" outlineLevel="2">
      <c r="A27" s="597"/>
      <c r="B27" s="597"/>
      <c r="C27" s="598" t="s">
        <v>483</v>
      </c>
      <c r="D27" s="624" t="s">
        <v>484</v>
      </c>
      <c r="E27" s="599"/>
      <c r="G27" s="600">
        <f t="shared" ca="1" si="56"/>
        <v>0</v>
      </c>
      <c r="H27" s="600">
        <f t="shared" ca="1" si="56"/>
        <v>0</v>
      </c>
      <c r="I27" s="600">
        <f t="shared" ca="1" si="56"/>
        <v>0</v>
      </c>
      <c r="J27" s="600">
        <f t="shared" ca="1" si="56"/>
        <v>0</v>
      </c>
      <c r="K27" s="600">
        <f t="shared" ca="1" si="56"/>
        <v>0</v>
      </c>
      <c r="L27" s="600">
        <f t="shared" ca="1" si="56"/>
        <v>0</v>
      </c>
      <c r="M27" s="600">
        <f t="shared" ca="1" si="56"/>
        <v>0</v>
      </c>
      <c r="N27" s="600">
        <f t="shared" ca="1" si="56"/>
        <v>0</v>
      </c>
      <c r="O27" s="600">
        <f t="shared" ca="1" si="56"/>
        <v>0</v>
      </c>
      <c r="P27" s="600">
        <f t="shared" ca="1" si="56"/>
        <v>0</v>
      </c>
      <c r="Q27" s="601">
        <f t="shared" ca="1" si="57"/>
        <v>0</v>
      </c>
      <c r="S27" s="602">
        <f t="shared" ca="1" si="58"/>
        <v>0</v>
      </c>
      <c r="T27" s="602">
        <f t="shared" ca="1" si="58"/>
        <v>0</v>
      </c>
      <c r="U27" s="602">
        <f t="shared" ca="1" si="58"/>
        <v>0</v>
      </c>
      <c r="V27" s="602">
        <f t="shared" ca="1" si="58"/>
        <v>0</v>
      </c>
      <c r="W27" s="602">
        <f t="shared" ca="1" si="58"/>
        <v>0</v>
      </c>
      <c r="X27" s="602">
        <f t="shared" ca="1" si="59"/>
        <v>0</v>
      </c>
      <c r="Y27" s="602">
        <f t="shared" ca="1" si="59"/>
        <v>0</v>
      </c>
      <c r="Z27" s="602">
        <f t="shared" ca="1" si="59"/>
        <v>0</v>
      </c>
      <c r="AA27" s="602">
        <f t="shared" ca="1" si="58"/>
        <v>0</v>
      </c>
      <c r="AB27" s="602">
        <f t="shared" ca="1" si="58"/>
        <v>0</v>
      </c>
      <c r="AC27" s="602">
        <f t="shared" ca="1" si="58"/>
        <v>0</v>
      </c>
      <c r="AD27" s="602">
        <f t="shared" ca="1" si="58"/>
        <v>0</v>
      </c>
      <c r="AE27" s="602">
        <f t="shared" ca="1" si="58"/>
        <v>0</v>
      </c>
      <c r="AF27" s="602">
        <f t="shared" ca="1" si="58"/>
        <v>0</v>
      </c>
      <c r="AG27" s="602">
        <f t="shared" ca="1" si="58"/>
        <v>0</v>
      </c>
      <c r="AH27" s="602">
        <f t="shared" ca="1" si="58"/>
        <v>0</v>
      </c>
      <c r="AI27" s="602">
        <f t="shared" ca="1" si="58"/>
        <v>0</v>
      </c>
      <c r="AJ27" s="602">
        <f t="shared" ca="1" si="58"/>
        <v>0</v>
      </c>
      <c r="AK27" s="603">
        <f t="shared" ca="1" si="60"/>
        <v>0</v>
      </c>
      <c r="AM27" s="604">
        <f t="shared" ca="1" si="61"/>
        <v>0</v>
      </c>
      <c r="AN27" s="604">
        <f t="shared" ca="1" si="61"/>
        <v>0</v>
      </c>
      <c r="AO27" s="604">
        <f t="shared" ca="1" si="61"/>
        <v>0</v>
      </c>
      <c r="AP27" s="604">
        <f t="shared" ca="1" si="61"/>
        <v>0</v>
      </c>
      <c r="AQ27" s="604">
        <f t="shared" ca="1" si="61"/>
        <v>0</v>
      </c>
      <c r="AR27" s="604">
        <f t="shared" ca="1" si="61"/>
        <v>0</v>
      </c>
      <c r="AS27" s="604">
        <f t="shared" ca="1" si="61"/>
        <v>0</v>
      </c>
      <c r="AT27" s="604">
        <f t="shared" ca="1" si="61"/>
        <v>0</v>
      </c>
      <c r="AU27" s="604">
        <f t="shared" ca="1" si="61"/>
        <v>0</v>
      </c>
      <c r="AV27" s="604">
        <f t="shared" ca="1" si="62"/>
        <v>0</v>
      </c>
      <c r="AW27" s="604">
        <f t="shared" ca="1" si="62"/>
        <v>0</v>
      </c>
      <c r="AX27" s="604">
        <f t="shared" ca="1" si="62"/>
        <v>0</v>
      </c>
      <c r="AY27" s="604">
        <f t="shared" ca="1" si="62"/>
        <v>0</v>
      </c>
      <c r="AZ27" s="604">
        <f t="shared" ca="1" si="62"/>
        <v>0</v>
      </c>
      <c r="BA27" s="604">
        <f t="shared" ca="1" si="62"/>
        <v>0</v>
      </c>
      <c r="BB27" s="604">
        <f t="shared" ca="1" si="62"/>
        <v>0</v>
      </c>
      <c r="BC27" s="604">
        <f t="shared" ca="1" si="62"/>
        <v>0</v>
      </c>
      <c r="BD27" s="604">
        <f t="shared" ca="1" si="62"/>
        <v>0</v>
      </c>
      <c r="BE27" s="604">
        <f t="shared" ca="1" si="62"/>
        <v>0</v>
      </c>
      <c r="BF27" s="605">
        <f t="shared" ca="1" si="63"/>
        <v>0</v>
      </c>
      <c r="BH27" s="3472">
        <f t="shared" ca="1" si="64"/>
        <v>0</v>
      </c>
      <c r="BI27" s="3472">
        <f t="shared" ca="1" si="64"/>
        <v>0</v>
      </c>
      <c r="BJ27" s="3461">
        <f t="shared" ca="1" si="65"/>
        <v>0</v>
      </c>
      <c r="BL27" s="606">
        <f t="shared" ca="1" si="10"/>
        <v>0</v>
      </c>
      <c r="BM27" s="606"/>
      <c r="BN27" s="413"/>
      <c r="BO27" s="2789">
        <f t="shared" ca="1" si="66"/>
        <v>0</v>
      </c>
      <c r="BP27" s="2790">
        <f t="shared" ca="1" si="66"/>
        <v>0</v>
      </c>
      <c r="BQ27" s="2790">
        <f t="shared" ca="1" si="66"/>
        <v>0</v>
      </c>
      <c r="BR27" s="2790">
        <f t="shared" ca="1" si="66"/>
        <v>0</v>
      </c>
      <c r="BS27" s="2790">
        <f t="shared" ca="1" si="66"/>
        <v>0</v>
      </c>
      <c r="BT27" s="2790">
        <f t="shared" ca="1" si="66"/>
        <v>0</v>
      </c>
      <c r="BU27" s="2790">
        <f t="shared" ca="1" si="66"/>
        <v>0</v>
      </c>
      <c r="BV27" s="2790">
        <f t="shared" ca="1" si="66"/>
        <v>0</v>
      </c>
      <c r="BW27" s="2790">
        <f t="shared" ca="1" si="66"/>
        <v>0</v>
      </c>
      <c r="BX27" s="2790">
        <f t="shared" ca="1" si="66"/>
        <v>0</v>
      </c>
      <c r="BY27" s="2790">
        <f t="shared" ca="1" si="67"/>
        <v>0</v>
      </c>
      <c r="BZ27" s="2790">
        <f t="shared" ca="1" si="67"/>
        <v>0</v>
      </c>
      <c r="CA27" s="2790">
        <f t="shared" ca="1" si="67"/>
        <v>0</v>
      </c>
      <c r="CB27" s="2790">
        <f t="shared" ca="1" si="67"/>
        <v>0</v>
      </c>
      <c r="CC27" s="2790">
        <f t="shared" ca="1" si="67"/>
        <v>0</v>
      </c>
      <c r="CD27" s="2790">
        <f t="shared" ca="1" si="67"/>
        <v>0</v>
      </c>
      <c r="CE27" s="2790">
        <f t="shared" ca="1" si="67"/>
        <v>0</v>
      </c>
      <c r="CF27" s="2790">
        <f t="shared" ca="1" si="67"/>
        <v>0</v>
      </c>
      <c r="CG27" s="2790">
        <f t="shared" ca="1" si="67"/>
        <v>0</v>
      </c>
      <c r="CH27" s="2790">
        <f t="shared" ca="1" si="67"/>
        <v>0</v>
      </c>
      <c r="CI27" s="2790">
        <f t="shared" ca="1" si="68"/>
        <v>0</v>
      </c>
      <c r="CJ27" s="2790">
        <f t="shared" ca="1" si="68"/>
        <v>0</v>
      </c>
      <c r="CK27" s="2790">
        <f t="shared" ca="1" si="68"/>
        <v>0</v>
      </c>
      <c r="CL27" s="2790">
        <f t="shared" ca="1" si="68"/>
        <v>0</v>
      </c>
      <c r="CM27" s="2790">
        <f t="shared" ca="1" si="68"/>
        <v>0</v>
      </c>
      <c r="CN27" s="2790">
        <f t="shared" ca="1" si="68"/>
        <v>0</v>
      </c>
      <c r="CO27" s="2790">
        <f t="shared" ca="1" si="68"/>
        <v>0</v>
      </c>
      <c r="CP27" s="2790">
        <f t="shared" ca="1" si="68"/>
        <v>0</v>
      </c>
      <c r="CQ27" s="2790">
        <f t="shared" ca="1" si="68"/>
        <v>0</v>
      </c>
      <c r="CR27" s="2790">
        <f t="shared" ca="1" si="68"/>
        <v>0</v>
      </c>
      <c r="CS27" s="2790">
        <f t="shared" ca="1" si="69"/>
        <v>0</v>
      </c>
      <c r="CT27" s="2790">
        <f t="shared" ca="1" si="69"/>
        <v>0</v>
      </c>
      <c r="CU27" s="2790">
        <f t="shared" ca="1" si="69"/>
        <v>0</v>
      </c>
      <c r="CV27" s="2790">
        <f t="shared" ca="1" si="69"/>
        <v>0</v>
      </c>
      <c r="CW27" s="2790">
        <f t="shared" ca="1" si="69"/>
        <v>0</v>
      </c>
      <c r="CX27" s="2790">
        <f t="shared" ca="1" si="69"/>
        <v>0</v>
      </c>
      <c r="CY27" s="2790">
        <f t="shared" ca="1" si="69"/>
        <v>0</v>
      </c>
      <c r="CZ27" s="2790">
        <f t="shared" ca="1" si="69"/>
        <v>0</v>
      </c>
      <c r="DA27" s="2790">
        <f t="shared" ca="1" si="69"/>
        <v>0</v>
      </c>
      <c r="DB27" s="2790">
        <f t="shared" ca="1" si="69"/>
        <v>0</v>
      </c>
      <c r="DC27" s="2790">
        <f t="shared" ca="1" si="69"/>
        <v>0</v>
      </c>
      <c r="DD27" s="2790">
        <f t="shared" ca="1" si="69"/>
        <v>0</v>
      </c>
      <c r="DE27" s="2790">
        <f t="shared" ca="1" si="69"/>
        <v>0</v>
      </c>
      <c r="DF27" s="2790">
        <f t="shared" ca="1" si="69"/>
        <v>0</v>
      </c>
      <c r="DH27" s="596">
        <f t="shared" ca="1" si="33"/>
        <v>0</v>
      </c>
    </row>
    <row r="28" spans="1:112" s="6" customFormat="1" ht="10.5" customHeight="1" outlineLevel="1">
      <c r="A28" s="607"/>
      <c r="B28" s="607"/>
      <c r="C28" s="587"/>
      <c r="D28" s="623" t="s">
        <v>485</v>
      </c>
      <c r="E28" s="599"/>
      <c r="G28" s="590">
        <f ca="1">SUM(G26:G27)</f>
        <v>0</v>
      </c>
      <c r="H28" s="590">
        <f t="shared" ref="H28:P28" ca="1" si="70">SUM(H26:H27)</f>
        <v>0</v>
      </c>
      <c r="I28" s="590">
        <f t="shared" ca="1" si="70"/>
        <v>0</v>
      </c>
      <c r="J28" s="590">
        <f t="shared" ca="1" si="70"/>
        <v>0</v>
      </c>
      <c r="K28" s="590">
        <f t="shared" ca="1" si="70"/>
        <v>0</v>
      </c>
      <c r="L28" s="590">
        <f t="shared" ca="1" si="70"/>
        <v>0</v>
      </c>
      <c r="M28" s="590">
        <f t="shared" ca="1" si="70"/>
        <v>0</v>
      </c>
      <c r="N28" s="590">
        <f ca="1">SUM(N26:N27)</f>
        <v>8.7186093571046239</v>
      </c>
      <c r="O28" s="590">
        <f ca="1">SUM(O26:O27)</f>
        <v>0</v>
      </c>
      <c r="P28" s="590">
        <f t="shared" ca="1" si="70"/>
        <v>0</v>
      </c>
      <c r="Q28" s="590">
        <f t="shared" ca="1" si="57"/>
        <v>8.7186093571046239</v>
      </c>
      <c r="S28" s="592">
        <f t="shared" ref="S28:AJ28" ca="1" si="71">SUM(S26:S27)</f>
        <v>0</v>
      </c>
      <c r="T28" s="592">
        <f t="shared" ca="1" si="71"/>
        <v>0</v>
      </c>
      <c r="U28" s="592">
        <f t="shared" ca="1" si="71"/>
        <v>0</v>
      </c>
      <c r="V28" s="592">
        <f t="shared" ca="1" si="71"/>
        <v>-8.7186093571046239</v>
      </c>
      <c r="W28" s="592">
        <f t="shared" ca="1" si="71"/>
        <v>0</v>
      </c>
      <c r="X28" s="592">
        <f t="shared" ca="1" si="71"/>
        <v>0</v>
      </c>
      <c r="Y28" s="592">
        <f t="shared" ca="1" si="71"/>
        <v>0</v>
      </c>
      <c r="Z28" s="592">
        <f t="shared" ca="1" si="71"/>
        <v>0</v>
      </c>
      <c r="AA28" s="592">
        <f t="shared" ca="1" si="71"/>
        <v>0</v>
      </c>
      <c r="AB28" s="592">
        <f t="shared" ca="1" si="71"/>
        <v>0</v>
      </c>
      <c r="AC28" s="592">
        <f t="shared" ca="1" si="71"/>
        <v>0</v>
      </c>
      <c r="AD28" s="592">
        <f t="shared" ca="1" si="71"/>
        <v>0</v>
      </c>
      <c r="AE28" s="592">
        <f ca="1">SUM(AE26:AE27)</f>
        <v>0</v>
      </c>
      <c r="AF28" s="592">
        <f t="shared" ca="1" si="71"/>
        <v>0</v>
      </c>
      <c r="AG28" s="592">
        <f t="shared" ca="1" si="71"/>
        <v>0</v>
      </c>
      <c r="AH28" s="592">
        <f ca="1">SUM(AH26:AH27)</f>
        <v>0</v>
      </c>
      <c r="AI28" s="592">
        <f t="shared" ca="1" si="71"/>
        <v>0</v>
      </c>
      <c r="AJ28" s="592">
        <f t="shared" ca="1" si="71"/>
        <v>0</v>
      </c>
      <c r="AK28" s="592">
        <f t="shared" ca="1" si="60"/>
        <v>-8.7186093571046239</v>
      </c>
      <c r="AM28" s="608">
        <f t="shared" ref="AM28:BE28" ca="1" si="72">SUM(AM26:AM27)</f>
        <v>0</v>
      </c>
      <c r="AN28" s="608">
        <f t="shared" ca="1" si="72"/>
        <v>0</v>
      </c>
      <c r="AO28" s="608">
        <f t="shared" ca="1" si="72"/>
        <v>0</v>
      </c>
      <c r="AP28" s="608">
        <f t="shared" ca="1" si="72"/>
        <v>0</v>
      </c>
      <c r="AQ28" s="608">
        <f t="shared" ca="1" si="72"/>
        <v>0</v>
      </c>
      <c r="AR28" s="608">
        <f t="shared" ca="1" si="72"/>
        <v>0</v>
      </c>
      <c r="AS28" s="608">
        <f t="shared" ca="1" si="72"/>
        <v>0</v>
      </c>
      <c r="AT28" s="608">
        <f t="shared" ca="1" si="72"/>
        <v>0</v>
      </c>
      <c r="AU28" s="608">
        <f t="shared" ca="1" si="72"/>
        <v>0</v>
      </c>
      <c r="AV28" s="608">
        <f t="shared" ca="1" si="72"/>
        <v>0</v>
      </c>
      <c r="AW28" s="608">
        <f t="shared" ca="1" si="72"/>
        <v>0</v>
      </c>
      <c r="AX28" s="608">
        <f t="shared" ca="1" si="72"/>
        <v>0</v>
      </c>
      <c r="AY28" s="608">
        <f t="shared" ca="1" si="72"/>
        <v>0</v>
      </c>
      <c r="AZ28" s="608">
        <f t="shared" ca="1" si="72"/>
        <v>0</v>
      </c>
      <c r="BA28" s="608">
        <f t="shared" ca="1" si="72"/>
        <v>0</v>
      </c>
      <c r="BB28" s="608">
        <f t="shared" ca="1" si="72"/>
        <v>0</v>
      </c>
      <c r="BC28" s="608">
        <f t="shared" ca="1" si="72"/>
        <v>0</v>
      </c>
      <c r="BD28" s="608">
        <f ca="1">SUM(BD26:BD27)</f>
        <v>0</v>
      </c>
      <c r="BE28" s="608">
        <f t="shared" ca="1" si="72"/>
        <v>0</v>
      </c>
      <c r="BF28" s="594">
        <f t="shared" ca="1" si="63"/>
        <v>0</v>
      </c>
      <c r="BH28" s="3460">
        <f ca="1">SUM(BH26:BH27)</f>
        <v>0</v>
      </c>
      <c r="BI28" s="3460">
        <f ca="1">SUM(BI26:BI27)</f>
        <v>0</v>
      </c>
      <c r="BJ28" s="3460">
        <f t="shared" ca="1" si="65"/>
        <v>0</v>
      </c>
      <c r="BL28" s="595">
        <f t="shared" ca="1" si="10"/>
        <v>0</v>
      </c>
      <c r="BM28" s="595"/>
      <c r="BN28" s="413"/>
      <c r="BO28" s="2789">
        <f t="shared" ref="BO28:DF28" ca="1" si="73">SUM(BO26:BO27)</f>
        <v>0</v>
      </c>
      <c r="BP28" s="2790">
        <f t="shared" ca="1" si="73"/>
        <v>0</v>
      </c>
      <c r="BQ28" s="2790">
        <f t="shared" ca="1" si="73"/>
        <v>0</v>
      </c>
      <c r="BR28" s="2790">
        <f t="shared" ca="1" si="73"/>
        <v>0</v>
      </c>
      <c r="BS28" s="2790">
        <f t="shared" ca="1" si="73"/>
        <v>0</v>
      </c>
      <c r="BT28" s="2790">
        <f t="shared" ca="1" si="73"/>
        <v>0</v>
      </c>
      <c r="BU28" s="2790">
        <f t="shared" ca="1" si="73"/>
        <v>0</v>
      </c>
      <c r="BV28" s="2790">
        <f t="shared" ca="1" si="73"/>
        <v>0</v>
      </c>
      <c r="BW28" s="2790">
        <f t="shared" ca="1" si="73"/>
        <v>0</v>
      </c>
      <c r="BX28" s="2790">
        <f t="shared" ca="1" si="73"/>
        <v>0</v>
      </c>
      <c r="BY28" s="2790">
        <f t="shared" ca="1" si="73"/>
        <v>0</v>
      </c>
      <c r="BZ28" s="2790">
        <f t="shared" ca="1" si="73"/>
        <v>0</v>
      </c>
      <c r="CA28" s="2790">
        <f t="shared" ca="1" si="73"/>
        <v>0</v>
      </c>
      <c r="CB28" s="2790">
        <f t="shared" ca="1" si="73"/>
        <v>0</v>
      </c>
      <c r="CC28" s="2790">
        <f t="shared" ca="1" si="73"/>
        <v>0</v>
      </c>
      <c r="CD28" s="2790">
        <f t="shared" ca="1" si="73"/>
        <v>0</v>
      </c>
      <c r="CE28" s="2790">
        <f t="shared" ca="1" si="73"/>
        <v>0</v>
      </c>
      <c r="CF28" s="2790">
        <f t="shared" ca="1" si="73"/>
        <v>0</v>
      </c>
      <c r="CG28" s="2790">
        <f t="shared" ca="1" si="73"/>
        <v>0</v>
      </c>
      <c r="CH28" s="2790">
        <f t="shared" ca="1" si="73"/>
        <v>0</v>
      </c>
      <c r="CI28" s="2790">
        <f t="shared" ca="1" si="73"/>
        <v>0</v>
      </c>
      <c r="CJ28" s="2790">
        <f t="shared" ca="1" si="73"/>
        <v>0</v>
      </c>
      <c r="CK28" s="2790">
        <f t="shared" ca="1" si="73"/>
        <v>0</v>
      </c>
      <c r="CL28" s="2790">
        <f t="shared" ca="1" si="73"/>
        <v>0</v>
      </c>
      <c r="CM28" s="2790">
        <f t="shared" ca="1" si="73"/>
        <v>0</v>
      </c>
      <c r="CN28" s="2790">
        <f t="shared" ca="1" si="73"/>
        <v>0</v>
      </c>
      <c r="CO28" s="2790">
        <f t="shared" ca="1" si="73"/>
        <v>0</v>
      </c>
      <c r="CP28" s="2790">
        <f t="shared" ca="1" si="73"/>
        <v>0</v>
      </c>
      <c r="CQ28" s="2790">
        <f t="shared" ca="1" si="73"/>
        <v>0</v>
      </c>
      <c r="CR28" s="2790">
        <f t="shared" ca="1" si="73"/>
        <v>0</v>
      </c>
      <c r="CS28" s="2790">
        <f t="shared" ca="1" si="73"/>
        <v>0</v>
      </c>
      <c r="CT28" s="2790">
        <f t="shared" ca="1" si="73"/>
        <v>0</v>
      </c>
      <c r="CU28" s="2790">
        <f t="shared" ca="1" si="73"/>
        <v>2.3006666371527675</v>
      </c>
      <c r="CV28" s="2790">
        <f t="shared" ca="1" si="73"/>
        <v>1.9773806021913289E-3</v>
      </c>
      <c r="CW28" s="2790">
        <f t="shared" ca="1" si="73"/>
        <v>5.8379808255172565E-3</v>
      </c>
      <c r="CX28" s="2790">
        <f t="shared" ca="1" si="73"/>
        <v>0</v>
      </c>
      <c r="CY28" s="2790">
        <f t="shared" ca="1" si="73"/>
        <v>0</v>
      </c>
      <c r="CZ28" s="2790">
        <f t="shared" ca="1" si="73"/>
        <v>0</v>
      </c>
      <c r="DA28" s="2790">
        <f t="shared" ca="1" si="73"/>
        <v>0</v>
      </c>
      <c r="DB28" s="2790">
        <f t="shared" ca="1" si="73"/>
        <v>0</v>
      </c>
      <c r="DC28" s="2790">
        <f t="shared" ca="1" si="73"/>
        <v>0</v>
      </c>
      <c r="DD28" s="2790">
        <f t="shared" ca="1" si="73"/>
        <v>0</v>
      </c>
      <c r="DE28" s="2790">
        <f t="shared" ca="1" si="73"/>
        <v>0</v>
      </c>
      <c r="DF28" s="2790">
        <f t="shared" ca="1" si="73"/>
        <v>0</v>
      </c>
      <c r="DH28" s="596">
        <f t="shared" ca="1" si="33"/>
        <v>2.3084819985804761</v>
      </c>
    </row>
    <row r="29" spans="1:112" s="6" customFormat="1" ht="12.75" customHeight="1" outlineLevel="2">
      <c r="A29" s="586"/>
      <c r="B29" s="586"/>
      <c r="C29" s="587" t="s">
        <v>486</v>
      </c>
      <c r="D29" s="623" t="s">
        <v>374</v>
      </c>
      <c r="E29" s="599"/>
      <c r="G29" s="589">
        <f t="shared" ref="G29:P30" ca="1" si="74">IFERROR(INDEX(INDIRECT($C29&amp;".Outputs["&amp;this.Year&amp;"]"), MATCH(G$5, INDIRECT($C29&amp;".Outputs[Vector]"), 0)), 0)</f>
        <v>0</v>
      </c>
      <c r="H29" s="589">
        <f t="shared" ca="1" si="74"/>
        <v>0</v>
      </c>
      <c r="I29" s="589">
        <f t="shared" ca="1" si="74"/>
        <v>0</v>
      </c>
      <c r="J29" s="589">
        <f t="shared" ca="1" si="74"/>
        <v>0</v>
      </c>
      <c r="K29" s="589">
        <f t="shared" ca="1" si="74"/>
        <v>0</v>
      </c>
      <c r="L29" s="589">
        <f t="shared" ca="1" si="74"/>
        <v>0</v>
      </c>
      <c r="M29" s="589">
        <f t="shared" ca="1" si="74"/>
        <v>0</v>
      </c>
      <c r="N29" s="589">
        <f t="shared" ca="1" si="74"/>
        <v>0</v>
      </c>
      <c r="O29" s="589">
        <f t="shared" ca="1" si="74"/>
        <v>0</v>
      </c>
      <c r="P29" s="589">
        <f t="shared" ca="1" si="74"/>
        <v>0</v>
      </c>
      <c r="Q29" s="590">
        <f t="shared" ca="1" si="57"/>
        <v>0</v>
      </c>
      <c r="S29" s="591">
        <f t="shared" ca="1" si="58"/>
        <v>0</v>
      </c>
      <c r="T29" s="591">
        <f t="shared" ca="1" si="58"/>
        <v>0</v>
      </c>
      <c r="U29" s="591">
        <f t="shared" ca="1" si="58"/>
        <v>0</v>
      </c>
      <c r="V29" s="591">
        <f t="shared" ca="1" si="58"/>
        <v>0</v>
      </c>
      <c r="W29" s="591">
        <f t="shared" ca="1" si="58"/>
        <v>0</v>
      </c>
      <c r="X29" s="591">
        <f t="shared" ref="X29:Z30" ca="1" si="75">IFERROR(INDEX(INDIRECT($C29&amp;".Outputs["&amp;this.Year&amp;"]"), MATCH(X$5, INDIRECT($C29&amp;".Outputs[Vector]"), 0)), 0)</f>
        <v>0</v>
      </c>
      <c r="Y29" s="591">
        <f t="shared" ca="1" si="75"/>
        <v>0</v>
      </c>
      <c r="Z29" s="591">
        <f t="shared" ca="1" si="75"/>
        <v>0</v>
      </c>
      <c r="AA29" s="591">
        <f t="shared" ca="1" si="58"/>
        <v>0</v>
      </c>
      <c r="AB29" s="591">
        <f t="shared" ca="1" si="58"/>
        <v>0</v>
      </c>
      <c r="AC29" s="591">
        <f t="shared" ca="1" si="58"/>
        <v>0</v>
      </c>
      <c r="AD29" s="591">
        <f t="shared" ca="1" si="58"/>
        <v>0</v>
      </c>
      <c r="AE29" s="591">
        <f t="shared" ca="1" si="58"/>
        <v>0</v>
      </c>
      <c r="AF29" s="591">
        <f t="shared" ca="1" si="58"/>
        <v>0</v>
      </c>
      <c r="AG29" s="591">
        <f t="shared" ca="1" si="58"/>
        <v>0</v>
      </c>
      <c r="AH29" s="591">
        <f t="shared" ca="1" si="58"/>
        <v>0</v>
      </c>
      <c r="AI29" s="591">
        <f t="shared" ca="1" si="58"/>
        <v>0</v>
      </c>
      <c r="AJ29" s="591">
        <f t="shared" ca="1" si="58"/>
        <v>0</v>
      </c>
      <c r="AK29" s="592">
        <f t="shared" ca="1" si="60"/>
        <v>0</v>
      </c>
      <c r="AM29" s="593">
        <f t="shared" ref="AM29:AU30" ca="1" si="76">IFERROR(INDEX(INDIRECT($C29&amp;".Outputs["&amp;this.Year&amp;"]"), MATCH(AM$5, INDIRECT($C29&amp;".Outputs[Vector]"), 0)), 0)</f>
        <v>0</v>
      </c>
      <c r="AN29" s="593">
        <f t="shared" ca="1" si="76"/>
        <v>0</v>
      </c>
      <c r="AO29" s="593">
        <f t="shared" ca="1" si="76"/>
        <v>0</v>
      </c>
      <c r="AP29" s="593">
        <f t="shared" ca="1" si="76"/>
        <v>0</v>
      </c>
      <c r="AQ29" s="593">
        <f t="shared" ca="1" si="76"/>
        <v>0</v>
      </c>
      <c r="AR29" s="593">
        <f t="shared" ca="1" si="76"/>
        <v>0</v>
      </c>
      <c r="AS29" s="593">
        <f t="shared" ca="1" si="76"/>
        <v>0</v>
      </c>
      <c r="AT29" s="593">
        <f t="shared" ca="1" si="76"/>
        <v>0</v>
      </c>
      <c r="AU29" s="593">
        <f t="shared" ca="1" si="76"/>
        <v>0</v>
      </c>
      <c r="AV29" s="593">
        <f t="shared" ca="1" si="62"/>
        <v>0</v>
      </c>
      <c r="AW29" s="593">
        <f t="shared" ca="1" si="62"/>
        <v>0</v>
      </c>
      <c r="AX29" s="593">
        <f t="shared" ca="1" si="62"/>
        <v>0</v>
      </c>
      <c r="AY29" s="593">
        <f t="shared" ca="1" si="62"/>
        <v>0</v>
      </c>
      <c r="AZ29" s="593">
        <f t="shared" ca="1" si="62"/>
        <v>0</v>
      </c>
      <c r="BA29" s="593">
        <f t="shared" ca="1" si="62"/>
        <v>0</v>
      </c>
      <c r="BB29" s="593">
        <f t="shared" ca="1" si="62"/>
        <v>0</v>
      </c>
      <c r="BC29" s="593">
        <f t="shared" ca="1" si="62"/>
        <v>0</v>
      </c>
      <c r="BD29" s="593">
        <f t="shared" ca="1" si="62"/>
        <v>0</v>
      </c>
      <c r="BE29" s="593">
        <f t="shared" ca="1" si="62"/>
        <v>0</v>
      </c>
      <c r="BF29" s="609">
        <f t="shared" ca="1" si="63"/>
        <v>0</v>
      </c>
      <c r="BH29" s="3471">
        <f t="shared" ca="1" si="64"/>
        <v>0</v>
      </c>
      <c r="BI29" s="3471">
        <f t="shared" ca="1" si="64"/>
        <v>0</v>
      </c>
      <c r="BJ29" s="3460">
        <f t="shared" ca="1" si="65"/>
        <v>0</v>
      </c>
      <c r="BL29" s="610">
        <f t="shared" ca="1" si="10"/>
        <v>0</v>
      </c>
      <c r="BM29" s="610"/>
      <c r="BN29" s="413"/>
      <c r="BO29" s="2789">
        <f t="shared" ref="BO29:BX30" ca="1" si="77">IFERROR(SUMIFS(INDIRECT($C29&amp;".Emissions["&amp;this.Year&amp;"]"), INDIRECT($C29&amp;".Emissions[GHG]"), BO$6, INDIRECT($C29&amp;".Emissions[IPCC Sector]"), BO$5),0)</f>
        <v>0</v>
      </c>
      <c r="BP29" s="2790">
        <f t="shared" ca="1" si="77"/>
        <v>0</v>
      </c>
      <c r="BQ29" s="2790">
        <f t="shared" ca="1" si="77"/>
        <v>0</v>
      </c>
      <c r="BR29" s="2790">
        <f t="shared" ca="1" si="77"/>
        <v>0</v>
      </c>
      <c r="BS29" s="2790">
        <f t="shared" ca="1" si="77"/>
        <v>0</v>
      </c>
      <c r="BT29" s="2790">
        <f t="shared" ca="1" si="77"/>
        <v>0</v>
      </c>
      <c r="BU29" s="2790">
        <f t="shared" ca="1" si="77"/>
        <v>0</v>
      </c>
      <c r="BV29" s="2790">
        <f t="shared" ca="1" si="77"/>
        <v>0</v>
      </c>
      <c r="BW29" s="2790">
        <f t="shared" ca="1" si="77"/>
        <v>0</v>
      </c>
      <c r="BX29" s="2790">
        <f t="shared" ca="1" si="77"/>
        <v>0</v>
      </c>
      <c r="BY29" s="2790">
        <f t="shared" ref="BY29:CH30" ca="1" si="78">IFERROR(SUMIFS(INDIRECT($C29&amp;".Emissions["&amp;this.Year&amp;"]"), INDIRECT($C29&amp;".Emissions[GHG]"), BY$6, INDIRECT($C29&amp;".Emissions[IPCC Sector]"), BY$5),0)</f>
        <v>0</v>
      </c>
      <c r="BZ29" s="2790">
        <f t="shared" ca="1" si="78"/>
        <v>0</v>
      </c>
      <c r="CA29" s="2790">
        <f t="shared" ca="1" si="78"/>
        <v>0</v>
      </c>
      <c r="CB29" s="2790">
        <f t="shared" ca="1" si="78"/>
        <v>0</v>
      </c>
      <c r="CC29" s="2790">
        <f t="shared" ca="1" si="78"/>
        <v>0</v>
      </c>
      <c r="CD29" s="2790">
        <f t="shared" ca="1" si="78"/>
        <v>0</v>
      </c>
      <c r="CE29" s="2790">
        <f t="shared" ca="1" si="78"/>
        <v>0</v>
      </c>
      <c r="CF29" s="2790">
        <f t="shared" ca="1" si="78"/>
        <v>0</v>
      </c>
      <c r="CG29" s="2790">
        <f t="shared" ca="1" si="78"/>
        <v>0</v>
      </c>
      <c r="CH29" s="2790">
        <f t="shared" ca="1" si="78"/>
        <v>0</v>
      </c>
      <c r="CI29" s="2790">
        <f t="shared" ref="CI29:CR30" ca="1" si="79">IFERROR(SUMIFS(INDIRECT($C29&amp;".Emissions["&amp;this.Year&amp;"]"), INDIRECT($C29&amp;".Emissions[GHG]"), CI$6, INDIRECT($C29&amp;".Emissions[IPCC Sector]"), CI$5),0)</f>
        <v>0</v>
      </c>
      <c r="CJ29" s="2790">
        <f t="shared" ca="1" si="79"/>
        <v>0</v>
      </c>
      <c r="CK29" s="2790">
        <f t="shared" ca="1" si="79"/>
        <v>0</v>
      </c>
      <c r="CL29" s="2790">
        <f t="shared" ca="1" si="79"/>
        <v>0</v>
      </c>
      <c r="CM29" s="2790">
        <f t="shared" ca="1" si="79"/>
        <v>0</v>
      </c>
      <c r="CN29" s="2790">
        <f t="shared" ca="1" si="79"/>
        <v>0</v>
      </c>
      <c r="CO29" s="2790">
        <f t="shared" ca="1" si="79"/>
        <v>0</v>
      </c>
      <c r="CP29" s="2790">
        <f t="shared" ca="1" si="79"/>
        <v>0</v>
      </c>
      <c r="CQ29" s="2790">
        <f t="shared" ca="1" si="79"/>
        <v>0</v>
      </c>
      <c r="CR29" s="2790">
        <f t="shared" ca="1" si="79"/>
        <v>0</v>
      </c>
      <c r="CS29" s="2790">
        <f t="shared" ref="CS29:DF30" ca="1" si="80">IFERROR(SUMIFS(INDIRECT($C29&amp;".Emissions["&amp;this.Year&amp;"]"), INDIRECT($C29&amp;".Emissions[GHG]"), CS$6, INDIRECT($C29&amp;".Emissions[IPCC Sector]"), CS$5),0)</f>
        <v>0</v>
      </c>
      <c r="CT29" s="2790">
        <f t="shared" ca="1" si="80"/>
        <v>0</v>
      </c>
      <c r="CU29" s="2790">
        <f t="shared" ca="1" si="80"/>
        <v>0</v>
      </c>
      <c r="CV29" s="2790">
        <f t="shared" ca="1" si="80"/>
        <v>0</v>
      </c>
      <c r="CW29" s="2790">
        <f t="shared" ca="1" si="80"/>
        <v>0</v>
      </c>
      <c r="CX29" s="2790">
        <f t="shared" ca="1" si="80"/>
        <v>0</v>
      </c>
      <c r="CY29" s="2790">
        <f t="shared" ca="1" si="80"/>
        <v>0</v>
      </c>
      <c r="CZ29" s="2790">
        <f t="shared" ca="1" si="80"/>
        <v>0</v>
      </c>
      <c r="DA29" s="2790">
        <f t="shared" ca="1" si="80"/>
        <v>0</v>
      </c>
      <c r="DB29" s="2790">
        <f t="shared" ca="1" si="80"/>
        <v>0</v>
      </c>
      <c r="DC29" s="2790">
        <f t="shared" ca="1" si="80"/>
        <v>0</v>
      </c>
      <c r="DD29" s="2790">
        <f t="shared" ca="1" si="80"/>
        <v>0</v>
      </c>
      <c r="DE29" s="2790">
        <f t="shared" ca="1" si="80"/>
        <v>0</v>
      </c>
      <c r="DF29" s="2790">
        <f t="shared" ca="1" si="80"/>
        <v>0</v>
      </c>
      <c r="DH29" s="596">
        <f t="shared" ca="1" si="33"/>
        <v>0</v>
      </c>
    </row>
    <row r="30" spans="1:112" s="6" customFormat="1" ht="10.5" customHeight="1" outlineLevel="2">
      <c r="A30" s="597"/>
      <c r="B30" s="597"/>
      <c r="C30" s="598" t="s">
        <v>487</v>
      </c>
      <c r="D30" s="624" t="s">
        <v>488</v>
      </c>
      <c r="E30" s="599"/>
      <c r="G30" s="600">
        <f t="shared" ca="1" si="74"/>
        <v>0</v>
      </c>
      <c r="H30" s="600">
        <f t="shared" ca="1" si="74"/>
        <v>0</v>
      </c>
      <c r="I30" s="600">
        <f t="shared" ca="1" si="74"/>
        <v>0</v>
      </c>
      <c r="J30" s="600">
        <f t="shared" ca="1" si="74"/>
        <v>0</v>
      </c>
      <c r="K30" s="600">
        <f t="shared" ca="1" si="74"/>
        <v>0</v>
      </c>
      <c r="L30" s="600">
        <f t="shared" ca="1" si="74"/>
        <v>0</v>
      </c>
      <c r="M30" s="600">
        <f t="shared" ca="1" si="74"/>
        <v>0</v>
      </c>
      <c r="N30" s="600">
        <f t="shared" ca="1" si="74"/>
        <v>0</v>
      </c>
      <c r="O30" s="600">
        <f t="shared" ca="1" si="74"/>
        <v>0</v>
      </c>
      <c r="P30" s="600">
        <f t="shared" ca="1" si="74"/>
        <v>0</v>
      </c>
      <c r="Q30" s="601">
        <f t="shared" ca="1" si="57"/>
        <v>0</v>
      </c>
      <c r="S30" s="602">
        <f t="shared" ca="1" si="58"/>
        <v>0</v>
      </c>
      <c r="T30" s="602">
        <f t="shared" ca="1" si="58"/>
        <v>0</v>
      </c>
      <c r="U30" s="602">
        <f t="shared" ca="1" si="58"/>
        <v>0</v>
      </c>
      <c r="V30" s="602">
        <f t="shared" ca="1" si="58"/>
        <v>0</v>
      </c>
      <c r="W30" s="602">
        <f t="shared" ca="1" si="58"/>
        <v>0</v>
      </c>
      <c r="X30" s="602">
        <f t="shared" ca="1" si="75"/>
        <v>0</v>
      </c>
      <c r="Y30" s="602">
        <f t="shared" ca="1" si="75"/>
        <v>0</v>
      </c>
      <c r="Z30" s="602">
        <f t="shared" ca="1" si="75"/>
        <v>0</v>
      </c>
      <c r="AA30" s="602">
        <f t="shared" ca="1" si="58"/>
        <v>0</v>
      </c>
      <c r="AB30" s="602">
        <f t="shared" ca="1" si="58"/>
        <v>0</v>
      </c>
      <c r="AC30" s="602">
        <f t="shared" ca="1" si="58"/>
        <v>0</v>
      </c>
      <c r="AD30" s="602">
        <f t="shared" ca="1" si="58"/>
        <v>0</v>
      </c>
      <c r="AE30" s="602">
        <f t="shared" ca="1" si="58"/>
        <v>0</v>
      </c>
      <c r="AF30" s="602">
        <f t="shared" ca="1" si="58"/>
        <v>0</v>
      </c>
      <c r="AG30" s="602">
        <f t="shared" ca="1" si="58"/>
        <v>0</v>
      </c>
      <c r="AH30" s="602">
        <f t="shared" ca="1" si="58"/>
        <v>0</v>
      </c>
      <c r="AI30" s="602">
        <f t="shared" ca="1" si="58"/>
        <v>0</v>
      </c>
      <c r="AJ30" s="602">
        <f t="shared" ca="1" si="58"/>
        <v>0</v>
      </c>
      <c r="AK30" s="603">
        <f t="shared" ca="1" si="60"/>
        <v>0</v>
      </c>
      <c r="AM30" s="604">
        <f t="shared" ca="1" si="76"/>
        <v>0</v>
      </c>
      <c r="AN30" s="604">
        <f t="shared" ca="1" si="76"/>
        <v>0</v>
      </c>
      <c r="AO30" s="604">
        <f t="shared" ca="1" si="76"/>
        <v>0</v>
      </c>
      <c r="AP30" s="604">
        <f t="shared" ca="1" si="76"/>
        <v>0</v>
      </c>
      <c r="AQ30" s="604">
        <f t="shared" ca="1" si="76"/>
        <v>0</v>
      </c>
      <c r="AR30" s="604">
        <f t="shared" ca="1" si="76"/>
        <v>0</v>
      </c>
      <c r="AS30" s="604">
        <f t="shared" ca="1" si="76"/>
        <v>0</v>
      </c>
      <c r="AT30" s="604">
        <f t="shared" ca="1" si="76"/>
        <v>0</v>
      </c>
      <c r="AU30" s="604">
        <f t="shared" ca="1" si="76"/>
        <v>0</v>
      </c>
      <c r="AV30" s="604">
        <f t="shared" ca="1" si="62"/>
        <v>0</v>
      </c>
      <c r="AW30" s="604">
        <f t="shared" ca="1" si="62"/>
        <v>0</v>
      </c>
      <c r="AX30" s="604">
        <f t="shared" ca="1" si="62"/>
        <v>0</v>
      </c>
      <c r="AY30" s="604">
        <f t="shared" ca="1" si="62"/>
        <v>0</v>
      </c>
      <c r="AZ30" s="604">
        <f t="shared" ca="1" si="62"/>
        <v>0</v>
      </c>
      <c r="BA30" s="604">
        <f t="shared" ca="1" si="62"/>
        <v>0</v>
      </c>
      <c r="BB30" s="604">
        <f t="shared" ca="1" si="62"/>
        <v>0</v>
      </c>
      <c r="BC30" s="604">
        <f t="shared" ca="1" si="62"/>
        <v>0</v>
      </c>
      <c r="BD30" s="604">
        <f t="shared" ca="1" si="62"/>
        <v>0</v>
      </c>
      <c r="BE30" s="604">
        <f t="shared" ca="1" si="62"/>
        <v>0</v>
      </c>
      <c r="BF30" s="605">
        <f t="shared" ca="1" si="63"/>
        <v>0</v>
      </c>
      <c r="BH30" s="3472">
        <f t="shared" ca="1" si="64"/>
        <v>0</v>
      </c>
      <c r="BI30" s="3472">
        <f t="shared" ca="1" si="64"/>
        <v>0</v>
      </c>
      <c r="BJ30" s="3461">
        <f t="shared" ca="1" si="65"/>
        <v>0</v>
      </c>
      <c r="BL30" s="606">
        <f t="shared" ca="1" si="10"/>
        <v>0</v>
      </c>
      <c r="BM30" s="606"/>
      <c r="BN30" s="413"/>
      <c r="BO30" s="2789">
        <f t="shared" ca="1" si="77"/>
        <v>0</v>
      </c>
      <c r="BP30" s="2790">
        <f t="shared" ca="1" si="77"/>
        <v>0</v>
      </c>
      <c r="BQ30" s="2790">
        <f t="shared" ca="1" si="77"/>
        <v>0</v>
      </c>
      <c r="BR30" s="2790">
        <f t="shared" ca="1" si="77"/>
        <v>0</v>
      </c>
      <c r="BS30" s="2790">
        <f t="shared" ca="1" si="77"/>
        <v>0</v>
      </c>
      <c r="BT30" s="2790">
        <f t="shared" ca="1" si="77"/>
        <v>0</v>
      </c>
      <c r="BU30" s="2790">
        <f t="shared" ca="1" si="77"/>
        <v>0</v>
      </c>
      <c r="BV30" s="2790">
        <f t="shared" ca="1" si="77"/>
        <v>0</v>
      </c>
      <c r="BW30" s="2790">
        <f t="shared" ca="1" si="77"/>
        <v>0</v>
      </c>
      <c r="BX30" s="2790">
        <f t="shared" ca="1" si="77"/>
        <v>0</v>
      </c>
      <c r="BY30" s="2790">
        <f t="shared" ca="1" si="78"/>
        <v>0</v>
      </c>
      <c r="BZ30" s="2790">
        <f t="shared" ca="1" si="78"/>
        <v>0</v>
      </c>
      <c r="CA30" s="2790">
        <f t="shared" ca="1" si="78"/>
        <v>0</v>
      </c>
      <c r="CB30" s="2790">
        <f t="shared" ca="1" si="78"/>
        <v>0</v>
      </c>
      <c r="CC30" s="2790">
        <f t="shared" ca="1" si="78"/>
        <v>0</v>
      </c>
      <c r="CD30" s="2790">
        <f t="shared" ca="1" si="78"/>
        <v>0</v>
      </c>
      <c r="CE30" s="2790">
        <f t="shared" ca="1" si="78"/>
        <v>0</v>
      </c>
      <c r="CF30" s="2790">
        <f t="shared" ca="1" si="78"/>
        <v>0</v>
      </c>
      <c r="CG30" s="2790">
        <f t="shared" ca="1" si="78"/>
        <v>0</v>
      </c>
      <c r="CH30" s="2790">
        <f t="shared" ca="1" si="78"/>
        <v>0</v>
      </c>
      <c r="CI30" s="2790">
        <f t="shared" ca="1" si="79"/>
        <v>0</v>
      </c>
      <c r="CJ30" s="2790">
        <f t="shared" ca="1" si="79"/>
        <v>0</v>
      </c>
      <c r="CK30" s="2790">
        <f t="shared" ca="1" si="79"/>
        <v>0</v>
      </c>
      <c r="CL30" s="2790">
        <f t="shared" ca="1" si="79"/>
        <v>0</v>
      </c>
      <c r="CM30" s="2790">
        <f t="shared" ca="1" si="79"/>
        <v>0</v>
      </c>
      <c r="CN30" s="2790">
        <f t="shared" ca="1" si="79"/>
        <v>0</v>
      </c>
      <c r="CO30" s="2790">
        <f t="shared" ca="1" si="79"/>
        <v>0</v>
      </c>
      <c r="CP30" s="2790">
        <f t="shared" ca="1" si="79"/>
        <v>0</v>
      </c>
      <c r="CQ30" s="2790">
        <f t="shared" ca="1" si="79"/>
        <v>0</v>
      </c>
      <c r="CR30" s="2790">
        <f t="shared" ca="1" si="79"/>
        <v>0</v>
      </c>
      <c r="CS30" s="2790">
        <f t="shared" ca="1" si="80"/>
        <v>0</v>
      </c>
      <c r="CT30" s="2790">
        <f t="shared" ca="1" si="80"/>
        <v>0</v>
      </c>
      <c r="CU30" s="2790">
        <f t="shared" ca="1" si="80"/>
        <v>0</v>
      </c>
      <c r="CV30" s="2790">
        <f t="shared" ca="1" si="80"/>
        <v>0</v>
      </c>
      <c r="CW30" s="2790">
        <f t="shared" ca="1" si="80"/>
        <v>0</v>
      </c>
      <c r="CX30" s="2790">
        <f t="shared" ca="1" si="80"/>
        <v>0</v>
      </c>
      <c r="CY30" s="2790">
        <f t="shared" ca="1" si="80"/>
        <v>0</v>
      </c>
      <c r="CZ30" s="2790">
        <f t="shared" ca="1" si="80"/>
        <v>0</v>
      </c>
      <c r="DA30" s="2790">
        <f t="shared" ca="1" si="80"/>
        <v>0</v>
      </c>
      <c r="DB30" s="2790">
        <f t="shared" ca="1" si="80"/>
        <v>0</v>
      </c>
      <c r="DC30" s="2790">
        <f t="shared" ca="1" si="80"/>
        <v>0</v>
      </c>
      <c r="DD30" s="2790">
        <f t="shared" ca="1" si="80"/>
        <v>0</v>
      </c>
      <c r="DE30" s="2790">
        <f t="shared" ca="1" si="80"/>
        <v>0</v>
      </c>
      <c r="DF30" s="2790">
        <f t="shared" ca="1" si="80"/>
        <v>0</v>
      </c>
      <c r="DH30" s="596">
        <f t="shared" ca="1" si="33"/>
        <v>0</v>
      </c>
    </row>
    <row r="31" spans="1:112" s="6" customFormat="1" ht="11.25" customHeight="1" outlineLevel="1">
      <c r="A31" s="607"/>
      <c r="B31" s="607"/>
      <c r="C31" s="587"/>
      <c r="D31" s="625" t="s">
        <v>489</v>
      </c>
      <c r="E31" s="611"/>
      <c r="G31" s="612">
        <f t="shared" ref="G31:P31" ca="1" si="81">SUM(G29:G30)</f>
        <v>0</v>
      </c>
      <c r="H31" s="612">
        <f t="shared" ca="1" si="81"/>
        <v>0</v>
      </c>
      <c r="I31" s="612">
        <f t="shared" ca="1" si="81"/>
        <v>0</v>
      </c>
      <c r="J31" s="612">
        <f t="shared" ca="1" si="81"/>
        <v>0</v>
      </c>
      <c r="K31" s="612">
        <f t="shared" ca="1" si="81"/>
        <v>0</v>
      </c>
      <c r="L31" s="612">
        <f t="shared" ca="1" si="81"/>
        <v>0</v>
      </c>
      <c r="M31" s="612">
        <f t="shared" ca="1" si="81"/>
        <v>0</v>
      </c>
      <c r="N31" s="612">
        <f t="shared" ca="1" si="81"/>
        <v>0</v>
      </c>
      <c r="O31" s="612">
        <f t="shared" ca="1" si="81"/>
        <v>0</v>
      </c>
      <c r="P31" s="612">
        <f t="shared" ca="1" si="81"/>
        <v>0</v>
      </c>
      <c r="Q31" s="612">
        <f t="shared" ca="1" si="57"/>
        <v>0</v>
      </c>
      <c r="S31" s="613">
        <f t="shared" ref="S31:AJ31" ca="1" si="82">SUM(S29:S30)</f>
        <v>0</v>
      </c>
      <c r="T31" s="613">
        <f t="shared" ca="1" si="82"/>
        <v>0</v>
      </c>
      <c r="U31" s="613">
        <f t="shared" ca="1" si="82"/>
        <v>0</v>
      </c>
      <c r="V31" s="613">
        <f t="shared" ca="1" si="82"/>
        <v>0</v>
      </c>
      <c r="W31" s="613">
        <f t="shared" ca="1" si="82"/>
        <v>0</v>
      </c>
      <c r="X31" s="626">
        <f t="shared" ca="1" si="82"/>
        <v>0</v>
      </c>
      <c r="Y31" s="626">
        <f t="shared" ca="1" si="82"/>
        <v>0</v>
      </c>
      <c r="Z31" s="626">
        <f t="shared" ca="1" si="82"/>
        <v>0</v>
      </c>
      <c r="AA31" s="613">
        <f t="shared" ca="1" si="82"/>
        <v>0</v>
      </c>
      <c r="AB31" s="613">
        <f t="shared" ca="1" si="82"/>
        <v>0</v>
      </c>
      <c r="AC31" s="613">
        <f t="shared" ca="1" si="82"/>
        <v>0</v>
      </c>
      <c r="AD31" s="613">
        <f t="shared" ca="1" si="82"/>
        <v>0</v>
      </c>
      <c r="AE31" s="613">
        <f ca="1">SUM(AE29:AE30)</f>
        <v>0</v>
      </c>
      <c r="AF31" s="613">
        <f t="shared" ca="1" si="82"/>
        <v>0</v>
      </c>
      <c r="AG31" s="613">
        <f t="shared" ca="1" si="82"/>
        <v>0</v>
      </c>
      <c r="AH31" s="613">
        <f ca="1">SUM(AH29:AH30)</f>
        <v>0</v>
      </c>
      <c r="AI31" s="613">
        <f t="shared" ca="1" si="82"/>
        <v>0</v>
      </c>
      <c r="AJ31" s="613">
        <f t="shared" ca="1" si="82"/>
        <v>0</v>
      </c>
      <c r="AK31" s="613">
        <f t="shared" ca="1" si="60"/>
        <v>0</v>
      </c>
      <c r="AM31" s="627">
        <f t="shared" ref="AM31:BE31" ca="1" si="83">SUM(AM29:AM30)</f>
        <v>0</v>
      </c>
      <c r="AN31" s="627">
        <f t="shared" ca="1" si="83"/>
        <v>0</v>
      </c>
      <c r="AO31" s="627">
        <f t="shared" ca="1" si="83"/>
        <v>0</v>
      </c>
      <c r="AP31" s="627">
        <f t="shared" ca="1" si="83"/>
        <v>0</v>
      </c>
      <c r="AQ31" s="627">
        <f t="shared" ca="1" si="83"/>
        <v>0</v>
      </c>
      <c r="AR31" s="627">
        <f t="shared" ca="1" si="83"/>
        <v>0</v>
      </c>
      <c r="AS31" s="627">
        <f t="shared" ca="1" si="83"/>
        <v>0</v>
      </c>
      <c r="AT31" s="627">
        <f t="shared" ca="1" si="83"/>
        <v>0</v>
      </c>
      <c r="AU31" s="627">
        <f t="shared" ca="1" si="83"/>
        <v>0</v>
      </c>
      <c r="AV31" s="627">
        <f t="shared" ca="1" si="83"/>
        <v>0</v>
      </c>
      <c r="AW31" s="627">
        <f t="shared" ca="1" si="83"/>
        <v>0</v>
      </c>
      <c r="AX31" s="627">
        <f t="shared" ca="1" si="83"/>
        <v>0</v>
      </c>
      <c r="AY31" s="627">
        <f t="shared" ca="1" si="83"/>
        <v>0</v>
      </c>
      <c r="AZ31" s="627">
        <f t="shared" ca="1" si="83"/>
        <v>0</v>
      </c>
      <c r="BA31" s="627">
        <f t="shared" ca="1" si="83"/>
        <v>0</v>
      </c>
      <c r="BB31" s="627">
        <f t="shared" ca="1" si="83"/>
        <v>0</v>
      </c>
      <c r="BC31" s="627">
        <f t="shared" ca="1" si="83"/>
        <v>0</v>
      </c>
      <c r="BD31" s="627">
        <f ca="1">SUM(BD29:BD30)</f>
        <v>0</v>
      </c>
      <c r="BE31" s="627">
        <f t="shared" ca="1" si="83"/>
        <v>0</v>
      </c>
      <c r="BF31" s="628">
        <f t="shared" ca="1" si="63"/>
        <v>0</v>
      </c>
      <c r="BH31" s="3474">
        <f ca="1">SUM(BH29:BH30)</f>
        <v>0</v>
      </c>
      <c r="BI31" s="3474">
        <f ca="1">SUM(BI29:BI30)</f>
        <v>0</v>
      </c>
      <c r="BJ31" s="3462">
        <f t="shared" ca="1" si="65"/>
        <v>0</v>
      </c>
      <c r="BL31" s="595">
        <f t="shared" ca="1" si="10"/>
        <v>0</v>
      </c>
      <c r="BM31" s="595"/>
      <c r="BN31" s="607"/>
      <c r="BO31" s="2791">
        <f t="shared" ref="BO31:DF31" ca="1" si="84">SUM(BO29:BO30)</f>
        <v>0</v>
      </c>
      <c r="BP31" s="2792">
        <f t="shared" ca="1" si="84"/>
        <v>0</v>
      </c>
      <c r="BQ31" s="2792">
        <f t="shared" ca="1" si="84"/>
        <v>0</v>
      </c>
      <c r="BR31" s="2792">
        <f t="shared" ca="1" si="84"/>
        <v>0</v>
      </c>
      <c r="BS31" s="2792">
        <f t="shared" ca="1" si="84"/>
        <v>0</v>
      </c>
      <c r="BT31" s="2792">
        <f t="shared" ca="1" si="84"/>
        <v>0</v>
      </c>
      <c r="BU31" s="2792">
        <f t="shared" ca="1" si="84"/>
        <v>0</v>
      </c>
      <c r="BV31" s="2792">
        <f t="shared" ca="1" si="84"/>
        <v>0</v>
      </c>
      <c r="BW31" s="2792">
        <f t="shared" ca="1" si="84"/>
        <v>0</v>
      </c>
      <c r="BX31" s="2792">
        <f t="shared" ca="1" si="84"/>
        <v>0</v>
      </c>
      <c r="BY31" s="2792">
        <f t="shared" ca="1" si="84"/>
        <v>0</v>
      </c>
      <c r="BZ31" s="2792">
        <f t="shared" ca="1" si="84"/>
        <v>0</v>
      </c>
      <c r="CA31" s="2792">
        <f t="shared" ca="1" si="84"/>
        <v>0</v>
      </c>
      <c r="CB31" s="2792">
        <f t="shared" ca="1" si="84"/>
        <v>0</v>
      </c>
      <c r="CC31" s="2792">
        <f t="shared" ca="1" si="84"/>
        <v>0</v>
      </c>
      <c r="CD31" s="2792">
        <f t="shared" ca="1" si="84"/>
        <v>0</v>
      </c>
      <c r="CE31" s="2792">
        <f t="shared" ca="1" si="84"/>
        <v>0</v>
      </c>
      <c r="CF31" s="2792">
        <f t="shared" ca="1" si="84"/>
        <v>0</v>
      </c>
      <c r="CG31" s="2792">
        <f t="shared" ca="1" si="84"/>
        <v>0</v>
      </c>
      <c r="CH31" s="2792">
        <f t="shared" ca="1" si="84"/>
        <v>0</v>
      </c>
      <c r="CI31" s="2792">
        <f t="shared" ca="1" si="84"/>
        <v>0</v>
      </c>
      <c r="CJ31" s="2792">
        <f t="shared" ca="1" si="84"/>
        <v>0</v>
      </c>
      <c r="CK31" s="2792">
        <f t="shared" ca="1" si="84"/>
        <v>0</v>
      </c>
      <c r="CL31" s="2792">
        <f t="shared" ca="1" si="84"/>
        <v>0</v>
      </c>
      <c r="CM31" s="2792">
        <f t="shared" ca="1" si="84"/>
        <v>0</v>
      </c>
      <c r="CN31" s="2792">
        <f t="shared" ca="1" si="84"/>
        <v>0</v>
      </c>
      <c r="CO31" s="2792">
        <f t="shared" ca="1" si="84"/>
        <v>0</v>
      </c>
      <c r="CP31" s="2792">
        <f t="shared" ca="1" si="84"/>
        <v>0</v>
      </c>
      <c r="CQ31" s="2792">
        <f t="shared" ca="1" si="84"/>
        <v>0</v>
      </c>
      <c r="CR31" s="2792">
        <f t="shared" ca="1" si="84"/>
        <v>0</v>
      </c>
      <c r="CS31" s="2792">
        <f t="shared" ca="1" si="84"/>
        <v>0</v>
      </c>
      <c r="CT31" s="2792">
        <f t="shared" ca="1" si="84"/>
        <v>0</v>
      </c>
      <c r="CU31" s="2792">
        <f t="shared" ca="1" si="84"/>
        <v>0</v>
      </c>
      <c r="CV31" s="2792">
        <f t="shared" ca="1" si="84"/>
        <v>0</v>
      </c>
      <c r="CW31" s="2792">
        <f t="shared" ca="1" si="84"/>
        <v>0</v>
      </c>
      <c r="CX31" s="2792">
        <f t="shared" ca="1" si="84"/>
        <v>0</v>
      </c>
      <c r="CY31" s="2792">
        <f t="shared" ca="1" si="84"/>
        <v>0</v>
      </c>
      <c r="CZ31" s="2792">
        <f t="shared" ca="1" si="84"/>
        <v>0</v>
      </c>
      <c r="DA31" s="2792">
        <f t="shared" ca="1" si="84"/>
        <v>0</v>
      </c>
      <c r="DB31" s="2792">
        <f t="shared" ca="1" si="84"/>
        <v>0</v>
      </c>
      <c r="DC31" s="2792">
        <f t="shared" ca="1" si="84"/>
        <v>0</v>
      </c>
      <c r="DD31" s="2792">
        <f t="shared" ca="1" si="84"/>
        <v>0</v>
      </c>
      <c r="DE31" s="2792">
        <f t="shared" ca="1" si="84"/>
        <v>0</v>
      </c>
      <c r="DF31" s="2792">
        <f t="shared" ca="1" si="84"/>
        <v>0</v>
      </c>
      <c r="DH31" s="596">
        <f t="shared" ca="1" si="33"/>
        <v>0</v>
      </c>
    </row>
    <row r="32" spans="1:112" s="6" customFormat="1" ht="15.75">
      <c r="A32" s="4"/>
      <c r="B32" s="3"/>
      <c r="C32" s="616" t="s">
        <v>490</v>
      </c>
      <c r="D32" s="617" t="s">
        <v>491</v>
      </c>
      <c r="E32" s="206"/>
      <c r="G32" s="618">
        <f t="shared" ref="G32:P32" ca="1" si="85">G24+G25+G28+G31</f>
        <v>0</v>
      </c>
      <c r="H32" s="618">
        <f t="shared" ca="1" si="85"/>
        <v>0</v>
      </c>
      <c r="I32" s="618">
        <f t="shared" ca="1" si="85"/>
        <v>0</v>
      </c>
      <c r="J32" s="618">
        <f t="shared" ca="1" si="85"/>
        <v>33.687114265346466</v>
      </c>
      <c r="K32" s="618">
        <f t="shared" ca="1" si="85"/>
        <v>0.40591861207029195</v>
      </c>
      <c r="L32" s="618">
        <f t="shared" ca="1" si="85"/>
        <v>2.6013627209398826E-2</v>
      </c>
      <c r="M32" s="618">
        <f t="shared" ca="1" si="85"/>
        <v>0.66</v>
      </c>
      <c r="N32" s="618">
        <f t="shared" ca="1" si="85"/>
        <v>8.7186093571046239</v>
      </c>
      <c r="O32" s="618">
        <f t="shared" ca="1" si="85"/>
        <v>0</v>
      </c>
      <c r="P32" s="618">
        <f t="shared" ca="1" si="85"/>
        <v>0</v>
      </c>
      <c r="Q32" s="618">
        <f t="shared" ca="1" si="57"/>
        <v>43.497655861730784</v>
      </c>
      <c r="S32" s="581">
        <f t="shared" ref="S32:AJ32" ca="1" si="86">S24+S25+S28+S31</f>
        <v>-0.23216101436158487</v>
      </c>
      <c r="T32" s="581">
        <f t="shared" ca="1" si="86"/>
        <v>0</v>
      </c>
      <c r="U32" s="581">
        <f t="shared" ca="1" si="86"/>
        <v>0</v>
      </c>
      <c r="V32" s="581">
        <f t="shared" ca="1" si="86"/>
        <v>-43.256961392952434</v>
      </c>
      <c r="W32" s="581">
        <f t="shared" ca="1" si="86"/>
        <v>0</v>
      </c>
      <c r="X32" s="581">
        <f t="shared" ca="1" si="86"/>
        <v>0</v>
      </c>
      <c r="Y32" s="581">
        <f t="shared" ca="1" si="86"/>
        <v>0</v>
      </c>
      <c r="Z32" s="581">
        <f t="shared" ca="1" si="86"/>
        <v>0</v>
      </c>
      <c r="AA32" s="581">
        <f t="shared" ca="1" si="86"/>
        <v>0</v>
      </c>
      <c r="AB32" s="581">
        <f t="shared" ca="1" si="86"/>
        <v>0</v>
      </c>
      <c r="AC32" s="581">
        <f t="shared" ca="1" si="86"/>
        <v>0</v>
      </c>
      <c r="AD32" s="581">
        <f t="shared" ca="1" si="86"/>
        <v>0</v>
      </c>
      <c r="AE32" s="581">
        <f ca="1">AE24+AE25+AE28+AE31</f>
        <v>0</v>
      </c>
      <c r="AF32" s="581">
        <f t="shared" ca="1" si="86"/>
        <v>0</v>
      </c>
      <c r="AG32" s="581">
        <f t="shared" ca="1" si="86"/>
        <v>0</v>
      </c>
      <c r="AH32" s="581">
        <f ca="1">AH24+AH25+AH28+AH31</f>
        <v>0</v>
      </c>
      <c r="AI32" s="581">
        <f t="shared" ca="1" si="86"/>
        <v>0</v>
      </c>
      <c r="AJ32" s="581">
        <f t="shared" ca="1" si="86"/>
        <v>-8.5334544167595186E-3</v>
      </c>
      <c r="AK32" s="581">
        <f t="shared" ca="1" si="60"/>
        <v>-43.497655861730777</v>
      </c>
      <c r="AM32" s="582">
        <f t="shared" ref="AM32:BE32" ca="1" si="87">AM24+AM25+AM28+AM31</f>
        <v>0</v>
      </c>
      <c r="AN32" s="582">
        <f t="shared" ca="1" si="87"/>
        <v>0</v>
      </c>
      <c r="AO32" s="582">
        <f t="shared" ca="1" si="87"/>
        <v>0</v>
      </c>
      <c r="AP32" s="582">
        <f t="shared" ca="1" si="87"/>
        <v>0</v>
      </c>
      <c r="AQ32" s="582">
        <f t="shared" ca="1" si="87"/>
        <v>0</v>
      </c>
      <c r="AR32" s="582">
        <f t="shared" ca="1" si="87"/>
        <v>0</v>
      </c>
      <c r="AS32" s="582">
        <f t="shared" ca="1" si="87"/>
        <v>0</v>
      </c>
      <c r="AT32" s="582">
        <f t="shared" ca="1" si="87"/>
        <v>0</v>
      </c>
      <c r="AU32" s="582">
        <f t="shared" ca="1" si="87"/>
        <v>0</v>
      </c>
      <c r="AV32" s="582">
        <f t="shared" ca="1" si="87"/>
        <v>0</v>
      </c>
      <c r="AW32" s="582">
        <f t="shared" ca="1" si="87"/>
        <v>0</v>
      </c>
      <c r="AX32" s="582">
        <f t="shared" ca="1" si="87"/>
        <v>0</v>
      </c>
      <c r="AY32" s="582">
        <f t="shared" ca="1" si="87"/>
        <v>0</v>
      </c>
      <c r="AZ32" s="582">
        <f t="shared" ca="1" si="87"/>
        <v>0</v>
      </c>
      <c r="BA32" s="582">
        <f t="shared" ca="1" si="87"/>
        <v>0</v>
      </c>
      <c r="BB32" s="582">
        <f t="shared" ca="1" si="87"/>
        <v>0</v>
      </c>
      <c r="BC32" s="582">
        <f t="shared" ca="1" si="87"/>
        <v>0</v>
      </c>
      <c r="BD32" s="582">
        <f ca="1">BD24+BD25+BD28+BD31</f>
        <v>0</v>
      </c>
      <c r="BE32" s="582">
        <f t="shared" ca="1" si="87"/>
        <v>0</v>
      </c>
      <c r="BF32" s="582">
        <f t="shared" ca="1" si="63"/>
        <v>0</v>
      </c>
      <c r="BH32" s="3463">
        <f ca="1">BH24+BH25+BH28+BH31</f>
        <v>0</v>
      </c>
      <c r="BI32" s="3463">
        <f ca="1">BI24+BI25+BI28+BI31</f>
        <v>0</v>
      </c>
      <c r="BJ32" s="3463">
        <f t="shared" ca="1" si="65"/>
        <v>0</v>
      </c>
      <c r="BL32" s="3477">
        <f t="shared" ca="1" si="10"/>
        <v>7.1054273576010019E-15</v>
      </c>
      <c r="BM32" s="584"/>
      <c r="BN32" s="413"/>
      <c r="BO32" s="2790">
        <f t="shared" ref="BO32:DF32" ca="1" si="88">BO24+BO25+BO28+BO31</f>
        <v>9.1139803352195194</v>
      </c>
      <c r="BP32" s="2790">
        <f t="shared" ca="1" si="88"/>
        <v>7.8332982417302841E-3</v>
      </c>
      <c r="BQ32" s="2790">
        <f t="shared" ca="1" si="88"/>
        <v>2.3126880523203698E-2</v>
      </c>
      <c r="BR32" s="2790">
        <f t="shared" ca="1" si="88"/>
        <v>0</v>
      </c>
      <c r="BS32" s="2790">
        <f t="shared" ca="1" si="88"/>
        <v>0</v>
      </c>
      <c r="BT32" s="2790">
        <f t="shared" ca="1" si="88"/>
        <v>0</v>
      </c>
      <c r="BU32" s="2790">
        <f t="shared" ca="1" si="88"/>
        <v>0</v>
      </c>
      <c r="BV32" s="2790">
        <f t="shared" ca="1" si="88"/>
        <v>0</v>
      </c>
      <c r="BW32" s="2790">
        <f t="shared" ca="1" si="88"/>
        <v>0</v>
      </c>
      <c r="BX32" s="2790">
        <f t="shared" ca="1" si="88"/>
        <v>0</v>
      </c>
      <c r="BY32" s="2790">
        <f t="shared" ca="1" si="88"/>
        <v>0</v>
      </c>
      <c r="BZ32" s="2790">
        <f t="shared" ca="1" si="88"/>
        <v>0</v>
      </c>
      <c r="CA32" s="2790">
        <f t="shared" ca="1" si="88"/>
        <v>0</v>
      </c>
      <c r="CB32" s="2790">
        <f t="shared" ca="1" si="88"/>
        <v>0</v>
      </c>
      <c r="CC32" s="2790">
        <f t="shared" ca="1" si="88"/>
        <v>0</v>
      </c>
      <c r="CD32" s="2790">
        <f t="shared" ca="1" si="88"/>
        <v>0</v>
      </c>
      <c r="CE32" s="2790">
        <f t="shared" ca="1" si="88"/>
        <v>0</v>
      </c>
      <c r="CF32" s="2790">
        <f t="shared" ca="1" si="88"/>
        <v>0</v>
      </c>
      <c r="CG32" s="2790">
        <f t="shared" ca="1" si="88"/>
        <v>0</v>
      </c>
      <c r="CH32" s="2790">
        <f t="shared" ca="1" si="88"/>
        <v>0</v>
      </c>
      <c r="CI32" s="2790">
        <f t="shared" ca="1" si="88"/>
        <v>0</v>
      </c>
      <c r="CJ32" s="2790">
        <f t="shared" ca="1" si="88"/>
        <v>0</v>
      </c>
      <c r="CK32" s="2790">
        <f t="shared" ca="1" si="88"/>
        <v>0</v>
      </c>
      <c r="CL32" s="2790">
        <f t="shared" ca="1" si="88"/>
        <v>0</v>
      </c>
      <c r="CM32" s="2790">
        <f t="shared" ca="1" si="88"/>
        <v>0</v>
      </c>
      <c r="CN32" s="2790">
        <f t="shared" ca="1" si="88"/>
        <v>0</v>
      </c>
      <c r="CO32" s="2790">
        <f t="shared" ca="1" si="88"/>
        <v>0</v>
      </c>
      <c r="CP32" s="2790">
        <f t="shared" ca="1" si="88"/>
        <v>0</v>
      </c>
      <c r="CQ32" s="2790">
        <f t="shared" ca="1" si="88"/>
        <v>0</v>
      </c>
      <c r="CR32" s="2790">
        <f t="shared" ca="1" si="88"/>
        <v>0</v>
      </c>
      <c r="CS32" s="2790">
        <f t="shared" ca="1" si="88"/>
        <v>0</v>
      </c>
      <c r="CT32" s="2790">
        <f t="shared" ca="1" si="88"/>
        <v>0</v>
      </c>
      <c r="CU32" s="2790">
        <f t="shared" ca="1" si="88"/>
        <v>2.3006666371527675</v>
      </c>
      <c r="CV32" s="2790">
        <f t="shared" ca="1" si="88"/>
        <v>1.9773806021913289E-3</v>
      </c>
      <c r="CW32" s="2790">
        <f t="shared" ca="1" si="88"/>
        <v>5.8379808255172565E-3</v>
      </c>
      <c r="CX32" s="2790">
        <f t="shared" ca="1" si="88"/>
        <v>0</v>
      </c>
      <c r="CY32" s="2790">
        <f t="shared" ca="1" si="88"/>
        <v>0</v>
      </c>
      <c r="CZ32" s="2790">
        <f t="shared" ca="1" si="88"/>
        <v>0</v>
      </c>
      <c r="DA32" s="2790">
        <f t="shared" ca="1" si="88"/>
        <v>0</v>
      </c>
      <c r="DB32" s="2790">
        <f t="shared" ca="1" si="88"/>
        <v>0</v>
      </c>
      <c r="DC32" s="2790">
        <f t="shared" ca="1" si="88"/>
        <v>0</v>
      </c>
      <c r="DD32" s="2790">
        <f t="shared" ca="1" si="88"/>
        <v>0</v>
      </c>
      <c r="DE32" s="2790">
        <f t="shared" ca="1" si="88"/>
        <v>0</v>
      </c>
      <c r="DF32" s="2790">
        <f t="shared" ca="1" si="88"/>
        <v>0</v>
      </c>
      <c r="DH32" s="596">
        <f t="shared" ca="1" si="33"/>
        <v>11.453422512564929</v>
      </c>
    </row>
    <row r="33" spans="1:112" s="6" customFormat="1" ht="12.75" customHeight="1" outlineLevel="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10"/>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3"/>
        <v>0</v>
      </c>
    </row>
    <row r="34" spans="1:112" s="6" customFormat="1" ht="12.75" customHeight="1" outlineLevel="1">
      <c r="A34" s="607"/>
      <c r="B34" s="607"/>
      <c r="C34" s="587" t="s">
        <v>492</v>
      </c>
      <c r="D34" s="611" t="s">
        <v>375</v>
      </c>
      <c r="E34" s="611"/>
      <c r="G34" s="619">
        <f t="shared" ref="G34:P34" ca="1" si="89">IFERROR(INDEX(INDIRECT($C34&amp;".Outputs["&amp;this.Year&amp;"]"), MATCH(G$5, INDIRECT($C34&amp;".Outputs[Vector]"), 0)), 0)</f>
        <v>0</v>
      </c>
      <c r="H34" s="619">
        <f t="shared" ca="1" si="89"/>
        <v>0</v>
      </c>
      <c r="I34" s="619">
        <f t="shared" ca="1" si="89"/>
        <v>0</v>
      </c>
      <c r="J34" s="619">
        <f t="shared" ca="1" si="89"/>
        <v>0</v>
      </c>
      <c r="K34" s="619">
        <f t="shared" ca="1" si="89"/>
        <v>0</v>
      </c>
      <c r="L34" s="619">
        <f t="shared" ca="1" si="89"/>
        <v>0</v>
      </c>
      <c r="M34" s="619">
        <f t="shared" ca="1" si="89"/>
        <v>0</v>
      </c>
      <c r="N34" s="619">
        <f t="shared" ca="1" si="89"/>
        <v>0</v>
      </c>
      <c r="O34" s="619">
        <f t="shared" ca="1" si="89"/>
        <v>0</v>
      </c>
      <c r="P34" s="619">
        <f t="shared" ca="1" si="89"/>
        <v>0</v>
      </c>
      <c r="Q34" s="612">
        <f ca="1">SUM(G34:P34)</f>
        <v>0</v>
      </c>
      <c r="S34" s="620">
        <f t="shared" ref="S34:AJ34" ca="1" si="90">IFERROR(INDEX(INDIRECT($C34&amp;".Outputs["&amp;this.Year&amp;"]"), MATCH(S$5, INDIRECT($C34&amp;".Outputs[Vector]"), 0)), 0)</f>
        <v>0</v>
      </c>
      <c r="T34" s="620">
        <f t="shared" ca="1" si="90"/>
        <v>0</v>
      </c>
      <c r="U34" s="620">
        <f t="shared" ca="1" si="90"/>
        <v>0</v>
      </c>
      <c r="V34" s="620">
        <f t="shared" ca="1" si="90"/>
        <v>0</v>
      </c>
      <c r="W34" s="620">
        <f t="shared" ca="1" si="90"/>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90"/>
        <v>0</v>
      </c>
      <c r="AB34" s="620">
        <f t="shared" ca="1" si="90"/>
        <v>0</v>
      </c>
      <c r="AC34" s="620">
        <f t="shared" ca="1" si="90"/>
        <v>0</v>
      </c>
      <c r="AD34" s="620">
        <f t="shared" ca="1" si="90"/>
        <v>0</v>
      </c>
      <c r="AE34" s="620">
        <f t="shared" ca="1" si="90"/>
        <v>0</v>
      </c>
      <c r="AF34" s="620">
        <f t="shared" ca="1" si="90"/>
        <v>0</v>
      </c>
      <c r="AG34" s="620">
        <f t="shared" ca="1" si="90"/>
        <v>0</v>
      </c>
      <c r="AH34" s="620">
        <f t="shared" ca="1" si="90"/>
        <v>0</v>
      </c>
      <c r="AI34" s="620">
        <f t="shared" ca="1" si="90"/>
        <v>0</v>
      </c>
      <c r="AJ34" s="620">
        <f t="shared" ca="1" si="90"/>
        <v>0</v>
      </c>
      <c r="AK34" s="613">
        <f ca="1">SUM(S34:AJ34)</f>
        <v>0</v>
      </c>
      <c r="AM34" s="621">
        <f t="shared" ref="AM34:AU34" ca="1" si="91">IFERROR(INDEX(INDIRECT($C34&amp;".Outputs["&amp;this.Year&amp;"]"), MATCH(AM$5, INDIRECT($C34&amp;".Outputs[Vector]"), 0)), 0)</f>
        <v>0</v>
      </c>
      <c r="AN34" s="621">
        <f t="shared" ca="1" si="91"/>
        <v>0</v>
      </c>
      <c r="AO34" s="621">
        <f t="shared" ca="1" si="91"/>
        <v>0</v>
      </c>
      <c r="AP34" s="621">
        <f t="shared" ca="1" si="91"/>
        <v>0</v>
      </c>
      <c r="AQ34" s="621">
        <f t="shared" ca="1" si="91"/>
        <v>0</v>
      </c>
      <c r="AR34" s="621">
        <f t="shared" ca="1" si="91"/>
        <v>0</v>
      </c>
      <c r="AS34" s="621">
        <f t="shared" ca="1" si="91"/>
        <v>0</v>
      </c>
      <c r="AT34" s="621">
        <f t="shared" ca="1" si="91"/>
        <v>0</v>
      </c>
      <c r="AU34" s="621">
        <f t="shared" ca="1" si="91"/>
        <v>0</v>
      </c>
      <c r="AV34" s="621">
        <f t="shared" ref="AV34:BE34" ca="1" si="92">IFERROR(INDEX(INDIRECT($C34&amp;".Outputs["&amp;this.Year&amp;"]"), MATCH(AV$5, INDIRECT($C34&amp;".Outputs[Vector]"), 0)), 0)</f>
        <v>0</v>
      </c>
      <c r="AW34" s="621">
        <f t="shared" ca="1" si="92"/>
        <v>0</v>
      </c>
      <c r="AX34" s="621">
        <f t="shared" ca="1" si="92"/>
        <v>0</v>
      </c>
      <c r="AY34" s="621">
        <f t="shared" ca="1" si="92"/>
        <v>0</v>
      </c>
      <c r="AZ34" s="621">
        <f t="shared" ca="1" si="92"/>
        <v>0</v>
      </c>
      <c r="BA34" s="621">
        <f t="shared" ca="1" si="92"/>
        <v>0</v>
      </c>
      <c r="BB34" s="621">
        <f t="shared" ca="1" si="92"/>
        <v>0</v>
      </c>
      <c r="BC34" s="621">
        <f t="shared" ca="1" si="92"/>
        <v>0</v>
      </c>
      <c r="BD34" s="621">
        <f t="shared" ca="1" si="92"/>
        <v>0</v>
      </c>
      <c r="BE34" s="621">
        <f t="shared" ca="1" si="92"/>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10"/>
        <v>0</v>
      </c>
      <c r="BM34" s="610"/>
      <c r="BN34" s="413"/>
      <c r="BO34" s="2791">
        <f t="shared" ref="BO34:DF34" ca="1" si="93">IFERROR(SUMIFS(INDIRECT($C34&amp;".Emissions["&amp;this.Year&amp;"]"), INDIRECT($C34&amp;".Emissions[GHG]"), BO$6, INDIRECT($C34&amp;".Emissions[IPCC Sector]"), BO$5),0)</f>
        <v>0</v>
      </c>
      <c r="BP34" s="2792">
        <f t="shared" ca="1" si="93"/>
        <v>0</v>
      </c>
      <c r="BQ34" s="2792">
        <f t="shared" ca="1" si="93"/>
        <v>0</v>
      </c>
      <c r="BR34" s="2792">
        <f t="shared" ca="1" si="93"/>
        <v>0</v>
      </c>
      <c r="BS34" s="2792">
        <f t="shared" ca="1" si="93"/>
        <v>0</v>
      </c>
      <c r="BT34" s="2792">
        <f t="shared" ca="1" si="93"/>
        <v>0</v>
      </c>
      <c r="BU34" s="2792">
        <f t="shared" ca="1" si="93"/>
        <v>0</v>
      </c>
      <c r="BV34" s="2792">
        <f t="shared" ca="1" si="93"/>
        <v>0</v>
      </c>
      <c r="BW34" s="2792">
        <f t="shared" ca="1" si="93"/>
        <v>0</v>
      </c>
      <c r="BX34" s="2792">
        <f t="shared" ca="1" si="93"/>
        <v>0</v>
      </c>
      <c r="BY34" s="2792">
        <f t="shared" ca="1" si="93"/>
        <v>0</v>
      </c>
      <c r="BZ34" s="2792">
        <f t="shared" ca="1" si="93"/>
        <v>0</v>
      </c>
      <c r="CA34" s="2792">
        <f t="shared" ca="1" si="93"/>
        <v>0</v>
      </c>
      <c r="CB34" s="2792">
        <f t="shared" ca="1" si="93"/>
        <v>0</v>
      </c>
      <c r="CC34" s="2792">
        <f t="shared" ca="1" si="93"/>
        <v>0</v>
      </c>
      <c r="CD34" s="2792">
        <f t="shared" ca="1" si="93"/>
        <v>0</v>
      </c>
      <c r="CE34" s="2792">
        <f t="shared" ca="1" si="93"/>
        <v>0</v>
      </c>
      <c r="CF34" s="2792">
        <f t="shared" ca="1" si="93"/>
        <v>0</v>
      </c>
      <c r="CG34" s="2792">
        <f t="shared" ca="1" si="93"/>
        <v>0</v>
      </c>
      <c r="CH34" s="2792">
        <f t="shared" ca="1" si="93"/>
        <v>0</v>
      </c>
      <c r="CI34" s="2792">
        <f t="shared" ca="1" si="93"/>
        <v>0</v>
      </c>
      <c r="CJ34" s="2792">
        <f t="shared" ca="1" si="93"/>
        <v>0</v>
      </c>
      <c r="CK34" s="2792">
        <f t="shared" ca="1" si="93"/>
        <v>0</v>
      </c>
      <c r="CL34" s="2792">
        <f t="shared" ca="1" si="93"/>
        <v>0</v>
      </c>
      <c r="CM34" s="2792">
        <f t="shared" ca="1" si="93"/>
        <v>0</v>
      </c>
      <c r="CN34" s="2792">
        <f t="shared" ca="1" si="93"/>
        <v>0</v>
      </c>
      <c r="CO34" s="2792">
        <f t="shared" ca="1" si="93"/>
        <v>0</v>
      </c>
      <c r="CP34" s="2792">
        <f t="shared" ca="1" si="93"/>
        <v>0</v>
      </c>
      <c r="CQ34" s="2792">
        <f t="shared" ca="1" si="93"/>
        <v>0</v>
      </c>
      <c r="CR34" s="2792">
        <f t="shared" ca="1" si="93"/>
        <v>0</v>
      </c>
      <c r="CS34" s="2792">
        <f t="shared" ca="1" si="93"/>
        <v>0</v>
      </c>
      <c r="CT34" s="2792">
        <f t="shared" ca="1" si="93"/>
        <v>0</v>
      </c>
      <c r="CU34" s="2792">
        <f t="shared" ca="1" si="93"/>
        <v>0</v>
      </c>
      <c r="CV34" s="2792">
        <f t="shared" ca="1" si="93"/>
        <v>0</v>
      </c>
      <c r="CW34" s="2792">
        <f t="shared" ca="1" si="93"/>
        <v>0</v>
      </c>
      <c r="CX34" s="2792">
        <f t="shared" ca="1" si="93"/>
        <v>0</v>
      </c>
      <c r="CY34" s="2792">
        <f t="shared" ca="1" si="93"/>
        <v>0</v>
      </c>
      <c r="CZ34" s="2792">
        <f t="shared" ca="1" si="93"/>
        <v>0</v>
      </c>
      <c r="DA34" s="2792">
        <f t="shared" ca="1" si="93"/>
        <v>0</v>
      </c>
      <c r="DB34" s="2792">
        <f t="shared" ca="1" si="93"/>
        <v>0</v>
      </c>
      <c r="DC34" s="2792">
        <f t="shared" ca="1" si="93"/>
        <v>0</v>
      </c>
      <c r="DD34" s="2792">
        <f t="shared" ca="1" si="93"/>
        <v>0</v>
      </c>
      <c r="DE34" s="2792">
        <f t="shared" ca="1" si="93"/>
        <v>0</v>
      </c>
      <c r="DF34" s="2792">
        <f t="shared" ca="1" si="93"/>
        <v>0</v>
      </c>
      <c r="DH34" s="596">
        <f t="shared" ca="1" si="33"/>
        <v>0</v>
      </c>
    </row>
    <row r="35" spans="1:112" s="6" customFormat="1" ht="15.75">
      <c r="A35" s="4"/>
      <c r="B35" s="3"/>
      <c r="C35" s="616" t="s">
        <v>493</v>
      </c>
      <c r="D35" s="617" t="s">
        <v>375</v>
      </c>
      <c r="E35" s="206"/>
      <c r="G35" s="618">
        <f ca="1">G34</f>
        <v>0</v>
      </c>
      <c r="H35" s="618">
        <f t="shared" ref="H35:P35" ca="1" si="94">H34</f>
        <v>0</v>
      </c>
      <c r="I35" s="618">
        <f t="shared" ca="1" si="94"/>
        <v>0</v>
      </c>
      <c r="J35" s="618">
        <f t="shared" ca="1" si="94"/>
        <v>0</v>
      </c>
      <c r="K35" s="618">
        <f t="shared" ca="1" si="94"/>
        <v>0</v>
      </c>
      <c r="L35" s="618">
        <f t="shared" ca="1" si="94"/>
        <v>0</v>
      </c>
      <c r="M35" s="618">
        <f t="shared" ca="1" si="94"/>
        <v>0</v>
      </c>
      <c r="N35" s="618">
        <f ca="1">N34</f>
        <v>0</v>
      </c>
      <c r="O35" s="618">
        <f ca="1">O34</f>
        <v>0</v>
      </c>
      <c r="P35" s="618">
        <f t="shared" ca="1" si="94"/>
        <v>0</v>
      </c>
      <c r="Q35" s="618">
        <f ca="1">SUM(G35:P35)</f>
        <v>0</v>
      </c>
      <c r="S35" s="581">
        <f ca="1">S34</f>
        <v>0</v>
      </c>
      <c r="T35" s="581">
        <f t="shared" ref="T35:AJ35" ca="1" si="95">T34</f>
        <v>0</v>
      </c>
      <c r="U35" s="581">
        <f t="shared" ca="1" si="95"/>
        <v>0</v>
      </c>
      <c r="V35" s="581">
        <f t="shared" ca="1" si="95"/>
        <v>0</v>
      </c>
      <c r="W35" s="581">
        <f t="shared" ca="1" si="95"/>
        <v>0</v>
      </c>
      <c r="X35" s="581">
        <f ca="1">X34</f>
        <v>0</v>
      </c>
      <c r="Y35" s="581">
        <f ca="1">Y34</f>
        <v>0</v>
      </c>
      <c r="Z35" s="581">
        <f ca="1">Z34</f>
        <v>0</v>
      </c>
      <c r="AA35" s="581">
        <f t="shared" ca="1" si="95"/>
        <v>0</v>
      </c>
      <c r="AB35" s="581">
        <f t="shared" ca="1" si="95"/>
        <v>0</v>
      </c>
      <c r="AC35" s="581">
        <f t="shared" ca="1" si="95"/>
        <v>0</v>
      </c>
      <c r="AD35" s="581">
        <f ca="1">AD34</f>
        <v>0</v>
      </c>
      <c r="AE35" s="581">
        <f ca="1">AE34</f>
        <v>0</v>
      </c>
      <c r="AF35" s="581">
        <f t="shared" ca="1" si="95"/>
        <v>0</v>
      </c>
      <c r="AG35" s="581">
        <f ca="1">AG34</f>
        <v>0</v>
      </c>
      <c r="AH35" s="581">
        <f ca="1">AH34</f>
        <v>0</v>
      </c>
      <c r="AI35" s="581">
        <f ca="1">AI34</f>
        <v>0</v>
      </c>
      <c r="AJ35" s="581">
        <f t="shared" ca="1" si="95"/>
        <v>0</v>
      </c>
      <c r="AK35" s="581">
        <f ca="1">SUM(S35:AJ35)</f>
        <v>0</v>
      </c>
      <c r="AM35" s="582">
        <f t="shared" ref="AM35:BE35" ca="1" si="96">AM34</f>
        <v>0</v>
      </c>
      <c r="AN35" s="582">
        <f t="shared" ca="1" si="96"/>
        <v>0</v>
      </c>
      <c r="AO35" s="582">
        <f t="shared" ca="1" si="96"/>
        <v>0</v>
      </c>
      <c r="AP35" s="582">
        <f t="shared" ca="1" si="96"/>
        <v>0</v>
      </c>
      <c r="AQ35" s="582">
        <f t="shared" ca="1" si="96"/>
        <v>0</v>
      </c>
      <c r="AR35" s="582">
        <f t="shared" ca="1" si="96"/>
        <v>0</v>
      </c>
      <c r="AS35" s="582">
        <f t="shared" ca="1" si="96"/>
        <v>0</v>
      </c>
      <c r="AT35" s="582">
        <f t="shared" ca="1" si="96"/>
        <v>0</v>
      </c>
      <c r="AU35" s="582">
        <f t="shared" ca="1" si="96"/>
        <v>0</v>
      </c>
      <c r="AV35" s="582">
        <f t="shared" ca="1" si="96"/>
        <v>0</v>
      </c>
      <c r="AW35" s="582">
        <f t="shared" ca="1" si="96"/>
        <v>0</v>
      </c>
      <c r="AX35" s="582">
        <f t="shared" ca="1" si="96"/>
        <v>0</v>
      </c>
      <c r="AY35" s="582">
        <f t="shared" ca="1" si="96"/>
        <v>0</v>
      </c>
      <c r="AZ35" s="582">
        <f t="shared" ca="1" si="96"/>
        <v>0</v>
      </c>
      <c r="BA35" s="582">
        <f t="shared" ca="1" si="96"/>
        <v>0</v>
      </c>
      <c r="BB35" s="582">
        <f t="shared" ca="1" si="96"/>
        <v>0</v>
      </c>
      <c r="BC35" s="582">
        <f t="shared" ca="1" si="96"/>
        <v>0</v>
      </c>
      <c r="BD35" s="582">
        <f ca="1">BD34</f>
        <v>0</v>
      </c>
      <c r="BE35" s="582">
        <f t="shared" ca="1" si="96"/>
        <v>0</v>
      </c>
      <c r="BF35" s="582">
        <f ca="1">SUM(AM35:BE35)</f>
        <v>0</v>
      </c>
      <c r="BH35" s="3463">
        <f ca="1">BH34</f>
        <v>0</v>
      </c>
      <c r="BI35" s="3463">
        <f ca="1">BI34</f>
        <v>0</v>
      </c>
      <c r="BJ35" s="3463">
        <f ca="1">SUM(BH35:BI35)</f>
        <v>0</v>
      </c>
      <c r="BL35" s="3477">
        <f t="shared" ca="1" si="10"/>
        <v>0</v>
      </c>
      <c r="BM35" s="584"/>
      <c r="BN35" s="413"/>
      <c r="BO35" s="2790">
        <f t="shared" ref="BO35:DF35" ca="1" si="97">BO34</f>
        <v>0</v>
      </c>
      <c r="BP35" s="2790">
        <f t="shared" ca="1" si="97"/>
        <v>0</v>
      </c>
      <c r="BQ35" s="2790">
        <f t="shared" ca="1" si="97"/>
        <v>0</v>
      </c>
      <c r="BR35" s="2790">
        <f t="shared" ca="1" si="97"/>
        <v>0</v>
      </c>
      <c r="BS35" s="2790">
        <f t="shared" ca="1" si="97"/>
        <v>0</v>
      </c>
      <c r="BT35" s="2790">
        <f t="shared" ca="1" si="97"/>
        <v>0</v>
      </c>
      <c r="BU35" s="2790">
        <f t="shared" ca="1" si="97"/>
        <v>0</v>
      </c>
      <c r="BV35" s="2790">
        <f t="shared" ca="1" si="97"/>
        <v>0</v>
      </c>
      <c r="BW35" s="2790">
        <f t="shared" ca="1" si="97"/>
        <v>0</v>
      </c>
      <c r="BX35" s="2790">
        <f t="shared" ca="1" si="97"/>
        <v>0</v>
      </c>
      <c r="BY35" s="2790">
        <f t="shared" ca="1" si="97"/>
        <v>0</v>
      </c>
      <c r="BZ35" s="2790">
        <f t="shared" ca="1" si="97"/>
        <v>0</v>
      </c>
      <c r="CA35" s="2790">
        <f t="shared" ca="1" si="97"/>
        <v>0</v>
      </c>
      <c r="CB35" s="2790">
        <f t="shared" ca="1" si="97"/>
        <v>0</v>
      </c>
      <c r="CC35" s="2790">
        <f t="shared" ca="1" si="97"/>
        <v>0</v>
      </c>
      <c r="CD35" s="2790">
        <f t="shared" ca="1" si="97"/>
        <v>0</v>
      </c>
      <c r="CE35" s="2790">
        <f t="shared" ca="1" si="97"/>
        <v>0</v>
      </c>
      <c r="CF35" s="2790">
        <f t="shared" ca="1" si="97"/>
        <v>0</v>
      </c>
      <c r="CG35" s="2790">
        <f t="shared" ca="1" si="97"/>
        <v>0</v>
      </c>
      <c r="CH35" s="2790">
        <f t="shared" ca="1" si="97"/>
        <v>0</v>
      </c>
      <c r="CI35" s="2790">
        <f t="shared" ca="1" si="97"/>
        <v>0</v>
      </c>
      <c r="CJ35" s="2790">
        <f t="shared" ca="1" si="97"/>
        <v>0</v>
      </c>
      <c r="CK35" s="2790">
        <f t="shared" ca="1" si="97"/>
        <v>0</v>
      </c>
      <c r="CL35" s="2790">
        <f t="shared" ca="1" si="97"/>
        <v>0</v>
      </c>
      <c r="CM35" s="2790">
        <f t="shared" ca="1" si="97"/>
        <v>0</v>
      </c>
      <c r="CN35" s="2790">
        <f t="shared" ca="1" si="97"/>
        <v>0</v>
      </c>
      <c r="CO35" s="2790">
        <f t="shared" ca="1" si="97"/>
        <v>0</v>
      </c>
      <c r="CP35" s="2790">
        <f t="shared" ca="1" si="97"/>
        <v>0</v>
      </c>
      <c r="CQ35" s="2790">
        <f t="shared" ca="1" si="97"/>
        <v>0</v>
      </c>
      <c r="CR35" s="2790">
        <f t="shared" ca="1" si="97"/>
        <v>0</v>
      </c>
      <c r="CS35" s="2790">
        <f t="shared" ca="1" si="97"/>
        <v>0</v>
      </c>
      <c r="CT35" s="2790">
        <f t="shared" ca="1" si="97"/>
        <v>0</v>
      </c>
      <c r="CU35" s="2790">
        <f t="shared" ca="1" si="97"/>
        <v>0</v>
      </c>
      <c r="CV35" s="2790">
        <f t="shared" ca="1" si="97"/>
        <v>0</v>
      </c>
      <c r="CW35" s="2790">
        <f t="shared" ca="1" si="97"/>
        <v>0</v>
      </c>
      <c r="CX35" s="2790">
        <f t="shared" ca="1" si="97"/>
        <v>0</v>
      </c>
      <c r="CY35" s="2790">
        <f t="shared" ca="1" si="97"/>
        <v>0</v>
      </c>
      <c r="CZ35" s="2790">
        <f t="shared" ca="1" si="97"/>
        <v>0</v>
      </c>
      <c r="DA35" s="2790">
        <f t="shared" ca="1" si="97"/>
        <v>0</v>
      </c>
      <c r="DB35" s="2790">
        <f t="shared" ca="1" si="97"/>
        <v>0</v>
      </c>
      <c r="DC35" s="2790">
        <f t="shared" ca="1" si="97"/>
        <v>0</v>
      </c>
      <c r="DD35" s="2790">
        <f t="shared" ca="1" si="97"/>
        <v>0</v>
      </c>
      <c r="DE35" s="2790">
        <f t="shared" ca="1" si="97"/>
        <v>0</v>
      </c>
      <c r="DF35" s="2790">
        <f t="shared" ca="1" si="97"/>
        <v>0</v>
      </c>
      <c r="DH35" s="596">
        <f t="shared" ca="1" si="33"/>
        <v>0</v>
      </c>
    </row>
    <row r="36" spans="1:112" s="6" customFormat="1" ht="12.75" customHeight="1" outlineLevel="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10"/>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3"/>
        <v>0</v>
      </c>
    </row>
    <row r="37" spans="1:112" s="6" customFormat="1" ht="12.75" customHeight="1" outlineLevel="1">
      <c r="A37" s="607"/>
      <c r="B37" s="607"/>
      <c r="C37" s="587" t="s">
        <v>494</v>
      </c>
      <c r="D37" s="611" t="s">
        <v>495</v>
      </c>
      <c r="E37" s="611"/>
      <c r="G37" s="619">
        <f t="shared" ref="G37:P37" ca="1" si="98">IFERROR(INDEX(INDIRECT($C37&amp;".Outputs["&amp;this.Year&amp;"]"), MATCH(G$5, INDIRECT($C37&amp;".Outputs[Vector]"), 0)), 0)</f>
        <v>0</v>
      </c>
      <c r="H37" s="619">
        <f t="shared" ca="1" si="98"/>
        <v>0</v>
      </c>
      <c r="I37" s="619">
        <f t="shared" ca="1" si="98"/>
        <v>0</v>
      </c>
      <c r="J37" s="619">
        <f t="shared" ca="1" si="98"/>
        <v>0</v>
      </c>
      <c r="K37" s="619">
        <f t="shared" ca="1" si="98"/>
        <v>0</v>
      </c>
      <c r="L37" s="619">
        <f t="shared" ca="1" si="98"/>
        <v>0</v>
      </c>
      <c r="M37" s="619">
        <f t="shared" ca="1" si="98"/>
        <v>0</v>
      </c>
      <c r="N37" s="619">
        <f t="shared" ca="1" si="98"/>
        <v>0</v>
      </c>
      <c r="O37" s="619">
        <f t="shared" ca="1" si="98"/>
        <v>0</v>
      </c>
      <c r="P37" s="619">
        <f t="shared" ca="1" si="98"/>
        <v>0</v>
      </c>
      <c r="Q37" s="612">
        <f ca="1">SUM(G37:P37)</f>
        <v>0</v>
      </c>
      <c r="S37" s="620">
        <f t="shared" ref="S37:AJ37" ca="1" si="99">IFERROR(INDEX(INDIRECT($C37&amp;".Outputs["&amp;this.Year&amp;"]"), MATCH(S$5, INDIRECT($C37&amp;".Outputs[Vector]"), 0)), 0)</f>
        <v>0</v>
      </c>
      <c r="T37" s="620">
        <f t="shared" ca="1" si="99"/>
        <v>0</v>
      </c>
      <c r="U37" s="620">
        <f t="shared" ca="1" si="99"/>
        <v>0</v>
      </c>
      <c r="V37" s="620">
        <f t="shared" ca="1" si="99"/>
        <v>0</v>
      </c>
      <c r="W37" s="620">
        <f t="shared" ca="1" si="99"/>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9"/>
        <v>0</v>
      </c>
      <c r="AB37" s="620">
        <f t="shared" ca="1" si="99"/>
        <v>0</v>
      </c>
      <c r="AC37" s="620">
        <f t="shared" ca="1" si="99"/>
        <v>0</v>
      </c>
      <c r="AD37" s="620">
        <f t="shared" ca="1" si="99"/>
        <v>0</v>
      </c>
      <c r="AE37" s="620">
        <f t="shared" ca="1" si="99"/>
        <v>0</v>
      </c>
      <c r="AF37" s="620">
        <f t="shared" ca="1" si="99"/>
        <v>0</v>
      </c>
      <c r="AG37" s="620">
        <f t="shared" ca="1" si="99"/>
        <v>0</v>
      </c>
      <c r="AH37" s="620">
        <f t="shared" ca="1" si="99"/>
        <v>0</v>
      </c>
      <c r="AI37" s="620">
        <f t="shared" ca="1" si="99"/>
        <v>0</v>
      </c>
      <c r="AJ37" s="620">
        <f t="shared" ca="1" si="99"/>
        <v>0</v>
      </c>
      <c r="AK37" s="613">
        <f ca="1">SUM(S37:AJ37)</f>
        <v>0</v>
      </c>
      <c r="AM37" s="621">
        <f t="shared" ref="AM37:AU37" ca="1" si="100">IFERROR(INDEX(INDIRECT($C37&amp;".Outputs["&amp;this.Year&amp;"]"), MATCH(AM$5, INDIRECT($C37&amp;".Outputs[Vector]"), 0)), 0)</f>
        <v>0</v>
      </c>
      <c r="AN37" s="621">
        <f t="shared" ca="1" si="100"/>
        <v>0</v>
      </c>
      <c r="AO37" s="621">
        <f t="shared" ca="1" si="100"/>
        <v>0</v>
      </c>
      <c r="AP37" s="621">
        <f t="shared" ca="1" si="100"/>
        <v>0</v>
      </c>
      <c r="AQ37" s="621">
        <f t="shared" ca="1" si="100"/>
        <v>0</v>
      </c>
      <c r="AR37" s="621">
        <f t="shared" ca="1" si="100"/>
        <v>0</v>
      </c>
      <c r="AS37" s="621">
        <f t="shared" ca="1" si="100"/>
        <v>0</v>
      </c>
      <c r="AT37" s="621">
        <f t="shared" ca="1" si="100"/>
        <v>0</v>
      </c>
      <c r="AU37" s="621">
        <f t="shared" ca="1" si="100"/>
        <v>0</v>
      </c>
      <c r="AV37" s="621">
        <f t="shared" ref="AV37:BE37" ca="1" si="101">IFERROR(INDEX(INDIRECT($C37&amp;".Outputs["&amp;this.Year&amp;"]"), MATCH(AV$5, INDIRECT($C37&amp;".Outputs[Vector]"), 0)), 0)</f>
        <v>0</v>
      </c>
      <c r="AW37" s="621">
        <f t="shared" ca="1" si="101"/>
        <v>0</v>
      </c>
      <c r="AX37" s="621">
        <f t="shared" ca="1" si="101"/>
        <v>0</v>
      </c>
      <c r="AY37" s="621">
        <f t="shared" ca="1" si="101"/>
        <v>0</v>
      </c>
      <c r="AZ37" s="621">
        <f t="shared" ca="1" si="101"/>
        <v>0</v>
      </c>
      <c r="BA37" s="621">
        <f t="shared" ca="1" si="101"/>
        <v>0</v>
      </c>
      <c r="BB37" s="621">
        <f t="shared" ca="1" si="101"/>
        <v>0</v>
      </c>
      <c r="BC37" s="621">
        <f t="shared" ca="1" si="101"/>
        <v>0</v>
      </c>
      <c r="BD37" s="621">
        <f t="shared" ca="1" si="101"/>
        <v>0</v>
      </c>
      <c r="BE37" s="621">
        <f t="shared" ca="1" si="101"/>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10"/>
        <v>0</v>
      </c>
      <c r="BM37" s="610"/>
      <c r="BN37" s="413"/>
      <c r="BO37" s="2791">
        <f t="shared" ref="BO37:DF37" ca="1" si="102">IFERROR(SUMIFS(INDIRECT($C37&amp;".Emissions["&amp;this.Year&amp;"]"), INDIRECT($C37&amp;".Emissions[GHG]"), BO$6, INDIRECT($C37&amp;".Emissions[IPCC Sector]"), BO$5),0)</f>
        <v>0</v>
      </c>
      <c r="BP37" s="2792">
        <f t="shared" ca="1" si="102"/>
        <v>0</v>
      </c>
      <c r="BQ37" s="2792">
        <f t="shared" ca="1" si="102"/>
        <v>0</v>
      </c>
      <c r="BR37" s="2792">
        <f t="shared" ca="1" si="102"/>
        <v>0</v>
      </c>
      <c r="BS37" s="2792">
        <f t="shared" ca="1" si="102"/>
        <v>0</v>
      </c>
      <c r="BT37" s="2792">
        <f t="shared" ca="1" si="102"/>
        <v>0</v>
      </c>
      <c r="BU37" s="2792">
        <f t="shared" ca="1" si="102"/>
        <v>0</v>
      </c>
      <c r="BV37" s="2792">
        <f t="shared" ca="1" si="102"/>
        <v>0</v>
      </c>
      <c r="BW37" s="2792">
        <f t="shared" ca="1" si="102"/>
        <v>0</v>
      </c>
      <c r="BX37" s="2792">
        <f t="shared" ca="1" si="102"/>
        <v>0</v>
      </c>
      <c r="BY37" s="2792">
        <f t="shared" ca="1" si="102"/>
        <v>0</v>
      </c>
      <c r="BZ37" s="2792">
        <f t="shared" ca="1" si="102"/>
        <v>0</v>
      </c>
      <c r="CA37" s="2792">
        <f t="shared" ca="1" si="102"/>
        <v>0</v>
      </c>
      <c r="CB37" s="2792">
        <f t="shared" ca="1" si="102"/>
        <v>0</v>
      </c>
      <c r="CC37" s="2792">
        <f t="shared" ca="1" si="102"/>
        <v>0</v>
      </c>
      <c r="CD37" s="2792">
        <f t="shared" ca="1" si="102"/>
        <v>0</v>
      </c>
      <c r="CE37" s="2792">
        <f t="shared" ca="1" si="102"/>
        <v>0</v>
      </c>
      <c r="CF37" s="2792">
        <f t="shared" ca="1" si="102"/>
        <v>0</v>
      </c>
      <c r="CG37" s="2792">
        <f t="shared" ca="1" si="102"/>
        <v>0</v>
      </c>
      <c r="CH37" s="2792">
        <f t="shared" ca="1" si="102"/>
        <v>0</v>
      </c>
      <c r="CI37" s="2792">
        <f t="shared" ca="1" si="102"/>
        <v>0</v>
      </c>
      <c r="CJ37" s="2792">
        <f t="shared" ca="1" si="102"/>
        <v>0</v>
      </c>
      <c r="CK37" s="2792">
        <f t="shared" ca="1" si="102"/>
        <v>0</v>
      </c>
      <c r="CL37" s="2792">
        <f t="shared" ca="1" si="102"/>
        <v>0</v>
      </c>
      <c r="CM37" s="2792">
        <f t="shared" ca="1" si="102"/>
        <v>0</v>
      </c>
      <c r="CN37" s="2792">
        <f t="shared" ca="1" si="102"/>
        <v>0</v>
      </c>
      <c r="CO37" s="2792">
        <f t="shared" ca="1" si="102"/>
        <v>0</v>
      </c>
      <c r="CP37" s="2792">
        <f t="shared" ca="1" si="102"/>
        <v>0</v>
      </c>
      <c r="CQ37" s="2792">
        <f t="shared" ca="1" si="102"/>
        <v>0</v>
      </c>
      <c r="CR37" s="2792">
        <f t="shared" ca="1" si="102"/>
        <v>0</v>
      </c>
      <c r="CS37" s="2792">
        <f t="shared" ca="1" si="102"/>
        <v>0</v>
      </c>
      <c r="CT37" s="2792">
        <f t="shared" ca="1" si="102"/>
        <v>0</v>
      </c>
      <c r="CU37" s="2792">
        <f t="shared" ca="1" si="102"/>
        <v>0</v>
      </c>
      <c r="CV37" s="2792">
        <f t="shared" ca="1" si="102"/>
        <v>0</v>
      </c>
      <c r="CW37" s="2792">
        <f t="shared" ca="1" si="102"/>
        <v>0</v>
      </c>
      <c r="CX37" s="2792">
        <f t="shared" ca="1" si="102"/>
        <v>0</v>
      </c>
      <c r="CY37" s="2792">
        <f t="shared" ca="1" si="102"/>
        <v>0</v>
      </c>
      <c r="CZ37" s="2792">
        <f t="shared" ca="1" si="102"/>
        <v>0</v>
      </c>
      <c r="DA37" s="2792">
        <f t="shared" ca="1" si="102"/>
        <v>0</v>
      </c>
      <c r="DB37" s="2792">
        <f t="shared" ca="1" si="102"/>
        <v>0</v>
      </c>
      <c r="DC37" s="2792">
        <f t="shared" ca="1" si="102"/>
        <v>0</v>
      </c>
      <c r="DD37" s="2792">
        <f t="shared" ca="1" si="102"/>
        <v>0</v>
      </c>
      <c r="DE37" s="2792">
        <f t="shared" ca="1" si="102"/>
        <v>0</v>
      </c>
      <c r="DF37" s="2792">
        <f t="shared" ca="1" si="102"/>
        <v>0</v>
      </c>
      <c r="DH37" s="596">
        <f t="shared" ca="1" si="33"/>
        <v>0</v>
      </c>
    </row>
    <row r="38" spans="1:112" s="6" customFormat="1" ht="15.75">
      <c r="A38" s="4"/>
      <c r="B38" s="3"/>
      <c r="C38" s="616" t="s">
        <v>496</v>
      </c>
      <c r="D38" s="617" t="s">
        <v>495</v>
      </c>
      <c r="E38" s="206"/>
      <c r="G38" s="618">
        <f t="shared" ref="G38:P38" ca="1" si="103">G37</f>
        <v>0</v>
      </c>
      <c r="H38" s="618">
        <f t="shared" ca="1" si="103"/>
        <v>0</v>
      </c>
      <c r="I38" s="618">
        <f t="shared" ca="1" si="103"/>
        <v>0</v>
      </c>
      <c r="J38" s="618">
        <f t="shared" ca="1" si="103"/>
        <v>0</v>
      </c>
      <c r="K38" s="618">
        <f t="shared" ca="1" si="103"/>
        <v>0</v>
      </c>
      <c r="L38" s="618">
        <f t="shared" ca="1" si="103"/>
        <v>0</v>
      </c>
      <c r="M38" s="618">
        <f t="shared" ca="1" si="103"/>
        <v>0</v>
      </c>
      <c r="N38" s="618">
        <f t="shared" ca="1" si="103"/>
        <v>0</v>
      </c>
      <c r="O38" s="618">
        <f t="shared" ca="1" si="103"/>
        <v>0</v>
      </c>
      <c r="P38" s="618">
        <f t="shared" ca="1" si="103"/>
        <v>0</v>
      </c>
      <c r="Q38" s="618">
        <f ca="1">SUM(G38:P38)</f>
        <v>0</v>
      </c>
      <c r="S38" s="581">
        <f t="shared" ref="S38:AJ38" ca="1" si="104">S37</f>
        <v>0</v>
      </c>
      <c r="T38" s="581">
        <f t="shared" ca="1" si="104"/>
        <v>0</v>
      </c>
      <c r="U38" s="581">
        <f t="shared" ca="1" si="104"/>
        <v>0</v>
      </c>
      <c r="V38" s="581">
        <f t="shared" ca="1" si="104"/>
        <v>0</v>
      </c>
      <c r="W38" s="581">
        <f t="shared" ca="1" si="104"/>
        <v>0</v>
      </c>
      <c r="X38" s="581">
        <f ca="1">X37</f>
        <v>0</v>
      </c>
      <c r="Y38" s="581">
        <f ca="1">Y37</f>
        <v>0</v>
      </c>
      <c r="Z38" s="581">
        <f ca="1">Z37</f>
        <v>0</v>
      </c>
      <c r="AA38" s="581">
        <f t="shared" ca="1" si="104"/>
        <v>0</v>
      </c>
      <c r="AB38" s="581">
        <f t="shared" ca="1" si="104"/>
        <v>0</v>
      </c>
      <c r="AC38" s="581">
        <f t="shared" ca="1" si="104"/>
        <v>0</v>
      </c>
      <c r="AD38" s="581">
        <f ca="1">AD37</f>
        <v>0</v>
      </c>
      <c r="AE38" s="581">
        <f ca="1">AE37</f>
        <v>0</v>
      </c>
      <c r="AF38" s="581">
        <f t="shared" ca="1" si="104"/>
        <v>0</v>
      </c>
      <c r="AG38" s="581">
        <f ca="1">AG37</f>
        <v>0</v>
      </c>
      <c r="AH38" s="581">
        <f ca="1">AH37</f>
        <v>0</v>
      </c>
      <c r="AI38" s="581">
        <f ca="1">AI37</f>
        <v>0</v>
      </c>
      <c r="AJ38" s="581">
        <f t="shared" ca="1" si="104"/>
        <v>0</v>
      </c>
      <c r="AK38" s="581">
        <f ca="1">SUM(S38:AJ38)</f>
        <v>0</v>
      </c>
      <c r="AM38" s="582">
        <f t="shared" ref="AM38:BE38" ca="1" si="105">AM37</f>
        <v>0</v>
      </c>
      <c r="AN38" s="582">
        <f t="shared" ca="1" si="105"/>
        <v>0</v>
      </c>
      <c r="AO38" s="582">
        <f t="shared" ca="1" si="105"/>
        <v>0</v>
      </c>
      <c r="AP38" s="582">
        <f t="shared" ca="1" si="105"/>
        <v>0</v>
      </c>
      <c r="AQ38" s="582">
        <f t="shared" ca="1" si="105"/>
        <v>0</v>
      </c>
      <c r="AR38" s="582">
        <f t="shared" ca="1" si="105"/>
        <v>0</v>
      </c>
      <c r="AS38" s="582">
        <f t="shared" ca="1" si="105"/>
        <v>0</v>
      </c>
      <c r="AT38" s="582">
        <f t="shared" ca="1" si="105"/>
        <v>0</v>
      </c>
      <c r="AU38" s="582">
        <f t="shared" ca="1" si="105"/>
        <v>0</v>
      </c>
      <c r="AV38" s="582">
        <f t="shared" ca="1" si="105"/>
        <v>0</v>
      </c>
      <c r="AW38" s="582">
        <f t="shared" ca="1" si="105"/>
        <v>0</v>
      </c>
      <c r="AX38" s="582">
        <f t="shared" ca="1" si="105"/>
        <v>0</v>
      </c>
      <c r="AY38" s="582">
        <f t="shared" ca="1" si="105"/>
        <v>0</v>
      </c>
      <c r="AZ38" s="582">
        <f t="shared" ca="1" si="105"/>
        <v>0</v>
      </c>
      <c r="BA38" s="582">
        <f t="shared" ca="1" si="105"/>
        <v>0</v>
      </c>
      <c r="BB38" s="582">
        <f t="shared" ca="1" si="105"/>
        <v>0</v>
      </c>
      <c r="BC38" s="582">
        <f t="shared" ca="1" si="105"/>
        <v>0</v>
      </c>
      <c r="BD38" s="582">
        <f ca="1">BD37</f>
        <v>0</v>
      </c>
      <c r="BE38" s="582">
        <f t="shared" ca="1" si="105"/>
        <v>0</v>
      </c>
      <c r="BF38" s="582">
        <f ca="1">SUM(AM38:BE38)</f>
        <v>0</v>
      </c>
      <c r="BH38" s="3463">
        <f ca="1">BH37</f>
        <v>0</v>
      </c>
      <c r="BI38" s="3463">
        <f ca="1">BI37</f>
        <v>0</v>
      </c>
      <c r="BJ38" s="3463">
        <f ca="1">SUM(BH38:BI38)</f>
        <v>0</v>
      </c>
      <c r="BL38" s="3477">
        <f t="shared" ca="1" si="10"/>
        <v>0</v>
      </c>
      <c r="BM38" s="584"/>
      <c r="BN38" s="413"/>
      <c r="BO38" s="2790">
        <f t="shared" ref="BO38:DF38" ca="1" si="106">BO37</f>
        <v>0</v>
      </c>
      <c r="BP38" s="2790">
        <f t="shared" ca="1" si="106"/>
        <v>0</v>
      </c>
      <c r="BQ38" s="2790">
        <f t="shared" ca="1" si="106"/>
        <v>0</v>
      </c>
      <c r="BR38" s="2790">
        <f t="shared" ca="1" si="106"/>
        <v>0</v>
      </c>
      <c r="BS38" s="2790">
        <f t="shared" ca="1" si="106"/>
        <v>0</v>
      </c>
      <c r="BT38" s="2790">
        <f t="shared" ca="1" si="106"/>
        <v>0</v>
      </c>
      <c r="BU38" s="2790">
        <f t="shared" ca="1" si="106"/>
        <v>0</v>
      </c>
      <c r="BV38" s="2790">
        <f t="shared" ca="1" si="106"/>
        <v>0</v>
      </c>
      <c r="BW38" s="2790">
        <f t="shared" ca="1" si="106"/>
        <v>0</v>
      </c>
      <c r="BX38" s="2790">
        <f t="shared" ca="1" si="106"/>
        <v>0</v>
      </c>
      <c r="BY38" s="2790">
        <f t="shared" ca="1" si="106"/>
        <v>0</v>
      </c>
      <c r="BZ38" s="2790">
        <f t="shared" ca="1" si="106"/>
        <v>0</v>
      </c>
      <c r="CA38" s="2790">
        <f t="shared" ca="1" si="106"/>
        <v>0</v>
      </c>
      <c r="CB38" s="2790">
        <f t="shared" ca="1" si="106"/>
        <v>0</v>
      </c>
      <c r="CC38" s="2790">
        <f t="shared" ca="1" si="106"/>
        <v>0</v>
      </c>
      <c r="CD38" s="2790">
        <f t="shared" ca="1" si="106"/>
        <v>0</v>
      </c>
      <c r="CE38" s="2790">
        <f t="shared" ca="1" si="106"/>
        <v>0</v>
      </c>
      <c r="CF38" s="2790">
        <f t="shared" ca="1" si="106"/>
        <v>0</v>
      </c>
      <c r="CG38" s="2790">
        <f t="shared" ca="1" si="106"/>
        <v>0</v>
      </c>
      <c r="CH38" s="2790">
        <f t="shared" ca="1" si="106"/>
        <v>0</v>
      </c>
      <c r="CI38" s="2790">
        <f t="shared" ca="1" si="106"/>
        <v>0</v>
      </c>
      <c r="CJ38" s="2790">
        <f t="shared" ca="1" si="106"/>
        <v>0</v>
      </c>
      <c r="CK38" s="2790">
        <f t="shared" ca="1" si="106"/>
        <v>0</v>
      </c>
      <c r="CL38" s="2790">
        <f t="shared" ca="1" si="106"/>
        <v>0</v>
      </c>
      <c r="CM38" s="2790">
        <f t="shared" ca="1" si="106"/>
        <v>0</v>
      </c>
      <c r="CN38" s="2790">
        <f t="shared" ca="1" si="106"/>
        <v>0</v>
      </c>
      <c r="CO38" s="2790">
        <f t="shared" ca="1" si="106"/>
        <v>0</v>
      </c>
      <c r="CP38" s="2790">
        <f t="shared" ca="1" si="106"/>
        <v>0</v>
      </c>
      <c r="CQ38" s="2790">
        <f t="shared" ca="1" si="106"/>
        <v>0</v>
      </c>
      <c r="CR38" s="2790">
        <f t="shared" ca="1" si="106"/>
        <v>0</v>
      </c>
      <c r="CS38" s="2790">
        <f t="shared" ca="1" si="106"/>
        <v>0</v>
      </c>
      <c r="CT38" s="2790">
        <f t="shared" ca="1" si="106"/>
        <v>0</v>
      </c>
      <c r="CU38" s="2790">
        <f t="shared" ca="1" si="106"/>
        <v>0</v>
      </c>
      <c r="CV38" s="2790">
        <f t="shared" ca="1" si="106"/>
        <v>0</v>
      </c>
      <c r="CW38" s="2790">
        <f t="shared" ca="1" si="106"/>
        <v>0</v>
      </c>
      <c r="CX38" s="2790">
        <f t="shared" ca="1" si="106"/>
        <v>0</v>
      </c>
      <c r="CY38" s="2790">
        <f t="shared" ca="1" si="106"/>
        <v>0</v>
      </c>
      <c r="CZ38" s="2790">
        <f t="shared" ca="1" si="106"/>
        <v>0</v>
      </c>
      <c r="DA38" s="2790">
        <f t="shared" ca="1" si="106"/>
        <v>0</v>
      </c>
      <c r="DB38" s="2790">
        <f t="shared" ca="1" si="106"/>
        <v>0</v>
      </c>
      <c r="DC38" s="2790">
        <f t="shared" ca="1" si="106"/>
        <v>0</v>
      </c>
      <c r="DD38" s="2790">
        <f t="shared" ca="1" si="106"/>
        <v>0</v>
      </c>
      <c r="DE38" s="2790">
        <f t="shared" ca="1" si="106"/>
        <v>0</v>
      </c>
      <c r="DF38" s="2790">
        <f t="shared" ca="1" si="106"/>
        <v>0</v>
      </c>
      <c r="DH38" s="596">
        <f t="shared" ca="1" si="33"/>
        <v>0</v>
      </c>
    </row>
    <row r="39" spans="1:112" s="6" customFormat="1" ht="6" customHeigh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10"/>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7">G$15+G$19+G$22+G$32+G$35+G$38</f>
        <v>37.793072269825217</v>
      </c>
      <c r="H40" s="633">
        <f t="shared" ca="1" si="107"/>
        <v>10.904429485977229</v>
      </c>
      <c r="I40" s="633">
        <f t="shared" ca="1" si="107"/>
        <v>28.444788847516165</v>
      </c>
      <c r="J40" s="633">
        <f t="shared" ca="1" si="107"/>
        <v>33.687114265346466</v>
      </c>
      <c r="K40" s="633">
        <f t="shared" ca="1" si="107"/>
        <v>0.40591861207029195</v>
      </c>
      <c r="L40" s="633">
        <f t="shared" ca="1" si="107"/>
        <v>2.6013627209398826E-2</v>
      </c>
      <c r="M40" s="633">
        <f t="shared" ca="1" si="107"/>
        <v>0.66</v>
      </c>
      <c r="N40" s="633">
        <f t="shared" ca="1" si="107"/>
        <v>8.7186093571046239</v>
      </c>
      <c r="O40" s="633">
        <f t="shared" ca="1" si="107"/>
        <v>0</v>
      </c>
      <c r="P40" s="633">
        <f t="shared" ca="1" si="107"/>
        <v>0</v>
      </c>
      <c r="Q40" s="633">
        <f t="shared" ca="1" si="107"/>
        <v>120.63994646504941</v>
      </c>
      <c r="S40" s="634">
        <f t="shared" ref="S40:AJ40" ca="1" si="108">S$15+S$19+S$22+S$32+S$35+S$38</f>
        <v>-25.144909829669267</v>
      </c>
      <c r="T40" s="634">
        <f t="shared" ca="1" si="108"/>
        <v>4.4993571428571428</v>
      </c>
      <c r="U40" s="634">
        <f t="shared" ca="1" si="108"/>
        <v>-3.7717889460243152</v>
      </c>
      <c r="V40" s="634">
        <f t="shared" ca="1" si="108"/>
        <v>-58.60431545850868</v>
      </c>
      <c r="W40" s="634">
        <f t="shared" ca="1" si="108"/>
        <v>-36.076904009855653</v>
      </c>
      <c r="X40" s="634">
        <f ca="1">X$15+X$19+X$22+X$32+X$35+X$38</f>
        <v>0</v>
      </c>
      <c r="Y40" s="634">
        <f ca="1">Y$15+Y$19+Y$22+Y$32+Y$35+Y$38</f>
        <v>0</v>
      </c>
      <c r="Z40" s="634">
        <f ca="1">Z$15+Z$19+Z$22+Z$32+Z$35+Z$38</f>
        <v>0</v>
      </c>
      <c r="AA40" s="634">
        <f t="shared" ca="1" si="108"/>
        <v>0</v>
      </c>
      <c r="AB40" s="634">
        <f t="shared" ca="1" si="108"/>
        <v>0</v>
      </c>
      <c r="AC40" s="634">
        <f t="shared" ca="1" si="108"/>
        <v>0</v>
      </c>
      <c r="AD40" s="634">
        <f t="shared" ca="1" si="108"/>
        <v>0</v>
      </c>
      <c r="AE40" s="634">
        <f t="shared" ca="1" si="108"/>
        <v>0</v>
      </c>
      <c r="AF40" s="634">
        <f t="shared" ca="1" si="108"/>
        <v>0</v>
      </c>
      <c r="AG40" s="634">
        <f t="shared" ca="1" si="108"/>
        <v>0</v>
      </c>
      <c r="AH40" s="634">
        <f t="shared" ca="1" si="108"/>
        <v>0</v>
      </c>
      <c r="AI40" s="634">
        <f t="shared" ca="1" si="108"/>
        <v>-1.4025987513562512</v>
      </c>
      <c r="AJ40" s="634">
        <f t="shared" ca="1" si="108"/>
        <v>-8.5334544167595186E-3</v>
      </c>
      <c r="AK40" s="634">
        <f ca="1">SUM(S40:AJ40)</f>
        <v>-120.50969330697379</v>
      </c>
      <c r="AM40" s="635">
        <f t="shared" ref="AM40:BE40" ca="1" si="109">AM$15+AM$19+AM$22+AM$32+AM$35+AM$38</f>
        <v>0</v>
      </c>
      <c r="AN40" s="635">
        <f t="shared" ca="1" si="109"/>
        <v>0</v>
      </c>
      <c r="AO40" s="635">
        <f t="shared" ca="1" si="109"/>
        <v>0</v>
      </c>
      <c r="AP40" s="635">
        <f t="shared" ca="1" si="109"/>
        <v>0</v>
      </c>
      <c r="AQ40" s="635">
        <f t="shared" ca="1" si="109"/>
        <v>0</v>
      </c>
      <c r="AR40" s="635">
        <f t="shared" ca="1" si="109"/>
        <v>0</v>
      </c>
      <c r="AS40" s="635">
        <f t="shared" ca="1" si="109"/>
        <v>0</v>
      </c>
      <c r="AT40" s="635">
        <f t="shared" ca="1" si="109"/>
        <v>0</v>
      </c>
      <c r="AU40" s="635">
        <f t="shared" ca="1" si="109"/>
        <v>0</v>
      </c>
      <c r="AV40" s="635">
        <f t="shared" ca="1" si="109"/>
        <v>0</v>
      </c>
      <c r="AW40" s="635">
        <f t="shared" ca="1" si="109"/>
        <v>0</v>
      </c>
      <c r="AX40" s="635">
        <f t="shared" ca="1" si="109"/>
        <v>0</v>
      </c>
      <c r="AY40" s="635">
        <f t="shared" ca="1" si="109"/>
        <v>0</v>
      </c>
      <c r="AZ40" s="635">
        <f t="shared" ca="1" si="109"/>
        <v>0</v>
      </c>
      <c r="BA40" s="635">
        <f t="shared" ca="1" si="109"/>
        <v>0</v>
      </c>
      <c r="BB40" s="635">
        <f t="shared" ca="1" si="109"/>
        <v>0</v>
      </c>
      <c r="BC40" s="635">
        <f t="shared" ca="1" si="109"/>
        <v>-0.13025315807559751</v>
      </c>
      <c r="BD40" s="635">
        <f t="shared" ca="1" si="109"/>
        <v>0</v>
      </c>
      <c r="BE40" s="635">
        <f t="shared" ca="1" si="109"/>
        <v>0</v>
      </c>
      <c r="BF40" s="635">
        <f ca="1">SUM(AM40:BE40)</f>
        <v>-0.13025315807559751</v>
      </c>
      <c r="BH40" s="3464">
        <f ca="1">BH$15+BH$19+BH$22+BH$32+BH$35+BH$38</f>
        <v>0</v>
      </c>
      <c r="BI40" s="3464">
        <f ca="1">BI$15+BI$19+BI$22+BI$32+BI$35+BI$38</f>
        <v>0</v>
      </c>
      <c r="BJ40" s="3464">
        <f ca="1">SUM(BH40:BI40)</f>
        <v>0</v>
      </c>
      <c r="BL40" s="3478">
        <f t="shared" ca="1" si="10"/>
        <v>2.0594637106796654E-14</v>
      </c>
      <c r="BM40" s="636"/>
      <c r="BO40" s="2793">
        <f t="shared" ref="BO40:DF40" ca="1" si="110">BO$15+BO$19+BO$22+BO$32+BO$35+BO$38</f>
        <v>21.822987643471162</v>
      </c>
      <c r="BP40" s="2793">
        <f t="shared" ca="1" si="110"/>
        <v>1.4241095157967136E-2</v>
      </c>
      <c r="BQ40" s="2793">
        <f t="shared" ca="1" si="110"/>
        <v>0.15226741917487857</v>
      </c>
      <c r="BR40" s="2793">
        <f t="shared" ca="1" si="110"/>
        <v>0</v>
      </c>
      <c r="BS40" s="2793">
        <f t="shared" ca="1" si="110"/>
        <v>0</v>
      </c>
      <c r="BT40" s="2793">
        <f t="shared" ca="1" si="110"/>
        <v>0</v>
      </c>
      <c r="BU40" s="2793">
        <f t="shared" ca="1" si="110"/>
        <v>0</v>
      </c>
      <c r="BV40" s="2793">
        <f t="shared" ca="1" si="110"/>
        <v>0</v>
      </c>
      <c r="BW40" s="2793">
        <f t="shared" ca="1" si="110"/>
        <v>0.90384355825774465</v>
      </c>
      <c r="BX40" s="2793">
        <f t="shared" ca="1" si="110"/>
        <v>0</v>
      </c>
      <c r="BY40" s="2793">
        <f t="shared" ca="1" si="110"/>
        <v>0</v>
      </c>
      <c r="BZ40" s="2793">
        <f t="shared" ca="1" si="110"/>
        <v>0.77483854685732834</v>
      </c>
      <c r="CA40" s="2793">
        <f t="shared" ca="1" si="110"/>
        <v>0</v>
      </c>
      <c r="CB40" s="2793">
        <f t="shared" ca="1" si="110"/>
        <v>0</v>
      </c>
      <c r="CC40" s="2793">
        <f t="shared" ca="1" si="110"/>
        <v>0</v>
      </c>
      <c r="CD40" s="2793">
        <f t="shared" ca="1" si="110"/>
        <v>0</v>
      </c>
      <c r="CE40" s="2793">
        <f t="shared" ca="1" si="110"/>
        <v>0</v>
      </c>
      <c r="CF40" s="2793">
        <f t="shared" ca="1" si="110"/>
        <v>0</v>
      </c>
      <c r="CG40" s="2793">
        <f t="shared" ca="1" si="110"/>
        <v>0</v>
      </c>
      <c r="CH40" s="2793">
        <f t="shared" ca="1" si="110"/>
        <v>0</v>
      </c>
      <c r="CI40" s="2793">
        <f t="shared" ca="1" si="110"/>
        <v>0</v>
      </c>
      <c r="CJ40" s="2793">
        <f t="shared" ca="1" si="110"/>
        <v>0</v>
      </c>
      <c r="CK40" s="2793">
        <f t="shared" ca="1" si="110"/>
        <v>0</v>
      </c>
      <c r="CL40" s="2793">
        <f t="shared" ca="1" si="110"/>
        <v>0</v>
      </c>
      <c r="CM40" s="2793">
        <f t="shared" ca="1" si="110"/>
        <v>0</v>
      </c>
      <c r="CN40" s="2793">
        <f t="shared" ca="1" si="110"/>
        <v>0</v>
      </c>
      <c r="CO40" s="2793">
        <f t="shared" ca="1" si="110"/>
        <v>0</v>
      </c>
      <c r="CP40" s="2793">
        <f t="shared" ca="1" si="110"/>
        <v>0</v>
      </c>
      <c r="CQ40" s="2793">
        <f t="shared" ca="1" si="110"/>
        <v>0</v>
      </c>
      <c r="CR40" s="2793">
        <f t="shared" ca="1" si="110"/>
        <v>0</v>
      </c>
      <c r="CS40" s="2793">
        <f t="shared" ca="1" si="110"/>
        <v>0</v>
      </c>
      <c r="CT40" s="2793">
        <f t="shared" ca="1" si="110"/>
        <v>0</v>
      </c>
      <c r="CU40" s="2793">
        <f t="shared" ca="1" si="110"/>
        <v>2.3006666371527675</v>
      </c>
      <c r="CV40" s="2793">
        <f t="shared" ca="1" si="110"/>
        <v>1.9773806021913289E-3</v>
      </c>
      <c r="CW40" s="2793">
        <f t="shared" ca="1" si="110"/>
        <v>5.8379808255172565E-3</v>
      </c>
      <c r="CX40" s="2793">
        <f t="shared" ca="1" si="110"/>
        <v>0</v>
      </c>
      <c r="CY40" s="2793">
        <f t="shared" ca="1" si="110"/>
        <v>0</v>
      </c>
      <c r="CZ40" s="2793">
        <f t="shared" ca="1" si="110"/>
        <v>0</v>
      </c>
      <c r="DA40" s="2793">
        <f t="shared" ca="1" si="110"/>
        <v>0</v>
      </c>
      <c r="DB40" s="2793">
        <f t="shared" ca="1" si="110"/>
        <v>0</v>
      </c>
      <c r="DC40" s="2793">
        <f t="shared" ca="1" si="110"/>
        <v>0</v>
      </c>
      <c r="DD40" s="2793">
        <f t="shared" ca="1" si="110"/>
        <v>0</v>
      </c>
      <c r="DE40" s="2793">
        <f t="shared" ca="1" si="110"/>
        <v>0</v>
      </c>
      <c r="DF40" s="2793">
        <f t="shared" ca="1" si="110"/>
        <v>0</v>
      </c>
      <c r="DH40" s="637">
        <f ca="1">SUM(BO40:DF40)</f>
        <v>25.976660261499561</v>
      </c>
    </row>
    <row r="41" spans="1:112" s="6" customFormat="1" ht="6" customHeigh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10"/>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24" customHeight="1">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10"/>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ht="12.75" customHeight="1" outlineLevel="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10"/>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ht="12.75" customHeight="1" outlineLevel="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-8.5334544167595186E-3</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10"/>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ht="12.75" customHeight="1" outlineLevel="1">
      <c r="A45" s="4"/>
      <c r="B45" s="4"/>
      <c r="C45" s="587" t="s">
        <v>502</v>
      </c>
      <c r="D45" s="611" t="s">
        <v>503</v>
      </c>
      <c r="E45" s="650"/>
      <c r="G45" s="619">
        <f t="shared" ref="G45:P45" ca="1" si="111">IFERROR(INDEX(INDIRECT($C45&amp;".Outputs["&amp;this.Year&amp;"]"), MATCH(G$5, INDIRECT($C45&amp;".Outputs[Vector]"), 0)), 0)</f>
        <v>0</v>
      </c>
      <c r="H45" s="619">
        <f t="shared" ca="1" si="111"/>
        <v>0</v>
      </c>
      <c r="I45" s="619">
        <f t="shared" ca="1" si="111"/>
        <v>0</v>
      </c>
      <c r="J45" s="619">
        <f t="shared" ca="1" si="111"/>
        <v>0</v>
      </c>
      <c r="K45" s="619">
        <f t="shared" ca="1" si="111"/>
        <v>0</v>
      </c>
      <c r="L45" s="619">
        <f t="shared" ca="1" si="111"/>
        <v>0</v>
      </c>
      <c r="M45" s="619">
        <f t="shared" ca="1" si="111"/>
        <v>0</v>
      </c>
      <c r="N45" s="619">
        <f t="shared" ca="1" si="111"/>
        <v>0</v>
      </c>
      <c r="O45" s="619">
        <f t="shared" ca="1" si="111"/>
        <v>0</v>
      </c>
      <c r="P45" s="619">
        <f t="shared" ca="1" si="111"/>
        <v>0</v>
      </c>
      <c r="Q45" s="612">
        <f ca="1">SUM(G45:P45)</f>
        <v>0</v>
      </c>
      <c r="S45" s="620">
        <f t="shared" ref="S45:AJ45" ca="1" si="112">IFERROR(INDEX(INDIRECT($C45&amp;".Outputs["&amp;this.Year&amp;"]"), MATCH(S$5, INDIRECT($C45&amp;".Outputs[Vector]"), 0)), 0)</f>
        <v>-5.5554276646316691E-3</v>
      </c>
      <c r="T45" s="620">
        <f t="shared" ca="1" si="112"/>
        <v>0</v>
      </c>
      <c r="U45" s="620">
        <f t="shared" ca="1" si="112"/>
        <v>0</v>
      </c>
      <c r="V45" s="620">
        <f t="shared" ca="1" si="112"/>
        <v>0</v>
      </c>
      <c r="W45" s="620">
        <f t="shared" ca="1" si="112"/>
        <v>-6.6057652271545239E-3</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12"/>
        <v>0</v>
      </c>
      <c r="AB45" s="620">
        <f t="shared" ca="1" si="112"/>
        <v>0</v>
      </c>
      <c r="AC45" s="620">
        <f t="shared" ca="1" si="112"/>
        <v>0</v>
      </c>
      <c r="AD45" s="620">
        <f t="shared" ca="1" si="112"/>
        <v>0</v>
      </c>
      <c r="AE45" s="620">
        <f t="shared" ca="1" si="112"/>
        <v>0</v>
      </c>
      <c r="AF45" s="620">
        <f t="shared" ca="1" si="112"/>
        <v>0</v>
      </c>
      <c r="AG45" s="620">
        <f t="shared" ca="1" si="112"/>
        <v>0</v>
      </c>
      <c r="AH45" s="620">
        <f t="shared" ca="1" si="112"/>
        <v>0</v>
      </c>
      <c r="AI45" s="620">
        <f t="shared" ca="1" si="112"/>
        <v>0</v>
      </c>
      <c r="AJ45" s="620">
        <f t="shared" ca="1" si="112"/>
        <v>8.5334544167595186E-3</v>
      </c>
      <c r="AK45" s="613">
        <f ca="1">SUM(S45:AJ45)</f>
        <v>-3.6277384750266744E-3</v>
      </c>
      <c r="AM45" s="621">
        <f t="shared" ref="AM45:AU45" ca="1" si="113">IFERROR(INDEX(INDIRECT($C45&amp;".Outputs["&amp;this.Year&amp;"]"), MATCH(AM$5, INDIRECT($C45&amp;".Outputs[Vector]"), 0)), 0)</f>
        <v>0</v>
      </c>
      <c r="AN45" s="621">
        <f t="shared" ca="1" si="113"/>
        <v>0</v>
      </c>
      <c r="AO45" s="621">
        <f t="shared" ca="1" si="113"/>
        <v>0</v>
      </c>
      <c r="AP45" s="621">
        <f t="shared" ca="1" si="113"/>
        <v>0</v>
      </c>
      <c r="AQ45" s="621">
        <f t="shared" ca="1" si="113"/>
        <v>0</v>
      </c>
      <c r="AR45" s="621">
        <f t="shared" ca="1" si="113"/>
        <v>0</v>
      </c>
      <c r="AS45" s="621">
        <f t="shared" ca="1" si="113"/>
        <v>0</v>
      </c>
      <c r="AT45" s="621">
        <f t="shared" ca="1" si="113"/>
        <v>0</v>
      </c>
      <c r="AU45" s="621">
        <f t="shared" ca="1" si="113"/>
        <v>0</v>
      </c>
      <c r="AV45" s="621">
        <f t="shared" ref="AV45:BE45" ca="1" si="114">IFERROR(INDEX(INDIRECT($C45&amp;".Outputs["&amp;this.Year&amp;"]"), MATCH(AV$5, INDIRECT($C45&amp;".Outputs[Vector]"), 0)), 0)</f>
        <v>0</v>
      </c>
      <c r="AW45" s="621">
        <f t="shared" ca="1" si="114"/>
        <v>0</v>
      </c>
      <c r="AX45" s="621">
        <f t="shared" ca="1" si="114"/>
        <v>0</v>
      </c>
      <c r="AY45" s="621">
        <f t="shared" ca="1" si="114"/>
        <v>0</v>
      </c>
      <c r="AZ45" s="621">
        <f t="shared" ca="1" si="114"/>
        <v>0</v>
      </c>
      <c r="BA45" s="621">
        <f t="shared" ca="1" si="114"/>
        <v>0</v>
      </c>
      <c r="BB45" s="621">
        <f t="shared" ca="1" si="114"/>
        <v>0</v>
      </c>
      <c r="BC45" s="621">
        <f t="shared" ca="1" si="114"/>
        <v>0</v>
      </c>
      <c r="BD45" s="621">
        <f t="shared" ca="1" si="114"/>
        <v>0</v>
      </c>
      <c r="BE45" s="621">
        <f t="shared" ca="1" si="114"/>
        <v>0</v>
      </c>
      <c r="BF45" s="615">
        <f ca="1">SUM(AM45:BE45)</f>
        <v>0</v>
      </c>
      <c r="BH45" s="3473">
        <f ca="1">IFERROR(INDEX(INDIRECT($C45&amp;".Outputs["&amp;this.Year&amp;"]"), MATCH(BH$5, INDIRECT($C45&amp;".Outputs[Vector]"), 0)), 0)</f>
        <v>3.6285918204683495E-3</v>
      </c>
      <c r="BI45" s="3473">
        <f ca="1">IFERROR(INDEX(INDIRECT($C45&amp;".Outputs["&amp;this.Year&amp;"]"), MATCH(BI$5, INDIRECT($C45&amp;".Outputs[Vector]"), 0)), 0)</f>
        <v>0</v>
      </c>
      <c r="BJ45" s="3462">
        <f ca="1">SUM(BH45:BI45)</f>
        <v>3.6285918204683495E-3</v>
      </c>
      <c r="BL45" s="3477"/>
      <c r="BM45" s="584"/>
      <c r="BN45" s="413"/>
      <c r="BO45" s="2791">
        <f t="shared" ref="BO45:DF45" ca="1" si="115">IFERROR(SUMIFS(INDIRECT($C45&amp;".Emissions["&amp;this.Year&amp;"]"), INDIRECT($C45&amp;".Emissions[GHG]"), BO$6, INDIRECT($C45&amp;".Emissions[IPCC Sector]"), BO$5),0)</f>
        <v>1.3523401842213466E-3</v>
      </c>
      <c r="BP45" s="2792">
        <f t="shared" ca="1" si="115"/>
        <v>4.9939585117288209E-7</v>
      </c>
      <c r="BQ45" s="2792">
        <f t="shared" ca="1" si="115"/>
        <v>2.1378898581162902E-5</v>
      </c>
      <c r="BR45" s="2792">
        <f t="shared" ca="1" si="115"/>
        <v>0</v>
      </c>
      <c r="BS45" s="2792">
        <f t="shared" ca="1" si="115"/>
        <v>0</v>
      </c>
      <c r="BT45" s="2792">
        <f t="shared" ca="1" si="115"/>
        <v>0</v>
      </c>
      <c r="BU45" s="2792">
        <f t="shared" ca="1" si="115"/>
        <v>0</v>
      </c>
      <c r="BV45" s="2792">
        <f t="shared" ca="1" si="115"/>
        <v>0</v>
      </c>
      <c r="BW45" s="2792">
        <f t="shared" ca="1" si="115"/>
        <v>0</v>
      </c>
      <c r="BX45" s="2792">
        <f t="shared" ca="1" si="115"/>
        <v>0</v>
      </c>
      <c r="BY45" s="2792">
        <f t="shared" ca="1" si="115"/>
        <v>0</v>
      </c>
      <c r="BZ45" s="2792">
        <f t="shared" ca="1" si="115"/>
        <v>0</v>
      </c>
      <c r="CA45" s="2792">
        <f t="shared" ca="1" si="115"/>
        <v>0</v>
      </c>
      <c r="CB45" s="2792">
        <f t="shared" ca="1" si="115"/>
        <v>0</v>
      </c>
      <c r="CC45" s="2792">
        <f t="shared" ca="1" si="115"/>
        <v>0</v>
      </c>
      <c r="CD45" s="2792">
        <f t="shared" ca="1" si="115"/>
        <v>0</v>
      </c>
      <c r="CE45" s="2792">
        <f t="shared" ca="1" si="115"/>
        <v>0</v>
      </c>
      <c r="CF45" s="2792">
        <f t="shared" ca="1" si="115"/>
        <v>0</v>
      </c>
      <c r="CG45" s="2792">
        <f t="shared" ca="1" si="115"/>
        <v>0</v>
      </c>
      <c r="CH45" s="2792">
        <f t="shared" ca="1" si="115"/>
        <v>0</v>
      </c>
      <c r="CI45" s="2792">
        <f t="shared" ca="1" si="115"/>
        <v>0</v>
      </c>
      <c r="CJ45" s="2792">
        <f t="shared" ca="1" si="115"/>
        <v>0</v>
      </c>
      <c r="CK45" s="2792">
        <f t="shared" ca="1" si="115"/>
        <v>0</v>
      </c>
      <c r="CL45" s="2792">
        <f t="shared" ca="1" si="115"/>
        <v>0</v>
      </c>
      <c r="CM45" s="2792">
        <f t="shared" ca="1" si="115"/>
        <v>0</v>
      </c>
      <c r="CN45" s="2792">
        <f t="shared" ca="1" si="115"/>
        <v>0</v>
      </c>
      <c r="CO45" s="2792">
        <f t="shared" ca="1" si="115"/>
        <v>0</v>
      </c>
      <c r="CP45" s="2792">
        <f t="shared" ca="1" si="115"/>
        <v>0</v>
      </c>
      <c r="CQ45" s="2792">
        <f t="shared" ca="1" si="115"/>
        <v>0</v>
      </c>
      <c r="CR45" s="2792">
        <f t="shared" ca="1" si="115"/>
        <v>0</v>
      </c>
      <c r="CS45" s="2792">
        <f t="shared" ca="1" si="115"/>
        <v>0</v>
      </c>
      <c r="CT45" s="2792">
        <f t="shared" ca="1" si="115"/>
        <v>0</v>
      </c>
      <c r="CU45" s="2792">
        <f t="shared" ca="1" si="115"/>
        <v>0</v>
      </c>
      <c r="CV45" s="2792">
        <f t="shared" ca="1" si="115"/>
        <v>0</v>
      </c>
      <c r="CW45" s="2792">
        <f t="shared" ca="1" si="115"/>
        <v>0</v>
      </c>
      <c r="CX45" s="2792">
        <f t="shared" ca="1" si="115"/>
        <v>0</v>
      </c>
      <c r="CY45" s="2792">
        <f t="shared" ca="1" si="115"/>
        <v>0</v>
      </c>
      <c r="CZ45" s="2792">
        <f t="shared" ca="1" si="115"/>
        <v>0</v>
      </c>
      <c r="DA45" s="2792">
        <f t="shared" ca="1" si="115"/>
        <v>0</v>
      </c>
      <c r="DB45" s="2792">
        <f t="shared" ca="1" si="115"/>
        <v>0</v>
      </c>
      <c r="DC45" s="2792">
        <f t="shared" ca="1" si="115"/>
        <v>0</v>
      </c>
      <c r="DD45" s="2792">
        <f t="shared" ca="1" si="115"/>
        <v>0</v>
      </c>
      <c r="DE45" s="2792">
        <f t="shared" ca="1" si="115"/>
        <v>0</v>
      </c>
      <c r="DF45" s="2792">
        <f t="shared" ca="1" si="115"/>
        <v>0</v>
      </c>
      <c r="DH45" s="596"/>
    </row>
    <row r="46" spans="1:112" s="6" customFormat="1" ht="15.75">
      <c r="A46" s="4"/>
      <c r="B46" s="3"/>
      <c r="C46" s="616" t="s">
        <v>504</v>
      </c>
      <c r="D46" s="617" t="s">
        <v>505</v>
      </c>
      <c r="E46" s="206"/>
      <c r="G46" s="618">
        <f ca="1">G45</f>
        <v>0</v>
      </c>
      <c r="H46" s="618">
        <f t="shared" ref="H46:P46" ca="1" si="116">H45</f>
        <v>0</v>
      </c>
      <c r="I46" s="618">
        <f t="shared" ca="1" si="116"/>
        <v>0</v>
      </c>
      <c r="J46" s="618">
        <f t="shared" ca="1" si="116"/>
        <v>0</v>
      </c>
      <c r="K46" s="618">
        <f t="shared" ca="1" si="116"/>
        <v>0</v>
      </c>
      <c r="L46" s="618">
        <f t="shared" ca="1" si="116"/>
        <v>0</v>
      </c>
      <c r="M46" s="618">
        <f t="shared" ca="1" si="116"/>
        <v>0</v>
      </c>
      <c r="N46" s="618">
        <f t="shared" ca="1" si="116"/>
        <v>0</v>
      </c>
      <c r="O46" s="618">
        <f t="shared" ca="1" si="116"/>
        <v>0</v>
      </c>
      <c r="P46" s="618">
        <f t="shared" ca="1" si="116"/>
        <v>0</v>
      </c>
      <c r="Q46" s="618">
        <f ca="1">SUM(G46:P46)</f>
        <v>0</v>
      </c>
      <c r="S46" s="581">
        <f t="shared" ref="S46:AJ46" ca="1" si="117">S45</f>
        <v>-5.5554276646316691E-3</v>
      </c>
      <c r="T46" s="581">
        <f t="shared" ca="1" si="117"/>
        <v>0</v>
      </c>
      <c r="U46" s="581">
        <f t="shared" ca="1" si="117"/>
        <v>0</v>
      </c>
      <c r="V46" s="581">
        <f t="shared" ca="1" si="117"/>
        <v>0</v>
      </c>
      <c r="W46" s="581">
        <f t="shared" ca="1" si="117"/>
        <v>-6.6057652271545239E-3</v>
      </c>
      <c r="X46" s="581">
        <f t="shared" ca="1" si="117"/>
        <v>0</v>
      </c>
      <c r="Y46" s="581">
        <f t="shared" ca="1" si="117"/>
        <v>0</v>
      </c>
      <c r="Z46" s="581">
        <f t="shared" ca="1" si="117"/>
        <v>0</v>
      </c>
      <c r="AA46" s="581">
        <f t="shared" ca="1" si="117"/>
        <v>0</v>
      </c>
      <c r="AB46" s="581">
        <f t="shared" ca="1" si="117"/>
        <v>0</v>
      </c>
      <c r="AC46" s="581">
        <f t="shared" ca="1" si="117"/>
        <v>0</v>
      </c>
      <c r="AD46" s="581">
        <f t="shared" ca="1" si="117"/>
        <v>0</v>
      </c>
      <c r="AE46" s="581">
        <f ca="1">AE45</f>
        <v>0</v>
      </c>
      <c r="AF46" s="581">
        <f t="shared" ca="1" si="117"/>
        <v>0</v>
      </c>
      <c r="AG46" s="581">
        <f t="shared" ca="1" si="117"/>
        <v>0</v>
      </c>
      <c r="AH46" s="581">
        <f ca="1">AH45</f>
        <v>0</v>
      </c>
      <c r="AI46" s="581">
        <f t="shared" ca="1" si="117"/>
        <v>0</v>
      </c>
      <c r="AJ46" s="581">
        <f t="shared" ca="1" si="117"/>
        <v>8.5334544167595186E-3</v>
      </c>
      <c r="AK46" s="581">
        <f ca="1">SUM(S46:AJ46)</f>
        <v>-3.6277384750266744E-3</v>
      </c>
      <c r="AM46" s="582">
        <f t="shared" ref="AM46:BE46" ca="1" si="118">AM45</f>
        <v>0</v>
      </c>
      <c r="AN46" s="582">
        <f t="shared" ca="1" si="118"/>
        <v>0</v>
      </c>
      <c r="AO46" s="582">
        <f t="shared" ca="1" si="118"/>
        <v>0</v>
      </c>
      <c r="AP46" s="582">
        <f t="shared" ca="1" si="118"/>
        <v>0</v>
      </c>
      <c r="AQ46" s="582">
        <f t="shared" ca="1" si="118"/>
        <v>0</v>
      </c>
      <c r="AR46" s="582">
        <f t="shared" ca="1" si="118"/>
        <v>0</v>
      </c>
      <c r="AS46" s="582">
        <f t="shared" ca="1" si="118"/>
        <v>0</v>
      </c>
      <c r="AT46" s="582">
        <f t="shared" ca="1" si="118"/>
        <v>0</v>
      </c>
      <c r="AU46" s="582">
        <f t="shared" ca="1" si="118"/>
        <v>0</v>
      </c>
      <c r="AV46" s="582">
        <f t="shared" ca="1" si="118"/>
        <v>0</v>
      </c>
      <c r="AW46" s="582">
        <f t="shared" ca="1" si="118"/>
        <v>0</v>
      </c>
      <c r="AX46" s="582">
        <f t="shared" ca="1" si="118"/>
        <v>0</v>
      </c>
      <c r="AY46" s="582">
        <f t="shared" ca="1" si="118"/>
        <v>0</v>
      </c>
      <c r="AZ46" s="582">
        <f t="shared" ca="1" si="118"/>
        <v>0</v>
      </c>
      <c r="BA46" s="582">
        <f t="shared" ca="1" si="118"/>
        <v>0</v>
      </c>
      <c r="BB46" s="582">
        <f t="shared" ca="1" si="118"/>
        <v>0</v>
      </c>
      <c r="BC46" s="582">
        <f t="shared" ca="1" si="118"/>
        <v>0</v>
      </c>
      <c r="BD46" s="582">
        <f t="shared" ca="1" si="118"/>
        <v>0</v>
      </c>
      <c r="BE46" s="582">
        <f t="shared" ca="1" si="118"/>
        <v>0</v>
      </c>
      <c r="BF46" s="582">
        <f ca="1">SUM(AM46:BE46)</f>
        <v>0</v>
      </c>
      <c r="BH46" s="3463">
        <f ca="1">BH45</f>
        <v>3.6285918204683495E-3</v>
      </c>
      <c r="BI46" s="3463">
        <f ca="1">BI45</f>
        <v>0</v>
      </c>
      <c r="BJ46" s="3463">
        <f ca="1">SUM(BH46:BI46)</f>
        <v>3.6285918204683495E-3</v>
      </c>
      <c r="BL46" s="3477">
        <f ca="1">Q46+AK46+BF46+BJ46</f>
        <v>8.5334544167514279E-7</v>
      </c>
      <c r="BM46" s="584"/>
      <c r="BN46" s="413"/>
      <c r="BO46" s="2790">
        <f t="shared" ref="BO46:DF46" ca="1" si="119">BO45</f>
        <v>1.3523401842213466E-3</v>
      </c>
      <c r="BP46" s="2790">
        <f t="shared" ca="1" si="119"/>
        <v>4.9939585117288209E-7</v>
      </c>
      <c r="BQ46" s="2790">
        <f t="shared" ca="1" si="119"/>
        <v>2.1378898581162902E-5</v>
      </c>
      <c r="BR46" s="2790">
        <f t="shared" ca="1" si="119"/>
        <v>0</v>
      </c>
      <c r="BS46" s="2790">
        <f t="shared" ca="1" si="119"/>
        <v>0</v>
      </c>
      <c r="BT46" s="2790">
        <f t="shared" ca="1" si="119"/>
        <v>0</v>
      </c>
      <c r="BU46" s="2790">
        <f t="shared" ca="1" si="119"/>
        <v>0</v>
      </c>
      <c r="BV46" s="2790">
        <f t="shared" ca="1" si="119"/>
        <v>0</v>
      </c>
      <c r="BW46" s="2790">
        <f t="shared" ca="1" si="119"/>
        <v>0</v>
      </c>
      <c r="BX46" s="2790">
        <f t="shared" ca="1" si="119"/>
        <v>0</v>
      </c>
      <c r="BY46" s="2790">
        <f t="shared" ca="1" si="119"/>
        <v>0</v>
      </c>
      <c r="BZ46" s="2790">
        <f t="shared" ca="1" si="119"/>
        <v>0</v>
      </c>
      <c r="CA46" s="2790">
        <f t="shared" ca="1" si="119"/>
        <v>0</v>
      </c>
      <c r="CB46" s="2790">
        <f t="shared" ca="1" si="119"/>
        <v>0</v>
      </c>
      <c r="CC46" s="2790">
        <f t="shared" ca="1" si="119"/>
        <v>0</v>
      </c>
      <c r="CD46" s="2790">
        <f t="shared" ca="1" si="119"/>
        <v>0</v>
      </c>
      <c r="CE46" s="2790">
        <f t="shared" ca="1" si="119"/>
        <v>0</v>
      </c>
      <c r="CF46" s="2790">
        <f t="shared" ca="1" si="119"/>
        <v>0</v>
      </c>
      <c r="CG46" s="2790">
        <f t="shared" ca="1" si="119"/>
        <v>0</v>
      </c>
      <c r="CH46" s="2790">
        <f t="shared" ca="1" si="119"/>
        <v>0</v>
      </c>
      <c r="CI46" s="2790">
        <f t="shared" ca="1" si="119"/>
        <v>0</v>
      </c>
      <c r="CJ46" s="2790">
        <f t="shared" ca="1" si="119"/>
        <v>0</v>
      </c>
      <c r="CK46" s="2790">
        <f t="shared" ca="1" si="119"/>
        <v>0</v>
      </c>
      <c r="CL46" s="2790">
        <f t="shared" ca="1" si="119"/>
        <v>0</v>
      </c>
      <c r="CM46" s="2790">
        <f t="shared" ca="1" si="119"/>
        <v>0</v>
      </c>
      <c r="CN46" s="2790">
        <f t="shared" ca="1" si="119"/>
        <v>0</v>
      </c>
      <c r="CO46" s="2790">
        <f t="shared" ca="1" si="119"/>
        <v>0</v>
      </c>
      <c r="CP46" s="2790">
        <f t="shared" ca="1" si="119"/>
        <v>0</v>
      </c>
      <c r="CQ46" s="2790">
        <f t="shared" ca="1" si="119"/>
        <v>0</v>
      </c>
      <c r="CR46" s="2790">
        <f t="shared" ca="1" si="119"/>
        <v>0</v>
      </c>
      <c r="CS46" s="2790">
        <f t="shared" ca="1" si="119"/>
        <v>0</v>
      </c>
      <c r="CT46" s="2790">
        <f t="shared" ca="1" si="119"/>
        <v>0</v>
      </c>
      <c r="CU46" s="2790">
        <f t="shared" ca="1" si="119"/>
        <v>0</v>
      </c>
      <c r="CV46" s="2790">
        <f t="shared" ca="1" si="119"/>
        <v>0</v>
      </c>
      <c r="CW46" s="2790">
        <f t="shared" ca="1" si="119"/>
        <v>0</v>
      </c>
      <c r="CX46" s="2790">
        <f t="shared" ca="1" si="119"/>
        <v>0</v>
      </c>
      <c r="CY46" s="2790">
        <f t="shared" ca="1" si="119"/>
        <v>0</v>
      </c>
      <c r="CZ46" s="2790">
        <f t="shared" ca="1" si="119"/>
        <v>0</v>
      </c>
      <c r="DA46" s="2790">
        <f t="shared" ca="1" si="119"/>
        <v>0</v>
      </c>
      <c r="DB46" s="2790">
        <f t="shared" ca="1" si="119"/>
        <v>0</v>
      </c>
      <c r="DC46" s="2790">
        <f t="shared" ca="1" si="119"/>
        <v>0</v>
      </c>
      <c r="DD46" s="2790">
        <f t="shared" ca="1" si="119"/>
        <v>0</v>
      </c>
      <c r="DE46" s="2790">
        <f t="shared" ca="1" si="119"/>
        <v>0</v>
      </c>
      <c r="DF46" s="2790">
        <f t="shared" ca="1" si="119"/>
        <v>0</v>
      </c>
      <c r="DH46" s="596">
        <f t="shared" ref="DH46:DH82" ca="1" si="120">SUM(BO46:DF46)</f>
        <v>1.3742184786536824E-3</v>
      </c>
    </row>
    <row r="47" spans="1:112" s="6" customFormat="1" outlineLevel="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20"/>
        <v>0</v>
      </c>
    </row>
    <row r="48" spans="1:112" s="6" customFormat="1" outlineLevel="1">
      <c r="A48" s="607"/>
      <c r="B48" s="607"/>
      <c r="C48" s="587" t="s">
        <v>506</v>
      </c>
      <c r="D48" s="588" t="s">
        <v>507</v>
      </c>
      <c r="E48" s="588"/>
      <c r="G48" s="589">
        <f t="shared" ref="G48:P49" ca="1" si="121">IFERROR(INDEX(INDIRECT($C48&amp;".Outputs["&amp;this.Year&amp;"]"), MATCH(G$5, INDIRECT($C48&amp;".Outputs[Vector]"), 0)), 0)</f>
        <v>0</v>
      </c>
      <c r="H48" s="589">
        <f t="shared" ca="1" si="121"/>
        <v>0</v>
      </c>
      <c r="I48" s="589">
        <f t="shared" ca="1" si="121"/>
        <v>0</v>
      </c>
      <c r="J48" s="589">
        <f t="shared" ca="1" si="121"/>
        <v>0</v>
      </c>
      <c r="K48" s="589">
        <f t="shared" ca="1" si="121"/>
        <v>0</v>
      </c>
      <c r="L48" s="589">
        <f t="shared" ca="1" si="121"/>
        <v>0</v>
      </c>
      <c r="M48" s="589">
        <f t="shared" ca="1" si="121"/>
        <v>0</v>
      </c>
      <c r="N48" s="589">
        <f t="shared" ca="1" si="121"/>
        <v>0</v>
      </c>
      <c r="O48" s="589">
        <f t="shared" ca="1" si="121"/>
        <v>0</v>
      </c>
      <c r="P48" s="589">
        <f t="shared" ca="1" si="121"/>
        <v>0</v>
      </c>
      <c r="Q48" s="590">
        <f ca="1">SUM(G48:P48)</f>
        <v>0</v>
      </c>
      <c r="S48" s="591">
        <f t="shared" ref="S48:AJ49" ca="1" si="122">IFERROR(INDEX(INDIRECT($C48&amp;".Outputs["&amp;this.Year&amp;"]"), MATCH(S$5, INDIRECT($C48&amp;".Outputs[Vector]"), 0)), 0)</f>
        <v>0</v>
      </c>
      <c r="T48" s="591">
        <f t="shared" ca="1" si="122"/>
        <v>0</v>
      </c>
      <c r="U48" s="591">
        <f t="shared" ca="1" si="122"/>
        <v>0</v>
      </c>
      <c r="V48" s="591">
        <f t="shared" ca="1" si="122"/>
        <v>0</v>
      </c>
      <c r="W48" s="591">
        <f t="shared" ca="1" si="122"/>
        <v>0</v>
      </c>
      <c r="X48" s="591">
        <f t="shared" ref="X48:Z50" ca="1" si="123">IFERROR(INDEX(INDIRECT($C48&amp;".Outputs["&amp;this.Year&amp;"]"), MATCH(X$5, INDIRECT($C48&amp;".Outputs[Vector]"), 0)), 0)</f>
        <v>0</v>
      </c>
      <c r="Y48" s="591">
        <f t="shared" ca="1" si="123"/>
        <v>0</v>
      </c>
      <c r="Z48" s="591">
        <f t="shared" ca="1" si="123"/>
        <v>0</v>
      </c>
      <c r="AA48" s="591">
        <f t="shared" ca="1" si="122"/>
        <v>0</v>
      </c>
      <c r="AB48" s="591">
        <f t="shared" ca="1" si="122"/>
        <v>0</v>
      </c>
      <c r="AC48" s="591">
        <f t="shared" ca="1" si="122"/>
        <v>0</v>
      </c>
      <c r="AD48" s="591">
        <f t="shared" ca="1" si="122"/>
        <v>0</v>
      </c>
      <c r="AE48" s="591">
        <f t="shared" ca="1" si="122"/>
        <v>0</v>
      </c>
      <c r="AF48" s="591">
        <f t="shared" ca="1" si="122"/>
        <v>0</v>
      </c>
      <c r="AG48" s="591">
        <f t="shared" ca="1" si="122"/>
        <v>0.58333333333333337</v>
      </c>
      <c r="AH48" s="591">
        <f t="shared" ca="1" si="122"/>
        <v>0</v>
      </c>
      <c r="AI48" s="591">
        <f t="shared" ca="1" si="122"/>
        <v>0</v>
      </c>
      <c r="AJ48" s="591">
        <f t="shared" ca="1" si="122"/>
        <v>0</v>
      </c>
      <c r="AK48" s="592">
        <f ca="1">SUM(S48:AJ48)</f>
        <v>0.58333333333333337</v>
      </c>
      <c r="AM48" s="593">
        <f t="shared" ref="AM48:AU50" ca="1" si="124">IFERROR(INDEX(INDIRECT($C48&amp;".Outputs["&amp;this.Year&amp;"]"), MATCH(AM$5, INDIRECT($C48&amp;".Outputs[Vector]"), 0)), 0)</f>
        <v>0</v>
      </c>
      <c r="AN48" s="593">
        <f t="shared" ca="1" si="124"/>
        <v>0</v>
      </c>
      <c r="AO48" s="593">
        <f t="shared" ca="1" si="124"/>
        <v>0</v>
      </c>
      <c r="AP48" s="593">
        <f t="shared" ca="1" si="124"/>
        <v>0</v>
      </c>
      <c r="AQ48" s="593">
        <f t="shared" ca="1" si="124"/>
        <v>0</v>
      </c>
      <c r="AR48" s="593">
        <f t="shared" ca="1" si="124"/>
        <v>0</v>
      </c>
      <c r="AS48" s="593">
        <f t="shared" ca="1" si="124"/>
        <v>0</v>
      </c>
      <c r="AT48" s="593">
        <f t="shared" ca="1" si="124"/>
        <v>0</v>
      </c>
      <c r="AU48" s="593">
        <f t="shared" ca="1" si="124"/>
        <v>0</v>
      </c>
      <c r="AV48" s="593">
        <f t="shared" ref="AV48:BE49" ca="1" si="125">IFERROR(INDEX(INDIRECT($C48&amp;".Outputs["&amp;this.Year&amp;"]"), MATCH(AV$5, INDIRECT($C48&amp;".Outputs[Vector]"), 0)), 0)</f>
        <v>0</v>
      </c>
      <c r="AW48" s="593">
        <f t="shared" ca="1" si="125"/>
        <v>0</v>
      </c>
      <c r="AX48" s="593">
        <f t="shared" ca="1" si="125"/>
        <v>0</v>
      </c>
      <c r="AY48" s="593">
        <f t="shared" ca="1" si="125"/>
        <v>0</v>
      </c>
      <c r="AZ48" s="593">
        <f t="shared" ca="1" si="125"/>
        <v>0</v>
      </c>
      <c r="BA48" s="593">
        <f t="shared" ca="1" si="125"/>
        <v>0</v>
      </c>
      <c r="BB48" s="593">
        <f t="shared" ca="1" si="125"/>
        <v>0</v>
      </c>
      <c r="BC48" s="593">
        <f t="shared" ca="1" si="125"/>
        <v>0</v>
      </c>
      <c r="BD48" s="593">
        <f t="shared" ca="1" si="125"/>
        <v>-0.58333333333333337</v>
      </c>
      <c r="BE48" s="593">
        <f t="shared" ca="1" si="125"/>
        <v>0</v>
      </c>
      <c r="BF48" s="609">
        <f ca="1">SUM(AM48:BE48)</f>
        <v>-0.58333333333333337</v>
      </c>
      <c r="BH48" s="3471">
        <f t="shared" ref="BH48:BI50" ca="1" si="126">IFERROR(INDEX(INDIRECT($C48&amp;".Outputs["&amp;this.Year&amp;"]"), MATCH(BH$5, INDIRECT($C48&amp;".Outputs[Vector]"), 0)), 0)</f>
        <v>0</v>
      </c>
      <c r="BI48" s="3471">
        <f t="shared" ca="1" si="126"/>
        <v>0</v>
      </c>
      <c r="BJ48" s="3460">
        <f ca="1">SUM(BH48:BI48)</f>
        <v>0</v>
      </c>
      <c r="BL48" s="610"/>
      <c r="BM48" s="610"/>
      <c r="BN48" s="413"/>
      <c r="BO48" s="2789">
        <f t="shared" ref="BO48:BX50" ca="1" si="127">IFERROR(SUMIFS(INDIRECT($C48&amp;".Emissions["&amp;this.Year&amp;"]"), INDIRECT($C48&amp;".Emissions[GHG]"), BO$6, INDIRECT($C48&amp;".Emissions[IPCC Sector]"), BO$5),0)</f>
        <v>0</v>
      </c>
      <c r="BP48" s="2790">
        <f t="shared" ca="1" si="127"/>
        <v>0</v>
      </c>
      <c r="BQ48" s="2790">
        <f t="shared" ca="1" si="127"/>
        <v>0</v>
      </c>
      <c r="BR48" s="2790">
        <f t="shared" ca="1" si="127"/>
        <v>0</v>
      </c>
      <c r="BS48" s="2790">
        <f t="shared" ca="1" si="127"/>
        <v>0</v>
      </c>
      <c r="BT48" s="2790">
        <f t="shared" ca="1" si="127"/>
        <v>0</v>
      </c>
      <c r="BU48" s="2790">
        <f t="shared" ca="1" si="127"/>
        <v>0</v>
      </c>
      <c r="BV48" s="2790">
        <f t="shared" ca="1" si="127"/>
        <v>0</v>
      </c>
      <c r="BW48" s="2790">
        <f t="shared" ca="1" si="127"/>
        <v>0</v>
      </c>
      <c r="BX48" s="2790">
        <f t="shared" ca="1" si="127"/>
        <v>0</v>
      </c>
      <c r="BY48" s="2790">
        <f t="shared" ref="BY48:CH50" ca="1" si="128">IFERROR(SUMIFS(INDIRECT($C48&amp;".Emissions["&amp;this.Year&amp;"]"), INDIRECT($C48&amp;".Emissions[GHG]"), BY$6, INDIRECT($C48&amp;".Emissions[IPCC Sector]"), BY$5),0)</f>
        <v>0</v>
      </c>
      <c r="BZ48" s="2790">
        <f t="shared" ca="1" si="128"/>
        <v>0</v>
      </c>
      <c r="CA48" s="2790">
        <f t="shared" ca="1" si="128"/>
        <v>0</v>
      </c>
      <c r="CB48" s="2790">
        <f t="shared" ca="1" si="128"/>
        <v>0</v>
      </c>
      <c r="CC48" s="2790">
        <f t="shared" ca="1" si="128"/>
        <v>0</v>
      </c>
      <c r="CD48" s="2790">
        <f t="shared" ca="1" si="128"/>
        <v>0</v>
      </c>
      <c r="CE48" s="2790">
        <f t="shared" ca="1" si="128"/>
        <v>0</v>
      </c>
      <c r="CF48" s="2790">
        <f t="shared" ca="1" si="128"/>
        <v>0</v>
      </c>
      <c r="CG48" s="2790">
        <f t="shared" ca="1" si="128"/>
        <v>0</v>
      </c>
      <c r="CH48" s="2790">
        <f t="shared" ca="1" si="128"/>
        <v>0</v>
      </c>
      <c r="CI48" s="2790">
        <f t="shared" ref="CI48:CR50" ca="1" si="129">IFERROR(SUMIFS(INDIRECT($C48&amp;".Emissions["&amp;this.Year&amp;"]"), INDIRECT($C48&amp;".Emissions[GHG]"), CI$6, INDIRECT($C48&amp;".Emissions[IPCC Sector]"), CI$5),0)</f>
        <v>0</v>
      </c>
      <c r="CJ48" s="2790">
        <f t="shared" ca="1" si="129"/>
        <v>0</v>
      </c>
      <c r="CK48" s="2790">
        <f t="shared" ca="1" si="129"/>
        <v>0</v>
      </c>
      <c r="CL48" s="2790">
        <f t="shared" ca="1" si="129"/>
        <v>0</v>
      </c>
      <c r="CM48" s="2790">
        <f t="shared" ca="1" si="129"/>
        <v>0</v>
      </c>
      <c r="CN48" s="2790">
        <f t="shared" ca="1" si="129"/>
        <v>0</v>
      </c>
      <c r="CO48" s="2790">
        <f t="shared" ca="1" si="129"/>
        <v>0</v>
      </c>
      <c r="CP48" s="2790">
        <f t="shared" ca="1" si="129"/>
        <v>0</v>
      </c>
      <c r="CQ48" s="2790">
        <f t="shared" ca="1" si="129"/>
        <v>0</v>
      </c>
      <c r="CR48" s="2790">
        <f t="shared" ca="1" si="129"/>
        <v>0</v>
      </c>
      <c r="CS48" s="2790">
        <f t="shared" ref="CS48:DF50" ca="1" si="130">IFERROR(SUMIFS(INDIRECT($C48&amp;".Emissions["&amp;this.Year&amp;"]"), INDIRECT($C48&amp;".Emissions[GHG]"), CS$6, INDIRECT($C48&amp;".Emissions[IPCC Sector]"), CS$5),0)</f>
        <v>0</v>
      </c>
      <c r="CT48" s="2790">
        <f t="shared" ca="1" si="130"/>
        <v>0</v>
      </c>
      <c r="CU48" s="2790">
        <f t="shared" ca="1" si="130"/>
        <v>0</v>
      </c>
      <c r="CV48" s="2790">
        <f t="shared" ca="1" si="130"/>
        <v>0</v>
      </c>
      <c r="CW48" s="2790">
        <f t="shared" ca="1" si="130"/>
        <v>0</v>
      </c>
      <c r="CX48" s="2790">
        <f t="shared" ca="1" si="130"/>
        <v>0</v>
      </c>
      <c r="CY48" s="2790">
        <f t="shared" ca="1" si="130"/>
        <v>0</v>
      </c>
      <c r="CZ48" s="2790">
        <f t="shared" ca="1" si="130"/>
        <v>0</v>
      </c>
      <c r="DA48" s="2790">
        <f t="shared" ca="1" si="130"/>
        <v>0</v>
      </c>
      <c r="DB48" s="2790">
        <f t="shared" ca="1" si="130"/>
        <v>0</v>
      </c>
      <c r="DC48" s="2790">
        <f t="shared" ca="1" si="130"/>
        <v>0</v>
      </c>
      <c r="DD48" s="2790">
        <f t="shared" ca="1" si="130"/>
        <v>0</v>
      </c>
      <c r="DE48" s="2790">
        <f t="shared" ca="1" si="130"/>
        <v>0</v>
      </c>
      <c r="DF48" s="2790">
        <f t="shared" ca="1" si="130"/>
        <v>0</v>
      </c>
      <c r="DH48" s="596">
        <f ca="1">SUM(BO48:DF48)</f>
        <v>0</v>
      </c>
    </row>
    <row r="49" spans="1:112" s="6" customFormat="1" outlineLevel="1">
      <c r="A49" s="607"/>
      <c r="B49" s="607"/>
      <c r="C49" s="587" t="s">
        <v>508</v>
      </c>
      <c r="D49" s="588" t="s">
        <v>509</v>
      </c>
      <c r="E49" s="588"/>
      <c r="G49" s="589">
        <f t="shared" ca="1" si="121"/>
        <v>0</v>
      </c>
      <c r="H49" s="589">
        <f t="shared" ca="1" si="121"/>
        <v>0</v>
      </c>
      <c r="I49" s="589">
        <f t="shared" ca="1" si="121"/>
        <v>0</v>
      </c>
      <c r="J49" s="589">
        <f t="shared" ca="1" si="121"/>
        <v>0</v>
      </c>
      <c r="K49" s="589">
        <f t="shared" ca="1" si="121"/>
        <v>0</v>
      </c>
      <c r="L49" s="589">
        <f t="shared" ca="1" si="121"/>
        <v>0</v>
      </c>
      <c r="M49" s="589">
        <f t="shared" ca="1" si="121"/>
        <v>0</v>
      </c>
      <c r="N49" s="589">
        <f t="shared" ca="1" si="121"/>
        <v>0</v>
      </c>
      <c r="O49" s="589">
        <f t="shared" ca="1" si="121"/>
        <v>0</v>
      </c>
      <c r="P49" s="589">
        <f t="shared" ca="1" si="121"/>
        <v>0</v>
      </c>
      <c r="Q49" s="590">
        <f ca="1">SUM(G49:P49)</f>
        <v>0</v>
      </c>
      <c r="S49" s="591">
        <f t="shared" ca="1" si="122"/>
        <v>0</v>
      </c>
      <c r="T49" s="591">
        <f t="shared" ca="1" si="122"/>
        <v>0</v>
      </c>
      <c r="U49" s="591">
        <f t="shared" ca="1" si="122"/>
        <v>0</v>
      </c>
      <c r="V49" s="591">
        <f t="shared" ca="1" si="122"/>
        <v>0</v>
      </c>
      <c r="W49" s="591">
        <f t="shared" ca="1" si="122"/>
        <v>0</v>
      </c>
      <c r="X49" s="591">
        <f t="shared" ca="1" si="123"/>
        <v>0.22914024705996922</v>
      </c>
      <c r="Y49" s="591">
        <f t="shared" ca="1" si="123"/>
        <v>0</v>
      </c>
      <c r="Z49" s="591">
        <f t="shared" ca="1" si="123"/>
        <v>0</v>
      </c>
      <c r="AA49" s="591">
        <f t="shared" ca="1" si="122"/>
        <v>0</v>
      </c>
      <c r="AB49" s="591">
        <f t="shared" ca="1" si="122"/>
        <v>0</v>
      </c>
      <c r="AC49" s="591">
        <f t="shared" ca="1" si="122"/>
        <v>0</v>
      </c>
      <c r="AD49" s="591">
        <f t="shared" ca="1" si="122"/>
        <v>0</v>
      </c>
      <c r="AE49" s="591">
        <f t="shared" ca="1" si="122"/>
        <v>0</v>
      </c>
      <c r="AF49" s="591">
        <f t="shared" ca="1" si="122"/>
        <v>0.4235756479687835</v>
      </c>
      <c r="AG49" s="591">
        <f t="shared" ca="1" si="122"/>
        <v>0.12540717002365331</v>
      </c>
      <c r="AH49" s="591">
        <f t="shared" ca="1" si="122"/>
        <v>0.16588202572781321</v>
      </c>
      <c r="AI49" s="591">
        <f t="shared" ca="1" si="122"/>
        <v>0</v>
      </c>
      <c r="AJ49" s="591">
        <f t="shared" ca="1" si="122"/>
        <v>0</v>
      </c>
      <c r="AK49" s="592">
        <f ca="1">SUM(S49:AJ49)</f>
        <v>0.94400509078021921</v>
      </c>
      <c r="AM49" s="593">
        <f t="shared" ca="1" si="124"/>
        <v>0</v>
      </c>
      <c r="AN49" s="593">
        <f t="shared" ca="1" si="124"/>
        <v>0</v>
      </c>
      <c r="AO49" s="593">
        <f t="shared" ca="1" si="124"/>
        <v>0</v>
      </c>
      <c r="AP49" s="593">
        <f t="shared" ca="1" si="124"/>
        <v>0</v>
      </c>
      <c r="AQ49" s="593">
        <f t="shared" ca="1" si="124"/>
        <v>0</v>
      </c>
      <c r="AR49" s="593">
        <f t="shared" ca="1" si="124"/>
        <v>0</v>
      </c>
      <c r="AS49" s="593">
        <f t="shared" ca="1" si="124"/>
        <v>0</v>
      </c>
      <c r="AT49" s="593">
        <f t="shared" ca="1" si="124"/>
        <v>0</v>
      </c>
      <c r="AU49" s="593">
        <f t="shared" ca="1" si="124"/>
        <v>0</v>
      </c>
      <c r="AV49" s="593">
        <f t="shared" ca="1" si="125"/>
        <v>0</v>
      </c>
      <c r="AW49" s="593">
        <f t="shared" ca="1" si="125"/>
        <v>0</v>
      </c>
      <c r="AX49" s="593">
        <f t="shared" ca="1" si="125"/>
        <v>0</v>
      </c>
      <c r="AY49" s="593">
        <f t="shared" ca="1" si="125"/>
        <v>0</v>
      </c>
      <c r="AZ49" s="593">
        <f t="shared" ca="1" si="125"/>
        <v>0</v>
      </c>
      <c r="BA49" s="593">
        <f t="shared" ca="1" si="125"/>
        <v>0</v>
      </c>
      <c r="BB49" s="593">
        <f t="shared" ca="1" si="125"/>
        <v>0</v>
      </c>
      <c r="BC49" s="593">
        <f t="shared" ca="1" si="125"/>
        <v>0</v>
      </c>
      <c r="BD49" s="593">
        <f t="shared" ca="1" si="125"/>
        <v>0</v>
      </c>
      <c r="BE49" s="593">
        <f t="shared" ca="1" si="125"/>
        <v>-0.94400509078021921</v>
      </c>
      <c r="BF49" s="609">
        <f ca="1">SUM(AM49:BE49)</f>
        <v>-0.94400509078021921</v>
      </c>
      <c r="BH49" s="3471">
        <f t="shared" ca="1" si="126"/>
        <v>0</v>
      </c>
      <c r="BI49" s="3471">
        <f t="shared" ca="1" si="126"/>
        <v>0</v>
      </c>
      <c r="BJ49" s="3460">
        <f ca="1">SUM(BH49:BI49)</f>
        <v>0</v>
      </c>
      <c r="BL49" s="610"/>
      <c r="BM49" s="610"/>
      <c r="BN49" s="413"/>
      <c r="BO49" s="2789">
        <f t="shared" ca="1" si="127"/>
        <v>0</v>
      </c>
      <c r="BP49" s="2790">
        <f t="shared" ca="1" si="127"/>
        <v>0</v>
      </c>
      <c r="BQ49" s="2790">
        <f t="shared" ca="1" si="127"/>
        <v>0</v>
      </c>
      <c r="BR49" s="2790">
        <f t="shared" ca="1" si="127"/>
        <v>0</v>
      </c>
      <c r="BS49" s="2790">
        <f t="shared" ca="1" si="127"/>
        <v>0</v>
      </c>
      <c r="BT49" s="2790">
        <f t="shared" ca="1" si="127"/>
        <v>0</v>
      </c>
      <c r="BU49" s="2790">
        <f t="shared" ca="1" si="127"/>
        <v>0</v>
      </c>
      <c r="BV49" s="2790">
        <f t="shared" ca="1" si="127"/>
        <v>0</v>
      </c>
      <c r="BW49" s="2790">
        <f t="shared" ca="1" si="127"/>
        <v>0</v>
      </c>
      <c r="BX49" s="2790">
        <f t="shared" ca="1" si="127"/>
        <v>0</v>
      </c>
      <c r="BY49" s="2790">
        <f t="shared" ca="1" si="128"/>
        <v>0</v>
      </c>
      <c r="BZ49" s="2790">
        <f t="shared" ca="1" si="128"/>
        <v>0</v>
      </c>
      <c r="CA49" s="2790">
        <f t="shared" ca="1" si="128"/>
        <v>0</v>
      </c>
      <c r="CB49" s="2790">
        <f t="shared" ca="1" si="128"/>
        <v>0</v>
      </c>
      <c r="CC49" s="2790">
        <f t="shared" ca="1" si="128"/>
        <v>0</v>
      </c>
      <c r="CD49" s="2790">
        <f t="shared" ca="1" si="128"/>
        <v>0</v>
      </c>
      <c r="CE49" s="2790">
        <f t="shared" ca="1" si="128"/>
        <v>0</v>
      </c>
      <c r="CF49" s="2790">
        <f t="shared" ca="1" si="128"/>
        <v>0</v>
      </c>
      <c r="CG49" s="2790">
        <f t="shared" ca="1" si="128"/>
        <v>0</v>
      </c>
      <c r="CH49" s="2790">
        <f t="shared" ca="1" si="128"/>
        <v>0</v>
      </c>
      <c r="CI49" s="2790">
        <f t="shared" ca="1" si="129"/>
        <v>0</v>
      </c>
      <c r="CJ49" s="2790">
        <f t="shared" ca="1" si="129"/>
        <v>0</v>
      </c>
      <c r="CK49" s="2790">
        <f t="shared" ca="1" si="129"/>
        <v>0</v>
      </c>
      <c r="CL49" s="2790">
        <f t="shared" ca="1" si="129"/>
        <v>0</v>
      </c>
      <c r="CM49" s="2790">
        <f t="shared" ca="1" si="129"/>
        <v>0</v>
      </c>
      <c r="CN49" s="2790">
        <f t="shared" ca="1" si="129"/>
        <v>0.54368990189287236</v>
      </c>
      <c r="CO49" s="2790">
        <f t="shared" ca="1" si="129"/>
        <v>5.862786428571428E-2</v>
      </c>
      <c r="CP49" s="2790">
        <f t="shared" ca="1" si="129"/>
        <v>0</v>
      </c>
      <c r="CQ49" s="2790">
        <f t="shared" ca="1" si="129"/>
        <v>0</v>
      </c>
      <c r="CR49" s="2790">
        <f t="shared" ca="1" si="129"/>
        <v>0</v>
      </c>
      <c r="CS49" s="2790">
        <f t="shared" ca="1" si="130"/>
        <v>0</v>
      </c>
      <c r="CT49" s="2790">
        <f t="shared" ca="1" si="130"/>
        <v>0</v>
      </c>
      <c r="CU49" s="2790">
        <f t="shared" ca="1" si="130"/>
        <v>0</v>
      </c>
      <c r="CV49" s="2790">
        <f t="shared" ca="1" si="130"/>
        <v>0</v>
      </c>
      <c r="CW49" s="2790">
        <f t="shared" ca="1" si="130"/>
        <v>0</v>
      </c>
      <c r="CX49" s="2790">
        <f t="shared" ca="1" si="130"/>
        <v>0</v>
      </c>
      <c r="CY49" s="2790">
        <f t="shared" ca="1" si="130"/>
        <v>0</v>
      </c>
      <c r="CZ49" s="2790">
        <f t="shared" ca="1" si="130"/>
        <v>0</v>
      </c>
      <c r="DA49" s="2790">
        <f t="shared" ca="1" si="130"/>
        <v>0</v>
      </c>
      <c r="DB49" s="2790">
        <f t="shared" ca="1" si="130"/>
        <v>0</v>
      </c>
      <c r="DC49" s="2790">
        <f t="shared" ca="1" si="130"/>
        <v>0</v>
      </c>
      <c r="DD49" s="2790">
        <f t="shared" ca="1" si="130"/>
        <v>0</v>
      </c>
      <c r="DE49" s="2790">
        <f t="shared" ca="1" si="130"/>
        <v>0</v>
      </c>
      <c r="DF49" s="2790">
        <f t="shared" ca="1" si="130"/>
        <v>0</v>
      </c>
      <c r="DH49" s="596">
        <f t="shared" ca="1" si="120"/>
        <v>0.60231776617858668</v>
      </c>
    </row>
    <row r="50" spans="1:112" s="6" customFormat="1" ht="12.75" customHeight="1" outlineLevel="1">
      <c r="A50" s="607"/>
      <c r="B50" s="607"/>
      <c r="C50" s="587" t="s">
        <v>510</v>
      </c>
      <c r="D50" s="611" t="s">
        <v>511</v>
      </c>
      <c r="E50" s="611"/>
      <c r="G50" s="619">
        <f t="shared" ref="G50:P50" ca="1" si="131">IFERROR(INDEX(INDIRECT($C50&amp;".Outputs["&amp;this.Year&amp;"]"), MATCH(G$5, INDIRECT($C50&amp;".Outputs[Vector]"), 0)), 0)</f>
        <v>0</v>
      </c>
      <c r="H50" s="619">
        <f t="shared" ca="1" si="131"/>
        <v>0</v>
      </c>
      <c r="I50" s="619">
        <f t="shared" ca="1" si="131"/>
        <v>2.7174377866091057</v>
      </c>
      <c r="J50" s="619">
        <f t="shared" ca="1" si="131"/>
        <v>0</v>
      </c>
      <c r="K50" s="619">
        <f t="shared" ca="1" si="131"/>
        <v>0</v>
      </c>
      <c r="L50" s="619">
        <f t="shared" ca="1" si="131"/>
        <v>0</v>
      </c>
      <c r="M50" s="619">
        <f t="shared" ca="1" si="131"/>
        <v>0</v>
      </c>
      <c r="N50" s="619">
        <f t="shared" ca="1" si="131"/>
        <v>0</v>
      </c>
      <c r="O50" s="619">
        <f t="shared" ca="1" si="131"/>
        <v>0</v>
      </c>
      <c r="P50" s="619">
        <f t="shared" ca="1" si="131"/>
        <v>0</v>
      </c>
      <c r="Q50" s="612">
        <f ca="1">SUM(G50:P50)</f>
        <v>2.7174377866091057</v>
      </c>
      <c r="S50" s="620">
        <f t="shared" ref="S50:AJ50" ca="1" si="132">IFERROR(INDEX(INDIRECT($C50&amp;".Outputs["&amp;this.Year&amp;"]"), MATCH(S$5, INDIRECT($C50&amp;".Outputs[Vector]"), 0)), 0)</f>
        <v>-0.57066193518791219</v>
      </c>
      <c r="T50" s="620">
        <f t="shared" ca="1" si="132"/>
        <v>0</v>
      </c>
      <c r="U50" s="620">
        <f t="shared" ca="1" si="132"/>
        <v>0</v>
      </c>
      <c r="V50" s="620">
        <f t="shared" ca="1" si="132"/>
        <v>-2.1467758514211934</v>
      </c>
      <c r="W50" s="620">
        <f t="shared" ca="1" si="132"/>
        <v>0</v>
      </c>
      <c r="X50" s="620">
        <f t="shared" ca="1" si="123"/>
        <v>0</v>
      </c>
      <c r="Y50" s="620">
        <f t="shared" ca="1" si="123"/>
        <v>0</v>
      </c>
      <c r="Z50" s="620">
        <f t="shared" ca="1" si="123"/>
        <v>0</v>
      </c>
      <c r="AA50" s="620">
        <f t="shared" ca="1" si="132"/>
        <v>0</v>
      </c>
      <c r="AB50" s="620">
        <f t="shared" ca="1" si="132"/>
        <v>0</v>
      </c>
      <c r="AC50" s="620">
        <f t="shared" ca="1" si="132"/>
        <v>0</v>
      </c>
      <c r="AD50" s="620">
        <f t="shared" ca="1" si="132"/>
        <v>29.45092534174433</v>
      </c>
      <c r="AE50" s="620">
        <f t="shared" ca="1" si="132"/>
        <v>0.48283502255691169</v>
      </c>
      <c r="AF50" s="620">
        <f t="shared" ca="1" si="132"/>
        <v>11.13277922347306</v>
      </c>
      <c r="AG50" s="620">
        <f t="shared" ca="1" si="132"/>
        <v>7.1998763759119129</v>
      </c>
      <c r="AH50" s="620">
        <f t="shared" ca="1" si="132"/>
        <v>0</v>
      </c>
      <c r="AI50" s="620">
        <f t="shared" ca="1" si="132"/>
        <v>0</v>
      </c>
      <c r="AJ50" s="620">
        <f t="shared" ca="1" si="132"/>
        <v>0</v>
      </c>
      <c r="AK50" s="613">
        <f ca="1">SUM(S50:AJ50)</f>
        <v>45.54897817707711</v>
      </c>
      <c r="AM50" s="621">
        <f t="shared" ca="1" si="124"/>
        <v>0</v>
      </c>
      <c r="AN50" s="621">
        <f t="shared" ca="1" si="124"/>
        <v>0</v>
      </c>
      <c r="AO50" s="621">
        <f t="shared" ca="1" si="124"/>
        <v>0</v>
      </c>
      <c r="AP50" s="621">
        <f t="shared" ca="1" si="124"/>
        <v>0</v>
      </c>
      <c r="AQ50" s="621">
        <f t="shared" ca="1" si="124"/>
        <v>0</v>
      </c>
      <c r="AR50" s="621">
        <f t="shared" ca="1" si="124"/>
        <v>0</v>
      </c>
      <c r="AS50" s="621">
        <f t="shared" ca="1" si="124"/>
        <v>0</v>
      </c>
      <c r="AT50" s="621">
        <f t="shared" ca="1" si="124"/>
        <v>0</v>
      </c>
      <c r="AU50" s="621">
        <f t="shared" ca="1" si="124"/>
        <v>0</v>
      </c>
      <c r="AV50" s="621">
        <f t="shared" ref="AV50:BE50" ca="1" si="133">IFERROR(INDEX(INDIRECT($C50&amp;".Outputs["&amp;this.Year&amp;"]"), MATCH(AV$5, INDIRECT($C50&amp;".Outputs[Vector]"), 0)), 0)</f>
        <v>0</v>
      </c>
      <c r="AW50" s="621">
        <f t="shared" ca="1" si="133"/>
        <v>0</v>
      </c>
      <c r="AX50" s="621">
        <f t="shared" ca="1" si="133"/>
        <v>0</v>
      </c>
      <c r="AY50" s="621">
        <f t="shared" ca="1" si="133"/>
        <v>0</v>
      </c>
      <c r="AZ50" s="621">
        <f t="shared" ca="1" si="133"/>
        <v>0</v>
      </c>
      <c r="BA50" s="621">
        <f t="shared" ca="1" si="133"/>
        <v>0</v>
      </c>
      <c r="BB50" s="621">
        <f t="shared" ca="1" si="133"/>
        <v>0</v>
      </c>
      <c r="BC50" s="621">
        <f t="shared" ca="1" si="133"/>
        <v>0</v>
      </c>
      <c r="BD50" s="621">
        <f t="shared" ca="1" si="133"/>
        <v>-29.933760364301243</v>
      </c>
      <c r="BE50" s="621">
        <f t="shared" ca="1" si="133"/>
        <v>-18.332655599384971</v>
      </c>
      <c r="BF50" s="615">
        <f ca="1">SUM(AM50:BE50)</f>
        <v>-48.266415963686214</v>
      </c>
      <c r="BH50" s="3473">
        <f t="shared" ca="1" si="126"/>
        <v>0</v>
      </c>
      <c r="BI50" s="3473">
        <f t="shared" ca="1" si="126"/>
        <v>0</v>
      </c>
      <c r="BJ50" s="3462">
        <f ca="1">SUM(BH50:BI50)</f>
        <v>0</v>
      </c>
      <c r="BL50" s="610">
        <f ca="1">Q50+AK50+BF50+BJ50</f>
        <v>0</v>
      </c>
      <c r="BM50" s="610"/>
      <c r="BN50" s="413"/>
      <c r="BO50" s="2791">
        <f t="shared" ca="1" si="127"/>
        <v>0.56649121167302441</v>
      </c>
      <c r="BP50" s="2792">
        <f t="shared" ca="1" si="127"/>
        <v>4.8688876310232671E-4</v>
      </c>
      <c r="BQ50" s="2792">
        <f t="shared" ca="1" si="127"/>
        <v>1.4374811101116312E-3</v>
      </c>
      <c r="BR50" s="2792">
        <f t="shared" ca="1" si="127"/>
        <v>0</v>
      </c>
      <c r="BS50" s="2792">
        <f t="shared" ca="1" si="127"/>
        <v>0</v>
      </c>
      <c r="BT50" s="2792">
        <f t="shared" ca="1" si="127"/>
        <v>0</v>
      </c>
      <c r="BU50" s="2792">
        <f t="shared" ca="1" si="127"/>
        <v>0</v>
      </c>
      <c r="BV50" s="2792">
        <f t="shared" ca="1" si="127"/>
        <v>0</v>
      </c>
      <c r="BW50" s="2792">
        <f t="shared" ca="1" si="127"/>
        <v>0</v>
      </c>
      <c r="BX50" s="2792">
        <f t="shared" ca="1" si="127"/>
        <v>0</v>
      </c>
      <c r="BY50" s="2792">
        <f t="shared" ca="1" si="128"/>
        <v>0</v>
      </c>
      <c r="BZ50" s="2792">
        <f t="shared" ca="1" si="128"/>
        <v>0</v>
      </c>
      <c r="CA50" s="2792">
        <f t="shared" ca="1" si="128"/>
        <v>0</v>
      </c>
      <c r="CB50" s="2792">
        <f t="shared" ca="1" si="128"/>
        <v>0</v>
      </c>
      <c r="CC50" s="2792">
        <f t="shared" ca="1" si="128"/>
        <v>0</v>
      </c>
      <c r="CD50" s="2792">
        <f t="shared" ca="1" si="128"/>
        <v>0</v>
      </c>
      <c r="CE50" s="2792">
        <f t="shared" ca="1" si="128"/>
        <v>0</v>
      </c>
      <c r="CF50" s="2792">
        <f t="shared" ca="1" si="128"/>
        <v>8.8495823397862576</v>
      </c>
      <c r="CG50" s="2792">
        <f t="shared" ca="1" si="128"/>
        <v>5.9521075915265156</v>
      </c>
      <c r="CH50" s="2792">
        <f t="shared" ca="1" si="128"/>
        <v>0</v>
      </c>
      <c r="CI50" s="2792">
        <f t="shared" ca="1" si="129"/>
        <v>-0.9383255597991258</v>
      </c>
      <c r="CJ50" s="2792">
        <f t="shared" ca="1" si="129"/>
        <v>0</v>
      </c>
      <c r="CK50" s="2792">
        <f t="shared" ca="1" si="129"/>
        <v>0</v>
      </c>
      <c r="CL50" s="2792">
        <f t="shared" ca="1" si="129"/>
        <v>0</v>
      </c>
      <c r="CM50" s="2792">
        <f t="shared" ca="1" si="129"/>
        <v>0</v>
      </c>
      <c r="CN50" s="2792">
        <f t="shared" ca="1" si="129"/>
        <v>0</v>
      </c>
      <c r="CO50" s="2792">
        <f t="shared" ca="1" si="129"/>
        <v>0</v>
      </c>
      <c r="CP50" s="2792">
        <f t="shared" ca="1" si="129"/>
        <v>0</v>
      </c>
      <c r="CQ50" s="2792">
        <f t="shared" ca="1" si="129"/>
        <v>0</v>
      </c>
      <c r="CR50" s="2792">
        <f t="shared" ca="1" si="129"/>
        <v>0</v>
      </c>
      <c r="CS50" s="2792">
        <f t="shared" ca="1" si="130"/>
        <v>0</v>
      </c>
      <c r="CT50" s="2792">
        <f t="shared" ca="1" si="130"/>
        <v>0</v>
      </c>
      <c r="CU50" s="2792">
        <f t="shared" ca="1" si="130"/>
        <v>0</v>
      </c>
      <c r="CV50" s="2792">
        <f t="shared" ca="1" si="130"/>
        <v>0</v>
      </c>
      <c r="CW50" s="2792">
        <f t="shared" ca="1" si="130"/>
        <v>0</v>
      </c>
      <c r="CX50" s="2792">
        <f t="shared" ca="1" si="130"/>
        <v>0</v>
      </c>
      <c r="CY50" s="2792">
        <f t="shared" ca="1" si="130"/>
        <v>0</v>
      </c>
      <c r="CZ50" s="2792">
        <f t="shared" ca="1" si="130"/>
        <v>0</v>
      </c>
      <c r="DA50" s="2792">
        <f t="shared" ca="1" si="130"/>
        <v>0</v>
      </c>
      <c r="DB50" s="2792">
        <f t="shared" ca="1" si="130"/>
        <v>0</v>
      </c>
      <c r="DC50" s="2792">
        <f t="shared" ca="1" si="130"/>
        <v>0</v>
      </c>
      <c r="DD50" s="2792">
        <f t="shared" ca="1" si="130"/>
        <v>0</v>
      </c>
      <c r="DE50" s="2792">
        <f t="shared" ca="1" si="130"/>
        <v>0</v>
      </c>
      <c r="DF50" s="2792">
        <f t="shared" ca="1" si="130"/>
        <v>0</v>
      </c>
      <c r="DH50" s="596">
        <f t="shared" ca="1" si="120"/>
        <v>14.431779953059888</v>
      </c>
    </row>
    <row r="51" spans="1:112" s="6" customFormat="1" ht="15.75">
      <c r="A51" s="4"/>
      <c r="B51" s="3"/>
      <c r="C51" s="616" t="s">
        <v>512</v>
      </c>
      <c r="D51" s="617" t="s">
        <v>513</v>
      </c>
      <c r="E51" s="206"/>
      <c r="G51" s="618">
        <f ca="1">SUM(G48:G50)</f>
        <v>0</v>
      </c>
      <c r="H51" s="618">
        <f t="shared" ref="H51:P51" ca="1" si="134">SUM(H48:H50)</f>
        <v>0</v>
      </c>
      <c r="I51" s="618">
        <f t="shared" ca="1" si="134"/>
        <v>2.7174377866091057</v>
      </c>
      <c r="J51" s="618">
        <f t="shared" ca="1" si="134"/>
        <v>0</v>
      </c>
      <c r="K51" s="618">
        <f t="shared" ca="1" si="134"/>
        <v>0</v>
      </c>
      <c r="L51" s="618">
        <f t="shared" ca="1" si="134"/>
        <v>0</v>
      </c>
      <c r="M51" s="618">
        <f t="shared" ca="1" si="134"/>
        <v>0</v>
      </c>
      <c r="N51" s="618">
        <f t="shared" ca="1" si="134"/>
        <v>0</v>
      </c>
      <c r="O51" s="618">
        <f t="shared" ca="1" si="134"/>
        <v>0</v>
      </c>
      <c r="P51" s="618">
        <f t="shared" ca="1" si="134"/>
        <v>0</v>
      </c>
      <c r="Q51" s="618">
        <f ca="1">SUM(G51:P51)</f>
        <v>2.7174377866091057</v>
      </c>
      <c r="S51" s="581">
        <f t="shared" ref="S51:AJ51" ca="1" si="135">SUM(S48:S50)</f>
        <v>-0.57066193518791219</v>
      </c>
      <c r="T51" s="581">
        <f t="shared" ca="1" si="135"/>
        <v>0</v>
      </c>
      <c r="U51" s="581">
        <f t="shared" ca="1" si="135"/>
        <v>0</v>
      </c>
      <c r="V51" s="581">
        <f t="shared" ca="1" si="135"/>
        <v>-2.1467758514211934</v>
      </c>
      <c r="W51" s="581">
        <f t="shared" ca="1" si="135"/>
        <v>0</v>
      </c>
      <c r="X51" s="581">
        <f t="shared" ca="1" si="135"/>
        <v>0.22914024705996922</v>
      </c>
      <c r="Y51" s="581">
        <f t="shared" ca="1" si="135"/>
        <v>0</v>
      </c>
      <c r="Z51" s="581">
        <f t="shared" ca="1" si="135"/>
        <v>0</v>
      </c>
      <c r="AA51" s="581">
        <f t="shared" ca="1" si="135"/>
        <v>0</v>
      </c>
      <c r="AB51" s="581">
        <f t="shared" ca="1" si="135"/>
        <v>0</v>
      </c>
      <c r="AC51" s="581">
        <f t="shared" ca="1" si="135"/>
        <v>0</v>
      </c>
      <c r="AD51" s="581">
        <f t="shared" ca="1" si="135"/>
        <v>29.45092534174433</v>
      </c>
      <c r="AE51" s="581">
        <f ca="1">SUM(AE48:AE50)</f>
        <v>0.48283502255691169</v>
      </c>
      <c r="AF51" s="581">
        <f t="shared" ca="1" si="135"/>
        <v>11.556354871441844</v>
      </c>
      <c r="AG51" s="581">
        <f t="shared" ca="1" si="135"/>
        <v>7.9086168792688998</v>
      </c>
      <c r="AH51" s="581">
        <f ca="1">SUM(AH48:AH50)</f>
        <v>0.16588202572781321</v>
      </c>
      <c r="AI51" s="581">
        <f t="shared" ca="1" si="135"/>
        <v>0</v>
      </c>
      <c r="AJ51" s="581">
        <f t="shared" ca="1" si="135"/>
        <v>0</v>
      </c>
      <c r="AK51" s="581">
        <f ca="1">SUM(S51:AJ51)</f>
        <v>47.076316601190662</v>
      </c>
      <c r="AM51" s="582">
        <f t="shared" ref="AM51:BE51" ca="1" si="136">SUM(AM48:AM50)</f>
        <v>0</v>
      </c>
      <c r="AN51" s="582">
        <f t="shared" ca="1" si="136"/>
        <v>0</v>
      </c>
      <c r="AO51" s="582">
        <f t="shared" ca="1" si="136"/>
        <v>0</v>
      </c>
      <c r="AP51" s="582">
        <f t="shared" ca="1" si="136"/>
        <v>0</v>
      </c>
      <c r="AQ51" s="582">
        <f t="shared" ca="1" si="136"/>
        <v>0</v>
      </c>
      <c r="AR51" s="582">
        <f t="shared" ca="1" si="136"/>
        <v>0</v>
      </c>
      <c r="AS51" s="582">
        <f t="shared" ca="1" si="136"/>
        <v>0</v>
      </c>
      <c r="AT51" s="582">
        <f t="shared" ca="1" si="136"/>
        <v>0</v>
      </c>
      <c r="AU51" s="582">
        <f t="shared" ca="1" si="136"/>
        <v>0</v>
      </c>
      <c r="AV51" s="582">
        <f t="shared" ca="1" si="136"/>
        <v>0</v>
      </c>
      <c r="AW51" s="582">
        <f t="shared" ca="1" si="136"/>
        <v>0</v>
      </c>
      <c r="AX51" s="582">
        <f t="shared" ca="1" si="136"/>
        <v>0</v>
      </c>
      <c r="AY51" s="582">
        <f t="shared" ca="1" si="136"/>
        <v>0</v>
      </c>
      <c r="AZ51" s="582">
        <f t="shared" ca="1" si="136"/>
        <v>0</v>
      </c>
      <c r="BA51" s="582">
        <f t="shared" ca="1" si="136"/>
        <v>0</v>
      </c>
      <c r="BB51" s="582">
        <f t="shared" ca="1" si="136"/>
        <v>0</v>
      </c>
      <c r="BC51" s="582">
        <f t="shared" ca="1" si="136"/>
        <v>0</v>
      </c>
      <c r="BD51" s="582">
        <f t="shared" ca="1" si="136"/>
        <v>-30.517093697634575</v>
      </c>
      <c r="BE51" s="582">
        <f t="shared" ca="1" si="136"/>
        <v>-19.27666069016519</v>
      </c>
      <c r="BF51" s="582">
        <f ca="1">SUM(AM51:BE51)</f>
        <v>-49.793754387799765</v>
      </c>
      <c r="BH51" s="3463">
        <f ca="1">SUM(BH48:BH50)</f>
        <v>0</v>
      </c>
      <c r="BI51" s="3463">
        <f ca="1">SUM(BI48:BI50)</f>
        <v>0</v>
      </c>
      <c r="BJ51" s="3463">
        <f ca="1">SUM(BH51:BI51)</f>
        <v>0</v>
      </c>
      <c r="BL51" s="3477">
        <f ca="1">Q51+AK51+BF51+BJ51</f>
        <v>0</v>
      </c>
      <c r="BM51" s="584"/>
      <c r="BN51" s="413"/>
      <c r="BO51" s="2790">
        <f t="shared" ref="BO51:DF51" ca="1" si="137">SUM(BO48:BO50)</f>
        <v>0.56649121167302441</v>
      </c>
      <c r="BP51" s="2790">
        <f t="shared" ca="1" si="137"/>
        <v>4.8688876310232671E-4</v>
      </c>
      <c r="BQ51" s="2790">
        <f t="shared" ca="1" si="137"/>
        <v>1.4374811101116312E-3</v>
      </c>
      <c r="BR51" s="2790">
        <f t="shared" ca="1" si="137"/>
        <v>0</v>
      </c>
      <c r="BS51" s="2790">
        <f t="shared" ca="1" si="137"/>
        <v>0</v>
      </c>
      <c r="BT51" s="2790">
        <f t="shared" ca="1" si="137"/>
        <v>0</v>
      </c>
      <c r="BU51" s="2790">
        <f t="shared" ca="1" si="137"/>
        <v>0</v>
      </c>
      <c r="BV51" s="2790">
        <f t="shared" ca="1" si="137"/>
        <v>0</v>
      </c>
      <c r="BW51" s="2790">
        <f t="shared" ca="1" si="137"/>
        <v>0</v>
      </c>
      <c r="BX51" s="2790">
        <f t="shared" ca="1" si="137"/>
        <v>0</v>
      </c>
      <c r="BY51" s="2790">
        <f t="shared" ca="1" si="137"/>
        <v>0</v>
      </c>
      <c r="BZ51" s="2790">
        <f t="shared" ca="1" si="137"/>
        <v>0</v>
      </c>
      <c r="CA51" s="2790">
        <f t="shared" ca="1" si="137"/>
        <v>0</v>
      </c>
      <c r="CB51" s="2790">
        <f t="shared" ca="1" si="137"/>
        <v>0</v>
      </c>
      <c r="CC51" s="2790">
        <f t="shared" ca="1" si="137"/>
        <v>0</v>
      </c>
      <c r="CD51" s="2790">
        <f t="shared" ca="1" si="137"/>
        <v>0</v>
      </c>
      <c r="CE51" s="2790">
        <f t="shared" ca="1" si="137"/>
        <v>0</v>
      </c>
      <c r="CF51" s="2790">
        <f t="shared" ca="1" si="137"/>
        <v>8.8495823397862576</v>
      </c>
      <c r="CG51" s="2790">
        <f t="shared" ca="1" si="137"/>
        <v>5.9521075915265156</v>
      </c>
      <c r="CH51" s="2790">
        <f t="shared" ca="1" si="137"/>
        <v>0</v>
      </c>
      <c r="CI51" s="2790">
        <f t="shared" ca="1" si="137"/>
        <v>-0.9383255597991258</v>
      </c>
      <c r="CJ51" s="2790">
        <f t="shared" ca="1" si="137"/>
        <v>0</v>
      </c>
      <c r="CK51" s="2790">
        <f t="shared" ca="1" si="137"/>
        <v>0</v>
      </c>
      <c r="CL51" s="2790">
        <f t="shared" ca="1" si="137"/>
        <v>0</v>
      </c>
      <c r="CM51" s="2790">
        <f t="shared" ca="1" si="137"/>
        <v>0</v>
      </c>
      <c r="CN51" s="2790">
        <f t="shared" ca="1" si="137"/>
        <v>0.54368990189287236</v>
      </c>
      <c r="CO51" s="2790">
        <f t="shared" ca="1" si="137"/>
        <v>5.862786428571428E-2</v>
      </c>
      <c r="CP51" s="2790">
        <f t="shared" ca="1" si="137"/>
        <v>0</v>
      </c>
      <c r="CQ51" s="2790">
        <f t="shared" ca="1" si="137"/>
        <v>0</v>
      </c>
      <c r="CR51" s="2790">
        <f t="shared" ca="1" si="137"/>
        <v>0</v>
      </c>
      <c r="CS51" s="2790">
        <f t="shared" ca="1" si="137"/>
        <v>0</v>
      </c>
      <c r="CT51" s="2790">
        <f t="shared" ca="1" si="137"/>
        <v>0</v>
      </c>
      <c r="CU51" s="2790">
        <f t="shared" ca="1" si="137"/>
        <v>0</v>
      </c>
      <c r="CV51" s="2790">
        <f t="shared" ca="1" si="137"/>
        <v>0</v>
      </c>
      <c r="CW51" s="2790">
        <f t="shared" ca="1" si="137"/>
        <v>0</v>
      </c>
      <c r="CX51" s="2790">
        <f t="shared" ca="1" si="137"/>
        <v>0</v>
      </c>
      <c r="CY51" s="2790">
        <f t="shared" ca="1" si="137"/>
        <v>0</v>
      </c>
      <c r="CZ51" s="2790">
        <f t="shared" ca="1" si="137"/>
        <v>0</v>
      </c>
      <c r="DA51" s="2790">
        <f t="shared" ca="1" si="137"/>
        <v>0</v>
      </c>
      <c r="DB51" s="2790">
        <f t="shared" ca="1" si="137"/>
        <v>0</v>
      </c>
      <c r="DC51" s="2790">
        <f t="shared" ca="1" si="137"/>
        <v>0</v>
      </c>
      <c r="DD51" s="2790">
        <f t="shared" ca="1" si="137"/>
        <v>0</v>
      </c>
      <c r="DE51" s="2790">
        <f t="shared" ca="1" si="137"/>
        <v>0</v>
      </c>
      <c r="DF51" s="2790">
        <f t="shared" ca="1" si="137"/>
        <v>0</v>
      </c>
      <c r="DH51" s="596">
        <f t="shared" ca="1" si="120"/>
        <v>15.034097719238474</v>
      </c>
    </row>
    <row r="52" spans="1:112" s="6" customFormat="1" ht="12.75" customHeight="1" outlineLevel="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20"/>
        <v>0</v>
      </c>
    </row>
    <row r="53" spans="1:112" s="6" customFormat="1" outlineLevel="1">
      <c r="A53" s="607"/>
      <c r="B53" s="607"/>
      <c r="C53" s="651" t="s">
        <v>514</v>
      </c>
      <c r="D53" s="588" t="s">
        <v>515</v>
      </c>
      <c r="E53" s="588"/>
      <c r="G53" s="589">
        <f t="shared" ref="G53:P54" ca="1" si="138">IFERROR(INDEX(INDIRECT($C53&amp;".Outputs["&amp;this.Year&amp;"]"), MATCH(G$5, INDIRECT($C53&amp;".Outputs[Vector]"), 0)), 0)</f>
        <v>0</v>
      </c>
      <c r="H53" s="589">
        <f t="shared" ca="1" si="138"/>
        <v>0</v>
      </c>
      <c r="I53" s="589">
        <f t="shared" ca="1" si="138"/>
        <v>0</v>
      </c>
      <c r="J53" s="589">
        <f t="shared" ca="1" si="138"/>
        <v>0</v>
      </c>
      <c r="K53" s="589">
        <f t="shared" ca="1" si="138"/>
        <v>0</v>
      </c>
      <c r="L53" s="589">
        <f t="shared" ca="1" si="138"/>
        <v>0</v>
      </c>
      <c r="M53" s="589">
        <f t="shared" ca="1" si="138"/>
        <v>0</v>
      </c>
      <c r="N53" s="589">
        <f t="shared" ca="1" si="138"/>
        <v>0</v>
      </c>
      <c r="O53" s="589">
        <f t="shared" ca="1" si="138"/>
        <v>0</v>
      </c>
      <c r="P53" s="589">
        <f t="shared" ca="1" si="138"/>
        <v>0</v>
      </c>
      <c r="Q53" s="590">
        <f ca="1">SUM(G53:P53)</f>
        <v>0</v>
      </c>
      <c r="S53" s="591">
        <f t="shared" ref="S53:AJ54" ca="1" si="139">IFERROR(INDEX(INDIRECT($C53&amp;".Outputs["&amp;this.Year&amp;"]"), MATCH(S$5, INDIRECT($C53&amp;".Outputs[Vector]"), 0)), 0)</f>
        <v>-0.22598810482362028</v>
      </c>
      <c r="T53" s="591">
        <f t="shared" ca="1" si="139"/>
        <v>0</v>
      </c>
      <c r="U53" s="591">
        <f t="shared" ca="1" si="139"/>
        <v>0</v>
      </c>
      <c r="V53" s="591">
        <f t="shared" ca="1" si="139"/>
        <v>-1.8522858135888711</v>
      </c>
      <c r="W53" s="591">
        <f t="shared" ca="1" si="139"/>
        <v>-8.2401953248703863E-2</v>
      </c>
      <c r="X53" s="591">
        <f t="shared" ref="X53:Z54" ca="1" si="140">IFERROR(INDEX(INDIRECT($C53&amp;".Outputs["&amp;this.Year&amp;"]"), MATCH(X$5, INDIRECT($C53&amp;".Outputs[Vector]"), 0)), 0)</f>
        <v>0</v>
      </c>
      <c r="Y53" s="591">
        <f t="shared" ca="1" si="140"/>
        <v>0</v>
      </c>
      <c r="Z53" s="591">
        <f t="shared" ca="1" si="140"/>
        <v>0</v>
      </c>
      <c r="AA53" s="591">
        <f t="shared" ca="1" si="139"/>
        <v>0</v>
      </c>
      <c r="AB53" s="591">
        <f t="shared" ca="1" si="139"/>
        <v>-2.6537999724419409E-2</v>
      </c>
      <c r="AC53" s="591">
        <f t="shared" ca="1" si="139"/>
        <v>0</v>
      </c>
      <c r="AD53" s="591">
        <f t="shared" ca="1" si="139"/>
        <v>0</v>
      </c>
      <c r="AE53" s="591">
        <f t="shared" ca="1" si="139"/>
        <v>0</v>
      </c>
      <c r="AF53" s="591">
        <f t="shared" ca="1" si="139"/>
        <v>0</v>
      </c>
      <c r="AG53" s="591">
        <f t="shared" ca="1" si="139"/>
        <v>0</v>
      </c>
      <c r="AH53" s="591">
        <f t="shared" ca="1" si="139"/>
        <v>0</v>
      </c>
      <c r="AI53" s="591">
        <f t="shared" ca="1" si="139"/>
        <v>0</v>
      </c>
      <c r="AJ53" s="591">
        <f t="shared" ca="1" si="139"/>
        <v>0</v>
      </c>
      <c r="AK53" s="592">
        <f ca="1">SUM(S53:AJ53)</f>
        <v>-2.1872138713856146</v>
      </c>
      <c r="AM53" s="593">
        <f t="shared" ref="AM53:AU54" ca="1" si="141">IFERROR(INDEX(INDIRECT($C53&amp;".Outputs["&amp;this.Year&amp;"]"), MATCH(AM$5, INDIRECT($C53&amp;".Outputs[Vector]"), 0)), 0)</f>
        <v>0</v>
      </c>
      <c r="AN53" s="593">
        <f t="shared" ca="1" si="141"/>
        <v>0</v>
      </c>
      <c r="AO53" s="593">
        <f t="shared" ca="1" si="141"/>
        <v>0</v>
      </c>
      <c r="AP53" s="593">
        <f t="shared" ca="1" si="141"/>
        <v>0</v>
      </c>
      <c r="AQ53" s="593">
        <f t="shared" ca="1" si="141"/>
        <v>0</v>
      </c>
      <c r="AR53" s="593">
        <f t="shared" ca="1" si="141"/>
        <v>0</v>
      </c>
      <c r="AS53" s="593">
        <f t="shared" ca="1" si="141"/>
        <v>0</v>
      </c>
      <c r="AT53" s="593">
        <f t="shared" ca="1" si="141"/>
        <v>0</v>
      </c>
      <c r="AU53" s="593">
        <f t="shared" ca="1" si="141"/>
        <v>0</v>
      </c>
      <c r="AV53" s="593">
        <f t="shared" ref="AV53:BE54" ca="1" si="142">IFERROR(INDEX(INDIRECT($C53&amp;".Outputs["&amp;this.Year&amp;"]"), MATCH(AV$5, INDIRECT($C53&amp;".Outputs[Vector]"), 0)), 0)</f>
        <v>0</v>
      </c>
      <c r="AW53" s="593">
        <f t="shared" ca="1" si="142"/>
        <v>0</v>
      </c>
      <c r="AX53" s="593">
        <f t="shared" ca="1" si="142"/>
        <v>0</v>
      </c>
      <c r="AY53" s="593">
        <f t="shared" ca="1" si="142"/>
        <v>0</v>
      </c>
      <c r="AZ53" s="593">
        <f t="shared" ca="1" si="142"/>
        <v>0</v>
      </c>
      <c r="BA53" s="593">
        <f t="shared" ca="1" si="142"/>
        <v>0</v>
      </c>
      <c r="BB53" s="593">
        <f t="shared" ca="1" si="142"/>
        <v>0</v>
      </c>
      <c r="BC53" s="593">
        <f t="shared" ca="1" si="142"/>
        <v>0</v>
      </c>
      <c r="BD53" s="593">
        <f t="shared" ca="1" si="142"/>
        <v>0</v>
      </c>
      <c r="BE53" s="593">
        <f t="shared" ca="1" si="142"/>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43">IFERROR(SUMIFS(INDIRECT($C53&amp;".Emissions["&amp;this.Year&amp;"]"), INDIRECT($C53&amp;".Emissions[GHG]"), BO$6, INDIRECT($C53&amp;".Emissions[IPCC Sector]"), BO$5),0)</f>
        <v>0.50565060724124977</v>
      </c>
      <c r="BP53" s="2790">
        <f t="shared" ca="1" si="143"/>
        <v>4.2632801018755801E-4</v>
      </c>
      <c r="BQ53" s="2790">
        <f t="shared" ca="1" si="143"/>
        <v>1.5069762622732133E-3</v>
      </c>
      <c r="BR53" s="2790">
        <f t="shared" ca="1" si="143"/>
        <v>0</v>
      </c>
      <c r="BS53" s="2790">
        <f t="shared" ca="1" si="143"/>
        <v>0</v>
      </c>
      <c r="BT53" s="2790">
        <f t="shared" ca="1" si="143"/>
        <v>0</v>
      </c>
      <c r="BU53" s="2790">
        <f t="shared" ca="1" si="143"/>
        <v>0</v>
      </c>
      <c r="BV53" s="2790">
        <f t="shared" ca="1" si="143"/>
        <v>0</v>
      </c>
      <c r="BW53" s="2790">
        <f t="shared" ca="1" si="143"/>
        <v>0</v>
      </c>
      <c r="BX53" s="2790">
        <f t="shared" ca="1" si="143"/>
        <v>0</v>
      </c>
      <c r="BY53" s="2790">
        <f t="shared" ref="BY53:CH54" ca="1" si="144">IFERROR(SUMIFS(INDIRECT($C53&amp;".Emissions["&amp;this.Year&amp;"]"), INDIRECT($C53&amp;".Emissions[GHG]"), BY$6, INDIRECT($C53&amp;".Emissions[IPCC Sector]"), BY$5),0)</f>
        <v>0</v>
      </c>
      <c r="BZ53" s="2790">
        <f t="shared" ca="1" si="144"/>
        <v>0</v>
      </c>
      <c r="CA53" s="2790">
        <f t="shared" ca="1" si="144"/>
        <v>0</v>
      </c>
      <c r="CB53" s="2790">
        <f t="shared" ca="1" si="144"/>
        <v>0</v>
      </c>
      <c r="CC53" s="2790">
        <f t="shared" ca="1" si="144"/>
        <v>0</v>
      </c>
      <c r="CD53" s="2790">
        <f t="shared" ca="1" si="144"/>
        <v>0</v>
      </c>
      <c r="CE53" s="2790">
        <f t="shared" ca="1" si="144"/>
        <v>0</v>
      </c>
      <c r="CF53" s="2790">
        <f t="shared" ca="1" si="144"/>
        <v>0</v>
      </c>
      <c r="CG53" s="2790">
        <f t="shared" ca="1" si="144"/>
        <v>0</v>
      </c>
      <c r="CH53" s="2790">
        <f t="shared" ca="1" si="144"/>
        <v>0</v>
      </c>
      <c r="CI53" s="2790">
        <f t="shared" ref="CI53:CR54" ca="1" si="145">IFERROR(SUMIFS(INDIRECT($C53&amp;".Emissions["&amp;this.Year&amp;"]"), INDIRECT($C53&amp;".Emissions[GHG]"), CI$6, INDIRECT($C53&amp;".Emissions[IPCC Sector]"), CI$5),0)</f>
        <v>0</v>
      </c>
      <c r="CJ53" s="2790">
        <f t="shared" ca="1" si="145"/>
        <v>0</v>
      </c>
      <c r="CK53" s="2790">
        <f t="shared" ca="1" si="145"/>
        <v>0</v>
      </c>
      <c r="CL53" s="2790">
        <f t="shared" ca="1" si="145"/>
        <v>0</v>
      </c>
      <c r="CM53" s="2790">
        <f t="shared" ca="1" si="145"/>
        <v>0</v>
      </c>
      <c r="CN53" s="2790">
        <f t="shared" ca="1" si="145"/>
        <v>0</v>
      </c>
      <c r="CO53" s="2790">
        <f t="shared" ca="1" si="145"/>
        <v>0</v>
      </c>
      <c r="CP53" s="2790">
        <f t="shared" ca="1" si="145"/>
        <v>0</v>
      </c>
      <c r="CQ53" s="2790">
        <f t="shared" ca="1" si="145"/>
        <v>0</v>
      </c>
      <c r="CR53" s="2790">
        <f t="shared" ca="1" si="145"/>
        <v>0</v>
      </c>
      <c r="CS53" s="2790">
        <f t="shared" ref="CS53:DF54" ca="1" si="146">IFERROR(SUMIFS(INDIRECT($C53&amp;".Emissions["&amp;this.Year&amp;"]"), INDIRECT($C53&amp;".Emissions[GHG]"), CS$6, INDIRECT($C53&amp;".Emissions[IPCC Sector]"), CS$5),0)</f>
        <v>0</v>
      </c>
      <c r="CT53" s="2790">
        <f t="shared" ca="1" si="146"/>
        <v>0</v>
      </c>
      <c r="CU53" s="2790">
        <f t="shared" ca="1" si="146"/>
        <v>0</v>
      </c>
      <c r="CV53" s="2790">
        <f t="shared" ca="1" si="146"/>
        <v>0</v>
      </c>
      <c r="CW53" s="2790">
        <f t="shared" ca="1" si="146"/>
        <v>0</v>
      </c>
      <c r="CX53" s="2790">
        <f t="shared" ca="1" si="146"/>
        <v>0</v>
      </c>
      <c r="CY53" s="2790">
        <f t="shared" ca="1" si="146"/>
        <v>0</v>
      </c>
      <c r="CZ53" s="2790">
        <f t="shared" ca="1" si="146"/>
        <v>0</v>
      </c>
      <c r="DA53" s="2790">
        <f t="shared" ca="1" si="146"/>
        <v>0</v>
      </c>
      <c r="DB53" s="2790">
        <f t="shared" ca="1" si="146"/>
        <v>0</v>
      </c>
      <c r="DC53" s="2790">
        <f t="shared" ca="1" si="146"/>
        <v>0</v>
      </c>
      <c r="DD53" s="2790">
        <f t="shared" ca="1" si="146"/>
        <v>0</v>
      </c>
      <c r="DE53" s="2790">
        <f t="shared" ca="1" si="146"/>
        <v>0</v>
      </c>
      <c r="DF53" s="2790">
        <f t="shared" ca="1" si="146"/>
        <v>0</v>
      </c>
      <c r="DH53" s="596">
        <f t="shared" ca="1" si="120"/>
        <v>0.50758391151371063</v>
      </c>
    </row>
    <row r="54" spans="1:112" s="6" customFormat="1" outlineLevel="1">
      <c r="A54" s="607"/>
      <c r="B54" s="607"/>
      <c r="C54" s="651" t="s">
        <v>516</v>
      </c>
      <c r="D54" s="611" t="s">
        <v>517</v>
      </c>
      <c r="E54" s="611"/>
      <c r="G54" s="619">
        <f t="shared" ca="1" si="138"/>
        <v>0</v>
      </c>
      <c r="H54" s="619">
        <f t="shared" ca="1" si="138"/>
        <v>0</v>
      </c>
      <c r="I54" s="619">
        <f t="shared" ca="1" si="138"/>
        <v>0</v>
      </c>
      <c r="J54" s="619">
        <f t="shared" ca="1" si="138"/>
        <v>0</v>
      </c>
      <c r="K54" s="619">
        <f t="shared" ca="1" si="138"/>
        <v>0</v>
      </c>
      <c r="L54" s="619">
        <f t="shared" ca="1" si="138"/>
        <v>0</v>
      </c>
      <c r="M54" s="619">
        <f t="shared" ca="1" si="138"/>
        <v>0</v>
      </c>
      <c r="N54" s="619">
        <f t="shared" ca="1" si="138"/>
        <v>0</v>
      </c>
      <c r="O54" s="619">
        <f t="shared" ca="1" si="138"/>
        <v>0</v>
      </c>
      <c r="P54" s="619">
        <f t="shared" ca="1" si="138"/>
        <v>0</v>
      </c>
      <c r="Q54" s="612">
        <f ca="1">SUM(G54:P54)</f>
        <v>0</v>
      </c>
      <c r="S54" s="620">
        <f t="shared" ca="1" si="139"/>
        <v>0</v>
      </c>
      <c r="T54" s="620">
        <f t="shared" ca="1" si="139"/>
        <v>0</v>
      </c>
      <c r="U54" s="620">
        <f t="shared" ca="1" si="139"/>
        <v>0</v>
      </c>
      <c r="V54" s="620">
        <f t="shared" ca="1" si="139"/>
        <v>0</v>
      </c>
      <c r="W54" s="620">
        <f t="shared" ca="1" si="139"/>
        <v>0</v>
      </c>
      <c r="X54" s="620">
        <f t="shared" ca="1" si="140"/>
        <v>0</v>
      </c>
      <c r="Y54" s="620">
        <f t="shared" ca="1" si="140"/>
        <v>0</v>
      </c>
      <c r="Z54" s="620">
        <f t="shared" ca="1" si="140"/>
        <v>0</v>
      </c>
      <c r="AA54" s="620">
        <f t="shared" ca="1" si="139"/>
        <v>0</v>
      </c>
      <c r="AB54" s="620">
        <f t="shared" ca="1" si="139"/>
        <v>0</v>
      </c>
      <c r="AC54" s="620">
        <f t="shared" ca="1" si="139"/>
        <v>0</v>
      </c>
      <c r="AD54" s="620">
        <f t="shared" ca="1" si="139"/>
        <v>0</v>
      </c>
      <c r="AE54" s="620">
        <f t="shared" ca="1" si="139"/>
        <v>0</v>
      </c>
      <c r="AF54" s="620">
        <f t="shared" ca="1" si="139"/>
        <v>0</v>
      </c>
      <c r="AG54" s="620">
        <f t="shared" ca="1" si="139"/>
        <v>0</v>
      </c>
      <c r="AH54" s="620">
        <f t="shared" ca="1" si="139"/>
        <v>0</v>
      </c>
      <c r="AI54" s="620">
        <f t="shared" ca="1" si="139"/>
        <v>0</v>
      </c>
      <c r="AJ54" s="620">
        <f t="shared" ca="1" si="139"/>
        <v>0</v>
      </c>
      <c r="AK54" s="613">
        <f ca="1">SUM(S54:AJ54)</f>
        <v>0</v>
      </c>
      <c r="AM54" s="621">
        <f t="shared" ca="1" si="141"/>
        <v>0</v>
      </c>
      <c r="AN54" s="621">
        <f t="shared" ca="1" si="141"/>
        <v>0</v>
      </c>
      <c r="AO54" s="621">
        <f t="shared" ca="1" si="141"/>
        <v>0</v>
      </c>
      <c r="AP54" s="621">
        <f t="shared" ca="1" si="141"/>
        <v>0</v>
      </c>
      <c r="AQ54" s="621">
        <f t="shared" ca="1" si="141"/>
        <v>0</v>
      </c>
      <c r="AR54" s="621">
        <f t="shared" ca="1" si="141"/>
        <v>0</v>
      </c>
      <c r="AS54" s="621">
        <f t="shared" ca="1" si="141"/>
        <v>0</v>
      </c>
      <c r="AT54" s="621">
        <f t="shared" ca="1" si="141"/>
        <v>0</v>
      </c>
      <c r="AU54" s="621">
        <f t="shared" ca="1" si="141"/>
        <v>0</v>
      </c>
      <c r="AV54" s="621">
        <f t="shared" ca="1" si="142"/>
        <v>0</v>
      </c>
      <c r="AW54" s="621">
        <f t="shared" ca="1" si="142"/>
        <v>0</v>
      </c>
      <c r="AX54" s="621">
        <f t="shared" ca="1" si="142"/>
        <v>0</v>
      </c>
      <c r="AY54" s="621">
        <f t="shared" ca="1" si="142"/>
        <v>0</v>
      </c>
      <c r="AZ54" s="621">
        <f t="shared" ca="1" si="142"/>
        <v>0</v>
      </c>
      <c r="BA54" s="621">
        <f t="shared" ca="1" si="142"/>
        <v>0</v>
      </c>
      <c r="BB54" s="621">
        <f t="shared" ca="1" si="142"/>
        <v>0</v>
      </c>
      <c r="BC54" s="621">
        <f t="shared" ca="1" si="142"/>
        <v>0</v>
      </c>
      <c r="BD54" s="621">
        <f t="shared" ca="1" si="142"/>
        <v>0</v>
      </c>
      <c r="BE54" s="621">
        <f t="shared" ca="1" si="142"/>
        <v>0</v>
      </c>
      <c r="BF54" s="615">
        <f ca="1">SUM(AM54:BE54)</f>
        <v>0</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43"/>
        <v>0</v>
      </c>
      <c r="BP54" s="2792">
        <f t="shared" ca="1" si="143"/>
        <v>0</v>
      </c>
      <c r="BQ54" s="2792">
        <f t="shared" ca="1" si="143"/>
        <v>0</v>
      </c>
      <c r="BR54" s="2792">
        <f t="shared" ca="1" si="143"/>
        <v>0</v>
      </c>
      <c r="BS54" s="2792">
        <f t="shared" ca="1" si="143"/>
        <v>0</v>
      </c>
      <c r="BT54" s="2792">
        <f t="shared" ca="1" si="143"/>
        <v>0</v>
      </c>
      <c r="BU54" s="2792">
        <f t="shared" ca="1" si="143"/>
        <v>0</v>
      </c>
      <c r="BV54" s="2792">
        <f t="shared" ca="1" si="143"/>
        <v>0</v>
      </c>
      <c r="BW54" s="2792">
        <f t="shared" ca="1" si="143"/>
        <v>0</v>
      </c>
      <c r="BX54" s="2792">
        <f t="shared" ca="1" si="143"/>
        <v>0</v>
      </c>
      <c r="BY54" s="2792">
        <f t="shared" ca="1" si="144"/>
        <v>0</v>
      </c>
      <c r="BZ54" s="2792">
        <f t="shared" ca="1" si="144"/>
        <v>0</v>
      </c>
      <c r="CA54" s="2792">
        <f t="shared" ca="1" si="144"/>
        <v>0</v>
      </c>
      <c r="CB54" s="2792">
        <f t="shared" ca="1" si="144"/>
        <v>0</v>
      </c>
      <c r="CC54" s="2792">
        <f t="shared" ca="1" si="144"/>
        <v>0</v>
      </c>
      <c r="CD54" s="2792">
        <f t="shared" ca="1" si="144"/>
        <v>0</v>
      </c>
      <c r="CE54" s="2792">
        <f t="shared" ca="1" si="144"/>
        <v>0</v>
      </c>
      <c r="CF54" s="2792">
        <f t="shared" ca="1" si="144"/>
        <v>0</v>
      </c>
      <c r="CG54" s="2792">
        <f t="shared" ca="1" si="144"/>
        <v>0</v>
      </c>
      <c r="CH54" s="2792">
        <f t="shared" ca="1" si="144"/>
        <v>0</v>
      </c>
      <c r="CI54" s="2792">
        <f t="shared" ca="1" si="145"/>
        <v>0</v>
      </c>
      <c r="CJ54" s="2792">
        <f t="shared" ca="1" si="145"/>
        <v>0</v>
      </c>
      <c r="CK54" s="2792">
        <f t="shared" ca="1" si="145"/>
        <v>0</v>
      </c>
      <c r="CL54" s="2792">
        <f t="shared" ca="1" si="145"/>
        <v>0</v>
      </c>
      <c r="CM54" s="2792">
        <f t="shared" ca="1" si="145"/>
        <v>0</v>
      </c>
      <c r="CN54" s="2792">
        <f t="shared" ca="1" si="145"/>
        <v>0</v>
      </c>
      <c r="CO54" s="2792">
        <f t="shared" ca="1" si="145"/>
        <v>0</v>
      </c>
      <c r="CP54" s="2792">
        <f t="shared" ca="1" si="145"/>
        <v>0</v>
      </c>
      <c r="CQ54" s="2792">
        <f t="shared" ca="1" si="145"/>
        <v>0</v>
      </c>
      <c r="CR54" s="2792">
        <f t="shared" ca="1" si="145"/>
        <v>0</v>
      </c>
      <c r="CS54" s="2792">
        <f t="shared" ca="1" si="146"/>
        <v>0</v>
      </c>
      <c r="CT54" s="2792">
        <f t="shared" ca="1" si="146"/>
        <v>0</v>
      </c>
      <c r="CU54" s="2792">
        <f t="shared" ca="1" si="146"/>
        <v>0</v>
      </c>
      <c r="CV54" s="2792">
        <f t="shared" ca="1" si="146"/>
        <v>0</v>
      </c>
      <c r="CW54" s="2792">
        <f t="shared" ca="1" si="146"/>
        <v>0</v>
      </c>
      <c r="CX54" s="2792">
        <f t="shared" ca="1" si="146"/>
        <v>0</v>
      </c>
      <c r="CY54" s="2792">
        <f t="shared" ca="1" si="146"/>
        <v>0</v>
      </c>
      <c r="CZ54" s="2792">
        <f t="shared" ca="1" si="146"/>
        <v>0</v>
      </c>
      <c r="DA54" s="2792">
        <f t="shared" ca="1" si="146"/>
        <v>0</v>
      </c>
      <c r="DB54" s="2792">
        <f t="shared" ca="1" si="146"/>
        <v>0</v>
      </c>
      <c r="DC54" s="2792">
        <f t="shared" ca="1" si="146"/>
        <v>0</v>
      </c>
      <c r="DD54" s="2792">
        <f t="shared" ca="1" si="146"/>
        <v>0</v>
      </c>
      <c r="DE54" s="2792">
        <f t="shared" ca="1" si="146"/>
        <v>0</v>
      </c>
      <c r="DF54" s="2792">
        <f t="shared" ca="1" si="146"/>
        <v>0</v>
      </c>
      <c r="DH54" s="596">
        <f t="shared" ca="1" si="120"/>
        <v>0</v>
      </c>
    </row>
    <row r="55" spans="1:112" s="6" customFormat="1" ht="15.75">
      <c r="A55" s="652"/>
      <c r="B55" s="653"/>
      <c r="C55" s="616" t="s">
        <v>518</v>
      </c>
      <c r="D55" s="617" t="s">
        <v>519</v>
      </c>
      <c r="E55" s="206"/>
      <c r="G55" s="618">
        <f ca="1">SUM(G53:G54)</f>
        <v>0</v>
      </c>
      <c r="H55" s="618">
        <f t="shared" ref="H55:P55" ca="1" si="147">SUM(H53:H54)</f>
        <v>0</v>
      </c>
      <c r="I55" s="618">
        <f t="shared" ca="1" si="147"/>
        <v>0</v>
      </c>
      <c r="J55" s="618">
        <f t="shared" ca="1" si="147"/>
        <v>0</v>
      </c>
      <c r="K55" s="618">
        <f t="shared" ca="1" si="147"/>
        <v>0</v>
      </c>
      <c r="L55" s="618">
        <f t="shared" ca="1" si="147"/>
        <v>0</v>
      </c>
      <c r="M55" s="618">
        <f t="shared" ca="1" si="147"/>
        <v>0</v>
      </c>
      <c r="N55" s="618">
        <f t="shared" ca="1" si="147"/>
        <v>0</v>
      </c>
      <c r="O55" s="618">
        <f t="shared" ca="1" si="147"/>
        <v>0</v>
      </c>
      <c r="P55" s="618">
        <f t="shared" ca="1" si="147"/>
        <v>0</v>
      </c>
      <c r="Q55" s="618">
        <f ca="1">SUM(G55:P55)</f>
        <v>0</v>
      </c>
      <c r="S55" s="581">
        <f t="shared" ref="S55:AJ55" ca="1" si="148">SUM(S53:S54)</f>
        <v>-0.22598810482362028</v>
      </c>
      <c r="T55" s="581">
        <f t="shared" ca="1" si="148"/>
        <v>0</v>
      </c>
      <c r="U55" s="581">
        <f t="shared" ca="1" si="148"/>
        <v>0</v>
      </c>
      <c r="V55" s="581">
        <f t="shared" ca="1" si="148"/>
        <v>-1.8522858135888711</v>
      </c>
      <c r="W55" s="581">
        <f t="shared" ca="1" si="148"/>
        <v>-8.2401953248703863E-2</v>
      </c>
      <c r="X55" s="581">
        <f ca="1">SUM(X53:X54)</f>
        <v>0</v>
      </c>
      <c r="Y55" s="581">
        <f ca="1">SUM(Y53:Y54)</f>
        <v>0</v>
      </c>
      <c r="Z55" s="581">
        <f ca="1">SUM(Z53:Z54)</f>
        <v>0</v>
      </c>
      <c r="AA55" s="581">
        <f t="shared" ca="1" si="148"/>
        <v>0</v>
      </c>
      <c r="AB55" s="581">
        <f t="shared" ca="1" si="148"/>
        <v>-2.6537999724419409E-2</v>
      </c>
      <c r="AC55" s="581">
        <f t="shared" ca="1" si="148"/>
        <v>0</v>
      </c>
      <c r="AD55" s="581">
        <f ca="1">SUM(AD53:AD54)</f>
        <v>0</v>
      </c>
      <c r="AE55" s="581">
        <f ca="1">SUM(AE53:AE54)</f>
        <v>0</v>
      </c>
      <c r="AF55" s="581">
        <f t="shared" ca="1" si="148"/>
        <v>0</v>
      </c>
      <c r="AG55" s="581">
        <f ca="1">SUM(AG53:AG54)</f>
        <v>0</v>
      </c>
      <c r="AH55" s="581">
        <f ca="1">SUM(AH53:AH54)</f>
        <v>0</v>
      </c>
      <c r="AI55" s="581">
        <f ca="1">SUM(AI53:AI54)</f>
        <v>0</v>
      </c>
      <c r="AJ55" s="581">
        <f t="shared" ca="1" si="148"/>
        <v>0</v>
      </c>
      <c r="AK55" s="581">
        <f ca="1">SUM(S55:AJ55)</f>
        <v>-2.1872138713856146</v>
      </c>
      <c r="AM55" s="582">
        <f t="shared" ref="AM55:BE55" ca="1" si="149">SUM(AM53:AM54)</f>
        <v>0</v>
      </c>
      <c r="AN55" s="582">
        <f t="shared" ca="1" si="149"/>
        <v>0</v>
      </c>
      <c r="AO55" s="582">
        <f t="shared" ca="1" si="149"/>
        <v>0</v>
      </c>
      <c r="AP55" s="582">
        <f t="shared" ca="1" si="149"/>
        <v>0</v>
      </c>
      <c r="AQ55" s="582">
        <f t="shared" ca="1" si="149"/>
        <v>0</v>
      </c>
      <c r="AR55" s="582">
        <f t="shared" ca="1" si="149"/>
        <v>0</v>
      </c>
      <c r="AS55" s="582">
        <f t="shared" ca="1" si="149"/>
        <v>0</v>
      </c>
      <c r="AT55" s="582">
        <f t="shared" ca="1" si="149"/>
        <v>0</v>
      </c>
      <c r="AU55" s="582">
        <f t="shared" ca="1" si="149"/>
        <v>0</v>
      </c>
      <c r="AV55" s="582">
        <f t="shared" ca="1" si="149"/>
        <v>0</v>
      </c>
      <c r="AW55" s="582">
        <f t="shared" ca="1" si="149"/>
        <v>0</v>
      </c>
      <c r="AX55" s="582">
        <f t="shared" ca="1" si="149"/>
        <v>0</v>
      </c>
      <c r="AY55" s="582">
        <f t="shared" ca="1" si="149"/>
        <v>0</v>
      </c>
      <c r="AZ55" s="582">
        <f t="shared" ca="1" si="149"/>
        <v>0</v>
      </c>
      <c r="BA55" s="582">
        <f t="shared" ca="1" si="149"/>
        <v>0</v>
      </c>
      <c r="BB55" s="582">
        <f t="shared" ca="1" si="149"/>
        <v>0</v>
      </c>
      <c r="BC55" s="582">
        <f t="shared" ca="1" si="149"/>
        <v>0</v>
      </c>
      <c r="BD55" s="582">
        <f ca="1">SUM(BD53:BD54)</f>
        <v>0</v>
      </c>
      <c r="BE55" s="582">
        <f t="shared" ca="1" si="149"/>
        <v>0</v>
      </c>
      <c r="BF55" s="582">
        <f ca="1">SUM(AM55:BE55)</f>
        <v>0</v>
      </c>
      <c r="BH55" s="3463">
        <f ca="1">SUM(BH53:BH54)</f>
        <v>0</v>
      </c>
      <c r="BI55" s="3463">
        <f ca="1">SUM(BI53:BI54)</f>
        <v>2.1872138713856146</v>
      </c>
      <c r="BJ55" s="3463">
        <f ca="1">SUM(BH55:BI55)</f>
        <v>2.1872138713856146</v>
      </c>
      <c r="BL55" s="3477">
        <f t="shared" ref="BL55:BL63" ca="1" si="150">Q55+AK55+BF55+BJ55</f>
        <v>0</v>
      </c>
      <c r="BM55" s="654"/>
      <c r="BN55" s="413"/>
      <c r="BO55" s="2789">
        <f t="shared" ref="BO55:DF55" ca="1" si="151">SUM(BO53:BO54)</f>
        <v>0.50565060724124977</v>
      </c>
      <c r="BP55" s="2790">
        <f t="shared" ca="1" si="151"/>
        <v>4.2632801018755801E-4</v>
      </c>
      <c r="BQ55" s="2790">
        <f t="shared" ca="1" si="151"/>
        <v>1.5069762622732133E-3</v>
      </c>
      <c r="BR55" s="2790">
        <f t="shared" ca="1" si="151"/>
        <v>0</v>
      </c>
      <c r="BS55" s="2790">
        <f t="shared" ca="1" si="151"/>
        <v>0</v>
      </c>
      <c r="BT55" s="2790">
        <f t="shared" ca="1" si="151"/>
        <v>0</v>
      </c>
      <c r="BU55" s="2790">
        <f t="shared" ca="1" si="151"/>
        <v>0</v>
      </c>
      <c r="BV55" s="2790">
        <f t="shared" ca="1" si="151"/>
        <v>0</v>
      </c>
      <c r="BW55" s="2790">
        <f t="shared" ca="1" si="151"/>
        <v>0</v>
      </c>
      <c r="BX55" s="2790">
        <f t="shared" ca="1" si="151"/>
        <v>0</v>
      </c>
      <c r="BY55" s="2790">
        <f t="shared" ca="1" si="151"/>
        <v>0</v>
      </c>
      <c r="BZ55" s="2790">
        <f t="shared" ca="1" si="151"/>
        <v>0</v>
      </c>
      <c r="CA55" s="2790">
        <f t="shared" ca="1" si="151"/>
        <v>0</v>
      </c>
      <c r="CB55" s="2790">
        <f t="shared" ca="1" si="151"/>
        <v>0</v>
      </c>
      <c r="CC55" s="2790">
        <f t="shared" ca="1" si="151"/>
        <v>0</v>
      </c>
      <c r="CD55" s="2790">
        <f t="shared" ca="1" si="151"/>
        <v>0</v>
      </c>
      <c r="CE55" s="2790">
        <f t="shared" ca="1" si="151"/>
        <v>0</v>
      </c>
      <c r="CF55" s="2790">
        <f t="shared" ca="1" si="151"/>
        <v>0</v>
      </c>
      <c r="CG55" s="2790">
        <f t="shared" ca="1" si="151"/>
        <v>0</v>
      </c>
      <c r="CH55" s="2790">
        <f t="shared" ca="1" si="151"/>
        <v>0</v>
      </c>
      <c r="CI55" s="2790">
        <f t="shared" ca="1" si="151"/>
        <v>0</v>
      </c>
      <c r="CJ55" s="2790">
        <f t="shared" ca="1" si="151"/>
        <v>0</v>
      </c>
      <c r="CK55" s="2790">
        <f t="shared" ca="1" si="151"/>
        <v>0</v>
      </c>
      <c r="CL55" s="2790">
        <f t="shared" ca="1" si="151"/>
        <v>0</v>
      </c>
      <c r="CM55" s="2790">
        <f t="shared" ca="1" si="151"/>
        <v>0</v>
      </c>
      <c r="CN55" s="2790">
        <f t="shared" ca="1" si="151"/>
        <v>0</v>
      </c>
      <c r="CO55" s="2790">
        <f t="shared" ca="1" si="151"/>
        <v>0</v>
      </c>
      <c r="CP55" s="2790">
        <f t="shared" ca="1" si="151"/>
        <v>0</v>
      </c>
      <c r="CQ55" s="2790">
        <f t="shared" ca="1" si="151"/>
        <v>0</v>
      </c>
      <c r="CR55" s="2790">
        <f t="shared" ca="1" si="151"/>
        <v>0</v>
      </c>
      <c r="CS55" s="2790">
        <f t="shared" ca="1" si="151"/>
        <v>0</v>
      </c>
      <c r="CT55" s="2790">
        <f t="shared" ca="1" si="151"/>
        <v>0</v>
      </c>
      <c r="CU55" s="2790">
        <f t="shared" ca="1" si="151"/>
        <v>0</v>
      </c>
      <c r="CV55" s="2790">
        <f t="shared" ca="1" si="151"/>
        <v>0</v>
      </c>
      <c r="CW55" s="2790">
        <f t="shared" ca="1" si="151"/>
        <v>0</v>
      </c>
      <c r="CX55" s="2790">
        <f t="shared" ca="1" si="151"/>
        <v>0</v>
      </c>
      <c r="CY55" s="2790">
        <f t="shared" ca="1" si="151"/>
        <v>0</v>
      </c>
      <c r="CZ55" s="2790">
        <f t="shared" ca="1" si="151"/>
        <v>0</v>
      </c>
      <c r="DA55" s="2790">
        <f t="shared" ca="1" si="151"/>
        <v>0</v>
      </c>
      <c r="DB55" s="2790">
        <f t="shared" ca="1" si="151"/>
        <v>0</v>
      </c>
      <c r="DC55" s="2790">
        <f t="shared" ca="1" si="151"/>
        <v>0</v>
      </c>
      <c r="DD55" s="2790">
        <f t="shared" ca="1" si="151"/>
        <v>0</v>
      </c>
      <c r="DE55" s="2790">
        <f t="shared" ca="1" si="151"/>
        <v>0</v>
      </c>
      <c r="DF55" s="2790">
        <f t="shared" ca="1" si="151"/>
        <v>0</v>
      </c>
      <c r="DH55" s="596">
        <f t="shared" ca="1" si="120"/>
        <v>0.50758391151371063</v>
      </c>
    </row>
    <row r="56" spans="1:112" s="6" customFormat="1" outlineLevel="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50"/>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20"/>
        <v>0</v>
      </c>
    </row>
    <row r="57" spans="1:112" s="607" customFormat="1" ht="12.75" customHeight="1" outlineLevel="1">
      <c r="C57" s="587" t="s">
        <v>520</v>
      </c>
      <c r="D57" s="588" t="s">
        <v>521</v>
      </c>
      <c r="E57" s="588"/>
      <c r="F57" s="6"/>
      <c r="G57" s="589">
        <f t="shared" ref="G57:P62" ca="1" si="152">IFERROR(INDEX(INDIRECT($C57&amp;".Outputs["&amp;this.Year&amp;"]"), MATCH(G$5, INDIRECT($C57&amp;".Outputs[Vector]"), 0)), 0)</f>
        <v>0</v>
      </c>
      <c r="H57" s="589">
        <f t="shared" ca="1" si="152"/>
        <v>0</v>
      </c>
      <c r="I57" s="589">
        <f t="shared" ca="1" si="152"/>
        <v>0</v>
      </c>
      <c r="J57" s="589">
        <f t="shared" ca="1" si="152"/>
        <v>0</v>
      </c>
      <c r="K57" s="589">
        <f t="shared" ca="1" si="152"/>
        <v>0</v>
      </c>
      <c r="L57" s="589">
        <f t="shared" ca="1" si="152"/>
        <v>0</v>
      </c>
      <c r="M57" s="589">
        <f t="shared" ca="1" si="152"/>
        <v>0</v>
      </c>
      <c r="N57" s="589">
        <f t="shared" ca="1" si="152"/>
        <v>0</v>
      </c>
      <c r="O57" s="589">
        <f t="shared" ca="1" si="152"/>
        <v>0</v>
      </c>
      <c r="P57" s="589">
        <f t="shared" ca="1" si="152"/>
        <v>0</v>
      </c>
      <c r="Q57" s="590">
        <f t="shared" ref="Q57:Q63" ca="1" si="153">SUM(G57:P57)</f>
        <v>0</v>
      </c>
      <c r="R57" s="6"/>
      <c r="S57" s="591">
        <f t="shared" ref="S57:AJ62" ca="1" si="154">IFERROR(INDEX(INDIRECT($C57&amp;".Outputs["&amp;this.Year&amp;"]"), MATCH(S$5, INDIRECT($C57&amp;".Outputs[Vector]"), 0)), 0)</f>
        <v>0</v>
      </c>
      <c r="T57" s="591">
        <f t="shared" ca="1" si="154"/>
        <v>19.756810799999997</v>
      </c>
      <c r="U57" s="591">
        <f t="shared" ca="1" si="154"/>
        <v>0</v>
      </c>
      <c r="V57" s="591">
        <f t="shared" ca="1" si="154"/>
        <v>0</v>
      </c>
      <c r="W57" s="591">
        <f t="shared" ca="1" si="154"/>
        <v>0</v>
      </c>
      <c r="X57" s="591">
        <f t="shared" ref="X57:Z62" ca="1" si="155">IFERROR(INDEX(INDIRECT($C57&amp;".Outputs["&amp;this.Year&amp;"]"), MATCH(X$5, INDIRECT($C57&amp;".Outputs[Vector]"), 0)), 0)</f>
        <v>0</v>
      </c>
      <c r="Y57" s="591">
        <f t="shared" ca="1" si="155"/>
        <v>0</v>
      </c>
      <c r="Z57" s="591">
        <f t="shared" ca="1" si="155"/>
        <v>0</v>
      </c>
      <c r="AA57" s="591">
        <f t="shared" ca="1" si="154"/>
        <v>0</v>
      </c>
      <c r="AB57" s="591">
        <f t="shared" ca="1" si="154"/>
        <v>0</v>
      </c>
      <c r="AC57" s="591">
        <f t="shared" ca="1" si="154"/>
        <v>0</v>
      </c>
      <c r="AD57" s="591">
        <f t="shared" ca="1" si="154"/>
        <v>0</v>
      </c>
      <c r="AE57" s="591">
        <f t="shared" ca="1" si="154"/>
        <v>0</v>
      </c>
      <c r="AF57" s="591">
        <f t="shared" ca="1" si="154"/>
        <v>0</v>
      </c>
      <c r="AG57" s="591">
        <f t="shared" ca="1" si="154"/>
        <v>0</v>
      </c>
      <c r="AH57" s="591">
        <f t="shared" ca="1" si="154"/>
        <v>0</v>
      </c>
      <c r="AI57" s="591">
        <f t="shared" ca="1" si="154"/>
        <v>0</v>
      </c>
      <c r="AJ57" s="591">
        <f t="shared" ca="1" si="154"/>
        <v>0</v>
      </c>
      <c r="AK57" s="592">
        <f t="shared" ref="AK57:AK63" ca="1" si="156">SUM(S57:AJ57)</f>
        <v>19.756810799999997</v>
      </c>
      <c r="AL57" s="6"/>
      <c r="AM57" s="593">
        <f t="shared" ref="AM57:AU62" ca="1" si="157">IFERROR(INDEX(INDIRECT($C57&amp;".Outputs["&amp;this.Year&amp;"]"), MATCH(AM$5, INDIRECT($C57&amp;".Outputs[Vector]"), 0)), 0)</f>
        <v>0</v>
      </c>
      <c r="AN57" s="593">
        <f t="shared" ca="1" si="157"/>
        <v>0</v>
      </c>
      <c r="AO57" s="593">
        <f t="shared" ca="1" si="157"/>
        <v>0</v>
      </c>
      <c r="AP57" s="593">
        <f t="shared" ca="1" si="157"/>
        <v>0</v>
      </c>
      <c r="AQ57" s="593">
        <f t="shared" ca="1" si="157"/>
        <v>0</v>
      </c>
      <c r="AR57" s="593">
        <f t="shared" ca="1" si="157"/>
        <v>0</v>
      </c>
      <c r="AS57" s="593">
        <f t="shared" ca="1" si="157"/>
        <v>0</v>
      </c>
      <c r="AT57" s="593">
        <f t="shared" ca="1" si="157"/>
        <v>0</v>
      </c>
      <c r="AU57" s="593">
        <f t="shared" ca="1" si="157"/>
        <v>0</v>
      </c>
      <c r="AV57" s="593">
        <f t="shared" ref="AV57:BE62" ca="1" si="158">IFERROR(INDEX(INDIRECT($C57&amp;".Outputs["&amp;this.Year&amp;"]"), MATCH(AV$5, INDIRECT($C57&amp;".Outputs[Vector]"), 0)), 0)</f>
        <v>0</v>
      </c>
      <c r="AW57" s="593">
        <f t="shared" ca="1" si="158"/>
        <v>0</v>
      </c>
      <c r="AX57" s="593">
        <f t="shared" ca="1" si="158"/>
        <v>-19.756810799999997</v>
      </c>
      <c r="AY57" s="593">
        <f t="shared" ca="1" si="158"/>
        <v>0</v>
      </c>
      <c r="AZ57" s="593">
        <f t="shared" ca="1" si="158"/>
        <v>0</v>
      </c>
      <c r="BA57" s="593">
        <f t="shared" ca="1" si="158"/>
        <v>0</v>
      </c>
      <c r="BB57" s="593">
        <f t="shared" ca="1" si="158"/>
        <v>0</v>
      </c>
      <c r="BC57" s="593">
        <f t="shared" ca="1" si="158"/>
        <v>0</v>
      </c>
      <c r="BD57" s="593">
        <f t="shared" ca="1" si="158"/>
        <v>0</v>
      </c>
      <c r="BE57" s="593">
        <f t="shared" ca="1" si="158"/>
        <v>0</v>
      </c>
      <c r="BF57" s="609">
        <f t="shared" ref="BF57:BF63" ca="1" si="159">SUM(AM57:BE57)</f>
        <v>-19.756810799999997</v>
      </c>
      <c r="BG57" s="6"/>
      <c r="BH57" s="3471">
        <f t="shared" ref="BH57:BI62" ca="1" si="160">IFERROR(INDEX(INDIRECT($C57&amp;".Outputs["&amp;this.Year&amp;"]"), MATCH(BH$5, INDIRECT($C57&amp;".Outputs[Vector]"), 0)), 0)</f>
        <v>0</v>
      </c>
      <c r="BI57" s="3471">
        <f t="shared" ca="1" si="160"/>
        <v>0</v>
      </c>
      <c r="BJ57" s="3460">
        <f t="shared" ref="BJ57:BJ63" ca="1" si="161">SUM(BH57:BI57)</f>
        <v>0</v>
      </c>
      <c r="BK57" s="6"/>
      <c r="BL57" s="610">
        <f t="shared" ca="1" si="150"/>
        <v>0</v>
      </c>
      <c r="BM57" s="610"/>
      <c r="BN57" s="413"/>
      <c r="BO57" s="2789">
        <f t="shared" ref="BO57:BX62" ca="1" si="162">IFERROR(SUMIFS(INDIRECT($C57&amp;".Emissions["&amp;this.Year&amp;"]"), INDIRECT($C57&amp;".Emissions[GHG]"), BO$6, INDIRECT($C57&amp;".Emissions[IPCC Sector]"), BO$5),0)</f>
        <v>0</v>
      </c>
      <c r="BP57" s="2790">
        <f t="shared" ca="1" si="162"/>
        <v>0</v>
      </c>
      <c r="BQ57" s="2790">
        <f t="shared" ca="1" si="162"/>
        <v>0</v>
      </c>
      <c r="BR57" s="2790">
        <f t="shared" ca="1" si="162"/>
        <v>0</v>
      </c>
      <c r="BS57" s="2790">
        <f t="shared" ca="1" si="162"/>
        <v>0</v>
      </c>
      <c r="BT57" s="2790">
        <f t="shared" ca="1" si="162"/>
        <v>0</v>
      </c>
      <c r="BU57" s="2790">
        <f t="shared" ca="1" si="162"/>
        <v>0</v>
      </c>
      <c r="BV57" s="2790">
        <f t="shared" ca="1" si="162"/>
        <v>0</v>
      </c>
      <c r="BW57" s="2790">
        <f t="shared" ca="1" si="162"/>
        <v>0</v>
      </c>
      <c r="BX57" s="2790">
        <f t="shared" ca="1" si="162"/>
        <v>0</v>
      </c>
      <c r="BY57" s="2790">
        <f t="shared" ref="BY57:CH62" ca="1" si="163">IFERROR(SUMIFS(INDIRECT($C57&amp;".Emissions["&amp;this.Year&amp;"]"), INDIRECT($C57&amp;".Emissions[GHG]"), BY$6, INDIRECT($C57&amp;".Emissions[IPCC Sector]"), BY$5),0)</f>
        <v>0</v>
      </c>
      <c r="BZ57" s="2790">
        <f t="shared" ca="1" si="163"/>
        <v>0</v>
      </c>
      <c r="CA57" s="2790">
        <f t="shared" ca="1" si="163"/>
        <v>0</v>
      </c>
      <c r="CB57" s="2790">
        <f t="shared" ca="1" si="163"/>
        <v>0</v>
      </c>
      <c r="CC57" s="2790">
        <f t="shared" ca="1" si="163"/>
        <v>0</v>
      </c>
      <c r="CD57" s="2790">
        <f t="shared" ca="1" si="163"/>
        <v>0</v>
      </c>
      <c r="CE57" s="2790">
        <f t="shared" ca="1" si="163"/>
        <v>0</v>
      </c>
      <c r="CF57" s="2790">
        <f t="shared" ca="1" si="163"/>
        <v>0</v>
      </c>
      <c r="CG57" s="2790">
        <f t="shared" ca="1" si="163"/>
        <v>0</v>
      </c>
      <c r="CH57" s="2790">
        <f t="shared" ca="1" si="163"/>
        <v>0</v>
      </c>
      <c r="CI57" s="2790">
        <f t="shared" ref="CI57:CR62" ca="1" si="164">IFERROR(SUMIFS(INDIRECT($C57&amp;".Emissions["&amp;this.Year&amp;"]"), INDIRECT($C57&amp;".Emissions[GHG]"), CI$6, INDIRECT($C57&amp;".Emissions[IPCC Sector]"), CI$5),0)</f>
        <v>0</v>
      </c>
      <c r="CJ57" s="2790">
        <f t="shared" ca="1" si="164"/>
        <v>0</v>
      </c>
      <c r="CK57" s="2790">
        <f t="shared" ca="1" si="164"/>
        <v>0</v>
      </c>
      <c r="CL57" s="2790">
        <f t="shared" ca="1" si="164"/>
        <v>0</v>
      </c>
      <c r="CM57" s="2790">
        <f t="shared" ca="1" si="164"/>
        <v>0</v>
      </c>
      <c r="CN57" s="2790">
        <f t="shared" ca="1" si="164"/>
        <v>0</v>
      </c>
      <c r="CO57" s="2790">
        <f t="shared" ca="1" si="164"/>
        <v>0</v>
      </c>
      <c r="CP57" s="2790">
        <f t="shared" ca="1" si="164"/>
        <v>0</v>
      </c>
      <c r="CQ57" s="2790">
        <f t="shared" ca="1" si="164"/>
        <v>0</v>
      </c>
      <c r="CR57" s="2790">
        <f t="shared" ca="1" si="164"/>
        <v>0</v>
      </c>
      <c r="CS57" s="2790">
        <f t="shared" ref="CS57:DF62" ca="1" si="165">IFERROR(SUMIFS(INDIRECT($C57&amp;".Emissions["&amp;this.Year&amp;"]"), INDIRECT($C57&amp;".Emissions[GHG]"), CS$6, INDIRECT($C57&amp;".Emissions[IPCC Sector]"), CS$5),0)</f>
        <v>0</v>
      </c>
      <c r="CT57" s="2790">
        <f t="shared" ca="1" si="165"/>
        <v>0</v>
      </c>
      <c r="CU57" s="2790">
        <f t="shared" ca="1" si="165"/>
        <v>0</v>
      </c>
      <c r="CV57" s="2790">
        <f t="shared" ca="1" si="165"/>
        <v>0</v>
      </c>
      <c r="CW57" s="2790">
        <f t="shared" ca="1" si="165"/>
        <v>0</v>
      </c>
      <c r="CX57" s="2790">
        <f t="shared" ca="1" si="165"/>
        <v>0</v>
      </c>
      <c r="CY57" s="2790">
        <f t="shared" ca="1" si="165"/>
        <v>0</v>
      </c>
      <c r="CZ57" s="2790">
        <f t="shared" ca="1" si="165"/>
        <v>0</v>
      </c>
      <c r="DA57" s="2790">
        <f t="shared" ca="1" si="165"/>
        <v>0</v>
      </c>
      <c r="DB57" s="2790">
        <f t="shared" ca="1" si="165"/>
        <v>0</v>
      </c>
      <c r="DC57" s="2790">
        <f t="shared" ca="1" si="165"/>
        <v>0</v>
      </c>
      <c r="DD57" s="2790">
        <f t="shared" ca="1" si="165"/>
        <v>0</v>
      </c>
      <c r="DE57" s="2790">
        <f t="shared" ca="1" si="165"/>
        <v>0</v>
      </c>
      <c r="DF57" s="2790">
        <f t="shared" ca="1" si="165"/>
        <v>0</v>
      </c>
      <c r="DH57" s="596">
        <f t="shared" ca="1" si="120"/>
        <v>0</v>
      </c>
    </row>
    <row r="58" spans="1:112" s="607" customFormat="1" ht="12.75" customHeight="1" outlineLevel="1">
      <c r="C58" s="587" t="s">
        <v>522</v>
      </c>
      <c r="D58" s="588" t="s">
        <v>523</v>
      </c>
      <c r="E58" s="588"/>
      <c r="F58" s="6"/>
      <c r="G58" s="589">
        <f t="shared" ca="1" si="152"/>
        <v>0</v>
      </c>
      <c r="H58" s="589">
        <f t="shared" ca="1" si="152"/>
        <v>0</v>
      </c>
      <c r="I58" s="589">
        <f t="shared" ca="1" si="152"/>
        <v>0</v>
      </c>
      <c r="J58" s="589">
        <f t="shared" ca="1" si="152"/>
        <v>0</v>
      </c>
      <c r="K58" s="589">
        <f t="shared" ca="1" si="152"/>
        <v>0</v>
      </c>
      <c r="L58" s="589">
        <f t="shared" ca="1" si="152"/>
        <v>0</v>
      </c>
      <c r="M58" s="589">
        <f t="shared" ca="1" si="152"/>
        <v>0</v>
      </c>
      <c r="N58" s="589">
        <f t="shared" ca="1" si="152"/>
        <v>0</v>
      </c>
      <c r="O58" s="589">
        <f t="shared" ca="1" si="152"/>
        <v>0</v>
      </c>
      <c r="P58" s="589">
        <f t="shared" ca="1" si="152"/>
        <v>0</v>
      </c>
      <c r="Q58" s="590">
        <f ca="1">SUM(G58:P58)</f>
        <v>0</v>
      </c>
      <c r="R58" s="6"/>
      <c r="S58" s="591">
        <f t="shared" ca="1" si="154"/>
        <v>0</v>
      </c>
      <c r="T58" s="591">
        <f t="shared" ca="1" si="154"/>
        <v>1.9789245</v>
      </c>
      <c r="U58" s="591">
        <f t="shared" ca="1" si="154"/>
        <v>0</v>
      </c>
      <c r="V58" s="591">
        <f t="shared" ca="1" si="154"/>
        <v>0</v>
      </c>
      <c r="W58" s="591">
        <f t="shared" ca="1" si="154"/>
        <v>0</v>
      </c>
      <c r="X58" s="591">
        <f t="shared" ca="1" si="155"/>
        <v>0</v>
      </c>
      <c r="Y58" s="591">
        <f t="shared" ca="1" si="155"/>
        <v>0</v>
      </c>
      <c r="Z58" s="591">
        <f t="shared" ca="1" si="155"/>
        <v>0</v>
      </c>
      <c r="AA58" s="591">
        <f t="shared" ca="1" si="154"/>
        <v>0</v>
      </c>
      <c r="AB58" s="591">
        <f t="shared" ca="1" si="154"/>
        <v>0</v>
      </c>
      <c r="AC58" s="591">
        <f t="shared" ca="1" si="154"/>
        <v>0</v>
      </c>
      <c r="AD58" s="591">
        <f t="shared" ca="1" si="154"/>
        <v>0</v>
      </c>
      <c r="AE58" s="591">
        <f t="shared" ca="1" si="154"/>
        <v>0</v>
      </c>
      <c r="AF58" s="591">
        <f t="shared" ca="1" si="154"/>
        <v>0</v>
      </c>
      <c r="AG58" s="591">
        <f t="shared" ca="1" si="154"/>
        <v>0</v>
      </c>
      <c r="AH58" s="591">
        <f t="shared" ca="1" si="154"/>
        <v>0</v>
      </c>
      <c r="AI58" s="591">
        <f t="shared" ca="1" si="154"/>
        <v>0</v>
      </c>
      <c r="AJ58" s="591">
        <f t="shared" ca="1" si="154"/>
        <v>0</v>
      </c>
      <c r="AK58" s="592">
        <f ca="1">SUM(S58:AJ58)</f>
        <v>1.9789245</v>
      </c>
      <c r="AL58" s="6"/>
      <c r="AM58" s="593">
        <f t="shared" ca="1" si="157"/>
        <v>0</v>
      </c>
      <c r="AN58" s="593">
        <f t="shared" ca="1" si="157"/>
        <v>0</v>
      </c>
      <c r="AO58" s="593">
        <f t="shared" ca="1" si="157"/>
        <v>0</v>
      </c>
      <c r="AP58" s="593">
        <f t="shared" ca="1" si="157"/>
        <v>0</v>
      </c>
      <c r="AQ58" s="593">
        <f t="shared" ca="1" si="157"/>
        <v>0</v>
      </c>
      <c r="AR58" s="593">
        <f t="shared" ca="1" si="157"/>
        <v>0</v>
      </c>
      <c r="AS58" s="593">
        <f t="shared" ca="1" si="157"/>
        <v>0</v>
      </c>
      <c r="AT58" s="593">
        <f t="shared" ca="1" si="157"/>
        <v>0</v>
      </c>
      <c r="AU58" s="593">
        <f t="shared" ca="1" si="157"/>
        <v>0</v>
      </c>
      <c r="AV58" s="593">
        <f t="shared" ca="1" si="158"/>
        <v>0</v>
      </c>
      <c r="AW58" s="593">
        <f t="shared" ca="1" si="158"/>
        <v>0</v>
      </c>
      <c r="AX58" s="593">
        <f t="shared" ca="1" si="158"/>
        <v>-1.9789245</v>
      </c>
      <c r="AY58" s="593">
        <f t="shared" ca="1" si="158"/>
        <v>0</v>
      </c>
      <c r="AZ58" s="593">
        <f t="shared" ca="1" si="158"/>
        <v>0</v>
      </c>
      <c r="BA58" s="593">
        <f t="shared" ca="1" si="158"/>
        <v>0</v>
      </c>
      <c r="BB58" s="593">
        <f t="shared" ca="1" si="158"/>
        <v>0</v>
      </c>
      <c r="BC58" s="593">
        <f t="shared" ca="1" si="158"/>
        <v>0</v>
      </c>
      <c r="BD58" s="593">
        <f t="shared" ca="1" si="158"/>
        <v>0</v>
      </c>
      <c r="BE58" s="593">
        <f t="shared" ca="1" si="158"/>
        <v>0</v>
      </c>
      <c r="BF58" s="609">
        <f ca="1">SUM(AM58:BE58)</f>
        <v>-1.9789245</v>
      </c>
      <c r="BG58" s="6"/>
      <c r="BH58" s="3471">
        <f t="shared" ca="1" si="160"/>
        <v>0</v>
      </c>
      <c r="BI58" s="3471">
        <f t="shared" ca="1" si="160"/>
        <v>0</v>
      </c>
      <c r="BJ58" s="3460">
        <f ca="1">SUM(BH58:BI58)</f>
        <v>0</v>
      </c>
      <c r="BK58" s="6"/>
      <c r="BL58" s="610">
        <f t="shared" ca="1" si="150"/>
        <v>0</v>
      </c>
      <c r="BM58" s="610"/>
      <c r="BN58" s="413"/>
      <c r="BO58" s="2789">
        <f t="shared" ca="1" si="162"/>
        <v>0</v>
      </c>
      <c r="BP58" s="2790">
        <f t="shared" ca="1" si="162"/>
        <v>0</v>
      </c>
      <c r="BQ58" s="2790">
        <f t="shared" ca="1" si="162"/>
        <v>0</v>
      </c>
      <c r="BR58" s="2790">
        <f t="shared" ca="1" si="162"/>
        <v>0</v>
      </c>
      <c r="BS58" s="2790">
        <f t="shared" ca="1" si="162"/>
        <v>0</v>
      </c>
      <c r="BT58" s="2790">
        <f t="shared" ca="1" si="162"/>
        <v>0</v>
      </c>
      <c r="BU58" s="2790">
        <f t="shared" ca="1" si="162"/>
        <v>0</v>
      </c>
      <c r="BV58" s="2790">
        <f t="shared" ca="1" si="162"/>
        <v>0</v>
      </c>
      <c r="BW58" s="2790">
        <f t="shared" ca="1" si="162"/>
        <v>0</v>
      </c>
      <c r="BX58" s="2790">
        <f t="shared" ca="1" si="162"/>
        <v>0</v>
      </c>
      <c r="BY58" s="2790">
        <f t="shared" ca="1" si="163"/>
        <v>0</v>
      </c>
      <c r="BZ58" s="2790">
        <f t="shared" ca="1" si="163"/>
        <v>0</v>
      </c>
      <c r="CA58" s="2790">
        <f t="shared" ca="1" si="163"/>
        <v>0</v>
      </c>
      <c r="CB58" s="2790">
        <f t="shared" ca="1" si="163"/>
        <v>0</v>
      </c>
      <c r="CC58" s="2790">
        <f t="shared" ca="1" si="163"/>
        <v>0</v>
      </c>
      <c r="CD58" s="2790">
        <f t="shared" ca="1" si="163"/>
        <v>0</v>
      </c>
      <c r="CE58" s="2790">
        <f t="shared" ca="1" si="163"/>
        <v>0</v>
      </c>
      <c r="CF58" s="2790">
        <f t="shared" ca="1" si="163"/>
        <v>0</v>
      </c>
      <c r="CG58" s="2790">
        <f t="shared" ca="1" si="163"/>
        <v>0</v>
      </c>
      <c r="CH58" s="2790">
        <f t="shared" ca="1" si="163"/>
        <v>0</v>
      </c>
      <c r="CI58" s="2790">
        <f t="shared" ca="1" si="164"/>
        <v>0</v>
      </c>
      <c r="CJ58" s="2790">
        <f t="shared" ca="1" si="164"/>
        <v>0</v>
      </c>
      <c r="CK58" s="2790">
        <f t="shared" ca="1" si="164"/>
        <v>0</v>
      </c>
      <c r="CL58" s="2790">
        <f t="shared" ca="1" si="164"/>
        <v>0</v>
      </c>
      <c r="CM58" s="2790">
        <f t="shared" ca="1" si="164"/>
        <v>0</v>
      </c>
      <c r="CN58" s="2790">
        <f t="shared" ca="1" si="164"/>
        <v>0</v>
      </c>
      <c r="CO58" s="2790">
        <f t="shared" ca="1" si="164"/>
        <v>0</v>
      </c>
      <c r="CP58" s="2790">
        <f t="shared" ca="1" si="164"/>
        <v>0</v>
      </c>
      <c r="CQ58" s="2790">
        <f t="shared" ca="1" si="164"/>
        <v>0</v>
      </c>
      <c r="CR58" s="2790">
        <f t="shared" ca="1" si="164"/>
        <v>0</v>
      </c>
      <c r="CS58" s="2790">
        <f t="shared" ca="1" si="165"/>
        <v>0</v>
      </c>
      <c r="CT58" s="2790">
        <f t="shared" ca="1" si="165"/>
        <v>0</v>
      </c>
      <c r="CU58" s="2790">
        <f t="shared" ca="1" si="165"/>
        <v>0</v>
      </c>
      <c r="CV58" s="2790">
        <f t="shared" ca="1" si="165"/>
        <v>0</v>
      </c>
      <c r="CW58" s="2790">
        <f t="shared" ca="1" si="165"/>
        <v>0</v>
      </c>
      <c r="CX58" s="2790">
        <f t="shared" ca="1" si="165"/>
        <v>0</v>
      </c>
      <c r="CY58" s="2790">
        <f t="shared" ca="1" si="165"/>
        <v>0</v>
      </c>
      <c r="CZ58" s="2790">
        <f t="shared" ca="1" si="165"/>
        <v>0</v>
      </c>
      <c r="DA58" s="2790">
        <f t="shared" ca="1" si="165"/>
        <v>0</v>
      </c>
      <c r="DB58" s="2790">
        <f t="shared" ca="1" si="165"/>
        <v>0</v>
      </c>
      <c r="DC58" s="2790">
        <f t="shared" ca="1" si="165"/>
        <v>0</v>
      </c>
      <c r="DD58" s="2790">
        <f t="shared" ca="1" si="165"/>
        <v>0</v>
      </c>
      <c r="DE58" s="2790">
        <f t="shared" ca="1" si="165"/>
        <v>0</v>
      </c>
      <c r="DF58" s="2790">
        <f t="shared" ca="1" si="165"/>
        <v>0</v>
      </c>
      <c r="DH58" s="596">
        <f ca="1">SUM(BO58:DF58)</f>
        <v>0</v>
      </c>
    </row>
    <row r="59" spans="1:112" s="607" customFormat="1" ht="12.75" customHeight="1" outlineLevel="1">
      <c r="C59" s="587" t="s">
        <v>524</v>
      </c>
      <c r="D59" s="588" t="s">
        <v>525</v>
      </c>
      <c r="E59" s="588"/>
      <c r="F59" s="6"/>
      <c r="G59" s="589">
        <f t="shared" ca="1" si="152"/>
        <v>0</v>
      </c>
      <c r="H59" s="589">
        <f t="shared" ca="1" si="152"/>
        <v>0</v>
      </c>
      <c r="I59" s="589">
        <f t="shared" ca="1" si="152"/>
        <v>0</v>
      </c>
      <c r="J59" s="589">
        <f t="shared" ca="1" si="152"/>
        <v>0</v>
      </c>
      <c r="K59" s="589">
        <f t="shared" ca="1" si="152"/>
        <v>0</v>
      </c>
      <c r="L59" s="589">
        <f t="shared" ca="1" si="152"/>
        <v>0</v>
      </c>
      <c r="M59" s="589">
        <f t="shared" ca="1" si="152"/>
        <v>0</v>
      </c>
      <c r="N59" s="589">
        <f t="shared" ca="1" si="152"/>
        <v>0</v>
      </c>
      <c r="O59" s="589">
        <f t="shared" ca="1" si="152"/>
        <v>0</v>
      </c>
      <c r="P59" s="589">
        <f t="shared" ca="1" si="152"/>
        <v>0</v>
      </c>
      <c r="Q59" s="590">
        <f t="shared" ca="1" si="153"/>
        <v>0</v>
      </c>
      <c r="R59" s="6"/>
      <c r="S59" s="591">
        <f t="shared" ca="1" si="154"/>
        <v>0</v>
      </c>
      <c r="T59" s="591">
        <f t="shared" ca="1" si="154"/>
        <v>0.78946596000000002</v>
      </c>
      <c r="U59" s="591">
        <f t="shared" ca="1" si="154"/>
        <v>0</v>
      </c>
      <c r="V59" s="591">
        <f t="shared" ca="1" si="154"/>
        <v>0</v>
      </c>
      <c r="W59" s="591">
        <f t="shared" ca="1" si="154"/>
        <v>0</v>
      </c>
      <c r="X59" s="591">
        <f t="shared" ca="1" si="155"/>
        <v>0</v>
      </c>
      <c r="Y59" s="591">
        <f t="shared" ca="1" si="155"/>
        <v>0</v>
      </c>
      <c r="Z59" s="591">
        <f t="shared" ca="1" si="155"/>
        <v>0</v>
      </c>
      <c r="AA59" s="591">
        <f t="shared" ca="1" si="154"/>
        <v>0</v>
      </c>
      <c r="AB59" s="591">
        <f t="shared" ca="1" si="154"/>
        <v>0</v>
      </c>
      <c r="AC59" s="591">
        <f t="shared" ca="1" si="154"/>
        <v>0</v>
      </c>
      <c r="AD59" s="591">
        <f t="shared" ca="1" si="154"/>
        <v>0</v>
      </c>
      <c r="AE59" s="591">
        <f t="shared" ca="1" si="154"/>
        <v>0</v>
      </c>
      <c r="AF59" s="591">
        <f t="shared" ca="1" si="154"/>
        <v>0</v>
      </c>
      <c r="AG59" s="591">
        <f t="shared" ca="1" si="154"/>
        <v>0</v>
      </c>
      <c r="AH59" s="591">
        <f t="shared" ca="1" si="154"/>
        <v>0</v>
      </c>
      <c r="AI59" s="591">
        <f t="shared" ca="1" si="154"/>
        <v>0</v>
      </c>
      <c r="AJ59" s="591">
        <f t="shared" ca="1" si="154"/>
        <v>0</v>
      </c>
      <c r="AK59" s="592">
        <f t="shared" ca="1" si="156"/>
        <v>0.78946596000000002</v>
      </c>
      <c r="AL59" s="6"/>
      <c r="AM59" s="593">
        <f t="shared" ca="1" si="157"/>
        <v>0</v>
      </c>
      <c r="AN59" s="593">
        <f t="shared" ca="1" si="157"/>
        <v>0</v>
      </c>
      <c r="AO59" s="593">
        <f t="shared" ca="1" si="157"/>
        <v>0</v>
      </c>
      <c r="AP59" s="593">
        <f t="shared" ca="1" si="157"/>
        <v>0</v>
      </c>
      <c r="AQ59" s="593">
        <f t="shared" ca="1" si="157"/>
        <v>0</v>
      </c>
      <c r="AR59" s="593">
        <f t="shared" ca="1" si="157"/>
        <v>0</v>
      </c>
      <c r="AS59" s="593">
        <f t="shared" ca="1" si="157"/>
        <v>0</v>
      </c>
      <c r="AT59" s="593">
        <f t="shared" ca="1" si="157"/>
        <v>0</v>
      </c>
      <c r="AU59" s="593">
        <f t="shared" ca="1" si="157"/>
        <v>0</v>
      </c>
      <c r="AV59" s="593">
        <f t="shared" ca="1" si="158"/>
        <v>0</v>
      </c>
      <c r="AW59" s="593">
        <f t="shared" ca="1" si="158"/>
        <v>0</v>
      </c>
      <c r="AX59" s="593">
        <f t="shared" ca="1" si="158"/>
        <v>0</v>
      </c>
      <c r="AY59" s="593">
        <f t="shared" ca="1" si="158"/>
        <v>0</v>
      </c>
      <c r="AZ59" s="593">
        <f t="shared" ca="1" si="158"/>
        <v>0</v>
      </c>
      <c r="BA59" s="593">
        <f t="shared" ca="1" si="158"/>
        <v>0</v>
      </c>
      <c r="BB59" s="593">
        <f t="shared" ca="1" si="158"/>
        <v>-0.78946596000000002</v>
      </c>
      <c r="BC59" s="593">
        <f t="shared" ca="1" si="158"/>
        <v>0</v>
      </c>
      <c r="BD59" s="593">
        <f t="shared" ca="1" si="158"/>
        <v>0</v>
      </c>
      <c r="BE59" s="593">
        <f t="shared" ca="1" si="158"/>
        <v>0</v>
      </c>
      <c r="BF59" s="609">
        <f t="shared" ca="1" si="159"/>
        <v>-0.78946596000000002</v>
      </c>
      <c r="BG59" s="6"/>
      <c r="BH59" s="3471">
        <f t="shared" ca="1" si="160"/>
        <v>0</v>
      </c>
      <c r="BI59" s="3471">
        <f t="shared" ca="1" si="160"/>
        <v>0</v>
      </c>
      <c r="BJ59" s="3460">
        <f t="shared" ca="1" si="161"/>
        <v>0</v>
      </c>
      <c r="BK59" s="6"/>
      <c r="BL59" s="610">
        <f t="shared" ca="1" si="150"/>
        <v>0</v>
      </c>
      <c r="BM59" s="610"/>
      <c r="BN59" s="413"/>
      <c r="BO59" s="2789">
        <f t="shared" ca="1" si="162"/>
        <v>0</v>
      </c>
      <c r="BP59" s="2790">
        <f t="shared" ca="1" si="162"/>
        <v>0</v>
      </c>
      <c r="BQ59" s="2790">
        <f t="shared" ca="1" si="162"/>
        <v>0</v>
      </c>
      <c r="BR59" s="2790">
        <f t="shared" ca="1" si="162"/>
        <v>0</v>
      </c>
      <c r="BS59" s="2790">
        <f t="shared" ca="1" si="162"/>
        <v>0</v>
      </c>
      <c r="BT59" s="2790">
        <f t="shared" ca="1" si="162"/>
        <v>0</v>
      </c>
      <c r="BU59" s="2790">
        <f t="shared" ca="1" si="162"/>
        <v>0</v>
      </c>
      <c r="BV59" s="2790">
        <f t="shared" ca="1" si="162"/>
        <v>0</v>
      </c>
      <c r="BW59" s="2790">
        <f t="shared" ca="1" si="162"/>
        <v>0</v>
      </c>
      <c r="BX59" s="2790">
        <f t="shared" ca="1" si="162"/>
        <v>0</v>
      </c>
      <c r="BY59" s="2790">
        <f t="shared" ca="1" si="163"/>
        <v>0</v>
      </c>
      <c r="BZ59" s="2790">
        <f t="shared" ca="1" si="163"/>
        <v>0</v>
      </c>
      <c r="CA59" s="2790">
        <f t="shared" ca="1" si="163"/>
        <v>0</v>
      </c>
      <c r="CB59" s="2790">
        <f t="shared" ca="1" si="163"/>
        <v>0</v>
      </c>
      <c r="CC59" s="2790">
        <f t="shared" ca="1" si="163"/>
        <v>0</v>
      </c>
      <c r="CD59" s="2790">
        <f t="shared" ca="1" si="163"/>
        <v>0</v>
      </c>
      <c r="CE59" s="2790">
        <f t="shared" ca="1" si="163"/>
        <v>0</v>
      </c>
      <c r="CF59" s="2790">
        <f t="shared" ca="1" si="163"/>
        <v>0</v>
      </c>
      <c r="CG59" s="2790">
        <f t="shared" ca="1" si="163"/>
        <v>0</v>
      </c>
      <c r="CH59" s="2790">
        <f t="shared" ca="1" si="163"/>
        <v>0</v>
      </c>
      <c r="CI59" s="2790">
        <f t="shared" ca="1" si="164"/>
        <v>0</v>
      </c>
      <c r="CJ59" s="2790">
        <f t="shared" ca="1" si="164"/>
        <v>0</v>
      </c>
      <c r="CK59" s="2790">
        <f t="shared" ca="1" si="164"/>
        <v>0</v>
      </c>
      <c r="CL59" s="2790">
        <f t="shared" ca="1" si="164"/>
        <v>0</v>
      </c>
      <c r="CM59" s="2790">
        <f t="shared" ca="1" si="164"/>
        <v>0</v>
      </c>
      <c r="CN59" s="2790">
        <f t="shared" ca="1" si="164"/>
        <v>0</v>
      </c>
      <c r="CO59" s="2790">
        <f t="shared" ca="1" si="164"/>
        <v>0</v>
      </c>
      <c r="CP59" s="2790">
        <f t="shared" ca="1" si="164"/>
        <v>0</v>
      </c>
      <c r="CQ59" s="2790">
        <f t="shared" ca="1" si="164"/>
        <v>0</v>
      </c>
      <c r="CR59" s="2790">
        <f t="shared" ca="1" si="164"/>
        <v>0</v>
      </c>
      <c r="CS59" s="2790">
        <f t="shared" ca="1" si="165"/>
        <v>0</v>
      </c>
      <c r="CT59" s="2790">
        <f t="shared" ca="1" si="165"/>
        <v>0</v>
      </c>
      <c r="CU59" s="2790">
        <f t="shared" ca="1" si="165"/>
        <v>0</v>
      </c>
      <c r="CV59" s="2790">
        <f t="shared" ca="1" si="165"/>
        <v>0</v>
      </c>
      <c r="CW59" s="2790">
        <f t="shared" ca="1" si="165"/>
        <v>0</v>
      </c>
      <c r="CX59" s="2790">
        <f t="shared" ca="1" si="165"/>
        <v>0</v>
      </c>
      <c r="CY59" s="2790">
        <f t="shared" ca="1" si="165"/>
        <v>0</v>
      </c>
      <c r="CZ59" s="2790">
        <f t="shared" ca="1" si="165"/>
        <v>0</v>
      </c>
      <c r="DA59" s="2790">
        <f t="shared" ca="1" si="165"/>
        <v>0</v>
      </c>
      <c r="DB59" s="2790">
        <f t="shared" ca="1" si="165"/>
        <v>0</v>
      </c>
      <c r="DC59" s="2790">
        <f t="shared" ca="1" si="165"/>
        <v>0</v>
      </c>
      <c r="DD59" s="2790">
        <f t="shared" ca="1" si="165"/>
        <v>0</v>
      </c>
      <c r="DE59" s="2790">
        <f t="shared" ca="1" si="165"/>
        <v>0</v>
      </c>
      <c r="DF59" s="2790">
        <f t="shared" ca="1" si="165"/>
        <v>0</v>
      </c>
      <c r="DH59" s="596">
        <f t="shared" ca="1" si="120"/>
        <v>0</v>
      </c>
    </row>
    <row r="60" spans="1:112" s="607" customFormat="1" ht="12.75" customHeight="1" outlineLevel="1">
      <c r="C60" s="587" t="s">
        <v>526</v>
      </c>
      <c r="D60" s="588" t="s">
        <v>527</v>
      </c>
      <c r="E60" s="588"/>
      <c r="F60" s="6"/>
      <c r="G60" s="589">
        <f t="shared" ca="1" si="152"/>
        <v>0</v>
      </c>
      <c r="H60" s="589">
        <f t="shared" ca="1" si="152"/>
        <v>0</v>
      </c>
      <c r="I60" s="589">
        <f t="shared" ca="1" si="152"/>
        <v>0</v>
      </c>
      <c r="J60" s="589">
        <f t="shared" ca="1" si="152"/>
        <v>0</v>
      </c>
      <c r="K60" s="589">
        <f t="shared" ca="1" si="152"/>
        <v>0</v>
      </c>
      <c r="L60" s="589">
        <f t="shared" ca="1" si="152"/>
        <v>0</v>
      </c>
      <c r="M60" s="589">
        <f t="shared" ca="1" si="152"/>
        <v>0</v>
      </c>
      <c r="N60" s="589">
        <f t="shared" ca="1" si="152"/>
        <v>0</v>
      </c>
      <c r="O60" s="589">
        <f t="shared" ca="1" si="152"/>
        <v>0</v>
      </c>
      <c r="P60" s="589">
        <f t="shared" ca="1" si="152"/>
        <v>0</v>
      </c>
      <c r="Q60" s="590">
        <f t="shared" ca="1" si="153"/>
        <v>0</v>
      </c>
      <c r="R60" s="6"/>
      <c r="S60" s="591">
        <f t="shared" ca="1" si="154"/>
        <v>0</v>
      </c>
      <c r="T60" s="591">
        <f t="shared" ca="1" si="154"/>
        <v>3.2346540000000004</v>
      </c>
      <c r="U60" s="591">
        <f t="shared" ca="1" si="154"/>
        <v>0</v>
      </c>
      <c r="V60" s="591">
        <f t="shared" ca="1" si="154"/>
        <v>0</v>
      </c>
      <c r="W60" s="591">
        <f t="shared" ca="1" si="154"/>
        <v>0</v>
      </c>
      <c r="X60" s="591">
        <f t="shared" ca="1" si="155"/>
        <v>0</v>
      </c>
      <c r="Y60" s="591">
        <f t="shared" ca="1" si="155"/>
        <v>0</v>
      </c>
      <c r="Z60" s="591">
        <f t="shared" ca="1" si="155"/>
        <v>0</v>
      </c>
      <c r="AA60" s="591">
        <f t="shared" ca="1" si="154"/>
        <v>0</v>
      </c>
      <c r="AB60" s="591">
        <f t="shared" ca="1" si="154"/>
        <v>0</v>
      </c>
      <c r="AC60" s="591">
        <f t="shared" ca="1" si="154"/>
        <v>0</v>
      </c>
      <c r="AD60" s="591">
        <f t="shared" ca="1" si="154"/>
        <v>0</v>
      </c>
      <c r="AE60" s="591">
        <f t="shared" ca="1" si="154"/>
        <v>0</v>
      </c>
      <c r="AF60" s="591">
        <f t="shared" ca="1" si="154"/>
        <v>0</v>
      </c>
      <c r="AG60" s="591">
        <f t="shared" ca="1" si="154"/>
        <v>0</v>
      </c>
      <c r="AH60" s="591">
        <f t="shared" ca="1" si="154"/>
        <v>0</v>
      </c>
      <c r="AI60" s="591">
        <f t="shared" ca="1" si="154"/>
        <v>0</v>
      </c>
      <c r="AJ60" s="591">
        <f t="shared" ca="1" si="154"/>
        <v>0</v>
      </c>
      <c r="AK60" s="592">
        <f t="shared" ca="1" si="156"/>
        <v>3.2346540000000004</v>
      </c>
      <c r="AL60" s="6"/>
      <c r="AM60" s="593">
        <f t="shared" ca="1" si="157"/>
        <v>0</v>
      </c>
      <c r="AN60" s="593">
        <f t="shared" ca="1" si="157"/>
        <v>0</v>
      </c>
      <c r="AO60" s="593">
        <f t="shared" ca="1" si="157"/>
        <v>0</v>
      </c>
      <c r="AP60" s="593">
        <f t="shared" ca="1" si="157"/>
        <v>0</v>
      </c>
      <c r="AQ60" s="593">
        <f t="shared" ca="1" si="157"/>
        <v>0</v>
      </c>
      <c r="AR60" s="593">
        <f t="shared" ca="1" si="157"/>
        <v>0</v>
      </c>
      <c r="AS60" s="593">
        <f t="shared" ca="1" si="157"/>
        <v>0</v>
      </c>
      <c r="AT60" s="593">
        <f t="shared" ca="1" si="157"/>
        <v>0</v>
      </c>
      <c r="AU60" s="593">
        <f t="shared" ca="1" si="157"/>
        <v>0</v>
      </c>
      <c r="AV60" s="593">
        <f t="shared" ca="1" si="158"/>
        <v>0</v>
      </c>
      <c r="AW60" s="593">
        <f t="shared" ca="1" si="158"/>
        <v>0</v>
      </c>
      <c r="AX60" s="593">
        <f t="shared" ca="1" si="158"/>
        <v>0</v>
      </c>
      <c r="AY60" s="593">
        <f t="shared" ca="1" si="158"/>
        <v>-0.63115200000000027</v>
      </c>
      <c r="AZ60" s="593">
        <f t="shared" ca="1" si="158"/>
        <v>-2.6035020000000002</v>
      </c>
      <c r="BA60" s="593">
        <f t="shared" ca="1" si="158"/>
        <v>0</v>
      </c>
      <c r="BB60" s="593">
        <f t="shared" ca="1" si="158"/>
        <v>0</v>
      </c>
      <c r="BC60" s="593">
        <f t="shared" ca="1" si="158"/>
        <v>0</v>
      </c>
      <c r="BD60" s="593">
        <f t="shared" ca="1" si="158"/>
        <v>0</v>
      </c>
      <c r="BE60" s="593">
        <f t="shared" ca="1" si="158"/>
        <v>0</v>
      </c>
      <c r="BF60" s="609">
        <f t="shared" ca="1" si="159"/>
        <v>-3.2346540000000004</v>
      </c>
      <c r="BG60" s="6"/>
      <c r="BH60" s="3471">
        <f t="shared" ca="1" si="160"/>
        <v>0</v>
      </c>
      <c r="BI60" s="3471">
        <f t="shared" ca="1" si="160"/>
        <v>0</v>
      </c>
      <c r="BJ60" s="3460">
        <f t="shared" ca="1" si="161"/>
        <v>0</v>
      </c>
      <c r="BK60" s="6"/>
      <c r="BL60" s="610">
        <f t="shared" ca="1" si="150"/>
        <v>0</v>
      </c>
      <c r="BM60" s="610"/>
      <c r="BN60" s="413"/>
      <c r="BO60" s="2789">
        <f t="shared" ca="1" si="162"/>
        <v>0</v>
      </c>
      <c r="BP60" s="2790">
        <f t="shared" ca="1" si="162"/>
        <v>0</v>
      </c>
      <c r="BQ60" s="2790">
        <f t="shared" ca="1" si="162"/>
        <v>0</v>
      </c>
      <c r="BR60" s="2790">
        <f t="shared" ca="1" si="162"/>
        <v>0</v>
      </c>
      <c r="BS60" s="2790">
        <f t="shared" ca="1" si="162"/>
        <v>0</v>
      </c>
      <c r="BT60" s="2790">
        <f t="shared" ca="1" si="162"/>
        <v>0</v>
      </c>
      <c r="BU60" s="2790">
        <f t="shared" ca="1" si="162"/>
        <v>0</v>
      </c>
      <c r="BV60" s="2790">
        <f t="shared" ca="1" si="162"/>
        <v>0</v>
      </c>
      <c r="BW60" s="2790">
        <f t="shared" ca="1" si="162"/>
        <v>0</v>
      </c>
      <c r="BX60" s="2790">
        <f t="shared" ca="1" si="162"/>
        <v>0</v>
      </c>
      <c r="BY60" s="2790">
        <f t="shared" ca="1" si="163"/>
        <v>0</v>
      </c>
      <c r="BZ60" s="2790">
        <f t="shared" ca="1" si="163"/>
        <v>0</v>
      </c>
      <c r="CA60" s="2790">
        <f t="shared" ca="1" si="163"/>
        <v>0</v>
      </c>
      <c r="CB60" s="2790">
        <f t="shared" ca="1" si="163"/>
        <v>0</v>
      </c>
      <c r="CC60" s="2790">
        <f t="shared" ca="1" si="163"/>
        <v>0</v>
      </c>
      <c r="CD60" s="2790">
        <f t="shared" ca="1" si="163"/>
        <v>0</v>
      </c>
      <c r="CE60" s="2790">
        <f t="shared" ca="1" si="163"/>
        <v>0</v>
      </c>
      <c r="CF60" s="2790">
        <f t="shared" ca="1" si="163"/>
        <v>0</v>
      </c>
      <c r="CG60" s="2790">
        <f t="shared" ca="1" si="163"/>
        <v>0</v>
      </c>
      <c r="CH60" s="2790">
        <f t="shared" ca="1" si="163"/>
        <v>0</v>
      </c>
      <c r="CI60" s="2790">
        <f t="shared" ca="1" si="164"/>
        <v>0</v>
      </c>
      <c r="CJ60" s="2790">
        <f t="shared" ca="1" si="164"/>
        <v>0</v>
      </c>
      <c r="CK60" s="2790">
        <f t="shared" ca="1" si="164"/>
        <v>0</v>
      </c>
      <c r="CL60" s="2790">
        <f t="shared" ca="1" si="164"/>
        <v>0</v>
      </c>
      <c r="CM60" s="2790">
        <f t="shared" ca="1" si="164"/>
        <v>0</v>
      </c>
      <c r="CN60" s="2790">
        <f t="shared" ca="1" si="164"/>
        <v>0</v>
      </c>
      <c r="CO60" s="2790">
        <f t="shared" ca="1" si="164"/>
        <v>0</v>
      </c>
      <c r="CP60" s="2790">
        <f t="shared" ca="1" si="164"/>
        <v>0</v>
      </c>
      <c r="CQ60" s="2790">
        <f t="shared" ca="1" si="164"/>
        <v>0</v>
      </c>
      <c r="CR60" s="2790">
        <f t="shared" ca="1" si="164"/>
        <v>0</v>
      </c>
      <c r="CS60" s="2790">
        <f t="shared" ca="1" si="165"/>
        <v>0</v>
      </c>
      <c r="CT60" s="2790">
        <f t="shared" ca="1" si="165"/>
        <v>0</v>
      </c>
      <c r="CU60" s="2790">
        <f t="shared" ca="1" si="165"/>
        <v>0</v>
      </c>
      <c r="CV60" s="2790">
        <f t="shared" ca="1" si="165"/>
        <v>0</v>
      </c>
      <c r="CW60" s="2790">
        <f t="shared" ca="1" si="165"/>
        <v>0</v>
      </c>
      <c r="CX60" s="2790">
        <f t="shared" ca="1" si="165"/>
        <v>0</v>
      </c>
      <c r="CY60" s="2790">
        <f t="shared" ca="1" si="165"/>
        <v>0</v>
      </c>
      <c r="CZ60" s="2790">
        <f t="shared" ca="1" si="165"/>
        <v>0</v>
      </c>
      <c r="DA60" s="2790">
        <f t="shared" ca="1" si="165"/>
        <v>0</v>
      </c>
      <c r="DB60" s="2790">
        <f t="shared" ca="1" si="165"/>
        <v>0</v>
      </c>
      <c r="DC60" s="2790">
        <f t="shared" ca="1" si="165"/>
        <v>0</v>
      </c>
      <c r="DD60" s="2790">
        <f t="shared" ca="1" si="165"/>
        <v>0</v>
      </c>
      <c r="DE60" s="2790">
        <f t="shared" ca="1" si="165"/>
        <v>0</v>
      </c>
      <c r="DF60" s="2790">
        <f t="shared" ca="1" si="165"/>
        <v>0</v>
      </c>
      <c r="DH60" s="596">
        <f t="shared" ca="1" si="120"/>
        <v>0</v>
      </c>
    </row>
    <row r="61" spans="1:112" s="607" customFormat="1" ht="12.75" customHeight="1" outlineLevel="1">
      <c r="C61" s="587" t="s">
        <v>528</v>
      </c>
      <c r="D61" s="588" t="s">
        <v>529</v>
      </c>
      <c r="E61" s="588"/>
      <c r="F61" s="6"/>
      <c r="G61" s="589">
        <f t="shared" ca="1" si="152"/>
        <v>0</v>
      </c>
      <c r="H61" s="589">
        <f t="shared" ca="1" si="152"/>
        <v>0</v>
      </c>
      <c r="I61" s="589">
        <f t="shared" ca="1" si="152"/>
        <v>0</v>
      </c>
      <c r="J61" s="589">
        <f t="shared" ca="1" si="152"/>
        <v>0</v>
      </c>
      <c r="K61" s="589">
        <f t="shared" ca="1" si="152"/>
        <v>0</v>
      </c>
      <c r="L61" s="589">
        <f t="shared" ca="1" si="152"/>
        <v>0</v>
      </c>
      <c r="M61" s="589">
        <f t="shared" ca="1" si="152"/>
        <v>0</v>
      </c>
      <c r="N61" s="589">
        <f t="shared" ca="1" si="152"/>
        <v>0</v>
      </c>
      <c r="O61" s="589">
        <f t="shared" ca="1" si="152"/>
        <v>0</v>
      </c>
      <c r="P61" s="589">
        <f t="shared" ca="1" si="152"/>
        <v>0</v>
      </c>
      <c r="Q61" s="590">
        <f t="shared" ca="1" si="153"/>
        <v>0</v>
      </c>
      <c r="R61" s="6"/>
      <c r="S61" s="591">
        <f t="shared" ca="1" si="154"/>
        <v>0</v>
      </c>
      <c r="T61" s="591">
        <f t="shared" ca="1" si="154"/>
        <v>0</v>
      </c>
      <c r="U61" s="591">
        <f t="shared" ca="1" si="154"/>
        <v>0</v>
      </c>
      <c r="V61" s="591">
        <f t="shared" ca="1" si="154"/>
        <v>0</v>
      </c>
      <c r="W61" s="591">
        <f t="shared" ca="1" si="154"/>
        <v>0</v>
      </c>
      <c r="X61" s="591">
        <f t="shared" ca="1" si="155"/>
        <v>0</v>
      </c>
      <c r="Y61" s="591">
        <f t="shared" ca="1" si="155"/>
        <v>0</v>
      </c>
      <c r="Z61" s="591">
        <f t="shared" ca="1" si="155"/>
        <v>0</v>
      </c>
      <c r="AA61" s="591">
        <f t="shared" ca="1" si="154"/>
        <v>0</v>
      </c>
      <c r="AB61" s="591">
        <f t="shared" ca="1" si="154"/>
        <v>0</v>
      </c>
      <c r="AC61" s="591">
        <f t="shared" ca="1" si="154"/>
        <v>0</v>
      </c>
      <c r="AD61" s="591">
        <f t="shared" ca="1" si="154"/>
        <v>0</v>
      </c>
      <c r="AE61" s="591">
        <f t="shared" ca="1" si="154"/>
        <v>0</v>
      </c>
      <c r="AF61" s="591">
        <f t="shared" ca="1" si="154"/>
        <v>0</v>
      </c>
      <c r="AG61" s="591">
        <f t="shared" ca="1" si="154"/>
        <v>0</v>
      </c>
      <c r="AH61" s="591">
        <f t="shared" ca="1" si="154"/>
        <v>0</v>
      </c>
      <c r="AI61" s="591">
        <f t="shared" ca="1" si="154"/>
        <v>0</v>
      </c>
      <c r="AJ61" s="591">
        <f t="shared" ca="1" si="154"/>
        <v>0</v>
      </c>
      <c r="AK61" s="592">
        <f t="shared" ca="1" si="156"/>
        <v>0</v>
      </c>
      <c r="AL61" s="6"/>
      <c r="AM61" s="593">
        <f t="shared" ca="1" si="157"/>
        <v>0</v>
      </c>
      <c r="AN61" s="593">
        <f t="shared" ca="1" si="157"/>
        <v>0</v>
      </c>
      <c r="AO61" s="593">
        <f t="shared" ca="1" si="157"/>
        <v>0</v>
      </c>
      <c r="AP61" s="593">
        <f t="shared" ca="1" si="157"/>
        <v>0</v>
      </c>
      <c r="AQ61" s="593">
        <f t="shared" ca="1" si="157"/>
        <v>0</v>
      </c>
      <c r="AR61" s="593">
        <f t="shared" ca="1" si="157"/>
        <v>0</v>
      </c>
      <c r="AS61" s="593">
        <f t="shared" ca="1" si="157"/>
        <v>0</v>
      </c>
      <c r="AT61" s="593">
        <f t="shared" ca="1" si="157"/>
        <v>0</v>
      </c>
      <c r="AU61" s="593">
        <f t="shared" ca="1" si="157"/>
        <v>0</v>
      </c>
      <c r="AV61" s="593">
        <f t="shared" ca="1" si="158"/>
        <v>0</v>
      </c>
      <c r="AW61" s="593">
        <f t="shared" ca="1" si="158"/>
        <v>0</v>
      </c>
      <c r="AX61" s="593">
        <f t="shared" ca="1" si="158"/>
        <v>0</v>
      </c>
      <c r="AY61" s="593">
        <f t="shared" ca="1" si="158"/>
        <v>0</v>
      </c>
      <c r="AZ61" s="593">
        <f t="shared" ca="1" si="158"/>
        <v>0</v>
      </c>
      <c r="BA61" s="593">
        <f t="shared" ca="1" si="158"/>
        <v>0</v>
      </c>
      <c r="BB61" s="593">
        <f t="shared" ca="1" si="158"/>
        <v>0</v>
      </c>
      <c r="BC61" s="593">
        <f t="shared" ca="1" si="158"/>
        <v>0</v>
      </c>
      <c r="BD61" s="593">
        <f t="shared" ca="1" si="158"/>
        <v>0</v>
      </c>
      <c r="BE61" s="593">
        <f t="shared" ca="1" si="158"/>
        <v>0</v>
      </c>
      <c r="BF61" s="609">
        <f t="shared" ca="1" si="159"/>
        <v>0</v>
      </c>
      <c r="BG61" s="6"/>
      <c r="BH61" s="3471">
        <f t="shared" ca="1" si="160"/>
        <v>0</v>
      </c>
      <c r="BI61" s="3471">
        <f t="shared" ca="1" si="160"/>
        <v>0</v>
      </c>
      <c r="BJ61" s="3460">
        <f t="shared" ca="1" si="161"/>
        <v>0</v>
      </c>
      <c r="BK61" s="6"/>
      <c r="BL61" s="610">
        <f t="shared" ca="1" si="150"/>
        <v>0</v>
      </c>
      <c r="BM61" s="610"/>
      <c r="BN61" s="413"/>
      <c r="BO61" s="2789">
        <f t="shared" ca="1" si="162"/>
        <v>0</v>
      </c>
      <c r="BP61" s="2790">
        <f t="shared" ca="1" si="162"/>
        <v>0</v>
      </c>
      <c r="BQ61" s="2790">
        <f t="shared" ca="1" si="162"/>
        <v>0</v>
      </c>
      <c r="BR61" s="2790">
        <f t="shared" ca="1" si="162"/>
        <v>0</v>
      </c>
      <c r="BS61" s="2790">
        <f t="shared" ca="1" si="162"/>
        <v>0</v>
      </c>
      <c r="BT61" s="2790">
        <f t="shared" ca="1" si="162"/>
        <v>0</v>
      </c>
      <c r="BU61" s="2790">
        <f t="shared" ca="1" si="162"/>
        <v>0</v>
      </c>
      <c r="BV61" s="2790">
        <f t="shared" ca="1" si="162"/>
        <v>0</v>
      </c>
      <c r="BW61" s="2790">
        <f t="shared" ca="1" si="162"/>
        <v>0</v>
      </c>
      <c r="BX61" s="2790">
        <f t="shared" ca="1" si="162"/>
        <v>0</v>
      </c>
      <c r="BY61" s="2790">
        <f t="shared" ca="1" si="163"/>
        <v>0</v>
      </c>
      <c r="BZ61" s="2790">
        <f t="shared" ca="1" si="163"/>
        <v>0</v>
      </c>
      <c r="CA61" s="2790">
        <f t="shared" ca="1" si="163"/>
        <v>0</v>
      </c>
      <c r="CB61" s="2790">
        <f t="shared" ca="1" si="163"/>
        <v>0</v>
      </c>
      <c r="CC61" s="2790">
        <f t="shared" ca="1" si="163"/>
        <v>0</v>
      </c>
      <c r="CD61" s="2790">
        <f t="shared" ca="1" si="163"/>
        <v>0</v>
      </c>
      <c r="CE61" s="2790">
        <f t="shared" ca="1" si="163"/>
        <v>0</v>
      </c>
      <c r="CF61" s="2790">
        <f t="shared" ca="1" si="163"/>
        <v>0</v>
      </c>
      <c r="CG61" s="2790">
        <f t="shared" ca="1" si="163"/>
        <v>0</v>
      </c>
      <c r="CH61" s="2790">
        <f t="shared" ca="1" si="163"/>
        <v>0</v>
      </c>
      <c r="CI61" s="2790">
        <f t="shared" ca="1" si="164"/>
        <v>0</v>
      </c>
      <c r="CJ61" s="2790">
        <f t="shared" ca="1" si="164"/>
        <v>0</v>
      </c>
      <c r="CK61" s="2790">
        <f t="shared" ca="1" si="164"/>
        <v>0</v>
      </c>
      <c r="CL61" s="2790">
        <f t="shared" ca="1" si="164"/>
        <v>0</v>
      </c>
      <c r="CM61" s="2790">
        <f t="shared" ca="1" si="164"/>
        <v>0</v>
      </c>
      <c r="CN61" s="2790">
        <f t="shared" ca="1" si="164"/>
        <v>0</v>
      </c>
      <c r="CO61" s="2790">
        <f t="shared" ca="1" si="164"/>
        <v>0</v>
      </c>
      <c r="CP61" s="2790">
        <f t="shared" ca="1" si="164"/>
        <v>0</v>
      </c>
      <c r="CQ61" s="2790">
        <f t="shared" ca="1" si="164"/>
        <v>0</v>
      </c>
      <c r="CR61" s="2790">
        <f t="shared" ca="1" si="164"/>
        <v>0</v>
      </c>
      <c r="CS61" s="2790">
        <f t="shared" ca="1" si="165"/>
        <v>0</v>
      </c>
      <c r="CT61" s="2790">
        <f t="shared" ca="1" si="165"/>
        <v>0</v>
      </c>
      <c r="CU61" s="2790">
        <f t="shared" ca="1" si="165"/>
        <v>0</v>
      </c>
      <c r="CV61" s="2790">
        <f t="shared" ca="1" si="165"/>
        <v>0</v>
      </c>
      <c r="CW61" s="2790">
        <f t="shared" ca="1" si="165"/>
        <v>0</v>
      </c>
      <c r="CX61" s="2790">
        <f t="shared" ca="1" si="165"/>
        <v>0</v>
      </c>
      <c r="CY61" s="2790">
        <f t="shared" ca="1" si="165"/>
        <v>0</v>
      </c>
      <c r="CZ61" s="2790">
        <f t="shared" ca="1" si="165"/>
        <v>0</v>
      </c>
      <c r="DA61" s="2790">
        <f t="shared" ca="1" si="165"/>
        <v>0</v>
      </c>
      <c r="DB61" s="2790">
        <f t="shared" ca="1" si="165"/>
        <v>0</v>
      </c>
      <c r="DC61" s="2790">
        <f t="shared" ca="1" si="165"/>
        <v>0</v>
      </c>
      <c r="DD61" s="2790">
        <f t="shared" ca="1" si="165"/>
        <v>0</v>
      </c>
      <c r="DE61" s="2790">
        <f t="shared" ca="1" si="165"/>
        <v>0</v>
      </c>
      <c r="DF61" s="2790">
        <f t="shared" ca="1" si="165"/>
        <v>0</v>
      </c>
      <c r="DH61" s="596">
        <f t="shared" ca="1" si="120"/>
        <v>0</v>
      </c>
    </row>
    <row r="62" spans="1:112" s="6" customFormat="1" ht="12.75" customHeight="1" outlineLevel="1">
      <c r="A62" s="607"/>
      <c r="B62" s="607"/>
      <c r="C62" s="587" t="s">
        <v>530</v>
      </c>
      <c r="D62" s="611" t="s">
        <v>531</v>
      </c>
      <c r="E62" s="611"/>
      <c r="G62" s="619">
        <f t="shared" ca="1" si="152"/>
        <v>0</v>
      </c>
      <c r="H62" s="619">
        <f t="shared" ca="1" si="152"/>
        <v>0</v>
      </c>
      <c r="I62" s="619">
        <f t="shared" ca="1" si="152"/>
        <v>0</v>
      </c>
      <c r="J62" s="619">
        <f t="shared" ca="1" si="152"/>
        <v>0</v>
      </c>
      <c r="K62" s="619">
        <f t="shared" ca="1" si="152"/>
        <v>0</v>
      </c>
      <c r="L62" s="619">
        <f t="shared" ca="1" si="152"/>
        <v>0</v>
      </c>
      <c r="M62" s="619">
        <f t="shared" ca="1" si="152"/>
        <v>0</v>
      </c>
      <c r="N62" s="619">
        <f t="shared" ca="1" si="152"/>
        <v>0</v>
      </c>
      <c r="O62" s="619">
        <f t="shared" ca="1" si="152"/>
        <v>0</v>
      </c>
      <c r="P62" s="619">
        <f t="shared" ca="1" si="152"/>
        <v>0</v>
      </c>
      <c r="Q62" s="612">
        <f t="shared" ca="1" si="153"/>
        <v>0</v>
      </c>
      <c r="S62" s="620">
        <f t="shared" ca="1" si="154"/>
        <v>0</v>
      </c>
      <c r="T62" s="620">
        <f t="shared" ca="1" si="154"/>
        <v>0</v>
      </c>
      <c r="U62" s="620">
        <f t="shared" ca="1" si="154"/>
        <v>0</v>
      </c>
      <c r="V62" s="620">
        <f t="shared" ca="1" si="154"/>
        <v>0</v>
      </c>
      <c r="W62" s="620">
        <f t="shared" ca="1" si="154"/>
        <v>0</v>
      </c>
      <c r="X62" s="620">
        <f t="shared" ca="1" si="155"/>
        <v>0</v>
      </c>
      <c r="Y62" s="620">
        <f t="shared" ca="1" si="155"/>
        <v>0</v>
      </c>
      <c r="Z62" s="620">
        <f t="shared" ca="1" si="155"/>
        <v>0</v>
      </c>
      <c r="AA62" s="620">
        <f t="shared" ca="1" si="154"/>
        <v>0</v>
      </c>
      <c r="AB62" s="620">
        <f t="shared" ca="1" si="154"/>
        <v>0</v>
      </c>
      <c r="AC62" s="620">
        <f t="shared" ca="1" si="154"/>
        <v>0</v>
      </c>
      <c r="AD62" s="620">
        <f t="shared" ca="1" si="154"/>
        <v>0</v>
      </c>
      <c r="AE62" s="620">
        <f t="shared" ca="1" si="154"/>
        <v>0</v>
      </c>
      <c r="AF62" s="620">
        <f t="shared" ca="1" si="154"/>
        <v>0</v>
      </c>
      <c r="AG62" s="620">
        <f t="shared" ca="1" si="154"/>
        <v>0</v>
      </c>
      <c r="AH62" s="620">
        <f t="shared" ca="1" si="154"/>
        <v>0</v>
      </c>
      <c r="AI62" s="620">
        <f t="shared" ca="1" si="154"/>
        <v>0</v>
      </c>
      <c r="AJ62" s="620">
        <f t="shared" ca="1" si="154"/>
        <v>0</v>
      </c>
      <c r="AK62" s="613">
        <f t="shared" ca="1" si="156"/>
        <v>0</v>
      </c>
      <c r="AM62" s="621">
        <f t="shared" ca="1" si="157"/>
        <v>0</v>
      </c>
      <c r="AN62" s="621">
        <f t="shared" ca="1" si="157"/>
        <v>0</v>
      </c>
      <c r="AO62" s="621">
        <f t="shared" ca="1" si="157"/>
        <v>0</v>
      </c>
      <c r="AP62" s="621">
        <f t="shared" ca="1" si="157"/>
        <v>0</v>
      </c>
      <c r="AQ62" s="621">
        <f t="shared" ca="1" si="157"/>
        <v>0</v>
      </c>
      <c r="AR62" s="621">
        <f t="shared" ca="1" si="157"/>
        <v>0</v>
      </c>
      <c r="AS62" s="621">
        <f t="shared" ca="1" si="157"/>
        <v>0</v>
      </c>
      <c r="AT62" s="621">
        <f t="shared" ca="1" si="157"/>
        <v>0</v>
      </c>
      <c r="AU62" s="621">
        <f t="shared" ca="1" si="157"/>
        <v>0</v>
      </c>
      <c r="AV62" s="621">
        <f t="shared" ca="1" si="158"/>
        <v>0</v>
      </c>
      <c r="AW62" s="621">
        <f t="shared" ca="1" si="158"/>
        <v>0</v>
      </c>
      <c r="AX62" s="621">
        <f t="shared" ca="1" si="158"/>
        <v>0</v>
      </c>
      <c r="AY62" s="621">
        <f t="shared" ca="1" si="158"/>
        <v>0</v>
      </c>
      <c r="AZ62" s="621">
        <f t="shared" ca="1" si="158"/>
        <v>0</v>
      </c>
      <c r="BA62" s="621">
        <f t="shared" ca="1" si="158"/>
        <v>0</v>
      </c>
      <c r="BB62" s="621">
        <f t="shared" ca="1" si="158"/>
        <v>0</v>
      </c>
      <c r="BC62" s="621">
        <f t="shared" ca="1" si="158"/>
        <v>0</v>
      </c>
      <c r="BD62" s="621">
        <f t="shared" ca="1" si="158"/>
        <v>0</v>
      </c>
      <c r="BE62" s="621">
        <f t="shared" ca="1" si="158"/>
        <v>0</v>
      </c>
      <c r="BF62" s="615">
        <f t="shared" ca="1" si="159"/>
        <v>0</v>
      </c>
      <c r="BH62" s="3473">
        <f t="shared" ca="1" si="160"/>
        <v>0</v>
      </c>
      <c r="BI62" s="3473">
        <f t="shared" ca="1" si="160"/>
        <v>0</v>
      </c>
      <c r="BJ62" s="3462">
        <f t="shared" ca="1" si="161"/>
        <v>0</v>
      </c>
      <c r="BL62" s="610">
        <f t="shared" ca="1" si="150"/>
        <v>0</v>
      </c>
      <c r="BM62" s="610"/>
      <c r="BN62" s="413"/>
      <c r="BO62" s="2791">
        <f t="shared" ca="1" si="162"/>
        <v>0</v>
      </c>
      <c r="BP62" s="2792">
        <f t="shared" ca="1" si="162"/>
        <v>0</v>
      </c>
      <c r="BQ62" s="2792">
        <f t="shared" ca="1" si="162"/>
        <v>0</v>
      </c>
      <c r="BR62" s="2792">
        <f t="shared" ca="1" si="162"/>
        <v>0</v>
      </c>
      <c r="BS62" s="2792">
        <f t="shared" ca="1" si="162"/>
        <v>0</v>
      </c>
      <c r="BT62" s="2792">
        <f t="shared" ca="1" si="162"/>
        <v>0</v>
      </c>
      <c r="BU62" s="2792">
        <f t="shared" ca="1" si="162"/>
        <v>0</v>
      </c>
      <c r="BV62" s="2792">
        <f t="shared" ca="1" si="162"/>
        <v>0</v>
      </c>
      <c r="BW62" s="2792">
        <f t="shared" ca="1" si="162"/>
        <v>0</v>
      </c>
      <c r="BX62" s="2792">
        <f t="shared" ca="1" si="162"/>
        <v>0</v>
      </c>
      <c r="BY62" s="2792">
        <f t="shared" ca="1" si="163"/>
        <v>0</v>
      </c>
      <c r="BZ62" s="2792">
        <f t="shared" ca="1" si="163"/>
        <v>0</v>
      </c>
      <c r="CA62" s="2792">
        <f t="shared" ca="1" si="163"/>
        <v>0</v>
      </c>
      <c r="CB62" s="2792">
        <f t="shared" ca="1" si="163"/>
        <v>0</v>
      </c>
      <c r="CC62" s="2792">
        <f t="shared" ca="1" si="163"/>
        <v>0</v>
      </c>
      <c r="CD62" s="2792">
        <f t="shared" ca="1" si="163"/>
        <v>0</v>
      </c>
      <c r="CE62" s="2792">
        <f t="shared" ca="1" si="163"/>
        <v>0</v>
      </c>
      <c r="CF62" s="2792">
        <f t="shared" ca="1" si="163"/>
        <v>0</v>
      </c>
      <c r="CG62" s="2792">
        <f t="shared" ca="1" si="163"/>
        <v>0</v>
      </c>
      <c r="CH62" s="2792">
        <f t="shared" ca="1" si="163"/>
        <v>0</v>
      </c>
      <c r="CI62" s="2792">
        <f t="shared" ca="1" si="164"/>
        <v>0</v>
      </c>
      <c r="CJ62" s="2792">
        <f t="shared" ca="1" si="164"/>
        <v>0</v>
      </c>
      <c r="CK62" s="2792">
        <f t="shared" ca="1" si="164"/>
        <v>0</v>
      </c>
      <c r="CL62" s="2792">
        <f t="shared" ca="1" si="164"/>
        <v>0</v>
      </c>
      <c r="CM62" s="2792">
        <f t="shared" ca="1" si="164"/>
        <v>0</v>
      </c>
      <c r="CN62" s="2792">
        <f t="shared" ca="1" si="164"/>
        <v>0</v>
      </c>
      <c r="CO62" s="2792">
        <f t="shared" ca="1" si="164"/>
        <v>0</v>
      </c>
      <c r="CP62" s="2792">
        <f t="shared" ca="1" si="164"/>
        <v>0</v>
      </c>
      <c r="CQ62" s="2792">
        <f t="shared" ca="1" si="164"/>
        <v>0</v>
      </c>
      <c r="CR62" s="2792">
        <f t="shared" ca="1" si="164"/>
        <v>0</v>
      </c>
      <c r="CS62" s="2792">
        <f t="shared" ca="1" si="165"/>
        <v>0</v>
      </c>
      <c r="CT62" s="2792">
        <f t="shared" ca="1" si="165"/>
        <v>0</v>
      </c>
      <c r="CU62" s="2792">
        <f t="shared" ca="1" si="165"/>
        <v>0</v>
      </c>
      <c r="CV62" s="2792">
        <f t="shared" ca="1" si="165"/>
        <v>0</v>
      </c>
      <c r="CW62" s="2792">
        <f t="shared" ca="1" si="165"/>
        <v>0</v>
      </c>
      <c r="CX62" s="2792">
        <f t="shared" ca="1" si="165"/>
        <v>0</v>
      </c>
      <c r="CY62" s="2792">
        <f t="shared" ca="1" si="165"/>
        <v>0</v>
      </c>
      <c r="CZ62" s="2792">
        <f t="shared" ca="1" si="165"/>
        <v>0</v>
      </c>
      <c r="DA62" s="2792">
        <f t="shared" ca="1" si="165"/>
        <v>0</v>
      </c>
      <c r="DB62" s="2792">
        <f t="shared" ca="1" si="165"/>
        <v>0</v>
      </c>
      <c r="DC62" s="2792">
        <f t="shared" ca="1" si="165"/>
        <v>0</v>
      </c>
      <c r="DD62" s="2792">
        <f t="shared" ca="1" si="165"/>
        <v>0</v>
      </c>
      <c r="DE62" s="2792">
        <f t="shared" ca="1" si="165"/>
        <v>0</v>
      </c>
      <c r="DF62" s="2792">
        <f t="shared" ca="1" si="165"/>
        <v>0</v>
      </c>
      <c r="DH62" s="596">
        <f t="shared" ca="1" si="120"/>
        <v>0</v>
      </c>
    </row>
    <row r="63" spans="1:112" s="6" customFormat="1" ht="15.75">
      <c r="A63" s="4"/>
      <c r="B63" s="3"/>
      <c r="C63" s="616" t="s">
        <v>532</v>
      </c>
      <c r="D63" s="617" t="s">
        <v>533</v>
      </c>
      <c r="E63" s="206"/>
      <c r="G63" s="579">
        <f t="shared" ref="G63:P63" ca="1" si="166">SUM(G57:G62)</f>
        <v>0</v>
      </c>
      <c r="H63" s="579">
        <f t="shared" ca="1" si="166"/>
        <v>0</v>
      </c>
      <c r="I63" s="579">
        <f t="shared" ca="1" si="166"/>
        <v>0</v>
      </c>
      <c r="J63" s="579">
        <f t="shared" ca="1" si="166"/>
        <v>0</v>
      </c>
      <c r="K63" s="579">
        <f t="shared" ca="1" si="166"/>
        <v>0</v>
      </c>
      <c r="L63" s="579">
        <f t="shared" ca="1" si="166"/>
        <v>0</v>
      </c>
      <c r="M63" s="579">
        <f t="shared" ca="1" si="166"/>
        <v>0</v>
      </c>
      <c r="N63" s="579">
        <f t="shared" ca="1" si="166"/>
        <v>0</v>
      </c>
      <c r="O63" s="579">
        <f t="shared" ca="1" si="166"/>
        <v>0</v>
      </c>
      <c r="P63" s="579">
        <f t="shared" ca="1" si="166"/>
        <v>0</v>
      </c>
      <c r="Q63" s="618">
        <f t="shared" ca="1" si="153"/>
        <v>0</v>
      </c>
      <c r="S63" s="581">
        <f t="shared" ref="S63:AJ63" ca="1" si="167">SUM(S57:S62)</f>
        <v>0</v>
      </c>
      <c r="T63" s="581">
        <f t="shared" ca="1" si="167"/>
        <v>25.759855259999998</v>
      </c>
      <c r="U63" s="581">
        <f t="shared" ca="1" si="167"/>
        <v>0</v>
      </c>
      <c r="V63" s="581">
        <f t="shared" ca="1" si="167"/>
        <v>0</v>
      </c>
      <c r="W63" s="581">
        <f t="shared" ca="1" si="167"/>
        <v>0</v>
      </c>
      <c r="X63" s="581">
        <f t="shared" ca="1" si="167"/>
        <v>0</v>
      </c>
      <c r="Y63" s="581">
        <f t="shared" ca="1" si="167"/>
        <v>0</v>
      </c>
      <c r="Z63" s="581">
        <f t="shared" ca="1" si="167"/>
        <v>0</v>
      </c>
      <c r="AA63" s="581">
        <f t="shared" ca="1" si="167"/>
        <v>0</v>
      </c>
      <c r="AB63" s="581">
        <f t="shared" ca="1" si="167"/>
        <v>0</v>
      </c>
      <c r="AC63" s="581">
        <f t="shared" ca="1" si="167"/>
        <v>0</v>
      </c>
      <c r="AD63" s="581">
        <f t="shared" ca="1" si="167"/>
        <v>0</v>
      </c>
      <c r="AE63" s="581">
        <f ca="1">SUM(AE57:AE62)</f>
        <v>0</v>
      </c>
      <c r="AF63" s="581">
        <f t="shared" ca="1" si="167"/>
        <v>0</v>
      </c>
      <c r="AG63" s="581">
        <f t="shared" ca="1" si="167"/>
        <v>0</v>
      </c>
      <c r="AH63" s="581">
        <f ca="1">SUM(AH57:AH62)</f>
        <v>0</v>
      </c>
      <c r="AI63" s="581">
        <f t="shared" ca="1" si="167"/>
        <v>0</v>
      </c>
      <c r="AJ63" s="581">
        <f t="shared" ca="1" si="167"/>
        <v>0</v>
      </c>
      <c r="AK63" s="581">
        <f t="shared" ca="1" si="156"/>
        <v>25.759855259999998</v>
      </c>
      <c r="AM63" s="582">
        <f t="shared" ref="AM63:BE63" ca="1" si="168">SUM(AM57:AM62)</f>
        <v>0</v>
      </c>
      <c r="AN63" s="582">
        <f t="shared" ca="1" si="168"/>
        <v>0</v>
      </c>
      <c r="AO63" s="582">
        <f t="shared" ca="1" si="168"/>
        <v>0</v>
      </c>
      <c r="AP63" s="582">
        <f t="shared" ca="1" si="168"/>
        <v>0</v>
      </c>
      <c r="AQ63" s="582">
        <f t="shared" ca="1" si="168"/>
        <v>0</v>
      </c>
      <c r="AR63" s="582">
        <f t="shared" ca="1" si="168"/>
        <v>0</v>
      </c>
      <c r="AS63" s="582">
        <f t="shared" ca="1" si="168"/>
        <v>0</v>
      </c>
      <c r="AT63" s="582">
        <f t="shared" ca="1" si="168"/>
        <v>0</v>
      </c>
      <c r="AU63" s="582">
        <f t="shared" ca="1" si="168"/>
        <v>0</v>
      </c>
      <c r="AV63" s="582">
        <f t="shared" ca="1" si="168"/>
        <v>0</v>
      </c>
      <c r="AW63" s="582">
        <f t="shared" ca="1" si="168"/>
        <v>0</v>
      </c>
      <c r="AX63" s="582">
        <f t="shared" ca="1" si="168"/>
        <v>-21.735735299999998</v>
      </c>
      <c r="AY63" s="582">
        <f t="shared" ca="1" si="168"/>
        <v>-0.63115200000000027</v>
      </c>
      <c r="AZ63" s="582">
        <f t="shared" ca="1" si="168"/>
        <v>-2.6035020000000002</v>
      </c>
      <c r="BA63" s="582">
        <f t="shared" ca="1" si="168"/>
        <v>0</v>
      </c>
      <c r="BB63" s="582">
        <f t="shared" ca="1" si="168"/>
        <v>-0.78946596000000002</v>
      </c>
      <c r="BC63" s="582">
        <f t="shared" ca="1" si="168"/>
        <v>0</v>
      </c>
      <c r="BD63" s="582">
        <f t="shared" ca="1" si="168"/>
        <v>0</v>
      </c>
      <c r="BE63" s="582">
        <f t="shared" ca="1" si="168"/>
        <v>0</v>
      </c>
      <c r="BF63" s="582">
        <f t="shared" ca="1" si="159"/>
        <v>-25.759855259999998</v>
      </c>
      <c r="BH63" s="3463">
        <f ca="1">SUM(BH57:BH62)</f>
        <v>0</v>
      </c>
      <c r="BI63" s="3463">
        <f ca="1">SUM(BI57:BI62)</f>
        <v>0</v>
      </c>
      <c r="BJ63" s="3463">
        <f t="shared" ca="1" si="161"/>
        <v>0</v>
      </c>
      <c r="BL63" s="3477">
        <f t="shared" ca="1" si="150"/>
        <v>0</v>
      </c>
      <c r="BM63" s="584"/>
      <c r="BN63" s="413"/>
      <c r="BO63" s="2790">
        <f t="shared" ref="BO63:DF63" ca="1" si="169">SUM(BO57:BO62)</f>
        <v>0</v>
      </c>
      <c r="BP63" s="2790">
        <f t="shared" ca="1" si="169"/>
        <v>0</v>
      </c>
      <c r="BQ63" s="2790">
        <f t="shared" ca="1" si="169"/>
        <v>0</v>
      </c>
      <c r="BR63" s="2790">
        <f t="shared" ca="1" si="169"/>
        <v>0</v>
      </c>
      <c r="BS63" s="2790">
        <f t="shared" ca="1" si="169"/>
        <v>0</v>
      </c>
      <c r="BT63" s="2790">
        <f t="shared" ca="1" si="169"/>
        <v>0</v>
      </c>
      <c r="BU63" s="2790">
        <f t="shared" ca="1" si="169"/>
        <v>0</v>
      </c>
      <c r="BV63" s="2790">
        <f t="shared" ca="1" si="169"/>
        <v>0</v>
      </c>
      <c r="BW63" s="2790">
        <f t="shared" ca="1" si="169"/>
        <v>0</v>
      </c>
      <c r="BX63" s="2790">
        <f t="shared" ca="1" si="169"/>
        <v>0</v>
      </c>
      <c r="BY63" s="2790">
        <f t="shared" ca="1" si="169"/>
        <v>0</v>
      </c>
      <c r="BZ63" s="2790">
        <f t="shared" ca="1" si="169"/>
        <v>0</v>
      </c>
      <c r="CA63" s="2790">
        <f t="shared" ca="1" si="169"/>
        <v>0</v>
      </c>
      <c r="CB63" s="2790">
        <f t="shared" ca="1" si="169"/>
        <v>0</v>
      </c>
      <c r="CC63" s="2790">
        <f t="shared" ca="1" si="169"/>
        <v>0</v>
      </c>
      <c r="CD63" s="2790">
        <f t="shared" ca="1" si="169"/>
        <v>0</v>
      </c>
      <c r="CE63" s="2790">
        <f t="shared" ca="1" si="169"/>
        <v>0</v>
      </c>
      <c r="CF63" s="2790">
        <f t="shared" ca="1" si="169"/>
        <v>0</v>
      </c>
      <c r="CG63" s="2790">
        <f t="shared" ca="1" si="169"/>
        <v>0</v>
      </c>
      <c r="CH63" s="2790">
        <f t="shared" ca="1" si="169"/>
        <v>0</v>
      </c>
      <c r="CI63" s="2790">
        <f t="shared" ca="1" si="169"/>
        <v>0</v>
      </c>
      <c r="CJ63" s="2790">
        <f t="shared" ca="1" si="169"/>
        <v>0</v>
      </c>
      <c r="CK63" s="2790">
        <f t="shared" ca="1" si="169"/>
        <v>0</v>
      </c>
      <c r="CL63" s="2790">
        <f t="shared" ca="1" si="169"/>
        <v>0</v>
      </c>
      <c r="CM63" s="2790">
        <f t="shared" ca="1" si="169"/>
        <v>0</v>
      </c>
      <c r="CN63" s="2790">
        <f t="shared" ca="1" si="169"/>
        <v>0</v>
      </c>
      <c r="CO63" s="2790">
        <f t="shared" ca="1" si="169"/>
        <v>0</v>
      </c>
      <c r="CP63" s="2790">
        <f t="shared" ca="1" si="169"/>
        <v>0</v>
      </c>
      <c r="CQ63" s="2790">
        <f t="shared" ca="1" si="169"/>
        <v>0</v>
      </c>
      <c r="CR63" s="2790">
        <f t="shared" ca="1" si="169"/>
        <v>0</v>
      </c>
      <c r="CS63" s="2790">
        <f t="shared" ca="1" si="169"/>
        <v>0</v>
      </c>
      <c r="CT63" s="2790">
        <f t="shared" ca="1" si="169"/>
        <v>0</v>
      </c>
      <c r="CU63" s="2790">
        <f t="shared" ca="1" si="169"/>
        <v>0</v>
      </c>
      <c r="CV63" s="2790">
        <f t="shared" ca="1" si="169"/>
        <v>0</v>
      </c>
      <c r="CW63" s="2790">
        <f t="shared" ca="1" si="169"/>
        <v>0</v>
      </c>
      <c r="CX63" s="2790">
        <f t="shared" ca="1" si="169"/>
        <v>0</v>
      </c>
      <c r="CY63" s="2790">
        <f t="shared" ca="1" si="169"/>
        <v>0</v>
      </c>
      <c r="CZ63" s="2790">
        <f t="shared" ca="1" si="169"/>
        <v>0</v>
      </c>
      <c r="DA63" s="2790">
        <f t="shared" ca="1" si="169"/>
        <v>0</v>
      </c>
      <c r="DB63" s="2790">
        <f t="shared" ca="1" si="169"/>
        <v>0</v>
      </c>
      <c r="DC63" s="2790">
        <f t="shared" ca="1" si="169"/>
        <v>0</v>
      </c>
      <c r="DD63" s="2790">
        <f t="shared" ca="1" si="169"/>
        <v>0</v>
      </c>
      <c r="DE63" s="2790">
        <f t="shared" ca="1" si="169"/>
        <v>0</v>
      </c>
      <c r="DF63" s="2790">
        <f t="shared" ca="1" si="169"/>
        <v>0</v>
      </c>
      <c r="DH63" s="596">
        <f t="shared" ca="1" si="120"/>
        <v>0</v>
      </c>
    </row>
    <row r="64" spans="1:112" s="6" customFormat="1" ht="12.75" customHeight="1" outlineLevel="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20"/>
        <v>0</v>
      </c>
    </row>
    <row r="65" spans="1:112" s="607" customFormat="1" ht="12.75" customHeight="1" outlineLevel="1">
      <c r="C65" s="587" t="s">
        <v>534</v>
      </c>
      <c r="D65" s="588" t="s">
        <v>535</v>
      </c>
      <c r="E65" s="588"/>
      <c r="G65" s="657">
        <f t="shared" ref="G65:P67" ca="1" si="170">IFERROR(INDEX(INDIRECT($C65&amp;".Outputs["&amp;this.Year&amp;"]"), MATCH(G$5, INDIRECT($C65&amp;".Outputs[Vector]"), 0)), 0)</f>
        <v>0</v>
      </c>
      <c r="H65" s="657">
        <f t="shared" ca="1" si="170"/>
        <v>0</v>
      </c>
      <c r="I65" s="657">
        <f t="shared" ca="1" si="170"/>
        <v>0</v>
      </c>
      <c r="J65" s="657">
        <f t="shared" ca="1" si="170"/>
        <v>0</v>
      </c>
      <c r="K65" s="658">
        <f t="shared" ca="1" si="170"/>
        <v>0</v>
      </c>
      <c r="L65" s="657">
        <f t="shared" ca="1" si="170"/>
        <v>0</v>
      </c>
      <c r="M65" s="657">
        <f t="shared" ca="1" si="170"/>
        <v>0</v>
      </c>
      <c r="N65" s="657">
        <f t="shared" ca="1" si="170"/>
        <v>0</v>
      </c>
      <c r="O65" s="657">
        <f t="shared" ca="1" si="170"/>
        <v>0</v>
      </c>
      <c r="P65" s="657">
        <f t="shared" ca="1" si="170"/>
        <v>0</v>
      </c>
      <c r="Q65" s="659">
        <f ca="1">SUM(G65:P65)</f>
        <v>0</v>
      </c>
      <c r="S65" s="660">
        <f t="shared" ref="S65:AJ67" ca="1" si="171">IFERROR(INDEX(INDIRECT($C65&amp;".Outputs["&amp;this.Year&amp;"]"), MATCH(S$5, INDIRECT($C65&amp;".Outputs[Vector]"), 0)), 0)</f>
        <v>0</v>
      </c>
      <c r="T65" s="660">
        <f t="shared" ca="1" si="171"/>
        <v>1.700604</v>
      </c>
      <c r="U65" s="660">
        <f t="shared" ca="1" si="171"/>
        <v>0</v>
      </c>
      <c r="V65" s="660">
        <f t="shared" ca="1" si="171"/>
        <v>0</v>
      </c>
      <c r="W65" s="660">
        <f t="shared" ca="1" si="171"/>
        <v>0</v>
      </c>
      <c r="X65" s="660">
        <f t="shared" ref="X65:Z67" ca="1" si="172">IFERROR(INDEX(INDIRECT($C65&amp;".Outputs["&amp;this.Year&amp;"]"), MATCH(X$5, INDIRECT($C65&amp;".Outputs[Vector]"), 0)), 0)</f>
        <v>0</v>
      </c>
      <c r="Y65" s="660">
        <f t="shared" ca="1" si="172"/>
        <v>0</v>
      </c>
      <c r="Z65" s="660">
        <f t="shared" ca="1" si="172"/>
        <v>0</v>
      </c>
      <c r="AA65" s="660">
        <f t="shared" ca="1" si="171"/>
        <v>0</v>
      </c>
      <c r="AB65" s="660">
        <f t="shared" ca="1" si="171"/>
        <v>0</v>
      </c>
      <c r="AC65" s="660">
        <f t="shared" ca="1" si="171"/>
        <v>0</v>
      </c>
      <c r="AD65" s="660">
        <f t="shared" ca="1" si="171"/>
        <v>0</v>
      </c>
      <c r="AE65" s="660">
        <f t="shared" ca="1" si="171"/>
        <v>0</v>
      </c>
      <c r="AF65" s="660">
        <f t="shared" ca="1" si="171"/>
        <v>0</v>
      </c>
      <c r="AG65" s="660">
        <f t="shared" ca="1" si="171"/>
        <v>0</v>
      </c>
      <c r="AH65" s="660">
        <f t="shared" ca="1" si="171"/>
        <v>0</v>
      </c>
      <c r="AI65" s="660">
        <f t="shared" ca="1" si="171"/>
        <v>0</v>
      </c>
      <c r="AJ65" s="660">
        <f t="shared" ca="1" si="171"/>
        <v>0</v>
      </c>
      <c r="AK65" s="661">
        <f ca="1">SUM(S65:AJ65)</f>
        <v>1.700604</v>
      </c>
      <c r="AM65" s="662">
        <f t="shared" ref="AM65:AU67" ca="1" si="173">IFERROR(INDEX(INDIRECT($C65&amp;".Outputs["&amp;this.Year&amp;"]"), MATCH(AM$5, INDIRECT($C65&amp;".Outputs[Vector]"), 0)), 0)</f>
        <v>0</v>
      </c>
      <c r="AN65" s="662">
        <f t="shared" ca="1" si="173"/>
        <v>0</v>
      </c>
      <c r="AO65" s="662">
        <f t="shared" ca="1" si="173"/>
        <v>0</v>
      </c>
      <c r="AP65" s="662">
        <f t="shared" ca="1" si="173"/>
        <v>0</v>
      </c>
      <c r="AQ65" s="662">
        <f t="shared" ca="1" si="173"/>
        <v>0</v>
      </c>
      <c r="AR65" s="662">
        <f t="shared" ca="1" si="173"/>
        <v>0</v>
      </c>
      <c r="AS65" s="662">
        <f t="shared" ca="1" si="173"/>
        <v>0</v>
      </c>
      <c r="AT65" s="662">
        <f t="shared" ca="1" si="173"/>
        <v>0</v>
      </c>
      <c r="AU65" s="662">
        <f t="shared" ca="1" si="173"/>
        <v>0</v>
      </c>
      <c r="AV65" s="662">
        <f t="shared" ref="AV65:BE67" ca="1" si="174">IFERROR(INDEX(INDIRECT($C65&amp;".Outputs["&amp;this.Year&amp;"]"), MATCH(AV$5, INDIRECT($C65&amp;".Outputs[Vector]"), 0)), 0)</f>
        <v>0</v>
      </c>
      <c r="AW65" s="662">
        <f t="shared" ca="1" si="174"/>
        <v>-1.700604</v>
      </c>
      <c r="AX65" s="662">
        <f t="shared" ca="1" si="174"/>
        <v>0</v>
      </c>
      <c r="AY65" s="662">
        <f t="shared" ca="1" si="174"/>
        <v>0</v>
      </c>
      <c r="AZ65" s="662">
        <f t="shared" ca="1" si="174"/>
        <v>0</v>
      </c>
      <c r="BA65" s="662">
        <f t="shared" ca="1" si="174"/>
        <v>0</v>
      </c>
      <c r="BB65" s="662">
        <f t="shared" ca="1" si="174"/>
        <v>0</v>
      </c>
      <c r="BC65" s="662">
        <f t="shared" ca="1" si="174"/>
        <v>0</v>
      </c>
      <c r="BD65" s="662">
        <f t="shared" ca="1" si="174"/>
        <v>0</v>
      </c>
      <c r="BE65" s="662">
        <f t="shared" ca="1" si="174"/>
        <v>0</v>
      </c>
      <c r="BF65" s="609">
        <f ca="1">SUM(AM65:BE65)</f>
        <v>-1.700604</v>
      </c>
      <c r="BH65" s="663">
        <f t="shared" ref="BH65:BI67" ca="1" si="175">IFERROR(INDEX(INDIRECT($C65&amp;".Outputs["&amp;this.Year&amp;"]"), MATCH(BH$5, INDIRECT($C65&amp;".Outputs[Vector]"), 0)), 0)</f>
        <v>0</v>
      </c>
      <c r="BI65" s="663">
        <f t="shared" ca="1" si="175"/>
        <v>0</v>
      </c>
      <c r="BJ65" s="664">
        <f ca="1">SUM(BH65:BI65)</f>
        <v>0</v>
      </c>
      <c r="BL65" s="610">
        <f t="shared" ref="BL65:BL72" ca="1" si="176">Q65+AK65+BF65+BJ65</f>
        <v>0</v>
      </c>
      <c r="BM65" s="610"/>
      <c r="BO65" s="665">
        <f t="shared" ref="BO65:DF67" ca="1" si="177">IFERROR(SUMIFS(INDIRECT($C65&amp;".Emissions["&amp;this.Year&amp;"]"), INDIRECT($C65&amp;".Emissions[GHG]"), BO$6, INDIRECT($C65&amp;".Emissions[IPCC Sector]"), BO$5),0)</f>
        <v>0</v>
      </c>
      <c r="BP65" s="665">
        <f t="shared" ca="1" si="177"/>
        <v>0</v>
      </c>
      <c r="BQ65" s="665">
        <f t="shared" ca="1" si="177"/>
        <v>0</v>
      </c>
      <c r="BR65" s="665">
        <f t="shared" ca="1" si="177"/>
        <v>0</v>
      </c>
      <c r="BS65" s="665">
        <f t="shared" ca="1" si="177"/>
        <v>0</v>
      </c>
      <c r="BT65" s="665">
        <f t="shared" ca="1" si="177"/>
        <v>0</v>
      </c>
      <c r="BU65" s="665">
        <f t="shared" ca="1" si="177"/>
        <v>0</v>
      </c>
      <c r="BV65" s="665">
        <f t="shared" ca="1" si="177"/>
        <v>0</v>
      </c>
      <c r="BW65" s="665">
        <f t="shared" ca="1" si="177"/>
        <v>0</v>
      </c>
      <c r="BX65" s="665">
        <f t="shared" ca="1" si="177"/>
        <v>0</v>
      </c>
      <c r="BY65" s="665">
        <f t="shared" ca="1" si="177"/>
        <v>0</v>
      </c>
      <c r="BZ65" s="665">
        <f t="shared" ca="1" si="177"/>
        <v>0</v>
      </c>
      <c r="CA65" s="665">
        <f t="shared" ca="1" si="177"/>
        <v>0</v>
      </c>
      <c r="CB65" s="665">
        <f t="shared" ca="1" si="177"/>
        <v>0</v>
      </c>
      <c r="CC65" s="665">
        <f t="shared" ca="1" si="177"/>
        <v>0</v>
      </c>
      <c r="CD65" s="665">
        <f t="shared" ca="1" si="177"/>
        <v>0</v>
      </c>
      <c r="CE65" s="665">
        <f t="shared" ca="1" si="177"/>
        <v>0</v>
      </c>
      <c r="CF65" s="665">
        <f t="shared" ca="1" si="177"/>
        <v>0</v>
      </c>
      <c r="CG65" s="665">
        <f t="shared" ca="1" si="177"/>
        <v>0</v>
      </c>
      <c r="CH65" s="665">
        <f t="shared" ca="1" si="177"/>
        <v>0</v>
      </c>
      <c r="CI65" s="665">
        <f t="shared" ca="1" si="177"/>
        <v>0</v>
      </c>
      <c r="CJ65" s="665">
        <f t="shared" ca="1" si="177"/>
        <v>0</v>
      </c>
      <c r="CK65" s="665">
        <f t="shared" ca="1" si="177"/>
        <v>0</v>
      </c>
      <c r="CL65" s="665">
        <f t="shared" ca="1" si="177"/>
        <v>0</v>
      </c>
      <c r="CM65" s="665">
        <f t="shared" ca="1" si="177"/>
        <v>0</v>
      </c>
      <c r="CN65" s="665">
        <f t="shared" ca="1" si="177"/>
        <v>0</v>
      </c>
      <c r="CO65" s="665">
        <f t="shared" ca="1" si="177"/>
        <v>0</v>
      </c>
      <c r="CP65" s="665">
        <f t="shared" ca="1" si="177"/>
        <v>0</v>
      </c>
      <c r="CQ65" s="665">
        <f t="shared" ca="1" si="177"/>
        <v>0</v>
      </c>
      <c r="CR65" s="665">
        <f t="shared" ca="1" si="177"/>
        <v>0</v>
      </c>
      <c r="CS65" s="665">
        <f t="shared" ca="1" si="177"/>
        <v>0</v>
      </c>
      <c r="CT65" s="665">
        <f t="shared" ca="1" si="177"/>
        <v>0</v>
      </c>
      <c r="CU65" s="665">
        <f t="shared" ca="1" si="177"/>
        <v>0</v>
      </c>
      <c r="CV65" s="665">
        <f t="shared" ca="1" si="177"/>
        <v>0</v>
      </c>
      <c r="CW65" s="665">
        <f t="shared" ca="1" si="177"/>
        <v>0</v>
      </c>
      <c r="CX65" s="665">
        <f t="shared" ca="1" si="177"/>
        <v>0</v>
      </c>
      <c r="CY65" s="665">
        <f t="shared" ca="1" si="177"/>
        <v>0</v>
      </c>
      <c r="CZ65" s="665">
        <f t="shared" ca="1" si="177"/>
        <v>0</v>
      </c>
      <c r="DA65" s="665">
        <f t="shared" ca="1" si="177"/>
        <v>0</v>
      </c>
      <c r="DB65" s="665">
        <f t="shared" ca="1" si="177"/>
        <v>0</v>
      </c>
      <c r="DC65" s="665">
        <f t="shared" ca="1" si="177"/>
        <v>0</v>
      </c>
      <c r="DD65" s="665">
        <f t="shared" ca="1" si="177"/>
        <v>0</v>
      </c>
      <c r="DE65" s="665">
        <f t="shared" ca="1" si="177"/>
        <v>0</v>
      </c>
      <c r="DF65" s="665">
        <f t="shared" ca="1" si="177"/>
        <v>0</v>
      </c>
      <c r="DH65" s="666">
        <f t="shared" ca="1" si="120"/>
        <v>0</v>
      </c>
    </row>
    <row r="66" spans="1:112" s="607" customFormat="1" ht="12.75" customHeight="1" outlineLevel="1">
      <c r="C66" s="587" t="s">
        <v>25</v>
      </c>
      <c r="D66" s="588" t="s">
        <v>26</v>
      </c>
      <c r="E66" s="588"/>
      <c r="G66" s="657">
        <f t="shared" ca="1" si="170"/>
        <v>0</v>
      </c>
      <c r="H66" s="657">
        <f t="shared" ca="1" si="170"/>
        <v>0.10018562509687508</v>
      </c>
      <c r="I66" s="657">
        <f t="shared" ca="1" si="170"/>
        <v>0</v>
      </c>
      <c r="J66" s="657">
        <f t="shared" ca="1" si="170"/>
        <v>0</v>
      </c>
      <c r="K66" s="658">
        <f t="shared" ca="1" si="170"/>
        <v>0</v>
      </c>
      <c r="L66" s="657">
        <f t="shared" ca="1" si="170"/>
        <v>0</v>
      </c>
      <c r="M66" s="657">
        <f t="shared" ca="1" si="170"/>
        <v>0</v>
      </c>
      <c r="N66" s="657">
        <f t="shared" ca="1" si="170"/>
        <v>0</v>
      </c>
      <c r="O66" s="657">
        <f t="shared" ca="1" si="170"/>
        <v>0</v>
      </c>
      <c r="P66" s="657">
        <f t="shared" ca="1" si="170"/>
        <v>0</v>
      </c>
      <c r="Q66" s="659">
        <f ca="1">SUM(G66:P66)</f>
        <v>0.10018562509687508</v>
      </c>
      <c r="S66" s="660">
        <f t="shared" ca="1" si="171"/>
        <v>-0.10018562509687508</v>
      </c>
      <c r="T66" s="660">
        <f t="shared" ca="1" si="171"/>
        <v>0</v>
      </c>
      <c r="U66" s="660">
        <f t="shared" ca="1" si="171"/>
        <v>0</v>
      </c>
      <c r="V66" s="660">
        <f t="shared" ca="1" si="171"/>
        <v>0</v>
      </c>
      <c r="W66" s="660">
        <f t="shared" ca="1" si="171"/>
        <v>0</v>
      </c>
      <c r="X66" s="660">
        <f t="shared" ca="1" si="172"/>
        <v>0</v>
      </c>
      <c r="Y66" s="660">
        <f t="shared" ca="1" si="172"/>
        <v>0</v>
      </c>
      <c r="Z66" s="660">
        <f t="shared" ca="1" si="172"/>
        <v>0</v>
      </c>
      <c r="AA66" s="660">
        <f t="shared" ca="1" si="171"/>
        <v>0</v>
      </c>
      <c r="AB66" s="660">
        <f t="shared" ca="1" si="171"/>
        <v>0</v>
      </c>
      <c r="AC66" s="660">
        <f t="shared" ca="1" si="171"/>
        <v>0</v>
      </c>
      <c r="AD66" s="660">
        <f t="shared" ca="1" si="171"/>
        <v>0</v>
      </c>
      <c r="AE66" s="660">
        <f t="shared" ca="1" si="171"/>
        <v>0</v>
      </c>
      <c r="AF66" s="660">
        <f t="shared" ca="1" si="171"/>
        <v>0</v>
      </c>
      <c r="AG66" s="660">
        <f t="shared" ca="1" si="171"/>
        <v>0</v>
      </c>
      <c r="AH66" s="660">
        <f t="shared" ca="1" si="171"/>
        <v>0</v>
      </c>
      <c r="AI66" s="660">
        <f t="shared" ca="1" si="171"/>
        <v>1.4025987513562512</v>
      </c>
      <c r="AJ66" s="660">
        <f t="shared" ca="1" si="171"/>
        <v>0</v>
      </c>
      <c r="AK66" s="661">
        <f ca="1">SUM(S66:AJ66)</f>
        <v>1.3024131262593761</v>
      </c>
      <c r="AM66" s="662">
        <f t="shared" ca="1" si="173"/>
        <v>0</v>
      </c>
      <c r="AN66" s="662">
        <f t="shared" ca="1" si="173"/>
        <v>0</v>
      </c>
      <c r="AO66" s="662">
        <f t="shared" ca="1" si="173"/>
        <v>0</v>
      </c>
      <c r="AP66" s="662">
        <f t="shared" ca="1" si="173"/>
        <v>0</v>
      </c>
      <c r="AQ66" s="662">
        <f t="shared" ca="1" si="173"/>
        <v>0</v>
      </c>
      <c r="AR66" s="662">
        <f t="shared" ca="1" si="173"/>
        <v>0</v>
      </c>
      <c r="AS66" s="662">
        <f t="shared" ca="1" si="173"/>
        <v>0</v>
      </c>
      <c r="AT66" s="662">
        <f t="shared" ca="1" si="173"/>
        <v>0</v>
      </c>
      <c r="AU66" s="662">
        <f t="shared" ca="1" si="173"/>
        <v>0</v>
      </c>
      <c r="AV66" s="662">
        <f t="shared" ca="1" si="174"/>
        <v>0</v>
      </c>
      <c r="AW66" s="662">
        <f t="shared" ca="1" si="174"/>
        <v>-1.4025987513562512</v>
      </c>
      <c r="AX66" s="662">
        <f t="shared" ca="1" si="174"/>
        <v>0</v>
      </c>
      <c r="AY66" s="662">
        <f t="shared" ca="1" si="174"/>
        <v>0</v>
      </c>
      <c r="AZ66" s="662">
        <f t="shared" ca="1" si="174"/>
        <v>0</v>
      </c>
      <c r="BA66" s="662">
        <f t="shared" ca="1" si="174"/>
        <v>0</v>
      </c>
      <c r="BB66" s="662">
        <f t="shared" ca="1" si="174"/>
        <v>0</v>
      </c>
      <c r="BC66" s="662">
        <f t="shared" ca="1" si="174"/>
        <v>0</v>
      </c>
      <c r="BD66" s="662">
        <f t="shared" ca="1" si="174"/>
        <v>0</v>
      </c>
      <c r="BE66" s="662">
        <f t="shared" ca="1" si="174"/>
        <v>0</v>
      </c>
      <c r="BF66" s="609">
        <f ca="1">SUM(AM66:BE66)</f>
        <v>-1.4025987513562512</v>
      </c>
      <c r="BH66" s="663">
        <f t="shared" ca="1" si="175"/>
        <v>0</v>
      </c>
      <c r="BI66" s="663">
        <f t="shared" ca="1" si="175"/>
        <v>0</v>
      </c>
      <c r="BJ66" s="664">
        <f ca="1">SUM(BH66:BI66)</f>
        <v>0</v>
      </c>
      <c r="BL66" s="610">
        <f t="shared" ca="1" si="176"/>
        <v>0</v>
      </c>
      <c r="BM66" s="610"/>
      <c r="BO66" s="665">
        <f t="shared" ca="1" si="177"/>
        <v>0</v>
      </c>
      <c r="BP66" s="665">
        <f t="shared" ca="1" si="177"/>
        <v>0</v>
      </c>
      <c r="BQ66" s="665">
        <f t="shared" ca="1" si="177"/>
        <v>0</v>
      </c>
      <c r="BR66" s="665">
        <f t="shared" ca="1" si="177"/>
        <v>0</v>
      </c>
      <c r="BS66" s="665">
        <f t="shared" ca="1" si="177"/>
        <v>0</v>
      </c>
      <c r="BT66" s="665">
        <f t="shared" ca="1" si="177"/>
        <v>0</v>
      </c>
      <c r="BU66" s="665">
        <f t="shared" ca="1" si="177"/>
        <v>0</v>
      </c>
      <c r="BV66" s="665">
        <f t="shared" ca="1" si="177"/>
        <v>0</v>
      </c>
      <c r="BW66" s="665">
        <f t="shared" ca="1" si="177"/>
        <v>0</v>
      </c>
      <c r="BX66" s="665">
        <f t="shared" ca="1" si="177"/>
        <v>0</v>
      </c>
      <c r="BY66" s="665">
        <f t="shared" ca="1" si="177"/>
        <v>0</v>
      </c>
      <c r="BZ66" s="665">
        <f t="shared" ca="1" si="177"/>
        <v>0</v>
      </c>
      <c r="CA66" s="665">
        <f t="shared" ca="1" si="177"/>
        <v>0</v>
      </c>
      <c r="CB66" s="665">
        <f t="shared" ca="1" si="177"/>
        <v>0</v>
      </c>
      <c r="CC66" s="665">
        <f t="shared" ca="1" si="177"/>
        <v>0</v>
      </c>
      <c r="CD66" s="665">
        <f t="shared" ca="1" si="177"/>
        <v>0</v>
      </c>
      <c r="CE66" s="665">
        <f t="shared" ca="1" si="177"/>
        <v>0</v>
      </c>
      <c r="CF66" s="665">
        <f t="shared" ca="1" si="177"/>
        <v>0</v>
      </c>
      <c r="CG66" s="665">
        <f t="shared" ca="1" si="177"/>
        <v>0</v>
      </c>
      <c r="CH66" s="665">
        <f t="shared" ca="1" si="177"/>
        <v>0</v>
      </c>
      <c r="CI66" s="665">
        <f t="shared" ca="1" si="177"/>
        <v>0</v>
      </c>
      <c r="CJ66" s="665">
        <f t="shared" ca="1" si="177"/>
        <v>0</v>
      </c>
      <c r="CK66" s="665">
        <f t="shared" ca="1" si="177"/>
        <v>0</v>
      </c>
      <c r="CL66" s="665">
        <f t="shared" ca="1" si="177"/>
        <v>0</v>
      </c>
      <c r="CM66" s="665">
        <f t="shared" ca="1" si="177"/>
        <v>0</v>
      </c>
      <c r="CN66" s="665">
        <f t="shared" ca="1" si="177"/>
        <v>0</v>
      </c>
      <c r="CO66" s="665">
        <f t="shared" ca="1" si="177"/>
        <v>0</v>
      </c>
      <c r="CP66" s="665">
        <f t="shared" ca="1" si="177"/>
        <v>0</v>
      </c>
      <c r="CQ66" s="665">
        <f t="shared" ca="1" si="177"/>
        <v>0</v>
      </c>
      <c r="CR66" s="665">
        <f t="shared" ca="1" si="177"/>
        <v>0</v>
      </c>
      <c r="CS66" s="665">
        <f t="shared" ca="1" si="177"/>
        <v>0</v>
      </c>
      <c r="CT66" s="665">
        <f t="shared" ca="1" si="177"/>
        <v>0</v>
      </c>
      <c r="CU66" s="665">
        <f t="shared" ca="1" si="177"/>
        <v>0</v>
      </c>
      <c r="CV66" s="665">
        <f t="shared" ca="1" si="177"/>
        <v>0</v>
      </c>
      <c r="CW66" s="665">
        <f t="shared" ca="1" si="177"/>
        <v>0</v>
      </c>
      <c r="CX66" s="665">
        <f t="shared" ca="1" si="177"/>
        <v>0</v>
      </c>
      <c r="CY66" s="665">
        <f t="shared" ca="1" si="177"/>
        <v>0</v>
      </c>
      <c r="CZ66" s="665">
        <f t="shared" ca="1" si="177"/>
        <v>0</v>
      </c>
      <c r="DA66" s="665">
        <f t="shared" ca="1" si="177"/>
        <v>0</v>
      </c>
      <c r="DB66" s="665">
        <f t="shared" ca="1" si="177"/>
        <v>0</v>
      </c>
      <c r="DC66" s="665">
        <f t="shared" ca="1" si="177"/>
        <v>0</v>
      </c>
      <c r="DD66" s="665">
        <f t="shared" ca="1" si="177"/>
        <v>0</v>
      </c>
      <c r="DE66" s="665">
        <f t="shared" ca="1" si="177"/>
        <v>0</v>
      </c>
      <c r="DF66" s="665">
        <f t="shared" ca="1" si="177"/>
        <v>0</v>
      </c>
      <c r="DH66" s="666">
        <f t="shared" ca="1" si="120"/>
        <v>0</v>
      </c>
    </row>
    <row r="67" spans="1:112" s="607" customFormat="1" ht="12.75" customHeight="1" outlineLevel="1">
      <c r="C67" s="587" t="s">
        <v>536</v>
      </c>
      <c r="D67" s="611" t="s">
        <v>537</v>
      </c>
      <c r="E67" s="611"/>
      <c r="F67" s="6"/>
      <c r="G67" s="619">
        <f t="shared" ca="1" si="170"/>
        <v>0</v>
      </c>
      <c r="H67" s="619">
        <f t="shared" ca="1" si="170"/>
        <v>0</v>
      </c>
      <c r="I67" s="619">
        <f t="shared" ca="1" si="170"/>
        <v>0</v>
      </c>
      <c r="J67" s="619">
        <f t="shared" ca="1" si="170"/>
        <v>0</v>
      </c>
      <c r="K67" s="619">
        <f t="shared" ca="1" si="170"/>
        <v>0</v>
      </c>
      <c r="L67" s="619">
        <f t="shared" ca="1" si="170"/>
        <v>0</v>
      </c>
      <c r="M67" s="619">
        <f t="shared" ca="1" si="170"/>
        <v>0</v>
      </c>
      <c r="N67" s="619">
        <f t="shared" ca="1" si="170"/>
        <v>0</v>
      </c>
      <c r="O67" s="619">
        <f t="shared" ca="1" si="170"/>
        <v>0</v>
      </c>
      <c r="P67" s="619">
        <f t="shared" ca="1" si="170"/>
        <v>0</v>
      </c>
      <c r="Q67" s="612">
        <f ca="1">SUM(G67:P67)</f>
        <v>0</v>
      </c>
      <c r="R67" s="6"/>
      <c r="S67" s="620">
        <f t="shared" ca="1" si="171"/>
        <v>0</v>
      </c>
      <c r="T67" s="620">
        <f t="shared" ca="1" si="171"/>
        <v>0.21038399999999999</v>
      </c>
      <c r="U67" s="620">
        <f t="shared" ca="1" si="171"/>
        <v>0</v>
      </c>
      <c r="V67" s="620">
        <f t="shared" ca="1" si="171"/>
        <v>0</v>
      </c>
      <c r="W67" s="620">
        <f t="shared" ca="1" si="171"/>
        <v>0</v>
      </c>
      <c r="X67" s="620">
        <f t="shared" ca="1" si="172"/>
        <v>0</v>
      </c>
      <c r="Y67" s="620">
        <f t="shared" ca="1" si="172"/>
        <v>0</v>
      </c>
      <c r="Z67" s="620">
        <f t="shared" ca="1" si="172"/>
        <v>0</v>
      </c>
      <c r="AA67" s="620">
        <f t="shared" ca="1" si="171"/>
        <v>0</v>
      </c>
      <c r="AB67" s="620">
        <f t="shared" ca="1" si="171"/>
        <v>0</v>
      </c>
      <c r="AC67" s="620">
        <f t="shared" ca="1" si="171"/>
        <v>0</v>
      </c>
      <c r="AD67" s="620">
        <f t="shared" ca="1" si="171"/>
        <v>0</v>
      </c>
      <c r="AE67" s="620">
        <f t="shared" ca="1" si="171"/>
        <v>0</v>
      </c>
      <c r="AF67" s="620">
        <f t="shared" ca="1" si="171"/>
        <v>0</v>
      </c>
      <c r="AG67" s="620">
        <f t="shared" ca="1" si="171"/>
        <v>0</v>
      </c>
      <c r="AH67" s="620">
        <f t="shared" ca="1" si="171"/>
        <v>0</v>
      </c>
      <c r="AI67" s="620">
        <f t="shared" ca="1" si="171"/>
        <v>0</v>
      </c>
      <c r="AJ67" s="620">
        <f t="shared" ca="1" si="171"/>
        <v>0</v>
      </c>
      <c r="AK67" s="613">
        <f ca="1">SUM(S67:AJ67)</f>
        <v>0.21038399999999999</v>
      </c>
      <c r="AL67" s="6"/>
      <c r="AM67" s="621">
        <f t="shared" ca="1" si="173"/>
        <v>0</v>
      </c>
      <c r="AN67" s="621">
        <f t="shared" ca="1" si="173"/>
        <v>0</v>
      </c>
      <c r="AO67" s="621">
        <f t="shared" ca="1" si="173"/>
        <v>0</v>
      </c>
      <c r="AP67" s="621">
        <f t="shared" ca="1" si="173"/>
        <v>0</v>
      </c>
      <c r="AQ67" s="621">
        <f t="shared" ca="1" si="173"/>
        <v>0</v>
      </c>
      <c r="AR67" s="621">
        <f t="shared" ca="1" si="173"/>
        <v>0</v>
      </c>
      <c r="AS67" s="621">
        <f t="shared" ca="1" si="173"/>
        <v>0</v>
      </c>
      <c r="AT67" s="621">
        <f t="shared" ca="1" si="173"/>
        <v>0</v>
      </c>
      <c r="AU67" s="621">
        <f t="shared" ca="1" si="173"/>
        <v>0</v>
      </c>
      <c r="AV67" s="621">
        <f t="shared" ca="1" si="174"/>
        <v>0</v>
      </c>
      <c r="AW67" s="621">
        <f t="shared" ca="1" si="174"/>
        <v>0</v>
      </c>
      <c r="AX67" s="621">
        <f t="shared" ca="1" si="174"/>
        <v>-0.21038399999999999</v>
      </c>
      <c r="AY67" s="621">
        <f t="shared" ca="1" si="174"/>
        <v>0</v>
      </c>
      <c r="AZ67" s="621">
        <f t="shared" ca="1" si="174"/>
        <v>0</v>
      </c>
      <c r="BA67" s="621">
        <f t="shared" ca="1" si="174"/>
        <v>0</v>
      </c>
      <c r="BB67" s="621">
        <f t="shared" ca="1" si="174"/>
        <v>0</v>
      </c>
      <c r="BC67" s="621">
        <f t="shared" ca="1" si="174"/>
        <v>0</v>
      </c>
      <c r="BD67" s="621">
        <f t="shared" ca="1" si="174"/>
        <v>0</v>
      </c>
      <c r="BE67" s="621">
        <f t="shared" ca="1" si="174"/>
        <v>0</v>
      </c>
      <c r="BF67" s="615">
        <f ca="1">SUM(AM67:BE67)</f>
        <v>-0.21038399999999999</v>
      </c>
      <c r="BG67" s="6"/>
      <c r="BH67" s="3473">
        <f t="shared" ca="1" si="175"/>
        <v>0</v>
      </c>
      <c r="BI67" s="3473">
        <f t="shared" ca="1" si="175"/>
        <v>0</v>
      </c>
      <c r="BJ67" s="3462">
        <f ca="1">SUM(BH67:BI67)</f>
        <v>0</v>
      </c>
      <c r="BK67" s="6"/>
      <c r="BL67" s="610">
        <f t="shared" ca="1" si="176"/>
        <v>0</v>
      </c>
      <c r="BM67" s="610"/>
      <c r="BN67" s="413"/>
      <c r="BO67" s="2791">
        <f t="shared" ca="1" si="177"/>
        <v>0</v>
      </c>
      <c r="BP67" s="2792">
        <f t="shared" ca="1" si="177"/>
        <v>0</v>
      </c>
      <c r="BQ67" s="2792">
        <f t="shared" ca="1" si="177"/>
        <v>0</v>
      </c>
      <c r="BR67" s="2792">
        <f t="shared" ca="1" si="177"/>
        <v>0</v>
      </c>
      <c r="BS67" s="2792">
        <f t="shared" ca="1" si="177"/>
        <v>0</v>
      </c>
      <c r="BT67" s="2792">
        <f t="shared" ca="1" si="177"/>
        <v>0</v>
      </c>
      <c r="BU67" s="2792">
        <f t="shared" ca="1" si="177"/>
        <v>0</v>
      </c>
      <c r="BV67" s="2792">
        <f t="shared" ca="1" si="177"/>
        <v>0</v>
      </c>
      <c r="BW67" s="2792">
        <f t="shared" ca="1" si="177"/>
        <v>0</v>
      </c>
      <c r="BX67" s="2792">
        <f t="shared" ca="1" si="177"/>
        <v>0</v>
      </c>
      <c r="BY67" s="2792">
        <f t="shared" ca="1" si="177"/>
        <v>0</v>
      </c>
      <c r="BZ67" s="2792">
        <f t="shared" ca="1" si="177"/>
        <v>0</v>
      </c>
      <c r="CA67" s="2792">
        <f t="shared" ca="1" si="177"/>
        <v>0</v>
      </c>
      <c r="CB67" s="2792">
        <f t="shared" ca="1" si="177"/>
        <v>0</v>
      </c>
      <c r="CC67" s="2792">
        <f t="shared" ca="1" si="177"/>
        <v>0</v>
      </c>
      <c r="CD67" s="2792">
        <f t="shared" ca="1" si="177"/>
        <v>0</v>
      </c>
      <c r="CE67" s="2792">
        <f t="shared" ca="1" si="177"/>
        <v>0</v>
      </c>
      <c r="CF67" s="2792">
        <f t="shared" ca="1" si="177"/>
        <v>0</v>
      </c>
      <c r="CG67" s="2792">
        <f t="shared" ca="1" si="177"/>
        <v>0</v>
      </c>
      <c r="CH67" s="2792">
        <f t="shared" ca="1" si="177"/>
        <v>0</v>
      </c>
      <c r="CI67" s="2792">
        <f t="shared" ca="1" si="177"/>
        <v>0</v>
      </c>
      <c r="CJ67" s="2792">
        <f t="shared" ca="1" si="177"/>
        <v>0</v>
      </c>
      <c r="CK67" s="2792">
        <f t="shared" ca="1" si="177"/>
        <v>0</v>
      </c>
      <c r="CL67" s="2792">
        <f t="shared" ca="1" si="177"/>
        <v>0</v>
      </c>
      <c r="CM67" s="2792">
        <f t="shared" ca="1" si="177"/>
        <v>0</v>
      </c>
      <c r="CN67" s="2792">
        <f t="shared" ca="1" si="177"/>
        <v>0</v>
      </c>
      <c r="CO67" s="2792">
        <f t="shared" ca="1" si="177"/>
        <v>0</v>
      </c>
      <c r="CP67" s="2792">
        <f t="shared" ca="1" si="177"/>
        <v>0</v>
      </c>
      <c r="CQ67" s="2792">
        <f t="shared" ca="1" si="177"/>
        <v>0</v>
      </c>
      <c r="CR67" s="2792">
        <f t="shared" ca="1" si="177"/>
        <v>0</v>
      </c>
      <c r="CS67" s="2792">
        <f t="shared" ca="1" si="177"/>
        <v>0</v>
      </c>
      <c r="CT67" s="2792">
        <f t="shared" ca="1" si="177"/>
        <v>0</v>
      </c>
      <c r="CU67" s="2792">
        <f t="shared" ca="1" si="177"/>
        <v>0</v>
      </c>
      <c r="CV67" s="2792">
        <f t="shared" ca="1" si="177"/>
        <v>0</v>
      </c>
      <c r="CW67" s="2792">
        <f t="shared" ca="1" si="177"/>
        <v>0</v>
      </c>
      <c r="CX67" s="2792">
        <f t="shared" ca="1" si="177"/>
        <v>0</v>
      </c>
      <c r="CY67" s="2792">
        <f t="shared" ca="1" si="177"/>
        <v>0</v>
      </c>
      <c r="CZ67" s="2792">
        <f t="shared" ca="1" si="177"/>
        <v>0</v>
      </c>
      <c r="DA67" s="2792">
        <f t="shared" ca="1" si="177"/>
        <v>0</v>
      </c>
      <c r="DB67" s="2792">
        <f t="shared" ca="1" si="177"/>
        <v>0</v>
      </c>
      <c r="DC67" s="2792">
        <f t="shared" ca="1" si="177"/>
        <v>0</v>
      </c>
      <c r="DD67" s="2792">
        <f t="shared" ca="1" si="177"/>
        <v>0</v>
      </c>
      <c r="DE67" s="2792">
        <f t="shared" ca="1" si="177"/>
        <v>0</v>
      </c>
      <c r="DF67" s="2792">
        <f t="shared" ca="1" si="177"/>
        <v>0</v>
      </c>
      <c r="DH67" s="596">
        <f t="shared" ca="1" si="120"/>
        <v>0</v>
      </c>
    </row>
    <row r="68" spans="1:112" s="6" customFormat="1" ht="15.75">
      <c r="A68" s="4"/>
      <c r="B68" s="3"/>
      <c r="C68" s="616" t="s">
        <v>538</v>
      </c>
      <c r="D68" s="617" t="s">
        <v>539</v>
      </c>
      <c r="E68" s="206"/>
      <c r="G68" s="618">
        <f ca="1">SUM(G65:G67)</f>
        <v>0</v>
      </c>
      <c r="H68" s="618">
        <f t="shared" ref="H68:P68" ca="1" si="178">SUM(H65:H67)</f>
        <v>0.10018562509687508</v>
      </c>
      <c r="I68" s="618">
        <f t="shared" ca="1" si="178"/>
        <v>0</v>
      </c>
      <c r="J68" s="618">
        <f t="shared" ca="1" si="178"/>
        <v>0</v>
      </c>
      <c r="K68" s="618">
        <f t="shared" ca="1" si="178"/>
        <v>0</v>
      </c>
      <c r="L68" s="618">
        <f t="shared" ca="1" si="178"/>
        <v>0</v>
      </c>
      <c r="M68" s="618">
        <f t="shared" ca="1" si="178"/>
        <v>0</v>
      </c>
      <c r="N68" s="618">
        <f t="shared" ca="1" si="178"/>
        <v>0</v>
      </c>
      <c r="O68" s="618">
        <f t="shared" ca="1" si="178"/>
        <v>0</v>
      </c>
      <c r="P68" s="618">
        <f t="shared" ca="1" si="178"/>
        <v>0</v>
      </c>
      <c r="Q68" s="618">
        <f ca="1">SUM(G68:P68)</f>
        <v>0.10018562509687508</v>
      </c>
      <c r="S68" s="581">
        <f t="shared" ref="S68:AJ68" ca="1" si="179">SUM(S65:S67)</f>
        <v>-0.10018562509687508</v>
      </c>
      <c r="T68" s="581">
        <f t="shared" ca="1" si="179"/>
        <v>1.9109879999999999</v>
      </c>
      <c r="U68" s="581">
        <f t="shared" ca="1" si="179"/>
        <v>0</v>
      </c>
      <c r="V68" s="581">
        <f t="shared" ca="1" si="179"/>
        <v>0</v>
      </c>
      <c r="W68" s="581">
        <f t="shared" ca="1" si="179"/>
        <v>0</v>
      </c>
      <c r="X68" s="581">
        <f t="shared" ca="1" si="179"/>
        <v>0</v>
      </c>
      <c r="Y68" s="581">
        <f t="shared" ca="1" si="179"/>
        <v>0</v>
      </c>
      <c r="Z68" s="581">
        <f t="shared" ca="1" si="179"/>
        <v>0</v>
      </c>
      <c r="AA68" s="581">
        <f t="shared" ca="1" si="179"/>
        <v>0</v>
      </c>
      <c r="AB68" s="581">
        <f t="shared" ca="1" si="179"/>
        <v>0</v>
      </c>
      <c r="AC68" s="581">
        <f t="shared" ca="1" si="179"/>
        <v>0</v>
      </c>
      <c r="AD68" s="581">
        <f t="shared" ca="1" si="179"/>
        <v>0</v>
      </c>
      <c r="AE68" s="581">
        <f ca="1">SUM(AE65:AE67)</f>
        <v>0</v>
      </c>
      <c r="AF68" s="581">
        <f t="shared" ca="1" si="179"/>
        <v>0</v>
      </c>
      <c r="AG68" s="581">
        <f t="shared" ca="1" si="179"/>
        <v>0</v>
      </c>
      <c r="AH68" s="581">
        <f ca="1">SUM(AH65:AH67)</f>
        <v>0</v>
      </c>
      <c r="AI68" s="581">
        <f t="shared" ca="1" si="179"/>
        <v>1.4025987513562512</v>
      </c>
      <c r="AJ68" s="581">
        <f t="shared" ca="1" si="179"/>
        <v>0</v>
      </c>
      <c r="AK68" s="581">
        <f ca="1">SUM(S68:AJ68)</f>
        <v>3.213401126259376</v>
      </c>
      <c r="AM68" s="582">
        <f t="shared" ref="AM68:BE68" ca="1" si="180">SUM(AM65:AM67)</f>
        <v>0</v>
      </c>
      <c r="AN68" s="582">
        <f t="shared" ca="1" si="180"/>
        <v>0</v>
      </c>
      <c r="AO68" s="582">
        <f t="shared" ca="1" si="180"/>
        <v>0</v>
      </c>
      <c r="AP68" s="582">
        <f t="shared" ca="1" si="180"/>
        <v>0</v>
      </c>
      <c r="AQ68" s="582">
        <f t="shared" ca="1" si="180"/>
        <v>0</v>
      </c>
      <c r="AR68" s="582">
        <f t="shared" ca="1" si="180"/>
        <v>0</v>
      </c>
      <c r="AS68" s="582">
        <f t="shared" ca="1" si="180"/>
        <v>0</v>
      </c>
      <c r="AT68" s="582">
        <f t="shared" ca="1" si="180"/>
        <v>0</v>
      </c>
      <c r="AU68" s="582">
        <f t="shared" ca="1" si="180"/>
        <v>0</v>
      </c>
      <c r="AV68" s="582">
        <f t="shared" ca="1" si="180"/>
        <v>0</v>
      </c>
      <c r="AW68" s="582">
        <f t="shared" ca="1" si="180"/>
        <v>-3.1032027513562515</v>
      </c>
      <c r="AX68" s="582">
        <f t="shared" ca="1" si="180"/>
        <v>-0.21038399999999999</v>
      </c>
      <c r="AY68" s="582">
        <f t="shared" ca="1" si="180"/>
        <v>0</v>
      </c>
      <c r="AZ68" s="582">
        <f t="shared" ca="1" si="180"/>
        <v>0</v>
      </c>
      <c r="BA68" s="582">
        <f t="shared" ca="1" si="180"/>
        <v>0</v>
      </c>
      <c r="BB68" s="582">
        <f t="shared" ca="1" si="180"/>
        <v>0</v>
      </c>
      <c r="BC68" s="582">
        <f t="shared" ca="1" si="180"/>
        <v>0</v>
      </c>
      <c r="BD68" s="582">
        <f t="shared" ca="1" si="180"/>
        <v>0</v>
      </c>
      <c r="BE68" s="582">
        <f t="shared" ca="1" si="180"/>
        <v>0</v>
      </c>
      <c r="BF68" s="582">
        <f ca="1">SUM(AM68:BE68)</f>
        <v>-3.3135867513562514</v>
      </c>
      <c r="BH68" s="3463">
        <f ca="1">SUM(BH65:BH67)</f>
        <v>0</v>
      </c>
      <c r="BI68" s="3463">
        <f ca="1">SUM(BI65:BI67)</f>
        <v>0</v>
      </c>
      <c r="BJ68" s="3463">
        <f ca="1">SUM(BH68:BI68)</f>
        <v>0</v>
      </c>
      <c r="BL68" s="3477">
        <f t="shared" ca="1" si="176"/>
        <v>-4.4408920985006262E-16</v>
      </c>
      <c r="BM68" s="584"/>
      <c r="BN68" s="413"/>
      <c r="BO68" s="2790">
        <f ca="1">SUM(BO65:BO67)</f>
        <v>0</v>
      </c>
      <c r="BP68" s="2790">
        <f t="shared" ref="BP68:DF68" ca="1" si="181">SUM(BP65:BP67)</f>
        <v>0</v>
      </c>
      <c r="BQ68" s="2790">
        <f t="shared" ca="1" si="181"/>
        <v>0</v>
      </c>
      <c r="BR68" s="2790">
        <f t="shared" ca="1" si="181"/>
        <v>0</v>
      </c>
      <c r="BS68" s="2790">
        <f t="shared" ca="1" si="181"/>
        <v>0</v>
      </c>
      <c r="BT68" s="2790">
        <f t="shared" ca="1" si="181"/>
        <v>0</v>
      </c>
      <c r="BU68" s="2790">
        <f t="shared" ca="1" si="181"/>
        <v>0</v>
      </c>
      <c r="BV68" s="2790">
        <f t="shared" ca="1" si="181"/>
        <v>0</v>
      </c>
      <c r="BW68" s="2790">
        <f t="shared" ca="1" si="181"/>
        <v>0</v>
      </c>
      <c r="BX68" s="2790">
        <f t="shared" ca="1" si="181"/>
        <v>0</v>
      </c>
      <c r="BY68" s="2790">
        <f t="shared" ca="1" si="181"/>
        <v>0</v>
      </c>
      <c r="BZ68" s="2790">
        <f t="shared" ca="1" si="181"/>
        <v>0</v>
      </c>
      <c r="CA68" s="2790">
        <f t="shared" ca="1" si="181"/>
        <v>0</v>
      </c>
      <c r="CB68" s="2790">
        <f t="shared" ca="1" si="181"/>
        <v>0</v>
      </c>
      <c r="CC68" s="2790">
        <f t="shared" ca="1" si="181"/>
        <v>0</v>
      </c>
      <c r="CD68" s="2790">
        <f t="shared" ca="1" si="181"/>
        <v>0</v>
      </c>
      <c r="CE68" s="2790">
        <f t="shared" ca="1" si="181"/>
        <v>0</v>
      </c>
      <c r="CF68" s="2790">
        <f t="shared" ca="1" si="181"/>
        <v>0</v>
      </c>
      <c r="CG68" s="2790">
        <f t="shared" ca="1" si="181"/>
        <v>0</v>
      </c>
      <c r="CH68" s="2790">
        <f t="shared" ca="1" si="181"/>
        <v>0</v>
      </c>
      <c r="CI68" s="2790">
        <f t="shared" ca="1" si="181"/>
        <v>0</v>
      </c>
      <c r="CJ68" s="2790">
        <f t="shared" ca="1" si="181"/>
        <v>0</v>
      </c>
      <c r="CK68" s="2790">
        <f t="shared" ca="1" si="181"/>
        <v>0</v>
      </c>
      <c r="CL68" s="2790">
        <f t="shared" ca="1" si="181"/>
        <v>0</v>
      </c>
      <c r="CM68" s="2790">
        <f t="shared" ca="1" si="181"/>
        <v>0</v>
      </c>
      <c r="CN68" s="2790">
        <f t="shared" ca="1" si="181"/>
        <v>0</v>
      </c>
      <c r="CO68" s="2790">
        <f t="shared" ca="1" si="181"/>
        <v>0</v>
      </c>
      <c r="CP68" s="2790">
        <f t="shared" ca="1" si="181"/>
        <v>0</v>
      </c>
      <c r="CQ68" s="2790">
        <f t="shared" ca="1" si="181"/>
        <v>0</v>
      </c>
      <c r="CR68" s="2790">
        <f t="shared" ca="1" si="181"/>
        <v>0</v>
      </c>
      <c r="CS68" s="2790">
        <f t="shared" ca="1" si="181"/>
        <v>0</v>
      </c>
      <c r="CT68" s="2790">
        <f t="shared" ca="1" si="181"/>
        <v>0</v>
      </c>
      <c r="CU68" s="2790">
        <f t="shared" ca="1" si="181"/>
        <v>0</v>
      </c>
      <c r="CV68" s="2790">
        <f t="shared" ca="1" si="181"/>
        <v>0</v>
      </c>
      <c r="CW68" s="2790">
        <f t="shared" ca="1" si="181"/>
        <v>0</v>
      </c>
      <c r="CX68" s="2790">
        <f t="shared" ca="1" si="181"/>
        <v>0</v>
      </c>
      <c r="CY68" s="2790">
        <f t="shared" ca="1" si="181"/>
        <v>0</v>
      </c>
      <c r="CZ68" s="2790">
        <f t="shared" ca="1" si="181"/>
        <v>0</v>
      </c>
      <c r="DA68" s="2790">
        <f t="shared" ca="1" si="181"/>
        <v>0</v>
      </c>
      <c r="DB68" s="2790">
        <f t="shared" ca="1" si="181"/>
        <v>0</v>
      </c>
      <c r="DC68" s="2790">
        <f t="shared" ca="1" si="181"/>
        <v>0</v>
      </c>
      <c r="DD68" s="2790">
        <f t="shared" ca="1" si="181"/>
        <v>0</v>
      </c>
      <c r="DE68" s="2790">
        <f t="shared" ca="1" si="181"/>
        <v>0</v>
      </c>
      <c r="DF68" s="2790">
        <f t="shared" ca="1" si="181"/>
        <v>0</v>
      </c>
      <c r="DH68" s="596">
        <f t="shared" ca="1" si="120"/>
        <v>0</v>
      </c>
    </row>
    <row r="69" spans="1:112" s="6" customFormat="1" ht="12.75" customHeight="1" outlineLevel="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76"/>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20"/>
        <v>0</v>
      </c>
    </row>
    <row r="70" spans="1:112" s="639" customFormat="1" ht="12.75" customHeight="1" outlineLevel="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76"/>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20"/>
        <v>0</v>
      </c>
    </row>
    <row r="71" spans="1:112" s="607" customFormat="1" ht="12.75" customHeight="1" outlineLevel="1">
      <c r="C71" s="587" t="s">
        <v>542</v>
      </c>
      <c r="D71" s="611" t="s">
        <v>543</v>
      </c>
      <c r="E71" s="611"/>
      <c r="F71" s="6"/>
      <c r="G71" s="619">
        <f t="shared" ref="G71:P71" ca="1" si="182">IFERROR(INDEX(INDIRECT($C71&amp;".Outputs["&amp;this.Year&amp;"]"), MATCH(G$5, INDIRECT($C71&amp;".Outputs[Vector]"), 0)), 0)</f>
        <v>0</v>
      </c>
      <c r="H71" s="619">
        <f t="shared" ca="1" si="182"/>
        <v>0</v>
      </c>
      <c r="I71" s="619">
        <f t="shared" ca="1" si="182"/>
        <v>0</v>
      </c>
      <c r="J71" s="619">
        <f t="shared" ca="1" si="182"/>
        <v>0</v>
      </c>
      <c r="K71" s="619">
        <f t="shared" ca="1" si="182"/>
        <v>0</v>
      </c>
      <c r="L71" s="619">
        <f t="shared" ca="1" si="182"/>
        <v>0</v>
      </c>
      <c r="M71" s="619">
        <f t="shared" ca="1" si="182"/>
        <v>0</v>
      </c>
      <c r="N71" s="619">
        <f t="shared" ca="1" si="182"/>
        <v>0</v>
      </c>
      <c r="O71" s="619">
        <f t="shared" ca="1" si="182"/>
        <v>0</v>
      </c>
      <c r="P71" s="619">
        <f t="shared" ca="1" si="182"/>
        <v>0</v>
      </c>
      <c r="Q71" s="612">
        <f ca="1">SUM(G71:P71)</f>
        <v>0</v>
      </c>
      <c r="R71" s="6"/>
      <c r="S71" s="620">
        <f t="shared" ref="S71:AJ71" ca="1" si="183">IFERROR(INDEX(INDIRECT($C71&amp;".Outputs["&amp;this.Year&amp;"]"), MATCH(S$5, INDIRECT($C71&amp;".Outputs[Vector]"), 0)), 0)</f>
        <v>0</v>
      </c>
      <c r="T71" s="620">
        <f t="shared" ca="1" si="183"/>
        <v>-3.7911428177742012E-3</v>
      </c>
      <c r="U71" s="620">
        <f t="shared" ca="1" si="183"/>
        <v>0</v>
      </c>
      <c r="V71" s="620">
        <f t="shared" ca="1" si="183"/>
        <v>0</v>
      </c>
      <c r="W71" s="620">
        <f t="shared" ca="1" si="183"/>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83"/>
        <v>0</v>
      </c>
      <c r="AB71" s="620">
        <f t="shared" ca="1" si="183"/>
        <v>2.6537999724419409E-2</v>
      </c>
      <c r="AC71" s="620">
        <f t="shared" ca="1" si="183"/>
        <v>0</v>
      </c>
      <c r="AD71" s="620">
        <f t="shared" ca="1" si="183"/>
        <v>0</v>
      </c>
      <c r="AE71" s="620">
        <f t="shared" ca="1" si="183"/>
        <v>0</v>
      </c>
      <c r="AF71" s="620">
        <f t="shared" ca="1" si="183"/>
        <v>0</v>
      </c>
      <c r="AG71" s="620">
        <f t="shared" ca="1" si="183"/>
        <v>0</v>
      </c>
      <c r="AH71" s="620">
        <f t="shared" ca="1" si="183"/>
        <v>0</v>
      </c>
      <c r="AI71" s="620">
        <f t="shared" ca="1" si="183"/>
        <v>0</v>
      </c>
      <c r="AJ71" s="620">
        <f t="shared" ca="1" si="183"/>
        <v>0</v>
      </c>
      <c r="AK71" s="613">
        <f ca="1">SUM(S71:AJ71)</f>
        <v>2.274685690664521E-2</v>
      </c>
      <c r="AL71" s="6"/>
      <c r="AM71" s="621">
        <f t="shared" ref="AM71:AU71" ca="1" si="184">IFERROR(INDEX(INDIRECT($C71&amp;".Outputs["&amp;this.Year&amp;"]"), MATCH(AM$5, INDIRECT($C71&amp;".Outputs[Vector]"), 0)), 0)</f>
        <v>0</v>
      </c>
      <c r="AN71" s="621">
        <f t="shared" ca="1" si="184"/>
        <v>0</v>
      </c>
      <c r="AO71" s="621">
        <f t="shared" ca="1" si="184"/>
        <v>0</v>
      </c>
      <c r="AP71" s="621">
        <f t="shared" ca="1" si="184"/>
        <v>0</v>
      </c>
      <c r="AQ71" s="621">
        <f t="shared" ca="1" si="184"/>
        <v>0</v>
      </c>
      <c r="AR71" s="621">
        <f t="shared" ca="1" si="184"/>
        <v>0</v>
      </c>
      <c r="AS71" s="621">
        <f t="shared" ca="1" si="184"/>
        <v>0</v>
      </c>
      <c r="AT71" s="621">
        <f t="shared" ca="1" si="184"/>
        <v>0</v>
      </c>
      <c r="AU71" s="621">
        <f t="shared" ca="1" si="184"/>
        <v>0</v>
      </c>
      <c r="AV71" s="621">
        <f t="shared" ref="AV71:BE71" ca="1" si="185">IFERROR(INDEX(INDIRECT($C71&amp;".Outputs["&amp;this.Year&amp;"]"), MATCH(AV$5, INDIRECT($C71&amp;".Outputs[Vector]"), 0)), 0)</f>
        <v>0</v>
      </c>
      <c r="AW71" s="621">
        <f t="shared" ca="1" si="185"/>
        <v>0</v>
      </c>
      <c r="AX71" s="621">
        <f t="shared" ca="1" si="185"/>
        <v>0</v>
      </c>
      <c r="AY71" s="621">
        <f t="shared" ca="1" si="185"/>
        <v>0</v>
      </c>
      <c r="AZ71" s="621">
        <f t="shared" ca="1" si="185"/>
        <v>0</v>
      </c>
      <c r="BA71" s="621">
        <f t="shared" ca="1" si="185"/>
        <v>0</v>
      </c>
      <c r="BB71" s="621">
        <f t="shared" ca="1" si="185"/>
        <v>0</v>
      </c>
      <c r="BC71" s="621">
        <f t="shared" ca="1" si="185"/>
        <v>0</v>
      </c>
      <c r="BD71" s="621">
        <f t="shared" ca="1" si="185"/>
        <v>0</v>
      </c>
      <c r="BE71" s="621">
        <f t="shared" ca="1" si="185"/>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76"/>
        <v>0</v>
      </c>
      <c r="BM71" s="610"/>
      <c r="BN71" s="413"/>
      <c r="BO71" s="2791">
        <f t="shared" ref="BO71:DF71" ca="1" si="186">IFERROR(SUMIFS(INDIRECT($C71&amp;".Emissions["&amp;this.Year&amp;"]"), INDIRECT($C71&amp;".Emissions[GHG]"), BO$6, INDIRECT($C71&amp;".Emissions[IPCC Sector]"), BO$5),0)</f>
        <v>0</v>
      </c>
      <c r="BP71" s="2792">
        <f t="shared" ca="1" si="186"/>
        <v>0</v>
      </c>
      <c r="BQ71" s="2792">
        <f t="shared" ca="1" si="186"/>
        <v>0</v>
      </c>
      <c r="BR71" s="2792">
        <f t="shared" ca="1" si="186"/>
        <v>0</v>
      </c>
      <c r="BS71" s="2792">
        <f t="shared" ca="1" si="186"/>
        <v>0</v>
      </c>
      <c r="BT71" s="2792">
        <f t="shared" ca="1" si="186"/>
        <v>0</v>
      </c>
      <c r="BU71" s="2792">
        <f t="shared" ca="1" si="186"/>
        <v>0</v>
      </c>
      <c r="BV71" s="2792">
        <f t="shared" ca="1" si="186"/>
        <v>0</v>
      </c>
      <c r="BW71" s="2792">
        <f t="shared" ca="1" si="186"/>
        <v>0</v>
      </c>
      <c r="BX71" s="2792">
        <f t="shared" ca="1" si="186"/>
        <v>0</v>
      </c>
      <c r="BY71" s="2792">
        <f t="shared" ca="1" si="186"/>
        <v>0</v>
      </c>
      <c r="BZ71" s="2792">
        <f t="shared" ca="1" si="186"/>
        <v>0</v>
      </c>
      <c r="CA71" s="2792">
        <f t="shared" ca="1" si="186"/>
        <v>0</v>
      </c>
      <c r="CB71" s="2792">
        <f t="shared" ca="1" si="186"/>
        <v>0</v>
      </c>
      <c r="CC71" s="2792">
        <f t="shared" ca="1" si="186"/>
        <v>0</v>
      </c>
      <c r="CD71" s="2792">
        <f t="shared" ca="1" si="186"/>
        <v>0</v>
      </c>
      <c r="CE71" s="2792">
        <f t="shared" ca="1" si="186"/>
        <v>0</v>
      </c>
      <c r="CF71" s="2792">
        <f t="shared" ca="1" si="186"/>
        <v>0</v>
      </c>
      <c r="CG71" s="2792">
        <f t="shared" ca="1" si="186"/>
        <v>0</v>
      </c>
      <c r="CH71" s="2792">
        <f t="shared" ca="1" si="186"/>
        <v>0</v>
      </c>
      <c r="CI71" s="2792">
        <f t="shared" ca="1" si="186"/>
        <v>0</v>
      </c>
      <c r="CJ71" s="2792">
        <f t="shared" ca="1" si="186"/>
        <v>0</v>
      </c>
      <c r="CK71" s="2792">
        <f t="shared" ca="1" si="186"/>
        <v>0</v>
      </c>
      <c r="CL71" s="2792">
        <f t="shared" ca="1" si="186"/>
        <v>0</v>
      </c>
      <c r="CM71" s="2792">
        <f t="shared" ca="1" si="186"/>
        <v>0</v>
      </c>
      <c r="CN71" s="2792">
        <f t="shared" ca="1" si="186"/>
        <v>0</v>
      </c>
      <c r="CO71" s="2792">
        <f t="shared" ca="1" si="186"/>
        <v>0</v>
      </c>
      <c r="CP71" s="2792">
        <f t="shared" ca="1" si="186"/>
        <v>0</v>
      </c>
      <c r="CQ71" s="2792">
        <f t="shared" ca="1" si="186"/>
        <v>0</v>
      </c>
      <c r="CR71" s="2792">
        <f t="shared" ca="1" si="186"/>
        <v>0</v>
      </c>
      <c r="CS71" s="2792">
        <f t="shared" ca="1" si="186"/>
        <v>0</v>
      </c>
      <c r="CT71" s="2792">
        <f t="shared" ca="1" si="186"/>
        <v>0</v>
      </c>
      <c r="CU71" s="2792">
        <f t="shared" ca="1" si="186"/>
        <v>0</v>
      </c>
      <c r="CV71" s="2792">
        <f t="shared" ca="1" si="186"/>
        <v>0</v>
      </c>
      <c r="CW71" s="2792">
        <f t="shared" ca="1" si="186"/>
        <v>0</v>
      </c>
      <c r="CX71" s="2792">
        <f t="shared" ca="1" si="186"/>
        <v>0</v>
      </c>
      <c r="CY71" s="2792">
        <f t="shared" ca="1" si="186"/>
        <v>0</v>
      </c>
      <c r="CZ71" s="2792">
        <f t="shared" ca="1" si="186"/>
        <v>0</v>
      </c>
      <c r="DA71" s="2792">
        <f t="shared" ca="1" si="186"/>
        <v>0</v>
      </c>
      <c r="DB71" s="2792">
        <f t="shared" ca="1" si="186"/>
        <v>0</v>
      </c>
      <c r="DC71" s="2792">
        <f t="shared" ca="1" si="186"/>
        <v>0</v>
      </c>
      <c r="DD71" s="2792">
        <f t="shared" ca="1" si="186"/>
        <v>0</v>
      </c>
      <c r="DE71" s="2792">
        <f t="shared" ca="1" si="186"/>
        <v>0</v>
      </c>
      <c r="DF71" s="2792">
        <f t="shared" ca="1" si="186"/>
        <v>0</v>
      </c>
      <c r="DH71" s="596">
        <f t="shared" ca="1" si="120"/>
        <v>0</v>
      </c>
    </row>
    <row r="72" spans="1:112" s="6" customFormat="1" ht="15.75">
      <c r="A72" s="4"/>
      <c r="B72" s="3"/>
      <c r="C72" s="616" t="s">
        <v>544</v>
      </c>
      <c r="D72" s="617" t="s">
        <v>545</v>
      </c>
      <c r="E72" s="206"/>
      <c r="G72" s="618">
        <f ca="1">G71</f>
        <v>0</v>
      </c>
      <c r="H72" s="618">
        <f t="shared" ref="H72:P72" ca="1" si="187">H71</f>
        <v>0</v>
      </c>
      <c r="I72" s="618">
        <f t="shared" ca="1" si="187"/>
        <v>0</v>
      </c>
      <c r="J72" s="618">
        <f t="shared" ca="1" si="187"/>
        <v>0</v>
      </c>
      <c r="K72" s="618">
        <f t="shared" ca="1" si="187"/>
        <v>0</v>
      </c>
      <c r="L72" s="618">
        <f t="shared" ca="1" si="187"/>
        <v>0</v>
      </c>
      <c r="M72" s="618">
        <f t="shared" ca="1" si="187"/>
        <v>0</v>
      </c>
      <c r="N72" s="618">
        <f t="shared" ca="1" si="187"/>
        <v>0</v>
      </c>
      <c r="O72" s="618">
        <f t="shared" ca="1" si="187"/>
        <v>0</v>
      </c>
      <c r="P72" s="618">
        <f t="shared" ca="1" si="187"/>
        <v>0</v>
      </c>
      <c r="Q72" s="618">
        <f ca="1">SUM(G72:P72)</f>
        <v>0</v>
      </c>
      <c r="S72" s="581">
        <f t="shared" ref="S72:AJ72" ca="1" si="188">S71</f>
        <v>0</v>
      </c>
      <c r="T72" s="581">
        <f t="shared" ca="1" si="188"/>
        <v>-3.7911428177742012E-3</v>
      </c>
      <c r="U72" s="581">
        <f t="shared" ca="1" si="188"/>
        <v>0</v>
      </c>
      <c r="V72" s="581">
        <f t="shared" ca="1" si="188"/>
        <v>0</v>
      </c>
      <c r="W72" s="581">
        <f t="shared" ca="1" si="188"/>
        <v>0</v>
      </c>
      <c r="X72" s="581">
        <f t="shared" ca="1" si="188"/>
        <v>0</v>
      </c>
      <c r="Y72" s="581">
        <f t="shared" ca="1" si="188"/>
        <v>0</v>
      </c>
      <c r="Z72" s="581">
        <f t="shared" ca="1" si="188"/>
        <v>0</v>
      </c>
      <c r="AA72" s="581">
        <f t="shared" ca="1" si="188"/>
        <v>0</v>
      </c>
      <c r="AB72" s="581">
        <f t="shared" ca="1" si="188"/>
        <v>2.6537999724419409E-2</v>
      </c>
      <c r="AC72" s="581">
        <f t="shared" ca="1" si="188"/>
        <v>0</v>
      </c>
      <c r="AD72" s="581">
        <f ca="1">AD71</f>
        <v>0</v>
      </c>
      <c r="AE72" s="581">
        <f ca="1">AE71</f>
        <v>0</v>
      </c>
      <c r="AF72" s="581">
        <f t="shared" ca="1" si="188"/>
        <v>0</v>
      </c>
      <c r="AG72" s="581">
        <f t="shared" ca="1" si="188"/>
        <v>0</v>
      </c>
      <c r="AH72" s="581">
        <f ca="1">AH71</f>
        <v>0</v>
      </c>
      <c r="AI72" s="581">
        <f ca="1">AI71</f>
        <v>0</v>
      </c>
      <c r="AJ72" s="581">
        <f t="shared" ca="1" si="188"/>
        <v>0</v>
      </c>
      <c r="AK72" s="581">
        <f ca="1">SUM(S72:AJ72)</f>
        <v>2.274685690664521E-2</v>
      </c>
      <c r="AM72" s="582">
        <f ca="1">AM71</f>
        <v>0</v>
      </c>
      <c r="AN72" s="582">
        <f t="shared" ref="AN72:BE72" ca="1" si="189">AN71</f>
        <v>0</v>
      </c>
      <c r="AO72" s="582">
        <f t="shared" ca="1" si="189"/>
        <v>0</v>
      </c>
      <c r="AP72" s="582">
        <f t="shared" ca="1" si="189"/>
        <v>0</v>
      </c>
      <c r="AQ72" s="582">
        <f t="shared" ca="1" si="189"/>
        <v>0</v>
      </c>
      <c r="AR72" s="582">
        <f t="shared" ca="1" si="189"/>
        <v>0</v>
      </c>
      <c r="AS72" s="582">
        <f t="shared" ca="1" si="189"/>
        <v>0</v>
      </c>
      <c r="AT72" s="582">
        <f t="shared" ca="1" si="189"/>
        <v>0</v>
      </c>
      <c r="AU72" s="582">
        <f t="shared" ca="1" si="189"/>
        <v>0</v>
      </c>
      <c r="AV72" s="582">
        <f t="shared" ca="1" si="189"/>
        <v>0</v>
      </c>
      <c r="AW72" s="582">
        <f t="shared" ca="1" si="189"/>
        <v>0</v>
      </c>
      <c r="AX72" s="582">
        <f t="shared" ca="1" si="189"/>
        <v>0</v>
      </c>
      <c r="AY72" s="582">
        <f t="shared" ca="1" si="189"/>
        <v>0</v>
      </c>
      <c r="AZ72" s="582">
        <f t="shared" ca="1" si="189"/>
        <v>0</v>
      </c>
      <c r="BA72" s="582">
        <f t="shared" ca="1" si="189"/>
        <v>0</v>
      </c>
      <c r="BB72" s="582">
        <f t="shared" ca="1" si="189"/>
        <v>0</v>
      </c>
      <c r="BC72" s="582">
        <f t="shared" ca="1" si="189"/>
        <v>0</v>
      </c>
      <c r="BD72" s="582">
        <f t="shared" ca="1" si="189"/>
        <v>0</v>
      </c>
      <c r="BE72" s="582">
        <f t="shared" ca="1" si="189"/>
        <v>0</v>
      </c>
      <c r="BF72" s="582">
        <f ca="1">SUM(AM72:BE72)</f>
        <v>0</v>
      </c>
      <c r="BH72" s="3463">
        <f ca="1">BH71</f>
        <v>-2.274685690664521E-2</v>
      </c>
      <c r="BI72" s="3463">
        <f ca="1">BI71</f>
        <v>0</v>
      </c>
      <c r="BJ72" s="3463">
        <f ca="1">SUM(BH72:BI72)</f>
        <v>-2.274685690664521E-2</v>
      </c>
      <c r="BL72" s="3477">
        <f t="shared" ca="1" si="176"/>
        <v>0</v>
      </c>
      <c r="BM72" s="584"/>
      <c r="BN72" s="413"/>
      <c r="BO72" s="2790">
        <f t="shared" ref="BO72:DF72" ca="1" si="190">BO71</f>
        <v>0</v>
      </c>
      <c r="BP72" s="2790">
        <f t="shared" ca="1" si="190"/>
        <v>0</v>
      </c>
      <c r="BQ72" s="2790">
        <f t="shared" ca="1" si="190"/>
        <v>0</v>
      </c>
      <c r="BR72" s="2790">
        <f t="shared" ca="1" si="190"/>
        <v>0</v>
      </c>
      <c r="BS72" s="2790">
        <f t="shared" ca="1" si="190"/>
        <v>0</v>
      </c>
      <c r="BT72" s="2790">
        <f t="shared" ca="1" si="190"/>
        <v>0</v>
      </c>
      <c r="BU72" s="2790">
        <f t="shared" ca="1" si="190"/>
        <v>0</v>
      </c>
      <c r="BV72" s="2790">
        <f t="shared" ca="1" si="190"/>
        <v>0</v>
      </c>
      <c r="BW72" s="2790">
        <f t="shared" ca="1" si="190"/>
        <v>0</v>
      </c>
      <c r="BX72" s="2790">
        <f t="shared" ca="1" si="190"/>
        <v>0</v>
      </c>
      <c r="BY72" s="2790">
        <f t="shared" ca="1" si="190"/>
        <v>0</v>
      </c>
      <c r="BZ72" s="2790">
        <f t="shared" ca="1" si="190"/>
        <v>0</v>
      </c>
      <c r="CA72" s="2790">
        <f t="shared" ca="1" si="190"/>
        <v>0</v>
      </c>
      <c r="CB72" s="2790">
        <f t="shared" ca="1" si="190"/>
        <v>0</v>
      </c>
      <c r="CC72" s="2790">
        <f t="shared" ca="1" si="190"/>
        <v>0</v>
      </c>
      <c r="CD72" s="2790">
        <f t="shared" ca="1" si="190"/>
        <v>0</v>
      </c>
      <c r="CE72" s="2790">
        <f t="shared" ca="1" si="190"/>
        <v>0</v>
      </c>
      <c r="CF72" s="2790">
        <f t="shared" ca="1" si="190"/>
        <v>0</v>
      </c>
      <c r="CG72" s="2790">
        <f t="shared" ca="1" si="190"/>
        <v>0</v>
      </c>
      <c r="CH72" s="2790">
        <f t="shared" ca="1" si="190"/>
        <v>0</v>
      </c>
      <c r="CI72" s="2790">
        <f t="shared" ca="1" si="190"/>
        <v>0</v>
      </c>
      <c r="CJ72" s="2790">
        <f t="shared" ca="1" si="190"/>
        <v>0</v>
      </c>
      <c r="CK72" s="2790">
        <f t="shared" ca="1" si="190"/>
        <v>0</v>
      </c>
      <c r="CL72" s="2790">
        <f t="shared" ca="1" si="190"/>
        <v>0</v>
      </c>
      <c r="CM72" s="2790">
        <f t="shared" ca="1" si="190"/>
        <v>0</v>
      </c>
      <c r="CN72" s="2790">
        <f t="shared" ca="1" si="190"/>
        <v>0</v>
      </c>
      <c r="CO72" s="2790">
        <f t="shared" ca="1" si="190"/>
        <v>0</v>
      </c>
      <c r="CP72" s="2790">
        <f t="shared" ca="1" si="190"/>
        <v>0</v>
      </c>
      <c r="CQ72" s="2790">
        <f t="shared" ca="1" si="190"/>
        <v>0</v>
      </c>
      <c r="CR72" s="2790">
        <f t="shared" ca="1" si="190"/>
        <v>0</v>
      </c>
      <c r="CS72" s="2790">
        <f t="shared" ca="1" si="190"/>
        <v>0</v>
      </c>
      <c r="CT72" s="2790">
        <f t="shared" ca="1" si="190"/>
        <v>0</v>
      </c>
      <c r="CU72" s="2790">
        <f t="shared" ca="1" si="190"/>
        <v>0</v>
      </c>
      <c r="CV72" s="2790">
        <f t="shared" ca="1" si="190"/>
        <v>0</v>
      </c>
      <c r="CW72" s="2790">
        <f t="shared" ca="1" si="190"/>
        <v>0</v>
      </c>
      <c r="CX72" s="2790">
        <f t="shared" ca="1" si="190"/>
        <v>0</v>
      </c>
      <c r="CY72" s="2790">
        <f t="shared" ca="1" si="190"/>
        <v>0</v>
      </c>
      <c r="CZ72" s="2790">
        <f t="shared" ca="1" si="190"/>
        <v>0</v>
      </c>
      <c r="DA72" s="2790">
        <f t="shared" ca="1" si="190"/>
        <v>0</v>
      </c>
      <c r="DB72" s="2790">
        <f t="shared" ca="1" si="190"/>
        <v>0</v>
      </c>
      <c r="DC72" s="2790">
        <f t="shared" ca="1" si="190"/>
        <v>0</v>
      </c>
      <c r="DD72" s="2790">
        <f t="shared" ca="1" si="190"/>
        <v>0</v>
      </c>
      <c r="DE72" s="2790">
        <f t="shared" ca="1" si="190"/>
        <v>0</v>
      </c>
      <c r="DF72" s="2790">
        <f t="shared" ca="1" si="190"/>
        <v>0</v>
      </c>
      <c r="DH72" s="596">
        <f t="shared" ca="1" si="120"/>
        <v>0</v>
      </c>
    </row>
    <row r="73" spans="1:112" s="6" customFormat="1" ht="12.75" customHeight="1" outlineLevel="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20"/>
        <v>0</v>
      </c>
    </row>
    <row r="74" spans="1:112" s="652" customFormat="1" ht="12.75" customHeight="1" outlineLevel="1">
      <c r="C74" s="667" t="s">
        <v>546</v>
      </c>
      <c r="D74" s="668" t="s">
        <v>547</v>
      </c>
      <c r="E74" s="668"/>
      <c r="F74" s="6"/>
      <c r="G74" s="669"/>
      <c r="H74" s="669"/>
      <c r="I74" s="669"/>
      <c r="J74" s="669"/>
      <c r="K74" s="670"/>
      <c r="L74" s="669"/>
      <c r="M74" s="669"/>
      <c r="N74" s="669"/>
      <c r="O74" s="669"/>
      <c r="P74" s="669"/>
      <c r="Q74" s="669"/>
      <c r="R74" s="6"/>
      <c r="S74" s="671">
        <f ca="1">S$40+S$46+S$51+S$99+S$55+S$93+S$63+S$68+S$72</f>
        <v>-26.047300922442304</v>
      </c>
      <c r="T74" s="671">
        <f ca="1">T$40+T$46+T$51+T$99+T$55+T$93+T$63+T$68+T$72</f>
        <v>32.359925352110984</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91">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20"/>
        <v>0</v>
      </c>
    </row>
    <row r="75" spans="1:112" s="607" customFormat="1" ht="12.75" customHeight="1" outlineLevel="1">
      <c r="C75" s="587" t="s">
        <v>548</v>
      </c>
      <c r="D75" s="611" t="s">
        <v>549</v>
      </c>
      <c r="E75" s="611"/>
      <c r="F75" s="6"/>
      <c r="G75" s="619">
        <f t="shared" ref="G75:P75" ca="1" si="192">IFERROR(INDEX(INDIRECT($C75&amp;".Outputs["&amp;this.Year&amp;"]"), MATCH(G$5, INDIRECT($C75&amp;".Outputs[Vector]"), 0)), 0)</f>
        <v>0</v>
      </c>
      <c r="H75" s="619">
        <f t="shared" ca="1" si="192"/>
        <v>0</v>
      </c>
      <c r="I75" s="619">
        <f t="shared" ca="1" si="192"/>
        <v>0</v>
      </c>
      <c r="J75" s="619">
        <f t="shared" ca="1" si="192"/>
        <v>0</v>
      </c>
      <c r="K75" s="619">
        <f t="shared" ca="1" si="192"/>
        <v>0</v>
      </c>
      <c r="L75" s="619">
        <f t="shared" ca="1" si="192"/>
        <v>0</v>
      </c>
      <c r="M75" s="619">
        <f t="shared" ca="1" si="192"/>
        <v>0</v>
      </c>
      <c r="N75" s="619">
        <f t="shared" ca="1" si="192"/>
        <v>0</v>
      </c>
      <c r="O75" s="619">
        <f t="shared" ca="1" si="192"/>
        <v>0</v>
      </c>
      <c r="P75" s="619">
        <f t="shared" ca="1" si="192"/>
        <v>0</v>
      </c>
      <c r="Q75" s="612">
        <f ca="1">SUM(G75:P75)</f>
        <v>0</v>
      </c>
      <c r="R75" s="6"/>
      <c r="S75" s="620">
        <f t="shared" ref="S75:AJ75" ca="1" si="193">IFERROR(INDEX(INDIRECT($C75&amp;".Outputs["&amp;this.Year&amp;"]"), MATCH(S$5, INDIRECT($C75&amp;".Outputs[Vector]"), 0)), 0)</f>
        <v>0</v>
      </c>
      <c r="T75" s="620">
        <f t="shared" ca="1" si="193"/>
        <v>7.0128000000000013</v>
      </c>
      <c r="U75" s="620">
        <f t="shared" ca="1" si="193"/>
        <v>0</v>
      </c>
      <c r="V75" s="620">
        <f t="shared" ca="1" si="193"/>
        <v>0</v>
      </c>
      <c r="W75" s="620">
        <f t="shared" ca="1" si="193"/>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93"/>
        <v>0</v>
      </c>
      <c r="AB75" s="620">
        <f t="shared" ca="1" si="193"/>
        <v>0</v>
      </c>
      <c r="AC75" s="620">
        <f t="shared" ca="1" si="193"/>
        <v>0</v>
      </c>
      <c r="AD75" s="620">
        <f t="shared" ca="1" si="193"/>
        <v>0</v>
      </c>
      <c r="AE75" s="620">
        <f t="shared" ca="1" si="193"/>
        <v>0</v>
      </c>
      <c r="AF75" s="620">
        <f t="shared" ca="1" si="193"/>
        <v>0</v>
      </c>
      <c r="AG75" s="620">
        <f t="shared" ca="1" si="193"/>
        <v>0</v>
      </c>
      <c r="AH75" s="620">
        <f t="shared" ca="1" si="193"/>
        <v>0</v>
      </c>
      <c r="AI75" s="620">
        <f t="shared" ca="1" si="193"/>
        <v>0</v>
      </c>
      <c r="AJ75" s="620">
        <f t="shared" ca="1" si="193"/>
        <v>0</v>
      </c>
      <c r="AK75" s="613">
        <f ca="1">SUM(S75:AJ75)</f>
        <v>7.0128000000000013</v>
      </c>
      <c r="AL75" s="6"/>
      <c r="AM75" s="621">
        <f t="shared" ref="AM75:AU75" ca="1" si="194">IFERROR(INDEX(INDIRECT($C75&amp;".Outputs["&amp;this.Year&amp;"]"), MATCH(AM$5, INDIRECT($C75&amp;".Outputs[Vector]"), 0)), 0)</f>
        <v>0</v>
      </c>
      <c r="AN75" s="621">
        <f t="shared" ca="1" si="194"/>
        <v>0</v>
      </c>
      <c r="AO75" s="621">
        <f t="shared" ca="1" si="194"/>
        <v>0</v>
      </c>
      <c r="AP75" s="621">
        <f t="shared" ca="1" si="194"/>
        <v>0</v>
      </c>
      <c r="AQ75" s="621">
        <f t="shared" ca="1" si="194"/>
        <v>0</v>
      </c>
      <c r="AR75" s="621">
        <f t="shared" ca="1" si="194"/>
        <v>0</v>
      </c>
      <c r="AS75" s="621">
        <f t="shared" ca="1" si="194"/>
        <v>0</v>
      </c>
      <c r="AT75" s="621">
        <f t="shared" ca="1" si="194"/>
        <v>0</v>
      </c>
      <c r="AU75" s="621">
        <f t="shared" ca="1" si="194"/>
        <v>0</v>
      </c>
      <c r="AV75" s="621">
        <f t="shared" ref="AV75:BE75" ca="1" si="195">IFERROR(INDEX(INDIRECT($C75&amp;".Outputs["&amp;this.Year&amp;"]"), MATCH(AV$5, INDIRECT($C75&amp;".Outputs[Vector]"), 0)), 0)</f>
        <v>-21.428000000000004</v>
      </c>
      <c r="AW75" s="621">
        <f t="shared" ca="1" si="195"/>
        <v>0</v>
      </c>
      <c r="AX75" s="621">
        <f t="shared" ca="1" si="195"/>
        <v>0</v>
      </c>
      <c r="AY75" s="621">
        <f t="shared" ca="1" si="195"/>
        <v>0</v>
      </c>
      <c r="AZ75" s="621">
        <f t="shared" ca="1" si="195"/>
        <v>0</v>
      </c>
      <c r="BA75" s="621">
        <f t="shared" ca="1" si="195"/>
        <v>0</v>
      </c>
      <c r="BB75" s="621">
        <f t="shared" ca="1" si="195"/>
        <v>0</v>
      </c>
      <c r="BC75" s="621">
        <f t="shared" ca="1" si="195"/>
        <v>0</v>
      </c>
      <c r="BD75" s="621">
        <f t="shared" ca="1" si="195"/>
        <v>0</v>
      </c>
      <c r="BE75" s="621">
        <f t="shared" ca="1" si="195"/>
        <v>0</v>
      </c>
      <c r="BF75" s="615">
        <f ca="1">SUM(AM75:BE75)</f>
        <v>-21.428000000000004</v>
      </c>
      <c r="BG75" s="6"/>
      <c r="BH75" s="3473">
        <f ca="1">IFERROR(INDEX(INDIRECT($C75&amp;".Outputs["&amp;this.Year&amp;"]"), MATCH(BH$5, INDIRECT($C75&amp;".Outputs[Vector]"), 0)), 0)</f>
        <v>13.713920000000003</v>
      </c>
      <c r="BI75" s="3473">
        <f ca="1">IFERROR(INDEX(INDIRECT($C75&amp;".Outputs["&amp;this.Year&amp;"]"), MATCH(BI$5, INDIRECT($C75&amp;".Outputs[Vector]"), 0)), 0)</f>
        <v>0.70128000000000013</v>
      </c>
      <c r="BJ75" s="3462">
        <f ca="1">SUM(BH75:BI75)</f>
        <v>14.415200000000004</v>
      </c>
      <c r="BK75" s="6"/>
      <c r="BL75" s="610">
        <f t="shared" ca="1" si="191"/>
        <v>0</v>
      </c>
      <c r="BM75" s="610"/>
      <c r="BN75" s="413"/>
      <c r="BO75" s="2791">
        <f t="shared" ref="BO75:DF75" ca="1" si="196">IFERROR(SUMIFS(INDIRECT($C75&amp;".Emissions["&amp;this.Year&amp;"]"), INDIRECT($C75&amp;".Emissions[GHG]"), BO$6, INDIRECT($C75&amp;".Emissions[IPCC Sector]"), BO$5),0)</f>
        <v>0</v>
      </c>
      <c r="BP75" s="2792">
        <f t="shared" ca="1" si="196"/>
        <v>0</v>
      </c>
      <c r="BQ75" s="2792">
        <f t="shared" ca="1" si="196"/>
        <v>0</v>
      </c>
      <c r="BR75" s="2792">
        <f t="shared" ca="1" si="196"/>
        <v>0</v>
      </c>
      <c r="BS75" s="2792">
        <f t="shared" ca="1" si="196"/>
        <v>0</v>
      </c>
      <c r="BT75" s="2792">
        <f t="shared" ca="1" si="196"/>
        <v>0</v>
      </c>
      <c r="BU75" s="2792">
        <f t="shared" ca="1" si="196"/>
        <v>0</v>
      </c>
      <c r="BV75" s="2792">
        <f t="shared" ca="1" si="196"/>
        <v>0</v>
      </c>
      <c r="BW75" s="2792">
        <f t="shared" ca="1" si="196"/>
        <v>0</v>
      </c>
      <c r="BX75" s="2792">
        <f t="shared" ca="1" si="196"/>
        <v>0</v>
      </c>
      <c r="BY75" s="2792">
        <f t="shared" ca="1" si="196"/>
        <v>0</v>
      </c>
      <c r="BZ75" s="2792">
        <f t="shared" ca="1" si="196"/>
        <v>0</v>
      </c>
      <c r="CA75" s="2792">
        <f t="shared" ca="1" si="196"/>
        <v>0</v>
      </c>
      <c r="CB75" s="2792">
        <f t="shared" ca="1" si="196"/>
        <v>0</v>
      </c>
      <c r="CC75" s="2792">
        <f t="shared" ca="1" si="196"/>
        <v>0</v>
      </c>
      <c r="CD75" s="2792">
        <f t="shared" ca="1" si="196"/>
        <v>0</v>
      </c>
      <c r="CE75" s="2792">
        <f t="shared" ca="1" si="196"/>
        <v>0</v>
      </c>
      <c r="CF75" s="2792">
        <f t="shared" ca="1" si="196"/>
        <v>0</v>
      </c>
      <c r="CG75" s="2792">
        <f t="shared" ca="1" si="196"/>
        <v>0</v>
      </c>
      <c r="CH75" s="2792">
        <f t="shared" ca="1" si="196"/>
        <v>0</v>
      </c>
      <c r="CI75" s="2792">
        <f t="shared" ca="1" si="196"/>
        <v>0</v>
      </c>
      <c r="CJ75" s="2792">
        <f t="shared" ca="1" si="196"/>
        <v>0</v>
      </c>
      <c r="CK75" s="2792">
        <f t="shared" ca="1" si="196"/>
        <v>0</v>
      </c>
      <c r="CL75" s="2792">
        <f t="shared" ca="1" si="196"/>
        <v>0</v>
      </c>
      <c r="CM75" s="2792">
        <f t="shared" ca="1" si="196"/>
        <v>0</v>
      </c>
      <c r="CN75" s="2792">
        <f t="shared" ca="1" si="196"/>
        <v>0</v>
      </c>
      <c r="CO75" s="2792">
        <f t="shared" ca="1" si="196"/>
        <v>0</v>
      </c>
      <c r="CP75" s="2792">
        <f t="shared" ca="1" si="196"/>
        <v>0</v>
      </c>
      <c r="CQ75" s="2792">
        <f t="shared" ca="1" si="196"/>
        <v>0</v>
      </c>
      <c r="CR75" s="2792">
        <f t="shared" ca="1" si="196"/>
        <v>0</v>
      </c>
      <c r="CS75" s="2792">
        <f t="shared" ca="1" si="196"/>
        <v>0</v>
      </c>
      <c r="CT75" s="2792">
        <f t="shared" ca="1" si="196"/>
        <v>0</v>
      </c>
      <c r="CU75" s="2792">
        <f t="shared" ca="1" si="196"/>
        <v>0</v>
      </c>
      <c r="CV75" s="2792">
        <f t="shared" ca="1" si="196"/>
        <v>0</v>
      </c>
      <c r="CW75" s="2792">
        <f t="shared" ca="1" si="196"/>
        <v>0</v>
      </c>
      <c r="CX75" s="2792">
        <f t="shared" ca="1" si="196"/>
        <v>0</v>
      </c>
      <c r="CY75" s="2792">
        <f t="shared" ca="1" si="196"/>
        <v>0</v>
      </c>
      <c r="CZ75" s="2792">
        <f t="shared" ca="1" si="196"/>
        <v>0</v>
      </c>
      <c r="DA75" s="2792">
        <f t="shared" ca="1" si="196"/>
        <v>0</v>
      </c>
      <c r="DB75" s="2792">
        <f t="shared" ca="1" si="196"/>
        <v>0</v>
      </c>
      <c r="DC75" s="2792">
        <f t="shared" ca="1" si="196"/>
        <v>0</v>
      </c>
      <c r="DD75" s="2792">
        <f t="shared" ca="1" si="196"/>
        <v>0</v>
      </c>
      <c r="DE75" s="2792">
        <f t="shared" ca="1" si="196"/>
        <v>0</v>
      </c>
      <c r="DF75" s="2792">
        <f t="shared" ca="1" si="196"/>
        <v>0</v>
      </c>
      <c r="DH75" s="596">
        <f t="shared" ca="1" si="120"/>
        <v>0</v>
      </c>
    </row>
    <row r="76" spans="1:112" s="6" customFormat="1" ht="15.75">
      <c r="A76" s="4"/>
      <c r="B76" s="3"/>
      <c r="C76" s="616" t="s">
        <v>550</v>
      </c>
      <c r="D76" s="617" t="s">
        <v>551</v>
      </c>
      <c r="E76" s="206"/>
      <c r="G76" s="618">
        <f ca="1">G75</f>
        <v>0</v>
      </c>
      <c r="H76" s="618">
        <f t="shared" ref="H76:P76" ca="1" si="197">H75</f>
        <v>0</v>
      </c>
      <c r="I76" s="618">
        <f t="shared" ca="1" si="197"/>
        <v>0</v>
      </c>
      <c r="J76" s="618">
        <f t="shared" ca="1" si="197"/>
        <v>0</v>
      </c>
      <c r="K76" s="618">
        <f t="shared" ca="1" si="197"/>
        <v>0</v>
      </c>
      <c r="L76" s="618">
        <f t="shared" ca="1" si="197"/>
        <v>0</v>
      </c>
      <c r="M76" s="618">
        <f t="shared" ca="1" si="197"/>
        <v>0</v>
      </c>
      <c r="N76" s="618">
        <f t="shared" ca="1" si="197"/>
        <v>0</v>
      </c>
      <c r="O76" s="618">
        <f t="shared" ca="1" si="197"/>
        <v>0</v>
      </c>
      <c r="P76" s="618">
        <f t="shared" ca="1" si="197"/>
        <v>0</v>
      </c>
      <c r="Q76" s="618">
        <f ca="1">SUM(G76:P76)</f>
        <v>0</v>
      </c>
      <c r="S76" s="581">
        <f t="shared" ref="S76:AJ76" ca="1" si="198">S75</f>
        <v>0</v>
      </c>
      <c r="T76" s="581">
        <f t="shared" ca="1" si="198"/>
        <v>7.0128000000000013</v>
      </c>
      <c r="U76" s="581">
        <f t="shared" ca="1" si="198"/>
        <v>0</v>
      </c>
      <c r="V76" s="581">
        <f t="shared" ca="1" si="198"/>
        <v>0</v>
      </c>
      <c r="W76" s="581">
        <f t="shared" ca="1" si="198"/>
        <v>0</v>
      </c>
      <c r="X76" s="581">
        <f t="shared" ca="1" si="198"/>
        <v>0</v>
      </c>
      <c r="Y76" s="581">
        <f t="shared" ca="1" si="198"/>
        <v>0</v>
      </c>
      <c r="Z76" s="581">
        <f t="shared" ca="1" si="198"/>
        <v>0</v>
      </c>
      <c r="AA76" s="581">
        <f t="shared" ca="1" si="198"/>
        <v>0</v>
      </c>
      <c r="AB76" s="581">
        <f t="shared" ca="1" si="198"/>
        <v>0</v>
      </c>
      <c r="AC76" s="581">
        <f t="shared" ca="1" si="198"/>
        <v>0</v>
      </c>
      <c r="AD76" s="581">
        <f t="shared" ca="1" si="198"/>
        <v>0</v>
      </c>
      <c r="AE76" s="581">
        <f ca="1">AE75</f>
        <v>0</v>
      </c>
      <c r="AF76" s="581">
        <f t="shared" ca="1" si="198"/>
        <v>0</v>
      </c>
      <c r="AG76" s="581">
        <f t="shared" ca="1" si="198"/>
        <v>0</v>
      </c>
      <c r="AH76" s="581">
        <f ca="1">AH75</f>
        <v>0</v>
      </c>
      <c r="AI76" s="581">
        <f t="shared" ca="1" si="198"/>
        <v>0</v>
      </c>
      <c r="AJ76" s="581">
        <f t="shared" ca="1" si="198"/>
        <v>0</v>
      </c>
      <c r="AK76" s="581">
        <f ca="1">SUM(S76:AJ76)</f>
        <v>7.0128000000000013</v>
      </c>
      <c r="AM76" s="582">
        <f t="shared" ref="AM76:BE76" ca="1" si="199">AM75</f>
        <v>0</v>
      </c>
      <c r="AN76" s="582">
        <f t="shared" ca="1" si="199"/>
        <v>0</v>
      </c>
      <c r="AO76" s="582">
        <f t="shared" ca="1" si="199"/>
        <v>0</v>
      </c>
      <c r="AP76" s="582">
        <f t="shared" ca="1" si="199"/>
        <v>0</v>
      </c>
      <c r="AQ76" s="582">
        <f t="shared" ca="1" si="199"/>
        <v>0</v>
      </c>
      <c r="AR76" s="582">
        <f t="shared" ca="1" si="199"/>
        <v>0</v>
      </c>
      <c r="AS76" s="582">
        <f t="shared" ca="1" si="199"/>
        <v>0</v>
      </c>
      <c r="AT76" s="582">
        <f t="shared" ca="1" si="199"/>
        <v>0</v>
      </c>
      <c r="AU76" s="582">
        <f t="shared" ca="1" si="199"/>
        <v>0</v>
      </c>
      <c r="AV76" s="582">
        <f t="shared" ca="1" si="199"/>
        <v>-21.428000000000004</v>
      </c>
      <c r="AW76" s="582">
        <f t="shared" ca="1" si="199"/>
        <v>0</v>
      </c>
      <c r="AX76" s="582">
        <f t="shared" ca="1" si="199"/>
        <v>0</v>
      </c>
      <c r="AY76" s="582">
        <f t="shared" ca="1" si="199"/>
        <v>0</v>
      </c>
      <c r="AZ76" s="582">
        <f t="shared" ca="1" si="199"/>
        <v>0</v>
      </c>
      <c r="BA76" s="582">
        <f t="shared" ca="1" si="199"/>
        <v>0</v>
      </c>
      <c r="BB76" s="582">
        <f t="shared" ca="1" si="199"/>
        <v>0</v>
      </c>
      <c r="BC76" s="582">
        <f t="shared" ca="1" si="199"/>
        <v>0</v>
      </c>
      <c r="BD76" s="582">
        <f t="shared" ca="1" si="199"/>
        <v>0</v>
      </c>
      <c r="BE76" s="582">
        <f t="shared" ca="1" si="199"/>
        <v>0</v>
      </c>
      <c r="BF76" s="582">
        <f ca="1">SUM(AM76:BE76)</f>
        <v>-21.428000000000004</v>
      </c>
      <c r="BH76" s="3463">
        <f ca="1">BH75</f>
        <v>13.713920000000003</v>
      </c>
      <c r="BI76" s="3463">
        <f ca="1">BI75</f>
        <v>0.70128000000000013</v>
      </c>
      <c r="BJ76" s="3463">
        <f ca="1">SUM(BH76:BI76)</f>
        <v>14.415200000000004</v>
      </c>
      <c r="BL76" s="3477">
        <f t="shared" ca="1" si="191"/>
        <v>0</v>
      </c>
      <c r="BM76" s="584"/>
      <c r="BN76" s="413"/>
      <c r="BO76" s="2790">
        <f t="shared" ref="BO76:DF76" ca="1" si="200">BO75</f>
        <v>0</v>
      </c>
      <c r="BP76" s="2790">
        <f t="shared" ca="1" si="200"/>
        <v>0</v>
      </c>
      <c r="BQ76" s="2790">
        <f t="shared" ca="1" si="200"/>
        <v>0</v>
      </c>
      <c r="BR76" s="2790">
        <f t="shared" ca="1" si="200"/>
        <v>0</v>
      </c>
      <c r="BS76" s="2790">
        <f t="shared" ca="1" si="200"/>
        <v>0</v>
      </c>
      <c r="BT76" s="2790">
        <f t="shared" ca="1" si="200"/>
        <v>0</v>
      </c>
      <c r="BU76" s="2790">
        <f t="shared" ca="1" si="200"/>
        <v>0</v>
      </c>
      <c r="BV76" s="2790">
        <f t="shared" ca="1" si="200"/>
        <v>0</v>
      </c>
      <c r="BW76" s="2790">
        <f t="shared" ca="1" si="200"/>
        <v>0</v>
      </c>
      <c r="BX76" s="2790">
        <f t="shared" ca="1" si="200"/>
        <v>0</v>
      </c>
      <c r="BY76" s="2790">
        <f t="shared" ca="1" si="200"/>
        <v>0</v>
      </c>
      <c r="BZ76" s="2790">
        <f t="shared" ca="1" si="200"/>
        <v>0</v>
      </c>
      <c r="CA76" s="2790">
        <f t="shared" ca="1" si="200"/>
        <v>0</v>
      </c>
      <c r="CB76" s="2790">
        <f t="shared" ca="1" si="200"/>
        <v>0</v>
      </c>
      <c r="CC76" s="2790">
        <f t="shared" ca="1" si="200"/>
        <v>0</v>
      </c>
      <c r="CD76" s="2790">
        <f t="shared" ca="1" si="200"/>
        <v>0</v>
      </c>
      <c r="CE76" s="2790">
        <f t="shared" ca="1" si="200"/>
        <v>0</v>
      </c>
      <c r="CF76" s="2790">
        <f t="shared" ca="1" si="200"/>
        <v>0</v>
      </c>
      <c r="CG76" s="2790">
        <f t="shared" ca="1" si="200"/>
        <v>0</v>
      </c>
      <c r="CH76" s="2790">
        <f t="shared" ca="1" si="200"/>
        <v>0</v>
      </c>
      <c r="CI76" s="2790">
        <f t="shared" ca="1" si="200"/>
        <v>0</v>
      </c>
      <c r="CJ76" s="2790">
        <f t="shared" ca="1" si="200"/>
        <v>0</v>
      </c>
      <c r="CK76" s="2790">
        <f t="shared" ca="1" si="200"/>
        <v>0</v>
      </c>
      <c r="CL76" s="2790">
        <f t="shared" ca="1" si="200"/>
        <v>0</v>
      </c>
      <c r="CM76" s="2790">
        <f t="shared" ca="1" si="200"/>
        <v>0</v>
      </c>
      <c r="CN76" s="2790">
        <f t="shared" ca="1" si="200"/>
        <v>0</v>
      </c>
      <c r="CO76" s="2790">
        <f t="shared" ca="1" si="200"/>
        <v>0</v>
      </c>
      <c r="CP76" s="2790">
        <f t="shared" ca="1" si="200"/>
        <v>0</v>
      </c>
      <c r="CQ76" s="2790">
        <f t="shared" ca="1" si="200"/>
        <v>0</v>
      </c>
      <c r="CR76" s="2790">
        <f t="shared" ca="1" si="200"/>
        <v>0</v>
      </c>
      <c r="CS76" s="2790">
        <f t="shared" ca="1" si="200"/>
        <v>0</v>
      </c>
      <c r="CT76" s="2790">
        <f t="shared" ca="1" si="200"/>
        <v>0</v>
      </c>
      <c r="CU76" s="2790">
        <f t="shared" ca="1" si="200"/>
        <v>0</v>
      </c>
      <c r="CV76" s="2790">
        <f t="shared" ca="1" si="200"/>
        <v>0</v>
      </c>
      <c r="CW76" s="2790">
        <f t="shared" ca="1" si="200"/>
        <v>0</v>
      </c>
      <c r="CX76" s="2790">
        <f t="shared" ca="1" si="200"/>
        <v>0</v>
      </c>
      <c r="CY76" s="2790">
        <f t="shared" ca="1" si="200"/>
        <v>0</v>
      </c>
      <c r="CZ76" s="2790">
        <f t="shared" ca="1" si="200"/>
        <v>0</v>
      </c>
      <c r="DA76" s="2790">
        <f t="shared" ca="1" si="200"/>
        <v>0</v>
      </c>
      <c r="DB76" s="2790">
        <f t="shared" ca="1" si="200"/>
        <v>0</v>
      </c>
      <c r="DC76" s="2790">
        <f t="shared" ca="1" si="200"/>
        <v>0</v>
      </c>
      <c r="DD76" s="2790">
        <f t="shared" ca="1" si="200"/>
        <v>0</v>
      </c>
      <c r="DE76" s="2790">
        <f t="shared" ca="1" si="200"/>
        <v>0</v>
      </c>
      <c r="DF76" s="2790">
        <f t="shared" ca="1" si="200"/>
        <v>0</v>
      </c>
      <c r="DH76" s="596">
        <f t="shared" ca="1" si="120"/>
        <v>0</v>
      </c>
    </row>
    <row r="77" spans="1:112" s="6" customFormat="1" ht="12.75" customHeight="1" outlineLevel="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91"/>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20"/>
        <v>0</v>
      </c>
    </row>
    <row r="78" spans="1:112" s="652" customFormat="1" ht="12.75" customHeight="1" outlineLevel="1">
      <c r="C78" s="667" t="s">
        <v>552</v>
      </c>
      <c r="D78" s="668" t="s">
        <v>547</v>
      </c>
      <c r="E78" s="668"/>
      <c r="F78" s="6"/>
      <c r="G78" s="669"/>
      <c r="H78" s="669"/>
      <c r="I78" s="669"/>
      <c r="J78" s="669"/>
      <c r="K78" s="670"/>
      <c r="L78" s="669"/>
      <c r="M78" s="669"/>
      <c r="N78" s="669"/>
      <c r="O78" s="669"/>
      <c r="P78" s="669"/>
      <c r="Q78" s="669"/>
      <c r="R78" s="6"/>
      <c r="S78" s="671">
        <f ca="1">S$74+S$76</f>
        <v>-26.047300922442304</v>
      </c>
      <c r="T78" s="671">
        <f ca="1">T$74+T$76</f>
        <v>39.372725352110983</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91"/>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20"/>
        <v>0</v>
      </c>
    </row>
    <row r="79" spans="1:112" s="607" customFormat="1" ht="12.75" customHeight="1" outlineLevel="1">
      <c r="C79" s="587" t="s">
        <v>553</v>
      </c>
      <c r="D79" s="588" t="s">
        <v>554</v>
      </c>
      <c r="E79" s="588"/>
      <c r="F79" s="6"/>
      <c r="G79" s="674">
        <f t="shared" ref="G79:P79" ca="1" si="201">IFERROR(INDEX(INDIRECT($C79&amp;".Outputs["&amp;this.Year&amp;"]"), MATCH(G$5, INDIRECT($C79&amp;".Outputs[Vector]"), 0)), 0)</f>
        <v>0</v>
      </c>
      <c r="H79" s="674">
        <f t="shared" ca="1" si="201"/>
        <v>0</v>
      </c>
      <c r="I79" s="674">
        <f t="shared" ca="1" si="201"/>
        <v>0</v>
      </c>
      <c r="J79" s="674">
        <f t="shared" ca="1" si="201"/>
        <v>0</v>
      </c>
      <c r="K79" s="674">
        <f t="shared" ca="1" si="201"/>
        <v>0</v>
      </c>
      <c r="L79" s="674">
        <f t="shared" ca="1" si="201"/>
        <v>0</v>
      </c>
      <c r="M79" s="674">
        <f t="shared" ca="1" si="201"/>
        <v>0</v>
      </c>
      <c r="N79" s="674">
        <f t="shared" ca="1" si="201"/>
        <v>0</v>
      </c>
      <c r="O79" s="674">
        <f t="shared" ca="1" si="201"/>
        <v>0</v>
      </c>
      <c r="P79" s="674">
        <f t="shared" ca="1" si="201"/>
        <v>0</v>
      </c>
      <c r="Q79" s="675">
        <f ca="1">SUM(G79:P79)</f>
        <v>0</v>
      </c>
      <c r="R79" s="6"/>
      <c r="S79" s="676">
        <f t="shared" ref="S79:AJ79" ca="1" si="202">IFERROR(INDEX(INDIRECT($C79&amp;".Outputs["&amp;this.Year&amp;"]"), MATCH(S$5, INDIRECT($C79&amp;".Outputs[Vector]"), 0)), 0)</f>
        <v>0</v>
      </c>
      <c r="T79" s="676">
        <f t="shared" ca="1" si="202"/>
        <v>0</v>
      </c>
      <c r="U79" s="676">
        <f t="shared" ca="1" si="202"/>
        <v>0</v>
      </c>
      <c r="V79" s="676">
        <f t="shared" ca="1" si="202"/>
        <v>0</v>
      </c>
      <c r="W79" s="676">
        <f t="shared" ca="1" si="202"/>
        <v>0</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202"/>
        <v>0</v>
      </c>
      <c r="AB79" s="676">
        <f t="shared" ca="1" si="202"/>
        <v>0</v>
      </c>
      <c r="AC79" s="676">
        <f t="shared" ca="1" si="202"/>
        <v>0</v>
      </c>
      <c r="AD79" s="676">
        <f t="shared" ca="1" si="202"/>
        <v>0</v>
      </c>
      <c r="AE79" s="676">
        <f t="shared" ca="1" si="202"/>
        <v>0</v>
      </c>
      <c r="AF79" s="676">
        <f t="shared" ca="1" si="202"/>
        <v>0</v>
      </c>
      <c r="AG79" s="676">
        <f t="shared" ca="1" si="202"/>
        <v>0</v>
      </c>
      <c r="AH79" s="676">
        <f t="shared" ca="1" si="202"/>
        <v>0</v>
      </c>
      <c r="AI79" s="676">
        <f t="shared" ca="1" si="202"/>
        <v>0</v>
      </c>
      <c r="AJ79" s="676">
        <f t="shared" ca="1" si="202"/>
        <v>0</v>
      </c>
      <c r="AK79" s="677">
        <f ca="1">SUM(S79:AJ79)</f>
        <v>0</v>
      </c>
      <c r="AL79" s="6"/>
      <c r="AM79" s="678">
        <f t="shared" ref="AM79:AU79" ca="1" si="203">IFERROR(INDEX(INDIRECT($C79&amp;".Outputs["&amp;this.Year&amp;"]"), MATCH(AM$5, INDIRECT($C79&amp;".Outputs[Vector]"), 0)), 0)</f>
        <v>0</v>
      </c>
      <c r="AN79" s="678">
        <f t="shared" ca="1" si="203"/>
        <v>0</v>
      </c>
      <c r="AO79" s="678">
        <f t="shared" ca="1" si="203"/>
        <v>0</v>
      </c>
      <c r="AP79" s="678">
        <f t="shared" ca="1" si="203"/>
        <v>0</v>
      </c>
      <c r="AQ79" s="678">
        <f t="shared" ca="1" si="203"/>
        <v>0</v>
      </c>
      <c r="AR79" s="678">
        <f t="shared" ca="1" si="203"/>
        <v>0</v>
      </c>
      <c r="AS79" s="678">
        <f t="shared" ca="1" si="203"/>
        <v>0</v>
      </c>
      <c r="AT79" s="678">
        <f t="shared" ca="1" si="203"/>
        <v>0</v>
      </c>
      <c r="AU79" s="678">
        <f t="shared" ca="1" si="203"/>
        <v>0</v>
      </c>
      <c r="AV79" s="678">
        <f t="shared" ref="AV79:BE79" ca="1" si="204">IFERROR(INDEX(INDIRECT($C79&amp;".Outputs["&amp;this.Year&amp;"]"), MATCH(AV$5, INDIRECT($C79&amp;".Outputs[Vector]"), 0)), 0)</f>
        <v>0</v>
      </c>
      <c r="AW79" s="678">
        <f t="shared" ca="1" si="204"/>
        <v>0</v>
      </c>
      <c r="AX79" s="678">
        <f t="shared" ca="1" si="204"/>
        <v>0</v>
      </c>
      <c r="AY79" s="678">
        <f t="shared" ca="1" si="204"/>
        <v>0</v>
      </c>
      <c r="AZ79" s="678">
        <f t="shared" ca="1" si="204"/>
        <v>0</v>
      </c>
      <c r="BA79" s="678">
        <f t="shared" ca="1" si="204"/>
        <v>0</v>
      </c>
      <c r="BB79" s="678">
        <f t="shared" ca="1" si="204"/>
        <v>0</v>
      </c>
      <c r="BC79" s="678">
        <f t="shared" ca="1" si="204"/>
        <v>0</v>
      </c>
      <c r="BD79" s="678">
        <f t="shared" ca="1" si="204"/>
        <v>0</v>
      </c>
      <c r="BE79" s="678">
        <f t="shared" ca="1" si="204"/>
        <v>0</v>
      </c>
      <c r="BF79" s="679">
        <f ca="1">SUM(AM79:BE79)</f>
        <v>0</v>
      </c>
      <c r="BG79" s="6"/>
      <c r="BH79" s="3475">
        <f ca="1">IFERROR(INDEX(INDIRECT($C79&amp;".Outputs["&amp;this.Year&amp;"]"), MATCH(BH$5, INDIRECT($C79&amp;".Outputs[Vector]"), 0)), 0)</f>
        <v>0</v>
      </c>
      <c r="BI79" s="3475">
        <f ca="1">IFERROR(INDEX(INDIRECT($C79&amp;".Outputs["&amp;this.Year&amp;"]"), MATCH(BI$5, INDIRECT($C79&amp;".Outputs[Vector]"), 0)), 0)</f>
        <v>0</v>
      </c>
      <c r="BJ79" s="3466">
        <f ca="1">SUM(BH79:BI79)</f>
        <v>0</v>
      </c>
      <c r="BK79" s="6"/>
      <c r="BL79" s="610">
        <f t="shared" ca="1" si="191"/>
        <v>0</v>
      </c>
      <c r="BM79" s="610"/>
      <c r="BN79" s="413"/>
      <c r="BO79" s="2789">
        <f t="shared" ref="BO79:DF79" ca="1" si="205">IFERROR(SUMIFS(INDIRECT($C79&amp;".Emissions["&amp;this.Year&amp;"]"), INDIRECT($C79&amp;".Emissions[GHG]"), BO$6, INDIRECT($C79&amp;".Emissions[IPCC Sector]"), BO$5),0)</f>
        <v>0</v>
      </c>
      <c r="BP79" s="2790">
        <f t="shared" ca="1" si="205"/>
        <v>0</v>
      </c>
      <c r="BQ79" s="2790">
        <f t="shared" ca="1" si="205"/>
        <v>0</v>
      </c>
      <c r="BR79" s="2790">
        <f t="shared" ca="1" si="205"/>
        <v>0</v>
      </c>
      <c r="BS79" s="2790">
        <f t="shared" ca="1" si="205"/>
        <v>0</v>
      </c>
      <c r="BT79" s="2790">
        <f t="shared" ca="1" si="205"/>
        <v>0</v>
      </c>
      <c r="BU79" s="2790">
        <f t="shared" ca="1" si="205"/>
        <v>0</v>
      </c>
      <c r="BV79" s="2790">
        <f t="shared" ca="1" si="205"/>
        <v>0</v>
      </c>
      <c r="BW79" s="2790">
        <f t="shared" ca="1" si="205"/>
        <v>0</v>
      </c>
      <c r="BX79" s="2790">
        <f t="shared" ca="1" si="205"/>
        <v>0</v>
      </c>
      <c r="BY79" s="2790">
        <f t="shared" ca="1" si="205"/>
        <v>0</v>
      </c>
      <c r="BZ79" s="2790">
        <f t="shared" ca="1" si="205"/>
        <v>0</v>
      </c>
      <c r="CA79" s="2790">
        <f t="shared" ca="1" si="205"/>
        <v>0</v>
      </c>
      <c r="CB79" s="2790">
        <f t="shared" ca="1" si="205"/>
        <v>0</v>
      </c>
      <c r="CC79" s="2790">
        <f t="shared" ca="1" si="205"/>
        <v>0</v>
      </c>
      <c r="CD79" s="2790">
        <f t="shared" ca="1" si="205"/>
        <v>0</v>
      </c>
      <c r="CE79" s="2790">
        <f t="shared" ca="1" si="205"/>
        <v>0</v>
      </c>
      <c r="CF79" s="2790">
        <f t="shared" ca="1" si="205"/>
        <v>0</v>
      </c>
      <c r="CG79" s="2790">
        <f t="shared" ca="1" si="205"/>
        <v>0</v>
      </c>
      <c r="CH79" s="2790">
        <f t="shared" ca="1" si="205"/>
        <v>0</v>
      </c>
      <c r="CI79" s="2790">
        <f t="shared" ca="1" si="205"/>
        <v>0</v>
      </c>
      <c r="CJ79" s="2790">
        <f t="shared" ca="1" si="205"/>
        <v>0</v>
      </c>
      <c r="CK79" s="2790">
        <f t="shared" ca="1" si="205"/>
        <v>0</v>
      </c>
      <c r="CL79" s="2790">
        <f t="shared" ca="1" si="205"/>
        <v>0</v>
      </c>
      <c r="CM79" s="2790">
        <f t="shared" ca="1" si="205"/>
        <v>0</v>
      </c>
      <c r="CN79" s="2790">
        <f t="shared" ca="1" si="205"/>
        <v>0</v>
      </c>
      <c r="CO79" s="2790">
        <f t="shared" ca="1" si="205"/>
        <v>0</v>
      </c>
      <c r="CP79" s="2790">
        <f t="shared" ca="1" si="205"/>
        <v>0</v>
      </c>
      <c r="CQ79" s="2790">
        <f t="shared" ca="1" si="205"/>
        <v>0</v>
      </c>
      <c r="CR79" s="2790">
        <f t="shared" ca="1" si="205"/>
        <v>0</v>
      </c>
      <c r="CS79" s="2790">
        <f t="shared" ca="1" si="205"/>
        <v>0</v>
      </c>
      <c r="CT79" s="2790">
        <f t="shared" ca="1" si="205"/>
        <v>0</v>
      </c>
      <c r="CU79" s="2790">
        <f t="shared" ca="1" si="205"/>
        <v>0</v>
      </c>
      <c r="CV79" s="2790">
        <f t="shared" ca="1" si="205"/>
        <v>0</v>
      </c>
      <c r="CW79" s="2790">
        <f t="shared" ca="1" si="205"/>
        <v>0</v>
      </c>
      <c r="CX79" s="2790">
        <f t="shared" ca="1" si="205"/>
        <v>0</v>
      </c>
      <c r="CY79" s="2790">
        <f t="shared" ca="1" si="205"/>
        <v>0</v>
      </c>
      <c r="CZ79" s="2790">
        <f t="shared" ca="1" si="205"/>
        <v>0</v>
      </c>
      <c r="DA79" s="2790">
        <f t="shared" ca="1" si="205"/>
        <v>0</v>
      </c>
      <c r="DB79" s="2790">
        <f t="shared" ca="1" si="205"/>
        <v>0</v>
      </c>
      <c r="DC79" s="2790">
        <f t="shared" ca="1" si="205"/>
        <v>0</v>
      </c>
      <c r="DD79" s="2790">
        <f t="shared" ca="1" si="205"/>
        <v>0</v>
      </c>
      <c r="DE79" s="2790">
        <f t="shared" ca="1" si="205"/>
        <v>0</v>
      </c>
      <c r="DF79" s="2790">
        <f t="shared" ca="1" si="205"/>
        <v>0</v>
      </c>
      <c r="DH79" s="596">
        <f t="shared" ca="1" si="120"/>
        <v>0</v>
      </c>
    </row>
    <row r="80" spans="1:112" s="639" customFormat="1" ht="12.75" customHeight="1" outlineLevel="1">
      <c r="C80" s="640" t="s">
        <v>555</v>
      </c>
      <c r="D80" s="668" t="s">
        <v>547</v>
      </c>
      <c r="E80" s="641"/>
      <c r="F80" s="642"/>
      <c r="G80" s="643"/>
      <c r="H80" s="643"/>
      <c r="I80" s="643"/>
      <c r="J80" s="643"/>
      <c r="K80" s="644"/>
      <c r="L80" s="643"/>
      <c r="M80" s="643"/>
      <c r="N80" s="643"/>
      <c r="O80" s="643"/>
      <c r="P80" s="643"/>
      <c r="Q80" s="643"/>
      <c r="R80" s="642"/>
      <c r="S80" s="645">
        <f ca="1">S78+S79</f>
        <v>-26.047300922442304</v>
      </c>
      <c r="T80" s="645">
        <f ca="1">T78+T79</f>
        <v>39.372725352110983</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91"/>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20"/>
        <v>0</v>
      </c>
    </row>
    <row r="81" spans="1:112" s="607" customFormat="1" ht="12.75" customHeight="1" outlineLevel="1">
      <c r="C81" s="587" t="s">
        <v>556</v>
      </c>
      <c r="D81" s="588" t="s">
        <v>557</v>
      </c>
      <c r="E81" s="588"/>
      <c r="F81" s="6"/>
      <c r="G81" s="619">
        <f t="shared" ref="G81:P81" ca="1" si="206">IFERROR(INDEX(INDIRECT($C81&amp;".Outputs["&amp;this.Year&amp;"]"), MATCH(G$5, INDIRECT($C81&amp;".Outputs[Vector]"), 0)), 0)</f>
        <v>0</v>
      </c>
      <c r="H81" s="619">
        <f t="shared" ca="1" si="206"/>
        <v>0</v>
      </c>
      <c r="I81" s="619">
        <f t="shared" ca="1" si="206"/>
        <v>0</v>
      </c>
      <c r="J81" s="619">
        <f t="shared" ca="1" si="206"/>
        <v>0</v>
      </c>
      <c r="K81" s="619">
        <f t="shared" ca="1" si="206"/>
        <v>0</v>
      </c>
      <c r="L81" s="619">
        <f t="shared" ca="1" si="206"/>
        <v>0</v>
      </c>
      <c r="M81" s="619">
        <f t="shared" ca="1" si="206"/>
        <v>0</v>
      </c>
      <c r="N81" s="619">
        <f t="shared" ca="1" si="206"/>
        <v>0</v>
      </c>
      <c r="O81" s="619">
        <f t="shared" ca="1" si="206"/>
        <v>0</v>
      </c>
      <c r="P81" s="619">
        <f t="shared" ca="1" si="206"/>
        <v>0</v>
      </c>
      <c r="Q81" s="612">
        <f ca="1">SUM(G81:P81)</f>
        <v>0</v>
      </c>
      <c r="R81" s="6"/>
      <c r="S81" s="620">
        <f t="shared" ref="S81:AJ81" ca="1" si="207">IFERROR(INDEX(INDIRECT($C81&amp;".Outputs["&amp;this.Year&amp;"]"), MATCH(S$5, INDIRECT($C81&amp;".Outputs[Vector]"), 0)), 0)</f>
        <v>0</v>
      </c>
      <c r="T81" s="620">
        <f t="shared" ca="1" si="207"/>
        <v>1.2272399999999999</v>
      </c>
      <c r="U81" s="620">
        <f t="shared" ca="1" si="207"/>
        <v>-3.6115919999999999</v>
      </c>
      <c r="V81" s="620">
        <f t="shared" ca="1" si="207"/>
        <v>0</v>
      </c>
      <c r="W81" s="620">
        <f t="shared" ca="1" si="207"/>
        <v>0</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207"/>
        <v>0</v>
      </c>
      <c r="AB81" s="620">
        <f t="shared" ca="1" si="207"/>
        <v>0</v>
      </c>
      <c r="AC81" s="620">
        <f t="shared" ca="1" si="207"/>
        <v>0</v>
      </c>
      <c r="AD81" s="620">
        <f t="shared" ca="1" si="207"/>
        <v>0</v>
      </c>
      <c r="AE81" s="620">
        <f t="shared" ca="1" si="207"/>
        <v>0</v>
      </c>
      <c r="AF81" s="620">
        <f t="shared" ca="1" si="207"/>
        <v>0</v>
      </c>
      <c r="AG81" s="620">
        <f t="shared" ca="1" si="207"/>
        <v>0</v>
      </c>
      <c r="AH81" s="620">
        <f t="shared" ca="1" si="207"/>
        <v>0</v>
      </c>
      <c r="AI81" s="620">
        <f t="shared" ca="1" si="207"/>
        <v>0</v>
      </c>
      <c r="AJ81" s="620">
        <f t="shared" ca="1" si="207"/>
        <v>0</v>
      </c>
      <c r="AK81" s="613">
        <f ca="1">SUM(S81:AJ81)</f>
        <v>-2.3843519999999998</v>
      </c>
      <c r="AL81" s="6"/>
      <c r="AM81" s="621">
        <f t="shared" ref="AM81:AU81" ca="1" si="208">IFERROR(INDEX(INDIRECT($C81&amp;".Outputs["&amp;this.Year&amp;"]"), MATCH(AM$5, INDIRECT($C81&amp;".Outputs[Vector]"), 0)), 0)</f>
        <v>0</v>
      </c>
      <c r="AN81" s="621">
        <f t="shared" ca="1" si="208"/>
        <v>0</v>
      </c>
      <c r="AO81" s="621">
        <f t="shared" ca="1" si="208"/>
        <v>0</v>
      </c>
      <c r="AP81" s="621">
        <f t="shared" ca="1" si="208"/>
        <v>0</v>
      </c>
      <c r="AQ81" s="621">
        <f t="shared" ca="1" si="208"/>
        <v>0</v>
      </c>
      <c r="AR81" s="621">
        <f t="shared" ca="1" si="208"/>
        <v>0</v>
      </c>
      <c r="AS81" s="621">
        <f t="shared" ca="1" si="208"/>
        <v>0</v>
      </c>
      <c r="AT81" s="621">
        <f t="shared" ca="1" si="208"/>
        <v>0</v>
      </c>
      <c r="AU81" s="621">
        <f t="shared" ca="1" si="208"/>
        <v>0</v>
      </c>
      <c r="AV81" s="621">
        <f t="shared" ref="AV81:BE81" ca="1" si="209">IFERROR(INDEX(INDIRECT($C81&amp;".Outputs["&amp;this.Year&amp;"]"), MATCH(AV$5, INDIRECT($C81&amp;".Outputs[Vector]"), 0)), 0)</f>
        <v>0</v>
      </c>
      <c r="AW81" s="621">
        <f t="shared" ca="1" si="209"/>
        <v>0</v>
      </c>
      <c r="AX81" s="621">
        <f t="shared" ca="1" si="209"/>
        <v>0</v>
      </c>
      <c r="AY81" s="621">
        <f t="shared" ca="1" si="209"/>
        <v>0</v>
      </c>
      <c r="AZ81" s="621">
        <f t="shared" ca="1" si="209"/>
        <v>0</v>
      </c>
      <c r="BA81" s="621">
        <f t="shared" ca="1" si="209"/>
        <v>0</v>
      </c>
      <c r="BB81" s="621">
        <f t="shared" ca="1" si="209"/>
        <v>0</v>
      </c>
      <c r="BC81" s="621">
        <f t="shared" ca="1" si="209"/>
        <v>0</v>
      </c>
      <c r="BD81" s="621">
        <f t="shared" ca="1" si="209"/>
        <v>0</v>
      </c>
      <c r="BE81" s="621">
        <f t="shared" ca="1" si="209"/>
        <v>0</v>
      </c>
      <c r="BF81" s="615">
        <f ca="1">SUM(AM81:BE81)</f>
        <v>0</v>
      </c>
      <c r="BG81" s="6"/>
      <c r="BH81" s="3473">
        <f ca="1">IFERROR(INDEX(INDIRECT($C81&amp;".Outputs["&amp;this.Year&amp;"]"), MATCH(BH$5, INDIRECT($C81&amp;".Outputs[Vector]"), 0)), 0)</f>
        <v>2.3475348</v>
      </c>
      <c r="BI81" s="3473">
        <f ca="1">IFERROR(INDEX(INDIRECT($C81&amp;".Outputs["&amp;this.Year&amp;"]"), MATCH(BI$5, INDIRECT($C81&amp;".Outputs[Vector]"), 0)), 0)</f>
        <v>3.6817199999999994E-2</v>
      </c>
      <c r="BJ81" s="3462">
        <f ca="1">SUM(BH81:BI81)</f>
        <v>2.3843519999999998</v>
      </c>
      <c r="BK81" s="6"/>
      <c r="BL81" s="610">
        <f t="shared" ca="1" si="191"/>
        <v>0</v>
      </c>
      <c r="BM81" s="610"/>
      <c r="BN81" s="413"/>
      <c r="BO81" s="2791">
        <f t="shared" ref="BO81:DF81" ca="1" si="210">IFERROR(SUMIFS(INDIRECT($C81&amp;".Emissions["&amp;this.Year&amp;"]"), INDIRECT($C81&amp;".Emissions[GHG]"), BO$6, INDIRECT($C81&amp;".Emissions[IPCC Sector]"), BO$5),0)</f>
        <v>1.2803220768038401</v>
      </c>
      <c r="BP81" s="2792">
        <f t="shared" ca="1" si="210"/>
        <v>2.1023799350400002E-4</v>
      </c>
      <c r="BQ81" s="2792">
        <f t="shared" ca="1" si="210"/>
        <v>2.2167951696E-3</v>
      </c>
      <c r="BR81" s="2792">
        <f t="shared" ca="1" si="210"/>
        <v>0</v>
      </c>
      <c r="BS81" s="2792">
        <f t="shared" ca="1" si="210"/>
        <v>0</v>
      </c>
      <c r="BT81" s="2792">
        <f t="shared" ca="1" si="210"/>
        <v>0</v>
      </c>
      <c r="BU81" s="2792">
        <f t="shared" ca="1" si="210"/>
        <v>0</v>
      </c>
      <c r="BV81" s="2792">
        <f t="shared" ca="1" si="210"/>
        <v>0</v>
      </c>
      <c r="BW81" s="2792">
        <f t="shared" ca="1" si="210"/>
        <v>0</v>
      </c>
      <c r="BX81" s="2792">
        <f t="shared" ca="1" si="210"/>
        <v>0</v>
      </c>
      <c r="BY81" s="2792">
        <f t="shared" ca="1" si="210"/>
        <v>0</v>
      </c>
      <c r="BZ81" s="2792">
        <f t="shared" ca="1" si="210"/>
        <v>0</v>
      </c>
      <c r="CA81" s="2792">
        <f t="shared" ca="1" si="210"/>
        <v>0</v>
      </c>
      <c r="CB81" s="2792">
        <f t="shared" ca="1" si="210"/>
        <v>0</v>
      </c>
      <c r="CC81" s="2792">
        <f t="shared" ca="1" si="210"/>
        <v>0</v>
      </c>
      <c r="CD81" s="2792">
        <f t="shared" ca="1" si="210"/>
        <v>0</v>
      </c>
      <c r="CE81" s="2792">
        <f t="shared" ca="1" si="210"/>
        <v>0</v>
      </c>
      <c r="CF81" s="2792">
        <f t="shared" ca="1" si="210"/>
        <v>0</v>
      </c>
      <c r="CG81" s="2792">
        <f t="shared" ca="1" si="210"/>
        <v>0</v>
      </c>
      <c r="CH81" s="2792">
        <f t="shared" ca="1" si="210"/>
        <v>0</v>
      </c>
      <c r="CI81" s="2792">
        <f t="shared" ca="1" si="210"/>
        <v>0</v>
      </c>
      <c r="CJ81" s="2792">
        <f t="shared" ca="1" si="210"/>
        <v>0</v>
      </c>
      <c r="CK81" s="2792">
        <f t="shared" ca="1" si="210"/>
        <v>0</v>
      </c>
      <c r="CL81" s="2792">
        <f t="shared" ca="1" si="210"/>
        <v>0</v>
      </c>
      <c r="CM81" s="2792">
        <f t="shared" ca="1" si="210"/>
        <v>0</v>
      </c>
      <c r="CN81" s="2792">
        <f t="shared" ca="1" si="210"/>
        <v>0</v>
      </c>
      <c r="CO81" s="2792">
        <f t="shared" ca="1" si="210"/>
        <v>0</v>
      </c>
      <c r="CP81" s="2792">
        <f t="shared" ca="1" si="210"/>
        <v>0</v>
      </c>
      <c r="CQ81" s="2792">
        <f t="shared" ca="1" si="210"/>
        <v>0</v>
      </c>
      <c r="CR81" s="2792">
        <f t="shared" ca="1" si="210"/>
        <v>0</v>
      </c>
      <c r="CS81" s="2792">
        <f t="shared" ca="1" si="210"/>
        <v>0</v>
      </c>
      <c r="CT81" s="2792">
        <f t="shared" ca="1" si="210"/>
        <v>0</v>
      </c>
      <c r="CU81" s="2792">
        <f t="shared" ca="1" si="210"/>
        <v>0</v>
      </c>
      <c r="CV81" s="2792">
        <f t="shared" ca="1" si="210"/>
        <v>0</v>
      </c>
      <c r="CW81" s="2792">
        <f t="shared" ca="1" si="210"/>
        <v>0</v>
      </c>
      <c r="CX81" s="2792">
        <f t="shared" ca="1" si="210"/>
        <v>0</v>
      </c>
      <c r="CY81" s="2792">
        <f t="shared" ca="1" si="210"/>
        <v>0</v>
      </c>
      <c r="CZ81" s="2792">
        <f t="shared" ca="1" si="210"/>
        <v>0</v>
      </c>
      <c r="DA81" s="2792">
        <f t="shared" ca="1" si="210"/>
        <v>0</v>
      </c>
      <c r="DB81" s="2792">
        <f t="shared" ca="1" si="210"/>
        <v>0</v>
      </c>
      <c r="DC81" s="2792">
        <f t="shared" ca="1" si="210"/>
        <v>0</v>
      </c>
      <c r="DD81" s="2792">
        <f t="shared" ca="1" si="210"/>
        <v>0</v>
      </c>
      <c r="DE81" s="2792">
        <f t="shared" ca="1" si="210"/>
        <v>0</v>
      </c>
      <c r="DF81" s="2792">
        <f t="shared" ca="1" si="210"/>
        <v>0</v>
      </c>
      <c r="DH81" s="596">
        <f t="shared" ca="1" si="120"/>
        <v>1.2827491099669441</v>
      </c>
    </row>
    <row r="82" spans="1:112" s="6" customFormat="1" ht="15.75">
      <c r="A82" s="4"/>
      <c r="B82" s="3"/>
      <c r="C82" s="616" t="s">
        <v>558</v>
      </c>
      <c r="D82" s="617" t="s">
        <v>559</v>
      </c>
      <c r="E82" s="206"/>
      <c r="G82" s="618">
        <f t="shared" ref="G82:P82" ca="1" si="211">G79+G81</f>
        <v>0</v>
      </c>
      <c r="H82" s="618">
        <f t="shared" ca="1" si="211"/>
        <v>0</v>
      </c>
      <c r="I82" s="618">
        <f t="shared" ca="1" si="211"/>
        <v>0</v>
      </c>
      <c r="J82" s="618">
        <f t="shared" ca="1" si="211"/>
        <v>0</v>
      </c>
      <c r="K82" s="618">
        <f t="shared" ca="1" si="211"/>
        <v>0</v>
      </c>
      <c r="L82" s="618">
        <f t="shared" ca="1" si="211"/>
        <v>0</v>
      </c>
      <c r="M82" s="618">
        <f t="shared" ca="1" si="211"/>
        <v>0</v>
      </c>
      <c r="N82" s="618">
        <f t="shared" ca="1" si="211"/>
        <v>0</v>
      </c>
      <c r="O82" s="618">
        <f t="shared" ca="1" si="211"/>
        <v>0</v>
      </c>
      <c r="P82" s="618">
        <f t="shared" ca="1" si="211"/>
        <v>0</v>
      </c>
      <c r="Q82" s="618">
        <f ca="1">SUM(G82:P82)</f>
        <v>0</v>
      </c>
      <c r="S82" s="581">
        <f t="shared" ref="S82:AJ82" ca="1" si="212">S79+S81</f>
        <v>0</v>
      </c>
      <c r="T82" s="581">
        <f t="shared" ca="1" si="212"/>
        <v>1.2272399999999999</v>
      </c>
      <c r="U82" s="581">
        <f t="shared" ca="1" si="212"/>
        <v>-3.6115919999999999</v>
      </c>
      <c r="V82" s="581">
        <f t="shared" ca="1" si="212"/>
        <v>0</v>
      </c>
      <c r="W82" s="581">
        <f t="shared" ca="1" si="212"/>
        <v>0</v>
      </c>
      <c r="X82" s="581">
        <f t="shared" ca="1" si="212"/>
        <v>0</v>
      </c>
      <c r="Y82" s="581">
        <f t="shared" ca="1" si="212"/>
        <v>0</v>
      </c>
      <c r="Z82" s="581">
        <f t="shared" ca="1" si="212"/>
        <v>0</v>
      </c>
      <c r="AA82" s="581">
        <f t="shared" ca="1" si="212"/>
        <v>0</v>
      </c>
      <c r="AB82" s="581">
        <f t="shared" ca="1" si="212"/>
        <v>0</v>
      </c>
      <c r="AC82" s="581">
        <f t="shared" ca="1" si="212"/>
        <v>0</v>
      </c>
      <c r="AD82" s="581">
        <f ca="1">AD79+AD81</f>
        <v>0</v>
      </c>
      <c r="AE82" s="581">
        <f ca="1">AE79+AE81</f>
        <v>0</v>
      </c>
      <c r="AF82" s="581">
        <f t="shared" ca="1" si="212"/>
        <v>0</v>
      </c>
      <c r="AG82" s="581">
        <f t="shared" ca="1" si="212"/>
        <v>0</v>
      </c>
      <c r="AH82" s="581">
        <f ca="1">AH79+AH81</f>
        <v>0</v>
      </c>
      <c r="AI82" s="581">
        <f t="shared" ca="1" si="212"/>
        <v>0</v>
      </c>
      <c r="AJ82" s="581">
        <f t="shared" ca="1" si="212"/>
        <v>0</v>
      </c>
      <c r="AK82" s="581">
        <f ca="1">SUM(S82:AJ82)</f>
        <v>-2.3843519999999998</v>
      </c>
      <c r="AM82" s="582">
        <f t="shared" ref="AM82:BE82" ca="1" si="213">AM79+AM81</f>
        <v>0</v>
      </c>
      <c r="AN82" s="582">
        <f t="shared" ca="1" si="213"/>
        <v>0</v>
      </c>
      <c r="AO82" s="582">
        <f t="shared" ca="1" si="213"/>
        <v>0</v>
      </c>
      <c r="AP82" s="582">
        <f t="shared" ca="1" si="213"/>
        <v>0</v>
      </c>
      <c r="AQ82" s="582">
        <f t="shared" ca="1" si="213"/>
        <v>0</v>
      </c>
      <c r="AR82" s="582">
        <f t="shared" ca="1" si="213"/>
        <v>0</v>
      </c>
      <c r="AS82" s="582">
        <f t="shared" ca="1" si="213"/>
        <v>0</v>
      </c>
      <c r="AT82" s="582">
        <f t="shared" ca="1" si="213"/>
        <v>0</v>
      </c>
      <c r="AU82" s="582">
        <f t="shared" ca="1" si="213"/>
        <v>0</v>
      </c>
      <c r="AV82" s="582">
        <f t="shared" ca="1" si="213"/>
        <v>0</v>
      </c>
      <c r="AW82" s="582">
        <f t="shared" ca="1" si="213"/>
        <v>0</v>
      </c>
      <c r="AX82" s="582">
        <f t="shared" ca="1" si="213"/>
        <v>0</v>
      </c>
      <c r="AY82" s="582">
        <f t="shared" ca="1" si="213"/>
        <v>0</v>
      </c>
      <c r="AZ82" s="582">
        <f t="shared" ca="1" si="213"/>
        <v>0</v>
      </c>
      <c r="BA82" s="582">
        <f t="shared" ca="1" si="213"/>
        <v>0</v>
      </c>
      <c r="BB82" s="582">
        <f t="shared" ca="1" si="213"/>
        <v>0</v>
      </c>
      <c r="BC82" s="582">
        <f t="shared" ca="1" si="213"/>
        <v>0</v>
      </c>
      <c r="BD82" s="582">
        <f t="shared" ca="1" si="213"/>
        <v>0</v>
      </c>
      <c r="BE82" s="582">
        <f t="shared" ca="1" si="213"/>
        <v>0</v>
      </c>
      <c r="BF82" s="582">
        <f ca="1">SUM(AM82:BE82)</f>
        <v>0</v>
      </c>
      <c r="BH82" s="3463">
        <f ca="1">BH79+BH81</f>
        <v>2.3475348</v>
      </c>
      <c r="BI82" s="3463">
        <f ca="1">BI79+BI81</f>
        <v>3.6817199999999994E-2</v>
      </c>
      <c r="BJ82" s="3463">
        <f ca="1">SUM(BH82:BI82)</f>
        <v>2.3843519999999998</v>
      </c>
      <c r="BL82" s="3477">
        <f t="shared" ca="1" si="191"/>
        <v>0</v>
      </c>
      <c r="BM82" s="584"/>
      <c r="BN82" s="413"/>
      <c r="BO82" s="2790">
        <f t="shared" ref="BO82:DF82" ca="1" si="214">BO79+BO81</f>
        <v>1.2803220768038401</v>
      </c>
      <c r="BP82" s="2790">
        <f t="shared" ca="1" si="214"/>
        <v>2.1023799350400002E-4</v>
      </c>
      <c r="BQ82" s="2790">
        <f t="shared" ca="1" si="214"/>
        <v>2.2167951696E-3</v>
      </c>
      <c r="BR82" s="2790">
        <f t="shared" ca="1" si="214"/>
        <v>0</v>
      </c>
      <c r="BS82" s="2790">
        <f t="shared" ca="1" si="214"/>
        <v>0</v>
      </c>
      <c r="BT82" s="2790">
        <f t="shared" ca="1" si="214"/>
        <v>0</v>
      </c>
      <c r="BU82" s="2790">
        <f t="shared" ca="1" si="214"/>
        <v>0</v>
      </c>
      <c r="BV82" s="2790">
        <f t="shared" ca="1" si="214"/>
        <v>0</v>
      </c>
      <c r="BW82" s="2790">
        <f t="shared" ca="1" si="214"/>
        <v>0</v>
      </c>
      <c r="BX82" s="2790">
        <f t="shared" ca="1" si="214"/>
        <v>0</v>
      </c>
      <c r="BY82" s="2790">
        <f t="shared" ca="1" si="214"/>
        <v>0</v>
      </c>
      <c r="BZ82" s="2790">
        <f t="shared" ca="1" si="214"/>
        <v>0</v>
      </c>
      <c r="CA82" s="2790">
        <f t="shared" ca="1" si="214"/>
        <v>0</v>
      </c>
      <c r="CB82" s="2790">
        <f t="shared" ca="1" si="214"/>
        <v>0</v>
      </c>
      <c r="CC82" s="2790">
        <f t="shared" ca="1" si="214"/>
        <v>0</v>
      </c>
      <c r="CD82" s="2790">
        <f t="shared" ca="1" si="214"/>
        <v>0</v>
      </c>
      <c r="CE82" s="2790">
        <f t="shared" ca="1" si="214"/>
        <v>0</v>
      </c>
      <c r="CF82" s="2790">
        <f t="shared" ca="1" si="214"/>
        <v>0</v>
      </c>
      <c r="CG82" s="2790">
        <f t="shared" ca="1" si="214"/>
        <v>0</v>
      </c>
      <c r="CH82" s="2790">
        <f t="shared" ca="1" si="214"/>
        <v>0</v>
      </c>
      <c r="CI82" s="2790">
        <f t="shared" ca="1" si="214"/>
        <v>0</v>
      </c>
      <c r="CJ82" s="2790">
        <f t="shared" ca="1" si="214"/>
        <v>0</v>
      </c>
      <c r="CK82" s="2790">
        <f t="shared" ca="1" si="214"/>
        <v>0</v>
      </c>
      <c r="CL82" s="2790">
        <f t="shared" ca="1" si="214"/>
        <v>0</v>
      </c>
      <c r="CM82" s="2790">
        <f t="shared" ca="1" si="214"/>
        <v>0</v>
      </c>
      <c r="CN82" s="2790">
        <f t="shared" ca="1" si="214"/>
        <v>0</v>
      </c>
      <c r="CO82" s="2790">
        <f t="shared" ca="1" si="214"/>
        <v>0</v>
      </c>
      <c r="CP82" s="2790">
        <f t="shared" ca="1" si="214"/>
        <v>0</v>
      </c>
      <c r="CQ82" s="2790">
        <f t="shared" ca="1" si="214"/>
        <v>0</v>
      </c>
      <c r="CR82" s="2790">
        <f t="shared" ca="1" si="214"/>
        <v>0</v>
      </c>
      <c r="CS82" s="2790">
        <f t="shared" ca="1" si="214"/>
        <v>0</v>
      </c>
      <c r="CT82" s="2790">
        <f t="shared" ca="1" si="214"/>
        <v>0</v>
      </c>
      <c r="CU82" s="2790">
        <f t="shared" ca="1" si="214"/>
        <v>0</v>
      </c>
      <c r="CV82" s="2790">
        <f t="shared" ca="1" si="214"/>
        <v>0</v>
      </c>
      <c r="CW82" s="2790">
        <f t="shared" ca="1" si="214"/>
        <v>0</v>
      </c>
      <c r="CX82" s="2790">
        <f t="shared" ca="1" si="214"/>
        <v>0</v>
      </c>
      <c r="CY82" s="2790">
        <f t="shared" ca="1" si="214"/>
        <v>0</v>
      </c>
      <c r="CZ82" s="2790">
        <f t="shared" ca="1" si="214"/>
        <v>0</v>
      </c>
      <c r="DA82" s="2790">
        <f t="shared" ca="1" si="214"/>
        <v>0</v>
      </c>
      <c r="DB82" s="2790">
        <f t="shared" ca="1" si="214"/>
        <v>0</v>
      </c>
      <c r="DC82" s="2790">
        <f t="shared" ca="1" si="214"/>
        <v>0</v>
      </c>
      <c r="DD82" s="2790">
        <f t="shared" ca="1" si="214"/>
        <v>0</v>
      </c>
      <c r="DE82" s="2790">
        <f t="shared" ca="1" si="214"/>
        <v>0</v>
      </c>
      <c r="DF82" s="2790">
        <f t="shared" ca="1" si="214"/>
        <v>0</v>
      </c>
      <c r="DH82" s="596">
        <f t="shared" ca="1" si="120"/>
        <v>1.2827491099669441</v>
      </c>
    </row>
    <row r="83" spans="1:112" s="6" customFormat="1" ht="6" customHeigh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91"/>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215">G$51+G$55+G$63+G$68+G$72+G$76+G$82+G$46</f>
        <v>0</v>
      </c>
      <c r="H84" s="680">
        <f t="shared" ca="1" si="215"/>
        <v>0.10018562509687508</v>
      </c>
      <c r="I84" s="680">
        <f t="shared" ca="1" si="215"/>
        <v>2.7174377866091057</v>
      </c>
      <c r="J84" s="680">
        <f t="shared" ca="1" si="215"/>
        <v>0</v>
      </c>
      <c r="K84" s="681">
        <f t="shared" ca="1" si="215"/>
        <v>0</v>
      </c>
      <c r="L84" s="680">
        <f t="shared" ca="1" si="215"/>
        <v>0</v>
      </c>
      <c r="M84" s="680">
        <f t="shared" ca="1" si="215"/>
        <v>0</v>
      </c>
      <c r="N84" s="680">
        <f t="shared" ca="1" si="215"/>
        <v>0</v>
      </c>
      <c r="O84" s="680">
        <f t="shared" ca="1" si="215"/>
        <v>0</v>
      </c>
      <c r="P84" s="680">
        <f t="shared" ca="1" si="215"/>
        <v>0</v>
      </c>
      <c r="Q84" s="633">
        <f ca="1">SUM(G84:P84)</f>
        <v>2.8176234117059806</v>
      </c>
      <c r="S84" s="634">
        <f t="shared" ref="S84:AJ84" ca="1" si="216">S$51+S$55+S$63+S$68+S$72+S$76+S$82+S$46</f>
        <v>-0.90239109277303931</v>
      </c>
      <c r="T84" s="634">
        <f t="shared" ca="1" si="216"/>
        <v>35.907092117182223</v>
      </c>
      <c r="U84" s="634">
        <f t="shared" ca="1" si="216"/>
        <v>-3.6115919999999999</v>
      </c>
      <c r="V84" s="634">
        <f t="shared" ca="1" si="216"/>
        <v>-3.9990616650100645</v>
      </c>
      <c r="W84" s="634">
        <f t="shared" ca="1" si="216"/>
        <v>-8.9007718475858394E-2</v>
      </c>
      <c r="X84" s="634">
        <f t="shared" ca="1" si="216"/>
        <v>0.22914024705996922</v>
      </c>
      <c r="Y84" s="634">
        <f t="shared" ca="1" si="216"/>
        <v>0</v>
      </c>
      <c r="Z84" s="634">
        <f t="shared" ca="1" si="216"/>
        <v>0</v>
      </c>
      <c r="AA84" s="634">
        <f t="shared" ca="1" si="216"/>
        <v>0</v>
      </c>
      <c r="AB84" s="634">
        <f t="shared" ca="1" si="216"/>
        <v>0</v>
      </c>
      <c r="AC84" s="634">
        <f t="shared" ca="1" si="216"/>
        <v>0</v>
      </c>
      <c r="AD84" s="634">
        <f t="shared" ca="1" si="216"/>
        <v>29.45092534174433</v>
      </c>
      <c r="AE84" s="634">
        <f t="shared" ca="1" si="216"/>
        <v>0.48283502255691169</v>
      </c>
      <c r="AF84" s="634">
        <f t="shared" ca="1" si="216"/>
        <v>11.556354871441844</v>
      </c>
      <c r="AG84" s="634">
        <f t="shared" ca="1" si="216"/>
        <v>7.9086168792688998</v>
      </c>
      <c r="AH84" s="634">
        <f t="shared" ca="1" si="216"/>
        <v>0.16588202572781321</v>
      </c>
      <c r="AI84" s="634">
        <f t="shared" ca="1" si="216"/>
        <v>1.4025987513562512</v>
      </c>
      <c r="AJ84" s="634">
        <f t="shared" ca="1" si="216"/>
        <v>8.5334544167595186E-3</v>
      </c>
      <c r="AK84" s="634">
        <f ca="1">SUM(S84:AJ84)</f>
        <v>78.509926234496049</v>
      </c>
      <c r="AM84" s="635">
        <f t="shared" ref="AM84:BE84" ca="1" si="217">AM$51+AM$55+AM$63+AM$68+AM$72+AM$76+AM$82+AM$46</f>
        <v>0</v>
      </c>
      <c r="AN84" s="635">
        <f t="shared" ca="1" si="217"/>
        <v>0</v>
      </c>
      <c r="AO84" s="635">
        <f t="shared" ca="1" si="217"/>
        <v>0</v>
      </c>
      <c r="AP84" s="635">
        <f t="shared" ca="1" si="217"/>
        <v>0</v>
      </c>
      <c r="AQ84" s="635">
        <f t="shared" ca="1" si="217"/>
        <v>0</v>
      </c>
      <c r="AR84" s="635">
        <f t="shared" ca="1" si="217"/>
        <v>0</v>
      </c>
      <c r="AS84" s="635">
        <f t="shared" ca="1" si="217"/>
        <v>0</v>
      </c>
      <c r="AT84" s="635">
        <f t="shared" ca="1" si="217"/>
        <v>0</v>
      </c>
      <c r="AU84" s="635">
        <f t="shared" ca="1" si="217"/>
        <v>0</v>
      </c>
      <c r="AV84" s="635">
        <f t="shared" ca="1" si="217"/>
        <v>-21.428000000000004</v>
      </c>
      <c r="AW84" s="635">
        <f t="shared" ca="1" si="217"/>
        <v>-3.1032027513562515</v>
      </c>
      <c r="AX84" s="635">
        <f t="shared" ca="1" si="217"/>
        <v>-21.946119299999999</v>
      </c>
      <c r="AY84" s="635">
        <f t="shared" ca="1" si="217"/>
        <v>-0.63115200000000027</v>
      </c>
      <c r="AZ84" s="635">
        <f t="shared" ca="1" si="217"/>
        <v>-2.6035020000000002</v>
      </c>
      <c r="BA84" s="635">
        <f t="shared" ca="1" si="217"/>
        <v>0</v>
      </c>
      <c r="BB84" s="635">
        <f t="shared" ca="1" si="217"/>
        <v>-0.78946596000000002</v>
      </c>
      <c r="BC84" s="635">
        <f t="shared" ca="1" si="217"/>
        <v>0</v>
      </c>
      <c r="BD84" s="635">
        <f t="shared" ca="1" si="217"/>
        <v>-30.517093697634575</v>
      </c>
      <c r="BE84" s="635">
        <f t="shared" ca="1" si="217"/>
        <v>-19.27666069016519</v>
      </c>
      <c r="BF84" s="635">
        <f ca="1">SUM(AM84:BE84)</f>
        <v>-100.29519639915601</v>
      </c>
      <c r="BH84" s="3464">
        <f ca="1">BH$51+BH$55+BH$63+BH$68+BH$72+BH$76+BH$82+BH$46</f>
        <v>16.042336534913826</v>
      </c>
      <c r="BI84" s="3464">
        <f ca="1">BI$51+BI$55+BI$63+BI$68+BI$72+BI$76+BI$82+BI$46</f>
        <v>2.9253110713856145</v>
      </c>
      <c r="BJ84" s="3464">
        <f ca="1">SUM(BH84:BI84)</f>
        <v>18.96764760629944</v>
      </c>
      <c r="BL84" s="3478">
        <f t="shared" ca="1" si="191"/>
        <v>8.5334545829596209E-7</v>
      </c>
      <c r="BM84" s="636"/>
      <c r="BO84" s="2793">
        <f t="shared" ref="BO84:DE84" ca="1" si="218">BO$51+BO$55+BO$63+BO$68+BO$72+BO$76+BO$82+BO$46</f>
        <v>2.3538162359023356</v>
      </c>
      <c r="BP84" s="2793">
        <f t="shared" ca="1" si="218"/>
        <v>1.1239541626450577E-3</v>
      </c>
      <c r="BQ84" s="2793">
        <f t="shared" ca="1" si="218"/>
        <v>5.1826314405660073E-3</v>
      </c>
      <c r="BR84" s="2793">
        <f t="shared" ca="1" si="218"/>
        <v>0</v>
      </c>
      <c r="BS84" s="2793">
        <f t="shared" ca="1" si="218"/>
        <v>0</v>
      </c>
      <c r="BT84" s="2793">
        <f t="shared" ca="1" si="218"/>
        <v>0</v>
      </c>
      <c r="BU84" s="2793">
        <f t="shared" ca="1" si="218"/>
        <v>0</v>
      </c>
      <c r="BV84" s="2793">
        <f t="shared" ca="1" si="218"/>
        <v>0</v>
      </c>
      <c r="BW84" s="2793">
        <f t="shared" ca="1" si="218"/>
        <v>0</v>
      </c>
      <c r="BX84" s="2793">
        <f t="shared" ca="1" si="218"/>
        <v>0</v>
      </c>
      <c r="BY84" s="2793">
        <f t="shared" ca="1" si="218"/>
        <v>0</v>
      </c>
      <c r="BZ84" s="2793">
        <f t="shared" ca="1" si="218"/>
        <v>0</v>
      </c>
      <c r="CA84" s="2793">
        <f t="shared" ca="1" si="218"/>
        <v>0</v>
      </c>
      <c r="CB84" s="2793">
        <f t="shared" ca="1" si="218"/>
        <v>0</v>
      </c>
      <c r="CC84" s="2793">
        <f t="shared" ca="1" si="218"/>
        <v>0</v>
      </c>
      <c r="CD84" s="2793">
        <f t="shared" ca="1" si="218"/>
        <v>0</v>
      </c>
      <c r="CE84" s="2793">
        <f t="shared" ca="1" si="218"/>
        <v>0</v>
      </c>
      <c r="CF84" s="2793">
        <f t="shared" ca="1" si="218"/>
        <v>8.8495823397862576</v>
      </c>
      <c r="CG84" s="2793">
        <f t="shared" ca="1" si="218"/>
        <v>5.9521075915265156</v>
      </c>
      <c r="CH84" s="2793">
        <f t="shared" ca="1" si="218"/>
        <v>0</v>
      </c>
      <c r="CI84" s="2793">
        <f t="shared" ca="1" si="218"/>
        <v>-0.9383255597991258</v>
      </c>
      <c r="CJ84" s="2793">
        <f t="shared" ca="1" si="218"/>
        <v>0</v>
      </c>
      <c r="CK84" s="2793">
        <f t="shared" ca="1" si="218"/>
        <v>0</v>
      </c>
      <c r="CL84" s="2793">
        <f t="shared" ca="1" si="218"/>
        <v>0</v>
      </c>
      <c r="CM84" s="2793">
        <f t="shared" ca="1" si="218"/>
        <v>0</v>
      </c>
      <c r="CN84" s="2793">
        <f t="shared" ca="1" si="218"/>
        <v>0.54368990189287236</v>
      </c>
      <c r="CO84" s="2793">
        <f t="shared" ca="1" si="218"/>
        <v>5.862786428571428E-2</v>
      </c>
      <c r="CP84" s="2793">
        <f t="shared" ca="1" si="218"/>
        <v>0</v>
      </c>
      <c r="CQ84" s="2793">
        <f t="shared" ca="1" si="218"/>
        <v>0</v>
      </c>
      <c r="CR84" s="2793">
        <f t="shared" ca="1" si="218"/>
        <v>0</v>
      </c>
      <c r="CS84" s="2793">
        <f t="shared" ca="1" si="218"/>
        <v>0</v>
      </c>
      <c r="CT84" s="2793">
        <f t="shared" ca="1" si="218"/>
        <v>0</v>
      </c>
      <c r="CU84" s="2793">
        <f t="shared" ca="1" si="218"/>
        <v>0</v>
      </c>
      <c r="CV84" s="2793">
        <f t="shared" ca="1" si="218"/>
        <v>0</v>
      </c>
      <c r="CW84" s="2793">
        <f t="shared" ca="1" si="218"/>
        <v>0</v>
      </c>
      <c r="CX84" s="2793">
        <f t="shared" ca="1" si="218"/>
        <v>0</v>
      </c>
      <c r="CY84" s="2793">
        <f t="shared" ca="1" si="218"/>
        <v>0</v>
      </c>
      <c r="CZ84" s="2793">
        <f t="shared" ca="1" si="218"/>
        <v>0</v>
      </c>
      <c r="DA84" s="2793">
        <f t="shared" ca="1" si="218"/>
        <v>0</v>
      </c>
      <c r="DB84" s="2793">
        <f t="shared" ca="1" si="218"/>
        <v>0</v>
      </c>
      <c r="DC84" s="2793">
        <f t="shared" ca="1" si="218"/>
        <v>0</v>
      </c>
      <c r="DD84" s="2793">
        <f t="shared" ca="1" si="218"/>
        <v>0</v>
      </c>
      <c r="DE84" s="2793">
        <f t="shared" ca="1" si="218"/>
        <v>0</v>
      </c>
      <c r="DF84" s="2793">
        <f ca="1">DF$51+DF$99+DF$55+DF$63+DF$68+DF$76+DF$82+DF$46</f>
        <v>0</v>
      </c>
      <c r="DH84" s="637">
        <f ca="1">SUM(BO84:DF84)</f>
        <v>16.825804959197782</v>
      </c>
    </row>
    <row r="85" spans="1:112" s="6" customFormat="1" ht="6" customHeigh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91"/>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24" customHeight="1">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91"/>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ht="6" customHeigh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91"/>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outlineLevel="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outlineLevel="1">
      <c r="C89" s="651" t="s">
        <v>563</v>
      </c>
      <c r="D89" s="588" t="s">
        <v>564</v>
      </c>
      <c r="E89" s="588"/>
      <c r="F89" s="6"/>
      <c r="G89" s="589">
        <f t="shared" ref="G89:P89" ca="1" si="219">IFERROR(INDEX(INDIRECT($C89&amp;".Outputs["&amp;this.Year&amp;"]"), MATCH(G$5, INDIRECT($C89&amp;".Outputs[Vector]"), 0)), 0)</f>
        <v>0</v>
      </c>
      <c r="H89" s="589">
        <f t="shared" ca="1" si="219"/>
        <v>0</v>
      </c>
      <c r="I89" s="589">
        <f t="shared" ca="1" si="219"/>
        <v>0</v>
      </c>
      <c r="J89" s="589">
        <f t="shared" ca="1" si="219"/>
        <v>0</v>
      </c>
      <c r="K89" s="589">
        <f t="shared" ca="1" si="219"/>
        <v>0</v>
      </c>
      <c r="L89" s="589">
        <f t="shared" ca="1" si="219"/>
        <v>0</v>
      </c>
      <c r="M89" s="589">
        <f t="shared" ca="1" si="219"/>
        <v>0</v>
      </c>
      <c r="N89" s="589">
        <f t="shared" ca="1" si="219"/>
        <v>0</v>
      </c>
      <c r="O89" s="589">
        <f t="shared" ca="1" si="219"/>
        <v>0</v>
      </c>
      <c r="P89" s="589">
        <f t="shared" ca="1" si="219"/>
        <v>0</v>
      </c>
      <c r="Q89" s="590">
        <f ca="1">SUM(G89:P89)</f>
        <v>0</v>
      </c>
      <c r="R89" s="6"/>
      <c r="S89" s="591">
        <f t="shared" ref="S89:AJ89" ca="1" si="220">IFERROR(INDEX(INDIRECT($C89&amp;".Outputs["&amp;this.Year&amp;"]"), MATCH(S$5, INDIRECT($C89&amp;".Outputs[Vector]"), 0)), 0)</f>
        <v>0</v>
      </c>
      <c r="T89" s="591">
        <f t="shared" ca="1" si="220"/>
        <v>3.9</v>
      </c>
      <c r="U89" s="591">
        <f t="shared" ca="1" si="220"/>
        <v>0</v>
      </c>
      <c r="V89" s="591">
        <f t="shared" ca="1" si="220"/>
        <v>0</v>
      </c>
      <c r="W89" s="591">
        <f t="shared" ca="1" si="220"/>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20"/>
        <v>0</v>
      </c>
      <c r="AB89" s="591">
        <f t="shared" ca="1" si="220"/>
        <v>0</v>
      </c>
      <c r="AC89" s="591">
        <f t="shared" ca="1" si="220"/>
        <v>0</v>
      </c>
      <c r="AD89" s="591">
        <f t="shared" ca="1" si="220"/>
        <v>0</v>
      </c>
      <c r="AE89" s="591">
        <f t="shared" ca="1" si="220"/>
        <v>0</v>
      </c>
      <c r="AF89" s="591">
        <f t="shared" ca="1" si="220"/>
        <v>0</v>
      </c>
      <c r="AG89" s="591">
        <f t="shared" ca="1" si="220"/>
        <v>0</v>
      </c>
      <c r="AH89" s="591">
        <f t="shared" ca="1" si="220"/>
        <v>0</v>
      </c>
      <c r="AI89" s="591">
        <f t="shared" ca="1" si="220"/>
        <v>0</v>
      </c>
      <c r="AJ89" s="591">
        <f t="shared" ca="1" si="220"/>
        <v>0</v>
      </c>
      <c r="AK89" s="592">
        <f ca="1">SUM(S89:AJ89)</f>
        <v>3.9</v>
      </c>
      <c r="AL89" s="6"/>
      <c r="AM89" s="593">
        <f t="shared" ref="AM89:AU89" ca="1" si="221">IFERROR(INDEX(INDIRECT($C89&amp;".Outputs["&amp;this.Year&amp;"]"), MATCH(AM$5, INDIRECT($C89&amp;".Outputs[Vector]"), 0)), 0)</f>
        <v>0</v>
      </c>
      <c r="AN89" s="593">
        <f t="shared" ca="1" si="221"/>
        <v>0</v>
      </c>
      <c r="AO89" s="593">
        <f t="shared" ca="1" si="221"/>
        <v>0</v>
      </c>
      <c r="AP89" s="593">
        <f t="shared" ca="1" si="221"/>
        <v>0</v>
      </c>
      <c r="AQ89" s="593">
        <f t="shared" ca="1" si="221"/>
        <v>-3.9</v>
      </c>
      <c r="AR89" s="593">
        <f t="shared" ca="1" si="221"/>
        <v>0</v>
      </c>
      <c r="AS89" s="593">
        <f t="shared" ca="1" si="221"/>
        <v>0</v>
      </c>
      <c r="AT89" s="593">
        <f t="shared" ca="1" si="221"/>
        <v>0</v>
      </c>
      <c r="AU89" s="593">
        <f t="shared" ca="1" si="221"/>
        <v>0</v>
      </c>
      <c r="AV89" s="593">
        <f t="shared" ref="AV89:BE89" ca="1" si="222">IFERROR(INDEX(INDIRECT($C89&amp;".Outputs["&amp;this.Year&amp;"]"), MATCH(AV$5, INDIRECT($C89&amp;".Outputs[Vector]"), 0)), 0)</f>
        <v>0</v>
      </c>
      <c r="AW89" s="593">
        <f t="shared" ca="1" si="222"/>
        <v>0</v>
      </c>
      <c r="AX89" s="593">
        <f t="shared" ca="1" si="222"/>
        <v>0</v>
      </c>
      <c r="AY89" s="593">
        <f t="shared" ca="1" si="222"/>
        <v>0</v>
      </c>
      <c r="AZ89" s="593">
        <f t="shared" ca="1" si="222"/>
        <v>0</v>
      </c>
      <c r="BA89" s="593">
        <f t="shared" ca="1" si="222"/>
        <v>0</v>
      </c>
      <c r="BB89" s="593">
        <f t="shared" ca="1" si="222"/>
        <v>0</v>
      </c>
      <c r="BC89" s="593">
        <f t="shared" ca="1" si="222"/>
        <v>0</v>
      </c>
      <c r="BD89" s="593">
        <f t="shared" ca="1" si="222"/>
        <v>0</v>
      </c>
      <c r="BE89" s="593">
        <f t="shared" ca="1" si="222"/>
        <v>0</v>
      </c>
      <c r="BF89" s="609">
        <f ca="1">SUM(AM89:BE89)</f>
        <v>-3.9</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23">Q89+AK89+BF89+BJ89</f>
        <v>0</v>
      </c>
      <c r="BM89" s="610"/>
      <c r="BO89" s="2789">
        <f t="shared" ref="BO89:DF89" ca="1" si="224">IFERROR(SUMIFS(INDIRECT($C89&amp;".Emissions["&amp;this.Year&amp;"]"), INDIRECT($C89&amp;".Emissions[GHG]"), BO$6, INDIRECT($C89&amp;".Emissions[IPCC Sector]"), BO$5),0)</f>
        <v>0</v>
      </c>
      <c r="BP89" s="2790">
        <f t="shared" ca="1" si="224"/>
        <v>0</v>
      </c>
      <c r="BQ89" s="2790">
        <f t="shared" ca="1" si="224"/>
        <v>0</v>
      </c>
      <c r="BR89" s="2790">
        <f t="shared" ca="1" si="224"/>
        <v>0</v>
      </c>
      <c r="BS89" s="2790">
        <f t="shared" ca="1" si="224"/>
        <v>0</v>
      </c>
      <c r="BT89" s="2790">
        <f t="shared" ca="1" si="224"/>
        <v>0</v>
      </c>
      <c r="BU89" s="2790">
        <f t="shared" ca="1" si="224"/>
        <v>0</v>
      </c>
      <c r="BV89" s="2790">
        <f t="shared" ca="1" si="224"/>
        <v>0</v>
      </c>
      <c r="BW89" s="2790">
        <f t="shared" ca="1" si="224"/>
        <v>0</v>
      </c>
      <c r="BX89" s="2790">
        <f t="shared" ca="1" si="224"/>
        <v>0</v>
      </c>
      <c r="BY89" s="2790">
        <f t="shared" ca="1" si="224"/>
        <v>0</v>
      </c>
      <c r="BZ89" s="2790">
        <f t="shared" ca="1" si="224"/>
        <v>0</v>
      </c>
      <c r="CA89" s="2790">
        <f t="shared" ca="1" si="224"/>
        <v>0</v>
      </c>
      <c r="CB89" s="2790">
        <f t="shared" ca="1" si="224"/>
        <v>0</v>
      </c>
      <c r="CC89" s="2790">
        <f t="shared" ca="1" si="224"/>
        <v>0</v>
      </c>
      <c r="CD89" s="2790">
        <f t="shared" ca="1" si="224"/>
        <v>0</v>
      </c>
      <c r="CE89" s="2790">
        <f t="shared" ca="1" si="224"/>
        <v>0</v>
      </c>
      <c r="CF89" s="2790">
        <f t="shared" ca="1" si="224"/>
        <v>0</v>
      </c>
      <c r="CG89" s="2790">
        <f t="shared" ca="1" si="224"/>
        <v>0</v>
      </c>
      <c r="CH89" s="2790">
        <f t="shared" ca="1" si="224"/>
        <v>0</v>
      </c>
      <c r="CI89" s="2790">
        <f t="shared" ca="1" si="224"/>
        <v>0</v>
      </c>
      <c r="CJ89" s="2790">
        <f t="shared" ca="1" si="224"/>
        <v>0</v>
      </c>
      <c r="CK89" s="2790">
        <f t="shared" ca="1" si="224"/>
        <v>0</v>
      </c>
      <c r="CL89" s="2790">
        <f t="shared" ca="1" si="224"/>
        <v>0</v>
      </c>
      <c r="CM89" s="2790">
        <f t="shared" ca="1" si="224"/>
        <v>0</v>
      </c>
      <c r="CN89" s="2790">
        <f t="shared" ca="1" si="224"/>
        <v>0</v>
      </c>
      <c r="CO89" s="2790">
        <f t="shared" ca="1" si="224"/>
        <v>0</v>
      </c>
      <c r="CP89" s="2790">
        <f t="shared" ca="1" si="224"/>
        <v>0</v>
      </c>
      <c r="CQ89" s="2790">
        <f t="shared" ca="1" si="224"/>
        <v>0</v>
      </c>
      <c r="CR89" s="2790">
        <f t="shared" ca="1" si="224"/>
        <v>0</v>
      </c>
      <c r="CS89" s="2790">
        <f t="shared" ca="1" si="224"/>
        <v>0</v>
      </c>
      <c r="CT89" s="2790">
        <f t="shared" ca="1" si="224"/>
        <v>0</v>
      </c>
      <c r="CU89" s="2790">
        <f t="shared" ca="1" si="224"/>
        <v>0</v>
      </c>
      <c r="CV89" s="2790">
        <f t="shared" ca="1" si="224"/>
        <v>0</v>
      </c>
      <c r="CW89" s="2790">
        <f t="shared" ca="1" si="224"/>
        <v>0</v>
      </c>
      <c r="CX89" s="2790">
        <f t="shared" ca="1" si="224"/>
        <v>0</v>
      </c>
      <c r="CY89" s="2790">
        <f t="shared" ca="1" si="224"/>
        <v>0</v>
      </c>
      <c r="CZ89" s="2790">
        <f t="shared" ca="1" si="224"/>
        <v>0</v>
      </c>
      <c r="DA89" s="2790">
        <f t="shared" ca="1" si="224"/>
        <v>0</v>
      </c>
      <c r="DB89" s="2790">
        <f t="shared" ca="1" si="224"/>
        <v>0</v>
      </c>
      <c r="DC89" s="2790">
        <f t="shared" ca="1" si="224"/>
        <v>0</v>
      </c>
      <c r="DD89" s="2790">
        <f t="shared" ca="1" si="224"/>
        <v>0</v>
      </c>
      <c r="DE89" s="2790">
        <f t="shared" ca="1" si="224"/>
        <v>0</v>
      </c>
      <c r="DF89" s="2790">
        <f t="shared" ca="1" si="224"/>
        <v>0</v>
      </c>
      <c r="DH89" s="596"/>
    </row>
    <row r="90" spans="1:112" s="652" customFormat="1" ht="12.75" customHeight="1" outlineLevel="1">
      <c r="C90" s="667" t="s">
        <v>565</v>
      </c>
      <c r="D90" s="668" t="s">
        <v>566</v>
      </c>
      <c r="E90" s="668"/>
      <c r="F90" s="6"/>
      <c r="G90" s="643"/>
      <c r="H90" s="643"/>
      <c r="I90" s="643"/>
      <c r="J90" s="643"/>
      <c r="K90" s="644"/>
      <c r="L90" s="643"/>
      <c r="M90" s="643"/>
      <c r="N90" s="643"/>
      <c r="O90" s="643"/>
      <c r="P90" s="643"/>
      <c r="Q90" s="643"/>
      <c r="R90" s="6"/>
      <c r="S90" s="645">
        <f ca="1">S$40+$S46+S$51+S$99+S$55+S$89</f>
        <v>-25.94711529734543</v>
      </c>
      <c r="T90" s="645">
        <f ca="1">T$40+$S46+T$51+T$99+T$55+T$89</f>
        <v>8.3938017151925113</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23"/>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outlineLevel="1">
      <c r="C91" s="651" t="s">
        <v>567</v>
      </c>
      <c r="D91" s="588" t="s">
        <v>568</v>
      </c>
      <c r="E91" s="588"/>
      <c r="F91" s="6"/>
      <c r="G91" s="589">
        <f t="shared" ref="G91:P92" ca="1" si="225">IFERROR(INDEX(INDIRECT($C91&amp;".Outputs["&amp;this.Year&amp;"]"), MATCH(G$5, INDIRECT($C91&amp;".Outputs[Vector]"), 0)), 0)</f>
        <v>0</v>
      </c>
      <c r="H91" s="589">
        <f t="shared" ca="1" si="225"/>
        <v>0</v>
      </c>
      <c r="I91" s="589">
        <f t="shared" ca="1" si="225"/>
        <v>0</v>
      </c>
      <c r="J91" s="589">
        <f t="shared" ca="1" si="225"/>
        <v>0</v>
      </c>
      <c r="K91" s="589">
        <f t="shared" ca="1" si="225"/>
        <v>0</v>
      </c>
      <c r="L91" s="589">
        <f t="shared" ca="1" si="225"/>
        <v>0</v>
      </c>
      <c r="M91" s="589">
        <f t="shared" ca="1" si="225"/>
        <v>0</v>
      </c>
      <c r="N91" s="589">
        <f t="shared" ca="1" si="225"/>
        <v>0</v>
      </c>
      <c r="O91" s="589">
        <f t="shared" ca="1" si="225"/>
        <v>0</v>
      </c>
      <c r="P91" s="589">
        <f t="shared" ca="1" si="225"/>
        <v>0</v>
      </c>
      <c r="Q91" s="590">
        <f ca="1">SUM(G91:P91)</f>
        <v>0</v>
      </c>
      <c r="R91" s="6"/>
      <c r="S91" s="591">
        <f t="shared" ref="S91:AJ92" ca="1" si="226">IFERROR(INDEX(INDIRECT($C91&amp;".Outputs["&amp;this.Year&amp;"]"), MATCH(S$5, INDIRECT($C91&amp;".Outputs[Vector]"), 0)), 0)</f>
        <v>0</v>
      </c>
      <c r="T91" s="591">
        <f t="shared" ca="1" si="226"/>
        <v>-3.7064839079283836</v>
      </c>
      <c r="U91" s="591">
        <f t="shared" ca="1" si="226"/>
        <v>0</v>
      </c>
      <c r="V91" s="591">
        <f t="shared" ca="1" si="226"/>
        <v>0</v>
      </c>
      <c r="W91" s="591">
        <f t="shared" ca="1" si="226"/>
        <v>0</v>
      </c>
      <c r="X91" s="591">
        <f t="shared" ref="X91:Z92" ca="1" si="227">IFERROR(INDEX(INDIRECT($C91&amp;".Outputs["&amp;this.Year&amp;"]"), MATCH(X$5, INDIRECT($C91&amp;".Outputs[Vector]"), 0)), 0)</f>
        <v>0</v>
      </c>
      <c r="Y91" s="591">
        <f t="shared" ca="1" si="227"/>
        <v>0</v>
      </c>
      <c r="Z91" s="591">
        <f t="shared" ca="1" si="227"/>
        <v>0</v>
      </c>
      <c r="AA91" s="591">
        <f t="shared" ca="1" si="226"/>
        <v>0</v>
      </c>
      <c r="AB91" s="591">
        <f t="shared" ca="1" si="226"/>
        <v>0</v>
      </c>
      <c r="AC91" s="591">
        <f t="shared" ca="1" si="226"/>
        <v>0</v>
      </c>
      <c r="AD91" s="591">
        <f t="shared" ca="1" si="226"/>
        <v>0</v>
      </c>
      <c r="AE91" s="591">
        <f t="shared" ca="1" si="226"/>
        <v>0</v>
      </c>
      <c r="AF91" s="591">
        <f t="shared" ca="1" si="226"/>
        <v>0</v>
      </c>
      <c r="AG91" s="591">
        <f t="shared" ca="1" si="226"/>
        <v>0</v>
      </c>
      <c r="AH91" s="591">
        <f t="shared" ca="1" si="226"/>
        <v>0</v>
      </c>
      <c r="AI91" s="591">
        <f t="shared" ca="1" si="226"/>
        <v>0</v>
      </c>
      <c r="AJ91" s="591">
        <f t="shared" ca="1" si="226"/>
        <v>0</v>
      </c>
      <c r="AK91" s="592">
        <f ca="1">SUM(S91:AJ91)</f>
        <v>-3.7064839079283836</v>
      </c>
      <c r="AL91" s="6"/>
      <c r="AM91" s="593">
        <f t="shared" ref="AM91:AU92" ca="1" si="228">IFERROR(INDEX(INDIRECT($C91&amp;".Outputs["&amp;this.Year&amp;"]"), MATCH(AM$5, INDIRECT($C91&amp;".Outputs[Vector]"), 0)), 0)</f>
        <v>0</v>
      </c>
      <c r="AN91" s="593">
        <f t="shared" ca="1" si="228"/>
        <v>0</v>
      </c>
      <c r="AO91" s="593">
        <f t="shared" ca="1" si="228"/>
        <v>0</v>
      </c>
      <c r="AP91" s="593">
        <f t="shared" ca="1" si="228"/>
        <v>0</v>
      </c>
      <c r="AQ91" s="593">
        <f t="shared" ca="1" si="228"/>
        <v>0</v>
      </c>
      <c r="AR91" s="593">
        <f t="shared" ca="1" si="228"/>
        <v>0</v>
      </c>
      <c r="AS91" s="593">
        <f t="shared" ca="1" si="228"/>
        <v>0</v>
      </c>
      <c r="AT91" s="593">
        <f t="shared" ca="1" si="228"/>
        <v>0</v>
      </c>
      <c r="AU91" s="593">
        <f t="shared" ca="1" si="228"/>
        <v>0</v>
      </c>
      <c r="AV91" s="593">
        <f t="shared" ref="AV91:BE92" ca="1" si="229">IFERROR(INDEX(INDIRECT($C91&amp;".Outputs["&amp;this.Year&amp;"]"), MATCH(AV$5, INDIRECT($C91&amp;".Outputs[Vector]"), 0)), 0)</f>
        <v>0</v>
      </c>
      <c r="AW91" s="593">
        <f t="shared" ca="1" si="229"/>
        <v>0</v>
      </c>
      <c r="AX91" s="593">
        <f t="shared" ca="1" si="229"/>
        <v>0</v>
      </c>
      <c r="AY91" s="593">
        <f t="shared" ca="1" si="229"/>
        <v>0</v>
      </c>
      <c r="AZ91" s="593">
        <f t="shared" ca="1" si="229"/>
        <v>0</v>
      </c>
      <c r="BA91" s="593">
        <f t="shared" ca="1" si="229"/>
        <v>0</v>
      </c>
      <c r="BB91" s="593">
        <f t="shared" ca="1" si="229"/>
        <v>0</v>
      </c>
      <c r="BC91" s="593">
        <f t="shared" ca="1" si="229"/>
        <v>0</v>
      </c>
      <c r="BD91" s="593">
        <f t="shared" ca="1" si="229"/>
        <v>0</v>
      </c>
      <c r="BE91" s="593">
        <f t="shared" ca="1" si="22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3.7064839079283831</v>
      </c>
      <c r="BJ91" s="3460">
        <f ca="1">SUM(BH91:BI91)</f>
        <v>3.7064839079283831</v>
      </c>
      <c r="BK91" s="6"/>
      <c r="BL91" s="654">
        <f t="shared" ca="1" si="223"/>
        <v>0</v>
      </c>
      <c r="BM91" s="610"/>
      <c r="BO91" s="2789">
        <f t="shared" ref="BO91:BX92" ca="1" si="230">IFERROR(SUMIFS(INDIRECT($C91&amp;".Emissions["&amp;this.Year&amp;"]"), INDIRECT($C91&amp;".Emissions[GHG]"), BO$6, INDIRECT($C91&amp;".Emissions[IPCC Sector]"), BO$5),0)</f>
        <v>0</v>
      </c>
      <c r="BP91" s="2790">
        <f t="shared" ca="1" si="230"/>
        <v>0</v>
      </c>
      <c r="BQ91" s="2790">
        <f t="shared" ca="1" si="230"/>
        <v>0</v>
      </c>
      <c r="BR91" s="2790">
        <f t="shared" ca="1" si="230"/>
        <v>0</v>
      </c>
      <c r="BS91" s="2790">
        <f t="shared" ca="1" si="230"/>
        <v>0</v>
      </c>
      <c r="BT91" s="2790">
        <f t="shared" ca="1" si="230"/>
        <v>0</v>
      </c>
      <c r="BU91" s="2790">
        <f t="shared" ca="1" si="230"/>
        <v>0</v>
      </c>
      <c r="BV91" s="2790">
        <f t="shared" ca="1" si="230"/>
        <v>0</v>
      </c>
      <c r="BW91" s="2790">
        <f t="shared" ca="1" si="230"/>
        <v>0</v>
      </c>
      <c r="BX91" s="2790">
        <f t="shared" ca="1" si="230"/>
        <v>0</v>
      </c>
      <c r="BY91" s="2790">
        <f t="shared" ref="BY91:CH92" ca="1" si="231">IFERROR(SUMIFS(INDIRECT($C91&amp;".Emissions["&amp;this.Year&amp;"]"), INDIRECT($C91&amp;".Emissions[GHG]"), BY$6, INDIRECT($C91&amp;".Emissions[IPCC Sector]"), BY$5),0)</f>
        <v>0</v>
      </c>
      <c r="BZ91" s="2790">
        <f t="shared" ca="1" si="231"/>
        <v>0</v>
      </c>
      <c r="CA91" s="2790">
        <f t="shared" ca="1" si="231"/>
        <v>0</v>
      </c>
      <c r="CB91" s="2790">
        <f t="shared" ca="1" si="231"/>
        <v>0</v>
      </c>
      <c r="CC91" s="2790">
        <f t="shared" ca="1" si="231"/>
        <v>0</v>
      </c>
      <c r="CD91" s="2790">
        <f t="shared" ca="1" si="231"/>
        <v>0</v>
      </c>
      <c r="CE91" s="2790">
        <f t="shared" ca="1" si="231"/>
        <v>0</v>
      </c>
      <c r="CF91" s="2790">
        <f t="shared" ca="1" si="231"/>
        <v>0</v>
      </c>
      <c r="CG91" s="2790">
        <f t="shared" ca="1" si="231"/>
        <v>0</v>
      </c>
      <c r="CH91" s="2790">
        <f t="shared" ca="1" si="231"/>
        <v>0</v>
      </c>
      <c r="CI91" s="2790">
        <f t="shared" ref="CI91:CR92" ca="1" si="232">IFERROR(SUMIFS(INDIRECT($C91&amp;".Emissions["&amp;this.Year&amp;"]"), INDIRECT($C91&amp;".Emissions[GHG]"), CI$6, INDIRECT($C91&amp;".Emissions[IPCC Sector]"), CI$5),0)</f>
        <v>0</v>
      </c>
      <c r="CJ91" s="2790">
        <f t="shared" ca="1" si="232"/>
        <v>0</v>
      </c>
      <c r="CK91" s="2790">
        <f t="shared" ca="1" si="232"/>
        <v>0</v>
      </c>
      <c r="CL91" s="2790">
        <f t="shared" ca="1" si="232"/>
        <v>0</v>
      </c>
      <c r="CM91" s="2790">
        <f t="shared" ca="1" si="232"/>
        <v>0</v>
      </c>
      <c r="CN91" s="2790">
        <f t="shared" ca="1" si="232"/>
        <v>0</v>
      </c>
      <c r="CO91" s="2790">
        <f t="shared" ca="1" si="232"/>
        <v>0</v>
      </c>
      <c r="CP91" s="2790">
        <f t="shared" ca="1" si="232"/>
        <v>0</v>
      </c>
      <c r="CQ91" s="2790">
        <f t="shared" ca="1" si="232"/>
        <v>0</v>
      </c>
      <c r="CR91" s="2790">
        <f t="shared" ca="1" si="232"/>
        <v>0</v>
      </c>
      <c r="CS91" s="2790">
        <f t="shared" ref="CS91:DF92" ca="1" si="233">IFERROR(SUMIFS(INDIRECT($C91&amp;".Emissions["&amp;this.Year&amp;"]"), INDIRECT($C91&amp;".Emissions[GHG]"), CS$6, INDIRECT($C91&amp;".Emissions[IPCC Sector]"), CS$5),0)</f>
        <v>0</v>
      </c>
      <c r="CT91" s="2790">
        <f t="shared" ca="1" si="233"/>
        <v>0</v>
      </c>
      <c r="CU91" s="2790">
        <f t="shared" ca="1" si="233"/>
        <v>0</v>
      </c>
      <c r="CV91" s="2790">
        <f t="shared" ca="1" si="233"/>
        <v>0</v>
      </c>
      <c r="CW91" s="2790">
        <f t="shared" ca="1" si="233"/>
        <v>0</v>
      </c>
      <c r="CX91" s="2790">
        <f t="shared" ca="1" si="233"/>
        <v>0</v>
      </c>
      <c r="CY91" s="2790">
        <f t="shared" ca="1" si="233"/>
        <v>0</v>
      </c>
      <c r="CZ91" s="2790">
        <f t="shared" ca="1" si="233"/>
        <v>0</v>
      </c>
      <c r="DA91" s="2790">
        <f t="shared" ca="1" si="233"/>
        <v>0</v>
      </c>
      <c r="DB91" s="2790">
        <f t="shared" ca="1" si="233"/>
        <v>0</v>
      </c>
      <c r="DC91" s="2790">
        <f t="shared" ca="1" si="233"/>
        <v>0</v>
      </c>
      <c r="DD91" s="2790">
        <f t="shared" ca="1" si="233"/>
        <v>0</v>
      </c>
      <c r="DE91" s="2790">
        <f t="shared" ca="1" si="233"/>
        <v>0</v>
      </c>
      <c r="DF91" s="2790">
        <f t="shared" ca="1" si="233"/>
        <v>0</v>
      </c>
      <c r="DH91" s="596"/>
    </row>
    <row r="92" spans="1:112" s="607" customFormat="1" outlineLevel="1">
      <c r="C92" s="651" t="s">
        <v>569</v>
      </c>
      <c r="D92" s="611" t="s">
        <v>570</v>
      </c>
      <c r="E92" s="611"/>
      <c r="F92" s="6"/>
      <c r="G92" s="619">
        <f t="shared" ca="1" si="225"/>
        <v>0</v>
      </c>
      <c r="H92" s="619">
        <f t="shared" ca="1" si="225"/>
        <v>0</v>
      </c>
      <c r="I92" s="619">
        <f t="shared" ca="1" si="225"/>
        <v>0</v>
      </c>
      <c r="J92" s="619">
        <f t="shared" ca="1" si="225"/>
        <v>0</v>
      </c>
      <c r="K92" s="619">
        <f t="shared" ca="1" si="225"/>
        <v>0</v>
      </c>
      <c r="L92" s="619">
        <f t="shared" ca="1" si="225"/>
        <v>0</v>
      </c>
      <c r="M92" s="619">
        <f t="shared" ca="1" si="225"/>
        <v>0</v>
      </c>
      <c r="N92" s="619">
        <f t="shared" ca="1" si="225"/>
        <v>0</v>
      </c>
      <c r="O92" s="619">
        <f t="shared" ca="1" si="225"/>
        <v>0</v>
      </c>
      <c r="P92" s="619">
        <f t="shared" ca="1" si="225"/>
        <v>0</v>
      </c>
      <c r="Q92" s="612">
        <f ca="1">SUM(G92:P92)</f>
        <v>0</v>
      </c>
      <c r="R92" s="6"/>
      <c r="S92" s="620">
        <f t="shared" ca="1" si="226"/>
        <v>0</v>
      </c>
      <c r="T92" s="620">
        <f t="shared" ca="1" si="226"/>
        <v>0</v>
      </c>
      <c r="U92" s="620">
        <f t="shared" ca="1" si="226"/>
        <v>0</v>
      </c>
      <c r="V92" s="620">
        <f t="shared" ca="1" si="226"/>
        <v>0</v>
      </c>
      <c r="W92" s="620">
        <f t="shared" ca="1" si="226"/>
        <v>0</v>
      </c>
      <c r="X92" s="620">
        <f t="shared" ca="1" si="227"/>
        <v>0</v>
      </c>
      <c r="Y92" s="620">
        <f t="shared" ca="1" si="227"/>
        <v>0</v>
      </c>
      <c r="Z92" s="620">
        <f t="shared" ca="1" si="227"/>
        <v>0</v>
      </c>
      <c r="AA92" s="620">
        <f t="shared" ca="1" si="226"/>
        <v>0</v>
      </c>
      <c r="AB92" s="620">
        <f t="shared" ca="1" si="226"/>
        <v>0</v>
      </c>
      <c r="AC92" s="620">
        <f t="shared" ca="1" si="226"/>
        <v>0</v>
      </c>
      <c r="AD92" s="620">
        <f t="shared" ca="1" si="226"/>
        <v>0</v>
      </c>
      <c r="AE92" s="620">
        <f t="shared" ca="1" si="226"/>
        <v>0</v>
      </c>
      <c r="AF92" s="620">
        <f t="shared" ca="1" si="226"/>
        <v>0</v>
      </c>
      <c r="AG92" s="620">
        <f t="shared" ca="1" si="226"/>
        <v>0</v>
      </c>
      <c r="AH92" s="620">
        <f t="shared" ca="1" si="226"/>
        <v>0</v>
      </c>
      <c r="AI92" s="620">
        <f t="shared" ca="1" si="226"/>
        <v>0</v>
      </c>
      <c r="AJ92" s="620">
        <f t="shared" ca="1" si="226"/>
        <v>0</v>
      </c>
      <c r="AK92" s="613">
        <f ca="1">SUM(S92:AJ92)</f>
        <v>0</v>
      </c>
      <c r="AL92" s="6"/>
      <c r="AM92" s="621">
        <f t="shared" ca="1" si="228"/>
        <v>0</v>
      </c>
      <c r="AN92" s="621">
        <f t="shared" ca="1" si="228"/>
        <v>0</v>
      </c>
      <c r="AO92" s="621">
        <f t="shared" ca="1" si="228"/>
        <v>0</v>
      </c>
      <c r="AP92" s="621">
        <f t="shared" ca="1" si="228"/>
        <v>0</v>
      </c>
      <c r="AQ92" s="621">
        <f t="shared" ca="1" si="228"/>
        <v>0</v>
      </c>
      <c r="AR92" s="621">
        <f t="shared" ca="1" si="228"/>
        <v>0</v>
      </c>
      <c r="AS92" s="621">
        <f t="shared" ca="1" si="228"/>
        <v>0</v>
      </c>
      <c r="AT92" s="621">
        <f t="shared" ca="1" si="228"/>
        <v>0</v>
      </c>
      <c r="AU92" s="621">
        <f t="shared" ca="1" si="228"/>
        <v>0</v>
      </c>
      <c r="AV92" s="621">
        <f t="shared" ca="1" si="229"/>
        <v>0</v>
      </c>
      <c r="AW92" s="621">
        <f t="shared" ca="1" si="229"/>
        <v>0</v>
      </c>
      <c r="AX92" s="621">
        <f t="shared" ca="1" si="229"/>
        <v>0</v>
      </c>
      <c r="AY92" s="621">
        <f t="shared" ca="1" si="229"/>
        <v>0</v>
      </c>
      <c r="AZ92" s="621">
        <f t="shared" ca="1" si="229"/>
        <v>0</v>
      </c>
      <c r="BA92" s="621">
        <f t="shared" ca="1" si="229"/>
        <v>0</v>
      </c>
      <c r="BB92" s="621">
        <f t="shared" ca="1" si="229"/>
        <v>0</v>
      </c>
      <c r="BC92" s="621">
        <f t="shared" ca="1" si="229"/>
        <v>0</v>
      </c>
      <c r="BD92" s="621">
        <f t="shared" ca="1" si="229"/>
        <v>0</v>
      </c>
      <c r="BE92" s="621">
        <f t="shared" ca="1" si="229"/>
        <v>0</v>
      </c>
      <c r="BF92" s="615">
        <f ca="1">SUM(AM92:BE92)</f>
        <v>0</v>
      </c>
      <c r="BG92" s="6"/>
      <c r="BH92" s="3473">
        <f ca="1">IFERROR(INDEX(INDIRECT($C92&amp;".Outputs["&amp;this.Year&amp;"]"), MATCH(BH$5, INDIRECT($C92&amp;".Outputs[Vector]"), 0)), 0)</f>
        <v>0</v>
      </c>
      <c r="BI92" s="3473">
        <f ca="1">IFERROR(INDEX(INDIRECT($C92&amp;".Outputs["&amp;this.Year&amp;"]"), MATCH(BI$5, INDIRECT($C92&amp;".Outputs[Vector]"), 0)), 0)</f>
        <v>0</v>
      </c>
      <c r="BJ92" s="3462">
        <f ca="1">SUM(BH92:BI92)</f>
        <v>0</v>
      </c>
      <c r="BK92" s="6"/>
      <c r="BL92" s="654">
        <f t="shared" ca="1" si="223"/>
        <v>0</v>
      </c>
      <c r="BM92" s="610"/>
      <c r="BO92" s="2791">
        <f t="shared" ca="1" si="230"/>
        <v>0</v>
      </c>
      <c r="BP92" s="2792">
        <f t="shared" ca="1" si="230"/>
        <v>0</v>
      </c>
      <c r="BQ92" s="2792">
        <f t="shared" ca="1" si="230"/>
        <v>0</v>
      </c>
      <c r="BR92" s="2792">
        <f t="shared" ca="1" si="230"/>
        <v>0</v>
      </c>
      <c r="BS92" s="2792">
        <f t="shared" ca="1" si="230"/>
        <v>0</v>
      </c>
      <c r="BT92" s="2792">
        <f t="shared" ca="1" si="230"/>
        <v>0</v>
      </c>
      <c r="BU92" s="2792">
        <f t="shared" ca="1" si="230"/>
        <v>0</v>
      </c>
      <c r="BV92" s="2792">
        <f t="shared" ca="1" si="230"/>
        <v>0</v>
      </c>
      <c r="BW92" s="2792">
        <f t="shared" ca="1" si="230"/>
        <v>0</v>
      </c>
      <c r="BX92" s="2792">
        <f t="shared" ca="1" si="230"/>
        <v>0</v>
      </c>
      <c r="BY92" s="2792">
        <f t="shared" ca="1" si="231"/>
        <v>0</v>
      </c>
      <c r="BZ92" s="2792">
        <f t="shared" ca="1" si="231"/>
        <v>0</v>
      </c>
      <c r="CA92" s="2792">
        <f t="shared" ca="1" si="231"/>
        <v>0</v>
      </c>
      <c r="CB92" s="2792">
        <f t="shared" ca="1" si="231"/>
        <v>0</v>
      </c>
      <c r="CC92" s="2792">
        <f t="shared" ca="1" si="231"/>
        <v>0</v>
      </c>
      <c r="CD92" s="2792">
        <f t="shared" ca="1" si="231"/>
        <v>0</v>
      </c>
      <c r="CE92" s="2792">
        <f t="shared" ca="1" si="231"/>
        <v>0</v>
      </c>
      <c r="CF92" s="2792">
        <f t="shared" ca="1" si="231"/>
        <v>0</v>
      </c>
      <c r="CG92" s="2792">
        <f t="shared" ca="1" si="231"/>
        <v>0</v>
      </c>
      <c r="CH92" s="2792">
        <f t="shared" ca="1" si="231"/>
        <v>0</v>
      </c>
      <c r="CI92" s="2792">
        <f t="shared" ca="1" si="232"/>
        <v>0</v>
      </c>
      <c r="CJ92" s="2792">
        <f t="shared" ca="1" si="232"/>
        <v>0</v>
      </c>
      <c r="CK92" s="2792">
        <f t="shared" ca="1" si="232"/>
        <v>0</v>
      </c>
      <c r="CL92" s="2792">
        <f t="shared" ca="1" si="232"/>
        <v>0</v>
      </c>
      <c r="CM92" s="2792">
        <f t="shared" ca="1" si="232"/>
        <v>0</v>
      </c>
      <c r="CN92" s="2792">
        <f t="shared" ca="1" si="232"/>
        <v>0</v>
      </c>
      <c r="CO92" s="2792">
        <f t="shared" ca="1" si="232"/>
        <v>0</v>
      </c>
      <c r="CP92" s="2792">
        <f t="shared" ca="1" si="232"/>
        <v>0</v>
      </c>
      <c r="CQ92" s="2792">
        <f t="shared" ca="1" si="232"/>
        <v>0</v>
      </c>
      <c r="CR92" s="2792">
        <f t="shared" ca="1" si="232"/>
        <v>0</v>
      </c>
      <c r="CS92" s="2792">
        <f t="shared" ca="1" si="233"/>
        <v>0</v>
      </c>
      <c r="CT92" s="2792">
        <f t="shared" ca="1" si="233"/>
        <v>0</v>
      </c>
      <c r="CU92" s="2792">
        <f t="shared" ca="1" si="233"/>
        <v>0</v>
      </c>
      <c r="CV92" s="2792">
        <f t="shared" ca="1" si="233"/>
        <v>0</v>
      </c>
      <c r="CW92" s="2792">
        <f t="shared" ca="1" si="233"/>
        <v>0</v>
      </c>
      <c r="CX92" s="2792">
        <f t="shared" ca="1" si="233"/>
        <v>0</v>
      </c>
      <c r="CY92" s="2792">
        <f t="shared" ca="1" si="233"/>
        <v>0</v>
      </c>
      <c r="CZ92" s="2792">
        <f t="shared" ca="1" si="233"/>
        <v>0</v>
      </c>
      <c r="DA92" s="2792">
        <f t="shared" ca="1" si="233"/>
        <v>0</v>
      </c>
      <c r="DB92" s="2792">
        <f t="shared" ca="1" si="233"/>
        <v>0</v>
      </c>
      <c r="DC92" s="2792">
        <f t="shared" ca="1" si="233"/>
        <v>0</v>
      </c>
      <c r="DD92" s="2792">
        <f t="shared" ca="1" si="233"/>
        <v>0</v>
      </c>
      <c r="DE92" s="2792">
        <f t="shared" ca="1" si="233"/>
        <v>0</v>
      </c>
      <c r="DF92" s="2792">
        <f t="shared" ca="1" si="233"/>
        <v>0</v>
      </c>
      <c r="DH92" s="596"/>
    </row>
    <row r="93" spans="1:112" s="4" customFormat="1" ht="12.75" customHeight="1">
      <c r="B93" s="3"/>
      <c r="C93" s="616" t="s">
        <v>571</v>
      </c>
      <c r="D93" s="617" t="s">
        <v>572</v>
      </c>
      <c r="E93" s="206"/>
      <c r="F93" s="6"/>
      <c r="G93" s="579">
        <f t="shared" ref="G93:P93" ca="1" si="234">G$89+G$91+G$92</f>
        <v>0</v>
      </c>
      <c r="H93" s="579">
        <f t="shared" ca="1" si="234"/>
        <v>0</v>
      </c>
      <c r="I93" s="579">
        <f t="shared" ca="1" si="234"/>
        <v>0</v>
      </c>
      <c r="J93" s="579">
        <f t="shared" ca="1" si="234"/>
        <v>0</v>
      </c>
      <c r="K93" s="638">
        <f t="shared" ca="1" si="234"/>
        <v>0</v>
      </c>
      <c r="L93" s="579">
        <f t="shared" ca="1" si="234"/>
        <v>0</v>
      </c>
      <c r="M93" s="579">
        <f t="shared" ca="1" si="234"/>
        <v>0</v>
      </c>
      <c r="N93" s="579">
        <f t="shared" ca="1" si="234"/>
        <v>0</v>
      </c>
      <c r="O93" s="579">
        <f t="shared" ca="1" si="234"/>
        <v>0</v>
      </c>
      <c r="P93" s="579">
        <f t="shared" ca="1" si="234"/>
        <v>0</v>
      </c>
      <c r="Q93" s="618">
        <f ca="1">SUM(G93:P93)</f>
        <v>0</v>
      </c>
      <c r="R93" s="6"/>
      <c r="S93" s="581">
        <f t="shared" ref="S93:AJ93" ca="1" si="235">S$89+S$91+S$92</f>
        <v>0</v>
      </c>
      <c r="T93" s="581">
        <f t="shared" ca="1" si="235"/>
        <v>0.19351609207161635</v>
      </c>
      <c r="U93" s="581">
        <f t="shared" ca="1" si="235"/>
        <v>0</v>
      </c>
      <c r="V93" s="581">
        <f t="shared" ca="1" si="235"/>
        <v>0</v>
      </c>
      <c r="W93" s="581">
        <f t="shared" ca="1" si="235"/>
        <v>0</v>
      </c>
      <c r="X93" s="581">
        <f ca="1">X$89+X$91+X$92</f>
        <v>0</v>
      </c>
      <c r="Y93" s="581">
        <f ca="1">Y$89+Y$91+Y$92</f>
        <v>0</v>
      </c>
      <c r="Z93" s="581">
        <f ca="1">Z$89+Z$91+Z$92</f>
        <v>0</v>
      </c>
      <c r="AA93" s="581">
        <f t="shared" ca="1" si="235"/>
        <v>0</v>
      </c>
      <c r="AB93" s="581">
        <f t="shared" ca="1" si="235"/>
        <v>0</v>
      </c>
      <c r="AC93" s="581">
        <f t="shared" ca="1" si="235"/>
        <v>0</v>
      </c>
      <c r="AD93" s="581">
        <f t="shared" ca="1" si="235"/>
        <v>0</v>
      </c>
      <c r="AE93" s="581">
        <f t="shared" ca="1" si="235"/>
        <v>0</v>
      </c>
      <c r="AF93" s="581">
        <f t="shared" ca="1" si="235"/>
        <v>0</v>
      </c>
      <c r="AG93" s="581">
        <f t="shared" ca="1" si="235"/>
        <v>0</v>
      </c>
      <c r="AH93" s="581">
        <f t="shared" ca="1" si="235"/>
        <v>0</v>
      </c>
      <c r="AI93" s="581">
        <f t="shared" ca="1" si="235"/>
        <v>0</v>
      </c>
      <c r="AJ93" s="581">
        <f t="shared" ca="1" si="235"/>
        <v>0</v>
      </c>
      <c r="AK93" s="581">
        <f ca="1">SUM(S93:AJ93)</f>
        <v>0.19351609207161635</v>
      </c>
      <c r="AL93" s="6"/>
      <c r="AM93" s="582">
        <f t="shared" ref="AM93:BE93" ca="1" si="236">AM$89+AM$91+AM$92</f>
        <v>0</v>
      </c>
      <c r="AN93" s="582">
        <f t="shared" ca="1" si="236"/>
        <v>0</v>
      </c>
      <c r="AO93" s="582">
        <f t="shared" ca="1" si="236"/>
        <v>0</v>
      </c>
      <c r="AP93" s="582">
        <f t="shared" ca="1" si="236"/>
        <v>0</v>
      </c>
      <c r="AQ93" s="582">
        <f t="shared" ca="1" si="236"/>
        <v>-3.9</v>
      </c>
      <c r="AR93" s="582">
        <f t="shared" ca="1" si="236"/>
        <v>0</v>
      </c>
      <c r="AS93" s="582">
        <f t="shared" ca="1" si="236"/>
        <v>0</v>
      </c>
      <c r="AT93" s="582">
        <f t="shared" ca="1" si="236"/>
        <v>0</v>
      </c>
      <c r="AU93" s="582">
        <f t="shared" ca="1" si="236"/>
        <v>0</v>
      </c>
      <c r="AV93" s="582">
        <f t="shared" ca="1" si="236"/>
        <v>0</v>
      </c>
      <c r="AW93" s="582">
        <f t="shared" ca="1" si="236"/>
        <v>0</v>
      </c>
      <c r="AX93" s="582">
        <f t="shared" ca="1" si="236"/>
        <v>0</v>
      </c>
      <c r="AY93" s="582">
        <f t="shared" ca="1" si="236"/>
        <v>0</v>
      </c>
      <c r="AZ93" s="582">
        <f t="shared" ca="1" si="236"/>
        <v>0</v>
      </c>
      <c r="BA93" s="582">
        <f t="shared" ca="1" si="236"/>
        <v>0</v>
      </c>
      <c r="BB93" s="582">
        <f t="shared" ca="1" si="236"/>
        <v>0</v>
      </c>
      <c r="BC93" s="582">
        <f t="shared" ca="1" si="236"/>
        <v>0</v>
      </c>
      <c r="BD93" s="582">
        <f t="shared" ca="1" si="236"/>
        <v>0</v>
      </c>
      <c r="BE93" s="582">
        <f t="shared" ca="1" si="236"/>
        <v>0</v>
      </c>
      <c r="BF93" s="582">
        <f ca="1">SUM(AM93:BE93)</f>
        <v>-3.9</v>
      </c>
      <c r="BG93" s="6"/>
      <c r="BH93" s="3463">
        <f ca="1">BH$89+BH$91+BH$92</f>
        <v>0</v>
      </c>
      <c r="BI93" s="3463">
        <f ca="1">BI$89+BI$91+BI$92</f>
        <v>3.7064839079283831</v>
      </c>
      <c r="BJ93" s="3463">
        <f ca="1">SUM(BH93:BI93)</f>
        <v>3.7064839079283831</v>
      </c>
      <c r="BK93" s="6"/>
      <c r="BL93" s="3477">
        <f t="shared" ca="1" si="223"/>
        <v>0</v>
      </c>
      <c r="BM93" s="584"/>
      <c r="BN93" s="413"/>
      <c r="BO93" s="2790">
        <f t="shared" ref="BO93:DF93" ca="1" si="237">BO$89+BO$91+BO$92</f>
        <v>0</v>
      </c>
      <c r="BP93" s="2790">
        <f t="shared" ca="1" si="237"/>
        <v>0</v>
      </c>
      <c r="BQ93" s="2790">
        <f t="shared" ca="1" si="237"/>
        <v>0</v>
      </c>
      <c r="BR93" s="2790">
        <f t="shared" ca="1" si="237"/>
        <v>0</v>
      </c>
      <c r="BS93" s="2790">
        <f t="shared" ca="1" si="237"/>
        <v>0</v>
      </c>
      <c r="BT93" s="2790">
        <f t="shared" ca="1" si="237"/>
        <v>0</v>
      </c>
      <c r="BU93" s="2790">
        <f t="shared" ca="1" si="237"/>
        <v>0</v>
      </c>
      <c r="BV93" s="2790">
        <f t="shared" ca="1" si="237"/>
        <v>0</v>
      </c>
      <c r="BW93" s="2790">
        <f t="shared" ca="1" si="237"/>
        <v>0</v>
      </c>
      <c r="BX93" s="2790">
        <f t="shared" ca="1" si="237"/>
        <v>0</v>
      </c>
      <c r="BY93" s="2790">
        <f t="shared" ca="1" si="237"/>
        <v>0</v>
      </c>
      <c r="BZ93" s="2790">
        <f t="shared" ca="1" si="237"/>
        <v>0</v>
      </c>
      <c r="CA93" s="2790">
        <f t="shared" ca="1" si="237"/>
        <v>0</v>
      </c>
      <c r="CB93" s="2790">
        <f t="shared" ca="1" si="237"/>
        <v>0</v>
      </c>
      <c r="CC93" s="2790">
        <f t="shared" ca="1" si="237"/>
        <v>0</v>
      </c>
      <c r="CD93" s="2790">
        <f t="shared" ca="1" si="237"/>
        <v>0</v>
      </c>
      <c r="CE93" s="2790">
        <f t="shared" ca="1" si="237"/>
        <v>0</v>
      </c>
      <c r="CF93" s="2790">
        <f t="shared" ca="1" si="237"/>
        <v>0</v>
      </c>
      <c r="CG93" s="2790">
        <f t="shared" ca="1" si="237"/>
        <v>0</v>
      </c>
      <c r="CH93" s="2790">
        <f t="shared" ca="1" si="237"/>
        <v>0</v>
      </c>
      <c r="CI93" s="2790">
        <f t="shared" ca="1" si="237"/>
        <v>0</v>
      </c>
      <c r="CJ93" s="2790">
        <f t="shared" ca="1" si="237"/>
        <v>0</v>
      </c>
      <c r="CK93" s="2790">
        <f t="shared" ca="1" si="237"/>
        <v>0</v>
      </c>
      <c r="CL93" s="2790">
        <f t="shared" ca="1" si="237"/>
        <v>0</v>
      </c>
      <c r="CM93" s="2790">
        <f t="shared" ca="1" si="237"/>
        <v>0</v>
      </c>
      <c r="CN93" s="2790">
        <f t="shared" ca="1" si="237"/>
        <v>0</v>
      </c>
      <c r="CO93" s="2790">
        <f t="shared" ca="1" si="237"/>
        <v>0</v>
      </c>
      <c r="CP93" s="2790">
        <f t="shared" ca="1" si="237"/>
        <v>0</v>
      </c>
      <c r="CQ93" s="2790">
        <f t="shared" ca="1" si="237"/>
        <v>0</v>
      </c>
      <c r="CR93" s="2790">
        <f t="shared" ca="1" si="237"/>
        <v>0</v>
      </c>
      <c r="CS93" s="2790">
        <f t="shared" ca="1" si="237"/>
        <v>0</v>
      </c>
      <c r="CT93" s="2790">
        <f t="shared" ca="1" si="237"/>
        <v>0</v>
      </c>
      <c r="CU93" s="2790">
        <f t="shared" ca="1" si="237"/>
        <v>0</v>
      </c>
      <c r="CV93" s="2790">
        <f t="shared" ca="1" si="237"/>
        <v>0</v>
      </c>
      <c r="CW93" s="2790">
        <f t="shared" ca="1" si="237"/>
        <v>0</v>
      </c>
      <c r="CX93" s="2790">
        <f t="shared" ca="1" si="237"/>
        <v>0</v>
      </c>
      <c r="CY93" s="2790">
        <f t="shared" ca="1" si="237"/>
        <v>0</v>
      </c>
      <c r="CZ93" s="2790">
        <f t="shared" ca="1" si="237"/>
        <v>0</v>
      </c>
      <c r="DA93" s="2790">
        <f t="shared" ca="1" si="237"/>
        <v>0</v>
      </c>
      <c r="DB93" s="2790">
        <f t="shared" ca="1" si="237"/>
        <v>0</v>
      </c>
      <c r="DC93" s="2790">
        <f t="shared" ca="1" si="237"/>
        <v>0</v>
      </c>
      <c r="DD93" s="2790">
        <f t="shared" ca="1" si="237"/>
        <v>0</v>
      </c>
      <c r="DE93" s="2790">
        <f t="shared" ca="1" si="237"/>
        <v>0</v>
      </c>
      <c r="DF93" s="2790">
        <f t="shared" ca="1" si="237"/>
        <v>0</v>
      </c>
      <c r="DH93" s="596">
        <f t="shared" ref="DH93:DH104" ca="1" si="238">SUM(BO93:DF93)</f>
        <v>0</v>
      </c>
    </row>
    <row r="94" spans="1:112" s="6" customFormat="1" ht="12.75" customHeight="1" outlineLevel="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23"/>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38"/>
        <v>0</v>
      </c>
    </row>
    <row r="95" spans="1:112" s="639" customFormat="1" ht="12.75" customHeight="1" outlineLevel="1">
      <c r="C95" s="640" t="s">
        <v>573</v>
      </c>
      <c r="D95" s="641" t="s">
        <v>574</v>
      </c>
      <c r="E95" s="641"/>
      <c r="G95" s="643"/>
      <c r="H95" s="643"/>
      <c r="I95" s="643"/>
      <c r="J95" s="643"/>
      <c r="K95" s="644"/>
      <c r="L95" s="643"/>
      <c r="M95" s="643"/>
      <c r="N95" s="643"/>
      <c r="O95" s="643"/>
      <c r="P95" s="643"/>
      <c r="Q95" s="643"/>
      <c r="S95" s="645"/>
      <c r="T95" s="645"/>
      <c r="U95" s="645">
        <f ca="1">(U$40+U$84+U$93)</f>
        <v>-7.3833809460243156</v>
      </c>
      <c r="V95" s="645">
        <f ca="1">(V$40+V$84+V$93)</f>
        <v>-62.603377123518747</v>
      </c>
      <c r="W95" s="645">
        <f ca="1">(W$40+W$84+W$93)</f>
        <v>-36.165911728331508</v>
      </c>
      <c r="X95" s="645"/>
      <c r="Y95" s="645"/>
      <c r="Z95" s="645"/>
      <c r="AA95" s="645"/>
      <c r="AB95" s="645"/>
      <c r="AC95" s="645">
        <f t="shared" ref="AC95:AH95" ca="1" si="239">(AC$40+AC$84+AC$93)</f>
        <v>0</v>
      </c>
      <c r="AD95" s="645">
        <f t="shared" ca="1" si="239"/>
        <v>29.45092534174433</v>
      </c>
      <c r="AE95" s="645">
        <f t="shared" ca="1" si="239"/>
        <v>0.48283502255691169</v>
      </c>
      <c r="AF95" s="645">
        <f t="shared" ca="1" si="239"/>
        <v>11.556354871441844</v>
      </c>
      <c r="AG95" s="645">
        <f t="shared" ca="1" si="239"/>
        <v>7.9086168792688998</v>
      </c>
      <c r="AH95" s="645">
        <f t="shared" ca="1" si="239"/>
        <v>0.16588202572781321</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-19.27666069016519</v>
      </c>
      <c r="BF95" s="646">
        <f ca="1">SUM(AM95:BE95)</f>
        <v>-19.27666069016519</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38"/>
        <v>0</v>
      </c>
    </row>
    <row r="96" spans="1:112" s="642" customFormat="1" ht="12.75" customHeight="1" outlineLevel="1">
      <c r="A96" s="693"/>
      <c r="B96" s="693"/>
      <c r="C96" s="694" t="s">
        <v>575</v>
      </c>
      <c r="D96" s="695" t="s">
        <v>576</v>
      </c>
      <c r="E96" s="695"/>
      <c r="G96" s="696">
        <f t="shared" ref="G96:P96" ca="1" si="240">IFERROR(INDEX(INDIRECT($C96&amp;".Outputs["&amp;this.Year&amp;"]"), MATCH(G$5, INDIRECT($C96&amp;".Outputs[Vector]"), 0)), 0)</f>
        <v>0</v>
      </c>
      <c r="H96" s="696">
        <f t="shared" ca="1" si="240"/>
        <v>0</v>
      </c>
      <c r="I96" s="696">
        <f t="shared" ca="1" si="240"/>
        <v>0</v>
      </c>
      <c r="J96" s="696">
        <f t="shared" ca="1" si="240"/>
        <v>0</v>
      </c>
      <c r="K96" s="696">
        <f t="shared" ca="1" si="240"/>
        <v>0</v>
      </c>
      <c r="L96" s="696">
        <f t="shared" ca="1" si="240"/>
        <v>0</v>
      </c>
      <c r="M96" s="696">
        <f t="shared" ca="1" si="240"/>
        <v>0</v>
      </c>
      <c r="N96" s="696">
        <f t="shared" ca="1" si="240"/>
        <v>0</v>
      </c>
      <c r="O96" s="696">
        <f t="shared" ca="1" si="240"/>
        <v>0</v>
      </c>
      <c r="P96" s="696">
        <f t="shared" ca="1" si="240"/>
        <v>0</v>
      </c>
      <c r="Q96" s="697">
        <f ca="1">SUM(G96:P96)</f>
        <v>0</v>
      </c>
      <c r="S96" s="698">
        <f t="shared" ref="S96:AJ96" ca="1" si="241">IFERROR(INDEX(INDIRECT($C96&amp;".Outputs["&amp;this.Year&amp;"]"), MATCH(S$5, INDIRECT($C96&amp;".Outputs[Vector]"), 0)), 0)</f>
        <v>0</v>
      </c>
      <c r="T96" s="698">
        <f t="shared" ca="1" si="241"/>
        <v>0</v>
      </c>
      <c r="U96" s="698">
        <f t="shared" ca="1" si="241"/>
        <v>38.956916202526862</v>
      </c>
      <c r="V96" s="698">
        <f t="shared" ca="1" si="241"/>
        <v>0.1525758671279841</v>
      </c>
      <c r="W96" s="698">
        <f t="shared" ca="1" si="241"/>
        <v>6.8882063731063781</v>
      </c>
      <c r="X96" s="698">
        <f t="shared" ca="1" si="241"/>
        <v>0</v>
      </c>
      <c r="Y96" s="698">
        <f t="shared" ca="1" si="241"/>
        <v>0</v>
      </c>
      <c r="Z96" s="698">
        <f t="shared" ca="1" si="241"/>
        <v>0</v>
      </c>
      <c r="AA96" s="698">
        <f t="shared" ca="1" si="241"/>
        <v>0</v>
      </c>
      <c r="AB96" s="698">
        <f t="shared" ca="1" si="241"/>
        <v>0</v>
      </c>
      <c r="AC96" s="698">
        <f t="shared" ca="1" si="241"/>
        <v>0</v>
      </c>
      <c r="AD96" s="698">
        <f t="shared" ca="1" si="241"/>
        <v>-29.45092534174433</v>
      </c>
      <c r="AE96" s="698">
        <f t="shared" ca="1" si="241"/>
        <v>-0.48283502255691169</v>
      </c>
      <c r="AF96" s="698">
        <f t="shared" ca="1" si="241"/>
        <v>-11.556354871441844</v>
      </c>
      <c r="AG96" s="698">
        <f t="shared" ca="1" si="241"/>
        <v>-7.9086168792688998</v>
      </c>
      <c r="AH96" s="698">
        <f t="shared" ca="1" si="241"/>
        <v>-0.16588202572781321</v>
      </c>
      <c r="AI96" s="698">
        <f t="shared" ca="1" si="241"/>
        <v>0</v>
      </c>
      <c r="AJ96" s="698">
        <f t="shared" ca="1" si="241"/>
        <v>0</v>
      </c>
      <c r="AK96" s="699">
        <f ca="1">SUM(S96:AJ96)</f>
        <v>-3.566915697978573</v>
      </c>
      <c r="AM96" s="700">
        <f t="shared" ref="AM96:BE96" ca="1" si="242">IFERROR(INDEX(INDIRECT($C96&amp;".Outputs["&amp;this.Year&amp;"]"), MATCH(AM$5, INDIRECT($C96&amp;".Outputs[Vector]"), 0)), 0)</f>
        <v>0</v>
      </c>
      <c r="AN96" s="700">
        <f t="shared" ca="1" si="242"/>
        <v>0</v>
      </c>
      <c r="AO96" s="700">
        <f t="shared" ca="1" si="242"/>
        <v>0</v>
      </c>
      <c r="AP96" s="700">
        <f t="shared" ca="1" si="242"/>
        <v>0</v>
      </c>
      <c r="AQ96" s="700">
        <f t="shared" ca="1" si="242"/>
        <v>0</v>
      </c>
      <c r="AR96" s="700">
        <f t="shared" ca="1" si="242"/>
        <v>0</v>
      </c>
      <c r="AS96" s="700">
        <f t="shared" ca="1" si="242"/>
        <v>0</v>
      </c>
      <c r="AT96" s="700">
        <f t="shared" ca="1" si="242"/>
        <v>0</v>
      </c>
      <c r="AU96" s="700">
        <f t="shared" ca="1" si="242"/>
        <v>0</v>
      </c>
      <c r="AV96" s="700">
        <f t="shared" ca="1" si="242"/>
        <v>0</v>
      </c>
      <c r="AW96" s="700">
        <f t="shared" ca="1" si="242"/>
        <v>0</v>
      </c>
      <c r="AX96" s="700">
        <f t="shared" ca="1" si="242"/>
        <v>0</v>
      </c>
      <c r="AY96" s="700">
        <f t="shared" ca="1" si="242"/>
        <v>0</v>
      </c>
      <c r="AZ96" s="700">
        <f t="shared" ca="1" si="242"/>
        <v>0</v>
      </c>
      <c r="BA96" s="700">
        <f t="shared" ca="1" si="242"/>
        <v>0</v>
      </c>
      <c r="BB96" s="700">
        <f t="shared" ca="1" si="242"/>
        <v>0</v>
      </c>
      <c r="BC96" s="700">
        <f t="shared" ca="1" si="242"/>
        <v>0</v>
      </c>
      <c r="BD96" s="700">
        <f t="shared" ca="1" si="242"/>
        <v>0</v>
      </c>
      <c r="BE96" s="700">
        <f t="shared" ca="1" si="242"/>
        <v>0</v>
      </c>
      <c r="BF96" s="701">
        <f ca="1">SUM(AM96:BE96)</f>
        <v>0</v>
      </c>
      <c r="BH96" s="3476">
        <f ca="1">IFERROR(INDEX(INDIRECT($C96&amp;".Outputs["&amp;this.Year&amp;"]"), MATCH(BH$5, INDIRECT($C96&amp;".Outputs[Vector]"), 0)), 0)</f>
        <v>3.5669156979785797</v>
      </c>
      <c r="BI96" s="3476">
        <f ca="1">IFERROR(INDEX(INDIRECT($C96&amp;".Outputs["&amp;this.Year&amp;"]"), MATCH(BI$5, INDIRECT($C96&amp;".Outputs[Vector]"), 0)), 0)</f>
        <v>0</v>
      </c>
      <c r="BJ96" s="3468">
        <f ca="1">SUM(BH96:BI96)</f>
        <v>3.5669156979785797</v>
      </c>
      <c r="BL96" s="702">
        <f ca="1">Q96+AK96+BF96+BJ96</f>
        <v>6.6613381477509392E-15</v>
      </c>
      <c r="BM96" s="702"/>
      <c r="BN96" s="703"/>
      <c r="BO96" s="2796">
        <f t="shared" ref="BO96:DF96" ca="1" si="243">IFERROR(SUMIFS(INDIRECT($C96&amp;".Emissions["&amp;this.Year&amp;"]"), INDIRECT($C96&amp;".Emissions[GHG]"), BO$6, INDIRECT($C96&amp;".Emissions[IPCC Sector]"), BO$5),0)</f>
        <v>0</v>
      </c>
      <c r="BP96" s="2797">
        <f t="shared" ca="1" si="243"/>
        <v>0</v>
      </c>
      <c r="BQ96" s="2797">
        <f t="shared" ca="1" si="243"/>
        <v>0</v>
      </c>
      <c r="BR96" s="2797">
        <f t="shared" ca="1" si="243"/>
        <v>0</v>
      </c>
      <c r="BS96" s="2797">
        <f t="shared" ca="1" si="243"/>
        <v>0</v>
      </c>
      <c r="BT96" s="2797">
        <f t="shared" ca="1" si="243"/>
        <v>0</v>
      </c>
      <c r="BU96" s="2797">
        <f t="shared" ca="1" si="243"/>
        <v>0</v>
      </c>
      <c r="BV96" s="2797">
        <f t="shared" ca="1" si="243"/>
        <v>0</v>
      </c>
      <c r="BW96" s="2797">
        <f t="shared" ca="1" si="243"/>
        <v>0</v>
      </c>
      <c r="BX96" s="2797">
        <f t="shared" ca="1" si="243"/>
        <v>0</v>
      </c>
      <c r="BY96" s="2797">
        <f t="shared" ca="1" si="243"/>
        <v>0</v>
      </c>
      <c r="BZ96" s="2797">
        <f t="shared" ca="1" si="243"/>
        <v>0</v>
      </c>
      <c r="CA96" s="2797">
        <f t="shared" ca="1" si="243"/>
        <v>0</v>
      </c>
      <c r="CB96" s="2797">
        <f t="shared" ca="1" si="243"/>
        <v>0</v>
      </c>
      <c r="CC96" s="2797">
        <f t="shared" ca="1" si="243"/>
        <v>0</v>
      </c>
      <c r="CD96" s="2797">
        <f t="shared" ca="1" si="243"/>
        <v>0</v>
      </c>
      <c r="CE96" s="2797">
        <f t="shared" ca="1" si="243"/>
        <v>0</v>
      </c>
      <c r="CF96" s="2797">
        <f t="shared" ca="1" si="243"/>
        <v>0</v>
      </c>
      <c r="CG96" s="2797">
        <f t="shared" ca="1" si="243"/>
        <v>0</v>
      </c>
      <c r="CH96" s="2797">
        <f t="shared" ca="1" si="243"/>
        <v>0</v>
      </c>
      <c r="CI96" s="2797">
        <f t="shared" ca="1" si="243"/>
        <v>0</v>
      </c>
      <c r="CJ96" s="2797">
        <f t="shared" ca="1" si="243"/>
        <v>0</v>
      </c>
      <c r="CK96" s="2797">
        <f t="shared" ca="1" si="243"/>
        <v>0</v>
      </c>
      <c r="CL96" s="2797">
        <f t="shared" ca="1" si="243"/>
        <v>0</v>
      </c>
      <c r="CM96" s="2797">
        <f t="shared" ca="1" si="243"/>
        <v>0</v>
      </c>
      <c r="CN96" s="2797">
        <f t="shared" ca="1" si="243"/>
        <v>0</v>
      </c>
      <c r="CO96" s="2797">
        <f t="shared" ca="1" si="243"/>
        <v>0</v>
      </c>
      <c r="CP96" s="2797">
        <f t="shared" ca="1" si="243"/>
        <v>0</v>
      </c>
      <c r="CQ96" s="2797">
        <f t="shared" ca="1" si="243"/>
        <v>0</v>
      </c>
      <c r="CR96" s="2797">
        <f t="shared" ca="1" si="243"/>
        <v>0</v>
      </c>
      <c r="CS96" s="2797">
        <f t="shared" ca="1" si="243"/>
        <v>0</v>
      </c>
      <c r="CT96" s="2797">
        <f t="shared" ca="1" si="243"/>
        <v>0</v>
      </c>
      <c r="CU96" s="2797">
        <f t="shared" ca="1" si="243"/>
        <v>0</v>
      </c>
      <c r="CV96" s="2797">
        <f t="shared" ca="1" si="243"/>
        <v>0</v>
      </c>
      <c r="CW96" s="2797">
        <f t="shared" ca="1" si="243"/>
        <v>0</v>
      </c>
      <c r="CX96" s="2797">
        <f t="shared" ca="1" si="243"/>
        <v>0</v>
      </c>
      <c r="CY96" s="2797">
        <f t="shared" ca="1" si="243"/>
        <v>-3.9432183894787181</v>
      </c>
      <c r="CZ96" s="2797">
        <f t="shared" ca="1" si="243"/>
        <v>0</v>
      </c>
      <c r="DA96" s="2797">
        <f t="shared" ca="1" si="243"/>
        <v>0</v>
      </c>
      <c r="DB96" s="2797">
        <f t="shared" ca="1" si="243"/>
        <v>0</v>
      </c>
      <c r="DC96" s="2797">
        <f t="shared" ca="1" si="243"/>
        <v>0</v>
      </c>
      <c r="DD96" s="2797">
        <f t="shared" ca="1" si="243"/>
        <v>0</v>
      </c>
      <c r="DE96" s="2797">
        <f t="shared" ca="1" si="243"/>
        <v>0</v>
      </c>
      <c r="DF96" s="2797">
        <f t="shared" ca="1" si="243"/>
        <v>0</v>
      </c>
      <c r="DH96" s="649">
        <f t="shared" ca="1" si="238"/>
        <v>-3.9432183894787181</v>
      </c>
    </row>
    <row r="97" spans="1:112" s="639" customFormat="1" ht="12.75" customHeight="1" outlineLevel="1">
      <c r="C97" s="640" t="s">
        <v>577</v>
      </c>
      <c r="D97" s="641" t="s">
        <v>574</v>
      </c>
      <c r="E97" s="641"/>
      <c r="G97" s="643"/>
      <c r="H97" s="643"/>
      <c r="I97" s="643"/>
      <c r="J97" s="643"/>
      <c r="K97" s="644"/>
      <c r="L97" s="643"/>
      <c r="M97" s="643"/>
      <c r="N97" s="643"/>
      <c r="O97" s="643"/>
      <c r="P97" s="643"/>
      <c r="Q97" s="643"/>
      <c r="S97" s="645"/>
      <c r="T97" s="645"/>
      <c r="U97" s="645">
        <f ca="1">U$95+U$96</f>
        <v>31.573535256502545</v>
      </c>
      <c r="V97" s="645">
        <f ca="1">V$95+V$96</f>
        <v>-62.450801256390761</v>
      </c>
      <c r="W97" s="645">
        <f ca="1">W$95+W$96</f>
        <v>-29.27770535522513</v>
      </c>
      <c r="X97" s="645"/>
      <c r="Y97" s="645"/>
      <c r="Z97" s="645"/>
      <c r="AA97" s="645"/>
      <c r="AB97" s="645"/>
      <c r="AC97" s="645">
        <f t="shared" ref="AC97:AH97" ca="1" si="244">AC$95+AC$96</f>
        <v>0</v>
      </c>
      <c r="AD97" s="645">
        <f t="shared" ca="1" si="244"/>
        <v>0</v>
      </c>
      <c r="AE97" s="645">
        <f t="shared" ca="1" si="244"/>
        <v>0</v>
      </c>
      <c r="AF97" s="645">
        <f t="shared" ca="1" si="244"/>
        <v>0</v>
      </c>
      <c r="AG97" s="645">
        <f t="shared" ca="1" si="244"/>
        <v>0</v>
      </c>
      <c r="AH97" s="645">
        <f t="shared" ca="1" si="24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-0.94400509078021921</v>
      </c>
      <c r="BF97" s="646">
        <f ca="1">SUM(AM97:BE97)</f>
        <v>-0.94400509078021921</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ht="12.75" customHeight="1" outlineLevel="1">
      <c r="A98" s="607"/>
      <c r="B98" s="607"/>
      <c r="C98" s="587" t="s">
        <v>578</v>
      </c>
      <c r="D98" s="611" t="s">
        <v>579</v>
      </c>
      <c r="E98" s="611"/>
      <c r="G98" s="619">
        <f t="shared" ref="G98:P98" ca="1" si="245">IFERROR(INDEX(INDIRECT($C98&amp;".Outputs["&amp;this.Year&amp;"]"), MATCH(G$5, INDIRECT($C98&amp;".Outputs[Vector]"), 0)), 0)</f>
        <v>0</v>
      </c>
      <c r="H98" s="619">
        <f t="shared" ca="1" si="245"/>
        <v>0</v>
      </c>
      <c r="I98" s="619">
        <f t="shared" ca="1" si="245"/>
        <v>0</v>
      </c>
      <c r="J98" s="619">
        <f t="shared" ca="1" si="245"/>
        <v>0</v>
      </c>
      <c r="K98" s="619">
        <f t="shared" ca="1" si="245"/>
        <v>0</v>
      </c>
      <c r="L98" s="619">
        <f t="shared" ca="1" si="245"/>
        <v>0</v>
      </c>
      <c r="M98" s="619">
        <f t="shared" ca="1" si="245"/>
        <v>0</v>
      </c>
      <c r="N98" s="619">
        <f t="shared" ca="1" si="245"/>
        <v>0</v>
      </c>
      <c r="O98" s="619">
        <f t="shared" ca="1" si="245"/>
        <v>0</v>
      </c>
      <c r="P98" s="619">
        <f t="shared" ca="1" si="245"/>
        <v>0</v>
      </c>
      <c r="Q98" s="612">
        <f ca="1">SUM(G98:P98)</f>
        <v>0</v>
      </c>
      <c r="S98" s="620">
        <f t="shared" ref="S98:AJ98" ca="1" si="246">IFERROR(INDEX(INDIRECT($C98&amp;".Outputs["&amp;this.Year&amp;"]"), MATCH(S$5, INDIRECT($C98&amp;".Outputs[Vector]"), 0)), 0)</f>
        <v>0</v>
      </c>
      <c r="T98" s="620">
        <f t="shared" ca="1" si="246"/>
        <v>0</v>
      </c>
      <c r="U98" s="620">
        <f t="shared" ca="1" si="246"/>
        <v>-31.573535256502545</v>
      </c>
      <c r="V98" s="620">
        <f t="shared" ca="1" si="246"/>
        <v>3.5970666666666702</v>
      </c>
      <c r="W98" s="620">
        <f t="shared" ca="1" si="246"/>
        <v>0</v>
      </c>
      <c r="X98" s="620">
        <f t="shared" ca="1" si="246"/>
        <v>0</v>
      </c>
      <c r="Y98" s="620">
        <f t="shared" ca="1" si="246"/>
        <v>0</v>
      </c>
      <c r="Z98" s="620">
        <f t="shared" ca="1" si="246"/>
        <v>0</v>
      </c>
      <c r="AA98" s="620">
        <f t="shared" ca="1" si="246"/>
        <v>0</v>
      </c>
      <c r="AB98" s="620">
        <f t="shared" ca="1" si="246"/>
        <v>0</v>
      </c>
      <c r="AC98" s="620">
        <f t="shared" ca="1" si="246"/>
        <v>0</v>
      </c>
      <c r="AD98" s="620">
        <f t="shared" ca="1" si="246"/>
        <v>0</v>
      </c>
      <c r="AE98" s="620">
        <f t="shared" ca="1" si="246"/>
        <v>0</v>
      </c>
      <c r="AF98" s="620">
        <f t="shared" ca="1" si="246"/>
        <v>0</v>
      </c>
      <c r="AG98" s="620">
        <f t="shared" ca="1" si="246"/>
        <v>0</v>
      </c>
      <c r="AH98" s="620">
        <f t="shared" ca="1" si="246"/>
        <v>0</v>
      </c>
      <c r="AI98" s="620">
        <f t="shared" ca="1" si="246"/>
        <v>0</v>
      </c>
      <c r="AJ98" s="620">
        <f t="shared" ca="1" si="246"/>
        <v>0</v>
      </c>
      <c r="AK98" s="613">
        <f ca="1">SUM(S98:AJ98)</f>
        <v>-27.976468589835875</v>
      </c>
      <c r="AM98" s="621">
        <f t="shared" ref="AM98:BE98" ca="1" si="247">IFERROR(INDEX(INDIRECT($C98&amp;".Outputs["&amp;this.Year&amp;"]"), MATCH(AM$5, INDIRECT($C98&amp;".Outputs[Vector]"), 0)), 0)</f>
        <v>0</v>
      </c>
      <c r="AN98" s="621">
        <f t="shared" ca="1" si="247"/>
        <v>0</v>
      </c>
      <c r="AO98" s="621">
        <f t="shared" ca="1" si="247"/>
        <v>0</v>
      </c>
      <c r="AP98" s="621">
        <f t="shared" ca="1" si="247"/>
        <v>27.976468589835875</v>
      </c>
      <c r="AQ98" s="621">
        <f t="shared" ca="1" si="247"/>
        <v>0</v>
      </c>
      <c r="AR98" s="621">
        <f t="shared" ca="1" si="247"/>
        <v>0</v>
      </c>
      <c r="AS98" s="621">
        <f t="shared" ca="1" si="247"/>
        <v>0</v>
      </c>
      <c r="AT98" s="621">
        <f t="shared" ca="1" si="247"/>
        <v>0</v>
      </c>
      <c r="AU98" s="621">
        <f t="shared" ca="1" si="247"/>
        <v>0</v>
      </c>
      <c r="AV98" s="621">
        <f t="shared" ca="1" si="247"/>
        <v>0</v>
      </c>
      <c r="AW98" s="621">
        <f t="shared" ca="1" si="247"/>
        <v>0</v>
      </c>
      <c r="AX98" s="621">
        <f t="shared" ca="1" si="247"/>
        <v>0</v>
      </c>
      <c r="AY98" s="621">
        <f t="shared" ca="1" si="247"/>
        <v>0</v>
      </c>
      <c r="AZ98" s="621">
        <f t="shared" ca="1" si="247"/>
        <v>0</v>
      </c>
      <c r="BA98" s="621">
        <f t="shared" ca="1" si="247"/>
        <v>0</v>
      </c>
      <c r="BB98" s="621">
        <f t="shared" ca="1" si="247"/>
        <v>0</v>
      </c>
      <c r="BC98" s="621">
        <f t="shared" ca="1" si="247"/>
        <v>0</v>
      </c>
      <c r="BD98" s="621">
        <f t="shared" ca="1" si="247"/>
        <v>0</v>
      </c>
      <c r="BE98" s="621">
        <f t="shared" ca="1" si="247"/>
        <v>0</v>
      </c>
      <c r="BF98" s="615">
        <f ca="1">SUM(AM98:BE98)</f>
        <v>27.976468589835875</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48">IFERROR(SUMIFS(INDIRECT($C98&amp;".Emissions["&amp;this.Year&amp;"]"), INDIRECT($C98&amp;".Emissions[GHG]"), BO$6, INDIRECT($C98&amp;".Emissions[IPCC Sector]"), BO$5),0)</f>
        <v>0</v>
      </c>
      <c r="BP98" s="2792">
        <f t="shared" ca="1" si="248"/>
        <v>0</v>
      </c>
      <c r="BQ98" s="2792">
        <f t="shared" ca="1" si="248"/>
        <v>0</v>
      </c>
      <c r="BR98" s="2792">
        <f t="shared" ca="1" si="248"/>
        <v>0</v>
      </c>
      <c r="BS98" s="2792">
        <f t="shared" ca="1" si="248"/>
        <v>0</v>
      </c>
      <c r="BT98" s="2792">
        <f t="shared" ca="1" si="248"/>
        <v>0</v>
      </c>
      <c r="BU98" s="2792">
        <f t="shared" ca="1" si="248"/>
        <v>0</v>
      </c>
      <c r="BV98" s="2792">
        <f t="shared" ca="1" si="248"/>
        <v>0</v>
      </c>
      <c r="BW98" s="2792">
        <f t="shared" ca="1" si="248"/>
        <v>0</v>
      </c>
      <c r="BX98" s="2792">
        <f t="shared" ca="1" si="248"/>
        <v>0</v>
      </c>
      <c r="BY98" s="2792">
        <f t="shared" ca="1" si="248"/>
        <v>0</v>
      </c>
      <c r="BZ98" s="2792">
        <f t="shared" ca="1" si="248"/>
        <v>0</v>
      </c>
      <c r="CA98" s="2792">
        <f t="shared" ca="1" si="248"/>
        <v>0</v>
      </c>
      <c r="CB98" s="2792">
        <f t="shared" ca="1" si="248"/>
        <v>0</v>
      </c>
      <c r="CC98" s="2792">
        <f t="shared" ca="1" si="248"/>
        <v>0</v>
      </c>
      <c r="CD98" s="2792">
        <f t="shared" ca="1" si="248"/>
        <v>0</v>
      </c>
      <c r="CE98" s="2792">
        <f t="shared" ca="1" si="248"/>
        <v>0</v>
      </c>
      <c r="CF98" s="2792">
        <f t="shared" ca="1" si="248"/>
        <v>0</v>
      </c>
      <c r="CG98" s="2792">
        <f t="shared" ca="1" si="248"/>
        <v>0</v>
      </c>
      <c r="CH98" s="2792">
        <f t="shared" ca="1" si="248"/>
        <v>0</v>
      </c>
      <c r="CI98" s="2792">
        <f t="shared" ca="1" si="248"/>
        <v>0</v>
      </c>
      <c r="CJ98" s="2792">
        <f t="shared" ca="1" si="248"/>
        <v>0</v>
      </c>
      <c r="CK98" s="2792">
        <f t="shared" ca="1" si="248"/>
        <v>0</v>
      </c>
      <c r="CL98" s="2792">
        <f t="shared" ca="1" si="248"/>
        <v>0</v>
      </c>
      <c r="CM98" s="2792">
        <f t="shared" ca="1" si="248"/>
        <v>0</v>
      </c>
      <c r="CN98" s="2792">
        <f t="shared" ca="1" si="248"/>
        <v>0</v>
      </c>
      <c r="CO98" s="2792">
        <f t="shared" ca="1" si="248"/>
        <v>0</v>
      </c>
      <c r="CP98" s="2792">
        <f t="shared" ca="1" si="248"/>
        <v>0</v>
      </c>
      <c r="CQ98" s="2792">
        <f t="shared" ca="1" si="248"/>
        <v>0</v>
      </c>
      <c r="CR98" s="2792">
        <f t="shared" ca="1" si="248"/>
        <v>0</v>
      </c>
      <c r="CS98" s="2792">
        <f t="shared" ca="1" si="248"/>
        <v>0</v>
      </c>
      <c r="CT98" s="2792">
        <f t="shared" ca="1" si="248"/>
        <v>0</v>
      </c>
      <c r="CU98" s="2792">
        <f t="shared" ca="1" si="248"/>
        <v>0</v>
      </c>
      <c r="CV98" s="2792">
        <f t="shared" ca="1" si="248"/>
        <v>0</v>
      </c>
      <c r="CW98" s="2792">
        <f t="shared" ca="1" si="248"/>
        <v>0</v>
      </c>
      <c r="CX98" s="2792">
        <f t="shared" ca="1" si="248"/>
        <v>0</v>
      </c>
      <c r="CY98" s="2792">
        <f t="shared" ca="1" si="248"/>
        <v>-0.94919395200000078</v>
      </c>
      <c r="CZ98" s="2792">
        <f t="shared" ca="1" si="248"/>
        <v>0</v>
      </c>
      <c r="DA98" s="2792">
        <f t="shared" ca="1" si="248"/>
        <v>0</v>
      </c>
      <c r="DB98" s="2792">
        <f t="shared" ca="1" si="248"/>
        <v>0</v>
      </c>
      <c r="DC98" s="2792">
        <f t="shared" ca="1" si="248"/>
        <v>0</v>
      </c>
      <c r="DD98" s="2792">
        <f t="shared" ca="1" si="248"/>
        <v>0</v>
      </c>
      <c r="DE98" s="2792">
        <f t="shared" ca="1" si="248"/>
        <v>0</v>
      </c>
      <c r="DF98" s="2792">
        <f t="shared" ca="1" si="248"/>
        <v>0</v>
      </c>
      <c r="DH98" s="596">
        <f ca="1">SUM(BO98:DF98)</f>
        <v>-0.94919395200000078</v>
      </c>
    </row>
    <row r="99" spans="1:112" s="6" customFormat="1" ht="15.75">
      <c r="A99" s="4"/>
      <c r="B99" s="3"/>
      <c r="C99" s="616" t="s">
        <v>580</v>
      </c>
      <c r="D99" s="617" t="s">
        <v>581</v>
      </c>
      <c r="E99" s="206"/>
      <c r="G99" s="618">
        <f ca="1">G$96+G98</f>
        <v>0</v>
      </c>
      <c r="H99" s="618">
        <f t="shared" ref="H99:P99" ca="1" si="249">H$96+H98</f>
        <v>0</v>
      </c>
      <c r="I99" s="618">
        <f t="shared" ca="1" si="249"/>
        <v>0</v>
      </c>
      <c r="J99" s="618">
        <f t="shared" ca="1" si="249"/>
        <v>0</v>
      </c>
      <c r="K99" s="618">
        <f t="shared" ca="1" si="249"/>
        <v>0</v>
      </c>
      <c r="L99" s="618">
        <f t="shared" ca="1" si="249"/>
        <v>0</v>
      </c>
      <c r="M99" s="618">
        <f t="shared" ca="1" si="249"/>
        <v>0</v>
      </c>
      <c r="N99" s="618">
        <f t="shared" ca="1" si="249"/>
        <v>0</v>
      </c>
      <c r="O99" s="618">
        <f t="shared" ca="1" si="249"/>
        <v>0</v>
      </c>
      <c r="P99" s="618">
        <f t="shared" ca="1" si="249"/>
        <v>0</v>
      </c>
      <c r="Q99" s="618">
        <f ca="1">SUM(G99:P99)</f>
        <v>0</v>
      </c>
      <c r="S99" s="581">
        <f t="shared" ref="S99:AJ99" ca="1" si="250">S$96+S98</f>
        <v>0</v>
      </c>
      <c r="T99" s="581">
        <f t="shared" ca="1" si="250"/>
        <v>0</v>
      </c>
      <c r="U99" s="581">
        <f t="shared" ca="1" si="250"/>
        <v>7.3833809460243174</v>
      </c>
      <c r="V99" s="581">
        <f t="shared" ca="1" si="250"/>
        <v>3.7496425337946544</v>
      </c>
      <c r="W99" s="581">
        <f t="shared" ca="1" si="250"/>
        <v>6.8882063731063781</v>
      </c>
      <c r="X99" s="581">
        <f t="shared" ca="1" si="250"/>
        <v>0</v>
      </c>
      <c r="Y99" s="581">
        <f t="shared" ca="1" si="250"/>
        <v>0</v>
      </c>
      <c r="Z99" s="581">
        <f t="shared" ca="1" si="250"/>
        <v>0</v>
      </c>
      <c r="AA99" s="581">
        <f t="shared" ca="1" si="250"/>
        <v>0</v>
      </c>
      <c r="AB99" s="581">
        <f t="shared" ca="1" si="250"/>
        <v>0</v>
      </c>
      <c r="AC99" s="581">
        <f t="shared" ca="1" si="250"/>
        <v>0</v>
      </c>
      <c r="AD99" s="581">
        <f ca="1">AD$96+AD98</f>
        <v>-29.45092534174433</v>
      </c>
      <c r="AE99" s="581">
        <f ca="1">AE$96+AE98</f>
        <v>-0.48283502255691169</v>
      </c>
      <c r="AF99" s="581">
        <f t="shared" ca="1" si="250"/>
        <v>-11.556354871441844</v>
      </c>
      <c r="AG99" s="581">
        <f t="shared" ca="1" si="250"/>
        <v>-7.9086168792688998</v>
      </c>
      <c r="AH99" s="581">
        <f ca="1">AH$96+AH98</f>
        <v>-0.16588202572781321</v>
      </c>
      <c r="AI99" s="581">
        <f t="shared" ca="1" si="250"/>
        <v>0</v>
      </c>
      <c r="AJ99" s="581">
        <f t="shared" ca="1" si="250"/>
        <v>0</v>
      </c>
      <c r="AK99" s="581">
        <f ca="1">SUM(S99:AJ99)</f>
        <v>-31.543384287814451</v>
      </c>
      <c r="AM99" s="582">
        <f t="shared" ref="AM99:BE99" ca="1" si="251">AM$96+AM98</f>
        <v>0</v>
      </c>
      <c r="AN99" s="582">
        <f t="shared" ca="1" si="251"/>
        <v>0</v>
      </c>
      <c r="AO99" s="582">
        <f t="shared" ca="1" si="251"/>
        <v>0</v>
      </c>
      <c r="AP99" s="582">
        <f t="shared" ca="1" si="251"/>
        <v>27.976468589835875</v>
      </c>
      <c r="AQ99" s="582">
        <f t="shared" ca="1" si="251"/>
        <v>0</v>
      </c>
      <c r="AR99" s="582">
        <f t="shared" ca="1" si="251"/>
        <v>0</v>
      </c>
      <c r="AS99" s="582">
        <f t="shared" ca="1" si="251"/>
        <v>0</v>
      </c>
      <c r="AT99" s="582">
        <f t="shared" ca="1" si="251"/>
        <v>0</v>
      </c>
      <c r="AU99" s="582">
        <f t="shared" ca="1" si="251"/>
        <v>0</v>
      </c>
      <c r="AV99" s="582">
        <f t="shared" ca="1" si="251"/>
        <v>0</v>
      </c>
      <c r="AW99" s="582">
        <f t="shared" ca="1" si="251"/>
        <v>0</v>
      </c>
      <c r="AX99" s="582">
        <f t="shared" ca="1" si="251"/>
        <v>0</v>
      </c>
      <c r="AY99" s="582">
        <f t="shared" ca="1" si="251"/>
        <v>0</v>
      </c>
      <c r="AZ99" s="582">
        <f t="shared" ca="1" si="251"/>
        <v>0</v>
      </c>
      <c r="BA99" s="582">
        <f t="shared" ca="1" si="251"/>
        <v>0</v>
      </c>
      <c r="BB99" s="582">
        <f t="shared" ca="1" si="251"/>
        <v>0</v>
      </c>
      <c r="BC99" s="582">
        <f t="shared" ca="1" si="251"/>
        <v>0</v>
      </c>
      <c r="BD99" s="582">
        <f t="shared" ca="1" si="251"/>
        <v>0</v>
      </c>
      <c r="BE99" s="582">
        <f t="shared" ca="1" si="251"/>
        <v>0</v>
      </c>
      <c r="BF99" s="582">
        <f ca="1">SUM(AM99:BE99)</f>
        <v>27.976468589835875</v>
      </c>
      <c r="BH99" s="3463">
        <f ca="1">BH$96+BH98</f>
        <v>3.5669156979785797</v>
      </c>
      <c r="BI99" s="3463">
        <f ca="1">BI$96+BI98</f>
        <v>0</v>
      </c>
      <c r="BJ99" s="3463">
        <f ca="1">SUM(BH99:BI99)</f>
        <v>3.5669156979785797</v>
      </c>
      <c r="BL99" s="3477">
        <f ca="1">Q99+AK99+BF99+BJ99</f>
        <v>3.5527136788005009E-15</v>
      </c>
      <c r="BM99" s="584"/>
      <c r="BN99" s="413"/>
      <c r="BO99" s="2790">
        <f t="shared" ref="BO99:DF99" ca="1" si="252">BO$96+BO98</f>
        <v>0</v>
      </c>
      <c r="BP99" s="2790">
        <f t="shared" ca="1" si="252"/>
        <v>0</v>
      </c>
      <c r="BQ99" s="2790">
        <f t="shared" ca="1" si="252"/>
        <v>0</v>
      </c>
      <c r="BR99" s="2790">
        <f t="shared" ca="1" si="252"/>
        <v>0</v>
      </c>
      <c r="BS99" s="2790">
        <f t="shared" ca="1" si="252"/>
        <v>0</v>
      </c>
      <c r="BT99" s="2790">
        <f t="shared" ca="1" si="252"/>
        <v>0</v>
      </c>
      <c r="BU99" s="2790">
        <f t="shared" ca="1" si="252"/>
        <v>0</v>
      </c>
      <c r="BV99" s="2790">
        <f t="shared" ca="1" si="252"/>
        <v>0</v>
      </c>
      <c r="BW99" s="2790">
        <f t="shared" ca="1" si="252"/>
        <v>0</v>
      </c>
      <c r="BX99" s="2790">
        <f t="shared" ca="1" si="252"/>
        <v>0</v>
      </c>
      <c r="BY99" s="2790">
        <f t="shared" ca="1" si="252"/>
        <v>0</v>
      </c>
      <c r="BZ99" s="2790">
        <f t="shared" ca="1" si="252"/>
        <v>0</v>
      </c>
      <c r="CA99" s="2790">
        <f t="shared" ca="1" si="252"/>
        <v>0</v>
      </c>
      <c r="CB99" s="2790">
        <f t="shared" ca="1" si="252"/>
        <v>0</v>
      </c>
      <c r="CC99" s="2790">
        <f t="shared" ca="1" si="252"/>
        <v>0</v>
      </c>
      <c r="CD99" s="2790">
        <f t="shared" ca="1" si="252"/>
        <v>0</v>
      </c>
      <c r="CE99" s="2790">
        <f t="shared" ca="1" si="252"/>
        <v>0</v>
      </c>
      <c r="CF99" s="2790">
        <f t="shared" ca="1" si="252"/>
        <v>0</v>
      </c>
      <c r="CG99" s="2790">
        <f t="shared" ca="1" si="252"/>
        <v>0</v>
      </c>
      <c r="CH99" s="2790">
        <f t="shared" ca="1" si="252"/>
        <v>0</v>
      </c>
      <c r="CI99" s="2790">
        <f t="shared" ca="1" si="252"/>
        <v>0</v>
      </c>
      <c r="CJ99" s="2790">
        <f t="shared" ca="1" si="252"/>
        <v>0</v>
      </c>
      <c r="CK99" s="2790">
        <f t="shared" ca="1" si="252"/>
        <v>0</v>
      </c>
      <c r="CL99" s="2790">
        <f t="shared" ca="1" si="252"/>
        <v>0</v>
      </c>
      <c r="CM99" s="2790">
        <f t="shared" ca="1" si="252"/>
        <v>0</v>
      </c>
      <c r="CN99" s="2790">
        <f t="shared" ca="1" si="252"/>
        <v>0</v>
      </c>
      <c r="CO99" s="2790">
        <f t="shared" ca="1" si="252"/>
        <v>0</v>
      </c>
      <c r="CP99" s="2790">
        <f t="shared" ca="1" si="252"/>
        <v>0</v>
      </c>
      <c r="CQ99" s="2790">
        <f t="shared" ca="1" si="252"/>
        <v>0</v>
      </c>
      <c r="CR99" s="2790">
        <f t="shared" ca="1" si="252"/>
        <v>0</v>
      </c>
      <c r="CS99" s="2790">
        <f t="shared" ca="1" si="252"/>
        <v>0</v>
      </c>
      <c r="CT99" s="2790">
        <f t="shared" ca="1" si="252"/>
        <v>0</v>
      </c>
      <c r="CU99" s="2790">
        <f t="shared" ca="1" si="252"/>
        <v>0</v>
      </c>
      <c r="CV99" s="2790">
        <f t="shared" ca="1" si="252"/>
        <v>0</v>
      </c>
      <c r="CW99" s="2790">
        <f t="shared" ca="1" si="252"/>
        <v>0</v>
      </c>
      <c r="CX99" s="2790">
        <f t="shared" ca="1" si="252"/>
        <v>0</v>
      </c>
      <c r="CY99" s="2790">
        <f t="shared" ca="1" si="252"/>
        <v>-4.8924123414787193</v>
      </c>
      <c r="CZ99" s="2790">
        <f t="shared" ca="1" si="252"/>
        <v>0</v>
      </c>
      <c r="DA99" s="2790">
        <f t="shared" ca="1" si="252"/>
        <v>0</v>
      </c>
      <c r="DB99" s="2790">
        <f t="shared" ca="1" si="252"/>
        <v>0</v>
      </c>
      <c r="DC99" s="2790">
        <f t="shared" ca="1" si="252"/>
        <v>0</v>
      </c>
      <c r="DD99" s="2790">
        <f t="shared" ca="1" si="252"/>
        <v>0</v>
      </c>
      <c r="DE99" s="2790">
        <f t="shared" ca="1" si="252"/>
        <v>0</v>
      </c>
      <c r="DF99" s="2790">
        <f t="shared" ca="1" si="252"/>
        <v>0</v>
      </c>
      <c r="DH99" s="596">
        <f t="shared" ca="1" si="238"/>
        <v>-4.8924123414787193</v>
      </c>
    </row>
    <row r="100" spans="1:112" s="4" customFormat="1" ht="12.75" customHeight="1" outlineLevel="1">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38"/>
        <v>0</v>
      </c>
    </row>
    <row r="101" spans="1:112" s="652" customFormat="1" ht="12.75" customHeight="1" outlineLevel="1">
      <c r="C101" s="667" t="s">
        <v>582</v>
      </c>
      <c r="D101" s="641" t="s">
        <v>574</v>
      </c>
      <c r="E101" s="685"/>
      <c r="G101" s="643"/>
      <c r="H101" s="643"/>
      <c r="I101" s="643"/>
      <c r="J101" s="643"/>
      <c r="K101" s="644"/>
      <c r="L101" s="643"/>
      <c r="M101" s="643"/>
      <c r="N101" s="643"/>
      <c r="O101" s="643"/>
      <c r="P101" s="643"/>
      <c r="Q101" s="704"/>
      <c r="R101" s="639"/>
      <c r="S101" s="645">
        <f ca="1">(S$40+S$84+S$93+S$99)</f>
        <v>-26.047300922442307</v>
      </c>
      <c r="T101" s="645">
        <f ca="1">(T$40+T$84+T$93+T$99)</f>
        <v>40.599965352110985</v>
      </c>
      <c r="U101" s="645">
        <f ca="1">(U$40+U$84+U$93+U$99)</f>
        <v>1.7763568394002505E-15</v>
      </c>
      <c r="V101" s="645">
        <f ca="1">(V$40+V$84+V$93+V$99)</f>
        <v>-58.853734589724091</v>
      </c>
      <c r="W101" s="645">
        <f ca="1">(W$40+W$84+W$93+W$99)</f>
        <v>-29.27770535522513</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38"/>
        <v>0</v>
      </c>
    </row>
    <row r="102" spans="1:112" s="607" customFormat="1" ht="12.75" customHeight="1" outlineLevel="1">
      <c r="B102" s="705"/>
      <c r="C102" s="651" t="s">
        <v>583</v>
      </c>
      <c r="D102" s="588" t="s">
        <v>584</v>
      </c>
      <c r="E102" s="588"/>
      <c r="F102" s="6"/>
      <c r="G102" s="659">
        <f t="shared" ref="G102:P102" ca="1" si="253">IFERROR(INDEX(INDIRECT($C102&amp;".Outputs["&amp;this.Year&amp;"]"), MATCH(G$5, INDIRECT($C102&amp;".Outputs[Vector]"), 0)), 0)</f>
        <v>0</v>
      </c>
      <c r="H102" s="659">
        <f t="shared" ca="1" si="253"/>
        <v>0</v>
      </c>
      <c r="I102" s="659">
        <f t="shared" ca="1" si="253"/>
        <v>0</v>
      </c>
      <c r="J102" s="659">
        <f t="shared" ca="1" si="253"/>
        <v>0</v>
      </c>
      <c r="K102" s="706">
        <f t="shared" ca="1" si="253"/>
        <v>0</v>
      </c>
      <c r="L102" s="659">
        <f t="shared" ca="1" si="253"/>
        <v>0</v>
      </c>
      <c r="M102" s="659">
        <f t="shared" ca="1" si="253"/>
        <v>0</v>
      </c>
      <c r="N102" s="659">
        <f t="shared" ca="1" si="253"/>
        <v>0</v>
      </c>
      <c r="O102" s="659">
        <f t="shared" ca="1" si="253"/>
        <v>0</v>
      </c>
      <c r="P102" s="659">
        <f t="shared" ca="1" si="253"/>
        <v>0</v>
      </c>
      <c r="Q102" s="707">
        <f ca="1">SUM(G102:P102)</f>
        <v>0</v>
      </c>
      <c r="R102" s="6"/>
      <c r="S102" s="661">
        <f t="shared" ref="S102:AJ102" ca="1" si="254">IFERROR(INDEX(INDIRECT($C102&amp;".Outputs["&amp;this.Year&amp;"]"), MATCH(S$5, INDIRECT($C102&amp;".Outputs[Vector]"), 0)), 0)</f>
        <v>0</v>
      </c>
      <c r="T102" s="661">
        <f t="shared" ca="1" si="254"/>
        <v>0</v>
      </c>
      <c r="U102" s="661">
        <f t="shared" ca="1" si="254"/>
        <v>-1.7763568394002505E-15</v>
      </c>
      <c r="V102" s="661">
        <f t="shared" ca="1" si="254"/>
        <v>58.853734589724091</v>
      </c>
      <c r="W102" s="661">
        <f t="shared" ca="1" si="254"/>
        <v>29.27770535522513</v>
      </c>
      <c r="X102" s="661">
        <f t="shared" ca="1" si="254"/>
        <v>1.7763568394002505E-15</v>
      </c>
      <c r="Y102" s="661">
        <f t="shared" ca="1" si="254"/>
        <v>-58.853734589724091</v>
      </c>
      <c r="Z102" s="661">
        <f t="shared" ca="1" si="254"/>
        <v>-29.716870935553509</v>
      </c>
      <c r="AA102" s="661">
        <f t="shared" ca="1" si="254"/>
        <v>0</v>
      </c>
      <c r="AB102" s="661">
        <f t="shared" ca="1" si="254"/>
        <v>0</v>
      </c>
      <c r="AC102" s="661">
        <f t="shared" ca="1" si="254"/>
        <v>0</v>
      </c>
      <c r="AD102" s="661">
        <f t="shared" ca="1" si="254"/>
        <v>0</v>
      </c>
      <c r="AE102" s="661">
        <f t="shared" ca="1" si="254"/>
        <v>0</v>
      </c>
      <c r="AF102" s="661">
        <f t="shared" ca="1" si="254"/>
        <v>0</v>
      </c>
      <c r="AG102" s="661">
        <f t="shared" ca="1" si="254"/>
        <v>0</v>
      </c>
      <c r="AH102" s="661">
        <f t="shared" ca="1" si="254"/>
        <v>0</v>
      </c>
      <c r="AI102" s="661">
        <f t="shared" ca="1" si="254"/>
        <v>0</v>
      </c>
      <c r="AJ102" s="661">
        <f t="shared" ca="1" si="254"/>
        <v>0</v>
      </c>
      <c r="AK102" s="661">
        <f ca="1">SUM(S102:AJ102)</f>
        <v>-0.43916558032837827</v>
      </c>
      <c r="AL102" s="6"/>
      <c r="AM102" s="609">
        <f t="shared" ref="AM102:BE102" ca="1" si="255">IFERROR(INDEX(INDIRECT($C102&amp;".Outputs["&amp;this.Year&amp;"]"), MATCH(AM$5, INDIRECT($C102&amp;".Outputs[Vector]"), 0)), 0)</f>
        <v>0</v>
      </c>
      <c r="AN102" s="609">
        <f t="shared" ca="1" si="255"/>
        <v>0</v>
      </c>
      <c r="AO102" s="609">
        <f t="shared" ca="1" si="255"/>
        <v>0</v>
      </c>
      <c r="AP102" s="609">
        <f t="shared" ca="1" si="255"/>
        <v>0</v>
      </c>
      <c r="AQ102" s="609">
        <f t="shared" ca="1" si="255"/>
        <v>0</v>
      </c>
      <c r="AR102" s="609">
        <f t="shared" ca="1" si="255"/>
        <v>0</v>
      </c>
      <c r="AS102" s="609">
        <f t="shared" ca="1" si="255"/>
        <v>0</v>
      </c>
      <c r="AT102" s="609">
        <f t="shared" ca="1" si="255"/>
        <v>0</v>
      </c>
      <c r="AU102" s="609">
        <f t="shared" ca="1" si="255"/>
        <v>0</v>
      </c>
      <c r="AV102" s="609">
        <f t="shared" ca="1" si="255"/>
        <v>0</v>
      </c>
      <c r="AW102" s="609">
        <f t="shared" ca="1" si="255"/>
        <v>0</v>
      </c>
      <c r="AX102" s="609">
        <f t="shared" ca="1" si="255"/>
        <v>0</v>
      </c>
      <c r="AY102" s="609">
        <f t="shared" ca="1" si="255"/>
        <v>0</v>
      </c>
      <c r="AZ102" s="609">
        <f t="shared" ca="1" si="255"/>
        <v>0</v>
      </c>
      <c r="BA102" s="609">
        <f t="shared" ca="1" si="255"/>
        <v>0</v>
      </c>
      <c r="BB102" s="609">
        <f t="shared" ca="1" si="255"/>
        <v>0</v>
      </c>
      <c r="BC102" s="609">
        <f t="shared" ca="1" si="255"/>
        <v>0</v>
      </c>
      <c r="BD102" s="609">
        <f t="shared" ca="1" si="255"/>
        <v>0</v>
      </c>
      <c r="BE102" s="609">
        <f t="shared" ca="1" si="25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0.43916558032837694</v>
      </c>
      <c r="BJ102" s="664">
        <f ca="1">SUM(BH102:BI102)</f>
        <v>0.43916558032837694</v>
      </c>
      <c r="BK102" s="6"/>
      <c r="BL102" s="3477">
        <f t="shared" ref="BL102:BL109" ca="1" si="256">Q102+AK102+BF102+BJ102</f>
        <v>-1.3322676295501878E-15</v>
      </c>
      <c r="BM102" s="610"/>
      <c r="BO102" s="2789">
        <f t="shared" ref="BO102:BX103" ca="1" si="257">IFERROR(SUMIFS(INDIRECT($C102&amp;".Emissions["&amp;this.Year&amp;"]"), INDIRECT($C102&amp;".Emissions[GHG]"), BO$6, INDIRECT($C102&amp;".Emissions[IPCC Sector]"), BO$5),0)</f>
        <v>0</v>
      </c>
      <c r="BP102" s="2790">
        <f t="shared" ca="1" si="257"/>
        <v>0</v>
      </c>
      <c r="BQ102" s="2790">
        <f t="shared" ca="1" si="257"/>
        <v>0</v>
      </c>
      <c r="BR102" s="2790">
        <f t="shared" ca="1" si="257"/>
        <v>0</v>
      </c>
      <c r="BS102" s="2790">
        <f t="shared" ca="1" si="257"/>
        <v>0</v>
      </c>
      <c r="BT102" s="2790">
        <f t="shared" ca="1" si="257"/>
        <v>1.2768375410568076E-2</v>
      </c>
      <c r="BU102" s="2790">
        <f t="shared" ca="1" si="257"/>
        <v>0</v>
      </c>
      <c r="BV102" s="2790">
        <f t="shared" ca="1" si="257"/>
        <v>0</v>
      </c>
      <c r="BW102" s="2790">
        <f t="shared" ca="1" si="257"/>
        <v>0</v>
      </c>
      <c r="BX102" s="2790">
        <f t="shared" ca="1" si="257"/>
        <v>0</v>
      </c>
      <c r="BY102" s="2790">
        <f t="shared" ref="BY102:CH103" ca="1" si="258">IFERROR(SUMIFS(INDIRECT($C102&amp;".Emissions["&amp;this.Year&amp;"]"), INDIRECT($C102&amp;".Emissions[GHG]"), BY$6, INDIRECT($C102&amp;".Emissions[IPCC Sector]"), BY$5),0)</f>
        <v>0</v>
      </c>
      <c r="BZ102" s="2790">
        <f t="shared" ca="1" si="258"/>
        <v>0</v>
      </c>
      <c r="CA102" s="2790">
        <f t="shared" ca="1" si="258"/>
        <v>0</v>
      </c>
      <c r="CB102" s="2790">
        <f t="shared" ca="1" si="258"/>
        <v>0</v>
      </c>
      <c r="CC102" s="2790">
        <f t="shared" ca="1" si="258"/>
        <v>0</v>
      </c>
      <c r="CD102" s="2790">
        <f t="shared" ca="1" si="258"/>
        <v>0</v>
      </c>
      <c r="CE102" s="2790">
        <f t="shared" ca="1" si="258"/>
        <v>0</v>
      </c>
      <c r="CF102" s="2790">
        <f t="shared" ca="1" si="258"/>
        <v>0</v>
      </c>
      <c r="CG102" s="2790">
        <f t="shared" ca="1" si="258"/>
        <v>0</v>
      </c>
      <c r="CH102" s="2790">
        <f t="shared" ca="1" si="258"/>
        <v>0</v>
      </c>
      <c r="CI102" s="2790">
        <f t="shared" ref="CI102:CR103" ca="1" si="259">IFERROR(SUMIFS(INDIRECT($C102&amp;".Emissions["&amp;this.Year&amp;"]"), INDIRECT($C102&amp;".Emissions[GHG]"), CI$6, INDIRECT($C102&amp;".Emissions[IPCC Sector]"), CI$5),0)</f>
        <v>0</v>
      </c>
      <c r="CJ102" s="2790">
        <f t="shared" ca="1" si="259"/>
        <v>0</v>
      </c>
      <c r="CK102" s="2790">
        <f t="shared" ca="1" si="259"/>
        <v>0</v>
      </c>
      <c r="CL102" s="2790">
        <f t="shared" ca="1" si="259"/>
        <v>0</v>
      </c>
      <c r="CM102" s="2790">
        <f t="shared" ca="1" si="259"/>
        <v>0</v>
      </c>
      <c r="CN102" s="2790">
        <f t="shared" ca="1" si="259"/>
        <v>0</v>
      </c>
      <c r="CO102" s="2790">
        <f t="shared" ca="1" si="259"/>
        <v>0</v>
      </c>
      <c r="CP102" s="2790">
        <f t="shared" ca="1" si="259"/>
        <v>0</v>
      </c>
      <c r="CQ102" s="2790">
        <f t="shared" ca="1" si="259"/>
        <v>0</v>
      </c>
      <c r="CR102" s="2790">
        <f t="shared" ca="1" si="259"/>
        <v>0</v>
      </c>
      <c r="CS102" s="2790">
        <f t="shared" ref="CS102:DF103" ca="1" si="260">IFERROR(SUMIFS(INDIRECT($C102&amp;".Emissions["&amp;this.Year&amp;"]"), INDIRECT($C102&amp;".Emissions[GHG]"), CS$6, INDIRECT($C102&amp;".Emissions[IPCC Sector]"), CS$5),0)</f>
        <v>0</v>
      </c>
      <c r="CT102" s="2790">
        <f t="shared" ca="1" si="260"/>
        <v>0</v>
      </c>
      <c r="CU102" s="2790">
        <f t="shared" ca="1" si="260"/>
        <v>0</v>
      </c>
      <c r="CV102" s="2790">
        <f t="shared" ca="1" si="260"/>
        <v>0</v>
      </c>
      <c r="CW102" s="2790">
        <f t="shared" ca="1" si="260"/>
        <v>0</v>
      </c>
      <c r="CX102" s="2790">
        <f t="shared" ca="1" si="260"/>
        <v>0</v>
      </c>
      <c r="CY102" s="2790">
        <f t="shared" ca="1" si="260"/>
        <v>0</v>
      </c>
      <c r="CZ102" s="2790">
        <f t="shared" ca="1" si="260"/>
        <v>0</v>
      </c>
      <c r="DA102" s="2790">
        <f t="shared" ca="1" si="260"/>
        <v>0</v>
      </c>
      <c r="DB102" s="2790">
        <f t="shared" ca="1" si="260"/>
        <v>0</v>
      </c>
      <c r="DC102" s="2790">
        <f t="shared" ca="1" si="260"/>
        <v>0</v>
      </c>
      <c r="DD102" s="2790">
        <f t="shared" ca="1" si="260"/>
        <v>0</v>
      </c>
      <c r="DE102" s="2790">
        <f t="shared" ca="1" si="260"/>
        <v>0</v>
      </c>
      <c r="DF102" s="2790">
        <f t="shared" ca="1" si="260"/>
        <v>0</v>
      </c>
      <c r="DH102" s="596">
        <f t="shared" ca="1" si="238"/>
        <v>1.2768375410568076E-2</v>
      </c>
    </row>
    <row r="103" spans="1:112" s="607" customFormat="1" ht="12.75" customHeight="1" outlineLevel="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-14.552664429668678</v>
      </c>
      <c r="U103" s="711"/>
      <c r="V103" s="711"/>
      <c r="W103" s="711"/>
      <c r="X103" s="711">
        <f ca="1">-(X$40+X$84+X$93+X$99+X$102)</f>
        <v>-0.22914024705997099</v>
      </c>
      <c r="Y103" s="711">
        <f ca="1">-(Y$40+Y$84+Y$93+Y$99+Y$102)</f>
        <v>58.853734589724091</v>
      </c>
      <c r="Z103" s="711">
        <f ca="1">-(Z$40+Z$84+Z$93+Z$99+Z$102)</f>
        <v>29.716870935553509</v>
      </c>
      <c r="AA103" s="711"/>
      <c r="AB103" s="711"/>
      <c r="AC103" s="711"/>
      <c r="AD103" s="711"/>
      <c r="AE103" s="711"/>
      <c r="AF103" s="711"/>
      <c r="AG103" s="711"/>
      <c r="AH103" s="711"/>
      <c r="AI103" s="711"/>
      <c r="AJ103" s="711"/>
      <c r="AK103" s="711">
        <f ca="1">SUM(S103:AJ103)</f>
        <v>73.788800848548959</v>
      </c>
      <c r="AL103" s="6"/>
      <c r="AM103" s="615"/>
      <c r="AN103" s="615"/>
      <c r="AO103" s="615"/>
      <c r="AP103" s="615"/>
      <c r="AQ103" s="615">
        <f ca="1">-T103</f>
        <v>14.552664429668678</v>
      </c>
      <c r="AR103" s="615">
        <f>-V103</f>
        <v>0</v>
      </c>
      <c r="AS103" s="615">
        <f ca="1">-X103</f>
        <v>0.22914024705997099</v>
      </c>
      <c r="AT103" s="615">
        <f ca="1">-Y103</f>
        <v>-58.853734589724091</v>
      </c>
      <c r="AU103" s="615">
        <f ca="1">-Z103</f>
        <v>-29.716870935553509</v>
      </c>
      <c r="AV103" s="615"/>
      <c r="AW103" s="615"/>
      <c r="AX103" s="615"/>
      <c r="AY103" s="615"/>
      <c r="AZ103" s="615"/>
      <c r="BA103" s="615"/>
      <c r="BB103" s="615"/>
      <c r="BC103" s="615"/>
      <c r="BD103" s="615"/>
      <c r="BE103" s="615"/>
      <c r="BF103" s="615">
        <f ca="1">SUM(AM103:BE103)</f>
        <v>-73.788800848548959</v>
      </c>
      <c r="BG103" s="6"/>
      <c r="BH103" s="712"/>
      <c r="BI103" s="712"/>
      <c r="BJ103" s="712">
        <f>SUM(BH103:BI103)</f>
        <v>0</v>
      </c>
      <c r="BK103" s="6"/>
      <c r="BL103" s="3477">
        <f t="shared" ca="1" si="256"/>
        <v>0</v>
      </c>
      <c r="BM103" s="610"/>
      <c r="BO103" s="2791">
        <f t="shared" ca="1" si="257"/>
        <v>0</v>
      </c>
      <c r="BP103" s="2792">
        <f t="shared" ca="1" si="257"/>
        <v>0</v>
      </c>
      <c r="BQ103" s="2792">
        <f t="shared" ca="1" si="257"/>
        <v>0</v>
      </c>
      <c r="BR103" s="2792">
        <f t="shared" ca="1" si="257"/>
        <v>0</v>
      </c>
      <c r="BS103" s="2792">
        <f t="shared" ca="1" si="257"/>
        <v>0</v>
      </c>
      <c r="BT103" s="2792">
        <f t="shared" ca="1" si="257"/>
        <v>0</v>
      </c>
      <c r="BU103" s="2792">
        <f t="shared" ca="1" si="257"/>
        <v>0</v>
      </c>
      <c r="BV103" s="2792">
        <f t="shared" ca="1" si="257"/>
        <v>0</v>
      </c>
      <c r="BW103" s="2792">
        <f t="shared" ca="1" si="257"/>
        <v>0</v>
      </c>
      <c r="BX103" s="2792">
        <f t="shared" ca="1" si="257"/>
        <v>0</v>
      </c>
      <c r="BY103" s="2792">
        <f t="shared" ca="1" si="258"/>
        <v>0</v>
      </c>
      <c r="BZ103" s="2792">
        <f t="shared" ca="1" si="258"/>
        <v>0</v>
      </c>
      <c r="CA103" s="2792">
        <f t="shared" ca="1" si="258"/>
        <v>0</v>
      </c>
      <c r="CB103" s="2792">
        <f t="shared" ca="1" si="258"/>
        <v>0</v>
      </c>
      <c r="CC103" s="2792">
        <f t="shared" ca="1" si="258"/>
        <v>0</v>
      </c>
      <c r="CD103" s="2792">
        <f t="shared" ca="1" si="258"/>
        <v>0</v>
      </c>
      <c r="CE103" s="2792">
        <f t="shared" ca="1" si="258"/>
        <v>0</v>
      </c>
      <c r="CF103" s="2792">
        <f t="shared" ca="1" si="258"/>
        <v>0</v>
      </c>
      <c r="CG103" s="2792">
        <f t="shared" ca="1" si="258"/>
        <v>0</v>
      </c>
      <c r="CH103" s="2792">
        <f t="shared" ca="1" si="258"/>
        <v>0</v>
      </c>
      <c r="CI103" s="2792">
        <f t="shared" ca="1" si="259"/>
        <v>0</v>
      </c>
      <c r="CJ103" s="2792">
        <f t="shared" ca="1" si="259"/>
        <v>0</v>
      </c>
      <c r="CK103" s="2792">
        <f t="shared" ca="1" si="259"/>
        <v>0</v>
      </c>
      <c r="CL103" s="2792">
        <f t="shared" ca="1" si="259"/>
        <v>0</v>
      </c>
      <c r="CM103" s="2792">
        <f t="shared" ca="1" si="259"/>
        <v>0</v>
      </c>
      <c r="CN103" s="2792">
        <f t="shared" ca="1" si="259"/>
        <v>0</v>
      </c>
      <c r="CO103" s="2792">
        <f t="shared" ca="1" si="259"/>
        <v>0</v>
      </c>
      <c r="CP103" s="2792">
        <f t="shared" ca="1" si="259"/>
        <v>0</v>
      </c>
      <c r="CQ103" s="2792">
        <f t="shared" ca="1" si="259"/>
        <v>0</v>
      </c>
      <c r="CR103" s="2792">
        <f t="shared" ca="1" si="259"/>
        <v>0</v>
      </c>
      <c r="CS103" s="2792">
        <f t="shared" ca="1" si="260"/>
        <v>0</v>
      </c>
      <c r="CT103" s="2792">
        <f t="shared" ca="1" si="260"/>
        <v>0</v>
      </c>
      <c r="CU103" s="2792">
        <f t="shared" ca="1" si="260"/>
        <v>0</v>
      </c>
      <c r="CV103" s="2792">
        <f t="shared" ca="1" si="260"/>
        <v>0</v>
      </c>
      <c r="CW103" s="2792">
        <f t="shared" ca="1" si="260"/>
        <v>0</v>
      </c>
      <c r="CX103" s="2792">
        <f t="shared" ca="1" si="260"/>
        <v>0</v>
      </c>
      <c r="CY103" s="2792">
        <f t="shared" ca="1" si="260"/>
        <v>0</v>
      </c>
      <c r="CZ103" s="2792">
        <f t="shared" ca="1" si="260"/>
        <v>0</v>
      </c>
      <c r="DA103" s="2792">
        <f t="shared" ca="1" si="260"/>
        <v>0</v>
      </c>
      <c r="DB103" s="2792">
        <f t="shared" ca="1" si="260"/>
        <v>0</v>
      </c>
      <c r="DC103" s="2792">
        <f t="shared" ca="1" si="260"/>
        <v>0</v>
      </c>
      <c r="DD103" s="2792">
        <f t="shared" ca="1" si="260"/>
        <v>0</v>
      </c>
      <c r="DE103" s="2792">
        <f t="shared" ca="1" si="260"/>
        <v>0</v>
      </c>
      <c r="DF103" s="2792">
        <f t="shared" ca="1" si="260"/>
        <v>0</v>
      </c>
      <c r="DH103" s="596">
        <f t="shared" ca="1" si="238"/>
        <v>0</v>
      </c>
    </row>
    <row r="104" spans="1:112" s="6" customFormat="1" ht="15.75">
      <c r="B104" s="3" t="s">
        <v>585</v>
      </c>
      <c r="C104" s="629" t="s">
        <v>588</v>
      </c>
      <c r="D104" s="617" t="s">
        <v>589</v>
      </c>
      <c r="E104" s="519"/>
      <c r="G104" s="618">
        <f t="shared" ref="G104:P104" ca="1" si="261">SUM(G102:G103)</f>
        <v>0</v>
      </c>
      <c r="H104" s="618">
        <f t="shared" ca="1" si="261"/>
        <v>0</v>
      </c>
      <c r="I104" s="618">
        <f t="shared" ca="1" si="261"/>
        <v>0</v>
      </c>
      <c r="J104" s="618">
        <f t="shared" ca="1" si="261"/>
        <v>0</v>
      </c>
      <c r="K104" s="618">
        <f t="shared" ca="1" si="261"/>
        <v>0</v>
      </c>
      <c r="L104" s="618">
        <f t="shared" ca="1" si="261"/>
        <v>0</v>
      </c>
      <c r="M104" s="618">
        <f t="shared" ca="1" si="261"/>
        <v>0</v>
      </c>
      <c r="N104" s="618">
        <f t="shared" ca="1" si="261"/>
        <v>0</v>
      </c>
      <c r="O104" s="618">
        <f t="shared" ca="1" si="261"/>
        <v>0</v>
      </c>
      <c r="P104" s="618">
        <f t="shared" ca="1" si="261"/>
        <v>0</v>
      </c>
      <c r="Q104" s="618">
        <f ca="1">SUM(G104:P104)</f>
        <v>0</v>
      </c>
      <c r="S104" s="581">
        <f t="shared" ref="S104:AJ104" ca="1" si="262">SUM(S102:S103)</f>
        <v>0</v>
      </c>
      <c r="T104" s="581">
        <f t="shared" ca="1" si="262"/>
        <v>-14.552664429668678</v>
      </c>
      <c r="U104" s="581">
        <f t="shared" ca="1" si="262"/>
        <v>-1.7763568394002505E-15</v>
      </c>
      <c r="V104" s="581">
        <f t="shared" ca="1" si="262"/>
        <v>58.853734589724091</v>
      </c>
      <c r="W104" s="581">
        <f t="shared" ca="1" si="262"/>
        <v>29.27770535522513</v>
      </c>
      <c r="X104" s="581">
        <f t="shared" ca="1" si="262"/>
        <v>-0.22914024705996922</v>
      </c>
      <c r="Y104" s="581">
        <f t="shared" ca="1" si="262"/>
        <v>0</v>
      </c>
      <c r="Z104" s="581">
        <f t="shared" ca="1" si="262"/>
        <v>0</v>
      </c>
      <c r="AA104" s="581">
        <f t="shared" ca="1" si="262"/>
        <v>0</v>
      </c>
      <c r="AB104" s="581">
        <f t="shared" ca="1" si="262"/>
        <v>0</v>
      </c>
      <c r="AC104" s="581">
        <f t="shared" ca="1" si="262"/>
        <v>0</v>
      </c>
      <c r="AD104" s="581">
        <f t="shared" ca="1" si="262"/>
        <v>0</v>
      </c>
      <c r="AE104" s="581">
        <f ca="1">SUM(AE102:AE103)</f>
        <v>0</v>
      </c>
      <c r="AF104" s="581">
        <f t="shared" ca="1" si="262"/>
        <v>0</v>
      </c>
      <c r="AG104" s="581">
        <f t="shared" ca="1" si="262"/>
        <v>0</v>
      </c>
      <c r="AH104" s="581">
        <f ca="1">SUM(AH102:AH103)</f>
        <v>0</v>
      </c>
      <c r="AI104" s="581">
        <f t="shared" ca="1" si="262"/>
        <v>0</v>
      </c>
      <c r="AJ104" s="581">
        <f t="shared" ca="1" si="262"/>
        <v>0</v>
      </c>
      <c r="AK104" s="581">
        <f ca="1">SUM(S104:AJ104)</f>
        <v>73.349635268220567</v>
      </c>
      <c r="AM104" s="582">
        <f t="shared" ref="AM104:BE104" ca="1" si="263">SUM(AM102:AM103)</f>
        <v>0</v>
      </c>
      <c r="AN104" s="582">
        <f t="shared" ca="1" si="263"/>
        <v>0</v>
      </c>
      <c r="AO104" s="582">
        <f t="shared" ca="1" si="263"/>
        <v>0</v>
      </c>
      <c r="AP104" s="582">
        <f t="shared" ca="1" si="263"/>
        <v>0</v>
      </c>
      <c r="AQ104" s="582">
        <f t="shared" ca="1" si="263"/>
        <v>14.552664429668678</v>
      </c>
      <c r="AR104" s="582">
        <f t="shared" ca="1" si="263"/>
        <v>0</v>
      </c>
      <c r="AS104" s="582">
        <f t="shared" ca="1" si="263"/>
        <v>0.22914024705997099</v>
      </c>
      <c r="AT104" s="582">
        <f t="shared" ca="1" si="263"/>
        <v>-58.853734589724091</v>
      </c>
      <c r="AU104" s="582">
        <f t="shared" ca="1" si="263"/>
        <v>-29.716870935553509</v>
      </c>
      <c r="AV104" s="582">
        <f t="shared" ca="1" si="263"/>
        <v>0</v>
      </c>
      <c r="AW104" s="582">
        <f t="shared" ca="1" si="263"/>
        <v>0</v>
      </c>
      <c r="AX104" s="582">
        <f t="shared" ca="1" si="263"/>
        <v>0</v>
      </c>
      <c r="AY104" s="582">
        <f t="shared" ca="1" si="263"/>
        <v>0</v>
      </c>
      <c r="AZ104" s="582">
        <f t="shared" ca="1" si="263"/>
        <v>0</v>
      </c>
      <c r="BA104" s="582">
        <f t="shared" ca="1" si="263"/>
        <v>0</v>
      </c>
      <c r="BB104" s="582">
        <f t="shared" ca="1" si="263"/>
        <v>0</v>
      </c>
      <c r="BC104" s="582">
        <f t="shared" ca="1" si="263"/>
        <v>0</v>
      </c>
      <c r="BD104" s="582">
        <f t="shared" ca="1" si="263"/>
        <v>0</v>
      </c>
      <c r="BE104" s="582">
        <f t="shared" ca="1" si="263"/>
        <v>0</v>
      </c>
      <c r="BF104" s="582">
        <f ca="1">SUM(AM104:BE104)</f>
        <v>-73.788800848548959</v>
      </c>
      <c r="BH104" s="3463">
        <f ca="1">SUM(BH102:BH103)</f>
        <v>0</v>
      </c>
      <c r="BI104" s="3463">
        <f ca="1">SUM(BI102:BI103)</f>
        <v>0.43916558032837694</v>
      </c>
      <c r="BJ104" s="3463">
        <f ca="1">SUM(BH104:BI104)</f>
        <v>0.43916558032837694</v>
      </c>
      <c r="BL104" s="3477">
        <f t="shared" ca="1" si="256"/>
        <v>-1.5543122344752192E-14</v>
      </c>
      <c r="BM104" s="584"/>
      <c r="BN104" s="413"/>
      <c r="BO104" s="2790">
        <f t="shared" ref="BO104:DF104" ca="1" si="264">SUM(BO102:BO103)</f>
        <v>0</v>
      </c>
      <c r="BP104" s="2790">
        <f t="shared" ca="1" si="264"/>
        <v>0</v>
      </c>
      <c r="BQ104" s="2790">
        <f t="shared" ca="1" si="264"/>
        <v>0</v>
      </c>
      <c r="BR104" s="2790">
        <f t="shared" ca="1" si="264"/>
        <v>0</v>
      </c>
      <c r="BS104" s="2790">
        <f t="shared" ca="1" si="264"/>
        <v>0</v>
      </c>
      <c r="BT104" s="2790">
        <f t="shared" ca="1" si="264"/>
        <v>1.2768375410568076E-2</v>
      </c>
      <c r="BU104" s="2790">
        <f t="shared" ca="1" si="264"/>
        <v>0</v>
      </c>
      <c r="BV104" s="2790">
        <f t="shared" ca="1" si="264"/>
        <v>0</v>
      </c>
      <c r="BW104" s="2790">
        <f t="shared" ca="1" si="264"/>
        <v>0</v>
      </c>
      <c r="BX104" s="2790">
        <f t="shared" ca="1" si="264"/>
        <v>0</v>
      </c>
      <c r="BY104" s="2790">
        <f t="shared" ca="1" si="264"/>
        <v>0</v>
      </c>
      <c r="BZ104" s="2790">
        <f t="shared" ca="1" si="264"/>
        <v>0</v>
      </c>
      <c r="CA104" s="2790">
        <f t="shared" ca="1" si="264"/>
        <v>0</v>
      </c>
      <c r="CB104" s="2790">
        <f t="shared" ca="1" si="264"/>
        <v>0</v>
      </c>
      <c r="CC104" s="2790">
        <f t="shared" ca="1" si="264"/>
        <v>0</v>
      </c>
      <c r="CD104" s="2790">
        <f t="shared" ca="1" si="264"/>
        <v>0</v>
      </c>
      <c r="CE104" s="2790">
        <f t="shared" ca="1" si="264"/>
        <v>0</v>
      </c>
      <c r="CF104" s="2790">
        <f t="shared" ca="1" si="264"/>
        <v>0</v>
      </c>
      <c r="CG104" s="2790">
        <f t="shared" ca="1" si="264"/>
        <v>0</v>
      </c>
      <c r="CH104" s="2790">
        <f t="shared" ca="1" si="264"/>
        <v>0</v>
      </c>
      <c r="CI104" s="2790">
        <f t="shared" ca="1" si="264"/>
        <v>0</v>
      </c>
      <c r="CJ104" s="2790">
        <f t="shared" ca="1" si="264"/>
        <v>0</v>
      </c>
      <c r="CK104" s="2790">
        <f t="shared" ca="1" si="264"/>
        <v>0</v>
      </c>
      <c r="CL104" s="2790">
        <f t="shared" ca="1" si="264"/>
        <v>0</v>
      </c>
      <c r="CM104" s="2790">
        <f t="shared" ca="1" si="264"/>
        <v>0</v>
      </c>
      <c r="CN104" s="2790">
        <f t="shared" ca="1" si="264"/>
        <v>0</v>
      </c>
      <c r="CO104" s="2790">
        <f t="shared" ca="1" si="264"/>
        <v>0</v>
      </c>
      <c r="CP104" s="2790">
        <f t="shared" ca="1" si="264"/>
        <v>0</v>
      </c>
      <c r="CQ104" s="2790">
        <f t="shared" ca="1" si="264"/>
        <v>0</v>
      </c>
      <c r="CR104" s="2790">
        <f t="shared" ca="1" si="264"/>
        <v>0</v>
      </c>
      <c r="CS104" s="2790">
        <f t="shared" ca="1" si="264"/>
        <v>0</v>
      </c>
      <c r="CT104" s="2790">
        <f t="shared" ca="1" si="264"/>
        <v>0</v>
      </c>
      <c r="CU104" s="2790">
        <f t="shared" ca="1" si="264"/>
        <v>0</v>
      </c>
      <c r="CV104" s="2790">
        <f t="shared" ca="1" si="264"/>
        <v>0</v>
      </c>
      <c r="CW104" s="2790">
        <f t="shared" ca="1" si="264"/>
        <v>0</v>
      </c>
      <c r="CX104" s="2790">
        <f t="shared" ca="1" si="264"/>
        <v>0</v>
      </c>
      <c r="CY104" s="2790">
        <f t="shared" ca="1" si="264"/>
        <v>0</v>
      </c>
      <c r="CZ104" s="2790">
        <f t="shared" ca="1" si="264"/>
        <v>0</v>
      </c>
      <c r="DA104" s="2790">
        <f t="shared" ca="1" si="264"/>
        <v>0</v>
      </c>
      <c r="DB104" s="2790">
        <f t="shared" ca="1" si="264"/>
        <v>0</v>
      </c>
      <c r="DC104" s="2790">
        <f t="shared" ca="1" si="264"/>
        <v>0</v>
      </c>
      <c r="DD104" s="2790">
        <f t="shared" ca="1" si="264"/>
        <v>0</v>
      </c>
      <c r="DE104" s="2790">
        <f t="shared" ca="1" si="264"/>
        <v>0</v>
      </c>
      <c r="DF104" s="2790">
        <f t="shared" ca="1" si="264"/>
        <v>0</v>
      </c>
      <c r="DH104" s="596">
        <f t="shared" ca="1" si="238"/>
        <v>1.2768375410568076E-2</v>
      </c>
    </row>
    <row r="105" spans="1:112" s="6" customFormat="1" ht="6" customHeigh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5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65">G$93+G$99+G$104</f>
        <v>0</v>
      </c>
      <c r="H106" s="680">
        <f t="shared" ca="1" si="265"/>
        <v>0</v>
      </c>
      <c r="I106" s="680">
        <f t="shared" ca="1" si="265"/>
        <v>0</v>
      </c>
      <c r="J106" s="680">
        <f t="shared" ca="1" si="265"/>
        <v>0</v>
      </c>
      <c r="K106" s="681">
        <f t="shared" ca="1" si="265"/>
        <v>0</v>
      </c>
      <c r="L106" s="680">
        <f t="shared" ca="1" si="265"/>
        <v>0</v>
      </c>
      <c r="M106" s="680">
        <f t="shared" ca="1" si="265"/>
        <v>0</v>
      </c>
      <c r="N106" s="680">
        <f t="shared" ca="1" si="265"/>
        <v>0</v>
      </c>
      <c r="O106" s="680">
        <f t="shared" ca="1" si="265"/>
        <v>0</v>
      </c>
      <c r="P106" s="680">
        <f t="shared" ca="1" si="265"/>
        <v>0</v>
      </c>
      <c r="Q106" s="633">
        <f ca="1">SUM(G106:P106)</f>
        <v>0</v>
      </c>
      <c r="S106" s="634">
        <f t="shared" ref="S106:AJ106" ca="1" si="266">S$93+S$99+S$104</f>
        <v>0</v>
      </c>
      <c r="T106" s="634">
        <f t="shared" ca="1" si="266"/>
        <v>-14.359148337597061</v>
      </c>
      <c r="U106" s="634">
        <f t="shared" ca="1" si="266"/>
        <v>7.3833809460243156</v>
      </c>
      <c r="V106" s="634">
        <f t="shared" ca="1" si="266"/>
        <v>62.603377123518747</v>
      </c>
      <c r="W106" s="634">
        <f t="shared" ca="1" si="266"/>
        <v>36.165911728331508</v>
      </c>
      <c r="X106" s="634">
        <f t="shared" ca="1" si="266"/>
        <v>-0.22914024705996922</v>
      </c>
      <c r="Y106" s="634">
        <f t="shared" ca="1" si="266"/>
        <v>0</v>
      </c>
      <c r="Z106" s="634">
        <f t="shared" ca="1" si="266"/>
        <v>0</v>
      </c>
      <c r="AA106" s="634">
        <f t="shared" ca="1" si="266"/>
        <v>0</v>
      </c>
      <c r="AB106" s="634">
        <f t="shared" ca="1" si="266"/>
        <v>0</v>
      </c>
      <c r="AC106" s="634">
        <f t="shared" ca="1" si="266"/>
        <v>0</v>
      </c>
      <c r="AD106" s="634">
        <f t="shared" ca="1" si="266"/>
        <v>-29.45092534174433</v>
      </c>
      <c r="AE106" s="634">
        <f t="shared" ca="1" si="266"/>
        <v>-0.48283502255691169</v>
      </c>
      <c r="AF106" s="634">
        <f t="shared" ca="1" si="266"/>
        <v>-11.556354871441844</v>
      </c>
      <c r="AG106" s="634">
        <f t="shared" ca="1" si="266"/>
        <v>-7.9086168792688998</v>
      </c>
      <c r="AH106" s="634">
        <f t="shared" ca="1" si="266"/>
        <v>-0.16588202572781321</v>
      </c>
      <c r="AI106" s="634">
        <f t="shared" ca="1" si="266"/>
        <v>0</v>
      </c>
      <c r="AJ106" s="634">
        <f t="shared" ca="1" si="266"/>
        <v>0</v>
      </c>
      <c r="AK106" s="634">
        <f ca="1">SUM(S106:AJ106)</f>
        <v>41.999767072477731</v>
      </c>
      <c r="AM106" s="635">
        <f t="shared" ref="AM106:BE106" ca="1" si="267">AM$93+AM$99+AM$104</f>
        <v>0</v>
      </c>
      <c r="AN106" s="635">
        <f t="shared" ca="1" si="267"/>
        <v>0</v>
      </c>
      <c r="AO106" s="635">
        <f t="shared" ca="1" si="267"/>
        <v>0</v>
      </c>
      <c r="AP106" s="635">
        <f t="shared" ca="1" si="267"/>
        <v>27.976468589835875</v>
      </c>
      <c r="AQ106" s="635">
        <f t="shared" ca="1" si="267"/>
        <v>10.652664429668677</v>
      </c>
      <c r="AR106" s="635">
        <f t="shared" ca="1" si="267"/>
        <v>0</v>
      </c>
      <c r="AS106" s="635">
        <f t="shared" ca="1" si="267"/>
        <v>0.22914024705997099</v>
      </c>
      <c r="AT106" s="635">
        <f t="shared" ca="1" si="267"/>
        <v>-58.853734589724091</v>
      </c>
      <c r="AU106" s="635">
        <f t="shared" ca="1" si="267"/>
        <v>-29.716870935553509</v>
      </c>
      <c r="AV106" s="635">
        <f t="shared" ca="1" si="267"/>
        <v>0</v>
      </c>
      <c r="AW106" s="635">
        <f t="shared" ca="1" si="267"/>
        <v>0</v>
      </c>
      <c r="AX106" s="635">
        <f t="shared" ca="1" si="267"/>
        <v>0</v>
      </c>
      <c r="AY106" s="635">
        <f t="shared" ca="1" si="267"/>
        <v>0</v>
      </c>
      <c r="AZ106" s="635">
        <f t="shared" ca="1" si="267"/>
        <v>0</v>
      </c>
      <c r="BA106" s="635">
        <f t="shared" ca="1" si="267"/>
        <v>0</v>
      </c>
      <c r="BB106" s="635">
        <f t="shared" ca="1" si="267"/>
        <v>0</v>
      </c>
      <c r="BC106" s="635">
        <f t="shared" ca="1" si="267"/>
        <v>0</v>
      </c>
      <c r="BD106" s="635">
        <f t="shared" ca="1" si="267"/>
        <v>0</v>
      </c>
      <c r="BE106" s="635">
        <f t="shared" ca="1" si="267"/>
        <v>0</v>
      </c>
      <c r="BF106" s="635">
        <f ca="1">SUM(AM106:BE106)</f>
        <v>-49.712332258713076</v>
      </c>
      <c r="BH106" s="3464">
        <f ca="1">BH$93+BH$99+BH$104</f>
        <v>3.5669156979785797</v>
      </c>
      <c r="BI106" s="3464">
        <f ca="1">BI$93+BI$99+BI$104</f>
        <v>4.1456494882567601</v>
      </c>
      <c r="BJ106" s="3464">
        <f ca="1">SUM(BH106:BI106)</f>
        <v>7.7125651862353397</v>
      </c>
      <c r="BL106" s="3478">
        <f t="shared" ca="1" si="256"/>
        <v>0</v>
      </c>
      <c r="BM106" s="636"/>
      <c r="BO106" s="2793">
        <f t="shared" ref="BO106:DE106" ca="1" si="268">BO$93+BO$99+BO$104</f>
        <v>0</v>
      </c>
      <c r="BP106" s="2793">
        <f t="shared" ca="1" si="268"/>
        <v>0</v>
      </c>
      <c r="BQ106" s="2793">
        <f t="shared" ca="1" si="268"/>
        <v>0</v>
      </c>
      <c r="BR106" s="2793">
        <f t="shared" ca="1" si="268"/>
        <v>0</v>
      </c>
      <c r="BS106" s="2793">
        <f t="shared" ca="1" si="268"/>
        <v>0</v>
      </c>
      <c r="BT106" s="2793">
        <f t="shared" ca="1" si="268"/>
        <v>1.2768375410568076E-2</v>
      </c>
      <c r="BU106" s="2793">
        <f t="shared" ca="1" si="268"/>
        <v>0</v>
      </c>
      <c r="BV106" s="2793">
        <f t="shared" ca="1" si="268"/>
        <v>0</v>
      </c>
      <c r="BW106" s="2793">
        <f t="shared" ca="1" si="268"/>
        <v>0</v>
      </c>
      <c r="BX106" s="2793">
        <f t="shared" ca="1" si="268"/>
        <v>0</v>
      </c>
      <c r="BY106" s="2793">
        <f t="shared" ca="1" si="268"/>
        <v>0</v>
      </c>
      <c r="BZ106" s="2793">
        <f t="shared" ca="1" si="268"/>
        <v>0</v>
      </c>
      <c r="CA106" s="2793">
        <f t="shared" ca="1" si="268"/>
        <v>0</v>
      </c>
      <c r="CB106" s="2793">
        <f t="shared" ca="1" si="268"/>
        <v>0</v>
      </c>
      <c r="CC106" s="2793">
        <f t="shared" ca="1" si="268"/>
        <v>0</v>
      </c>
      <c r="CD106" s="2793">
        <f t="shared" ca="1" si="268"/>
        <v>0</v>
      </c>
      <c r="CE106" s="2793">
        <f t="shared" ca="1" si="268"/>
        <v>0</v>
      </c>
      <c r="CF106" s="2793">
        <f t="shared" ca="1" si="268"/>
        <v>0</v>
      </c>
      <c r="CG106" s="2793">
        <f t="shared" ca="1" si="268"/>
        <v>0</v>
      </c>
      <c r="CH106" s="2793">
        <f t="shared" ca="1" si="268"/>
        <v>0</v>
      </c>
      <c r="CI106" s="2793">
        <f t="shared" ca="1" si="268"/>
        <v>0</v>
      </c>
      <c r="CJ106" s="2793">
        <f t="shared" ca="1" si="268"/>
        <v>0</v>
      </c>
      <c r="CK106" s="2793">
        <f t="shared" ca="1" si="268"/>
        <v>0</v>
      </c>
      <c r="CL106" s="2793">
        <f t="shared" ca="1" si="268"/>
        <v>0</v>
      </c>
      <c r="CM106" s="2793">
        <f t="shared" ca="1" si="268"/>
        <v>0</v>
      </c>
      <c r="CN106" s="2793">
        <f t="shared" ca="1" si="268"/>
        <v>0</v>
      </c>
      <c r="CO106" s="2793">
        <f t="shared" ca="1" si="268"/>
        <v>0</v>
      </c>
      <c r="CP106" s="2793">
        <f t="shared" ca="1" si="268"/>
        <v>0</v>
      </c>
      <c r="CQ106" s="2793">
        <f t="shared" ca="1" si="268"/>
        <v>0</v>
      </c>
      <c r="CR106" s="2793">
        <f t="shared" ca="1" si="268"/>
        <v>0</v>
      </c>
      <c r="CS106" s="2793">
        <f t="shared" ca="1" si="268"/>
        <v>0</v>
      </c>
      <c r="CT106" s="2793">
        <f t="shared" ca="1" si="268"/>
        <v>0</v>
      </c>
      <c r="CU106" s="2793">
        <f t="shared" ca="1" si="268"/>
        <v>0</v>
      </c>
      <c r="CV106" s="2793">
        <f t="shared" ca="1" si="268"/>
        <v>0</v>
      </c>
      <c r="CW106" s="2793">
        <f t="shared" ca="1" si="268"/>
        <v>0</v>
      </c>
      <c r="CX106" s="2793">
        <f t="shared" ca="1" si="268"/>
        <v>0</v>
      </c>
      <c r="CY106" s="2793">
        <f t="shared" ca="1" si="268"/>
        <v>-4.8924123414787193</v>
      </c>
      <c r="CZ106" s="2793">
        <f t="shared" ca="1" si="268"/>
        <v>0</v>
      </c>
      <c r="DA106" s="2793">
        <f t="shared" ca="1" si="268"/>
        <v>0</v>
      </c>
      <c r="DB106" s="2793">
        <f t="shared" ca="1" si="268"/>
        <v>0</v>
      </c>
      <c r="DC106" s="2793">
        <f t="shared" ca="1" si="268"/>
        <v>0</v>
      </c>
      <c r="DD106" s="2793">
        <f t="shared" ca="1" si="268"/>
        <v>0</v>
      </c>
      <c r="DE106" s="2793">
        <f t="shared" ca="1" si="268"/>
        <v>0</v>
      </c>
      <c r="DF106" s="2793">
        <f ca="1">DF$93+DF$104</f>
        <v>0</v>
      </c>
      <c r="DH106" s="637">
        <f ca="1">SUM(BO106:DF106)</f>
        <v>-4.8796439660681514</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5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5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24" customHeight="1" thickBot="1">
      <c r="C109" s="713" t="s">
        <v>592</v>
      </c>
      <c r="D109" s="713"/>
      <c r="E109" s="713"/>
      <c r="G109" s="714">
        <f t="shared" ref="G109:P109" ca="1" si="269">G$40+G$84+G$106</f>
        <v>37.793072269825217</v>
      </c>
      <c r="H109" s="714">
        <f t="shared" ca="1" si="269"/>
        <v>11.004615111074104</v>
      </c>
      <c r="I109" s="714">
        <f t="shared" ca="1" si="269"/>
        <v>31.162226634125272</v>
      </c>
      <c r="J109" s="714">
        <f t="shared" ca="1" si="269"/>
        <v>33.687114265346466</v>
      </c>
      <c r="K109" s="714">
        <f t="shared" ca="1" si="269"/>
        <v>0.40591861207029195</v>
      </c>
      <c r="L109" s="714">
        <f t="shared" ca="1" si="269"/>
        <v>2.6013627209398826E-2</v>
      </c>
      <c r="M109" s="714">
        <f t="shared" ca="1" si="269"/>
        <v>0.66</v>
      </c>
      <c r="N109" s="714">
        <f t="shared" ca="1" si="269"/>
        <v>8.7186093571046239</v>
      </c>
      <c r="O109" s="714">
        <f t="shared" ca="1" si="269"/>
        <v>0</v>
      </c>
      <c r="P109" s="714">
        <f t="shared" ca="1" si="269"/>
        <v>0</v>
      </c>
      <c r="Q109" s="714">
        <f ca="1">SUM(G109:P109)</f>
        <v>123.45756987675537</v>
      </c>
      <c r="S109" s="715">
        <f t="shared" ref="S109:AJ109" ca="1" si="270">S$40+S$84+S$106</f>
        <v>-26.047300922442307</v>
      </c>
      <c r="T109" s="715">
        <f t="shared" ca="1" si="270"/>
        <v>26.047300922442304</v>
      </c>
      <c r="U109" s="715">
        <f t="shared" ca="1" si="270"/>
        <v>0</v>
      </c>
      <c r="V109" s="715">
        <f t="shared" ca="1" si="270"/>
        <v>0</v>
      </c>
      <c r="W109" s="715">
        <f t="shared" ca="1" si="270"/>
        <v>0</v>
      </c>
      <c r="X109" s="715">
        <f t="shared" ca="1" si="270"/>
        <v>0</v>
      </c>
      <c r="Y109" s="715">
        <f t="shared" ca="1" si="270"/>
        <v>0</v>
      </c>
      <c r="Z109" s="715">
        <f t="shared" ca="1" si="270"/>
        <v>0</v>
      </c>
      <c r="AA109" s="715">
        <f t="shared" ca="1" si="270"/>
        <v>0</v>
      </c>
      <c r="AB109" s="715">
        <f t="shared" ca="1" si="270"/>
        <v>0</v>
      </c>
      <c r="AC109" s="715">
        <f t="shared" ca="1" si="270"/>
        <v>0</v>
      </c>
      <c r="AD109" s="715">
        <f t="shared" ca="1" si="270"/>
        <v>0</v>
      </c>
      <c r="AE109" s="715">
        <f t="shared" ca="1" si="270"/>
        <v>0</v>
      </c>
      <c r="AF109" s="715">
        <f t="shared" ca="1" si="270"/>
        <v>0</v>
      </c>
      <c r="AG109" s="715">
        <f t="shared" ca="1" si="270"/>
        <v>0</v>
      </c>
      <c r="AH109" s="715">
        <f t="shared" ca="1" si="270"/>
        <v>0</v>
      </c>
      <c r="AI109" s="715">
        <f t="shared" ca="1" si="270"/>
        <v>0</v>
      </c>
      <c r="AJ109" s="715">
        <f t="shared" ca="1" si="270"/>
        <v>0</v>
      </c>
      <c r="AK109" s="715">
        <f ca="1">SUM(S109:AJ109)</f>
        <v>-3.5527136788005009E-15</v>
      </c>
      <c r="AM109" s="716">
        <f t="shared" ref="AM109:BE109" ca="1" si="271">AM$40+AM$84+AM$106</f>
        <v>0</v>
      </c>
      <c r="AN109" s="716">
        <f t="shared" ca="1" si="271"/>
        <v>0</v>
      </c>
      <c r="AO109" s="716">
        <f t="shared" ca="1" si="271"/>
        <v>0</v>
      </c>
      <c r="AP109" s="716">
        <f t="shared" ca="1" si="271"/>
        <v>27.976468589835875</v>
      </c>
      <c r="AQ109" s="716">
        <f t="shared" ca="1" si="271"/>
        <v>10.652664429668677</v>
      </c>
      <c r="AR109" s="716">
        <f t="shared" ca="1" si="271"/>
        <v>0</v>
      </c>
      <c r="AS109" s="716">
        <f t="shared" ca="1" si="271"/>
        <v>0.22914024705997099</v>
      </c>
      <c r="AT109" s="716">
        <f t="shared" ca="1" si="271"/>
        <v>-58.853734589724091</v>
      </c>
      <c r="AU109" s="716">
        <f t="shared" ca="1" si="271"/>
        <v>-29.716870935553509</v>
      </c>
      <c r="AV109" s="716">
        <f t="shared" ca="1" si="271"/>
        <v>-21.428000000000004</v>
      </c>
      <c r="AW109" s="716">
        <f t="shared" ca="1" si="271"/>
        <v>-3.1032027513562515</v>
      </c>
      <c r="AX109" s="716">
        <f t="shared" ca="1" si="271"/>
        <v>-21.946119299999999</v>
      </c>
      <c r="AY109" s="716">
        <f t="shared" ca="1" si="271"/>
        <v>-0.63115200000000027</v>
      </c>
      <c r="AZ109" s="716">
        <f t="shared" ca="1" si="271"/>
        <v>-2.6035020000000002</v>
      </c>
      <c r="BA109" s="716">
        <f t="shared" ca="1" si="271"/>
        <v>0</v>
      </c>
      <c r="BB109" s="716">
        <f t="shared" ca="1" si="271"/>
        <v>-0.78946596000000002</v>
      </c>
      <c r="BC109" s="716">
        <f t="shared" ca="1" si="271"/>
        <v>-0.13025315807559751</v>
      </c>
      <c r="BD109" s="716">
        <f t="shared" ca="1" si="271"/>
        <v>-30.517093697634575</v>
      </c>
      <c r="BE109" s="716">
        <f t="shared" ca="1" si="271"/>
        <v>-19.27666069016519</v>
      </c>
      <c r="BF109" s="716">
        <f ca="1">SUM(AM109:BE109)</f>
        <v>-150.13778181594469</v>
      </c>
      <c r="BH109" s="3469">
        <f ca="1">BH$40+BH$84+BH$106</f>
        <v>19.609252232892405</v>
      </c>
      <c r="BI109" s="3469">
        <f ca="1">BI$40+BI$84+BI$106</f>
        <v>7.0709605596423746</v>
      </c>
      <c r="BJ109" s="3469">
        <f ca="1">SUM(BH109:BI109)</f>
        <v>26.680212792534782</v>
      </c>
      <c r="BL109" s="3479">
        <f t="shared" ca="1" si="256"/>
        <v>8.5334546184867577E-7</v>
      </c>
      <c r="BM109" s="577"/>
      <c r="BO109" s="2798">
        <f t="shared" ref="BO109:DF109" ca="1" si="272">BO$40+BO$84+BO$106</f>
        <v>24.176803879373498</v>
      </c>
      <c r="BP109" s="2798">
        <f t="shared" ca="1" si="272"/>
        <v>1.5365049320612193E-2</v>
      </c>
      <c r="BQ109" s="2798">
        <f t="shared" ca="1" si="272"/>
        <v>0.15745005061544459</v>
      </c>
      <c r="BR109" s="2798">
        <f t="shared" ca="1" si="272"/>
        <v>0</v>
      </c>
      <c r="BS109" s="2798">
        <f t="shared" ca="1" si="272"/>
        <v>0</v>
      </c>
      <c r="BT109" s="2798">
        <f t="shared" ca="1" si="272"/>
        <v>1.2768375410568076E-2</v>
      </c>
      <c r="BU109" s="2798">
        <f t="shared" ca="1" si="272"/>
        <v>0</v>
      </c>
      <c r="BV109" s="2798">
        <f t="shared" ca="1" si="272"/>
        <v>0</v>
      </c>
      <c r="BW109" s="2798">
        <f t="shared" ca="1" si="272"/>
        <v>0.90384355825774465</v>
      </c>
      <c r="BX109" s="2798">
        <f t="shared" ca="1" si="272"/>
        <v>0</v>
      </c>
      <c r="BY109" s="2798">
        <f t="shared" ca="1" si="272"/>
        <v>0</v>
      </c>
      <c r="BZ109" s="2798">
        <f t="shared" ca="1" si="272"/>
        <v>0.77483854685732834</v>
      </c>
      <c r="CA109" s="2798">
        <f t="shared" ca="1" si="272"/>
        <v>0</v>
      </c>
      <c r="CB109" s="2798">
        <f t="shared" ca="1" si="272"/>
        <v>0</v>
      </c>
      <c r="CC109" s="2798">
        <f t="shared" ca="1" si="272"/>
        <v>0</v>
      </c>
      <c r="CD109" s="2798">
        <f t="shared" ca="1" si="272"/>
        <v>0</v>
      </c>
      <c r="CE109" s="2798">
        <f t="shared" ca="1" si="272"/>
        <v>0</v>
      </c>
      <c r="CF109" s="2798">
        <f t="shared" ca="1" si="272"/>
        <v>8.8495823397862576</v>
      </c>
      <c r="CG109" s="2798">
        <f t="shared" ca="1" si="272"/>
        <v>5.9521075915265156</v>
      </c>
      <c r="CH109" s="2798">
        <f t="shared" ca="1" si="272"/>
        <v>0</v>
      </c>
      <c r="CI109" s="2798">
        <f t="shared" ca="1" si="272"/>
        <v>-0.9383255597991258</v>
      </c>
      <c r="CJ109" s="2798">
        <f t="shared" ca="1" si="272"/>
        <v>0</v>
      </c>
      <c r="CK109" s="2798">
        <f t="shared" ca="1" si="272"/>
        <v>0</v>
      </c>
      <c r="CL109" s="2798">
        <f t="shared" ca="1" si="272"/>
        <v>0</v>
      </c>
      <c r="CM109" s="2798">
        <f t="shared" ca="1" si="272"/>
        <v>0</v>
      </c>
      <c r="CN109" s="2798">
        <f t="shared" ca="1" si="272"/>
        <v>0.54368990189287236</v>
      </c>
      <c r="CO109" s="2798">
        <f t="shared" ca="1" si="272"/>
        <v>5.862786428571428E-2</v>
      </c>
      <c r="CP109" s="2798">
        <f t="shared" ca="1" si="272"/>
        <v>0</v>
      </c>
      <c r="CQ109" s="2798">
        <f t="shared" ca="1" si="272"/>
        <v>0</v>
      </c>
      <c r="CR109" s="2798">
        <f t="shared" ca="1" si="272"/>
        <v>0</v>
      </c>
      <c r="CS109" s="2798">
        <f t="shared" ca="1" si="272"/>
        <v>0</v>
      </c>
      <c r="CT109" s="2798">
        <f t="shared" ca="1" si="272"/>
        <v>0</v>
      </c>
      <c r="CU109" s="2798">
        <f t="shared" ca="1" si="272"/>
        <v>2.3006666371527675</v>
      </c>
      <c r="CV109" s="2798">
        <f t="shared" ca="1" si="272"/>
        <v>1.9773806021913289E-3</v>
      </c>
      <c r="CW109" s="2798">
        <f t="shared" ca="1" si="272"/>
        <v>5.8379808255172565E-3</v>
      </c>
      <c r="CX109" s="2798">
        <f t="shared" ca="1" si="272"/>
        <v>0</v>
      </c>
      <c r="CY109" s="2798">
        <f t="shared" ca="1" si="272"/>
        <v>-4.8924123414787193</v>
      </c>
      <c r="CZ109" s="2798">
        <f t="shared" ca="1" si="272"/>
        <v>0</v>
      </c>
      <c r="DA109" s="2798">
        <f t="shared" ca="1" si="272"/>
        <v>0</v>
      </c>
      <c r="DB109" s="2798">
        <f t="shared" ca="1" si="272"/>
        <v>0</v>
      </c>
      <c r="DC109" s="2798">
        <f t="shared" ca="1" si="272"/>
        <v>0</v>
      </c>
      <c r="DD109" s="2798">
        <f t="shared" ca="1" si="272"/>
        <v>0</v>
      </c>
      <c r="DE109" s="2798">
        <f t="shared" ca="1" si="272"/>
        <v>0</v>
      </c>
      <c r="DF109" s="2798">
        <f t="shared" ca="1" si="272"/>
        <v>0</v>
      </c>
      <c r="DH109" s="637">
        <f ca="1">SUM(BO109:DF109)</f>
        <v>37.922821254629184</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DF112" s="382" t="s">
        <v>593</v>
      </c>
      <c r="DH112" s="723">
        <f ca="1">SUM(DH63,DH68,DH76,DH82)</f>
        <v>1.2827491099669441</v>
      </c>
    </row>
    <row r="113" spans="2:112">
      <c r="B113" s="2685"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DF113" s="382" t="s">
        <v>595</v>
      </c>
      <c r="DH113" s="723">
        <f ca="1">T109-MIN(T103,0)-T72</f>
        <v>40.60375649492876</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DF114" s="382" t="s">
        <v>596</v>
      </c>
      <c r="DH114" s="2685">
        <f ca="1">DH112/DH113</f>
        <v>3.1591882640887033E-2</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ht="24" customHeight="1">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DH148"/>
  <sheetViews>
    <sheetView topLeftCell="K1" workbookViewId="0">
      <selection activeCell="AA1" sqref="AA1:AA1048576"/>
    </sheetView>
  </sheetViews>
  <sheetFormatPr defaultColWidth="8.85546875" defaultRowHeight="15" outlineLevelRow="2" outlineLevelCol="2"/>
  <cols>
    <col min="1" max="1" width="1.7109375" style="2685" customWidth="1"/>
    <col min="2" max="2" width="1.42578125" style="2685" customWidth="1"/>
    <col min="3" max="3" width="4.42578125" style="518" customWidth="1"/>
    <col min="4" max="4" width="3.85546875" style="519" customWidth="1"/>
    <col min="5" max="5" width="41.7109375" style="519" customWidth="1"/>
    <col min="6" max="6" width="1.140625" style="268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style="2685" customWidth="1" outlineLevel="1"/>
    <col min="19" max="19" width="11.7109375" style="519" customWidth="1" outlineLevel="2"/>
    <col min="20" max="36" width="10" style="519" customWidth="1" outlineLevel="2"/>
    <col min="37" max="37" width="10" style="519" customWidth="1" outlineLevel="1"/>
    <col min="38" max="38" width="1.140625" style="2685" customWidth="1" outlineLevel="1"/>
    <col min="39" max="57" width="10" style="519" customWidth="1" outlineLevel="2"/>
    <col min="58" max="58" width="10" style="519" customWidth="1" outlineLevel="1"/>
    <col min="59" max="59" width="1.140625" style="2685" customWidth="1" outlineLevel="1"/>
    <col min="60" max="61" width="10" style="519" customWidth="1" outlineLevel="2"/>
    <col min="62" max="62" width="10" style="519" customWidth="1" outlineLevel="1"/>
    <col min="63" max="63" width="1.140625" style="2685" customWidth="1" outlineLevel="1"/>
    <col min="64" max="64" width="11" style="519" customWidth="1" outlineLevel="1"/>
    <col min="65" max="65" width="5.28515625" style="519" customWidth="1"/>
    <col min="66" max="66" width="8.85546875" style="2685"/>
    <col min="67" max="110" width="7.42578125" style="2685" customWidth="1"/>
    <col min="111" max="111" width="2.42578125" style="2685" customWidth="1"/>
    <col min="112" max="16384" width="8.85546875" style="2685"/>
  </cols>
  <sheetData>
    <row r="1" spans="1:112" ht="6" customHeight="1"/>
    <row r="2" spans="1:112" ht="21" customHeight="1">
      <c r="D2" s="521"/>
      <c r="E2" s="522">
        <v>2035</v>
      </c>
      <c r="G2" s="2685"/>
      <c r="H2" s="2685"/>
      <c r="I2" s="2685"/>
      <c r="J2" s="2685"/>
      <c r="K2" s="2685"/>
      <c r="L2" s="2685"/>
      <c r="M2" s="2685"/>
      <c r="N2" s="2685"/>
      <c r="O2" s="2685"/>
      <c r="P2" s="2685"/>
      <c r="Q2" s="2685"/>
      <c r="S2" s="383"/>
      <c r="T2" s="383"/>
      <c r="U2" s="383"/>
      <c r="V2" s="383"/>
      <c r="W2" s="383"/>
      <c r="X2" s="2685"/>
      <c r="Y2" s="2685"/>
      <c r="Z2" s="2685"/>
      <c r="AA2" s="2685"/>
      <c r="AB2" s="2685"/>
      <c r="AC2" s="2685"/>
      <c r="AD2" s="2685"/>
      <c r="AE2" s="2685"/>
      <c r="AF2" s="2685"/>
      <c r="AG2" s="2685"/>
      <c r="AH2" s="2685"/>
      <c r="AI2" s="2685"/>
      <c r="AJ2" s="2685"/>
      <c r="AK2" s="2685"/>
      <c r="AM2" s="2685"/>
      <c r="AN2" s="2685"/>
      <c r="AO2" s="2685"/>
      <c r="AP2" s="2685"/>
      <c r="AQ2" s="2685"/>
      <c r="AR2" s="2685"/>
      <c r="AS2" s="2685"/>
      <c r="AT2" s="2685"/>
      <c r="AU2" s="2685"/>
      <c r="AV2" s="2685"/>
      <c r="AW2" s="2685"/>
      <c r="AX2" s="2685"/>
      <c r="AY2" s="2685"/>
      <c r="AZ2" s="2685"/>
      <c r="BA2" s="2685"/>
      <c r="BB2" s="2685"/>
      <c r="BC2" s="2685"/>
      <c r="BD2" s="2685"/>
      <c r="BE2" s="2685"/>
      <c r="BF2" s="2685"/>
      <c r="BH2" s="2685"/>
      <c r="BI2" s="2685"/>
      <c r="BJ2" s="2685"/>
      <c r="BL2" s="2685"/>
      <c r="BM2" s="523"/>
    </row>
    <row r="3" spans="1:112" ht="39" customHeight="1">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36.75" customHeight="1">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ht="15.75" customHeight="1">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8" customHeight="1">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ht="6" customHeight="1" outlineLevel="1">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ht="10.5" customHeight="1" outlineLevel="2">
      <c r="A9" s="586"/>
      <c r="B9" s="586"/>
      <c r="C9" s="587" t="s">
        <v>2</v>
      </c>
      <c r="D9" s="586" t="s">
        <v>3</v>
      </c>
      <c r="E9" s="588"/>
      <c r="G9" s="589">
        <f ca="1">IFERROR(INDEX(INDIRECT($C9&amp;".Outputs["&amp;this.Year&amp;"]"), MATCH(G$5, INDIRECT($C9&amp;".Outputs[Vector]"), 0)), 0)</f>
        <v>24.182022057999962</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24.182022057999962</v>
      </c>
      <c r="S9" s="591">
        <f t="shared" ref="S9:AJ13" ca="1" si="2">IFERROR(INDEX(INDIRECT($C9&amp;".Outputs["&amp;this.Year&amp;"]"), MATCH(S$5, INDIRECT($C9&amp;".Outputs[Vector]"), 0)), 0)</f>
        <v>-1.7495624120225663</v>
      </c>
      <c r="T9" s="591">
        <f t="shared" ca="1" si="2"/>
        <v>0</v>
      </c>
      <c r="U9" s="591">
        <f t="shared" ca="1" si="2"/>
        <v>-0.10257271542282514</v>
      </c>
      <c r="V9" s="591">
        <f t="shared" ca="1" si="2"/>
        <v>-5.0599014773012208</v>
      </c>
      <c r="W9" s="591">
        <f t="shared" ca="1" si="2"/>
        <v>-15.370245545423987</v>
      </c>
      <c r="X9" s="591">
        <f t="shared" ref="X9:Z10" ca="1" si="3">IFERROR(INDEX(INDIRECT($C9&amp;".Outputs["&amp;this.Year&amp;"]"), MATCH(X$5, INDIRECT($C9&amp;".Outputs[Vector]"), 0)), 0)</f>
        <v>0</v>
      </c>
      <c r="Y9" s="591">
        <f t="shared" ca="1" si="3"/>
        <v>0</v>
      </c>
      <c r="Z9" s="591">
        <f t="shared" ca="1" si="3"/>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-1.8347909840221523</v>
      </c>
      <c r="AJ9" s="591">
        <f t="shared" ca="1" si="2"/>
        <v>0</v>
      </c>
      <c r="AK9" s="592">
        <f t="shared" ref="AK9:AK15" ca="1" si="4">SUM(S9:AJ9)</f>
        <v>-24.117073134192754</v>
      </c>
      <c r="AM9" s="593">
        <f t="shared" ref="AM9:AU10" ca="1" si="5">IFERROR(INDEX(INDIRECT($C9&amp;".Outputs["&amp;this.Year&amp;"]"), MATCH(AM$5, INDIRECT($C9&amp;".Outputs[Vector]"), 0)), 0)</f>
        <v>0</v>
      </c>
      <c r="AN9" s="593">
        <f t="shared" ca="1" si="5"/>
        <v>0</v>
      </c>
      <c r="AO9" s="593">
        <f t="shared" ca="1" si="5"/>
        <v>0</v>
      </c>
      <c r="AP9" s="593">
        <f t="shared" ca="1" si="5"/>
        <v>0</v>
      </c>
      <c r="AQ9" s="593">
        <f t="shared" ca="1" si="5"/>
        <v>0</v>
      </c>
      <c r="AR9" s="593">
        <f t="shared" ca="1" si="5"/>
        <v>0</v>
      </c>
      <c r="AS9" s="593">
        <f t="shared" ca="1" si="5"/>
        <v>0</v>
      </c>
      <c r="AT9" s="593">
        <f t="shared" ca="1" si="5"/>
        <v>0</v>
      </c>
      <c r="AU9" s="593">
        <f t="shared" ca="1" si="5"/>
        <v>0</v>
      </c>
      <c r="AV9" s="593">
        <f t="shared" ref="AV9:BE13" ca="1" si="6">IFERROR(INDEX(INDIRECT($C9&amp;".Outputs["&amp;this.Year&amp;"]"), MATCH(AV$5, INDIRECT($C9&amp;".Outputs[Vector]"), 0)), 0)</f>
        <v>0</v>
      </c>
      <c r="AW9" s="593">
        <f t="shared" ca="1" si="6"/>
        <v>0</v>
      </c>
      <c r="AX9" s="593">
        <f t="shared" ca="1" si="6"/>
        <v>0</v>
      </c>
      <c r="AY9" s="593">
        <f t="shared" ca="1" si="6"/>
        <v>0</v>
      </c>
      <c r="AZ9" s="593">
        <f t="shared" ca="1" si="6"/>
        <v>0</v>
      </c>
      <c r="BA9" s="593">
        <f t="shared" ca="1" si="6"/>
        <v>0</v>
      </c>
      <c r="BB9" s="593">
        <f t="shared" ca="1" si="6"/>
        <v>0</v>
      </c>
      <c r="BC9" s="593">
        <f t="shared" ca="1" si="6"/>
        <v>-6.4948923807210096E-2</v>
      </c>
      <c r="BD9" s="593">
        <f t="shared" ca="1" si="6"/>
        <v>0</v>
      </c>
      <c r="BE9" s="593">
        <f t="shared" ca="1" si="6"/>
        <v>0</v>
      </c>
      <c r="BF9" s="594">
        <f t="shared" ref="BF9:BF15" ca="1" si="7">SUM(AM9:BE9)</f>
        <v>-6.4948923807210096E-2</v>
      </c>
      <c r="BH9" s="3471">
        <f ca="1">IFERROR(INDEX(INDIRECT($C9&amp;".Outputs["&amp;this.Year&amp;"]"), MATCH(BH$5, INDIRECT($C9&amp;".Outputs[Vector]"), 0)), 0)</f>
        <v>0</v>
      </c>
      <c r="BI9" s="3471">
        <f t="shared" ref="BH9:BI13" ca="1" si="8">IFERROR(INDEX(INDIRECT($C9&amp;".Outputs["&amp;this.Year&amp;"]"), MATCH(BI$5, INDIRECT($C9&amp;".Outputs[Vector]"), 0)), 0)</f>
        <v>0</v>
      </c>
      <c r="BJ9" s="3460">
        <f t="shared" ref="BJ9:BJ15" ca="1" si="9">SUM(BH9:BI9)</f>
        <v>0</v>
      </c>
      <c r="BL9" s="595">
        <f t="shared" ref="BL9:BL44" ca="1" si="10">Q9+AK9+BF9+BJ9</f>
        <v>-2.248201624865942E-15</v>
      </c>
      <c r="BM9" s="595"/>
      <c r="BN9" s="413"/>
      <c r="BO9" s="2789">
        <f t="shared" ref="BO9:BX10" ca="1" si="11">IFERROR(SUMIFS(INDIRECT($C9&amp;".Emissions["&amp;this.Year&amp;"]"), INDIRECT($C9&amp;".Emissions[GHG]"), BO$6, INDIRECT($C9&amp;".Emissions[IPCC Sector]"), BO$5),0)</f>
        <v>4.5164527605396705</v>
      </c>
      <c r="BP9" s="2790">
        <f t="shared" ca="1" si="11"/>
        <v>2.3150043663861461E-3</v>
      </c>
      <c r="BQ9" s="2790">
        <f t="shared" ca="1" si="11"/>
        <v>5.3189608287617027E-2</v>
      </c>
      <c r="BR9" s="2790">
        <f t="shared" ca="1" si="11"/>
        <v>0</v>
      </c>
      <c r="BS9" s="2790">
        <f t="shared" ca="1" si="11"/>
        <v>0</v>
      </c>
      <c r="BT9" s="2790">
        <f t="shared" ca="1" si="11"/>
        <v>0</v>
      </c>
      <c r="BU9" s="2790">
        <f t="shared" ca="1" si="11"/>
        <v>0</v>
      </c>
      <c r="BV9" s="2790">
        <f t="shared" ca="1" si="11"/>
        <v>0</v>
      </c>
      <c r="BW9" s="2790">
        <f t="shared" ca="1" si="11"/>
        <v>0</v>
      </c>
      <c r="BX9" s="2790">
        <f t="shared" ca="1" si="11"/>
        <v>0</v>
      </c>
      <c r="BY9" s="2790">
        <f t="shared" ref="BY9:CH10" ca="1" si="12">IFERROR(SUMIFS(INDIRECT($C9&amp;".Emissions["&amp;this.Year&amp;"]"), INDIRECT($C9&amp;".Emissions[GHG]"), BY$6, INDIRECT($C9&amp;".Emissions[IPCC Sector]"), BY$5),0)</f>
        <v>0</v>
      </c>
      <c r="BZ9" s="2790">
        <f t="shared" ca="1" si="12"/>
        <v>0</v>
      </c>
      <c r="CA9" s="2790">
        <f t="shared" ca="1" si="12"/>
        <v>0</v>
      </c>
      <c r="CB9" s="2790">
        <f t="shared" ca="1" si="12"/>
        <v>0</v>
      </c>
      <c r="CC9" s="2790">
        <f t="shared" ca="1" si="12"/>
        <v>0</v>
      </c>
      <c r="CD9" s="2790">
        <f t="shared" ca="1" si="12"/>
        <v>0</v>
      </c>
      <c r="CE9" s="2790">
        <f t="shared" ca="1" si="12"/>
        <v>0</v>
      </c>
      <c r="CF9" s="2790">
        <f t="shared" ca="1" si="12"/>
        <v>0</v>
      </c>
      <c r="CG9" s="2790">
        <f t="shared" ca="1" si="12"/>
        <v>0</v>
      </c>
      <c r="CH9" s="2790">
        <f t="shared" ca="1" si="12"/>
        <v>0</v>
      </c>
      <c r="CI9" s="2790">
        <f t="shared" ref="CI9:CR10" ca="1" si="13">IFERROR(SUMIFS(INDIRECT($C9&amp;".Emissions["&amp;this.Year&amp;"]"), INDIRECT($C9&amp;".Emissions[GHG]"), CI$6, INDIRECT($C9&amp;".Emissions[IPCC Sector]"), CI$5),0)</f>
        <v>0</v>
      </c>
      <c r="CJ9" s="2790">
        <f t="shared" ca="1" si="13"/>
        <v>0</v>
      </c>
      <c r="CK9" s="2790">
        <f t="shared" ca="1" si="13"/>
        <v>0</v>
      </c>
      <c r="CL9" s="2790">
        <f t="shared" ca="1" si="13"/>
        <v>0</v>
      </c>
      <c r="CM9" s="2790">
        <f t="shared" ca="1" si="13"/>
        <v>0</v>
      </c>
      <c r="CN9" s="2790">
        <f t="shared" ca="1" si="13"/>
        <v>0</v>
      </c>
      <c r="CO9" s="2790">
        <f t="shared" ca="1" si="13"/>
        <v>0</v>
      </c>
      <c r="CP9" s="2790">
        <f t="shared" ca="1" si="13"/>
        <v>0</v>
      </c>
      <c r="CQ9" s="2790">
        <f t="shared" ca="1" si="13"/>
        <v>0</v>
      </c>
      <c r="CR9" s="2790">
        <f t="shared" ca="1" si="13"/>
        <v>0</v>
      </c>
      <c r="CS9" s="2790">
        <f t="shared" ref="CS9:DF10" ca="1" si="14">IFERROR(SUMIFS(INDIRECT($C9&amp;".Emissions["&amp;this.Year&amp;"]"), INDIRECT($C9&amp;".Emissions[GHG]"), CS$6, INDIRECT($C9&amp;".Emissions[IPCC Sector]"), CS$5),0)</f>
        <v>0</v>
      </c>
      <c r="CT9" s="2790">
        <f t="shared" ca="1" si="14"/>
        <v>0</v>
      </c>
      <c r="CU9" s="2790">
        <f t="shared" ca="1" si="14"/>
        <v>0</v>
      </c>
      <c r="CV9" s="2790">
        <f t="shared" ca="1" si="14"/>
        <v>0</v>
      </c>
      <c r="CW9" s="2790">
        <f t="shared" ca="1" si="14"/>
        <v>0</v>
      </c>
      <c r="CX9" s="2790">
        <f t="shared" ca="1" si="14"/>
        <v>0</v>
      </c>
      <c r="CY9" s="2790">
        <f t="shared" ca="1" si="14"/>
        <v>0</v>
      </c>
      <c r="CZ9" s="2790">
        <f t="shared" ca="1" si="14"/>
        <v>0</v>
      </c>
      <c r="DA9" s="2790">
        <f t="shared" ca="1" si="14"/>
        <v>0</v>
      </c>
      <c r="DB9" s="2790">
        <f t="shared" ca="1" si="14"/>
        <v>0</v>
      </c>
      <c r="DC9" s="2790">
        <f t="shared" ca="1" si="14"/>
        <v>0</v>
      </c>
      <c r="DD9" s="2790">
        <f t="shared" ca="1" si="14"/>
        <v>0</v>
      </c>
      <c r="DE9" s="2790">
        <f t="shared" ca="1" si="14"/>
        <v>0</v>
      </c>
      <c r="DF9" s="2790">
        <f t="shared" ca="1" si="14"/>
        <v>0</v>
      </c>
      <c r="DH9" s="596"/>
    </row>
    <row r="10" spans="1:112" s="6" customFormat="1" ht="10.5" customHeight="1" outlineLevel="2">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3"/>
        <v>0</v>
      </c>
      <c r="Y10" s="602">
        <f t="shared" ca="1" si="3"/>
        <v>0</v>
      </c>
      <c r="Z10" s="602">
        <f t="shared" ca="1" si="3"/>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4"/>
        <v>0</v>
      </c>
      <c r="AM10" s="604">
        <f t="shared" ca="1" si="5"/>
        <v>0</v>
      </c>
      <c r="AN10" s="604">
        <f t="shared" ca="1" si="5"/>
        <v>0</v>
      </c>
      <c r="AO10" s="604">
        <f t="shared" ca="1" si="5"/>
        <v>0</v>
      </c>
      <c r="AP10" s="604">
        <f t="shared" ca="1" si="5"/>
        <v>0</v>
      </c>
      <c r="AQ10" s="604">
        <f t="shared" ca="1" si="5"/>
        <v>0</v>
      </c>
      <c r="AR10" s="604">
        <f t="shared" ca="1" si="5"/>
        <v>0</v>
      </c>
      <c r="AS10" s="604">
        <f t="shared" ca="1" si="5"/>
        <v>0</v>
      </c>
      <c r="AT10" s="604">
        <f t="shared" ca="1" si="5"/>
        <v>0</v>
      </c>
      <c r="AU10" s="604">
        <f t="shared" ca="1" si="5"/>
        <v>0</v>
      </c>
      <c r="AV10" s="604">
        <f t="shared" ca="1" si="6"/>
        <v>0</v>
      </c>
      <c r="AW10" s="604">
        <f t="shared" ca="1" si="6"/>
        <v>0</v>
      </c>
      <c r="AX10" s="604">
        <f t="shared" ca="1" si="6"/>
        <v>0</v>
      </c>
      <c r="AY10" s="604">
        <f t="shared" ca="1" si="6"/>
        <v>0</v>
      </c>
      <c r="AZ10" s="604">
        <f t="shared" ca="1" si="6"/>
        <v>0</v>
      </c>
      <c r="BA10" s="604">
        <f t="shared" ca="1" si="6"/>
        <v>0</v>
      </c>
      <c r="BB10" s="604">
        <f t="shared" ca="1" si="6"/>
        <v>0</v>
      </c>
      <c r="BC10" s="604">
        <f t="shared" ca="1" si="6"/>
        <v>0</v>
      </c>
      <c r="BD10" s="604">
        <f t="shared" ca="1" si="6"/>
        <v>0</v>
      </c>
      <c r="BE10" s="604">
        <f t="shared" ca="1" si="6"/>
        <v>0</v>
      </c>
      <c r="BF10" s="605">
        <f t="shared" ca="1" si="7"/>
        <v>0</v>
      </c>
      <c r="BH10" s="3472">
        <f t="shared" ca="1" si="8"/>
        <v>0</v>
      </c>
      <c r="BI10" s="3472">
        <f t="shared" ca="1" si="8"/>
        <v>0</v>
      </c>
      <c r="BJ10" s="3461">
        <f t="shared" ca="1" si="9"/>
        <v>0</v>
      </c>
      <c r="BL10" s="606">
        <f t="shared" ca="1" si="10"/>
        <v>0</v>
      </c>
      <c r="BM10" s="606"/>
      <c r="BN10" s="413"/>
      <c r="BO10" s="2789">
        <f t="shared" ca="1" si="11"/>
        <v>0</v>
      </c>
      <c r="BP10" s="2790">
        <f t="shared" ca="1" si="11"/>
        <v>0</v>
      </c>
      <c r="BQ10" s="2790">
        <f t="shared" ca="1" si="11"/>
        <v>0</v>
      </c>
      <c r="BR10" s="2790">
        <f t="shared" ca="1" si="11"/>
        <v>0</v>
      </c>
      <c r="BS10" s="2790">
        <f t="shared" ca="1" si="11"/>
        <v>0</v>
      </c>
      <c r="BT10" s="2790">
        <f t="shared" ca="1" si="11"/>
        <v>0</v>
      </c>
      <c r="BU10" s="2790">
        <f t="shared" ca="1" si="11"/>
        <v>0</v>
      </c>
      <c r="BV10" s="2790">
        <f t="shared" ca="1" si="11"/>
        <v>0</v>
      </c>
      <c r="BW10" s="2790">
        <f t="shared" ca="1" si="11"/>
        <v>0</v>
      </c>
      <c r="BX10" s="2790">
        <f t="shared" ca="1" si="11"/>
        <v>0</v>
      </c>
      <c r="BY10" s="2790">
        <f t="shared" ca="1" si="12"/>
        <v>0</v>
      </c>
      <c r="BZ10" s="2790">
        <f t="shared" ca="1" si="12"/>
        <v>0</v>
      </c>
      <c r="CA10" s="2790">
        <f t="shared" ca="1" si="12"/>
        <v>0</v>
      </c>
      <c r="CB10" s="2790">
        <f t="shared" ca="1" si="12"/>
        <v>0</v>
      </c>
      <c r="CC10" s="2790">
        <f t="shared" ca="1" si="12"/>
        <v>0</v>
      </c>
      <c r="CD10" s="2790">
        <f t="shared" ca="1" si="12"/>
        <v>0</v>
      </c>
      <c r="CE10" s="2790">
        <f t="shared" ca="1" si="12"/>
        <v>0</v>
      </c>
      <c r="CF10" s="2790">
        <f t="shared" ca="1" si="12"/>
        <v>0</v>
      </c>
      <c r="CG10" s="2790">
        <f t="shared" ca="1" si="12"/>
        <v>0</v>
      </c>
      <c r="CH10" s="2790">
        <f t="shared" ca="1" si="12"/>
        <v>0</v>
      </c>
      <c r="CI10" s="2790">
        <f t="shared" ca="1" si="13"/>
        <v>0</v>
      </c>
      <c r="CJ10" s="2790">
        <f t="shared" ca="1" si="13"/>
        <v>0</v>
      </c>
      <c r="CK10" s="2790">
        <f t="shared" ca="1" si="13"/>
        <v>0</v>
      </c>
      <c r="CL10" s="2790">
        <f t="shared" ca="1" si="13"/>
        <v>0</v>
      </c>
      <c r="CM10" s="2790">
        <f t="shared" ca="1" si="13"/>
        <v>0</v>
      </c>
      <c r="CN10" s="2790">
        <f t="shared" ca="1" si="13"/>
        <v>0</v>
      </c>
      <c r="CO10" s="2790">
        <f t="shared" ca="1" si="13"/>
        <v>0</v>
      </c>
      <c r="CP10" s="2790">
        <f t="shared" ca="1" si="13"/>
        <v>0</v>
      </c>
      <c r="CQ10" s="2790">
        <f t="shared" ca="1" si="13"/>
        <v>0</v>
      </c>
      <c r="CR10" s="2790">
        <f t="shared" ca="1" si="13"/>
        <v>0</v>
      </c>
      <c r="CS10" s="2790">
        <f t="shared" ca="1" si="14"/>
        <v>0</v>
      </c>
      <c r="CT10" s="2790">
        <f t="shared" ca="1" si="14"/>
        <v>0</v>
      </c>
      <c r="CU10" s="2790">
        <f t="shared" ca="1" si="14"/>
        <v>0</v>
      </c>
      <c r="CV10" s="2790">
        <f t="shared" ca="1" si="14"/>
        <v>0</v>
      </c>
      <c r="CW10" s="2790">
        <f t="shared" ca="1" si="14"/>
        <v>0</v>
      </c>
      <c r="CX10" s="2790">
        <f t="shared" ca="1" si="14"/>
        <v>0</v>
      </c>
      <c r="CY10" s="2790">
        <f t="shared" ca="1" si="14"/>
        <v>0</v>
      </c>
      <c r="CZ10" s="2790">
        <f t="shared" ca="1" si="14"/>
        <v>0</v>
      </c>
      <c r="DA10" s="2790">
        <f t="shared" ca="1" si="14"/>
        <v>0</v>
      </c>
      <c r="DB10" s="2790">
        <f t="shared" ca="1" si="14"/>
        <v>0</v>
      </c>
      <c r="DC10" s="2790">
        <f t="shared" ca="1" si="14"/>
        <v>0</v>
      </c>
      <c r="DD10" s="2790">
        <f t="shared" ca="1" si="14"/>
        <v>0</v>
      </c>
      <c r="DE10" s="2790">
        <f t="shared" ca="1" si="14"/>
        <v>0</v>
      </c>
      <c r="DF10" s="2790">
        <f t="shared" ca="1" si="14"/>
        <v>0</v>
      </c>
      <c r="DH10" s="596"/>
    </row>
    <row r="11" spans="1:112" s="6" customFormat="1" ht="12.75" customHeight="1" outlineLevel="1">
      <c r="A11" s="607"/>
      <c r="B11" s="607"/>
      <c r="C11" s="587"/>
      <c r="D11" s="607" t="s">
        <v>464</v>
      </c>
      <c r="E11" s="588"/>
      <c r="G11" s="590">
        <f ca="1">SUM(G9:G10)</f>
        <v>24.182022057999962</v>
      </c>
      <c r="H11" s="590">
        <f t="shared" ref="H11:P11" ca="1" si="15">SUM(H9:H10)</f>
        <v>0</v>
      </c>
      <c r="I11" s="590">
        <f t="shared" ca="1" si="15"/>
        <v>0</v>
      </c>
      <c r="J11" s="590">
        <f t="shared" ca="1" si="15"/>
        <v>0</v>
      </c>
      <c r="K11" s="590">
        <f t="shared" ca="1" si="15"/>
        <v>0</v>
      </c>
      <c r="L11" s="590">
        <f t="shared" ca="1" si="15"/>
        <v>0</v>
      </c>
      <c r="M11" s="590">
        <f t="shared" ca="1" si="15"/>
        <v>0</v>
      </c>
      <c r="N11" s="590">
        <f ca="1">SUM(N9:N10)</f>
        <v>0</v>
      </c>
      <c r="O11" s="590">
        <f ca="1">SUM(O9:O10)</f>
        <v>0</v>
      </c>
      <c r="P11" s="590">
        <f t="shared" ca="1" si="15"/>
        <v>0</v>
      </c>
      <c r="Q11" s="590">
        <f t="shared" ca="1" si="1"/>
        <v>24.182022057999962</v>
      </c>
      <c r="S11" s="592">
        <f ca="1">SUM(S9:S10)</f>
        <v>-1.7495624120225663</v>
      </c>
      <c r="T11" s="592">
        <f t="shared" ref="T11:AJ11" ca="1" si="16">SUM(T9:T10)</f>
        <v>0</v>
      </c>
      <c r="U11" s="592">
        <f t="shared" ca="1" si="16"/>
        <v>-0.10257271542282514</v>
      </c>
      <c r="V11" s="592">
        <f t="shared" ca="1" si="16"/>
        <v>-5.0599014773012208</v>
      </c>
      <c r="W11" s="592">
        <f t="shared" ca="1" si="16"/>
        <v>-15.370245545423987</v>
      </c>
      <c r="X11" s="592">
        <f ca="1">SUM(X9:X10)</f>
        <v>0</v>
      </c>
      <c r="Y11" s="592">
        <f ca="1">SUM(Y9:Y10)</f>
        <v>0</v>
      </c>
      <c r="Z11" s="592">
        <f ca="1">SUM(Z9:Z10)</f>
        <v>0</v>
      </c>
      <c r="AA11" s="592">
        <f t="shared" ca="1" si="16"/>
        <v>0</v>
      </c>
      <c r="AB11" s="592">
        <f t="shared" ca="1" si="16"/>
        <v>0</v>
      </c>
      <c r="AC11" s="592">
        <f t="shared" ca="1" si="16"/>
        <v>0</v>
      </c>
      <c r="AD11" s="592">
        <f ca="1">SUM(AD9:AD10)</f>
        <v>0</v>
      </c>
      <c r="AE11" s="592">
        <f ca="1">SUM(AE9:AE10)</f>
        <v>0</v>
      </c>
      <c r="AF11" s="592">
        <f t="shared" ca="1" si="16"/>
        <v>0</v>
      </c>
      <c r="AG11" s="592">
        <f ca="1">SUM(AG9:AG10)</f>
        <v>0</v>
      </c>
      <c r="AH11" s="592">
        <f ca="1">SUM(AH9:AH10)</f>
        <v>0</v>
      </c>
      <c r="AI11" s="592">
        <f ca="1">SUM(AI9:AI10)</f>
        <v>-1.8347909840221523</v>
      </c>
      <c r="AJ11" s="592">
        <f t="shared" ca="1" si="16"/>
        <v>0</v>
      </c>
      <c r="AK11" s="592">
        <f t="shared" ca="1" si="4"/>
        <v>-24.117073134192754</v>
      </c>
      <c r="AM11" s="608">
        <f t="shared" ref="AM11:BE11" ca="1" si="17">SUM(AM9:AM10)</f>
        <v>0</v>
      </c>
      <c r="AN11" s="608">
        <f t="shared" ca="1" si="17"/>
        <v>0</v>
      </c>
      <c r="AO11" s="608">
        <f t="shared" ca="1" si="17"/>
        <v>0</v>
      </c>
      <c r="AP11" s="608">
        <f t="shared" ca="1" si="17"/>
        <v>0</v>
      </c>
      <c r="AQ11" s="608">
        <f t="shared" ca="1" si="17"/>
        <v>0</v>
      </c>
      <c r="AR11" s="608">
        <f t="shared" ca="1" si="17"/>
        <v>0</v>
      </c>
      <c r="AS11" s="608">
        <f t="shared" ca="1" si="17"/>
        <v>0</v>
      </c>
      <c r="AT11" s="608">
        <f t="shared" ca="1" si="17"/>
        <v>0</v>
      </c>
      <c r="AU11" s="608">
        <f t="shared" ca="1" si="17"/>
        <v>0</v>
      </c>
      <c r="AV11" s="608">
        <f t="shared" ca="1" si="17"/>
        <v>0</v>
      </c>
      <c r="AW11" s="608">
        <f t="shared" ca="1" si="17"/>
        <v>0</v>
      </c>
      <c r="AX11" s="608">
        <f t="shared" ca="1" si="17"/>
        <v>0</v>
      </c>
      <c r="AY11" s="608">
        <f t="shared" ca="1" si="17"/>
        <v>0</v>
      </c>
      <c r="AZ11" s="608">
        <f t="shared" ca="1" si="17"/>
        <v>0</v>
      </c>
      <c r="BA11" s="608">
        <f t="shared" ca="1" si="17"/>
        <v>0</v>
      </c>
      <c r="BB11" s="608">
        <f t="shared" ca="1" si="17"/>
        <v>0</v>
      </c>
      <c r="BC11" s="608">
        <f t="shared" ca="1" si="17"/>
        <v>-6.4948923807210096E-2</v>
      </c>
      <c r="BD11" s="608">
        <f ca="1">SUM(BD9:BD10)</f>
        <v>0</v>
      </c>
      <c r="BE11" s="608">
        <f t="shared" ca="1" si="17"/>
        <v>0</v>
      </c>
      <c r="BF11" s="609">
        <f t="shared" ca="1" si="7"/>
        <v>-6.4948923807210096E-2</v>
      </c>
      <c r="BH11" s="3460">
        <f ca="1">SUM(BH9:BH10)</f>
        <v>0</v>
      </c>
      <c r="BI11" s="3460">
        <f ca="1">SUM(BI9:BI10)</f>
        <v>0</v>
      </c>
      <c r="BJ11" s="3460">
        <f t="shared" ca="1" si="9"/>
        <v>0</v>
      </c>
      <c r="BL11" s="610">
        <f t="shared" ca="1" si="10"/>
        <v>-2.248201624865942E-15</v>
      </c>
      <c r="BM11" s="610"/>
      <c r="BN11" s="413"/>
      <c r="BO11" s="2789">
        <f t="shared" ref="BO11:DF11" ca="1" si="18">SUM(BO9:BO10)</f>
        <v>4.5164527605396705</v>
      </c>
      <c r="BP11" s="2790">
        <f t="shared" ca="1" si="18"/>
        <v>2.3150043663861461E-3</v>
      </c>
      <c r="BQ11" s="2790">
        <f t="shared" ca="1" si="18"/>
        <v>5.3189608287617027E-2</v>
      </c>
      <c r="BR11" s="2790">
        <f t="shared" ca="1" si="18"/>
        <v>0</v>
      </c>
      <c r="BS11" s="2790">
        <f t="shared" ca="1" si="18"/>
        <v>0</v>
      </c>
      <c r="BT11" s="2790">
        <f t="shared" ca="1" si="18"/>
        <v>0</v>
      </c>
      <c r="BU11" s="2790">
        <f t="shared" ca="1" si="18"/>
        <v>0</v>
      </c>
      <c r="BV11" s="2790">
        <f t="shared" ca="1" si="18"/>
        <v>0</v>
      </c>
      <c r="BW11" s="2790">
        <f t="shared" ca="1" si="18"/>
        <v>0</v>
      </c>
      <c r="BX11" s="2790">
        <f t="shared" ca="1" si="18"/>
        <v>0</v>
      </c>
      <c r="BY11" s="2790">
        <f t="shared" ca="1" si="18"/>
        <v>0</v>
      </c>
      <c r="BZ11" s="2790">
        <f t="shared" ca="1" si="18"/>
        <v>0</v>
      </c>
      <c r="CA11" s="2790">
        <f t="shared" ca="1" si="18"/>
        <v>0</v>
      </c>
      <c r="CB11" s="2790">
        <f t="shared" ca="1" si="18"/>
        <v>0</v>
      </c>
      <c r="CC11" s="2790">
        <f t="shared" ca="1" si="18"/>
        <v>0</v>
      </c>
      <c r="CD11" s="2790">
        <f t="shared" ca="1" si="18"/>
        <v>0</v>
      </c>
      <c r="CE11" s="2790">
        <f t="shared" ca="1" si="18"/>
        <v>0</v>
      </c>
      <c r="CF11" s="2790">
        <f t="shared" ca="1" si="18"/>
        <v>0</v>
      </c>
      <c r="CG11" s="2790">
        <f t="shared" ca="1" si="18"/>
        <v>0</v>
      </c>
      <c r="CH11" s="2790">
        <f t="shared" ca="1" si="18"/>
        <v>0</v>
      </c>
      <c r="CI11" s="2790">
        <f t="shared" ca="1" si="18"/>
        <v>0</v>
      </c>
      <c r="CJ11" s="2790">
        <f t="shared" ca="1" si="18"/>
        <v>0</v>
      </c>
      <c r="CK11" s="2790">
        <f t="shared" ca="1" si="18"/>
        <v>0</v>
      </c>
      <c r="CL11" s="2790">
        <f t="shared" ca="1" si="18"/>
        <v>0</v>
      </c>
      <c r="CM11" s="2790">
        <f t="shared" ca="1" si="18"/>
        <v>0</v>
      </c>
      <c r="CN11" s="2790">
        <f t="shared" ca="1" si="18"/>
        <v>0</v>
      </c>
      <c r="CO11" s="2790">
        <f t="shared" ca="1" si="18"/>
        <v>0</v>
      </c>
      <c r="CP11" s="2790">
        <f t="shared" ca="1" si="18"/>
        <v>0</v>
      </c>
      <c r="CQ11" s="2790">
        <f t="shared" ca="1" si="18"/>
        <v>0</v>
      </c>
      <c r="CR11" s="2790">
        <f t="shared" ca="1" si="18"/>
        <v>0</v>
      </c>
      <c r="CS11" s="2790">
        <f t="shared" ca="1" si="18"/>
        <v>0</v>
      </c>
      <c r="CT11" s="2790">
        <f t="shared" ca="1" si="18"/>
        <v>0</v>
      </c>
      <c r="CU11" s="2790">
        <f t="shared" ca="1" si="18"/>
        <v>0</v>
      </c>
      <c r="CV11" s="2790">
        <f t="shared" ca="1" si="18"/>
        <v>0</v>
      </c>
      <c r="CW11" s="2790">
        <f t="shared" ca="1" si="18"/>
        <v>0</v>
      </c>
      <c r="CX11" s="2790">
        <f t="shared" ca="1" si="18"/>
        <v>0</v>
      </c>
      <c r="CY11" s="2790">
        <f t="shared" ca="1" si="18"/>
        <v>0</v>
      </c>
      <c r="CZ11" s="2790">
        <f t="shared" ca="1" si="18"/>
        <v>0</v>
      </c>
      <c r="DA11" s="2790">
        <f t="shared" ca="1" si="18"/>
        <v>0</v>
      </c>
      <c r="DB11" s="2790">
        <f t="shared" ca="1" si="18"/>
        <v>0</v>
      </c>
      <c r="DC11" s="2790">
        <f t="shared" ca="1" si="18"/>
        <v>0</v>
      </c>
      <c r="DD11" s="2790">
        <f t="shared" ca="1" si="18"/>
        <v>0</v>
      </c>
      <c r="DE11" s="2790">
        <f t="shared" ca="1" si="18"/>
        <v>0</v>
      </c>
      <c r="DF11" s="2790">
        <f t="shared" ca="1" si="18"/>
        <v>0</v>
      </c>
      <c r="DH11" s="596"/>
    </row>
    <row r="12" spans="1:112" s="6" customFormat="1" ht="10.5" customHeight="1" outlineLevel="2">
      <c r="A12" s="586"/>
      <c r="B12" s="586"/>
      <c r="C12" s="587" t="s">
        <v>465</v>
      </c>
      <c r="D12" s="586" t="s">
        <v>466</v>
      </c>
      <c r="E12" s="599"/>
      <c r="G12" s="589">
        <f t="shared" ca="1" si="0"/>
        <v>14.701618054521081</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14.701618054521081</v>
      </c>
      <c r="S12" s="591">
        <f t="shared" ca="1" si="2"/>
        <v>-2.8828124999999996</v>
      </c>
      <c r="T12" s="591">
        <f t="shared" ca="1" si="2"/>
        <v>6.2697857142857147</v>
      </c>
      <c r="U12" s="591">
        <f t="shared" ca="1" si="2"/>
        <v>-0.18016625615763548</v>
      </c>
      <c r="V12" s="591">
        <f t="shared" ca="1" si="2"/>
        <v>-1.2388751840942562</v>
      </c>
      <c r="W12" s="591">
        <f t="shared" ca="1" si="2"/>
        <v>-16.636024828554905</v>
      </c>
      <c r="X12" s="591">
        <f t="shared" ref="X12:Z13" ca="1" si="19">IFERROR(INDEX(INDIRECT($C12&amp;".Outputs["&amp;this.Year&amp;"]"), MATCH(X$5, INDIRECT($C12&amp;".Outputs[Vector]"), 0)), 0)</f>
        <v>0</v>
      </c>
      <c r="Y12" s="591">
        <f t="shared" ca="1" si="19"/>
        <v>0</v>
      </c>
      <c r="Z12" s="591">
        <f t="shared" ca="1" si="19"/>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4"/>
        <v>-14.668093054521082</v>
      </c>
      <c r="AM12" s="593">
        <f t="shared" ref="AM12:AU13" ca="1" si="20">IFERROR(INDEX(INDIRECT($C12&amp;".Outputs["&amp;this.Year&amp;"]"), MATCH(AM$5, INDIRECT($C12&amp;".Outputs[Vector]"), 0)), 0)</f>
        <v>0</v>
      </c>
      <c r="AN12" s="593">
        <f t="shared" ca="1" si="20"/>
        <v>0</v>
      </c>
      <c r="AO12" s="593">
        <f t="shared" ca="1" si="20"/>
        <v>0</v>
      </c>
      <c r="AP12" s="593">
        <f t="shared" ca="1" si="20"/>
        <v>0</v>
      </c>
      <c r="AQ12" s="593">
        <f t="shared" ca="1" si="20"/>
        <v>0</v>
      </c>
      <c r="AR12" s="593">
        <f t="shared" ca="1" si="20"/>
        <v>0</v>
      </c>
      <c r="AS12" s="593">
        <f t="shared" ca="1" si="20"/>
        <v>0</v>
      </c>
      <c r="AT12" s="593">
        <f t="shared" ca="1" si="20"/>
        <v>0</v>
      </c>
      <c r="AU12" s="593">
        <f t="shared" ca="1" si="20"/>
        <v>0</v>
      </c>
      <c r="AV12" s="593">
        <f t="shared" ca="1" si="6"/>
        <v>0</v>
      </c>
      <c r="AW12" s="593">
        <f t="shared" ca="1" si="6"/>
        <v>0</v>
      </c>
      <c r="AX12" s="593">
        <f t="shared" ca="1" si="6"/>
        <v>0</v>
      </c>
      <c r="AY12" s="593">
        <f t="shared" ca="1" si="6"/>
        <v>0</v>
      </c>
      <c r="AZ12" s="593">
        <f t="shared" ca="1" si="6"/>
        <v>0</v>
      </c>
      <c r="BA12" s="593">
        <f t="shared" ca="1" si="6"/>
        <v>0</v>
      </c>
      <c r="BB12" s="593">
        <f t="shared" ca="1" si="6"/>
        <v>0</v>
      </c>
      <c r="BC12" s="593">
        <f t="shared" ca="1" si="6"/>
        <v>-3.3525000000000013E-2</v>
      </c>
      <c r="BD12" s="593">
        <f t="shared" ca="1" si="6"/>
        <v>0</v>
      </c>
      <c r="BE12" s="593">
        <f t="shared" ca="1" si="6"/>
        <v>0</v>
      </c>
      <c r="BF12" s="594">
        <f t="shared" ca="1" si="7"/>
        <v>-3.3525000000000013E-2</v>
      </c>
      <c r="BH12" s="3471">
        <f t="shared" ca="1" si="8"/>
        <v>0</v>
      </c>
      <c r="BI12" s="3471">
        <f t="shared" ca="1" si="8"/>
        <v>0</v>
      </c>
      <c r="BJ12" s="3460">
        <f t="shared" ca="1" si="9"/>
        <v>0</v>
      </c>
      <c r="BL12" s="595">
        <f t="shared" ca="1" si="10"/>
        <v>-8.7430063189231078E-16</v>
      </c>
      <c r="BM12" s="595"/>
      <c r="BN12" s="413"/>
      <c r="BO12" s="2789">
        <f t="shared" ref="BO12:BX13" ca="1" si="21">IFERROR(SUMIFS(INDIRECT($C12&amp;".Emissions["&amp;this.Year&amp;"]"), INDIRECT($C12&amp;".Emissions[GHG]"), BO$6, INDIRECT($C12&amp;".Emissions[IPCC Sector]"), BO$5),0)</f>
        <v>3.7934895135133022</v>
      </c>
      <c r="BP12" s="2790">
        <f t="shared" ca="1" si="21"/>
        <v>1.5481947670671905E-3</v>
      </c>
      <c r="BQ12" s="2790">
        <f t="shared" ca="1" si="21"/>
        <v>5.4770914349340567E-2</v>
      </c>
      <c r="BR12" s="2790">
        <f t="shared" ca="1" si="21"/>
        <v>0</v>
      </c>
      <c r="BS12" s="2790">
        <f t="shared" ca="1" si="21"/>
        <v>0</v>
      </c>
      <c r="BT12" s="2790">
        <f t="shared" ca="1" si="21"/>
        <v>0</v>
      </c>
      <c r="BU12" s="2790">
        <f t="shared" ca="1" si="21"/>
        <v>0</v>
      </c>
      <c r="BV12" s="2790">
        <f t="shared" ca="1" si="21"/>
        <v>0</v>
      </c>
      <c r="BW12" s="2790">
        <f t="shared" ca="1" si="21"/>
        <v>0</v>
      </c>
      <c r="BX12" s="2790">
        <f t="shared" ca="1" si="21"/>
        <v>0</v>
      </c>
      <c r="BY12" s="2790">
        <f t="shared" ref="BY12:CH13" ca="1" si="22">IFERROR(SUMIFS(INDIRECT($C12&amp;".Emissions["&amp;this.Year&amp;"]"), INDIRECT($C12&amp;".Emissions[GHG]"), BY$6, INDIRECT($C12&amp;".Emissions[IPCC Sector]"), BY$5),0)</f>
        <v>0</v>
      </c>
      <c r="BZ12" s="2790">
        <f t="shared" ca="1" si="22"/>
        <v>0</v>
      </c>
      <c r="CA12" s="2790">
        <f t="shared" ca="1" si="22"/>
        <v>0</v>
      </c>
      <c r="CB12" s="2790">
        <f t="shared" ca="1" si="22"/>
        <v>0</v>
      </c>
      <c r="CC12" s="2790">
        <f t="shared" ca="1" si="22"/>
        <v>0</v>
      </c>
      <c r="CD12" s="2790">
        <f t="shared" ca="1" si="22"/>
        <v>0</v>
      </c>
      <c r="CE12" s="2790">
        <f t="shared" ca="1" si="22"/>
        <v>0</v>
      </c>
      <c r="CF12" s="2790">
        <f t="shared" ca="1" si="22"/>
        <v>0</v>
      </c>
      <c r="CG12" s="2790">
        <f t="shared" ca="1" si="22"/>
        <v>0</v>
      </c>
      <c r="CH12" s="2790">
        <f t="shared" ca="1" si="22"/>
        <v>0</v>
      </c>
      <c r="CI12" s="2790">
        <f t="shared" ref="CI12:CR13" ca="1" si="23">IFERROR(SUMIFS(INDIRECT($C12&amp;".Emissions["&amp;this.Year&amp;"]"), INDIRECT($C12&amp;".Emissions[GHG]"), CI$6, INDIRECT($C12&amp;".Emissions[IPCC Sector]"), CI$5),0)</f>
        <v>0</v>
      </c>
      <c r="CJ12" s="2790">
        <f t="shared" ca="1" si="23"/>
        <v>0</v>
      </c>
      <c r="CK12" s="2790">
        <f t="shared" ca="1" si="23"/>
        <v>0</v>
      </c>
      <c r="CL12" s="2790">
        <f t="shared" ca="1" si="23"/>
        <v>0</v>
      </c>
      <c r="CM12" s="2790">
        <f t="shared" ca="1" si="23"/>
        <v>0</v>
      </c>
      <c r="CN12" s="2790">
        <f t="shared" ca="1" si="23"/>
        <v>0</v>
      </c>
      <c r="CO12" s="2790">
        <f t="shared" ca="1" si="23"/>
        <v>0</v>
      </c>
      <c r="CP12" s="2790">
        <f t="shared" ca="1" si="23"/>
        <v>0</v>
      </c>
      <c r="CQ12" s="2790">
        <f t="shared" ca="1" si="23"/>
        <v>0</v>
      </c>
      <c r="CR12" s="2790">
        <f t="shared" ca="1" si="23"/>
        <v>0</v>
      </c>
      <c r="CS12" s="2790">
        <f t="shared" ref="CS12:DF13" ca="1" si="24">IFERROR(SUMIFS(INDIRECT($C12&amp;".Emissions["&amp;this.Year&amp;"]"), INDIRECT($C12&amp;".Emissions[GHG]"), CS$6, INDIRECT($C12&amp;".Emissions[IPCC Sector]"), CS$5),0)</f>
        <v>0</v>
      </c>
      <c r="CT12" s="2790">
        <f t="shared" ca="1" si="24"/>
        <v>0</v>
      </c>
      <c r="CU12" s="2790">
        <f t="shared" ca="1" si="24"/>
        <v>0</v>
      </c>
      <c r="CV12" s="2790">
        <f t="shared" ca="1" si="24"/>
        <v>0</v>
      </c>
      <c r="CW12" s="2790">
        <f t="shared" ca="1" si="24"/>
        <v>0</v>
      </c>
      <c r="CX12" s="2790">
        <f t="shared" ca="1" si="24"/>
        <v>0</v>
      </c>
      <c r="CY12" s="2790">
        <f t="shared" ca="1" si="24"/>
        <v>0</v>
      </c>
      <c r="CZ12" s="2790">
        <f t="shared" ca="1" si="24"/>
        <v>0</v>
      </c>
      <c r="DA12" s="2790">
        <f t="shared" ca="1" si="24"/>
        <v>0</v>
      </c>
      <c r="DB12" s="2790">
        <f t="shared" ca="1" si="24"/>
        <v>0</v>
      </c>
      <c r="DC12" s="2790">
        <f t="shared" ca="1" si="24"/>
        <v>0</v>
      </c>
      <c r="DD12" s="2790">
        <f t="shared" ca="1" si="24"/>
        <v>0</v>
      </c>
      <c r="DE12" s="2790">
        <f t="shared" ca="1" si="24"/>
        <v>0</v>
      </c>
      <c r="DF12" s="2790">
        <f t="shared" ca="1" si="24"/>
        <v>0</v>
      </c>
      <c r="DH12" s="596"/>
    </row>
    <row r="13" spans="1:112" s="6" customFormat="1" ht="10.5" customHeight="1" outlineLevel="2">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19"/>
        <v>0</v>
      </c>
      <c r="Y13" s="602">
        <f t="shared" ca="1" si="19"/>
        <v>0</v>
      </c>
      <c r="Z13" s="602">
        <f t="shared" ca="1" si="19"/>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4"/>
        <v>0</v>
      </c>
      <c r="AM13" s="604">
        <f t="shared" ca="1" si="20"/>
        <v>0</v>
      </c>
      <c r="AN13" s="604">
        <f t="shared" ca="1" si="20"/>
        <v>0</v>
      </c>
      <c r="AO13" s="604">
        <f t="shared" ca="1" si="20"/>
        <v>0</v>
      </c>
      <c r="AP13" s="604">
        <f t="shared" ca="1" si="20"/>
        <v>0</v>
      </c>
      <c r="AQ13" s="604">
        <f t="shared" ca="1" si="20"/>
        <v>0</v>
      </c>
      <c r="AR13" s="604">
        <f t="shared" ca="1" si="20"/>
        <v>0</v>
      </c>
      <c r="AS13" s="604">
        <f t="shared" ca="1" si="20"/>
        <v>0</v>
      </c>
      <c r="AT13" s="604">
        <f t="shared" ca="1" si="20"/>
        <v>0</v>
      </c>
      <c r="AU13" s="604">
        <f t="shared" ca="1" si="20"/>
        <v>0</v>
      </c>
      <c r="AV13" s="604">
        <f t="shared" ca="1" si="6"/>
        <v>0</v>
      </c>
      <c r="AW13" s="604">
        <f t="shared" ca="1" si="6"/>
        <v>0</v>
      </c>
      <c r="AX13" s="604">
        <f t="shared" ca="1" si="6"/>
        <v>0</v>
      </c>
      <c r="AY13" s="604">
        <f t="shared" ca="1" si="6"/>
        <v>0</v>
      </c>
      <c r="AZ13" s="604">
        <f t="shared" ca="1" si="6"/>
        <v>0</v>
      </c>
      <c r="BA13" s="604">
        <f t="shared" ca="1" si="6"/>
        <v>0</v>
      </c>
      <c r="BB13" s="604">
        <f t="shared" ca="1" si="6"/>
        <v>0</v>
      </c>
      <c r="BC13" s="604">
        <f t="shared" ca="1" si="6"/>
        <v>0</v>
      </c>
      <c r="BD13" s="604">
        <f t="shared" ca="1" si="6"/>
        <v>0</v>
      </c>
      <c r="BE13" s="604">
        <f t="shared" ca="1" si="6"/>
        <v>0</v>
      </c>
      <c r="BF13" s="605">
        <f t="shared" ca="1" si="7"/>
        <v>0</v>
      </c>
      <c r="BH13" s="3472">
        <f t="shared" ca="1" si="8"/>
        <v>0</v>
      </c>
      <c r="BI13" s="3472">
        <f t="shared" ca="1" si="8"/>
        <v>0</v>
      </c>
      <c r="BJ13" s="3461">
        <f t="shared" ca="1" si="9"/>
        <v>0</v>
      </c>
      <c r="BL13" s="606">
        <f t="shared" ca="1" si="10"/>
        <v>0</v>
      </c>
      <c r="BM13" s="606"/>
      <c r="BN13" s="413"/>
      <c r="BO13" s="2789">
        <f t="shared" ca="1" si="21"/>
        <v>0</v>
      </c>
      <c r="BP13" s="2790">
        <f t="shared" ca="1" si="21"/>
        <v>0</v>
      </c>
      <c r="BQ13" s="2790">
        <f t="shared" ca="1" si="21"/>
        <v>0</v>
      </c>
      <c r="BR13" s="2790">
        <f t="shared" ca="1" si="21"/>
        <v>0</v>
      </c>
      <c r="BS13" s="2790">
        <f t="shared" ca="1" si="21"/>
        <v>0</v>
      </c>
      <c r="BT13" s="2790">
        <f t="shared" ca="1" si="21"/>
        <v>0</v>
      </c>
      <c r="BU13" s="2790">
        <f t="shared" ca="1" si="21"/>
        <v>0</v>
      </c>
      <c r="BV13" s="2790">
        <f t="shared" ca="1" si="21"/>
        <v>0</v>
      </c>
      <c r="BW13" s="2790">
        <f t="shared" ca="1" si="21"/>
        <v>0</v>
      </c>
      <c r="BX13" s="2790">
        <f t="shared" ca="1" si="21"/>
        <v>0</v>
      </c>
      <c r="BY13" s="2790">
        <f t="shared" ca="1" si="22"/>
        <v>0</v>
      </c>
      <c r="BZ13" s="2790">
        <f t="shared" ca="1" si="22"/>
        <v>0</v>
      </c>
      <c r="CA13" s="2790">
        <f t="shared" ca="1" si="22"/>
        <v>0</v>
      </c>
      <c r="CB13" s="2790">
        <f t="shared" ca="1" si="22"/>
        <v>0</v>
      </c>
      <c r="CC13" s="2790">
        <f t="shared" ca="1" si="22"/>
        <v>0</v>
      </c>
      <c r="CD13" s="2790">
        <f t="shared" ca="1" si="22"/>
        <v>0</v>
      </c>
      <c r="CE13" s="2790">
        <f t="shared" ca="1" si="22"/>
        <v>0</v>
      </c>
      <c r="CF13" s="2790">
        <f t="shared" ca="1" si="22"/>
        <v>0</v>
      </c>
      <c r="CG13" s="2790">
        <f t="shared" ca="1" si="22"/>
        <v>0</v>
      </c>
      <c r="CH13" s="2790">
        <f t="shared" ca="1" si="22"/>
        <v>0</v>
      </c>
      <c r="CI13" s="2790">
        <f t="shared" ca="1" si="23"/>
        <v>0</v>
      </c>
      <c r="CJ13" s="2790">
        <f t="shared" ca="1" si="23"/>
        <v>0</v>
      </c>
      <c r="CK13" s="2790">
        <f t="shared" ca="1" si="23"/>
        <v>0</v>
      </c>
      <c r="CL13" s="2790">
        <f t="shared" ca="1" si="23"/>
        <v>0</v>
      </c>
      <c r="CM13" s="2790">
        <f t="shared" ca="1" si="23"/>
        <v>0</v>
      </c>
      <c r="CN13" s="2790">
        <f t="shared" ca="1" si="23"/>
        <v>0</v>
      </c>
      <c r="CO13" s="2790">
        <f t="shared" ca="1" si="23"/>
        <v>0</v>
      </c>
      <c r="CP13" s="2790">
        <f t="shared" ca="1" si="23"/>
        <v>0</v>
      </c>
      <c r="CQ13" s="2790">
        <f t="shared" ca="1" si="23"/>
        <v>0</v>
      </c>
      <c r="CR13" s="2790">
        <f t="shared" ca="1" si="23"/>
        <v>0</v>
      </c>
      <c r="CS13" s="2790">
        <f t="shared" ca="1" si="24"/>
        <v>0</v>
      </c>
      <c r="CT13" s="2790">
        <f t="shared" ca="1" si="24"/>
        <v>0</v>
      </c>
      <c r="CU13" s="2790">
        <f t="shared" ca="1" si="24"/>
        <v>0</v>
      </c>
      <c r="CV13" s="2790">
        <f t="shared" ca="1" si="24"/>
        <v>0</v>
      </c>
      <c r="CW13" s="2790">
        <f t="shared" ca="1" si="24"/>
        <v>0</v>
      </c>
      <c r="CX13" s="2790">
        <f t="shared" ca="1" si="24"/>
        <v>0</v>
      </c>
      <c r="CY13" s="2790">
        <f t="shared" ca="1" si="24"/>
        <v>0</v>
      </c>
      <c r="CZ13" s="2790">
        <f t="shared" ca="1" si="24"/>
        <v>0</v>
      </c>
      <c r="DA13" s="2790">
        <f t="shared" ca="1" si="24"/>
        <v>0</v>
      </c>
      <c r="DB13" s="2790">
        <f t="shared" ca="1" si="24"/>
        <v>0</v>
      </c>
      <c r="DC13" s="2790">
        <f t="shared" ca="1" si="24"/>
        <v>0</v>
      </c>
      <c r="DD13" s="2790">
        <f t="shared" ca="1" si="24"/>
        <v>0</v>
      </c>
      <c r="DE13" s="2790">
        <f t="shared" ca="1" si="24"/>
        <v>0</v>
      </c>
      <c r="DF13" s="2790">
        <f t="shared" ca="1" si="24"/>
        <v>0</v>
      </c>
      <c r="DH13" s="596"/>
    </row>
    <row r="14" spans="1:112" s="6" customFormat="1" ht="12.75" customHeight="1" outlineLevel="1">
      <c r="A14" s="607"/>
      <c r="B14" s="607"/>
      <c r="C14" s="587"/>
      <c r="D14" s="611" t="s">
        <v>469</v>
      </c>
      <c r="E14" s="611"/>
      <c r="G14" s="612">
        <f ca="1">SUM(G12:G13)</f>
        <v>14.701618054521081</v>
      </c>
      <c r="H14" s="612">
        <f t="shared" ref="H14:P14" ca="1" si="25">SUM(H12:H13)</f>
        <v>0</v>
      </c>
      <c r="I14" s="612">
        <f t="shared" ca="1" si="25"/>
        <v>0</v>
      </c>
      <c r="J14" s="612">
        <f t="shared" ca="1" si="25"/>
        <v>0</v>
      </c>
      <c r="K14" s="612">
        <f t="shared" ca="1" si="25"/>
        <v>0</v>
      </c>
      <c r="L14" s="612">
        <f t="shared" ca="1" si="25"/>
        <v>0</v>
      </c>
      <c r="M14" s="612">
        <f t="shared" ca="1" si="25"/>
        <v>0</v>
      </c>
      <c r="N14" s="612">
        <f ca="1">SUM(N12:N13)</f>
        <v>0</v>
      </c>
      <c r="O14" s="612">
        <f ca="1">SUM(O12:O13)</f>
        <v>0</v>
      </c>
      <c r="P14" s="612">
        <f t="shared" ca="1" si="25"/>
        <v>0</v>
      </c>
      <c r="Q14" s="612">
        <f t="shared" ca="1" si="1"/>
        <v>14.701618054521081</v>
      </c>
      <c r="S14" s="613">
        <f t="shared" ref="S14:AJ14" ca="1" si="26">SUM(S12:S13)</f>
        <v>-2.8828124999999996</v>
      </c>
      <c r="T14" s="613">
        <f t="shared" ca="1" si="26"/>
        <v>6.2697857142857147</v>
      </c>
      <c r="U14" s="613">
        <f t="shared" ca="1" si="26"/>
        <v>-0.18016625615763548</v>
      </c>
      <c r="V14" s="613">
        <f t="shared" ca="1" si="26"/>
        <v>-1.2388751840942562</v>
      </c>
      <c r="W14" s="613">
        <f t="shared" ca="1" si="26"/>
        <v>-16.636024828554905</v>
      </c>
      <c r="X14" s="613">
        <f ca="1">SUM(X12:X13)</f>
        <v>0</v>
      </c>
      <c r="Y14" s="613">
        <f ca="1">SUM(Y12:Y13)</f>
        <v>0</v>
      </c>
      <c r="Z14" s="613">
        <f ca="1">SUM(Z12:Z13)</f>
        <v>0</v>
      </c>
      <c r="AA14" s="613">
        <f t="shared" ca="1" si="26"/>
        <v>0</v>
      </c>
      <c r="AB14" s="613">
        <f t="shared" ca="1" si="26"/>
        <v>0</v>
      </c>
      <c r="AC14" s="613">
        <f t="shared" ca="1" si="26"/>
        <v>0</v>
      </c>
      <c r="AD14" s="613">
        <f ca="1">SUM(AD12:AD13)</f>
        <v>0</v>
      </c>
      <c r="AE14" s="613">
        <f ca="1">SUM(AE12:AE13)</f>
        <v>0</v>
      </c>
      <c r="AF14" s="613">
        <f t="shared" ca="1" si="26"/>
        <v>0</v>
      </c>
      <c r="AG14" s="613">
        <f ca="1">SUM(AG12:AG13)</f>
        <v>0</v>
      </c>
      <c r="AH14" s="613">
        <f ca="1">SUM(AH12:AH13)</f>
        <v>0</v>
      </c>
      <c r="AI14" s="613">
        <f ca="1">SUM(AI12:AI13)</f>
        <v>0</v>
      </c>
      <c r="AJ14" s="613">
        <f t="shared" ca="1" si="26"/>
        <v>0</v>
      </c>
      <c r="AK14" s="613">
        <f t="shared" ca="1" si="4"/>
        <v>-14.668093054521082</v>
      </c>
      <c r="AM14" s="614">
        <f t="shared" ref="AM14:BE14" ca="1" si="27">SUM(AM12:AM13)</f>
        <v>0</v>
      </c>
      <c r="AN14" s="614">
        <f t="shared" ca="1" si="27"/>
        <v>0</v>
      </c>
      <c r="AO14" s="614">
        <f t="shared" ca="1" si="27"/>
        <v>0</v>
      </c>
      <c r="AP14" s="614">
        <f t="shared" ca="1" si="27"/>
        <v>0</v>
      </c>
      <c r="AQ14" s="614">
        <f t="shared" ca="1" si="27"/>
        <v>0</v>
      </c>
      <c r="AR14" s="614">
        <f t="shared" ca="1" si="27"/>
        <v>0</v>
      </c>
      <c r="AS14" s="614">
        <f t="shared" ca="1" si="27"/>
        <v>0</v>
      </c>
      <c r="AT14" s="614">
        <f t="shared" ca="1" si="27"/>
        <v>0</v>
      </c>
      <c r="AU14" s="614">
        <f t="shared" ca="1" si="27"/>
        <v>0</v>
      </c>
      <c r="AV14" s="614">
        <f t="shared" ca="1" si="27"/>
        <v>0</v>
      </c>
      <c r="AW14" s="614">
        <f t="shared" ca="1" si="27"/>
        <v>0</v>
      </c>
      <c r="AX14" s="614">
        <f t="shared" ca="1" si="27"/>
        <v>0</v>
      </c>
      <c r="AY14" s="614">
        <f t="shared" ca="1" si="27"/>
        <v>0</v>
      </c>
      <c r="AZ14" s="614">
        <f t="shared" ca="1" si="27"/>
        <v>0</v>
      </c>
      <c r="BA14" s="614">
        <f t="shared" ca="1" si="27"/>
        <v>0</v>
      </c>
      <c r="BB14" s="614">
        <f t="shared" ca="1" si="27"/>
        <v>0</v>
      </c>
      <c r="BC14" s="614">
        <f t="shared" ca="1" si="27"/>
        <v>-3.3525000000000013E-2</v>
      </c>
      <c r="BD14" s="614">
        <f ca="1">SUM(BD12:BD13)</f>
        <v>0</v>
      </c>
      <c r="BE14" s="614">
        <f t="shared" ca="1" si="27"/>
        <v>0</v>
      </c>
      <c r="BF14" s="615">
        <f t="shared" ca="1" si="7"/>
        <v>-3.3525000000000013E-2</v>
      </c>
      <c r="BH14" s="3462">
        <f ca="1">SUM(BH12:BH13)</f>
        <v>0</v>
      </c>
      <c r="BI14" s="3462">
        <f ca="1">SUM(BI12:BI13)</f>
        <v>0</v>
      </c>
      <c r="BJ14" s="3462">
        <f t="shared" ca="1" si="9"/>
        <v>0</v>
      </c>
      <c r="BL14" s="610">
        <f t="shared" ca="1" si="10"/>
        <v>-8.7430063189231078E-16</v>
      </c>
      <c r="BM14" s="610"/>
      <c r="BN14" s="413"/>
      <c r="BO14" s="2791">
        <f t="shared" ref="BO14:DF14" ca="1" si="28">SUM(BO12:BO13)</f>
        <v>3.7934895135133022</v>
      </c>
      <c r="BP14" s="2792">
        <f t="shared" ca="1" si="28"/>
        <v>1.5481947670671905E-3</v>
      </c>
      <c r="BQ14" s="2792">
        <f t="shared" ca="1" si="28"/>
        <v>5.4770914349340567E-2</v>
      </c>
      <c r="BR14" s="2792">
        <f t="shared" ca="1" si="28"/>
        <v>0</v>
      </c>
      <c r="BS14" s="2792">
        <f t="shared" ca="1" si="28"/>
        <v>0</v>
      </c>
      <c r="BT14" s="2792">
        <f t="shared" ca="1" si="28"/>
        <v>0</v>
      </c>
      <c r="BU14" s="2792">
        <f t="shared" ca="1" si="28"/>
        <v>0</v>
      </c>
      <c r="BV14" s="2792">
        <f t="shared" ca="1" si="28"/>
        <v>0</v>
      </c>
      <c r="BW14" s="2792">
        <f t="shared" ca="1" si="28"/>
        <v>0</v>
      </c>
      <c r="BX14" s="2792">
        <f t="shared" ca="1" si="28"/>
        <v>0</v>
      </c>
      <c r="BY14" s="2792">
        <f t="shared" ca="1" si="28"/>
        <v>0</v>
      </c>
      <c r="BZ14" s="2792">
        <f t="shared" ca="1" si="28"/>
        <v>0</v>
      </c>
      <c r="CA14" s="2792">
        <f t="shared" ca="1" si="28"/>
        <v>0</v>
      </c>
      <c r="CB14" s="2792">
        <f t="shared" ca="1" si="28"/>
        <v>0</v>
      </c>
      <c r="CC14" s="2792">
        <f t="shared" ca="1" si="28"/>
        <v>0</v>
      </c>
      <c r="CD14" s="2792">
        <f t="shared" ca="1" si="28"/>
        <v>0</v>
      </c>
      <c r="CE14" s="2792">
        <f t="shared" ca="1" si="28"/>
        <v>0</v>
      </c>
      <c r="CF14" s="2792">
        <f t="shared" ca="1" si="28"/>
        <v>0</v>
      </c>
      <c r="CG14" s="2792">
        <f t="shared" ca="1" si="28"/>
        <v>0</v>
      </c>
      <c r="CH14" s="2792">
        <f t="shared" ca="1" si="28"/>
        <v>0</v>
      </c>
      <c r="CI14" s="2792">
        <f t="shared" ca="1" si="28"/>
        <v>0</v>
      </c>
      <c r="CJ14" s="2792">
        <f t="shared" ca="1" si="28"/>
        <v>0</v>
      </c>
      <c r="CK14" s="2792">
        <f t="shared" ca="1" si="28"/>
        <v>0</v>
      </c>
      <c r="CL14" s="2792">
        <f t="shared" ca="1" si="28"/>
        <v>0</v>
      </c>
      <c r="CM14" s="2792">
        <f t="shared" ca="1" si="28"/>
        <v>0</v>
      </c>
      <c r="CN14" s="2792">
        <f t="shared" ca="1" si="28"/>
        <v>0</v>
      </c>
      <c r="CO14" s="2792">
        <f t="shared" ca="1" si="28"/>
        <v>0</v>
      </c>
      <c r="CP14" s="2792">
        <f t="shared" ca="1" si="28"/>
        <v>0</v>
      </c>
      <c r="CQ14" s="2792">
        <f t="shared" ca="1" si="28"/>
        <v>0</v>
      </c>
      <c r="CR14" s="2792">
        <f t="shared" ca="1" si="28"/>
        <v>0</v>
      </c>
      <c r="CS14" s="2792">
        <f t="shared" ca="1" si="28"/>
        <v>0</v>
      </c>
      <c r="CT14" s="2792">
        <f t="shared" ca="1" si="28"/>
        <v>0</v>
      </c>
      <c r="CU14" s="2792">
        <f t="shared" ca="1" si="28"/>
        <v>0</v>
      </c>
      <c r="CV14" s="2792">
        <f t="shared" ca="1" si="28"/>
        <v>0</v>
      </c>
      <c r="CW14" s="2792">
        <f t="shared" ca="1" si="28"/>
        <v>0</v>
      </c>
      <c r="CX14" s="2792">
        <f t="shared" ca="1" si="28"/>
        <v>0</v>
      </c>
      <c r="CY14" s="2792">
        <f t="shared" ca="1" si="28"/>
        <v>0</v>
      </c>
      <c r="CZ14" s="2792">
        <f t="shared" ca="1" si="28"/>
        <v>0</v>
      </c>
      <c r="DA14" s="2792">
        <f t="shared" ca="1" si="28"/>
        <v>0</v>
      </c>
      <c r="DB14" s="2792">
        <f t="shared" ca="1" si="28"/>
        <v>0</v>
      </c>
      <c r="DC14" s="2792">
        <f t="shared" ca="1" si="28"/>
        <v>0</v>
      </c>
      <c r="DD14" s="2792">
        <f t="shared" ca="1" si="28"/>
        <v>0</v>
      </c>
      <c r="DE14" s="2792">
        <f t="shared" ca="1" si="28"/>
        <v>0</v>
      </c>
      <c r="DF14" s="2792">
        <f t="shared" ca="1" si="28"/>
        <v>0</v>
      </c>
      <c r="DH14" s="596"/>
    </row>
    <row r="15" spans="1:112" s="6" customFormat="1" ht="15.75">
      <c r="A15" s="4"/>
      <c r="B15" s="3"/>
      <c r="C15" s="616" t="s">
        <v>0</v>
      </c>
      <c r="D15" s="617" t="s">
        <v>1</v>
      </c>
      <c r="E15" s="206"/>
      <c r="G15" s="618">
        <f t="shared" ref="G15:P15" ca="1" si="29">G14+G11</f>
        <v>38.883640112521043</v>
      </c>
      <c r="H15" s="618">
        <f t="shared" ca="1" si="29"/>
        <v>0</v>
      </c>
      <c r="I15" s="618">
        <f t="shared" ca="1" si="29"/>
        <v>0</v>
      </c>
      <c r="J15" s="618">
        <f t="shared" ca="1" si="29"/>
        <v>0</v>
      </c>
      <c r="K15" s="618">
        <f t="shared" ca="1" si="29"/>
        <v>0</v>
      </c>
      <c r="L15" s="618">
        <f t="shared" ca="1" si="29"/>
        <v>0</v>
      </c>
      <c r="M15" s="618">
        <f t="shared" ca="1" si="29"/>
        <v>0</v>
      </c>
      <c r="N15" s="618">
        <f t="shared" ca="1" si="29"/>
        <v>0</v>
      </c>
      <c r="O15" s="618">
        <f t="shared" ca="1" si="29"/>
        <v>0</v>
      </c>
      <c r="P15" s="618">
        <f t="shared" ca="1" si="29"/>
        <v>0</v>
      </c>
      <c r="Q15" s="618">
        <f t="shared" ca="1" si="1"/>
        <v>38.883640112521043</v>
      </c>
      <c r="S15" s="581">
        <f t="shared" ref="S15:AJ15" ca="1" si="30">S14+S11</f>
        <v>-4.6323749120225663</v>
      </c>
      <c r="T15" s="581">
        <f t="shared" ca="1" si="30"/>
        <v>6.2697857142857147</v>
      </c>
      <c r="U15" s="581">
        <f t="shared" ca="1" si="30"/>
        <v>-0.28273897158046063</v>
      </c>
      <c r="V15" s="581">
        <f t="shared" ca="1" si="30"/>
        <v>-6.2987766613954772</v>
      </c>
      <c r="W15" s="581">
        <f t="shared" ca="1" si="30"/>
        <v>-32.006270373978893</v>
      </c>
      <c r="X15" s="581">
        <f t="shared" ca="1" si="30"/>
        <v>0</v>
      </c>
      <c r="Y15" s="581">
        <f t="shared" ca="1" si="30"/>
        <v>0</v>
      </c>
      <c r="Z15" s="581">
        <f t="shared" ca="1" si="30"/>
        <v>0</v>
      </c>
      <c r="AA15" s="581">
        <f t="shared" ca="1" si="30"/>
        <v>0</v>
      </c>
      <c r="AB15" s="581">
        <f t="shared" ca="1" si="30"/>
        <v>0</v>
      </c>
      <c r="AC15" s="581">
        <f t="shared" ca="1" si="30"/>
        <v>0</v>
      </c>
      <c r="AD15" s="581">
        <f t="shared" ca="1" si="30"/>
        <v>0</v>
      </c>
      <c r="AE15" s="581">
        <f ca="1">AE14+AE11</f>
        <v>0</v>
      </c>
      <c r="AF15" s="581">
        <f t="shared" ca="1" si="30"/>
        <v>0</v>
      </c>
      <c r="AG15" s="581">
        <f t="shared" ca="1" si="30"/>
        <v>0</v>
      </c>
      <c r="AH15" s="581">
        <f ca="1">AH14+AH11</f>
        <v>0</v>
      </c>
      <c r="AI15" s="581">
        <f t="shared" ca="1" si="30"/>
        <v>-1.8347909840221523</v>
      </c>
      <c r="AJ15" s="581">
        <f t="shared" ca="1" si="30"/>
        <v>0</v>
      </c>
      <c r="AK15" s="581">
        <f t="shared" ca="1" si="4"/>
        <v>-38.785166188713831</v>
      </c>
      <c r="AM15" s="582">
        <f t="shared" ref="AM15:BE15" ca="1" si="31">AM14+AM11</f>
        <v>0</v>
      </c>
      <c r="AN15" s="582">
        <f t="shared" ca="1" si="31"/>
        <v>0</v>
      </c>
      <c r="AO15" s="582">
        <f t="shared" ca="1" si="31"/>
        <v>0</v>
      </c>
      <c r="AP15" s="582">
        <f t="shared" ca="1" si="31"/>
        <v>0</v>
      </c>
      <c r="AQ15" s="582">
        <f t="shared" ca="1" si="31"/>
        <v>0</v>
      </c>
      <c r="AR15" s="582">
        <f t="shared" ca="1" si="31"/>
        <v>0</v>
      </c>
      <c r="AS15" s="582">
        <f t="shared" ca="1" si="31"/>
        <v>0</v>
      </c>
      <c r="AT15" s="582">
        <f t="shared" ca="1" si="31"/>
        <v>0</v>
      </c>
      <c r="AU15" s="582">
        <f t="shared" ca="1" si="31"/>
        <v>0</v>
      </c>
      <c r="AV15" s="582">
        <f t="shared" ca="1" si="31"/>
        <v>0</v>
      </c>
      <c r="AW15" s="582">
        <f t="shared" ca="1" si="31"/>
        <v>0</v>
      </c>
      <c r="AX15" s="582">
        <f t="shared" ca="1" si="31"/>
        <v>0</v>
      </c>
      <c r="AY15" s="582">
        <f t="shared" ca="1" si="31"/>
        <v>0</v>
      </c>
      <c r="AZ15" s="582">
        <f t="shared" ca="1" si="31"/>
        <v>0</v>
      </c>
      <c r="BA15" s="582">
        <f t="shared" ca="1" si="31"/>
        <v>0</v>
      </c>
      <c r="BB15" s="582">
        <f t="shared" ca="1" si="31"/>
        <v>0</v>
      </c>
      <c r="BC15" s="582">
        <f t="shared" ca="1" si="31"/>
        <v>-9.8473923807210109E-2</v>
      </c>
      <c r="BD15" s="582">
        <f ca="1">BD14+BD11</f>
        <v>0</v>
      </c>
      <c r="BE15" s="582">
        <f t="shared" ca="1" si="31"/>
        <v>0</v>
      </c>
      <c r="BF15" s="582">
        <f t="shared" ca="1" si="7"/>
        <v>-9.8473923807210109E-2</v>
      </c>
      <c r="BH15" s="3463">
        <f ca="1">BH14+BH11</f>
        <v>0</v>
      </c>
      <c r="BI15" s="3463">
        <f ca="1">BI14+BI11</f>
        <v>0</v>
      </c>
      <c r="BJ15" s="3463">
        <f t="shared" ca="1" si="9"/>
        <v>0</v>
      </c>
      <c r="BL15" s="3477">
        <f t="shared" ca="1" si="10"/>
        <v>2.2065682614424986E-15</v>
      </c>
      <c r="BM15" s="584"/>
      <c r="BN15" s="413"/>
      <c r="BO15" s="2790">
        <f t="shared" ref="BO15:DF15" ca="1" si="32">BO14+BO11</f>
        <v>8.3099422740529718</v>
      </c>
      <c r="BP15" s="2790">
        <f t="shared" ca="1" si="32"/>
        <v>3.8631991334533364E-3</v>
      </c>
      <c r="BQ15" s="2790">
        <f t="shared" ca="1" si="32"/>
        <v>0.1079605226369576</v>
      </c>
      <c r="BR15" s="2790">
        <f t="shared" ca="1" si="32"/>
        <v>0</v>
      </c>
      <c r="BS15" s="2790">
        <f t="shared" ca="1" si="32"/>
        <v>0</v>
      </c>
      <c r="BT15" s="2790">
        <f t="shared" ca="1" si="32"/>
        <v>0</v>
      </c>
      <c r="BU15" s="2790">
        <f t="shared" ca="1" si="32"/>
        <v>0</v>
      </c>
      <c r="BV15" s="2790">
        <f t="shared" ca="1" si="32"/>
        <v>0</v>
      </c>
      <c r="BW15" s="2790">
        <f t="shared" ca="1" si="32"/>
        <v>0</v>
      </c>
      <c r="BX15" s="2790">
        <f t="shared" ca="1" si="32"/>
        <v>0</v>
      </c>
      <c r="BY15" s="2790">
        <f t="shared" ca="1" si="32"/>
        <v>0</v>
      </c>
      <c r="BZ15" s="2790">
        <f t="shared" ca="1" si="32"/>
        <v>0</v>
      </c>
      <c r="CA15" s="2790">
        <f t="shared" ca="1" si="32"/>
        <v>0</v>
      </c>
      <c r="CB15" s="2790">
        <f t="shared" ca="1" si="32"/>
        <v>0</v>
      </c>
      <c r="CC15" s="2790">
        <f t="shared" ca="1" si="32"/>
        <v>0</v>
      </c>
      <c r="CD15" s="2790">
        <f t="shared" ca="1" si="32"/>
        <v>0</v>
      </c>
      <c r="CE15" s="2790">
        <f t="shared" ca="1" si="32"/>
        <v>0</v>
      </c>
      <c r="CF15" s="2790">
        <f t="shared" ca="1" si="32"/>
        <v>0</v>
      </c>
      <c r="CG15" s="2790">
        <f t="shared" ca="1" si="32"/>
        <v>0</v>
      </c>
      <c r="CH15" s="2790">
        <f t="shared" ca="1" si="32"/>
        <v>0</v>
      </c>
      <c r="CI15" s="2790">
        <f t="shared" ca="1" si="32"/>
        <v>0</v>
      </c>
      <c r="CJ15" s="2790">
        <f t="shared" ca="1" si="32"/>
        <v>0</v>
      </c>
      <c r="CK15" s="2790">
        <f t="shared" ca="1" si="32"/>
        <v>0</v>
      </c>
      <c r="CL15" s="2790">
        <f t="shared" ca="1" si="32"/>
        <v>0</v>
      </c>
      <c r="CM15" s="2790">
        <f t="shared" ca="1" si="32"/>
        <v>0</v>
      </c>
      <c r="CN15" s="2790">
        <f t="shared" ca="1" si="32"/>
        <v>0</v>
      </c>
      <c r="CO15" s="2790">
        <f t="shared" ca="1" si="32"/>
        <v>0</v>
      </c>
      <c r="CP15" s="2790">
        <f t="shared" ca="1" si="32"/>
        <v>0</v>
      </c>
      <c r="CQ15" s="2790">
        <f t="shared" ca="1" si="32"/>
        <v>0</v>
      </c>
      <c r="CR15" s="2790">
        <f t="shared" ca="1" si="32"/>
        <v>0</v>
      </c>
      <c r="CS15" s="2790">
        <f t="shared" ca="1" si="32"/>
        <v>0</v>
      </c>
      <c r="CT15" s="2790">
        <f t="shared" ca="1" si="32"/>
        <v>0</v>
      </c>
      <c r="CU15" s="2790">
        <f t="shared" ca="1" si="32"/>
        <v>0</v>
      </c>
      <c r="CV15" s="2790">
        <f t="shared" ca="1" si="32"/>
        <v>0</v>
      </c>
      <c r="CW15" s="2790">
        <f t="shared" ca="1" si="32"/>
        <v>0</v>
      </c>
      <c r="CX15" s="2790">
        <f t="shared" ca="1" si="32"/>
        <v>0</v>
      </c>
      <c r="CY15" s="2790">
        <f t="shared" ca="1" si="32"/>
        <v>0</v>
      </c>
      <c r="CZ15" s="2790">
        <f t="shared" ca="1" si="32"/>
        <v>0</v>
      </c>
      <c r="DA15" s="2790">
        <f t="shared" ca="1" si="32"/>
        <v>0</v>
      </c>
      <c r="DB15" s="2790">
        <f t="shared" ca="1" si="32"/>
        <v>0</v>
      </c>
      <c r="DC15" s="2790">
        <f t="shared" ca="1" si="32"/>
        <v>0</v>
      </c>
      <c r="DD15" s="2790">
        <f t="shared" ca="1" si="32"/>
        <v>0</v>
      </c>
      <c r="DE15" s="2790">
        <f t="shared" ca="1" si="32"/>
        <v>0</v>
      </c>
      <c r="DF15" s="2790">
        <f t="shared" ca="1" si="32"/>
        <v>0</v>
      </c>
      <c r="DH15" s="596">
        <f t="shared" ref="DH15:DH38" ca="1" si="33">SUM(BO15:DF15)</f>
        <v>8.4217659958233835</v>
      </c>
    </row>
    <row r="16" spans="1:112" s="6" customFormat="1" outlineLevel="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10"/>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3"/>
        <v>0</v>
      </c>
    </row>
    <row r="17" spans="1:112" s="6" customFormat="1" ht="12.75" customHeight="1" outlineLevel="1">
      <c r="A17" s="607"/>
      <c r="B17" s="607"/>
      <c r="C17" s="587" t="s">
        <v>470</v>
      </c>
      <c r="D17" s="586" t="s">
        <v>471</v>
      </c>
      <c r="E17" s="599"/>
      <c r="G17" s="589">
        <f t="shared" ref="G17:P18" ca="1" si="34">IFERROR(INDEX(INDIRECT($C17&amp;".Outputs["&amp;this.Year&amp;"]"), MATCH(G$5, INDIRECT($C17&amp;".Outputs[Vector]"), 0)), 0)</f>
        <v>0</v>
      </c>
      <c r="H17" s="589">
        <f t="shared" ca="1" si="34"/>
        <v>6.2544428770679037</v>
      </c>
      <c r="I17" s="589">
        <f t="shared" ca="1" si="34"/>
        <v>0</v>
      </c>
      <c r="J17" s="589">
        <f t="shared" ca="1" si="34"/>
        <v>0</v>
      </c>
      <c r="K17" s="589">
        <f t="shared" ca="1" si="34"/>
        <v>0</v>
      </c>
      <c r="L17" s="589">
        <f t="shared" ca="1" si="34"/>
        <v>0</v>
      </c>
      <c r="M17" s="589">
        <f t="shared" ca="1" si="34"/>
        <v>0</v>
      </c>
      <c r="N17" s="589">
        <f t="shared" ca="1" si="34"/>
        <v>0</v>
      </c>
      <c r="O17" s="589">
        <f t="shared" ca="1" si="34"/>
        <v>0</v>
      </c>
      <c r="P17" s="589">
        <f t="shared" ca="1" si="34"/>
        <v>0</v>
      </c>
      <c r="Q17" s="590">
        <f ca="1">SUM(G17:P17)</f>
        <v>6.2544428770679037</v>
      </c>
      <c r="S17" s="591">
        <f t="shared" ref="S17:AJ18" ca="1" si="35">IFERROR(INDEX(INDIRECT($C17&amp;".Outputs["&amp;this.Year&amp;"]"), MATCH(S$5, INDIRECT($C17&amp;".Outputs[Vector]"), 0)), 0)</f>
        <v>-5.7917665756453065</v>
      </c>
      <c r="T17" s="591">
        <f t="shared" ca="1" si="35"/>
        <v>0</v>
      </c>
      <c r="U17" s="591">
        <f t="shared" ca="1" si="35"/>
        <v>0</v>
      </c>
      <c r="V17" s="591">
        <f t="shared" ca="1" si="35"/>
        <v>0</v>
      </c>
      <c r="W17" s="591">
        <f t="shared" ca="1" si="35"/>
        <v>-0.4626763014225968</v>
      </c>
      <c r="X17" s="591">
        <f t="shared" ref="X17:Z18" ca="1" si="36">IFERROR(INDEX(INDIRECT($C17&amp;".Outputs["&amp;this.Year&amp;"]"), MATCH(X$5, INDIRECT($C17&amp;".Outputs[Vector]"), 0)), 0)</f>
        <v>0</v>
      </c>
      <c r="Y17" s="591">
        <f t="shared" ca="1" si="36"/>
        <v>0</v>
      </c>
      <c r="Z17" s="591">
        <f t="shared" ca="1" si="36"/>
        <v>0</v>
      </c>
      <c r="AA17" s="591">
        <f t="shared" ca="1" si="35"/>
        <v>0</v>
      </c>
      <c r="AB17" s="591">
        <f t="shared" ca="1" si="35"/>
        <v>0</v>
      </c>
      <c r="AC17" s="591">
        <f t="shared" ca="1" si="35"/>
        <v>0</v>
      </c>
      <c r="AD17" s="591">
        <f t="shared" ca="1" si="35"/>
        <v>0</v>
      </c>
      <c r="AE17" s="591">
        <f t="shared" ca="1" si="35"/>
        <v>0</v>
      </c>
      <c r="AF17" s="591">
        <f t="shared" ca="1" si="35"/>
        <v>0</v>
      </c>
      <c r="AG17" s="591">
        <f t="shared" ca="1" si="35"/>
        <v>0</v>
      </c>
      <c r="AH17" s="591">
        <f t="shared" ca="1" si="35"/>
        <v>0</v>
      </c>
      <c r="AI17" s="591">
        <f t="shared" ca="1" si="35"/>
        <v>0</v>
      </c>
      <c r="AJ17" s="591">
        <f t="shared" ca="1" si="35"/>
        <v>0</v>
      </c>
      <c r="AK17" s="592">
        <f ca="1">SUM(S17:AJ17)</f>
        <v>-6.2544428770679037</v>
      </c>
      <c r="AM17" s="593">
        <f t="shared" ref="AM17:AU18" ca="1" si="37">IFERROR(INDEX(INDIRECT($C17&amp;".Outputs["&amp;this.Year&amp;"]"), MATCH(AM$5, INDIRECT($C17&amp;".Outputs[Vector]"), 0)), 0)</f>
        <v>0</v>
      </c>
      <c r="AN17" s="593">
        <f t="shared" ca="1" si="37"/>
        <v>0</v>
      </c>
      <c r="AO17" s="593">
        <f t="shared" ca="1" si="37"/>
        <v>0</v>
      </c>
      <c r="AP17" s="593">
        <f t="shared" ca="1" si="37"/>
        <v>0</v>
      </c>
      <c r="AQ17" s="593">
        <f t="shared" ca="1" si="37"/>
        <v>0</v>
      </c>
      <c r="AR17" s="593">
        <f t="shared" ca="1" si="37"/>
        <v>0</v>
      </c>
      <c r="AS17" s="593">
        <f t="shared" ca="1" si="37"/>
        <v>0</v>
      </c>
      <c r="AT17" s="593">
        <f t="shared" ca="1" si="37"/>
        <v>0</v>
      </c>
      <c r="AU17" s="593">
        <f t="shared" ca="1" si="37"/>
        <v>0</v>
      </c>
      <c r="AV17" s="593">
        <f t="shared" ref="AV17:BE18" ca="1" si="38">IFERROR(INDEX(INDIRECT($C17&amp;".Outputs["&amp;this.Year&amp;"]"), MATCH(AV$5, INDIRECT($C17&amp;".Outputs[Vector]"), 0)), 0)</f>
        <v>0</v>
      </c>
      <c r="AW17" s="593">
        <f t="shared" ca="1" si="38"/>
        <v>0</v>
      </c>
      <c r="AX17" s="593">
        <f t="shared" ca="1" si="38"/>
        <v>0</v>
      </c>
      <c r="AY17" s="593">
        <f t="shared" ca="1" si="38"/>
        <v>0</v>
      </c>
      <c r="AZ17" s="593">
        <f t="shared" ca="1" si="38"/>
        <v>0</v>
      </c>
      <c r="BA17" s="593">
        <f t="shared" ca="1" si="38"/>
        <v>0</v>
      </c>
      <c r="BB17" s="593">
        <f t="shared" ca="1" si="38"/>
        <v>0</v>
      </c>
      <c r="BC17" s="593">
        <f t="shared" ca="1" si="38"/>
        <v>0</v>
      </c>
      <c r="BD17" s="593">
        <f t="shared" ca="1" si="38"/>
        <v>0</v>
      </c>
      <c r="BE17" s="593">
        <f t="shared" ca="1" si="38"/>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10"/>
        <v>0</v>
      </c>
      <c r="BM17" s="610"/>
      <c r="BN17" s="413"/>
      <c r="BO17" s="2789">
        <f t="shared" ref="BO17:BX18" ca="1" si="39">IFERROR(SUMIFS(INDIRECT($C17&amp;".Emissions["&amp;this.Year&amp;"]"), INDIRECT($C17&amp;".Emissions[GHG]"), BO$6, INDIRECT($C17&amp;".Emissions[IPCC Sector]"), BO$5),0)</f>
        <v>9.4719647638795715E-2</v>
      </c>
      <c r="BP17" s="2790">
        <f t="shared" ca="1" si="39"/>
        <v>3.4978328387548324E-5</v>
      </c>
      <c r="BQ17" s="2790">
        <f t="shared" ca="1" si="39"/>
        <v>1.4974055819240923E-3</v>
      </c>
      <c r="BR17" s="2790">
        <f t="shared" ca="1" si="39"/>
        <v>0</v>
      </c>
      <c r="BS17" s="2790">
        <f t="shared" ca="1" si="39"/>
        <v>0</v>
      </c>
      <c r="BT17" s="2790">
        <f t="shared" ca="1" si="39"/>
        <v>0</v>
      </c>
      <c r="BU17" s="2790">
        <f t="shared" ca="1" si="39"/>
        <v>0</v>
      </c>
      <c r="BV17" s="2790">
        <f t="shared" ca="1" si="39"/>
        <v>0</v>
      </c>
      <c r="BW17" s="2790">
        <f t="shared" ca="1" si="39"/>
        <v>0</v>
      </c>
      <c r="BX17" s="2790">
        <f t="shared" ca="1" si="39"/>
        <v>0</v>
      </c>
      <c r="BY17" s="2790">
        <f t="shared" ref="BY17:CH18" ca="1" si="40">IFERROR(SUMIFS(INDIRECT($C17&amp;".Emissions["&amp;this.Year&amp;"]"), INDIRECT($C17&amp;".Emissions[GHG]"), BY$6, INDIRECT($C17&amp;".Emissions[IPCC Sector]"), BY$5),0)</f>
        <v>0</v>
      </c>
      <c r="BZ17" s="2790">
        <f t="shared" ca="1" si="40"/>
        <v>0</v>
      </c>
      <c r="CA17" s="2790">
        <f t="shared" ca="1" si="40"/>
        <v>0</v>
      </c>
      <c r="CB17" s="2790">
        <f t="shared" ca="1" si="40"/>
        <v>0</v>
      </c>
      <c r="CC17" s="2790">
        <f t="shared" ca="1" si="40"/>
        <v>0</v>
      </c>
      <c r="CD17" s="2790">
        <f t="shared" ca="1" si="40"/>
        <v>0</v>
      </c>
      <c r="CE17" s="2790">
        <f t="shared" ca="1" si="40"/>
        <v>0</v>
      </c>
      <c r="CF17" s="2790">
        <f t="shared" ca="1" si="40"/>
        <v>0</v>
      </c>
      <c r="CG17" s="2790">
        <f t="shared" ca="1" si="40"/>
        <v>0</v>
      </c>
      <c r="CH17" s="2790">
        <f t="shared" ca="1" si="40"/>
        <v>0</v>
      </c>
      <c r="CI17" s="2790">
        <f t="shared" ref="CI17:CR18" ca="1" si="41">IFERROR(SUMIFS(INDIRECT($C17&amp;".Emissions["&amp;this.Year&amp;"]"), INDIRECT($C17&amp;".Emissions[GHG]"), CI$6, INDIRECT($C17&amp;".Emissions[IPCC Sector]"), CI$5),0)</f>
        <v>0</v>
      </c>
      <c r="CJ17" s="2790">
        <f t="shared" ca="1" si="41"/>
        <v>0</v>
      </c>
      <c r="CK17" s="2790">
        <f t="shared" ca="1" si="41"/>
        <v>0</v>
      </c>
      <c r="CL17" s="2790">
        <f t="shared" ca="1" si="41"/>
        <v>0</v>
      </c>
      <c r="CM17" s="2790">
        <f t="shared" ca="1" si="41"/>
        <v>0</v>
      </c>
      <c r="CN17" s="2790">
        <f t="shared" ca="1" si="41"/>
        <v>0</v>
      </c>
      <c r="CO17" s="2790">
        <f t="shared" ca="1" si="41"/>
        <v>0</v>
      </c>
      <c r="CP17" s="2790">
        <f t="shared" ca="1" si="41"/>
        <v>0</v>
      </c>
      <c r="CQ17" s="2790">
        <f t="shared" ca="1" si="41"/>
        <v>0</v>
      </c>
      <c r="CR17" s="2790">
        <f t="shared" ca="1" si="41"/>
        <v>0</v>
      </c>
      <c r="CS17" s="2790">
        <f t="shared" ref="CS17:DF18" ca="1" si="42">IFERROR(SUMIFS(INDIRECT($C17&amp;".Emissions["&amp;this.Year&amp;"]"), INDIRECT($C17&amp;".Emissions[GHG]"), CS$6, INDIRECT($C17&amp;".Emissions[IPCC Sector]"), CS$5),0)</f>
        <v>0</v>
      </c>
      <c r="CT17" s="2790">
        <f t="shared" ca="1" si="42"/>
        <v>0</v>
      </c>
      <c r="CU17" s="2790">
        <f t="shared" ca="1" si="42"/>
        <v>0</v>
      </c>
      <c r="CV17" s="2790">
        <f t="shared" ca="1" si="42"/>
        <v>0</v>
      </c>
      <c r="CW17" s="2790">
        <f t="shared" ca="1" si="42"/>
        <v>0</v>
      </c>
      <c r="CX17" s="2790">
        <f t="shared" ca="1" si="42"/>
        <v>0</v>
      </c>
      <c r="CY17" s="2790">
        <f t="shared" ca="1" si="42"/>
        <v>0</v>
      </c>
      <c r="CZ17" s="2790">
        <f t="shared" ca="1" si="42"/>
        <v>0</v>
      </c>
      <c r="DA17" s="2790">
        <f t="shared" ca="1" si="42"/>
        <v>0</v>
      </c>
      <c r="DB17" s="2790">
        <f t="shared" ca="1" si="42"/>
        <v>0</v>
      </c>
      <c r="DC17" s="2790">
        <f t="shared" ca="1" si="42"/>
        <v>0</v>
      </c>
      <c r="DD17" s="2790">
        <f t="shared" ca="1" si="42"/>
        <v>0</v>
      </c>
      <c r="DE17" s="2790">
        <f t="shared" ca="1" si="42"/>
        <v>0</v>
      </c>
      <c r="DF17" s="2790">
        <f t="shared" ca="1" si="42"/>
        <v>0</v>
      </c>
      <c r="DH17" s="596">
        <f t="shared" ca="1" si="33"/>
        <v>9.6252031549107345E-2</v>
      </c>
    </row>
    <row r="18" spans="1:112" s="6" customFormat="1" ht="12.75" customHeight="1" outlineLevel="1">
      <c r="A18" s="607"/>
      <c r="B18" s="607"/>
      <c r="C18" s="587" t="s">
        <v>472</v>
      </c>
      <c r="D18" s="611" t="s">
        <v>473</v>
      </c>
      <c r="E18" s="611"/>
      <c r="G18" s="619">
        <f t="shared" ca="1" si="34"/>
        <v>0</v>
      </c>
      <c r="H18" s="619">
        <f t="shared" ca="1" si="34"/>
        <v>4.9295675675675703</v>
      </c>
      <c r="I18" s="619">
        <f t="shared" ca="1" si="34"/>
        <v>0</v>
      </c>
      <c r="J18" s="619">
        <f t="shared" ca="1" si="34"/>
        <v>0</v>
      </c>
      <c r="K18" s="619">
        <f t="shared" ca="1" si="34"/>
        <v>0</v>
      </c>
      <c r="L18" s="619">
        <f t="shared" ca="1" si="34"/>
        <v>0</v>
      </c>
      <c r="M18" s="619">
        <f t="shared" ca="1" si="34"/>
        <v>0</v>
      </c>
      <c r="N18" s="619">
        <f t="shared" ca="1" si="34"/>
        <v>0</v>
      </c>
      <c r="O18" s="619">
        <f t="shared" ca="1" si="34"/>
        <v>0</v>
      </c>
      <c r="P18" s="619">
        <f t="shared" ca="1" si="34"/>
        <v>0</v>
      </c>
      <c r="Q18" s="612">
        <f ca="1">SUM(G18:P18)</f>
        <v>4.9295675675675703</v>
      </c>
      <c r="S18" s="620">
        <f t="shared" ca="1" si="35"/>
        <v>-4.4391891891891904</v>
      </c>
      <c r="T18" s="620">
        <f t="shared" ca="1" si="35"/>
        <v>0</v>
      </c>
      <c r="U18" s="620">
        <f t="shared" ca="1" si="35"/>
        <v>0</v>
      </c>
      <c r="V18" s="620">
        <f t="shared" ca="1" si="35"/>
        <v>0</v>
      </c>
      <c r="W18" s="620">
        <f t="shared" ca="1" si="35"/>
        <v>-0.49037837837838005</v>
      </c>
      <c r="X18" s="620">
        <f t="shared" ca="1" si="36"/>
        <v>0</v>
      </c>
      <c r="Y18" s="620">
        <f t="shared" ca="1" si="36"/>
        <v>0</v>
      </c>
      <c r="Z18" s="620">
        <f t="shared" ca="1" si="36"/>
        <v>0</v>
      </c>
      <c r="AA18" s="620">
        <f t="shared" ca="1" si="35"/>
        <v>0</v>
      </c>
      <c r="AB18" s="620">
        <f t="shared" ca="1" si="35"/>
        <v>0</v>
      </c>
      <c r="AC18" s="620">
        <f t="shared" ca="1" si="35"/>
        <v>0</v>
      </c>
      <c r="AD18" s="620">
        <f t="shared" ca="1" si="35"/>
        <v>0</v>
      </c>
      <c r="AE18" s="620">
        <f t="shared" ca="1" si="35"/>
        <v>0</v>
      </c>
      <c r="AF18" s="620">
        <f t="shared" ca="1" si="35"/>
        <v>0</v>
      </c>
      <c r="AG18" s="620">
        <f t="shared" ca="1" si="35"/>
        <v>0</v>
      </c>
      <c r="AH18" s="620">
        <f t="shared" ca="1" si="35"/>
        <v>0</v>
      </c>
      <c r="AI18" s="620">
        <f t="shared" ca="1" si="35"/>
        <v>0</v>
      </c>
      <c r="AJ18" s="620">
        <f t="shared" ca="1" si="35"/>
        <v>0</v>
      </c>
      <c r="AK18" s="613">
        <f ca="1">SUM(S18:AJ18)</f>
        <v>-4.9295675675675703</v>
      </c>
      <c r="AM18" s="621">
        <f t="shared" ca="1" si="37"/>
        <v>0</v>
      </c>
      <c r="AN18" s="621">
        <f t="shared" ca="1" si="37"/>
        <v>0</v>
      </c>
      <c r="AO18" s="621">
        <f t="shared" ca="1" si="37"/>
        <v>0</v>
      </c>
      <c r="AP18" s="621">
        <f t="shared" ca="1" si="37"/>
        <v>0</v>
      </c>
      <c r="AQ18" s="621">
        <f t="shared" ca="1" si="37"/>
        <v>0</v>
      </c>
      <c r="AR18" s="621">
        <f t="shared" ca="1" si="37"/>
        <v>0</v>
      </c>
      <c r="AS18" s="621">
        <f t="shared" ca="1" si="37"/>
        <v>0</v>
      </c>
      <c r="AT18" s="621">
        <f t="shared" ca="1" si="37"/>
        <v>0</v>
      </c>
      <c r="AU18" s="621">
        <f t="shared" ca="1" si="37"/>
        <v>0</v>
      </c>
      <c r="AV18" s="621">
        <f t="shared" ca="1" si="38"/>
        <v>0</v>
      </c>
      <c r="AW18" s="621">
        <f t="shared" ca="1" si="38"/>
        <v>0</v>
      </c>
      <c r="AX18" s="621">
        <f t="shared" ca="1" si="38"/>
        <v>0</v>
      </c>
      <c r="AY18" s="621">
        <f t="shared" ca="1" si="38"/>
        <v>0</v>
      </c>
      <c r="AZ18" s="621">
        <f t="shared" ca="1" si="38"/>
        <v>0</v>
      </c>
      <c r="BA18" s="621">
        <f t="shared" ca="1" si="38"/>
        <v>0</v>
      </c>
      <c r="BB18" s="621">
        <f t="shared" ca="1" si="38"/>
        <v>0</v>
      </c>
      <c r="BC18" s="621">
        <f t="shared" ca="1" si="38"/>
        <v>0</v>
      </c>
      <c r="BD18" s="621">
        <f t="shared" ca="1" si="38"/>
        <v>0</v>
      </c>
      <c r="BE18" s="621">
        <f t="shared" ca="1" si="38"/>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10"/>
        <v>0</v>
      </c>
      <c r="BM18" s="610"/>
      <c r="BN18" s="413"/>
      <c r="BO18" s="2791">
        <f t="shared" ca="1" si="39"/>
        <v>0.10039085007567601</v>
      </c>
      <c r="BP18" s="2792">
        <f t="shared" ca="1" si="39"/>
        <v>3.7072605405405535E-5</v>
      </c>
      <c r="BQ18" s="2792">
        <f t="shared" ca="1" si="39"/>
        <v>1.5870605837837893E-3</v>
      </c>
      <c r="BR18" s="2792">
        <f t="shared" ca="1" si="39"/>
        <v>0</v>
      </c>
      <c r="BS18" s="2792">
        <f t="shared" ca="1" si="39"/>
        <v>0</v>
      </c>
      <c r="BT18" s="2792">
        <f t="shared" ca="1" si="39"/>
        <v>0</v>
      </c>
      <c r="BU18" s="2792">
        <f t="shared" ca="1" si="39"/>
        <v>0</v>
      </c>
      <c r="BV18" s="2792">
        <f t="shared" ca="1" si="39"/>
        <v>0</v>
      </c>
      <c r="BW18" s="2792">
        <f t="shared" ca="1" si="39"/>
        <v>0</v>
      </c>
      <c r="BX18" s="2792">
        <f t="shared" ca="1" si="39"/>
        <v>0</v>
      </c>
      <c r="BY18" s="2792">
        <f t="shared" ca="1" si="40"/>
        <v>0</v>
      </c>
      <c r="BZ18" s="2792">
        <f t="shared" ca="1" si="40"/>
        <v>0</v>
      </c>
      <c r="CA18" s="2792">
        <f t="shared" ca="1" si="40"/>
        <v>0</v>
      </c>
      <c r="CB18" s="2792">
        <f t="shared" ca="1" si="40"/>
        <v>0</v>
      </c>
      <c r="CC18" s="2792">
        <f t="shared" ca="1" si="40"/>
        <v>0</v>
      </c>
      <c r="CD18" s="2792">
        <f t="shared" ca="1" si="40"/>
        <v>0</v>
      </c>
      <c r="CE18" s="2792">
        <f t="shared" ca="1" si="40"/>
        <v>0</v>
      </c>
      <c r="CF18" s="2792">
        <f t="shared" ca="1" si="40"/>
        <v>0</v>
      </c>
      <c r="CG18" s="2792">
        <f t="shared" ca="1" si="40"/>
        <v>0</v>
      </c>
      <c r="CH18" s="2792">
        <f t="shared" ca="1" si="40"/>
        <v>0</v>
      </c>
      <c r="CI18" s="2792">
        <f t="shared" ca="1" si="41"/>
        <v>0</v>
      </c>
      <c r="CJ18" s="2792">
        <f t="shared" ca="1" si="41"/>
        <v>0</v>
      </c>
      <c r="CK18" s="2792">
        <f t="shared" ca="1" si="41"/>
        <v>0</v>
      </c>
      <c r="CL18" s="2792">
        <f t="shared" ca="1" si="41"/>
        <v>0</v>
      </c>
      <c r="CM18" s="2792">
        <f t="shared" ca="1" si="41"/>
        <v>0</v>
      </c>
      <c r="CN18" s="2792">
        <f t="shared" ca="1" si="41"/>
        <v>0</v>
      </c>
      <c r="CO18" s="2792">
        <f t="shared" ca="1" si="41"/>
        <v>0</v>
      </c>
      <c r="CP18" s="2792">
        <f t="shared" ca="1" si="41"/>
        <v>0</v>
      </c>
      <c r="CQ18" s="2792">
        <f t="shared" ca="1" si="41"/>
        <v>0</v>
      </c>
      <c r="CR18" s="2792">
        <f t="shared" ca="1" si="41"/>
        <v>0</v>
      </c>
      <c r="CS18" s="2792">
        <f t="shared" ca="1" si="42"/>
        <v>0</v>
      </c>
      <c r="CT18" s="2792">
        <f t="shared" ca="1" si="42"/>
        <v>0</v>
      </c>
      <c r="CU18" s="2792">
        <f t="shared" ca="1" si="42"/>
        <v>0</v>
      </c>
      <c r="CV18" s="2792">
        <f t="shared" ca="1" si="42"/>
        <v>0</v>
      </c>
      <c r="CW18" s="2792">
        <f t="shared" ca="1" si="42"/>
        <v>0</v>
      </c>
      <c r="CX18" s="2792">
        <f t="shared" ca="1" si="42"/>
        <v>0</v>
      </c>
      <c r="CY18" s="2792">
        <f t="shared" ca="1" si="42"/>
        <v>0</v>
      </c>
      <c r="CZ18" s="2792">
        <f t="shared" ca="1" si="42"/>
        <v>0</v>
      </c>
      <c r="DA18" s="2792">
        <f t="shared" ca="1" si="42"/>
        <v>0</v>
      </c>
      <c r="DB18" s="2792">
        <f t="shared" ca="1" si="42"/>
        <v>0</v>
      </c>
      <c r="DC18" s="2792">
        <f t="shared" ca="1" si="42"/>
        <v>0</v>
      </c>
      <c r="DD18" s="2792">
        <f t="shared" ca="1" si="42"/>
        <v>0</v>
      </c>
      <c r="DE18" s="2792">
        <f t="shared" ca="1" si="42"/>
        <v>0</v>
      </c>
      <c r="DF18" s="2792">
        <f t="shared" ca="1" si="42"/>
        <v>0</v>
      </c>
      <c r="DH18" s="596">
        <f t="shared" ca="1" si="33"/>
        <v>0.1020149832648652</v>
      </c>
    </row>
    <row r="19" spans="1:112" s="6" customFormat="1" ht="15.75">
      <c r="A19" s="4"/>
      <c r="B19" s="3"/>
      <c r="C19" s="616" t="s">
        <v>474</v>
      </c>
      <c r="D19" s="617" t="s">
        <v>83</v>
      </c>
      <c r="E19" s="206"/>
      <c r="G19" s="618">
        <f ca="1">G17+G18</f>
        <v>0</v>
      </c>
      <c r="H19" s="618">
        <f t="shared" ref="H19:P19" ca="1" si="43">H17+H18</f>
        <v>11.184010444635474</v>
      </c>
      <c r="I19" s="618">
        <f t="shared" ca="1" si="43"/>
        <v>0</v>
      </c>
      <c r="J19" s="618">
        <f t="shared" ca="1" si="43"/>
        <v>0</v>
      </c>
      <c r="K19" s="618">
        <f t="shared" ca="1" si="43"/>
        <v>0</v>
      </c>
      <c r="L19" s="618">
        <f t="shared" ca="1" si="43"/>
        <v>0</v>
      </c>
      <c r="M19" s="618">
        <f t="shared" ca="1" si="43"/>
        <v>0</v>
      </c>
      <c r="N19" s="618">
        <f ca="1">N17+N18</f>
        <v>0</v>
      </c>
      <c r="O19" s="618">
        <f ca="1">O17+O18</f>
        <v>0</v>
      </c>
      <c r="P19" s="618">
        <f t="shared" ca="1" si="43"/>
        <v>0</v>
      </c>
      <c r="Q19" s="618">
        <f ca="1">SUM(G19:P19)</f>
        <v>11.184010444635474</v>
      </c>
      <c r="S19" s="581">
        <f ca="1">S17+S18</f>
        <v>-10.230955764834498</v>
      </c>
      <c r="T19" s="581">
        <f t="shared" ref="T19:AJ19" ca="1" si="44">T17+T18</f>
        <v>0</v>
      </c>
      <c r="U19" s="581">
        <f t="shared" ca="1" si="44"/>
        <v>0</v>
      </c>
      <c r="V19" s="581">
        <f t="shared" ca="1" si="44"/>
        <v>0</v>
      </c>
      <c r="W19" s="581">
        <f t="shared" ca="1" si="44"/>
        <v>-0.95305467980097691</v>
      </c>
      <c r="X19" s="581">
        <f ca="1">X17+X18</f>
        <v>0</v>
      </c>
      <c r="Y19" s="581">
        <f ca="1">Y17+Y18</f>
        <v>0</v>
      </c>
      <c r="Z19" s="581">
        <f ca="1">Z17+Z18</f>
        <v>0</v>
      </c>
      <c r="AA19" s="581">
        <f t="shared" ca="1" si="44"/>
        <v>0</v>
      </c>
      <c r="AB19" s="581">
        <f t="shared" ca="1" si="44"/>
        <v>0</v>
      </c>
      <c r="AC19" s="581">
        <f t="shared" ca="1" si="44"/>
        <v>0</v>
      </c>
      <c r="AD19" s="581">
        <f ca="1">AD17+AD18</f>
        <v>0</v>
      </c>
      <c r="AE19" s="581">
        <f ca="1">AE17+AE18</f>
        <v>0</v>
      </c>
      <c r="AF19" s="581">
        <f t="shared" ca="1" si="44"/>
        <v>0</v>
      </c>
      <c r="AG19" s="581">
        <f ca="1">AG17+AG18</f>
        <v>0</v>
      </c>
      <c r="AH19" s="581">
        <f ca="1">AH17+AH18</f>
        <v>0</v>
      </c>
      <c r="AI19" s="581">
        <f ca="1">AI17+AI18</f>
        <v>0</v>
      </c>
      <c r="AJ19" s="581">
        <f t="shared" ca="1" si="44"/>
        <v>0</v>
      </c>
      <c r="AK19" s="581">
        <f ca="1">SUM(S19:AJ19)</f>
        <v>-11.184010444635474</v>
      </c>
      <c r="AM19" s="582">
        <f t="shared" ref="AM19:BE19" ca="1" si="45">AM17+AM18</f>
        <v>0</v>
      </c>
      <c r="AN19" s="582">
        <f t="shared" ca="1" si="45"/>
        <v>0</v>
      </c>
      <c r="AO19" s="582">
        <f t="shared" ca="1" si="45"/>
        <v>0</v>
      </c>
      <c r="AP19" s="582">
        <f t="shared" ca="1" si="45"/>
        <v>0</v>
      </c>
      <c r="AQ19" s="582">
        <f t="shared" ca="1" si="45"/>
        <v>0</v>
      </c>
      <c r="AR19" s="582">
        <f t="shared" ca="1" si="45"/>
        <v>0</v>
      </c>
      <c r="AS19" s="582">
        <f t="shared" ca="1" si="45"/>
        <v>0</v>
      </c>
      <c r="AT19" s="582">
        <f t="shared" ca="1" si="45"/>
        <v>0</v>
      </c>
      <c r="AU19" s="582">
        <f t="shared" ca="1" si="45"/>
        <v>0</v>
      </c>
      <c r="AV19" s="582">
        <f t="shared" ca="1" si="45"/>
        <v>0</v>
      </c>
      <c r="AW19" s="582">
        <f t="shared" ca="1" si="45"/>
        <v>0</v>
      </c>
      <c r="AX19" s="582">
        <f t="shared" ca="1" si="45"/>
        <v>0</v>
      </c>
      <c r="AY19" s="582">
        <f t="shared" ca="1" si="45"/>
        <v>0</v>
      </c>
      <c r="AZ19" s="582">
        <f t="shared" ca="1" si="45"/>
        <v>0</v>
      </c>
      <c r="BA19" s="582">
        <f t="shared" ca="1" si="45"/>
        <v>0</v>
      </c>
      <c r="BB19" s="582">
        <f t="shared" ca="1" si="45"/>
        <v>0</v>
      </c>
      <c r="BC19" s="582">
        <f t="shared" ca="1" si="45"/>
        <v>0</v>
      </c>
      <c r="BD19" s="582">
        <f ca="1">BD17+BD18</f>
        <v>0</v>
      </c>
      <c r="BE19" s="582">
        <f t="shared" ca="1" si="45"/>
        <v>0</v>
      </c>
      <c r="BF19" s="582">
        <f ca="1">SUM(AM19:BE19)</f>
        <v>0</v>
      </c>
      <c r="BH19" s="3463">
        <f ca="1">BH17+BH18</f>
        <v>0</v>
      </c>
      <c r="BI19" s="3463">
        <f ca="1">BI17+BI18</f>
        <v>0</v>
      </c>
      <c r="BJ19" s="3463">
        <f ca="1">SUM(BH19:BI19)</f>
        <v>0</v>
      </c>
      <c r="BL19" s="3477">
        <f t="shared" ca="1" si="10"/>
        <v>0</v>
      </c>
      <c r="BM19" s="584"/>
      <c r="BN19" s="413"/>
      <c r="BO19" s="2790">
        <f t="shared" ref="BO19:DF19" ca="1" si="46">BO17+BO18</f>
        <v>0.19511049771447173</v>
      </c>
      <c r="BP19" s="2790">
        <f t="shared" ca="1" si="46"/>
        <v>7.2050933792953866E-5</v>
      </c>
      <c r="BQ19" s="2790">
        <f t="shared" ca="1" si="46"/>
        <v>3.0844661657078816E-3</v>
      </c>
      <c r="BR19" s="2790">
        <f t="shared" ca="1" si="46"/>
        <v>0</v>
      </c>
      <c r="BS19" s="2790">
        <f t="shared" ca="1" si="46"/>
        <v>0</v>
      </c>
      <c r="BT19" s="2790">
        <f t="shared" ca="1" si="46"/>
        <v>0</v>
      </c>
      <c r="BU19" s="2790">
        <f t="shared" ca="1" si="46"/>
        <v>0</v>
      </c>
      <c r="BV19" s="2790">
        <f t="shared" ca="1" si="46"/>
        <v>0</v>
      </c>
      <c r="BW19" s="2790">
        <f t="shared" ca="1" si="46"/>
        <v>0</v>
      </c>
      <c r="BX19" s="2790">
        <f t="shared" ca="1" si="46"/>
        <v>0</v>
      </c>
      <c r="BY19" s="2790">
        <f t="shared" ca="1" si="46"/>
        <v>0</v>
      </c>
      <c r="BZ19" s="2790">
        <f t="shared" ca="1" si="46"/>
        <v>0</v>
      </c>
      <c r="CA19" s="2790">
        <f t="shared" ca="1" si="46"/>
        <v>0</v>
      </c>
      <c r="CB19" s="2790">
        <f t="shared" ca="1" si="46"/>
        <v>0</v>
      </c>
      <c r="CC19" s="2790">
        <f t="shared" ca="1" si="46"/>
        <v>0</v>
      </c>
      <c r="CD19" s="2790">
        <f t="shared" ca="1" si="46"/>
        <v>0</v>
      </c>
      <c r="CE19" s="2790">
        <f t="shared" ca="1" si="46"/>
        <v>0</v>
      </c>
      <c r="CF19" s="2790">
        <f t="shared" ca="1" si="46"/>
        <v>0</v>
      </c>
      <c r="CG19" s="2790">
        <f t="shared" ca="1" si="46"/>
        <v>0</v>
      </c>
      <c r="CH19" s="2790">
        <f t="shared" ca="1" si="46"/>
        <v>0</v>
      </c>
      <c r="CI19" s="2790">
        <f t="shared" ca="1" si="46"/>
        <v>0</v>
      </c>
      <c r="CJ19" s="2790">
        <f t="shared" ca="1" si="46"/>
        <v>0</v>
      </c>
      <c r="CK19" s="2790">
        <f t="shared" ca="1" si="46"/>
        <v>0</v>
      </c>
      <c r="CL19" s="2790">
        <f t="shared" ca="1" si="46"/>
        <v>0</v>
      </c>
      <c r="CM19" s="2790">
        <f t="shared" ca="1" si="46"/>
        <v>0</v>
      </c>
      <c r="CN19" s="2790">
        <f t="shared" ca="1" si="46"/>
        <v>0</v>
      </c>
      <c r="CO19" s="2790">
        <f t="shared" ca="1" si="46"/>
        <v>0</v>
      </c>
      <c r="CP19" s="2790">
        <f t="shared" ca="1" si="46"/>
        <v>0</v>
      </c>
      <c r="CQ19" s="2790">
        <f t="shared" ca="1" si="46"/>
        <v>0</v>
      </c>
      <c r="CR19" s="2790">
        <f t="shared" ca="1" si="46"/>
        <v>0</v>
      </c>
      <c r="CS19" s="2790">
        <f t="shared" ca="1" si="46"/>
        <v>0</v>
      </c>
      <c r="CT19" s="2790">
        <f t="shared" ca="1" si="46"/>
        <v>0</v>
      </c>
      <c r="CU19" s="2790">
        <f t="shared" ca="1" si="46"/>
        <v>0</v>
      </c>
      <c r="CV19" s="2790">
        <f t="shared" ca="1" si="46"/>
        <v>0</v>
      </c>
      <c r="CW19" s="2790">
        <f t="shared" ca="1" si="46"/>
        <v>0</v>
      </c>
      <c r="CX19" s="2790">
        <f t="shared" ca="1" si="46"/>
        <v>0</v>
      </c>
      <c r="CY19" s="2790">
        <f t="shared" ca="1" si="46"/>
        <v>0</v>
      </c>
      <c r="CZ19" s="2790">
        <f t="shared" ca="1" si="46"/>
        <v>0</v>
      </c>
      <c r="DA19" s="2790">
        <f t="shared" ca="1" si="46"/>
        <v>0</v>
      </c>
      <c r="DB19" s="2790">
        <f t="shared" ca="1" si="46"/>
        <v>0</v>
      </c>
      <c r="DC19" s="2790">
        <f t="shared" ca="1" si="46"/>
        <v>0</v>
      </c>
      <c r="DD19" s="2790">
        <f t="shared" ca="1" si="46"/>
        <v>0</v>
      </c>
      <c r="DE19" s="2790">
        <f t="shared" ca="1" si="46"/>
        <v>0</v>
      </c>
      <c r="DF19" s="2790">
        <f t="shared" ca="1" si="46"/>
        <v>0</v>
      </c>
      <c r="DH19" s="596">
        <f t="shared" ca="1" si="33"/>
        <v>0.19826701481397255</v>
      </c>
    </row>
    <row r="20" spans="1:112" s="6" customFormat="1" ht="12.75" customHeight="1" outlineLevel="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10"/>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3"/>
        <v>0</v>
      </c>
    </row>
    <row r="21" spans="1:112" s="6" customFormat="1" ht="12.75" customHeight="1" outlineLevel="1">
      <c r="A21" s="607"/>
      <c r="B21" s="607"/>
      <c r="C21" s="587" t="s">
        <v>475</v>
      </c>
      <c r="D21" s="611" t="s">
        <v>476</v>
      </c>
      <c r="E21" s="611"/>
      <c r="G21" s="619">
        <f t="shared" ref="G21:P21" ca="1" si="47">IFERROR(INDEX(INDIRECT($C21&amp;".Outputs["&amp;this.Year&amp;"]"), MATCH(G$5, INDIRECT($C21&amp;".Outputs[Vector]"), 0)), 0)</f>
        <v>0</v>
      </c>
      <c r="H21" s="619">
        <f t="shared" ca="1" si="47"/>
        <v>0</v>
      </c>
      <c r="I21" s="619">
        <f t="shared" ca="1" si="47"/>
        <v>29.4445718111728</v>
      </c>
      <c r="J21" s="619">
        <f t="shared" ca="1" si="47"/>
        <v>0</v>
      </c>
      <c r="K21" s="619">
        <f t="shared" ca="1" si="47"/>
        <v>0</v>
      </c>
      <c r="L21" s="619">
        <f t="shared" ca="1" si="47"/>
        <v>0</v>
      </c>
      <c r="M21" s="619">
        <f t="shared" ca="1" si="47"/>
        <v>0</v>
      </c>
      <c r="N21" s="619">
        <f t="shared" ca="1" si="47"/>
        <v>0</v>
      </c>
      <c r="O21" s="619">
        <f t="shared" ca="1" si="47"/>
        <v>0</v>
      </c>
      <c r="P21" s="619">
        <f t="shared" ca="1" si="47"/>
        <v>0</v>
      </c>
      <c r="Q21" s="612">
        <f ca="1">SUM(G21:P21)</f>
        <v>29.4445718111728</v>
      </c>
      <c r="S21" s="620">
        <f t="shared" ref="S21:AJ21" ca="1" si="48">IFERROR(INDEX(INDIRECT($C21&amp;".Outputs["&amp;this.Year&amp;"]"), MATCH(S$5, INDIRECT($C21&amp;".Outputs[Vector]"), 0)), 0)</f>
        <v>-10.524820012535409</v>
      </c>
      <c r="T21" s="620">
        <f t="shared" ca="1" si="48"/>
        <v>0</v>
      </c>
      <c r="U21" s="620">
        <f t="shared" ca="1" si="48"/>
        <v>-3.5233789277701968</v>
      </c>
      <c r="V21" s="620">
        <f t="shared" ca="1" si="48"/>
        <v>-7.1940373605597259</v>
      </c>
      <c r="W21" s="620">
        <f t="shared" ca="1" si="48"/>
        <v>-8.2023355103074671</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8"/>
        <v>0</v>
      </c>
      <c r="AB21" s="620">
        <f t="shared" ca="1" si="48"/>
        <v>0</v>
      </c>
      <c r="AC21" s="620">
        <f t="shared" ca="1" si="48"/>
        <v>0</v>
      </c>
      <c r="AD21" s="620">
        <f t="shared" ca="1" si="48"/>
        <v>0</v>
      </c>
      <c r="AE21" s="620">
        <f t="shared" ca="1" si="48"/>
        <v>0</v>
      </c>
      <c r="AF21" s="620">
        <f t="shared" ca="1" si="48"/>
        <v>0</v>
      </c>
      <c r="AG21" s="620">
        <f t="shared" ca="1" si="48"/>
        <v>0</v>
      </c>
      <c r="AH21" s="620">
        <f t="shared" ca="1" si="48"/>
        <v>0</v>
      </c>
      <c r="AI21" s="620">
        <f t="shared" ca="1" si="48"/>
        <v>0</v>
      </c>
      <c r="AJ21" s="620">
        <f t="shared" ca="1" si="48"/>
        <v>0</v>
      </c>
      <c r="AK21" s="613">
        <f ca="1">SUM(S21:AJ21)</f>
        <v>-29.4445718111728</v>
      </c>
      <c r="AM21" s="621">
        <f t="shared" ref="AM21:AU21" ca="1" si="49">IFERROR(INDEX(INDIRECT($C21&amp;".Outputs["&amp;this.Year&amp;"]"), MATCH(AM$5, INDIRECT($C21&amp;".Outputs[Vector]"), 0)), 0)</f>
        <v>0</v>
      </c>
      <c r="AN21" s="621">
        <f t="shared" ca="1" si="49"/>
        <v>0</v>
      </c>
      <c r="AO21" s="621">
        <f t="shared" ca="1" si="49"/>
        <v>0</v>
      </c>
      <c r="AP21" s="621">
        <f t="shared" ca="1" si="49"/>
        <v>0</v>
      </c>
      <c r="AQ21" s="621">
        <f t="shared" ca="1" si="49"/>
        <v>0</v>
      </c>
      <c r="AR21" s="621">
        <f t="shared" ca="1" si="49"/>
        <v>0</v>
      </c>
      <c r="AS21" s="621">
        <f t="shared" ca="1" si="49"/>
        <v>0</v>
      </c>
      <c r="AT21" s="621">
        <f t="shared" ca="1" si="49"/>
        <v>0</v>
      </c>
      <c r="AU21" s="621">
        <f t="shared" ca="1" si="49"/>
        <v>0</v>
      </c>
      <c r="AV21" s="621">
        <f t="shared" ref="AV21:BE21" ca="1" si="50">IFERROR(INDEX(INDIRECT($C21&amp;".Outputs["&amp;this.Year&amp;"]"), MATCH(AV$5, INDIRECT($C21&amp;".Outputs[Vector]"), 0)), 0)</f>
        <v>0</v>
      </c>
      <c r="AW21" s="621">
        <f t="shared" ca="1" si="50"/>
        <v>0</v>
      </c>
      <c r="AX21" s="621">
        <f t="shared" ca="1" si="50"/>
        <v>0</v>
      </c>
      <c r="AY21" s="621">
        <f t="shared" ca="1" si="50"/>
        <v>0</v>
      </c>
      <c r="AZ21" s="621">
        <f t="shared" ca="1" si="50"/>
        <v>0</v>
      </c>
      <c r="BA21" s="621">
        <f t="shared" ca="1" si="50"/>
        <v>0</v>
      </c>
      <c r="BB21" s="621">
        <f t="shared" ca="1" si="50"/>
        <v>0</v>
      </c>
      <c r="BC21" s="621">
        <f t="shared" ca="1" si="50"/>
        <v>0</v>
      </c>
      <c r="BD21" s="621">
        <f t="shared" ca="1" si="50"/>
        <v>0</v>
      </c>
      <c r="BE21" s="621">
        <f t="shared" ca="1" si="50"/>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10"/>
        <v>0</v>
      </c>
      <c r="BM21" s="610"/>
      <c r="BN21" s="413"/>
      <c r="BO21" s="2791">
        <f t="shared" ref="BO21:DF21" ca="1" si="51">IFERROR(SUMIFS(INDIRECT($C21&amp;".Emissions["&amp;this.Year&amp;"]"), INDIRECT($C21&amp;".Emissions[GHG]"), BO$6, INDIRECT($C21&amp;".Emissions[IPCC Sector]"), BO$5),0)</f>
        <v>4.7671261968804579</v>
      </c>
      <c r="BP21" s="2792">
        <f t="shared" ca="1" si="51"/>
        <v>2.4381614508117893E-3</v>
      </c>
      <c r="BQ21" s="2792">
        <f t="shared" ca="1" si="51"/>
        <v>3.3329211503885646E-2</v>
      </c>
      <c r="BR21" s="2792">
        <f t="shared" ca="1" si="51"/>
        <v>0</v>
      </c>
      <c r="BS21" s="2792">
        <f t="shared" ca="1" si="51"/>
        <v>0</v>
      </c>
      <c r="BT21" s="2792">
        <f t="shared" ca="1" si="51"/>
        <v>0</v>
      </c>
      <c r="BU21" s="2792">
        <f t="shared" ca="1" si="51"/>
        <v>0</v>
      </c>
      <c r="BV21" s="2792">
        <f t="shared" ca="1" si="51"/>
        <v>0</v>
      </c>
      <c r="BW21" s="2792">
        <f t="shared" ca="1" si="51"/>
        <v>0.79637266665151207</v>
      </c>
      <c r="BX21" s="2792">
        <f t="shared" ca="1" si="51"/>
        <v>0</v>
      </c>
      <c r="BY21" s="2792">
        <f t="shared" ca="1" si="51"/>
        <v>0</v>
      </c>
      <c r="BZ21" s="2792">
        <f t="shared" ca="1" si="51"/>
        <v>0.7126078919748543</v>
      </c>
      <c r="CA21" s="2792">
        <f t="shared" ca="1" si="51"/>
        <v>0</v>
      </c>
      <c r="CB21" s="2792">
        <f t="shared" ca="1" si="51"/>
        <v>0</v>
      </c>
      <c r="CC21" s="2792">
        <f t="shared" ca="1" si="51"/>
        <v>0</v>
      </c>
      <c r="CD21" s="2792">
        <f t="shared" ca="1" si="51"/>
        <v>0</v>
      </c>
      <c r="CE21" s="2792">
        <f t="shared" ca="1" si="51"/>
        <v>0</v>
      </c>
      <c r="CF21" s="2792">
        <f t="shared" ca="1" si="51"/>
        <v>0</v>
      </c>
      <c r="CG21" s="2792">
        <f t="shared" ca="1" si="51"/>
        <v>0</v>
      </c>
      <c r="CH21" s="2792">
        <f t="shared" ca="1" si="51"/>
        <v>0</v>
      </c>
      <c r="CI21" s="2792">
        <f t="shared" ca="1" si="51"/>
        <v>0</v>
      </c>
      <c r="CJ21" s="2792">
        <f t="shared" ca="1" si="51"/>
        <v>0</v>
      </c>
      <c r="CK21" s="2792">
        <f t="shared" ca="1" si="51"/>
        <v>0</v>
      </c>
      <c r="CL21" s="2792">
        <f t="shared" ca="1" si="51"/>
        <v>0</v>
      </c>
      <c r="CM21" s="2792">
        <f t="shared" ca="1" si="51"/>
        <v>0</v>
      </c>
      <c r="CN21" s="2792">
        <f t="shared" ca="1" si="51"/>
        <v>0</v>
      </c>
      <c r="CO21" s="2792">
        <f t="shared" ca="1" si="51"/>
        <v>0</v>
      </c>
      <c r="CP21" s="2792">
        <f t="shared" ca="1" si="51"/>
        <v>0</v>
      </c>
      <c r="CQ21" s="2792">
        <f t="shared" ca="1" si="51"/>
        <v>0</v>
      </c>
      <c r="CR21" s="2792">
        <f t="shared" ca="1" si="51"/>
        <v>0</v>
      </c>
      <c r="CS21" s="2792">
        <f t="shared" ca="1" si="51"/>
        <v>0</v>
      </c>
      <c r="CT21" s="2792">
        <f t="shared" ca="1" si="51"/>
        <v>0</v>
      </c>
      <c r="CU21" s="2792">
        <f t="shared" ca="1" si="51"/>
        <v>0</v>
      </c>
      <c r="CV21" s="2792">
        <f t="shared" ca="1" si="51"/>
        <v>0</v>
      </c>
      <c r="CW21" s="2792">
        <f t="shared" ca="1" si="51"/>
        <v>0</v>
      </c>
      <c r="CX21" s="2792">
        <f t="shared" ca="1" si="51"/>
        <v>0</v>
      </c>
      <c r="CY21" s="2792">
        <f t="shared" ca="1" si="51"/>
        <v>0</v>
      </c>
      <c r="CZ21" s="2792">
        <f t="shared" ca="1" si="51"/>
        <v>0</v>
      </c>
      <c r="DA21" s="2792">
        <f t="shared" ca="1" si="51"/>
        <v>0</v>
      </c>
      <c r="DB21" s="2792">
        <f t="shared" ca="1" si="51"/>
        <v>0</v>
      </c>
      <c r="DC21" s="2792">
        <f t="shared" ca="1" si="51"/>
        <v>0</v>
      </c>
      <c r="DD21" s="2792">
        <f t="shared" ca="1" si="51"/>
        <v>0</v>
      </c>
      <c r="DE21" s="2792">
        <f t="shared" ca="1" si="51"/>
        <v>0</v>
      </c>
      <c r="DF21" s="2792">
        <f t="shared" ca="1" si="51"/>
        <v>0</v>
      </c>
      <c r="DH21" s="596">
        <f t="shared" ca="1" si="33"/>
        <v>6.311874128461521</v>
      </c>
    </row>
    <row r="22" spans="1:112" s="6" customFormat="1" ht="15.75">
      <c r="A22" s="4"/>
      <c r="B22" s="3"/>
      <c r="C22" s="616" t="s">
        <v>477</v>
      </c>
      <c r="D22" s="617" t="s">
        <v>368</v>
      </c>
      <c r="E22" s="206"/>
      <c r="G22" s="618">
        <f ca="1">G21</f>
        <v>0</v>
      </c>
      <c r="H22" s="618">
        <f t="shared" ref="H22:P22" ca="1" si="52">H21</f>
        <v>0</v>
      </c>
      <c r="I22" s="618">
        <f t="shared" ca="1" si="52"/>
        <v>29.4445718111728</v>
      </c>
      <c r="J22" s="618">
        <f t="shared" ca="1" si="52"/>
        <v>0</v>
      </c>
      <c r="K22" s="618">
        <f t="shared" ca="1" si="52"/>
        <v>0</v>
      </c>
      <c r="L22" s="618">
        <f t="shared" ca="1" si="52"/>
        <v>0</v>
      </c>
      <c r="M22" s="618">
        <f t="shared" ca="1" si="52"/>
        <v>0</v>
      </c>
      <c r="N22" s="618">
        <f t="shared" ca="1" si="52"/>
        <v>0</v>
      </c>
      <c r="O22" s="618">
        <f t="shared" ca="1" si="52"/>
        <v>0</v>
      </c>
      <c r="P22" s="618">
        <f t="shared" ca="1" si="52"/>
        <v>0</v>
      </c>
      <c r="Q22" s="618">
        <f ca="1">SUM(G22:P22)</f>
        <v>29.4445718111728</v>
      </c>
      <c r="S22" s="581">
        <f t="shared" ref="S22:AJ22" ca="1" si="53">S21</f>
        <v>-10.524820012535409</v>
      </c>
      <c r="T22" s="581">
        <f t="shared" ca="1" si="53"/>
        <v>0</v>
      </c>
      <c r="U22" s="581">
        <f t="shared" ca="1" si="53"/>
        <v>-3.5233789277701968</v>
      </c>
      <c r="V22" s="581">
        <f t="shared" ca="1" si="53"/>
        <v>-7.1940373605597259</v>
      </c>
      <c r="W22" s="581">
        <f t="shared" ca="1" si="53"/>
        <v>-8.2023355103074671</v>
      </c>
      <c r="X22" s="581">
        <f t="shared" ca="1" si="53"/>
        <v>0</v>
      </c>
      <c r="Y22" s="581">
        <f t="shared" ca="1" si="53"/>
        <v>0</v>
      </c>
      <c r="Z22" s="581">
        <f t="shared" ca="1" si="53"/>
        <v>0</v>
      </c>
      <c r="AA22" s="581">
        <f t="shared" ca="1" si="53"/>
        <v>0</v>
      </c>
      <c r="AB22" s="581">
        <f t="shared" ca="1" si="53"/>
        <v>0</v>
      </c>
      <c r="AC22" s="581">
        <f t="shared" ca="1" si="53"/>
        <v>0</v>
      </c>
      <c r="AD22" s="581">
        <f t="shared" ca="1" si="53"/>
        <v>0</v>
      </c>
      <c r="AE22" s="581">
        <f ca="1">AE21</f>
        <v>0</v>
      </c>
      <c r="AF22" s="581">
        <f t="shared" ca="1" si="53"/>
        <v>0</v>
      </c>
      <c r="AG22" s="581">
        <f t="shared" ca="1" si="53"/>
        <v>0</v>
      </c>
      <c r="AH22" s="581">
        <f ca="1">AH21</f>
        <v>0</v>
      </c>
      <c r="AI22" s="581">
        <f t="shared" ca="1" si="53"/>
        <v>0</v>
      </c>
      <c r="AJ22" s="581">
        <f t="shared" ca="1" si="53"/>
        <v>0</v>
      </c>
      <c r="AK22" s="581">
        <f ca="1">SUM(S22:AJ22)</f>
        <v>-29.4445718111728</v>
      </c>
      <c r="AM22" s="582">
        <f t="shared" ref="AM22:BE22" ca="1" si="54">AM21</f>
        <v>0</v>
      </c>
      <c r="AN22" s="582">
        <f t="shared" ca="1" si="54"/>
        <v>0</v>
      </c>
      <c r="AO22" s="582">
        <f t="shared" ca="1" si="54"/>
        <v>0</v>
      </c>
      <c r="AP22" s="582">
        <f t="shared" ca="1" si="54"/>
        <v>0</v>
      </c>
      <c r="AQ22" s="582">
        <f t="shared" ca="1" si="54"/>
        <v>0</v>
      </c>
      <c r="AR22" s="582">
        <f t="shared" ca="1" si="54"/>
        <v>0</v>
      </c>
      <c r="AS22" s="582">
        <f t="shared" ca="1" si="54"/>
        <v>0</v>
      </c>
      <c r="AT22" s="582">
        <f t="shared" ca="1" si="54"/>
        <v>0</v>
      </c>
      <c r="AU22" s="582">
        <f t="shared" ca="1" si="54"/>
        <v>0</v>
      </c>
      <c r="AV22" s="582">
        <f t="shared" ca="1" si="54"/>
        <v>0</v>
      </c>
      <c r="AW22" s="582">
        <f t="shared" ca="1" si="54"/>
        <v>0</v>
      </c>
      <c r="AX22" s="582">
        <f t="shared" ca="1" si="54"/>
        <v>0</v>
      </c>
      <c r="AY22" s="582">
        <f t="shared" ca="1" si="54"/>
        <v>0</v>
      </c>
      <c r="AZ22" s="582">
        <f t="shared" ca="1" si="54"/>
        <v>0</v>
      </c>
      <c r="BA22" s="582">
        <f t="shared" ca="1" si="54"/>
        <v>0</v>
      </c>
      <c r="BB22" s="582">
        <f t="shared" ca="1" si="54"/>
        <v>0</v>
      </c>
      <c r="BC22" s="582">
        <f t="shared" ca="1" si="54"/>
        <v>0</v>
      </c>
      <c r="BD22" s="582">
        <f ca="1">BD21</f>
        <v>0</v>
      </c>
      <c r="BE22" s="582">
        <f t="shared" ca="1" si="54"/>
        <v>0</v>
      </c>
      <c r="BF22" s="582">
        <f ca="1">SUM(AM22:BE22)</f>
        <v>0</v>
      </c>
      <c r="BH22" s="3463">
        <f ca="1">BH21</f>
        <v>0</v>
      </c>
      <c r="BI22" s="3463">
        <f ca="1">BI21</f>
        <v>0</v>
      </c>
      <c r="BJ22" s="3463">
        <f ca="1">SUM(BH22:BI22)</f>
        <v>0</v>
      </c>
      <c r="BL22" s="3477">
        <f t="shared" ca="1" si="10"/>
        <v>0</v>
      </c>
      <c r="BM22" s="584"/>
      <c r="BN22" s="413"/>
      <c r="BO22" s="2790">
        <f t="shared" ref="BO22:DF22" ca="1" si="55">BO21</f>
        <v>4.7671261968804579</v>
      </c>
      <c r="BP22" s="2790">
        <f t="shared" ca="1" si="55"/>
        <v>2.4381614508117893E-3</v>
      </c>
      <c r="BQ22" s="2790">
        <f t="shared" ca="1" si="55"/>
        <v>3.3329211503885646E-2</v>
      </c>
      <c r="BR22" s="2790">
        <f t="shared" ca="1" si="55"/>
        <v>0</v>
      </c>
      <c r="BS22" s="2790">
        <f t="shared" ca="1" si="55"/>
        <v>0</v>
      </c>
      <c r="BT22" s="2790">
        <f t="shared" ca="1" si="55"/>
        <v>0</v>
      </c>
      <c r="BU22" s="2790">
        <f t="shared" ca="1" si="55"/>
        <v>0</v>
      </c>
      <c r="BV22" s="2790">
        <f t="shared" ca="1" si="55"/>
        <v>0</v>
      </c>
      <c r="BW22" s="2790">
        <f t="shared" ca="1" si="55"/>
        <v>0.79637266665151207</v>
      </c>
      <c r="BX22" s="2790">
        <f t="shared" ca="1" si="55"/>
        <v>0</v>
      </c>
      <c r="BY22" s="2790">
        <f t="shared" ca="1" si="55"/>
        <v>0</v>
      </c>
      <c r="BZ22" s="2790">
        <f t="shared" ca="1" si="55"/>
        <v>0.7126078919748543</v>
      </c>
      <c r="CA22" s="2790">
        <f t="shared" ca="1" si="55"/>
        <v>0</v>
      </c>
      <c r="CB22" s="2790">
        <f t="shared" ca="1" si="55"/>
        <v>0</v>
      </c>
      <c r="CC22" s="2790">
        <f t="shared" ca="1" si="55"/>
        <v>0</v>
      </c>
      <c r="CD22" s="2790">
        <f t="shared" ca="1" si="55"/>
        <v>0</v>
      </c>
      <c r="CE22" s="2790">
        <f t="shared" ca="1" si="55"/>
        <v>0</v>
      </c>
      <c r="CF22" s="2790">
        <f t="shared" ca="1" si="55"/>
        <v>0</v>
      </c>
      <c r="CG22" s="2790">
        <f t="shared" ca="1" si="55"/>
        <v>0</v>
      </c>
      <c r="CH22" s="2790">
        <f t="shared" ca="1" si="55"/>
        <v>0</v>
      </c>
      <c r="CI22" s="2790">
        <f t="shared" ca="1" si="55"/>
        <v>0</v>
      </c>
      <c r="CJ22" s="2790">
        <f t="shared" ca="1" si="55"/>
        <v>0</v>
      </c>
      <c r="CK22" s="2790">
        <f t="shared" ca="1" si="55"/>
        <v>0</v>
      </c>
      <c r="CL22" s="2790">
        <f t="shared" ca="1" si="55"/>
        <v>0</v>
      </c>
      <c r="CM22" s="2790">
        <f t="shared" ca="1" si="55"/>
        <v>0</v>
      </c>
      <c r="CN22" s="2790">
        <f t="shared" ca="1" si="55"/>
        <v>0</v>
      </c>
      <c r="CO22" s="2790">
        <f t="shared" ca="1" si="55"/>
        <v>0</v>
      </c>
      <c r="CP22" s="2790">
        <f t="shared" ca="1" si="55"/>
        <v>0</v>
      </c>
      <c r="CQ22" s="2790">
        <f t="shared" ca="1" si="55"/>
        <v>0</v>
      </c>
      <c r="CR22" s="2790">
        <f t="shared" ca="1" si="55"/>
        <v>0</v>
      </c>
      <c r="CS22" s="2790">
        <f t="shared" ca="1" si="55"/>
        <v>0</v>
      </c>
      <c r="CT22" s="2790">
        <f t="shared" ca="1" si="55"/>
        <v>0</v>
      </c>
      <c r="CU22" s="2790">
        <f t="shared" ca="1" si="55"/>
        <v>0</v>
      </c>
      <c r="CV22" s="2790">
        <f t="shared" ca="1" si="55"/>
        <v>0</v>
      </c>
      <c r="CW22" s="2790">
        <f t="shared" ca="1" si="55"/>
        <v>0</v>
      </c>
      <c r="CX22" s="2790">
        <f t="shared" ca="1" si="55"/>
        <v>0</v>
      </c>
      <c r="CY22" s="2790">
        <f t="shared" ca="1" si="55"/>
        <v>0</v>
      </c>
      <c r="CZ22" s="2790">
        <f t="shared" ca="1" si="55"/>
        <v>0</v>
      </c>
      <c r="DA22" s="2790">
        <f t="shared" ca="1" si="55"/>
        <v>0</v>
      </c>
      <c r="DB22" s="2790">
        <f t="shared" ca="1" si="55"/>
        <v>0</v>
      </c>
      <c r="DC22" s="2790">
        <f t="shared" ca="1" si="55"/>
        <v>0</v>
      </c>
      <c r="DD22" s="2790">
        <f t="shared" ca="1" si="55"/>
        <v>0</v>
      </c>
      <c r="DE22" s="2790">
        <f t="shared" ca="1" si="55"/>
        <v>0</v>
      </c>
      <c r="DF22" s="2790">
        <f t="shared" ca="1" si="55"/>
        <v>0</v>
      </c>
      <c r="DH22" s="596">
        <f t="shared" ca="1" si="33"/>
        <v>6.311874128461521</v>
      </c>
    </row>
    <row r="23" spans="1:112" s="6" customFormat="1" ht="12.75" customHeight="1" outlineLevel="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10"/>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3"/>
        <v>0</v>
      </c>
    </row>
    <row r="24" spans="1:112" s="6" customFormat="1" ht="12.75" customHeight="1" outlineLevel="1">
      <c r="A24" s="607"/>
      <c r="B24" s="607"/>
      <c r="C24" s="587" t="s">
        <v>478</v>
      </c>
      <c r="D24" s="623" t="s">
        <v>479</v>
      </c>
      <c r="E24" s="599"/>
      <c r="G24" s="589">
        <f t="shared" ref="G24:P27" ca="1" si="56">IFERROR(INDEX(INDIRECT($C24&amp;".Outputs["&amp;this.Year&amp;"]"), MATCH(G$5, INDIRECT($C24&amp;".Outputs[Vector]"), 0)), 0)</f>
        <v>0</v>
      </c>
      <c r="H24" s="589">
        <f t="shared" ca="1" si="56"/>
        <v>0</v>
      </c>
      <c r="I24" s="589">
        <f t="shared" ca="1" si="56"/>
        <v>0</v>
      </c>
      <c r="J24" s="589">
        <f t="shared" ca="1" si="56"/>
        <v>16.549315531973154</v>
      </c>
      <c r="K24" s="589">
        <f t="shared" ca="1" si="56"/>
        <v>0.38251272633022648</v>
      </c>
      <c r="L24" s="589">
        <f t="shared" ca="1" si="56"/>
        <v>2.5651802953474499E-2</v>
      </c>
      <c r="M24" s="589">
        <f t="shared" ca="1" si="56"/>
        <v>0</v>
      </c>
      <c r="N24" s="589">
        <f t="shared" ca="1" si="56"/>
        <v>0</v>
      </c>
      <c r="O24" s="589">
        <f t="shared" ca="1" si="56"/>
        <v>0</v>
      </c>
      <c r="P24" s="589">
        <f t="shared" ca="1" si="56"/>
        <v>0</v>
      </c>
      <c r="Q24" s="590">
        <f t="shared" ref="Q24:Q32" ca="1" si="57">SUM(G24:P24)</f>
        <v>16.957480061256856</v>
      </c>
      <c r="S24" s="591">
        <f t="shared" ref="S24:AJ30" ca="1" si="58">IFERROR(INDEX(INDIRECT($C24&amp;".Outputs["&amp;this.Year&amp;"]"), MATCH(S$5, INDIRECT($C24&amp;".Outputs[Vector]"), 0)), 0)</f>
        <v>-0.37760546384703331</v>
      </c>
      <c r="T24" s="591">
        <f t="shared" ca="1" si="58"/>
        <v>0</v>
      </c>
      <c r="U24" s="591">
        <f t="shared" ca="1" si="58"/>
        <v>0</v>
      </c>
      <c r="V24" s="591">
        <f t="shared" ca="1" si="58"/>
        <v>-16.565519570122962</v>
      </c>
      <c r="W24" s="591">
        <f t="shared" ca="1" si="58"/>
        <v>0</v>
      </c>
      <c r="X24" s="591">
        <f t="shared" ref="X24:Z27" ca="1" si="59">IFERROR(INDEX(INDIRECT($C24&amp;".Outputs["&amp;this.Year&amp;"]"), MATCH(X$5, INDIRECT($C24&amp;".Outputs[Vector]"), 0)), 0)</f>
        <v>0</v>
      </c>
      <c r="Y24" s="591">
        <f t="shared" ca="1" si="59"/>
        <v>0</v>
      </c>
      <c r="Z24" s="591">
        <f t="shared" ca="1" si="59"/>
        <v>0</v>
      </c>
      <c r="AA24" s="591">
        <f t="shared" ca="1" si="58"/>
        <v>0</v>
      </c>
      <c r="AB24" s="591">
        <f t="shared" ca="1" si="58"/>
        <v>0</v>
      </c>
      <c r="AC24" s="591">
        <f t="shared" ca="1" si="58"/>
        <v>0</v>
      </c>
      <c r="AD24" s="591">
        <f t="shared" ca="1" si="58"/>
        <v>0</v>
      </c>
      <c r="AE24" s="591">
        <f t="shared" ca="1" si="58"/>
        <v>0</v>
      </c>
      <c r="AF24" s="591">
        <f t="shared" ca="1" si="58"/>
        <v>0</v>
      </c>
      <c r="AG24" s="591">
        <f t="shared" ca="1" si="58"/>
        <v>0</v>
      </c>
      <c r="AH24" s="591">
        <f t="shared" ca="1" si="58"/>
        <v>0</v>
      </c>
      <c r="AI24" s="591">
        <f t="shared" ca="1" si="58"/>
        <v>0</v>
      </c>
      <c r="AJ24" s="591">
        <f t="shared" ca="1" si="58"/>
        <v>-1.4355027286859567E-2</v>
      </c>
      <c r="AK24" s="592">
        <f t="shared" ref="AK24:AK32" ca="1" si="60">SUM(S24:AJ24)</f>
        <v>-16.957480061256856</v>
      </c>
      <c r="AM24" s="593">
        <f t="shared" ref="AM24:AU27" ca="1" si="61">IFERROR(INDEX(INDIRECT($C24&amp;".Outputs["&amp;this.Year&amp;"]"), MATCH(AM$5, INDIRECT($C24&amp;".Outputs[Vector]"), 0)), 0)</f>
        <v>0</v>
      </c>
      <c r="AN24" s="593">
        <f t="shared" ca="1" si="61"/>
        <v>0</v>
      </c>
      <c r="AO24" s="593">
        <f t="shared" ca="1" si="61"/>
        <v>0</v>
      </c>
      <c r="AP24" s="593">
        <f t="shared" ca="1" si="61"/>
        <v>0</v>
      </c>
      <c r="AQ24" s="593">
        <f t="shared" ca="1" si="61"/>
        <v>0</v>
      </c>
      <c r="AR24" s="593">
        <f t="shared" ca="1" si="61"/>
        <v>0</v>
      </c>
      <c r="AS24" s="593">
        <f t="shared" ca="1" si="61"/>
        <v>0</v>
      </c>
      <c r="AT24" s="593">
        <f t="shared" ca="1" si="61"/>
        <v>0</v>
      </c>
      <c r="AU24" s="593">
        <f t="shared" ca="1" si="61"/>
        <v>0</v>
      </c>
      <c r="AV24" s="593">
        <f t="shared" ref="AV24:BE30" ca="1" si="62">IFERROR(INDEX(INDIRECT($C24&amp;".Outputs["&amp;this.Year&amp;"]"), MATCH(AV$5, INDIRECT($C24&amp;".Outputs[Vector]"), 0)), 0)</f>
        <v>0</v>
      </c>
      <c r="AW24" s="593">
        <f t="shared" ca="1" si="62"/>
        <v>0</v>
      </c>
      <c r="AX24" s="593">
        <f t="shared" ca="1" si="62"/>
        <v>0</v>
      </c>
      <c r="AY24" s="593">
        <f t="shared" ca="1" si="62"/>
        <v>0</v>
      </c>
      <c r="AZ24" s="593">
        <f t="shared" ca="1" si="62"/>
        <v>0</v>
      </c>
      <c r="BA24" s="593">
        <f t="shared" ca="1" si="62"/>
        <v>0</v>
      </c>
      <c r="BB24" s="593">
        <f t="shared" ca="1" si="62"/>
        <v>0</v>
      </c>
      <c r="BC24" s="593">
        <f t="shared" ca="1" si="62"/>
        <v>0</v>
      </c>
      <c r="BD24" s="593">
        <f t="shared" ca="1" si="62"/>
        <v>0</v>
      </c>
      <c r="BE24" s="593">
        <f t="shared" ca="1" si="62"/>
        <v>0</v>
      </c>
      <c r="BF24" s="609">
        <f t="shared" ref="BF24:BF32" ca="1" si="63">SUM(AM24:BE24)</f>
        <v>0</v>
      </c>
      <c r="BH24" s="3471">
        <f t="shared" ref="BH24:BI30" ca="1" si="64">IFERROR(INDEX(INDIRECT($C24&amp;".Outputs["&amp;this.Year&amp;"]"), MATCH(BH$5, INDIRECT($C24&amp;".Outputs[Vector]"), 0)), 0)</f>
        <v>0</v>
      </c>
      <c r="BI24" s="3471">
        <f t="shared" ca="1" si="64"/>
        <v>0</v>
      </c>
      <c r="BJ24" s="3460">
        <f t="shared" ref="BJ24:BJ32" ca="1" si="65">SUM(BH24:BI24)</f>
        <v>0</v>
      </c>
      <c r="BL24" s="610">
        <f t="shared" ca="1" si="10"/>
        <v>0</v>
      </c>
      <c r="BM24" s="610"/>
      <c r="BN24" s="413"/>
      <c r="BO24" s="2789">
        <f t="shared" ref="BO24:BX27" ca="1" si="66">IFERROR(SUMIFS(INDIRECT($C24&amp;".Emissions["&amp;this.Year&amp;"]"), INDIRECT($C24&amp;".Emissions[GHG]"), BO$6, INDIRECT($C24&amp;".Emissions[IPCC Sector]"), BO$5),0)</f>
        <v>4.3713093041640461</v>
      </c>
      <c r="BP24" s="2790">
        <f t="shared" ca="1" si="66"/>
        <v>3.7570598385038879E-3</v>
      </c>
      <c r="BQ24" s="2790">
        <f t="shared" ca="1" si="66"/>
        <v>1.1092271904154336E-2</v>
      </c>
      <c r="BR24" s="2790">
        <f t="shared" ca="1" si="66"/>
        <v>0</v>
      </c>
      <c r="BS24" s="2790">
        <f t="shared" ca="1" si="66"/>
        <v>0</v>
      </c>
      <c r="BT24" s="2790">
        <f t="shared" ca="1" si="66"/>
        <v>0</v>
      </c>
      <c r="BU24" s="2790">
        <f t="shared" ca="1" si="66"/>
        <v>0</v>
      </c>
      <c r="BV24" s="2790">
        <f t="shared" ca="1" si="66"/>
        <v>0</v>
      </c>
      <c r="BW24" s="2790">
        <f t="shared" ca="1" si="66"/>
        <v>0</v>
      </c>
      <c r="BX24" s="2790">
        <f t="shared" ca="1" si="66"/>
        <v>0</v>
      </c>
      <c r="BY24" s="2790">
        <f t="shared" ref="BY24:CH27" ca="1" si="67">IFERROR(SUMIFS(INDIRECT($C24&amp;".Emissions["&amp;this.Year&amp;"]"), INDIRECT($C24&amp;".Emissions[GHG]"), BY$6, INDIRECT($C24&amp;".Emissions[IPCC Sector]"), BY$5),0)</f>
        <v>0</v>
      </c>
      <c r="BZ24" s="2790">
        <f t="shared" ca="1" si="67"/>
        <v>0</v>
      </c>
      <c r="CA24" s="2790">
        <f t="shared" ca="1" si="67"/>
        <v>0</v>
      </c>
      <c r="CB24" s="2790">
        <f t="shared" ca="1" si="67"/>
        <v>0</v>
      </c>
      <c r="CC24" s="2790">
        <f t="shared" ca="1" si="67"/>
        <v>0</v>
      </c>
      <c r="CD24" s="2790">
        <f t="shared" ca="1" si="67"/>
        <v>0</v>
      </c>
      <c r="CE24" s="2790">
        <f t="shared" ca="1" si="67"/>
        <v>0</v>
      </c>
      <c r="CF24" s="2790">
        <f t="shared" ca="1" si="67"/>
        <v>0</v>
      </c>
      <c r="CG24" s="2790">
        <f t="shared" ca="1" si="67"/>
        <v>0</v>
      </c>
      <c r="CH24" s="2790">
        <f t="shared" ca="1" si="67"/>
        <v>0</v>
      </c>
      <c r="CI24" s="2790">
        <f t="shared" ref="CI24:CR27" ca="1" si="68">IFERROR(SUMIFS(INDIRECT($C24&amp;".Emissions["&amp;this.Year&amp;"]"), INDIRECT($C24&amp;".Emissions[GHG]"), CI$6, INDIRECT($C24&amp;".Emissions[IPCC Sector]"), CI$5),0)</f>
        <v>0</v>
      </c>
      <c r="CJ24" s="2790">
        <f t="shared" ca="1" si="68"/>
        <v>0</v>
      </c>
      <c r="CK24" s="2790">
        <f t="shared" ca="1" si="68"/>
        <v>0</v>
      </c>
      <c r="CL24" s="2790">
        <f t="shared" ca="1" si="68"/>
        <v>0</v>
      </c>
      <c r="CM24" s="2790">
        <f t="shared" ca="1" si="68"/>
        <v>0</v>
      </c>
      <c r="CN24" s="2790">
        <f t="shared" ca="1" si="68"/>
        <v>0</v>
      </c>
      <c r="CO24" s="2790">
        <f t="shared" ca="1" si="68"/>
        <v>0</v>
      </c>
      <c r="CP24" s="2790">
        <f t="shared" ca="1" si="68"/>
        <v>0</v>
      </c>
      <c r="CQ24" s="2790">
        <f t="shared" ca="1" si="68"/>
        <v>0</v>
      </c>
      <c r="CR24" s="2790">
        <f t="shared" ca="1" si="68"/>
        <v>0</v>
      </c>
      <c r="CS24" s="2790">
        <f t="shared" ref="CS24:DF27" ca="1" si="69">IFERROR(SUMIFS(INDIRECT($C24&amp;".Emissions["&amp;this.Year&amp;"]"), INDIRECT($C24&amp;".Emissions[GHG]"), CS$6, INDIRECT($C24&amp;".Emissions[IPCC Sector]"), CS$5),0)</f>
        <v>0</v>
      </c>
      <c r="CT24" s="2790">
        <f t="shared" ca="1" si="69"/>
        <v>0</v>
      </c>
      <c r="CU24" s="2790">
        <f t="shared" ca="1" si="69"/>
        <v>0</v>
      </c>
      <c r="CV24" s="2790">
        <f t="shared" ca="1" si="69"/>
        <v>0</v>
      </c>
      <c r="CW24" s="2790">
        <f t="shared" ca="1" si="69"/>
        <v>0</v>
      </c>
      <c r="CX24" s="2790">
        <f t="shared" ca="1" si="69"/>
        <v>0</v>
      </c>
      <c r="CY24" s="2790">
        <f t="shared" ca="1" si="69"/>
        <v>0</v>
      </c>
      <c r="CZ24" s="2790">
        <f t="shared" ca="1" si="69"/>
        <v>0</v>
      </c>
      <c r="DA24" s="2790">
        <f t="shared" ca="1" si="69"/>
        <v>0</v>
      </c>
      <c r="DB24" s="2790">
        <f t="shared" ca="1" si="69"/>
        <v>0</v>
      </c>
      <c r="DC24" s="2790">
        <f t="shared" ca="1" si="69"/>
        <v>0</v>
      </c>
      <c r="DD24" s="2790">
        <f t="shared" ca="1" si="69"/>
        <v>0</v>
      </c>
      <c r="DE24" s="2790">
        <f t="shared" ca="1" si="69"/>
        <v>0</v>
      </c>
      <c r="DF24" s="2790">
        <f t="shared" ca="1" si="69"/>
        <v>0</v>
      </c>
      <c r="DH24" s="596">
        <f t="shared" ca="1" si="33"/>
        <v>4.3861586359067042</v>
      </c>
    </row>
    <row r="25" spans="1:112" s="6" customFormat="1" ht="12.75" customHeight="1" outlineLevel="1">
      <c r="A25" s="607"/>
      <c r="B25" s="607"/>
      <c r="C25" s="587" t="s">
        <v>480</v>
      </c>
      <c r="D25" s="623" t="s">
        <v>481</v>
      </c>
      <c r="E25" s="599"/>
      <c r="G25" s="589">
        <f t="shared" ca="1" si="56"/>
        <v>0</v>
      </c>
      <c r="H25" s="589">
        <f t="shared" ca="1" si="56"/>
        <v>0</v>
      </c>
      <c r="I25" s="589">
        <f t="shared" ca="1" si="56"/>
        <v>0</v>
      </c>
      <c r="J25" s="589">
        <f t="shared" ca="1" si="56"/>
        <v>16.766121093749994</v>
      </c>
      <c r="K25" s="589">
        <f t="shared" ca="1" si="56"/>
        <v>5.9500416899839117E-3</v>
      </c>
      <c r="L25" s="589">
        <f t="shared" ca="1" si="56"/>
        <v>0</v>
      </c>
      <c r="M25" s="589">
        <f t="shared" ca="1" si="56"/>
        <v>0.66</v>
      </c>
      <c r="N25" s="589">
        <f t="shared" ca="1" si="56"/>
        <v>0</v>
      </c>
      <c r="O25" s="589">
        <f t="shared" ca="1" si="56"/>
        <v>0</v>
      </c>
      <c r="P25" s="589">
        <f t="shared" ca="1" si="56"/>
        <v>0</v>
      </c>
      <c r="Q25" s="590">
        <f t="shared" ca="1" si="57"/>
        <v>17.43207113543998</v>
      </c>
      <c r="S25" s="591">
        <f t="shared" ca="1" si="58"/>
        <v>0</v>
      </c>
      <c r="T25" s="591">
        <f t="shared" ca="1" si="58"/>
        <v>0</v>
      </c>
      <c r="U25" s="591">
        <f t="shared" ca="1" si="58"/>
        <v>0</v>
      </c>
      <c r="V25" s="591">
        <f t="shared" ca="1" si="58"/>
        <v>-17.43207113543998</v>
      </c>
      <c r="W25" s="591">
        <f t="shared" ca="1" si="58"/>
        <v>0</v>
      </c>
      <c r="X25" s="591">
        <f t="shared" ca="1" si="59"/>
        <v>0</v>
      </c>
      <c r="Y25" s="591">
        <f t="shared" ca="1" si="59"/>
        <v>0</v>
      </c>
      <c r="Z25" s="591">
        <f t="shared" ca="1" si="59"/>
        <v>0</v>
      </c>
      <c r="AA25" s="591">
        <f t="shared" ca="1" si="58"/>
        <v>0</v>
      </c>
      <c r="AB25" s="591">
        <f t="shared" ca="1" si="58"/>
        <v>0</v>
      </c>
      <c r="AC25" s="591">
        <f t="shared" ca="1" si="58"/>
        <v>0</v>
      </c>
      <c r="AD25" s="591">
        <f t="shared" ca="1" si="58"/>
        <v>0</v>
      </c>
      <c r="AE25" s="591">
        <f t="shared" ca="1" si="58"/>
        <v>0</v>
      </c>
      <c r="AF25" s="591">
        <f t="shared" ca="1" si="58"/>
        <v>0</v>
      </c>
      <c r="AG25" s="591">
        <f t="shared" ca="1" si="58"/>
        <v>0</v>
      </c>
      <c r="AH25" s="591">
        <f t="shared" ca="1" si="58"/>
        <v>0</v>
      </c>
      <c r="AI25" s="591">
        <f t="shared" ca="1" si="58"/>
        <v>0</v>
      </c>
      <c r="AJ25" s="591">
        <f t="shared" ca="1" si="58"/>
        <v>0</v>
      </c>
      <c r="AK25" s="592">
        <f t="shared" ca="1" si="60"/>
        <v>-17.43207113543998</v>
      </c>
      <c r="AM25" s="593">
        <f t="shared" ca="1" si="61"/>
        <v>0</v>
      </c>
      <c r="AN25" s="593">
        <f t="shared" ca="1" si="61"/>
        <v>0</v>
      </c>
      <c r="AO25" s="593">
        <f t="shared" ca="1" si="61"/>
        <v>0</v>
      </c>
      <c r="AP25" s="593">
        <f t="shared" ca="1" si="61"/>
        <v>0</v>
      </c>
      <c r="AQ25" s="593">
        <f t="shared" ca="1" si="61"/>
        <v>0</v>
      </c>
      <c r="AR25" s="593">
        <f t="shared" ca="1" si="61"/>
        <v>0</v>
      </c>
      <c r="AS25" s="593">
        <f t="shared" ca="1" si="61"/>
        <v>0</v>
      </c>
      <c r="AT25" s="593">
        <f t="shared" ca="1" si="61"/>
        <v>0</v>
      </c>
      <c r="AU25" s="593">
        <f t="shared" ca="1" si="61"/>
        <v>0</v>
      </c>
      <c r="AV25" s="593">
        <f t="shared" ca="1" si="62"/>
        <v>0</v>
      </c>
      <c r="AW25" s="593">
        <f t="shared" ca="1" si="62"/>
        <v>0</v>
      </c>
      <c r="AX25" s="593">
        <f t="shared" ca="1" si="62"/>
        <v>0</v>
      </c>
      <c r="AY25" s="593">
        <f t="shared" ca="1" si="62"/>
        <v>0</v>
      </c>
      <c r="AZ25" s="593">
        <f t="shared" ca="1" si="62"/>
        <v>0</v>
      </c>
      <c r="BA25" s="593">
        <f t="shared" ca="1" si="62"/>
        <v>0</v>
      </c>
      <c r="BB25" s="593">
        <f t="shared" ca="1" si="62"/>
        <v>0</v>
      </c>
      <c r="BC25" s="593">
        <f t="shared" ca="1" si="62"/>
        <v>0</v>
      </c>
      <c r="BD25" s="593">
        <f t="shared" ca="1" si="62"/>
        <v>0</v>
      </c>
      <c r="BE25" s="593">
        <f t="shared" ca="1" si="62"/>
        <v>0</v>
      </c>
      <c r="BF25" s="609">
        <f t="shared" ca="1" si="63"/>
        <v>0</v>
      </c>
      <c r="BH25" s="3471">
        <f t="shared" ca="1" si="64"/>
        <v>0</v>
      </c>
      <c r="BI25" s="3471">
        <f t="shared" ca="1" si="64"/>
        <v>0</v>
      </c>
      <c r="BJ25" s="3460">
        <f t="shared" ca="1" si="65"/>
        <v>0</v>
      </c>
      <c r="BL25" s="610">
        <f t="shared" ca="1" si="10"/>
        <v>0</v>
      </c>
      <c r="BM25" s="610"/>
      <c r="BN25" s="413"/>
      <c r="BO25" s="2789">
        <f t="shared" ca="1" si="66"/>
        <v>4.5999749312199008</v>
      </c>
      <c r="BP25" s="2790">
        <f t="shared" ca="1" si="66"/>
        <v>3.9535937335177873E-3</v>
      </c>
      <c r="BQ25" s="2790">
        <f t="shared" ca="1" si="66"/>
        <v>1.167251483229061E-2</v>
      </c>
      <c r="BR25" s="2790">
        <f t="shared" ca="1" si="66"/>
        <v>0</v>
      </c>
      <c r="BS25" s="2790">
        <f t="shared" ca="1" si="66"/>
        <v>0</v>
      </c>
      <c r="BT25" s="2790">
        <f t="shared" ca="1" si="66"/>
        <v>0</v>
      </c>
      <c r="BU25" s="2790">
        <f t="shared" ca="1" si="66"/>
        <v>0</v>
      </c>
      <c r="BV25" s="2790">
        <f t="shared" ca="1" si="66"/>
        <v>0</v>
      </c>
      <c r="BW25" s="2790">
        <f t="shared" ca="1" si="66"/>
        <v>0</v>
      </c>
      <c r="BX25" s="2790">
        <f t="shared" ca="1" si="66"/>
        <v>0</v>
      </c>
      <c r="BY25" s="2790">
        <f t="shared" ca="1" si="67"/>
        <v>0</v>
      </c>
      <c r="BZ25" s="2790">
        <f t="shared" ca="1" si="67"/>
        <v>0</v>
      </c>
      <c r="CA25" s="2790">
        <f t="shared" ca="1" si="67"/>
        <v>0</v>
      </c>
      <c r="CB25" s="2790">
        <f t="shared" ca="1" si="67"/>
        <v>0</v>
      </c>
      <c r="CC25" s="2790">
        <f t="shared" ca="1" si="67"/>
        <v>0</v>
      </c>
      <c r="CD25" s="2790">
        <f t="shared" ca="1" si="67"/>
        <v>0</v>
      </c>
      <c r="CE25" s="2790">
        <f t="shared" ca="1" si="67"/>
        <v>0</v>
      </c>
      <c r="CF25" s="2790">
        <f t="shared" ca="1" si="67"/>
        <v>0</v>
      </c>
      <c r="CG25" s="2790">
        <f t="shared" ca="1" si="67"/>
        <v>0</v>
      </c>
      <c r="CH25" s="2790">
        <f t="shared" ca="1" si="67"/>
        <v>0</v>
      </c>
      <c r="CI25" s="2790">
        <f t="shared" ca="1" si="68"/>
        <v>0</v>
      </c>
      <c r="CJ25" s="2790">
        <f t="shared" ca="1" si="68"/>
        <v>0</v>
      </c>
      <c r="CK25" s="2790">
        <f t="shared" ca="1" si="68"/>
        <v>0</v>
      </c>
      <c r="CL25" s="2790">
        <f t="shared" ca="1" si="68"/>
        <v>0</v>
      </c>
      <c r="CM25" s="2790">
        <f t="shared" ca="1" si="68"/>
        <v>0</v>
      </c>
      <c r="CN25" s="2790">
        <f t="shared" ca="1" si="68"/>
        <v>0</v>
      </c>
      <c r="CO25" s="2790">
        <f t="shared" ca="1" si="68"/>
        <v>0</v>
      </c>
      <c r="CP25" s="2790">
        <f t="shared" ca="1" si="68"/>
        <v>0</v>
      </c>
      <c r="CQ25" s="2790">
        <f t="shared" ca="1" si="68"/>
        <v>0</v>
      </c>
      <c r="CR25" s="2790">
        <f t="shared" ca="1" si="68"/>
        <v>0</v>
      </c>
      <c r="CS25" s="2790">
        <f t="shared" ca="1" si="69"/>
        <v>0</v>
      </c>
      <c r="CT25" s="2790">
        <f t="shared" ca="1" si="69"/>
        <v>0</v>
      </c>
      <c r="CU25" s="2790">
        <f t="shared" ca="1" si="69"/>
        <v>0</v>
      </c>
      <c r="CV25" s="2790">
        <f t="shared" ca="1" si="69"/>
        <v>0</v>
      </c>
      <c r="CW25" s="2790">
        <f t="shared" ca="1" si="69"/>
        <v>0</v>
      </c>
      <c r="CX25" s="2790">
        <f t="shared" ca="1" si="69"/>
        <v>0</v>
      </c>
      <c r="CY25" s="2790">
        <f t="shared" ca="1" si="69"/>
        <v>0</v>
      </c>
      <c r="CZ25" s="2790">
        <f t="shared" ca="1" si="69"/>
        <v>0</v>
      </c>
      <c r="DA25" s="2790">
        <f t="shared" ca="1" si="69"/>
        <v>0</v>
      </c>
      <c r="DB25" s="2790">
        <f t="shared" ca="1" si="69"/>
        <v>0</v>
      </c>
      <c r="DC25" s="2790">
        <f t="shared" ca="1" si="69"/>
        <v>0</v>
      </c>
      <c r="DD25" s="2790">
        <f t="shared" ca="1" si="69"/>
        <v>0</v>
      </c>
      <c r="DE25" s="2790">
        <f t="shared" ca="1" si="69"/>
        <v>0</v>
      </c>
      <c r="DF25" s="2790">
        <f t="shared" ca="1" si="69"/>
        <v>0</v>
      </c>
      <c r="DH25" s="596">
        <f t="shared" ca="1" si="33"/>
        <v>4.6156010397857088</v>
      </c>
    </row>
    <row r="26" spans="1:112" s="6" customFormat="1" ht="10.5" customHeight="1" outlineLevel="2">
      <c r="A26" s="586"/>
      <c r="B26" s="586"/>
      <c r="C26" s="587" t="s">
        <v>482</v>
      </c>
      <c r="D26" s="623" t="s">
        <v>373</v>
      </c>
      <c r="E26" s="599"/>
      <c r="G26" s="589">
        <f t="shared" ca="1" si="56"/>
        <v>0</v>
      </c>
      <c r="H26" s="589">
        <f t="shared" ca="1" si="56"/>
        <v>0</v>
      </c>
      <c r="I26" s="589">
        <f t="shared" ca="1" si="56"/>
        <v>0</v>
      </c>
      <c r="J26" s="589">
        <f t="shared" ca="1" si="56"/>
        <v>0</v>
      </c>
      <c r="K26" s="589">
        <f t="shared" ca="1" si="56"/>
        <v>0</v>
      </c>
      <c r="L26" s="589">
        <f t="shared" ca="1" si="56"/>
        <v>0</v>
      </c>
      <c r="M26" s="589">
        <f t="shared" ca="1" si="56"/>
        <v>0</v>
      </c>
      <c r="N26" s="589">
        <f t="shared" ca="1" si="56"/>
        <v>9.4283309514618914</v>
      </c>
      <c r="O26" s="589">
        <f t="shared" ca="1" si="56"/>
        <v>0</v>
      </c>
      <c r="P26" s="589">
        <f t="shared" ca="1" si="56"/>
        <v>0</v>
      </c>
      <c r="Q26" s="590">
        <f t="shared" ca="1" si="57"/>
        <v>9.4283309514618914</v>
      </c>
      <c r="S26" s="591">
        <f t="shared" ca="1" si="58"/>
        <v>0</v>
      </c>
      <c r="T26" s="591">
        <f t="shared" ca="1" si="58"/>
        <v>0</v>
      </c>
      <c r="U26" s="591">
        <f t="shared" ca="1" si="58"/>
        <v>0</v>
      </c>
      <c r="V26" s="591">
        <f t="shared" ca="1" si="58"/>
        <v>-9.4283309514618914</v>
      </c>
      <c r="W26" s="591">
        <f t="shared" ca="1" si="58"/>
        <v>0</v>
      </c>
      <c r="X26" s="591">
        <f t="shared" ca="1" si="59"/>
        <v>0</v>
      </c>
      <c r="Y26" s="591">
        <f t="shared" ca="1" si="59"/>
        <v>0</v>
      </c>
      <c r="Z26" s="591">
        <f t="shared" ca="1" si="59"/>
        <v>0</v>
      </c>
      <c r="AA26" s="591">
        <f t="shared" ca="1" si="58"/>
        <v>0</v>
      </c>
      <c r="AB26" s="591">
        <f t="shared" ca="1" si="58"/>
        <v>0</v>
      </c>
      <c r="AC26" s="591">
        <f t="shared" ca="1" si="58"/>
        <v>0</v>
      </c>
      <c r="AD26" s="591">
        <f t="shared" ca="1" si="58"/>
        <v>0</v>
      </c>
      <c r="AE26" s="591">
        <f t="shared" ca="1" si="58"/>
        <v>0</v>
      </c>
      <c r="AF26" s="591">
        <f t="shared" ca="1" si="58"/>
        <v>0</v>
      </c>
      <c r="AG26" s="591">
        <f t="shared" ca="1" si="58"/>
        <v>0</v>
      </c>
      <c r="AH26" s="591">
        <f t="shared" ca="1" si="58"/>
        <v>0</v>
      </c>
      <c r="AI26" s="591">
        <f t="shared" ca="1" si="58"/>
        <v>0</v>
      </c>
      <c r="AJ26" s="591">
        <f t="shared" ca="1" si="58"/>
        <v>0</v>
      </c>
      <c r="AK26" s="592">
        <f t="shared" ca="1" si="60"/>
        <v>-9.4283309514618914</v>
      </c>
      <c r="AM26" s="593">
        <f t="shared" ca="1" si="61"/>
        <v>0</v>
      </c>
      <c r="AN26" s="593">
        <f t="shared" ca="1" si="61"/>
        <v>0</v>
      </c>
      <c r="AO26" s="593">
        <f t="shared" ca="1" si="61"/>
        <v>0</v>
      </c>
      <c r="AP26" s="593">
        <f t="shared" ca="1" si="61"/>
        <v>0</v>
      </c>
      <c r="AQ26" s="593">
        <f t="shared" ca="1" si="61"/>
        <v>0</v>
      </c>
      <c r="AR26" s="593">
        <f t="shared" ca="1" si="61"/>
        <v>0</v>
      </c>
      <c r="AS26" s="593">
        <f t="shared" ca="1" si="61"/>
        <v>0</v>
      </c>
      <c r="AT26" s="593">
        <f t="shared" ca="1" si="61"/>
        <v>0</v>
      </c>
      <c r="AU26" s="593">
        <f t="shared" ca="1" si="61"/>
        <v>0</v>
      </c>
      <c r="AV26" s="593">
        <f t="shared" ca="1" si="62"/>
        <v>0</v>
      </c>
      <c r="AW26" s="593">
        <f t="shared" ca="1" si="62"/>
        <v>0</v>
      </c>
      <c r="AX26" s="593">
        <f t="shared" ca="1" si="62"/>
        <v>0</v>
      </c>
      <c r="AY26" s="593">
        <f t="shared" ca="1" si="62"/>
        <v>0</v>
      </c>
      <c r="AZ26" s="593">
        <f t="shared" ca="1" si="62"/>
        <v>0</v>
      </c>
      <c r="BA26" s="593">
        <f t="shared" ca="1" si="62"/>
        <v>0</v>
      </c>
      <c r="BB26" s="593">
        <f t="shared" ca="1" si="62"/>
        <v>0</v>
      </c>
      <c r="BC26" s="593">
        <f t="shared" ca="1" si="62"/>
        <v>0</v>
      </c>
      <c r="BD26" s="593">
        <f t="shared" ca="1" si="62"/>
        <v>0</v>
      </c>
      <c r="BE26" s="593">
        <f t="shared" ca="1" si="62"/>
        <v>0</v>
      </c>
      <c r="BF26" s="594">
        <f t="shared" ca="1" si="63"/>
        <v>0</v>
      </c>
      <c r="BH26" s="3471">
        <f t="shared" ca="1" si="64"/>
        <v>0</v>
      </c>
      <c r="BI26" s="3471">
        <f t="shared" ca="1" si="64"/>
        <v>0</v>
      </c>
      <c r="BJ26" s="3460">
        <f t="shared" ca="1" si="65"/>
        <v>0</v>
      </c>
      <c r="BL26" s="595">
        <f t="shared" ca="1" si="10"/>
        <v>0</v>
      </c>
      <c r="BM26" s="595"/>
      <c r="BN26" s="413"/>
      <c r="BO26" s="2789">
        <f t="shared" ca="1" si="66"/>
        <v>0</v>
      </c>
      <c r="BP26" s="2790">
        <f t="shared" ca="1" si="66"/>
        <v>0</v>
      </c>
      <c r="BQ26" s="2790">
        <f t="shared" ca="1" si="66"/>
        <v>0</v>
      </c>
      <c r="BR26" s="2790">
        <f t="shared" ca="1" si="66"/>
        <v>0</v>
      </c>
      <c r="BS26" s="2790">
        <f t="shared" ca="1" si="66"/>
        <v>0</v>
      </c>
      <c r="BT26" s="2790">
        <f t="shared" ca="1" si="66"/>
        <v>0</v>
      </c>
      <c r="BU26" s="2790">
        <f t="shared" ca="1" si="66"/>
        <v>0</v>
      </c>
      <c r="BV26" s="2790">
        <f t="shared" ca="1" si="66"/>
        <v>0</v>
      </c>
      <c r="BW26" s="2790">
        <f t="shared" ca="1" si="66"/>
        <v>0</v>
      </c>
      <c r="BX26" s="2790">
        <f t="shared" ca="1" si="66"/>
        <v>0</v>
      </c>
      <c r="BY26" s="2790">
        <f t="shared" ca="1" si="67"/>
        <v>0</v>
      </c>
      <c r="BZ26" s="2790">
        <f t="shared" ca="1" si="67"/>
        <v>0</v>
      </c>
      <c r="CA26" s="2790">
        <f t="shared" ca="1" si="67"/>
        <v>0</v>
      </c>
      <c r="CB26" s="2790">
        <f t="shared" ca="1" si="67"/>
        <v>0</v>
      </c>
      <c r="CC26" s="2790">
        <f t="shared" ca="1" si="67"/>
        <v>0</v>
      </c>
      <c r="CD26" s="2790">
        <f t="shared" ca="1" si="67"/>
        <v>0</v>
      </c>
      <c r="CE26" s="2790">
        <f t="shared" ca="1" si="67"/>
        <v>0</v>
      </c>
      <c r="CF26" s="2790">
        <f t="shared" ca="1" si="67"/>
        <v>0</v>
      </c>
      <c r="CG26" s="2790">
        <f t="shared" ca="1" si="67"/>
        <v>0</v>
      </c>
      <c r="CH26" s="2790">
        <f t="shared" ca="1" si="67"/>
        <v>0</v>
      </c>
      <c r="CI26" s="2790">
        <f t="shared" ca="1" si="68"/>
        <v>0</v>
      </c>
      <c r="CJ26" s="2790">
        <f t="shared" ca="1" si="68"/>
        <v>0</v>
      </c>
      <c r="CK26" s="2790">
        <f t="shared" ca="1" si="68"/>
        <v>0</v>
      </c>
      <c r="CL26" s="2790">
        <f t="shared" ca="1" si="68"/>
        <v>0</v>
      </c>
      <c r="CM26" s="2790">
        <f t="shared" ca="1" si="68"/>
        <v>0</v>
      </c>
      <c r="CN26" s="2790">
        <f t="shared" ca="1" si="68"/>
        <v>0</v>
      </c>
      <c r="CO26" s="2790">
        <f t="shared" ca="1" si="68"/>
        <v>0</v>
      </c>
      <c r="CP26" s="2790">
        <f t="shared" ca="1" si="68"/>
        <v>0</v>
      </c>
      <c r="CQ26" s="2790">
        <f t="shared" ca="1" si="68"/>
        <v>0</v>
      </c>
      <c r="CR26" s="2790">
        <f t="shared" ca="1" si="68"/>
        <v>0</v>
      </c>
      <c r="CS26" s="2790">
        <f t="shared" ca="1" si="69"/>
        <v>0</v>
      </c>
      <c r="CT26" s="2790">
        <f t="shared" ca="1" si="69"/>
        <v>0</v>
      </c>
      <c r="CU26" s="2790">
        <f t="shared" ca="1" si="69"/>
        <v>2.4879479714717636</v>
      </c>
      <c r="CV26" s="2790">
        <f t="shared" ca="1" si="69"/>
        <v>2.1383454597915571E-3</v>
      </c>
      <c r="CW26" s="2790">
        <f t="shared" ca="1" si="69"/>
        <v>6.3132104050988829E-3</v>
      </c>
      <c r="CX26" s="2790">
        <f t="shared" ca="1" si="69"/>
        <v>0</v>
      </c>
      <c r="CY26" s="2790">
        <f t="shared" ca="1" si="69"/>
        <v>0</v>
      </c>
      <c r="CZ26" s="2790">
        <f t="shared" ca="1" si="69"/>
        <v>0</v>
      </c>
      <c r="DA26" s="2790">
        <f t="shared" ca="1" si="69"/>
        <v>0</v>
      </c>
      <c r="DB26" s="2790">
        <f t="shared" ca="1" si="69"/>
        <v>0</v>
      </c>
      <c r="DC26" s="2790">
        <f t="shared" ca="1" si="69"/>
        <v>0</v>
      </c>
      <c r="DD26" s="2790">
        <f t="shared" ca="1" si="69"/>
        <v>0</v>
      </c>
      <c r="DE26" s="2790">
        <f t="shared" ca="1" si="69"/>
        <v>0</v>
      </c>
      <c r="DF26" s="2790">
        <f t="shared" ca="1" si="69"/>
        <v>0</v>
      </c>
      <c r="DH26" s="596">
        <f t="shared" ca="1" si="33"/>
        <v>2.4963995273366537</v>
      </c>
    </row>
    <row r="27" spans="1:112" s="6" customFormat="1" ht="10.5" customHeight="1" outlineLevel="2">
      <c r="A27" s="597"/>
      <c r="B27" s="597"/>
      <c r="C27" s="598" t="s">
        <v>483</v>
      </c>
      <c r="D27" s="624" t="s">
        <v>484</v>
      </c>
      <c r="E27" s="599"/>
      <c r="G27" s="600">
        <f t="shared" ca="1" si="56"/>
        <v>0</v>
      </c>
      <c r="H27" s="600">
        <f t="shared" ca="1" si="56"/>
        <v>0</v>
      </c>
      <c r="I27" s="600">
        <f t="shared" ca="1" si="56"/>
        <v>0</v>
      </c>
      <c r="J27" s="600">
        <f t="shared" ca="1" si="56"/>
        <v>0</v>
      </c>
      <c r="K27" s="600">
        <f t="shared" ca="1" si="56"/>
        <v>0</v>
      </c>
      <c r="L27" s="600">
        <f t="shared" ca="1" si="56"/>
        <v>0</v>
      </c>
      <c r="M27" s="600">
        <f t="shared" ca="1" si="56"/>
        <v>0</v>
      </c>
      <c r="N27" s="600">
        <f t="shared" ca="1" si="56"/>
        <v>0</v>
      </c>
      <c r="O27" s="600">
        <f t="shared" ca="1" si="56"/>
        <v>0</v>
      </c>
      <c r="P27" s="600">
        <f t="shared" ca="1" si="56"/>
        <v>0</v>
      </c>
      <c r="Q27" s="601">
        <f t="shared" ca="1" si="57"/>
        <v>0</v>
      </c>
      <c r="S27" s="602">
        <f t="shared" ca="1" si="58"/>
        <v>0</v>
      </c>
      <c r="T27" s="602">
        <f t="shared" ca="1" si="58"/>
        <v>0</v>
      </c>
      <c r="U27" s="602">
        <f t="shared" ca="1" si="58"/>
        <v>0</v>
      </c>
      <c r="V27" s="602">
        <f t="shared" ca="1" si="58"/>
        <v>0</v>
      </c>
      <c r="W27" s="602">
        <f t="shared" ca="1" si="58"/>
        <v>0</v>
      </c>
      <c r="X27" s="602">
        <f t="shared" ca="1" si="59"/>
        <v>0</v>
      </c>
      <c r="Y27" s="602">
        <f t="shared" ca="1" si="59"/>
        <v>0</v>
      </c>
      <c r="Z27" s="602">
        <f t="shared" ca="1" si="59"/>
        <v>0</v>
      </c>
      <c r="AA27" s="602">
        <f t="shared" ca="1" si="58"/>
        <v>0</v>
      </c>
      <c r="AB27" s="602">
        <f t="shared" ca="1" si="58"/>
        <v>0</v>
      </c>
      <c r="AC27" s="602">
        <f t="shared" ca="1" si="58"/>
        <v>0</v>
      </c>
      <c r="AD27" s="602">
        <f t="shared" ca="1" si="58"/>
        <v>0</v>
      </c>
      <c r="AE27" s="602">
        <f t="shared" ca="1" si="58"/>
        <v>0</v>
      </c>
      <c r="AF27" s="602">
        <f t="shared" ca="1" si="58"/>
        <v>0</v>
      </c>
      <c r="AG27" s="602">
        <f t="shared" ca="1" si="58"/>
        <v>0</v>
      </c>
      <c r="AH27" s="602">
        <f t="shared" ca="1" si="58"/>
        <v>0</v>
      </c>
      <c r="AI27" s="602">
        <f t="shared" ca="1" si="58"/>
        <v>0</v>
      </c>
      <c r="AJ27" s="602">
        <f t="shared" ca="1" si="58"/>
        <v>0</v>
      </c>
      <c r="AK27" s="603">
        <f t="shared" ca="1" si="60"/>
        <v>0</v>
      </c>
      <c r="AM27" s="604">
        <f t="shared" ca="1" si="61"/>
        <v>0</v>
      </c>
      <c r="AN27" s="604">
        <f t="shared" ca="1" si="61"/>
        <v>0</v>
      </c>
      <c r="AO27" s="604">
        <f t="shared" ca="1" si="61"/>
        <v>0</v>
      </c>
      <c r="AP27" s="604">
        <f t="shared" ca="1" si="61"/>
        <v>0</v>
      </c>
      <c r="AQ27" s="604">
        <f t="shared" ca="1" si="61"/>
        <v>0</v>
      </c>
      <c r="AR27" s="604">
        <f t="shared" ca="1" si="61"/>
        <v>0</v>
      </c>
      <c r="AS27" s="604">
        <f t="shared" ca="1" si="61"/>
        <v>0</v>
      </c>
      <c r="AT27" s="604">
        <f t="shared" ca="1" si="61"/>
        <v>0</v>
      </c>
      <c r="AU27" s="604">
        <f t="shared" ca="1" si="61"/>
        <v>0</v>
      </c>
      <c r="AV27" s="604">
        <f t="shared" ca="1" si="62"/>
        <v>0</v>
      </c>
      <c r="AW27" s="604">
        <f t="shared" ca="1" si="62"/>
        <v>0</v>
      </c>
      <c r="AX27" s="604">
        <f t="shared" ca="1" si="62"/>
        <v>0</v>
      </c>
      <c r="AY27" s="604">
        <f t="shared" ca="1" si="62"/>
        <v>0</v>
      </c>
      <c r="AZ27" s="604">
        <f t="shared" ca="1" si="62"/>
        <v>0</v>
      </c>
      <c r="BA27" s="604">
        <f t="shared" ca="1" si="62"/>
        <v>0</v>
      </c>
      <c r="BB27" s="604">
        <f t="shared" ca="1" si="62"/>
        <v>0</v>
      </c>
      <c r="BC27" s="604">
        <f t="shared" ca="1" si="62"/>
        <v>0</v>
      </c>
      <c r="BD27" s="604">
        <f t="shared" ca="1" si="62"/>
        <v>0</v>
      </c>
      <c r="BE27" s="604">
        <f t="shared" ca="1" si="62"/>
        <v>0</v>
      </c>
      <c r="BF27" s="605">
        <f t="shared" ca="1" si="63"/>
        <v>0</v>
      </c>
      <c r="BH27" s="3472">
        <f t="shared" ca="1" si="64"/>
        <v>0</v>
      </c>
      <c r="BI27" s="3472">
        <f t="shared" ca="1" si="64"/>
        <v>0</v>
      </c>
      <c r="BJ27" s="3461">
        <f t="shared" ca="1" si="65"/>
        <v>0</v>
      </c>
      <c r="BL27" s="606">
        <f t="shared" ca="1" si="10"/>
        <v>0</v>
      </c>
      <c r="BM27" s="606"/>
      <c r="BN27" s="413"/>
      <c r="BO27" s="2789">
        <f t="shared" ca="1" si="66"/>
        <v>0</v>
      </c>
      <c r="BP27" s="2790">
        <f t="shared" ca="1" si="66"/>
        <v>0</v>
      </c>
      <c r="BQ27" s="2790">
        <f t="shared" ca="1" si="66"/>
        <v>0</v>
      </c>
      <c r="BR27" s="2790">
        <f t="shared" ca="1" si="66"/>
        <v>0</v>
      </c>
      <c r="BS27" s="2790">
        <f t="shared" ca="1" si="66"/>
        <v>0</v>
      </c>
      <c r="BT27" s="2790">
        <f t="shared" ca="1" si="66"/>
        <v>0</v>
      </c>
      <c r="BU27" s="2790">
        <f t="shared" ca="1" si="66"/>
        <v>0</v>
      </c>
      <c r="BV27" s="2790">
        <f t="shared" ca="1" si="66"/>
        <v>0</v>
      </c>
      <c r="BW27" s="2790">
        <f t="shared" ca="1" si="66"/>
        <v>0</v>
      </c>
      <c r="BX27" s="2790">
        <f t="shared" ca="1" si="66"/>
        <v>0</v>
      </c>
      <c r="BY27" s="2790">
        <f t="shared" ca="1" si="67"/>
        <v>0</v>
      </c>
      <c r="BZ27" s="2790">
        <f t="shared" ca="1" si="67"/>
        <v>0</v>
      </c>
      <c r="CA27" s="2790">
        <f t="shared" ca="1" si="67"/>
        <v>0</v>
      </c>
      <c r="CB27" s="2790">
        <f t="shared" ca="1" si="67"/>
        <v>0</v>
      </c>
      <c r="CC27" s="2790">
        <f t="shared" ca="1" si="67"/>
        <v>0</v>
      </c>
      <c r="CD27" s="2790">
        <f t="shared" ca="1" si="67"/>
        <v>0</v>
      </c>
      <c r="CE27" s="2790">
        <f t="shared" ca="1" si="67"/>
        <v>0</v>
      </c>
      <c r="CF27" s="2790">
        <f t="shared" ca="1" si="67"/>
        <v>0</v>
      </c>
      <c r="CG27" s="2790">
        <f t="shared" ca="1" si="67"/>
        <v>0</v>
      </c>
      <c r="CH27" s="2790">
        <f t="shared" ca="1" si="67"/>
        <v>0</v>
      </c>
      <c r="CI27" s="2790">
        <f t="shared" ca="1" si="68"/>
        <v>0</v>
      </c>
      <c r="CJ27" s="2790">
        <f t="shared" ca="1" si="68"/>
        <v>0</v>
      </c>
      <c r="CK27" s="2790">
        <f t="shared" ca="1" si="68"/>
        <v>0</v>
      </c>
      <c r="CL27" s="2790">
        <f t="shared" ca="1" si="68"/>
        <v>0</v>
      </c>
      <c r="CM27" s="2790">
        <f t="shared" ca="1" si="68"/>
        <v>0</v>
      </c>
      <c r="CN27" s="2790">
        <f t="shared" ca="1" si="68"/>
        <v>0</v>
      </c>
      <c r="CO27" s="2790">
        <f t="shared" ca="1" si="68"/>
        <v>0</v>
      </c>
      <c r="CP27" s="2790">
        <f t="shared" ca="1" si="68"/>
        <v>0</v>
      </c>
      <c r="CQ27" s="2790">
        <f t="shared" ca="1" si="68"/>
        <v>0</v>
      </c>
      <c r="CR27" s="2790">
        <f t="shared" ca="1" si="68"/>
        <v>0</v>
      </c>
      <c r="CS27" s="2790">
        <f t="shared" ca="1" si="69"/>
        <v>0</v>
      </c>
      <c r="CT27" s="2790">
        <f t="shared" ca="1" si="69"/>
        <v>0</v>
      </c>
      <c r="CU27" s="2790">
        <f t="shared" ca="1" si="69"/>
        <v>0</v>
      </c>
      <c r="CV27" s="2790">
        <f t="shared" ca="1" si="69"/>
        <v>0</v>
      </c>
      <c r="CW27" s="2790">
        <f t="shared" ca="1" si="69"/>
        <v>0</v>
      </c>
      <c r="CX27" s="2790">
        <f t="shared" ca="1" si="69"/>
        <v>0</v>
      </c>
      <c r="CY27" s="2790">
        <f t="shared" ca="1" si="69"/>
        <v>0</v>
      </c>
      <c r="CZ27" s="2790">
        <f t="shared" ca="1" si="69"/>
        <v>0</v>
      </c>
      <c r="DA27" s="2790">
        <f t="shared" ca="1" si="69"/>
        <v>0</v>
      </c>
      <c r="DB27" s="2790">
        <f t="shared" ca="1" si="69"/>
        <v>0</v>
      </c>
      <c r="DC27" s="2790">
        <f t="shared" ca="1" si="69"/>
        <v>0</v>
      </c>
      <c r="DD27" s="2790">
        <f t="shared" ca="1" si="69"/>
        <v>0</v>
      </c>
      <c r="DE27" s="2790">
        <f t="shared" ca="1" si="69"/>
        <v>0</v>
      </c>
      <c r="DF27" s="2790">
        <f t="shared" ca="1" si="69"/>
        <v>0</v>
      </c>
      <c r="DH27" s="596">
        <f t="shared" ca="1" si="33"/>
        <v>0</v>
      </c>
    </row>
    <row r="28" spans="1:112" s="6" customFormat="1" ht="10.5" customHeight="1" outlineLevel="1">
      <c r="A28" s="607"/>
      <c r="B28" s="607"/>
      <c r="C28" s="587"/>
      <c r="D28" s="623" t="s">
        <v>485</v>
      </c>
      <c r="E28" s="599"/>
      <c r="G28" s="590">
        <f ca="1">SUM(G26:G27)</f>
        <v>0</v>
      </c>
      <c r="H28" s="590">
        <f t="shared" ref="H28:P28" ca="1" si="70">SUM(H26:H27)</f>
        <v>0</v>
      </c>
      <c r="I28" s="590">
        <f t="shared" ca="1" si="70"/>
        <v>0</v>
      </c>
      <c r="J28" s="590">
        <f t="shared" ca="1" si="70"/>
        <v>0</v>
      </c>
      <c r="K28" s="590">
        <f t="shared" ca="1" si="70"/>
        <v>0</v>
      </c>
      <c r="L28" s="590">
        <f t="shared" ca="1" si="70"/>
        <v>0</v>
      </c>
      <c r="M28" s="590">
        <f t="shared" ca="1" si="70"/>
        <v>0</v>
      </c>
      <c r="N28" s="590">
        <f ca="1">SUM(N26:N27)</f>
        <v>9.4283309514618914</v>
      </c>
      <c r="O28" s="590">
        <f ca="1">SUM(O26:O27)</f>
        <v>0</v>
      </c>
      <c r="P28" s="590">
        <f t="shared" ca="1" si="70"/>
        <v>0</v>
      </c>
      <c r="Q28" s="590">
        <f t="shared" ca="1" si="57"/>
        <v>9.4283309514618914</v>
      </c>
      <c r="S28" s="592">
        <f t="shared" ref="S28:AJ28" ca="1" si="71">SUM(S26:S27)</f>
        <v>0</v>
      </c>
      <c r="T28" s="592">
        <f t="shared" ca="1" si="71"/>
        <v>0</v>
      </c>
      <c r="U28" s="592">
        <f t="shared" ca="1" si="71"/>
        <v>0</v>
      </c>
      <c r="V28" s="592">
        <f t="shared" ca="1" si="71"/>
        <v>-9.4283309514618914</v>
      </c>
      <c r="W28" s="592">
        <f t="shared" ca="1" si="71"/>
        <v>0</v>
      </c>
      <c r="X28" s="592">
        <f t="shared" ca="1" si="71"/>
        <v>0</v>
      </c>
      <c r="Y28" s="592">
        <f t="shared" ca="1" si="71"/>
        <v>0</v>
      </c>
      <c r="Z28" s="592">
        <f t="shared" ca="1" si="71"/>
        <v>0</v>
      </c>
      <c r="AA28" s="592">
        <f t="shared" ca="1" si="71"/>
        <v>0</v>
      </c>
      <c r="AB28" s="592">
        <f t="shared" ca="1" si="71"/>
        <v>0</v>
      </c>
      <c r="AC28" s="592">
        <f t="shared" ca="1" si="71"/>
        <v>0</v>
      </c>
      <c r="AD28" s="592">
        <f t="shared" ca="1" si="71"/>
        <v>0</v>
      </c>
      <c r="AE28" s="592">
        <f ca="1">SUM(AE26:AE27)</f>
        <v>0</v>
      </c>
      <c r="AF28" s="592">
        <f t="shared" ca="1" si="71"/>
        <v>0</v>
      </c>
      <c r="AG28" s="592">
        <f t="shared" ca="1" si="71"/>
        <v>0</v>
      </c>
      <c r="AH28" s="592">
        <f ca="1">SUM(AH26:AH27)</f>
        <v>0</v>
      </c>
      <c r="AI28" s="592">
        <f t="shared" ca="1" si="71"/>
        <v>0</v>
      </c>
      <c r="AJ28" s="592">
        <f t="shared" ca="1" si="71"/>
        <v>0</v>
      </c>
      <c r="AK28" s="592">
        <f t="shared" ca="1" si="60"/>
        <v>-9.4283309514618914</v>
      </c>
      <c r="AM28" s="608">
        <f t="shared" ref="AM28:BE28" ca="1" si="72">SUM(AM26:AM27)</f>
        <v>0</v>
      </c>
      <c r="AN28" s="608">
        <f t="shared" ca="1" si="72"/>
        <v>0</v>
      </c>
      <c r="AO28" s="608">
        <f t="shared" ca="1" si="72"/>
        <v>0</v>
      </c>
      <c r="AP28" s="608">
        <f t="shared" ca="1" si="72"/>
        <v>0</v>
      </c>
      <c r="AQ28" s="608">
        <f t="shared" ca="1" si="72"/>
        <v>0</v>
      </c>
      <c r="AR28" s="608">
        <f t="shared" ca="1" si="72"/>
        <v>0</v>
      </c>
      <c r="AS28" s="608">
        <f t="shared" ca="1" si="72"/>
        <v>0</v>
      </c>
      <c r="AT28" s="608">
        <f t="shared" ca="1" si="72"/>
        <v>0</v>
      </c>
      <c r="AU28" s="608">
        <f t="shared" ca="1" si="72"/>
        <v>0</v>
      </c>
      <c r="AV28" s="608">
        <f t="shared" ca="1" si="72"/>
        <v>0</v>
      </c>
      <c r="AW28" s="608">
        <f t="shared" ca="1" si="72"/>
        <v>0</v>
      </c>
      <c r="AX28" s="608">
        <f t="shared" ca="1" si="72"/>
        <v>0</v>
      </c>
      <c r="AY28" s="608">
        <f t="shared" ca="1" si="72"/>
        <v>0</v>
      </c>
      <c r="AZ28" s="608">
        <f t="shared" ca="1" si="72"/>
        <v>0</v>
      </c>
      <c r="BA28" s="608">
        <f t="shared" ca="1" si="72"/>
        <v>0</v>
      </c>
      <c r="BB28" s="608">
        <f t="shared" ca="1" si="72"/>
        <v>0</v>
      </c>
      <c r="BC28" s="608">
        <f t="shared" ca="1" si="72"/>
        <v>0</v>
      </c>
      <c r="BD28" s="608">
        <f ca="1">SUM(BD26:BD27)</f>
        <v>0</v>
      </c>
      <c r="BE28" s="608">
        <f t="shared" ca="1" si="72"/>
        <v>0</v>
      </c>
      <c r="BF28" s="594">
        <f t="shared" ca="1" si="63"/>
        <v>0</v>
      </c>
      <c r="BH28" s="3460">
        <f ca="1">SUM(BH26:BH27)</f>
        <v>0</v>
      </c>
      <c r="BI28" s="3460">
        <f ca="1">SUM(BI26:BI27)</f>
        <v>0</v>
      </c>
      <c r="BJ28" s="3460">
        <f t="shared" ca="1" si="65"/>
        <v>0</v>
      </c>
      <c r="BL28" s="595">
        <f t="shared" ca="1" si="10"/>
        <v>0</v>
      </c>
      <c r="BM28" s="595"/>
      <c r="BN28" s="413"/>
      <c r="BO28" s="2789">
        <f t="shared" ref="BO28:DF28" ca="1" si="73">SUM(BO26:BO27)</f>
        <v>0</v>
      </c>
      <c r="BP28" s="2790">
        <f t="shared" ca="1" si="73"/>
        <v>0</v>
      </c>
      <c r="BQ28" s="2790">
        <f t="shared" ca="1" si="73"/>
        <v>0</v>
      </c>
      <c r="BR28" s="2790">
        <f t="shared" ca="1" si="73"/>
        <v>0</v>
      </c>
      <c r="BS28" s="2790">
        <f t="shared" ca="1" si="73"/>
        <v>0</v>
      </c>
      <c r="BT28" s="2790">
        <f t="shared" ca="1" si="73"/>
        <v>0</v>
      </c>
      <c r="BU28" s="2790">
        <f t="shared" ca="1" si="73"/>
        <v>0</v>
      </c>
      <c r="BV28" s="2790">
        <f t="shared" ca="1" si="73"/>
        <v>0</v>
      </c>
      <c r="BW28" s="2790">
        <f t="shared" ca="1" si="73"/>
        <v>0</v>
      </c>
      <c r="BX28" s="2790">
        <f t="shared" ca="1" si="73"/>
        <v>0</v>
      </c>
      <c r="BY28" s="2790">
        <f t="shared" ca="1" si="73"/>
        <v>0</v>
      </c>
      <c r="BZ28" s="2790">
        <f t="shared" ca="1" si="73"/>
        <v>0</v>
      </c>
      <c r="CA28" s="2790">
        <f t="shared" ca="1" si="73"/>
        <v>0</v>
      </c>
      <c r="CB28" s="2790">
        <f t="shared" ca="1" si="73"/>
        <v>0</v>
      </c>
      <c r="CC28" s="2790">
        <f t="shared" ca="1" si="73"/>
        <v>0</v>
      </c>
      <c r="CD28" s="2790">
        <f t="shared" ca="1" si="73"/>
        <v>0</v>
      </c>
      <c r="CE28" s="2790">
        <f t="shared" ca="1" si="73"/>
        <v>0</v>
      </c>
      <c r="CF28" s="2790">
        <f t="shared" ca="1" si="73"/>
        <v>0</v>
      </c>
      <c r="CG28" s="2790">
        <f t="shared" ca="1" si="73"/>
        <v>0</v>
      </c>
      <c r="CH28" s="2790">
        <f t="shared" ca="1" si="73"/>
        <v>0</v>
      </c>
      <c r="CI28" s="2790">
        <f t="shared" ca="1" si="73"/>
        <v>0</v>
      </c>
      <c r="CJ28" s="2790">
        <f t="shared" ca="1" si="73"/>
        <v>0</v>
      </c>
      <c r="CK28" s="2790">
        <f t="shared" ca="1" si="73"/>
        <v>0</v>
      </c>
      <c r="CL28" s="2790">
        <f t="shared" ca="1" si="73"/>
        <v>0</v>
      </c>
      <c r="CM28" s="2790">
        <f t="shared" ca="1" si="73"/>
        <v>0</v>
      </c>
      <c r="CN28" s="2790">
        <f t="shared" ca="1" si="73"/>
        <v>0</v>
      </c>
      <c r="CO28" s="2790">
        <f t="shared" ca="1" si="73"/>
        <v>0</v>
      </c>
      <c r="CP28" s="2790">
        <f t="shared" ca="1" si="73"/>
        <v>0</v>
      </c>
      <c r="CQ28" s="2790">
        <f t="shared" ca="1" si="73"/>
        <v>0</v>
      </c>
      <c r="CR28" s="2790">
        <f t="shared" ca="1" si="73"/>
        <v>0</v>
      </c>
      <c r="CS28" s="2790">
        <f t="shared" ca="1" si="73"/>
        <v>0</v>
      </c>
      <c r="CT28" s="2790">
        <f t="shared" ca="1" si="73"/>
        <v>0</v>
      </c>
      <c r="CU28" s="2790">
        <f t="shared" ca="1" si="73"/>
        <v>2.4879479714717636</v>
      </c>
      <c r="CV28" s="2790">
        <f t="shared" ca="1" si="73"/>
        <v>2.1383454597915571E-3</v>
      </c>
      <c r="CW28" s="2790">
        <f t="shared" ca="1" si="73"/>
        <v>6.3132104050988829E-3</v>
      </c>
      <c r="CX28" s="2790">
        <f t="shared" ca="1" si="73"/>
        <v>0</v>
      </c>
      <c r="CY28" s="2790">
        <f t="shared" ca="1" si="73"/>
        <v>0</v>
      </c>
      <c r="CZ28" s="2790">
        <f t="shared" ca="1" si="73"/>
        <v>0</v>
      </c>
      <c r="DA28" s="2790">
        <f t="shared" ca="1" si="73"/>
        <v>0</v>
      </c>
      <c r="DB28" s="2790">
        <f t="shared" ca="1" si="73"/>
        <v>0</v>
      </c>
      <c r="DC28" s="2790">
        <f t="shared" ca="1" si="73"/>
        <v>0</v>
      </c>
      <c r="DD28" s="2790">
        <f t="shared" ca="1" si="73"/>
        <v>0</v>
      </c>
      <c r="DE28" s="2790">
        <f t="shared" ca="1" si="73"/>
        <v>0</v>
      </c>
      <c r="DF28" s="2790">
        <f t="shared" ca="1" si="73"/>
        <v>0</v>
      </c>
      <c r="DH28" s="596">
        <f t="shared" ca="1" si="33"/>
        <v>2.4963995273366537</v>
      </c>
    </row>
    <row r="29" spans="1:112" s="6" customFormat="1" ht="12.75" customHeight="1" outlineLevel="2">
      <c r="A29" s="586"/>
      <c r="B29" s="586"/>
      <c r="C29" s="587" t="s">
        <v>486</v>
      </c>
      <c r="D29" s="623" t="s">
        <v>374</v>
      </c>
      <c r="E29" s="599"/>
      <c r="G29" s="589">
        <f t="shared" ref="G29:P30" ca="1" si="74">IFERROR(INDEX(INDIRECT($C29&amp;".Outputs["&amp;this.Year&amp;"]"), MATCH(G$5, INDIRECT($C29&amp;".Outputs[Vector]"), 0)), 0)</f>
        <v>0</v>
      </c>
      <c r="H29" s="589">
        <f t="shared" ca="1" si="74"/>
        <v>0</v>
      </c>
      <c r="I29" s="589">
        <f t="shared" ca="1" si="74"/>
        <v>0</v>
      </c>
      <c r="J29" s="589">
        <f t="shared" ca="1" si="74"/>
        <v>0</v>
      </c>
      <c r="K29" s="589">
        <f t="shared" ca="1" si="74"/>
        <v>0</v>
      </c>
      <c r="L29" s="589">
        <f t="shared" ca="1" si="74"/>
        <v>0</v>
      </c>
      <c r="M29" s="589">
        <f t="shared" ca="1" si="74"/>
        <v>0</v>
      </c>
      <c r="N29" s="589">
        <f t="shared" ca="1" si="74"/>
        <v>0</v>
      </c>
      <c r="O29" s="589">
        <f t="shared" ca="1" si="74"/>
        <v>0</v>
      </c>
      <c r="P29" s="589">
        <f t="shared" ca="1" si="74"/>
        <v>0</v>
      </c>
      <c r="Q29" s="590">
        <f t="shared" ca="1" si="57"/>
        <v>0</v>
      </c>
      <c r="S29" s="591">
        <f t="shared" ca="1" si="58"/>
        <v>0</v>
      </c>
      <c r="T29" s="591">
        <f t="shared" ca="1" si="58"/>
        <v>0</v>
      </c>
      <c r="U29" s="591">
        <f t="shared" ca="1" si="58"/>
        <v>0</v>
      </c>
      <c r="V29" s="591">
        <f t="shared" ca="1" si="58"/>
        <v>0</v>
      </c>
      <c r="W29" s="591">
        <f t="shared" ca="1" si="58"/>
        <v>0</v>
      </c>
      <c r="X29" s="591">
        <f t="shared" ref="X29:Z30" ca="1" si="75">IFERROR(INDEX(INDIRECT($C29&amp;".Outputs["&amp;this.Year&amp;"]"), MATCH(X$5, INDIRECT($C29&amp;".Outputs[Vector]"), 0)), 0)</f>
        <v>0</v>
      </c>
      <c r="Y29" s="591">
        <f t="shared" ca="1" si="75"/>
        <v>0</v>
      </c>
      <c r="Z29" s="591">
        <f t="shared" ca="1" si="75"/>
        <v>0</v>
      </c>
      <c r="AA29" s="591">
        <f t="shared" ca="1" si="58"/>
        <v>0</v>
      </c>
      <c r="AB29" s="591">
        <f t="shared" ca="1" si="58"/>
        <v>0</v>
      </c>
      <c r="AC29" s="591">
        <f t="shared" ca="1" si="58"/>
        <v>0</v>
      </c>
      <c r="AD29" s="591">
        <f t="shared" ca="1" si="58"/>
        <v>0</v>
      </c>
      <c r="AE29" s="591">
        <f t="shared" ca="1" si="58"/>
        <v>0</v>
      </c>
      <c r="AF29" s="591">
        <f t="shared" ca="1" si="58"/>
        <v>0</v>
      </c>
      <c r="AG29" s="591">
        <f t="shared" ca="1" si="58"/>
        <v>0</v>
      </c>
      <c r="AH29" s="591">
        <f t="shared" ca="1" si="58"/>
        <v>0</v>
      </c>
      <c r="AI29" s="591">
        <f t="shared" ca="1" si="58"/>
        <v>0</v>
      </c>
      <c r="AJ29" s="591">
        <f t="shared" ca="1" si="58"/>
        <v>0</v>
      </c>
      <c r="AK29" s="592">
        <f t="shared" ca="1" si="60"/>
        <v>0</v>
      </c>
      <c r="AM29" s="593">
        <f t="shared" ref="AM29:AU30" ca="1" si="76">IFERROR(INDEX(INDIRECT($C29&amp;".Outputs["&amp;this.Year&amp;"]"), MATCH(AM$5, INDIRECT($C29&amp;".Outputs[Vector]"), 0)), 0)</f>
        <v>0</v>
      </c>
      <c r="AN29" s="593">
        <f t="shared" ca="1" si="76"/>
        <v>0</v>
      </c>
      <c r="AO29" s="593">
        <f t="shared" ca="1" si="76"/>
        <v>0</v>
      </c>
      <c r="AP29" s="593">
        <f t="shared" ca="1" si="76"/>
        <v>0</v>
      </c>
      <c r="AQ29" s="593">
        <f t="shared" ca="1" si="76"/>
        <v>0</v>
      </c>
      <c r="AR29" s="593">
        <f t="shared" ca="1" si="76"/>
        <v>0</v>
      </c>
      <c r="AS29" s="593">
        <f t="shared" ca="1" si="76"/>
        <v>0</v>
      </c>
      <c r="AT29" s="593">
        <f t="shared" ca="1" si="76"/>
        <v>0</v>
      </c>
      <c r="AU29" s="593">
        <f t="shared" ca="1" si="76"/>
        <v>0</v>
      </c>
      <c r="AV29" s="593">
        <f t="shared" ca="1" si="62"/>
        <v>0</v>
      </c>
      <c r="AW29" s="593">
        <f t="shared" ca="1" si="62"/>
        <v>0</v>
      </c>
      <c r="AX29" s="593">
        <f t="shared" ca="1" si="62"/>
        <v>0</v>
      </c>
      <c r="AY29" s="593">
        <f t="shared" ca="1" si="62"/>
        <v>0</v>
      </c>
      <c r="AZ29" s="593">
        <f t="shared" ca="1" si="62"/>
        <v>0</v>
      </c>
      <c r="BA29" s="593">
        <f t="shared" ca="1" si="62"/>
        <v>0</v>
      </c>
      <c r="BB29" s="593">
        <f t="shared" ca="1" si="62"/>
        <v>0</v>
      </c>
      <c r="BC29" s="593">
        <f t="shared" ca="1" si="62"/>
        <v>0</v>
      </c>
      <c r="BD29" s="593">
        <f t="shared" ca="1" si="62"/>
        <v>0</v>
      </c>
      <c r="BE29" s="593">
        <f t="shared" ca="1" si="62"/>
        <v>0</v>
      </c>
      <c r="BF29" s="609">
        <f t="shared" ca="1" si="63"/>
        <v>0</v>
      </c>
      <c r="BH29" s="3471">
        <f t="shared" ca="1" si="64"/>
        <v>0</v>
      </c>
      <c r="BI29" s="3471">
        <f t="shared" ca="1" si="64"/>
        <v>0</v>
      </c>
      <c r="BJ29" s="3460">
        <f t="shared" ca="1" si="65"/>
        <v>0</v>
      </c>
      <c r="BL29" s="610">
        <f t="shared" ca="1" si="10"/>
        <v>0</v>
      </c>
      <c r="BM29" s="610"/>
      <c r="BN29" s="413"/>
      <c r="BO29" s="2789">
        <f t="shared" ref="BO29:BX30" ca="1" si="77">IFERROR(SUMIFS(INDIRECT($C29&amp;".Emissions["&amp;this.Year&amp;"]"), INDIRECT($C29&amp;".Emissions[GHG]"), BO$6, INDIRECT($C29&amp;".Emissions[IPCC Sector]"), BO$5),0)</f>
        <v>0</v>
      </c>
      <c r="BP29" s="2790">
        <f t="shared" ca="1" si="77"/>
        <v>0</v>
      </c>
      <c r="BQ29" s="2790">
        <f t="shared" ca="1" si="77"/>
        <v>0</v>
      </c>
      <c r="BR29" s="2790">
        <f t="shared" ca="1" si="77"/>
        <v>0</v>
      </c>
      <c r="BS29" s="2790">
        <f t="shared" ca="1" si="77"/>
        <v>0</v>
      </c>
      <c r="BT29" s="2790">
        <f t="shared" ca="1" si="77"/>
        <v>0</v>
      </c>
      <c r="BU29" s="2790">
        <f t="shared" ca="1" si="77"/>
        <v>0</v>
      </c>
      <c r="BV29" s="2790">
        <f t="shared" ca="1" si="77"/>
        <v>0</v>
      </c>
      <c r="BW29" s="2790">
        <f t="shared" ca="1" si="77"/>
        <v>0</v>
      </c>
      <c r="BX29" s="2790">
        <f t="shared" ca="1" si="77"/>
        <v>0</v>
      </c>
      <c r="BY29" s="2790">
        <f t="shared" ref="BY29:CH30" ca="1" si="78">IFERROR(SUMIFS(INDIRECT($C29&amp;".Emissions["&amp;this.Year&amp;"]"), INDIRECT($C29&amp;".Emissions[GHG]"), BY$6, INDIRECT($C29&amp;".Emissions[IPCC Sector]"), BY$5),0)</f>
        <v>0</v>
      </c>
      <c r="BZ29" s="2790">
        <f t="shared" ca="1" si="78"/>
        <v>0</v>
      </c>
      <c r="CA29" s="2790">
        <f t="shared" ca="1" si="78"/>
        <v>0</v>
      </c>
      <c r="CB29" s="2790">
        <f t="shared" ca="1" si="78"/>
        <v>0</v>
      </c>
      <c r="CC29" s="2790">
        <f t="shared" ca="1" si="78"/>
        <v>0</v>
      </c>
      <c r="CD29" s="2790">
        <f t="shared" ca="1" si="78"/>
        <v>0</v>
      </c>
      <c r="CE29" s="2790">
        <f t="shared" ca="1" si="78"/>
        <v>0</v>
      </c>
      <c r="CF29" s="2790">
        <f t="shared" ca="1" si="78"/>
        <v>0</v>
      </c>
      <c r="CG29" s="2790">
        <f t="shared" ca="1" si="78"/>
        <v>0</v>
      </c>
      <c r="CH29" s="2790">
        <f t="shared" ca="1" si="78"/>
        <v>0</v>
      </c>
      <c r="CI29" s="2790">
        <f t="shared" ref="CI29:CR30" ca="1" si="79">IFERROR(SUMIFS(INDIRECT($C29&amp;".Emissions["&amp;this.Year&amp;"]"), INDIRECT($C29&amp;".Emissions[GHG]"), CI$6, INDIRECT($C29&amp;".Emissions[IPCC Sector]"), CI$5),0)</f>
        <v>0</v>
      </c>
      <c r="CJ29" s="2790">
        <f t="shared" ca="1" si="79"/>
        <v>0</v>
      </c>
      <c r="CK29" s="2790">
        <f t="shared" ca="1" si="79"/>
        <v>0</v>
      </c>
      <c r="CL29" s="2790">
        <f t="shared" ca="1" si="79"/>
        <v>0</v>
      </c>
      <c r="CM29" s="2790">
        <f t="shared" ca="1" si="79"/>
        <v>0</v>
      </c>
      <c r="CN29" s="2790">
        <f t="shared" ca="1" si="79"/>
        <v>0</v>
      </c>
      <c r="CO29" s="2790">
        <f t="shared" ca="1" si="79"/>
        <v>0</v>
      </c>
      <c r="CP29" s="2790">
        <f t="shared" ca="1" si="79"/>
        <v>0</v>
      </c>
      <c r="CQ29" s="2790">
        <f t="shared" ca="1" si="79"/>
        <v>0</v>
      </c>
      <c r="CR29" s="2790">
        <f t="shared" ca="1" si="79"/>
        <v>0</v>
      </c>
      <c r="CS29" s="2790">
        <f t="shared" ref="CS29:DF30" ca="1" si="80">IFERROR(SUMIFS(INDIRECT($C29&amp;".Emissions["&amp;this.Year&amp;"]"), INDIRECT($C29&amp;".Emissions[GHG]"), CS$6, INDIRECT($C29&amp;".Emissions[IPCC Sector]"), CS$5),0)</f>
        <v>0</v>
      </c>
      <c r="CT29" s="2790">
        <f t="shared" ca="1" si="80"/>
        <v>0</v>
      </c>
      <c r="CU29" s="2790">
        <f t="shared" ca="1" si="80"/>
        <v>0</v>
      </c>
      <c r="CV29" s="2790">
        <f t="shared" ca="1" si="80"/>
        <v>0</v>
      </c>
      <c r="CW29" s="2790">
        <f t="shared" ca="1" si="80"/>
        <v>0</v>
      </c>
      <c r="CX29" s="2790">
        <f t="shared" ca="1" si="80"/>
        <v>0</v>
      </c>
      <c r="CY29" s="2790">
        <f t="shared" ca="1" si="80"/>
        <v>0</v>
      </c>
      <c r="CZ29" s="2790">
        <f t="shared" ca="1" si="80"/>
        <v>0</v>
      </c>
      <c r="DA29" s="2790">
        <f t="shared" ca="1" si="80"/>
        <v>0</v>
      </c>
      <c r="DB29" s="2790">
        <f t="shared" ca="1" si="80"/>
        <v>0</v>
      </c>
      <c r="DC29" s="2790">
        <f t="shared" ca="1" si="80"/>
        <v>0</v>
      </c>
      <c r="DD29" s="2790">
        <f t="shared" ca="1" si="80"/>
        <v>0</v>
      </c>
      <c r="DE29" s="2790">
        <f t="shared" ca="1" si="80"/>
        <v>0</v>
      </c>
      <c r="DF29" s="2790">
        <f t="shared" ca="1" si="80"/>
        <v>0</v>
      </c>
      <c r="DH29" s="596">
        <f t="shared" ca="1" si="33"/>
        <v>0</v>
      </c>
    </row>
    <row r="30" spans="1:112" s="6" customFormat="1" ht="10.5" customHeight="1" outlineLevel="2">
      <c r="A30" s="597"/>
      <c r="B30" s="597"/>
      <c r="C30" s="598" t="s">
        <v>487</v>
      </c>
      <c r="D30" s="624" t="s">
        <v>488</v>
      </c>
      <c r="E30" s="599"/>
      <c r="G30" s="600">
        <f t="shared" ca="1" si="74"/>
        <v>0</v>
      </c>
      <c r="H30" s="600">
        <f t="shared" ca="1" si="74"/>
        <v>0</v>
      </c>
      <c r="I30" s="600">
        <f t="shared" ca="1" si="74"/>
        <v>0</v>
      </c>
      <c r="J30" s="600">
        <f t="shared" ca="1" si="74"/>
        <v>0</v>
      </c>
      <c r="K30" s="600">
        <f t="shared" ca="1" si="74"/>
        <v>0</v>
      </c>
      <c r="L30" s="600">
        <f t="shared" ca="1" si="74"/>
        <v>0</v>
      </c>
      <c r="M30" s="600">
        <f t="shared" ca="1" si="74"/>
        <v>0</v>
      </c>
      <c r="N30" s="600">
        <f t="shared" ca="1" si="74"/>
        <v>0</v>
      </c>
      <c r="O30" s="600">
        <f t="shared" ca="1" si="74"/>
        <v>0</v>
      </c>
      <c r="P30" s="600">
        <f t="shared" ca="1" si="74"/>
        <v>0</v>
      </c>
      <c r="Q30" s="601">
        <f t="shared" ca="1" si="57"/>
        <v>0</v>
      </c>
      <c r="S30" s="602">
        <f t="shared" ca="1" si="58"/>
        <v>0</v>
      </c>
      <c r="T30" s="602">
        <f t="shared" ca="1" si="58"/>
        <v>0</v>
      </c>
      <c r="U30" s="602">
        <f t="shared" ca="1" si="58"/>
        <v>0</v>
      </c>
      <c r="V30" s="602">
        <f t="shared" ca="1" si="58"/>
        <v>0</v>
      </c>
      <c r="W30" s="602">
        <f t="shared" ca="1" si="58"/>
        <v>0</v>
      </c>
      <c r="X30" s="602">
        <f t="shared" ca="1" si="75"/>
        <v>0</v>
      </c>
      <c r="Y30" s="602">
        <f t="shared" ca="1" si="75"/>
        <v>0</v>
      </c>
      <c r="Z30" s="602">
        <f t="shared" ca="1" si="75"/>
        <v>0</v>
      </c>
      <c r="AA30" s="602">
        <f t="shared" ca="1" si="58"/>
        <v>0</v>
      </c>
      <c r="AB30" s="602">
        <f t="shared" ca="1" si="58"/>
        <v>0</v>
      </c>
      <c r="AC30" s="602">
        <f t="shared" ca="1" si="58"/>
        <v>0</v>
      </c>
      <c r="AD30" s="602">
        <f t="shared" ca="1" si="58"/>
        <v>0</v>
      </c>
      <c r="AE30" s="602">
        <f t="shared" ca="1" si="58"/>
        <v>0</v>
      </c>
      <c r="AF30" s="602">
        <f t="shared" ca="1" si="58"/>
        <v>0</v>
      </c>
      <c r="AG30" s="602">
        <f t="shared" ca="1" si="58"/>
        <v>0</v>
      </c>
      <c r="AH30" s="602">
        <f t="shared" ca="1" si="58"/>
        <v>0</v>
      </c>
      <c r="AI30" s="602">
        <f t="shared" ca="1" si="58"/>
        <v>0</v>
      </c>
      <c r="AJ30" s="602">
        <f t="shared" ca="1" si="58"/>
        <v>0</v>
      </c>
      <c r="AK30" s="603">
        <f t="shared" ca="1" si="60"/>
        <v>0</v>
      </c>
      <c r="AM30" s="604">
        <f t="shared" ca="1" si="76"/>
        <v>0</v>
      </c>
      <c r="AN30" s="604">
        <f t="shared" ca="1" si="76"/>
        <v>0</v>
      </c>
      <c r="AO30" s="604">
        <f t="shared" ca="1" si="76"/>
        <v>0</v>
      </c>
      <c r="AP30" s="604">
        <f t="shared" ca="1" si="76"/>
        <v>0</v>
      </c>
      <c r="AQ30" s="604">
        <f t="shared" ca="1" si="76"/>
        <v>0</v>
      </c>
      <c r="AR30" s="604">
        <f t="shared" ca="1" si="76"/>
        <v>0</v>
      </c>
      <c r="AS30" s="604">
        <f t="shared" ca="1" si="76"/>
        <v>0</v>
      </c>
      <c r="AT30" s="604">
        <f t="shared" ca="1" si="76"/>
        <v>0</v>
      </c>
      <c r="AU30" s="604">
        <f t="shared" ca="1" si="76"/>
        <v>0</v>
      </c>
      <c r="AV30" s="604">
        <f t="shared" ca="1" si="62"/>
        <v>0</v>
      </c>
      <c r="AW30" s="604">
        <f t="shared" ca="1" si="62"/>
        <v>0</v>
      </c>
      <c r="AX30" s="604">
        <f t="shared" ca="1" si="62"/>
        <v>0</v>
      </c>
      <c r="AY30" s="604">
        <f t="shared" ca="1" si="62"/>
        <v>0</v>
      </c>
      <c r="AZ30" s="604">
        <f t="shared" ca="1" si="62"/>
        <v>0</v>
      </c>
      <c r="BA30" s="604">
        <f t="shared" ca="1" si="62"/>
        <v>0</v>
      </c>
      <c r="BB30" s="604">
        <f t="shared" ca="1" si="62"/>
        <v>0</v>
      </c>
      <c r="BC30" s="604">
        <f t="shared" ca="1" si="62"/>
        <v>0</v>
      </c>
      <c r="BD30" s="604">
        <f t="shared" ca="1" si="62"/>
        <v>0</v>
      </c>
      <c r="BE30" s="604">
        <f t="shared" ca="1" si="62"/>
        <v>0</v>
      </c>
      <c r="BF30" s="605">
        <f t="shared" ca="1" si="63"/>
        <v>0</v>
      </c>
      <c r="BH30" s="3472">
        <f t="shared" ca="1" si="64"/>
        <v>0</v>
      </c>
      <c r="BI30" s="3472">
        <f t="shared" ca="1" si="64"/>
        <v>0</v>
      </c>
      <c r="BJ30" s="3461">
        <f t="shared" ca="1" si="65"/>
        <v>0</v>
      </c>
      <c r="BL30" s="606">
        <f t="shared" ca="1" si="10"/>
        <v>0</v>
      </c>
      <c r="BM30" s="606"/>
      <c r="BN30" s="413"/>
      <c r="BO30" s="2789">
        <f t="shared" ca="1" si="77"/>
        <v>0</v>
      </c>
      <c r="BP30" s="2790">
        <f t="shared" ca="1" si="77"/>
        <v>0</v>
      </c>
      <c r="BQ30" s="2790">
        <f t="shared" ca="1" si="77"/>
        <v>0</v>
      </c>
      <c r="BR30" s="2790">
        <f t="shared" ca="1" si="77"/>
        <v>0</v>
      </c>
      <c r="BS30" s="2790">
        <f t="shared" ca="1" si="77"/>
        <v>0</v>
      </c>
      <c r="BT30" s="2790">
        <f t="shared" ca="1" si="77"/>
        <v>0</v>
      </c>
      <c r="BU30" s="2790">
        <f t="shared" ca="1" si="77"/>
        <v>0</v>
      </c>
      <c r="BV30" s="2790">
        <f t="shared" ca="1" si="77"/>
        <v>0</v>
      </c>
      <c r="BW30" s="2790">
        <f t="shared" ca="1" si="77"/>
        <v>0</v>
      </c>
      <c r="BX30" s="2790">
        <f t="shared" ca="1" si="77"/>
        <v>0</v>
      </c>
      <c r="BY30" s="2790">
        <f t="shared" ca="1" si="78"/>
        <v>0</v>
      </c>
      <c r="BZ30" s="2790">
        <f t="shared" ca="1" si="78"/>
        <v>0</v>
      </c>
      <c r="CA30" s="2790">
        <f t="shared" ca="1" si="78"/>
        <v>0</v>
      </c>
      <c r="CB30" s="2790">
        <f t="shared" ca="1" si="78"/>
        <v>0</v>
      </c>
      <c r="CC30" s="2790">
        <f t="shared" ca="1" si="78"/>
        <v>0</v>
      </c>
      <c r="CD30" s="2790">
        <f t="shared" ca="1" si="78"/>
        <v>0</v>
      </c>
      <c r="CE30" s="2790">
        <f t="shared" ca="1" si="78"/>
        <v>0</v>
      </c>
      <c r="CF30" s="2790">
        <f t="shared" ca="1" si="78"/>
        <v>0</v>
      </c>
      <c r="CG30" s="2790">
        <f t="shared" ca="1" si="78"/>
        <v>0</v>
      </c>
      <c r="CH30" s="2790">
        <f t="shared" ca="1" si="78"/>
        <v>0</v>
      </c>
      <c r="CI30" s="2790">
        <f t="shared" ca="1" si="79"/>
        <v>0</v>
      </c>
      <c r="CJ30" s="2790">
        <f t="shared" ca="1" si="79"/>
        <v>0</v>
      </c>
      <c r="CK30" s="2790">
        <f t="shared" ca="1" si="79"/>
        <v>0</v>
      </c>
      <c r="CL30" s="2790">
        <f t="shared" ca="1" si="79"/>
        <v>0</v>
      </c>
      <c r="CM30" s="2790">
        <f t="shared" ca="1" si="79"/>
        <v>0</v>
      </c>
      <c r="CN30" s="2790">
        <f t="shared" ca="1" si="79"/>
        <v>0</v>
      </c>
      <c r="CO30" s="2790">
        <f t="shared" ca="1" si="79"/>
        <v>0</v>
      </c>
      <c r="CP30" s="2790">
        <f t="shared" ca="1" si="79"/>
        <v>0</v>
      </c>
      <c r="CQ30" s="2790">
        <f t="shared" ca="1" si="79"/>
        <v>0</v>
      </c>
      <c r="CR30" s="2790">
        <f t="shared" ca="1" si="79"/>
        <v>0</v>
      </c>
      <c r="CS30" s="2790">
        <f t="shared" ca="1" si="80"/>
        <v>0</v>
      </c>
      <c r="CT30" s="2790">
        <f t="shared" ca="1" si="80"/>
        <v>0</v>
      </c>
      <c r="CU30" s="2790">
        <f t="shared" ca="1" si="80"/>
        <v>0</v>
      </c>
      <c r="CV30" s="2790">
        <f t="shared" ca="1" si="80"/>
        <v>0</v>
      </c>
      <c r="CW30" s="2790">
        <f t="shared" ca="1" si="80"/>
        <v>0</v>
      </c>
      <c r="CX30" s="2790">
        <f t="shared" ca="1" si="80"/>
        <v>0</v>
      </c>
      <c r="CY30" s="2790">
        <f t="shared" ca="1" si="80"/>
        <v>0</v>
      </c>
      <c r="CZ30" s="2790">
        <f t="shared" ca="1" si="80"/>
        <v>0</v>
      </c>
      <c r="DA30" s="2790">
        <f t="shared" ca="1" si="80"/>
        <v>0</v>
      </c>
      <c r="DB30" s="2790">
        <f t="shared" ca="1" si="80"/>
        <v>0</v>
      </c>
      <c r="DC30" s="2790">
        <f t="shared" ca="1" si="80"/>
        <v>0</v>
      </c>
      <c r="DD30" s="2790">
        <f t="shared" ca="1" si="80"/>
        <v>0</v>
      </c>
      <c r="DE30" s="2790">
        <f t="shared" ca="1" si="80"/>
        <v>0</v>
      </c>
      <c r="DF30" s="2790">
        <f t="shared" ca="1" si="80"/>
        <v>0</v>
      </c>
      <c r="DH30" s="596">
        <f t="shared" ca="1" si="33"/>
        <v>0</v>
      </c>
    </row>
    <row r="31" spans="1:112" s="6" customFormat="1" ht="11.25" customHeight="1" outlineLevel="1">
      <c r="A31" s="607"/>
      <c r="B31" s="607"/>
      <c r="C31" s="587"/>
      <c r="D31" s="625" t="s">
        <v>489</v>
      </c>
      <c r="E31" s="611"/>
      <c r="G31" s="612">
        <f t="shared" ref="G31:P31" ca="1" si="81">SUM(G29:G30)</f>
        <v>0</v>
      </c>
      <c r="H31" s="612">
        <f t="shared" ca="1" si="81"/>
        <v>0</v>
      </c>
      <c r="I31" s="612">
        <f t="shared" ca="1" si="81"/>
        <v>0</v>
      </c>
      <c r="J31" s="612">
        <f t="shared" ca="1" si="81"/>
        <v>0</v>
      </c>
      <c r="K31" s="612">
        <f t="shared" ca="1" si="81"/>
        <v>0</v>
      </c>
      <c r="L31" s="612">
        <f t="shared" ca="1" si="81"/>
        <v>0</v>
      </c>
      <c r="M31" s="612">
        <f t="shared" ca="1" si="81"/>
        <v>0</v>
      </c>
      <c r="N31" s="612">
        <f t="shared" ca="1" si="81"/>
        <v>0</v>
      </c>
      <c r="O31" s="612">
        <f t="shared" ca="1" si="81"/>
        <v>0</v>
      </c>
      <c r="P31" s="612">
        <f t="shared" ca="1" si="81"/>
        <v>0</v>
      </c>
      <c r="Q31" s="612">
        <f t="shared" ca="1" si="57"/>
        <v>0</v>
      </c>
      <c r="S31" s="613">
        <f t="shared" ref="S31:AJ31" ca="1" si="82">SUM(S29:S30)</f>
        <v>0</v>
      </c>
      <c r="T31" s="613">
        <f t="shared" ca="1" si="82"/>
        <v>0</v>
      </c>
      <c r="U31" s="613">
        <f t="shared" ca="1" si="82"/>
        <v>0</v>
      </c>
      <c r="V31" s="613">
        <f t="shared" ca="1" si="82"/>
        <v>0</v>
      </c>
      <c r="W31" s="613">
        <f t="shared" ca="1" si="82"/>
        <v>0</v>
      </c>
      <c r="X31" s="626">
        <f t="shared" ca="1" si="82"/>
        <v>0</v>
      </c>
      <c r="Y31" s="626">
        <f t="shared" ca="1" si="82"/>
        <v>0</v>
      </c>
      <c r="Z31" s="626">
        <f t="shared" ca="1" si="82"/>
        <v>0</v>
      </c>
      <c r="AA31" s="613">
        <f t="shared" ca="1" si="82"/>
        <v>0</v>
      </c>
      <c r="AB31" s="613">
        <f t="shared" ca="1" si="82"/>
        <v>0</v>
      </c>
      <c r="AC31" s="613">
        <f t="shared" ca="1" si="82"/>
        <v>0</v>
      </c>
      <c r="AD31" s="613">
        <f t="shared" ca="1" si="82"/>
        <v>0</v>
      </c>
      <c r="AE31" s="613">
        <f ca="1">SUM(AE29:AE30)</f>
        <v>0</v>
      </c>
      <c r="AF31" s="613">
        <f t="shared" ca="1" si="82"/>
        <v>0</v>
      </c>
      <c r="AG31" s="613">
        <f t="shared" ca="1" si="82"/>
        <v>0</v>
      </c>
      <c r="AH31" s="613">
        <f ca="1">SUM(AH29:AH30)</f>
        <v>0</v>
      </c>
      <c r="AI31" s="613">
        <f t="shared" ca="1" si="82"/>
        <v>0</v>
      </c>
      <c r="AJ31" s="613">
        <f t="shared" ca="1" si="82"/>
        <v>0</v>
      </c>
      <c r="AK31" s="613">
        <f t="shared" ca="1" si="60"/>
        <v>0</v>
      </c>
      <c r="AM31" s="627">
        <f t="shared" ref="AM31:BE31" ca="1" si="83">SUM(AM29:AM30)</f>
        <v>0</v>
      </c>
      <c r="AN31" s="627">
        <f t="shared" ca="1" si="83"/>
        <v>0</v>
      </c>
      <c r="AO31" s="627">
        <f t="shared" ca="1" si="83"/>
        <v>0</v>
      </c>
      <c r="AP31" s="627">
        <f t="shared" ca="1" si="83"/>
        <v>0</v>
      </c>
      <c r="AQ31" s="627">
        <f t="shared" ca="1" si="83"/>
        <v>0</v>
      </c>
      <c r="AR31" s="627">
        <f t="shared" ca="1" si="83"/>
        <v>0</v>
      </c>
      <c r="AS31" s="627">
        <f t="shared" ca="1" si="83"/>
        <v>0</v>
      </c>
      <c r="AT31" s="627">
        <f t="shared" ca="1" si="83"/>
        <v>0</v>
      </c>
      <c r="AU31" s="627">
        <f t="shared" ca="1" si="83"/>
        <v>0</v>
      </c>
      <c r="AV31" s="627">
        <f t="shared" ca="1" si="83"/>
        <v>0</v>
      </c>
      <c r="AW31" s="627">
        <f t="shared" ca="1" si="83"/>
        <v>0</v>
      </c>
      <c r="AX31" s="627">
        <f t="shared" ca="1" si="83"/>
        <v>0</v>
      </c>
      <c r="AY31" s="627">
        <f t="shared" ca="1" si="83"/>
        <v>0</v>
      </c>
      <c r="AZ31" s="627">
        <f t="shared" ca="1" si="83"/>
        <v>0</v>
      </c>
      <c r="BA31" s="627">
        <f t="shared" ca="1" si="83"/>
        <v>0</v>
      </c>
      <c r="BB31" s="627">
        <f t="shared" ca="1" si="83"/>
        <v>0</v>
      </c>
      <c r="BC31" s="627">
        <f t="shared" ca="1" si="83"/>
        <v>0</v>
      </c>
      <c r="BD31" s="627">
        <f ca="1">SUM(BD29:BD30)</f>
        <v>0</v>
      </c>
      <c r="BE31" s="627">
        <f t="shared" ca="1" si="83"/>
        <v>0</v>
      </c>
      <c r="BF31" s="628">
        <f t="shared" ca="1" si="63"/>
        <v>0</v>
      </c>
      <c r="BH31" s="3474">
        <f ca="1">SUM(BH29:BH30)</f>
        <v>0</v>
      </c>
      <c r="BI31" s="3474">
        <f ca="1">SUM(BI29:BI30)</f>
        <v>0</v>
      </c>
      <c r="BJ31" s="3462">
        <f t="shared" ca="1" si="65"/>
        <v>0</v>
      </c>
      <c r="BL31" s="595">
        <f t="shared" ca="1" si="10"/>
        <v>0</v>
      </c>
      <c r="BM31" s="595"/>
      <c r="BN31" s="607"/>
      <c r="BO31" s="2791">
        <f t="shared" ref="BO31:DF31" ca="1" si="84">SUM(BO29:BO30)</f>
        <v>0</v>
      </c>
      <c r="BP31" s="2792">
        <f t="shared" ca="1" si="84"/>
        <v>0</v>
      </c>
      <c r="BQ31" s="2792">
        <f t="shared" ca="1" si="84"/>
        <v>0</v>
      </c>
      <c r="BR31" s="2792">
        <f t="shared" ca="1" si="84"/>
        <v>0</v>
      </c>
      <c r="BS31" s="2792">
        <f t="shared" ca="1" si="84"/>
        <v>0</v>
      </c>
      <c r="BT31" s="2792">
        <f t="shared" ca="1" si="84"/>
        <v>0</v>
      </c>
      <c r="BU31" s="2792">
        <f t="shared" ca="1" si="84"/>
        <v>0</v>
      </c>
      <c r="BV31" s="2792">
        <f t="shared" ca="1" si="84"/>
        <v>0</v>
      </c>
      <c r="BW31" s="2792">
        <f t="shared" ca="1" si="84"/>
        <v>0</v>
      </c>
      <c r="BX31" s="2792">
        <f t="shared" ca="1" si="84"/>
        <v>0</v>
      </c>
      <c r="BY31" s="2792">
        <f t="shared" ca="1" si="84"/>
        <v>0</v>
      </c>
      <c r="BZ31" s="2792">
        <f t="shared" ca="1" si="84"/>
        <v>0</v>
      </c>
      <c r="CA31" s="2792">
        <f t="shared" ca="1" si="84"/>
        <v>0</v>
      </c>
      <c r="CB31" s="2792">
        <f t="shared" ca="1" si="84"/>
        <v>0</v>
      </c>
      <c r="CC31" s="2792">
        <f t="shared" ca="1" si="84"/>
        <v>0</v>
      </c>
      <c r="CD31" s="2792">
        <f t="shared" ca="1" si="84"/>
        <v>0</v>
      </c>
      <c r="CE31" s="2792">
        <f t="shared" ca="1" si="84"/>
        <v>0</v>
      </c>
      <c r="CF31" s="2792">
        <f t="shared" ca="1" si="84"/>
        <v>0</v>
      </c>
      <c r="CG31" s="2792">
        <f t="shared" ca="1" si="84"/>
        <v>0</v>
      </c>
      <c r="CH31" s="2792">
        <f t="shared" ca="1" si="84"/>
        <v>0</v>
      </c>
      <c r="CI31" s="2792">
        <f t="shared" ca="1" si="84"/>
        <v>0</v>
      </c>
      <c r="CJ31" s="2792">
        <f t="shared" ca="1" si="84"/>
        <v>0</v>
      </c>
      <c r="CK31" s="2792">
        <f t="shared" ca="1" si="84"/>
        <v>0</v>
      </c>
      <c r="CL31" s="2792">
        <f t="shared" ca="1" si="84"/>
        <v>0</v>
      </c>
      <c r="CM31" s="2792">
        <f t="shared" ca="1" si="84"/>
        <v>0</v>
      </c>
      <c r="CN31" s="2792">
        <f t="shared" ca="1" si="84"/>
        <v>0</v>
      </c>
      <c r="CO31" s="2792">
        <f t="shared" ca="1" si="84"/>
        <v>0</v>
      </c>
      <c r="CP31" s="2792">
        <f t="shared" ca="1" si="84"/>
        <v>0</v>
      </c>
      <c r="CQ31" s="2792">
        <f t="shared" ca="1" si="84"/>
        <v>0</v>
      </c>
      <c r="CR31" s="2792">
        <f t="shared" ca="1" si="84"/>
        <v>0</v>
      </c>
      <c r="CS31" s="2792">
        <f t="shared" ca="1" si="84"/>
        <v>0</v>
      </c>
      <c r="CT31" s="2792">
        <f t="shared" ca="1" si="84"/>
        <v>0</v>
      </c>
      <c r="CU31" s="2792">
        <f t="shared" ca="1" si="84"/>
        <v>0</v>
      </c>
      <c r="CV31" s="2792">
        <f t="shared" ca="1" si="84"/>
        <v>0</v>
      </c>
      <c r="CW31" s="2792">
        <f t="shared" ca="1" si="84"/>
        <v>0</v>
      </c>
      <c r="CX31" s="2792">
        <f t="shared" ca="1" si="84"/>
        <v>0</v>
      </c>
      <c r="CY31" s="2792">
        <f t="shared" ca="1" si="84"/>
        <v>0</v>
      </c>
      <c r="CZ31" s="2792">
        <f t="shared" ca="1" si="84"/>
        <v>0</v>
      </c>
      <c r="DA31" s="2792">
        <f t="shared" ca="1" si="84"/>
        <v>0</v>
      </c>
      <c r="DB31" s="2792">
        <f t="shared" ca="1" si="84"/>
        <v>0</v>
      </c>
      <c r="DC31" s="2792">
        <f t="shared" ca="1" si="84"/>
        <v>0</v>
      </c>
      <c r="DD31" s="2792">
        <f t="shared" ca="1" si="84"/>
        <v>0</v>
      </c>
      <c r="DE31" s="2792">
        <f t="shared" ca="1" si="84"/>
        <v>0</v>
      </c>
      <c r="DF31" s="2792">
        <f t="shared" ca="1" si="84"/>
        <v>0</v>
      </c>
      <c r="DH31" s="596">
        <f t="shared" ca="1" si="33"/>
        <v>0</v>
      </c>
    </row>
    <row r="32" spans="1:112" s="6" customFormat="1" ht="15.75">
      <c r="A32" s="4"/>
      <c r="B32" s="3"/>
      <c r="C32" s="616" t="s">
        <v>490</v>
      </c>
      <c r="D32" s="617" t="s">
        <v>491</v>
      </c>
      <c r="E32" s="206"/>
      <c r="G32" s="618">
        <f t="shared" ref="G32:P32" ca="1" si="85">G24+G25+G28+G31</f>
        <v>0</v>
      </c>
      <c r="H32" s="618">
        <f t="shared" ca="1" si="85"/>
        <v>0</v>
      </c>
      <c r="I32" s="618">
        <f t="shared" ca="1" si="85"/>
        <v>0</v>
      </c>
      <c r="J32" s="618">
        <f t="shared" ca="1" si="85"/>
        <v>33.315436625723152</v>
      </c>
      <c r="K32" s="618">
        <f t="shared" ca="1" si="85"/>
        <v>0.3884627680202104</v>
      </c>
      <c r="L32" s="618">
        <f t="shared" ca="1" si="85"/>
        <v>2.5651802953474499E-2</v>
      </c>
      <c r="M32" s="618">
        <f t="shared" ca="1" si="85"/>
        <v>0.66</v>
      </c>
      <c r="N32" s="618">
        <f t="shared" ca="1" si="85"/>
        <v>9.4283309514618914</v>
      </c>
      <c r="O32" s="618">
        <f t="shared" ca="1" si="85"/>
        <v>0</v>
      </c>
      <c r="P32" s="618">
        <f t="shared" ca="1" si="85"/>
        <v>0</v>
      </c>
      <c r="Q32" s="618">
        <f t="shared" ca="1" si="57"/>
        <v>43.817882148158731</v>
      </c>
      <c r="S32" s="581">
        <f t="shared" ref="S32:AJ32" ca="1" si="86">S24+S25+S28+S31</f>
        <v>-0.37760546384703331</v>
      </c>
      <c r="T32" s="581">
        <f t="shared" ca="1" si="86"/>
        <v>0</v>
      </c>
      <c r="U32" s="581">
        <f t="shared" ca="1" si="86"/>
        <v>0</v>
      </c>
      <c r="V32" s="581">
        <f t="shared" ca="1" si="86"/>
        <v>-43.42592165702483</v>
      </c>
      <c r="W32" s="581">
        <f t="shared" ca="1" si="86"/>
        <v>0</v>
      </c>
      <c r="X32" s="581">
        <f t="shared" ca="1" si="86"/>
        <v>0</v>
      </c>
      <c r="Y32" s="581">
        <f t="shared" ca="1" si="86"/>
        <v>0</v>
      </c>
      <c r="Z32" s="581">
        <f t="shared" ca="1" si="86"/>
        <v>0</v>
      </c>
      <c r="AA32" s="581">
        <f t="shared" ca="1" si="86"/>
        <v>0</v>
      </c>
      <c r="AB32" s="581">
        <f t="shared" ca="1" si="86"/>
        <v>0</v>
      </c>
      <c r="AC32" s="581">
        <f t="shared" ca="1" si="86"/>
        <v>0</v>
      </c>
      <c r="AD32" s="581">
        <f t="shared" ca="1" si="86"/>
        <v>0</v>
      </c>
      <c r="AE32" s="581">
        <f ca="1">AE24+AE25+AE28+AE31</f>
        <v>0</v>
      </c>
      <c r="AF32" s="581">
        <f t="shared" ca="1" si="86"/>
        <v>0</v>
      </c>
      <c r="AG32" s="581">
        <f t="shared" ca="1" si="86"/>
        <v>0</v>
      </c>
      <c r="AH32" s="581">
        <f ca="1">AH24+AH25+AH28+AH31</f>
        <v>0</v>
      </c>
      <c r="AI32" s="581">
        <f t="shared" ca="1" si="86"/>
        <v>0</v>
      </c>
      <c r="AJ32" s="581">
        <f t="shared" ca="1" si="86"/>
        <v>-1.4355027286859567E-2</v>
      </c>
      <c r="AK32" s="581">
        <f t="shared" ca="1" si="60"/>
        <v>-43.817882148158724</v>
      </c>
      <c r="AM32" s="582">
        <f t="shared" ref="AM32:BE32" ca="1" si="87">AM24+AM25+AM28+AM31</f>
        <v>0</v>
      </c>
      <c r="AN32" s="582">
        <f t="shared" ca="1" si="87"/>
        <v>0</v>
      </c>
      <c r="AO32" s="582">
        <f t="shared" ca="1" si="87"/>
        <v>0</v>
      </c>
      <c r="AP32" s="582">
        <f t="shared" ca="1" si="87"/>
        <v>0</v>
      </c>
      <c r="AQ32" s="582">
        <f t="shared" ca="1" si="87"/>
        <v>0</v>
      </c>
      <c r="AR32" s="582">
        <f t="shared" ca="1" si="87"/>
        <v>0</v>
      </c>
      <c r="AS32" s="582">
        <f t="shared" ca="1" si="87"/>
        <v>0</v>
      </c>
      <c r="AT32" s="582">
        <f t="shared" ca="1" si="87"/>
        <v>0</v>
      </c>
      <c r="AU32" s="582">
        <f t="shared" ca="1" si="87"/>
        <v>0</v>
      </c>
      <c r="AV32" s="582">
        <f t="shared" ca="1" si="87"/>
        <v>0</v>
      </c>
      <c r="AW32" s="582">
        <f t="shared" ca="1" si="87"/>
        <v>0</v>
      </c>
      <c r="AX32" s="582">
        <f t="shared" ca="1" si="87"/>
        <v>0</v>
      </c>
      <c r="AY32" s="582">
        <f t="shared" ca="1" si="87"/>
        <v>0</v>
      </c>
      <c r="AZ32" s="582">
        <f t="shared" ca="1" si="87"/>
        <v>0</v>
      </c>
      <c r="BA32" s="582">
        <f t="shared" ca="1" si="87"/>
        <v>0</v>
      </c>
      <c r="BB32" s="582">
        <f t="shared" ca="1" si="87"/>
        <v>0</v>
      </c>
      <c r="BC32" s="582">
        <f t="shared" ca="1" si="87"/>
        <v>0</v>
      </c>
      <c r="BD32" s="582">
        <f ca="1">BD24+BD25+BD28+BD31</f>
        <v>0</v>
      </c>
      <c r="BE32" s="582">
        <f t="shared" ca="1" si="87"/>
        <v>0</v>
      </c>
      <c r="BF32" s="582">
        <f t="shared" ca="1" si="63"/>
        <v>0</v>
      </c>
      <c r="BH32" s="3463">
        <f ca="1">BH24+BH25+BH28+BH31</f>
        <v>0</v>
      </c>
      <c r="BI32" s="3463">
        <f ca="1">BI24+BI25+BI28+BI31</f>
        <v>0</v>
      </c>
      <c r="BJ32" s="3463">
        <f t="shared" ca="1" si="65"/>
        <v>0</v>
      </c>
      <c r="BL32" s="3477">
        <f t="shared" ca="1" si="10"/>
        <v>7.1054273576010019E-15</v>
      </c>
      <c r="BM32" s="584"/>
      <c r="BN32" s="413"/>
      <c r="BO32" s="2790">
        <f t="shared" ref="BO32:DF32" ca="1" si="88">BO24+BO25+BO28+BO31</f>
        <v>8.9712842353839477</v>
      </c>
      <c r="BP32" s="2790">
        <f t="shared" ca="1" si="88"/>
        <v>7.7106535720216753E-3</v>
      </c>
      <c r="BQ32" s="2790">
        <f t="shared" ca="1" si="88"/>
        <v>2.2764786736444945E-2</v>
      </c>
      <c r="BR32" s="2790">
        <f t="shared" ca="1" si="88"/>
        <v>0</v>
      </c>
      <c r="BS32" s="2790">
        <f t="shared" ca="1" si="88"/>
        <v>0</v>
      </c>
      <c r="BT32" s="2790">
        <f t="shared" ca="1" si="88"/>
        <v>0</v>
      </c>
      <c r="BU32" s="2790">
        <f t="shared" ca="1" si="88"/>
        <v>0</v>
      </c>
      <c r="BV32" s="2790">
        <f t="shared" ca="1" si="88"/>
        <v>0</v>
      </c>
      <c r="BW32" s="2790">
        <f t="shared" ca="1" si="88"/>
        <v>0</v>
      </c>
      <c r="BX32" s="2790">
        <f t="shared" ca="1" si="88"/>
        <v>0</v>
      </c>
      <c r="BY32" s="2790">
        <f t="shared" ca="1" si="88"/>
        <v>0</v>
      </c>
      <c r="BZ32" s="2790">
        <f t="shared" ca="1" si="88"/>
        <v>0</v>
      </c>
      <c r="CA32" s="2790">
        <f t="shared" ca="1" si="88"/>
        <v>0</v>
      </c>
      <c r="CB32" s="2790">
        <f t="shared" ca="1" si="88"/>
        <v>0</v>
      </c>
      <c r="CC32" s="2790">
        <f t="shared" ca="1" si="88"/>
        <v>0</v>
      </c>
      <c r="CD32" s="2790">
        <f t="shared" ca="1" si="88"/>
        <v>0</v>
      </c>
      <c r="CE32" s="2790">
        <f t="shared" ca="1" si="88"/>
        <v>0</v>
      </c>
      <c r="CF32" s="2790">
        <f t="shared" ca="1" si="88"/>
        <v>0</v>
      </c>
      <c r="CG32" s="2790">
        <f t="shared" ca="1" si="88"/>
        <v>0</v>
      </c>
      <c r="CH32" s="2790">
        <f t="shared" ca="1" si="88"/>
        <v>0</v>
      </c>
      <c r="CI32" s="2790">
        <f t="shared" ca="1" si="88"/>
        <v>0</v>
      </c>
      <c r="CJ32" s="2790">
        <f t="shared" ca="1" si="88"/>
        <v>0</v>
      </c>
      <c r="CK32" s="2790">
        <f t="shared" ca="1" si="88"/>
        <v>0</v>
      </c>
      <c r="CL32" s="2790">
        <f t="shared" ca="1" si="88"/>
        <v>0</v>
      </c>
      <c r="CM32" s="2790">
        <f t="shared" ca="1" si="88"/>
        <v>0</v>
      </c>
      <c r="CN32" s="2790">
        <f t="shared" ca="1" si="88"/>
        <v>0</v>
      </c>
      <c r="CO32" s="2790">
        <f t="shared" ca="1" si="88"/>
        <v>0</v>
      </c>
      <c r="CP32" s="2790">
        <f t="shared" ca="1" si="88"/>
        <v>0</v>
      </c>
      <c r="CQ32" s="2790">
        <f t="shared" ca="1" si="88"/>
        <v>0</v>
      </c>
      <c r="CR32" s="2790">
        <f t="shared" ca="1" si="88"/>
        <v>0</v>
      </c>
      <c r="CS32" s="2790">
        <f t="shared" ca="1" si="88"/>
        <v>0</v>
      </c>
      <c r="CT32" s="2790">
        <f t="shared" ca="1" si="88"/>
        <v>0</v>
      </c>
      <c r="CU32" s="2790">
        <f t="shared" ca="1" si="88"/>
        <v>2.4879479714717636</v>
      </c>
      <c r="CV32" s="2790">
        <f t="shared" ca="1" si="88"/>
        <v>2.1383454597915571E-3</v>
      </c>
      <c r="CW32" s="2790">
        <f t="shared" ca="1" si="88"/>
        <v>6.3132104050988829E-3</v>
      </c>
      <c r="CX32" s="2790">
        <f t="shared" ca="1" si="88"/>
        <v>0</v>
      </c>
      <c r="CY32" s="2790">
        <f t="shared" ca="1" si="88"/>
        <v>0</v>
      </c>
      <c r="CZ32" s="2790">
        <f t="shared" ca="1" si="88"/>
        <v>0</v>
      </c>
      <c r="DA32" s="2790">
        <f t="shared" ca="1" si="88"/>
        <v>0</v>
      </c>
      <c r="DB32" s="2790">
        <f t="shared" ca="1" si="88"/>
        <v>0</v>
      </c>
      <c r="DC32" s="2790">
        <f t="shared" ca="1" si="88"/>
        <v>0</v>
      </c>
      <c r="DD32" s="2790">
        <f t="shared" ca="1" si="88"/>
        <v>0</v>
      </c>
      <c r="DE32" s="2790">
        <f t="shared" ca="1" si="88"/>
        <v>0</v>
      </c>
      <c r="DF32" s="2790">
        <f t="shared" ca="1" si="88"/>
        <v>0</v>
      </c>
      <c r="DH32" s="596">
        <f t="shared" ca="1" si="33"/>
        <v>11.498159203029067</v>
      </c>
    </row>
    <row r="33" spans="1:112" s="6" customFormat="1" ht="12.75" customHeight="1" outlineLevel="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10"/>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3"/>
        <v>0</v>
      </c>
    </row>
    <row r="34" spans="1:112" s="6" customFormat="1" ht="12.75" customHeight="1" outlineLevel="1">
      <c r="A34" s="607"/>
      <c r="B34" s="607"/>
      <c r="C34" s="587" t="s">
        <v>492</v>
      </c>
      <c r="D34" s="611" t="s">
        <v>375</v>
      </c>
      <c r="E34" s="611"/>
      <c r="G34" s="619">
        <f t="shared" ref="G34:P34" ca="1" si="89">IFERROR(INDEX(INDIRECT($C34&amp;".Outputs["&amp;this.Year&amp;"]"), MATCH(G$5, INDIRECT($C34&amp;".Outputs[Vector]"), 0)), 0)</f>
        <v>0</v>
      </c>
      <c r="H34" s="619">
        <f t="shared" ca="1" si="89"/>
        <v>0</v>
      </c>
      <c r="I34" s="619">
        <f t="shared" ca="1" si="89"/>
        <v>0</v>
      </c>
      <c r="J34" s="619">
        <f t="shared" ca="1" si="89"/>
        <v>0</v>
      </c>
      <c r="K34" s="619">
        <f t="shared" ca="1" si="89"/>
        <v>0</v>
      </c>
      <c r="L34" s="619">
        <f t="shared" ca="1" si="89"/>
        <v>0</v>
      </c>
      <c r="M34" s="619">
        <f t="shared" ca="1" si="89"/>
        <v>0</v>
      </c>
      <c r="N34" s="619">
        <f t="shared" ca="1" si="89"/>
        <v>0</v>
      </c>
      <c r="O34" s="619">
        <f t="shared" ca="1" si="89"/>
        <v>0</v>
      </c>
      <c r="P34" s="619">
        <f t="shared" ca="1" si="89"/>
        <v>0</v>
      </c>
      <c r="Q34" s="612">
        <f ca="1">SUM(G34:P34)</f>
        <v>0</v>
      </c>
      <c r="S34" s="620">
        <f t="shared" ref="S34:AJ34" ca="1" si="90">IFERROR(INDEX(INDIRECT($C34&amp;".Outputs["&amp;this.Year&amp;"]"), MATCH(S$5, INDIRECT($C34&amp;".Outputs[Vector]"), 0)), 0)</f>
        <v>0</v>
      </c>
      <c r="T34" s="620">
        <f t="shared" ca="1" si="90"/>
        <v>0</v>
      </c>
      <c r="U34" s="620">
        <f t="shared" ca="1" si="90"/>
        <v>0</v>
      </c>
      <c r="V34" s="620">
        <f t="shared" ca="1" si="90"/>
        <v>0</v>
      </c>
      <c r="W34" s="620">
        <f t="shared" ca="1" si="90"/>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90"/>
        <v>0</v>
      </c>
      <c r="AB34" s="620">
        <f t="shared" ca="1" si="90"/>
        <v>0</v>
      </c>
      <c r="AC34" s="620">
        <f t="shared" ca="1" si="90"/>
        <v>0</v>
      </c>
      <c r="AD34" s="620">
        <f t="shared" ca="1" si="90"/>
        <v>0</v>
      </c>
      <c r="AE34" s="620">
        <f t="shared" ca="1" si="90"/>
        <v>0</v>
      </c>
      <c r="AF34" s="620">
        <f t="shared" ca="1" si="90"/>
        <v>0</v>
      </c>
      <c r="AG34" s="620">
        <f t="shared" ca="1" si="90"/>
        <v>0</v>
      </c>
      <c r="AH34" s="620">
        <f t="shared" ca="1" si="90"/>
        <v>0</v>
      </c>
      <c r="AI34" s="620">
        <f t="shared" ca="1" si="90"/>
        <v>0</v>
      </c>
      <c r="AJ34" s="620">
        <f t="shared" ca="1" si="90"/>
        <v>0</v>
      </c>
      <c r="AK34" s="613">
        <f ca="1">SUM(S34:AJ34)</f>
        <v>0</v>
      </c>
      <c r="AM34" s="621">
        <f t="shared" ref="AM34:AU34" ca="1" si="91">IFERROR(INDEX(INDIRECT($C34&amp;".Outputs["&amp;this.Year&amp;"]"), MATCH(AM$5, INDIRECT($C34&amp;".Outputs[Vector]"), 0)), 0)</f>
        <v>0</v>
      </c>
      <c r="AN34" s="621">
        <f t="shared" ca="1" si="91"/>
        <v>0</v>
      </c>
      <c r="AO34" s="621">
        <f t="shared" ca="1" si="91"/>
        <v>0</v>
      </c>
      <c r="AP34" s="621">
        <f t="shared" ca="1" si="91"/>
        <v>0</v>
      </c>
      <c r="AQ34" s="621">
        <f t="shared" ca="1" si="91"/>
        <v>0</v>
      </c>
      <c r="AR34" s="621">
        <f t="shared" ca="1" si="91"/>
        <v>0</v>
      </c>
      <c r="AS34" s="621">
        <f t="shared" ca="1" si="91"/>
        <v>0</v>
      </c>
      <c r="AT34" s="621">
        <f t="shared" ca="1" si="91"/>
        <v>0</v>
      </c>
      <c r="AU34" s="621">
        <f t="shared" ca="1" si="91"/>
        <v>0</v>
      </c>
      <c r="AV34" s="621">
        <f t="shared" ref="AV34:BE34" ca="1" si="92">IFERROR(INDEX(INDIRECT($C34&amp;".Outputs["&amp;this.Year&amp;"]"), MATCH(AV$5, INDIRECT($C34&amp;".Outputs[Vector]"), 0)), 0)</f>
        <v>0</v>
      </c>
      <c r="AW34" s="621">
        <f t="shared" ca="1" si="92"/>
        <v>0</v>
      </c>
      <c r="AX34" s="621">
        <f t="shared" ca="1" si="92"/>
        <v>0</v>
      </c>
      <c r="AY34" s="621">
        <f t="shared" ca="1" si="92"/>
        <v>0</v>
      </c>
      <c r="AZ34" s="621">
        <f t="shared" ca="1" si="92"/>
        <v>0</v>
      </c>
      <c r="BA34" s="621">
        <f t="shared" ca="1" si="92"/>
        <v>0</v>
      </c>
      <c r="BB34" s="621">
        <f t="shared" ca="1" si="92"/>
        <v>0</v>
      </c>
      <c r="BC34" s="621">
        <f t="shared" ca="1" si="92"/>
        <v>0</v>
      </c>
      <c r="BD34" s="621">
        <f t="shared" ca="1" si="92"/>
        <v>0</v>
      </c>
      <c r="BE34" s="621">
        <f t="shared" ca="1" si="92"/>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10"/>
        <v>0</v>
      </c>
      <c r="BM34" s="610"/>
      <c r="BN34" s="413"/>
      <c r="BO34" s="2791">
        <f t="shared" ref="BO34:DF34" ca="1" si="93">IFERROR(SUMIFS(INDIRECT($C34&amp;".Emissions["&amp;this.Year&amp;"]"), INDIRECT($C34&amp;".Emissions[GHG]"), BO$6, INDIRECT($C34&amp;".Emissions[IPCC Sector]"), BO$5),0)</f>
        <v>0</v>
      </c>
      <c r="BP34" s="2792">
        <f t="shared" ca="1" si="93"/>
        <v>0</v>
      </c>
      <c r="BQ34" s="2792">
        <f t="shared" ca="1" si="93"/>
        <v>0</v>
      </c>
      <c r="BR34" s="2792">
        <f t="shared" ca="1" si="93"/>
        <v>0</v>
      </c>
      <c r="BS34" s="2792">
        <f t="shared" ca="1" si="93"/>
        <v>0</v>
      </c>
      <c r="BT34" s="2792">
        <f t="shared" ca="1" si="93"/>
        <v>0</v>
      </c>
      <c r="BU34" s="2792">
        <f t="shared" ca="1" si="93"/>
        <v>0</v>
      </c>
      <c r="BV34" s="2792">
        <f t="shared" ca="1" si="93"/>
        <v>0</v>
      </c>
      <c r="BW34" s="2792">
        <f t="shared" ca="1" si="93"/>
        <v>0</v>
      </c>
      <c r="BX34" s="2792">
        <f t="shared" ca="1" si="93"/>
        <v>0</v>
      </c>
      <c r="BY34" s="2792">
        <f t="shared" ca="1" si="93"/>
        <v>0</v>
      </c>
      <c r="BZ34" s="2792">
        <f t="shared" ca="1" si="93"/>
        <v>0</v>
      </c>
      <c r="CA34" s="2792">
        <f t="shared" ca="1" si="93"/>
        <v>0</v>
      </c>
      <c r="CB34" s="2792">
        <f t="shared" ca="1" si="93"/>
        <v>0</v>
      </c>
      <c r="CC34" s="2792">
        <f t="shared" ca="1" si="93"/>
        <v>0</v>
      </c>
      <c r="CD34" s="2792">
        <f t="shared" ca="1" si="93"/>
        <v>0</v>
      </c>
      <c r="CE34" s="2792">
        <f t="shared" ca="1" si="93"/>
        <v>0</v>
      </c>
      <c r="CF34" s="2792">
        <f t="shared" ca="1" si="93"/>
        <v>0</v>
      </c>
      <c r="CG34" s="2792">
        <f t="shared" ca="1" si="93"/>
        <v>0</v>
      </c>
      <c r="CH34" s="2792">
        <f t="shared" ca="1" si="93"/>
        <v>0</v>
      </c>
      <c r="CI34" s="2792">
        <f t="shared" ca="1" si="93"/>
        <v>0</v>
      </c>
      <c r="CJ34" s="2792">
        <f t="shared" ca="1" si="93"/>
        <v>0</v>
      </c>
      <c r="CK34" s="2792">
        <f t="shared" ca="1" si="93"/>
        <v>0</v>
      </c>
      <c r="CL34" s="2792">
        <f t="shared" ca="1" si="93"/>
        <v>0</v>
      </c>
      <c r="CM34" s="2792">
        <f t="shared" ca="1" si="93"/>
        <v>0</v>
      </c>
      <c r="CN34" s="2792">
        <f t="shared" ca="1" si="93"/>
        <v>0</v>
      </c>
      <c r="CO34" s="2792">
        <f t="shared" ca="1" si="93"/>
        <v>0</v>
      </c>
      <c r="CP34" s="2792">
        <f t="shared" ca="1" si="93"/>
        <v>0</v>
      </c>
      <c r="CQ34" s="2792">
        <f t="shared" ca="1" si="93"/>
        <v>0</v>
      </c>
      <c r="CR34" s="2792">
        <f t="shared" ca="1" si="93"/>
        <v>0</v>
      </c>
      <c r="CS34" s="2792">
        <f t="shared" ca="1" si="93"/>
        <v>0</v>
      </c>
      <c r="CT34" s="2792">
        <f t="shared" ca="1" si="93"/>
        <v>0</v>
      </c>
      <c r="CU34" s="2792">
        <f t="shared" ca="1" si="93"/>
        <v>0</v>
      </c>
      <c r="CV34" s="2792">
        <f t="shared" ca="1" si="93"/>
        <v>0</v>
      </c>
      <c r="CW34" s="2792">
        <f t="shared" ca="1" si="93"/>
        <v>0</v>
      </c>
      <c r="CX34" s="2792">
        <f t="shared" ca="1" si="93"/>
        <v>0</v>
      </c>
      <c r="CY34" s="2792">
        <f t="shared" ca="1" si="93"/>
        <v>0</v>
      </c>
      <c r="CZ34" s="2792">
        <f t="shared" ca="1" si="93"/>
        <v>0</v>
      </c>
      <c r="DA34" s="2792">
        <f t="shared" ca="1" si="93"/>
        <v>0</v>
      </c>
      <c r="DB34" s="2792">
        <f t="shared" ca="1" si="93"/>
        <v>0</v>
      </c>
      <c r="DC34" s="2792">
        <f t="shared" ca="1" si="93"/>
        <v>0</v>
      </c>
      <c r="DD34" s="2792">
        <f t="shared" ca="1" si="93"/>
        <v>0</v>
      </c>
      <c r="DE34" s="2792">
        <f t="shared" ca="1" si="93"/>
        <v>0</v>
      </c>
      <c r="DF34" s="2792">
        <f t="shared" ca="1" si="93"/>
        <v>0</v>
      </c>
      <c r="DH34" s="596">
        <f t="shared" ca="1" si="33"/>
        <v>0</v>
      </c>
    </row>
    <row r="35" spans="1:112" s="6" customFormat="1" ht="15.75">
      <c r="A35" s="4"/>
      <c r="B35" s="3"/>
      <c r="C35" s="616" t="s">
        <v>493</v>
      </c>
      <c r="D35" s="617" t="s">
        <v>375</v>
      </c>
      <c r="E35" s="206"/>
      <c r="G35" s="618">
        <f ca="1">G34</f>
        <v>0</v>
      </c>
      <c r="H35" s="618">
        <f t="shared" ref="H35:P35" ca="1" si="94">H34</f>
        <v>0</v>
      </c>
      <c r="I35" s="618">
        <f t="shared" ca="1" si="94"/>
        <v>0</v>
      </c>
      <c r="J35" s="618">
        <f t="shared" ca="1" si="94"/>
        <v>0</v>
      </c>
      <c r="K35" s="618">
        <f t="shared" ca="1" si="94"/>
        <v>0</v>
      </c>
      <c r="L35" s="618">
        <f t="shared" ca="1" si="94"/>
        <v>0</v>
      </c>
      <c r="M35" s="618">
        <f t="shared" ca="1" si="94"/>
        <v>0</v>
      </c>
      <c r="N35" s="618">
        <f ca="1">N34</f>
        <v>0</v>
      </c>
      <c r="O35" s="618">
        <f ca="1">O34</f>
        <v>0</v>
      </c>
      <c r="P35" s="618">
        <f t="shared" ca="1" si="94"/>
        <v>0</v>
      </c>
      <c r="Q35" s="618">
        <f ca="1">SUM(G35:P35)</f>
        <v>0</v>
      </c>
      <c r="S35" s="581">
        <f ca="1">S34</f>
        <v>0</v>
      </c>
      <c r="T35" s="581">
        <f t="shared" ref="T35:AJ35" ca="1" si="95">T34</f>
        <v>0</v>
      </c>
      <c r="U35" s="581">
        <f t="shared" ca="1" si="95"/>
        <v>0</v>
      </c>
      <c r="V35" s="581">
        <f t="shared" ca="1" si="95"/>
        <v>0</v>
      </c>
      <c r="W35" s="581">
        <f t="shared" ca="1" si="95"/>
        <v>0</v>
      </c>
      <c r="X35" s="581">
        <f ca="1">X34</f>
        <v>0</v>
      </c>
      <c r="Y35" s="581">
        <f ca="1">Y34</f>
        <v>0</v>
      </c>
      <c r="Z35" s="581">
        <f ca="1">Z34</f>
        <v>0</v>
      </c>
      <c r="AA35" s="581">
        <f t="shared" ca="1" si="95"/>
        <v>0</v>
      </c>
      <c r="AB35" s="581">
        <f t="shared" ca="1" si="95"/>
        <v>0</v>
      </c>
      <c r="AC35" s="581">
        <f t="shared" ca="1" si="95"/>
        <v>0</v>
      </c>
      <c r="AD35" s="581">
        <f ca="1">AD34</f>
        <v>0</v>
      </c>
      <c r="AE35" s="581">
        <f ca="1">AE34</f>
        <v>0</v>
      </c>
      <c r="AF35" s="581">
        <f t="shared" ca="1" si="95"/>
        <v>0</v>
      </c>
      <c r="AG35" s="581">
        <f ca="1">AG34</f>
        <v>0</v>
      </c>
      <c r="AH35" s="581">
        <f ca="1">AH34</f>
        <v>0</v>
      </c>
      <c r="AI35" s="581">
        <f ca="1">AI34</f>
        <v>0</v>
      </c>
      <c r="AJ35" s="581">
        <f t="shared" ca="1" si="95"/>
        <v>0</v>
      </c>
      <c r="AK35" s="581">
        <f ca="1">SUM(S35:AJ35)</f>
        <v>0</v>
      </c>
      <c r="AM35" s="582">
        <f t="shared" ref="AM35:BE35" ca="1" si="96">AM34</f>
        <v>0</v>
      </c>
      <c r="AN35" s="582">
        <f t="shared" ca="1" si="96"/>
        <v>0</v>
      </c>
      <c r="AO35" s="582">
        <f t="shared" ca="1" si="96"/>
        <v>0</v>
      </c>
      <c r="AP35" s="582">
        <f t="shared" ca="1" si="96"/>
        <v>0</v>
      </c>
      <c r="AQ35" s="582">
        <f t="shared" ca="1" si="96"/>
        <v>0</v>
      </c>
      <c r="AR35" s="582">
        <f t="shared" ca="1" si="96"/>
        <v>0</v>
      </c>
      <c r="AS35" s="582">
        <f t="shared" ca="1" si="96"/>
        <v>0</v>
      </c>
      <c r="AT35" s="582">
        <f t="shared" ca="1" si="96"/>
        <v>0</v>
      </c>
      <c r="AU35" s="582">
        <f t="shared" ca="1" si="96"/>
        <v>0</v>
      </c>
      <c r="AV35" s="582">
        <f t="shared" ca="1" si="96"/>
        <v>0</v>
      </c>
      <c r="AW35" s="582">
        <f t="shared" ca="1" si="96"/>
        <v>0</v>
      </c>
      <c r="AX35" s="582">
        <f t="shared" ca="1" si="96"/>
        <v>0</v>
      </c>
      <c r="AY35" s="582">
        <f t="shared" ca="1" si="96"/>
        <v>0</v>
      </c>
      <c r="AZ35" s="582">
        <f t="shared" ca="1" si="96"/>
        <v>0</v>
      </c>
      <c r="BA35" s="582">
        <f t="shared" ca="1" si="96"/>
        <v>0</v>
      </c>
      <c r="BB35" s="582">
        <f t="shared" ca="1" si="96"/>
        <v>0</v>
      </c>
      <c r="BC35" s="582">
        <f t="shared" ca="1" si="96"/>
        <v>0</v>
      </c>
      <c r="BD35" s="582">
        <f ca="1">BD34</f>
        <v>0</v>
      </c>
      <c r="BE35" s="582">
        <f t="shared" ca="1" si="96"/>
        <v>0</v>
      </c>
      <c r="BF35" s="582">
        <f ca="1">SUM(AM35:BE35)</f>
        <v>0</v>
      </c>
      <c r="BH35" s="3463">
        <f ca="1">BH34</f>
        <v>0</v>
      </c>
      <c r="BI35" s="3463">
        <f ca="1">BI34</f>
        <v>0</v>
      </c>
      <c r="BJ35" s="3463">
        <f ca="1">SUM(BH35:BI35)</f>
        <v>0</v>
      </c>
      <c r="BL35" s="3477">
        <f t="shared" ca="1" si="10"/>
        <v>0</v>
      </c>
      <c r="BM35" s="584"/>
      <c r="BN35" s="413"/>
      <c r="BO35" s="2790">
        <f t="shared" ref="BO35:DF35" ca="1" si="97">BO34</f>
        <v>0</v>
      </c>
      <c r="BP35" s="2790">
        <f t="shared" ca="1" si="97"/>
        <v>0</v>
      </c>
      <c r="BQ35" s="2790">
        <f t="shared" ca="1" si="97"/>
        <v>0</v>
      </c>
      <c r="BR35" s="2790">
        <f t="shared" ca="1" si="97"/>
        <v>0</v>
      </c>
      <c r="BS35" s="2790">
        <f t="shared" ca="1" si="97"/>
        <v>0</v>
      </c>
      <c r="BT35" s="2790">
        <f t="shared" ca="1" si="97"/>
        <v>0</v>
      </c>
      <c r="BU35" s="2790">
        <f t="shared" ca="1" si="97"/>
        <v>0</v>
      </c>
      <c r="BV35" s="2790">
        <f t="shared" ca="1" si="97"/>
        <v>0</v>
      </c>
      <c r="BW35" s="2790">
        <f t="shared" ca="1" si="97"/>
        <v>0</v>
      </c>
      <c r="BX35" s="2790">
        <f t="shared" ca="1" si="97"/>
        <v>0</v>
      </c>
      <c r="BY35" s="2790">
        <f t="shared" ca="1" si="97"/>
        <v>0</v>
      </c>
      <c r="BZ35" s="2790">
        <f t="shared" ca="1" si="97"/>
        <v>0</v>
      </c>
      <c r="CA35" s="2790">
        <f t="shared" ca="1" si="97"/>
        <v>0</v>
      </c>
      <c r="CB35" s="2790">
        <f t="shared" ca="1" si="97"/>
        <v>0</v>
      </c>
      <c r="CC35" s="2790">
        <f t="shared" ca="1" si="97"/>
        <v>0</v>
      </c>
      <c r="CD35" s="2790">
        <f t="shared" ca="1" si="97"/>
        <v>0</v>
      </c>
      <c r="CE35" s="2790">
        <f t="shared" ca="1" si="97"/>
        <v>0</v>
      </c>
      <c r="CF35" s="2790">
        <f t="shared" ca="1" si="97"/>
        <v>0</v>
      </c>
      <c r="CG35" s="2790">
        <f t="shared" ca="1" si="97"/>
        <v>0</v>
      </c>
      <c r="CH35" s="2790">
        <f t="shared" ca="1" si="97"/>
        <v>0</v>
      </c>
      <c r="CI35" s="2790">
        <f t="shared" ca="1" si="97"/>
        <v>0</v>
      </c>
      <c r="CJ35" s="2790">
        <f t="shared" ca="1" si="97"/>
        <v>0</v>
      </c>
      <c r="CK35" s="2790">
        <f t="shared" ca="1" si="97"/>
        <v>0</v>
      </c>
      <c r="CL35" s="2790">
        <f t="shared" ca="1" si="97"/>
        <v>0</v>
      </c>
      <c r="CM35" s="2790">
        <f t="shared" ca="1" si="97"/>
        <v>0</v>
      </c>
      <c r="CN35" s="2790">
        <f t="shared" ca="1" si="97"/>
        <v>0</v>
      </c>
      <c r="CO35" s="2790">
        <f t="shared" ca="1" si="97"/>
        <v>0</v>
      </c>
      <c r="CP35" s="2790">
        <f t="shared" ca="1" si="97"/>
        <v>0</v>
      </c>
      <c r="CQ35" s="2790">
        <f t="shared" ca="1" si="97"/>
        <v>0</v>
      </c>
      <c r="CR35" s="2790">
        <f t="shared" ca="1" si="97"/>
        <v>0</v>
      </c>
      <c r="CS35" s="2790">
        <f t="shared" ca="1" si="97"/>
        <v>0</v>
      </c>
      <c r="CT35" s="2790">
        <f t="shared" ca="1" si="97"/>
        <v>0</v>
      </c>
      <c r="CU35" s="2790">
        <f t="shared" ca="1" si="97"/>
        <v>0</v>
      </c>
      <c r="CV35" s="2790">
        <f t="shared" ca="1" si="97"/>
        <v>0</v>
      </c>
      <c r="CW35" s="2790">
        <f t="shared" ca="1" si="97"/>
        <v>0</v>
      </c>
      <c r="CX35" s="2790">
        <f t="shared" ca="1" si="97"/>
        <v>0</v>
      </c>
      <c r="CY35" s="2790">
        <f t="shared" ca="1" si="97"/>
        <v>0</v>
      </c>
      <c r="CZ35" s="2790">
        <f t="shared" ca="1" si="97"/>
        <v>0</v>
      </c>
      <c r="DA35" s="2790">
        <f t="shared" ca="1" si="97"/>
        <v>0</v>
      </c>
      <c r="DB35" s="2790">
        <f t="shared" ca="1" si="97"/>
        <v>0</v>
      </c>
      <c r="DC35" s="2790">
        <f t="shared" ca="1" si="97"/>
        <v>0</v>
      </c>
      <c r="DD35" s="2790">
        <f t="shared" ca="1" si="97"/>
        <v>0</v>
      </c>
      <c r="DE35" s="2790">
        <f t="shared" ca="1" si="97"/>
        <v>0</v>
      </c>
      <c r="DF35" s="2790">
        <f t="shared" ca="1" si="97"/>
        <v>0</v>
      </c>
      <c r="DH35" s="596">
        <f t="shared" ca="1" si="33"/>
        <v>0</v>
      </c>
    </row>
    <row r="36" spans="1:112" s="6" customFormat="1" ht="12.75" customHeight="1" outlineLevel="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10"/>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3"/>
        <v>0</v>
      </c>
    </row>
    <row r="37" spans="1:112" s="6" customFormat="1" ht="12.75" customHeight="1" outlineLevel="1">
      <c r="A37" s="607"/>
      <c r="B37" s="607"/>
      <c r="C37" s="587" t="s">
        <v>494</v>
      </c>
      <c r="D37" s="611" t="s">
        <v>495</v>
      </c>
      <c r="E37" s="611"/>
      <c r="G37" s="619">
        <f t="shared" ref="G37:P37" ca="1" si="98">IFERROR(INDEX(INDIRECT($C37&amp;".Outputs["&amp;this.Year&amp;"]"), MATCH(G$5, INDIRECT($C37&amp;".Outputs[Vector]"), 0)), 0)</f>
        <v>0</v>
      </c>
      <c r="H37" s="619">
        <f t="shared" ca="1" si="98"/>
        <v>0</v>
      </c>
      <c r="I37" s="619">
        <f t="shared" ca="1" si="98"/>
        <v>0</v>
      </c>
      <c r="J37" s="619">
        <f t="shared" ca="1" si="98"/>
        <v>0</v>
      </c>
      <c r="K37" s="619">
        <f t="shared" ca="1" si="98"/>
        <v>0</v>
      </c>
      <c r="L37" s="619">
        <f t="shared" ca="1" si="98"/>
        <v>0</v>
      </c>
      <c r="M37" s="619">
        <f t="shared" ca="1" si="98"/>
        <v>0</v>
      </c>
      <c r="N37" s="619">
        <f t="shared" ca="1" si="98"/>
        <v>0</v>
      </c>
      <c r="O37" s="619">
        <f t="shared" ca="1" si="98"/>
        <v>0</v>
      </c>
      <c r="P37" s="619">
        <f t="shared" ca="1" si="98"/>
        <v>0</v>
      </c>
      <c r="Q37" s="612">
        <f ca="1">SUM(G37:P37)</f>
        <v>0</v>
      </c>
      <c r="S37" s="620">
        <f t="shared" ref="S37:AJ37" ca="1" si="99">IFERROR(INDEX(INDIRECT($C37&amp;".Outputs["&amp;this.Year&amp;"]"), MATCH(S$5, INDIRECT($C37&amp;".Outputs[Vector]"), 0)), 0)</f>
        <v>0</v>
      </c>
      <c r="T37" s="620">
        <f t="shared" ca="1" si="99"/>
        <v>0</v>
      </c>
      <c r="U37" s="620">
        <f t="shared" ca="1" si="99"/>
        <v>0</v>
      </c>
      <c r="V37" s="620">
        <f t="shared" ca="1" si="99"/>
        <v>0</v>
      </c>
      <c r="W37" s="620">
        <f t="shared" ca="1" si="99"/>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9"/>
        <v>0</v>
      </c>
      <c r="AB37" s="620">
        <f t="shared" ca="1" si="99"/>
        <v>0</v>
      </c>
      <c r="AC37" s="620">
        <f t="shared" ca="1" si="99"/>
        <v>0</v>
      </c>
      <c r="AD37" s="620">
        <f t="shared" ca="1" si="99"/>
        <v>0</v>
      </c>
      <c r="AE37" s="620">
        <f t="shared" ca="1" si="99"/>
        <v>0</v>
      </c>
      <c r="AF37" s="620">
        <f t="shared" ca="1" si="99"/>
        <v>0</v>
      </c>
      <c r="AG37" s="620">
        <f t="shared" ca="1" si="99"/>
        <v>0</v>
      </c>
      <c r="AH37" s="620">
        <f t="shared" ca="1" si="99"/>
        <v>0</v>
      </c>
      <c r="AI37" s="620">
        <f t="shared" ca="1" si="99"/>
        <v>0</v>
      </c>
      <c r="AJ37" s="620">
        <f t="shared" ca="1" si="99"/>
        <v>0</v>
      </c>
      <c r="AK37" s="613">
        <f ca="1">SUM(S37:AJ37)</f>
        <v>0</v>
      </c>
      <c r="AM37" s="621">
        <f t="shared" ref="AM37:AU37" ca="1" si="100">IFERROR(INDEX(INDIRECT($C37&amp;".Outputs["&amp;this.Year&amp;"]"), MATCH(AM$5, INDIRECT($C37&amp;".Outputs[Vector]"), 0)), 0)</f>
        <v>0</v>
      </c>
      <c r="AN37" s="621">
        <f t="shared" ca="1" si="100"/>
        <v>0</v>
      </c>
      <c r="AO37" s="621">
        <f t="shared" ca="1" si="100"/>
        <v>0</v>
      </c>
      <c r="AP37" s="621">
        <f t="shared" ca="1" si="100"/>
        <v>0</v>
      </c>
      <c r="AQ37" s="621">
        <f t="shared" ca="1" si="100"/>
        <v>0</v>
      </c>
      <c r="AR37" s="621">
        <f t="shared" ca="1" si="100"/>
        <v>0</v>
      </c>
      <c r="AS37" s="621">
        <f t="shared" ca="1" si="100"/>
        <v>0</v>
      </c>
      <c r="AT37" s="621">
        <f t="shared" ca="1" si="100"/>
        <v>0</v>
      </c>
      <c r="AU37" s="621">
        <f t="shared" ca="1" si="100"/>
        <v>0</v>
      </c>
      <c r="AV37" s="621">
        <f t="shared" ref="AV37:BE37" ca="1" si="101">IFERROR(INDEX(INDIRECT($C37&amp;".Outputs["&amp;this.Year&amp;"]"), MATCH(AV$5, INDIRECT($C37&amp;".Outputs[Vector]"), 0)), 0)</f>
        <v>0</v>
      </c>
      <c r="AW37" s="621">
        <f t="shared" ca="1" si="101"/>
        <v>0</v>
      </c>
      <c r="AX37" s="621">
        <f t="shared" ca="1" si="101"/>
        <v>0</v>
      </c>
      <c r="AY37" s="621">
        <f t="shared" ca="1" si="101"/>
        <v>0</v>
      </c>
      <c r="AZ37" s="621">
        <f t="shared" ca="1" si="101"/>
        <v>0</v>
      </c>
      <c r="BA37" s="621">
        <f t="shared" ca="1" si="101"/>
        <v>0</v>
      </c>
      <c r="BB37" s="621">
        <f t="shared" ca="1" si="101"/>
        <v>0</v>
      </c>
      <c r="BC37" s="621">
        <f t="shared" ca="1" si="101"/>
        <v>0</v>
      </c>
      <c r="BD37" s="621">
        <f t="shared" ca="1" si="101"/>
        <v>0</v>
      </c>
      <c r="BE37" s="621">
        <f t="shared" ca="1" si="101"/>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10"/>
        <v>0</v>
      </c>
      <c r="BM37" s="610"/>
      <c r="BN37" s="413"/>
      <c r="BO37" s="2791">
        <f t="shared" ref="BO37:DF37" ca="1" si="102">IFERROR(SUMIFS(INDIRECT($C37&amp;".Emissions["&amp;this.Year&amp;"]"), INDIRECT($C37&amp;".Emissions[GHG]"), BO$6, INDIRECT($C37&amp;".Emissions[IPCC Sector]"), BO$5),0)</f>
        <v>0</v>
      </c>
      <c r="BP37" s="2792">
        <f t="shared" ca="1" si="102"/>
        <v>0</v>
      </c>
      <c r="BQ37" s="2792">
        <f t="shared" ca="1" si="102"/>
        <v>0</v>
      </c>
      <c r="BR37" s="2792">
        <f t="shared" ca="1" si="102"/>
        <v>0</v>
      </c>
      <c r="BS37" s="2792">
        <f t="shared" ca="1" si="102"/>
        <v>0</v>
      </c>
      <c r="BT37" s="2792">
        <f t="shared" ca="1" si="102"/>
        <v>0</v>
      </c>
      <c r="BU37" s="2792">
        <f t="shared" ca="1" si="102"/>
        <v>0</v>
      </c>
      <c r="BV37" s="2792">
        <f t="shared" ca="1" si="102"/>
        <v>0</v>
      </c>
      <c r="BW37" s="2792">
        <f t="shared" ca="1" si="102"/>
        <v>0</v>
      </c>
      <c r="BX37" s="2792">
        <f t="shared" ca="1" si="102"/>
        <v>0</v>
      </c>
      <c r="BY37" s="2792">
        <f t="shared" ca="1" si="102"/>
        <v>0</v>
      </c>
      <c r="BZ37" s="2792">
        <f t="shared" ca="1" si="102"/>
        <v>0</v>
      </c>
      <c r="CA37" s="2792">
        <f t="shared" ca="1" si="102"/>
        <v>0</v>
      </c>
      <c r="CB37" s="2792">
        <f t="shared" ca="1" si="102"/>
        <v>0</v>
      </c>
      <c r="CC37" s="2792">
        <f t="shared" ca="1" si="102"/>
        <v>0</v>
      </c>
      <c r="CD37" s="2792">
        <f t="shared" ca="1" si="102"/>
        <v>0</v>
      </c>
      <c r="CE37" s="2792">
        <f t="shared" ca="1" si="102"/>
        <v>0</v>
      </c>
      <c r="CF37" s="2792">
        <f t="shared" ca="1" si="102"/>
        <v>0</v>
      </c>
      <c r="CG37" s="2792">
        <f t="shared" ca="1" si="102"/>
        <v>0</v>
      </c>
      <c r="CH37" s="2792">
        <f t="shared" ca="1" si="102"/>
        <v>0</v>
      </c>
      <c r="CI37" s="2792">
        <f t="shared" ca="1" si="102"/>
        <v>0</v>
      </c>
      <c r="CJ37" s="2792">
        <f t="shared" ca="1" si="102"/>
        <v>0</v>
      </c>
      <c r="CK37" s="2792">
        <f t="shared" ca="1" si="102"/>
        <v>0</v>
      </c>
      <c r="CL37" s="2792">
        <f t="shared" ca="1" si="102"/>
        <v>0</v>
      </c>
      <c r="CM37" s="2792">
        <f t="shared" ca="1" si="102"/>
        <v>0</v>
      </c>
      <c r="CN37" s="2792">
        <f t="shared" ca="1" si="102"/>
        <v>0</v>
      </c>
      <c r="CO37" s="2792">
        <f t="shared" ca="1" si="102"/>
        <v>0</v>
      </c>
      <c r="CP37" s="2792">
        <f t="shared" ca="1" si="102"/>
        <v>0</v>
      </c>
      <c r="CQ37" s="2792">
        <f t="shared" ca="1" si="102"/>
        <v>0</v>
      </c>
      <c r="CR37" s="2792">
        <f t="shared" ca="1" si="102"/>
        <v>0</v>
      </c>
      <c r="CS37" s="2792">
        <f t="shared" ca="1" si="102"/>
        <v>0</v>
      </c>
      <c r="CT37" s="2792">
        <f t="shared" ca="1" si="102"/>
        <v>0</v>
      </c>
      <c r="CU37" s="2792">
        <f t="shared" ca="1" si="102"/>
        <v>0</v>
      </c>
      <c r="CV37" s="2792">
        <f t="shared" ca="1" si="102"/>
        <v>0</v>
      </c>
      <c r="CW37" s="2792">
        <f t="shared" ca="1" si="102"/>
        <v>0</v>
      </c>
      <c r="CX37" s="2792">
        <f t="shared" ca="1" si="102"/>
        <v>0</v>
      </c>
      <c r="CY37" s="2792">
        <f t="shared" ca="1" si="102"/>
        <v>0</v>
      </c>
      <c r="CZ37" s="2792">
        <f t="shared" ca="1" si="102"/>
        <v>0</v>
      </c>
      <c r="DA37" s="2792">
        <f t="shared" ca="1" si="102"/>
        <v>0</v>
      </c>
      <c r="DB37" s="2792">
        <f t="shared" ca="1" si="102"/>
        <v>0</v>
      </c>
      <c r="DC37" s="2792">
        <f t="shared" ca="1" si="102"/>
        <v>0</v>
      </c>
      <c r="DD37" s="2792">
        <f t="shared" ca="1" si="102"/>
        <v>0</v>
      </c>
      <c r="DE37" s="2792">
        <f t="shared" ca="1" si="102"/>
        <v>0</v>
      </c>
      <c r="DF37" s="2792">
        <f t="shared" ca="1" si="102"/>
        <v>0</v>
      </c>
      <c r="DH37" s="596">
        <f t="shared" ca="1" si="33"/>
        <v>0</v>
      </c>
    </row>
    <row r="38" spans="1:112" s="6" customFormat="1" ht="15.75">
      <c r="A38" s="4"/>
      <c r="B38" s="3"/>
      <c r="C38" s="616" t="s">
        <v>496</v>
      </c>
      <c r="D38" s="617" t="s">
        <v>495</v>
      </c>
      <c r="E38" s="206"/>
      <c r="G38" s="618">
        <f t="shared" ref="G38:P38" ca="1" si="103">G37</f>
        <v>0</v>
      </c>
      <c r="H38" s="618">
        <f t="shared" ca="1" si="103"/>
        <v>0</v>
      </c>
      <c r="I38" s="618">
        <f t="shared" ca="1" si="103"/>
        <v>0</v>
      </c>
      <c r="J38" s="618">
        <f t="shared" ca="1" si="103"/>
        <v>0</v>
      </c>
      <c r="K38" s="618">
        <f t="shared" ca="1" si="103"/>
        <v>0</v>
      </c>
      <c r="L38" s="618">
        <f t="shared" ca="1" si="103"/>
        <v>0</v>
      </c>
      <c r="M38" s="618">
        <f t="shared" ca="1" si="103"/>
        <v>0</v>
      </c>
      <c r="N38" s="618">
        <f t="shared" ca="1" si="103"/>
        <v>0</v>
      </c>
      <c r="O38" s="618">
        <f t="shared" ca="1" si="103"/>
        <v>0</v>
      </c>
      <c r="P38" s="618">
        <f t="shared" ca="1" si="103"/>
        <v>0</v>
      </c>
      <c r="Q38" s="618">
        <f ca="1">SUM(G38:P38)</f>
        <v>0</v>
      </c>
      <c r="S38" s="581">
        <f t="shared" ref="S38:AJ38" ca="1" si="104">S37</f>
        <v>0</v>
      </c>
      <c r="T38" s="581">
        <f t="shared" ca="1" si="104"/>
        <v>0</v>
      </c>
      <c r="U38" s="581">
        <f t="shared" ca="1" si="104"/>
        <v>0</v>
      </c>
      <c r="V38" s="581">
        <f t="shared" ca="1" si="104"/>
        <v>0</v>
      </c>
      <c r="W38" s="581">
        <f t="shared" ca="1" si="104"/>
        <v>0</v>
      </c>
      <c r="X38" s="581">
        <f ca="1">X37</f>
        <v>0</v>
      </c>
      <c r="Y38" s="581">
        <f ca="1">Y37</f>
        <v>0</v>
      </c>
      <c r="Z38" s="581">
        <f ca="1">Z37</f>
        <v>0</v>
      </c>
      <c r="AA38" s="581">
        <f t="shared" ca="1" si="104"/>
        <v>0</v>
      </c>
      <c r="AB38" s="581">
        <f t="shared" ca="1" si="104"/>
        <v>0</v>
      </c>
      <c r="AC38" s="581">
        <f t="shared" ca="1" si="104"/>
        <v>0</v>
      </c>
      <c r="AD38" s="581">
        <f ca="1">AD37</f>
        <v>0</v>
      </c>
      <c r="AE38" s="581">
        <f ca="1">AE37</f>
        <v>0</v>
      </c>
      <c r="AF38" s="581">
        <f t="shared" ca="1" si="104"/>
        <v>0</v>
      </c>
      <c r="AG38" s="581">
        <f ca="1">AG37</f>
        <v>0</v>
      </c>
      <c r="AH38" s="581">
        <f ca="1">AH37</f>
        <v>0</v>
      </c>
      <c r="AI38" s="581">
        <f ca="1">AI37</f>
        <v>0</v>
      </c>
      <c r="AJ38" s="581">
        <f t="shared" ca="1" si="104"/>
        <v>0</v>
      </c>
      <c r="AK38" s="581">
        <f ca="1">SUM(S38:AJ38)</f>
        <v>0</v>
      </c>
      <c r="AM38" s="582">
        <f t="shared" ref="AM38:BE38" ca="1" si="105">AM37</f>
        <v>0</v>
      </c>
      <c r="AN38" s="582">
        <f t="shared" ca="1" si="105"/>
        <v>0</v>
      </c>
      <c r="AO38" s="582">
        <f t="shared" ca="1" si="105"/>
        <v>0</v>
      </c>
      <c r="AP38" s="582">
        <f t="shared" ca="1" si="105"/>
        <v>0</v>
      </c>
      <c r="AQ38" s="582">
        <f t="shared" ca="1" si="105"/>
        <v>0</v>
      </c>
      <c r="AR38" s="582">
        <f t="shared" ca="1" si="105"/>
        <v>0</v>
      </c>
      <c r="AS38" s="582">
        <f t="shared" ca="1" si="105"/>
        <v>0</v>
      </c>
      <c r="AT38" s="582">
        <f t="shared" ca="1" si="105"/>
        <v>0</v>
      </c>
      <c r="AU38" s="582">
        <f t="shared" ca="1" si="105"/>
        <v>0</v>
      </c>
      <c r="AV38" s="582">
        <f t="shared" ca="1" si="105"/>
        <v>0</v>
      </c>
      <c r="AW38" s="582">
        <f t="shared" ca="1" si="105"/>
        <v>0</v>
      </c>
      <c r="AX38" s="582">
        <f t="shared" ca="1" si="105"/>
        <v>0</v>
      </c>
      <c r="AY38" s="582">
        <f t="shared" ca="1" si="105"/>
        <v>0</v>
      </c>
      <c r="AZ38" s="582">
        <f t="shared" ca="1" si="105"/>
        <v>0</v>
      </c>
      <c r="BA38" s="582">
        <f t="shared" ca="1" si="105"/>
        <v>0</v>
      </c>
      <c r="BB38" s="582">
        <f t="shared" ca="1" si="105"/>
        <v>0</v>
      </c>
      <c r="BC38" s="582">
        <f t="shared" ca="1" si="105"/>
        <v>0</v>
      </c>
      <c r="BD38" s="582">
        <f ca="1">BD37</f>
        <v>0</v>
      </c>
      <c r="BE38" s="582">
        <f t="shared" ca="1" si="105"/>
        <v>0</v>
      </c>
      <c r="BF38" s="582">
        <f ca="1">SUM(AM38:BE38)</f>
        <v>0</v>
      </c>
      <c r="BH38" s="3463">
        <f ca="1">BH37</f>
        <v>0</v>
      </c>
      <c r="BI38" s="3463">
        <f ca="1">BI37</f>
        <v>0</v>
      </c>
      <c r="BJ38" s="3463">
        <f ca="1">SUM(BH38:BI38)</f>
        <v>0</v>
      </c>
      <c r="BL38" s="3477">
        <f t="shared" ca="1" si="10"/>
        <v>0</v>
      </c>
      <c r="BM38" s="584"/>
      <c r="BN38" s="413"/>
      <c r="BO38" s="2790">
        <f t="shared" ref="BO38:DF38" ca="1" si="106">BO37</f>
        <v>0</v>
      </c>
      <c r="BP38" s="2790">
        <f t="shared" ca="1" si="106"/>
        <v>0</v>
      </c>
      <c r="BQ38" s="2790">
        <f t="shared" ca="1" si="106"/>
        <v>0</v>
      </c>
      <c r="BR38" s="2790">
        <f t="shared" ca="1" si="106"/>
        <v>0</v>
      </c>
      <c r="BS38" s="2790">
        <f t="shared" ca="1" si="106"/>
        <v>0</v>
      </c>
      <c r="BT38" s="2790">
        <f t="shared" ca="1" si="106"/>
        <v>0</v>
      </c>
      <c r="BU38" s="2790">
        <f t="shared" ca="1" si="106"/>
        <v>0</v>
      </c>
      <c r="BV38" s="2790">
        <f t="shared" ca="1" si="106"/>
        <v>0</v>
      </c>
      <c r="BW38" s="2790">
        <f t="shared" ca="1" si="106"/>
        <v>0</v>
      </c>
      <c r="BX38" s="2790">
        <f t="shared" ca="1" si="106"/>
        <v>0</v>
      </c>
      <c r="BY38" s="2790">
        <f t="shared" ca="1" si="106"/>
        <v>0</v>
      </c>
      <c r="BZ38" s="2790">
        <f t="shared" ca="1" si="106"/>
        <v>0</v>
      </c>
      <c r="CA38" s="2790">
        <f t="shared" ca="1" si="106"/>
        <v>0</v>
      </c>
      <c r="CB38" s="2790">
        <f t="shared" ca="1" si="106"/>
        <v>0</v>
      </c>
      <c r="CC38" s="2790">
        <f t="shared" ca="1" si="106"/>
        <v>0</v>
      </c>
      <c r="CD38" s="2790">
        <f t="shared" ca="1" si="106"/>
        <v>0</v>
      </c>
      <c r="CE38" s="2790">
        <f t="shared" ca="1" si="106"/>
        <v>0</v>
      </c>
      <c r="CF38" s="2790">
        <f t="shared" ca="1" si="106"/>
        <v>0</v>
      </c>
      <c r="CG38" s="2790">
        <f t="shared" ca="1" si="106"/>
        <v>0</v>
      </c>
      <c r="CH38" s="2790">
        <f t="shared" ca="1" si="106"/>
        <v>0</v>
      </c>
      <c r="CI38" s="2790">
        <f t="shared" ca="1" si="106"/>
        <v>0</v>
      </c>
      <c r="CJ38" s="2790">
        <f t="shared" ca="1" si="106"/>
        <v>0</v>
      </c>
      <c r="CK38" s="2790">
        <f t="shared" ca="1" si="106"/>
        <v>0</v>
      </c>
      <c r="CL38" s="2790">
        <f t="shared" ca="1" si="106"/>
        <v>0</v>
      </c>
      <c r="CM38" s="2790">
        <f t="shared" ca="1" si="106"/>
        <v>0</v>
      </c>
      <c r="CN38" s="2790">
        <f t="shared" ca="1" si="106"/>
        <v>0</v>
      </c>
      <c r="CO38" s="2790">
        <f t="shared" ca="1" si="106"/>
        <v>0</v>
      </c>
      <c r="CP38" s="2790">
        <f t="shared" ca="1" si="106"/>
        <v>0</v>
      </c>
      <c r="CQ38" s="2790">
        <f t="shared" ca="1" si="106"/>
        <v>0</v>
      </c>
      <c r="CR38" s="2790">
        <f t="shared" ca="1" si="106"/>
        <v>0</v>
      </c>
      <c r="CS38" s="2790">
        <f t="shared" ca="1" si="106"/>
        <v>0</v>
      </c>
      <c r="CT38" s="2790">
        <f t="shared" ca="1" si="106"/>
        <v>0</v>
      </c>
      <c r="CU38" s="2790">
        <f t="shared" ca="1" si="106"/>
        <v>0</v>
      </c>
      <c r="CV38" s="2790">
        <f t="shared" ca="1" si="106"/>
        <v>0</v>
      </c>
      <c r="CW38" s="2790">
        <f t="shared" ca="1" si="106"/>
        <v>0</v>
      </c>
      <c r="CX38" s="2790">
        <f t="shared" ca="1" si="106"/>
        <v>0</v>
      </c>
      <c r="CY38" s="2790">
        <f t="shared" ca="1" si="106"/>
        <v>0</v>
      </c>
      <c r="CZ38" s="2790">
        <f t="shared" ca="1" si="106"/>
        <v>0</v>
      </c>
      <c r="DA38" s="2790">
        <f t="shared" ca="1" si="106"/>
        <v>0</v>
      </c>
      <c r="DB38" s="2790">
        <f t="shared" ca="1" si="106"/>
        <v>0</v>
      </c>
      <c r="DC38" s="2790">
        <f t="shared" ca="1" si="106"/>
        <v>0</v>
      </c>
      <c r="DD38" s="2790">
        <f t="shared" ca="1" si="106"/>
        <v>0</v>
      </c>
      <c r="DE38" s="2790">
        <f t="shared" ca="1" si="106"/>
        <v>0</v>
      </c>
      <c r="DF38" s="2790">
        <f t="shared" ca="1" si="106"/>
        <v>0</v>
      </c>
      <c r="DH38" s="596">
        <f t="shared" ca="1" si="33"/>
        <v>0</v>
      </c>
    </row>
    <row r="39" spans="1:112" s="6" customFormat="1" ht="6" customHeigh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10"/>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7">G$15+G$19+G$22+G$32+G$35+G$38</f>
        <v>38.883640112521043</v>
      </c>
      <c r="H40" s="633">
        <f t="shared" ca="1" si="107"/>
        <v>11.184010444635474</v>
      </c>
      <c r="I40" s="633">
        <f t="shared" ca="1" si="107"/>
        <v>29.4445718111728</v>
      </c>
      <c r="J40" s="633">
        <f t="shared" ca="1" si="107"/>
        <v>33.315436625723152</v>
      </c>
      <c r="K40" s="633">
        <f t="shared" ca="1" si="107"/>
        <v>0.3884627680202104</v>
      </c>
      <c r="L40" s="633">
        <f t="shared" ca="1" si="107"/>
        <v>2.5651802953474499E-2</v>
      </c>
      <c r="M40" s="633">
        <f t="shared" ca="1" si="107"/>
        <v>0.66</v>
      </c>
      <c r="N40" s="633">
        <f t="shared" ca="1" si="107"/>
        <v>9.4283309514618914</v>
      </c>
      <c r="O40" s="633">
        <f t="shared" ca="1" si="107"/>
        <v>0</v>
      </c>
      <c r="P40" s="633">
        <f t="shared" ca="1" si="107"/>
        <v>0</v>
      </c>
      <c r="Q40" s="633">
        <f t="shared" ca="1" si="107"/>
        <v>123.33010451648805</v>
      </c>
      <c r="S40" s="634">
        <f t="shared" ref="S40:AJ40" ca="1" si="108">S$15+S$19+S$22+S$32+S$35+S$38</f>
        <v>-25.765756153239508</v>
      </c>
      <c r="T40" s="634">
        <f t="shared" ca="1" si="108"/>
        <v>6.2697857142857147</v>
      </c>
      <c r="U40" s="634">
        <f t="shared" ca="1" si="108"/>
        <v>-3.8061178993506575</v>
      </c>
      <c r="V40" s="634">
        <f t="shared" ca="1" si="108"/>
        <v>-56.918735678980035</v>
      </c>
      <c r="W40" s="634">
        <f t="shared" ca="1" si="108"/>
        <v>-41.161660564087342</v>
      </c>
      <c r="X40" s="634">
        <f ca="1">X$15+X$19+X$22+X$32+X$35+X$38</f>
        <v>0</v>
      </c>
      <c r="Y40" s="634">
        <f ca="1">Y$15+Y$19+Y$22+Y$32+Y$35+Y$38</f>
        <v>0</v>
      </c>
      <c r="Z40" s="634">
        <f ca="1">Z$15+Z$19+Z$22+Z$32+Z$35+Z$38</f>
        <v>0</v>
      </c>
      <c r="AA40" s="634">
        <f t="shared" ca="1" si="108"/>
        <v>0</v>
      </c>
      <c r="AB40" s="634">
        <f t="shared" ca="1" si="108"/>
        <v>0</v>
      </c>
      <c r="AC40" s="634">
        <f t="shared" ca="1" si="108"/>
        <v>0</v>
      </c>
      <c r="AD40" s="634">
        <f t="shared" ca="1" si="108"/>
        <v>0</v>
      </c>
      <c r="AE40" s="634">
        <f t="shared" ca="1" si="108"/>
        <v>0</v>
      </c>
      <c r="AF40" s="634">
        <f t="shared" ca="1" si="108"/>
        <v>0</v>
      </c>
      <c r="AG40" s="634">
        <f t="shared" ca="1" si="108"/>
        <v>0</v>
      </c>
      <c r="AH40" s="634">
        <f t="shared" ca="1" si="108"/>
        <v>0</v>
      </c>
      <c r="AI40" s="634">
        <f t="shared" ca="1" si="108"/>
        <v>-1.8347909840221523</v>
      </c>
      <c r="AJ40" s="634">
        <f t="shared" ca="1" si="108"/>
        <v>-1.4355027286859567E-2</v>
      </c>
      <c r="AK40" s="634">
        <f ca="1">SUM(S40:AJ40)</f>
        <v>-123.23163059268083</v>
      </c>
      <c r="AM40" s="635">
        <f t="shared" ref="AM40:BE40" ca="1" si="109">AM$15+AM$19+AM$22+AM$32+AM$35+AM$38</f>
        <v>0</v>
      </c>
      <c r="AN40" s="635">
        <f t="shared" ca="1" si="109"/>
        <v>0</v>
      </c>
      <c r="AO40" s="635">
        <f t="shared" ca="1" si="109"/>
        <v>0</v>
      </c>
      <c r="AP40" s="635">
        <f t="shared" ca="1" si="109"/>
        <v>0</v>
      </c>
      <c r="AQ40" s="635">
        <f t="shared" ca="1" si="109"/>
        <v>0</v>
      </c>
      <c r="AR40" s="635">
        <f t="shared" ca="1" si="109"/>
        <v>0</v>
      </c>
      <c r="AS40" s="635">
        <f t="shared" ca="1" si="109"/>
        <v>0</v>
      </c>
      <c r="AT40" s="635">
        <f t="shared" ca="1" si="109"/>
        <v>0</v>
      </c>
      <c r="AU40" s="635">
        <f t="shared" ca="1" si="109"/>
        <v>0</v>
      </c>
      <c r="AV40" s="635">
        <f t="shared" ca="1" si="109"/>
        <v>0</v>
      </c>
      <c r="AW40" s="635">
        <f t="shared" ca="1" si="109"/>
        <v>0</v>
      </c>
      <c r="AX40" s="635">
        <f t="shared" ca="1" si="109"/>
        <v>0</v>
      </c>
      <c r="AY40" s="635">
        <f t="shared" ca="1" si="109"/>
        <v>0</v>
      </c>
      <c r="AZ40" s="635">
        <f t="shared" ca="1" si="109"/>
        <v>0</v>
      </c>
      <c r="BA40" s="635">
        <f t="shared" ca="1" si="109"/>
        <v>0</v>
      </c>
      <c r="BB40" s="635">
        <f t="shared" ca="1" si="109"/>
        <v>0</v>
      </c>
      <c r="BC40" s="635">
        <f t="shared" ca="1" si="109"/>
        <v>-9.8473923807210109E-2</v>
      </c>
      <c r="BD40" s="635">
        <f t="shared" ca="1" si="109"/>
        <v>0</v>
      </c>
      <c r="BE40" s="635">
        <f t="shared" ca="1" si="109"/>
        <v>0</v>
      </c>
      <c r="BF40" s="635">
        <f ca="1">SUM(AM40:BE40)</f>
        <v>-9.8473923807210109E-2</v>
      </c>
      <c r="BH40" s="3464">
        <f ca="1">BH$15+BH$19+BH$22+BH$32+BH$35+BH$38</f>
        <v>0</v>
      </c>
      <c r="BI40" s="3464">
        <f ca="1">BI$15+BI$19+BI$22+BI$32+BI$35+BI$38</f>
        <v>0</v>
      </c>
      <c r="BJ40" s="3464">
        <f ca="1">SUM(BH40:BI40)</f>
        <v>0</v>
      </c>
      <c r="BL40" s="3478">
        <f t="shared" ca="1" si="10"/>
        <v>9.3119956190435005E-15</v>
      </c>
      <c r="BM40" s="636"/>
      <c r="BO40" s="2793">
        <f t="shared" ref="BO40:DF40" ca="1" si="110">BO$15+BO$19+BO$22+BO$32+BO$35+BO$38</f>
        <v>22.243463204031848</v>
      </c>
      <c r="BP40" s="2793">
        <f t="shared" ca="1" si="110"/>
        <v>1.4084065090079756E-2</v>
      </c>
      <c r="BQ40" s="2793">
        <f t="shared" ca="1" si="110"/>
        <v>0.16713898704299607</v>
      </c>
      <c r="BR40" s="2793">
        <f t="shared" ca="1" si="110"/>
        <v>0</v>
      </c>
      <c r="BS40" s="2793">
        <f t="shared" ca="1" si="110"/>
        <v>0</v>
      </c>
      <c r="BT40" s="2793">
        <f t="shared" ca="1" si="110"/>
        <v>0</v>
      </c>
      <c r="BU40" s="2793">
        <f t="shared" ca="1" si="110"/>
        <v>0</v>
      </c>
      <c r="BV40" s="2793">
        <f t="shared" ca="1" si="110"/>
        <v>0</v>
      </c>
      <c r="BW40" s="2793">
        <f t="shared" ca="1" si="110"/>
        <v>0.79637266665151207</v>
      </c>
      <c r="BX40" s="2793">
        <f t="shared" ca="1" si="110"/>
        <v>0</v>
      </c>
      <c r="BY40" s="2793">
        <f t="shared" ca="1" si="110"/>
        <v>0</v>
      </c>
      <c r="BZ40" s="2793">
        <f t="shared" ca="1" si="110"/>
        <v>0.7126078919748543</v>
      </c>
      <c r="CA40" s="2793">
        <f t="shared" ca="1" si="110"/>
        <v>0</v>
      </c>
      <c r="CB40" s="2793">
        <f t="shared" ca="1" si="110"/>
        <v>0</v>
      </c>
      <c r="CC40" s="2793">
        <f t="shared" ca="1" si="110"/>
        <v>0</v>
      </c>
      <c r="CD40" s="2793">
        <f t="shared" ca="1" si="110"/>
        <v>0</v>
      </c>
      <c r="CE40" s="2793">
        <f t="shared" ca="1" si="110"/>
        <v>0</v>
      </c>
      <c r="CF40" s="2793">
        <f t="shared" ca="1" si="110"/>
        <v>0</v>
      </c>
      <c r="CG40" s="2793">
        <f t="shared" ca="1" si="110"/>
        <v>0</v>
      </c>
      <c r="CH40" s="2793">
        <f t="shared" ca="1" si="110"/>
        <v>0</v>
      </c>
      <c r="CI40" s="2793">
        <f t="shared" ca="1" si="110"/>
        <v>0</v>
      </c>
      <c r="CJ40" s="2793">
        <f t="shared" ca="1" si="110"/>
        <v>0</v>
      </c>
      <c r="CK40" s="2793">
        <f t="shared" ca="1" si="110"/>
        <v>0</v>
      </c>
      <c r="CL40" s="2793">
        <f t="shared" ca="1" si="110"/>
        <v>0</v>
      </c>
      <c r="CM40" s="2793">
        <f t="shared" ca="1" si="110"/>
        <v>0</v>
      </c>
      <c r="CN40" s="2793">
        <f t="shared" ca="1" si="110"/>
        <v>0</v>
      </c>
      <c r="CO40" s="2793">
        <f t="shared" ca="1" si="110"/>
        <v>0</v>
      </c>
      <c r="CP40" s="2793">
        <f t="shared" ca="1" si="110"/>
        <v>0</v>
      </c>
      <c r="CQ40" s="2793">
        <f t="shared" ca="1" si="110"/>
        <v>0</v>
      </c>
      <c r="CR40" s="2793">
        <f t="shared" ca="1" si="110"/>
        <v>0</v>
      </c>
      <c r="CS40" s="2793">
        <f t="shared" ca="1" si="110"/>
        <v>0</v>
      </c>
      <c r="CT40" s="2793">
        <f t="shared" ca="1" si="110"/>
        <v>0</v>
      </c>
      <c r="CU40" s="2793">
        <f t="shared" ca="1" si="110"/>
        <v>2.4879479714717636</v>
      </c>
      <c r="CV40" s="2793">
        <f t="shared" ca="1" si="110"/>
        <v>2.1383454597915571E-3</v>
      </c>
      <c r="CW40" s="2793">
        <f t="shared" ca="1" si="110"/>
        <v>6.3132104050988829E-3</v>
      </c>
      <c r="CX40" s="2793">
        <f t="shared" ca="1" si="110"/>
        <v>0</v>
      </c>
      <c r="CY40" s="2793">
        <f t="shared" ca="1" si="110"/>
        <v>0</v>
      </c>
      <c r="CZ40" s="2793">
        <f t="shared" ca="1" si="110"/>
        <v>0</v>
      </c>
      <c r="DA40" s="2793">
        <f t="shared" ca="1" si="110"/>
        <v>0</v>
      </c>
      <c r="DB40" s="2793">
        <f t="shared" ca="1" si="110"/>
        <v>0</v>
      </c>
      <c r="DC40" s="2793">
        <f t="shared" ca="1" si="110"/>
        <v>0</v>
      </c>
      <c r="DD40" s="2793">
        <f t="shared" ca="1" si="110"/>
        <v>0</v>
      </c>
      <c r="DE40" s="2793">
        <f t="shared" ca="1" si="110"/>
        <v>0</v>
      </c>
      <c r="DF40" s="2793">
        <f t="shared" ca="1" si="110"/>
        <v>0</v>
      </c>
      <c r="DH40" s="637">
        <f ca="1">SUM(BO40:DF40)</f>
        <v>26.430066342127947</v>
      </c>
    </row>
    <row r="41" spans="1:112" s="6" customFormat="1" ht="6" customHeigh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10"/>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24" customHeight="1">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10"/>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ht="12.75" customHeight="1" outlineLevel="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10"/>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ht="12.75" customHeight="1" outlineLevel="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-1.4355027286859567E-2</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10"/>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ht="12.75" customHeight="1" outlineLevel="1">
      <c r="A45" s="4"/>
      <c r="B45" s="4"/>
      <c r="C45" s="587" t="s">
        <v>502</v>
      </c>
      <c r="D45" s="611" t="s">
        <v>503</v>
      </c>
      <c r="E45" s="650"/>
      <c r="G45" s="619">
        <f t="shared" ref="G45:P45" ca="1" si="111">IFERROR(INDEX(INDIRECT($C45&amp;".Outputs["&amp;this.Year&amp;"]"), MATCH(G$5, INDIRECT($C45&amp;".Outputs[Vector]"), 0)), 0)</f>
        <v>0</v>
      </c>
      <c r="H45" s="619">
        <f t="shared" ca="1" si="111"/>
        <v>0</v>
      </c>
      <c r="I45" s="619">
        <f t="shared" ca="1" si="111"/>
        <v>0</v>
      </c>
      <c r="J45" s="619">
        <f t="shared" ca="1" si="111"/>
        <v>0</v>
      </c>
      <c r="K45" s="619">
        <f t="shared" ca="1" si="111"/>
        <v>0</v>
      </c>
      <c r="L45" s="619">
        <f t="shared" ca="1" si="111"/>
        <v>0</v>
      </c>
      <c r="M45" s="619">
        <f t="shared" ca="1" si="111"/>
        <v>0</v>
      </c>
      <c r="N45" s="619">
        <f t="shared" ca="1" si="111"/>
        <v>0</v>
      </c>
      <c r="O45" s="619">
        <f t="shared" ca="1" si="111"/>
        <v>0</v>
      </c>
      <c r="P45" s="619">
        <f t="shared" ca="1" si="111"/>
        <v>0</v>
      </c>
      <c r="Q45" s="612">
        <f ca="1">SUM(G45:P45)</f>
        <v>0</v>
      </c>
      <c r="S45" s="620">
        <f t="shared" ref="S45:AJ45" ca="1" si="112">IFERROR(INDEX(INDIRECT($C45&amp;".Outputs["&amp;this.Year&amp;"]"), MATCH(S$5, INDIRECT($C45&amp;".Outputs[Vector]"), 0)), 0)</f>
        <v>-1.1099896063998645E-2</v>
      </c>
      <c r="T45" s="620">
        <f t="shared" ca="1" si="112"/>
        <v>0</v>
      </c>
      <c r="U45" s="620">
        <f t="shared" ca="1" si="112"/>
        <v>0</v>
      </c>
      <c r="V45" s="620">
        <f t="shared" ca="1" si="112"/>
        <v>0</v>
      </c>
      <c r="W45" s="620">
        <f t="shared" ca="1" si="112"/>
        <v>-9.023729652823111E-3</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12"/>
        <v>0</v>
      </c>
      <c r="AB45" s="620">
        <f t="shared" ca="1" si="112"/>
        <v>0</v>
      </c>
      <c r="AC45" s="620">
        <f t="shared" ca="1" si="112"/>
        <v>0</v>
      </c>
      <c r="AD45" s="620">
        <f t="shared" ca="1" si="112"/>
        <v>0</v>
      </c>
      <c r="AE45" s="620">
        <f t="shared" ca="1" si="112"/>
        <v>0</v>
      </c>
      <c r="AF45" s="620">
        <f t="shared" ca="1" si="112"/>
        <v>0</v>
      </c>
      <c r="AG45" s="620">
        <f t="shared" ca="1" si="112"/>
        <v>0</v>
      </c>
      <c r="AH45" s="620">
        <f t="shared" ca="1" si="112"/>
        <v>0</v>
      </c>
      <c r="AI45" s="620">
        <f t="shared" ca="1" si="112"/>
        <v>0</v>
      </c>
      <c r="AJ45" s="620">
        <f t="shared" ca="1" si="112"/>
        <v>1.4355027286859567E-2</v>
      </c>
      <c r="AK45" s="613">
        <f ca="1">SUM(S45:AJ45)</f>
        <v>-5.7685984299621872E-3</v>
      </c>
      <c r="AM45" s="621">
        <f t="shared" ref="AM45:AU45" ca="1" si="113">IFERROR(INDEX(INDIRECT($C45&amp;".Outputs["&amp;this.Year&amp;"]"), MATCH(AM$5, INDIRECT($C45&amp;".Outputs[Vector]"), 0)), 0)</f>
        <v>0</v>
      </c>
      <c r="AN45" s="621">
        <f t="shared" ca="1" si="113"/>
        <v>0</v>
      </c>
      <c r="AO45" s="621">
        <f t="shared" ca="1" si="113"/>
        <v>0</v>
      </c>
      <c r="AP45" s="621">
        <f t="shared" ca="1" si="113"/>
        <v>0</v>
      </c>
      <c r="AQ45" s="621">
        <f t="shared" ca="1" si="113"/>
        <v>0</v>
      </c>
      <c r="AR45" s="621">
        <f t="shared" ca="1" si="113"/>
        <v>0</v>
      </c>
      <c r="AS45" s="621">
        <f t="shared" ca="1" si="113"/>
        <v>0</v>
      </c>
      <c r="AT45" s="621">
        <f t="shared" ca="1" si="113"/>
        <v>0</v>
      </c>
      <c r="AU45" s="621">
        <f t="shared" ca="1" si="113"/>
        <v>0</v>
      </c>
      <c r="AV45" s="621">
        <f t="shared" ref="AV45:BE45" ca="1" si="114">IFERROR(INDEX(INDIRECT($C45&amp;".Outputs["&amp;this.Year&amp;"]"), MATCH(AV$5, INDIRECT($C45&amp;".Outputs[Vector]"), 0)), 0)</f>
        <v>0</v>
      </c>
      <c r="AW45" s="621">
        <f t="shared" ca="1" si="114"/>
        <v>0</v>
      </c>
      <c r="AX45" s="621">
        <f t="shared" ca="1" si="114"/>
        <v>0</v>
      </c>
      <c r="AY45" s="621">
        <f t="shared" ca="1" si="114"/>
        <v>0</v>
      </c>
      <c r="AZ45" s="621">
        <f t="shared" ca="1" si="114"/>
        <v>0</v>
      </c>
      <c r="BA45" s="621">
        <f t="shared" ca="1" si="114"/>
        <v>0</v>
      </c>
      <c r="BB45" s="621">
        <f t="shared" ca="1" si="114"/>
        <v>0</v>
      </c>
      <c r="BC45" s="621">
        <f t="shared" ca="1" si="114"/>
        <v>0</v>
      </c>
      <c r="BD45" s="621">
        <f t="shared" ca="1" si="114"/>
        <v>0</v>
      </c>
      <c r="BE45" s="621">
        <f t="shared" ca="1" si="114"/>
        <v>0</v>
      </c>
      <c r="BF45" s="615">
        <f ca="1">SUM(AM45:BE45)</f>
        <v>0</v>
      </c>
      <c r="BH45" s="3473">
        <f ca="1">IFERROR(INDEX(INDIRECT($C45&amp;".Outputs["&amp;this.Year&amp;"]"), MATCH(BH$5, INDIRECT($C45&amp;".Outputs[Vector]"), 0)), 0)</f>
        <v>5.770033932690875E-3</v>
      </c>
      <c r="BI45" s="3473">
        <f ca="1">IFERROR(INDEX(INDIRECT($C45&amp;".Outputs["&amp;this.Year&amp;"]"), MATCH(BI$5, INDIRECT($C45&amp;".Outputs[Vector]"), 0)), 0)</f>
        <v>0</v>
      </c>
      <c r="BJ45" s="3462">
        <f ca="1">SUM(BH45:BI45)</f>
        <v>5.770033932690875E-3</v>
      </c>
      <c r="BL45" s="3477"/>
      <c r="BM45" s="584"/>
      <c r="BN45" s="413"/>
      <c r="BO45" s="2791">
        <f t="shared" ref="BO45:DF45" ca="1" si="115">IFERROR(SUMIFS(INDIRECT($C45&amp;".Emissions["&amp;this.Year&amp;"]"), INDIRECT($C45&amp;".Emissions[GHG]"), BO$6, INDIRECT($C45&amp;".Emissions[IPCC Sector]"), BO$5),0)</f>
        <v>1.8473487630015306E-3</v>
      </c>
      <c r="BP45" s="2792">
        <f t="shared" ca="1" si="115"/>
        <v>6.8219396175342725E-7</v>
      </c>
      <c r="BQ45" s="2792">
        <f t="shared" ca="1" si="115"/>
        <v>2.9204398648396717E-5</v>
      </c>
      <c r="BR45" s="2792">
        <f t="shared" ca="1" si="115"/>
        <v>0</v>
      </c>
      <c r="BS45" s="2792">
        <f t="shared" ca="1" si="115"/>
        <v>0</v>
      </c>
      <c r="BT45" s="2792">
        <f t="shared" ca="1" si="115"/>
        <v>0</v>
      </c>
      <c r="BU45" s="2792">
        <f t="shared" ca="1" si="115"/>
        <v>0</v>
      </c>
      <c r="BV45" s="2792">
        <f t="shared" ca="1" si="115"/>
        <v>0</v>
      </c>
      <c r="BW45" s="2792">
        <f t="shared" ca="1" si="115"/>
        <v>0</v>
      </c>
      <c r="BX45" s="2792">
        <f t="shared" ca="1" si="115"/>
        <v>0</v>
      </c>
      <c r="BY45" s="2792">
        <f t="shared" ca="1" si="115"/>
        <v>0</v>
      </c>
      <c r="BZ45" s="2792">
        <f t="shared" ca="1" si="115"/>
        <v>0</v>
      </c>
      <c r="CA45" s="2792">
        <f t="shared" ca="1" si="115"/>
        <v>0</v>
      </c>
      <c r="CB45" s="2792">
        <f t="shared" ca="1" si="115"/>
        <v>0</v>
      </c>
      <c r="CC45" s="2792">
        <f t="shared" ca="1" si="115"/>
        <v>0</v>
      </c>
      <c r="CD45" s="2792">
        <f t="shared" ca="1" si="115"/>
        <v>0</v>
      </c>
      <c r="CE45" s="2792">
        <f t="shared" ca="1" si="115"/>
        <v>0</v>
      </c>
      <c r="CF45" s="2792">
        <f t="shared" ca="1" si="115"/>
        <v>0</v>
      </c>
      <c r="CG45" s="2792">
        <f t="shared" ca="1" si="115"/>
        <v>0</v>
      </c>
      <c r="CH45" s="2792">
        <f t="shared" ca="1" si="115"/>
        <v>0</v>
      </c>
      <c r="CI45" s="2792">
        <f t="shared" ca="1" si="115"/>
        <v>0</v>
      </c>
      <c r="CJ45" s="2792">
        <f t="shared" ca="1" si="115"/>
        <v>0</v>
      </c>
      <c r="CK45" s="2792">
        <f t="shared" ca="1" si="115"/>
        <v>0</v>
      </c>
      <c r="CL45" s="2792">
        <f t="shared" ca="1" si="115"/>
        <v>0</v>
      </c>
      <c r="CM45" s="2792">
        <f t="shared" ca="1" si="115"/>
        <v>0</v>
      </c>
      <c r="CN45" s="2792">
        <f t="shared" ca="1" si="115"/>
        <v>0</v>
      </c>
      <c r="CO45" s="2792">
        <f t="shared" ca="1" si="115"/>
        <v>0</v>
      </c>
      <c r="CP45" s="2792">
        <f t="shared" ca="1" si="115"/>
        <v>0</v>
      </c>
      <c r="CQ45" s="2792">
        <f t="shared" ca="1" si="115"/>
        <v>0</v>
      </c>
      <c r="CR45" s="2792">
        <f t="shared" ca="1" si="115"/>
        <v>0</v>
      </c>
      <c r="CS45" s="2792">
        <f t="shared" ca="1" si="115"/>
        <v>0</v>
      </c>
      <c r="CT45" s="2792">
        <f t="shared" ca="1" si="115"/>
        <v>0</v>
      </c>
      <c r="CU45" s="2792">
        <f t="shared" ca="1" si="115"/>
        <v>0</v>
      </c>
      <c r="CV45" s="2792">
        <f t="shared" ca="1" si="115"/>
        <v>0</v>
      </c>
      <c r="CW45" s="2792">
        <f t="shared" ca="1" si="115"/>
        <v>0</v>
      </c>
      <c r="CX45" s="2792">
        <f t="shared" ca="1" si="115"/>
        <v>0</v>
      </c>
      <c r="CY45" s="2792">
        <f t="shared" ca="1" si="115"/>
        <v>0</v>
      </c>
      <c r="CZ45" s="2792">
        <f t="shared" ca="1" si="115"/>
        <v>0</v>
      </c>
      <c r="DA45" s="2792">
        <f t="shared" ca="1" si="115"/>
        <v>0</v>
      </c>
      <c r="DB45" s="2792">
        <f t="shared" ca="1" si="115"/>
        <v>0</v>
      </c>
      <c r="DC45" s="2792">
        <f t="shared" ca="1" si="115"/>
        <v>0</v>
      </c>
      <c r="DD45" s="2792">
        <f t="shared" ca="1" si="115"/>
        <v>0</v>
      </c>
      <c r="DE45" s="2792">
        <f t="shared" ca="1" si="115"/>
        <v>0</v>
      </c>
      <c r="DF45" s="2792">
        <f t="shared" ca="1" si="115"/>
        <v>0</v>
      </c>
      <c r="DH45" s="596"/>
    </row>
    <row r="46" spans="1:112" s="6" customFormat="1" ht="15.75">
      <c r="A46" s="4"/>
      <c r="B46" s="3"/>
      <c r="C46" s="616" t="s">
        <v>504</v>
      </c>
      <c r="D46" s="617" t="s">
        <v>505</v>
      </c>
      <c r="E46" s="206"/>
      <c r="G46" s="618">
        <f ca="1">G45</f>
        <v>0</v>
      </c>
      <c r="H46" s="618">
        <f t="shared" ref="H46:P46" ca="1" si="116">H45</f>
        <v>0</v>
      </c>
      <c r="I46" s="618">
        <f t="shared" ca="1" si="116"/>
        <v>0</v>
      </c>
      <c r="J46" s="618">
        <f t="shared" ca="1" si="116"/>
        <v>0</v>
      </c>
      <c r="K46" s="618">
        <f t="shared" ca="1" si="116"/>
        <v>0</v>
      </c>
      <c r="L46" s="618">
        <f t="shared" ca="1" si="116"/>
        <v>0</v>
      </c>
      <c r="M46" s="618">
        <f t="shared" ca="1" si="116"/>
        <v>0</v>
      </c>
      <c r="N46" s="618">
        <f t="shared" ca="1" si="116"/>
        <v>0</v>
      </c>
      <c r="O46" s="618">
        <f t="shared" ca="1" si="116"/>
        <v>0</v>
      </c>
      <c r="P46" s="618">
        <f t="shared" ca="1" si="116"/>
        <v>0</v>
      </c>
      <c r="Q46" s="618">
        <f ca="1">SUM(G46:P46)</f>
        <v>0</v>
      </c>
      <c r="S46" s="581">
        <f t="shared" ref="S46:AJ46" ca="1" si="117">S45</f>
        <v>-1.1099896063998645E-2</v>
      </c>
      <c r="T46" s="581">
        <f t="shared" ca="1" si="117"/>
        <v>0</v>
      </c>
      <c r="U46" s="581">
        <f t="shared" ca="1" si="117"/>
        <v>0</v>
      </c>
      <c r="V46" s="581">
        <f t="shared" ca="1" si="117"/>
        <v>0</v>
      </c>
      <c r="W46" s="581">
        <f t="shared" ca="1" si="117"/>
        <v>-9.023729652823111E-3</v>
      </c>
      <c r="X46" s="581">
        <f t="shared" ca="1" si="117"/>
        <v>0</v>
      </c>
      <c r="Y46" s="581">
        <f t="shared" ca="1" si="117"/>
        <v>0</v>
      </c>
      <c r="Z46" s="581">
        <f t="shared" ca="1" si="117"/>
        <v>0</v>
      </c>
      <c r="AA46" s="581">
        <f t="shared" ca="1" si="117"/>
        <v>0</v>
      </c>
      <c r="AB46" s="581">
        <f t="shared" ca="1" si="117"/>
        <v>0</v>
      </c>
      <c r="AC46" s="581">
        <f t="shared" ca="1" si="117"/>
        <v>0</v>
      </c>
      <c r="AD46" s="581">
        <f t="shared" ca="1" si="117"/>
        <v>0</v>
      </c>
      <c r="AE46" s="581">
        <f ca="1">AE45</f>
        <v>0</v>
      </c>
      <c r="AF46" s="581">
        <f t="shared" ca="1" si="117"/>
        <v>0</v>
      </c>
      <c r="AG46" s="581">
        <f t="shared" ca="1" si="117"/>
        <v>0</v>
      </c>
      <c r="AH46" s="581">
        <f ca="1">AH45</f>
        <v>0</v>
      </c>
      <c r="AI46" s="581">
        <f t="shared" ca="1" si="117"/>
        <v>0</v>
      </c>
      <c r="AJ46" s="581">
        <f t="shared" ca="1" si="117"/>
        <v>1.4355027286859567E-2</v>
      </c>
      <c r="AK46" s="581">
        <f ca="1">SUM(S46:AJ46)</f>
        <v>-5.7685984299621872E-3</v>
      </c>
      <c r="AM46" s="582">
        <f t="shared" ref="AM46:BE46" ca="1" si="118">AM45</f>
        <v>0</v>
      </c>
      <c r="AN46" s="582">
        <f t="shared" ca="1" si="118"/>
        <v>0</v>
      </c>
      <c r="AO46" s="582">
        <f t="shared" ca="1" si="118"/>
        <v>0</v>
      </c>
      <c r="AP46" s="582">
        <f t="shared" ca="1" si="118"/>
        <v>0</v>
      </c>
      <c r="AQ46" s="582">
        <f t="shared" ca="1" si="118"/>
        <v>0</v>
      </c>
      <c r="AR46" s="582">
        <f t="shared" ca="1" si="118"/>
        <v>0</v>
      </c>
      <c r="AS46" s="582">
        <f t="shared" ca="1" si="118"/>
        <v>0</v>
      </c>
      <c r="AT46" s="582">
        <f t="shared" ca="1" si="118"/>
        <v>0</v>
      </c>
      <c r="AU46" s="582">
        <f t="shared" ca="1" si="118"/>
        <v>0</v>
      </c>
      <c r="AV46" s="582">
        <f t="shared" ca="1" si="118"/>
        <v>0</v>
      </c>
      <c r="AW46" s="582">
        <f t="shared" ca="1" si="118"/>
        <v>0</v>
      </c>
      <c r="AX46" s="582">
        <f t="shared" ca="1" si="118"/>
        <v>0</v>
      </c>
      <c r="AY46" s="582">
        <f t="shared" ca="1" si="118"/>
        <v>0</v>
      </c>
      <c r="AZ46" s="582">
        <f t="shared" ca="1" si="118"/>
        <v>0</v>
      </c>
      <c r="BA46" s="582">
        <f t="shared" ca="1" si="118"/>
        <v>0</v>
      </c>
      <c r="BB46" s="582">
        <f t="shared" ca="1" si="118"/>
        <v>0</v>
      </c>
      <c r="BC46" s="582">
        <f t="shared" ca="1" si="118"/>
        <v>0</v>
      </c>
      <c r="BD46" s="582">
        <f t="shared" ca="1" si="118"/>
        <v>0</v>
      </c>
      <c r="BE46" s="582">
        <f t="shared" ca="1" si="118"/>
        <v>0</v>
      </c>
      <c r="BF46" s="582">
        <f ca="1">SUM(AM46:BE46)</f>
        <v>0</v>
      </c>
      <c r="BH46" s="3463">
        <f ca="1">BH45</f>
        <v>5.770033932690875E-3</v>
      </c>
      <c r="BI46" s="3463">
        <f ca="1">BI45</f>
        <v>0</v>
      </c>
      <c r="BJ46" s="3463">
        <f ca="1">SUM(BH46:BI46)</f>
        <v>5.770033932690875E-3</v>
      </c>
      <c r="BL46" s="3477">
        <f ca="1">Q46+AK46+BF46+BJ46</f>
        <v>1.4355027286878236E-6</v>
      </c>
      <c r="BM46" s="584"/>
      <c r="BN46" s="413"/>
      <c r="BO46" s="2790">
        <f t="shared" ref="BO46:DF46" ca="1" si="119">BO45</f>
        <v>1.8473487630015306E-3</v>
      </c>
      <c r="BP46" s="2790">
        <f t="shared" ca="1" si="119"/>
        <v>6.8219396175342725E-7</v>
      </c>
      <c r="BQ46" s="2790">
        <f t="shared" ca="1" si="119"/>
        <v>2.9204398648396717E-5</v>
      </c>
      <c r="BR46" s="2790">
        <f t="shared" ca="1" si="119"/>
        <v>0</v>
      </c>
      <c r="BS46" s="2790">
        <f t="shared" ca="1" si="119"/>
        <v>0</v>
      </c>
      <c r="BT46" s="2790">
        <f t="shared" ca="1" si="119"/>
        <v>0</v>
      </c>
      <c r="BU46" s="2790">
        <f t="shared" ca="1" si="119"/>
        <v>0</v>
      </c>
      <c r="BV46" s="2790">
        <f t="shared" ca="1" si="119"/>
        <v>0</v>
      </c>
      <c r="BW46" s="2790">
        <f t="shared" ca="1" si="119"/>
        <v>0</v>
      </c>
      <c r="BX46" s="2790">
        <f t="shared" ca="1" si="119"/>
        <v>0</v>
      </c>
      <c r="BY46" s="2790">
        <f t="shared" ca="1" si="119"/>
        <v>0</v>
      </c>
      <c r="BZ46" s="2790">
        <f t="shared" ca="1" si="119"/>
        <v>0</v>
      </c>
      <c r="CA46" s="2790">
        <f t="shared" ca="1" si="119"/>
        <v>0</v>
      </c>
      <c r="CB46" s="2790">
        <f t="shared" ca="1" si="119"/>
        <v>0</v>
      </c>
      <c r="CC46" s="2790">
        <f t="shared" ca="1" si="119"/>
        <v>0</v>
      </c>
      <c r="CD46" s="2790">
        <f t="shared" ca="1" si="119"/>
        <v>0</v>
      </c>
      <c r="CE46" s="2790">
        <f t="shared" ca="1" si="119"/>
        <v>0</v>
      </c>
      <c r="CF46" s="2790">
        <f t="shared" ca="1" si="119"/>
        <v>0</v>
      </c>
      <c r="CG46" s="2790">
        <f t="shared" ca="1" si="119"/>
        <v>0</v>
      </c>
      <c r="CH46" s="2790">
        <f t="shared" ca="1" si="119"/>
        <v>0</v>
      </c>
      <c r="CI46" s="2790">
        <f t="shared" ca="1" si="119"/>
        <v>0</v>
      </c>
      <c r="CJ46" s="2790">
        <f t="shared" ca="1" si="119"/>
        <v>0</v>
      </c>
      <c r="CK46" s="2790">
        <f t="shared" ca="1" si="119"/>
        <v>0</v>
      </c>
      <c r="CL46" s="2790">
        <f t="shared" ca="1" si="119"/>
        <v>0</v>
      </c>
      <c r="CM46" s="2790">
        <f t="shared" ca="1" si="119"/>
        <v>0</v>
      </c>
      <c r="CN46" s="2790">
        <f t="shared" ca="1" si="119"/>
        <v>0</v>
      </c>
      <c r="CO46" s="2790">
        <f t="shared" ca="1" si="119"/>
        <v>0</v>
      </c>
      <c r="CP46" s="2790">
        <f t="shared" ca="1" si="119"/>
        <v>0</v>
      </c>
      <c r="CQ46" s="2790">
        <f t="shared" ca="1" si="119"/>
        <v>0</v>
      </c>
      <c r="CR46" s="2790">
        <f t="shared" ca="1" si="119"/>
        <v>0</v>
      </c>
      <c r="CS46" s="2790">
        <f t="shared" ca="1" si="119"/>
        <v>0</v>
      </c>
      <c r="CT46" s="2790">
        <f t="shared" ca="1" si="119"/>
        <v>0</v>
      </c>
      <c r="CU46" s="2790">
        <f t="shared" ca="1" si="119"/>
        <v>0</v>
      </c>
      <c r="CV46" s="2790">
        <f t="shared" ca="1" si="119"/>
        <v>0</v>
      </c>
      <c r="CW46" s="2790">
        <f t="shared" ca="1" si="119"/>
        <v>0</v>
      </c>
      <c r="CX46" s="2790">
        <f t="shared" ca="1" si="119"/>
        <v>0</v>
      </c>
      <c r="CY46" s="2790">
        <f t="shared" ca="1" si="119"/>
        <v>0</v>
      </c>
      <c r="CZ46" s="2790">
        <f t="shared" ca="1" si="119"/>
        <v>0</v>
      </c>
      <c r="DA46" s="2790">
        <f t="shared" ca="1" si="119"/>
        <v>0</v>
      </c>
      <c r="DB46" s="2790">
        <f t="shared" ca="1" si="119"/>
        <v>0</v>
      </c>
      <c r="DC46" s="2790">
        <f t="shared" ca="1" si="119"/>
        <v>0</v>
      </c>
      <c r="DD46" s="2790">
        <f t="shared" ca="1" si="119"/>
        <v>0</v>
      </c>
      <c r="DE46" s="2790">
        <f t="shared" ca="1" si="119"/>
        <v>0</v>
      </c>
      <c r="DF46" s="2790">
        <f t="shared" ca="1" si="119"/>
        <v>0</v>
      </c>
      <c r="DH46" s="596">
        <f t="shared" ref="DH46:DH82" ca="1" si="120">SUM(BO46:DF46)</f>
        <v>1.8772353556116808E-3</v>
      </c>
    </row>
    <row r="47" spans="1:112" s="6" customFormat="1" outlineLevel="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20"/>
        <v>0</v>
      </c>
    </row>
    <row r="48" spans="1:112" s="6" customFormat="1" outlineLevel="1">
      <c r="A48" s="607"/>
      <c r="B48" s="607"/>
      <c r="C48" s="587" t="s">
        <v>506</v>
      </c>
      <c r="D48" s="588" t="s">
        <v>507</v>
      </c>
      <c r="E48" s="588"/>
      <c r="G48" s="589">
        <f t="shared" ref="G48:P49" ca="1" si="121">IFERROR(INDEX(INDIRECT($C48&amp;".Outputs["&amp;this.Year&amp;"]"), MATCH(G$5, INDIRECT($C48&amp;".Outputs[Vector]"), 0)), 0)</f>
        <v>0</v>
      </c>
      <c r="H48" s="589">
        <f t="shared" ca="1" si="121"/>
        <v>0</v>
      </c>
      <c r="I48" s="589">
        <f t="shared" ca="1" si="121"/>
        <v>0</v>
      </c>
      <c r="J48" s="589">
        <f t="shared" ca="1" si="121"/>
        <v>0</v>
      </c>
      <c r="K48" s="589">
        <f t="shared" ca="1" si="121"/>
        <v>0</v>
      </c>
      <c r="L48" s="589">
        <f t="shared" ca="1" si="121"/>
        <v>0</v>
      </c>
      <c r="M48" s="589">
        <f t="shared" ca="1" si="121"/>
        <v>0</v>
      </c>
      <c r="N48" s="589">
        <f t="shared" ca="1" si="121"/>
        <v>0</v>
      </c>
      <c r="O48" s="589">
        <f t="shared" ca="1" si="121"/>
        <v>0</v>
      </c>
      <c r="P48" s="589">
        <f t="shared" ca="1" si="121"/>
        <v>0</v>
      </c>
      <c r="Q48" s="590">
        <f ca="1">SUM(G48:P48)</f>
        <v>0</v>
      </c>
      <c r="S48" s="591">
        <f t="shared" ref="S48:AJ49" ca="1" si="122">IFERROR(INDEX(INDIRECT($C48&amp;".Outputs["&amp;this.Year&amp;"]"), MATCH(S$5, INDIRECT($C48&amp;".Outputs[Vector]"), 0)), 0)</f>
        <v>0</v>
      </c>
      <c r="T48" s="591">
        <f t="shared" ca="1" si="122"/>
        <v>0</v>
      </c>
      <c r="U48" s="591">
        <f t="shared" ca="1" si="122"/>
        <v>0</v>
      </c>
      <c r="V48" s="591">
        <f t="shared" ca="1" si="122"/>
        <v>0</v>
      </c>
      <c r="W48" s="591">
        <f t="shared" ca="1" si="122"/>
        <v>0</v>
      </c>
      <c r="X48" s="591">
        <f t="shared" ref="X48:Z50" ca="1" si="123">IFERROR(INDEX(INDIRECT($C48&amp;".Outputs["&amp;this.Year&amp;"]"), MATCH(X$5, INDIRECT($C48&amp;".Outputs[Vector]"), 0)), 0)</f>
        <v>0</v>
      </c>
      <c r="Y48" s="591">
        <f t="shared" ca="1" si="123"/>
        <v>0</v>
      </c>
      <c r="Z48" s="591">
        <f t="shared" ca="1" si="123"/>
        <v>0</v>
      </c>
      <c r="AA48" s="591">
        <f t="shared" ca="1" si="122"/>
        <v>0</v>
      </c>
      <c r="AB48" s="591">
        <f t="shared" ca="1" si="122"/>
        <v>0</v>
      </c>
      <c r="AC48" s="591">
        <f t="shared" ca="1" si="122"/>
        <v>0</v>
      </c>
      <c r="AD48" s="591">
        <f t="shared" ca="1" si="122"/>
        <v>0</v>
      </c>
      <c r="AE48" s="591">
        <f t="shared" ca="1" si="122"/>
        <v>0</v>
      </c>
      <c r="AF48" s="591">
        <f t="shared" ca="1" si="122"/>
        <v>0</v>
      </c>
      <c r="AG48" s="591">
        <f t="shared" ca="1" si="122"/>
        <v>3.1111111111111116</v>
      </c>
      <c r="AH48" s="591">
        <f t="shared" ca="1" si="122"/>
        <v>0</v>
      </c>
      <c r="AI48" s="591">
        <f t="shared" ca="1" si="122"/>
        <v>0</v>
      </c>
      <c r="AJ48" s="591">
        <f t="shared" ca="1" si="122"/>
        <v>0</v>
      </c>
      <c r="AK48" s="592">
        <f ca="1">SUM(S48:AJ48)</f>
        <v>3.1111111111111116</v>
      </c>
      <c r="AM48" s="593">
        <f t="shared" ref="AM48:AU50" ca="1" si="124">IFERROR(INDEX(INDIRECT($C48&amp;".Outputs["&amp;this.Year&amp;"]"), MATCH(AM$5, INDIRECT($C48&amp;".Outputs[Vector]"), 0)), 0)</f>
        <v>0</v>
      </c>
      <c r="AN48" s="593">
        <f t="shared" ca="1" si="124"/>
        <v>0</v>
      </c>
      <c r="AO48" s="593">
        <f t="shared" ca="1" si="124"/>
        <v>0</v>
      </c>
      <c r="AP48" s="593">
        <f t="shared" ca="1" si="124"/>
        <v>0</v>
      </c>
      <c r="AQ48" s="593">
        <f t="shared" ca="1" si="124"/>
        <v>0</v>
      </c>
      <c r="AR48" s="593">
        <f t="shared" ca="1" si="124"/>
        <v>0</v>
      </c>
      <c r="AS48" s="593">
        <f t="shared" ca="1" si="124"/>
        <v>0</v>
      </c>
      <c r="AT48" s="593">
        <f t="shared" ca="1" si="124"/>
        <v>0</v>
      </c>
      <c r="AU48" s="593">
        <f t="shared" ca="1" si="124"/>
        <v>0</v>
      </c>
      <c r="AV48" s="593">
        <f t="shared" ref="AV48:BE49" ca="1" si="125">IFERROR(INDEX(INDIRECT($C48&amp;".Outputs["&amp;this.Year&amp;"]"), MATCH(AV$5, INDIRECT($C48&amp;".Outputs[Vector]"), 0)), 0)</f>
        <v>0</v>
      </c>
      <c r="AW48" s="593">
        <f t="shared" ca="1" si="125"/>
        <v>0</v>
      </c>
      <c r="AX48" s="593">
        <f t="shared" ca="1" si="125"/>
        <v>0</v>
      </c>
      <c r="AY48" s="593">
        <f t="shared" ca="1" si="125"/>
        <v>0</v>
      </c>
      <c r="AZ48" s="593">
        <f t="shared" ca="1" si="125"/>
        <v>0</v>
      </c>
      <c r="BA48" s="593">
        <f t="shared" ca="1" si="125"/>
        <v>0</v>
      </c>
      <c r="BB48" s="593">
        <f t="shared" ca="1" si="125"/>
        <v>0</v>
      </c>
      <c r="BC48" s="593">
        <f t="shared" ca="1" si="125"/>
        <v>0</v>
      </c>
      <c r="BD48" s="593">
        <f t="shared" ca="1" si="125"/>
        <v>-3.1111111111111116</v>
      </c>
      <c r="BE48" s="593">
        <f t="shared" ca="1" si="125"/>
        <v>0</v>
      </c>
      <c r="BF48" s="609">
        <f ca="1">SUM(AM48:BE48)</f>
        <v>-3.1111111111111116</v>
      </c>
      <c r="BH48" s="3471">
        <f t="shared" ref="BH48:BI50" ca="1" si="126">IFERROR(INDEX(INDIRECT($C48&amp;".Outputs["&amp;this.Year&amp;"]"), MATCH(BH$5, INDIRECT($C48&amp;".Outputs[Vector]"), 0)), 0)</f>
        <v>0</v>
      </c>
      <c r="BI48" s="3471">
        <f t="shared" ca="1" si="126"/>
        <v>0</v>
      </c>
      <c r="BJ48" s="3460">
        <f ca="1">SUM(BH48:BI48)</f>
        <v>0</v>
      </c>
      <c r="BL48" s="610"/>
      <c r="BM48" s="610"/>
      <c r="BN48" s="413"/>
      <c r="BO48" s="2789">
        <f t="shared" ref="BO48:BX50" ca="1" si="127">IFERROR(SUMIFS(INDIRECT($C48&amp;".Emissions["&amp;this.Year&amp;"]"), INDIRECT($C48&amp;".Emissions[GHG]"), BO$6, INDIRECT($C48&amp;".Emissions[IPCC Sector]"), BO$5),0)</f>
        <v>0</v>
      </c>
      <c r="BP48" s="2790">
        <f t="shared" ca="1" si="127"/>
        <v>0</v>
      </c>
      <c r="BQ48" s="2790">
        <f t="shared" ca="1" si="127"/>
        <v>0</v>
      </c>
      <c r="BR48" s="2790">
        <f t="shared" ca="1" si="127"/>
        <v>0</v>
      </c>
      <c r="BS48" s="2790">
        <f t="shared" ca="1" si="127"/>
        <v>0</v>
      </c>
      <c r="BT48" s="2790">
        <f t="shared" ca="1" si="127"/>
        <v>0</v>
      </c>
      <c r="BU48" s="2790">
        <f t="shared" ca="1" si="127"/>
        <v>0</v>
      </c>
      <c r="BV48" s="2790">
        <f t="shared" ca="1" si="127"/>
        <v>0</v>
      </c>
      <c r="BW48" s="2790">
        <f t="shared" ca="1" si="127"/>
        <v>0</v>
      </c>
      <c r="BX48" s="2790">
        <f t="shared" ca="1" si="127"/>
        <v>0</v>
      </c>
      <c r="BY48" s="2790">
        <f t="shared" ref="BY48:CH50" ca="1" si="128">IFERROR(SUMIFS(INDIRECT($C48&amp;".Emissions["&amp;this.Year&amp;"]"), INDIRECT($C48&amp;".Emissions[GHG]"), BY$6, INDIRECT($C48&amp;".Emissions[IPCC Sector]"), BY$5),0)</f>
        <v>0</v>
      </c>
      <c r="BZ48" s="2790">
        <f t="shared" ca="1" si="128"/>
        <v>0</v>
      </c>
      <c r="CA48" s="2790">
        <f t="shared" ca="1" si="128"/>
        <v>0</v>
      </c>
      <c r="CB48" s="2790">
        <f t="shared" ca="1" si="128"/>
        <v>0</v>
      </c>
      <c r="CC48" s="2790">
        <f t="shared" ca="1" si="128"/>
        <v>0</v>
      </c>
      <c r="CD48" s="2790">
        <f t="shared" ca="1" si="128"/>
        <v>0</v>
      </c>
      <c r="CE48" s="2790">
        <f t="shared" ca="1" si="128"/>
        <v>0</v>
      </c>
      <c r="CF48" s="2790">
        <f t="shared" ca="1" si="128"/>
        <v>0</v>
      </c>
      <c r="CG48" s="2790">
        <f t="shared" ca="1" si="128"/>
        <v>0</v>
      </c>
      <c r="CH48" s="2790">
        <f t="shared" ca="1" si="128"/>
        <v>0</v>
      </c>
      <c r="CI48" s="2790">
        <f t="shared" ref="CI48:CR50" ca="1" si="129">IFERROR(SUMIFS(INDIRECT($C48&amp;".Emissions["&amp;this.Year&amp;"]"), INDIRECT($C48&amp;".Emissions[GHG]"), CI$6, INDIRECT($C48&amp;".Emissions[IPCC Sector]"), CI$5),0)</f>
        <v>0</v>
      </c>
      <c r="CJ48" s="2790">
        <f t="shared" ca="1" si="129"/>
        <v>0</v>
      </c>
      <c r="CK48" s="2790">
        <f t="shared" ca="1" si="129"/>
        <v>0</v>
      </c>
      <c r="CL48" s="2790">
        <f t="shared" ca="1" si="129"/>
        <v>0</v>
      </c>
      <c r="CM48" s="2790">
        <f t="shared" ca="1" si="129"/>
        <v>0</v>
      </c>
      <c r="CN48" s="2790">
        <f t="shared" ca="1" si="129"/>
        <v>0</v>
      </c>
      <c r="CO48" s="2790">
        <f t="shared" ca="1" si="129"/>
        <v>0</v>
      </c>
      <c r="CP48" s="2790">
        <f t="shared" ca="1" si="129"/>
        <v>0</v>
      </c>
      <c r="CQ48" s="2790">
        <f t="shared" ca="1" si="129"/>
        <v>0</v>
      </c>
      <c r="CR48" s="2790">
        <f t="shared" ca="1" si="129"/>
        <v>0</v>
      </c>
      <c r="CS48" s="2790">
        <f t="shared" ref="CS48:DF50" ca="1" si="130">IFERROR(SUMIFS(INDIRECT($C48&amp;".Emissions["&amp;this.Year&amp;"]"), INDIRECT($C48&amp;".Emissions[GHG]"), CS$6, INDIRECT($C48&amp;".Emissions[IPCC Sector]"), CS$5),0)</f>
        <v>0</v>
      </c>
      <c r="CT48" s="2790">
        <f t="shared" ca="1" si="130"/>
        <v>0</v>
      </c>
      <c r="CU48" s="2790">
        <f t="shared" ca="1" si="130"/>
        <v>0</v>
      </c>
      <c r="CV48" s="2790">
        <f t="shared" ca="1" si="130"/>
        <v>0</v>
      </c>
      <c r="CW48" s="2790">
        <f t="shared" ca="1" si="130"/>
        <v>0</v>
      </c>
      <c r="CX48" s="2790">
        <f t="shared" ca="1" si="130"/>
        <v>0</v>
      </c>
      <c r="CY48" s="2790">
        <f t="shared" ca="1" si="130"/>
        <v>0</v>
      </c>
      <c r="CZ48" s="2790">
        <f t="shared" ca="1" si="130"/>
        <v>0</v>
      </c>
      <c r="DA48" s="2790">
        <f t="shared" ca="1" si="130"/>
        <v>0</v>
      </c>
      <c r="DB48" s="2790">
        <f t="shared" ca="1" si="130"/>
        <v>0</v>
      </c>
      <c r="DC48" s="2790">
        <f t="shared" ca="1" si="130"/>
        <v>0</v>
      </c>
      <c r="DD48" s="2790">
        <f t="shared" ca="1" si="130"/>
        <v>0</v>
      </c>
      <c r="DE48" s="2790">
        <f t="shared" ca="1" si="130"/>
        <v>0</v>
      </c>
      <c r="DF48" s="2790">
        <f t="shared" ca="1" si="130"/>
        <v>0</v>
      </c>
      <c r="DH48" s="596">
        <f ca="1">SUM(BO48:DF48)</f>
        <v>0</v>
      </c>
    </row>
    <row r="49" spans="1:112" s="6" customFormat="1" outlineLevel="1">
      <c r="A49" s="607"/>
      <c r="B49" s="607"/>
      <c r="C49" s="587" t="s">
        <v>508</v>
      </c>
      <c r="D49" s="588" t="s">
        <v>509</v>
      </c>
      <c r="E49" s="588"/>
      <c r="G49" s="589">
        <f t="shared" ca="1" si="121"/>
        <v>0</v>
      </c>
      <c r="H49" s="589">
        <f t="shared" ca="1" si="121"/>
        <v>0</v>
      </c>
      <c r="I49" s="589">
        <f t="shared" ca="1" si="121"/>
        <v>0</v>
      </c>
      <c r="J49" s="589">
        <f t="shared" ca="1" si="121"/>
        <v>0</v>
      </c>
      <c r="K49" s="589">
        <f t="shared" ca="1" si="121"/>
        <v>0</v>
      </c>
      <c r="L49" s="589">
        <f t="shared" ca="1" si="121"/>
        <v>0</v>
      </c>
      <c r="M49" s="589">
        <f t="shared" ca="1" si="121"/>
        <v>0</v>
      </c>
      <c r="N49" s="589">
        <f t="shared" ca="1" si="121"/>
        <v>0</v>
      </c>
      <c r="O49" s="589">
        <f t="shared" ca="1" si="121"/>
        <v>0</v>
      </c>
      <c r="P49" s="589">
        <f t="shared" ca="1" si="121"/>
        <v>0</v>
      </c>
      <c r="Q49" s="590">
        <f ca="1">SUM(G49:P49)</f>
        <v>0</v>
      </c>
      <c r="S49" s="591">
        <f t="shared" ca="1" si="122"/>
        <v>0</v>
      </c>
      <c r="T49" s="591">
        <f t="shared" ca="1" si="122"/>
        <v>0</v>
      </c>
      <c r="U49" s="591">
        <f t="shared" ca="1" si="122"/>
        <v>0</v>
      </c>
      <c r="V49" s="591">
        <f t="shared" ca="1" si="122"/>
        <v>0</v>
      </c>
      <c r="W49" s="591">
        <f t="shared" ca="1" si="122"/>
        <v>0</v>
      </c>
      <c r="X49" s="591">
        <f t="shared" ca="1" si="123"/>
        <v>0.22533488167895965</v>
      </c>
      <c r="Y49" s="591">
        <f t="shared" ca="1" si="123"/>
        <v>0</v>
      </c>
      <c r="Z49" s="591">
        <f t="shared" ca="1" si="123"/>
        <v>0</v>
      </c>
      <c r="AA49" s="591">
        <f t="shared" ca="1" si="122"/>
        <v>0</v>
      </c>
      <c r="AB49" s="591">
        <f t="shared" ca="1" si="122"/>
        <v>0</v>
      </c>
      <c r="AC49" s="591">
        <f t="shared" ca="1" si="122"/>
        <v>0</v>
      </c>
      <c r="AD49" s="591">
        <f t="shared" ca="1" si="122"/>
        <v>0</v>
      </c>
      <c r="AE49" s="591">
        <f t="shared" ca="1" si="122"/>
        <v>0</v>
      </c>
      <c r="AF49" s="591">
        <f t="shared" ca="1" si="122"/>
        <v>0.41849481104362085</v>
      </c>
      <c r="AG49" s="591">
        <f t="shared" ca="1" si="122"/>
        <v>0.15230992186910158</v>
      </c>
      <c r="AH49" s="591">
        <f t="shared" ca="1" si="122"/>
        <v>0.16174046741956455</v>
      </c>
      <c r="AI49" s="591">
        <f t="shared" ca="1" si="122"/>
        <v>0</v>
      </c>
      <c r="AJ49" s="591">
        <f t="shared" ca="1" si="122"/>
        <v>0</v>
      </c>
      <c r="AK49" s="592">
        <f ca="1">SUM(S49:AJ49)</f>
        <v>0.95788008201124675</v>
      </c>
      <c r="AM49" s="593">
        <f t="shared" ca="1" si="124"/>
        <v>0</v>
      </c>
      <c r="AN49" s="593">
        <f t="shared" ca="1" si="124"/>
        <v>0</v>
      </c>
      <c r="AO49" s="593">
        <f t="shared" ca="1" si="124"/>
        <v>0</v>
      </c>
      <c r="AP49" s="593">
        <f t="shared" ca="1" si="124"/>
        <v>0</v>
      </c>
      <c r="AQ49" s="593">
        <f t="shared" ca="1" si="124"/>
        <v>0</v>
      </c>
      <c r="AR49" s="593">
        <f t="shared" ca="1" si="124"/>
        <v>0</v>
      </c>
      <c r="AS49" s="593">
        <f t="shared" ca="1" si="124"/>
        <v>0</v>
      </c>
      <c r="AT49" s="593">
        <f t="shared" ca="1" si="124"/>
        <v>0</v>
      </c>
      <c r="AU49" s="593">
        <f t="shared" ca="1" si="124"/>
        <v>0</v>
      </c>
      <c r="AV49" s="593">
        <f t="shared" ca="1" si="125"/>
        <v>0</v>
      </c>
      <c r="AW49" s="593">
        <f t="shared" ca="1" si="125"/>
        <v>0</v>
      </c>
      <c r="AX49" s="593">
        <f t="shared" ca="1" si="125"/>
        <v>0</v>
      </c>
      <c r="AY49" s="593">
        <f t="shared" ca="1" si="125"/>
        <v>0</v>
      </c>
      <c r="AZ49" s="593">
        <f t="shared" ca="1" si="125"/>
        <v>0</v>
      </c>
      <c r="BA49" s="593">
        <f t="shared" ca="1" si="125"/>
        <v>0</v>
      </c>
      <c r="BB49" s="593">
        <f t="shared" ca="1" si="125"/>
        <v>0</v>
      </c>
      <c r="BC49" s="593">
        <f t="shared" ca="1" si="125"/>
        <v>0</v>
      </c>
      <c r="BD49" s="593">
        <f t="shared" ca="1" si="125"/>
        <v>0</v>
      </c>
      <c r="BE49" s="593">
        <f t="shared" ca="1" si="125"/>
        <v>-0.95788008201124664</v>
      </c>
      <c r="BF49" s="609">
        <f ca="1">SUM(AM49:BE49)</f>
        <v>-0.95788008201124664</v>
      </c>
      <c r="BH49" s="3471">
        <f t="shared" ca="1" si="126"/>
        <v>0</v>
      </c>
      <c r="BI49" s="3471">
        <f t="shared" ca="1" si="126"/>
        <v>0</v>
      </c>
      <c r="BJ49" s="3460">
        <f ca="1">SUM(BH49:BI49)</f>
        <v>0</v>
      </c>
      <c r="BL49" s="610"/>
      <c r="BM49" s="610"/>
      <c r="BN49" s="413"/>
      <c r="BO49" s="2789">
        <f t="shared" ca="1" si="127"/>
        <v>0</v>
      </c>
      <c r="BP49" s="2790">
        <f t="shared" ca="1" si="127"/>
        <v>0</v>
      </c>
      <c r="BQ49" s="2790">
        <f t="shared" ca="1" si="127"/>
        <v>0</v>
      </c>
      <c r="BR49" s="2790">
        <f t="shared" ca="1" si="127"/>
        <v>0</v>
      </c>
      <c r="BS49" s="2790">
        <f t="shared" ca="1" si="127"/>
        <v>0</v>
      </c>
      <c r="BT49" s="2790">
        <f t="shared" ca="1" si="127"/>
        <v>0</v>
      </c>
      <c r="BU49" s="2790">
        <f t="shared" ca="1" si="127"/>
        <v>0</v>
      </c>
      <c r="BV49" s="2790">
        <f t="shared" ca="1" si="127"/>
        <v>0</v>
      </c>
      <c r="BW49" s="2790">
        <f t="shared" ca="1" si="127"/>
        <v>0</v>
      </c>
      <c r="BX49" s="2790">
        <f t="shared" ca="1" si="127"/>
        <v>0</v>
      </c>
      <c r="BY49" s="2790">
        <f t="shared" ca="1" si="128"/>
        <v>0</v>
      </c>
      <c r="BZ49" s="2790">
        <f t="shared" ca="1" si="128"/>
        <v>0</v>
      </c>
      <c r="CA49" s="2790">
        <f t="shared" ca="1" si="128"/>
        <v>0</v>
      </c>
      <c r="CB49" s="2790">
        <f t="shared" ca="1" si="128"/>
        <v>0</v>
      </c>
      <c r="CC49" s="2790">
        <f t="shared" ca="1" si="128"/>
        <v>0</v>
      </c>
      <c r="CD49" s="2790">
        <f t="shared" ca="1" si="128"/>
        <v>0</v>
      </c>
      <c r="CE49" s="2790">
        <f t="shared" ca="1" si="128"/>
        <v>0</v>
      </c>
      <c r="CF49" s="2790">
        <f t="shared" ca="1" si="128"/>
        <v>0</v>
      </c>
      <c r="CG49" s="2790">
        <f t="shared" ca="1" si="128"/>
        <v>0</v>
      </c>
      <c r="CH49" s="2790">
        <f t="shared" ca="1" si="128"/>
        <v>0</v>
      </c>
      <c r="CI49" s="2790">
        <f t="shared" ca="1" si="129"/>
        <v>0</v>
      </c>
      <c r="CJ49" s="2790">
        <f t="shared" ca="1" si="129"/>
        <v>0</v>
      </c>
      <c r="CK49" s="2790">
        <f t="shared" ca="1" si="129"/>
        <v>0</v>
      </c>
      <c r="CL49" s="2790">
        <f t="shared" ca="1" si="129"/>
        <v>0</v>
      </c>
      <c r="CM49" s="2790">
        <f t="shared" ca="1" si="129"/>
        <v>0</v>
      </c>
      <c r="CN49" s="2790">
        <f t="shared" ca="1" si="129"/>
        <v>0.47993362364877479</v>
      </c>
      <c r="CO49" s="2790">
        <f t="shared" ca="1" si="129"/>
        <v>5.9899473214285702E-2</v>
      </c>
      <c r="CP49" s="2790">
        <f t="shared" ca="1" si="129"/>
        <v>0</v>
      </c>
      <c r="CQ49" s="2790">
        <f t="shared" ca="1" si="129"/>
        <v>0</v>
      </c>
      <c r="CR49" s="2790">
        <f t="shared" ca="1" si="129"/>
        <v>0</v>
      </c>
      <c r="CS49" s="2790">
        <f t="shared" ca="1" si="130"/>
        <v>0</v>
      </c>
      <c r="CT49" s="2790">
        <f t="shared" ca="1" si="130"/>
        <v>0</v>
      </c>
      <c r="CU49" s="2790">
        <f t="shared" ca="1" si="130"/>
        <v>0</v>
      </c>
      <c r="CV49" s="2790">
        <f t="shared" ca="1" si="130"/>
        <v>0</v>
      </c>
      <c r="CW49" s="2790">
        <f t="shared" ca="1" si="130"/>
        <v>0</v>
      </c>
      <c r="CX49" s="2790">
        <f t="shared" ca="1" si="130"/>
        <v>0</v>
      </c>
      <c r="CY49" s="2790">
        <f t="shared" ca="1" si="130"/>
        <v>0</v>
      </c>
      <c r="CZ49" s="2790">
        <f t="shared" ca="1" si="130"/>
        <v>0</v>
      </c>
      <c r="DA49" s="2790">
        <f t="shared" ca="1" si="130"/>
        <v>0</v>
      </c>
      <c r="DB49" s="2790">
        <f t="shared" ca="1" si="130"/>
        <v>0</v>
      </c>
      <c r="DC49" s="2790">
        <f t="shared" ca="1" si="130"/>
        <v>0</v>
      </c>
      <c r="DD49" s="2790">
        <f t="shared" ca="1" si="130"/>
        <v>0</v>
      </c>
      <c r="DE49" s="2790">
        <f t="shared" ca="1" si="130"/>
        <v>0</v>
      </c>
      <c r="DF49" s="2790">
        <f t="shared" ca="1" si="130"/>
        <v>0</v>
      </c>
      <c r="DH49" s="596">
        <f t="shared" ca="1" si="120"/>
        <v>0.53983309686306047</v>
      </c>
    </row>
    <row r="50" spans="1:112" s="6" customFormat="1" ht="12.75" customHeight="1" outlineLevel="1">
      <c r="A50" s="607"/>
      <c r="B50" s="607"/>
      <c r="C50" s="587" t="s">
        <v>510</v>
      </c>
      <c r="D50" s="611" t="s">
        <v>511</v>
      </c>
      <c r="E50" s="611"/>
      <c r="G50" s="619">
        <f t="shared" ref="G50:P50" ca="1" si="131">IFERROR(INDEX(INDIRECT($C50&amp;".Outputs["&amp;this.Year&amp;"]"), MATCH(G$5, INDIRECT($C50&amp;".Outputs[Vector]"), 0)), 0)</f>
        <v>0</v>
      </c>
      <c r="H50" s="619">
        <f t="shared" ca="1" si="131"/>
        <v>0</v>
      </c>
      <c r="I50" s="619">
        <f t="shared" ca="1" si="131"/>
        <v>2.7520040255004306</v>
      </c>
      <c r="J50" s="619">
        <f t="shared" ca="1" si="131"/>
        <v>0</v>
      </c>
      <c r="K50" s="619">
        <f t="shared" ca="1" si="131"/>
        <v>0</v>
      </c>
      <c r="L50" s="619">
        <f t="shared" ca="1" si="131"/>
        <v>0</v>
      </c>
      <c r="M50" s="619">
        <f t="shared" ca="1" si="131"/>
        <v>0</v>
      </c>
      <c r="N50" s="619">
        <f t="shared" ca="1" si="131"/>
        <v>0</v>
      </c>
      <c r="O50" s="619">
        <f t="shared" ca="1" si="131"/>
        <v>0</v>
      </c>
      <c r="P50" s="619">
        <f t="shared" ca="1" si="131"/>
        <v>0</v>
      </c>
      <c r="Q50" s="612">
        <f ca="1">SUM(G50:P50)</f>
        <v>2.7520040255004306</v>
      </c>
      <c r="S50" s="620">
        <f t="shared" ref="S50:AJ50" ca="1" si="132">IFERROR(INDEX(INDIRECT($C50&amp;".Outputs["&amp;this.Year&amp;"]"), MATCH(S$5, INDIRECT($C50&amp;".Outputs[Vector]"), 0)), 0)</f>
        <v>-0.57792084535509036</v>
      </c>
      <c r="T50" s="620">
        <f t="shared" ca="1" si="132"/>
        <v>0</v>
      </c>
      <c r="U50" s="620">
        <f t="shared" ca="1" si="132"/>
        <v>0</v>
      </c>
      <c r="V50" s="620">
        <f t="shared" ca="1" si="132"/>
        <v>-2.1740831801453404</v>
      </c>
      <c r="W50" s="620">
        <f t="shared" ca="1" si="132"/>
        <v>0</v>
      </c>
      <c r="X50" s="620">
        <f t="shared" ca="1" si="123"/>
        <v>0</v>
      </c>
      <c r="Y50" s="620">
        <f t="shared" ca="1" si="123"/>
        <v>0</v>
      </c>
      <c r="Z50" s="620">
        <f t="shared" ca="1" si="123"/>
        <v>0</v>
      </c>
      <c r="AA50" s="620">
        <f t="shared" ca="1" si="132"/>
        <v>0</v>
      </c>
      <c r="AB50" s="620">
        <f t="shared" ca="1" si="132"/>
        <v>0</v>
      </c>
      <c r="AC50" s="620">
        <f t="shared" ca="1" si="132"/>
        <v>0</v>
      </c>
      <c r="AD50" s="620">
        <f t="shared" ca="1" si="132"/>
        <v>40.989276385826031</v>
      </c>
      <c r="AE50" s="620">
        <f t="shared" ca="1" si="132"/>
        <v>0.60681631464215224</v>
      </c>
      <c r="AF50" s="620">
        <f t="shared" ca="1" si="132"/>
        <v>14.463361112729897</v>
      </c>
      <c r="AG50" s="620">
        <f t="shared" ca="1" si="132"/>
        <v>8.595447980915937</v>
      </c>
      <c r="AH50" s="620">
        <f t="shared" ca="1" si="132"/>
        <v>0</v>
      </c>
      <c r="AI50" s="620">
        <f t="shared" ca="1" si="132"/>
        <v>0</v>
      </c>
      <c r="AJ50" s="620">
        <f t="shared" ca="1" si="132"/>
        <v>0</v>
      </c>
      <c r="AK50" s="613">
        <f ca="1">SUM(S50:AJ50)</f>
        <v>61.902897768613585</v>
      </c>
      <c r="AM50" s="621">
        <f t="shared" ca="1" si="124"/>
        <v>0</v>
      </c>
      <c r="AN50" s="621">
        <f t="shared" ca="1" si="124"/>
        <v>0</v>
      </c>
      <c r="AO50" s="621">
        <f t="shared" ca="1" si="124"/>
        <v>0</v>
      </c>
      <c r="AP50" s="621">
        <f t="shared" ca="1" si="124"/>
        <v>0</v>
      </c>
      <c r="AQ50" s="621">
        <f t="shared" ca="1" si="124"/>
        <v>0</v>
      </c>
      <c r="AR50" s="621">
        <f t="shared" ca="1" si="124"/>
        <v>0</v>
      </c>
      <c r="AS50" s="621">
        <f t="shared" ca="1" si="124"/>
        <v>0</v>
      </c>
      <c r="AT50" s="621">
        <f t="shared" ca="1" si="124"/>
        <v>0</v>
      </c>
      <c r="AU50" s="621">
        <f t="shared" ca="1" si="124"/>
        <v>0</v>
      </c>
      <c r="AV50" s="621">
        <f t="shared" ref="AV50:BE50" ca="1" si="133">IFERROR(INDEX(INDIRECT($C50&amp;".Outputs["&amp;this.Year&amp;"]"), MATCH(AV$5, INDIRECT($C50&amp;".Outputs[Vector]"), 0)), 0)</f>
        <v>0</v>
      </c>
      <c r="AW50" s="621">
        <f t="shared" ca="1" si="133"/>
        <v>0</v>
      </c>
      <c r="AX50" s="621">
        <f t="shared" ca="1" si="133"/>
        <v>0</v>
      </c>
      <c r="AY50" s="621">
        <f t="shared" ca="1" si="133"/>
        <v>0</v>
      </c>
      <c r="AZ50" s="621">
        <f t="shared" ca="1" si="133"/>
        <v>0</v>
      </c>
      <c r="BA50" s="621">
        <f t="shared" ca="1" si="133"/>
        <v>0</v>
      </c>
      <c r="BB50" s="621">
        <f t="shared" ca="1" si="133"/>
        <v>0</v>
      </c>
      <c r="BC50" s="621">
        <f t="shared" ca="1" si="133"/>
        <v>0</v>
      </c>
      <c r="BD50" s="621">
        <f t="shared" ca="1" si="133"/>
        <v>-41.596092700468184</v>
      </c>
      <c r="BE50" s="621">
        <f t="shared" ca="1" si="133"/>
        <v>-23.058809093645834</v>
      </c>
      <c r="BF50" s="615">
        <f ca="1">SUM(AM50:BE50)</f>
        <v>-64.654901794114011</v>
      </c>
      <c r="BH50" s="3473">
        <f t="shared" ca="1" si="126"/>
        <v>0</v>
      </c>
      <c r="BI50" s="3473">
        <f t="shared" ca="1" si="126"/>
        <v>0</v>
      </c>
      <c r="BJ50" s="3462">
        <f ca="1">SUM(BH50:BI50)</f>
        <v>0</v>
      </c>
      <c r="BL50" s="610">
        <f ca="1">Q50+AK50+BF50+BJ50</f>
        <v>0</v>
      </c>
      <c r="BM50" s="610"/>
      <c r="BN50" s="413"/>
      <c r="BO50" s="2791">
        <f t="shared" ca="1" si="127"/>
        <v>0.57369706957675226</v>
      </c>
      <c r="BP50" s="2792">
        <f t="shared" ca="1" si="127"/>
        <v>4.9308206525696318E-4</v>
      </c>
      <c r="BQ50" s="2792">
        <f t="shared" ca="1" si="127"/>
        <v>1.45576609742532E-3</v>
      </c>
      <c r="BR50" s="2792">
        <f t="shared" ca="1" si="127"/>
        <v>0</v>
      </c>
      <c r="BS50" s="2792">
        <f t="shared" ca="1" si="127"/>
        <v>0</v>
      </c>
      <c r="BT50" s="2792">
        <f t="shared" ca="1" si="127"/>
        <v>0</v>
      </c>
      <c r="BU50" s="2792">
        <f t="shared" ca="1" si="127"/>
        <v>0</v>
      </c>
      <c r="BV50" s="2792">
        <f t="shared" ca="1" si="127"/>
        <v>0</v>
      </c>
      <c r="BW50" s="2792">
        <f t="shared" ca="1" si="127"/>
        <v>0</v>
      </c>
      <c r="BX50" s="2792">
        <f t="shared" ca="1" si="127"/>
        <v>0</v>
      </c>
      <c r="BY50" s="2792">
        <f t="shared" ca="1" si="128"/>
        <v>0</v>
      </c>
      <c r="BZ50" s="2792">
        <f t="shared" ca="1" si="128"/>
        <v>0</v>
      </c>
      <c r="CA50" s="2792">
        <f t="shared" ca="1" si="128"/>
        <v>0</v>
      </c>
      <c r="CB50" s="2792">
        <f t="shared" ca="1" si="128"/>
        <v>0</v>
      </c>
      <c r="CC50" s="2792">
        <f t="shared" ca="1" si="128"/>
        <v>0</v>
      </c>
      <c r="CD50" s="2792">
        <f t="shared" ca="1" si="128"/>
        <v>0</v>
      </c>
      <c r="CE50" s="2792">
        <f t="shared" ca="1" si="128"/>
        <v>0</v>
      </c>
      <c r="CF50" s="2792">
        <f t="shared" ca="1" si="128"/>
        <v>8.3480088825510883</v>
      </c>
      <c r="CG50" s="2792">
        <f t="shared" ca="1" si="128"/>
        <v>5.9320998467150101</v>
      </c>
      <c r="CH50" s="2792">
        <f t="shared" ca="1" si="128"/>
        <v>0</v>
      </c>
      <c r="CI50" s="2792">
        <f t="shared" ca="1" si="129"/>
        <v>-1.4653696761441601</v>
      </c>
      <c r="CJ50" s="2792">
        <f t="shared" ca="1" si="129"/>
        <v>0</v>
      </c>
      <c r="CK50" s="2792">
        <f t="shared" ca="1" si="129"/>
        <v>0</v>
      </c>
      <c r="CL50" s="2792">
        <f t="shared" ca="1" si="129"/>
        <v>0</v>
      </c>
      <c r="CM50" s="2792">
        <f t="shared" ca="1" si="129"/>
        <v>0</v>
      </c>
      <c r="CN50" s="2792">
        <f t="shared" ca="1" si="129"/>
        <v>0</v>
      </c>
      <c r="CO50" s="2792">
        <f t="shared" ca="1" si="129"/>
        <v>0</v>
      </c>
      <c r="CP50" s="2792">
        <f t="shared" ca="1" si="129"/>
        <v>0</v>
      </c>
      <c r="CQ50" s="2792">
        <f t="shared" ca="1" si="129"/>
        <v>0</v>
      </c>
      <c r="CR50" s="2792">
        <f t="shared" ca="1" si="129"/>
        <v>0</v>
      </c>
      <c r="CS50" s="2792">
        <f t="shared" ca="1" si="130"/>
        <v>0</v>
      </c>
      <c r="CT50" s="2792">
        <f t="shared" ca="1" si="130"/>
        <v>0</v>
      </c>
      <c r="CU50" s="2792">
        <f t="shared" ca="1" si="130"/>
        <v>0</v>
      </c>
      <c r="CV50" s="2792">
        <f t="shared" ca="1" si="130"/>
        <v>0</v>
      </c>
      <c r="CW50" s="2792">
        <f t="shared" ca="1" si="130"/>
        <v>0</v>
      </c>
      <c r="CX50" s="2792">
        <f t="shared" ca="1" si="130"/>
        <v>0</v>
      </c>
      <c r="CY50" s="2792">
        <f t="shared" ca="1" si="130"/>
        <v>0</v>
      </c>
      <c r="CZ50" s="2792">
        <f t="shared" ca="1" si="130"/>
        <v>0</v>
      </c>
      <c r="DA50" s="2792">
        <f t="shared" ca="1" si="130"/>
        <v>0</v>
      </c>
      <c r="DB50" s="2792">
        <f t="shared" ca="1" si="130"/>
        <v>0</v>
      </c>
      <c r="DC50" s="2792">
        <f t="shared" ca="1" si="130"/>
        <v>0</v>
      </c>
      <c r="DD50" s="2792">
        <f t="shared" ca="1" si="130"/>
        <v>0</v>
      </c>
      <c r="DE50" s="2792">
        <f t="shared" ca="1" si="130"/>
        <v>0</v>
      </c>
      <c r="DF50" s="2792">
        <f t="shared" ca="1" si="130"/>
        <v>0</v>
      </c>
      <c r="DH50" s="596">
        <f t="shared" ca="1" si="120"/>
        <v>13.390384970861373</v>
      </c>
    </row>
    <row r="51" spans="1:112" s="6" customFormat="1" ht="15.75">
      <c r="A51" s="4"/>
      <c r="B51" s="3"/>
      <c r="C51" s="616" t="s">
        <v>512</v>
      </c>
      <c r="D51" s="617" t="s">
        <v>513</v>
      </c>
      <c r="E51" s="206"/>
      <c r="G51" s="618">
        <f ca="1">SUM(G48:G50)</f>
        <v>0</v>
      </c>
      <c r="H51" s="618">
        <f t="shared" ref="H51:P51" ca="1" si="134">SUM(H48:H50)</f>
        <v>0</v>
      </c>
      <c r="I51" s="618">
        <f t="shared" ca="1" si="134"/>
        <v>2.7520040255004306</v>
      </c>
      <c r="J51" s="618">
        <f t="shared" ca="1" si="134"/>
        <v>0</v>
      </c>
      <c r="K51" s="618">
        <f t="shared" ca="1" si="134"/>
        <v>0</v>
      </c>
      <c r="L51" s="618">
        <f t="shared" ca="1" si="134"/>
        <v>0</v>
      </c>
      <c r="M51" s="618">
        <f t="shared" ca="1" si="134"/>
        <v>0</v>
      </c>
      <c r="N51" s="618">
        <f t="shared" ca="1" si="134"/>
        <v>0</v>
      </c>
      <c r="O51" s="618">
        <f t="shared" ca="1" si="134"/>
        <v>0</v>
      </c>
      <c r="P51" s="618">
        <f t="shared" ca="1" si="134"/>
        <v>0</v>
      </c>
      <c r="Q51" s="618">
        <f ca="1">SUM(G51:P51)</f>
        <v>2.7520040255004306</v>
      </c>
      <c r="S51" s="581">
        <f t="shared" ref="S51:AJ51" ca="1" si="135">SUM(S48:S50)</f>
        <v>-0.57792084535509036</v>
      </c>
      <c r="T51" s="581">
        <f t="shared" ca="1" si="135"/>
        <v>0</v>
      </c>
      <c r="U51" s="581">
        <f t="shared" ca="1" si="135"/>
        <v>0</v>
      </c>
      <c r="V51" s="581">
        <f t="shared" ca="1" si="135"/>
        <v>-2.1740831801453404</v>
      </c>
      <c r="W51" s="581">
        <f t="shared" ca="1" si="135"/>
        <v>0</v>
      </c>
      <c r="X51" s="581">
        <f t="shared" ca="1" si="135"/>
        <v>0.22533488167895965</v>
      </c>
      <c r="Y51" s="581">
        <f t="shared" ca="1" si="135"/>
        <v>0</v>
      </c>
      <c r="Z51" s="581">
        <f t="shared" ca="1" si="135"/>
        <v>0</v>
      </c>
      <c r="AA51" s="581">
        <f t="shared" ca="1" si="135"/>
        <v>0</v>
      </c>
      <c r="AB51" s="581">
        <f t="shared" ca="1" si="135"/>
        <v>0</v>
      </c>
      <c r="AC51" s="581">
        <f t="shared" ca="1" si="135"/>
        <v>0</v>
      </c>
      <c r="AD51" s="581">
        <f t="shared" ca="1" si="135"/>
        <v>40.989276385826031</v>
      </c>
      <c r="AE51" s="581">
        <f ca="1">SUM(AE48:AE50)</f>
        <v>0.60681631464215224</v>
      </c>
      <c r="AF51" s="581">
        <f t="shared" ca="1" si="135"/>
        <v>14.881855923773518</v>
      </c>
      <c r="AG51" s="581">
        <f t="shared" ca="1" si="135"/>
        <v>11.85886901389615</v>
      </c>
      <c r="AH51" s="581">
        <f ca="1">SUM(AH48:AH50)</f>
        <v>0.16174046741956455</v>
      </c>
      <c r="AI51" s="581">
        <f t="shared" ca="1" si="135"/>
        <v>0</v>
      </c>
      <c r="AJ51" s="581">
        <f t="shared" ca="1" si="135"/>
        <v>0</v>
      </c>
      <c r="AK51" s="581">
        <f ca="1">SUM(S51:AJ51)</f>
        <v>65.971888961735942</v>
      </c>
      <c r="AM51" s="582">
        <f t="shared" ref="AM51:BE51" ca="1" si="136">SUM(AM48:AM50)</f>
        <v>0</v>
      </c>
      <c r="AN51" s="582">
        <f t="shared" ca="1" si="136"/>
        <v>0</v>
      </c>
      <c r="AO51" s="582">
        <f t="shared" ca="1" si="136"/>
        <v>0</v>
      </c>
      <c r="AP51" s="582">
        <f t="shared" ca="1" si="136"/>
        <v>0</v>
      </c>
      <c r="AQ51" s="582">
        <f t="shared" ca="1" si="136"/>
        <v>0</v>
      </c>
      <c r="AR51" s="582">
        <f t="shared" ca="1" si="136"/>
        <v>0</v>
      </c>
      <c r="AS51" s="582">
        <f t="shared" ca="1" si="136"/>
        <v>0</v>
      </c>
      <c r="AT51" s="582">
        <f t="shared" ca="1" si="136"/>
        <v>0</v>
      </c>
      <c r="AU51" s="582">
        <f t="shared" ca="1" si="136"/>
        <v>0</v>
      </c>
      <c r="AV51" s="582">
        <f t="shared" ca="1" si="136"/>
        <v>0</v>
      </c>
      <c r="AW51" s="582">
        <f t="shared" ca="1" si="136"/>
        <v>0</v>
      </c>
      <c r="AX51" s="582">
        <f t="shared" ca="1" si="136"/>
        <v>0</v>
      </c>
      <c r="AY51" s="582">
        <f t="shared" ca="1" si="136"/>
        <v>0</v>
      </c>
      <c r="AZ51" s="582">
        <f t="shared" ca="1" si="136"/>
        <v>0</v>
      </c>
      <c r="BA51" s="582">
        <f t="shared" ca="1" si="136"/>
        <v>0</v>
      </c>
      <c r="BB51" s="582">
        <f t="shared" ca="1" si="136"/>
        <v>0</v>
      </c>
      <c r="BC51" s="582">
        <f t="shared" ca="1" si="136"/>
        <v>0</v>
      </c>
      <c r="BD51" s="582">
        <f t="shared" ca="1" si="136"/>
        <v>-44.707203811579298</v>
      </c>
      <c r="BE51" s="582">
        <f t="shared" ca="1" si="136"/>
        <v>-24.016689175657081</v>
      </c>
      <c r="BF51" s="582">
        <f ca="1">SUM(AM51:BE51)</f>
        <v>-68.723892987236383</v>
      </c>
      <c r="BH51" s="3463">
        <f ca="1">SUM(BH48:BH50)</f>
        <v>0</v>
      </c>
      <c r="BI51" s="3463">
        <f ca="1">SUM(BI48:BI50)</f>
        <v>0</v>
      </c>
      <c r="BJ51" s="3463">
        <f ca="1">SUM(BH51:BI51)</f>
        <v>0</v>
      </c>
      <c r="BL51" s="3477">
        <f ca="1">Q51+AK51+BF51+BJ51</f>
        <v>-1.4210854715202004E-14</v>
      </c>
      <c r="BM51" s="584"/>
      <c r="BN51" s="413"/>
      <c r="BO51" s="2790">
        <f t="shared" ref="BO51:DF51" ca="1" si="137">SUM(BO48:BO50)</f>
        <v>0.57369706957675226</v>
      </c>
      <c r="BP51" s="2790">
        <f t="shared" ca="1" si="137"/>
        <v>4.9308206525696318E-4</v>
      </c>
      <c r="BQ51" s="2790">
        <f t="shared" ca="1" si="137"/>
        <v>1.45576609742532E-3</v>
      </c>
      <c r="BR51" s="2790">
        <f t="shared" ca="1" si="137"/>
        <v>0</v>
      </c>
      <c r="BS51" s="2790">
        <f t="shared" ca="1" si="137"/>
        <v>0</v>
      </c>
      <c r="BT51" s="2790">
        <f t="shared" ca="1" si="137"/>
        <v>0</v>
      </c>
      <c r="BU51" s="2790">
        <f t="shared" ca="1" si="137"/>
        <v>0</v>
      </c>
      <c r="BV51" s="2790">
        <f t="shared" ca="1" si="137"/>
        <v>0</v>
      </c>
      <c r="BW51" s="2790">
        <f t="shared" ca="1" si="137"/>
        <v>0</v>
      </c>
      <c r="BX51" s="2790">
        <f t="shared" ca="1" si="137"/>
        <v>0</v>
      </c>
      <c r="BY51" s="2790">
        <f t="shared" ca="1" si="137"/>
        <v>0</v>
      </c>
      <c r="BZ51" s="2790">
        <f t="shared" ca="1" si="137"/>
        <v>0</v>
      </c>
      <c r="CA51" s="2790">
        <f t="shared" ca="1" si="137"/>
        <v>0</v>
      </c>
      <c r="CB51" s="2790">
        <f t="shared" ca="1" si="137"/>
        <v>0</v>
      </c>
      <c r="CC51" s="2790">
        <f t="shared" ca="1" si="137"/>
        <v>0</v>
      </c>
      <c r="CD51" s="2790">
        <f t="shared" ca="1" si="137"/>
        <v>0</v>
      </c>
      <c r="CE51" s="2790">
        <f t="shared" ca="1" si="137"/>
        <v>0</v>
      </c>
      <c r="CF51" s="2790">
        <f t="shared" ca="1" si="137"/>
        <v>8.3480088825510883</v>
      </c>
      <c r="CG51" s="2790">
        <f t="shared" ca="1" si="137"/>
        <v>5.9320998467150101</v>
      </c>
      <c r="CH51" s="2790">
        <f t="shared" ca="1" si="137"/>
        <v>0</v>
      </c>
      <c r="CI51" s="2790">
        <f t="shared" ca="1" si="137"/>
        <v>-1.4653696761441601</v>
      </c>
      <c r="CJ51" s="2790">
        <f t="shared" ca="1" si="137"/>
        <v>0</v>
      </c>
      <c r="CK51" s="2790">
        <f t="shared" ca="1" si="137"/>
        <v>0</v>
      </c>
      <c r="CL51" s="2790">
        <f t="shared" ca="1" si="137"/>
        <v>0</v>
      </c>
      <c r="CM51" s="2790">
        <f t="shared" ca="1" si="137"/>
        <v>0</v>
      </c>
      <c r="CN51" s="2790">
        <f t="shared" ca="1" si="137"/>
        <v>0.47993362364877479</v>
      </c>
      <c r="CO51" s="2790">
        <f t="shared" ca="1" si="137"/>
        <v>5.9899473214285702E-2</v>
      </c>
      <c r="CP51" s="2790">
        <f t="shared" ca="1" si="137"/>
        <v>0</v>
      </c>
      <c r="CQ51" s="2790">
        <f t="shared" ca="1" si="137"/>
        <v>0</v>
      </c>
      <c r="CR51" s="2790">
        <f t="shared" ca="1" si="137"/>
        <v>0</v>
      </c>
      <c r="CS51" s="2790">
        <f t="shared" ca="1" si="137"/>
        <v>0</v>
      </c>
      <c r="CT51" s="2790">
        <f t="shared" ca="1" si="137"/>
        <v>0</v>
      </c>
      <c r="CU51" s="2790">
        <f t="shared" ca="1" si="137"/>
        <v>0</v>
      </c>
      <c r="CV51" s="2790">
        <f t="shared" ca="1" si="137"/>
        <v>0</v>
      </c>
      <c r="CW51" s="2790">
        <f t="shared" ca="1" si="137"/>
        <v>0</v>
      </c>
      <c r="CX51" s="2790">
        <f t="shared" ca="1" si="137"/>
        <v>0</v>
      </c>
      <c r="CY51" s="2790">
        <f t="shared" ca="1" si="137"/>
        <v>0</v>
      </c>
      <c r="CZ51" s="2790">
        <f t="shared" ca="1" si="137"/>
        <v>0</v>
      </c>
      <c r="DA51" s="2790">
        <f t="shared" ca="1" si="137"/>
        <v>0</v>
      </c>
      <c r="DB51" s="2790">
        <f t="shared" ca="1" si="137"/>
        <v>0</v>
      </c>
      <c r="DC51" s="2790">
        <f t="shared" ca="1" si="137"/>
        <v>0</v>
      </c>
      <c r="DD51" s="2790">
        <f t="shared" ca="1" si="137"/>
        <v>0</v>
      </c>
      <c r="DE51" s="2790">
        <f t="shared" ca="1" si="137"/>
        <v>0</v>
      </c>
      <c r="DF51" s="2790">
        <f t="shared" ca="1" si="137"/>
        <v>0</v>
      </c>
      <c r="DH51" s="596">
        <f t="shared" ca="1" si="120"/>
        <v>13.930218067724432</v>
      </c>
    </row>
    <row r="52" spans="1:112" s="6" customFormat="1" ht="12.75" customHeight="1" outlineLevel="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20"/>
        <v>0</v>
      </c>
    </row>
    <row r="53" spans="1:112" s="6" customFormat="1" outlineLevel="1">
      <c r="A53" s="607"/>
      <c r="B53" s="607"/>
      <c r="C53" s="651" t="s">
        <v>514</v>
      </c>
      <c r="D53" s="588" t="s">
        <v>515</v>
      </c>
      <c r="E53" s="588"/>
      <c r="G53" s="589">
        <f t="shared" ref="G53:P54" ca="1" si="138">IFERROR(INDEX(INDIRECT($C53&amp;".Outputs["&amp;this.Year&amp;"]"), MATCH(G$5, INDIRECT($C53&amp;".Outputs[Vector]"), 0)), 0)</f>
        <v>0</v>
      </c>
      <c r="H53" s="589">
        <f t="shared" ca="1" si="138"/>
        <v>0</v>
      </c>
      <c r="I53" s="589">
        <f t="shared" ca="1" si="138"/>
        <v>0</v>
      </c>
      <c r="J53" s="589">
        <f t="shared" ca="1" si="138"/>
        <v>0</v>
      </c>
      <c r="K53" s="589">
        <f t="shared" ca="1" si="138"/>
        <v>0</v>
      </c>
      <c r="L53" s="589">
        <f t="shared" ca="1" si="138"/>
        <v>0</v>
      </c>
      <c r="M53" s="589">
        <f t="shared" ca="1" si="138"/>
        <v>0</v>
      </c>
      <c r="N53" s="589">
        <f t="shared" ca="1" si="138"/>
        <v>0</v>
      </c>
      <c r="O53" s="589">
        <f t="shared" ca="1" si="138"/>
        <v>0</v>
      </c>
      <c r="P53" s="589">
        <f t="shared" ca="1" si="138"/>
        <v>0</v>
      </c>
      <c r="Q53" s="590">
        <f ca="1">SUM(G53:P53)</f>
        <v>0</v>
      </c>
      <c r="S53" s="591">
        <f t="shared" ref="S53:AJ54" ca="1" si="139">IFERROR(INDEX(INDIRECT($C53&amp;".Outputs["&amp;this.Year&amp;"]"), MATCH(S$5, INDIRECT($C53&amp;".Outputs[Vector]"), 0)), 0)</f>
        <v>-0.22598810482362028</v>
      </c>
      <c r="T53" s="591">
        <f t="shared" ca="1" si="139"/>
        <v>0</v>
      </c>
      <c r="U53" s="591">
        <f t="shared" ca="1" si="139"/>
        <v>0</v>
      </c>
      <c r="V53" s="591">
        <f t="shared" ca="1" si="139"/>
        <v>-1.8522858135888711</v>
      </c>
      <c r="W53" s="591">
        <f t="shared" ca="1" si="139"/>
        <v>-8.2401953248703863E-2</v>
      </c>
      <c r="X53" s="591">
        <f t="shared" ref="X53:Z54" ca="1" si="140">IFERROR(INDEX(INDIRECT($C53&amp;".Outputs["&amp;this.Year&amp;"]"), MATCH(X$5, INDIRECT($C53&amp;".Outputs[Vector]"), 0)), 0)</f>
        <v>0</v>
      </c>
      <c r="Y53" s="591">
        <f t="shared" ca="1" si="140"/>
        <v>0</v>
      </c>
      <c r="Z53" s="591">
        <f t="shared" ca="1" si="140"/>
        <v>0</v>
      </c>
      <c r="AA53" s="591">
        <f t="shared" ca="1" si="139"/>
        <v>0</v>
      </c>
      <c r="AB53" s="591">
        <f t="shared" ca="1" si="139"/>
        <v>-2.6537999724419409E-2</v>
      </c>
      <c r="AC53" s="591">
        <f t="shared" ca="1" si="139"/>
        <v>0</v>
      </c>
      <c r="AD53" s="591">
        <f t="shared" ca="1" si="139"/>
        <v>0</v>
      </c>
      <c r="AE53" s="591">
        <f t="shared" ca="1" si="139"/>
        <v>0</v>
      </c>
      <c r="AF53" s="591">
        <f t="shared" ca="1" si="139"/>
        <v>0</v>
      </c>
      <c r="AG53" s="591">
        <f t="shared" ca="1" si="139"/>
        <v>0</v>
      </c>
      <c r="AH53" s="591">
        <f t="shared" ca="1" si="139"/>
        <v>0</v>
      </c>
      <c r="AI53" s="591">
        <f t="shared" ca="1" si="139"/>
        <v>0</v>
      </c>
      <c r="AJ53" s="591">
        <f t="shared" ca="1" si="139"/>
        <v>0</v>
      </c>
      <c r="AK53" s="592">
        <f ca="1">SUM(S53:AJ53)</f>
        <v>-2.1872138713856146</v>
      </c>
      <c r="AM53" s="593">
        <f t="shared" ref="AM53:AU54" ca="1" si="141">IFERROR(INDEX(INDIRECT($C53&amp;".Outputs["&amp;this.Year&amp;"]"), MATCH(AM$5, INDIRECT($C53&amp;".Outputs[Vector]"), 0)), 0)</f>
        <v>0</v>
      </c>
      <c r="AN53" s="593">
        <f t="shared" ca="1" si="141"/>
        <v>0</v>
      </c>
      <c r="AO53" s="593">
        <f t="shared" ca="1" si="141"/>
        <v>0</v>
      </c>
      <c r="AP53" s="593">
        <f t="shared" ca="1" si="141"/>
        <v>0</v>
      </c>
      <c r="AQ53" s="593">
        <f t="shared" ca="1" si="141"/>
        <v>0</v>
      </c>
      <c r="AR53" s="593">
        <f t="shared" ca="1" si="141"/>
        <v>0</v>
      </c>
      <c r="AS53" s="593">
        <f t="shared" ca="1" si="141"/>
        <v>0</v>
      </c>
      <c r="AT53" s="593">
        <f t="shared" ca="1" si="141"/>
        <v>0</v>
      </c>
      <c r="AU53" s="593">
        <f t="shared" ca="1" si="141"/>
        <v>0</v>
      </c>
      <c r="AV53" s="593">
        <f t="shared" ref="AV53:BE54" ca="1" si="142">IFERROR(INDEX(INDIRECT($C53&amp;".Outputs["&amp;this.Year&amp;"]"), MATCH(AV$5, INDIRECT($C53&amp;".Outputs[Vector]"), 0)), 0)</f>
        <v>0</v>
      </c>
      <c r="AW53" s="593">
        <f t="shared" ca="1" si="142"/>
        <v>0</v>
      </c>
      <c r="AX53" s="593">
        <f t="shared" ca="1" si="142"/>
        <v>0</v>
      </c>
      <c r="AY53" s="593">
        <f t="shared" ca="1" si="142"/>
        <v>0</v>
      </c>
      <c r="AZ53" s="593">
        <f t="shared" ca="1" si="142"/>
        <v>0</v>
      </c>
      <c r="BA53" s="593">
        <f t="shared" ca="1" si="142"/>
        <v>0</v>
      </c>
      <c r="BB53" s="593">
        <f t="shared" ca="1" si="142"/>
        <v>0</v>
      </c>
      <c r="BC53" s="593">
        <f t="shared" ca="1" si="142"/>
        <v>0</v>
      </c>
      <c r="BD53" s="593">
        <f t="shared" ca="1" si="142"/>
        <v>0</v>
      </c>
      <c r="BE53" s="593">
        <f t="shared" ca="1" si="142"/>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43">IFERROR(SUMIFS(INDIRECT($C53&amp;".Emissions["&amp;this.Year&amp;"]"), INDIRECT($C53&amp;".Emissions[GHG]"), BO$6, INDIRECT($C53&amp;".Emissions[IPCC Sector]"), BO$5),0)</f>
        <v>0.50565060724124977</v>
      </c>
      <c r="BP53" s="2790">
        <f t="shared" ca="1" si="143"/>
        <v>4.2632801018755801E-4</v>
      </c>
      <c r="BQ53" s="2790">
        <f t="shared" ca="1" si="143"/>
        <v>1.5069762622732133E-3</v>
      </c>
      <c r="BR53" s="2790">
        <f t="shared" ca="1" si="143"/>
        <v>0</v>
      </c>
      <c r="BS53" s="2790">
        <f t="shared" ca="1" si="143"/>
        <v>0</v>
      </c>
      <c r="BT53" s="2790">
        <f t="shared" ca="1" si="143"/>
        <v>0</v>
      </c>
      <c r="BU53" s="2790">
        <f t="shared" ca="1" si="143"/>
        <v>0</v>
      </c>
      <c r="BV53" s="2790">
        <f t="shared" ca="1" si="143"/>
        <v>0</v>
      </c>
      <c r="BW53" s="2790">
        <f t="shared" ca="1" si="143"/>
        <v>0</v>
      </c>
      <c r="BX53" s="2790">
        <f t="shared" ca="1" si="143"/>
        <v>0</v>
      </c>
      <c r="BY53" s="2790">
        <f t="shared" ref="BY53:CH54" ca="1" si="144">IFERROR(SUMIFS(INDIRECT($C53&amp;".Emissions["&amp;this.Year&amp;"]"), INDIRECT($C53&amp;".Emissions[GHG]"), BY$6, INDIRECT($C53&amp;".Emissions[IPCC Sector]"), BY$5),0)</f>
        <v>0</v>
      </c>
      <c r="BZ53" s="2790">
        <f t="shared" ca="1" si="144"/>
        <v>0</v>
      </c>
      <c r="CA53" s="2790">
        <f t="shared" ca="1" si="144"/>
        <v>0</v>
      </c>
      <c r="CB53" s="2790">
        <f t="shared" ca="1" si="144"/>
        <v>0</v>
      </c>
      <c r="CC53" s="2790">
        <f t="shared" ca="1" si="144"/>
        <v>0</v>
      </c>
      <c r="CD53" s="2790">
        <f t="shared" ca="1" si="144"/>
        <v>0</v>
      </c>
      <c r="CE53" s="2790">
        <f t="shared" ca="1" si="144"/>
        <v>0</v>
      </c>
      <c r="CF53" s="2790">
        <f t="shared" ca="1" si="144"/>
        <v>0</v>
      </c>
      <c r="CG53" s="2790">
        <f t="shared" ca="1" si="144"/>
        <v>0</v>
      </c>
      <c r="CH53" s="2790">
        <f t="shared" ca="1" si="144"/>
        <v>0</v>
      </c>
      <c r="CI53" s="2790">
        <f t="shared" ref="CI53:CR54" ca="1" si="145">IFERROR(SUMIFS(INDIRECT($C53&amp;".Emissions["&amp;this.Year&amp;"]"), INDIRECT($C53&amp;".Emissions[GHG]"), CI$6, INDIRECT($C53&amp;".Emissions[IPCC Sector]"), CI$5),0)</f>
        <v>0</v>
      </c>
      <c r="CJ53" s="2790">
        <f t="shared" ca="1" si="145"/>
        <v>0</v>
      </c>
      <c r="CK53" s="2790">
        <f t="shared" ca="1" si="145"/>
        <v>0</v>
      </c>
      <c r="CL53" s="2790">
        <f t="shared" ca="1" si="145"/>
        <v>0</v>
      </c>
      <c r="CM53" s="2790">
        <f t="shared" ca="1" si="145"/>
        <v>0</v>
      </c>
      <c r="CN53" s="2790">
        <f t="shared" ca="1" si="145"/>
        <v>0</v>
      </c>
      <c r="CO53" s="2790">
        <f t="shared" ca="1" si="145"/>
        <v>0</v>
      </c>
      <c r="CP53" s="2790">
        <f t="shared" ca="1" si="145"/>
        <v>0</v>
      </c>
      <c r="CQ53" s="2790">
        <f t="shared" ca="1" si="145"/>
        <v>0</v>
      </c>
      <c r="CR53" s="2790">
        <f t="shared" ca="1" si="145"/>
        <v>0</v>
      </c>
      <c r="CS53" s="2790">
        <f t="shared" ref="CS53:DF54" ca="1" si="146">IFERROR(SUMIFS(INDIRECT($C53&amp;".Emissions["&amp;this.Year&amp;"]"), INDIRECT($C53&amp;".Emissions[GHG]"), CS$6, INDIRECT($C53&amp;".Emissions[IPCC Sector]"), CS$5),0)</f>
        <v>0</v>
      </c>
      <c r="CT53" s="2790">
        <f t="shared" ca="1" si="146"/>
        <v>0</v>
      </c>
      <c r="CU53" s="2790">
        <f t="shared" ca="1" si="146"/>
        <v>0</v>
      </c>
      <c r="CV53" s="2790">
        <f t="shared" ca="1" si="146"/>
        <v>0</v>
      </c>
      <c r="CW53" s="2790">
        <f t="shared" ca="1" si="146"/>
        <v>0</v>
      </c>
      <c r="CX53" s="2790">
        <f t="shared" ca="1" si="146"/>
        <v>0</v>
      </c>
      <c r="CY53" s="2790">
        <f t="shared" ca="1" si="146"/>
        <v>0</v>
      </c>
      <c r="CZ53" s="2790">
        <f t="shared" ca="1" si="146"/>
        <v>0</v>
      </c>
      <c r="DA53" s="2790">
        <f t="shared" ca="1" si="146"/>
        <v>0</v>
      </c>
      <c r="DB53" s="2790">
        <f t="shared" ca="1" si="146"/>
        <v>0</v>
      </c>
      <c r="DC53" s="2790">
        <f t="shared" ca="1" si="146"/>
        <v>0</v>
      </c>
      <c r="DD53" s="2790">
        <f t="shared" ca="1" si="146"/>
        <v>0</v>
      </c>
      <c r="DE53" s="2790">
        <f t="shared" ca="1" si="146"/>
        <v>0</v>
      </c>
      <c r="DF53" s="2790">
        <f t="shared" ca="1" si="146"/>
        <v>0</v>
      </c>
      <c r="DH53" s="596">
        <f t="shared" ca="1" si="120"/>
        <v>0.50758391151371063</v>
      </c>
    </row>
    <row r="54" spans="1:112" s="6" customFormat="1" outlineLevel="1">
      <c r="A54" s="607"/>
      <c r="B54" s="607"/>
      <c r="C54" s="651" t="s">
        <v>516</v>
      </c>
      <c r="D54" s="611" t="s">
        <v>517</v>
      </c>
      <c r="E54" s="611"/>
      <c r="G54" s="619">
        <f t="shared" ca="1" si="138"/>
        <v>0</v>
      </c>
      <c r="H54" s="619">
        <f t="shared" ca="1" si="138"/>
        <v>0</v>
      </c>
      <c r="I54" s="619">
        <f t="shared" ca="1" si="138"/>
        <v>0</v>
      </c>
      <c r="J54" s="619">
        <f t="shared" ca="1" si="138"/>
        <v>0</v>
      </c>
      <c r="K54" s="619">
        <f t="shared" ca="1" si="138"/>
        <v>0</v>
      </c>
      <c r="L54" s="619">
        <f t="shared" ca="1" si="138"/>
        <v>0</v>
      </c>
      <c r="M54" s="619">
        <f t="shared" ca="1" si="138"/>
        <v>0</v>
      </c>
      <c r="N54" s="619">
        <f t="shared" ca="1" si="138"/>
        <v>0</v>
      </c>
      <c r="O54" s="619">
        <f t="shared" ca="1" si="138"/>
        <v>0</v>
      </c>
      <c r="P54" s="619">
        <f t="shared" ca="1" si="138"/>
        <v>0</v>
      </c>
      <c r="Q54" s="612">
        <f ca="1">SUM(G54:P54)</f>
        <v>0</v>
      </c>
      <c r="S54" s="620">
        <f t="shared" ca="1" si="139"/>
        <v>0</v>
      </c>
      <c r="T54" s="620">
        <f t="shared" ca="1" si="139"/>
        <v>0</v>
      </c>
      <c r="U54" s="620">
        <f t="shared" ca="1" si="139"/>
        <v>0</v>
      </c>
      <c r="V54" s="620">
        <f t="shared" ca="1" si="139"/>
        <v>0</v>
      </c>
      <c r="W54" s="620">
        <f t="shared" ca="1" si="139"/>
        <v>0</v>
      </c>
      <c r="X54" s="620">
        <f t="shared" ca="1" si="140"/>
        <v>0</v>
      </c>
      <c r="Y54" s="620">
        <f t="shared" ca="1" si="140"/>
        <v>0</v>
      </c>
      <c r="Z54" s="620">
        <f t="shared" ca="1" si="140"/>
        <v>0</v>
      </c>
      <c r="AA54" s="620">
        <f t="shared" ca="1" si="139"/>
        <v>0</v>
      </c>
      <c r="AB54" s="620">
        <f t="shared" ca="1" si="139"/>
        <v>0</v>
      </c>
      <c r="AC54" s="620">
        <f t="shared" ca="1" si="139"/>
        <v>0</v>
      </c>
      <c r="AD54" s="620">
        <f t="shared" ca="1" si="139"/>
        <v>0</v>
      </c>
      <c r="AE54" s="620">
        <f t="shared" ca="1" si="139"/>
        <v>0</v>
      </c>
      <c r="AF54" s="620">
        <f t="shared" ca="1" si="139"/>
        <v>0</v>
      </c>
      <c r="AG54" s="620">
        <f t="shared" ca="1" si="139"/>
        <v>0</v>
      </c>
      <c r="AH54" s="620">
        <f t="shared" ca="1" si="139"/>
        <v>0</v>
      </c>
      <c r="AI54" s="620">
        <f t="shared" ca="1" si="139"/>
        <v>0</v>
      </c>
      <c r="AJ54" s="620">
        <f t="shared" ca="1" si="139"/>
        <v>0</v>
      </c>
      <c r="AK54" s="613">
        <f ca="1">SUM(S54:AJ54)</f>
        <v>0</v>
      </c>
      <c r="AM54" s="621">
        <f t="shared" ca="1" si="141"/>
        <v>0</v>
      </c>
      <c r="AN54" s="621">
        <f t="shared" ca="1" si="141"/>
        <v>0</v>
      </c>
      <c r="AO54" s="621">
        <f t="shared" ca="1" si="141"/>
        <v>0</v>
      </c>
      <c r="AP54" s="621">
        <f t="shared" ca="1" si="141"/>
        <v>0</v>
      </c>
      <c r="AQ54" s="621">
        <f t="shared" ca="1" si="141"/>
        <v>0</v>
      </c>
      <c r="AR54" s="621">
        <f t="shared" ca="1" si="141"/>
        <v>0</v>
      </c>
      <c r="AS54" s="621">
        <f t="shared" ca="1" si="141"/>
        <v>0</v>
      </c>
      <c r="AT54" s="621">
        <f t="shared" ca="1" si="141"/>
        <v>0</v>
      </c>
      <c r="AU54" s="621">
        <f t="shared" ca="1" si="141"/>
        <v>0</v>
      </c>
      <c r="AV54" s="621">
        <f t="shared" ca="1" si="142"/>
        <v>0</v>
      </c>
      <c r="AW54" s="621">
        <f t="shared" ca="1" si="142"/>
        <v>0</v>
      </c>
      <c r="AX54" s="621">
        <f t="shared" ca="1" si="142"/>
        <v>0</v>
      </c>
      <c r="AY54" s="621">
        <f t="shared" ca="1" si="142"/>
        <v>0</v>
      </c>
      <c r="AZ54" s="621">
        <f t="shared" ca="1" si="142"/>
        <v>0</v>
      </c>
      <c r="BA54" s="621">
        <f t="shared" ca="1" si="142"/>
        <v>0</v>
      </c>
      <c r="BB54" s="621">
        <f t="shared" ca="1" si="142"/>
        <v>0</v>
      </c>
      <c r="BC54" s="621">
        <f t="shared" ca="1" si="142"/>
        <v>0</v>
      </c>
      <c r="BD54" s="621">
        <f t="shared" ca="1" si="142"/>
        <v>0</v>
      </c>
      <c r="BE54" s="621">
        <f t="shared" ca="1" si="142"/>
        <v>0</v>
      </c>
      <c r="BF54" s="615">
        <f ca="1">SUM(AM54:BE54)</f>
        <v>0</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43"/>
        <v>0</v>
      </c>
      <c r="BP54" s="2792">
        <f t="shared" ca="1" si="143"/>
        <v>0</v>
      </c>
      <c r="BQ54" s="2792">
        <f t="shared" ca="1" si="143"/>
        <v>0</v>
      </c>
      <c r="BR54" s="2792">
        <f t="shared" ca="1" si="143"/>
        <v>0</v>
      </c>
      <c r="BS54" s="2792">
        <f t="shared" ca="1" si="143"/>
        <v>0</v>
      </c>
      <c r="BT54" s="2792">
        <f t="shared" ca="1" si="143"/>
        <v>0</v>
      </c>
      <c r="BU54" s="2792">
        <f t="shared" ca="1" si="143"/>
        <v>0</v>
      </c>
      <c r="BV54" s="2792">
        <f t="shared" ca="1" si="143"/>
        <v>0</v>
      </c>
      <c r="BW54" s="2792">
        <f t="shared" ca="1" si="143"/>
        <v>0</v>
      </c>
      <c r="BX54" s="2792">
        <f t="shared" ca="1" si="143"/>
        <v>0</v>
      </c>
      <c r="BY54" s="2792">
        <f t="shared" ca="1" si="144"/>
        <v>0</v>
      </c>
      <c r="BZ54" s="2792">
        <f t="shared" ca="1" si="144"/>
        <v>0</v>
      </c>
      <c r="CA54" s="2792">
        <f t="shared" ca="1" si="144"/>
        <v>0</v>
      </c>
      <c r="CB54" s="2792">
        <f t="shared" ca="1" si="144"/>
        <v>0</v>
      </c>
      <c r="CC54" s="2792">
        <f t="shared" ca="1" si="144"/>
        <v>0</v>
      </c>
      <c r="CD54" s="2792">
        <f t="shared" ca="1" si="144"/>
        <v>0</v>
      </c>
      <c r="CE54" s="2792">
        <f t="shared" ca="1" si="144"/>
        <v>0</v>
      </c>
      <c r="CF54" s="2792">
        <f t="shared" ca="1" si="144"/>
        <v>0</v>
      </c>
      <c r="CG54" s="2792">
        <f t="shared" ca="1" si="144"/>
        <v>0</v>
      </c>
      <c r="CH54" s="2792">
        <f t="shared" ca="1" si="144"/>
        <v>0</v>
      </c>
      <c r="CI54" s="2792">
        <f t="shared" ca="1" si="145"/>
        <v>0</v>
      </c>
      <c r="CJ54" s="2792">
        <f t="shared" ca="1" si="145"/>
        <v>0</v>
      </c>
      <c r="CK54" s="2792">
        <f t="shared" ca="1" si="145"/>
        <v>0</v>
      </c>
      <c r="CL54" s="2792">
        <f t="shared" ca="1" si="145"/>
        <v>0</v>
      </c>
      <c r="CM54" s="2792">
        <f t="shared" ca="1" si="145"/>
        <v>0</v>
      </c>
      <c r="CN54" s="2792">
        <f t="shared" ca="1" si="145"/>
        <v>0</v>
      </c>
      <c r="CO54" s="2792">
        <f t="shared" ca="1" si="145"/>
        <v>0</v>
      </c>
      <c r="CP54" s="2792">
        <f t="shared" ca="1" si="145"/>
        <v>0</v>
      </c>
      <c r="CQ54" s="2792">
        <f t="shared" ca="1" si="145"/>
        <v>0</v>
      </c>
      <c r="CR54" s="2792">
        <f t="shared" ca="1" si="145"/>
        <v>0</v>
      </c>
      <c r="CS54" s="2792">
        <f t="shared" ca="1" si="146"/>
        <v>0</v>
      </c>
      <c r="CT54" s="2792">
        <f t="shared" ca="1" si="146"/>
        <v>0</v>
      </c>
      <c r="CU54" s="2792">
        <f t="shared" ca="1" si="146"/>
        <v>0</v>
      </c>
      <c r="CV54" s="2792">
        <f t="shared" ca="1" si="146"/>
        <v>0</v>
      </c>
      <c r="CW54" s="2792">
        <f t="shared" ca="1" si="146"/>
        <v>0</v>
      </c>
      <c r="CX54" s="2792">
        <f t="shared" ca="1" si="146"/>
        <v>0</v>
      </c>
      <c r="CY54" s="2792">
        <f t="shared" ca="1" si="146"/>
        <v>0</v>
      </c>
      <c r="CZ54" s="2792">
        <f t="shared" ca="1" si="146"/>
        <v>0</v>
      </c>
      <c r="DA54" s="2792">
        <f t="shared" ca="1" si="146"/>
        <v>0</v>
      </c>
      <c r="DB54" s="2792">
        <f t="shared" ca="1" si="146"/>
        <v>0</v>
      </c>
      <c r="DC54" s="2792">
        <f t="shared" ca="1" si="146"/>
        <v>0</v>
      </c>
      <c r="DD54" s="2792">
        <f t="shared" ca="1" si="146"/>
        <v>0</v>
      </c>
      <c r="DE54" s="2792">
        <f t="shared" ca="1" si="146"/>
        <v>0</v>
      </c>
      <c r="DF54" s="2792">
        <f t="shared" ca="1" si="146"/>
        <v>0</v>
      </c>
      <c r="DH54" s="596">
        <f t="shared" ca="1" si="120"/>
        <v>0</v>
      </c>
    </row>
    <row r="55" spans="1:112" s="6" customFormat="1" ht="15.75">
      <c r="A55" s="652"/>
      <c r="B55" s="653"/>
      <c r="C55" s="616" t="s">
        <v>518</v>
      </c>
      <c r="D55" s="617" t="s">
        <v>519</v>
      </c>
      <c r="E55" s="206"/>
      <c r="G55" s="618">
        <f ca="1">SUM(G53:G54)</f>
        <v>0</v>
      </c>
      <c r="H55" s="618">
        <f t="shared" ref="H55:P55" ca="1" si="147">SUM(H53:H54)</f>
        <v>0</v>
      </c>
      <c r="I55" s="618">
        <f t="shared" ca="1" si="147"/>
        <v>0</v>
      </c>
      <c r="J55" s="618">
        <f t="shared" ca="1" si="147"/>
        <v>0</v>
      </c>
      <c r="K55" s="618">
        <f t="shared" ca="1" si="147"/>
        <v>0</v>
      </c>
      <c r="L55" s="618">
        <f t="shared" ca="1" si="147"/>
        <v>0</v>
      </c>
      <c r="M55" s="618">
        <f t="shared" ca="1" si="147"/>
        <v>0</v>
      </c>
      <c r="N55" s="618">
        <f t="shared" ca="1" si="147"/>
        <v>0</v>
      </c>
      <c r="O55" s="618">
        <f t="shared" ca="1" si="147"/>
        <v>0</v>
      </c>
      <c r="P55" s="618">
        <f t="shared" ca="1" si="147"/>
        <v>0</v>
      </c>
      <c r="Q55" s="618">
        <f ca="1">SUM(G55:P55)</f>
        <v>0</v>
      </c>
      <c r="S55" s="581">
        <f t="shared" ref="S55:AJ55" ca="1" si="148">SUM(S53:S54)</f>
        <v>-0.22598810482362028</v>
      </c>
      <c r="T55" s="581">
        <f t="shared" ca="1" si="148"/>
        <v>0</v>
      </c>
      <c r="U55" s="581">
        <f t="shared" ca="1" si="148"/>
        <v>0</v>
      </c>
      <c r="V55" s="581">
        <f t="shared" ca="1" si="148"/>
        <v>-1.8522858135888711</v>
      </c>
      <c r="W55" s="581">
        <f t="shared" ca="1" si="148"/>
        <v>-8.2401953248703863E-2</v>
      </c>
      <c r="X55" s="581">
        <f ca="1">SUM(X53:X54)</f>
        <v>0</v>
      </c>
      <c r="Y55" s="581">
        <f ca="1">SUM(Y53:Y54)</f>
        <v>0</v>
      </c>
      <c r="Z55" s="581">
        <f ca="1">SUM(Z53:Z54)</f>
        <v>0</v>
      </c>
      <c r="AA55" s="581">
        <f t="shared" ca="1" si="148"/>
        <v>0</v>
      </c>
      <c r="AB55" s="581">
        <f t="shared" ca="1" si="148"/>
        <v>-2.6537999724419409E-2</v>
      </c>
      <c r="AC55" s="581">
        <f t="shared" ca="1" si="148"/>
        <v>0</v>
      </c>
      <c r="AD55" s="581">
        <f ca="1">SUM(AD53:AD54)</f>
        <v>0</v>
      </c>
      <c r="AE55" s="581">
        <f ca="1">SUM(AE53:AE54)</f>
        <v>0</v>
      </c>
      <c r="AF55" s="581">
        <f t="shared" ca="1" si="148"/>
        <v>0</v>
      </c>
      <c r="AG55" s="581">
        <f ca="1">SUM(AG53:AG54)</f>
        <v>0</v>
      </c>
      <c r="AH55" s="581">
        <f ca="1">SUM(AH53:AH54)</f>
        <v>0</v>
      </c>
      <c r="AI55" s="581">
        <f ca="1">SUM(AI53:AI54)</f>
        <v>0</v>
      </c>
      <c r="AJ55" s="581">
        <f t="shared" ca="1" si="148"/>
        <v>0</v>
      </c>
      <c r="AK55" s="581">
        <f ca="1">SUM(S55:AJ55)</f>
        <v>-2.1872138713856146</v>
      </c>
      <c r="AM55" s="582">
        <f t="shared" ref="AM55:BE55" ca="1" si="149">SUM(AM53:AM54)</f>
        <v>0</v>
      </c>
      <c r="AN55" s="582">
        <f t="shared" ca="1" si="149"/>
        <v>0</v>
      </c>
      <c r="AO55" s="582">
        <f t="shared" ca="1" si="149"/>
        <v>0</v>
      </c>
      <c r="AP55" s="582">
        <f t="shared" ca="1" si="149"/>
        <v>0</v>
      </c>
      <c r="AQ55" s="582">
        <f t="shared" ca="1" si="149"/>
        <v>0</v>
      </c>
      <c r="AR55" s="582">
        <f t="shared" ca="1" si="149"/>
        <v>0</v>
      </c>
      <c r="AS55" s="582">
        <f t="shared" ca="1" si="149"/>
        <v>0</v>
      </c>
      <c r="AT55" s="582">
        <f t="shared" ca="1" si="149"/>
        <v>0</v>
      </c>
      <c r="AU55" s="582">
        <f t="shared" ca="1" si="149"/>
        <v>0</v>
      </c>
      <c r="AV55" s="582">
        <f t="shared" ca="1" si="149"/>
        <v>0</v>
      </c>
      <c r="AW55" s="582">
        <f t="shared" ca="1" si="149"/>
        <v>0</v>
      </c>
      <c r="AX55" s="582">
        <f t="shared" ca="1" si="149"/>
        <v>0</v>
      </c>
      <c r="AY55" s="582">
        <f t="shared" ca="1" si="149"/>
        <v>0</v>
      </c>
      <c r="AZ55" s="582">
        <f t="shared" ca="1" si="149"/>
        <v>0</v>
      </c>
      <c r="BA55" s="582">
        <f t="shared" ca="1" si="149"/>
        <v>0</v>
      </c>
      <c r="BB55" s="582">
        <f t="shared" ca="1" si="149"/>
        <v>0</v>
      </c>
      <c r="BC55" s="582">
        <f t="shared" ca="1" si="149"/>
        <v>0</v>
      </c>
      <c r="BD55" s="582">
        <f ca="1">SUM(BD53:BD54)</f>
        <v>0</v>
      </c>
      <c r="BE55" s="582">
        <f t="shared" ca="1" si="149"/>
        <v>0</v>
      </c>
      <c r="BF55" s="582">
        <f ca="1">SUM(AM55:BE55)</f>
        <v>0</v>
      </c>
      <c r="BH55" s="3463">
        <f ca="1">SUM(BH53:BH54)</f>
        <v>0</v>
      </c>
      <c r="BI55" s="3463">
        <f ca="1">SUM(BI53:BI54)</f>
        <v>2.1872138713856146</v>
      </c>
      <c r="BJ55" s="3463">
        <f ca="1">SUM(BH55:BI55)</f>
        <v>2.1872138713856146</v>
      </c>
      <c r="BL55" s="3477">
        <f t="shared" ref="BL55:BL63" ca="1" si="150">Q55+AK55+BF55+BJ55</f>
        <v>0</v>
      </c>
      <c r="BM55" s="654"/>
      <c r="BN55" s="413"/>
      <c r="BO55" s="2789">
        <f t="shared" ref="BO55:DF55" ca="1" si="151">SUM(BO53:BO54)</f>
        <v>0.50565060724124977</v>
      </c>
      <c r="BP55" s="2790">
        <f t="shared" ca="1" si="151"/>
        <v>4.2632801018755801E-4</v>
      </c>
      <c r="BQ55" s="2790">
        <f t="shared" ca="1" si="151"/>
        <v>1.5069762622732133E-3</v>
      </c>
      <c r="BR55" s="2790">
        <f t="shared" ca="1" si="151"/>
        <v>0</v>
      </c>
      <c r="BS55" s="2790">
        <f t="shared" ca="1" si="151"/>
        <v>0</v>
      </c>
      <c r="BT55" s="2790">
        <f t="shared" ca="1" si="151"/>
        <v>0</v>
      </c>
      <c r="BU55" s="2790">
        <f t="shared" ca="1" si="151"/>
        <v>0</v>
      </c>
      <c r="BV55" s="2790">
        <f t="shared" ca="1" si="151"/>
        <v>0</v>
      </c>
      <c r="BW55" s="2790">
        <f t="shared" ca="1" si="151"/>
        <v>0</v>
      </c>
      <c r="BX55" s="2790">
        <f t="shared" ca="1" si="151"/>
        <v>0</v>
      </c>
      <c r="BY55" s="2790">
        <f t="shared" ca="1" si="151"/>
        <v>0</v>
      </c>
      <c r="BZ55" s="2790">
        <f t="shared" ca="1" si="151"/>
        <v>0</v>
      </c>
      <c r="CA55" s="2790">
        <f t="shared" ca="1" si="151"/>
        <v>0</v>
      </c>
      <c r="CB55" s="2790">
        <f t="shared" ca="1" si="151"/>
        <v>0</v>
      </c>
      <c r="CC55" s="2790">
        <f t="shared" ca="1" si="151"/>
        <v>0</v>
      </c>
      <c r="CD55" s="2790">
        <f t="shared" ca="1" si="151"/>
        <v>0</v>
      </c>
      <c r="CE55" s="2790">
        <f t="shared" ca="1" si="151"/>
        <v>0</v>
      </c>
      <c r="CF55" s="2790">
        <f t="shared" ca="1" si="151"/>
        <v>0</v>
      </c>
      <c r="CG55" s="2790">
        <f t="shared" ca="1" si="151"/>
        <v>0</v>
      </c>
      <c r="CH55" s="2790">
        <f t="shared" ca="1" si="151"/>
        <v>0</v>
      </c>
      <c r="CI55" s="2790">
        <f t="shared" ca="1" si="151"/>
        <v>0</v>
      </c>
      <c r="CJ55" s="2790">
        <f t="shared" ca="1" si="151"/>
        <v>0</v>
      </c>
      <c r="CK55" s="2790">
        <f t="shared" ca="1" si="151"/>
        <v>0</v>
      </c>
      <c r="CL55" s="2790">
        <f t="shared" ca="1" si="151"/>
        <v>0</v>
      </c>
      <c r="CM55" s="2790">
        <f t="shared" ca="1" si="151"/>
        <v>0</v>
      </c>
      <c r="CN55" s="2790">
        <f t="shared" ca="1" si="151"/>
        <v>0</v>
      </c>
      <c r="CO55" s="2790">
        <f t="shared" ca="1" si="151"/>
        <v>0</v>
      </c>
      <c r="CP55" s="2790">
        <f t="shared" ca="1" si="151"/>
        <v>0</v>
      </c>
      <c r="CQ55" s="2790">
        <f t="shared" ca="1" si="151"/>
        <v>0</v>
      </c>
      <c r="CR55" s="2790">
        <f t="shared" ca="1" si="151"/>
        <v>0</v>
      </c>
      <c r="CS55" s="2790">
        <f t="shared" ca="1" si="151"/>
        <v>0</v>
      </c>
      <c r="CT55" s="2790">
        <f t="shared" ca="1" si="151"/>
        <v>0</v>
      </c>
      <c r="CU55" s="2790">
        <f t="shared" ca="1" si="151"/>
        <v>0</v>
      </c>
      <c r="CV55" s="2790">
        <f t="shared" ca="1" si="151"/>
        <v>0</v>
      </c>
      <c r="CW55" s="2790">
        <f t="shared" ca="1" si="151"/>
        <v>0</v>
      </c>
      <c r="CX55" s="2790">
        <f t="shared" ca="1" si="151"/>
        <v>0</v>
      </c>
      <c r="CY55" s="2790">
        <f t="shared" ca="1" si="151"/>
        <v>0</v>
      </c>
      <c r="CZ55" s="2790">
        <f t="shared" ca="1" si="151"/>
        <v>0</v>
      </c>
      <c r="DA55" s="2790">
        <f t="shared" ca="1" si="151"/>
        <v>0</v>
      </c>
      <c r="DB55" s="2790">
        <f t="shared" ca="1" si="151"/>
        <v>0</v>
      </c>
      <c r="DC55" s="2790">
        <f t="shared" ca="1" si="151"/>
        <v>0</v>
      </c>
      <c r="DD55" s="2790">
        <f t="shared" ca="1" si="151"/>
        <v>0</v>
      </c>
      <c r="DE55" s="2790">
        <f t="shared" ca="1" si="151"/>
        <v>0</v>
      </c>
      <c r="DF55" s="2790">
        <f t="shared" ca="1" si="151"/>
        <v>0</v>
      </c>
      <c r="DH55" s="596">
        <f t="shared" ca="1" si="120"/>
        <v>0.50758391151371063</v>
      </c>
    </row>
    <row r="56" spans="1:112" s="6" customFormat="1" outlineLevel="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50"/>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20"/>
        <v>0</v>
      </c>
    </row>
    <row r="57" spans="1:112" s="607" customFormat="1" ht="12.75" customHeight="1" outlineLevel="1">
      <c r="C57" s="587" t="s">
        <v>520</v>
      </c>
      <c r="D57" s="588" t="s">
        <v>521</v>
      </c>
      <c r="E57" s="588"/>
      <c r="F57" s="6"/>
      <c r="G57" s="589">
        <f t="shared" ref="G57:P62" ca="1" si="152">IFERROR(INDEX(INDIRECT($C57&amp;".Outputs["&amp;this.Year&amp;"]"), MATCH(G$5, INDIRECT($C57&amp;".Outputs[Vector]"), 0)), 0)</f>
        <v>0</v>
      </c>
      <c r="H57" s="589">
        <f t="shared" ca="1" si="152"/>
        <v>0</v>
      </c>
      <c r="I57" s="589">
        <f t="shared" ca="1" si="152"/>
        <v>0</v>
      </c>
      <c r="J57" s="589">
        <f t="shared" ca="1" si="152"/>
        <v>0</v>
      </c>
      <c r="K57" s="589">
        <f t="shared" ca="1" si="152"/>
        <v>0</v>
      </c>
      <c r="L57" s="589">
        <f t="shared" ca="1" si="152"/>
        <v>0</v>
      </c>
      <c r="M57" s="589">
        <f t="shared" ca="1" si="152"/>
        <v>0</v>
      </c>
      <c r="N57" s="589">
        <f t="shared" ca="1" si="152"/>
        <v>0</v>
      </c>
      <c r="O57" s="589">
        <f t="shared" ca="1" si="152"/>
        <v>0</v>
      </c>
      <c r="P57" s="589">
        <f t="shared" ca="1" si="152"/>
        <v>0</v>
      </c>
      <c r="Q57" s="590">
        <f t="shared" ref="Q57:Q63" ca="1" si="153">SUM(G57:P57)</f>
        <v>0</v>
      </c>
      <c r="R57" s="6"/>
      <c r="S57" s="591">
        <f t="shared" ref="S57:AJ62" ca="1" si="154">IFERROR(INDEX(INDIRECT($C57&amp;".Outputs["&amp;this.Year&amp;"]"), MATCH(S$5, INDIRECT($C57&amp;".Outputs[Vector]"), 0)), 0)</f>
        <v>0</v>
      </c>
      <c r="T57" s="591">
        <f t="shared" ca="1" si="154"/>
        <v>22.3427808</v>
      </c>
      <c r="U57" s="591">
        <f t="shared" ca="1" si="154"/>
        <v>0</v>
      </c>
      <c r="V57" s="591">
        <f t="shared" ca="1" si="154"/>
        <v>0</v>
      </c>
      <c r="W57" s="591">
        <f t="shared" ca="1" si="154"/>
        <v>0</v>
      </c>
      <c r="X57" s="591">
        <f t="shared" ref="X57:Z62" ca="1" si="155">IFERROR(INDEX(INDIRECT($C57&amp;".Outputs["&amp;this.Year&amp;"]"), MATCH(X$5, INDIRECT($C57&amp;".Outputs[Vector]"), 0)), 0)</f>
        <v>0</v>
      </c>
      <c r="Y57" s="591">
        <f t="shared" ca="1" si="155"/>
        <v>0</v>
      </c>
      <c r="Z57" s="591">
        <f t="shared" ca="1" si="155"/>
        <v>0</v>
      </c>
      <c r="AA57" s="591">
        <f t="shared" ca="1" si="154"/>
        <v>0</v>
      </c>
      <c r="AB57" s="591">
        <f t="shared" ca="1" si="154"/>
        <v>0</v>
      </c>
      <c r="AC57" s="591">
        <f t="shared" ca="1" si="154"/>
        <v>0</v>
      </c>
      <c r="AD57" s="591">
        <f t="shared" ca="1" si="154"/>
        <v>0</v>
      </c>
      <c r="AE57" s="591">
        <f t="shared" ca="1" si="154"/>
        <v>0</v>
      </c>
      <c r="AF57" s="591">
        <f t="shared" ca="1" si="154"/>
        <v>0</v>
      </c>
      <c r="AG57" s="591">
        <f t="shared" ca="1" si="154"/>
        <v>0</v>
      </c>
      <c r="AH57" s="591">
        <f t="shared" ca="1" si="154"/>
        <v>0</v>
      </c>
      <c r="AI57" s="591">
        <f t="shared" ca="1" si="154"/>
        <v>0</v>
      </c>
      <c r="AJ57" s="591">
        <f t="shared" ca="1" si="154"/>
        <v>0</v>
      </c>
      <c r="AK57" s="592">
        <f t="shared" ref="AK57:AK63" ca="1" si="156">SUM(S57:AJ57)</f>
        <v>22.3427808</v>
      </c>
      <c r="AL57" s="6"/>
      <c r="AM57" s="593">
        <f t="shared" ref="AM57:AU62" ca="1" si="157">IFERROR(INDEX(INDIRECT($C57&amp;".Outputs["&amp;this.Year&amp;"]"), MATCH(AM$5, INDIRECT($C57&amp;".Outputs[Vector]"), 0)), 0)</f>
        <v>0</v>
      </c>
      <c r="AN57" s="593">
        <f t="shared" ca="1" si="157"/>
        <v>0</v>
      </c>
      <c r="AO57" s="593">
        <f t="shared" ca="1" si="157"/>
        <v>0</v>
      </c>
      <c r="AP57" s="593">
        <f t="shared" ca="1" si="157"/>
        <v>0</v>
      </c>
      <c r="AQ57" s="593">
        <f t="shared" ca="1" si="157"/>
        <v>0</v>
      </c>
      <c r="AR57" s="593">
        <f t="shared" ca="1" si="157"/>
        <v>0</v>
      </c>
      <c r="AS57" s="593">
        <f t="shared" ca="1" si="157"/>
        <v>0</v>
      </c>
      <c r="AT57" s="593">
        <f t="shared" ca="1" si="157"/>
        <v>0</v>
      </c>
      <c r="AU57" s="593">
        <f t="shared" ca="1" si="157"/>
        <v>0</v>
      </c>
      <c r="AV57" s="593">
        <f t="shared" ref="AV57:BE62" ca="1" si="158">IFERROR(INDEX(INDIRECT($C57&amp;".Outputs["&amp;this.Year&amp;"]"), MATCH(AV$5, INDIRECT($C57&amp;".Outputs[Vector]"), 0)), 0)</f>
        <v>0</v>
      </c>
      <c r="AW57" s="593">
        <f t="shared" ca="1" si="158"/>
        <v>0</v>
      </c>
      <c r="AX57" s="593">
        <f t="shared" ca="1" si="158"/>
        <v>-22.3427808</v>
      </c>
      <c r="AY57" s="593">
        <f t="shared" ca="1" si="158"/>
        <v>0</v>
      </c>
      <c r="AZ57" s="593">
        <f t="shared" ca="1" si="158"/>
        <v>0</v>
      </c>
      <c r="BA57" s="593">
        <f t="shared" ca="1" si="158"/>
        <v>0</v>
      </c>
      <c r="BB57" s="593">
        <f t="shared" ca="1" si="158"/>
        <v>0</v>
      </c>
      <c r="BC57" s="593">
        <f t="shared" ca="1" si="158"/>
        <v>0</v>
      </c>
      <c r="BD57" s="593">
        <f t="shared" ca="1" si="158"/>
        <v>0</v>
      </c>
      <c r="BE57" s="593">
        <f t="shared" ca="1" si="158"/>
        <v>0</v>
      </c>
      <c r="BF57" s="609">
        <f t="shared" ref="BF57:BF63" ca="1" si="159">SUM(AM57:BE57)</f>
        <v>-22.3427808</v>
      </c>
      <c r="BG57" s="6"/>
      <c r="BH57" s="3471">
        <f t="shared" ref="BH57:BI62" ca="1" si="160">IFERROR(INDEX(INDIRECT($C57&amp;".Outputs["&amp;this.Year&amp;"]"), MATCH(BH$5, INDIRECT($C57&amp;".Outputs[Vector]"), 0)), 0)</f>
        <v>0</v>
      </c>
      <c r="BI57" s="3471">
        <f t="shared" ca="1" si="160"/>
        <v>0</v>
      </c>
      <c r="BJ57" s="3460">
        <f t="shared" ref="BJ57:BJ63" ca="1" si="161">SUM(BH57:BI57)</f>
        <v>0</v>
      </c>
      <c r="BK57" s="6"/>
      <c r="BL57" s="610">
        <f t="shared" ca="1" si="150"/>
        <v>0</v>
      </c>
      <c r="BM57" s="610"/>
      <c r="BN57" s="413"/>
      <c r="BO57" s="2789">
        <f t="shared" ref="BO57:BX62" ca="1" si="162">IFERROR(SUMIFS(INDIRECT($C57&amp;".Emissions["&amp;this.Year&amp;"]"), INDIRECT($C57&amp;".Emissions[GHG]"), BO$6, INDIRECT($C57&amp;".Emissions[IPCC Sector]"), BO$5),0)</f>
        <v>0</v>
      </c>
      <c r="BP57" s="2790">
        <f t="shared" ca="1" si="162"/>
        <v>0</v>
      </c>
      <c r="BQ57" s="2790">
        <f t="shared" ca="1" si="162"/>
        <v>0</v>
      </c>
      <c r="BR57" s="2790">
        <f t="shared" ca="1" si="162"/>
        <v>0</v>
      </c>
      <c r="BS57" s="2790">
        <f t="shared" ca="1" si="162"/>
        <v>0</v>
      </c>
      <c r="BT57" s="2790">
        <f t="shared" ca="1" si="162"/>
        <v>0</v>
      </c>
      <c r="BU57" s="2790">
        <f t="shared" ca="1" si="162"/>
        <v>0</v>
      </c>
      <c r="BV57" s="2790">
        <f t="shared" ca="1" si="162"/>
        <v>0</v>
      </c>
      <c r="BW57" s="2790">
        <f t="shared" ca="1" si="162"/>
        <v>0</v>
      </c>
      <c r="BX57" s="2790">
        <f t="shared" ca="1" si="162"/>
        <v>0</v>
      </c>
      <c r="BY57" s="2790">
        <f t="shared" ref="BY57:CH62" ca="1" si="163">IFERROR(SUMIFS(INDIRECT($C57&amp;".Emissions["&amp;this.Year&amp;"]"), INDIRECT($C57&amp;".Emissions[GHG]"), BY$6, INDIRECT($C57&amp;".Emissions[IPCC Sector]"), BY$5),0)</f>
        <v>0</v>
      </c>
      <c r="BZ57" s="2790">
        <f t="shared" ca="1" si="163"/>
        <v>0</v>
      </c>
      <c r="CA57" s="2790">
        <f t="shared" ca="1" si="163"/>
        <v>0</v>
      </c>
      <c r="CB57" s="2790">
        <f t="shared" ca="1" si="163"/>
        <v>0</v>
      </c>
      <c r="CC57" s="2790">
        <f t="shared" ca="1" si="163"/>
        <v>0</v>
      </c>
      <c r="CD57" s="2790">
        <f t="shared" ca="1" si="163"/>
        <v>0</v>
      </c>
      <c r="CE57" s="2790">
        <f t="shared" ca="1" si="163"/>
        <v>0</v>
      </c>
      <c r="CF57" s="2790">
        <f t="shared" ca="1" si="163"/>
        <v>0</v>
      </c>
      <c r="CG57" s="2790">
        <f t="shared" ca="1" si="163"/>
        <v>0</v>
      </c>
      <c r="CH57" s="2790">
        <f t="shared" ca="1" si="163"/>
        <v>0</v>
      </c>
      <c r="CI57" s="2790">
        <f t="shared" ref="CI57:CR62" ca="1" si="164">IFERROR(SUMIFS(INDIRECT($C57&amp;".Emissions["&amp;this.Year&amp;"]"), INDIRECT($C57&amp;".Emissions[GHG]"), CI$6, INDIRECT($C57&amp;".Emissions[IPCC Sector]"), CI$5),0)</f>
        <v>0</v>
      </c>
      <c r="CJ57" s="2790">
        <f t="shared" ca="1" si="164"/>
        <v>0</v>
      </c>
      <c r="CK57" s="2790">
        <f t="shared" ca="1" si="164"/>
        <v>0</v>
      </c>
      <c r="CL57" s="2790">
        <f t="shared" ca="1" si="164"/>
        <v>0</v>
      </c>
      <c r="CM57" s="2790">
        <f t="shared" ca="1" si="164"/>
        <v>0</v>
      </c>
      <c r="CN57" s="2790">
        <f t="shared" ca="1" si="164"/>
        <v>0</v>
      </c>
      <c r="CO57" s="2790">
        <f t="shared" ca="1" si="164"/>
        <v>0</v>
      </c>
      <c r="CP57" s="2790">
        <f t="shared" ca="1" si="164"/>
        <v>0</v>
      </c>
      <c r="CQ57" s="2790">
        <f t="shared" ca="1" si="164"/>
        <v>0</v>
      </c>
      <c r="CR57" s="2790">
        <f t="shared" ca="1" si="164"/>
        <v>0</v>
      </c>
      <c r="CS57" s="2790">
        <f t="shared" ref="CS57:DF62" ca="1" si="165">IFERROR(SUMIFS(INDIRECT($C57&amp;".Emissions["&amp;this.Year&amp;"]"), INDIRECT($C57&amp;".Emissions[GHG]"), CS$6, INDIRECT($C57&amp;".Emissions[IPCC Sector]"), CS$5),0)</f>
        <v>0</v>
      </c>
      <c r="CT57" s="2790">
        <f t="shared" ca="1" si="165"/>
        <v>0</v>
      </c>
      <c r="CU57" s="2790">
        <f t="shared" ca="1" si="165"/>
        <v>0</v>
      </c>
      <c r="CV57" s="2790">
        <f t="shared" ca="1" si="165"/>
        <v>0</v>
      </c>
      <c r="CW57" s="2790">
        <f t="shared" ca="1" si="165"/>
        <v>0</v>
      </c>
      <c r="CX57" s="2790">
        <f t="shared" ca="1" si="165"/>
        <v>0</v>
      </c>
      <c r="CY57" s="2790">
        <f t="shared" ca="1" si="165"/>
        <v>0</v>
      </c>
      <c r="CZ57" s="2790">
        <f t="shared" ca="1" si="165"/>
        <v>0</v>
      </c>
      <c r="DA57" s="2790">
        <f t="shared" ca="1" si="165"/>
        <v>0</v>
      </c>
      <c r="DB57" s="2790">
        <f t="shared" ca="1" si="165"/>
        <v>0</v>
      </c>
      <c r="DC57" s="2790">
        <f t="shared" ca="1" si="165"/>
        <v>0</v>
      </c>
      <c r="DD57" s="2790">
        <f t="shared" ca="1" si="165"/>
        <v>0</v>
      </c>
      <c r="DE57" s="2790">
        <f t="shared" ca="1" si="165"/>
        <v>0</v>
      </c>
      <c r="DF57" s="2790">
        <f t="shared" ca="1" si="165"/>
        <v>0</v>
      </c>
      <c r="DH57" s="596">
        <f t="shared" ca="1" si="120"/>
        <v>0</v>
      </c>
    </row>
    <row r="58" spans="1:112" s="607" customFormat="1" ht="12.75" customHeight="1" outlineLevel="1">
      <c r="C58" s="587" t="s">
        <v>522</v>
      </c>
      <c r="D58" s="588" t="s">
        <v>523</v>
      </c>
      <c r="E58" s="588"/>
      <c r="F58" s="6"/>
      <c r="G58" s="589">
        <f t="shared" ca="1" si="152"/>
        <v>0</v>
      </c>
      <c r="H58" s="589">
        <f t="shared" ca="1" si="152"/>
        <v>0</v>
      </c>
      <c r="I58" s="589">
        <f t="shared" ca="1" si="152"/>
        <v>0</v>
      </c>
      <c r="J58" s="589">
        <f t="shared" ca="1" si="152"/>
        <v>0</v>
      </c>
      <c r="K58" s="589">
        <f t="shared" ca="1" si="152"/>
        <v>0</v>
      </c>
      <c r="L58" s="589">
        <f t="shared" ca="1" si="152"/>
        <v>0</v>
      </c>
      <c r="M58" s="589">
        <f t="shared" ca="1" si="152"/>
        <v>0</v>
      </c>
      <c r="N58" s="589">
        <f t="shared" ca="1" si="152"/>
        <v>0</v>
      </c>
      <c r="O58" s="589">
        <f t="shared" ca="1" si="152"/>
        <v>0</v>
      </c>
      <c r="P58" s="589">
        <f t="shared" ca="1" si="152"/>
        <v>0</v>
      </c>
      <c r="Q58" s="590">
        <f ca="1">SUM(G58:P58)</f>
        <v>0</v>
      </c>
      <c r="R58" s="6"/>
      <c r="S58" s="591">
        <f t="shared" ca="1" si="154"/>
        <v>0</v>
      </c>
      <c r="T58" s="591">
        <f t="shared" ca="1" si="154"/>
        <v>5.2267275000000009</v>
      </c>
      <c r="U58" s="591">
        <f t="shared" ca="1" si="154"/>
        <v>0</v>
      </c>
      <c r="V58" s="591">
        <f t="shared" ca="1" si="154"/>
        <v>0</v>
      </c>
      <c r="W58" s="591">
        <f t="shared" ca="1" si="154"/>
        <v>0</v>
      </c>
      <c r="X58" s="591">
        <f t="shared" ca="1" si="155"/>
        <v>0</v>
      </c>
      <c r="Y58" s="591">
        <f t="shared" ca="1" si="155"/>
        <v>0</v>
      </c>
      <c r="Z58" s="591">
        <f t="shared" ca="1" si="155"/>
        <v>0</v>
      </c>
      <c r="AA58" s="591">
        <f t="shared" ca="1" si="154"/>
        <v>0</v>
      </c>
      <c r="AB58" s="591">
        <f t="shared" ca="1" si="154"/>
        <v>0</v>
      </c>
      <c r="AC58" s="591">
        <f t="shared" ca="1" si="154"/>
        <v>0</v>
      </c>
      <c r="AD58" s="591">
        <f t="shared" ca="1" si="154"/>
        <v>0</v>
      </c>
      <c r="AE58" s="591">
        <f t="shared" ca="1" si="154"/>
        <v>0</v>
      </c>
      <c r="AF58" s="591">
        <f t="shared" ca="1" si="154"/>
        <v>0</v>
      </c>
      <c r="AG58" s="591">
        <f t="shared" ca="1" si="154"/>
        <v>0</v>
      </c>
      <c r="AH58" s="591">
        <f t="shared" ca="1" si="154"/>
        <v>0</v>
      </c>
      <c r="AI58" s="591">
        <f t="shared" ca="1" si="154"/>
        <v>0</v>
      </c>
      <c r="AJ58" s="591">
        <f t="shared" ca="1" si="154"/>
        <v>0</v>
      </c>
      <c r="AK58" s="592">
        <f ca="1">SUM(S58:AJ58)</f>
        <v>5.2267275000000009</v>
      </c>
      <c r="AL58" s="6"/>
      <c r="AM58" s="593">
        <f t="shared" ca="1" si="157"/>
        <v>0</v>
      </c>
      <c r="AN58" s="593">
        <f t="shared" ca="1" si="157"/>
        <v>0</v>
      </c>
      <c r="AO58" s="593">
        <f t="shared" ca="1" si="157"/>
        <v>0</v>
      </c>
      <c r="AP58" s="593">
        <f t="shared" ca="1" si="157"/>
        <v>0</v>
      </c>
      <c r="AQ58" s="593">
        <f t="shared" ca="1" si="157"/>
        <v>0</v>
      </c>
      <c r="AR58" s="593">
        <f t="shared" ca="1" si="157"/>
        <v>0</v>
      </c>
      <c r="AS58" s="593">
        <f t="shared" ca="1" si="157"/>
        <v>0</v>
      </c>
      <c r="AT58" s="593">
        <f t="shared" ca="1" si="157"/>
        <v>0</v>
      </c>
      <c r="AU58" s="593">
        <f t="shared" ca="1" si="157"/>
        <v>0</v>
      </c>
      <c r="AV58" s="593">
        <f t="shared" ca="1" si="158"/>
        <v>0</v>
      </c>
      <c r="AW58" s="593">
        <f t="shared" ca="1" si="158"/>
        <v>0</v>
      </c>
      <c r="AX58" s="593">
        <f t="shared" ca="1" si="158"/>
        <v>-5.2267275000000009</v>
      </c>
      <c r="AY58" s="593">
        <f t="shared" ca="1" si="158"/>
        <v>0</v>
      </c>
      <c r="AZ58" s="593">
        <f t="shared" ca="1" si="158"/>
        <v>0</v>
      </c>
      <c r="BA58" s="593">
        <f t="shared" ca="1" si="158"/>
        <v>0</v>
      </c>
      <c r="BB58" s="593">
        <f t="shared" ca="1" si="158"/>
        <v>0</v>
      </c>
      <c r="BC58" s="593">
        <f t="shared" ca="1" si="158"/>
        <v>0</v>
      </c>
      <c r="BD58" s="593">
        <f t="shared" ca="1" si="158"/>
        <v>0</v>
      </c>
      <c r="BE58" s="593">
        <f t="shared" ca="1" si="158"/>
        <v>0</v>
      </c>
      <c r="BF58" s="609">
        <f ca="1">SUM(AM58:BE58)</f>
        <v>-5.2267275000000009</v>
      </c>
      <c r="BG58" s="6"/>
      <c r="BH58" s="3471">
        <f t="shared" ca="1" si="160"/>
        <v>0</v>
      </c>
      <c r="BI58" s="3471">
        <f t="shared" ca="1" si="160"/>
        <v>0</v>
      </c>
      <c r="BJ58" s="3460">
        <f ca="1">SUM(BH58:BI58)</f>
        <v>0</v>
      </c>
      <c r="BK58" s="6"/>
      <c r="BL58" s="610">
        <f t="shared" ca="1" si="150"/>
        <v>0</v>
      </c>
      <c r="BM58" s="610"/>
      <c r="BN58" s="413"/>
      <c r="BO58" s="2789">
        <f t="shared" ca="1" si="162"/>
        <v>0</v>
      </c>
      <c r="BP58" s="2790">
        <f t="shared" ca="1" si="162"/>
        <v>0</v>
      </c>
      <c r="BQ58" s="2790">
        <f t="shared" ca="1" si="162"/>
        <v>0</v>
      </c>
      <c r="BR58" s="2790">
        <f t="shared" ca="1" si="162"/>
        <v>0</v>
      </c>
      <c r="BS58" s="2790">
        <f t="shared" ca="1" si="162"/>
        <v>0</v>
      </c>
      <c r="BT58" s="2790">
        <f t="shared" ca="1" si="162"/>
        <v>0</v>
      </c>
      <c r="BU58" s="2790">
        <f t="shared" ca="1" si="162"/>
        <v>0</v>
      </c>
      <c r="BV58" s="2790">
        <f t="shared" ca="1" si="162"/>
        <v>0</v>
      </c>
      <c r="BW58" s="2790">
        <f t="shared" ca="1" si="162"/>
        <v>0</v>
      </c>
      <c r="BX58" s="2790">
        <f t="shared" ca="1" si="162"/>
        <v>0</v>
      </c>
      <c r="BY58" s="2790">
        <f t="shared" ca="1" si="163"/>
        <v>0</v>
      </c>
      <c r="BZ58" s="2790">
        <f t="shared" ca="1" si="163"/>
        <v>0</v>
      </c>
      <c r="CA58" s="2790">
        <f t="shared" ca="1" si="163"/>
        <v>0</v>
      </c>
      <c r="CB58" s="2790">
        <f t="shared" ca="1" si="163"/>
        <v>0</v>
      </c>
      <c r="CC58" s="2790">
        <f t="shared" ca="1" si="163"/>
        <v>0</v>
      </c>
      <c r="CD58" s="2790">
        <f t="shared" ca="1" si="163"/>
        <v>0</v>
      </c>
      <c r="CE58" s="2790">
        <f t="shared" ca="1" si="163"/>
        <v>0</v>
      </c>
      <c r="CF58" s="2790">
        <f t="shared" ca="1" si="163"/>
        <v>0</v>
      </c>
      <c r="CG58" s="2790">
        <f t="shared" ca="1" si="163"/>
        <v>0</v>
      </c>
      <c r="CH58" s="2790">
        <f t="shared" ca="1" si="163"/>
        <v>0</v>
      </c>
      <c r="CI58" s="2790">
        <f t="shared" ca="1" si="164"/>
        <v>0</v>
      </c>
      <c r="CJ58" s="2790">
        <f t="shared" ca="1" si="164"/>
        <v>0</v>
      </c>
      <c r="CK58" s="2790">
        <f t="shared" ca="1" si="164"/>
        <v>0</v>
      </c>
      <c r="CL58" s="2790">
        <f t="shared" ca="1" si="164"/>
        <v>0</v>
      </c>
      <c r="CM58" s="2790">
        <f t="shared" ca="1" si="164"/>
        <v>0</v>
      </c>
      <c r="CN58" s="2790">
        <f t="shared" ca="1" si="164"/>
        <v>0</v>
      </c>
      <c r="CO58" s="2790">
        <f t="shared" ca="1" si="164"/>
        <v>0</v>
      </c>
      <c r="CP58" s="2790">
        <f t="shared" ca="1" si="164"/>
        <v>0</v>
      </c>
      <c r="CQ58" s="2790">
        <f t="shared" ca="1" si="164"/>
        <v>0</v>
      </c>
      <c r="CR58" s="2790">
        <f t="shared" ca="1" si="164"/>
        <v>0</v>
      </c>
      <c r="CS58" s="2790">
        <f t="shared" ca="1" si="165"/>
        <v>0</v>
      </c>
      <c r="CT58" s="2790">
        <f t="shared" ca="1" si="165"/>
        <v>0</v>
      </c>
      <c r="CU58" s="2790">
        <f t="shared" ca="1" si="165"/>
        <v>0</v>
      </c>
      <c r="CV58" s="2790">
        <f t="shared" ca="1" si="165"/>
        <v>0</v>
      </c>
      <c r="CW58" s="2790">
        <f t="shared" ca="1" si="165"/>
        <v>0</v>
      </c>
      <c r="CX58" s="2790">
        <f t="shared" ca="1" si="165"/>
        <v>0</v>
      </c>
      <c r="CY58" s="2790">
        <f t="shared" ca="1" si="165"/>
        <v>0</v>
      </c>
      <c r="CZ58" s="2790">
        <f t="shared" ca="1" si="165"/>
        <v>0</v>
      </c>
      <c r="DA58" s="2790">
        <f t="shared" ca="1" si="165"/>
        <v>0</v>
      </c>
      <c r="DB58" s="2790">
        <f t="shared" ca="1" si="165"/>
        <v>0</v>
      </c>
      <c r="DC58" s="2790">
        <f t="shared" ca="1" si="165"/>
        <v>0</v>
      </c>
      <c r="DD58" s="2790">
        <f t="shared" ca="1" si="165"/>
        <v>0</v>
      </c>
      <c r="DE58" s="2790">
        <f t="shared" ca="1" si="165"/>
        <v>0</v>
      </c>
      <c r="DF58" s="2790">
        <f t="shared" ca="1" si="165"/>
        <v>0</v>
      </c>
      <c r="DH58" s="596">
        <f ca="1">SUM(BO58:DF58)</f>
        <v>0</v>
      </c>
    </row>
    <row r="59" spans="1:112" s="607" customFormat="1" ht="12.75" customHeight="1" outlineLevel="1">
      <c r="C59" s="587" t="s">
        <v>524</v>
      </c>
      <c r="D59" s="588" t="s">
        <v>525</v>
      </c>
      <c r="E59" s="588"/>
      <c r="F59" s="6"/>
      <c r="G59" s="589">
        <f t="shared" ca="1" si="152"/>
        <v>0</v>
      </c>
      <c r="H59" s="589">
        <f t="shared" ca="1" si="152"/>
        <v>0</v>
      </c>
      <c r="I59" s="589">
        <f t="shared" ca="1" si="152"/>
        <v>0</v>
      </c>
      <c r="J59" s="589">
        <f t="shared" ca="1" si="152"/>
        <v>0</v>
      </c>
      <c r="K59" s="589">
        <f t="shared" ca="1" si="152"/>
        <v>0</v>
      </c>
      <c r="L59" s="589">
        <f t="shared" ca="1" si="152"/>
        <v>0</v>
      </c>
      <c r="M59" s="589">
        <f t="shared" ca="1" si="152"/>
        <v>0</v>
      </c>
      <c r="N59" s="589">
        <f t="shared" ca="1" si="152"/>
        <v>0</v>
      </c>
      <c r="O59" s="589">
        <f t="shared" ca="1" si="152"/>
        <v>0</v>
      </c>
      <c r="P59" s="589">
        <f t="shared" ca="1" si="152"/>
        <v>0</v>
      </c>
      <c r="Q59" s="590">
        <f t="shared" ca="1" si="153"/>
        <v>0</v>
      </c>
      <c r="R59" s="6"/>
      <c r="S59" s="591">
        <f t="shared" ca="1" si="154"/>
        <v>0</v>
      </c>
      <c r="T59" s="591">
        <f t="shared" ca="1" si="154"/>
        <v>0.78946596000000002</v>
      </c>
      <c r="U59" s="591">
        <f t="shared" ca="1" si="154"/>
        <v>0</v>
      </c>
      <c r="V59" s="591">
        <f t="shared" ca="1" si="154"/>
        <v>0</v>
      </c>
      <c r="W59" s="591">
        <f t="shared" ca="1" si="154"/>
        <v>0</v>
      </c>
      <c r="X59" s="591">
        <f t="shared" ca="1" si="155"/>
        <v>0</v>
      </c>
      <c r="Y59" s="591">
        <f t="shared" ca="1" si="155"/>
        <v>0</v>
      </c>
      <c r="Z59" s="591">
        <f t="shared" ca="1" si="155"/>
        <v>0</v>
      </c>
      <c r="AA59" s="591">
        <f t="shared" ca="1" si="154"/>
        <v>0</v>
      </c>
      <c r="AB59" s="591">
        <f t="shared" ca="1" si="154"/>
        <v>0</v>
      </c>
      <c r="AC59" s="591">
        <f t="shared" ca="1" si="154"/>
        <v>0</v>
      </c>
      <c r="AD59" s="591">
        <f t="shared" ca="1" si="154"/>
        <v>0</v>
      </c>
      <c r="AE59" s="591">
        <f t="shared" ca="1" si="154"/>
        <v>0</v>
      </c>
      <c r="AF59" s="591">
        <f t="shared" ca="1" si="154"/>
        <v>0</v>
      </c>
      <c r="AG59" s="591">
        <f t="shared" ca="1" si="154"/>
        <v>0</v>
      </c>
      <c r="AH59" s="591">
        <f t="shared" ca="1" si="154"/>
        <v>0</v>
      </c>
      <c r="AI59" s="591">
        <f t="shared" ca="1" si="154"/>
        <v>0</v>
      </c>
      <c r="AJ59" s="591">
        <f t="shared" ca="1" si="154"/>
        <v>0</v>
      </c>
      <c r="AK59" s="592">
        <f t="shared" ca="1" si="156"/>
        <v>0.78946596000000002</v>
      </c>
      <c r="AL59" s="6"/>
      <c r="AM59" s="593">
        <f t="shared" ca="1" si="157"/>
        <v>0</v>
      </c>
      <c r="AN59" s="593">
        <f t="shared" ca="1" si="157"/>
        <v>0</v>
      </c>
      <c r="AO59" s="593">
        <f t="shared" ca="1" si="157"/>
        <v>0</v>
      </c>
      <c r="AP59" s="593">
        <f t="shared" ca="1" si="157"/>
        <v>0</v>
      </c>
      <c r="AQ59" s="593">
        <f t="shared" ca="1" si="157"/>
        <v>0</v>
      </c>
      <c r="AR59" s="593">
        <f t="shared" ca="1" si="157"/>
        <v>0</v>
      </c>
      <c r="AS59" s="593">
        <f t="shared" ca="1" si="157"/>
        <v>0</v>
      </c>
      <c r="AT59" s="593">
        <f t="shared" ca="1" si="157"/>
        <v>0</v>
      </c>
      <c r="AU59" s="593">
        <f t="shared" ca="1" si="157"/>
        <v>0</v>
      </c>
      <c r="AV59" s="593">
        <f t="shared" ca="1" si="158"/>
        <v>0</v>
      </c>
      <c r="AW59" s="593">
        <f t="shared" ca="1" si="158"/>
        <v>0</v>
      </c>
      <c r="AX59" s="593">
        <f t="shared" ca="1" si="158"/>
        <v>0</v>
      </c>
      <c r="AY59" s="593">
        <f t="shared" ca="1" si="158"/>
        <v>0</v>
      </c>
      <c r="AZ59" s="593">
        <f t="shared" ca="1" si="158"/>
        <v>0</v>
      </c>
      <c r="BA59" s="593">
        <f t="shared" ca="1" si="158"/>
        <v>0</v>
      </c>
      <c r="BB59" s="593">
        <f t="shared" ca="1" si="158"/>
        <v>-0.78946596000000002</v>
      </c>
      <c r="BC59" s="593">
        <f t="shared" ca="1" si="158"/>
        <v>0</v>
      </c>
      <c r="BD59" s="593">
        <f t="shared" ca="1" si="158"/>
        <v>0</v>
      </c>
      <c r="BE59" s="593">
        <f t="shared" ca="1" si="158"/>
        <v>0</v>
      </c>
      <c r="BF59" s="609">
        <f t="shared" ca="1" si="159"/>
        <v>-0.78946596000000002</v>
      </c>
      <c r="BG59" s="6"/>
      <c r="BH59" s="3471">
        <f t="shared" ca="1" si="160"/>
        <v>0</v>
      </c>
      <c r="BI59" s="3471">
        <f t="shared" ca="1" si="160"/>
        <v>0</v>
      </c>
      <c r="BJ59" s="3460">
        <f t="shared" ca="1" si="161"/>
        <v>0</v>
      </c>
      <c r="BK59" s="6"/>
      <c r="BL59" s="610">
        <f t="shared" ca="1" si="150"/>
        <v>0</v>
      </c>
      <c r="BM59" s="610"/>
      <c r="BN59" s="413"/>
      <c r="BO59" s="2789">
        <f t="shared" ca="1" si="162"/>
        <v>0</v>
      </c>
      <c r="BP59" s="2790">
        <f t="shared" ca="1" si="162"/>
        <v>0</v>
      </c>
      <c r="BQ59" s="2790">
        <f t="shared" ca="1" si="162"/>
        <v>0</v>
      </c>
      <c r="BR59" s="2790">
        <f t="shared" ca="1" si="162"/>
        <v>0</v>
      </c>
      <c r="BS59" s="2790">
        <f t="shared" ca="1" si="162"/>
        <v>0</v>
      </c>
      <c r="BT59" s="2790">
        <f t="shared" ca="1" si="162"/>
        <v>0</v>
      </c>
      <c r="BU59" s="2790">
        <f t="shared" ca="1" si="162"/>
        <v>0</v>
      </c>
      <c r="BV59" s="2790">
        <f t="shared" ca="1" si="162"/>
        <v>0</v>
      </c>
      <c r="BW59" s="2790">
        <f t="shared" ca="1" si="162"/>
        <v>0</v>
      </c>
      <c r="BX59" s="2790">
        <f t="shared" ca="1" si="162"/>
        <v>0</v>
      </c>
      <c r="BY59" s="2790">
        <f t="shared" ca="1" si="163"/>
        <v>0</v>
      </c>
      <c r="BZ59" s="2790">
        <f t="shared" ca="1" si="163"/>
        <v>0</v>
      </c>
      <c r="CA59" s="2790">
        <f t="shared" ca="1" si="163"/>
        <v>0</v>
      </c>
      <c r="CB59" s="2790">
        <f t="shared" ca="1" si="163"/>
        <v>0</v>
      </c>
      <c r="CC59" s="2790">
        <f t="shared" ca="1" si="163"/>
        <v>0</v>
      </c>
      <c r="CD59" s="2790">
        <f t="shared" ca="1" si="163"/>
        <v>0</v>
      </c>
      <c r="CE59" s="2790">
        <f t="shared" ca="1" si="163"/>
        <v>0</v>
      </c>
      <c r="CF59" s="2790">
        <f t="shared" ca="1" si="163"/>
        <v>0</v>
      </c>
      <c r="CG59" s="2790">
        <f t="shared" ca="1" si="163"/>
        <v>0</v>
      </c>
      <c r="CH59" s="2790">
        <f t="shared" ca="1" si="163"/>
        <v>0</v>
      </c>
      <c r="CI59" s="2790">
        <f t="shared" ca="1" si="164"/>
        <v>0</v>
      </c>
      <c r="CJ59" s="2790">
        <f t="shared" ca="1" si="164"/>
        <v>0</v>
      </c>
      <c r="CK59" s="2790">
        <f t="shared" ca="1" si="164"/>
        <v>0</v>
      </c>
      <c r="CL59" s="2790">
        <f t="shared" ca="1" si="164"/>
        <v>0</v>
      </c>
      <c r="CM59" s="2790">
        <f t="shared" ca="1" si="164"/>
        <v>0</v>
      </c>
      <c r="CN59" s="2790">
        <f t="shared" ca="1" si="164"/>
        <v>0</v>
      </c>
      <c r="CO59" s="2790">
        <f t="shared" ca="1" si="164"/>
        <v>0</v>
      </c>
      <c r="CP59" s="2790">
        <f t="shared" ca="1" si="164"/>
        <v>0</v>
      </c>
      <c r="CQ59" s="2790">
        <f t="shared" ca="1" si="164"/>
        <v>0</v>
      </c>
      <c r="CR59" s="2790">
        <f t="shared" ca="1" si="164"/>
        <v>0</v>
      </c>
      <c r="CS59" s="2790">
        <f t="shared" ca="1" si="165"/>
        <v>0</v>
      </c>
      <c r="CT59" s="2790">
        <f t="shared" ca="1" si="165"/>
        <v>0</v>
      </c>
      <c r="CU59" s="2790">
        <f t="shared" ca="1" si="165"/>
        <v>0</v>
      </c>
      <c r="CV59" s="2790">
        <f t="shared" ca="1" si="165"/>
        <v>0</v>
      </c>
      <c r="CW59" s="2790">
        <f t="shared" ca="1" si="165"/>
        <v>0</v>
      </c>
      <c r="CX59" s="2790">
        <f t="shared" ca="1" si="165"/>
        <v>0</v>
      </c>
      <c r="CY59" s="2790">
        <f t="shared" ca="1" si="165"/>
        <v>0</v>
      </c>
      <c r="CZ59" s="2790">
        <f t="shared" ca="1" si="165"/>
        <v>0</v>
      </c>
      <c r="DA59" s="2790">
        <f t="shared" ca="1" si="165"/>
        <v>0</v>
      </c>
      <c r="DB59" s="2790">
        <f t="shared" ca="1" si="165"/>
        <v>0</v>
      </c>
      <c r="DC59" s="2790">
        <f t="shared" ca="1" si="165"/>
        <v>0</v>
      </c>
      <c r="DD59" s="2790">
        <f t="shared" ca="1" si="165"/>
        <v>0</v>
      </c>
      <c r="DE59" s="2790">
        <f t="shared" ca="1" si="165"/>
        <v>0</v>
      </c>
      <c r="DF59" s="2790">
        <f t="shared" ca="1" si="165"/>
        <v>0</v>
      </c>
      <c r="DH59" s="596">
        <f t="shared" ca="1" si="120"/>
        <v>0</v>
      </c>
    </row>
    <row r="60" spans="1:112" s="607" customFormat="1" ht="12.75" customHeight="1" outlineLevel="1">
      <c r="C60" s="587" t="s">
        <v>526</v>
      </c>
      <c r="D60" s="588" t="s">
        <v>527</v>
      </c>
      <c r="E60" s="588"/>
      <c r="F60" s="6"/>
      <c r="G60" s="589">
        <f t="shared" ca="1" si="152"/>
        <v>0</v>
      </c>
      <c r="H60" s="589">
        <f t="shared" ca="1" si="152"/>
        <v>0</v>
      </c>
      <c r="I60" s="589">
        <f t="shared" ca="1" si="152"/>
        <v>0</v>
      </c>
      <c r="J60" s="589">
        <f t="shared" ca="1" si="152"/>
        <v>0</v>
      </c>
      <c r="K60" s="589">
        <f t="shared" ca="1" si="152"/>
        <v>0</v>
      </c>
      <c r="L60" s="589">
        <f t="shared" ca="1" si="152"/>
        <v>0</v>
      </c>
      <c r="M60" s="589">
        <f t="shared" ca="1" si="152"/>
        <v>0</v>
      </c>
      <c r="N60" s="589">
        <f t="shared" ca="1" si="152"/>
        <v>0</v>
      </c>
      <c r="O60" s="589">
        <f t="shared" ca="1" si="152"/>
        <v>0</v>
      </c>
      <c r="P60" s="589">
        <f t="shared" ca="1" si="152"/>
        <v>0</v>
      </c>
      <c r="Q60" s="590">
        <f t="shared" ca="1" si="153"/>
        <v>0</v>
      </c>
      <c r="R60" s="6"/>
      <c r="S60" s="591">
        <f t="shared" ca="1" si="154"/>
        <v>0</v>
      </c>
      <c r="T60" s="591">
        <f t="shared" ca="1" si="154"/>
        <v>5.4831330000000005</v>
      </c>
      <c r="U60" s="591">
        <f t="shared" ca="1" si="154"/>
        <v>0</v>
      </c>
      <c r="V60" s="591">
        <f t="shared" ca="1" si="154"/>
        <v>0</v>
      </c>
      <c r="W60" s="591">
        <f t="shared" ca="1" si="154"/>
        <v>0</v>
      </c>
      <c r="X60" s="591">
        <f t="shared" ca="1" si="155"/>
        <v>0</v>
      </c>
      <c r="Y60" s="591">
        <f t="shared" ca="1" si="155"/>
        <v>0</v>
      </c>
      <c r="Z60" s="591">
        <f t="shared" ca="1" si="155"/>
        <v>0</v>
      </c>
      <c r="AA60" s="591">
        <f t="shared" ca="1" si="154"/>
        <v>0</v>
      </c>
      <c r="AB60" s="591">
        <f t="shared" ca="1" si="154"/>
        <v>0</v>
      </c>
      <c r="AC60" s="591">
        <f t="shared" ca="1" si="154"/>
        <v>0</v>
      </c>
      <c r="AD60" s="591">
        <f t="shared" ca="1" si="154"/>
        <v>0</v>
      </c>
      <c r="AE60" s="591">
        <f t="shared" ca="1" si="154"/>
        <v>0</v>
      </c>
      <c r="AF60" s="591">
        <f t="shared" ca="1" si="154"/>
        <v>0</v>
      </c>
      <c r="AG60" s="591">
        <f t="shared" ca="1" si="154"/>
        <v>0</v>
      </c>
      <c r="AH60" s="591">
        <f t="shared" ca="1" si="154"/>
        <v>0</v>
      </c>
      <c r="AI60" s="591">
        <f t="shared" ca="1" si="154"/>
        <v>0</v>
      </c>
      <c r="AJ60" s="591">
        <f t="shared" ca="1" si="154"/>
        <v>0</v>
      </c>
      <c r="AK60" s="592">
        <f t="shared" ca="1" si="156"/>
        <v>5.4831330000000005</v>
      </c>
      <c r="AL60" s="6"/>
      <c r="AM60" s="593">
        <f t="shared" ca="1" si="157"/>
        <v>0</v>
      </c>
      <c r="AN60" s="593">
        <f t="shared" ca="1" si="157"/>
        <v>0</v>
      </c>
      <c r="AO60" s="593">
        <f t="shared" ca="1" si="157"/>
        <v>0</v>
      </c>
      <c r="AP60" s="593">
        <f t="shared" ca="1" si="157"/>
        <v>0</v>
      </c>
      <c r="AQ60" s="593">
        <f t="shared" ca="1" si="157"/>
        <v>0</v>
      </c>
      <c r="AR60" s="593">
        <f t="shared" ca="1" si="157"/>
        <v>0</v>
      </c>
      <c r="AS60" s="593">
        <f t="shared" ca="1" si="157"/>
        <v>0</v>
      </c>
      <c r="AT60" s="593">
        <f t="shared" ca="1" si="157"/>
        <v>0</v>
      </c>
      <c r="AU60" s="593">
        <f t="shared" ca="1" si="157"/>
        <v>0</v>
      </c>
      <c r="AV60" s="593">
        <f t="shared" ca="1" si="158"/>
        <v>0</v>
      </c>
      <c r="AW60" s="593">
        <f t="shared" ca="1" si="158"/>
        <v>0</v>
      </c>
      <c r="AX60" s="593">
        <f t="shared" ca="1" si="158"/>
        <v>0</v>
      </c>
      <c r="AY60" s="593">
        <f t="shared" ca="1" si="158"/>
        <v>-1.5778800000000002</v>
      </c>
      <c r="AZ60" s="593">
        <f t="shared" ca="1" si="158"/>
        <v>-3.9052530000000001</v>
      </c>
      <c r="BA60" s="593">
        <f t="shared" ca="1" si="158"/>
        <v>0</v>
      </c>
      <c r="BB60" s="593">
        <f t="shared" ca="1" si="158"/>
        <v>0</v>
      </c>
      <c r="BC60" s="593">
        <f t="shared" ca="1" si="158"/>
        <v>0</v>
      </c>
      <c r="BD60" s="593">
        <f t="shared" ca="1" si="158"/>
        <v>0</v>
      </c>
      <c r="BE60" s="593">
        <f t="shared" ca="1" si="158"/>
        <v>0</v>
      </c>
      <c r="BF60" s="609">
        <f t="shared" ca="1" si="159"/>
        <v>-5.4831330000000005</v>
      </c>
      <c r="BG60" s="6"/>
      <c r="BH60" s="3471">
        <f t="shared" ca="1" si="160"/>
        <v>0</v>
      </c>
      <c r="BI60" s="3471">
        <f t="shared" ca="1" si="160"/>
        <v>0</v>
      </c>
      <c r="BJ60" s="3460">
        <f t="shared" ca="1" si="161"/>
        <v>0</v>
      </c>
      <c r="BK60" s="6"/>
      <c r="BL60" s="610">
        <f t="shared" ca="1" si="150"/>
        <v>0</v>
      </c>
      <c r="BM60" s="610"/>
      <c r="BN60" s="413"/>
      <c r="BO60" s="2789">
        <f t="shared" ca="1" si="162"/>
        <v>0</v>
      </c>
      <c r="BP60" s="2790">
        <f t="shared" ca="1" si="162"/>
        <v>0</v>
      </c>
      <c r="BQ60" s="2790">
        <f t="shared" ca="1" si="162"/>
        <v>0</v>
      </c>
      <c r="BR60" s="2790">
        <f t="shared" ca="1" si="162"/>
        <v>0</v>
      </c>
      <c r="BS60" s="2790">
        <f t="shared" ca="1" si="162"/>
        <v>0</v>
      </c>
      <c r="BT60" s="2790">
        <f t="shared" ca="1" si="162"/>
        <v>0</v>
      </c>
      <c r="BU60" s="2790">
        <f t="shared" ca="1" si="162"/>
        <v>0</v>
      </c>
      <c r="BV60" s="2790">
        <f t="shared" ca="1" si="162"/>
        <v>0</v>
      </c>
      <c r="BW60" s="2790">
        <f t="shared" ca="1" si="162"/>
        <v>0</v>
      </c>
      <c r="BX60" s="2790">
        <f t="shared" ca="1" si="162"/>
        <v>0</v>
      </c>
      <c r="BY60" s="2790">
        <f t="shared" ca="1" si="163"/>
        <v>0</v>
      </c>
      <c r="BZ60" s="2790">
        <f t="shared" ca="1" si="163"/>
        <v>0</v>
      </c>
      <c r="CA60" s="2790">
        <f t="shared" ca="1" si="163"/>
        <v>0</v>
      </c>
      <c r="CB60" s="2790">
        <f t="shared" ca="1" si="163"/>
        <v>0</v>
      </c>
      <c r="CC60" s="2790">
        <f t="shared" ca="1" si="163"/>
        <v>0</v>
      </c>
      <c r="CD60" s="2790">
        <f t="shared" ca="1" si="163"/>
        <v>0</v>
      </c>
      <c r="CE60" s="2790">
        <f t="shared" ca="1" si="163"/>
        <v>0</v>
      </c>
      <c r="CF60" s="2790">
        <f t="shared" ca="1" si="163"/>
        <v>0</v>
      </c>
      <c r="CG60" s="2790">
        <f t="shared" ca="1" si="163"/>
        <v>0</v>
      </c>
      <c r="CH60" s="2790">
        <f t="shared" ca="1" si="163"/>
        <v>0</v>
      </c>
      <c r="CI60" s="2790">
        <f t="shared" ca="1" si="164"/>
        <v>0</v>
      </c>
      <c r="CJ60" s="2790">
        <f t="shared" ca="1" si="164"/>
        <v>0</v>
      </c>
      <c r="CK60" s="2790">
        <f t="shared" ca="1" si="164"/>
        <v>0</v>
      </c>
      <c r="CL60" s="2790">
        <f t="shared" ca="1" si="164"/>
        <v>0</v>
      </c>
      <c r="CM60" s="2790">
        <f t="shared" ca="1" si="164"/>
        <v>0</v>
      </c>
      <c r="CN60" s="2790">
        <f t="shared" ca="1" si="164"/>
        <v>0</v>
      </c>
      <c r="CO60" s="2790">
        <f t="shared" ca="1" si="164"/>
        <v>0</v>
      </c>
      <c r="CP60" s="2790">
        <f t="shared" ca="1" si="164"/>
        <v>0</v>
      </c>
      <c r="CQ60" s="2790">
        <f t="shared" ca="1" si="164"/>
        <v>0</v>
      </c>
      <c r="CR60" s="2790">
        <f t="shared" ca="1" si="164"/>
        <v>0</v>
      </c>
      <c r="CS60" s="2790">
        <f t="shared" ca="1" si="165"/>
        <v>0</v>
      </c>
      <c r="CT60" s="2790">
        <f t="shared" ca="1" si="165"/>
        <v>0</v>
      </c>
      <c r="CU60" s="2790">
        <f t="shared" ca="1" si="165"/>
        <v>0</v>
      </c>
      <c r="CV60" s="2790">
        <f t="shared" ca="1" si="165"/>
        <v>0</v>
      </c>
      <c r="CW60" s="2790">
        <f t="shared" ca="1" si="165"/>
        <v>0</v>
      </c>
      <c r="CX60" s="2790">
        <f t="shared" ca="1" si="165"/>
        <v>0</v>
      </c>
      <c r="CY60" s="2790">
        <f t="shared" ca="1" si="165"/>
        <v>0</v>
      </c>
      <c r="CZ60" s="2790">
        <f t="shared" ca="1" si="165"/>
        <v>0</v>
      </c>
      <c r="DA60" s="2790">
        <f t="shared" ca="1" si="165"/>
        <v>0</v>
      </c>
      <c r="DB60" s="2790">
        <f t="shared" ca="1" si="165"/>
        <v>0</v>
      </c>
      <c r="DC60" s="2790">
        <f t="shared" ca="1" si="165"/>
        <v>0</v>
      </c>
      <c r="DD60" s="2790">
        <f t="shared" ca="1" si="165"/>
        <v>0</v>
      </c>
      <c r="DE60" s="2790">
        <f t="shared" ca="1" si="165"/>
        <v>0</v>
      </c>
      <c r="DF60" s="2790">
        <f t="shared" ca="1" si="165"/>
        <v>0</v>
      </c>
      <c r="DH60" s="596">
        <f t="shared" ca="1" si="120"/>
        <v>0</v>
      </c>
    </row>
    <row r="61" spans="1:112" s="607" customFormat="1" ht="12.75" customHeight="1" outlineLevel="1">
      <c r="C61" s="587" t="s">
        <v>528</v>
      </c>
      <c r="D61" s="588" t="s">
        <v>529</v>
      </c>
      <c r="E61" s="588"/>
      <c r="F61" s="6"/>
      <c r="G61" s="589">
        <f t="shared" ca="1" si="152"/>
        <v>0</v>
      </c>
      <c r="H61" s="589">
        <f t="shared" ca="1" si="152"/>
        <v>0</v>
      </c>
      <c r="I61" s="589">
        <f t="shared" ca="1" si="152"/>
        <v>0</v>
      </c>
      <c r="J61" s="589">
        <f t="shared" ca="1" si="152"/>
        <v>0</v>
      </c>
      <c r="K61" s="589">
        <f t="shared" ca="1" si="152"/>
        <v>0</v>
      </c>
      <c r="L61" s="589">
        <f t="shared" ca="1" si="152"/>
        <v>0</v>
      </c>
      <c r="M61" s="589">
        <f t="shared" ca="1" si="152"/>
        <v>0</v>
      </c>
      <c r="N61" s="589">
        <f t="shared" ca="1" si="152"/>
        <v>0</v>
      </c>
      <c r="O61" s="589">
        <f t="shared" ca="1" si="152"/>
        <v>0</v>
      </c>
      <c r="P61" s="589">
        <f t="shared" ca="1" si="152"/>
        <v>0</v>
      </c>
      <c r="Q61" s="590">
        <f t="shared" ca="1" si="153"/>
        <v>0</v>
      </c>
      <c r="R61" s="6"/>
      <c r="S61" s="591">
        <f t="shared" ca="1" si="154"/>
        <v>0</v>
      </c>
      <c r="T61" s="591">
        <f t="shared" ca="1" si="154"/>
        <v>0</v>
      </c>
      <c r="U61" s="591">
        <f t="shared" ca="1" si="154"/>
        <v>0</v>
      </c>
      <c r="V61" s="591">
        <f t="shared" ca="1" si="154"/>
        <v>0</v>
      </c>
      <c r="W61" s="591">
        <f t="shared" ca="1" si="154"/>
        <v>0</v>
      </c>
      <c r="X61" s="591">
        <f t="shared" ca="1" si="155"/>
        <v>0</v>
      </c>
      <c r="Y61" s="591">
        <f t="shared" ca="1" si="155"/>
        <v>0</v>
      </c>
      <c r="Z61" s="591">
        <f t="shared" ca="1" si="155"/>
        <v>0</v>
      </c>
      <c r="AA61" s="591">
        <f t="shared" ca="1" si="154"/>
        <v>0</v>
      </c>
      <c r="AB61" s="591">
        <f t="shared" ca="1" si="154"/>
        <v>0</v>
      </c>
      <c r="AC61" s="591">
        <f t="shared" ca="1" si="154"/>
        <v>0</v>
      </c>
      <c r="AD61" s="591">
        <f t="shared" ca="1" si="154"/>
        <v>0</v>
      </c>
      <c r="AE61" s="591">
        <f t="shared" ca="1" si="154"/>
        <v>0</v>
      </c>
      <c r="AF61" s="591">
        <f t="shared" ca="1" si="154"/>
        <v>0</v>
      </c>
      <c r="AG61" s="591">
        <f t="shared" ca="1" si="154"/>
        <v>0</v>
      </c>
      <c r="AH61" s="591">
        <f t="shared" ca="1" si="154"/>
        <v>0</v>
      </c>
      <c r="AI61" s="591">
        <f t="shared" ca="1" si="154"/>
        <v>0</v>
      </c>
      <c r="AJ61" s="591">
        <f t="shared" ca="1" si="154"/>
        <v>0</v>
      </c>
      <c r="AK61" s="592">
        <f t="shared" ca="1" si="156"/>
        <v>0</v>
      </c>
      <c r="AL61" s="6"/>
      <c r="AM61" s="593">
        <f t="shared" ca="1" si="157"/>
        <v>0</v>
      </c>
      <c r="AN61" s="593">
        <f t="shared" ca="1" si="157"/>
        <v>0</v>
      </c>
      <c r="AO61" s="593">
        <f t="shared" ca="1" si="157"/>
        <v>0</v>
      </c>
      <c r="AP61" s="593">
        <f t="shared" ca="1" si="157"/>
        <v>0</v>
      </c>
      <c r="AQ61" s="593">
        <f t="shared" ca="1" si="157"/>
        <v>0</v>
      </c>
      <c r="AR61" s="593">
        <f t="shared" ca="1" si="157"/>
        <v>0</v>
      </c>
      <c r="AS61" s="593">
        <f t="shared" ca="1" si="157"/>
        <v>0</v>
      </c>
      <c r="AT61" s="593">
        <f t="shared" ca="1" si="157"/>
        <v>0</v>
      </c>
      <c r="AU61" s="593">
        <f t="shared" ca="1" si="157"/>
        <v>0</v>
      </c>
      <c r="AV61" s="593">
        <f t="shared" ca="1" si="158"/>
        <v>0</v>
      </c>
      <c r="AW61" s="593">
        <f t="shared" ca="1" si="158"/>
        <v>0</v>
      </c>
      <c r="AX61" s="593">
        <f t="shared" ca="1" si="158"/>
        <v>0</v>
      </c>
      <c r="AY61" s="593">
        <f t="shared" ca="1" si="158"/>
        <v>0</v>
      </c>
      <c r="AZ61" s="593">
        <f t="shared" ca="1" si="158"/>
        <v>0</v>
      </c>
      <c r="BA61" s="593">
        <f t="shared" ca="1" si="158"/>
        <v>0</v>
      </c>
      <c r="BB61" s="593">
        <f t="shared" ca="1" si="158"/>
        <v>0</v>
      </c>
      <c r="BC61" s="593">
        <f t="shared" ca="1" si="158"/>
        <v>0</v>
      </c>
      <c r="BD61" s="593">
        <f t="shared" ca="1" si="158"/>
        <v>0</v>
      </c>
      <c r="BE61" s="593">
        <f t="shared" ca="1" si="158"/>
        <v>0</v>
      </c>
      <c r="BF61" s="609">
        <f t="shared" ca="1" si="159"/>
        <v>0</v>
      </c>
      <c r="BG61" s="6"/>
      <c r="BH61" s="3471">
        <f t="shared" ca="1" si="160"/>
        <v>0</v>
      </c>
      <c r="BI61" s="3471">
        <f t="shared" ca="1" si="160"/>
        <v>0</v>
      </c>
      <c r="BJ61" s="3460">
        <f t="shared" ca="1" si="161"/>
        <v>0</v>
      </c>
      <c r="BK61" s="6"/>
      <c r="BL61" s="610">
        <f t="shared" ca="1" si="150"/>
        <v>0</v>
      </c>
      <c r="BM61" s="610"/>
      <c r="BN61" s="413"/>
      <c r="BO61" s="2789">
        <f t="shared" ca="1" si="162"/>
        <v>0</v>
      </c>
      <c r="BP61" s="2790">
        <f t="shared" ca="1" si="162"/>
        <v>0</v>
      </c>
      <c r="BQ61" s="2790">
        <f t="shared" ca="1" si="162"/>
        <v>0</v>
      </c>
      <c r="BR61" s="2790">
        <f t="shared" ca="1" si="162"/>
        <v>0</v>
      </c>
      <c r="BS61" s="2790">
        <f t="shared" ca="1" si="162"/>
        <v>0</v>
      </c>
      <c r="BT61" s="2790">
        <f t="shared" ca="1" si="162"/>
        <v>0</v>
      </c>
      <c r="BU61" s="2790">
        <f t="shared" ca="1" si="162"/>
        <v>0</v>
      </c>
      <c r="BV61" s="2790">
        <f t="shared" ca="1" si="162"/>
        <v>0</v>
      </c>
      <c r="BW61" s="2790">
        <f t="shared" ca="1" si="162"/>
        <v>0</v>
      </c>
      <c r="BX61" s="2790">
        <f t="shared" ca="1" si="162"/>
        <v>0</v>
      </c>
      <c r="BY61" s="2790">
        <f t="shared" ca="1" si="163"/>
        <v>0</v>
      </c>
      <c r="BZ61" s="2790">
        <f t="shared" ca="1" si="163"/>
        <v>0</v>
      </c>
      <c r="CA61" s="2790">
        <f t="shared" ca="1" si="163"/>
        <v>0</v>
      </c>
      <c r="CB61" s="2790">
        <f t="shared" ca="1" si="163"/>
        <v>0</v>
      </c>
      <c r="CC61" s="2790">
        <f t="shared" ca="1" si="163"/>
        <v>0</v>
      </c>
      <c r="CD61" s="2790">
        <f t="shared" ca="1" si="163"/>
        <v>0</v>
      </c>
      <c r="CE61" s="2790">
        <f t="shared" ca="1" si="163"/>
        <v>0</v>
      </c>
      <c r="CF61" s="2790">
        <f t="shared" ca="1" si="163"/>
        <v>0</v>
      </c>
      <c r="CG61" s="2790">
        <f t="shared" ca="1" si="163"/>
        <v>0</v>
      </c>
      <c r="CH61" s="2790">
        <f t="shared" ca="1" si="163"/>
        <v>0</v>
      </c>
      <c r="CI61" s="2790">
        <f t="shared" ca="1" si="164"/>
        <v>0</v>
      </c>
      <c r="CJ61" s="2790">
        <f t="shared" ca="1" si="164"/>
        <v>0</v>
      </c>
      <c r="CK61" s="2790">
        <f t="shared" ca="1" si="164"/>
        <v>0</v>
      </c>
      <c r="CL61" s="2790">
        <f t="shared" ca="1" si="164"/>
        <v>0</v>
      </c>
      <c r="CM61" s="2790">
        <f t="shared" ca="1" si="164"/>
        <v>0</v>
      </c>
      <c r="CN61" s="2790">
        <f t="shared" ca="1" si="164"/>
        <v>0</v>
      </c>
      <c r="CO61" s="2790">
        <f t="shared" ca="1" si="164"/>
        <v>0</v>
      </c>
      <c r="CP61" s="2790">
        <f t="shared" ca="1" si="164"/>
        <v>0</v>
      </c>
      <c r="CQ61" s="2790">
        <f t="shared" ca="1" si="164"/>
        <v>0</v>
      </c>
      <c r="CR61" s="2790">
        <f t="shared" ca="1" si="164"/>
        <v>0</v>
      </c>
      <c r="CS61" s="2790">
        <f t="shared" ca="1" si="165"/>
        <v>0</v>
      </c>
      <c r="CT61" s="2790">
        <f t="shared" ca="1" si="165"/>
        <v>0</v>
      </c>
      <c r="CU61" s="2790">
        <f t="shared" ca="1" si="165"/>
        <v>0</v>
      </c>
      <c r="CV61" s="2790">
        <f t="shared" ca="1" si="165"/>
        <v>0</v>
      </c>
      <c r="CW61" s="2790">
        <f t="shared" ca="1" si="165"/>
        <v>0</v>
      </c>
      <c r="CX61" s="2790">
        <f t="shared" ca="1" si="165"/>
        <v>0</v>
      </c>
      <c r="CY61" s="2790">
        <f t="shared" ca="1" si="165"/>
        <v>0</v>
      </c>
      <c r="CZ61" s="2790">
        <f t="shared" ca="1" si="165"/>
        <v>0</v>
      </c>
      <c r="DA61" s="2790">
        <f t="shared" ca="1" si="165"/>
        <v>0</v>
      </c>
      <c r="DB61" s="2790">
        <f t="shared" ca="1" si="165"/>
        <v>0</v>
      </c>
      <c r="DC61" s="2790">
        <f t="shared" ca="1" si="165"/>
        <v>0</v>
      </c>
      <c r="DD61" s="2790">
        <f t="shared" ca="1" si="165"/>
        <v>0</v>
      </c>
      <c r="DE61" s="2790">
        <f t="shared" ca="1" si="165"/>
        <v>0</v>
      </c>
      <c r="DF61" s="2790">
        <f t="shared" ca="1" si="165"/>
        <v>0</v>
      </c>
      <c r="DH61" s="596">
        <f t="shared" ca="1" si="120"/>
        <v>0</v>
      </c>
    </row>
    <row r="62" spans="1:112" s="6" customFormat="1" ht="12.75" customHeight="1" outlineLevel="1">
      <c r="A62" s="607"/>
      <c r="B62" s="607"/>
      <c r="C62" s="587" t="s">
        <v>530</v>
      </c>
      <c r="D62" s="611" t="s">
        <v>531</v>
      </c>
      <c r="E62" s="611"/>
      <c r="G62" s="619">
        <f t="shared" ca="1" si="152"/>
        <v>0</v>
      </c>
      <c r="H62" s="619">
        <f t="shared" ca="1" si="152"/>
        <v>0</v>
      </c>
      <c r="I62" s="619">
        <f t="shared" ca="1" si="152"/>
        <v>0</v>
      </c>
      <c r="J62" s="619">
        <f t="shared" ca="1" si="152"/>
        <v>0</v>
      </c>
      <c r="K62" s="619">
        <f t="shared" ca="1" si="152"/>
        <v>0</v>
      </c>
      <c r="L62" s="619">
        <f t="shared" ca="1" si="152"/>
        <v>0</v>
      </c>
      <c r="M62" s="619">
        <f t="shared" ca="1" si="152"/>
        <v>0</v>
      </c>
      <c r="N62" s="619">
        <f t="shared" ca="1" si="152"/>
        <v>0</v>
      </c>
      <c r="O62" s="619">
        <f t="shared" ca="1" si="152"/>
        <v>0</v>
      </c>
      <c r="P62" s="619">
        <f t="shared" ca="1" si="152"/>
        <v>0</v>
      </c>
      <c r="Q62" s="612">
        <f t="shared" ca="1" si="153"/>
        <v>0</v>
      </c>
      <c r="S62" s="620">
        <f t="shared" ca="1" si="154"/>
        <v>0</v>
      </c>
      <c r="T62" s="620">
        <f t="shared" ca="1" si="154"/>
        <v>0</v>
      </c>
      <c r="U62" s="620">
        <f t="shared" ca="1" si="154"/>
        <v>0</v>
      </c>
      <c r="V62" s="620">
        <f t="shared" ca="1" si="154"/>
        <v>0</v>
      </c>
      <c r="W62" s="620">
        <f t="shared" ca="1" si="154"/>
        <v>0</v>
      </c>
      <c r="X62" s="620">
        <f t="shared" ca="1" si="155"/>
        <v>0</v>
      </c>
      <c r="Y62" s="620">
        <f t="shared" ca="1" si="155"/>
        <v>0</v>
      </c>
      <c r="Z62" s="620">
        <f t="shared" ca="1" si="155"/>
        <v>0</v>
      </c>
      <c r="AA62" s="620">
        <f t="shared" ca="1" si="154"/>
        <v>0</v>
      </c>
      <c r="AB62" s="620">
        <f t="shared" ca="1" si="154"/>
        <v>0</v>
      </c>
      <c r="AC62" s="620">
        <f t="shared" ca="1" si="154"/>
        <v>0</v>
      </c>
      <c r="AD62" s="620">
        <f t="shared" ca="1" si="154"/>
        <v>0</v>
      </c>
      <c r="AE62" s="620">
        <f t="shared" ca="1" si="154"/>
        <v>0</v>
      </c>
      <c r="AF62" s="620">
        <f t="shared" ca="1" si="154"/>
        <v>0</v>
      </c>
      <c r="AG62" s="620">
        <f t="shared" ca="1" si="154"/>
        <v>0</v>
      </c>
      <c r="AH62" s="620">
        <f t="shared" ca="1" si="154"/>
        <v>0</v>
      </c>
      <c r="AI62" s="620">
        <f t="shared" ca="1" si="154"/>
        <v>0</v>
      </c>
      <c r="AJ62" s="620">
        <f t="shared" ca="1" si="154"/>
        <v>0</v>
      </c>
      <c r="AK62" s="613">
        <f t="shared" ca="1" si="156"/>
        <v>0</v>
      </c>
      <c r="AM62" s="621">
        <f t="shared" ca="1" si="157"/>
        <v>0</v>
      </c>
      <c r="AN62" s="621">
        <f t="shared" ca="1" si="157"/>
        <v>0</v>
      </c>
      <c r="AO62" s="621">
        <f t="shared" ca="1" si="157"/>
        <v>0</v>
      </c>
      <c r="AP62" s="621">
        <f t="shared" ca="1" si="157"/>
        <v>0</v>
      </c>
      <c r="AQ62" s="621">
        <f t="shared" ca="1" si="157"/>
        <v>0</v>
      </c>
      <c r="AR62" s="621">
        <f t="shared" ca="1" si="157"/>
        <v>0</v>
      </c>
      <c r="AS62" s="621">
        <f t="shared" ca="1" si="157"/>
        <v>0</v>
      </c>
      <c r="AT62" s="621">
        <f t="shared" ca="1" si="157"/>
        <v>0</v>
      </c>
      <c r="AU62" s="621">
        <f t="shared" ca="1" si="157"/>
        <v>0</v>
      </c>
      <c r="AV62" s="621">
        <f t="shared" ca="1" si="158"/>
        <v>0</v>
      </c>
      <c r="AW62" s="621">
        <f t="shared" ca="1" si="158"/>
        <v>0</v>
      </c>
      <c r="AX62" s="621">
        <f t="shared" ca="1" si="158"/>
        <v>0</v>
      </c>
      <c r="AY62" s="621">
        <f t="shared" ca="1" si="158"/>
        <v>0</v>
      </c>
      <c r="AZ62" s="621">
        <f t="shared" ca="1" si="158"/>
        <v>0</v>
      </c>
      <c r="BA62" s="621">
        <f t="shared" ca="1" si="158"/>
        <v>0</v>
      </c>
      <c r="BB62" s="621">
        <f t="shared" ca="1" si="158"/>
        <v>0</v>
      </c>
      <c r="BC62" s="621">
        <f t="shared" ca="1" si="158"/>
        <v>0</v>
      </c>
      <c r="BD62" s="621">
        <f t="shared" ca="1" si="158"/>
        <v>0</v>
      </c>
      <c r="BE62" s="621">
        <f t="shared" ca="1" si="158"/>
        <v>0</v>
      </c>
      <c r="BF62" s="615">
        <f t="shared" ca="1" si="159"/>
        <v>0</v>
      </c>
      <c r="BH62" s="3473">
        <f t="shared" ca="1" si="160"/>
        <v>0</v>
      </c>
      <c r="BI62" s="3473">
        <f t="shared" ca="1" si="160"/>
        <v>0</v>
      </c>
      <c r="BJ62" s="3462">
        <f t="shared" ca="1" si="161"/>
        <v>0</v>
      </c>
      <c r="BL62" s="610">
        <f t="shared" ca="1" si="150"/>
        <v>0</v>
      </c>
      <c r="BM62" s="610"/>
      <c r="BN62" s="413"/>
      <c r="BO62" s="2791">
        <f t="shared" ca="1" si="162"/>
        <v>0</v>
      </c>
      <c r="BP62" s="2792">
        <f t="shared" ca="1" si="162"/>
        <v>0</v>
      </c>
      <c r="BQ62" s="2792">
        <f t="shared" ca="1" si="162"/>
        <v>0</v>
      </c>
      <c r="BR62" s="2792">
        <f t="shared" ca="1" si="162"/>
        <v>0</v>
      </c>
      <c r="BS62" s="2792">
        <f t="shared" ca="1" si="162"/>
        <v>0</v>
      </c>
      <c r="BT62" s="2792">
        <f t="shared" ca="1" si="162"/>
        <v>0</v>
      </c>
      <c r="BU62" s="2792">
        <f t="shared" ca="1" si="162"/>
        <v>0</v>
      </c>
      <c r="BV62" s="2792">
        <f t="shared" ca="1" si="162"/>
        <v>0</v>
      </c>
      <c r="BW62" s="2792">
        <f t="shared" ca="1" si="162"/>
        <v>0</v>
      </c>
      <c r="BX62" s="2792">
        <f t="shared" ca="1" si="162"/>
        <v>0</v>
      </c>
      <c r="BY62" s="2792">
        <f t="shared" ca="1" si="163"/>
        <v>0</v>
      </c>
      <c r="BZ62" s="2792">
        <f t="shared" ca="1" si="163"/>
        <v>0</v>
      </c>
      <c r="CA62" s="2792">
        <f t="shared" ca="1" si="163"/>
        <v>0</v>
      </c>
      <c r="CB62" s="2792">
        <f t="shared" ca="1" si="163"/>
        <v>0</v>
      </c>
      <c r="CC62" s="2792">
        <f t="shared" ca="1" si="163"/>
        <v>0</v>
      </c>
      <c r="CD62" s="2792">
        <f t="shared" ca="1" si="163"/>
        <v>0</v>
      </c>
      <c r="CE62" s="2792">
        <f t="shared" ca="1" si="163"/>
        <v>0</v>
      </c>
      <c r="CF62" s="2792">
        <f t="shared" ca="1" si="163"/>
        <v>0</v>
      </c>
      <c r="CG62" s="2792">
        <f t="shared" ca="1" si="163"/>
        <v>0</v>
      </c>
      <c r="CH62" s="2792">
        <f t="shared" ca="1" si="163"/>
        <v>0</v>
      </c>
      <c r="CI62" s="2792">
        <f t="shared" ca="1" si="164"/>
        <v>0</v>
      </c>
      <c r="CJ62" s="2792">
        <f t="shared" ca="1" si="164"/>
        <v>0</v>
      </c>
      <c r="CK62" s="2792">
        <f t="shared" ca="1" si="164"/>
        <v>0</v>
      </c>
      <c r="CL62" s="2792">
        <f t="shared" ca="1" si="164"/>
        <v>0</v>
      </c>
      <c r="CM62" s="2792">
        <f t="shared" ca="1" si="164"/>
        <v>0</v>
      </c>
      <c r="CN62" s="2792">
        <f t="shared" ca="1" si="164"/>
        <v>0</v>
      </c>
      <c r="CO62" s="2792">
        <f t="shared" ca="1" si="164"/>
        <v>0</v>
      </c>
      <c r="CP62" s="2792">
        <f t="shared" ca="1" si="164"/>
        <v>0</v>
      </c>
      <c r="CQ62" s="2792">
        <f t="shared" ca="1" si="164"/>
        <v>0</v>
      </c>
      <c r="CR62" s="2792">
        <f t="shared" ca="1" si="164"/>
        <v>0</v>
      </c>
      <c r="CS62" s="2792">
        <f t="shared" ca="1" si="165"/>
        <v>0</v>
      </c>
      <c r="CT62" s="2792">
        <f t="shared" ca="1" si="165"/>
        <v>0</v>
      </c>
      <c r="CU62" s="2792">
        <f t="shared" ca="1" si="165"/>
        <v>0</v>
      </c>
      <c r="CV62" s="2792">
        <f t="shared" ca="1" si="165"/>
        <v>0</v>
      </c>
      <c r="CW62" s="2792">
        <f t="shared" ca="1" si="165"/>
        <v>0</v>
      </c>
      <c r="CX62" s="2792">
        <f t="shared" ca="1" si="165"/>
        <v>0</v>
      </c>
      <c r="CY62" s="2792">
        <f t="shared" ca="1" si="165"/>
        <v>0</v>
      </c>
      <c r="CZ62" s="2792">
        <f t="shared" ca="1" si="165"/>
        <v>0</v>
      </c>
      <c r="DA62" s="2792">
        <f t="shared" ca="1" si="165"/>
        <v>0</v>
      </c>
      <c r="DB62" s="2792">
        <f t="shared" ca="1" si="165"/>
        <v>0</v>
      </c>
      <c r="DC62" s="2792">
        <f t="shared" ca="1" si="165"/>
        <v>0</v>
      </c>
      <c r="DD62" s="2792">
        <f t="shared" ca="1" si="165"/>
        <v>0</v>
      </c>
      <c r="DE62" s="2792">
        <f t="shared" ca="1" si="165"/>
        <v>0</v>
      </c>
      <c r="DF62" s="2792">
        <f t="shared" ca="1" si="165"/>
        <v>0</v>
      </c>
      <c r="DH62" s="596">
        <f t="shared" ca="1" si="120"/>
        <v>0</v>
      </c>
    </row>
    <row r="63" spans="1:112" s="6" customFormat="1" ht="15.75">
      <c r="A63" s="4"/>
      <c r="B63" s="3"/>
      <c r="C63" s="616" t="s">
        <v>532</v>
      </c>
      <c r="D63" s="617" t="s">
        <v>533</v>
      </c>
      <c r="E63" s="206"/>
      <c r="G63" s="579">
        <f t="shared" ref="G63:P63" ca="1" si="166">SUM(G57:G62)</f>
        <v>0</v>
      </c>
      <c r="H63" s="579">
        <f t="shared" ca="1" si="166"/>
        <v>0</v>
      </c>
      <c r="I63" s="579">
        <f t="shared" ca="1" si="166"/>
        <v>0</v>
      </c>
      <c r="J63" s="579">
        <f t="shared" ca="1" si="166"/>
        <v>0</v>
      </c>
      <c r="K63" s="579">
        <f t="shared" ca="1" si="166"/>
        <v>0</v>
      </c>
      <c r="L63" s="579">
        <f t="shared" ca="1" si="166"/>
        <v>0</v>
      </c>
      <c r="M63" s="579">
        <f t="shared" ca="1" si="166"/>
        <v>0</v>
      </c>
      <c r="N63" s="579">
        <f t="shared" ca="1" si="166"/>
        <v>0</v>
      </c>
      <c r="O63" s="579">
        <f t="shared" ca="1" si="166"/>
        <v>0</v>
      </c>
      <c r="P63" s="579">
        <f t="shared" ca="1" si="166"/>
        <v>0</v>
      </c>
      <c r="Q63" s="618">
        <f t="shared" ca="1" si="153"/>
        <v>0</v>
      </c>
      <c r="S63" s="581">
        <f t="shared" ref="S63:AJ63" ca="1" si="167">SUM(S57:S62)</f>
        <v>0</v>
      </c>
      <c r="T63" s="581">
        <f t="shared" ca="1" si="167"/>
        <v>33.842107260000006</v>
      </c>
      <c r="U63" s="581">
        <f t="shared" ca="1" si="167"/>
        <v>0</v>
      </c>
      <c r="V63" s="581">
        <f t="shared" ca="1" si="167"/>
        <v>0</v>
      </c>
      <c r="W63" s="581">
        <f t="shared" ca="1" si="167"/>
        <v>0</v>
      </c>
      <c r="X63" s="581">
        <f t="shared" ca="1" si="167"/>
        <v>0</v>
      </c>
      <c r="Y63" s="581">
        <f t="shared" ca="1" si="167"/>
        <v>0</v>
      </c>
      <c r="Z63" s="581">
        <f t="shared" ca="1" si="167"/>
        <v>0</v>
      </c>
      <c r="AA63" s="581">
        <f t="shared" ca="1" si="167"/>
        <v>0</v>
      </c>
      <c r="AB63" s="581">
        <f t="shared" ca="1" si="167"/>
        <v>0</v>
      </c>
      <c r="AC63" s="581">
        <f t="shared" ca="1" si="167"/>
        <v>0</v>
      </c>
      <c r="AD63" s="581">
        <f t="shared" ca="1" si="167"/>
        <v>0</v>
      </c>
      <c r="AE63" s="581">
        <f ca="1">SUM(AE57:AE62)</f>
        <v>0</v>
      </c>
      <c r="AF63" s="581">
        <f t="shared" ca="1" si="167"/>
        <v>0</v>
      </c>
      <c r="AG63" s="581">
        <f t="shared" ca="1" si="167"/>
        <v>0</v>
      </c>
      <c r="AH63" s="581">
        <f ca="1">SUM(AH57:AH62)</f>
        <v>0</v>
      </c>
      <c r="AI63" s="581">
        <f t="shared" ca="1" si="167"/>
        <v>0</v>
      </c>
      <c r="AJ63" s="581">
        <f t="shared" ca="1" si="167"/>
        <v>0</v>
      </c>
      <c r="AK63" s="581">
        <f t="shared" ca="1" si="156"/>
        <v>33.842107260000006</v>
      </c>
      <c r="AM63" s="582">
        <f t="shared" ref="AM63:BE63" ca="1" si="168">SUM(AM57:AM62)</f>
        <v>0</v>
      </c>
      <c r="AN63" s="582">
        <f t="shared" ca="1" si="168"/>
        <v>0</v>
      </c>
      <c r="AO63" s="582">
        <f t="shared" ca="1" si="168"/>
        <v>0</v>
      </c>
      <c r="AP63" s="582">
        <f t="shared" ca="1" si="168"/>
        <v>0</v>
      </c>
      <c r="AQ63" s="582">
        <f t="shared" ca="1" si="168"/>
        <v>0</v>
      </c>
      <c r="AR63" s="582">
        <f t="shared" ca="1" si="168"/>
        <v>0</v>
      </c>
      <c r="AS63" s="582">
        <f t="shared" ca="1" si="168"/>
        <v>0</v>
      </c>
      <c r="AT63" s="582">
        <f t="shared" ca="1" si="168"/>
        <v>0</v>
      </c>
      <c r="AU63" s="582">
        <f t="shared" ca="1" si="168"/>
        <v>0</v>
      </c>
      <c r="AV63" s="582">
        <f t="shared" ca="1" si="168"/>
        <v>0</v>
      </c>
      <c r="AW63" s="582">
        <f t="shared" ca="1" si="168"/>
        <v>0</v>
      </c>
      <c r="AX63" s="582">
        <f t="shared" ca="1" si="168"/>
        <v>-27.569508300000003</v>
      </c>
      <c r="AY63" s="582">
        <f t="shared" ca="1" si="168"/>
        <v>-1.5778800000000002</v>
      </c>
      <c r="AZ63" s="582">
        <f t="shared" ca="1" si="168"/>
        <v>-3.9052530000000001</v>
      </c>
      <c r="BA63" s="582">
        <f t="shared" ca="1" si="168"/>
        <v>0</v>
      </c>
      <c r="BB63" s="582">
        <f t="shared" ca="1" si="168"/>
        <v>-0.78946596000000002</v>
      </c>
      <c r="BC63" s="582">
        <f t="shared" ca="1" si="168"/>
        <v>0</v>
      </c>
      <c r="BD63" s="582">
        <f t="shared" ca="1" si="168"/>
        <v>0</v>
      </c>
      <c r="BE63" s="582">
        <f t="shared" ca="1" si="168"/>
        <v>0</v>
      </c>
      <c r="BF63" s="582">
        <f t="shared" ca="1" si="159"/>
        <v>-33.842107260000006</v>
      </c>
      <c r="BH63" s="3463">
        <f ca="1">SUM(BH57:BH62)</f>
        <v>0</v>
      </c>
      <c r="BI63" s="3463">
        <f ca="1">SUM(BI57:BI62)</f>
        <v>0</v>
      </c>
      <c r="BJ63" s="3463">
        <f t="shared" ca="1" si="161"/>
        <v>0</v>
      </c>
      <c r="BL63" s="3477">
        <f t="shared" ca="1" si="150"/>
        <v>0</v>
      </c>
      <c r="BM63" s="584"/>
      <c r="BN63" s="413"/>
      <c r="BO63" s="2790">
        <f t="shared" ref="BO63:DF63" ca="1" si="169">SUM(BO57:BO62)</f>
        <v>0</v>
      </c>
      <c r="BP63" s="2790">
        <f t="shared" ca="1" si="169"/>
        <v>0</v>
      </c>
      <c r="BQ63" s="2790">
        <f t="shared" ca="1" si="169"/>
        <v>0</v>
      </c>
      <c r="BR63" s="2790">
        <f t="shared" ca="1" si="169"/>
        <v>0</v>
      </c>
      <c r="BS63" s="2790">
        <f t="shared" ca="1" si="169"/>
        <v>0</v>
      </c>
      <c r="BT63" s="2790">
        <f t="shared" ca="1" si="169"/>
        <v>0</v>
      </c>
      <c r="BU63" s="2790">
        <f t="shared" ca="1" si="169"/>
        <v>0</v>
      </c>
      <c r="BV63" s="2790">
        <f t="shared" ca="1" si="169"/>
        <v>0</v>
      </c>
      <c r="BW63" s="2790">
        <f t="shared" ca="1" si="169"/>
        <v>0</v>
      </c>
      <c r="BX63" s="2790">
        <f t="shared" ca="1" si="169"/>
        <v>0</v>
      </c>
      <c r="BY63" s="2790">
        <f t="shared" ca="1" si="169"/>
        <v>0</v>
      </c>
      <c r="BZ63" s="2790">
        <f t="shared" ca="1" si="169"/>
        <v>0</v>
      </c>
      <c r="CA63" s="2790">
        <f t="shared" ca="1" si="169"/>
        <v>0</v>
      </c>
      <c r="CB63" s="2790">
        <f t="shared" ca="1" si="169"/>
        <v>0</v>
      </c>
      <c r="CC63" s="2790">
        <f t="shared" ca="1" si="169"/>
        <v>0</v>
      </c>
      <c r="CD63" s="2790">
        <f t="shared" ca="1" si="169"/>
        <v>0</v>
      </c>
      <c r="CE63" s="2790">
        <f t="shared" ca="1" si="169"/>
        <v>0</v>
      </c>
      <c r="CF63" s="2790">
        <f t="shared" ca="1" si="169"/>
        <v>0</v>
      </c>
      <c r="CG63" s="2790">
        <f t="shared" ca="1" si="169"/>
        <v>0</v>
      </c>
      <c r="CH63" s="2790">
        <f t="shared" ca="1" si="169"/>
        <v>0</v>
      </c>
      <c r="CI63" s="2790">
        <f t="shared" ca="1" si="169"/>
        <v>0</v>
      </c>
      <c r="CJ63" s="2790">
        <f t="shared" ca="1" si="169"/>
        <v>0</v>
      </c>
      <c r="CK63" s="2790">
        <f t="shared" ca="1" si="169"/>
        <v>0</v>
      </c>
      <c r="CL63" s="2790">
        <f t="shared" ca="1" si="169"/>
        <v>0</v>
      </c>
      <c r="CM63" s="2790">
        <f t="shared" ca="1" si="169"/>
        <v>0</v>
      </c>
      <c r="CN63" s="2790">
        <f t="shared" ca="1" si="169"/>
        <v>0</v>
      </c>
      <c r="CO63" s="2790">
        <f t="shared" ca="1" si="169"/>
        <v>0</v>
      </c>
      <c r="CP63" s="2790">
        <f t="shared" ca="1" si="169"/>
        <v>0</v>
      </c>
      <c r="CQ63" s="2790">
        <f t="shared" ca="1" si="169"/>
        <v>0</v>
      </c>
      <c r="CR63" s="2790">
        <f t="shared" ca="1" si="169"/>
        <v>0</v>
      </c>
      <c r="CS63" s="2790">
        <f t="shared" ca="1" si="169"/>
        <v>0</v>
      </c>
      <c r="CT63" s="2790">
        <f t="shared" ca="1" si="169"/>
        <v>0</v>
      </c>
      <c r="CU63" s="2790">
        <f t="shared" ca="1" si="169"/>
        <v>0</v>
      </c>
      <c r="CV63" s="2790">
        <f t="shared" ca="1" si="169"/>
        <v>0</v>
      </c>
      <c r="CW63" s="2790">
        <f t="shared" ca="1" si="169"/>
        <v>0</v>
      </c>
      <c r="CX63" s="2790">
        <f t="shared" ca="1" si="169"/>
        <v>0</v>
      </c>
      <c r="CY63" s="2790">
        <f t="shared" ca="1" si="169"/>
        <v>0</v>
      </c>
      <c r="CZ63" s="2790">
        <f t="shared" ca="1" si="169"/>
        <v>0</v>
      </c>
      <c r="DA63" s="2790">
        <f t="shared" ca="1" si="169"/>
        <v>0</v>
      </c>
      <c r="DB63" s="2790">
        <f t="shared" ca="1" si="169"/>
        <v>0</v>
      </c>
      <c r="DC63" s="2790">
        <f t="shared" ca="1" si="169"/>
        <v>0</v>
      </c>
      <c r="DD63" s="2790">
        <f t="shared" ca="1" si="169"/>
        <v>0</v>
      </c>
      <c r="DE63" s="2790">
        <f t="shared" ca="1" si="169"/>
        <v>0</v>
      </c>
      <c r="DF63" s="2790">
        <f t="shared" ca="1" si="169"/>
        <v>0</v>
      </c>
      <c r="DH63" s="596">
        <f t="shared" ca="1" si="120"/>
        <v>0</v>
      </c>
    </row>
    <row r="64" spans="1:112" s="6" customFormat="1" ht="12.75" customHeight="1" outlineLevel="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20"/>
        <v>0</v>
      </c>
    </row>
    <row r="65" spans="1:112" s="607" customFormat="1" ht="12.75" customHeight="1" outlineLevel="1">
      <c r="C65" s="587" t="s">
        <v>534</v>
      </c>
      <c r="D65" s="588" t="s">
        <v>535</v>
      </c>
      <c r="E65" s="588"/>
      <c r="G65" s="657">
        <f t="shared" ref="G65:P67" ca="1" si="170">IFERROR(INDEX(INDIRECT($C65&amp;".Outputs["&amp;this.Year&amp;"]"), MATCH(G$5, INDIRECT($C65&amp;".Outputs[Vector]"), 0)), 0)</f>
        <v>0</v>
      </c>
      <c r="H65" s="657">
        <f t="shared" ca="1" si="170"/>
        <v>0</v>
      </c>
      <c r="I65" s="657">
        <f t="shared" ca="1" si="170"/>
        <v>0</v>
      </c>
      <c r="J65" s="657">
        <f t="shared" ca="1" si="170"/>
        <v>0</v>
      </c>
      <c r="K65" s="658">
        <f t="shared" ca="1" si="170"/>
        <v>0</v>
      </c>
      <c r="L65" s="657">
        <f t="shared" ca="1" si="170"/>
        <v>0</v>
      </c>
      <c r="M65" s="657">
        <f t="shared" ca="1" si="170"/>
        <v>0</v>
      </c>
      <c r="N65" s="657">
        <f t="shared" ca="1" si="170"/>
        <v>0</v>
      </c>
      <c r="O65" s="657">
        <f t="shared" ca="1" si="170"/>
        <v>0</v>
      </c>
      <c r="P65" s="657">
        <f t="shared" ca="1" si="170"/>
        <v>0</v>
      </c>
      <c r="Q65" s="659">
        <f ca="1">SUM(G65:P65)</f>
        <v>0</v>
      </c>
      <c r="S65" s="660">
        <f t="shared" ref="S65:AJ67" ca="1" si="171">IFERROR(INDEX(INDIRECT($C65&amp;".Outputs["&amp;this.Year&amp;"]"), MATCH(S$5, INDIRECT($C65&amp;".Outputs[Vector]"), 0)), 0)</f>
        <v>0</v>
      </c>
      <c r="T65" s="660">
        <f t="shared" ca="1" si="171"/>
        <v>2.5509060000000003</v>
      </c>
      <c r="U65" s="660">
        <f t="shared" ca="1" si="171"/>
        <v>0</v>
      </c>
      <c r="V65" s="660">
        <f t="shared" ca="1" si="171"/>
        <v>0</v>
      </c>
      <c r="W65" s="660">
        <f t="shared" ca="1" si="171"/>
        <v>0</v>
      </c>
      <c r="X65" s="660">
        <f t="shared" ref="X65:Z67" ca="1" si="172">IFERROR(INDEX(INDIRECT($C65&amp;".Outputs["&amp;this.Year&amp;"]"), MATCH(X$5, INDIRECT($C65&amp;".Outputs[Vector]"), 0)), 0)</f>
        <v>0</v>
      </c>
      <c r="Y65" s="660">
        <f t="shared" ca="1" si="172"/>
        <v>0</v>
      </c>
      <c r="Z65" s="660">
        <f t="shared" ca="1" si="172"/>
        <v>0</v>
      </c>
      <c r="AA65" s="660">
        <f t="shared" ca="1" si="171"/>
        <v>0</v>
      </c>
      <c r="AB65" s="660">
        <f t="shared" ca="1" si="171"/>
        <v>0</v>
      </c>
      <c r="AC65" s="660">
        <f t="shared" ca="1" si="171"/>
        <v>0</v>
      </c>
      <c r="AD65" s="660">
        <f t="shared" ca="1" si="171"/>
        <v>0</v>
      </c>
      <c r="AE65" s="660">
        <f t="shared" ca="1" si="171"/>
        <v>0</v>
      </c>
      <c r="AF65" s="660">
        <f t="shared" ca="1" si="171"/>
        <v>0</v>
      </c>
      <c r="AG65" s="660">
        <f t="shared" ca="1" si="171"/>
        <v>0</v>
      </c>
      <c r="AH65" s="660">
        <f t="shared" ca="1" si="171"/>
        <v>0</v>
      </c>
      <c r="AI65" s="660">
        <f t="shared" ca="1" si="171"/>
        <v>0</v>
      </c>
      <c r="AJ65" s="660">
        <f t="shared" ca="1" si="171"/>
        <v>0</v>
      </c>
      <c r="AK65" s="661">
        <f ca="1">SUM(S65:AJ65)</f>
        <v>2.5509060000000003</v>
      </c>
      <c r="AM65" s="662">
        <f t="shared" ref="AM65:AU67" ca="1" si="173">IFERROR(INDEX(INDIRECT($C65&amp;".Outputs["&amp;this.Year&amp;"]"), MATCH(AM$5, INDIRECT($C65&amp;".Outputs[Vector]"), 0)), 0)</f>
        <v>0</v>
      </c>
      <c r="AN65" s="662">
        <f t="shared" ca="1" si="173"/>
        <v>0</v>
      </c>
      <c r="AO65" s="662">
        <f t="shared" ca="1" si="173"/>
        <v>0</v>
      </c>
      <c r="AP65" s="662">
        <f t="shared" ca="1" si="173"/>
        <v>0</v>
      </c>
      <c r="AQ65" s="662">
        <f t="shared" ca="1" si="173"/>
        <v>0</v>
      </c>
      <c r="AR65" s="662">
        <f t="shared" ca="1" si="173"/>
        <v>0</v>
      </c>
      <c r="AS65" s="662">
        <f t="shared" ca="1" si="173"/>
        <v>0</v>
      </c>
      <c r="AT65" s="662">
        <f t="shared" ca="1" si="173"/>
        <v>0</v>
      </c>
      <c r="AU65" s="662">
        <f t="shared" ca="1" si="173"/>
        <v>0</v>
      </c>
      <c r="AV65" s="662">
        <f t="shared" ref="AV65:BE67" ca="1" si="174">IFERROR(INDEX(INDIRECT($C65&amp;".Outputs["&amp;this.Year&amp;"]"), MATCH(AV$5, INDIRECT($C65&amp;".Outputs[Vector]"), 0)), 0)</f>
        <v>0</v>
      </c>
      <c r="AW65" s="662">
        <f t="shared" ca="1" si="174"/>
        <v>-2.5509060000000003</v>
      </c>
      <c r="AX65" s="662">
        <f t="shared" ca="1" si="174"/>
        <v>0</v>
      </c>
      <c r="AY65" s="662">
        <f t="shared" ca="1" si="174"/>
        <v>0</v>
      </c>
      <c r="AZ65" s="662">
        <f t="shared" ca="1" si="174"/>
        <v>0</v>
      </c>
      <c r="BA65" s="662">
        <f t="shared" ca="1" si="174"/>
        <v>0</v>
      </c>
      <c r="BB65" s="662">
        <f t="shared" ca="1" si="174"/>
        <v>0</v>
      </c>
      <c r="BC65" s="662">
        <f t="shared" ca="1" si="174"/>
        <v>0</v>
      </c>
      <c r="BD65" s="662">
        <f t="shared" ca="1" si="174"/>
        <v>0</v>
      </c>
      <c r="BE65" s="662">
        <f t="shared" ca="1" si="174"/>
        <v>0</v>
      </c>
      <c r="BF65" s="609">
        <f ca="1">SUM(AM65:BE65)</f>
        <v>-2.5509060000000003</v>
      </c>
      <c r="BH65" s="663">
        <f t="shared" ref="BH65:BI67" ca="1" si="175">IFERROR(INDEX(INDIRECT($C65&amp;".Outputs["&amp;this.Year&amp;"]"), MATCH(BH$5, INDIRECT($C65&amp;".Outputs[Vector]"), 0)), 0)</f>
        <v>0</v>
      </c>
      <c r="BI65" s="663">
        <f t="shared" ca="1" si="175"/>
        <v>0</v>
      </c>
      <c r="BJ65" s="664">
        <f ca="1">SUM(BH65:BI65)</f>
        <v>0</v>
      </c>
      <c r="BL65" s="610">
        <f t="shared" ref="BL65:BL72" ca="1" si="176">Q65+AK65+BF65+BJ65</f>
        <v>0</v>
      </c>
      <c r="BM65" s="610"/>
      <c r="BO65" s="665">
        <f t="shared" ref="BO65:DF67" ca="1" si="177">IFERROR(SUMIFS(INDIRECT($C65&amp;".Emissions["&amp;this.Year&amp;"]"), INDIRECT($C65&amp;".Emissions[GHG]"), BO$6, INDIRECT($C65&amp;".Emissions[IPCC Sector]"), BO$5),0)</f>
        <v>0</v>
      </c>
      <c r="BP65" s="665">
        <f t="shared" ca="1" si="177"/>
        <v>0</v>
      </c>
      <c r="BQ65" s="665">
        <f t="shared" ca="1" si="177"/>
        <v>0</v>
      </c>
      <c r="BR65" s="665">
        <f t="shared" ca="1" si="177"/>
        <v>0</v>
      </c>
      <c r="BS65" s="665">
        <f t="shared" ca="1" si="177"/>
        <v>0</v>
      </c>
      <c r="BT65" s="665">
        <f t="shared" ca="1" si="177"/>
        <v>0</v>
      </c>
      <c r="BU65" s="665">
        <f t="shared" ca="1" si="177"/>
        <v>0</v>
      </c>
      <c r="BV65" s="665">
        <f t="shared" ca="1" si="177"/>
        <v>0</v>
      </c>
      <c r="BW65" s="665">
        <f t="shared" ca="1" si="177"/>
        <v>0</v>
      </c>
      <c r="BX65" s="665">
        <f t="shared" ca="1" si="177"/>
        <v>0</v>
      </c>
      <c r="BY65" s="665">
        <f t="shared" ca="1" si="177"/>
        <v>0</v>
      </c>
      <c r="BZ65" s="665">
        <f t="shared" ca="1" si="177"/>
        <v>0</v>
      </c>
      <c r="CA65" s="665">
        <f t="shared" ca="1" si="177"/>
        <v>0</v>
      </c>
      <c r="CB65" s="665">
        <f t="shared" ca="1" si="177"/>
        <v>0</v>
      </c>
      <c r="CC65" s="665">
        <f t="shared" ca="1" si="177"/>
        <v>0</v>
      </c>
      <c r="CD65" s="665">
        <f t="shared" ca="1" si="177"/>
        <v>0</v>
      </c>
      <c r="CE65" s="665">
        <f t="shared" ca="1" si="177"/>
        <v>0</v>
      </c>
      <c r="CF65" s="665">
        <f t="shared" ca="1" si="177"/>
        <v>0</v>
      </c>
      <c r="CG65" s="665">
        <f t="shared" ca="1" si="177"/>
        <v>0</v>
      </c>
      <c r="CH65" s="665">
        <f t="shared" ca="1" si="177"/>
        <v>0</v>
      </c>
      <c r="CI65" s="665">
        <f t="shared" ca="1" si="177"/>
        <v>0</v>
      </c>
      <c r="CJ65" s="665">
        <f t="shared" ca="1" si="177"/>
        <v>0</v>
      </c>
      <c r="CK65" s="665">
        <f t="shared" ca="1" si="177"/>
        <v>0</v>
      </c>
      <c r="CL65" s="665">
        <f t="shared" ca="1" si="177"/>
        <v>0</v>
      </c>
      <c r="CM65" s="665">
        <f t="shared" ca="1" si="177"/>
        <v>0</v>
      </c>
      <c r="CN65" s="665">
        <f t="shared" ca="1" si="177"/>
        <v>0</v>
      </c>
      <c r="CO65" s="665">
        <f t="shared" ca="1" si="177"/>
        <v>0</v>
      </c>
      <c r="CP65" s="665">
        <f t="shared" ca="1" si="177"/>
        <v>0</v>
      </c>
      <c r="CQ65" s="665">
        <f t="shared" ca="1" si="177"/>
        <v>0</v>
      </c>
      <c r="CR65" s="665">
        <f t="shared" ca="1" si="177"/>
        <v>0</v>
      </c>
      <c r="CS65" s="665">
        <f t="shared" ca="1" si="177"/>
        <v>0</v>
      </c>
      <c r="CT65" s="665">
        <f t="shared" ca="1" si="177"/>
        <v>0</v>
      </c>
      <c r="CU65" s="665">
        <f t="shared" ca="1" si="177"/>
        <v>0</v>
      </c>
      <c r="CV65" s="665">
        <f t="shared" ca="1" si="177"/>
        <v>0</v>
      </c>
      <c r="CW65" s="665">
        <f t="shared" ca="1" si="177"/>
        <v>0</v>
      </c>
      <c r="CX65" s="665">
        <f t="shared" ca="1" si="177"/>
        <v>0</v>
      </c>
      <c r="CY65" s="665">
        <f t="shared" ca="1" si="177"/>
        <v>0</v>
      </c>
      <c r="CZ65" s="665">
        <f t="shared" ca="1" si="177"/>
        <v>0</v>
      </c>
      <c r="DA65" s="665">
        <f t="shared" ca="1" si="177"/>
        <v>0</v>
      </c>
      <c r="DB65" s="665">
        <f t="shared" ca="1" si="177"/>
        <v>0</v>
      </c>
      <c r="DC65" s="665">
        <f t="shared" ca="1" si="177"/>
        <v>0</v>
      </c>
      <c r="DD65" s="665">
        <f t="shared" ca="1" si="177"/>
        <v>0</v>
      </c>
      <c r="DE65" s="665">
        <f t="shared" ca="1" si="177"/>
        <v>0</v>
      </c>
      <c r="DF65" s="665">
        <f t="shared" ca="1" si="177"/>
        <v>0</v>
      </c>
      <c r="DH65" s="666">
        <f t="shared" ca="1" si="120"/>
        <v>0</v>
      </c>
    </row>
    <row r="66" spans="1:112" s="607" customFormat="1" ht="12.75" customHeight="1" outlineLevel="1">
      <c r="C66" s="587" t="s">
        <v>25</v>
      </c>
      <c r="D66" s="588" t="s">
        <v>26</v>
      </c>
      <c r="E66" s="588"/>
      <c r="G66" s="657">
        <f t="shared" ca="1" si="170"/>
        <v>0</v>
      </c>
      <c r="H66" s="657">
        <f t="shared" ca="1" si="170"/>
        <v>0.13105649885872517</v>
      </c>
      <c r="I66" s="657">
        <f t="shared" ca="1" si="170"/>
        <v>0</v>
      </c>
      <c r="J66" s="657">
        <f t="shared" ca="1" si="170"/>
        <v>0</v>
      </c>
      <c r="K66" s="658">
        <f t="shared" ca="1" si="170"/>
        <v>0</v>
      </c>
      <c r="L66" s="657">
        <f t="shared" ca="1" si="170"/>
        <v>0</v>
      </c>
      <c r="M66" s="657">
        <f t="shared" ca="1" si="170"/>
        <v>0</v>
      </c>
      <c r="N66" s="657">
        <f t="shared" ca="1" si="170"/>
        <v>0</v>
      </c>
      <c r="O66" s="657">
        <f t="shared" ca="1" si="170"/>
        <v>0</v>
      </c>
      <c r="P66" s="657">
        <f t="shared" ca="1" si="170"/>
        <v>0</v>
      </c>
      <c r="Q66" s="659">
        <f ca="1">SUM(G66:P66)</f>
        <v>0.13105649885872517</v>
      </c>
      <c r="S66" s="660">
        <f t="shared" ca="1" si="171"/>
        <v>-0.13105649885872517</v>
      </c>
      <c r="T66" s="660">
        <f t="shared" ca="1" si="171"/>
        <v>0</v>
      </c>
      <c r="U66" s="660">
        <f t="shared" ca="1" si="171"/>
        <v>0</v>
      </c>
      <c r="V66" s="660">
        <f t="shared" ca="1" si="171"/>
        <v>0</v>
      </c>
      <c r="W66" s="660">
        <f t="shared" ca="1" si="171"/>
        <v>0</v>
      </c>
      <c r="X66" s="660">
        <f t="shared" ca="1" si="172"/>
        <v>0</v>
      </c>
      <c r="Y66" s="660">
        <f t="shared" ca="1" si="172"/>
        <v>0</v>
      </c>
      <c r="Z66" s="660">
        <f t="shared" ca="1" si="172"/>
        <v>0</v>
      </c>
      <c r="AA66" s="660">
        <f t="shared" ca="1" si="171"/>
        <v>0</v>
      </c>
      <c r="AB66" s="660">
        <f t="shared" ca="1" si="171"/>
        <v>0</v>
      </c>
      <c r="AC66" s="660">
        <f t="shared" ca="1" si="171"/>
        <v>0</v>
      </c>
      <c r="AD66" s="660">
        <f t="shared" ca="1" si="171"/>
        <v>0</v>
      </c>
      <c r="AE66" s="660">
        <f t="shared" ca="1" si="171"/>
        <v>0</v>
      </c>
      <c r="AF66" s="660">
        <f t="shared" ca="1" si="171"/>
        <v>0</v>
      </c>
      <c r="AG66" s="660">
        <f t="shared" ca="1" si="171"/>
        <v>0</v>
      </c>
      <c r="AH66" s="660">
        <f t="shared" ca="1" si="171"/>
        <v>0</v>
      </c>
      <c r="AI66" s="660">
        <f t="shared" ca="1" si="171"/>
        <v>1.8347909840221523</v>
      </c>
      <c r="AJ66" s="660">
        <f t="shared" ca="1" si="171"/>
        <v>0</v>
      </c>
      <c r="AK66" s="661">
        <f ca="1">SUM(S66:AJ66)</f>
        <v>1.7037344851634271</v>
      </c>
      <c r="AM66" s="662">
        <f t="shared" ca="1" si="173"/>
        <v>0</v>
      </c>
      <c r="AN66" s="662">
        <f t="shared" ca="1" si="173"/>
        <v>0</v>
      </c>
      <c r="AO66" s="662">
        <f t="shared" ca="1" si="173"/>
        <v>0</v>
      </c>
      <c r="AP66" s="662">
        <f t="shared" ca="1" si="173"/>
        <v>0</v>
      </c>
      <c r="AQ66" s="662">
        <f t="shared" ca="1" si="173"/>
        <v>0</v>
      </c>
      <c r="AR66" s="662">
        <f t="shared" ca="1" si="173"/>
        <v>0</v>
      </c>
      <c r="AS66" s="662">
        <f t="shared" ca="1" si="173"/>
        <v>0</v>
      </c>
      <c r="AT66" s="662">
        <f t="shared" ca="1" si="173"/>
        <v>0</v>
      </c>
      <c r="AU66" s="662">
        <f t="shared" ca="1" si="173"/>
        <v>0</v>
      </c>
      <c r="AV66" s="662">
        <f t="shared" ca="1" si="174"/>
        <v>0</v>
      </c>
      <c r="AW66" s="662">
        <f t="shared" ca="1" si="174"/>
        <v>-1.8347909840221523</v>
      </c>
      <c r="AX66" s="662">
        <f t="shared" ca="1" si="174"/>
        <v>0</v>
      </c>
      <c r="AY66" s="662">
        <f t="shared" ca="1" si="174"/>
        <v>0</v>
      </c>
      <c r="AZ66" s="662">
        <f t="shared" ca="1" si="174"/>
        <v>0</v>
      </c>
      <c r="BA66" s="662">
        <f t="shared" ca="1" si="174"/>
        <v>0</v>
      </c>
      <c r="BB66" s="662">
        <f t="shared" ca="1" si="174"/>
        <v>0</v>
      </c>
      <c r="BC66" s="662">
        <f t="shared" ca="1" si="174"/>
        <v>0</v>
      </c>
      <c r="BD66" s="662">
        <f t="shared" ca="1" si="174"/>
        <v>0</v>
      </c>
      <c r="BE66" s="662">
        <f t="shared" ca="1" si="174"/>
        <v>0</v>
      </c>
      <c r="BF66" s="609">
        <f ca="1">SUM(AM66:BE66)</f>
        <v>-1.8347909840221523</v>
      </c>
      <c r="BH66" s="663">
        <f t="shared" ca="1" si="175"/>
        <v>0</v>
      </c>
      <c r="BI66" s="663">
        <f t="shared" ca="1" si="175"/>
        <v>0</v>
      </c>
      <c r="BJ66" s="664">
        <f ca="1">SUM(BH66:BI66)</f>
        <v>0</v>
      </c>
      <c r="BL66" s="610">
        <f t="shared" ca="1" si="176"/>
        <v>-2.2204460492503131E-16</v>
      </c>
      <c r="BM66" s="610"/>
      <c r="BO66" s="665">
        <f t="shared" ca="1" si="177"/>
        <v>0</v>
      </c>
      <c r="BP66" s="665">
        <f t="shared" ca="1" si="177"/>
        <v>0</v>
      </c>
      <c r="BQ66" s="665">
        <f t="shared" ca="1" si="177"/>
        <v>0</v>
      </c>
      <c r="BR66" s="665">
        <f t="shared" ca="1" si="177"/>
        <v>0</v>
      </c>
      <c r="BS66" s="665">
        <f t="shared" ca="1" si="177"/>
        <v>0</v>
      </c>
      <c r="BT66" s="665">
        <f t="shared" ca="1" si="177"/>
        <v>0</v>
      </c>
      <c r="BU66" s="665">
        <f t="shared" ca="1" si="177"/>
        <v>0</v>
      </c>
      <c r="BV66" s="665">
        <f t="shared" ca="1" si="177"/>
        <v>0</v>
      </c>
      <c r="BW66" s="665">
        <f t="shared" ca="1" si="177"/>
        <v>0</v>
      </c>
      <c r="BX66" s="665">
        <f t="shared" ca="1" si="177"/>
        <v>0</v>
      </c>
      <c r="BY66" s="665">
        <f t="shared" ca="1" si="177"/>
        <v>0</v>
      </c>
      <c r="BZ66" s="665">
        <f t="shared" ca="1" si="177"/>
        <v>0</v>
      </c>
      <c r="CA66" s="665">
        <f t="shared" ca="1" si="177"/>
        <v>0</v>
      </c>
      <c r="CB66" s="665">
        <f t="shared" ca="1" si="177"/>
        <v>0</v>
      </c>
      <c r="CC66" s="665">
        <f t="shared" ca="1" si="177"/>
        <v>0</v>
      </c>
      <c r="CD66" s="665">
        <f t="shared" ca="1" si="177"/>
        <v>0</v>
      </c>
      <c r="CE66" s="665">
        <f t="shared" ca="1" si="177"/>
        <v>0</v>
      </c>
      <c r="CF66" s="665">
        <f t="shared" ca="1" si="177"/>
        <v>0</v>
      </c>
      <c r="CG66" s="665">
        <f t="shared" ca="1" si="177"/>
        <v>0</v>
      </c>
      <c r="CH66" s="665">
        <f t="shared" ca="1" si="177"/>
        <v>0</v>
      </c>
      <c r="CI66" s="665">
        <f t="shared" ca="1" si="177"/>
        <v>0</v>
      </c>
      <c r="CJ66" s="665">
        <f t="shared" ca="1" si="177"/>
        <v>0</v>
      </c>
      <c r="CK66" s="665">
        <f t="shared" ca="1" si="177"/>
        <v>0</v>
      </c>
      <c r="CL66" s="665">
        <f t="shared" ca="1" si="177"/>
        <v>0</v>
      </c>
      <c r="CM66" s="665">
        <f t="shared" ca="1" si="177"/>
        <v>0</v>
      </c>
      <c r="CN66" s="665">
        <f t="shared" ca="1" si="177"/>
        <v>0</v>
      </c>
      <c r="CO66" s="665">
        <f t="shared" ca="1" si="177"/>
        <v>0</v>
      </c>
      <c r="CP66" s="665">
        <f t="shared" ca="1" si="177"/>
        <v>0</v>
      </c>
      <c r="CQ66" s="665">
        <f t="shared" ca="1" si="177"/>
        <v>0</v>
      </c>
      <c r="CR66" s="665">
        <f t="shared" ca="1" si="177"/>
        <v>0</v>
      </c>
      <c r="CS66" s="665">
        <f t="shared" ca="1" si="177"/>
        <v>0</v>
      </c>
      <c r="CT66" s="665">
        <f t="shared" ca="1" si="177"/>
        <v>0</v>
      </c>
      <c r="CU66" s="665">
        <f t="shared" ca="1" si="177"/>
        <v>0</v>
      </c>
      <c r="CV66" s="665">
        <f t="shared" ca="1" si="177"/>
        <v>0</v>
      </c>
      <c r="CW66" s="665">
        <f t="shared" ca="1" si="177"/>
        <v>0</v>
      </c>
      <c r="CX66" s="665">
        <f t="shared" ca="1" si="177"/>
        <v>0</v>
      </c>
      <c r="CY66" s="665">
        <f t="shared" ca="1" si="177"/>
        <v>0</v>
      </c>
      <c r="CZ66" s="665">
        <f t="shared" ca="1" si="177"/>
        <v>0</v>
      </c>
      <c r="DA66" s="665">
        <f t="shared" ca="1" si="177"/>
        <v>0</v>
      </c>
      <c r="DB66" s="665">
        <f t="shared" ca="1" si="177"/>
        <v>0</v>
      </c>
      <c r="DC66" s="665">
        <f t="shared" ca="1" si="177"/>
        <v>0</v>
      </c>
      <c r="DD66" s="665">
        <f t="shared" ca="1" si="177"/>
        <v>0</v>
      </c>
      <c r="DE66" s="665">
        <f t="shared" ca="1" si="177"/>
        <v>0</v>
      </c>
      <c r="DF66" s="665">
        <f t="shared" ca="1" si="177"/>
        <v>0</v>
      </c>
      <c r="DH66" s="666">
        <f t="shared" ca="1" si="120"/>
        <v>0</v>
      </c>
    </row>
    <row r="67" spans="1:112" s="607" customFormat="1" ht="12.75" customHeight="1" outlineLevel="1">
      <c r="C67" s="587" t="s">
        <v>536</v>
      </c>
      <c r="D67" s="611" t="s">
        <v>537</v>
      </c>
      <c r="E67" s="611"/>
      <c r="F67" s="6"/>
      <c r="G67" s="619">
        <f t="shared" ca="1" si="170"/>
        <v>0</v>
      </c>
      <c r="H67" s="619">
        <f t="shared" ca="1" si="170"/>
        <v>0</v>
      </c>
      <c r="I67" s="619">
        <f t="shared" ca="1" si="170"/>
        <v>0</v>
      </c>
      <c r="J67" s="619">
        <f t="shared" ca="1" si="170"/>
        <v>0</v>
      </c>
      <c r="K67" s="619">
        <f t="shared" ca="1" si="170"/>
        <v>0</v>
      </c>
      <c r="L67" s="619">
        <f t="shared" ca="1" si="170"/>
        <v>0</v>
      </c>
      <c r="M67" s="619">
        <f t="shared" ca="1" si="170"/>
        <v>0</v>
      </c>
      <c r="N67" s="619">
        <f t="shared" ca="1" si="170"/>
        <v>0</v>
      </c>
      <c r="O67" s="619">
        <f t="shared" ca="1" si="170"/>
        <v>0</v>
      </c>
      <c r="P67" s="619">
        <f t="shared" ca="1" si="170"/>
        <v>0</v>
      </c>
      <c r="Q67" s="612">
        <f ca="1">SUM(G67:P67)</f>
        <v>0</v>
      </c>
      <c r="R67" s="6"/>
      <c r="S67" s="620">
        <f t="shared" ca="1" si="171"/>
        <v>0</v>
      </c>
      <c r="T67" s="620">
        <f t="shared" ca="1" si="171"/>
        <v>0.38570399999999927</v>
      </c>
      <c r="U67" s="620">
        <f t="shared" ca="1" si="171"/>
        <v>0</v>
      </c>
      <c r="V67" s="620">
        <f t="shared" ca="1" si="171"/>
        <v>0</v>
      </c>
      <c r="W67" s="620">
        <f t="shared" ca="1" si="171"/>
        <v>0</v>
      </c>
      <c r="X67" s="620">
        <f t="shared" ca="1" si="172"/>
        <v>0</v>
      </c>
      <c r="Y67" s="620">
        <f t="shared" ca="1" si="172"/>
        <v>0</v>
      </c>
      <c r="Z67" s="620">
        <f t="shared" ca="1" si="172"/>
        <v>0</v>
      </c>
      <c r="AA67" s="620">
        <f t="shared" ca="1" si="171"/>
        <v>0</v>
      </c>
      <c r="AB67" s="620">
        <f t="shared" ca="1" si="171"/>
        <v>0</v>
      </c>
      <c r="AC67" s="620">
        <f t="shared" ca="1" si="171"/>
        <v>0</v>
      </c>
      <c r="AD67" s="620">
        <f t="shared" ca="1" si="171"/>
        <v>0</v>
      </c>
      <c r="AE67" s="620">
        <f t="shared" ca="1" si="171"/>
        <v>0</v>
      </c>
      <c r="AF67" s="620">
        <f t="shared" ca="1" si="171"/>
        <v>0</v>
      </c>
      <c r="AG67" s="620">
        <f t="shared" ca="1" si="171"/>
        <v>0</v>
      </c>
      <c r="AH67" s="620">
        <f t="shared" ca="1" si="171"/>
        <v>0</v>
      </c>
      <c r="AI67" s="620">
        <f t="shared" ca="1" si="171"/>
        <v>0</v>
      </c>
      <c r="AJ67" s="620">
        <f t="shared" ca="1" si="171"/>
        <v>0</v>
      </c>
      <c r="AK67" s="613">
        <f ca="1">SUM(S67:AJ67)</f>
        <v>0.38570399999999927</v>
      </c>
      <c r="AL67" s="6"/>
      <c r="AM67" s="621">
        <f t="shared" ca="1" si="173"/>
        <v>0</v>
      </c>
      <c r="AN67" s="621">
        <f t="shared" ca="1" si="173"/>
        <v>0</v>
      </c>
      <c r="AO67" s="621">
        <f t="shared" ca="1" si="173"/>
        <v>0</v>
      </c>
      <c r="AP67" s="621">
        <f t="shared" ca="1" si="173"/>
        <v>0</v>
      </c>
      <c r="AQ67" s="621">
        <f t="shared" ca="1" si="173"/>
        <v>0</v>
      </c>
      <c r="AR67" s="621">
        <f t="shared" ca="1" si="173"/>
        <v>0</v>
      </c>
      <c r="AS67" s="621">
        <f t="shared" ca="1" si="173"/>
        <v>0</v>
      </c>
      <c r="AT67" s="621">
        <f t="shared" ca="1" si="173"/>
        <v>0</v>
      </c>
      <c r="AU67" s="621">
        <f t="shared" ca="1" si="173"/>
        <v>0</v>
      </c>
      <c r="AV67" s="621">
        <f t="shared" ca="1" si="174"/>
        <v>0</v>
      </c>
      <c r="AW67" s="621">
        <f t="shared" ca="1" si="174"/>
        <v>0</v>
      </c>
      <c r="AX67" s="621">
        <f t="shared" ca="1" si="174"/>
        <v>-0.38570399999999927</v>
      </c>
      <c r="AY67" s="621">
        <f t="shared" ca="1" si="174"/>
        <v>0</v>
      </c>
      <c r="AZ67" s="621">
        <f t="shared" ca="1" si="174"/>
        <v>0</v>
      </c>
      <c r="BA67" s="621">
        <f t="shared" ca="1" si="174"/>
        <v>0</v>
      </c>
      <c r="BB67" s="621">
        <f t="shared" ca="1" si="174"/>
        <v>0</v>
      </c>
      <c r="BC67" s="621">
        <f t="shared" ca="1" si="174"/>
        <v>0</v>
      </c>
      <c r="BD67" s="621">
        <f t="shared" ca="1" si="174"/>
        <v>0</v>
      </c>
      <c r="BE67" s="621">
        <f t="shared" ca="1" si="174"/>
        <v>0</v>
      </c>
      <c r="BF67" s="615">
        <f ca="1">SUM(AM67:BE67)</f>
        <v>-0.38570399999999927</v>
      </c>
      <c r="BG67" s="6"/>
      <c r="BH67" s="3473">
        <f t="shared" ca="1" si="175"/>
        <v>0</v>
      </c>
      <c r="BI67" s="3473">
        <f t="shared" ca="1" si="175"/>
        <v>0</v>
      </c>
      <c r="BJ67" s="3462">
        <f ca="1">SUM(BH67:BI67)</f>
        <v>0</v>
      </c>
      <c r="BK67" s="6"/>
      <c r="BL67" s="610">
        <f t="shared" ca="1" si="176"/>
        <v>0</v>
      </c>
      <c r="BM67" s="610"/>
      <c r="BN67" s="413"/>
      <c r="BO67" s="2791">
        <f t="shared" ca="1" si="177"/>
        <v>0</v>
      </c>
      <c r="BP67" s="2792">
        <f t="shared" ca="1" si="177"/>
        <v>0</v>
      </c>
      <c r="BQ67" s="2792">
        <f t="shared" ca="1" si="177"/>
        <v>0</v>
      </c>
      <c r="BR67" s="2792">
        <f t="shared" ca="1" si="177"/>
        <v>0</v>
      </c>
      <c r="BS67" s="2792">
        <f t="shared" ca="1" si="177"/>
        <v>0</v>
      </c>
      <c r="BT67" s="2792">
        <f t="shared" ca="1" si="177"/>
        <v>0</v>
      </c>
      <c r="BU67" s="2792">
        <f t="shared" ca="1" si="177"/>
        <v>0</v>
      </c>
      <c r="BV67" s="2792">
        <f t="shared" ca="1" si="177"/>
        <v>0</v>
      </c>
      <c r="BW67" s="2792">
        <f t="shared" ca="1" si="177"/>
        <v>0</v>
      </c>
      <c r="BX67" s="2792">
        <f t="shared" ca="1" si="177"/>
        <v>0</v>
      </c>
      <c r="BY67" s="2792">
        <f t="shared" ca="1" si="177"/>
        <v>0</v>
      </c>
      <c r="BZ67" s="2792">
        <f t="shared" ca="1" si="177"/>
        <v>0</v>
      </c>
      <c r="CA67" s="2792">
        <f t="shared" ca="1" si="177"/>
        <v>0</v>
      </c>
      <c r="CB67" s="2792">
        <f t="shared" ca="1" si="177"/>
        <v>0</v>
      </c>
      <c r="CC67" s="2792">
        <f t="shared" ca="1" si="177"/>
        <v>0</v>
      </c>
      <c r="CD67" s="2792">
        <f t="shared" ca="1" si="177"/>
        <v>0</v>
      </c>
      <c r="CE67" s="2792">
        <f t="shared" ca="1" si="177"/>
        <v>0</v>
      </c>
      <c r="CF67" s="2792">
        <f t="shared" ca="1" si="177"/>
        <v>0</v>
      </c>
      <c r="CG67" s="2792">
        <f t="shared" ca="1" si="177"/>
        <v>0</v>
      </c>
      <c r="CH67" s="2792">
        <f t="shared" ca="1" si="177"/>
        <v>0</v>
      </c>
      <c r="CI67" s="2792">
        <f t="shared" ca="1" si="177"/>
        <v>0</v>
      </c>
      <c r="CJ67" s="2792">
        <f t="shared" ca="1" si="177"/>
        <v>0</v>
      </c>
      <c r="CK67" s="2792">
        <f t="shared" ca="1" si="177"/>
        <v>0</v>
      </c>
      <c r="CL67" s="2792">
        <f t="shared" ca="1" si="177"/>
        <v>0</v>
      </c>
      <c r="CM67" s="2792">
        <f t="shared" ca="1" si="177"/>
        <v>0</v>
      </c>
      <c r="CN67" s="2792">
        <f t="shared" ca="1" si="177"/>
        <v>0</v>
      </c>
      <c r="CO67" s="2792">
        <f t="shared" ca="1" si="177"/>
        <v>0</v>
      </c>
      <c r="CP67" s="2792">
        <f t="shared" ca="1" si="177"/>
        <v>0</v>
      </c>
      <c r="CQ67" s="2792">
        <f t="shared" ca="1" si="177"/>
        <v>0</v>
      </c>
      <c r="CR67" s="2792">
        <f t="shared" ca="1" si="177"/>
        <v>0</v>
      </c>
      <c r="CS67" s="2792">
        <f t="shared" ca="1" si="177"/>
        <v>0</v>
      </c>
      <c r="CT67" s="2792">
        <f t="shared" ca="1" si="177"/>
        <v>0</v>
      </c>
      <c r="CU67" s="2792">
        <f t="shared" ca="1" si="177"/>
        <v>0</v>
      </c>
      <c r="CV67" s="2792">
        <f t="shared" ca="1" si="177"/>
        <v>0</v>
      </c>
      <c r="CW67" s="2792">
        <f t="shared" ca="1" si="177"/>
        <v>0</v>
      </c>
      <c r="CX67" s="2792">
        <f t="shared" ca="1" si="177"/>
        <v>0</v>
      </c>
      <c r="CY67" s="2792">
        <f t="shared" ca="1" si="177"/>
        <v>0</v>
      </c>
      <c r="CZ67" s="2792">
        <f t="shared" ca="1" si="177"/>
        <v>0</v>
      </c>
      <c r="DA67" s="2792">
        <f t="shared" ca="1" si="177"/>
        <v>0</v>
      </c>
      <c r="DB67" s="2792">
        <f t="shared" ca="1" si="177"/>
        <v>0</v>
      </c>
      <c r="DC67" s="2792">
        <f t="shared" ca="1" si="177"/>
        <v>0</v>
      </c>
      <c r="DD67" s="2792">
        <f t="shared" ca="1" si="177"/>
        <v>0</v>
      </c>
      <c r="DE67" s="2792">
        <f t="shared" ca="1" si="177"/>
        <v>0</v>
      </c>
      <c r="DF67" s="2792">
        <f t="shared" ca="1" si="177"/>
        <v>0</v>
      </c>
      <c r="DH67" s="596">
        <f t="shared" ca="1" si="120"/>
        <v>0</v>
      </c>
    </row>
    <row r="68" spans="1:112" s="6" customFormat="1" ht="15.75">
      <c r="A68" s="4"/>
      <c r="B68" s="3"/>
      <c r="C68" s="616" t="s">
        <v>538</v>
      </c>
      <c r="D68" s="617" t="s">
        <v>539</v>
      </c>
      <c r="E68" s="206"/>
      <c r="G68" s="618">
        <f ca="1">SUM(G65:G67)</f>
        <v>0</v>
      </c>
      <c r="H68" s="618">
        <f t="shared" ref="H68:P68" ca="1" si="178">SUM(H65:H67)</f>
        <v>0.13105649885872517</v>
      </c>
      <c r="I68" s="618">
        <f t="shared" ca="1" si="178"/>
        <v>0</v>
      </c>
      <c r="J68" s="618">
        <f t="shared" ca="1" si="178"/>
        <v>0</v>
      </c>
      <c r="K68" s="618">
        <f t="shared" ca="1" si="178"/>
        <v>0</v>
      </c>
      <c r="L68" s="618">
        <f t="shared" ca="1" si="178"/>
        <v>0</v>
      </c>
      <c r="M68" s="618">
        <f t="shared" ca="1" si="178"/>
        <v>0</v>
      </c>
      <c r="N68" s="618">
        <f t="shared" ca="1" si="178"/>
        <v>0</v>
      </c>
      <c r="O68" s="618">
        <f t="shared" ca="1" si="178"/>
        <v>0</v>
      </c>
      <c r="P68" s="618">
        <f t="shared" ca="1" si="178"/>
        <v>0</v>
      </c>
      <c r="Q68" s="618">
        <f ca="1">SUM(G68:P68)</f>
        <v>0.13105649885872517</v>
      </c>
      <c r="S68" s="581">
        <f t="shared" ref="S68:AJ68" ca="1" si="179">SUM(S65:S67)</f>
        <v>-0.13105649885872517</v>
      </c>
      <c r="T68" s="581">
        <f t="shared" ca="1" si="179"/>
        <v>2.9366099999999995</v>
      </c>
      <c r="U68" s="581">
        <f t="shared" ca="1" si="179"/>
        <v>0</v>
      </c>
      <c r="V68" s="581">
        <f t="shared" ca="1" si="179"/>
        <v>0</v>
      </c>
      <c r="W68" s="581">
        <f t="shared" ca="1" si="179"/>
        <v>0</v>
      </c>
      <c r="X68" s="581">
        <f t="shared" ca="1" si="179"/>
        <v>0</v>
      </c>
      <c r="Y68" s="581">
        <f t="shared" ca="1" si="179"/>
        <v>0</v>
      </c>
      <c r="Z68" s="581">
        <f t="shared" ca="1" si="179"/>
        <v>0</v>
      </c>
      <c r="AA68" s="581">
        <f t="shared" ca="1" si="179"/>
        <v>0</v>
      </c>
      <c r="AB68" s="581">
        <f t="shared" ca="1" si="179"/>
        <v>0</v>
      </c>
      <c r="AC68" s="581">
        <f t="shared" ca="1" si="179"/>
        <v>0</v>
      </c>
      <c r="AD68" s="581">
        <f t="shared" ca="1" si="179"/>
        <v>0</v>
      </c>
      <c r="AE68" s="581">
        <f ca="1">SUM(AE65:AE67)</f>
        <v>0</v>
      </c>
      <c r="AF68" s="581">
        <f t="shared" ca="1" si="179"/>
        <v>0</v>
      </c>
      <c r="AG68" s="581">
        <f t="shared" ca="1" si="179"/>
        <v>0</v>
      </c>
      <c r="AH68" s="581">
        <f ca="1">SUM(AH65:AH67)</f>
        <v>0</v>
      </c>
      <c r="AI68" s="581">
        <f t="shared" ca="1" si="179"/>
        <v>1.8347909840221523</v>
      </c>
      <c r="AJ68" s="581">
        <f t="shared" ca="1" si="179"/>
        <v>0</v>
      </c>
      <c r="AK68" s="581">
        <f ca="1">SUM(S68:AJ68)</f>
        <v>4.6403444851634266</v>
      </c>
      <c r="AM68" s="582">
        <f t="shared" ref="AM68:BE68" ca="1" si="180">SUM(AM65:AM67)</f>
        <v>0</v>
      </c>
      <c r="AN68" s="582">
        <f t="shared" ca="1" si="180"/>
        <v>0</v>
      </c>
      <c r="AO68" s="582">
        <f t="shared" ca="1" si="180"/>
        <v>0</v>
      </c>
      <c r="AP68" s="582">
        <f t="shared" ca="1" si="180"/>
        <v>0</v>
      </c>
      <c r="AQ68" s="582">
        <f t="shared" ca="1" si="180"/>
        <v>0</v>
      </c>
      <c r="AR68" s="582">
        <f t="shared" ca="1" si="180"/>
        <v>0</v>
      </c>
      <c r="AS68" s="582">
        <f t="shared" ca="1" si="180"/>
        <v>0</v>
      </c>
      <c r="AT68" s="582">
        <f t="shared" ca="1" si="180"/>
        <v>0</v>
      </c>
      <c r="AU68" s="582">
        <f t="shared" ca="1" si="180"/>
        <v>0</v>
      </c>
      <c r="AV68" s="582">
        <f t="shared" ca="1" si="180"/>
        <v>0</v>
      </c>
      <c r="AW68" s="582">
        <f t="shared" ca="1" si="180"/>
        <v>-4.3856969840221529</v>
      </c>
      <c r="AX68" s="582">
        <f t="shared" ca="1" si="180"/>
        <v>-0.38570399999999927</v>
      </c>
      <c r="AY68" s="582">
        <f t="shared" ca="1" si="180"/>
        <v>0</v>
      </c>
      <c r="AZ68" s="582">
        <f t="shared" ca="1" si="180"/>
        <v>0</v>
      </c>
      <c r="BA68" s="582">
        <f t="shared" ca="1" si="180"/>
        <v>0</v>
      </c>
      <c r="BB68" s="582">
        <f t="shared" ca="1" si="180"/>
        <v>0</v>
      </c>
      <c r="BC68" s="582">
        <f t="shared" ca="1" si="180"/>
        <v>0</v>
      </c>
      <c r="BD68" s="582">
        <f t="shared" ca="1" si="180"/>
        <v>0</v>
      </c>
      <c r="BE68" s="582">
        <f t="shared" ca="1" si="180"/>
        <v>0</v>
      </c>
      <c r="BF68" s="582">
        <f ca="1">SUM(AM68:BE68)</f>
        <v>-4.7714009840221525</v>
      </c>
      <c r="BH68" s="3463">
        <f ca="1">SUM(BH65:BH67)</f>
        <v>0</v>
      </c>
      <c r="BI68" s="3463">
        <f ca="1">SUM(BI65:BI67)</f>
        <v>0</v>
      </c>
      <c r="BJ68" s="3463">
        <f ca="1">SUM(BH68:BI68)</f>
        <v>0</v>
      </c>
      <c r="BL68" s="3477">
        <f t="shared" ca="1" si="176"/>
        <v>-8.8817841970012523E-16</v>
      </c>
      <c r="BM68" s="584"/>
      <c r="BN68" s="413"/>
      <c r="BO68" s="2790">
        <f ca="1">SUM(BO65:BO67)</f>
        <v>0</v>
      </c>
      <c r="BP68" s="2790">
        <f t="shared" ref="BP68:DF68" ca="1" si="181">SUM(BP65:BP67)</f>
        <v>0</v>
      </c>
      <c r="BQ68" s="2790">
        <f t="shared" ca="1" si="181"/>
        <v>0</v>
      </c>
      <c r="BR68" s="2790">
        <f t="shared" ca="1" si="181"/>
        <v>0</v>
      </c>
      <c r="BS68" s="2790">
        <f t="shared" ca="1" si="181"/>
        <v>0</v>
      </c>
      <c r="BT68" s="2790">
        <f t="shared" ca="1" si="181"/>
        <v>0</v>
      </c>
      <c r="BU68" s="2790">
        <f t="shared" ca="1" si="181"/>
        <v>0</v>
      </c>
      <c r="BV68" s="2790">
        <f t="shared" ca="1" si="181"/>
        <v>0</v>
      </c>
      <c r="BW68" s="2790">
        <f t="shared" ca="1" si="181"/>
        <v>0</v>
      </c>
      <c r="BX68" s="2790">
        <f t="shared" ca="1" si="181"/>
        <v>0</v>
      </c>
      <c r="BY68" s="2790">
        <f t="shared" ca="1" si="181"/>
        <v>0</v>
      </c>
      <c r="BZ68" s="2790">
        <f t="shared" ca="1" si="181"/>
        <v>0</v>
      </c>
      <c r="CA68" s="2790">
        <f t="shared" ca="1" si="181"/>
        <v>0</v>
      </c>
      <c r="CB68" s="2790">
        <f t="shared" ca="1" si="181"/>
        <v>0</v>
      </c>
      <c r="CC68" s="2790">
        <f t="shared" ca="1" si="181"/>
        <v>0</v>
      </c>
      <c r="CD68" s="2790">
        <f t="shared" ca="1" si="181"/>
        <v>0</v>
      </c>
      <c r="CE68" s="2790">
        <f t="shared" ca="1" si="181"/>
        <v>0</v>
      </c>
      <c r="CF68" s="2790">
        <f t="shared" ca="1" si="181"/>
        <v>0</v>
      </c>
      <c r="CG68" s="2790">
        <f t="shared" ca="1" si="181"/>
        <v>0</v>
      </c>
      <c r="CH68" s="2790">
        <f t="shared" ca="1" si="181"/>
        <v>0</v>
      </c>
      <c r="CI68" s="2790">
        <f t="shared" ca="1" si="181"/>
        <v>0</v>
      </c>
      <c r="CJ68" s="2790">
        <f t="shared" ca="1" si="181"/>
        <v>0</v>
      </c>
      <c r="CK68" s="2790">
        <f t="shared" ca="1" si="181"/>
        <v>0</v>
      </c>
      <c r="CL68" s="2790">
        <f t="shared" ca="1" si="181"/>
        <v>0</v>
      </c>
      <c r="CM68" s="2790">
        <f t="shared" ca="1" si="181"/>
        <v>0</v>
      </c>
      <c r="CN68" s="2790">
        <f t="shared" ca="1" si="181"/>
        <v>0</v>
      </c>
      <c r="CO68" s="2790">
        <f t="shared" ca="1" si="181"/>
        <v>0</v>
      </c>
      <c r="CP68" s="2790">
        <f t="shared" ca="1" si="181"/>
        <v>0</v>
      </c>
      <c r="CQ68" s="2790">
        <f t="shared" ca="1" si="181"/>
        <v>0</v>
      </c>
      <c r="CR68" s="2790">
        <f t="shared" ca="1" si="181"/>
        <v>0</v>
      </c>
      <c r="CS68" s="2790">
        <f t="shared" ca="1" si="181"/>
        <v>0</v>
      </c>
      <c r="CT68" s="2790">
        <f t="shared" ca="1" si="181"/>
        <v>0</v>
      </c>
      <c r="CU68" s="2790">
        <f t="shared" ca="1" si="181"/>
        <v>0</v>
      </c>
      <c r="CV68" s="2790">
        <f t="shared" ca="1" si="181"/>
        <v>0</v>
      </c>
      <c r="CW68" s="2790">
        <f t="shared" ca="1" si="181"/>
        <v>0</v>
      </c>
      <c r="CX68" s="2790">
        <f t="shared" ca="1" si="181"/>
        <v>0</v>
      </c>
      <c r="CY68" s="2790">
        <f t="shared" ca="1" si="181"/>
        <v>0</v>
      </c>
      <c r="CZ68" s="2790">
        <f t="shared" ca="1" si="181"/>
        <v>0</v>
      </c>
      <c r="DA68" s="2790">
        <f t="shared" ca="1" si="181"/>
        <v>0</v>
      </c>
      <c r="DB68" s="2790">
        <f t="shared" ca="1" si="181"/>
        <v>0</v>
      </c>
      <c r="DC68" s="2790">
        <f t="shared" ca="1" si="181"/>
        <v>0</v>
      </c>
      <c r="DD68" s="2790">
        <f t="shared" ca="1" si="181"/>
        <v>0</v>
      </c>
      <c r="DE68" s="2790">
        <f t="shared" ca="1" si="181"/>
        <v>0</v>
      </c>
      <c r="DF68" s="2790">
        <f t="shared" ca="1" si="181"/>
        <v>0</v>
      </c>
      <c r="DH68" s="596">
        <f t="shared" ca="1" si="120"/>
        <v>0</v>
      </c>
    </row>
    <row r="69" spans="1:112" s="6" customFormat="1" ht="12.75" customHeight="1" outlineLevel="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76"/>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20"/>
        <v>0</v>
      </c>
    </row>
    <row r="70" spans="1:112" s="639" customFormat="1" ht="12.75" customHeight="1" outlineLevel="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76"/>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20"/>
        <v>0</v>
      </c>
    </row>
    <row r="71" spans="1:112" s="607" customFormat="1" ht="12.75" customHeight="1" outlineLevel="1">
      <c r="C71" s="587" t="s">
        <v>542</v>
      </c>
      <c r="D71" s="611" t="s">
        <v>543</v>
      </c>
      <c r="E71" s="611"/>
      <c r="F71" s="6"/>
      <c r="G71" s="619">
        <f t="shared" ref="G71:P71" ca="1" si="182">IFERROR(INDEX(INDIRECT($C71&amp;".Outputs["&amp;this.Year&amp;"]"), MATCH(G$5, INDIRECT($C71&amp;".Outputs[Vector]"), 0)), 0)</f>
        <v>0</v>
      </c>
      <c r="H71" s="619">
        <f t="shared" ca="1" si="182"/>
        <v>0</v>
      </c>
      <c r="I71" s="619">
        <f t="shared" ca="1" si="182"/>
        <v>0</v>
      </c>
      <c r="J71" s="619">
        <f t="shared" ca="1" si="182"/>
        <v>0</v>
      </c>
      <c r="K71" s="619">
        <f t="shared" ca="1" si="182"/>
        <v>0</v>
      </c>
      <c r="L71" s="619">
        <f t="shared" ca="1" si="182"/>
        <v>0</v>
      </c>
      <c r="M71" s="619">
        <f t="shared" ca="1" si="182"/>
        <v>0</v>
      </c>
      <c r="N71" s="619">
        <f t="shared" ca="1" si="182"/>
        <v>0</v>
      </c>
      <c r="O71" s="619">
        <f t="shared" ca="1" si="182"/>
        <v>0</v>
      </c>
      <c r="P71" s="619">
        <f t="shared" ca="1" si="182"/>
        <v>0</v>
      </c>
      <c r="Q71" s="612">
        <f ca="1">SUM(G71:P71)</f>
        <v>0</v>
      </c>
      <c r="R71" s="6"/>
      <c r="S71" s="620">
        <f t="shared" ref="S71:AJ71" ca="1" si="183">IFERROR(INDEX(INDIRECT($C71&amp;".Outputs["&amp;this.Year&amp;"]"), MATCH(S$5, INDIRECT($C71&amp;".Outputs[Vector]"), 0)), 0)</f>
        <v>0</v>
      </c>
      <c r="T71" s="620">
        <f t="shared" ca="1" si="183"/>
        <v>-3.7911428177742012E-3</v>
      </c>
      <c r="U71" s="620">
        <f t="shared" ca="1" si="183"/>
        <v>0</v>
      </c>
      <c r="V71" s="620">
        <f t="shared" ca="1" si="183"/>
        <v>0</v>
      </c>
      <c r="W71" s="620">
        <f t="shared" ca="1" si="183"/>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83"/>
        <v>0</v>
      </c>
      <c r="AB71" s="620">
        <f t="shared" ca="1" si="183"/>
        <v>2.6537999724419409E-2</v>
      </c>
      <c r="AC71" s="620">
        <f t="shared" ca="1" si="183"/>
        <v>0</v>
      </c>
      <c r="AD71" s="620">
        <f t="shared" ca="1" si="183"/>
        <v>0</v>
      </c>
      <c r="AE71" s="620">
        <f t="shared" ca="1" si="183"/>
        <v>0</v>
      </c>
      <c r="AF71" s="620">
        <f t="shared" ca="1" si="183"/>
        <v>0</v>
      </c>
      <c r="AG71" s="620">
        <f t="shared" ca="1" si="183"/>
        <v>0</v>
      </c>
      <c r="AH71" s="620">
        <f t="shared" ca="1" si="183"/>
        <v>0</v>
      </c>
      <c r="AI71" s="620">
        <f t="shared" ca="1" si="183"/>
        <v>0</v>
      </c>
      <c r="AJ71" s="620">
        <f t="shared" ca="1" si="183"/>
        <v>0</v>
      </c>
      <c r="AK71" s="613">
        <f ca="1">SUM(S71:AJ71)</f>
        <v>2.274685690664521E-2</v>
      </c>
      <c r="AL71" s="6"/>
      <c r="AM71" s="621">
        <f t="shared" ref="AM71:AU71" ca="1" si="184">IFERROR(INDEX(INDIRECT($C71&amp;".Outputs["&amp;this.Year&amp;"]"), MATCH(AM$5, INDIRECT($C71&amp;".Outputs[Vector]"), 0)), 0)</f>
        <v>0</v>
      </c>
      <c r="AN71" s="621">
        <f t="shared" ca="1" si="184"/>
        <v>0</v>
      </c>
      <c r="AO71" s="621">
        <f t="shared" ca="1" si="184"/>
        <v>0</v>
      </c>
      <c r="AP71" s="621">
        <f t="shared" ca="1" si="184"/>
        <v>0</v>
      </c>
      <c r="AQ71" s="621">
        <f t="shared" ca="1" si="184"/>
        <v>0</v>
      </c>
      <c r="AR71" s="621">
        <f t="shared" ca="1" si="184"/>
        <v>0</v>
      </c>
      <c r="AS71" s="621">
        <f t="shared" ca="1" si="184"/>
        <v>0</v>
      </c>
      <c r="AT71" s="621">
        <f t="shared" ca="1" si="184"/>
        <v>0</v>
      </c>
      <c r="AU71" s="621">
        <f t="shared" ca="1" si="184"/>
        <v>0</v>
      </c>
      <c r="AV71" s="621">
        <f t="shared" ref="AV71:BE71" ca="1" si="185">IFERROR(INDEX(INDIRECT($C71&amp;".Outputs["&amp;this.Year&amp;"]"), MATCH(AV$5, INDIRECT($C71&amp;".Outputs[Vector]"), 0)), 0)</f>
        <v>0</v>
      </c>
      <c r="AW71" s="621">
        <f t="shared" ca="1" si="185"/>
        <v>0</v>
      </c>
      <c r="AX71" s="621">
        <f t="shared" ca="1" si="185"/>
        <v>0</v>
      </c>
      <c r="AY71" s="621">
        <f t="shared" ca="1" si="185"/>
        <v>0</v>
      </c>
      <c r="AZ71" s="621">
        <f t="shared" ca="1" si="185"/>
        <v>0</v>
      </c>
      <c r="BA71" s="621">
        <f t="shared" ca="1" si="185"/>
        <v>0</v>
      </c>
      <c r="BB71" s="621">
        <f t="shared" ca="1" si="185"/>
        <v>0</v>
      </c>
      <c r="BC71" s="621">
        <f t="shared" ca="1" si="185"/>
        <v>0</v>
      </c>
      <c r="BD71" s="621">
        <f t="shared" ca="1" si="185"/>
        <v>0</v>
      </c>
      <c r="BE71" s="621">
        <f t="shared" ca="1" si="185"/>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76"/>
        <v>0</v>
      </c>
      <c r="BM71" s="610"/>
      <c r="BN71" s="413"/>
      <c r="BO71" s="2791">
        <f t="shared" ref="BO71:DF71" ca="1" si="186">IFERROR(SUMIFS(INDIRECT($C71&amp;".Emissions["&amp;this.Year&amp;"]"), INDIRECT($C71&amp;".Emissions[GHG]"), BO$6, INDIRECT($C71&amp;".Emissions[IPCC Sector]"), BO$5),0)</f>
        <v>0</v>
      </c>
      <c r="BP71" s="2792">
        <f t="shared" ca="1" si="186"/>
        <v>0</v>
      </c>
      <c r="BQ71" s="2792">
        <f t="shared" ca="1" si="186"/>
        <v>0</v>
      </c>
      <c r="BR71" s="2792">
        <f t="shared" ca="1" si="186"/>
        <v>0</v>
      </c>
      <c r="BS71" s="2792">
        <f t="shared" ca="1" si="186"/>
        <v>0</v>
      </c>
      <c r="BT71" s="2792">
        <f t="shared" ca="1" si="186"/>
        <v>0</v>
      </c>
      <c r="BU71" s="2792">
        <f t="shared" ca="1" si="186"/>
        <v>0</v>
      </c>
      <c r="BV71" s="2792">
        <f t="shared" ca="1" si="186"/>
        <v>0</v>
      </c>
      <c r="BW71" s="2792">
        <f t="shared" ca="1" si="186"/>
        <v>0</v>
      </c>
      <c r="BX71" s="2792">
        <f t="shared" ca="1" si="186"/>
        <v>0</v>
      </c>
      <c r="BY71" s="2792">
        <f t="shared" ca="1" si="186"/>
        <v>0</v>
      </c>
      <c r="BZ71" s="2792">
        <f t="shared" ca="1" si="186"/>
        <v>0</v>
      </c>
      <c r="CA71" s="2792">
        <f t="shared" ca="1" si="186"/>
        <v>0</v>
      </c>
      <c r="CB71" s="2792">
        <f t="shared" ca="1" si="186"/>
        <v>0</v>
      </c>
      <c r="CC71" s="2792">
        <f t="shared" ca="1" si="186"/>
        <v>0</v>
      </c>
      <c r="CD71" s="2792">
        <f t="shared" ca="1" si="186"/>
        <v>0</v>
      </c>
      <c r="CE71" s="2792">
        <f t="shared" ca="1" si="186"/>
        <v>0</v>
      </c>
      <c r="CF71" s="2792">
        <f t="shared" ca="1" si="186"/>
        <v>0</v>
      </c>
      <c r="CG71" s="2792">
        <f t="shared" ca="1" si="186"/>
        <v>0</v>
      </c>
      <c r="CH71" s="2792">
        <f t="shared" ca="1" si="186"/>
        <v>0</v>
      </c>
      <c r="CI71" s="2792">
        <f t="shared" ca="1" si="186"/>
        <v>0</v>
      </c>
      <c r="CJ71" s="2792">
        <f t="shared" ca="1" si="186"/>
        <v>0</v>
      </c>
      <c r="CK71" s="2792">
        <f t="shared" ca="1" si="186"/>
        <v>0</v>
      </c>
      <c r="CL71" s="2792">
        <f t="shared" ca="1" si="186"/>
        <v>0</v>
      </c>
      <c r="CM71" s="2792">
        <f t="shared" ca="1" si="186"/>
        <v>0</v>
      </c>
      <c r="CN71" s="2792">
        <f t="shared" ca="1" si="186"/>
        <v>0</v>
      </c>
      <c r="CO71" s="2792">
        <f t="shared" ca="1" si="186"/>
        <v>0</v>
      </c>
      <c r="CP71" s="2792">
        <f t="shared" ca="1" si="186"/>
        <v>0</v>
      </c>
      <c r="CQ71" s="2792">
        <f t="shared" ca="1" si="186"/>
        <v>0</v>
      </c>
      <c r="CR71" s="2792">
        <f t="shared" ca="1" si="186"/>
        <v>0</v>
      </c>
      <c r="CS71" s="2792">
        <f t="shared" ca="1" si="186"/>
        <v>0</v>
      </c>
      <c r="CT71" s="2792">
        <f t="shared" ca="1" si="186"/>
        <v>0</v>
      </c>
      <c r="CU71" s="2792">
        <f t="shared" ca="1" si="186"/>
        <v>0</v>
      </c>
      <c r="CV71" s="2792">
        <f t="shared" ca="1" si="186"/>
        <v>0</v>
      </c>
      <c r="CW71" s="2792">
        <f t="shared" ca="1" si="186"/>
        <v>0</v>
      </c>
      <c r="CX71" s="2792">
        <f t="shared" ca="1" si="186"/>
        <v>0</v>
      </c>
      <c r="CY71" s="2792">
        <f t="shared" ca="1" si="186"/>
        <v>0</v>
      </c>
      <c r="CZ71" s="2792">
        <f t="shared" ca="1" si="186"/>
        <v>0</v>
      </c>
      <c r="DA71" s="2792">
        <f t="shared" ca="1" si="186"/>
        <v>0</v>
      </c>
      <c r="DB71" s="2792">
        <f t="shared" ca="1" si="186"/>
        <v>0</v>
      </c>
      <c r="DC71" s="2792">
        <f t="shared" ca="1" si="186"/>
        <v>0</v>
      </c>
      <c r="DD71" s="2792">
        <f t="shared" ca="1" si="186"/>
        <v>0</v>
      </c>
      <c r="DE71" s="2792">
        <f t="shared" ca="1" si="186"/>
        <v>0</v>
      </c>
      <c r="DF71" s="2792">
        <f t="shared" ca="1" si="186"/>
        <v>0</v>
      </c>
      <c r="DH71" s="596">
        <f t="shared" ca="1" si="120"/>
        <v>0</v>
      </c>
    </row>
    <row r="72" spans="1:112" s="6" customFormat="1" ht="15.75">
      <c r="A72" s="4"/>
      <c r="B72" s="3"/>
      <c r="C72" s="616" t="s">
        <v>544</v>
      </c>
      <c r="D72" s="617" t="s">
        <v>545</v>
      </c>
      <c r="E72" s="206"/>
      <c r="G72" s="618">
        <f ca="1">G71</f>
        <v>0</v>
      </c>
      <c r="H72" s="618">
        <f t="shared" ref="H72:P72" ca="1" si="187">H71</f>
        <v>0</v>
      </c>
      <c r="I72" s="618">
        <f t="shared" ca="1" si="187"/>
        <v>0</v>
      </c>
      <c r="J72" s="618">
        <f t="shared" ca="1" si="187"/>
        <v>0</v>
      </c>
      <c r="K72" s="618">
        <f t="shared" ca="1" si="187"/>
        <v>0</v>
      </c>
      <c r="L72" s="618">
        <f t="shared" ca="1" si="187"/>
        <v>0</v>
      </c>
      <c r="M72" s="618">
        <f t="shared" ca="1" si="187"/>
        <v>0</v>
      </c>
      <c r="N72" s="618">
        <f t="shared" ca="1" si="187"/>
        <v>0</v>
      </c>
      <c r="O72" s="618">
        <f t="shared" ca="1" si="187"/>
        <v>0</v>
      </c>
      <c r="P72" s="618">
        <f t="shared" ca="1" si="187"/>
        <v>0</v>
      </c>
      <c r="Q72" s="618">
        <f ca="1">SUM(G72:P72)</f>
        <v>0</v>
      </c>
      <c r="S72" s="581">
        <f t="shared" ref="S72:AJ72" ca="1" si="188">S71</f>
        <v>0</v>
      </c>
      <c r="T72" s="581">
        <f t="shared" ca="1" si="188"/>
        <v>-3.7911428177742012E-3</v>
      </c>
      <c r="U72" s="581">
        <f t="shared" ca="1" si="188"/>
        <v>0</v>
      </c>
      <c r="V72" s="581">
        <f t="shared" ca="1" si="188"/>
        <v>0</v>
      </c>
      <c r="W72" s="581">
        <f t="shared" ca="1" si="188"/>
        <v>0</v>
      </c>
      <c r="X72" s="581">
        <f t="shared" ca="1" si="188"/>
        <v>0</v>
      </c>
      <c r="Y72" s="581">
        <f t="shared" ca="1" si="188"/>
        <v>0</v>
      </c>
      <c r="Z72" s="581">
        <f t="shared" ca="1" si="188"/>
        <v>0</v>
      </c>
      <c r="AA72" s="581">
        <f t="shared" ca="1" si="188"/>
        <v>0</v>
      </c>
      <c r="AB72" s="581">
        <f t="shared" ca="1" si="188"/>
        <v>2.6537999724419409E-2</v>
      </c>
      <c r="AC72" s="581">
        <f t="shared" ca="1" si="188"/>
        <v>0</v>
      </c>
      <c r="AD72" s="581">
        <f ca="1">AD71</f>
        <v>0</v>
      </c>
      <c r="AE72" s="581">
        <f ca="1">AE71</f>
        <v>0</v>
      </c>
      <c r="AF72" s="581">
        <f t="shared" ca="1" si="188"/>
        <v>0</v>
      </c>
      <c r="AG72" s="581">
        <f t="shared" ca="1" si="188"/>
        <v>0</v>
      </c>
      <c r="AH72" s="581">
        <f ca="1">AH71</f>
        <v>0</v>
      </c>
      <c r="AI72" s="581">
        <f ca="1">AI71</f>
        <v>0</v>
      </c>
      <c r="AJ72" s="581">
        <f t="shared" ca="1" si="188"/>
        <v>0</v>
      </c>
      <c r="AK72" s="581">
        <f ca="1">SUM(S72:AJ72)</f>
        <v>2.274685690664521E-2</v>
      </c>
      <c r="AM72" s="582">
        <f ca="1">AM71</f>
        <v>0</v>
      </c>
      <c r="AN72" s="582">
        <f t="shared" ref="AN72:BE72" ca="1" si="189">AN71</f>
        <v>0</v>
      </c>
      <c r="AO72" s="582">
        <f t="shared" ca="1" si="189"/>
        <v>0</v>
      </c>
      <c r="AP72" s="582">
        <f t="shared" ca="1" si="189"/>
        <v>0</v>
      </c>
      <c r="AQ72" s="582">
        <f t="shared" ca="1" si="189"/>
        <v>0</v>
      </c>
      <c r="AR72" s="582">
        <f t="shared" ca="1" si="189"/>
        <v>0</v>
      </c>
      <c r="AS72" s="582">
        <f t="shared" ca="1" si="189"/>
        <v>0</v>
      </c>
      <c r="AT72" s="582">
        <f t="shared" ca="1" si="189"/>
        <v>0</v>
      </c>
      <c r="AU72" s="582">
        <f t="shared" ca="1" si="189"/>
        <v>0</v>
      </c>
      <c r="AV72" s="582">
        <f t="shared" ca="1" si="189"/>
        <v>0</v>
      </c>
      <c r="AW72" s="582">
        <f t="shared" ca="1" si="189"/>
        <v>0</v>
      </c>
      <c r="AX72" s="582">
        <f t="shared" ca="1" si="189"/>
        <v>0</v>
      </c>
      <c r="AY72" s="582">
        <f t="shared" ca="1" si="189"/>
        <v>0</v>
      </c>
      <c r="AZ72" s="582">
        <f t="shared" ca="1" si="189"/>
        <v>0</v>
      </c>
      <c r="BA72" s="582">
        <f t="shared" ca="1" si="189"/>
        <v>0</v>
      </c>
      <c r="BB72" s="582">
        <f t="shared" ca="1" si="189"/>
        <v>0</v>
      </c>
      <c r="BC72" s="582">
        <f t="shared" ca="1" si="189"/>
        <v>0</v>
      </c>
      <c r="BD72" s="582">
        <f t="shared" ca="1" si="189"/>
        <v>0</v>
      </c>
      <c r="BE72" s="582">
        <f t="shared" ca="1" si="189"/>
        <v>0</v>
      </c>
      <c r="BF72" s="582">
        <f ca="1">SUM(AM72:BE72)</f>
        <v>0</v>
      </c>
      <c r="BH72" s="3463">
        <f ca="1">BH71</f>
        <v>-2.274685690664521E-2</v>
      </c>
      <c r="BI72" s="3463">
        <f ca="1">BI71</f>
        <v>0</v>
      </c>
      <c r="BJ72" s="3463">
        <f ca="1">SUM(BH72:BI72)</f>
        <v>-2.274685690664521E-2</v>
      </c>
      <c r="BL72" s="3477">
        <f t="shared" ca="1" si="176"/>
        <v>0</v>
      </c>
      <c r="BM72" s="584"/>
      <c r="BN72" s="413"/>
      <c r="BO72" s="2790">
        <f t="shared" ref="BO72:DF72" ca="1" si="190">BO71</f>
        <v>0</v>
      </c>
      <c r="BP72" s="2790">
        <f t="shared" ca="1" si="190"/>
        <v>0</v>
      </c>
      <c r="BQ72" s="2790">
        <f t="shared" ca="1" si="190"/>
        <v>0</v>
      </c>
      <c r="BR72" s="2790">
        <f t="shared" ca="1" si="190"/>
        <v>0</v>
      </c>
      <c r="BS72" s="2790">
        <f t="shared" ca="1" si="190"/>
        <v>0</v>
      </c>
      <c r="BT72" s="2790">
        <f t="shared" ca="1" si="190"/>
        <v>0</v>
      </c>
      <c r="BU72" s="2790">
        <f t="shared" ca="1" si="190"/>
        <v>0</v>
      </c>
      <c r="BV72" s="2790">
        <f t="shared" ca="1" si="190"/>
        <v>0</v>
      </c>
      <c r="BW72" s="2790">
        <f t="shared" ca="1" si="190"/>
        <v>0</v>
      </c>
      <c r="BX72" s="2790">
        <f t="shared" ca="1" si="190"/>
        <v>0</v>
      </c>
      <c r="BY72" s="2790">
        <f t="shared" ca="1" si="190"/>
        <v>0</v>
      </c>
      <c r="BZ72" s="2790">
        <f t="shared" ca="1" si="190"/>
        <v>0</v>
      </c>
      <c r="CA72" s="2790">
        <f t="shared" ca="1" si="190"/>
        <v>0</v>
      </c>
      <c r="CB72" s="2790">
        <f t="shared" ca="1" si="190"/>
        <v>0</v>
      </c>
      <c r="CC72" s="2790">
        <f t="shared" ca="1" si="190"/>
        <v>0</v>
      </c>
      <c r="CD72" s="2790">
        <f t="shared" ca="1" si="190"/>
        <v>0</v>
      </c>
      <c r="CE72" s="2790">
        <f t="shared" ca="1" si="190"/>
        <v>0</v>
      </c>
      <c r="CF72" s="2790">
        <f t="shared" ca="1" si="190"/>
        <v>0</v>
      </c>
      <c r="CG72" s="2790">
        <f t="shared" ca="1" si="190"/>
        <v>0</v>
      </c>
      <c r="CH72" s="2790">
        <f t="shared" ca="1" si="190"/>
        <v>0</v>
      </c>
      <c r="CI72" s="2790">
        <f t="shared" ca="1" si="190"/>
        <v>0</v>
      </c>
      <c r="CJ72" s="2790">
        <f t="shared" ca="1" si="190"/>
        <v>0</v>
      </c>
      <c r="CK72" s="2790">
        <f t="shared" ca="1" si="190"/>
        <v>0</v>
      </c>
      <c r="CL72" s="2790">
        <f t="shared" ca="1" si="190"/>
        <v>0</v>
      </c>
      <c r="CM72" s="2790">
        <f t="shared" ca="1" si="190"/>
        <v>0</v>
      </c>
      <c r="CN72" s="2790">
        <f t="shared" ca="1" si="190"/>
        <v>0</v>
      </c>
      <c r="CO72" s="2790">
        <f t="shared" ca="1" si="190"/>
        <v>0</v>
      </c>
      <c r="CP72" s="2790">
        <f t="shared" ca="1" si="190"/>
        <v>0</v>
      </c>
      <c r="CQ72" s="2790">
        <f t="shared" ca="1" si="190"/>
        <v>0</v>
      </c>
      <c r="CR72" s="2790">
        <f t="shared" ca="1" si="190"/>
        <v>0</v>
      </c>
      <c r="CS72" s="2790">
        <f t="shared" ca="1" si="190"/>
        <v>0</v>
      </c>
      <c r="CT72" s="2790">
        <f t="shared" ca="1" si="190"/>
        <v>0</v>
      </c>
      <c r="CU72" s="2790">
        <f t="shared" ca="1" si="190"/>
        <v>0</v>
      </c>
      <c r="CV72" s="2790">
        <f t="shared" ca="1" si="190"/>
        <v>0</v>
      </c>
      <c r="CW72" s="2790">
        <f t="shared" ca="1" si="190"/>
        <v>0</v>
      </c>
      <c r="CX72" s="2790">
        <f t="shared" ca="1" si="190"/>
        <v>0</v>
      </c>
      <c r="CY72" s="2790">
        <f t="shared" ca="1" si="190"/>
        <v>0</v>
      </c>
      <c r="CZ72" s="2790">
        <f t="shared" ca="1" si="190"/>
        <v>0</v>
      </c>
      <c r="DA72" s="2790">
        <f t="shared" ca="1" si="190"/>
        <v>0</v>
      </c>
      <c r="DB72" s="2790">
        <f t="shared" ca="1" si="190"/>
        <v>0</v>
      </c>
      <c r="DC72" s="2790">
        <f t="shared" ca="1" si="190"/>
        <v>0</v>
      </c>
      <c r="DD72" s="2790">
        <f t="shared" ca="1" si="190"/>
        <v>0</v>
      </c>
      <c r="DE72" s="2790">
        <f t="shared" ca="1" si="190"/>
        <v>0</v>
      </c>
      <c r="DF72" s="2790">
        <f t="shared" ca="1" si="190"/>
        <v>0</v>
      </c>
      <c r="DH72" s="596">
        <f t="shared" ca="1" si="120"/>
        <v>0</v>
      </c>
    </row>
    <row r="73" spans="1:112" s="6" customFormat="1" ht="12.75" customHeight="1" outlineLevel="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20"/>
        <v>0</v>
      </c>
    </row>
    <row r="74" spans="1:112" s="652" customFormat="1" ht="12.75" customHeight="1" outlineLevel="1">
      <c r="C74" s="667" t="s">
        <v>546</v>
      </c>
      <c r="D74" s="668" t="s">
        <v>547</v>
      </c>
      <c r="E74" s="668"/>
      <c r="F74" s="6"/>
      <c r="G74" s="669"/>
      <c r="H74" s="669"/>
      <c r="I74" s="669"/>
      <c r="J74" s="669"/>
      <c r="K74" s="670"/>
      <c r="L74" s="669"/>
      <c r="M74" s="669"/>
      <c r="N74" s="669"/>
      <c r="O74" s="669"/>
      <c r="P74" s="669"/>
      <c r="Q74" s="669"/>
      <c r="R74" s="6"/>
      <c r="S74" s="671">
        <f ca="1">S$40+S$46+S$51+S$99+S$55+S$93+S$63+S$68+S$72</f>
        <v>-26.711821498340946</v>
      </c>
      <c r="T74" s="671">
        <f ca="1">T$40+T$46+T$51+T$99+T$55+T$93+T$63+T$68+T$72</f>
        <v>43.847712565769761</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91">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20"/>
        <v>0</v>
      </c>
    </row>
    <row r="75" spans="1:112" s="607" customFormat="1" ht="12.75" customHeight="1" outlineLevel="1">
      <c r="C75" s="587" t="s">
        <v>548</v>
      </c>
      <c r="D75" s="611" t="s">
        <v>549</v>
      </c>
      <c r="E75" s="611"/>
      <c r="F75" s="6"/>
      <c r="G75" s="619">
        <f t="shared" ref="G75:P75" ca="1" si="192">IFERROR(INDEX(INDIRECT($C75&amp;".Outputs["&amp;this.Year&amp;"]"), MATCH(G$5, INDIRECT($C75&amp;".Outputs[Vector]"), 0)), 0)</f>
        <v>0</v>
      </c>
      <c r="H75" s="619">
        <f t="shared" ca="1" si="192"/>
        <v>0</v>
      </c>
      <c r="I75" s="619">
        <f t="shared" ca="1" si="192"/>
        <v>0</v>
      </c>
      <c r="J75" s="619">
        <f t="shared" ca="1" si="192"/>
        <v>0</v>
      </c>
      <c r="K75" s="619">
        <f t="shared" ca="1" si="192"/>
        <v>0</v>
      </c>
      <c r="L75" s="619">
        <f t="shared" ca="1" si="192"/>
        <v>0</v>
      </c>
      <c r="M75" s="619">
        <f t="shared" ca="1" si="192"/>
        <v>0</v>
      </c>
      <c r="N75" s="619">
        <f t="shared" ca="1" si="192"/>
        <v>0</v>
      </c>
      <c r="O75" s="619">
        <f t="shared" ca="1" si="192"/>
        <v>0</v>
      </c>
      <c r="P75" s="619">
        <f t="shared" ca="1" si="192"/>
        <v>0</v>
      </c>
      <c r="Q75" s="612">
        <f ca="1">SUM(G75:P75)</f>
        <v>0</v>
      </c>
      <c r="R75" s="6"/>
      <c r="S75" s="620">
        <f t="shared" ref="S75:AJ75" ca="1" si="193">IFERROR(INDEX(INDIRECT($C75&amp;".Outputs["&amp;this.Year&amp;"]"), MATCH(S$5, INDIRECT($C75&amp;".Outputs[Vector]"), 0)), 0)</f>
        <v>0</v>
      </c>
      <c r="T75" s="620">
        <f t="shared" ca="1" si="193"/>
        <v>7.0128000000000013</v>
      </c>
      <c r="U75" s="620">
        <f t="shared" ca="1" si="193"/>
        <v>0</v>
      </c>
      <c r="V75" s="620">
        <f t="shared" ca="1" si="193"/>
        <v>0</v>
      </c>
      <c r="W75" s="620">
        <f t="shared" ca="1" si="193"/>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93"/>
        <v>0</v>
      </c>
      <c r="AB75" s="620">
        <f t="shared" ca="1" si="193"/>
        <v>0</v>
      </c>
      <c r="AC75" s="620">
        <f t="shared" ca="1" si="193"/>
        <v>0</v>
      </c>
      <c r="AD75" s="620">
        <f t="shared" ca="1" si="193"/>
        <v>0</v>
      </c>
      <c r="AE75" s="620">
        <f t="shared" ca="1" si="193"/>
        <v>0</v>
      </c>
      <c r="AF75" s="620">
        <f t="shared" ca="1" si="193"/>
        <v>0</v>
      </c>
      <c r="AG75" s="620">
        <f t="shared" ca="1" si="193"/>
        <v>0</v>
      </c>
      <c r="AH75" s="620">
        <f t="shared" ca="1" si="193"/>
        <v>0</v>
      </c>
      <c r="AI75" s="620">
        <f t="shared" ca="1" si="193"/>
        <v>0</v>
      </c>
      <c r="AJ75" s="620">
        <f t="shared" ca="1" si="193"/>
        <v>0</v>
      </c>
      <c r="AK75" s="613">
        <f ca="1">SUM(S75:AJ75)</f>
        <v>7.0128000000000013</v>
      </c>
      <c r="AL75" s="6"/>
      <c r="AM75" s="621">
        <f t="shared" ref="AM75:AU75" ca="1" si="194">IFERROR(INDEX(INDIRECT($C75&amp;".Outputs["&amp;this.Year&amp;"]"), MATCH(AM$5, INDIRECT($C75&amp;".Outputs[Vector]"), 0)), 0)</f>
        <v>0</v>
      </c>
      <c r="AN75" s="621">
        <f t="shared" ca="1" si="194"/>
        <v>0</v>
      </c>
      <c r="AO75" s="621">
        <f t="shared" ca="1" si="194"/>
        <v>0</v>
      </c>
      <c r="AP75" s="621">
        <f t="shared" ca="1" si="194"/>
        <v>0</v>
      </c>
      <c r="AQ75" s="621">
        <f t="shared" ca="1" si="194"/>
        <v>0</v>
      </c>
      <c r="AR75" s="621">
        <f t="shared" ca="1" si="194"/>
        <v>0</v>
      </c>
      <c r="AS75" s="621">
        <f t="shared" ca="1" si="194"/>
        <v>0</v>
      </c>
      <c r="AT75" s="621">
        <f t="shared" ca="1" si="194"/>
        <v>0</v>
      </c>
      <c r="AU75" s="621">
        <f t="shared" ca="1" si="194"/>
        <v>0</v>
      </c>
      <c r="AV75" s="621">
        <f t="shared" ref="AV75:BE75" ca="1" si="195">IFERROR(INDEX(INDIRECT($C75&amp;".Outputs["&amp;this.Year&amp;"]"), MATCH(AV$5, INDIRECT($C75&amp;".Outputs[Vector]"), 0)), 0)</f>
        <v>-21.428000000000004</v>
      </c>
      <c r="AW75" s="621">
        <f t="shared" ca="1" si="195"/>
        <v>0</v>
      </c>
      <c r="AX75" s="621">
        <f t="shared" ca="1" si="195"/>
        <v>0</v>
      </c>
      <c r="AY75" s="621">
        <f t="shared" ca="1" si="195"/>
        <v>0</v>
      </c>
      <c r="AZ75" s="621">
        <f t="shared" ca="1" si="195"/>
        <v>0</v>
      </c>
      <c r="BA75" s="621">
        <f t="shared" ca="1" si="195"/>
        <v>0</v>
      </c>
      <c r="BB75" s="621">
        <f t="shared" ca="1" si="195"/>
        <v>0</v>
      </c>
      <c r="BC75" s="621">
        <f t="shared" ca="1" si="195"/>
        <v>0</v>
      </c>
      <c r="BD75" s="621">
        <f t="shared" ca="1" si="195"/>
        <v>0</v>
      </c>
      <c r="BE75" s="621">
        <f t="shared" ca="1" si="195"/>
        <v>0</v>
      </c>
      <c r="BF75" s="615">
        <f ca="1">SUM(AM75:BE75)</f>
        <v>-21.428000000000004</v>
      </c>
      <c r="BG75" s="6"/>
      <c r="BH75" s="3473">
        <f ca="1">IFERROR(INDEX(INDIRECT($C75&amp;".Outputs["&amp;this.Year&amp;"]"), MATCH(BH$5, INDIRECT($C75&amp;".Outputs[Vector]"), 0)), 0)</f>
        <v>13.713920000000003</v>
      </c>
      <c r="BI75" s="3473">
        <f ca="1">IFERROR(INDEX(INDIRECT($C75&amp;".Outputs["&amp;this.Year&amp;"]"), MATCH(BI$5, INDIRECT($C75&amp;".Outputs[Vector]"), 0)), 0)</f>
        <v>0.70128000000000013</v>
      </c>
      <c r="BJ75" s="3462">
        <f ca="1">SUM(BH75:BI75)</f>
        <v>14.415200000000004</v>
      </c>
      <c r="BK75" s="6"/>
      <c r="BL75" s="610">
        <f t="shared" ca="1" si="191"/>
        <v>0</v>
      </c>
      <c r="BM75" s="610"/>
      <c r="BN75" s="413"/>
      <c r="BO75" s="2791">
        <f t="shared" ref="BO75:DF75" ca="1" si="196">IFERROR(SUMIFS(INDIRECT($C75&amp;".Emissions["&amp;this.Year&amp;"]"), INDIRECT($C75&amp;".Emissions[GHG]"), BO$6, INDIRECT($C75&amp;".Emissions[IPCC Sector]"), BO$5),0)</f>
        <v>0</v>
      </c>
      <c r="BP75" s="2792">
        <f t="shared" ca="1" si="196"/>
        <v>0</v>
      </c>
      <c r="BQ75" s="2792">
        <f t="shared" ca="1" si="196"/>
        <v>0</v>
      </c>
      <c r="BR75" s="2792">
        <f t="shared" ca="1" si="196"/>
        <v>0</v>
      </c>
      <c r="BS75" s="2792">
        <f t="shared" ca="1" si="196"/>
        <v>0</v>
      </c>
      <c r="BT75" s="2792">
        <f t="shared" ca="1" si="196"/>
        <v>0</v>
      </c>
      <c r="BU75" s="2792">
        <f t="shared" ca="1" si="196"/>
        <v>0</v>
      </c>
      <c r="BV75" s="2792">
        <f t="shared" ca="1" si="196"/>
        <v>0</v>
      </c>
      <c r="BW75" s="2792">
        <f t="shared" ca="1" si="196"/>
        <v>0</v>
      </c>
      <c r="BX75" s="2792">
        <f t="shared" ca="1" si="196"/>
        <v>0</v>
      </c>
      <c r="BY75" s="2792">
        <f t="shared" ca="1" si="196"/>
        <v>0</v>
      </c>
      <c r="BZ75" s="2792">
        <f t="shared" ca="1" si="196"/>
        <v>0</v>
      </c>
      <c r="CA75" s="2792">
        <f t="shared" ca="1" si="196"/>
        <v>0</v>
      </c>
      <c r="CB75" s="2792">
        <f t="shared" ca="1" si="196"/>
        <v>0</v>
      </c>
      <c r="CC75" s="2792">
        <f t="shared" ca="1" si="196"/>
        <v>0</v>
      </c>
      <c r="CD75" s="2792">
        <f t="shared" ca="1" si="196"/>
        <v>0</v>
      </c>
      <c r="CE75" s="2792">
        <f t="shared" ca="1" si="196"/>
        <v>0</v>
      </c>
      <c r="CF75" s="2792">
        <f t="shared" ca="1" si="196"/>
        <v>0</v>
      </c>
      <c r="CG75" s="2792">
        <f t="shared" ca="1" si="196"/>
        <v>0</v>
      </c>
      <c r="CH75" s="2792">
        <f t="shared" ca="1" si="196"/>
        <v>0</v>
      </c>
      <c r="CI75" s="2792">
        <f t="shared" ca="1" si="196"/>
        <v>0</v>
      </c>
      <c r="CJ75" s="2792">
        <f t="shared" ca="1" si="196"/>
        <v>0</v>
      </c>
      <c r="CK75" s="2792">
        <f t="shared" ca="1" si="196"/>
        <v>0</v>
      </c>
      <c r="CL75" s="2792">
        <f t="shared" ca="1" si="196"/>
        <v>0</v>
      </c>
      <c r="CM75" s="2792">
        <f t="shared" ca="1" si="196"/>
        <v>0</v>
      </c>
      <c r="CN75" s="2792">
        <f t="shared" ca="1" si="196"/>
        <v>0</v>
      </c>
      <c r="CO75" s="2792">
        <f t="shared" ca="1" si="196"/>
        <v>0</v>
      </c>
      <c r="CP75" s="2792">
        <f t="shared" ca="1" si="196"/>
        <v>0</v>
      </c>
      <c r="CQ75" s="2792">
        <f t="shared" ca="1" si="196"/>
        <v>0</v>
      </c>
      <c r="CR75" s="2792">
        <f t="shared" ca="1" si="196"/>
        <v>0</v>
      </c>
      <c r="CS75" s="2792">
        <f t="shared" ca="1" si="196"/>
        <v>0</v>
      </c>
      <c r="CT75" s="2792">
        <f t="shared" ca="1" si="196"/>
        <v>0</v>
      </c>
      <c r="CU75" s="2792">
        <f t="shared" ca="1" si="196"/>
        <v>0</v>
      </c>
      <c r="CV75" s="2792">
        <f t="shared" ca="1" si="196"/>
        <v>0</v>
      </c>
      <c r="CW75" s="2792">
        <f t="shared" ca="1" si="196"/>
        <v>0</v>
      </c>
      <c r="CX75" s="2792">
        <f t="shared" ca="1" si="196"/>
        <v>0</v>
      </c>
      <c r="CY75" s="2792">
        <f t="shared" ca="1" si="196"/>
        <v>0</v>
      </c>
      <c r="CZ75" s="2792">
        <f t="shared" ca="1" si="196"/>
        <v>0</v>
      </c>
      <c r="DA75" s="2792">
        <f t="shared" ca="1" si="196"/>
        <v>0</v>
      </c>
      <c r="DB75" s="2792">
        <f t="shared" ca="1" si="196"/>
        <v>0</v>
      </c>
      <c r="DC75" s="2792">
        <f t="shared" ca="1" si="196"/>
        <v>0</v>
      </c>
      <c r="DD75" s="2792">
        <f t="shared" ca="1" si="196"/>
        <v>0</v>
      </c>
      <c r="DE75" s="2792">
        <f t="shared" ca="1" si="196"/>
        <v>0</v>
      </c>
      <c r="DF75" s="2792">
        <f t="shared" ca="1" si="196"/>
        <v>0</v>
      </c>
      <c r="DH75" s="596">
        <f t="shared" ca="1" si="120"/>
        <v>0</v>
      </c>
    </row>
    <row r="76" spans="1:112" s="6" customFormat="1" ht="15.75">
      <c r="A76" s="4"/>
      <c r="B76" s="3"/>
      <c r="C76" s="616" t="s">
        <v>550</v>
      </c>
      <c r="D76" s="617" t="s">
        <v>551</v>
      </c>
      <c r="E76" s="206"/>
      <c r="G76" s="618">
        <f ca="1">G75</f>
        <v>0</v>
      </c>
      <c r="H76" s="618">
        <f t="shared" ref="H76:P76" ca="1" si="197">H75</f>
        <v>0</v>
      </c>
      <c r="I76" s="618">
        <f t="shared" ca="1" si="197"/>
        <v>0</v>
      </c>
      <c r="J76" s="618">
        <f t="shared" ca="1" si="197"/>
        <v>0</v>
      </c>
      <c r="K76" s="618">
        <f t="shared" ca="1" si="197"/>
        <v>0</v>
      </c>
      <c r="L76" s="618">
        <f t="shared" ca="1" si="197"/>
        <v>0</v>
      </c>
      <c r="M76" s="618">
        <f t="shared" ca="1" si="197"/>
        <v>0</v>
      </c>
      <c r="N76" s="618">
        <f t="shared" ca="1" si="197"/>
        <v>0</v>
      </c>
      <c r="O76" s="618">
        <f t="shared" ca="1" si="197"/>
        <v>0</v>
      </c>
      <c r="P76" s="618">
        <f t="shared" ca="1" si="197"/>
        <v>0</v>
      </c>
      <c r="Q76" s="618">
        <f ca="1">SUM(G76:P76)</f>
        <v>0</v>
      </c>
      <c r="S76" s="581">
        <f t="shared" ref="S76:AJ76" ca="1" si="198">S75</f>
        <v>0</v>
      </c>
      <c r="T76" s="581">
        <f t="shared" ca="1" si="198"/>
        <v>7.0128000000000013</v>
      </c>
      <c r="U76" s="581">
        <f t="shared" ca="1" si="198"/>
        <v>0</v>
      </c>
      <c r="V76" s="581">
        <f t="shared" ca="1" si="198"/>
        <v>0</v>
      </c>
      <c r="W76" s="581">
        <f t="shared" ca="1" si="198"/>
        <v>0</v>
      </c>
      <c r="X76" s="581">
        <f t="shared" ca="1" si="198"/>
        <v>0</v>
      </c>
      <c r="Y76" s="581">
        <f t="shared" ca="1" si="198"/>
        <v>0</v>
      </c>
      <c r="Z76" s="581">
        <f t="shared" ca="1" si="198"/>
        <v>0</v>
      </c>
      <c r="AA76" s="581">
        <f t="shared" ca="1" si="198"/>
        <v>0</v>
      </c>
      <c r="AB76" s="581">
        <f t="shared" ca="1" si="198"/>
        <v>0</v>
      </c>
      <c r="AC76" s="581">
        <f t="shared" ca="1" si="198"/>
        <v>0</v>
      </c>
      <c r="AD76" s="581">
        <f t="shared" ca="1" si="198"/>
        <v>0</v>
      </c>
      <c r="AE76" s="581">
        <f ca="1">AE75</f>
        <v>0</v>
      </c>
      <c r="AF76" s="581">
        <f t="shared" ca="1" si="198"/>
        <v>0</v>
      </c>
      <c r="AG76" s="581">
        <f t="shared" ca="1" si="198"/>
        <v>0</v>
      </c>
      <c r="AH76" s="581">
        <f ca="1">AH75</f>
        <v>0</v>
      </c>
      <c r="AI76" s="581">
        <f t="shared" ca="1" si="198"/>
        <v>0</v>
      </c>
      <c r="AJ76" s="581">
        <f t="shared" ca="1" si="198"/>
        <v>0</v>
      </c>
      <c r="AK76" s="581">
        <f ca="1">SUM(S76:AJ76)</f>
        <v>7.0128000000000013</v>
      </c>
      <c r="AM76" s="582">
        <f t="shared" ref="AM76:BE76" ca="1" si="199">AM75</f>
        <v>0</v>
      </c>
      <c r="AN76" s="582">
        <f t="shared" ca="1" si="199"/>
        <v>0</v>
      </c>
      <c r="AO76" s="582">
        <f t="shared" ca="1" si="199"/>
        <v>0</v>
      </c>
      <c r="AP76" s="582">
        <f t="shared" ca="1" si="199"/>
        <v>0</v>
      </c>
      <c r="AQ76" s="582">
        <f t="shared" ca="1" si="199"/>
        <v>0</v>
      </c>
      <c r="AR76" s="582">
        <f t="shared" ca="1" si="199"/>
        <v>0</v>
      </c>
      <c r="AS76" s="582">
        <f t="shared" ca="1" si="199"/>
        <v>0</v>
      </c>
      <c r="AT76" s="582">
        <f t="shared" ca="1" si="199"/>
        <v>0</v>
      </c>
      <c r="AU76" s="582">
        <f t="shared" ca="1" si="199"/>
        <v>0</v>
      </c>
      <c r="AV76" s="582">
        <f t="shared" ca="1" si="199"/>
        <v>-21.428000000000004</v>
      </c>
      <c r="AW76" s="582">
        <f t="shared" ca="1" si="199"/>
        <v>0</v>
      </c>
      <c r="AX76" s="582">
        <f t="shared" ca="1" si="199"/>
        <v>0</v>
      </c>
      <c r="AY76" s="582">
        <f t="shared" ca="1" si="199"/>
        <v>0</v>
      </c>
      <c r="AZ76" s="582">
        <f t="shared" ca="1" si="199"/>
        <v>0</v>
      </c>
      <c r="BA76" s="582">
        <f t="shared" ca="1" si="199"/>
        <v>0</v>
      </c>
      <c r="BB76" s="582">
        <f t="shared" ca="1" si="199"/>
        <v>0</v>
      </c>
      <c r="BC76" s="582">
        <f t="shared" ca="1" si="199"/>
        <v>0</v>
      </c>
      <c r="BD76" s="582">
        <f t="shared" ca="1" si="199"/>
        <v>0</v>
      </c>
      <c r="BE76" s="582">
        <f t="shared" ca="1" si="199"/>
        <v>0</v>
      </c>
      <c r="BF76" s="582">
        <f ca="1">SUM(AM76:BE76)</f>
        <v>-21.428000000000004</v>
      </c>
      <c r="BH76" s="3463">
        <f ca="1">BH75</f>
        <v>13.713920000000003</v>
      </c>
      <c r="BI76" s="3463">
        <f ca="1">BI75</f>
        <v>0.70128000000000013</v>
      </c>
      <c r="BJ76" s="3463">
        <f ca="1">SUM(BH76:BI76)</f>
        <v>14.415200000000004</v>
      </c>
      <c r="BL76" s="3477">
        <f t="shared" ca="1" si="191"/>
        <v>0</v>
      </c>
      <c r="BM76" s="584"/>
      <c r="BN76" s="413"/>
      <c r="BO76" s="2790">
        <f t="shared" ref="BO76:DF76" ca="1" si="200">BO75</f>
        <v>0</v>
      </c>
      <c r="BP76" s="2790">
        <f t="shared" ca="1" si="200"/>
        <v>0</v>
      </c>
      <c r="BQ76" s="2790">
        <f t="shared" ca="1" si="200"/>
        <v>0</v>
      </c>
      <c r="BR76" s="2790">
        <f t="shared" ca="1" si="200"/>
        <v>0</v>
      </c>
      <c r="BS76" s="2790">
        <f t="shared" ca="1" si="200"/>
        <v>0</v>
      </c>
      <c r="BT76" s="2790">
        <f t="shared" ca="1" si="200"/>
        <v>0</v>
      </c>
      <c r="BU76" s="2790">
        <f t="shared" ca="1" si="200"/>
        <v>0</v>
      </c>
      <c r="BV76" s="2790">
        <f t="shared" ca="1" si="200"/>
        <v>0</v>
      </c>
      <c r="BW76" s="2790">
        <f t="shared" ca="1" si="200"/>
        <v>0</v>
      </c>
      <c r="BX76" s="2790">
        <f t="shared" ca="1" si="200"/>
        <v>0</v>
      </c>
      <c r="BY76" s="2790">
        <f t="shared" ca="1" si="200"/>
        <v>0</v>
      </c>
      <c r="BZ76" s="2790">
        <f t="shared" ca="1" si="200"/>
        <v>0</v>
      </c>
      <c r="CA76" s="2790">
        <f t="shared" ca="1" si="200"/>
        <v>0</v>
      </c>
      <c r="CB76" s="2790">
        <f t="shared" ca="1" si="200"/>
        <v>0</v>
      </c>
      <c r="CC76" s="2790">
        <f t="shared" ca="1" si="200"/>
        <v>0</v>
      </c>
      <c r="CD76" s="2790">
        <f t="shared" ca="1" si="200"/>
        <v>0</v>
      </c>
      <c r="CE76" s="2790">
        <f t="shared" ca="1" si="200"/>
        <v>0</v>
      </c>
      <c r="CF76" s="2790">
        <f t="shared" ca="1" si="200"/>
        <v>0</v>
      </c>
      <c r="CG76" s="2790">
        <f t="shared" ca="1" si="200"/>
        <v>0</v>
      </c>
      <c r="CH76" s="2790">
        <f t="shared" ca="1" si="200"/>
        <v>0</v>
      </c>
      <c r="CI76" s="2790">
        <f t="shared" ca="1" si="200"/>
        <v>0</v>
      </c>
      <c r="CJ76" s="2790">
        <f t="shared" ca="1" si="200"/>
        <v>0</v>
      </c>
      <c r="CK76" s="2790">
        <f t="shared" ca="1" si="200"/>
        <v>0</v>
      </c>
      <c r="CL76" s="2790">
        <f t="shared" ca="1" si="200"/>
        <v>0</v>
      </c>
      <c r="CM76" s="2790">
        <f t="shared" ca="1" si="200"/>
        <v>0</v>
      </c>
      <c r="CN76" s="2790">
        <f t="shared" ca="1" si="200"/>
        <v>0</v>
      </c>
      <c r="CO76" s="2790">
        <f t="shared" ca="1" si="200"/>
        <v>0</v>
      </c>
      <c r="CP76" s="2790">
        <f t="shared" ca="1" si="200"/>
        <v>0</v>
      </c>
      <c r="CQ76" s="2790">
        <f t="shared" ca="1" si="200"/>
        <v>0</v>
      </c>
      <c r="CR76" s="2790">
        <f t="shared" ca="1" si="200"/>
        <v>0</v>
      </c>
      <c r="CS76" s="2790">
        <f t="shared" ca="1" si="200"/>
        <v>0</v>
      </c>
      <c r="CT76" s="2790">
        <f t="shared" ca="1" si="200"/>
        <v>0</v>
      </c>
      <c r="CU76" s="2790">
        <f t="shared" ca="1" si="200"/>
        <v>0</v>
      </c>
      <c r="CV76" s="2790">
        <f t="shared" ca="1" si="200"/>
        <v>0</v>
      </c>
      <c r="CW76" s="2790">
        <f t="shared" ca="1" si="200"/>
        <v>0</v>
      </c>
      <c r="CX76" s="2790">
        <f t="shared" ca="1" si="200"/>
        <v>0</v>
      </c>
      <c r="CY76" s="2790">
        <f t="shared" ca="1" si="200"/>
        <v>0</v>
      </c>
      <c r="CZ76" s="2790">
        <f t="shared" ca="1" si="200"/>
        <v>0</v>
      </c>
      <c r="DA76" s="2790">
        <f t="shared" ca="1" si="200"/>
        <v>0</v>
      </c>
      <c r="DB76" s="2790">
        <f t="shared" ca="1" si="200"/>
        <v>0</v>
      </c>
      <c r="DC76" s="2790">
        <f t="shared" ca="1" si="200"/>
        <v>0</v>
      </c>
      <c r="DD76" s="2790">
        <f t="shared" ca="1" si="200"/>
        <v>0</v>
      </c>
      <c r="DE76" s="2790">
        <f t="shared" ca="1" si="200"/>
        <v>0</v>
      </c>
      <c r="DF76" s="2790">
        <f t="shared" ca="1" si="200"/>
        <v>0</v>
      </c>
      <c r="DH76" s="596">
        <f t="shared" ca="1" si="120"/>
        <v>0</v>
      </c>
    </row>
    <row r="77" spans="1:112" s="6" customFormat="1" ht="12.75" customHeight="1" outlineLevel="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91"/>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20"/>
        <v>0</v>
      </c>
    </row>
    <row r="78" spans="1:112" s="652" customFormat="1" ht="12.75" customHeight="1" outlineLevel="1">
      <c r="C78" s="667" t="s">
        <v>552</v>
      </c>
      <c r="D78" s="668" t="s">
        <v>547</v>
      </c>
      <c r="E78" s="668"/>
      <c r="F78" s="6"/>
      <c r="G78" s="669"/>
      <c r="H78" s="669"/>
      <c r="I78" s="669"/>
      <c r="J78" s="669"/>
      <c r="K78" s="670"/>
      <c r="L78" s="669"/>
      <c r="M78" s="669"/>
      <c r="N78" s="669"/>
      <c r="O78" s="669"/>
      <c r="P78" s="669"/>
      <c r="Q78" s="669"/>
      <c r="R78" s="6"/>
      <c r="S78" s="671">
        <f ca="1">S$74+S$76</f>
        <v>-26.711821498340946</v>
      </c>
      <c r="T78" s="671">
        <f ca="1">T$74+T$76</f>
        <v>50.86051256576976</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91"/>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20"/>
        <v>0</v>
      </c>
    </row>
    <row r="79" spans="1:112" s="607" customFormat="1" ht="12.75" customHeight="1" outlineLevel="1">
      <c r="C79" s="587" t="s">
        <v>553</v>
      </c>
      <c r="D79" s="588" t="s">
        <v>554</v>
      </c>
      <c r="E79" s="588"/>
      <c r="F79" s="6"/>
      <c r="G79" s="674">
        <f t="shared" ref="G79:P79" ca="1" si="201">IFERROR(INDEX(INDIRECT($C79&amp;".Outputs["&amp;this.Year&amp;"]"), MATCH(G$5, INDIRECT($C79&amp;".Outputs[Vector]"), 0)), 0)</f>
        <v>0</v>
      </c>
      <c r="H79" s="674">
        <f t="shared" ca="1" si="201"/>
        <v>0</v>
      </c>
      <c r="I79" s="674">
        <f t="shared" ca="1" si="201"/>
        <v>0</v>
      </c>
      <c r="J79" s="674">
        <f t="shared" ca="1" si="201"/>
        <v>0</v>
      </c>
      <c r="K79" s="674">
        <f t="shared" ca="1" si="201"/>
        <v>0</v>
      </c>
      <c r="L79" s="674">
        <f t="shared" ca="1" si="201"/>
        <v>0</v>
      </c>
      <c r="M79" s="674">
        <f t="shared" ca="1" si="201"/>
        <v>0</v>
      </c>
      <c r="N79" s="674">
        <f t="shared" ca="1" si="201"/>
        <v>0</v>
      </c>
      <c r="O79" s="674">
        <f t="shared" ca="1" si="201"/>
        <v>0</v>
      </c>
      <c r="P79" s="674">
        <f t="shared" ca="1" si="201"/>
        <v>0</v>
      </c>
      <c r="Q79" s="675">
        <f ca="1">SUM(G79:P79)</f>
        <v>0</v>
      </c>
      <c r="R79" s="6"/>
      <c r="S79" s="676">
        <f t="shared" ref="S79:AJ79" ca="1" si="202">IFERROR(INDEX(INDIRECT($C79&amp;".Outputs["&amp;this.Year&amp;"]"), MATCH(S$5, INDIRECT($C79&amp;".Outputs[Vector]"), 0)), 0)</f>
        <v>0</v>
      </c>
      <c r="T79" s="676">
        <f t="shared" ca="1" si="202"/>
        <v>3.3269161499999997</v>
      </c>
      <c r="U79" s="676">
        <f t="shared" ca="1" si="202"/>
        <v>0</v>
      </c>
      <c r="V79" s="676">
        <f t="shared" ca="1" si="202"/>
        <v>0</v>
      </c>
      <c r="W79" s="676">
        <f t="shared" ca="1" si="202"/>
        <v>-6.0089516129032257</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202"/>
        <v>0</v>
      </c>
      <c r="AB79" s="676">
        <f t="shared" ca="1" si="202"/>
        <v>0</v>
      </c>
      <c r="AC79" s="676">
        <f t="shared" ca="1" si="202"/>
        <v>0</v>
      </c>
      <c r="AD79" s="676">
        <f t="shared" ca="1" si="202"/>
        <v>0</v>
      </c>
      <c r="AE79" s="676">
        <f t="shared" ca="1" si="202"/>
        <v>0</v>
      </c>
      <c r="AF79" s="676">
        <f t="shared" ca="1" si="202"/>
        <v>0</v>
      </c>
      <c r="AG79" s="676">
        <f t="shared" ca="1" si="202"/>
        <v>0</v>
      </c>
      <c r="AH79" s="676">
        <f t="shared" ca="1" si="202"/>
        <v>0</v>
      </c>
      <c r="AI79" s="676">
        <f t="shared" ca="1" si="202"/>
        <v>0</v>
      </c>
      <c r="AJ79" s="676">
        <f t="shared" ca="1" si="202"/>
        <v>0</v>
      </c>
      <c r="AK79" s="677">
        <f ca="1">SUM(S79:AJ79)</f>
        <v>-2.6820354629032259</v>
      </c>
      <c r="AL79" s="6"/>
      <c r="AM79" s="678">
        <f t="shared" ref="AM79:AU79" ca="1" si="203">IFERROR(INDEX(INDIRECT($C79&amp;".Outputs["&amp;this.Year&amp;"]"), MATCH(AM$5, INDIRECT($C79&amp;".Outputs[Vector]"), 0)), 0)</f>
        <v>0</v>
      </c>
      <c r="AN79" s="678">
        <f t="shared" ca="1" si="203"/>
        <v>0</v>
      </c>
      <c r="AO79" s="678">
        <f t="shared" ca="1" si="203"/>
        <v>0</v>
      </c>
      <c r="AP79" s="678">
        <f t="shared" ca="1" si="203"/>
        <v>0</v>
      </c>
      <c r="AQ79" s="678">
        <f t="shared" ca="1" si="203"/>
        <v>0</v>
      </c>
      <c r="AR79" s="678">
        <f t="shared" ca="1" si="203"/>
        <v>0</v>
      </c>
      <c r="AS79" s="678">
        <f t="shared" ca="1" si="203"/>
        <v>0</v>
      </c>
      <c r="AT79" s="678">
        <f t="shared" ca="1" si="203"/>
        <v>0</v>
      </c>
      <c r="AU79" s="678">
        <f t="shared" ca="1" si="203"/>
        <v>0</v>
      </c>
      <c r="AV79" s="678">
        <f t="shared" ref="AV79:BE79" ca="1" si="204">IFERROR(INDEX(INDIRECT($C79&amp;".Outputs["&amp;this.Year&amp;"]"), MATCH(AV$5, INDIRECT($C79&amp;".Outputs[Vector]"), 0)), 0)</f>
        <v>0</v>
      </c>
      <c r="AW79" s="678">
        <f t="shared" ca="1" si="204"/>
        <v>0</v>
      </c>
      <c r="AX79" s="678">
        <f t="shared" ca="1" si="204"/>
        <v>0</v>
      </c>
      <c r="AY79" s="678">
        <f t="shared" ca="1" si="204"/>
        <v>0</v>
      </c>
      <c r="AZ79" s="678">
        <f t="shared" ca="1" si="204"/>
        <v>0</v>
      </c>
      <c r="BA79" s="678">
        <f t="shared" ca="1" si="204"/>
        <v>0</v>
      </c>
      <c r="BB79" s="678">
        <f t="shared" ca="1" si="204"/>
        <v>0</v>
      </c>
      <c r="BC79" s="678">
        <f t="shared" ca="1" si="204"/>
        <v>0</v>
      </c>
      <c r="BD79" s="678">
        <f t="shared" ca="1" si="204"/>
        <v>0</v>
      </c>
      <c r="BE79" s="678">
        <f t="shared" ca="1" si="204"/>
        <v>0</v>
      </c>
      <c r="BF79" s="679">
        <f ca="1">SUM(AM79:BE79)</f>
        <v>0</v>
      </c>
      <c r="BG79" s="6"/>
      <c r="BH79" s="3475">
        <f ca="1">IFERROR(INDEX(INDIRECT($C79&amp;".Outputs["&amp;this.Year&amp;"]"), MATCH(BH$5, INDIRECT($C79&amp;".Outputs[Vector]"), 0)), 0)</f>
        <v>2.283401612903226</v>
      </c>
      <c r="BI79" s="3475">
        <f ca="1">IFERROR(INDEX(INDIRECT($C79&amp;".Outputs["&amp;this.Year&amp;"]"), MATCH(BI$5, INDIRECT($C79&amp;".Outputs[Vector]"), 0)), 0)</f>
        <v>0.39863385000000001</v>
      </c>
      <c r="BJ79" s="3466">
        <f ca="1">SUM(BH79:BI79)</f>
        <v>2.6820354629032259</v>
      </c>
      <c r="BK79" s="6"/>
      <c r="BL79" s="610">
        <f t="shared" ca="1" si="191"/>
        <v>0</v>
      </c>
      <c r="BM79" s="610"/>
      <c r="BN79" s="413"/>
      <c r="BO79" s="2789">
        <f t="shared" ref="BO79:DF79" ca="1" si="205">IFERROR(SUMIFS(INDIRECT($C79&amp;".Emissions["&amp;this.Year&amp;"]"), INDIRECT($C79&amp;".Emissions[GHG]"), BO$6, INDIRECT($C79&amp;".Emissions[IPCC Sector]"), BO$5),0)</f>
        <v>1.2301597849354837</v>
      </c>
      <c r="BP79" s="2790">
        <f t="shared" ca="1" si="205"/>
        <v>4.542767419354839E-4</v>
      </c>
      <c r="BQ79" s="2790">
        <f t="shared" ca="1" si="205"/>
        <v>1.9447370999999998E-2</v>
      </c>
      <c r="BR79" s="2790">
        <f t="shared" ca="1" si="205"/>
        <v>0</v>
      </c>
      <c r="BS79" s="2790">
        <f t="shared" ca="1" si="205"/>
        <v>0</v>
      </c>
      <c r="BT79" s="2790">
        <f t="shared" ca="1" si="205"/>
        <v>0</v>
      </c>
      <c r="BU79" s="2790">
        <f t="shared" ca="1" si="205"/>
        <v>0</v>
      </c>
      <c r="BV79" s="2790">
        <f t="shared" ca="1" si="205"/>
        <v>0</v>
      </c>
      <c r="BW79" s="2790">
        <f t="shared" ca="1" si="205"/>
        <v>0</v>
      </c>
      <c r="BX79" s="2790">
        <f t="shared" ca="1" si="205"/>
        <v>0</v>
      </c>
      <c r="BY79" s="2790">
        <f t="shared" ca="1" si="205"/>
        <v>0</v>
      </c>
      <c r="BZ79" s="2790">
        <f t="shared" ca="1" si="205"/>
        <v>0</v>
      </c>
      <c r="CA79" s="2790">
        <f t="shared" ca="1" si="205"/>
        <v>0</v>
      </c>
      <c r="CB79" s="2790">
        <f t="shared" ca="1" si="205"/>
        <v>0</v>
      </c>
      <c r="CC79" s="2790">
        <f t="shared" ca="1" si="205"/>
        <v>0</v>
      </c>
      <c r="CD79" s="2790">
        <f t="shared" ca="1" si="205"/>
        <v>0</v>
      </c>
      <c r="CE79" s="2790">
        <f t="shared" ca="1" si="205"/>
        <v>0</v>
      </c>
      <c r="CF79" s="2790">
        <f t="shared" ca="1" si="205"/>
        <v>0</v>
      </c>
      <c r="CG79" s="2790">
        <f t="shared" ca="1" si="205"/>
        <v>0</v>
      </c>
      <c r="CH79" s="2790">
        <f t="shared" ca="1" si="205"/>
        <v>0</v>
      </c>
      <c r="CI79" s="2790">
        <f t="shared" ca="1" si="205"/>
        <v>0</v>
      </c>
      <c r="CJ79" s="2790">
        <f t="shared" ca="1" si="205"/>
        <v>0</v>
      </c>
      <c r="CK79" s="2790">
        <f t="shared" ca="1" si="205"/>
        <v>0</v>
      </c>
      <c r="CL79" s="2790">
        <f t="shared" ca="1" si="205"/>
        <v>0</v>
      </c>
      <c r="CM79" s="2790">
        <f t="shared" ca="1" si="205"/>
        <v>0</v>
      </c>
      <c r="CN79" s="2790">
        <f t="shared" ca="1" si="205"/>
        <v>0</v>
      </c>
      <c r="CO79" s="2790">
        <f t="shared" ca="1" si="205"/>
        <v>0</v>
      </c>
      <c r="CP79" s="2790">
        <f t="shared" ca="1" si="205"/>
        <v>0</v>
      </c>
      <c r="CQ79" s="2790">
        <f t="shared" ca="1" si="205"/>
        <v>0</v>
      </c>
      <c r="CR79" s="2790">
        <f t="shared" ca="1" si="205"/>
        <v>0</v>
      </c>
      <c r="CS79" s="2790">
        <f t="shared" ca="1" si="205"/>
        <v>0</v>
      </c>
      <c r="CT79" s="2790">
        <f t="shared" ca="1" si="205"/>
        <v>0</v>
      </c>
      <c r="CU79" s="2790">
        <f t="shared" ca="1" si="205"/>
        <v>0</v>
      </c>
      <c r="CV79" s="2790">
        <f t="shared" ca="1" si="205"/>
        <v>0</v>
      </c>
      <c r="CW79" s="2790">
        <f t="shared" ca="1" si="205"/>
        <v>0</v>
      </c>
      <c r="CX79" s="2790">
        <f t="shared" ca="1" si="205"/>
        <v>0</v>
      </c>
      <c r="CY79" s="2790">
        <f t="shared" ca="1" si="205"/>
        <v>0</v>
      </c>
      <c r="CZ79" s="2790">
        <f t="shared" ca="1" si="205"/>
        <v>0</v>
      </c>
      <c r="DA79" s="2790">
        <f t="shared" ca="1" si="205"/>
        <v>0</v>
      </c>
      <c r="DB79" s="2790">
        <f t="shared" ca="1" si="205"/>
        <v>0</v>
      </c>
      <c r="DC79" s="2790">
        <f t="shared" ca="1" si="205"/>
        <v>-1.1071438064419354</v>
      </c>
      <c r="DD79" s="2790">
        <f t="shared" ca="1" si="205"/>
        <v>0</v>
      </c>
      <c r="DE79" s="2790">
        <f t="shared" ca="1" si="205"/>
        <v>0</v>
      </c>
      <c r="DF79" s="2790">
        <f t="shared" ca="1" si="205"/>
        <v>0</v>
      </c>
      <c r="DH79" s="596">
        <f t="shared" ca="1" si="120"/>
        <v>0.14291762623548387</v>
      </c>
    </row>
    <row r="80" spans="1:112" s="639" customFormat="1" ht="12.75" customHeight="1" outlineLevel="1">
      <c r="C80" s="640" t="s">
        <v>555</v>
      </c>
      <c r="D80" s="668" t="s">
        <v>547</v>
      </c>
      <c r="E80" s="641"/>
      <c r="F80" s="642"/>
      <c r="G80" s="643"/>
      <c r="H80" s="643"/>
      <c r="I80" s="643"/>
      <c r="J80" s="643"/>
      <c r="K80" s="644"/>
      <c r="L80" s="643"/>
      <c r="M80" s="643"/>
      <c r="N80" s="643"/>
      <c r="O80" s="643"/>
      <c r="P80" s="643"/>
      <c r="Q80" s="643"/>
      <c r="R80" s="642"/>
      <c r="S80" s="645">
        <f ca="1">S78+S79</f>
        <v>-26.711821498340946</v>
      </c>
      <c r="T80" s="645">
        <f ca="1">T78+T79</f>
        <v>54.187428715769762</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91"/>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20"/>
        <v>0</v>
      </c>
    </row>
    <row r="81" spans="1:112" s="607" customFormat="1" ht="12.75" customHeight="1" outlineLevel="1">
      <c r="C81" s="587" t="s">
        <v>556</v>
      </c>
      <c r="D81" s="588" t="s">
        <v>557</v>
      </c>
      <c r="E81" s="588"/>
      <c r="F81" s="6"/>
      <c r="G81" s="619">
        <f t="shared" ref="G81:P81" ca="1" si="206">IFERROR(INDEX(INDIRECT($C81&amp;".Outputs["&amp;this.Year&amp;"]"), MATCH(G$5, INDIRECT($C81&amp;".Outputs[Vector]"), 0)), 0)</f>
        <v>0</v>
      </c>
      <c r="H81" s="619">
        <f t="shared" ca="1" si="206"/>
        <v>0</v>
      </c>
      <c r="I81" s="619">
        <f t="shared" ca="1" si="206"/>
        <v>0</v>
      </c>
      <c r="J81" s="619">
        <f t="shared" ca="1" si="206"/>
        <v>0</v>
      </c>
      <c r="K81" s="619">
        <f t="shared" ca="1" si="206"/>
        <v>0</v>
      </c>
      <c r="L81" s="619">
        <f t="shared" ca="1" si="206"/>
        <v>0</v>
      </c>
      <c r="M81" s="619">
        <f t="shared" ca="1" si="206"/>
        <v>0</v>
      </c>
      <c r="N81" s="619">
        <f t="shared" ca="1" si="206"/>
        <v>0</v>
      </c>
      <c r="O81" s="619">
        <f t="shared" ca="1" si="206"/>
        <v>0</v>
      </c>
      <c r="P81" s="619">
        <f t="shared" ca="1" si="206"/>
        <v>0</v>
      </c>
      <c r="Q81" s="612">
        <f ca="1">SUM(G81:P81)</f>
        <v>0</v>
      </c>
      <c r="R81" s="6"/>
      <c r="S81" s="620">
        <f t="shared" ref="S81:AJ81" ca="1" si="207">IFERROR(INDEX(INDIRECT($C81&amp;".Outputs["&amp;this.Year&amp;"]"), MATCH(S$5, INDIRECT($C81&amp;".Outputs[Vector]"), 0)), 0)</f>
        <v>0</v>
      </c>
      <c r="T81" s="620">
        <f t="shared" ca="1" si="207"/>
        <v>7.2231840000000007</v>
      </c>
      <c r="U81" s="620">
        <f t="shared" ca="1" si="207"/>
        <v>-21.256798628571431</v>
      </c>
      <c r="V81" s="620">
        <f t="shared" ca="1" si="207"/>
        <v>0</v>
      </c>
      <c r="W81" s="620">
        <f t="shared" ca="1" si="207"/>
        <v>0</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207"/>
        <v>0</v>
      </c>
      <c r="AB81" s="620">
        <f t="shared" ca="1" si="207"/>
        <v>0</v>
      </c>
      <c r="AC81" s="620">
        <f t="shared" ca="1" si="207"/>
        <v>0</v>
      </c>
      <c r="AD81" s="620">
        <f t="shared" ca="1" si="207"/>
        <v>0</v>
      </c>
      <c r="AE81" s="620">
        <f t="shared" ca="1" si="207"/>
        <v>0</v>
      </c>
      <c r="AF81" s="620">
        <f t="shared" ca="1" si="207"/>
        <v>0</v>
      </c>
      <c r="AG81" s="620">
        <f t="shared" ca="1" si="207"/>
        <v>0</v>
      </c>
      <c r="AH81" s="620">
        <f t="shared" ca="1" si="207"/>
        <v>0</v>
      </c>
      <c r="AI81" s="620">
        <f t="shared" ca="1" si="207"/>
        <v>0</v>
      </c>
      <c r="AJ81" s="620">
        <f t="shared" ca="1" si="207"/>
        <v>0</v>
      </c>
      <c r="AK81" s="613">
        <f ca="1">SUM(S81:AJ81)</f>
        <v>-14.033614628571431</v>
      </c>
      <c r="AL81" s="6"/>
      <c r="AM81" s="621">
        <f t="shared" ref="AM81:AU81" ca="1" si="208">IFERROR(INDEX(INDIRECT($C81&amp;".Outputs["&amp;this.Year&amp;"]"), MATCH(AM$5, INDIRECT($C81&amp;".Outputs[Vector]"), 0)), 0)</f>
        <v>0</v>
      </c>
      <c r="AN81" s="621">
        <f t="shared" ca="1" si="208"/>
        <v>0</v>
      </c>
      <c r="AO81" s="621">
        <f t="shared" ca="1" si="208"/>
        <v>0</v>
      </c>
      <c r="AP81" s="621">
        <f t="shared" ca="1" si="208"/>
        <v>0</v>
      </c>
      <c r="AQ81" s="621">
        <f t="shared" ca="1" si="208"/>
        <v>0</v>
      </c>
      <c r="AR81" s="621">
        <f t="shared" ca="1" si="208"/>
        <v>0</v>
      </c>
      <c r="AS81" s="621">
        <f t="shared" ca="1" si="208"/>
        <v>0</v>
      </c>
      <c r="AT81" s="621">
        <f t="shared" ca="1" si="208"/>
        <v>0</v>
      </c>
      <c r="AU81" s="621">
        <f t="shared" ca="1" si="208"/>
        <v>0</v>
      </c>
      <c r="AV81" s="621">
        <f t="shared" ref="AV81:BE81" ca="1" si="209">IFERROR(INDEX(INDIRECT($C81&amp;".Outputs["&amp;this.Year&amp;"]"), MATCH(AV$5, INDIRECT($C81&amp;".Outputs[Vector]"), 0)), 0)</f>
        <v>0</v>
      </c>
      <c r="AW81" s="621">
        <f t="shared" ca="1" si="209"/>
        <v>0</v>
      </c>
      <c r="AX81" s="621">
        <f t="shared" ca="1" si="209"/>
        <v>0</v>
      </c>
      <c r="AY81" s="621">
        <f t="shared" ca="1" si="209"/>
        <v>0</v>
      </c>
      <c r="AZ81" s="621">
        <f t="shared" ca="1" si="209"/>
        <v>0</v>
      </c>
      <c r="BA81" s="621">
        <f t="shared" ca="1" si="209"/>
        <v>0</v>
      </c>
      <c r="BB81" s="621">
        <f t="shared" ca="1" si="209"/>
        <v>0</v>
      </c>
      <c r="BC81" s="621">
        <f t="shared" ca="1" si="209"/>
        <v>0</v>
      </c>
      <c r="BD81" s="621">
        <f t="shared" ca="1" si="209"/>
        <v>0</v>
      </c>
      <c r="BE81" s="621">
        <f t="shared" ca="1" si="209"/>
        <v>0</v>
      </c>
      <c r="BF81" s="615">
        <f ca="1">SUM(AM81:BE81)</f>
        <v>0</v>
      </c>
      <c r="BG81" s="6"/>
      <c r="BH81" s="3473">
        <f ca="1">IFERROR(INDEX(INDIRECT($C81&amp;".Outputs["&amp;this.Year&amp;"]"), MATCH(BH$5, INDIRECT($C81&amp;".Outputs[Vector]"), 0)), 0)</f>
        <v>13.81691910857143</v>
      </c>
      <c r="BI81" s="3473">
        <f ca="1">IFERROR(INDEX(INDIRECT($C81&amp;".Outputs["&amp;this.Year&amp;"]"), MATCH(BI$5, INDIRECT($C81&amp;".Outputs[Vector]"), 0)), 0)</f>
        <v>0.21669552</v>
      </c>
      <c r="BJ81" s="3462">
        <f ca="1">SUM(BH81:BI81)</f>
        <v>14.03361462857143</v>
      </c>
      <c r="BK81" s="6"/>
      <c r="BL81" s="610">
        <f t="shared" ca="1" si="191"/>
        <v>0</v>
      </c>
      <c r="BM81" s="610"/>
      <c r="BN81" s="413"/>
      <c r="BO81" s="2791">
        <f t="shared" ref="BO81:DF81" ca="1" si="210">IFERROR(SUMIFS(INDIRECT($C81&amp;".Emissions["&amp;this.Year&amp;"]"), INDIRECT($C81&amp;".Emissions[GHG]"), BO$6, INDIRECT($C81&amp;".Emissions[IPCC Sector]"), BO$5),0)</f>
        <v>7.5356099377597463</v>
      </c>
      <c r="BP81" s="2792">
        <f t="shared" ca="1" si="210"/>
        <v>1.2374007617664002E-3</v>
      </c>
      <c r="BQ81" s="2792">
        <f t="shared" ca="1" si="210"/>
        <v>1.3047422998217146E-2</v>
      </c>
      <c r="BR81" s="2792">
        <f t="shared" ca="1" si="210"/>
        <v>0</v>
      </c>
      <c r="BS81" s="2792">
        <f t="shared" ca="1" si="210"/>
        <v>0</v>
      </c>
      <c r="BT81" s="2792">
        <f t="shared" ca="1" si="210"/>
        <v>0</v>
      </c>
      <c r="BU81" s="2792">
        <f t="shared" ca="1" si="210"/>
        <v>0</v>
      </c>
      <c r="BV81" s="2792">
        <f t="shared" ca="1" si="210"/>
        <v>0</v>
      </c>
      <c r="BW81" s="2792">
        <f t="shared" ca="1" si="210"/>
        <v>0</v>
      </c>
      <c r="BX81" s="2792">
        <f t="shared" ca="1" si="210"/>
        <v>0</v>
      </c>
      <c r="BY81" s="2792">
        <f t="shared" ca="1" si="210"/>
        <v>0</v>
      </c>
      <c r="BZ81" s="2792">
        <f t="shared" ca="1" si="210"/>
        <v>0</v>
      </c>
      <c r="CA81" s="2792">
        <f t="shared" ca="1" si="210"/>
        <v>0</v>
      </c>
      <c r="CB81" s="2792">
        <f t="shared" ca="1" si="210"/>
        <v>0</v>
      </c>
      <c r="CC81" s="2792">
        <f t="shared" ca="1" si="210"/>
        <v>0</v>
      </c>
      <c r="CD81" s="2792">
        <f t="shared" ca="1" si="210"/>
        <v>0</v>
      </c>
      <c r="CE81" s="2792">
        <f t="shared" ca="1" si="210"/>
        <v>0</v>
      </c>
      <c r="CF81" s="2792">
        <f t="shared" ca="1" si="210"/>
        <v>0</v>
      </c>
      <c r="CG81" s="2792">
        <f t="shared" ca="1" si="210"/>
        <v>0</v>
      </c>
      <c r="CH81" s="2792">
        <f t="shared" ca="1" si="210"/>
        <v>0</v>
      </c>
      <c r="CI81" s="2792">
        <f t="shared" ca="1" si="210"/>
        <v>0</v>
      </c>
      <c r="CJ81" s="2792">
        <f t="shared" ca="1" si="210"/>
        <v>0</v>
      </c>
      <c r="CK81" s="2792">
        <f t="shared" ca="1" si="210"/>
        <v>0</v>
      </c>
      <c r="CL81" s="2792">
        <f t="shared" ca="1" si="210"/>
        <v>0</v>
      </c>
      <c r="CM81" s="2792">
        <f t="shared" ca="1" si="210"/>
        <v>0</v>
      </c>
      <c r="CN81" s="2792">
        <f t="shared" ca="1" si="210"/>
        <v>0</v>
      </c>
      <c r="CO81" s="2792">
        <f t="shared" ca="1" si="210"/>
        <v>0</v>
      </c>
      <c r="CP81" s="2792">
        <f t="shared" ca="1" si="210"/>
        <v>0</v>
      </c>
      <c r="CQ81" s="2792">
        <f t="shared" ca="1" si="210"/>
        <v>0</v>
      </c>
      <c r="CR81" s="2792">
        <f t="shared" ca="1" si="210"/>
        <v>0</v>
      </c>
      <c r="CS81" s="2792">
        <f t="shared" ca="1" si="210"/>
        <v>0</v>
      </c>
      <c r="CT81" s="2792">
        <f t="shared" ca="1" si="210"/>
        <v>0</v>
      </c>
      <c r="CU81" s="2792">
        <f t="shared" ca="1" si="210"/>
        <v>0</v>
      </c>
      <c r="CV81" s="2792">
        <f t="shared" ca="1" si="210"/>
        <v>0</v>
      </c>
      <c r="CW81" s="2792">
        <f t="shared" ca="1" si="210"/>
        <v>0</v>
      </c>
      <c r="CX81" s="2792">
        <f t="shared" ca="1" si="210"/>
        <v>0</v>
      </c>
      <c r="CY81" s="2792">
        <f t="shared" ca="1" si="210"/>
        <v>0</v>
      </c>
      <c r="CZ81" s="2792">
        <f t="shared" ca="1" si="210"/>
        <v>0</v>
      </c>
      <c r="DA81" s="2792">
        <f t="shared" ca="1" si="210"/>
        <v>0</v>
      </c>
      <c r="DB81" s="2792">
        <f t="shared" ca="1" si="210"/>
        <v>0</v>
      </c>
      <c r="DC81" s="2792">
        <f t="shared" ca="1" si="210"/>
        <v>0</v>
      </c>
      <c r="DD81" s="2792">
        <f t="shared" ca="1" si="210"/>
        <v>0</v>
      </c>
      <c r="DE81" s="2792">
        <f t="shared" ca="1" si="210"/>
        <v>0</v>
      </c>
      <c r="DF81" s="2792">
        <f t="shared" ca="1" si="210"/>
        <v>0</v>
      </c>
      <c r="DH81" s="596">
        <f t="shared" ca="1" si="120"/>
        <v>7.54989476151973</v>
      </c>
    </row>
    <row r="82" spans="1:112" s="6" customFormat="1" ht="15.75">
      <c r="A82" s="4"/>
      <c r="B82" s="3"/>
      <c r="C82" s="616" t="s">
        <v>558</v>
      </c>
      <c r="D82" s="617" t="s">
        <v>559</v>
      </c>
      <c r="E82" s="206"/>
      <c r="G82" s="618">
        <f t="shared" ref="G82:P82" ca="1" si="211">G79+G81</f>
        <v>0</v>
      </c>
      <c r="H82" s="618">
        <f t="shared" ca="1" si="211"/>
        <v>0</v>
      </c>
      <c r="I82" s="618">
        <f t="shared" ca="1" si="211"/>
        <v>0</v>
      </c>
      <c r="J82" s="618">
        <f t="shared" ca="1" si="211"/>
        <v>0</v>
      </c>
      <c r="K82" s="618">
        <f t="shared" ca="1" si="211"/>
        <v>0</v>
      </c>
      <c r="L82" s="618">
        <f t="shared" ca="1" si="211"/>
        <v>0</v>
      </c>
      <c r="M82" s="618">
        <f t="shared" ca="1" si="211"/>
        <v>0</v>
      </c>
      <c r="N82" s="618">
        <f t="shared" ca="1" si="211"/>
        <v>0</v>
      </c>
      <c r="O82" s="618">
        <f t="shared" ca="1" si="211"/>
        <v>0</v>
      </c>
      <c r="P82" s="618">
        <f t="shared" ca="1" si="211"/>
        <v>0</v>
      </c>
      <c r="Q82" s="618">
        <f ca="1">SUM(G82:P82)</f>
        <v>0</v>
      </c>
      <c r="S82" s="581">
        <f t="shared" ref="S82:AJ82" ca="1" si="212">S79+S81</f>
        <v>0</v>
      </c>
      <c r="T82" s="581">
        <f t="shared" ca="1" si="212"/>
        <v>10.55010015</v>
      </c>
      <c r="U82" s="581">
        <f t="shared" ca="1" si="212"/>
        <v>-21.256798628571431</v>
      </c>
      <c r="V82" s="581">
        <f t="shared" ca="1" si="212"/>
        <v>0</v>
      </c>
      <c r="W82" s="581">
        <f t="shared" ca="1" si="212"/>
        <v>-6.0089516129032257</v>
      </c>
      <c r="X82" s="581">
        <f t="shared" ca="1" si="212"/>
        <v>0</v>
      </c>
      <c r="Y82" s="581">
        <f t="shared" ca="1" si="212"/>
        <v>0</v>
      </c>
      <c r="Z82" s="581">
        <f t="shared" ca="1" si="212"/>
        <v>0</v>
      </c>
      <c r="AA82" s="581">
        <f t="shared" ca="1" si="212"/>
        <v>0</v>
      </c>
      <c r="AB82" s="581">
        <f t="shared" ca="1" si="212"/>
        <v>0</v>
      </c>
      <c r="AC82" s="581">
        <f t="shared" ca="1" si="212"/>
        <v>0</v>
      </c>
      <c r="AD82" s="581">
        <f ca="1">AD79+AD81</f>
        <v>0</v>
      </c>
      <c r="AE82" s="581">
        <f ca="1">AE79+AE81</f>
        <v>0</v>
      </c>
      <c r="AF82" s="581">
        <f t="shared" ca="1" si="212"/>
        <v>0</v>
      </c>
      <c r="AG82" s="581">
        <f t="shared" ca="1" si="212"/>
        <v>0</v>
      </c>
      <c r="AH82" s="581">
        <f ca="1">AH79+AH81</f>
        <v>0</v>
      </c>
      <c r="AI82" s="581">
        <f t="shared" ca="1" si="212"/>
        <v>0</v>
      </c>
      <c r="AJ82" s="581">
        <f t="shared" ca="1" si="212"/>
        <v>0</v>
      </c>
      <c r="AK82" s="581">
        <f ca="1">SUM(S82:AJ82)</f>
        <v>-16.715650091474657</v>
      </c>
      <c r="AM82" s="582">
        <f t="shared" ref="AM82:BE82" ca="1" si="213">AM79+AM81</f>
        <v>0</v>
      </c>
      <c r="AN82" s="582">
        <f t="shared" ca="1" si="213"/>
        <v>0</v>
      </c>
      <c r="AO82" s="582">
        <f t="shared" ca="1" si="213"/>
        <v>0</v>
      </c>
      <c r="AP82" s="582">
        <f t="shared" ca="1" si="213"/>
        <v>0</v>
      </c>
      <c r="AQ82" s="582">
        <f t="shared" ca="1" si="213"/>
        <v>0</v>
      </c>
      <c r="AR82" s="582">
        <f t="shared" ca="1" si="213"/>
        <v>0</v>
      </c>
      <c r="AS82" s="582">
        <f t="shared" ca="1" si="213"/>
        <v>0</v>
      </c>
      <c r="AT82" s="582">
        <f t="shared" ca="1" si="213"/>
        <v>0</v>
      </c>
      <c r="AU82" s="582">
        <f t="shared" ca="1" si="213"/>
        <v>0</v>
      </c>
      <c r="AV82" s="582">
        <f t="shared" ca="1" si="213"/>
        <v>0</v>
      </c>
      <c r="AW82" s="582">
        <f t="shared" ca="1" si="213"/>
        <v>0</v>
      </c>
      <c r="AX82" s="582">
        <f t="shared" ca="1" si="213"/>
        <v>0</v>
      </c>
      <c r="AY82" s="582">
        <f t="shared" ca="1" si="213"/>
        <v>0</v>
      </c>
      <c r="AZ82" s="582">
        <f t="shared" ca="1" si="213"/>
        <v>0</v>
      </c>
      <c r="BA82" s="582">
        <f t="shared" ca="1" si="213"/>
        <v>0</v>
      </c>
      <c r="BB82" s="582">
        <f t="shared" ca="1" si="213"/>
        <v>0</v>
      </c>
      <c r="BC82" s="582">
        <f t="shared" ca="1" si="213"/>
        <v>0</v>
      </c>
      <c r="BD82" s="582">
        <f t="shared" ca="1" si="213"/>
        <v>0</v>
      </c>
      <c r="BE82" s="582">
        <f t="shared" ca="1" si="213"/>
        <v>0</v>
      </c>
      <c r="BF82" s="582">
        <f ca="1">SUM(AM82:BE82)</f>
        <v>0</v>
      </c>
      <c r="BH82" s="3463">
        <f ca="1">BH79+BH81</f>
        <v>16.100320721474656</v>
      </c>
      <c r="BI82" s="3463">
        <f ca="1">BI79+BI81</f>
        <v>0.61532936999999999</v>
      </c>
      <c r="BJ82" s="3463">
        <f ca="1">SUM(BH82:BI82)</f>
        <v>16.715650091474657</v>
      </c>
      <c r="BL82" s="3477">
        <f t="shared" ca="1" si="191"/>
        <v>0</v>
      </c>
      <c r="BM82" s="584"/>
      <c r="BN82" s="413"/>
      <c r="BO82" s="2790">
        <f t="shared" ref="BO82:DF82" ca="1" si="214">BO79+BO81</f>
        <v>8.7657697226952305</v>
      </c>
      <c r="BP82" s="2790">
        <f t="shared" ca="1" si="214"/>
        <v>1.6916775037018842E-3</v>
      </c>
      <c r="BQ82" s="2790">
        <f t="shared" ca="1" si="214"/>
        <v>3.2494793998217142E-2</v>
      </c>
      <c r="BR82" s="2790">
        <f t="shared" ca="1" si="214"/>
        <v>0</v>
      </c>
      <c r="BS82" s="2790">
        <f t="shared" ca="1" si="214"/>
        <v>0</v>
      </c>
      <c r="BT82" s="2790">
        <f t="shared" ca="1" si="214"/>
        <v>0</v>
      </c>
      <c r="BU82" s="2790">
        <f t="shared" ca="1" si="214"/>
        <v>0</v>
      </c>
      <c r="BV82" s="2790">
        <f t="shared" ca="1" si="214"/>
        <v>0</v>
      </c>
      <c r="BW82" s="2790">
        <f t="shared" ca="1" si="214"/>
        <v>0</v>
      </c>
      <c r="BX82" s="2790">
        <f t="shared" ca="1" si="214"/>
        <v>0</v>
      </c>
      <c r="BY82" s="2790">
        <f t="shared" ca="1" si="214"/>
        <v>0</v>
      </c>
      <c r="BZ82" s="2790">
        <f t="shared" ca="1" si="214"/>
        <v>0</v>
      </c>
      <c r="CA82" s="2790">
        <f t="shared" ca="1" si="214"/>
        <v>0</v>
      </c>
      <c r="CB82" s="2790">
        <f t="shared" ca="1" si="214"/>
        <v>0</v>
      </c>
      <c r="CC82" s="2790">
        <f t="shared" ca="1" si="214"/>
        <v>0</v>
      </c>
      <c r="CD82" s="2790">
        <f t="shared" ca="1" si="214"/>
        <v>0</v>
      </c>
      <c r="CE82" s="2790">
        <f t="shared" ca="1" si="214"/>
        <v>0</v>
      </c>
      <c r="CF82" s="2790">
        <f t="shared" ca="1" si="214"/>
        <v>0</v>
      </c>
      <c r="CG82" s="2790">
        <f t="shared" ca="1" si="214"/>
        <v>0</v>
      </c>
      <c r="CH82" s="2790">
        <f t="shared" ca="1" si="214"/>
        <v>0</v>
      </c>
      <c r="CI82" s="2790">
        <f t="shared" ca="1" si="214"/>
        <v>0</v>
      </c>
      <c r="CJ82" s="2790">
        <f t="shared" ca="1" si="214"/>
        <v>0</v>
      </c>
      <c r="CK82" s="2790">
        <f t="shared" ca="1" si="214"/>
        <v>0</v>
      </c>
      <c r="CL82" s="2790">
        <f t="shared" ca="1" si="214"/>
        <v>0</v>
      </c>
      <c r="CM82" s="2790">
        <f t="shared" ca="1" si="214"/>
        <v>0</v>
      </c>
      <c r="CN82" s="2790">
        <f t="shared" ca="1" si="214"/>
        <v>0</v>
      </c>
      <c r="CO82" s="2790">
        <f t="shared" ca="1" si="214"/>
        <v>0</v>
      </c>
      <c r="CP82" s="2790">
        <f t="shared" ca="1" si="214"/>
        <v>0</v>
      </c>
      <c r="CQ82" s="2790">
        <f t="shared" ca="1" si="214"/>
        <v>0</v>
      </c>
      <c r="CR82" s="2790">
        <f t="shared" ca="1" si="214"/>
        <v>0</v>
      </c>
      <c r="CS82" s="2790">
        <f t="shared" ca="1" si="214"/>
        <v>0</v>
      </c>
      <c r="CT82" s="2790">
        <f t="shared" ca="1" si="214"/>
        <v>0</v>
      </c>
      <c r="CU82" s="2790">
        <f t="shared" ca="1" si="214"/>
        <v>0</v>
      </c>
      <c r="CV82" s="2790">
        <f t="shared" ca="1" si="214"/>
        <v>0</v>
      </c>
      <c r="CW82" s="2790">
        <f t="shared" ca="1" si="214"/>
        <v>0</v>
      </c>
      <c r="CX82" s="2790">
        <f t="shared" ca="1" si="214"/>
        <v>0</v>
      </c>
      <c r="CY82" s="2790">
        <f t="shared" ca="1" si="214"/>
        <v>0</v>
      </c>
      <c r="CZ82" s="2790">
        <f t="shared" ca="1" si="214"/>
        <v>0</v>
      </c>
      <c r="DA82" s="2790">
        <f t="shared" ca="1" si="214"/>
        <v>0</v>
      </c>
      <c r="DB82" s="2790">
        <f t="shared" ca="1" si="214"/>
        <v>0</v>
      </c>
      <c r="DC82" s="2790">
        <f t="shared" ca="1" si="214"/>
        <v>-1.1071438064419354</v>
      </c>
      <c r="DD82" s="2790">
        <f t="shared" ca="1" si="214"/>
        <v>0</v>
      </c>
      <c r="DE82" s="2790">
        <f t="shared" ca="1" si="214"/>
        <v>0</v>
      </c>
      <c r="DF82" s="2790">
        <f t="shared" ca="1" si="214"/>
        <v>0</v>
      </c>
      <c r="DH82" s="596">
        <f t="shared" ca="1" si="120"/>
        <v>7.6928123877552137</v>
      </c>
    </row>
    <row r="83" spans="1:112" s="6" customFormat="1" ht="6" customHeigh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91"/>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215">G$51+G$55+G$63+G$68+G$72+G$76+G$82+G$46</f>
        <v>0</v>
      </c>
      <c r="H84" s="680">
        <f t="shared" ca="1" si="215"/>
        <v>0.13105649885872517</v>
      </c>
      <c r="I84" s="680">
        <f t="shared" ca="1" si="215"/>
        <v>2.7520040255004306</v>
      </c>
      <c r="J84" s="680">
        <f t="shared" ca="1" si="215"/>
        <v>0</v>
      </c>
      <c r="K84" s="681">
        <f t="shared" ca="1" si="215"/>
        <v>0</v>
      </c>
      <c r="L84" s="680">
        <f t="shared" ca="1" si="215"/>
        <v>0</v>
      </c>
      <c r="M84" s="680">
        <f t="shared" ca="1" si="215"/>
        <v>0</v>
      </c>
      <c r="N84" s="680">
        <f t="shared" ca="1" si="215"/>
        <v>0</v>
      </c>
      <c r="O84" s="680">
        <f t="shared" ca="1" si="215"/>
        <v>0</v>
      </c>
      <c r="P84" s="680">
        <f t="shared" ca="1" si="215"/>
        <v>0</v>
      </c>
      <c r="Q84" s="633">
        <f ca="1">SUM(G84:P84)</f>
        <v>2.8830605243591556</v>
      </c>
      <c r="S84" s="634">
        <f t="shared" ref="S84:AJ84" ca="1" si="216">S$51+S$55+S$63+S$68+S$72+S$76+S$82+S$46</f>
        <v>-0.94606534510143447</v>
      </c>
      <c r="T84" s="634">
        <f t="shared" ca="1" si="216"/>
        <v>54.33782626718223</v>
      </c>
      <c r="U84" s="634">
        <f t="shared" ca="1" si="216"/>
        <v>-21.256798628571431</v>
      </c>
      <c r="V84" s="634">
        <f t="shared" ca="1" si="216"/>
        <v>-4.0263689937342111</v>
      </c>
      <c r="W84" s="634">
        <f t="shared" ca="1" si="216"/>
        <v>-6.1003772958047531</v>
      </c>
      <c r="X84" s="634">
        <f t="shared" ca="1" si="216"/>
        <v>0.22533488167895965</v>
      </c>
      <c r="Y84" s="634">
        <f t="shared" ca="1" si="216"/>
        <v>0</v>
      </c>
      <c r="Z84" s="634">
        <f t="shared" ca="1" si="216"/>
        <v>0</v>
      </c>
      <c r="AA84" s="634">
        <f t="shared" ca="1" si="216"/>
        <v>0</v>
      </c>
      <c r="AB84" s="634">
        <f t="shared" ca="1" si="216"/>
        <v>0</v>
      </c>
      <c r="AC84" s="634">
        <f t="shared" ca="1" si="216"/>
        <v>0</v>
      </c>
      <c r="AD84" s="634">
        <f t="shared" ca="1" si="216"/>
        <v>40.989276385826031</v>
      </c>
      <c r="AE84" s="634">
        <f t="shared" ca="1" si="216"/>
        <v>0.60681631464215224</v>
      </c>
      <c r="AF84" s="634">
        <f t="shared" ca="1" si="216"/>
        <v>14.881855923773518</v>
      </c>
      <c r="AG84" s="634">
        <f t="shared" ca="1" si="216"/>
        <v>11.85886901389615</v>
      </c>
      <c r="AH84" s="634">
        <f t="shared" ca="1" si="216"/>
        <v>0.16174046741956455</v>
      </c>
      <c r="AI84" s="634">
        <f t="shared" ca="1" si="216"/>
        <v>1.8347909840221523</v>
      </c>
      <c r="AJ84" s="634">
        <f t="shared" ca="1" si="216"/>
        <v>1.4355027286859567E-2</v>
      </c>
      <c r="AK84" s="634">
        <f ca="1">SUM(S84:AJ84)</f>
        <v>92.581255002515775</v>
      </c>
      <c r="AM84" s="635">
        <f t="shared" ref="AM84:BE84" ca="1" si="217">AM$51+AM$55+AM$63+AM$68+AM$72+AM$76+AM$82+AM$46</f>
        <v>0</v>
      </c>
      <c r="AN84" s="635">
        <f t="shared" ca="1" si="217"/>
        <v>0</v>
      </c>
      <c r="AO84" s="635">
        <f t="shared" ca="1" si="217"/>
        <v>0</v>
      </c>
      <c r="AP84" s="635">
        <f t="shared" ca="1" si="217"/>
        <v>0</v>
      </c>
      <c r="AQ84" s="635">
        <f t="shared" ca="1" si="217"/>
        <v>0</v>
      </c>
      <c r="AR84" s="635">
        <f t="shared" ca="1" si="217"/>
        <v>0</v>
      </c>
      <c r="AS84" s="635">
        <f t="shared" ca="1" si="217"/>
        <v>0</v>
      </c>
      <c r="AT84" s="635">
        <f t="shared" ca="1" si="217"/>
        <v>0</v>
      </c>
      <c r="AU84" s="635">
        <f t="shared" ca="1" si="217"/>
        <v>0</v>
      </c>
      <c r="AV84" s="635">
        <f t="shared" ca="1" si="217"/>
        <v>-21.428000000000004</v>
      </c>
      <c r="AW84" s="635">
        <f t="shared" ca="1" si="217"/>
        <v>-4.3856969840221529</v>
      </c>
      <c r="AX84" s="635">
        <f t="shared" ca="1" si="217"/>
        <v>-27.955212300000003</v>
      </c>
      <c r="AY84" s="635">
        <f t="shared" ca="1" si="217"/>
        <v>-1.5778800000000002</v>
      </c>
      <c r="AZ84" s="635">
        <f t="shared" ca="1" si="217"/>
        <v>-3.9052530000000001</v>
      </c>
      <c r="BA84" s="635">
        <f t="shared" ca="1" si="217"/>
        <v>0</v>
      </c>
      <c r="BB84" s="635">
        <f t="shared" ca="1" si="217"/>
        <v>-0.78946596000000002</v>
      </c>
      <c r="BC84" s="635">
        <f t="shared" ca="1" si="217"/>
        <v>0</v>
      </c>
      <c r="BD84" s="635">
        <f t="shared" ca="1" si="217"/>
        <v>-44.707203811579298</v>
      </c>
      <c r="BE84" s="635">
        <f t="shared" ca="1" si="217"/>
        <v>-24.016689175657081</v>
      </c>
      <c r="BF84" s="635">
        <f ca="1">SUM(AM84:BE84)</f>
        <v>-128.76540123125855</v>
      </c>
      <c r="BH84" s="3464">
        <f ca="1">BH$51+BH$55+BH$63+BH$68+BH$72+BH$76+BH$82+BH$46</f>
        <v>29.797263898500706</v>
      </c>
      <c r="BI84" s="3464">
        <f ca="1">BI$51+BI$55+BI$63+BI$68+BI$72+BI$76+BI$82+BI$46</f>
        <v>3.5038232413856147</v>
      </c>
      <c r="BJ84" s="3464">
        <f ca="1">SUM(BH84:BI84)</f>
        <v>33.30108713988632</v>
      </c>
      <c r="BL84" s="3478">
        <f t="shared" ca="1" si="191"/>
        <v>1.4355026962675765E-6</v>
      </c>
      <c r="BM84" s="636"/>
      <c r="BO84" s="2793">
        <f t="shared" ref="BO84:DE84" ca="1" si="218">BO$51+BO$55+BO$63+BO$68+BO$72+BO$76+BO$82+BO$46</f>
        <v>9.8469647482762337</v>
      </c>
      <c r="BP84" s="2793">
        <f t="shared" ca="1" si="218"/>
        <v>2.6117697731081586E-3</v>
      </c>
      <c r="BQ84" s="2793">
        <f t="shared" ca="1" si="218"/>
        <v>3.5486740756564071E-2</v>
      </c>
      <c r="BR84" s="2793">
        <f t="shared" ca="1" si="218"/>
        <v>0</v>
      </c>
      <c r="BS84" s="2793">
        <f t="shared" ca="1" si="218"/>
        <v>0</v>
      </c>
      <c r="BT84" s="2793">
        <f t="shared" ca="1" si="218"/>
        <v>0</v>
      </c>
      <c r="BU84" s="2793">
        <f t="shared" ca="1" si="218"/>
        <v>0</v>
      </c>
      <c r="BV84" s="2793">
        <f t="shared" ca="1" si="218"/>
        <v>0</v>
      </c>
      <c r="BW84" s="2793">
        <f t="shared" ca="1" si="218"/>
        <v>0</v>
      </c>
      <c r="BX84" s="2793">
        <f t="shared" ca="1" si="218"/>
        <v>0</v>
      </c>
      <c r="BY84" s="2793">
        <f t="shared" ca="1" si="218"/>
        <v>0</v>
      </c>
      <c r="BZ84" s="2793">
        <f t="shared" ca="1" si="218"/>
        <v>0</v>
      </c>
      <c r="CA84" s="2793">
        <f t="shared" ca="1" si="218"/>
        <v>0</v>
      </c>
      <c r="CB84" s="2793">
        <f t="shared" ca="1" si="218"/>
        <v>0</v>
      </c>
      <c r="CC84" s="2793">
        <f t="shared" ca="1" si="218"/>
        <v>0</v>
      </c>
      <c r="CD84" s="2793">
        <f t="shared" ca="1" si="218"/>
        <v>0</v>
      </c>
      <c r="CE84" s="2793">
        <f t="shared" ca="1" si="218"/>
        <v>0</v>
      </c>
      <c r="CF84" s="2793">
        <f t="shared" ca="1" si="218"/>
        <v>8.3480088825510883</v>
      </c>
      <c r="CG84" s="2793">
        <f t="shared" ca="1" si="218"/>
        <v>5.9320998467150101</v>
      </c>
      <c r="CH84" s="2793">
        <f t="shared" ca="1" si="218"/>
        <v>0</v>
      </c>
      <c r="CI84" s="2793">
        <f t="shared" ca="1" si="218"/>
        <v>-1.4653696761441601</v>
      </c>
      <c r="CJ84" s="2793">
        <f t="shared" ca="1" si="218"/>
        <v>0</v>
      </c>
      <c r="CK84" s="2793">
        <f t="shared" ca="1" si="218"/>
        <v>0</v>
      </c>
      <c r="CL84" s="2793">
        <f t="shared" ca="1" si="218"/>
        <v>0</v>
      </c>
      <c r="CM84" s="2793">
        <f t="shared" ca="1" si="218"/>
        <v>0</v>
      </c>
      <c r="CN84" s="2793">
        <f t="shared" ca="1" si="218"/>
        <v>0.47993362364877479</v>
      </c>
      <c r="CO84" s="2793">
        <f t="shared" ca="1" si="218"/>
        <v>5.9899473214285702E-2</v>
      </c>
      <c r="CP84" s="2793">
        <f t="shared" ca="1" si="218"/>
        <v>0</v>
      </c>
      <c r="CQ84" s="2793">
        <f t="shared" ca="1" si="218"/>
        <v>0</v>
      </c>
      <c r="CR84" s="2793">
        <f t="shared" ca="1" si="218"/>
        <v>0</v>
      </c>
      <c r="CS84" s="2793">
        <f t="shared" ca="1" si="218"/>
        <v>0</v>
      </c>
      <c r="CT84" s="2793">
        <f t="shared" ca="1" si="218"/>
        <v>0</v>
      </c>
      <c r="CU84" s="2793">
        <f t="shared" ca="1" si="218"/>
        <v>0</v>
      </c>
      <c r="CV84" s="2793">
        <f t="shared" ca="1" si="218"/>
        <v>0</v>
      </c>
      <c r="CW84" s="2793">
        <f t="shared" ca="1" si="218"/>
        <v>0</v>
      </c>
      <c r="CX84" s="2793">
        <f t="shared" ca="1" si="218"/>
        <v>0</v>
      </c>
      <c r="CY84" s="2793">
        <f t="shared" ca="1" si="218"/>
        <v>0</v>
      </c>
      <c r="CZ84" s="2793">
        <f t="shared" ca="1" si="218"/>
        <v>0</v>
      </c>
      <c r="DA84" s="2793">
        <f t="shared" ca="1" si="218"/>
        <v>0</v>
      </c>
      <c r="DB84" s="2793">
        <f t="shared" ca="1" si="218"/>
        <v>0</v>
      </c>
      <c r="DC84" s="2793">
        <f t="shared" ca="1" si="218"/>
        <v>-1.1071438064419354</v>
      </c>
      <c r="DD84" s="2793">
        <f t="shared" ca="1" si="218"/>
        <v>0</v>
      </c>
      <c r="DE84" s="2793">
        <f t="shared" ca="1" si="218"/>
        <v>0</v>
      </c>
      <c r="DF84" s="2793">
        <f ca="1">DF$51+DF$99+DF$55+DF$63+DF$68+DF$76+DF$82+DF$46</f>
        <v>0</v>
      </c>
      <c r="DH84" s="637">
        <f ca="1">SUM(BO84:DF84)</f>
        <v>22.132491602348971</v>
      </c>
    </row>
    <row r="85" spans="1:112" s="6" customFormat="1" ht="6" customHeigh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91"/>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24" customHeight="1">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91"/>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ht="6" customHeigh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91"/>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outlineLevel="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outlineLevel="1">
      <c r="C89" s="651" t="s">
        <v>563</v>
      </c>
      <c r="D89" s="588" t="s">
        <v>564</v>
      </c>
      <c r="E89" s="588"/>
      <c r="F89" s="6"/>
      <c r="G89" s="589">
        <f t="shared" ref="G89:P89" ca="1" si="219">IFERROR(INDEX(INDIRECT($C89&amp;".Outputs["&amp;this.Year&amp;"]"), MATCH(G$5, INDIRECT($C89&amp;".Outputs[Vector]"), 0)), 0)</f>
        <v>0</v>
      </c>
      <c r="H89" s="589">
        <f t="shared" ca="1" si="219"/>
        <v>0</v>
      </c>
      <c r="I89" s="589">
        <f t="shared" ca="1" si="219"/>
        <v>0</v>
      </c>
      <c r="J89" s="589">
        <f t="shared" ca="1" si="219"/>
        <v>0</v>
      </c>
      <c r="K89" s="589">
        <f t="shared" ca="1" si="219"/>
        <v>0</v>
      </c>
      <c r="L89" s="589">
        <f t="shared" ca="1" si="219"/>
        <v>0</v>
      </c>
      <c r="M89" s="589">
        <f t="shared" ca="1" si="219"/>
        <v>0</v>
      </c>
      <c r="N89" s="589">
        <f t="shared" ca="1" si="219"/>
        <v>0</v>
      </c>
      <c r="O89" s="589">
        <f t="shared" ca="1" si="219"/>
        <v>0</v>
      </c>
      <c r="P89" s="589">
        <f t="shared" ca="1" si="219"/>
        <v>0</v>
      </c>
      <c r="Q89" s="590">
        <f ca="1">SUM(G89:P89)</f>
        <v>0</v>
      </c>
      <c r="R89" s="6"/>
      <c r="S89" s="591">
        <f t="shared" ref="S89:AJ89" ca="1" si="220">IFERROR(INDEX(INDIRECT($C89&amp;".Outputs["&amp;this.Year&amp;"]"), MATCH(S$5, INDIRECT($C89&amp;".Outputs[Vector]"), 0)), 0)</f>
        <v>0</v>
      </c>
      <c r="T89" s="591">
        <f t="shared" ca="1" si="220"/>
        <v>4.5999999999999996</v>
      </c>
      <c r="U89" s="591">
        <f t="shared" ca="1" si="220"/>
        <v>0</v>
      </c>
      <c r="V89" s="591">
        <f t="shared" ca="1" si="220"/>
        <v>0</v>
      </c>
      <c r="W89" s="591">
        <f t="shared" ca="1" si="220"/>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20"/>
        <v>0</v>
      </c>
      <c r="AB89" s="591">
        <f t="shared" ca="1" si="220"/>
        <v>0</v>
      </c>
      <c r="AC89" s="591">
        <f t="shared" ca="1" si="220"/>
        <v>0</v>
      </c>
      <c r="AD89" s="591">
        <f t="shared" ca="1" si="220"/>
        <v>0</v>
      </c>
      <c r="AE89" s="591">
        <f t="shared" ca="1" si="220"/>
        <v>0</v>
      </c>
      <c r="AF89" s="591">
        <f t="shared" ca="1" si="220"/>
        <v>0</v>
      </c>
      <c r="AG89" s="591">
        <f t="shared" ca="1" si="220"/>
        <v>0</v>
      </c>
      <c r="AH89" s="591">
        <f t="shared" ca="1" si="220"/>
        <v>0</v>
      </c>
      <c r="AI89" s="591">
        <f t="shared" ca="1" si="220"/>
        <v>0</v>
      </c>
      <c r="AJ89" s="591">
        <f t="shared" ca="1" si="220"/>
        <v>0</v>
      </c>
      <c r="AK89" s="592">
        <f ca="1">SUM(S89:AJ89)</f>
        <v>4.5999999999999996</v>
      </c>
      <c r="AL89" s="6"/>
      <c r="AM89" s="593">
        <f t="shared" ref="AM89:AU89" ca="1" si="221">IFERROR(INDEX(INDIRECT($C89&amp;".Outputs["&amp;this.Year&amp;"]"), MATCH(AM$5, INDIRECT($C89&amp;".Outputs[Vector]"), 0)), 0)</f>
        <v>0</v>
      </c>
      <c r="AN89" s="593">
        <f t="shared" ca="1" si="221"/>
        <v>0</v>
      </c>
      <c r="AO89" s="593">
        <f t="shared" ca="1" si="221"/>
        <v>0</v>
      </c>
      <c r="AP89" s="593">
        <f t="shared" ca="1" si="221"/>
        <v>0</v>
      </c>
      <c r="AQ89" s="593">
        <f t="shared" ca="1" si="221"/>
        <v>-4.5999999999999996</v>
      </c>
      <c r="AR89" s="593">
        <f t="shared" ca="1" si="221"/>
        <v>0</v>
      </c>
      <c r="AS89" s="593">
        <f t="shared" ca="1" si="221"/>
        <v>0</v>
      </c>
      <c r="AT89" s="593">
        <f t="shared" ca="1" si="221"/>
        <v>0</v>
      </c>
      <c r="AU89" s="593">
        <f t="shared" ca="1" si="221"/>
        <v>0</v>
      </c>
      <c r="AV89" s="593">
        <f t="shared" ref="AV89:BE89" ca="1" si="222">IFERROR(INDEX(INDIRECT($C89&amp;".Outputs["&amp;this.Year&amp;"]"), MATCH(AV$5, INDIRECT($C89&amp;".Outputs[Vector]"), 0)), 0)</f>
        <v>0</v>
      </c>
      <c r="AW89" s="593">
        <f t="shared" ca="1" si="222"/>
        <v>0</v>
      </c>
      <c r="AX89" s="593">
        <f t="shared" ca="1" si="222"/>
        <v>0</v>
      </c>
      <c r="AY89" s="593">
        <f t="shared" ca="1" si="222"/>
        <v>0</v>
      </c>
      <c r="AZ89" s="593">
        <f t="shared" ca="1" si="222"/>
        <v>0</v>
      </c>
      <c r="BA89" s="593">
        <f t="shared" ca="1" si="222"/>
        <v>0</v>
      </c>
      <c r="BB89" s="593">
        <f t="shared" ca="1" si="222"/>
        <v>0</v>
      </c>
      <c r="BC89" s="593">
        <f t="shared" ca="1" si="222"/>
        <v>0</v>
      </c>
      <c r="BD89" s="593">
        <f t="shared" ca="1" si="222"/>
        <v>0</v>
      </c>
      <c r="BE89" s="593">
        <f t="shared" ca="1" si="222"/>
        <v>0</v>
      </c>
      <c r="BF89" s="609">
        <f ca="1">SUM(AM89:BE89)</f>
        <v>-4.5999999999999996</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23">Q89+AK89+BF89+BJ89</f>
        <v>0</v>
      </c>
      <c r="BM89" s="610"/>
      <c r="BO89" s="2789">
        <f t="shared" ref="BO89:DF89" ca="1" si="224">IFERROR(SUMIFS(INDIRECT($C89&amp;".Emissions["&amp;this.Year&amp;"]"), INDIRECT($C89&amp;".Emissions[GHG]"), BO$6, INDIRECT($C89&amp;".Emissions[IPCC Sector]"), BO$5),0)</f>
        <v>0</v>
      </c>
      <c r="BP89" s="2790">
        <f t="shared" ca="1" si="224"/>
        <v>0</v>
      </c>
      <c r="BQ89" s="2790">
        <f t="shared" ca="1" si="224"/>
        <v>0</v>
      </c>
      <c r="BR89" s="2790">
        <f t="shared" ca="1" si="224"/>
        <v>0</v>
      </c>
      <c r="BS89" s="2790">
        <f t="shared" ca="1" si="224"/>
        <v>0</v>
      </c>
      <c r="BT89" s="2790">
        <f t="shared" ca="1" si="224"/>
        <v>0</v>
      </c>
      <c r="BU89" s="2790">
        <f t="shared" ca="1" si="224"/>
        <v>0</v>
      </c>
      <c r="BV89" s="2790">
        <f t="shared" ca="1" si="224"/>
        <v>0</v>
      </c>
      <c r="BW89" s="2790">
        <f t="shared" ca="1" si="224"/>
        <v>0</v>
      </c>
      <c r="BX89" s="2790">
        <f t="shared" ca="1" si="224"/>
        <v>0</v>
      </c>
      <c r="BY89" s="2790">
        <f t="shared" ca="1" si="224"/>
        <v>0</v>
      </c>
      <c r="BZ89" s="2790">
        <f t="shared" ca="1" si="224"/>
        <v>0</v>
      </c>
      <c r="CA89" s="2790">
        <f t="shared" ca="1" si="224"/>
        <v>0</v>
      </c>
      <c r="CB89" s="2790">
        <f t="shared" ca="1" si="224"/>
        <v>0</v>
      </c>
      <c r="CC89" s="2790">
        <f t="shared" ca="1" si="224"/>
        <v>0</v>
      </c>
      <c r="CD89" s="2790">
        <f t="shared" ca="1" si="224"/>
        <v>0</v>
      </c>
      <c r="CE89" s="2790">
        <f t="shared" ca="1" si="224"/>
        <v>0</v>
      </c>
      <c r="CF89" s="2790">
        <f t="shared" ca="1" si="224"/>
        <v>0</v>
      </c>
      <c r="CG89" s="2790">
        <f t="shared" ca="1" si="224"/>
        <v>0</v>
      </c>
      <c r="CH89" s="2790">
        <f t="shared" ca="1" si="224"/>
        <v>0</v>
      </c>
      <c r="CI89" s="2790">
        <f t="shared" ca="1" si="224"/>
        <v>0</v>
      </c>
      <c r="CJ89" s="2790">
        <f t="shared" ca="1" si="224"/>
        <v>0</v>
      </c>
      <c r="CK89" s="2790">
        <f t="shared" ca="1" si="224"/>
        <v>0</v>
      </c>
      <c r="CL89" s="2790">
        <f t="shared" ca="1" si="224"/>
        <v>0</v>
      </c>
      <c r="CM89" s="2790">
        <f t="shared" ca="1" si="224"/>
        <v>0</v>
      </c>
      <c r="CN89" s="2790">
        <f t="shared" ca="1" si="224"/>
        <v>0</v>
      </c>
      <c r="CO89" s="2790">
        <f t="shared" ca="1" si="224"/>
        <v>0</v>
      </c>
      <c r="CP89" s="2790">
        <f t="shared" ca="1" si="224"/>
        <v>0</v>
      </c>
      <c r="CQ89" s="2790">
        <f t="shared" ca="1" si="224"/>
        <v>0</v>
      </c>
      <c r="CR89" s="2790">
        <f t="shared" ca="1" si="224"/>
        <v>0</v>
      </c>
      <c r="CS89" s="2790">
        <f t="shared" ca="1" si="224"/>
        <v>0</v>
      </c>
      <c r="CT89" s="2790">
        <f t="shared" ca="1" si="224"/>
        <v>0</v>
      </c>
      <c r="CU89" s="2790">
        <f t="shared" ca="1" si="224"/>
        <v>0</v>
      </c>
      <c r="CV89" s="2790">
        <f t="shared" ca="1" si="224"/>
        <v>0</v>
      </c>
      <c r="CW89" s="2790">
        <f t="shared" ca="1" si="224"/>
        <v>0</v>
      </c>
      <c r="CX89" s="2790">
        <f t="shared" ca="1" si="224"/>
        <v>0</v>
      </c>
      <c r="CY89" s="2790">
        <f t="shared" ca="1" si="224"/>
        <v>0</v>
      </c>
      <c r="CZ89" s="2790">
        <f t="shared" ca="1" si="224"/>
        <v>0</v>
      </c>
      <c r="DA89" s="2790">
        <f t="shared" ca="1" si="224"/>
        <v>0</v>
      </c>
      <c r="DB89" s="2790">
        <f t="shared" ca="1" si="224"/>
        <v>0</v>
      </c>
      <c r="DC89" s="2790">
        <f t="shared" ca="1" si="224"/>
        <v>0</v>
      </c>
      <c r="DD89" s="2790">
        <f t="shared" ca="1" si="224"/>
        <v>0</v>
      </c>
      <c r="DE89" s="2790">
        <f t="shared" ca="1" si="224"/>
        <v>0</v>
      </c>
      <c r="DF89" s="2790">
        <f t="shared" ca="1" si="224"/>
        <v>0</v>
      </c>
      <c r="DH89" s="596"/>
    </row>
    <row r="90" spans="1:112" s="652" customFormat="1" ht="12.75" customHeight="1" outlineLevel="1">
      <c r="C90" s="667" t="s">
        <v>565</v>
      </c>
      <c r="D90" s="668" t="s">
        <v>566</v>
      </c>
      <c r="E90" s="668"/>
      <c r="F90" s="6"/>
      <c r="G90" s="643"/>
      <c r="H90" s="643"/>
      <c r="I90" s="643"/>
      <c r="J90" s="643"/>
      <c r="K90" s="644"/>
      <c r="L90" s="643"/>
      <c r="M90" s="643"/>
      <c r="N90" s="643"/>
      <c r="O90" s="643"/>
      <c r="P90" s="643"/>
      <c r="Q90" s="643"/>
      <c r="R90" s="6"/>
      <c r="S90" s="645">
        <f ca="1">S$40+$S46+S$51+S$99+S$55+S$89</f>
        <v>-26.58076499948222</v>
      </c>
      <c r="T90" s="645">
        <f ca="1">T$40+$S46+T$51+T$99+T$55+T$89</f>
        <v>10.858685818221716</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23"/>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outlineLevel="1">
      <c r="C91" s="651" t="s">
        <v>567</v>
      </c>
      <c r="D91" s="588" t="s">
        <v>568</v>
      </c>
      <c r="E91" s="588"/>
      <c r="F91" s="6"/>
      <c r="G91" s="589">
        <f t="shared" ref="G91:P92" ca="1" si="225">IFERROR(INDEX(INDIRECT($C91&amp;".Outputs["&amp;this.Year&amp;"]"), MATCH(G$5, INDIRECT($C91&amp;".Outputs[Vector]"), 0)), 0)</f>
        <v>0</v>
      </c>
      <c r="H91" s="589">
        <f t="shared" ca="1" si="225"/>
        <v>0</v>
      </c>
      <c r="I91" s="589">
        <f t="shared" ca="1" si="225"/>
        <v>0</v>
      </c>
      <c r="J91" s="589">
        <f t="shared" ca="1" si="225"/>
        <v>0</v>
      </c>
      <c r="K91" s="589">
        <f t="shared" ca="1" si="225"/>
        <v>0</v>
      </c>
      <c r="L91" s="589">
        <f t="shared" ca="1" si="225"/>
        <v>0</v>
      </c>
      <c r="M91" s="589">
        <f t="shared" ca="1" si="225"/>
        <v>0</v>
      </c>
      <c r="N91" s="589">
        <f t="shared" ca="1" si="225"/>
        <v>0</v>
      </c>
      <c r="O91" s="589">
        <f t="shared" ca="1" si="225"/>
        <v>0</v>
      </c>
      <c r="P91" s="589">
        <f t="shared" ca="1" si="225"/>
        <v>0</v>
      </c>
      <c r="Q91" s="590">
        <f ca="1">SUM(G91:P91)</f>
        <v>0</v>
      </c>
      <c r="R91" s="6"/>
      <c r="S91" s="591">
        <f t="shared" ref="S91:AJ92" ca="1" si="226">IFERROR(INDEX(INDIRECT($C91&amp;".Outputs["&amp;this.Year&amp;"]"), MATCH(S$5, INDIRECT($C91&amp;".Outputs[Vector]"), 0)), 0)</f>
        <v>0</v>
      </c>
      <c r="T91" s="591">
        <f t="shared" ca="1" si="226"/>
        <v>-3.7969992656981866</v>
      </c>
      <c r="U91" s="591">
        <f t="shared" ca="1" si="226"/>
        <v>0</v>
      </c>
      <c r="V91" s="591">
        <f t="shared" ca="1" si="226"/>
        <v>0</v>
      </c>
      <c r="W91" s="591">
        <f t="shared" ca="1" si="226"/>
        <v>0</v>
      </c>
      <c r="X91" s="591">
        <f t="shared" ref="X91:Z92" ca="1" si="227">IFERROR(INDEX(INDIRECT($C91&amp;".Outputs["&amp;this.Year&amp;"]"), MATCH(X$5, INDIRECT($C91&amp;".Outputs[Vector]"), 0)), 0)</f>
        <v>0</v>
      </c>
      <c r="Y91" s="591">
        <f t="shared" ca="1" si="227"/>
        <v>0</v>
      </c>
      <c r="Z91" s="591">
        <f t="shared" ca="1" si="227"/>
        <v>0</v>
      </c>
      <c r="AA91" s="591">
        <f t="shared" ca="1" si="226"/>
        <v>0</v>
      </c>
      <c r="AB91" s="591">
        <f t="shared" ca="1" si="226"/>
        <v>0</v>
      </c>
      <c r="AC91" s="591">
        <f t="shared" ca="1" si="226"/>
        <v>0</v>
      </c>
      <c r="AD91" s="591">
        <f t="shared" ca="1" si="226"/>
        <v>0</v>
      </c>
      <c r="AE91" s="591">
        <f t="shared" ca="1" si="226"/>
        <v>0</v>
      </c>
      <c r="AF91" s="591">
        <f t="shared" ca="1" si="226"/>
        <v>0</v>
      </c>
      <c r="AG91" s="591">
        <f t="shared" ca="1" si="226"/>
        <v>0</v>
      </c>
      <c r="AH91" s="591">
        <f t="shared" ca="1" si="226"/>
        <v>0</v>
      </c>
      <c r="AI91" s="591">
        <f t="shared" ca="1" si="226"/>
        <v>0</v>
      </c>
      <c r="AJ91" s="591">
        <f t="shared" ca="1" si="226"/>
        <v>0</v>
      </c>
      <c r="AK91" s="592">
        <f ca="1">SUM(S91:AJ91)</f>
        <v>-3.7969992656981866</v>
      </c>
      <c r="AL91" s="6"/>
      <c r="AM91" s="593">
        <f t="shared" ref="AM91:AU92" ca="1" si="228">IFERROR(INDEX(INDIRECT($C91&amp;".Outputs["&amp;this.Year&amp;"]"), MATCH(AM$5, INDIRECT($C91&amp;".Outputs[Vector]"), 0)), 0)</f>
        <v>0</v>
      </c>
      <c r="AN91" s="593">
        <f t="shared" ca="1" si="228"/>
        <v>0</v>
      </c>
      <c r="AO91" s="593">
        <f t="shared" ca="1" si="228"/>
        <v>0</v>
      </c>
      <c r="AP91" s="593">
        <f t="shared" ca="1" si="228"/>
        <v>0</v>
      </c>
      <c r="AQ91" s="593">
        <f t="shared" ca="1" si="228"/>
        <v>0</v>
      </c>
      <c r="AR91" s="593">
        <f t="shared" ca="1" si="228"/>
        <v>0</v>
      </c>
      <c r="AS91" s="593">
        <f t="shared" ca="1" si="228"/>
        <v>0</v>
      </c>
      <c r="AT91" s="593">
        <f t="shared" ca="1" si="228"/>
        <v>0</v>
      </c>
      <c r="AU91" s="593">
        <f t="shared" ca="1" si="228"/>
        <v>0</v>
      </c>
      <c r="AV91" s="593">
        <f t="shared" ref="AV91:BE92" ca="1" si="229">IFERROR(INDEX(INDIRECT($C91&amp;".Outputs["&amp;this.Year&amp;"]"), MATCH(AV$5, INDIRECT($C91&amp;".Outputs[Vector]"), 0)), 0)</f>
        <v>0</v>
      </c>
      <c r="AW91" s="593">
        <f t="shared" ca="1" si="229"/>
        <v>0</v>
      </c>
      <c r="AX91" s="593">
        <f t="shared" ca="1" si="229"/>
        <v>0</v>
      </c>
      <c r="AY91" s="593">
        <f t="shared" ca="1" si="229"/>
        <v>0</v>
      </c>
      <c r="AZ91" s="593">
        <f t="shared" ca="1" si="229"/>
        <v>0</v>
      </c>
      <c r="BA91" s="593">
        <f t="shared" ca="1" si="229"/>
        <v>0</v>
      </c>
      <c r="BB91" s="593">
        <f t="shared" ca="1" si="229"/>
        <v>0</v>
      </c>
      <c r="BC91" s="593">
        <f t="shared" ca="1" si="229"/>
        <v>0</v>
      </c>
      <c r="BD91" s="593">
        <f t="shared" ca="1" si="229"/>
        <v>0</v>
      </c>
      <c r="BE91" s="593">
        <f t="shared" ca="1" si="22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3.7969992656981884</v>
      </c>
      <c r="BJ91" s="3460">
        <f ca="1">SUM(BH91:BI91)</f>
        <v>3.7969992656981884</v>
      </c>
      <c r="BK91" s="6"/>
      <c r="BL91" s="654">
        <f t="shared" ca="1" si="223"/>
        <v>0</v>
      </c>
      <c r="BM91" s="610"/>
      <c r="BO91" s="2789">
        <f t="shared" ref="BO91:BX92" ca="1" si="230">IFERROR(SUMIFS(INDIRECT($C91&amp;".Emissions["&amp;this.Year&amp;"]"), INDIRECT($C91&amp;".Emissions[GHG]"), BO$6, INDIRECT($C91&amp;".Emissions[IPCC Sector]"), BO$5),0)</f>
        <v>0</v>
      </c>
      <c r="BP91" s="2790">
        <f t="shared" ca="1" si="230"/>
        <v>0</v>
      </c>
      <c r="BQ91" s="2790">
        <f t="shared" ca="1" si="230"/>
        <v>0</v>
      </c>
      <c r="BR91" s="2790">
        <f t="shared" ca="1" si="230"/>
        <v>0</v>
      </c>
      <c r="BS91" s="2790">
        <f t="shared" ca="1" si="230"/>
        <v>0</v>
      </c>
      <c r="BT91" s="2790">
        <f t="shared" ca="1" si="230"/>
        <v>0</v>
      </c>
      <c r="BU91" s="2790">
        <f t="shared" ca="1" si="230"/>
        <v>0</v>
      </c>
      <c r="BV91" s="2790">
        <f t="shared" ca="1" si="230"/>
        <v>0</v>
      </c>
      <c r="BW91" s="2790">
        <f t="shared" ca="1" si="230"/>
        <v>0</v>
      </c>
      <c r="BX91" s="2790">
        <f t="shared" ca="1" si="230"/>
        <v>0</v>
      </c>
      <c r="BY91" s="2790">
        <f t="shared" ref="BY91:CH92" ca="1" si="231">IFERROR(SUMIFS(INDIRECT($C91&amp;".Emissions["&amp;this.Year&amp;"]"), INDIRECT($C91&amp;".Emissions[GHG]"), BY$6, INDIRECT($C91&amp;".Emissions[IPCC Sector]"), BY$5),0)</f>
        <v>0</v>
      </c>
      <c r="BZ91" s="2790">
        <f t="shared" ca="1" si="231"/>
        <v>0</v>
      </c>
      <c r="CA91" s="2790">
        <f t="shared" ca="1" si="231"/>
        <v>0</v>
      </c>
      <c r="CB91" s="2790">
        <f t="shared" ca="1" si="231"/>
        <v>0</v>
      </c>
      <c r="CC91" s="2790">
        <f t="shared" ca="1" si="231"/>
        <v>0</v>
      </c>
      <c r="CD91" s="2790">
        <f t="shared" ca="1" si="231"/>
        <v>0</v>
      </c>
      <c r="CE91" s="2790">
        <f t="shared" ca="1" si="231"/>
        <v>0</v>
      </c>
      <c r="CF91" s="2790">
        <f t="shared" ca="1" si="231"/>
        <v>0</v>
      </c>
      <c r="CG91" s="2790">
        <f t="shared" ca="1" si="231"/>
        <v>0</v>
      </c>
      <c r="CH91" s="2790">
        <f t="shared" ca="1" si="231"/>
        <v>0</v>
      </c>
      <c r="CI91" s="2790">
        <f t="shared" ref="CI91:CR92" ca="1" si="232">IFERROR(SUMIFS(INDIRECT($C91&amp;".Emissions["&amp;this.Year&amp;"]"), INDIRECT($C91&amp;".Emissions[GHG]"), CI$6, INDIRECT($C91&amp;".Emissions[IPCC Sector]"), CI$5),0)</f>
        <v>0</v>
      </c>
      <c r="CJ91" s="2790">
        <f t="shared" ca="1" si="232"/>
        <v>0</v>
      </c>
      <c r="CK91" s="2790">
        <f t="shared" ca="1" si="232"/>
        <v>0</v>
      </c>
      <c r="CL91" s="2790">
        <f t="shared" ca="1" si="232"/>
        <v>0</v>
      </c>
      <c r="CM91" s="2790">
        <f t="shared" ca="1" si="232"/>
        <v>0</v>
      </c>
      <c r="CN91" s="2790">
        <f t="shared" ca="1" si="232"/>
        <v>0</v>
      </c>
      <c r="CO91" s="2790">
        <f t="shared" ca="1" si="232"/>
        <v>0</v>
      </c>
      <c r="CP91" s="2790">
        <f t="shared" ca="1" si="232"/>
        <v>0</v>
      </c>
      <c r="CQ91" s="2790">
        <f t="shared" ca="1" si="232"/>
        <v>0</v>
      </c>
      <c r="CR91" s="2790">
        <f t="shared" ca="1" si="232"/>
        <v>0</v>
      </c>
      <c r="CS91" s="2790">
        <f t="shared" ref="CS91:DF92" ca="1" si="233">IFERROR(SUMIFS(INDIRECT($C91&amp;".Emissions["&amp;this.Year&amp;"]"), INDIRECT($C91&amp;".Emissions[GHG]"), CS$6, INDIRECT($C91&amp;".Emissions[IPCC Sector]"), CS$5),0)</f>
        <v>0</v>
      </c>
      <c r="CT91" s="2790">
        <f t="shared" ca="1" si="233"/>
        <v>0</v>
      </c>
      <c r="CU91" s="2790">
        <f t="shared" ca="1" si="233"/>
        <v>0</v>
      </c>
      <c r="CV91" s="2790">
        <f t="shared" ca="1" si="233"/>
        <v>0</v>
      </c>
      <c r="CW91" s="2790">
        <f t="shared" ca="1" si="233"/>
        <v>0</v>
      </c>
      <c r="CX91" s="2790">
        <f t="shared" ca="1" si="233"/>
        <v>0</v>
      </c>
      <c r="CY91" s="2790">
        <f t="shared" ca="1" si="233"/>
        <v>0</v>
      </c>
      <c r="CZ91" s="2790">
        <f t="shared" ca="1" si="233"/>
        <v>0</v>
      </c>
      <c r="DA91" s="2790">
        <f t="shared" ca="1" si="233"/>
        <v>0</v>
      </c>
      <c r="DB91" s="2790">
        <f t="shared" ca="1" si="233"/>
        <v>0</v>
      </c>
      <c r="DC91" s="2790">
        <f t="shared" ca="1" si="233"/>
        <v>0</v>
      </c>
      <c r="DD91" s="2790">
        <f t="shared" ca="1" si="233"/>
        <v>0</v>
      </c>
      <c r="DE91" s="2790">
        <f t="shared" ca="1" si="233"/>
        <v>0</v>
      </c>
      <c r="DF91" s="2790">
        <f t="shared" ca="1" si="233"/>
        <v>0</v>
      </c>
      <c r="DH91" s="596"/>
    </row>
    <row r="92" spans="1:112" s="607" customFormat="1" outlineLevel="1">
      <c r="C92" s="651" t="s">
        <v>569</v>
      </c>
      <c r="D92" s="611" t="s">
        <v>570</v>
      </c>
      <c r="E92" s="611"/>
      <c r="F92" s="6"/>
      <c r="G92" s="619">
        <f t="shared" ca="1" si="225"/>
        <v>0</v>
      </c>
      <c r="H92" s="619">
        <f t="shared" ca="1" si="225"/>
        <v>0</v>
      </c>
      <c r="I92" s="619">
        <f t="shared" ca="1" si="225"/>
        <v>0</v>
      </c>
      <c r="J92" s="619">
        <f t="shared" ca="1" si="225"/>
        <v>0</v>
      </c>
      <c r="K92" s="619">
        <f t="shared" ca="1" si="225"/>
        <v>0</v>
      </c>
      <c r="L92" s="619">
        <f t="shared" ca="1" si="225"/>
        <v>0</v>
      </c>
      <c r="M92" s="619">
        <f t="shared" ca="1" si="225"/>
        <v>0</v>
      </c>
      <c r="N92" s="619">
        <f t="shared" ca="1" si="225"/>
        <v>0</v>
      </c>
      <c r="O92" s="619">
        <f t="shared" ca="1" si="225"/>
        <v>0</v>
      </c>
      <c r="P92" s="619">
        <f t="shared" ca="1" si="225"/>
        <v>0</v>
      </c>
      <c r="Q92" s="612">
        <f ca="1">SUM(G92:P92)</f>
        <v>0</v>
      </c>
      <c r="R92" s="6"/>
      <c r="S92" s="620">
        <f t="shared" ca="1" si="226"/>
        <v>0</v>
      </c>
      <c r="T92" s="620">
        <f t="shared" ca="1" si="226"/>
        <v>0</v>
      </c>
      <c r="U92" s="620">
        <f t="shared" ca="1" si="226"/>
        <v>0</v>
      </c>
      <c r="V92" s="620">
        <f t="shared" ca="1" si="226"/>
        <v>0</v>
      </c>
      <c r="W92" s="620">
        <f t="shared" ca="1" si="226"/>
        <v>0</v>
      </c>
      <c r="X92" s="620">
        <f t="shared" ca="1" si="227"/>
        <v>0</v>
      </c>
      <c r="Y92" s="620">
        <f t="shared" ca="1" si="227"/>
        <v>0</v>
      </c>
      <c r="Z92" s="620">
        <f t="shared" ca="1" si="227"/>
        <v>0</v>
      </c>
      <c r="AA92" s="620">
        <f t="shared" ca="1" si="226"/>
        <v>0</v>
      </c>
      <c r="AB92" s="620">
        <f t="shared" ca="1" si="226"/>
        <v>0</v>
      </c>
      <c r="AC92" s="620">
        <f t="shared" ca="1" si="226"/>
        <v>0</v>
      </c>
      <c r="AD92" s="620">
        <f t="shared" ca="1" si="226"/>
        <v>0</v>
      </c>
      <c r="AE92" s="620">
        <f t="shared" ca="1" si="226"/>
        <v>0</v>
      </c>
      <c r="AF92" s="620">
        <f t="shared" ca="1" si="226"/>
        <v>0</v>
      </c>
      <c r="AG92" s="620">
        <f t="shared" ca="1" si="226"/>
        <v>0</v>
      </c>
      <c r="AH92" s="620">
        <f t="shared" ca="1" si="226"/>
        <v>0</v>
      </c>
      <c r="AI92" s="620">
        <f t="shared" ca="1" si="226"/>
        <v>0</v>
      </c>
      <c r="AJ92" s="620">
        <f t="shared" ca="1" si="226"/>
        <v>0</v>
      </c>
      <c r="AK92" s="613">
        <f ca="1">SUM(S92:AJ92)</f>
        <v>0</v>
      </c>
      <c r="AL92" s="6"/>
      <c r="AM92" s="621">
        <f t="shared" ca="1" si="228"/>
        <v>0</v>
      </c>
      <c r="AN92" s="621">
        <f t="shared" ca="1" si="228"/>
        <v>0</v>
      </c>
      <c r="AO92" s="621">
        <f t="shared" ca="1" si="228"/>
        <v>0</v>
      </c>
      <c r="AP92" s="621">
        <f t="shared" ca="1" si="228"/>
        <v>0</v>
      </c>
      <c r="AQ92" s="621">
        <f t="shared" ca="1" si="228"/>
        <v>0</v>
      </c>
      <c r="AR92" s="621">
        <f t="shared" ca="1" si="228"/>
        <v>0</v>
      </c>
      <c r="AS92" s="621">
        <f t="shared" ca="1" si="228"/>
        <v>0</v>
      </c>
      <c r="AT92" s="621">
        <f t="shared" ca="1" si="228"/>
        <v>0</v>
      </c>
      <c r="AU92" s="621">
        <f t="shared" ca="1" si="228"/>
        <v>0</v>
      </c>
      <c r="AV92" s="621">
        <f t="shared" ca="1" si="229"/>
        <v>0</v>
      </c>
      <c r="AW92" s="621">
        <f t="shared" ca="1" si="229"/>
        <v>0</v>
      </c>
      <c r="AX92" s="621">
        <f t="shared" ca="1" si="229"/>
        <v>0</v>
      </c>
      <c r="AY92" s="621">
        <f t="shared" ca="1" si="229"/>
        <v>0</v>
      </c>
      <c r="AZ92" s="621">
        <f t="shared" ca="1" si="229"/>
        <v>0</v>
      </c>
      <c r="BA92" s="621">
        <f t="shared" ca="1" si="229"/>
        <v>0</v>
      </c>
      <c r="BB92" s="621">
        <f t="shared" ca="1" si="229"/>
        <v>0</v>
      </c>
      <c r="BC92" s="621">
        <f t="shared" ca="1" si="229"/>
        <v>0</v>
      </c>
      <c r="BD92" s="621">
        <f t="shared" ca="1" si="229"/>
        <v>0</v>
      </c>
      <c r="BE92" s="621">
        <f t="shared" ca="1" si="229"/>
        <v>0</v>
      </c>
      <c r="BF92" s="615">
        <f ca="1">SUM(AM92:BE92)</f>
        <v>0</v>
      </c>
      <c r="BG92" s="6"/>
      <c r="BH92" s="3473">
        <f ca="1">IFERROR(INDEX(INDIRECT($C92&amp;".Outputs["&amp;this.Year&amp;"]"), MATCH(BH$5, INDIRECT($C92&amp;".Outputs[Vector]"), 0)), 0)</f>
        <v>0</v>
      </c>
      <c r="BI92" s="3473">
        <f ca="1">IFERROR(INDEX(INDIRECT($C92&amp;".Outputs["&amp;this.Year&amp;"]"), MATCH(BI$5, INDIRECT($C92&amp;".Outputs[Vector]"), 0)), 0)</f>
        <v>0</v>
      </c>
      <c r="BJ92" s="3462">
        <f ca="1">SUM(BH92:BI92)</f>
        <v>0</v>
      </c>
      <c r="BK92" s="6"/>
      <c r="BL92" s="654">
        <f t="shared" ca="1" si="223"/>
        <v>0</v>
      </c>
      <c r="BM92" s="610"/>
      <c r="BO92" s="2791">
        <f t="shared" ca="1" si="230"/>
        <v>0</v>
      </c>
      <c r="BP92" s="2792">
        <f t="shared" ca="1" si="230"/>
        <v>0</v>
      </c>
      <c r="BQ92" s="2792">
        <f t="shared" ca="1" si="230"/>
        <v>0</v>
      </c>
      <c r="BR92" s="2792">
        <f t="shared" ca="1" si="230"/>
        <v>0</v>
      </c>
      <c r="BS92" s="2792">
        <f t="shared" ca="1" si="230"/>
        <v>0</v>
      </c>
      <c r="BT92" s="2792">
        <f t="shared" ca="1" si="230"/>
        <v>0</v>
      </c>
      <c r="BU92" s="2792">
        <f t="shared" ca="1" si="230"/>
        <v>0</v>
      </c>
      <c r="BV92" s="2792">
        <f t="shared" ca="1" si="230"/>
        <v>0</v>
      </c>
      <c r="BW92" s="2792">
        <f t="shared" ca="1" si="230"/>
        <v>0</v>
      </c>
      <c r="BX92" s="2792">
        <f t="shared" ca="1" si="230"/>
        <v>0</v>
      </c>
      <c r="BY92" s="2792">
        <f t="shared" ca="1" si="231"/>
        <v>0</v>
      </c>
      <c r="BZ92" s="2792">
        <f t="shared" ca="1" si="231"/>
        <v>0</v>
      </c>
      <c r="CA92" s="2792">
        <f t="shared" ca="1" si="231"/>
        <v>0</v>
      </c>
      <c r="CB92" s="2792">
        <f t="shared" ca="1" si="231"/>
        <v>0</v>
      </c>
      <c r="CC92" s="2792">
        <f t="shared" ca="1" si="231"/>
        <v>0</v>
      </c>
      <c r="CD92" s="2792">
        <f t="shared" ca="1" si="231"/>
        <v>0</v>
      </c>
      <c r="CE92" s="2792">
        <f t="shared" ca="1" si="231"/>
        <v>0</v>
      </c>
      <c r="CF92" s="2792">
        <f t="shared" ca="1" si="231"/>
        <v>0</v>
      </c>
      <c r="CG92" s="2792">
        <f t="shared" ca="1" si="231"/>
        <v>0</v>
      </c>
      <c r="CH92" s="2792">
        <f t="shared" ca="1" si="231"/>
        <v>0</v>
      </c>
      <c r="CI92" s="2792">
        <f t="shared" ca="1" si="232"/>
        <v>0</v>
      </c>
      <c r="CJ92" s="2792">
        <f t="shared" ca="1" si="232"/>
        <v>0</v>
      </c>
      <c r="CK92" s="2792">
        <f t="shared" ca="1" si="232"/>
        <v>0</v>
      </c>
      <c r="CL92" s="2792">
        <f t="shared" ca="1" si="232"/>
        <v>0</v>
      </c>
      <c r="CM92" s="2792">
        <f t="shared" ca="1" si="232"/>
        <v>0</v>
      </c>
      <c r="CN92" s="2792">
        <f t="shared" ca="1" si="232"/>
        <v>0</v>
      </c>
      <c r="CO92" s="2792">
        <f t="shared" ca="1" si="232"/>
        <v>0</v>
      </c>
      <c r="CP92" s="2792">
        <f t="shared" ca="1" si="232"/>
        <v>0</v>
      </c>
      <c r="CQ92" s="2792">
        <f t="shared" ca="1" si="232"/>
        <v>0</v>
      </c>
      <c r="CR92" s="2792">
        <f t="shared" ca="1" si="232"/>
        <v>0</v>
      </c>
      <c r="CS92" s="2792">
        <f t="shared" ca="1" si="233"/>
        <v>0</v>
      </c>
      <c r="CT92" s="2792">
        <f t="shared" ca="1" si="233"/>
        <v>0</v>
      </c>
      <c r="CU92" s="2792">
        <f t="shared" ca="1" si="233"/>
        <v>0</v>
      </c>
      <c r="CV92" s="2792">
        <f t="shared" ca="1" si="233"/>
        <v>0</v>
      </c>
      <c r="CW92" s="2792">
        <f t="shared" ca="1" si="233"/>
        <v>0</v>
      </c>
      <c r="CX92" s="2792">
        <f t="shared" ca="1" si="233"/>
        <v>0</v>
      </c>
      <c r="CY92" s="2792">
        <f t="shared" ca="1" si="233"/>
        <v>0</v>
      </c>
      <c r="CZ92" s="2792">
        <f t="shared" ca="1" si="233"/>
        <v>0</v>
      </c>
      <c r="DA92" s="2792">
        <f t="shared" ca="1" si="233"/>
        <v>0</v>
      </c>
      <c r="DB92" s="2792">
        <f t="shared" ca="1" si="233"/>
        <v>0</v>
      </c>
      <c r="DC92" s="2792">
        <f t="shared" ca="1" si="233"/>
        <v>0</v>
      </c>
      <c r="DD92" s="2792">
        <f t="shared" ca="1" si="233"/>
        <v>0</v>
      </c>
      <c r="DE92" s="2792">
        <f t="shared" ca="1" si="233"/>
        <v>0</v>
      </c>
      <c r="DF92" s="2792">
        <f t="shared" ca="1" si="233"/>
        <v>0</v>
      </c>
      <c r="DH92" s="596"/>
    </row>
    <row r="93" spans="1:112" s="4" customFormat="1" ht="12.75" customHeight="1">
      <c r="B93" s="3"/>
      <c r="C93" s="616" t="s">
        <v>571</v>
      </c>
      <c r="D93" s="617" t="s">
        <v>572</v>
      </c>
      <c r="E93" s="206"/>
      <c r="F93" s="6"/>
      <c r="G93" s="579">
        <f t="shared" ref="G93:P93" ca="1" si="234">G$89+G$91+G$92</f>
        <v>0</v>
      </c>
      <c r="H93" s="579">
        <f t="shared" ca="1" si="234"/>
        <v>0</v>
      </c>
      <c r="I93" s="579">
        <f t="shared" ca="1" si="234"/>
        <v>0</v>
      </c>
      <c r="J93" s="579">
        <f t="shared" ca="1" si="234"/>
        <v>0</v>
      </c>
      <c r="K93" s="638">
        <f t="shared" ca="1" si="234"/>
        <v>0</v>
      </c>
      <c r="L93" s="579">
        <f t="shared" ca="1" si="234"/>
        <v>0</v>
      </c>
      <c r="M93" s="579">
        <f t="shared" ca="1" si="234"/>
        <v>0</v>
      </c>
      <c r="N93" s="579">
        <f t="shared" ca="1" si="234"/>
        <v>0</v>
      </c>
      <c r="O93" s="579">
        <f t="shared" ca="1" si="234"/>
        <v>0</v>
      </c>
      <c r="P93" s="579">
        <f t="shared" ca="1" si="234"/>
        <v>0</v>
      </c>
      <c r="Q93" s="618">
        <f ca="1">SUM(G93:P93)</f>
        <v>0</v>
      </c>
      <c r="R93" s="6"/>
      <c r="S93" s="581">
        <f t="shared" ref="S93:AJ93" ca="1" si="235">S$89+S$91+S$92</f>
        <v>0</v>
      </c>
      <c r="T93" s="581">
        <f t="shared" ca="1" si="235"/>
        <v>0.80300073430181307</v>
      </c>
      <c r="U93" s="581">
        <f t="shared" ca="1" si="235"/>
        <v>0</v>
      </c>
      <c r="V93" s="581">
        <f t="shared" ca="1" si="235"/>
        <v>0</v>
      </c>
      <c r="W93" s="581">
        <f t="shared" ca="1" si="235"/>
        <v>0</v>
      </c>
      <c r="X93" s="581">
        <f ca="1">X$89+X$91+X$92</f>
        <v>0</v>
      </c>
      <c r="Y93" s="581">
        <f ca="1">Y$89+Y$91+Y$92</f>
        <v>0</v>
      </c>
      <c r="Z93" s="581">
        <f ca="1">Z$89+Z$91+Z$92</f>
        <v>0</v>
      </c>
      <c r="AA93" s="581">
        <f t="shared" ca="1" si="235"/>
        <v>0</v>
      </c>
      <c r="AB93" s="581">
        <f t="shared" ca="1" si="235"/>
        <v>0</v>
      </c>
      <c r="AC93" s="581">
        <f t="shared" ca="1" si="235"/>
        <v>0</v>
      </c>
      <c r="AD93" s="581">
        <f t="shared" ca="1" si="235"/>
        <v>0</v>
      </c>
      <c r="AE93" s="581">
        <f t="shared" ca="1" si="235"/>
        <v>0</v>
      </c>
      <c r="AF93" s="581">
        <f t="shared" ca="1" si="235"/>
        <v>0</v>
      </c>
      <c r="AG93" s="581">
        <f t="shared" ca="1" si="235"/>
        <v>0</v>
      </c>
      <c r="AH93" s="581">
        <f t="shared" ca="1" si="235"/>
        <v>0</v>
      </c>
      <c r="AI93" s="581">
        <f t="shared" ca="1" si="235"/>
        <v>0</v>
      </c>
      <c r="AJ93" s="581">
        <f t="shared" ca="1" si="235"/>
        <v>0</v>
      </c>
      <c r="AK93" s="581">
        <f ca="1">SUM(S93:AJ93)</f>
        <v>0.80300073430181307</v>
      </c>
      <c r="AL93" s="6"/>
      <c r="AM93" s="582">
        <f t="shared" ref="AM93:BE93" ca="1" si="236">AM$89+AM$91+AM$92</f>
        <v>0</v>
      </c>
      <c r="AN93" s="582">
        <f t="shared" ca="1" si="236"/>
        <v>0</v>
      </c>
      <c r="AO93" s="582">
        <f t="shared" ca="1" si="236"/>
        <v>0</v>
      </c>
      <c r="AP93" s="582">
        <f t="shared" ca="1" si="236"/>
        <v>0</v>
      </c>
      <c r="AQ93" s="582">
        <f t="shared" ca="1" si="236"/>
        <v>-4.5999999999999996</v>
      </c>
      <c r="AR93" s="582">
        <f t="shared" ca="1" si="236"/>
        <v>0</v>
      </c>
      <c r="AS93" s="582">
        <f t="shared" ca="1" si="236"/>
        <v>0</v>
      </c>
      <c r="AT93" s="582">
        <f t="shared" ca="1" si="236"/>
        <v>0</v>
      </c>
      <c r="AU93" s="582">
        <f t="shared" ca="1" si="236"/>
        <v>0</v>
      </c>
      <c r="AV93" s="582">
        <f t="shared" ca="1" si="236"/>
        <v>0</v>
      </c>
      <c r="AW93" s="582">
        <f t="shared" ca="1" si="236"/>
        <v>0</v>
      </c>
      <c r="AX93" s="582">
        <f t="shared" ca="1" si="236"/>
        <v>0</v>
      </c>
      <c r="AY93" s="582">
        <f t="shared" ca="1" si="236"/>
        <v>0</v>
      </c>
      <c r="AZ93" s="582">
        <f t="shared" ca="1" si="236"/>
        <v>0</v>
      </c>
      <c r="BA93" s="582">
        <f t="shared" ca="1" si="236"/>
        <v>0</v>
      </c>
      <c r="BB93" s="582">
        <f t="shared" ca="1" si="236"/>
        <v>0</v>
      </c>
      <c r="BC93" s="582">
        <f t="shared" ca="1" si="236"/>
        <v>0</v>
      </c>
      <c r="BD93" s="582">
        <f t="shared" ca="1" si="236"/>
        <v>0</v>
      </c>
      <c r="BE93" s="582">
        <f t="shared" ca="1" si="236"/>
        <v>0</v>
      </c>
      <c r="BF93" s="582">
        <f ca="1">SUM(AM93:BE93)</f>
        <v>-4.5999999999999996</v>
      </c>
      <c r="BG93" s="6"/>
      <c r="BH93" s="3463">
        <f ca="1">BH$89+BH$91+BH$92</f>
        <v>0</v>
      </c>
      <c r="BI93" s="3463">
        <f ca="1">BI$89+BI$91+BI$92</f>
        <v>3.7969992656981884</v>
      </c>
      <c r="BJ93" s="3463">
        <f ca="1">SUM(BH93:BI93)</f>
        <v>3.7969992656981884</v>
      </c>
      <c r="BK93" s="6"/>
      <c r="BL93" s="3477">
        <f t="shared" ca="1" si="223"/>
        <v>0</v>
      </c>
      <c r="BM93" s="584"/>
      <c r="BN93" s="413"/>
      <c r="BO93" s="2790">
        <f t="shared" ref="BO93:DF93" ca="1" si="237">BO$89+BO$91+BO$92</f>
        <v>0</v>
      </c>
      <c r="BP93" s="2790">
        <f t="shared" ca="1" si="237"/>
        <v>0</v>
      </c>
      <c r="BQ93" s="2790">
        <f t="shared" ca="1" si="237"/>
        <v>0</v>
      </c>
      <c r="BR93" s="2790">
        <f t="shared" ca="1" si="237"/>
        <v>0</v>
      </c>
      <c r="BS93" s="2790">
        <f t="shared" ca="1" si="237"/>
        <v>0</v>
      </c>
      <c r="BT93" s="2790">
        <f t="shared" ca="1" si="237"/>
        <v>0</v>
      </c>
      <c r="BU93" s="2790">
        <f t="shared" ca="1" si="237"/>
        <v>0</v>
      </c>
      <c r="BV93" s="2790">
        <f t="shared" ca="1" si="237"/>
        <v>0</v>
      </c>
      <c r="BW93" s="2790">
        <f t="shared" ca="1" si="237"/>
        <v>0</v>
      </c>
      <c r="BX93" s="2790">
        <f t="shared" ca="1" si="237"/>
        <v>0</v>
      </c>
      <c r="BY93" s="2790">
        <f t="shared" ca="1" si="237"/>
        <v>0</v>
      </c>
      <c r="BZ93" s="2790">
        <f t="shared" ca="1" si="237"/>
        <v>0</v>
      </c>
      <c r="CA93" s="2790">
        <f t="shared" ca="1" si="237"/>
        <v>0</v>
      </c>
      <c r="CB93" s="2790">
        <f t="shared" ca="1" si="237"/>
        <v>0</v>
      </c>
      <c r="CC93" s="2790">
        <f t="shared" ca="1" si="237"/>
        <v>0</v>
      </c>
      <c r="CD93" s="2790">
        <f t="shared" ca="1" si="237"/>
        <v>0</v>
      </c>
      <c r="CE93" s="2790">
        <f t="shared" ca="1" si="237"/>
        <v>0</v>
      </c>
      <c r="CF93" s="2790">
        <f t="shared" ca="1" si="237"/>
        <v>0</v>
      </c>
      <c r="CG93" s="2790">
        <f t="shared" ca="1" si="237"/>
        <v>0</v>
      </c>
      <c r="CH93" s="2790">
        <f t="shared" ca="1" si="237"/>
        <v>0</v>
      </c>
      <c r="CI93" s="2790">
        <f t="shared" ca="1" si="237"/>
        <v>0</v>
      </c>
      <c r="CJ93" s="2790">
        <f t="shared" ca="1" si="237"/>
        <v>0</v>
      </c>
      <c r="CK93" s="2790">
        <f t="shared" ca="1" si="237"/>
        <v>0</v>
      </c>
      <c r="CL93" s="2790">
        <f t="shared" ca="1" si="237"/>
        <v>0</v>
      </c>
      <c r="CM93" s="2790">
        <f t="shared" ca="1" si="237"/>
        <v>0</v>
      </c>
      <c r="CN93" s="2790">
        <f t="shared" ca="1" si="237"/>
        <v>0</v>
      </c>
      <c r="CO93" s="2790">
        <f t="shared" ca="1" si="237"/>
        <v>0</v>
      </c>
      <c r="CP93" s="2790">
        <f t="shared" ca="1" si="237"/>
        <v>0</v>
      </c>
      <c r="CQ93" s="2790">
        <f t="shared" ca="1" si="237"/>
        <v>0</v>
      </c>
      <c r="CR93" s="2790">
        <f t="shared" ca="1" si="237"/>
        <v>0</v>
      </c>
      <c r="CS93" s="2790">
        <f t="shared" ca="1" si="237"/>
        <v>0</v>
      </c>
      <c r="CT93" s="2790">
        <f t="shared" ca="1" si="237"/>
        <v>0</v>
      </c>
      <c r="CU93" s="2790">
        <f t="shared" ca="1" si="237"/>
        <v>0</v>
      </c>
      <c r="CV93" s="2790">
        <f t="shared" ca="1" si="237"/>
        <v>0</v>
      </c>
      <c r="CW93" s="2790">
        <f t="shared" ca="1" si="237"/>
        <v>0</v>
      </c>
      <c r="CX93" s="2790">
        <f t="shared" ca="1" si="237"/>
        <v>0</v>
      </c>
      <c r="CY93" s="2790">
        <f t="shared" ca="1" si="237"/>
        <v>0</v>
      </c>
      <c r="CZ93" s="2790">
        <f t="shared" ca="1" si="237"/>
        <v>0</v>
      </c>
      <c r="DA93" s="2790">
        <f t="shared" ca="1" si="237"/>
        <v>0</v>
      </c>
      <c r="DB93" s="2790">
        <f t="shared" ca="1" si="237"/>
        <v>0</v>
      </c>
      <c r="DC93" s="2790">
        <f t="shared" ca="1" si="237"/>
        <v>0</v>
      </c>
      <c r="DD93" s="2790">
        <f t="shared" ca="1" si="237"/>
        <v>0</v>
      </c>
      <c r="DE93" s="2790">
        <f t="shared" ca="1" si="237"/>
        <v>0</v>
      </c>
      <c r="DF93" s="2790">
        <f t="shared" ca="1" si="237"/>
        <v>0</v>
      </c>
      <c r="DH93" s="596">
        <f t="shared" ref="DH93:DH104" ca="1" si="238">SUM(BO93:DF93)</f>
        <v>0</v>
      </c>
    </row>
    <row r="94" spans="1:112" s="6" customFormat="1" ht="12.75" customHeight="1" outlineLevel="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23"/>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38"/>
        <v>0</v>
      </c>
    </row>
    <row r="95" spans="1:112" s="639" customFormat="1" ht="12.75" customHeight="1" outlineLevel="1">
      <c r="C95" s="640" t="s">
        <v>573</v>
      </c>
      <c r="D95" s="641" t="s">
        <v>574</v>
      </c>
      <c r="E95" s="641"/>
      <c r="G95" s="643"/>
      <c r="H95" s="643"/>
      <c r="I95" s="643"/>
      <c r="J95" s="643"/>
      <c r="K95" s="644"/>
      <c r="L95" s="643"/>
      <c r="M95" s="643"/>
      <c r="N95" s="643"/>
      <c r="O95" s="643"/>
      <c r="P95" s="643"/>
      <c r="Q95" s="643"/>
      <c r="S95" s="645"/>
      <c r="T95" s="645"/>
      <c r="U95" s="645">
        <f ca="1">(U$40+U$84+U$93)</f>
        <v>-25.062916527922088</v>
      </c>
      <c r="V95" s="645">
        <f ca="1">(V$40+V$84+V$93)</f>
        <v>-60.945104672714244</v>
      </c>
      <c r="W95" s="645">
        <f ca="1">(W$40+W$84+W$93)</f>
        <v>-47.262037859892096</v>
      </c>
      <c r="X95" s="645"/>
      <c r="Y95" s="645"/>
      <c r="Z95" s="645"/>
      <c r="AA95" s="645"/>
      <c r="AB95" s="645"/>
      <c r="AC95" s="645">
        <f t="shared" ref="AC95:AH95" ca="1" si="239">(AC$40+AC$84+AC$93)</f>
        <v>0</v>
      </c>
      <c r="AD95" s="645">
        <f t="shared" ca="1" si="239"/>
        <v>40.989276385826031</v>
      </c>
      <c r="AE95" s="645">
        <f t="shared" ca="1" si="239"/>
        <v>0.60681631464215224</v>
      </c>
      <c r="AF95" s="645">
        <f t="shared" ca="1" si="239"/>
        <v>14.881855923773518</v>
      </c>
      <c r="AG95" s="645">
        <f t="shared" ca="1" si="239"/>
        <v>11.85886901389615</v>
      </c>
      <c r="AH95" s="645">
        <f t="shared" ca="1" si="239"/>
        <v>0.16174046741956455</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-24.016689175657081</v>
      </c>
      <c r="BF95" s="646">
        <f ca="1">SUM(AM95:BE95)</f>
        <v>-24.016689175657081</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38"/>
        <v>0</v>
      </c>
    </row>
    <row r="96" spans="1:112" s="642" customFormat="1" ht="12.75" customHeight="1" outlineLevel="1">
      <c r="A96" s="693"/>
      <c r="B96" s="693"/>
      <c r="C96" s="694" t="s">
        <v>575</v>
      </c>
      <c r="D96" s="695" t="s">
        <v>576</v>
      </c>
      <c r="E96" s="695"/>
      <c r="G96" s="696">
        <f t="shared" ref="G96:P96" ca="1" si="240">IFERROR(INDEX(INDIRECT($C96&amp;".Outputs["&amp;this.Year&amp;"]"), MATCH(G$5, INDIRECT($C96&amp;".Outputs[Vector]"), 0)), 0)</f>
        <v>0</v>
      </c>
      <c r="H96" s="696">
        <f t="shared" ca="1" si="240"/>
        <v>0</v>
      </c>
      <c r="I96" s="696">
        <f t="shared" ca="1" si="240"/>
        <v>0</v>
      </c>
      <c r="J96" s="696">
        <f t="shared" ca="1" si="240"/>
        <v>0</v>
      </c>
      <c r="K96" s="696">
        <f t="shared" ca="1" si="240"/>
        <v>0</v>
      </c>
      <c r="L96" s="696">
        <f t="shared" ca="1" si="240"/>
        <v>0</v>
      </c>
      <c r="M96" s="696">
        <f t="shared" ca="1" si="240"/>
        <v>0</v>
      </c>
      <c r="N96" s="696">
        <f t="shared" ca="1" si="240"/>
        <v>0</v>
      </c>
      <c r="O96" s="696">
        <f t="shared" ca="1" si="240"/>
        <v>0</v>
      </c>
      <c r="P96" s="696">
        <f t="shared" ca="1" si="240"/>
        <v>0</v>
      </c>
      <c r="Q96" s="697">
        <f ca="1">SUM(G96:P96)</f>
        <v>0</v>
      </c>
      <c r="S96" s="698">
        <f t="shared" ref="S96:AJ96" ca="1" si="241">IFERROR(INDEX(INDIRECT($C96&amp;".Outputs["&amp;this.Year&amp;"]"), MATCH(S$5, INDIRECT($C96&amp;".Outputs[Vector]"), 0)), 0)</f>
        <v>0</v>
      </c>
      <c r="T96" s="698">
        <f t="shared" ca="1" si="241"/>
        <v>0</v>
      </c>
      <c r="U96" s="698">
        <f t="shared" ca="1" si="241"/>
        <v>53.077575694119567</v>
      </c>
      <c r="V96" s="698">
        <f t="shared" ca="1" si="241"/>
        <v>0.19175395542692011</v>
      </c>
      <c r="W96" s="698">
        <f t="shared" ca="1" si="241"/>
        <v>10.241779129231292</v>
      </c>
      <c r="X96" s="698">
        <f t="shared" ca="1" si="241"/>
        <v>0</v>
      </c>
      <c r="Y96" s="698">
        <f t="shared" ca="1" si="241"/>
        <v>0</v>
      </c>
      <c r="Z96" s="698">
        <f t="shared" ca="1" si="241"/>
        <v>0</v>
      </c>
      <c r="AA96" s="698">
        <f t="shared" ca="1" si="241"/>
        <v>0</v>
      </c>
      <c r="AB96" s="698">
        <f t="shared" ca="1" si="241"/>
        <v>0</v>
      </c>
      <c r="AC96" s="698">
        <f t="shared" ca="1" si="241"/>
        <v>0</v>
      </c>
      <c r="AD96" s="698">
        <f t="shared" ca="1" si="241"/>
        <v>-40.989276385826031</v>
      </c>
      <c r="AE96" s="698">
        <f t="shared" ca="1" si="241"/>
        <v>-0.60681631464215224</v>
      </c>
      <c r="AF96" s="698">
        <f t="shared" ca="1" si="241"/>
        <v>-14.881855923773518</v>
      </c>
      <c r="AG96" s="698">
        <f t="shared" ca="1" si="241"/>
        <v>-11.85886901389615</v>
      </c>
      <c r="AH96" s="698">
        <f t="shared" ca="1" si="241"/>
        <v>-0.16174046741956455</v>
      </c>
      <c r="AI96" s="698">
        <f t="shared" ca="1" si="241"/>
        <v>0</v>
      </c>
      <c r="AJ96" s="698">
        <f t="shared" ca="1" si="241"/>
        <v>0</v>
      </c>
      <c r="AK96" s="699">
        <f ca="1">SUM(S96:AJ96)</f>
        <v>-4.9874493267796414</v>
      </c>
      <c r="AM96" s="700">
        <f t="shared" ref="AM96:BE96" ca="1" si="242">IFERROR(INDEX(INDIRECT($C96&amp;".Outputs["&amp;this.Year&amp;"]"), MATCH(AM$5, INDIRECT($C96&amp;".Outputs[Vector]"), 0)), 0)</f>
        <v>0</v>
      </c>
      <c r="AN96" s="700">
        <f t="shared" ca="1" si="242"/>
        <v>0</v>
      </c>
      <c r="AO96" s="700">
        <f t="shared" ca="1" si="242"/>
        <v>0</v>
      </c>
      <c r="AP96" s="700">
        <f t="shared" ca="1" si="242"/>
        <v>0</v>
      </c>
      <c r="AQ96" s="700">
        <f t="shared" ca="1" si="242"/>
        <v>0</v>
      </c>
      <c r="AR96" s="700">
        <f t="shared" ca="1" si="242"/>
        <v>0</v>
      </c>
      <c r="AS96" s="700">
        <f t="shared" ca="1" si="242"/>
        <v>0</v>
      </c>
      <c r="AT96" s="700">
        <f t="shared" ca="1" si="242"/>
        <v>0</v>
      </c>
      <c r="AU96" s="700">
        <f t="shared" ca="1" si="242"/>
        <v>0</v>
      </c>
      <c r="AV96" s="700">
        <f t="shared" ca="1" si="242"/>
        <v>0</v>
      </c>
      <c r="AW96" s="700">
        <f t="shared" ca="1" si="242"/>
        <v>0</v>
      </c>
      <c r="AX96" s="700">
        <f t="shared" ca="1" si="242"/>
        <v>0</v>
      </c>
      <c r="AY96" s="700">
        <f t="shared" ca="1" si="242"/>
        <v>0</v>
      </c>
      <c r="AZ96" s="700">
        <f t="shared" ca="1" si="242"/>
        <v>0</v>
      </c>
      <c r="BA96" s="700">
        <f t="shared" ca="1" si="242"/>
        <v>0</v>
      </c>
      <c r="BB96" s="700">
        <f t="shared" ca="1" si="242"/>
        <v>0</v>
      </c>
      <c r="BC96" s="700">
        <f t="shared" ca="1" si="242"/>
        <v>0</v>
      </c>
      <c r="BD96" s="700">
        <f t="shared" ca="1" si="242"/>
        <v>0</v>
      </c>
      <c r="BE96" s="700">
        <f t="shared" ca="1" si="242"/>
        <v>0</v>
      </c>
      <c r="BF96" s="701">
        <f ca="1">SUM(AM96:BE96)</f>
        <v>0</v>
      </c>
      <c r="BH96" s="3476">
        <f ca="1">IFERROR(INDEX(INDIRECT($C96&amp;".Outputs["&amp;this.Year&amp;"]"), MATCH(BH$5, INDIRECT($C96&amp;".Outputs[Vector]"), 0)), 0)</f>
        <v>4.9874493267796325</v>
      </c>
      <c r="BI96" s="3476">
        <f ca="1">IFERROR(INDEX(INDIRECT($C96&amp;".Outputs["&amp;this.Year&amp;"]"), MATCH(BI$5, INDIRECT($C96&amp;".Outputs[Vector]"), 0)), 0)</f>
        <v>0</v>
      </c>
      <c r="BJ96" s="3468">
        <f ca="1">SUM(BH96:BI96)</f>
        <v>4.9874493267796325</v>
      </c>
      <c r="BL96" s="702">
        <f ca="1">Q96+AK96+BF96+BJ96</f>
        <v>-8.8817841970012523E-15</v>
      </c>
      <c r="BM96" s="702"/>
      <c r="BN96" s="703"/>
      <c r="BO96" s="2796">
        <f t="shared" ref="BO96:DF96" ca="1" si="243">IFERROR(SUMIFS(INDIRECT($C96&amp;".Emissions["&amp;this.Year&amp;"]"), INDIRECT($C96&amp;".Emissions[GHG]"), BO$6, INDIRECT($C96&amp;".Emissions[IPCC Sector]"), BO$5),0)</f>
        <v>0</v>
      </c>
      <c r="BP96" s="2797">
        <f t="shared" ca="1" si="243"/>
        <v>0</v>
      </c>
      <c r="BQ96" s="2797">
        <f t="shared" ca="1" si="243"/>
        <v>0</v>
      </c>
      <c r="BR96" s="2797">
        <f t="shared" ca="1" si="243"/>
        <v>0</v>
      </c>
      <c r="BS96" s="2797">
        <f t="shared" ca="1" si="243"/>
        <v>0</v>
      </c>
      <c r="BT96" s="2797">
        <f t="shared" ca="1" si="243"/>
        <v>0</v>
      </c>
      <c r="BU96" s="2797">
        <f t="shared" ca="1" si="243"/>
        <v>0</v>
      </c>
      <c r="BV96" s="2797">
        <f t="shared" ca="1" si="243"/>
        <v>0</v>
      </c>
      <c r="BW96" s="2797">
        <f t="shared" ca="1" si="243"/>
        <v>0</v>
      </c>
      <c r="BX96" s="2797">
        <f t="shared" ca="1" si="243"/>
        <v>0</v>
      </c>
      <c r="BY96" s="2797">
        <f t="shared" ca="1" si="243"/>
        <v>0</v>
      </c>
      <c r="BZ96" s="2797">
        <f t="shared" ca="1" si="243"/>
        <v>0</v>
      </c>
      <c r="CA96" s="2797">
        <f t="shared" ca="1" si="243"/>
        <v>0</v>
      </c>
      <c r="CB96" s="2797">
        <f t="shared" ca="1" si="243"/>
        <v>0</v>
      </c>
      <c r="CC96" s="2797">
        <f t="shared" ca="1" si="243"/>
        <v>0</v>
      </c>
      <c r="CD96" s="2797">
        <f t="shared" ca="1" si="243"/>
        <v>0</v>
      </c>
      <c r="CE96" s="2797">
        <f t="shared" ca="1" si="243"/>
        <v>0</v>
      </c>
      <c r="CF96" s="2797">
        <f t="shared" ca="1" si="243"/>
        <v>0</v>
      </c>
      <c r="CG96" s="2797">
        <f t="shared" ca="1" si="243"/>
        <v>0</v>
      </c>
      <c r="CH96" s="2797">
        <f t="shared" ca="1" si="243"/>
        <v>0</v>
      </c>
      <c r="CI96" s="2797">
        <f t="shared" ca="1" si="243"/>
        <v>0</v>
      </c>
      <c r="CJ96" s="2797">
        <f t="shared" ca="1" si="243"/>
        <v>0</v>
      </c>
      <c r="CK96" s="2797">
        <f t="shared" ca="1" si="243"/>
        <v>0</v>
      </c>
      <c r="CL96" s="2797">
        <f t="shared" ca="1" si="243"/>
        <v>0</v>
      </c>
      <c r="CM96" s="2797">
        <f t="shared" ca="1" si="243"/>
        <v>0</v>
      </c>
      <c r="CN96" s="2797">
        <f t="shared" ca="1" si="243"/>
        <v>0</v>
      </c>
      <c r="CO96" s="2797">
        <f t="shared" ca="1" si="243"/>
        <v>0</v>
      </c>
      <c r="CP96" s="2797">
        <f t="shared" ca="1" si="243"/>
        <v>0</v>
      </c>
      <c r="CQ96" s="2797">
        <f t="shared" ca="1" si="243"/>
        <v>0</v>
      </c>
      <c r="CR96" s="2797">
        <f t="shared" ca="1" si="243"/>
        <v>0</v>
      </c>
      <c r="CS96" s="2797">
        <f t="shared" ca="1" si="243"/>
        <v>0</v>
      </c>
      <c r="CT96" s="2797">
        <f t="shared" ca="1" si="243"/>
        <v>0</v>
      </c>
      <c r="CU96" s="2797">
        <f t="shared" ca="1" si="243"/>
        <v>0</v>
      </c>
      <c r="CV96" s="2797">
        <f t="shared" ca="1" si="243"/>
        <v>0</v>
      </c>
      <c r="CW96" s="2797">
        <f t="shared" ca="1" si="243"/>
        <v>0</v>
      </c>
      <c r="CX96" s="2797">
        <f t="shared" ca="1" si="243"/>
        <v>0</v>
      </c>
      <c r="CY96" s="2797">
        <f t="shared" ca="1" si="243"/>
        <v>-10.609111376385965</v>
      </c>
      <c r="CZ96" s="2797">
        <f t="shared" ca="1" si="243"/>
        <v>0</v>
      </c>
      <c r="DA96" s="2797">
        <f t="shared" ca="1" si="243"/>
        <v>0</v>
      </c>
      <c r="DB96" s="2797">
        <f t="shared" ca="1" si="243"/>
        <v>0</v>
      </c>
      <c r="DC96" s="2797">
        <f t="shared" ca="1" si="243"/>
        <v>0</v>
      </c>
      <c r="DD96" s="2797">
        <f t="shared" ca="1" si="243"/>
        <v>0</v>
      </c>
      <c r="DE96" s="2797">
        <f t="shared" ca="1" si="243"/>
        <v>0</v>
      </c>
      <c r="DF96" s="2797">
        <f t="shared" ca="1" si="243"/>
        <v>0</v>
      </c>
      <c r="DH96" s="649">
        <f t="shared" ca="1" si="238"/>
        <v>-10.609111376385965</v>
      </c>
    </row>
    <row r="97" spans="1:112" s="639" customFormat="1" ht="12.75" customHeight="1" outlineLevel="1">
      <c r="C97" s="640" t="s">
        <v>577</v>
      </c>
      <c r="D97" s="641" t="s">
        <v>574</v>
      </c>
      <c r="E97" s="641"/>
      <c r="G97" s="643"/>
      <c r="H97" s="643"/>
      <c r="I97" s="643"/>
      <c r="J97" s="643"/>
      <c r="K97" s="644"/>
      <c r="L97" s="643"/>
      <c r="M97" s="643"/>
      <c r="N97" s="643"/>
      <c r="O97" s="643"/>
      <c r="P97" s="643"/>
      <c r="Q97" s="643"/>
      <c r="S97" s="645"/>
      <c r="T97" s="645"/>
      <c r="U97" s="645">
        <f ca="1">U$95+U$96</f>
        <v>28.014659166197479</v>
      </c>
      <c r="V97" s="645">
        <f ca="1">V$95+V$96</f>
        <v>-60.753350717287326</v>
      </c>
      <c r="W97" s="645">
        <f ca="1">W$95+W$96</f>
        <v>-37.020258730660807</v>
      </c>
      <c r="X97" s="645"/>
      <c r="Y97" s="645"/>
      <c r="Z97" s="645"/>
      <c r="AA97" s="645"/>
      <c r="AB97" s="645"/>
      <c r="AC97" s="645">
        <f t="shared" ref="AC97:AH97" ca="1" si="244">AC$95+AC$96</f>
        <v>0</v>
      </c>
      <c r="AD97" s="645">
        <f t="shared" ca="1" si="244"/>
        <v>0</v>
      </c>
      <c r="AE97" s="645">
        <f t="shared" ca="1" si="244"/>
        <v>0</v>
      </c>
      <c r="AF97" s="645">
        <f t="shared" ca="1" si="244"/>
        <v>0</v>
      </c>
      <c r="AG97" s="645">
        <f t="shared" ca="1" si="244"/>
        <v>0</v>
      </c>
      <c r="AH97" s="645">
        <f t="shared" ca="1" si="24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-0.95788008201124664</v>
      </c>
      <c r="BF97" s="646">
        <f ca="1">SUM(AM97:BE97)</f>
        <v>-0.95788008201124664</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ht="12.75" customHeight="1" outlineLevel="1">
      <c r="A98" s="607"/>
      <c r="B98" s="607"/>
      <c r="C98" s="587" t="s">
        <v>578</v>
      </c>
      <c r="D98" s="611" t="s">
        <v>579</v>
      </c>
      <c r="E98" s="611"/>
      <c r="G98" s="619">
        <f t="shared" ref="G98:P98" ca="1" si="245">IFERROR(INDEX(INDIRECT($C98&amp;".Outputs["&amp;this.Year&amp;"]"), MATCH(G$5, INDIRECT($C98&amp;".Outputs[Vector]"), 0)), 0)</f>
        <v>0</v>
      </c>
      <c r="H98" s="619">
        <f t="shared" ca="1" si="245"/>
        <v>0</v>
      </c>
      <c r="I98" s="619">
        <f t="shared" ca="1" si="245"/>
        <v>0</v>
      </c>
      <c r="J98" s="619">
        <f t="shared" ca="1" si="245"/>
        <v>0</v>
      </c>
      <c r="K98" s="619">
        <f t="shared" ca="1" si="245"/>
        <v>0</v>
      </c>
      <c r="L98" s="619">
        <f t="shared" ca="1" si="245"/>
        <v>0</v>
      </c>
      <c r="M98" s="619">
        <f t="shared" ca="1" si="245"/>
        <v>0</v>
      </c>
      <c r="N98" s="619">
        <f t="shared" ca="1" si="245"/>
        <v>0</v>
      </c>
      <c r="O98" s="619">
        <f t="shared" ca="1" si="245"/>
        <v>0</v>
      </c>
      <c r="P98" s="619">
        <f t="shared" ca="1" si="245"/>
        <v>0</v>
      </c>
      <c r="Q98" s="612">
        <f ca="1">SUM(G98:P98)</f>
        <v>0</v>
      </c>
      <c r="S98" s="620">
        <f t="shared" ref="S98:AJ98" ca="1" si="246">IFERROR(INDEX(INDIRECT($C98&amp;".Outputs["&amp;this.Year&amp;"]"), MATCH(S$5, INDIRECT($C98&amp;".Outputs[Vector]"), 0)), 0)</f>
        <v>0</v>
      </c>
      <c r="T98" s="620">
        <f t="shared" ca="1" si="246"/>
        <v>0</v>
      </c>
      <c r="U98" s="620">
        <f t="shared" ca="1" si="246"/>
        <v>-28.014659166197479</v>
      </c>
      <c r="V98" s="620">
        <f t="shared" ca="1" si="246"/>
        <v>4.6978</v>
      </c>
      <c r="W98" s="620">
        <f t="shared" ca="1" si="246"/>
        <v>0</v>
      </c>
      <c r="X98" s="620">
        <f t="shared" ca="1" si="246"/>
        <v>0</v>
      </c>
      <c r="Y98" s="620">
        <f t="shared" ca="1" si="246"/>
        <v>0</v>
      </c>
      <c r="Z98" s="620">
        <f t="shared" ca="1" si="246"/>
        <v>0</v>
      </c>
      <c r="AA98" s="620">
        <f t="shared" ca="1" si="246"/>
        <v>0</v>
      </c>
      <c r="AB98" s="620">
        <f t="shared" ca="1" si="246"/>
        <v>0</v>
      </c>
      <c r="AC98" s="620">
        <f t="shared" ca="1" si="246"/>
        <v>0</v>
      </c>
      <c r="AD98" s="620">
        <f t="shared" ca="1" si="246"/>
        <v>0</v>
      </c>
      <c r="AE98" s="620">
        <f t="shared" ca="1" si="246"/>
        <v>0</v>
      </c>
      <c r="AF98" s="620">
        <f t="shared" ca="1" si="246"/>
        <v>0</v>
      </c>
      <c r="AG98" s="620">
        <f t="shared" ca="1" si="246"/>
        <v>0</v>
      </c>
      <c r="AH98" s="620">
        <f t="shared" ca="1" si="246"/>
        <v>0</v>
      </c>
      <c r="AI98" s="620">
        <f t="shared" ca="1" si="246"/>
        <v>0</v>
      </c>
      <c r="AJ98" s="620">
        <f t="shared" ca="1" si="246"/>
        <v>0</v>
      </c>
      <c r="AK98" s="613">
        <f ca="1">SUM(S98:AJ98)</f>
        <v>-23.316859166197478</v>
      </c>
      <c r="AM98" s="621">
        <f t="shared" ref="AM98:BE98" ca="1" si="247">IFERROR(INDEX(INDIRECT($C98&amp;".Outputs["&amp;this.Year&amp;"]"), MATCH(AM$5, INDIRECT($C98&amp;".Outputs[Vector]"), 0)), 0)</f>
        <v>0</v>
      </c>
      <c r="AN98" s="621">
        <f t="shared" ca="1" si="247"/>
        <v>0</v>
      </c>
      <c r="AO98" s="621">
        <f t="shared" ca="1" si="247"/>
        <v>0</v>
      </c>
      <c r="AP98" s="621">
        <f t="shared" ca="1" si="247"/>
        <v>23.316859166197478</v>
      </c>
      <c r="AQ98" s="621">
        <f t="shared" ca="1" si="247"/>
        <v>0</v>
      </c>
      <c r="AR98" s="621">
        <f t="shared" ca="1" si="247"/>
        <v>0</v>
      </c>
      <c r="AS98" s="621">
        <f t="shared" ca="1" si="247"/>
        <v>0</v>
      </c>
      <c r="AT98" s="621">
        <f t="shared" ca="1" si="247"/>
        <v>0</v>
      </c>
      <c r="AU98" s="621">
        <f t="shared" ca="1" si="247"/>
        <v>0</v>
      </c>
      <c r="AV98" s="621">
        <f t="shared" ca="1" si="247"/>
        <v>0</v>
      </c>
      <c r="AW98" s="621">
        <f t="shared" ca="1" si="247"/>
        <v>0</v>
      </c>
      <c r="AX98" s="621">
        <f t="shared" ca="1" si="247"/>
        <v>0</v>
      </c>
      <c r="AY98" s="621">
        <f t="shared" ca="1" si="247"/>
        <v>0</v>
      </c>
      <c r="AZ98" s="621">
        <f t="shared" ca="1" si="247"/>
        <v>0</v>
      </c>
      <c r="BA98" s="621">
        <f t="shared" ca="1" si="247"/>
        <v>0</v>
      </c>
      <c r="BB98" s="621">
        <f t="shared" ca="1" si="247"/>
        <v>0</v>
      </c>
      <c r="BC98" s="621">
        <f t="shared" ca="1" si="247"/>
        <v>0</v>
      </c>
      <c r="BD98" s="621">
        <f t="shared" ca="1" si="247"/>
        <v>0</v>
      </c>
      <c r="BE98" s="621">
        <f t="shared" ca="1" si="247"/>
        <v>0</v>
      </c>
      <c r="BF98" s="615">
        <f ca="1">SUM(AM98:BE98)</f>
        <v>23.316859166197478</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48">IFERROR(SUMIFS(INDIRECT($C98&amp;".Emissions["&amp;this.Year&amp;"]"), INDIRECT($C98&amp;".Emissions[GHG]"), BO$6, INDIRECT($C98&amp;".Emissions[IPCC Sector]"), BO$5),0)</f>
        <v>0</v>
      </c>
      <c r="BP98" s="2792">
        <f t="shared" ca="1" si="248"/>
        <v>0</v>
      </c>
      <c r="BQ98" s="2792">
        <f t="shared" ca="1" si="248"/>
        <v>0</v>
      </c>
      <c r="BR98" s="2792">
        <f t="shared" ca="1" si="248"/>
        <v>0</v>
      </c>
      <c r="BS98" s="2792">
        <f t="shared" ca="1" si="248"/>
        <v>0</v>
      </c>
      <c r="BT98" s="2792">
        <f t="shared" ca="1" si="248"/>
        <v>0</v>
      </c>
      <c r="BU98" s="2792">
        <f t="shared" ca="1" si="248"/>
        <v>0</v>
      </c>
      <c r="BV98" s="2792">
        <f t="shared" ca="1" si="248"/>
        <v>0</v>
      </c>
      <c r="BW98" s="2792">
        <f t="shared" ca="1" si="248"/>
        <v>0</v>
      </c>
      <c r="BX98" s="2792">
        <f t="shared" ca="1" si="248"/>
        <v>0</v>
      </c>
      <c r="BY98" s="2792">
        <f t="shared" ca="1" si="248"/>
        <v>0</v>
      </c>
      <c r="BZ98" s="2792">
        <f t="shared" ca="1" si="248"/>
        <v>0</v>
      </c>
      <c r="CA98" s="2792">
        <f t="shared" ca="1" si="248"/>
        <v>0</v>
      </c>
      <c r="CB98" s="2792">
        <f t="shared" ca="1" si="248"/>
        <v>0</v>
      </c>
      <c r="CC98" s="2792">
        <f t="shared" ca="1" si="248"/>
        <v>0</v>
      </c>
      <c r="CD98" s="2792">
        <f t="shared" ca="1" si="248"/>
        <v>0</v>
      </c>
      <c r="CE98" s="2792">
        <f t="shared" ca="1" si="248"/>
        <v>0</v>
      </c>
      <c r="CF98" s="2792">
        <f t="shared" ca="1" si="248"/>
        <v>0</v>
      </c>
      <c r="CG98" s="2792">
        <f t="shared" ca="1" si="248"/>
        <v>0</v>
      </c>
      <c r="CH98" s="2792">
        <f t="shared" ca="1" si="248"/>
        <v>0</v>
      </c>
      <c r="CI98" s="2792">
        <f t="shared" ca="1" si="248"/>
        <v>0</v>
      </c>
      <c r="CJ98" s="2792">
        <f t="shared" ca="1" si="248"/>
        <v>0</v>
      </c>
      <c r="CK98" s="2792">
        <f t="shared" ca="1" si="248"/>
        <v>0</v>
      </c>
      <c r="CL98" s="2792">
        <f t="shared" ca="1" si="248"/>
        <v>0</v>
      </c>
      <c r="CM98" s="2792">
        <f t="shared" ca="1" si="248"/>
        <v>0</v>
      </c>
      <c r="CN98" s="2792">
        <f t="shared" ca="1" si="248"/>
        <v>0</v>
      </c>
      <c r="CO98" s="2792">
        <f t="shared" ca="1" si="248"/>
        <v>0</v>
      </c>
      <c r="CP98" s="2792">
        <f t="shared" ca="1" si="248"/>
        <v>0</v>
      </c>
      <c r="CQ98" s="2792">
        <f t="shared" ca="1" si="248"/>
        <v>0</v>
      </c>
      <c r="CR98" s="2792">
        <f t="shared" ca="1" si="248"/>
        <v>0</v>
      </c>
      <c r="CS98" s="2792">
        <f t="shared" ca="1" si="248"/>
        <v>0</v>
      </c>
      <c r="CT98" s="2792">
        <f t="shared" ca="1" si="248"/>
        <v>0</v>
      </c>
      <c r="CU98" s="2792">
        <f t="shared" ca="1" si="248"/>
        <v>0</v>
      </c>
      <c r="CV98" s="2792">
        <f t="shared" ca="1" si="248"/>
        <v>0</v>
      </c>
      <c r="CW98" s="2792">
        <f t="shared" ca="1" si="248"/>
        <v>0</v>
      </c>
      <c r="CX98" s="2792">
        <f t="shared" ca="1" si="248"/>
        <v>0</v>
      </c>
      <c r="CY98" s="2792">
        <f t="shared" ca="1" si="248"/>
        <v>-1.2396554639999997</v>
      </c>
      <c r="CZ98" s="2792">
        <f t="shared" ca="1" si="248"/>
        <v>0</v>
      </c>
      <c r="DA98" s="2792">
        <f t="shared" ca="1" si="248"/>
        <v>0</v>
      </c>
      <c r="DB98" s="2792">
        <f t="shared" ca="1" si="248"/>
        <v>0</v>
      </c>
      <c r="DC98" s="2792">
        <f t="shared" ca="1" si="248"/>
        <v>0</v>
      </c>
      <c r="DD98" s="2792">
        <f t="shared" ca="1" si="248"/>
        <v>0</v>
      </c>
      <c r="DE98" s="2792">
        <f t="shared" ca="1" si="248"/>
        <v>0</v>
      </c>
      <c r="DF98" s="2792">
        <f t="shared" ca="1" si="248"/>
        <v>0</v>
      </c>
      <c r="DH98" s="596">
        <f ca="1">SUM(BO98:DF98)</f>
        <v>-1.2396554639999997</v>
      </c>
    </row>
    <row r="99" spans="1:112" s="6" customFormat="1" ht="15.75">
      <c r="A99" s="4"/>
      <c r="B99" s="3"/>
      <c r="C99" s="616" t="s">
        <v>580</v>
      </c>
      <c r="D99" s="617" t="s">
        <v>581</v>
      </c>
      <c r="E99" s="206"/>
      <c r="G99" s="618">
        <f ca="1">G$96+G98</f>
        <v>0</v>
      </c>
      <c r="H99" s="618">
        <f t="shared" ref="H99:P99" ca="1" si="249">H$96+H98</f>
        <v>0</v>
      </c>
      <c r="I99" s="618">
        <f t="shared" ca="1" si="249"/>
        <v>0</v>
      </c>
      <c r="J99" s="618">
        <f t="shared" ca="1" si="249"/>
        <v>0</v>
      </c>
      <c r="K99" s="618">
        <f t="shared" ca="1" si="249"/>
        <v>0</v>
      </c>
      <c r="L99" s="618">
        <f t="shared" ca="1" si="249"/>
        <v>0</v>
      </c>
      <c r="M99" s="618">
        <f t="shared" ca="1" si="249"/>
        <v>0</v>
      </c>
      <c r="N99" s="618">
        <f t="shared" ca="1" si="249"/>
        <v>0</v>
      </c>
      <c r="O99" s="618">
        <f t="shared" ca="1" si="249"/>
        <v>0</v>
      </c>
      <c r="P99" s="618">
        <f t="shared" ca="1" si="249"/>
        <v>0</v>
      </c>
      <c r="Q99" s="618">
        <f ca="1">SUM(G99:P99)</f>
        <v>0</v>
      </c>
      <c r="S99" s="581">
        <f t="shared" ref="S99:AJ99" ca="1" si="250">S$96+S98</f>
        <v>0</v>
      </c>
      <c r="T99" s="581">
        <f t="shared" ca="1" si="250"/>
        <v>0</v>
      </c>
      <c r="U99" s="581">
        <f t="shared" ca="1" si="250"/>
        <v>25.062916527922088</v>
      </c>
      <c r="V99" s="581">
        <f t="shared" ca="1" si="250"/>
        <v>4.8895539554269201</v>
      </c>
      <c r="W99" s="581">
        <f t="shared" ca="1" si="250"/>
        <v>10.241779129231292</v>
      </c>
      <c r="X99" s="581">
        <f t="shared" ca="1" si="250"/>
        <v>0</v>
      </c>
      <c r="Y99" s="581">
        <f t="shared" ca="1" si="250"/>
        <v>0</v>
      </c>
      <c r="Z99" s="581">
        <f t="shared" ca="1" si="250"/>
        <v>0</v>
      </c>
      <c r="AA99" s="581">
        <f t="shared" ca="1" si="250"/>
        <v>0</v>
      </c>
      <c r="AB99" s="581">
        <f t="shared" ca="1" si="250"/>
        <v>0</v>
      </c>
      <c r="AC99" s="581">
        <f t="shared" ca="1" si="250"/>
        <v>0</v>
      </c>
      <c r="AD99" s="581">
        <f ca="1">AD$96+AD98</f>
        <v>-40.989276385826031</v>
      </c>
      <c r="AE99" s="581">
        <f ca="1">AE$96+AE98</f>
        <v>-0.60681631464215224</v>
      </c>
      <c r="AF99" s="581">
        <f t="shared" ca="1" si="250"/>
        <v>-14.881855923773518</v>
      </c>
      <c r="AG99" s="581">
        <f t="shared" ca="1" si="250"/>
        <v>-11.85886901389615</v>
      </c>
      <c r="AH99" s="581">
        <f ca="1">AH$96+AH98</f>
        <v>-0.16174046741956455</v>
      </c>
      <c r="AI99" s="581">
        <f t="shared" ca="1" si="250"/>
        <v>0</v>
      </c>
      <c r="AJ99" s="581">
        <f t="shared" ca="1" si="250"/>
        <v>0</v>
      </c>
      <c r="AK99" s="581">
        <f ca="1">SUM(S99:AJ99)</f>
        <v>-28.304308492977118</v>
      </c>
      <c r="AM99" s="582">
        <f t="shared" ref="AM99:BE99" ca="1" si="251">AM$96+AM98</f>
        <v>0</v>
      </c>
      <c r="AN99" s="582">
        <f t="shared" ca="1" si="251"/>
        <v>0</v>
      </c>
      <c r="AO99" s="582">
        <f t="shared" ca="1" si="251"/>
        <v>0</v>
      </c>
      <c r="AP99" s="582">
        <f t="shared" ca="1" si="251"/>
        <v>23.316859166197478</v>
      </c>
      <c r="AQ99" s="582">
        <f t="shared" ca="1" si="251"/>
        <v>0</v>
      </c>
      <c r="AR99" s="582">
        <f t="shared" ca="1" si="251"/>
        <v>0</v>
      </c>
      <c r="AS99" s="582">
        <f t="shared" ca="1" si="251"/>
        <v>0</v>
      </c>
      <c r="AT99" s="582">
        <f t="shared" ca="1" si="251"/>
        <v>0</v>
      </c>
      <c r="AU99" s="582">
        <f t="shared" ca="1" si="251"/>
        <v>0</v>
      </c>
      <c r="AV99" s="582">
        <f t="shared" ca="1" si="251"/>
        <v>0</v>
      </c>
      <c r="AW99" s="582">
        <f t="shared" ca="1" si="251"/>
        <v>0</v>
      </c>
      <c r="AX99" s="582">
        <f t="shared" ca="1" si="251"/>
        <v>0</v>
      </c>
      <c r="AY99" s="582">
        <f t="shared" ca="1" si="251"/>
        <v>0</v>
      </c>
      <c r="AZ99" s="582">
        <f t="shared" ca="1" si="251"/>
        <v>0</v>
      </c>
      <c r="BA99" s="582">
        <f t="shared" ca="1" si="251"/>
        <v>0</v>
      </c>
      <c r="BB99" s="582">
        <f t="shared" ca="1" si="251"/>
        <v>0</v>
      </c>
      <c r="BC99" s="582">
        <f t="shared" ca="1" si="251"/>
        <v>0</v>
      </c>
      <c r="BD99" s="582">
        <f t="shared" ca="1" si="251"/>
        <v>0</v>
      </c>
      <c r="BE99" s="582">
        <f t="shared" ca="1" si="251"/>
        <v>0</v>
      </c>
      <c r="BF99" s="582">
        <f ca="1">SUM(AM99:BE99)</f>
        <v>23.316859166197478</v>
      </c>
      <c r="BH99" s="3463">
        <f ca="1">BH$96+BH98</f>
        <v>4.9874493267796325</v>
      </c>
      <c r="BI99" s="3463">
        <f ca="1">BI$96+BI98</f>
        <v>0</v>
      </c>
      <c r="BJ99" s="3463">
        <f ca="1">SUM(BH99:BI99)</f>
        <v>4.9874493267796325</v>
      </c>
      <c r="BL99" s="3477">
        <f ca="1">Q99+AK99+BF99+BJ99</f>
        <v>-7.1054273576010019E-15</v>
      </c>
      <c r="BM99" s="584"/>
      <c r="BN99" s="413"/>
      <c r="BO99" s="2790">
        <f t="shared" ref="BO99:DF99" ca="1" si="252">BO$96+BO98</f>
        <v>0</v>
      </c>
      <c r="BP99" s="2790">
        <f t="shared" ca="1" si="252"/>
        <v>0</v>
      </c>
      <c r="BQ99" s="2790">
        <f t="shared" ca="1" si="252"/>
        <v>0</v>
      </c>
      <c r="BR99" s="2790">
        <f t="shared" ca="1" si="252"/>
        <v>0</v>
      </c>
      <c r="BS99" s="2790">
        <f t="shared" ca="1" si="252"/>
        <v>0</v>
      </c>
      <c r="BT99" s="2790">
        <f t="shared" ca="1" si="252"/>
        <v>0</v>
      </c>
      <c r="BU99" s="2790">
        <f t="shared" ca="1" si="252"/>
        <v>0</v>
      </c>
      <c r="BV99" s="2790">
        <f t="shared" ca="1" si="252"/>
        <v>0</v>
      </c>
      <c r="BW99" s="2790">
        <f t="shared" ca="1" si="252"/>
        <v>0</v>
      </c>
      <c r="BX99" s="2790">
        <f t="shared" ca="1" si="252"/>
        <v>0</v>
      </c>
      <c r="BY99" s="2790">
        <f t="shared" ca="1" si="252"/>
        <v>0</v>
      </c>
      <c r="BZ99" s="2790">
        <f t="shared" ca="1" si="252"/>
        <v>0</v>
      </c>
      <c r="CA99" s="2790">
        <f t="shared" ca="1" si="252"/>
        <v>0</v>
      </c>
      <c r="CB99" s="2790">
        <f t="shared" ca="1" si="252"/>
        <v>0</v>
      </c>
      <c r="CC99" s="2790">
        <f t="shared" ca="1" si="252"/>
        <v>0</v>
      </c>
      <c r="CD99" s="2790">
        <f t="shared" ca="1" si="252"/>
        <v>0</v>
      </c>
      <c r="CE99" s="2790">
        <f t="shared" ca="1" si="252"/>
        <v>0</v>
      </c>
      <c r="CF99" s="2790">
        <f t="shared" ca="1" si="252"/>
        <v>0</v>
      </c>
      <c r="CG99" s="2790">
        <f t="shared" ca="1" si="252"/>
        <v>0</v>
      </c>
      <c r="CH99" s="2790">
        <f t="shared" ca="1" si="252"/>
        <v>0</v>
      </c>
      <c r="CI99" s="2790">
        <f t="shared" ca="1" si="252"/>
        <v>0</v>
      </c>
      <c r="CJ99" s="2790">
        <f t="shared" ca="1" si="252"/>
        <v>0</v>
      </c>
      <c r="CK99" s="2790">
        <f t="shared" ca="1" si="252"/>
        <v>0</v>
      </c>
      <c r="CL99" s="2790">
        <f t="shared" ca="1" si="252"/>
        <v>0</v>
      </c>
      <c r="CM99" s="2790">
        <f t="shared" ca="1" si="252"/>
        <v>0</v>
      </c>
      <c r="CN99" s="2790">
        <f t="shared" ca="1" si="252"/>
        <v>0</v>
      </c>
      <c r="CO99" s="2790">
        <f t="shared" ca="1" si="252"/>
        <v>0</v>
      </c>
      <c r="CP99" s="2790">
        <f t="shared" ca="1" si="252"/>
        <v>0</v>
      </c>
      <c r="CQ99" s="2790">
        <f t="shared" ca="1" si="252"/>
        <v>0</v>
      </c>
      <c r="CR99" s="2790">
        <f t="shared" ca="1" si="252"/>
        <v>0</v>
      </c>
      <c r="CS99" s="2790">
        <f t="shared" ca="1" si="252"/>
        <v>0</v>
      </c>
      <c r="CT99" s="2790">
        <f t="shared" ca="1" si="252"/>
        <v>0</v>
      </c>
      <c r="CU99" s="2790">
        <f t="shared" ca="1" si="252"/>
        <v>0</v>
      </c>
      <c r="CV99" s="2790">
        <f t="shared" ca="1" si="252"/>
        <v>0</v>
      </c>
      <c r="CW99" s="2790">
        <f t="shared" ca="1" si="252"/>
        <v>0</v>
      </c>
      <c r="CX99" s="2790">
        <f t="shared" ca="1" si="252"/>
        <v>0</v>
      </c>
      <c r="CY99" s="2790">
        <f t="shared" ca="1" si="252"/>
        <v>-11.848766840385965</v>
      </c>
      <c r="CZ99" s="2790">
        <f t="shared" ca="1" si="252"/>
        <v>0</v>
      </c>
      <c r="DA99" s="2790">
        <f t="shared" ca="1" si="252"/>
        <v>0</v>
      </c>
      <c r="DB99" s="2790">
        <f t="shared" ca="1" si="252"/>
        <v>0</v>
      </c>
      <c r="DC99" s="2790">
        <f t="shared" ca="1" si="252"/>
        <v>0</v>
      </c>
      <c r="DD99" s="2790">
        <f t="shared" ca="1" si="252"/>
        <v>0</v>
      </c>
      <c r="DE99" s="2790">
        <f t="shared" ca="1" si="252"/>
        <v>0</v>
      </c>
      <c r="DF99" s="2790">
        <f t="shared" ca="1" si="252"/>
        <v>0</v>
      </c>
      <c r="DH99" s="596">
        <f t="shared" ca="1" si="238"/>
        <v>-11.848766840385965</v>
      </c>
    </row>
    <row r="100" spans="1:112" s="4" customFormat="1" ht="12.75" customHeight="1" outlineLevel="1">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38"/>
        <v>0</v>
      </c>
    </row>
    <row r="101" spans="1:112" s="652" customFormat="1" ht="12.75" customHeight="1" outlineLevel="1">
      <c r="C101" s="667" t="s">
        <v>582</v>
      </c>
      <c r="D101" s="641" t="s">
        <v>574</v>
      </c>
      <c r="E101" s="685"/>
      <c r="G101" s="643"/>
      <c r="H101" s="643"/>
      <c r="I101" s="643"/>
      <c r="J101" s="643"/>
      <c r="K101" s="644"/>
      <c r="L101" s="643"/>
      <c r="M101" s="643"/>
      <c r="N101" s="643"/>
      <c r="O101" s="643"/>
      <c r="P101" s="643"/>
      <c r="Q101" s="704"/>
      <c r="R101" s="639"/>
      <c r="S101" s="645">
        <f ca="1">(S$40+S$84+S$93+S$99)</f>
        <v>-26.711821498340942</v>
      </c>
      <c r="T101" s="645">
        <f ca="1">(T$40+T$84+T$93+T$99)</f>
        <v>61.410612715769759</v>
      </c>
      <c r="U101" s="645">
        <f ca="1">(U$40+U$84+U$93+U$99)</f>
        <v>0</v>
      </c>
      <c r="V101" s="645">
        <f ca="1">(V$40+V$84+V$93+V$99)</f>
        <v>-56.055550717287325</v>
      </c>
      <c r="W101" s="645">
        <f ca="1">(W$40+W$84+W$93+W$99)</f>
        <v>-37.020258730660807</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38"/>
        <v>0</v>
      </c>
    </row>
    <row r="102" spans="1:112" s="607" customFormat="1" ht="12.75" customHeight="1" outlineLevel="1">
      <c r="B102" s="705"/>
      <c r="C102" s="651" t="s">
        <v>583</v>
      </c>
      <c r="D102" s="588" t="s">
        <v>584</v>
      </c>
      <c r="E102" s="588"/>
      <c r="F102" s="6"/>
      <c r="G102" s="659">
        <f t="shared" ref="G102:P102" ca="1" si="253">IFERROR(INDEX(INDIRECT($C102&amp;".Outputs["&amp;this.Year&amp;"]"), MATCH(G$5, INDIRECT($C102&amp;".Outputs[Vector]"), 0)), 0)</f>
        <v>0</v>
      </c>
      <c r="H102" s="659">
        <f t="shared" ca="1" si="253"/>
        <v>0</v>
      </c>
      <c r="I102" s="659">
        <f t="shared" ca="1" si="253"/>
        <v>0</v>
      </c>
      <c r="J102" s="659">
        <f t="shared" ca="1" si="253"/>
        <v>0</v>
      </c>
      <c r="K102" s="706">
        <f t="shared" ca="1" si="253"/>
        <v>0</v>
      </c>
      <c r="L102" s="659">
        <f t="shared" ca="1" si="253"/>
        <v>0</v>
      </c>
      <c r="M102" s="659">
        <f t="shared" ca="1" si="253"/>
        <v>0</v>
      </c>
      <c r="N102" s="659">
        <f t="shared" ca="1" si="253"/>
        <v>0</v>
      </c>
      <c r="O102" s="659">
        <f t="shared" ca="1" si="253"/>
        <v>0</v>
      </c>
      <c r="P102" s="659">
        <f t="shared" ca="1" si="253"/>
        <v>0</v>
      </c>
      <c r="Q102" s="707">
        <f ca="1">SUM(G102:P102)</f>
        <v>0</v>
      </c>
      <c r="R102" s="6"/>
      <c r="S102" s="661">
        <f t="shared" ref="S102:AJ102" ca="1" si="254">IFERROR(INDEX(INDIRECT($C102&amp;".Outputs["&amp;this.Year&amp;"]"), MATCH(S$5, INDIRECT($C102&amp;".Outputs[Vector]"), 0)), 0)</f>
        <v>0</v>
      </c>
      <c r="T102" s="661">
        <f t="shared" ca="1" si="254"/>
        <v>0</v>
      </c>
      <c r="U102" s="661">
        <f t="shared" ca="1" si="254"/>
        <v>0</v>
      </c>
      <c r="V102" s="661">
        <f t="shared" ca="1" si="254"/>
        <v>56.055550717287325</v>
      </c>
      <c r="W102" s="661">
        <f t="shared" ca="1" si="254"/>
        <v>37.020258730660807</v>
      </c>
      <c r="X102" s="661">
        <f t="shared" ca="1" si="254"/>
        <v>0</v>
      </c>
      <c r="Y102" s="661">
        <f t="shared" ca="1" si="254"/>
        <v>-56.055550717287325</v>
      </c>
      <c r="Z102" s="661">
        <f t="shared" ca="1" si="254"/>
        <v>-37.575562611620718</v>
      </c>
      <c r="AA102" s="661">
        <f t="shared" ca="1" si="254"/>
        <v>0</v>
      </c>
      <c r="AB102" s="661">
        <f t="shared" ca="1" si="254"/>
        <v>0</v>
      </c>
      <c r="AC102" s="661">
        <f t="shared" ca="1" si="254"/>
        <v>0</v>
      </c>
      <c r="AD102" s="661">
        <f t="shared" ca="1" si="254"/>
        <v>0</v>
      </c>
      <c r="AE102" s="661">
        <f t="shared" ca="1" si="254"/>
        <v>0</v>
      </c>
      <c r="AF102" s="661">
        <f t="shared" ca="1" si="254"/>
        <v>0</v>
      </c>
      <c r="AG102" s="661">
        <f t="shared" ca="1" si="254"/>
        <v>0</v>
      </c>
      <c r="AH102" s="661">
        <f t="shared" ca="1" si="254"/>
        <v>0</v>
      </c>
      <c r="AI102" s="661">
        <f t="shared" ca="1" si="254"/>
        <v>0</v>
      </c>
      <c r="AJ102" s="661">
        <f t="shared" ca="1" si="254"/>
        <v>0</v>
      </c>
      <c r="AK102" s="661">
        <f ca="1">SUM(S102:AJ102)</f>
        <v>-0.55530388095991157</v>
      </c>
      <c r="AL102" s="6"/>
      <c r="AM102" s="609">
        <f t="shared" ref="AM102:BE102" ca="1" si="255">IFERROR(INDEX(INDIRECT($C102&amp;".Outputs["&amp;this.Year&amp;"]"), MATCH(AM$5, INDIRECT($C102&amp;".Outputs[Vector]"), 0)), 0)</f>
        <v>0</v>
      </c>
      <c r="AN102" s="609">
        <f t="shared" ca="1" si="255"/>
        <v>0</v>
      </c>
      <c r="AO102" s="609">
        <f t="shared" ca="1" si="255"/>
        <v>0</v>
      </c>
      <c r="AP102" s="609">
        <f t="shared" ca="1" si="255"/>
        <v>0</v>
      </c>
      <c r="AQ102" s="609">
        <f t="shared" ca="1" si="255"/>
        <v>0</v>
      </c>
      <c r="AR102" s="609">
        <f t="shared" ca="1" si="255"/>
        <v>0</v>
      </c>
      <c r="AS102" s="609">
        <f t="shared" ca="1" si="255"/>
        <v>0</v>
      </c>
      <c r="AT102" s="609">
        <f t="shared" ca="1" si="255"/>
        <v>0</v>
      </c>
      <c r="AU102" s="609">
        <f t="shared" ca="1" si="255"/>
        <v>0</v>
      </c>
      <c r="AV102" s="609">
        <f t="shared" ca="1" si="255"/>
        <v>0</v>
      </c>
      <c r="AW102" s="609">
        <f t="shared" ca="1" si="255"/>
        <v>0</v>
      </c>
      <c r="AX102" s="609">
        <f t="shared" ca="1" si="255"/>
        <v>0</v>
      </c>
      <c r="AY102" s="609">
        <f t="shared" ca="1" si="255"/>
        <v>0</v>
      </c>
      <c r="AZ102" s="609">
        <f t="shared" ca="1" si="255"/>
        <v>0</v>
      </c>
      <c r="BA102" s="609">
        <f t="shared" ca="1" si="255"/>
        <v>0</v>
      </c>
      <c r="BB102" s="609">
        <f t="shared" ca="1" si="255"/>
        <v>0</v>
      </c>
      <c r="BC102" s="609">
        <f t="shared" ca="1" si="255"/>
        <v>0</v>
      </c>
      <c r="BD102" s="609">
        <f t="shared" ca="1" si="255"/>
        <v>0</v>
      </c>
      <c r="BE102" s="609">
        <f t="shared" ca="1" si="25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0.55530388095991212</v>
      </c>
      <c r="BJ102" s="664">
        <f ca="1">SUM(BH102:BI102)</f>
        <v>0.55530388095991212</v>
      </c>
      <c r="BK102" s="6"/>
      <c r="BL102" s="3477">
        <f t="shared" ref="BL102:BL109" ca="1" si="256">Q102+AK102+BF102+BJ102</f>
        <v>0</v>
      </c>
      <c r="BM102" s="610"/>
      <c r="BO102" s="2789">
        <f t="shared" ref="BO102:BX103" ca="1" si="257">IFERROR(SUMIFS(INDIRECT($C102&amp;".Emissions["&amp;this.Year&amp;"]"), INDIRECT($C102&amp;".Emissions[GHG]"), BO$6, INDIRECT($C102&amp;".Emissions[IPCC Sector]"), BO$5),0)</f>
        <v>0</v>
      </c>
      <c r="BP102" s="2790">
        <f t="shared" ca="1" si="257"/>
        <v>0</v>
      </c>
      <c r="BQ102" s="2790">
        <f t="shared" ca="1" si="257"/>
        <v>0</v>
      </c>
      <c r="BR102" s="2790">
        <f t="shared" ca="1" si="257"/>
        <v>0</v>
      </c>
      <c r="BS102" s="2790">
        <f t="shared" ca="1" si="257"/>
        <v>0</v>
      </c>
      <c r="BT102" s="2790">
        <f t="shared" ca="1" si="257"/>
        <v>1.6145000283810759E-2</v>
      </c>
      <c r="BU102" s="2790">
        <f t="shared" ca="1" si="257"/>
        <v>0</v>
      </c>
      <c r="BV102" s="2790">
        <f t="shared" ca="1" si="257"/>
        <v>0</v>
      </c>
      <c r="BW102" s="2790">
        <f t="shared" ca="1" si="257"/>
        <v>0</v>
      </c>
      <c r="BX102" s="2790">
        <f t="shared" ca="1" si="257"/>
        <v>0</v>
      </c>
      <c r="BY102" s="2790">
        <f t="shared" ref="BY102:CH103" ca="1" si="258">IFERROR(SUMIFS(INDIRECT($C102&amp;".Emissions["&amp;this.Year&amp;"]"), INDIRECT($C102&amp;".Emissions[GHG]"), BY$6, INDIRECT($C102&amp;".Emissions[IPCC Sector]"), BY$5),0)</f>
        <v>0</v>
      </c>
      <c r="BZ102" s="2790">
        <f t="shared" ca="1" si="258"/>
        <v>0</v>
      </c>
      <c r="CA102" s="2790">
        <f t="shared" ca="1" si="258"/>
        <v>0</v>
      </c>
      <c r="CB102" s="2790">
        <f t="shared" ca="1" si="258"/>
        <v>0</v>
      </c>
      <c r="CC102" s="2790">
        <f t="shared" ca="1" si="258"/>
        <v>0</v>
      </c>
      <c r="CD102" s="2790">
        <f t="shared" ca="1" si="258"/>
        <v>0</v>
      </c>
      <c r="CE102" s="2790">
        <f t="shared" ca="1" si="258"/>
        <v>0</v>
      </c>
      <c r="CF102" s="2790">
        <f t="shared" ca="1" si="258"/>
        <v>0</v>
      </c>
      <c r="CG102" s="2790">
        <f t="shared" ca="1" si="258"/>
        <v>0</v>
      </c>
      <c r="CH102" s="2790">
        <f t="shared" ca="1" si="258"/>
        <v>0</v>
      </c>
      <c r="CI102" s="2790">
        <f t="shared" ref="CI102:CR103" ca="1" si="259">IFERROR(SUMIFS(INDIRECT($C102&amp;".Emissions["&amp;this.Year&amp;"]"), INDIRECT($C102&amp;".Emissions[GHG]"), CI$6, INDIRECT($C102&amp;".Emissions[IPCC Sector]"), CI$5),0)</f>
        <v>0</v>
      </c>
      <c r="CJ102" s="2790">
        <f t="shared" ca="1" si="259"/>
        <v>0</v>
      </c>
      <c r="CK102" s="2790">
        <f t="shared" ca="1" si="259"/>
        <v>0</v>
      </c>
      <c r="CL102" s="2790">
        <f t="shared" ca="1" si="259"/>
        <v>0</v>
      </c>
      <c r="CM102" s="2790">
        <f t="shared" ca="1" si="259"/>
        <v>0</v>
      </c>
      <c r="CN102" s="2790">
        <f t="shared" ca="1" si="259"/>
        <v>0</v>
      </c>
      <c r="CO102" s="2790">
        <f t="shared" ca="1" si="259"/>
        <v>0</v>
      </c>
      <c r="CP102" s="2790">
        <f t="shared" ca="1" si="259"/>
        <v>0</v>
      </c>
      <c r="CQ102" s="2790">
        <f t="shared" ca="1" si="259"/>
        <v>0</v>
      </c>
      <c r="CR102" s="2790">
        <f t="shared" ca="1" si="259"/>
        <v>0</v>
      </c>
      <c r="CS102" s="2790">
        <f t="shared" ref="CS102:DF103" ca="1" si="260">IFERROR(SUMIFS(INDIRECT($C102&amp;".Emissions["&amp;this.Year&amp;"]"), INDIRECT($C102&amp;".Emissions[GHG]"), CS$6, INDIRECT($C102&amp;".Emissions[IPCC Sector]"), CS$5),0)</f>
        <v>0</v>
      </c>
      <c r="CT102" s="2790">
        <f t="shared" ca="1" si="260"/>
        <v>0</v>
      </c>
      <c r="CU102" s="2790">
        <f t="shared" ca="1" si="260"/>
        <v>0</v>
      </c>
      <c r="CV102" s="2790">
        <f t="shared" ca="1" si="260"/>
        <v>0</v>
      </c>
      <c r="CW102" s="2790">
        <f t="shared" ca="1" si="260"/>
        <v>0</v>
      </c>
      <c r="CX102" s="2790">
        <f t="shared" ca="1" si="260"/>
        <v>0</v>
      </c>
      <c r="CY102" s="2790">
        <f t="shared" ca="1" si="260"/>
        <v>0</v>
      </c>
      <c r="CZ102" s="2790">
        <f t="shared" ca="1" si="260"/>
        <v>0</v>
      </c>
      <c r="DA102" s="2790">
        <f t="shared" ca="1" si="260"/>
        <v>0</v>
      </c>
      <c r="DB102" s="2790">
        <f t="shared" ca="1" si="260"/>
        <v>0</v>
      </c>
      <c r="DC102" s="2790">
        <f t="shared" ca="1" si="260"/>
        <v>0</v>
      </c>
      <c r="DD102" s="2790">
        <f t="shared" ca="1" si="260"/>
        <v>0</v>
      </c>
      <c r="DE102" s="2790">
        <f t="shared" ca="1" si="260"/>
        <v>0</v>
      </c>
      <c r="DF102" s="2790">
        <f t="shared" ca="1" si="260"/>
        <v>0</v>
      </c>
      <c r="DH102" s="596">
        <f t="shared" ca="1" si="238"/>
        <v>1.6145000283810759E-2</v>
      </c>
    </row>
    <row r="103" spans="1:112" s="607" customFormat="1" ht="12.75" customHeight="1" outlineLevel="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-34.69879121742882</v>
      </c>
      <c r="U103" s="711"/>
      <c r="V103" s="711"/>
      <c r="W103" s="711"/>
      <c r="X103" s="711">
        <f ca="1">-(X$40+X$84+X$93+X$99+X$102)</f>
        <v>-0.22533488167895965</v>
      </c>
      <c r="Y103" s="711">
        <f ca="1">-(Y$40+Y$84+Y$93+Y$99+Y$102)</f>
        <v>56.055550717287325</v>
      </c>
      <c r="Z103" s="711">
        <f ca="1">-(Z$40+Z$84+Z$93+Z$99+Z$102)</f>
        <v>37.575562611620718</v>
      </c>
      <c r="AA103" s="711"/>
      <c r="AB103" s="711"/>
      <c r="AC103" s="711"/>
      <c r="AD103" s="711"/>
      <c r="AE103" s="711"/>
      <c r="AF103" s="711"/>
      <c r="AG103" s="711"/>
      <c r="AH103" s="711"/>
      <c r="AI103" s="711"/>
      <c r="AJ103" s="711"/>
      <c r="AK103" s="711">
        <f ca="1">SUM(S103:AJ103)</f>
        <v>58.706987229800262</v>
      </c>
      <c r="AL103" s="6"/>
      <c r="AM103" s="615"/>
      <c r="AN103" s="615"/>
      <c r="AO103" s="615"/>
      <c r="AP103" s="615"/>
      <c r="AQ103" s="615">
        <f ca="1">-T103</f>
        <v>34.69879121742882</v>
      </c>
      <c r="AR103" s="615">
        <f>-V103</f>
        <v>0</v>
      </c>
      <c r="AS103" s="615">
        <f ca="1">-X103</f>
        <v>0.22533488167895965</v>
      </c>
      <c r="AT103" s="615">
        <f ca="1">-Y103</f>
        <v>-56.055550717287325</v>
      </c>
      <c r="AU103" s="615">
        <f ca="1">-Z103</f>
        <v>-37.575562611620718</v>
      </c>
      <c r="AV103" s="615"/>
      <c r="AW103" s="615"/>
      <c r="AX103" s="615"/>
      <c r="AY103" s="615"/>
      <c r="AZ103" s="615"/>
      <c r="BA103" s="615"/>
      <c r="BB103" s="615"/>
      <c r="BC103" s="615"/>
      <c r="BD103" s="615"/>
      <c r="BE103" s="615"/>
      <c r="BF103" s="615">
        <f ca="1">SUM(AM103:BE103)</f>
        <v>-58.706987229800262</v>
      </c>
      <c r="BG103" s="6"/>
      <c r="BH103" s="712"/>
      <c r="BI103" s="712"/>
      <c r="BJ103" s="712">
        <f>SUM(BH103:BI103)</f>
        <v>0</v>
      </c>
      <c r="BK103" s="6"/>
      <c r="BL103" s="3477">
        <f t="shared" ca="1" si="256"/>
        <v>0</v>
      </c>
      <c r="BM103" s="610"/>
      <c r="BO103" s="2791">
        <f t="shared" ca="1" si="257"/>
        <v>0</v>
      </c>
      <c r="BP103" s="2792">
        <f t="shared" ca="1" si="257"/>
        <v>0</v>
      </c>
      <c r="BQ103" s="2792">
        <f t="shared" ca="1" si="257"/>
        <v>0</v>
      </c>
      <c r="BR103" s="2792">
        <f t="shared" ca="1" si="257"/>
        <v>0</v>
      </c>
      <c r="BS103" s="2792">
        <f t="shared" ca="1" si="257"/>
        <v>0</v>
      </c>
      <c r="BT103" s="2792">
        <f t="shared" ca="1" si="257"/>
        <v>0</v>
      </c>
      <c r="BU103" s="2792">
        <f t="shared" ca="1" si="257"/>
        <v>0</v>
      </c>
      <c r="BV103" s="2792">
        <f t="shared" ca="1" si="257"/>
        <v>0</v>
      </c>
      <c r="BW103" s="2792">
        <f t="shared" ca="1" si="257"/>
        <v>0</v>
      </c>
      <c r="BX103" s="2792">
        <f t="shared" ca="1" si="257"/>
        <v>0</v>
      </c>
      <c r="BY103" s="2792">
        <f t="shared" ca="1" si="258"/>
        <v>0</v>
      </c>
      <c r="BZ103" s="2792">
        <f t="shared" ca="1" si="258"/>
        <v>0</v>
      </c>
      <c r="CA103" s="2792">
        <f t="shared" ca="1" si="258"/>
        <v>0</v>
      </c>
      <c r="CB103" s="2792">
        <f t="shared" ca="1" si="258"/>
        <v>0</v>
      </c>
      <c r="CC103" s="2792">
        <f t="shared" ca="1" si="258"/>
        <v>0</v>
      </c>
      <c r="CD103" s="2792">
        <f t="shared" ca="1" si="258"/>
        <v>0</v>
      </c>
      <c r="CE103" s="2792">
        <f t="shared" ca="1" si="258"/>
        <v>0</v>
      </c>
      <c r="CF103" s="2792">
        <f t="shared" ca="1" si="258"/>
        <v>0</v>
      </c>
      <c r="CG103" s="2792">
        <f t="shared" ca="1" si="258"/>
        <v>0</v>
      </c>
      <c r="CH103" s="2792">
        <f t="shared" ca="1" si="258"/>
        <v>0</v>
      </c>
      <c r="CI103" s="2792">
        <f t="shared" ca="1" si="259"/>
        <v>0</v>
      </c>
      <c r="CJ103" s="2792">
        <f t="shared" ca="1" si="259"/>
        <v>0</v>
      </c>
      <c r="CK103" s="2792">
        <f t="shared" ca="1" si="259"/>
        <v>0</v>
      </c>
      <c r="CL103" s="2792">
        <f t="shared" ca="1" si="259"/>
        <v>0</v>
      </c>
      <c r="CM103" s="2792">
        <f t="shared" ca="1" si="259"/>
        <v>0</v>
      </c>
      <c r="CN103" s="2792">
        <f t="shared" ca="1" si="259"/>
        <v>0</v>
      </c>
      <c r="CO103" s="2792">
        <f t="shared" ca="1" si="259"/>
        <v>0</v>
      </c>
      <c r="CP103" s="2792">
        <f t="shared" ca="1" si="259"/>
        <v>0</v>
      </c>
      <c r="CQ103" s="2792">
        <f t="shared" ca="1" si="259"/>
        <v>0</v>
      </c>
      <c r="CR103" s="2792">
        <f t="shared" ca="1" si="259"/>
        <v>0</v>
      </c>
      <c r="CS103" s="2792">
        <f t="shared" ca="1" si="260"/>
        <v>0</v>
      </c>
      <c r="CT103" s="2792">
        <f t="shared" ca="1" si="260"/>
        <v>0</v>
      </c>
      <c r="CU103" s="2792">
        <f t="shared" ca="1" si="260"/>
        <v>0</v>
      </c>
      <c r="CV103" s="2792">
        <f t="shared" ca="1" si="260"/>
        <v>0</v>
      </c>
      <c r="CW103" s="2792">
        <f t="shared" ca="1" si="260"/>
        <v>0</v>
      </c>
      <c r="CX103" s="2792">
        <f t="shared" ca="1" si="260"/>
        <v>0</v>
      </c>
      <c r="CY103" s="2792">
        <f t="shared" ca="1" si="260"/>
        <v>0</v>
      </c>
      <c r="CZ103" s="2792">
        <f t="shared" ca="1" si="260"/>
        <v>0</v>
      </c>
      <c r="DA103" s="2792">
        <f t="shared" ca="1" si="260"/>
        <v>0</v>
      </c>
      <c r="DB103" s="2792">
        <f t="shared" ca="1" si="260"/>
        <v>0</v>
      </c>
      <c r="DC103" s="2792">
        <f t="shared" ca="1" si="260"/>
        <v>0</v>
      </c>
      <c r="DD103" s="2792">
        <f t="shared" ca="1" si="260"/>
        <v>0</v>
      </c>
      <c r="DE103" s="2792">
        <f t="shared" ca="1" si="260"/>
        <v>0</v>
      </c>
      <c r="DF103" s="2792">
        <f t="shared" ca="1" si="260"/>
        <v>0</v>
      </c>
      <c r="DH103" s="596">
        <f t="shared" ca="1" si="238"/>
        <v>0</v>
      </c>
    </row>
    <row r="104" spans="1:112" s="6" customFormat="1" ht="15.75">
      <c r="B104" s="3" t="s">
        <v>585</v>
      </c>
      <c r="C104" s="629" t="s">
        <v>588</v>
      </c>
      <c r="D104" s="617" t="s">
        <v>589</v>
      </c>
      <c r="E104" s="519"/>
      <c r="G104" s="618">
        <f t="shared" ref="G104:P104" ca="1" si="261">SUM(G102:G103)</f>
        <v>0</v>
      </c>
      <c r="H104" s="618">
        <f t="shared" ca="1" si="261"/>
        <v>0</v>
      </c>
      <c r="I104" s="618">
        <f t="shared" ca="1" si="261"/>
        <v>0</v>
      </c>
      <c r="J104" s="618">
        <f t="shared" ca="1" si="261"/>
        <v>0</v>
      </c>
      <c r="K104" s="618">
        <f t="shared" ca="1" si="261"/>
        <v>0</v>
      </c>
      <c r="L104" s="618">
        <f t="shared" ca="1" si="261"/>
        <v>0</v>
      </c>
      <c r="M104" s="618">
        <f t="shared" ca="1" si="261"/>
        <v>0</v>
      </c>
      <c r="N104" s="618">
        <f t="shared" ca="1" si="261"/>
        <v>0</v>
      </c>
      <c r="O104" s="618">
        <f t="shared" ca="1" si="261"/>
        <v>0</v>
      </c>
      <c r="P104" s="618">
        <f t="shared" ca="1" si="261"/>
        <v>0</v>
      </c>
      <c r="Q104" s="618">
        <f ca="1">SUM(G104:P104)</f>
        <v>0</v>
      </c>
      <c r="S104" s="581">
        <f t="shared" ref="S104:AJ104" ca="1" si="262">SUM(S102:S103)</f>
        <v>0</v>
      </c>
      <c r="T104" s="581">
        <f t="shared" ca="1" si="262"/>
        <v>-34.69879121742882</v>
      </c>
      <c r="U104" s="581">
        <f t="shared" ca="1" si="262"/>
        <v>0</v>
      </c>
      <c r="V104" s="581">
        <f t="shared" ca="1" si="262"/>
        <v>56.055550717287325</v>
      </c>
      <c r="W104" s="581">
        <f t="shared" ca="1" si="262"/>
        <v>37.020258730660807</v>
      </c>
      <c r="X104" s="581">
        <f t="shared" ca="1" si="262"/>
        <v>-0.22533488167895965</v>
      </c>
      <c r="Y104" s="581">
        <f t="shared" ca="1" si="262"/>
        <v>0</v>
      </c>
      <c r="Z104" s="581">
        <f t="shared" ca="1" si="262"/>
        <v>0</v>
      </c>
      <c r="AA104" s="581">
        <f t="shared" ca="1" si="262"/>
        <v>0</v>
      </c>
      <c r="AB104" s="581">
        <f t="shared" ca="1" si="262"/>
        <v>0</v>
      </c>
      <c r="AC104" s="581">
        <f t="shared" ca="1" si="262"/>
        <v>0</v>
      </c>
      <c r="AD104" s="581">
        <f t="shared" ca="1" si="262"/>
        <v>0</v>
      </c>
      <c r="AE104" s="581">
        <f ca="1">SUM(AE102:AE103)</f>
        <v>0</v>
      </c>
      <c r="AF104" s="581">
        <f t="shared" ca="1" si="262"/>
        <v>0</v>
      </c>
      <c r="AG104" s="581">
        <f t="shared" ca="1" si="262"/>
        <v>0</v>
      </c>
      <c r="AH104" s="581">
        <f ca="1">SUM(AH102:AH103)</f>
        <v>0</v>
      </c>
      <c r="AI104" s="581">
        <f t="shared" ca="1" si="262"/>
        <v>0</v>
      </c>
      <c r="AJ104" s="581">
        <f t="shared" ca="1" si="262"/>
        <v>0</v>
      </c>
      <c r="AK104" s="581">
        <f ca="1">SUM(S104:AJ104)</f>
        <v>58.151683348840351</v>
      </c>
      <c r="AM104" s="582">
        <f t="shared" ref="AM104:BE104" ca="1" si="263">SUM(AM102:AM103)</f>
        <v>0</v>
      </c>
      <c r="AN104" s="582">
        <f t="shared" ca="1" si="263"/>
        <v>0</v>
      </c>
      <c r="AO104" s="582">
        <f t="shared" ca="1" si="263"/>
        <v>0</v>
      </c>
      <c r="AP104" s="582">
        <f t="shared" ca="1" si="263"/>
        <v>0</v>
      </c>
      <c r="AQ104" s="582">
        <f t="shared" ca="1" si="263"/>
        <v>34.69879121742882</v>
      </c>
      <c r="AR104" s="582">
        <f t="shared" ca="1" si="263"/>
        <v>0</v>
      </c>
      <c r="AS104" s="582">
        <f t="shared" ca="1" si="263"/>
        <v>0.22533488167895965</v>
      </c>
      <c r="AT104" s="582">
        <f t="shared" ca="1" si="263"/>
        <v>-56.055550717287325</v>
      </c>
      <c r="AU104" s="582">
        <f t="shared" ca="1" si="263"/>
        <v>-37.575562611620718</v>
      </c>
      <c r="AV104" s="582">
        <f t="shared" ca="1" si="263"/>
        <v>0</v>
      </c>
      <c r="AW104" s="582">
        <f t="shared" ca="1" si="263"/>
        <v>0</v>
      </c>
      <c r="AX104" s="582">
        <f t="shared" ca="1" si="263"/>
        <v>0</v>
      </c>
      <c r="AY104" s="582">
        <f t="shared" ca="1" si="263"/>
        <v>0</v>
      </c>
      <c r="AZ104" s="582">
        <f t="shared" ca="1" si="263"/>
        <v>0</v>
      </c>
      <c r="BA104" s="582">
        <f t="shared" ca="1" si="263"/>
        <v>0</v>
      </c>
      <c r="BB104" s="582">
        <f t="shared" ca="1" si="263"/>
        <v>0</v>
      </c>
      <c r="BC104" s="582">
        <f t="shared" ca="1" si="263"/>
        <v>0</v>
      </c>
      <c r="BD104" s="582">
        <f t="shared" ca="1" si="263"/>
        <v>0</v>
      </c>
      <c r="BE104" s="582">
        <f t="shared" ca="1" si="263"/>
        <v>0</v>
      </c>
      <c r="BF104" s="582">
        <f ca="1">SUM(AM104:BE104)</f>
        <v>-58.706987229800262</v>
      </c>
      <c r="BH104" s="3463">
        <f ca="1">SUM(BH102:BH103)</f>
        <v>0</v>
      </c>
      <c r="BI104" s="3463">
        <f ca="1">SUM(BI102:BI103)</f>
        <v>0.55530388095991212</v>
      </c>
      <c r="BJ104" s="3463">
        <f ca="1">SUM(BH104:BI104)</f>
        <v>0.55530388095991212</v>
      </c>
      <c r="BL104" s="3477">
        <f t="shared" ca="1" si="256"/>
        <v>0</v>
      </c>
      <c r="BM104" s="584"/>
      <c r="BN104" s="413"/>
      <c r="BO104" s="2790">
        <f t="shared" ref="BO104:DF104" ca="1" si="264">SUM(BO102:BO103)</f>
        <v>0</v>
      </c>
      <c r="BP104" s="2790">
        <f t="shared" ca="1" si="264"/>
        <v>0</v>
      </c>
      <c r="BQ104" s="2790">
        <f t="shared" ca="1" si="264"/>
        <v>0</v>
      </c>
      <c r="BR104" s="2790">
        <f t="shared" ca="1" si="264"/>
        <v>0</v>
      </c>
      <c r="BS104" s="2790">
        <f t="shared" ca="1" si="264"/>
        <v>0</v>
      </c>
      <c r="BT104" s="2790">
        <f t="shared" ca="1" si="264"/>
        <v>1.6145000283810759E-2</v>
      </c>
      <c r="BU104" s="2790">
        <f t="shared" ca="1" si="264"/>
        <v>0</v>
      </c>
      <c r="BV104" s="2790">
        <f t="shared" ca="1" si="264"/>
        <v>0</v>
      </c>
      <c r="BW104" s="2790">
        <f t="shared" ca="1" si="264"/>
        <v>0</v>
      </c>
      <c r="BX104" s="2790">
        <f t="shared" ca="1" si="264"/>
        <v>0</v>
      </c>
      <c r="BY104" s="2790">
        <f t="shared" ca="1" si="264"/>
        <v>0</v>
      </c>
      <c r="BZ104" s="2790">
        <f t="shared" ca="1" si="264"/>
        <v>0</v>
      </c>
      <c r="CA104" s="2790">
        <f t="shared" ca="1" si="264"/>
        <v>0</v>
      </c>
      <c r="CB104" s="2790">
        <f t="shared" ca="1" si="264"/>
        <v>0</v>
      </c>
      <c r="CC104" s="2790">
        <f t="shared" ca="1" si="264"/>
        <v>0</v>
      </c>
      <c r="CD104" s="2790">
        <f t="shared" ca="1" si="264"/>
        <v>0</v>
      </c>
      <c r="CE104" s="2790">
        <f t="shared" ca="1" si="264"/>
        <v>0</v>
      </c>
      <c r="CF104" s="2790">
        <f t="shared" ca="1" si="264"/>
        <v>0</v>
      </c>
      <c r="CG104" s="2790">
        <f t="shared" ca="1" si="264"/>
        <v>0</v>
      </c>
      <c r="CH104" s="2790">
        <f t="shared" ca="1" si="264"/>
        <v>0</v>
      </c>
      <c r="CI104" s="2790">
        <f t="shared" ca="1" si="264"/>
        <v>0</v>
      </c>
      <c r="CJ104" s="2790">
        <f t="shared" ca="1" si="264"/>
        <v>0</v>
      </c>
      <c r="CK104" s="2790">
        <f t="shared" ca="1" si="264"/>
        <v>0</v>
      </c>
      <c r="CL104" s="2790">
        <f t="shared" ca="1" si="264"/>
        <v>0</v>
      </c>
      <c r="CM104" s="2790">
        <f t="shared" ca="1" si="264"/>
        <v>0</v>
      </c>
      <c r="CN104" s="2790">
        <f t="shared" ca="1" si="264"/>
        <v>0</v>
      </c>
      <c r="CO104" s="2790">
        <f t="shared" ca="1" si="264"/>
        <v>0</v>
      </c>
      <c r="CP104" s="2790">
        <f t="shared" ca="1" si="264"/>
        <v>0</v>
      </c>
      <c r="CQ104" s="2790">
        <f t="shared" ca="1" si="264"/>
        <v>0</v>
      </c>
      <c r="CR104" s="2790">
        <f t="shared" ca="1" si="264"/>
        <v>0</v>
      </c>
      <c r="CS104" s="2790">
        <f t="shared" ca="1" si="264"/>
        <v>0</v>
      </c>
      <c r="CT104" s="2790">
        <f t="shared" ca="1" si="264"/>
        <v>0</v>
      </c>
      <c r="CU104" s="2790">
        <f t="shared" ca="1" si="264"/>
        <v>0</v>
      </c>
      <c r="CV104" s="2790">
        <f t="shared" ca="1" si="264"/>
        <v>0</v>
      </c>
      <c r="CW104" s="2790">
        <f t="shared" ca="1" si="264"/>
        <v>0</v>
      </c>
      <c r="CX104" s="2790">
        <f t="shared" ca="1" si="264"/>
        <v>0</v>
      </c>
      <c r="CY104" s="2790">
        <f t="shared" ca="1" si="264"/>
        <v>0</v>
      </c>
      <c r="CZ104" s="2790">
        <f t="shared" ca="1" si="264"/>
        <v>0</v>
      </c>
      <c r="DA104" s="2790">
        <f t="shared" ca="1" si="264"/>
        <v>0</v>
      </c>
      <c r="DB104" s="2790">
        <f t="shared" ca="1" si="264"/>
        <v>0</v>
      </c>
      <c r="DC104" s="2790">
        <f t="shared" ca="1" si="264"/>
        <v>0</v>
      </c>
      <c r="DD104" s="2790">
        <f t="shared" ca="1" si="264"/>
        <v>0</v>
      </c>
      <c r="DE104" s="2790">
        <f t="shared" ca="1" si="264"/>
        <v>0</v>
      </c>
      <c r="DF104" s="2790">
        <f t="shared" ca="1" si="264"/>
        <v>0</v>
      </c>
      <c r="DH104" s="596">
        <f t="shared" ca="1" si="238"/>
        <v>1.6145000283810759E-2</v>
      </c>
    </row>
    <row r="105" spans="1:112" s="6" customFormat="1" ht="6" customHeigh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5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65">G$93+G$99+G$104</f>
        <v>0</v>
      </c>
      <c r="H106" s="680">
        <f t="shared" ca="1" si="265"/>
        <v>0</v>
      </c>
      <c r="I106" s="680">
        <f t="shared" ca="1" si="265"/>
        <v>0</v>
      </c>
      <c r="J106" s="680">
        <f t="shared" ca="1" si="265"/>
        <v>0</v>
      </c>
      <c r="K106" s="681">
        <f t="shared" ca="1" si="265"/>
        <v>0</v>
      </c>
      <c r="L106" s="680">
        <f t="shared" ca="1" si="265"/>
        <v>0</v>
      </c>
      <c r="M106" s="680">
        <f t="shared" ca="1" si="265"/>
        <v>0</v>
      </c>
      <c r="N106" s="680">
        <f t="shared" ca="1" si="265"/>
        <v>0</v>
      </c>
      <c r="O106" s="680">
        <f t="shared" ca="1" si="265"/>
        <v>0</v>
      </c>
      <c r="P106" s="680">
        <f t="shared" ca="1" si="265"/>
        <v>0</v>
      </c>
      <c r="Q106" s="633">
        <f ca="1">SUM(G106:P106)</f>
        <v>0</v>
      </c>
      <c r="S106" s="634">
        <f t="shared" ref="S106:AJ106" ca="1" si="266">S$93+S$99+S$104</f>
        <v>0</v>
      </c>
      <c r="T106" s="634">
        <f t="shared" ca="1" si="266"/>
        <v>-33.895790483127008</v>
      </c>
      <c r="U106" s="634">
        <f t="shared" ca="1" si="266"/>
        <v>25.062916527922088</v>
      </c>
      <c r="V106" s="634">
        <f t="shared" ca="1" si="266"/>
        <v>60.945104672714244</v>
      </c>
      <c r="W106" s="634">
        <f t="shared" ca="1" si="266"/>
        <v>47.262037859892096</v>
      </c>
      <c r="X106" s="634">
        <f t="shared" ca="1" si="266"/>
        <v>-0.22533488167895965</v>
      </c>
      <c r="Y106" s="634">
        <f t="shared" ca="1" si="266"/>
        <v>0</v>
      </c>
      <c r="Z106" s="634">
        <f t="shared" ca="1" si="266"/>
        <v>0</v>
      </c>
      <c r="AA106" s="634">
        <f t="shared" ca="1" si="266"/>
        <v>0</v>
      </c>
      <c r="AB106" s="634">
        <f t="shared" ca="1" si="266"/>
        <v>0</v>
      </c>
      <c r="AC106" s="634">
        <f t="shared" ca="1" si="266"/>
        <v>0</v>
      </c>
      <c r="AD106" s="634">
        <f t="shared" ca="1" si="266"/>
        <v>-40.989276385826031</v>
      </c>
      <c r="AE106" s="634">
        <f t="shared" ca="1" si="266"/>
        <v>-0.60681631464215224</v>
      </c>
      <c r="AF106" s="634">
        <f t="shared" ca="1" si="266"/>
        <v>-14.881855923773518</v>
      </c>
      <c r="AG106" s="634">
        <f t="shared" ca="1" si="266"/>
        <v>-11.85886901389615</v>
      </c>
      <c r="AH106" s="634">
        <f t="shared" ca="1" si="266"/>
        <v>-0.16174046741956455</v>
      </c>
      <c r="AI106" s="634">
        <f t="shared" ca="1" si="266"/>
        <v>0</v>
      </c>
      <c r="AJ106" s="634">
        <f t="shared" ca="1" si="266"/>
        <v>0</v>
      </c>
      <c r="AK106" s="634">
        <f ca="1">SUM(S106:AJ106)</f>
        <v>30.650375590165027</v>
      </c>
      <c r="AM106" s="635">
        <f t="shared" ref="AM106:BE106" ca="1" si="267">AM$93+AM$99+AM$104</f>
        <v>0</v>
      </c>
      <c r="AN106" s="635">
        <f t="shared" ca="1" si="267"/>
        <v>0</v>
      </c>
      <c r="AO106" s="635">
        <f t="shared" ca="1" si="267"/>
        <v>0</v>
      </c>
      <c r="AP106" s="635">
        <f t="shared" ca="1" si="267"/>
        <v>23.316859166197478</v>
      </c>
      <c r="AQ106" s="635">
        <f t="shared" ca="1" si="267"/>
        <v>30.098791217428818</v>
      </c>
      <c r="AR106" s="635">
        <f t="shared" ca="1" si="267"/>
        <v>0</v>
      </c>
      <c r="AS106" s="635">
        <f t="shared" ca="1" si="267"/>
        <v>0.22533488167895965</v>
      </c>
      <c r="AT106" s="635">
        <f t="shared" ca="1" si="267"/>
        <v>-56.055550717287325</v>
      </c>
      <c r="AU106" s="635">
        <f t="shared" ca="1" si="267"/>
        <v>-37.575562611620718</v>
      </c>
      <c r="AV106" s="635">
        <f t="shared" ca="1" si="267"/>
        <v>0</v>
      </c>
      <c r="AW106" s="635">
        <f t="shared" ca="1" si="267"/>
        <v>0</v>
      </c>
      <c r="AX106" s="635">
        <f t="shared" ca="1" si="267"/>
        <v>0</v>
      </c>
      <c r="AY106" s="635">
        <f t="shared" ca="1" si="267"/>
        <v>0</v>
      </c>
      <c r="AZ106" s="635">
        <f t="shared" ca="1" si="267"/>
        <v>0</v>
      </c>
      <c r="BA106" s="635">
        <f t="shared" ca="1" si="267"/>
        <v>0</v>
      </c>
      <c r="BB106" s="635">
        <f t="shared" ca="1" si="267"/>
        <v>0</v>
      </c>
      <c r="BC106" s="635">
        <f t="shared" ca="1" si="267"/>
        <v>0</v>
      </c>
      <c r="BD106" s="635">
        <f t="shared" ca="1" si="267"/>
        <v>0</v>
      </c>
      <c r="BE106" s="635">
        <f t="shared" ca="1" si="267"/>
        <v>0</v>
      </c>
      <c r="BF106" s="635">
        <f ca="1">SUM(AM106:BE106)</f>
        <v>-39.990128063602782</v>
      </c>
      <c r="BH106" s="3464">
        <f ca="1">BH$93+BH$99+BH$104</f>
        <v>4.9874493267796325</v>
      </c>
      <c r="BI106" s="3464">
        <f ca="1">BI$93+BI$99+BI$104</f>
        <v>4.3523031466581008</v>
      </c>
      <c r="BJ106" s="3464">
        <f ca="1">SUM(BH106:BI106)</f>
        <v>9.3397524734377342</v>
      </c>
      <c r="BL106" s="3478">
        <f t="shared" ca="1" si="256"/>
        <v>-2.1316282072803006E-14</v>
      </c>
      <c r="BM106" s="636"/>
      <c r="BO106" s="2793">
        <f t="shared" ref="BO106:DE106" ca="1" si="268">BO$93+BO$99+BO$104</f>
        <v>0</v>
      </c>
      <c r="BP106" s="2793">
        <f t="shared" ca="1" si="268"/>
        <v>0</v>
      </c>
      <c r="BQ106" s="2793">
        <f t="shared" ca="1" si="268"/>
        <v>0</v>
      </c>
      <c r="BR106" s="2793">
        <f t="shared" ca="1" si="268"/>
        <v>0</v>
      </c>
      <c r="BS106" s="2793">
        <f t="shared" ca="1" si="268"/>
        <v>0</v>
      </c>
      <c r="BT106" s="2793">
        <f t="shared" ca="1" si="268"/>
        <v>1.6145000283810759E-2</v>
      </c>
      <c r="BU106" s="2793">
        <f t="shared" ca="1" si="268"/>
        <v>0</v>
      </c>
      <c r="BV106" s="2793">
        <f t="shared" ca="1" si="268"/>
        <v>0</v>
      </c>
      <c r="BW106" s="2793">
        <f t="shared" ca="1" si="268"/>
        <v>0</v>
      </c>
      <c r="BX106" s="2793">
        <f t="shared" ca="1" si="268"/>
        <v>0</v>
      </c>
      <c r="BY106" s="2793">
        <f t="shared" ca="1" si="268"/>
        <v>0</v>
      </c>
      <c r="BZ106" s="2793">
        <f t="shared" ca="1" si="268"/>
        <v>0</v>
      </c>
      <c r="CA106" s="2793">
        <f t="shared" ca="1" si="268"/>
        <v>0</v>
      </c>
      <c r="CB106" s="2793">
        <f t="shared" ca="1" si="268"/>
        <v>0</v>
      </c>
      <c r="CC106" s="2793">
        <f t="shared" ca="1" si="268"/>
        <v>0</v>
      </c>
      <c r="CD106" s="2793">
        <f t="shared" ca="1" si="268"/>
        <v>0</v>
      </c>
      <c r="CE106" s="2793">
        <f t="shared" ca="1" si="268"/>
        <v>0</v>
      </c>
      <c r="CF106" s="2793">
        <f t="shared" ca="1" si="268"/>
        <v>0</v>
      </c>
      <c r="CG106" s="2793">
        <f t="shared" ca="1" si="268"/>
        <v>0</v>
      </c>
      <c r="CH106" s="2793">
        <f t="shared" ca="1" si="268"/>
        <v>0</v>
      </c>
      <c r="CI106" s="2793">
        <f t="shared" ca="1" si="268"/>
        <v>0</v>
      </c>
      <c r="CJ106" s="2793">
        <f t="shared" ca="1" si="268"/>
        <v>0</v>
      </c>
      <c r="CK106" s="2793">
        <f t="shared" ca="1" si="268"/>
        <v>0</v>
      </c>
      <c r="CL106" s="2793">
        <f t="shared" ca="1" si="268"/>
        <v>0</v>
      </c>
      <c r="CM106" s="2793">
        <f t="shared" ca="1" si="268"/>
        <v>0</v>
      </c>
      <c r="CN106" s="2793">
        <f t="shared" ca="1" si="268"/>
        <v>0</v>
      </c>
      <c r="CO106" s="2793">
        <f t="shared" ca="1" si="268"/>
        <v>0</v>
      </c>
      <c r="CP106" s="2793">
        <f t="shared" ca="1" si="268"/>
        <v>0</v>
      </c>
      <c r="CQ106" s="2793">
        <f t="shared" ca="1" si="268"/>
        <v>0</v>
      </c>
      <c r="CR106" s="2793">
        <f t="shared" ca="1" si="268"/>
        <v>0</v>
      </c>
      <c r="CS106" s="2793">
        <f t="shared" ca="1" si="268"/>
        <v>0</v>
      </c>
      <c r="CT106" s="2793">
        <f t="shared" ca="1" si="268"/>
        <v>0</v>
      </c>
      <c r="CU106" s="2793">
        <f t="shared" ca="1" si="268"/>
        <v>0</v>
      </c>
      <c r="CV106" s="2793">
        <f t="shared" ca="1" si="268"/>
        <v>0</v>
      </c>
      <c r="CW106" s="2793">
        <f t="shared" ca="1" si="268"/>
        <v>0</v>
      </c>
      <c r="CX106" s="2793">
        <f t="shared" ca="1" si="268"/>
        <v>0</v>
      </c>
      <c r="CY106" s="2793">
        <f t="shared" ca="1" si="268"/>
        <v>-11.848766840385965</v>
      </c>
      <c r="CZ106" s="2793">
        <f t="shared" ca="1" si="268"/>
        <v>0</v>
      </c>
      <c r="DA106" s="2793">
        <f t="shared" ca="1" si="268"/>
        <v>0</v>
      </c>
      <c r="DB106" s="2793">
        <f t="shared" ca="1" si="268"/>
        <v>0</v>
      </c>
      <c r="DC106" s="2793">
        <f t="shared" ca="1" si="268"/>
        <v>0</v>
      </c>
      <c r="DD106" s="2793">
        <f t="shared" ca="1" si="268"/>
        <v>0</v>
      </c>
      <c r="DE106" s="2793">
        <f t="shared" ca="1" si="268"/>
        <v>0</v>
      </c>
      <c r="DF106" s="2793">
        <f ca="1">DF$93+DF$104</f>
        <v>0</v>
      </c>
      <c r="DH106" s="637">
        <f ca="1">SUM(BO106:DF106)</f>
        <v>-11.832621840102155</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5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5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24" customHeight="1" thickBot="1">
      <c r="C109" s="713" t="s">
        <v>592</v>
      </c>
      <c r="D109" s="713"/>
      <c r="E109" s="713"/>
      <c r="G109" s="714">
        <f t="shared" ref="G109:P109" ca="1" si="269">G$40+G$84+G$106</f>
        <v>38.883640112521043</v>
      </c>
      <c r="H109" s="714">
        <f t="shared" ca="1" si="269"/>
        <v>11.3150669434942</v>
      </c>
      <c r="I109" s="714">
        <f t="shared" ca="1" si="269"/>
        <v>32.196575836673233</v>
      </c>
      <c r="J109" s="714">
        <f t="shared" ca="1" si="269"/>
        <v>33.315436625723152</v>
      </c>
      <c r="K109" s="714">
        <f t="shared" ca="1" si="269"/>
        <v>0.3884627680202104</v>
      </c>
      <c r="L109" s="714">
        <f t="shared" ca="1" si="269"/>
        <v>2.5651802953474499E-2</v>
      </c>
      <c r="M109" s="714">
        <f t="shared" ca="1" si="269"/>
        <v>0.66</v>
      </c>
      <c r="N109" s="714">
        <f t="shared" ca="1" si="269"/>
        <v>9.4283309514618914</v>
      </c>
      <c r="O109" s="714">
        <f t="shared" ca="1" si="269"/>
        <v>0</v>
      </c>
      <c r="P109" s="714">
        <f t="shared" ca="1" si="269"/>
        <v>0</v>
      </c>
      <c r="Q109" s="714">
        <f ca="1">SUM(G109:P109)</f>
        <v>126.21316504084719</v>
      </c>
      <c r="S109" s="715">
        <f t="shared" ref="S109:AJ109" ca="1" si="270">S$40+S$84+S$106</f>
        <v>-26.711821498340942</v>
      </c>
      <c r="T109" s="715">
        <f t="shared" ca="1" si="270"/>
        <v>26.711821498340939</v>
      </c>
      <c r="U109" s="715">
        <f t="shared" ca="1" si="270"/>
        <v>0</v>
      </c>
      <c r="V109" s="715">
        <f t="shared" ca="1" si="270"/>
        <v>0</v>
      </c>
      <c r="W109" s="715">
        <f t="shared" ca="1" si="270"/>
        <v>0</v>
      </c>
      <c r="X109" s="715">
        <f t="shared" ca="1" si="270"/>
        <v>0</v>
      </c>
      <c r="Y109" s="715">
        <f t="shared" ca="1" si="270"/>
        <v>0</v>
      </c>
      <c r="Z109" s="715">
        <f t="shared" ca="1" si="270"/>
        <v>0</v>
      </c>
      <c r="AA109" s="715">
        <f t="shared" ca="1" si="270"/>
        <v>0</v>
      </c>
      <c r="AB109" s="715">
        <f t="shared" ca="1" si="270"/>
        <v>0</v>
      </c>
      <c r="AC109" s="715">
        <f t="shared" ca="1" si="270"/>
        <v>0</v>
      </c>
      <c r="AD109" s="715">
        <f t="shared" ca="1" si="270"/>
        <v>0</v>
      </c>
      <c r="AE109" s="715">
        <f t="shared" ca="1" si="270"/>
        <v>0</v>
      </c>
      <c r="AF109" s="715">
        <f t="shared" ca="1" si="270"/>
        <v>0</v>
      </c>
      <c r="AG109" s="715">
        <f t="shared" ca="1" si="270"/>
        <v>0</v>
      </c>
      <c r="AH109" s="715">
        <f t="shared" ca="1" si="270"/>
        <v>0</v>
      </c>
      <c r="AI109" s="715">
        <f t="shared" ca="1" si="270"/>
        <v>0</v>
      </c>
      <c r="AJ109" s="715">
        <f t="shared" ca="1" si="270"/>
        <v>0</v>
      </c>
      <c r="AK109" s="715">
        <f ca="1">SUM(S109:AJ109)</f>
        <v>-3.5527136788005009E-15</v>
      </c>
      <c r="AM109" s="716">
        <f t="shared" ref="AM109:BE109" ca="1" si="271">AM$40+AM$84+AM$106</f>
        <v>0</v>
      </c>
      <c r="AN109" s="716">
        <f t="shared" ca="1" si="271"/>
        <v>0</v>
      </c>
      <c r="AO109" s="716">
        <f t="shared" ca="1" si="271"/>
        <v>0</v>
      </c>
      <c r="AP109" s="716">
        <f t="shared" ca="1" si="271"/>
        <v>23.316859166197478</v>
      </c>
      <c r="AQ109" s="716">
        <f t="shared" ca="1" si="271"/>
        <v>30.098791217428818</v>
      </c>
      <c r="AR109" s="716">
        <f t="shared" ca="1" si="271"/>
        <v>0</v>
      </c>
      <c r="AS109" s="716">
        <f t="shared" ca="1" si="271"/>
        <v>0.22533488167895965</v>
      </c>
      <c r="AT109" s="716">
        <f t="shared" ca="1" si="271"/>
        <v>-56.055550717287325</v>
      </c>
      <c r="AU109" s="716">
        <f t="shared" ca="1" si="271"/>
        <v>-37.575562611620718</v>
      </c>
      <c r="AV109" s="716">
        <f t="shared" ca="1" si="271"/>
        <v>-21.428000000000004</v>
      </c>
      <c r="AW109" s="716">
        <f t="shared" ca="1" si="271"/>
        <v>-4.3856969840221529</v>
      </c>
      <c r="AX109" s="716">
        <f t="shared" ca="1" si="271"/>
        <v>-27.955212300000003</v>
      </c>
      <c r="AY109" s="716">
        <f t="shared" ca="1" si="271"/>
        <v>-1.5778800000000002</v>
      </c>
      <c r="AZ109" s="716">
        <f t="shared" ca="1" si="271"/>
        <v>-3.9052530000000001</v>
      </c>
      <c r="BA109" s="716">
        <f t="shared" ca="1" si="271"/>
        <v>0</v>
      </c>
      <c r="BB109" s="716">
        <f t="shared" ca="1" si="271"/>
        <v>-0.78946596000000002</v>
      </c>
      <c r="BC109" s="716">
        <f t="shared" ca="1" si="271"/>
        <v>-9.8473923807210109E-2</v>
      </c>
      <c r="BD109" s="716">
        <f t="shared" ca="1" si="271"/>
        <v>-44.707203811579298</v>
      </c>
      <c r="BE109" s="716">
        <f t="shared" ca="1" si="271"/>
        <v>-24.016689175657081</v>
      </c>
      <c r="BF109" s="716">
        <f ca="1">SUM(AM109:BE109)</f>
        <v>-168.85400321866854</v>
      </c>
      <c r="BH109" s="3469">
        <f ca="1">BH$40+BH$84+BH$106</f>
        <v>34.784713225280342</v>
      </c>
      <c r="BI109" s="3469">
        <f ca="1">BI$40+BI$84+BI$106</f>
        <v>7.856126388043716</v>
      </c>
      <c r="BJ109" s="3469">
        <f ca="1">SUM(BH109:BI109)</f>
        <v>42.640839613324061</v>
      </c>
      <c r="BL109" s="3479">
        <f t="shared" ca="1" si="256"/>
        <v>1.4355027104784313E-6</v>
      </c>
      <c r="BM109" s="577"/>
      <c r="BO109" s="2798">
        <f t="shared" ref="BO109:DF109" ca="1" si="272">BO$40+BO$84+BO$106</f>
        <v>32.090427952308083</v>
      </c>
      <c r="BP109" s="2798">
        <f t="shared" ca="1" si="272"/>
        <v>1.6695834863187913E-2</v>
      </c>
      <c r="BQ109" s="2798">
        <f t="shared" ca="1" si="272"/>
        <v>0.20262572779956015</v>
      </c>
      <c r="BR109" s="2798">
        <f t="shared" ca="1" si="272"/>
        <v>0</v>
      </c>
      <c r="BS109" s="2798">
        <f t="shared" ca="1" si="272"/>
        <v>0</v>
      </c>
      <c r="BT109" s="2798">
        <f t="shared" ca="1" si="272"/>
        <v>1.6145000283810759E-2</v>
      </c>
      <c r="BU109" s="2798">
        <f t="shared" ca="1" si="272"/>
        <v>0</v>
      </c>
      <c r="BV109" s="2798">
        <f t="shared" ca="1" si="272"/>
        <v>0</v>
      </c>
      <c r="BW109" s="2798">
        <f t="shared" ca="1" si="272"/>
        <v>0.79637266665151207</v>
      </c>
      <c r="BX109" s="2798">
        <f t="shared" ca="1" si="272"/>
        <v>0</v>
      </c>
      <c r="BY109" s="2798">
        <f t="shared" ca="1" si="272"/>
        <v>0</v>
      </c>
      <c r="BZ109" s="2798">
        <f t="shared" ca="1" si="272"/>
        <v>0.7126078919748543</v>
      </c>
      <c r="CA109" s="2798">
        <f t="shared" ca="1" si="272"/>
        <v>0</v>
      </c>
      <c r="CB109" s="2798">
        <f t="shared" ca="1" si="272"/>
        <v>0</v>
      </c>
      <c r="CC109" s="2798">
        <f t="shared" ca="1" si="272"/>
        <v>0</v>
      </c>
      <c r="CD109" s="2798">
        <f t="shared" ca="1" si="272"/>
        <v>0</v>
      </c>
      <c r="CE109" s="2798">
        <f t="shared" ca="1" si="272"/>
        <v>0</v>
      </c>
      <c r="CF109" s="2798">
        <f t="shared" ca="1" si="272"/>
        <v>8.3480088825510883</v>
      </c>
      <c r="CG109" s="2798">
        <f t="shared" ca="1" si="272"/>
        <v>5.9320998467150101</v>
      </c>
      <c r="CH109" s="2798">
        <f t="shared" ca="1" si="272"/>
        <v>0</v>
      </c>
      <c r="CI109" s="2798">
        <f t="shared" ca="1" si="272"/>
        <v>-1.4653696761441601</v>
      </c>
      <c r="CJ109" s="2798">
        <f t="shared" ca="1" si="272"/>
        <v>0</v>
      </c>
      <c r="CK109" s="2798">
        <f t="shared" ca="1" si="272"/>
        <v>0</v>
      </c>
      <c r="CL109" s="2798">
        <f t="shared" ca="1" si="272"/>
        <v>0</v>
      </c>
      <c r="CM109" s="2798">
        <f t="shared" ca="1" si="272"/>
        <v>0</v>
      </c>
      <c r="CN109" s="2798">
        <f t="shared" ca="1" si="272"/>
        <v>0.47993362364877479</v>
      </c>
      <c r="CO109" s="2798">
        <f t="shared" ca="1" si="272"/>
        <v>5.9899473214285702E-2</v>
      </c>
      <c r="CP109" s="2798">
        <f t="shared" ca="1" si="272"/>
        <v>0</v>
      </c>
      <c r="CQ109" s="2798">
        <f t="shared" ca="1" si="272"/>
        <v>0</v>
      </c>
      <c r="CR109" s="2798">
        <f t="shared" ca="1" si="272"/>
        <v>0</v>
      </c>
      <c r="CS109" s="2798">
        <f t="shared" ca="1" si="272"/>
        <v>0</v>
      </c>
      <c r="CT109" s="2798">
        <f t="shared" ca="1" si="272"/>
        <v>0</v>
      </c>
      <c r="CU109" s="2798">
        <f t="shared" ca="1" si="272"/>
        <v>2.4879479714717636</v>
      </c>
      <c r="CV109" s="2798">
        <f t="shared" ca="1" si="272"/>
        <v>2.1383454597915571E-3</v>
      </c>
      <c r="CW109" s="2798">
        <f t="shared" ca="1" si="272"/>
        <v>6.3132104050988829E-3</v>
      </c>
      <c r="CX109" s="2798">
        <f t="shared" ca="1" si="272"/>
        <v>0</v>
      </c>
      <c r="CY109" s="2798">
        <f t="shared" ca="1" si="272"/>
        <v>-11.848766840385965</v>
      </c>
      <c r="CZ109" s="2798">
        <f t="shared" ca="1" si="272"/>
        <v>0</v>
      </c>
      <c r="DA109" s="2798">
        <f t="shared" ca="1" si="272"/>
        <v>0</v>
      </c>
      <c r="DB109" s="2798">
        <f t="shared" ca="1" si="272"/>
        <v>0</v>
      </c>
      <c r="DC109" s="2798">
        <f t="shared" ca="1" si="272"/>
        <v>-1.1071438064419354</v>
      </c>
      <c r="DD109" s="2798">
        <f t="shared" ca="1" si="272"/>
        <v>0</v>
      </c>
      <c r="DE109" s="2798">
        <f t="shared" ca="1" si="272"/>
        <v>0</v>
      </c>
      <c r="DF109" s="2798">
        <f t="shared" ca="1" si="272"/>
        <v>0</v>
      </c>
      <c r="DH109" s="637">
        <f ca="1">SUM(BO109:DF109)</f>
        <v>36.729936104374765</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DF112" s="382" t="s">
        <v>593</v>
      </c>
      <c r="DH112" s="723">
        <f ca="1">SUM(DH63,DH68,DH76,DH82)</f>
        <v>7.6928123877552137</v>
      </c>
    </row>
    <row r="113" spans="2:112">
      <c r="B113" s="2685"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DF113" s="382" t="s">
        <v>595</v>
      </c>
      <c r="DH113" s="723">
        <f ca="1">T109-MIN(T103,0)-T72</f>
        <v>61.414403858587534</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DF114" s="382" t="s">
        <v>596</v>
      </c>
      <c r="DH114" s="2685">
        <f ca="1">DH112/DH113</f>
        <v>0.12526071905653666</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ht="24" customHeight="1">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DH148"/>
  <sheetViews>
    <sheetView topLeftCell="K1" workbookViewId="0">
      <selection activeCell="AA1" sqref="AA1:AA1048576"/>
    </sheetView>
  </sheetViews>
  <sheetFormatPr defaultColWidth="8.85546875" defaultRowHeight="15" outlineLevelRow="2" outlineLevelCol="2"/>
  <cols>
    <col min="1" max="1" width="1.7109375" style="2685" customWidth="1"/>
    <col min="2" max="2" width="1.42578125" style="2685" customWidth="1"/>
    <col min="3" max="3" width="4.42578125" style="518" customWidth="1"/>
    <col min="4" max="4" width="3.85546875" style="519" customWidth="1"/>
    <col min="5" max="5" width="41.7109375" style="519" customWidth="1"/>
    <col min="6" max="6" width="1.140625" style="268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style="2685" customWidth="1" outlineLevel="1"/>
    <col min="19" max="19" width="11.7109375" style="519" customWidth="1" outlineLevel="2"/>
    <col min="20" max="36" width="10" style="519" customWidth="1" outlineLevel="2"/>
    <col min="37" max="37" width="10" style="519" customWidth="1" outlineLevel="1"/>
    <col min="38" max="38" width="1.140625" style="2685" customWidth="1" outlineLevel="1"/>
    <col min="39" max="57" width="10" style="519" customWidth="1" outlineLevel="2"/>
    <col min="58" max="58" width="10" style="519" customWidth="1" outlineLevel="1"/>
    <col min="59" max="59" width="1.140625" style="2685" customWidth="1" outlineLevel="1"/>
    <col min="60" max="61" width="10" style="519" customWidth="1" outlineLevel="2"/>
    <col min="62" max="62" width="10" style="519" customWidth="1" outlineLevel="1"/>
    <col min="63" max="63" width="1.140625" style="2685" customWidth="1" outlineLevel="1"/>
    <col min="64" max="64" width="11" style="519" customWidth="1" outlineLevel="1"/>
    <col min="65" max="65" width="5.28515625" style="519" customWidth="1"/>
    <col min="66" max="66" width="8.85546875" style="2685"/>
    <col min="67" max="110" width="7.42578125" style="2685" customWidth="1"/>
    <col min="111" max="111" width="2.42578125" style="2685" customWidth="1"/>
    <col min="112" max="16384" width="8.85546875" style="2685"/>
  </cols>
  <sheetData>
    <row r="1" spans="1:112" ht="6" customHeight="1"/>
    <row r="2" spans="1:112" ht="21" customHeight="1">
      <c r="D2" s="521"/>
      <c r="E2" s="522">
        <v>2040</v>
      </c>
      <c r="G2" s="2685"/>
      <c r="H2" s="2685"/>
      <c r="I2" s="2685"/>
      <c r="J2" s="2685"/>
      <c r="K2" s="2685"/>
      <c r="L2" s="2685"/>
      <c r="M2" s="2685"/>
      <c r="N2" s="2685"/>
      <c r="O2" s="2685"/>
      <c r="P2" s="2685"/>
      <c r="Q2" s="2685"/>
      <c r="S2" s="383"/>
      <c r="T2" s="383"/>
      <c r="U2" s="383"/>
      <c r="V2" s="383"/>
      <c r="W2" s="383"/>
      <c r="X2" s="2685"/>
      <c r="Y2" s="2685"/>
      <c r="Z2" s="2685"/>
      <c r="AA2" s="2685"/>
      <c r="AB2" s="2685"/>
      <c r="AC2" s="2685"/>
      <c r="AD2" s="2685"/>
      <c r="AE2" s="2685"/>
      <c r="AF2" s="2685"/>
      <c r="AG2" s="2685"/>
      <c r="AH2" s="2685"/>
      <c r="AI2" s="2685"/>
      <c r="AJ2" s="2685"/>
      <c r="AK2" s="2685"/>
      <c r="AM2" s="2685"/>
      <c r="AN2" s="2685"/>
      <c r="AO2" s="2685"/>
      <c r="AP2" s="2685"/>
      <c r="AQ2" s="2685"/>
      <c r="AR2" s="2685"/>
      <c r="AS2" s="2685"/>
      <c r="AT2" s="2685"/>
      <c r="AU2" s="2685"/>
      <c r="AV2" s="2685"/>
      <c r="AW2" s="2685"/>
      <c r="AX2" s="2685"/>
      <c r="AY2" s="2685"/>
      <c r="AZ2" s="2685"/>
      <c r="BA2" s="2685"/>
      <c r="BB2" s="2685"/>
      <c r="BC2" s="2685"/>
      <c r="BD2" s="2685"/>
      <c r="BE2" s="2685"/>
      <c r="BF2" s="2685"/>
      <c r="BH2" s="2685"/>
      <c r="BI2" s="2685"/>
      <c r="BJ2" s="2685"/>
      <c r="BL2" s="2685"/>
      <c r="BM2" s="523"/>
    </row>
    <row r="3" spans="1:112" ht="39" customHeight="1">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36.75" customHeight="1">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ht="15.75" customHeight="1">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8" customHeight="1">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ht="6" customHeight="1" outlineLevel="1">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ht="10.5" customHeight="1" outlineLevel="2">
      <c r="A9" s="586"/>
      <c r="B9" s="586"/>
      <c r="C9" s="587" t="s">
        <v>2</v>
      </c>
      <c r="D9" s="586" t="s">
        <v>3</v>
      </c>
      <c r="E9" s="588"/>
      <c r="G9" s="589">
        <f ca="1">IFERROR(INDEX(INDIRECT($C9&amp;".Outputs["&amp;this.Year&amp;"]"), MATCH(G$5, INDIRECT($C9&amp;".Outputs[Vector]"), 0)), 0)</f>
        <v>24.62591892578634</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24.62591892578634</v>
      </c>
      <c r="S9" s="591">
        <f t="shared" ref="S9:AJ13" ca="1" si="2">IFERROR(INDEX(INDIRECT($C9&amp;".Outputs["&amp;this.Year&amp;"]"), MATCH(S$5, INDIRECT($C9&amp;".Outputs[Vector]"), 0)), 0)</f>
        <v>-1.8492049246245645</v>
      </c>
      <c r="T9" s="591">
        <f t="shared" ca="1" si="2"/>
        <v>0</v>
      </c>
      <c r="U9" s="591">
        <f t="shared" ca="1" si="2"/>
        <v>-6.7969281007703761E-2</v>
      </c>
      <c r="V9" s="591">
        <f t="shared" ca="1" si="2"/>
        <v>-3.3529176249676542</v>
      </c>
      <c r="W9" s="591">
        <f t="shared" ca="1" si="2"/>
        <v>-17.008084093270114</v>
      </c>
      <c r="X9" s="591">
        <f t="shared" ref="X9:Z10" ca="1" si="3">IFERROR(INDEX(INDIRECT($C9&amp;".Outputs["&amp;this.Year&amp;"]"), MATCH(X$5, INDIRECT($C9&amp;".Outputs[Vector]"), 0)), 0)</f>
        <v>0</v>
      </c>
      <c r="Y9" s="591">
        <f t="shared" ca="1" si="3"/>
        <v>0</v>
      </c>
      <c r="Z9" s="591">
        <f t="shared" ca="1" si="3"/>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-2.3046831432863932</v>
      </c>
      <c r="AJ9" s="591">
        <f t="shared" ca="1" si="2"/>
        <v>0</v>
      </c>
      <c r="AK9" s="592">
        <f t="shared" ref="AK9:AK15" ca="1" si="4">SUM(S9:AJ9)</f>
        <v>-24.582859067156431</v>
      </c>
      <c r="AM9" s="593">
        <f t="shared" ref="AM9:AU10" ca="1" si="5">IFERROR(INDEX(INDIRECT($C9&amp;".Outputs["&amp;this.Year&amp;"]"), MATCH(AM$5, INDIRECT($C9&amp;".Outputs[Vector]"), 0)), 0)</f>
        <v>0</v>
      </c>
      <c r="AN9" s="593">
        <f t="shared" ca="1" si="5"/>
        <v>0</v>
      </c>
      <c r="AO9" s="593">
        <f t="shared" ca="1" si="5"/>
        <v>0</v>
      </c>
      <c r="AP9" s="593">
        <f t="shared" ca="1" si="5"/>
        <v>0</v>
      </c>
      <c r="AQ9" s="593">
        <f t="shared" ca="1" si="5"/>
        <v>0</v>
      </c>
      <c r="AR9" s="593">
        <f t="shared" ca="1" si="5"/>
        <v>0</v>
      </c>
      <c r="AS9" s="593">
        <f t="shared" ca="1" si="5"/>
        <v>0</v>
      </c>
      <c r="AT9" s="593">
        <f t="shared" ca="1" si="5"/>
        <v>0</v>
      </c>
      <c r="AU9" s="593">
        <f t="shared" ca="1" si="5"/>
        <v>0</v>
      </c>
      <c r="AV9" s="593">
        <f t="shared" ref="AV9:BE13" ca="1" si="6">IFERROR(INDEX(INDIRECT($C9&amp;".Outputs["&amp;this.Year&amp;"]"), MATCH(AV$5, INDIRECT($C9&amp;".Outputs[Vector]"), 0)), 0)</f>
        <v>0</v>
      </c>
      <c r="AW9" s="593">
        <f t="shared" ca="1" si="6"/>
        <v>0</v>
      </c>
      <c r="AX9" s="593">
        <f t="shared" ca="1" si="6"/>
        <v>0</v>
      </c>
      <c r="AY9" s="593">
        <f t="shared" ca="1" si="6"/>
        <v>0</v>
      </c>
      <c r="AZ9" s="593">
        <f t="shared" ca="1" si="6"/>
        <v>0</v>
      </c>
      <c r="BA9" s="593">
        <f t="shared" ca="1" si="6"/>
        <v>0</v>
      </c>
      <c r="BB9" s="593">
        <f t="shared" ca="1" si="6"/>
        <v>0</v>
      </c>
      <c r="BC9" s="593">
        <f t="shared" ca="1" si="6"/>
        <v>-4.3059858629907362E-2</v>
      </c>
      <c r="BD9" s="593">
        <f t="shared" ca="1" si="6"/>
        <v>0</v>
      </c>
      <c r="BE9" s="593">
        <f t="shared" ca="1" si="6"/>
        <v>0</v>
      </c>
      <c r="BF9" s="594">
        <f t="shared" ref="BF9:BF15" ca="1" si="7">SUM(AM9:BE9)</f>
        <v>-4.3059858629907362E-2</v>
      </c>
      <c r="BH9" s="3471">
        <f ca="1">IFERROR(INDEX(INDIRECT($C9&amp;".Outputs["&amp;this.Year&amp;"]"), MATCH(BH$5, INDIRECT($C9&amp;".Outputs[Vector]"), 0)), 0)</f>
        <v>0</v>
      </c>
      <c r="BI9" s="3471">
        <f t="shared" ref="BH9:BI13" ca="1" si="8">IFERROR(INDEX(INDIRECT($C9&amp;".Outputs["&amp;this.Year&amp;"]"), MATCH(BI$5, INDIRECT($C9&amp;".Outputs[Vector]"), 0)), 0)</f>
        <v>0</v>
      </c>
      <c r="BJ9" s="3460">
        <f t="shared" ref="BJ9:BJ15" ca="1" si="9">SUM(BH9:BI9)</f>
        <v>0</v>
      </c>
      <c r="BL9" s="595">
        <f t="shared" ref="BL9:BL44" ca="1" si="10">Q9+AK9+BF9+BJ9</f>
        <v>2.4355517602714372E-15</v>
      </c>
      <c r="BM9" s="595"/>
      <c r="BN9" s="413"/>
      <c r="BO9" s="2789">
        <f t="shared" ref="BO9:BX10" ca="1" si="11">IFERROR(SUMIFS(INDIRECT($C9&amp;".Emissions["&amp;this.Year&amp;"]"), INDIRECT($C9&amp;".Emissions[GHG]"), BO$6, INDIRECT($C9&amp;".Emissions[IPCC Sector]"), BO$5),0)</f>
        <v>4.3896312399317292</v>
      </c>
      <c r="BP9" s="2790">
        <f t="shared" ca="1" si="11"/>
        <v>2.0498498091448122E-3</v>
      </c>
      <c r="BQ9" s="2790">
        <f t="shared" ca="1" si="11"/>
        <v>5.7328003859940038E-2</v>
      </c>
      <c r="BR9" s="2790">
        <f t="shared" ca="1" si="11"/>
        <v>0</v>
      </c>
      <c r="BS9" s="2790">
        <f t="shared" ca="1" si="11"/>
        <v>0</v>
      </c>
      <c r="BT9" s="2790">
        <f t="shared" ca="1" si="11"/>
        <v>0</v>
      </c>
      <c r="BU9" s="2790">
        <f t="shared" ca="1" si="11"/>
        <v>0</v>
      </c>
      <c r="BV9" s="2790">
        <f t="shared" ca="1" si="11"/>
        <v>0</v>
      </c>
      <c r="BW9" s="2790">
        <f t="shared" ca="1" si="11"/>
        <v>0</v>
      </c>
      <c r="BX9" s="2790">
        <f t="shared" ca="1" si="11"/>
        <v>0</v>
      </c>
      <c r="BY9" s="2790">
        <f t="shared" ref="BY9:CH10" ca="1" si="12">IFERROR(SUMIFS(INDIRECT($C9&amp;".Emissions["&amp;this.Year&amp;"]"), INDIRECT($C9&amp;".Emissions[GHG]"), BY$6, INDIRECT($C9&amp;".Emissions[IPCC Sector]"), BY$5),0)</f>
        <v>0</v>
      </c>
      <c r="BZ9" s="2790">
        <f t="shared" ca="1" si="12"/>
        <v>0</v>
      </c>
      <c r="CA9" s="2790">
        <f t="shared" ca="1" si="12"/>
        <v>0</v>
      </c>
      <c r="CB9" s="2790">
        <f t="shared" ca="1" si="12"/>
        <v>0</v>
      </c>
      <c r="CC9" s="2790">
        <f t="shared" ca="1" si="12"/>
        <v>0</v>
      </c>
      <c r="CD9" s="2790">
        <f t="shared" ca="1" si="12"/>
        <v>0</v>
      </c>
      <c r="CE9" s="2790">
        <f t="shared" ca="1" si="12"/>
        <v>0</v>
      </c>
      <c r="CF9" s="2790">
        <f t="shared" ca="1" si="12"/>
        <v>0</v>
      </c>
      <c r="CG9" s="2790">
        <f t="shared" ca="1" si="12"/>
        <v>0</v>
      </c>
      <c r="CH9" s="2790">
        <f t="shared" ca="1" si="12"/>
        <v>0</v>
      </c>
      <c r="CI9" s="2790">
        <f t="shared" ref="CI9:CR10" ca="1" si="13">IFERROR(SUMIFS(INDIRECT($C9&amp;".Emissions["&amp;this.Year&amp;"]"), INDIRECT($C9&amp;".Emissions[GHG]"), CI$6, INDIRECT($C9&amp;".Emissions[IPCC Sector]"), CI$5),0)</f>
        <v>0</v>
      </c>
      <c r="CJ9" s="2790">
        <f t="shared" ca="1" si="13"/>
        <v>0</v>
      </c>
      <c r="CK9" s="2790">
        <f t="shared" ca="1" si="13"/>
        <v>0</v>
      </c>
      <c r="CL9" s="2790">
        <f t="shared" ca="1" si="13"/>
        <v>0</v>
      </c>
      <c r="CM9" s="2790">
        <f t="shared" ca="1" si="13"/>
        <v>0</v>
      </c>
      <c r="CN9" s="2790">
        <f t="shared" ca="1" si="13"/>
        <v>0</v>
      </c>
      <c r="CO9" s="2790">
        <f t="shared" ca="1" si="13"/>
        <v>0</v>
      </c>
      <c r="CP9" s="2790">
        <f t="shared" ca="1" si="13"/>
        <v>0</v>
      </c>
      <c r="CQ9" s="2790">
        <f t="shared" ca="1" si="13"/>
        <v>0</v>
      </c>
      <c r="CR9" s="2790">
        <f t="shared" ca="1" si="13"/>
        <v>0</v>
      </c>
      <c r="CS9" s="2790">
        <f t="shared" ref="CS9:DF10" ca="1" si="14">IFERROR(SUMIFS(INDIRECT($C9&amp;".Emissions["&amp;this.Year&amp;"]"), INDIRECT($C9&amp;".Emissions[GHG]"), CS$6, INDIRECT($C9&amp;".Emissions[IPCC Sector]"), CS$5),0)</f>
        <v>0</v>
      </c>
      <c r="CT9" s="2790">
        <f t="shared" ca="1" si="14"/>
        <v>0</v>
      </c>
      <c r="CU9" s="2790">
        <f t="shared" ca="1" si="14"/>
        <v>0</v>
      </c>
      <c r="CV9" s="2790">
        <f t="shared" ca="1" si="14"/>
        <v>0</v>
      </c>
      <c r="CW9" s="2790">
        <f t="shared" ca="1" si="14"/>
        <v>0</v>
      </c>
      <c r="CX9" s="2790">
        <f t="shared" ca="1" si="14"/>
        <v>0</v>
      </c>
      <c r="CY9" s="2790">
        <f t="shared" ca="1" si="14"/>
        <v>0</v>
      </c>
      <c r="CZ9" s="2790">
        <f t="shared" ca="1" si="14"/>
        <v>0</v>
      </c>
      <c r="DA9" s="2790">
        <f t="shared" ca="1" si="14"/>
        <v>0</v>
      </c>
      <c r="DB9" s="2790">
        <f t="shared" ca="1" si="14"/>
        <v>0</v>
      </c>
      <c r="DC9" s="2790">
        <f t="shared" ca="1" si="14"/>
        <v>0</v>
      </c>
      <c r="DD9" s="2790">
        <f t="shared" ca="1" si="14"/>
        <v>0</v>
      </c>
      <c r="DE9" s="2790">
        <f t="shared" ca="1" si="14"/>
        <v>0</v>
      </c>
      <c r="DF9" s="2790">
        <f t="shared" ca="1" si="14"/>
        <v>0</v>
      </c>
      <c r="DH9" s="596"/>
    </row>
    <row r="10" spans="1:112" s="6" customFormat="1" ht="10.5" customHeight="1" outlineLevel="2">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3"/>
        <v>0</v>
      </c>
      <c r="Y10" s="602">
        <f t="shared" ca="1" si="3"/>
        <v>0</v>
      </c>
      <c r="Z10" s="602">
        <f t="shared" ca="1" si="3"/>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4"/>
        <v>0</v>
      </c>
      <c r="AM10" s="604">
        <f t="shared" ca="1" si="5"/>
        <v>0</v>
      </c>
      <c r="AN10" s="604">
        <f t="shared" ca="1" si="5"/>
        <v>0</v>
      </c>
      <c r="AO10" s="604">
        <f t="shared" ca="1" si="5"/>
        <v>0</v>
      </c>
      <c r="AP10" s="604">
        <f t="shared" ca="1" si="5"/>
        <v>0</v>
      </c>
      <c r="AQ10" s="604">
        <f t="shared" ca="1" si="5"/>
        <v>0</v>
      </c>
      <c r="AR10" s="604">
        <f t="shared" ca="1" si="5"/>
        <v>0</v>
      </c>
      <c r="AS10" s="604">
        <f t="shared" ca="1" si="5"/>
        <v>0</v>
      </c>
      <c r="AT10" s="604">
        <f t="shared" ca="1" si="5"/>
        <v>0</v>
      </c>
      <c r="AU10" s="604">
        <f t="shared" ca="1" si="5"/>
        <v>0</v>
      </c>
      <c r="AV10" s="604">
        <f t="shared" ca="1" si="6"/>
        <v>0</v>
      </c>
      <c r="AW10" s="604">
        <f t="shared" ca="1" si="6"/>
        <v>0</v>
      </c>
      <c r="AX10" s="604">
        <f t="shared" ca="1" si="6"/>
        <v>0</v>
      </c>
      <c r="AY10" s="604">
        <f t="shared" ca="1" si="6"/>
        <v>0</v>
      </c>
      <c r="AZ10" s="604">
        <f t="shared" ca="1" si="6"/>
        <v>0</v>
      </c>
      <c r="BA10" s="604">
        <f t="shared" ca="1" si="6"/>
        <v>0</v>
      </c>
      <c r="BB10" s="604">
        <f t="shared" ca="1" si="6"/>
        <v>0</v>
      </c>
      <c r="BC10" s="604">
        <f t="shared" ca="1" si="6"/>
        <v>0</v>
      </c>
      <c r="BD10" s="604">
        <f t="shared" ca="1" si="6"/>
        <v>0</v>
      </c>
      <c r="BE10" s="604">
        <f t="shared" ca="1" si="6"/>
        <v>0</v>
      </c>
      <c r="BF10" s="605">
        <f t="shared" ca="1" si="7"/>
        <v>0</v>
      </c>
      <c r="BH10" s="3472">
        <f t="shared" ca="1" si="8"/>
        <v>0</v>
      </c>
      <c r="BI10" s="3472">
        <f t="shared" ca="1" si="8"/>
        <v>0</v>
      </c>
      <c r="BJ10" s="3461">
        <f t="shared" ca="1" si="9"/>
        <v>0</v>
      </c>
      <c r="BL10" s="606">
        <f t="shared" ca="1" si="10"/>
        <v>0</v>
      </c>
      <c r="BM10" s="606"/>
      <c r="BN10" s="413"/>
      <c r="BO10" s="2789">
        <f t="shared" ca="1" si="11"/>
        <v>0</v>
      </c>
      <c r="BP10" s="2790">
        <f t="shared" ca="1" si="11"/>
        <v>0</v>
      </c>
      <c r="BQ10" s="2790">
        <f t="shared" ca="1" si="11"/>
        <v>0</v>
      </c>
      <c r="BR10" s="2790">
        <f t="shared" ca="1" si="11"/>
        <v>0</v>
      </c>
      <c r="BS10" s="2790">
        <f t="shared" ca="1" si="11"/>
        <v>0</v>
      </c>
      <c r="BT10" s="2790">
        <f t="shared" ca="1" si="11"/>
        <v>0</v>
      </c>
      <c r="BU10" s="2790">
        <f t="shared" ca="1" si="11"/>
        <v>0</v>
      </c>
      <c r="BV10" s="2790">
        <f t="shared" ca="1" si="11"/>
        <v>0</v>
      </c>
      <c r="BW10" s="2790">
        <f t="shared" ca="1" si="11"/>
        <v>0</v>
      </c>
      <c r="BX10" s="2790">
        <f t="shared" ca="1" si="11"/>
        <v>0</v>
      </c>
      <c r="BY10" s="2790">
        <f t="shared" ca="1" si="12"/>
        <v>0</v>
      </c>
      <c r="BZ10" s="2790">
        <f t="shared" ca="1" si="12"/>
        <v>0</v>
      </c>
      <c r="CA10" s="2790">
        <f t="shared" ca="1" si="12"/>
        <v>0</v>
      </c>
      <c r="CB10" s="2790">
        <f t="shared" ca="1" si="12"/>
        <v>0</v>
      </c>
      <c r="CC10" s="2790">
        <f t="shared" ca="1" si="12"/>
        <v>0</v>
      </c>
      <c r="CD10" s="2790">
        <f t="shared" ca="1" si="12"/>
        <v>0</v>
      </c>
      <c r="CE10" s="2790">
        <f t="shared" ca="1" si="12"/>
        <v>0</v>
      </c>
      <c r="CF10" s="2790">
        <f t="shared" ca="1" si="12"/>
        <v>0</v>
      </c>
      <c r="CG10" s="2790">
        <f t="shared" ca="1" si="12"/>
        <v>0</v>
      </c>
      <c r="CH10" s="2790">
        <f t="shared" ca="1" si="12"/>
        <v>0</v>
      </c>
      <c r="CI10" s="2790">
        <f t="shared" ca="1" si="13"/>
        <v>0</v>
      </c>
      <c r="CJ10" s="2790">
        <f t="shared" ca="1" si="13"/>
        <v>0</v>
      </c>
      <c r="CK10" s="2790">
        <f t="shared" ca="1" si="13"/>
        <v>0</v>
      </c>
      <c r="CL10" s="2790">
        <f t="shared" ca="1" si="13"/>
        <v>0</v>
      </c>
      <c r="CM10" s="2790">
        <f t="shared" ca="1" si="13"/>
        <v>0</v>
      </c>
      <c r="CN10" s="2790">
        <f t="shared" ca="1" si="13"/>
        <v>0</v>
      </c>
      <c r="CO10" s="2790">
        <f t="shared" ca="1" si="13"/>
        <v>0</v>
      </c>
      <c r="CP10" s="2790">
        <f t="shared" ca="1" si="13"/>
        <v>0</v>
      </c>
      <c r="CQ10" s="2790">
        <f t="shared" ca="1" si="13"/>
        <v>0</v>
      </c>
      <c r="CR10" s="2790">
        <f t="shared" ca="1" si="13"/>
        <v>0</v>
      </c>
      <c r="CS10" s="2790">
        <f t="shared" ca="1" si="14"/>
        <v>0</v>
      </c>
      <c r="CT10" s="2790">
        <f t="shared" ca="1" si="14"/>
        <v>0</v>
      </c>
      <c r="CU10" s="2790">
        <f t="shared" ca="1" si="14"/>
        <v>0</v>
      </c>
      <c r="CV10" s="2790">
        <f t="shared" ca="1" si="14"/>
        <v>0</v>
      </c>
      <c r="CW10" s="2790">
        <f t="shared" ca="1" si="14"/>
        <v>0</v>
      </c>
      <c r="CX10" s="2790">
        <f t="shared" ca="1" si="14"/>
        <v>0</v>
      </c>
      <c r="CY10" s="2790">
        <f t="shared" ca="1" si="14"/>
        <v>0</v>
      </c>
      <c r="CZ10" s="2790">
        <f t="shared" ca="1" si="14"/>
        <v>0</v>
      </c>
      <c r="DA10" s="2790">
        <f t="shared" ca="1" si="14"/>
        <v>0</v>
      </c>
      <c r="DB10" s="2790">
        <f t="shared" ca="1" si="14"/>
        <v>0</v>
      </c>
      <c r="DC10" s="2790">
        <f t="shared" ca="1" si="14"/>
        <v>0</v>
      </c>
      <c r="DD10" s="2790">
        <f t="shared" ca="1" si="14"/>
        <v>0</v>
      </c>
      <c r="DE10" s="2790">
        <f t="shared" ca="1" si="14"/>
        <v>0</v>
      </c>
      <c r="DF10" s="2790">
        <f t="shared" ca="1" si="14"/>
        <v>0</v>
      </c>
      <c r="DH10" s="596"/>
    </row>
    <row r="11" spans="1:112" s="6" customFormat="1" ht="12.75" customHeight="1" outlineLevel="1">
      <c r="A11" s="607"/>
      <c r="B11" s="607"/>
      <c r="C11" s="587"/>
      <c r="D11" s="607" t="s">
        <v>464</v>
      </c>
      <c r="E11" s="588"/>
      <c r="G11" s="590">
        <f ca="1">SUM(G9:G10)</f>
        <v>24.62591892578634</v>
      </c>
      <c r="H11" s="590">
        <f t="shared" ref="H11:P11" ca="1" si="15">SUM(H9:H10)</f>
        <v>0</v>
      </c>
      <c r="I11" s="590">
        <f t="shared" ca="1" si="15"/>
        <v>0</v>
      </c>
      <c r="J11" s="590">
        <f t="shared" ca="1" si="15"/>
        <v>0</v>
      </c>
      <c r="K11" s="590">
        <f t="shared" ca="1" si="15"/>
        <v>0</v>
      </c>
      <c r="L11" s="590">
        <f t="shared" ca="1" si="15"/>
        <v>0</v>
      </c>
      <c r="M11" s="590">
        <f t="shared" ca="1" si="15"/>
        <v>0</v>
      </c>
      <c r="N11" s="590">
        <f ca="1">SUM(N9:N10)</f>
        <v>0</v>
      </c>
      <c r="O11" s="590">
        <f ca="1">SUM(O9:O10)</f>
        <v>0</v>
      </c>
      <c r="P11" s="590">
        <f t="shared" ca="1" si="15"/>
        <v>0</v>
      </c>
      <c r="Q11" s="590">
        <f t="shared" ca="1" si="1"/>
        <v>24.62591892578634</v>
      </c>
      <c r="S11" s="592">
        <f ca="1">SUM(S9:S10)</f>
        <v>-1.8492049246245645</v>
      </c>
      <c r="T11" s="592">
        <f t="shared" ref="T11:AJ11" ca="1" si="16">SUM(T9:T10)</f>
        <v>0</v>
      </c>
      <c r="U11" s="592">
        <f t="shared" ca="1" si="16"/>
        <v>-6.7969281007703761E-2</v>
      </c>
      <c r="V11" s="592">
        <f t="shared" ca="1" si="16"/>
        <v>-3.3529176249676542</v>
      </c>
      <c r="W11" s="592">
        <f t="shared" ca="1" si="16"/>
        <v>-17.008084093270114</v>
      </c>
      <c r="X11" s="592">
        <f ca="1">SUM(X9:X10)</f>
        <v>0</v>
      </c>
      <c r="Y11" s="592">
        <f ca="1">SUM(Y9:Y10)</f>
        <v>0</v>
      </c>
      <c r="Z11" s="592">
        <f ca="1">SUM(Z9:Z10)</f>
        <v>0</v>
      </c>
      <c r="AA11" s="592">
        <f t="shared" ca="1" si="16"/>
        <v>0</v>
      </c>
      <c r="AB11" s="592">
        <f t="shared" ca="1" si="16"/>
        <v>0</v>
      </c>
      <c r="AC11" s="592">
        <f t="shared" ca="1" si="16"/>
        <v>0</v>
      </c>
      <c r="AD11" s="592">
        <f ca="1">SUM(AD9:AD10)</f>
        <v>0</v>
      </c>
      <c r="AE11" s="592">
        <f ca="1">SUM(AE9:AE10)</f>
        <v>0</v>
      </c>
      <c r="AF11" s="592">
        <f t="shared" ca="1" si="16"/>
        <v>0</v>
      </c>
      <c r="AG11" s="592">
        <f ca="1">SUM(AG9:AG10)</f>
        <v>0</v>
      </c>
      <c r="AH11" s="592">
        <f ca="1">SUM(AH9:AH10)</f>
        <v>0</v>
      </c>
      <c r="AI11" s="592">
        <f ca="1">SUM(AI9:AI10)</f>
        <v>-2.3046831432863932</v>
      </c>
      <c r="AJ11" s="592">
        <f t="shared" ca="1" si="16"/>
        <v>0</v>
      </c>
      <c r="AK11" s="592">
        <f t="shared" ca="1" si="4"/>
        <v>-24.582859067156431</v>
      </c>
      <c r="AM11" s="608">
        <f t="shared" ref="AM11:BE11" ca="1" si="17">SUM(AM9:AM10)</f>
        <v>0</v>
      </c>
      <c r="AN11" s="608">
        <f t="shared" ca="1" si="17"/>
        <v>0</v>
      </c>
      <c r="AO11" s="608">
        <f t="shared" ca="1" si="17"/>
        <v>0</v>
      </c>
      <c r="AP11" s="608">
        <f t="shared" ca="1" si="17"/>
        <v>0</v>
      </c>
      <c r="AQ11" s="608">
        <f t="shared" ca="1" si="17"/>
        <v>0</v>
      </c>
      <c r="AR11" s="608">
        <f t="shared" ca="1" si="17"/>
        <v>0</v>
      </c>
      <c r="AS11" s="608">
        <f t="shared" ca="1" si="17"/>
        <v>0</v>
      </c>
      <c r="AT11" s="608">
        <f t="shared" ca="1" si="17"/>
        <v>0</v>
      </c>
      <c r="AU11" s="608">
        <f t="shared" ca="1" si="17"/>
        <v>0</v>
      </c>
      <c r="AV11" s="608">
        <f t="shared" ca="1" si="17"/>
        <v>0</v>
      </c>
      <c r="AW11" s="608">
        <f t="shared" ca="1" si="17"/>
        <v>0</v>
      </c>
      <c r="AX11" s="608">
        <f t="shared" ca="1" si="17"/>
        <v>0</v>
      </c>
      <c r="AY11" s="608">
        <f t="shared" ca="1" si="17"/>
        <v>0</v>
      </c>
      <c r="AZ11" s="608">
        <f t="shared" ca="1" si="17"/>
        <v>0</v>
      </c>
      <c r="BA11" s="608">
        <f t="shared" ca="1" si="17"/>
        <v>0</v>
      </c>
      <c r="BB11" s="608">
        <f t="shared" ca="1" si="17"/>
        <v>0</v>
      </c>
      <c r="BC11" s="608">
        <f t="shared" ca="1" si="17"/>
        <v>-4.3059858629907362E-2</v>
      </c>
      <c r="BD11" s="608">
        <f ca="1">SUM(BD9:BD10)</f>
        <v>0</v>
      </c>
      <c r="BE11" s="608">
        <f t="shared" ca="1" si="17"/>
        <v>0</v>
      </c>
      <c r="BF11" s="609">
        <f t="shared" ca="1" si="7"/>
        <v>-4.3059858629907362E-2</v>
      </c>
      <c r="BH11" s="3460">
        <f ca="1">SUM(BH9:BH10)</f>
        <v>0</v>
      </c>
      <c r="BI11" s="3460">
        <f ca="1">SUM(BI9:BI10)</f>
        <v>0</v>
      </c>
      <c r="BJ11" s="3460">
        <f t="shared" ca="1" si="9"/>
        <v>0</v>
      </c>
      <c r="BL11" s="610">
        <f t="shared" ca="1" si="10"/>
        <v>2.4355517602714372E-15</v>
      </c>
      <c r="BM11" s="610"/>
      <c r="BN11" s="413"/>
      <c r="BO11" s="2789">
        <f t="shared" ref="BO11:DF11" ca="1" si="18">SUM(BO9:BO10)</f>
        <v>4.3896312399317292</v>
      </c>
      <c r="BP11" s="2790">
        <f t="shared" ca="1" si="18"/>
        <v>2.0498498091448122E-3</v>
      </c>
      <c r="BQ11" s="2790">
        <f t="shared" ca="1" si="18"/>
        <v>5.7328003859940038E-2</v>
      </c>
      <c r="BR11" s="2790">
        <f t="shared" ca="1" si="18"/>
        <v>0</v>
      </c>
      <c r="BS11" s="2790">
        <f t="shared" ca="1" si="18"/>
        <v>0</v>
      </c>
      <c r="BT11" s="2790">
        <f t="shared" ca="1" si="18"/>
        <v>0</v>
      </c>
      <c r="BU11" s="2790">
        <f t="shared" ca="1" si="18"/>
        <v>0</v>
      </c>
      <c r="BV11" s="2790">
        <f t="shared" ca="1" si="18"/>
        <v>0</v>
      </c>
      <c r="BW11" s="2790">
        <f t="shared" ca="1" si="18"/>
        <v>0</v>
      </c>
      <c r="BX11" s="2790">
        <f t="shared" ca="1" si="18"/>
        <v>0</v>
      </c>
      <c r="BY11" s="2790">
        <f t="shared" ca="1" si="18"/>
        <v>0</v>
      </c>
      <c r="BZ11" s="2790">
        <f t="shared" ca="1" si="18"/>
        <v>0</v>
      </c>
      <c r="CA11" s="2790">
        <f t="shared" ca="1" si="18"/>
        <v>0</v>
      </c>
      <c r="CB11" s="2790">
        <f t="shared" ca="1" si="18"/>
        <v>0</v>
      </c>
      <c r="CC11" s="2790">
        <f t="shared" ca="1" si="18"/>
        <v>0</v>
      </c>
      <c r="CD11" s="2790">
        <f t="shared" ca="1" si="18"/>
        <v>0</v>
      </c>
      <c r="CE11" s="2790">
        <f t="shared" ca="1" si="18"/>
        <v>0</v>
      </c>
      <c r="CF11" s="2790">
        <f t="shared" ca="1" si="18"/>
        <v>0</v>
      </c>
      <c r="CG11" s="2790">
        <f t="shared" ca="1" si="18"/>
        <v>0</v>
      </c>
      <c r="CH11" s="2790">
        <f t="shared" ca="1" si="18"/>
        <v>0</v>
      </c>
      <c r="CI11" s="2790">
        <f t="shared" ca="1" si="18"/>
        <v>0</v>
      </c>
      <c r="CJ11" s="2790">
        <f t="shared" ca="1" si="18"/>
        <v>0</v>
      </c>
      <c r="CK11" s="2790">
        <f t="shared" ca="1" si="18"/>
        <v>0</v>
      </c>
      <c r="CL11" s="2790">
        <f t="shared" ca="1" si="18"/>
        <v>0</v>
      </c>
      <c r="CM11" s="2790">
        <f t="shared" ca="1" si="18"/>
        <v>0</v>
      </c>
      <c r="CN11" s="2790">
        <f t="shared" ca="1" si="18"/>
        <v>0</v>
      </c>
      <c r="CO11" s="2790">
        <f t="shared" ca="1" si="18"/>
        <v>0</v>
      </c>
      <c r="CP11" s="2790">
        <f t="shared" ca="1" si="18"/>
        <v>0</v>
      </c>
      <c r="CQ11" s="2790">
        <f t="shared" ca="1" si="18"/>
        <v>0</v>
      </c>
      <c r="CR11" s="2790">
        <f t="shared" ca="1" si="18"/>
        <v>0</v>
      </c>
      <c r="CS11" s="2790">
        <f t="shared" ca="1" si="18"/>
        <v>0</v>
      </c>
      <c r="CT11" s="2790">
        <f t="shared" ca="1" si="18"/>
        <v>0</v>
      </c>
      <c r="CU11" s="2790">
        <f t="shared" ca="1" si="18"/>
        <v>0</v>
      </c>
      <c r="CV11" s="2790">
        <f t="shared" ca="1" si="18"/>
        <v>0</v>
      </c>
      <c r="CW11" s="2790">
        <f t="shared" ca="1" si="18"/>
        <v>0</v>
      </c>
      <c r="CX11" s="2790">
        <f t="shared" ca="1" si="18"/>
        <v>0</v>
      </c>
      <c r="CY11" s="2790">
        <f t="shared" ca="1" si="18"/>
        <v>0</v>
      </c>
      <c r="CZ11" s="2790">
        <f t="shared" ca="1" si="18"/>
        <v>0</v>
      </c>
      <c r="DA11" s="2790">
        <f t="shared" ca="1" si="18"/>
        <v>0</v>
      </c>
      <c r="DB11" s="2790">
        <f t="shared" ca="1" si="18"/>
        <v>0</v>
      </c>
      <c r="DC11" s="2790">
        <f t="shared" ca="1" si="18"/>
        <v>0</v>
      </c>
      <c r="DD11" s="2790">
        <f t="shared" ca="1" si="18"/>
        <v>0</v>
      </c>
      <c r="DE11" s="2790">
        <f t="shared" ca="1" si="18"/>
        <v>0</v>
      </c>
      <c r="DF11" s="2790">
        <f t="shared" ca="1" si="18"/>
        <v>0</v>
      </c>
      <c r="DH11" s="596"/>
    </row>
    <row r="12" spans="1:112" s="6" customFormat="1" ht="10.5" customHeight="1" outlineLevel="2">
      <c r="A12" s="586"/>
      <c r="B12" s="586"/>
      <c r="C12" s="587" t="s">
        <v>465</v>
      </c>
      <c r="D12" s="586" t="s">
        <v>466</v>
      </c>
      <c r="E12" s="599"/>
      <c r="G12" s="589">
        <f t="shared" ca="1" si="0"/>
        <v>15.481879354311168</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15.481879354311168</v>
      </c>
      <c r="S12" s="591">
        <f t="shared" ca="1" si="2"/>
        <v>-2.5948190476190471</v>
      </c>
      <c r="T12" s="591">
        <f t="shared" ca="1" si="2"/>
        <v>8.175535714285715</v>
      </c>
      <c r="U12" s="591">
        <f t="shared" ca="1" si="2"/>
        <v>-0.1252955665024631</v>
      </c>
      <c r="V12" s="591">
        <f t="shared" ca="1" si="2"/>
        <v>-0.86156848306332812</v>
      </c>
      <c r="W12" s="591">
        <f t="shared" ca="1" si="2"/>
        <v>-20.052417685697762</v>
      </c>
      <c r="X12" s="591">
        <f t="shared" ref="X12:Z13" ca="1" si="19">IFERROR(INDEX(INDIRECT($C12&amp;".Outputs["&amp;this.Year&amp;"]"), MATCH(X$5, INDIRECT($C12&amp;".Outputs[Vector]"), 0)), 0)</f>
        <v>0</v>
      </c>
      <c r="Y12" s="591">
        <f t="shared" ca="1" si="19"/>
        <v>0</v>
      </c>
      <c r="Z12" s="591">
        <f t="shared" ca="1" si="19"/>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4"/>
        <v>-15.458565068596887</v>
      </c>
      <c r="AM12" s="593">
        <f t="shared" ref="AM12:AU13" ca="1" si="20">IFERROR(INDEX(INDIRECT($C12&amp;".Outputs["&amp;this.Year&amp;"]"), MATCH(AM$5, INDIRECT($C12&amp;".Outputs[Vector]"), 0)), 0)</f>
        <v>0</v>
      </c>
      <c r="AN12" s="593">
        <f t="shared" ca="1" si="20"/>
        <v>0</v>
      </c>
      <c r="AO12" s="593">
        <f t="shared" ca="1" si="20"/>
        <v>0</v>
      </c>
      <c r="AP12" s="593">
        <f t="shared" ca="1" si="20"/>
        <v>0</v>
      </c>
      <c r="AQ12" s="593">
        <f t="shared" ca="1" si="20"/>
        <v>0</v>
      </c>
      <c r="AR12" s="593">
        <f t="shared" ca="1" si="20"/>
        <v>0</v>
      </c>
      <c r="AS12" s="593">
        <f t="shared" ca="1" si="20"/>
        <v>0</v>
      </c>
      <c r="AT12" s="593">
        <f t="shared" ca="1" si="20"/>
        <v>0</v>
      </c>
      <c r="AU12" s="593">
        <f t="shared" ca="1" si="20"/>
        <v>0</v>
      </c>
      <c r="AV12" s="593">
        <f t="shared" ca="1" si="6"/>
        <v>0</v>
      </c>
      <c r="AW12" s="593">
        <f t="shared" ca="1" si="6"/>
        <v>0</v>
      </c>
      <c r="AX12" s="593">
        <f t="shared" ca="1" si="6"/>
        <v>0</v>
      </c>
      <c r="AY12" s="593">
        <f t="shared" ca="1" si="6"/>
        <v>0</v>
      </c>
      <c r="AZ12" s="593">
        <f t="shared" ca="1" si="6"/>
        <v>0</v>
      </c>
      <c r="BA12" s="593">
        <f t="shared" ca="1" si="6"/>
        <v>0</v>
      </c>
      <c r="BB12" s="593">
        <f t="shared" ca="1" si="6"/>
        <v>0</v>
      </c>
      <c r="BC12" s="593">
        <f t="shared" ca="1" si="6"/>
        <v>-2.3314285714285725E-2</v>
      </c>
      <c r="BD12" s="593">
        <f t="shared" ca="1" si="6"/>
        <v>0</v>
      </c>
      <c r="BE12" s="593">
        <f t="shared" ca="1" si="6"/>
        <v>0</v>
      </c>
      <c r="BF12" s="594">
        <f t="shared" ca="1" si="7"/>
        <v>-2.3314285714285725E-2</v>
      </c>
      <c r="BH12" s="3471">
        <f t="shared" ca="1" si="8"/>
        <v>0</v>
      </c>
      <c r="BI12" s="3471">
        <f t="shared" ca="1" si="8"/>
        <v>0</v>
      </c>
      <c r="BJ12" s="3460">
        <f t="shared" ca="1" si="9"/>
        <v>0</v>
      </c>
      <c r="BL12" s="595">
        <f t="shared" ca="1" si="10"/>
        <v>-4.100886297209172E-15</v>
      </c>
      <c r="BM12" s="595"/>
      <c r="BN12" s="413"/>
      <c r="BO12" s="2789">
        <f t="shared" ref="BO12:BX13" ca="1" si="21">IFERROR(SUMIFS(INDIRECT($C12&amp;".Emissions["&amp;this.Year&amp;"]"), INDIRECT($C12&amp;".Emissions[GHG]"), BO$6, INDIRECT($C12&amp;".Emissions[IPCC Sector]"), BO$5),0)</f>
        <v>4.3748082926999405</v>
      </c>
      <c r="BP12" s="2790">
        <f t="shared" ca="1" si="21"/>
        <v>1.717997150376824E-3</v>
      </c>
      <c r="BQ12" s="2790">
        <f t="shared" ca="1" si="21"/>
        <v>6.5544465780359815E-2</v>
      </c>
      <c r="BR12" s="2790">
        <f t="shared" ca="1" si="21"/>
        <v>0</v>
      </c>
      <c r="BS12" s="2790">
        <f t="shared" ca="1" si="21"/>
        <v>0</v>
      </c>
      <c r="BT12" s="2790">
        <f t="shared" ca="1" si="21"/>
        <v>0</v>
      </c>
      <c r="BU12" s="2790">
        <f t="shared" ca="1" si="21"/>
        <v>0</v>
      </c>
      <c r="BV12" s="2790">
        <f t="shared" ca="1" si="21"/>
        <v>0</v>
      </c>
      <c r="BW12" s="2790">
        <f t="shared" ca="1" si="21"/>
        <v>0</v>
      </c>
      <c r="BX12" s="2790">
        <f t="shared" ca="1" si="21"/>
        <v>0</v>
      </c>
      <c r="BY12" s="2790">
        <f t="shared" ref="BY12:CH13" ca="1" si="22">IFERROR(SUMIFS(INDIRECT($C12&amp;".Emissions["&amp;this.Year&amp;"]"), INDIRECT($C12&amp;".Emissions[GHG]"), BY$6, INDIRECT($C12&amp;".Emissions[IPCC Sector]"), BY$5),0)</f>
        <v>0</v>
      </c>
      <c r="BZ12" s="2790">
        <f t="shared" ca="1" si="22"/>
        <v>0</v>
      </c>
      <c r="CA12" s="2790">
        <f t="shared" ca="1" si="22"/>
        <v>0</v>
      </c>
      <c r="CB12" s="2790">
        <f t="shared" ca="1" si="22"/>
        <v>0</v>
      </c>
      <c r="CC12" s="2790">
        <f t="shared" ca="1" si="22"/>
        <v>0</v>
      </c>
      <c r="CD12" s="2790">
        <f t="shared" ca="1" si="22"/>
        <v>0</v>
      </c>
      <c r="CE12" s="2790">
        <f t="shared" ca="1" si="22"/>
        <v>0</v>
      </c>
      <c r="CF12" s="2790">
        <f t="shared" ca="1" si="22"/>
        <v>0</v>
      </c>
      <c r="CG12" s="2790">
        <f t="shared" ca="1" si="22"/>
        <v>0</v>
      </c>
      <c r="CH12" s="2790">
        <f t="shared" ca="1" si="22"/>
        <v>0</v>
      </c>
      <c r="CI12" s="2790">
        <f t="shared" ref="CI12:CR13" ca="1" si="23">IFERROR(SUMIFS(INDIRECT($C12&amp;".Emissions["&amp;this.Year&amp;"]"), INDIRECT($C12&amp;".Emissions[GHG]"), CI$6, INDIRECT($C12&amp;".Emissions[IPCC Sector]"), CI$5),0)</f>
        <v>0</v>
      </c>
      <c r="CJ12" s="2790">
        <f t="shared" ca="1" si="23"/>
        <v>0</v>
      </c>
      <c r="CK12" s="2790">
        <f t="shared" ca="1" si="23"/>
        <v>0</v>
      </c>
      <c r="CL12" s="2790">
        <f t="shared" ca="1" si="23"/>
        <v>0</v>
      </c>
      <c r="CM12" s="2790">
        <f t="shared" ca="1" si="23"/>
        <v>0</v>
      </c>
      <c r="CN12" s="2790">
        <f t="shared" ca="1" si="23"/>
        <v>0</v>
      </c>
      <c r="CO12" s="2790">
        <f t="shared" ca="1" si="23"/>
        <v>0</v>
      </c>
      <c r="CP12" s="2790">
        <f t="shared" ca="1" si="23"/>
        <v>0</v>
      </c>
      <c r="CQ12" s="2790">
        <f t="shared" ca="1" si="23"/>
        <v>0</v>
      </c>
      <c r="CR12" s="2790">
        <f t="shared" ca="1" si="23"/>
        <v>0</v>
      </c>
      <c r="CS12" s="2790">
        <f t="shared" ref="CS12:DF13" ca="1" si="24">IFERROR(SUMIFS(INDIRECT($C12&amp;".Emissions["&amp;this.Year&amp;"]"), INDIRECT($C12&amp;".Emissions[GHG]"), CS$6, INDIRECT($C12&amp;".Emissions[IPCC Sector]"), CS$5),0)</f>
        <v>0</v>
      </c>
      <c r="CT12" s="2790">
        <f t="shared" ca="1" si="24"/>
        <v>0</v>
      </c>
      <c r="CU12" s="2790">
        <f t="shared" ca="1" si="24"/>
        <v>0</v>
      </c>
      <c r="CV12" s="2790">
        <f t="shared" ca="1" si="24"/>
        <v>0</v>
      </c>
      <c r="CW12" s="2790">
        <f t="shared" ca="1" si="24"/>
        <v>0</v>
      </c>
      <c r="CX12" s="2790">
        <f t="shared" ca="1" si="24"/>
        <v>0</v>
      </c>
      <c r="CY12" s="2790">
        <f t="shared" ca="1" si="24"/>
        <v>0</v>
      </c>
      <c r="CZ12" s="2790">
        <f t="shared" ca="1" si="24"/>
        <v>0</v>
      </c>
      <c r="DA12" s="2790">
        <f t="shared" ca="1" si="24"/>
        <v>0</v>
      </c>
      <c r="DB12" s="2790">
        <f t="shared" ca="1" si="24"/>
        <v>0</v>
      </c>
      <c r="DC12" s="2790">
        <f t="shared" ca="1" si="24"/>
        <v>0</v>
      </c>
      <c r="DD12" s="2790">
        <f t="shared" ca="1" si="24"/>
        <v>0</v>
      </c>
      <c r="DE12" s="2790">
        <f t="shared" ca="1" si="24"/>
        <v>0</v>
      </c>
      <c r="DF12" s="2790">
        <f t="shared" ca="1" si="24"/>
        <v>0</v>
      </c>
      <c r="DH12" s="596"/>
    </row>
    <row r="13" spans="1:112" s="6" customFormat="1" ht="10.5" customHeight="1" outlineLevel="2">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19"/>
        <v>0</v>
      </c>
      <c r="Y13" s="602">
        <f t="shared" ca="1" si="19"/>
        <v>0</v>
      </c>
      <c r="Z13" s="602">
        <f t="shared" ca="1" si="19"/>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4"/>
        <v>0</v>
      </c>
      <c r="AM13" s="604">
        <f t="shared" ca="1" si="20"/>
        <v>0</v>
      </c>
      <c r="AN13" s="604">
        <f t="shared" ca="1" si="20"/>
        <v>0</v>
      </c>
      <c r="AO13" s="604">
        <f t="shared" ca="1" si="20"/>
        <v>0</v>
      </c>
      <c r="AP13" s="604">
        <f t="shared" ca="1" si="20"/>
        <v>0</v>
      </c>
      <c r="AQ13" s="604">
        <f t="shared" ca="1" si="20"/>
        <v>0</v>
      </c>
      <c r="AR13" s="604">
        <f t="shared" ca="1" si="20"/>
        <v>0</v>
      </c>
      <c r="AS13" s="604">
        <f t="shared" ca="1" si="20"/>
        <v>0</v>
      </c>
      <c r="AT13" s="604">
        <f t="shared" ca="1" si="20"/>
        <v>0</v>
      </c>
      <c r="AU13" s="604">
        <f t="shared" ca="1" si="20"/>
        <v>0</v>
      </c>
      <c r="AV13" s="604">
        <f t="shared" ca="1" si="6"/>
        <v>0</v>
      </c>
      <c r="AW13" s="604">
        <f t="shared" ca="1" si="6"/>
        <v>0</v>
      </c>
      <c r="AX13" s="604">
        <f t="shared" ca="1" si="6"/>
        <v>0</v>
      </c>
      <c r="AY13" s="604">
        <f t="shared" ca="1" si="6"/>
        <v>0</v>
      </c>
      <c r="AZ13" s="604">
        <f t="shared" ca="1" si="6"/>
        <v>0</v>
      </c>
      <c r="BA13" s="604">
        <f t="shared" ca="1" si="6"/>
        <v>0</v>
      </c>
      <c r="BB13" s="604">
        <f t="shared" ca="1" si="6"/>
        <v>0</v>
      </c>
      <c r="BC13" s="604">
        <f t="shared" ca="1" si="6"/>
        <v>0</v>
      </c>
      <c r="BD13" s="604">
        <f t="shared" ca="1" si="6"/>
        <v>0</v>
      </c>
      <c r="BE13" s="604">
        <f t="shared" ca="1" si="6"/>
        <v>0</v>
      </c>
      <c r="BF13" s="605">
        <f t="shared" ca="1" si="7"/>
        <v>0</v>
      </c>
      <c r="BH13" s="3472">
        <f t="shared" ca="1" si="8"/>
        <v>0</v>
      </c>
      <c r="BI13" s="3472">
        <f t="shared" ca="1" si="8"/>
        <v>0</v>
      </c>
      <c r="BJ13" s="3461">
        <f t="shared" ca="1" si="9"/>
        <v>0</v>
      </c>
      <c r="BL13" s="606">
        <f t="shared" ca="1" si="10"/>
        <v>0</v>
      </c>
      <c r="BM13" s="606"/>
      <c r="BN13" s="413"/>
      <c r="BO13" s="2789">
        <f t="shared" ca="1" si="21"/>
        <v>0</v>
      </c>
      <c r="BP13" s="2790">
        <f t="shared" ca="1" si="21"/>
        <v>0</v>
      </c>
      <c r="BQ13" s="2790">
        <f t="shared" ca="1" si="21"/>
        <v>0</v>
      </c>
      <c r="BR13" s="2790">
        <f t="shared" ca="1" si="21"/>
        <v>0</v>
      </c>
      <c r="BS13" s="2790">
        <f t="shared" ca="1" si="21"/>
        <v>0</v>
      </c>
      <c r="BT13" s="2790">
        <f t="shared" ca="1" si="21"/>
        <v>0</v>
      </c>
      <c r="BU13" s="2790">
        <f t="shared" ca="1" si="21"/>
        <v>0</v>
      </c>
      <c r="BV13" s="2790">
        <f t="shared" ca="1" si="21"/>
        <v>0</v>
      </c>
      <c r="BW13" s="2790">
        <f t="shared" ca="1" si="21"/>
        <v>0</v>
      </c>
      <c r="BX13" s="2790">
        <f t="shared" ca="1" si="21"/>
        <v>0</v>
      </c>
      <c r="BY13" s="2790">
        <f t="shared" ca="1" si="22"/>
        <v>0</v>
      </c>
      <c r="BZ13" s="2790">
        <f t="shared" ca="1" si="22"/>
        <v>0</v>
      </c>
      <c r="CA13" s="2790">
        <f t="shared" ca="1" si="22"/>
        <v>0</v>
      </c>
      <c r="CB13" s="2790">
        <f t="shared" ca="1" si="22"/>
        <v>0</v>
      </c>
      <c r="CC13" s="2790">
        <f t="shared" ca="1" si="22"/>
        <v>0</v>
      </c>
      <c r="CD13" s="2790">
        <f t="shared" ca="1" si="22"/>
        <v>0</v>
      </c>
      <c r="CE13" s="2790">
        <f t="shared" ca="1" si="22"/>
        <v>0</v>
      </c>
      <c r="CF13" s="2790">
        <f t="shared" ca="1" si="22"/>
        <v>0</v>
      </c>
      <c r="CG13" s="2790">
        <f t="shared" ca="1" si="22"/>
        <v>0</v>
      </c>
      <c r="CH13" s="2790">
        <f t="shared" ca="1" si="22"/>
        <v>0</v>
      </c>
      <c r="CI13" s="2790">
        <f t="shared" ca="1" si="23"/>
        <v>0</v>
      </c>
      <c r="CJ13" s="2790">
        <f t="shared" ca="1" si="23"/>
        <v>0</v>
      </c>
      <c r="CK13" s="2790">
        <f t="shared" ca="1" si="23"/>
        <v>0</v>
      </c>
      <c r="CL13" s="2790">
        <f t="shared" ca="1" si="23"/>
        <v>0</v>
      </c>
      <c r="CM13" s="2790">
        <f t="shared" ca="1" si="23"/>
        <v>0</v>
      </c>
      <c r="CN13" s="2790">
        <f t="shared" ca="1" si="23"/>
        <v>0</v>
      </c>
      <c r="CO13" s="2790">
        <f t="shared" ca="1" si="23"/>
        <v>0</v>
      </c>
      <c r="CP13" s="2790">
        <f t="shared" ca="1" si="23"/>
        <v>0</v>
      </c>
      <c r="CQ13" s="2790">
        <f t="shared" ca="1" si="23"/>
        <v>0</v>
      </c>
      <c r="CR13" s="2790">
        <f t="shared" ca="1" si="23"/>
        <v>0</v>
      </c>
      <c r="CS13" s="2790">
        <f t="shared" ca="1" si="24"/>
        <v>0</v>
      </c>
      <c r="CT13" s="2790">
        <f t="shared" ca="1" si="24"/>
        <v>0</v>
      </c>
      <c r="CU13" s="2790">
        <f t="shared" ca="1" si="24"/>
        <v>0</v>
      </c>
      <c r="CV13" s="2790">
        <f t="shared" ca="1" si="24"/>
        <v>0</v>
      </c>
      <c r="CW13" s="2790">
        <f t="shared" ca="1" si="24"/>
        <v>0</v>
      </c>
      <c r="CX13" s="2790">
        <f t="shared" ca="1" si="24"/>
        <v>0</v>
      </c>
      <c r="CY13" s="2790">
        <f t="shared" ca="1" si="24"/>
        <v>0</v>
      </c>
      <c r="CZ13" s="2790">
        <f t="shared" ca="1" si="24"/>
        <v>0</v>
      </c>
      <c r="DA13" s="2790">
        <f t="shared" ca="1" si="24"/>
        <v>0</v>
      </c>
      <c r="DB13" s="2790">
        <f t="shared" ca="1" si="24"/>
        <v>0</v>
      </c>
      <c r="DC13" s="2790">
        <f t="shared" ca="1" si="24"/>
        <v>0</v>
      </c>
      <c r="DD13" s="2790">
        <f t="shared" ca="1" si="24"/>
        <v>0</v>
      </c>
      <c r="DE13" s="2790">
        <f t="shared" ca="1" si="24"/>
        <v>0</v>
      </c>
      <c r="DF13" s="2790">
        <f t="shared" ca="1" si="24"/>
        <v>0</v>
      </c>
      <c r="DH13" s="596"/>
    </row>
    <row r="14" spans="1:112" s="6" customFormat="1" ht="12.75" customHeight="1" outlineLevel="1">
      <c r="A14" s="607"/>
      <c r="B14" s="607"/>
      <c r="C14" s="587"/>
      <c r="D14" s="611" t="s">
        <v>469</v>
      </c>
      <c r="E14" s="611"/>
      <c r="G14" s="612">
        <f ca="1">SUM(G12:G13)</f>
        <v>15.481879354311168</v>
      </c>
      <c r="H14" s="612">
        <f t="shared" ref="H14:P14" ca="1" si="25">SUM(H12:H13)</f>
        <v>0</v>
      </c>
      <c r="I14" s="612">
        <f t="shared" ca="1" si="25"/>
        <v>0</v>
      </c>
      <c r="J14" s="612">
        <f t="shared" ca="1" si="25"/>
        <v>0</v>
      </c>
      <c r="K14" s="612">
        <f t="shared" ca="1" si="25"/>
        <v>0</v>
      </c>
      <c r="L14" s="612">
        <f t="shared" ca="1" si="25"/>
        <v>0</v>
      </c>
      <c r="M14" s="612">
        <f t="shared" ca="1" si="25"/>
        <v>0</v>
      </c>
      <c r="N14" s="612">
        <f ca="1">SUM(N12:N13)</f>
        <v>0</v>
      </c>
      <c r="O14" s="612">
        <f ca="1">SUM(O12:O13)</f>
        <v>0</v>
      </c>
      <c r="P14" s="612">
        <f t="shared" ca="1" si="25"/>
        <v>0</v>
      </c>
      <c r="Q14" s="612">
        <f t="shared" ca="1" si="1"/>
        <v>15.481879354311168</v>
      </c>
      <c r="S14" s="613">
        <f t="shared" ref="S14:AJ14" ca="1" si="26">SUM(S12:S13)</f>
        <v>-2.5948190476190471</v>
      </c>
      <c r="T14" s="613">
        <f t="shared" ca="1" si="26"/>
        <v>8.175535714285715</v>
      </c>
      <c r="U14" s="613">
        <f t="shared" ca="1" si="26"/>
        <v>-0.1252955665024631</v>
      </c>
      <c r="V14" s="613">
        <f t="shared" ca="1" si="26"/>
        <v>-0.86156848306332812</v>
      </c>
      <c r="W14" s="613">
        <f t="shared" ca="1" si="26"/>
        <v>-20.052417685697762</v>
      </c>
      <c r="X14" s="613">
        <f ca="1">SUM(X12:X13)</f>
        <v>0</v>
      </c>
      <c r="Y14" s="613">
        <f ca="1">SUM(Y12:Y13)</f>
        <v>0</v>
      </c>
      <c r="Z14" s="613">
        <f ca="1">SUM(Z12:Z13)</f>
        <v>0</v>
      </c>
      <c r="AA14" s="613">
        <f t="shared" ca="1" si="26"/>
        <v>0</v>
      </c>
      <c r="AB14" s="613">
        <f t="shared" ca="1" si="26"/>
        <v>0</v>
      </c>
      <c r="AC14" s="613">
        <f t="shared" ca="1" si="26"/>
        <v>0</v>
      </c>
      <c r="AD14" s="613">
        <f ca="1">SUM(AD12:AD13)</f>
        <v>0</v>
      </c>
      <c r="AE14" s="613">
        <f ca="1">SUM(AE12:AE13)</f>
        <v>0</v>
      </c>
      <c r="AF14" s="613">
        <f t="shared" ca="1" si="26"/>
        <v>0</v>
      </c>
      <c r="AG14" s="613">
        <f ca="1">SUM(AG12:AG13)</f>
        <v>0</v>
      </c>
      <c r="AH14" s="613">
        <f ca="1">SUM(AH12:AH13)</f>
        <v>0</v>
      </c>
      <c r="AI14" s="613">
        <f ca="1">SUM(AI12:AI13)</f>
        <v>0</v>
      </c>
      <c r="AJ14" s="613">
        <f t="shared" ca="1" si="26"/>
        <v>0</v>
      </c>
      <c r="AK14" s="613">
        <f t="shared" ca="1" si="4"/>
        <v>-15.458565068596887</v>
      </c>
      <c r="AM14" s="614">
        <f t="shared" ref="AM14:BE14" ca="1" si="27">SUM(AM12:AM13)</f>
        <v>0</v>
      </c>
      <c r="AN14" s="614">
        <f t="shared" ca="1" si="27"/>
        <v>0</v>
      </c>
      <c r="AO14" s="614">
        <f t="shared" ca="1" si="27"/>
        <v>0</v>
      </c>
      <c r="AP14" s="614">
        <f t="shared" ca="1" si="27"/>
        <v>0</v>
      </c>
      <c r="AQ14" s="614">
        <f t="shared" ca="1" si="27"/>
        <v>0</v>
      </c>
      <c r="AR14" s="614">
        <f t="shared" ca="1" si="27"/>
        <v>0</v>
      </c>
      <c r="AS14" s="614">
        <f t="shared" ca="1" si="27"/>
        <v>0</v>
      </c>
      <c r="AT14" s="614">
        <f t="shared" ca="1" si="27"/>
        <v>0</v>
      </c>
      <c r="AU14" s="614">
        <f t="shared" ca="1" si="27"/>
        <v>0</v>
      </c>
      <c r="AV14" s="614">
        <f t="shared" ca="1" si="27"/>
        <v>0</v>
      </c>
      <c r="AW14" s="614">
        <f t="shared" ca="1" si="27"/>
        <v>0</v>
      </c>
      <c r="AX14" s="614">
        <f t="shared" ca="1" si="27"/>
        <v>0</v>
      </c>
      <c r="AY14" s="614">
        <f t="shared" ca="1" si="27"/>
        <v>0</v>
      </c>
      <c r="AZ14" s="614">
        <f t="shared" ca="1" si="27"/>
        <v>0</v>
      </c>
      <c r="BA14" s="614">
        <f t="shared" ca="1" si="27"/>
        <v>0</v>
      </c>
      <c r="BB14" s="614">
        <f t="shared" ca="1" si="27"/>
        <v>0</v>
      </c>
      <c r="BC14" s="614">
        <f t="shared" ca="1" si="27"/>
        <v>-2.3314285714285725E-2</v>
      </c>
      <c r="BD14" s="614">
        <f ca="1">SUM(BD12:BD13)</f>
        <v>0</v>
      </c>
      <c r="BE14" s="614">
        <f t="shared" ca="1" si="27"/>
        <v>0</v>
      </c>
      <c r="BF14" s="615">
        <f t="shared" ca="1" si="7"/>
        <v>-2.3314285714285725E-2</v>
      </c>
      <c r="BH14" s="3462">
        <f ca="1">SUM(BH12:BH13)</f>
        <v>0</v>
      </c>
      <c r="BI14" s="3462">
        <f ca="1">SUM(BI12:BI13)</f>
        <v>0</v>
      </c>
      <c r="BJ14" s="3462">
        <f t="shared" ca="1" si="9"/>
        <v>0</v>
      </c>
      <c r="BL14" s="610">
        <f t="shared" ca="1" si="10"/>
        <v>-4.100886297209172E-15</v>
      </c>
      <c r="BM14" s="610"/>
      <c r="BN14" s="413"/>
      <c r="BO14" s="2791">
        <f t="shared" ref="BO14:DF14" ca="1" si="28">SUM(BO12:BO13)</f>
        <v>4.3748082926999405</v>
      </c>
      <c r="BP14" s="2792">
        <f t="shared" ca="1" si="28"/>
        <v>1.717997150376824E-3</v>
      </c>
      <c r="BQ14" s="2792">
        <f t="shared" ca="1" si="28"/>
        <v>6.5544465780359815E-2</v>
      </c>
      <c r="BR14" s="2792">
        <f t="shared" ca="1" si="28"/>
        <v>0</v>
      </c>
      <c r="BS14" s="2792">
        <f t="shared" ca="1" si="28"/>
        <v>0</v>
      </c>
      <c r="BT14" s="2792">
        <f t="shared" ca="1" si="28"/>
        <v>0</v>
      </c>
      <c r="BU14" s="2792">
        <f t="shared" ca="1" si="28"/>
        <v>0</v>
      </c>
      <c r="BV14" s="2792">
        <f t="shared" ca="1" si="28"/>
        <v>0</v>
      </c>
      <c r="BW14" s="2792">
        <f t="shared" ca="1" si="28"/>
        <v>0</v>
      </c>
      <c r="BX14" s="2792">
        <f t="shared" ca="1" si="28"/>
        <v>0</v>
      </c>
      <c r="BY14" s="2792">
        <f t="shared" ca="1" si="28"/>
        <v>0</v>
      </c>
      <c r="BZ14" s="2792">
        <f t="shared" ca="1" si="28"/>
        <v>0</v>
      </c>
      <c r="CA14" s="2792">
        <f t="shared" ca="1" si="28"/>
        <v>0</v>
      </c>
      <c r="CB14" s="2792">
        <f t="shared" ca="1" si="28"/>
        <v>0</v>
      </c>
      <c r="CC14" s="2792">
        <f t="shared" ca="1" si="28"/>
        <v>0</v>
      </c>
      <c r="CD14" s="2792">
        <f t="shared" ca="1" si="28"/>
        <v>0</v>
      </c>
      <c r="CE14" s="2792">
        <f t="shared" ca="1" si="28"/>
        <v>0</v>
      </c>
      <c r="CF14" s="2792">
        <f t="shared" ca="1" si="28"/>
        <v>0</v>
      </c>
      <c r="CG14" s="2792">
        <f t="shared" ca="1" si="28"/>
        <v>0</v>
      </c>
      <c r="CH14" s="2792">
        <f t="shared" ca="1" si="28"/>
        <v>0</v>
      </c>
      <c r="CI14" s="2792">
        <f t="shared" ca="1" si="28"/>
        <v>0</v>
      </c>
      <c r="CJ14" s="2792">
        <f t="shared" ca="1" si="28"/>
        <v>0</v>
      </c>
      <c r="CK14" s="2792">
        <f t="shared" ca="1" si="28"/>
        <v>0</v>
      </c>
      <c r="CL14" s="2792">
        <f t="shared" ca="1" si="28"/>
        <v>0</v>
      </c>
      <c r="CM14" s="2792">
        <f t="shared" ca="1" si="28"/>
        <v>0</v>
      </c>
      <c r="CN14" s="2792">
        <f t="shared" ca="1" si="28"/>
        <v>0</v>
      </c>
      <c r="CO14" s="2792">
        <f t="shared" ca="1" si="28"/>
        <v>0</v>
      </c>
      <c r="CP14" s="2792">
        <f t="shared" ca="1" si="28"/>
        <v>0</v>
      </c>
      <c r="CQ14" s="2792">
        <f t="shared" ca="1" si="28"/>
        <v>0</v>
      </c>
      <c r="CR14" s="2792">
        <f t="shared" ca="1" si="28"/>
        <v>0</v>
      </c>
      <c r="CS14" s="2792">
        <f t="shared" ca="1" si="28"/>
        <v>0</v>
      </c>
      <c r="CT14" s="2792">
        <f t="shared" ca="1" si="28"/>
        <v>0</v>
      </c>
      <c r="CU14" s="2792">
        <f t="shared" ca="1" si="28"/>
        <v>0</v>
      </c>
      <c r="CV14" s="2792">
        <f t="shared" ca="1" si="28"/>
        <v>0</v>
      </c>
      <c r="CW14" s="2792">
        <f t="shared" ca="1" si="28"/>
        <v>0</v>
      </c>
      <c r="CX14" s="2792">
        <f t="shared" ca="1" si="28"/>
        <v>0</v>
      </c>
      <c r="CY14" s="2792">
        <f t="shared" ca="1" si="28"/>
        <v>0</v>
      </c>
      <c r="CZ14" s="2792">
        <f t="shared" ca="1" si="28"/>
        <v>0</v>
      </c>
      <c r="DA14" s="2792">
        <f t="shared" ca="1" si="28"/>
        <v>0</v>
      </c>
      <c r="DB14" s="2792">
        <f t="shared" ca="1" si="28"/>
        <v>0</v>
      </c>
      <c r="DC14" s="2792">
        <f t="shared" ca="1" si="28"/>
        <v>0</v>
      </c>
      <c r="DD14" s="2792">
        <f t="shared" ca="1" si="28"/>
        <v>0</v>
      </c>
      <c r="DE14" s="2792">
        <f t="shared" ca="1" si="28"/>
        <v>0</v>
      </c>
      <c r="DF14" s="2792">
        <f t="shared" ca="1" si="28"/>
        <v>0</v>
      </c>
      <c r="DH14" s="596"/>
    </row>
    <row r="15" spans="1:112" s="6" customFormat="1" ht="15.75">
      <c r="A15" s="4"/>
      <c r="B15" s="3"/>
      <c r="C15" s="616" t="s">
        <v>0</v>
      </c>
      <c r="D15" s="617" t="s">
        <v>1</v>
      </c>
      <c r="E15" s="206"/>
      <c r="G15" s="618">
        <f t="shared" ref="G15:P15" ca="1" si="29">G14+G11</f>
        <v>40.107798280097512</v>
      </c>
      <c r="H15" s="618">
        <f t="shared" ca="1" si="29"/>
        <v>0</v>
      </c>
      <c r="I15" s="618">
        <f t="shared" ca="1" si="29"/>
        <v>0</v>
      </c>
      <c r="J15" s="618">
        <f t="shared" ca="1" si="29"/>
        <v>0</v>
      </c>
      <c r="K15" s="618">
        <f t="shared" ca="1" si="29"/>
        <v>0</v>
      </c>
      <c r="L15" s="618">
        <f t="shared" ca="1" si="29"/>
        <v>0</v>
      </c>
      <c r="M15" s="618">
        <f t="shared" ca="1" si="29"/>
        <v>0</v>
      </c>
      <c r="N15" s="618">
        <f t="shared" ca="1" si="29"/>
        <v>0</v>
      </c>
      <c r="O15" s="618">
        <f t="shared" ca="1" si="29"/>
        <v>0</v>
      </c>
      <c r="P15" s="618">
        <f t="shared" ca="1" si="29"/>
        <v>0</v>
      </c>
      <c r="Q15" s="618">
        <f t="shared" ca="1" si="1"/>
        <v>40.107798280097512</v>
      </c>
      <c r="S15" s="581">
        <f t="shared" ref="S15:AJ15" ca="1" si="30">S14+S11</f>
        <v>-4.4440239722436115</v>
      </c>
      <c r="T15" s="581">
        <f t="shared" ca="1" si="30"/>
        <v>8.175535714285715</v>
      </c>
      <c r="U15" s="581">
        <f t="shared" ca="1" si="30"/>
        <v>-0.19326484751016687</v>
      </c>
      <c r="V15" s="581">
        <f t="shared" ca="1" si="30"/>
        <v>-4.2144861080309823</v>
      </c>
      <c r="W15" s="581">
        <f t="shared" ca="1" si="30"/>
        <v>-37.060501778967875</v>
      </c>
      <c r="X15" s="581">
        <f t="shared" ca="1" si="30"/>
        <v>0</v>
      </c>
      <c r="Y15" s="581">
        <f t="shared" ca="1" si="30"/>
        <v>0</v>
      </c>
      <c r="Z15" s="581">
        <f t="shared" ca="1" si="30"/>
        <v>0</v>
      </c>
      <c r="AA15" s="581">
        <f t="shared" ca="1" si="30"/>
        <v>0</v>
      </c>
      <c r="AB15" s="581">
        <f t="shared" ca="1" si="30"/>
        <v>0</v>
      </c>
      <c r="AC15" s="581">
        <f t="shared" ca="1" si="30"/>
        <v>0</v>
      </c>
      <c r="AD15" s="581">
        <f t="shared" ca="1" si="30"/>
        <v>0</v>
      </c>
      <c r="AE15" s="581">
        <f ca="1">AE14+AE11</f>
        <v>0</v>
      </c>
      <c r="AF15" s="581">
        <f t="shared" ca="1" si="30"/>
        <v>0</v>
      </c>
      <c r="AG15" s="581">
        <f t="shared" ca="1" si="30"/>
        <v>0</v>
      </c>
      <c r="AH15" s="581">
        <f ca="1">AH14+AH11</f>
        <v>0</v>
      </c>
      <c r="AI15" s="581">
        <f t="shared" ca="1" si="30"/>
        <v>-2.3046831432863932</v>
      </c>
      <c r="AJ15" s="581">
        <f t="shared" ca="1" si="30"/>
        <v>0</v>
      </c>
      <c r="AK15" s="581">
        <f t="shared" ca="1" si="4"/>
        <v>-40.041424135753317</v>
      </c>
      <c r="AM15" s="582">
        <f t="shared" ref="AM15:BE15" ca="1" si="31">AM14+AM11</f>
        <v>0</v>
      </c>
      <c r="AN15" s="582">
        <f t="shared" ca="1" si="31"/>
        <v>0</v>
      </c>
      <c r="AO15" s="582">
        <f t="shared" ca="1" si="31"/>
        <v>0</v>
      </c>
      <c r="AP15" s="582">
        <f t="shared" ca="1" si="31"/>
        <v>0</v>
      </c>
      <c r="AQ15" s="582">
        <f t="shared" ca="1" si="31"/>
        <v>0</v>
      </c>
      <c r="AR15" s="582">
        <f t="shared" ca="1" si="31"/>
        <v>0</v>
      </c>
      <c r="AS15" s="582">
        <f t="shared" ca="1" si="31"/>
        <v>0</v>
      </c>
      <c r="AT15" s="582">
        <f t="shared" ca="1" si="31"/>
        <v>0</v>
      </c>
      <c r="AU15" s="582">
        <f t="shared" ca="1" si="31"/>
        <v>0</v>
      </c>
      <c r="AV15" s="582">
        <f t="shared" ca="1" si="31"/>
        <v>0</v>
      </c>
      <c r="AW15" s="582">
        <f t="shared" ca="1" si="31"/>
        <v>0</v>
      </c>
      <c r="AX15" s="582">
        <f t="shared" ca="1" si="31"/>
        <v>0</v>
      </c>
      <c r="AY15" s="582">
        <f t="shared" ca="1" si="31"/>
        <v>0</v>
      </c>
      <c r="AZ15" s="582">
        <f t="shared" ca="1" si="31"/>
        <v>0</v>
      </c>
      <c r="BA15" s="582">
        <f t="shared" ca="1" si="31"/>
        <v>0</v>
      </c>
      <c r="BB15" s="582">
        <f t="shared" ca="1" si="31"/>
        <v>0</v>
      </c>
      <c r="BC15" s="582">
        <f t="shared" ca="1" si="31"/>
        <v>-6.6374144344193087E-2</v>
      </c>
      <c r="BD15" s="582">
        <f ca="1">BD14+BD11</f>
        <v>0</v>
      </c>
      <c r="BE15" s="582">
        <f t="shared" ca="1" si="31"/>
        <v>0</v>
      </c>
      <c r="BF15" s="582">
        <f t="shared" ca="1" si="7"/>
        <v>-6.6374144344193087E-2</v>
      </c>
      <c r="BH15" s="3463">
        <f ca="1">BH14+BH11</f>
        <v>0</v>
      </c>
      <c r="BI15" s="3463">
        <f ca="1">BI14+BI11</f>
        <v>0</v>
      </c>
      <c r="BJ15" s="3463">
        <f t="shared" ca="1" si="9"/>
        <v>0</v>
      </c>
      <c r="BL15" s="3477">
        <f t="shared" ca="1" si="10"/>
        <v>1.8873791418627661E-15</v>
      </c>
      <c r="BM15" s="584"/>
      <c r="BN15" s="413"/>
      <c r="BO15" s="2790">
        <f t="shared" ref="BO15:DF15" ca="1" si="32">BO14+BO11</f>
        <v>8.7644395326316697</v>
      </c>
      <c r="BP15" s="2790">
        <f t="shared" ca="1" si="32"/>
        <v>3.7678469595216362E-3</v>
      </c>
      <c r="BQ15" s="2790">
        <f t="shared" ca="1" si="32"/>
        <v>0.12287246964029985</v>
      </c>
      <c r="BR15" s="2790">
        <f t="shared" ca="1" si="32"/>
        <v>0</v>
      </c>
      <c r="BS15" s="2790">
        <f t="shared" ca="1" si="32"/>
        <v>0</v>
      </c>
      <c r="BT15" s="2790">
        <f t="shared" ca="1" si="32"/>
        <v>0</v>
      </c>
      <c r="BU15" s="2790">
        <f t="shared" ca="1" si="32"/>
        <v>0</v>
      </c>
      <c r="BV15" s="2790">
        <f t="shared" ca="1" si="32"/>
        <v>0</v>
      </c>
      <c r="BW15" s="2790">
        <f t="shared" ca="1" si="32"/>
        <v>0</v>
      </c>
      <c r="BX15" s="2790">
        <f t="shared" ca="1" si="32"/>
        <v>0</v>
      </c>
      <c r="BY15" s="2790">
        <f t="shared" ca="1" si="32"/>
        <v>0</v>
      </c>
      <c r="BZ15" s="2790">
        <f t="shared" ca="1" si="32"/>
        <v>0</v>
      </c>
      <c r="CA15" s="2790">
        <f t="shared" ca="1" si="32"/>
        <v>0</v>
      </c>
      <c r="CB15" s="2790">
        <f t="shared" ca="1" si="32"/>
        <v>0</v>
      </c>
      <c r="CC15" s="2790">
        <f t="shared" ca="1" si="32"/>
        <v>0</v>
      </c>
      <c r="CD15" s="2790">
        <f t="shared" ca="1" si="32"/>
        <v>0</v>
      </c>
      <c r="CE15" s="2790">
        <f t="shared" ca="1" si="32"/>
        <v>0</v>
      </c>
      <c r="CF15" s="2790">
        <f t="shared" ca="1" si="32"/>
        <v>0</v>
      </c>
      <c r="CG15" s="2790">
        <f t="shared" ca="1" si="32"/>
        <v>0</v>
      </c>
      <c r="CH15" s="2790">
        <f t="shared" ca="1" si="32"/>
        <v>0</v>
      </c>
      <c r="CI15" s="2790">
        <f t="shared" ca="1" si="32"/>
        <v>0</v>
      </c>
      <c r="CJ15" s="2790">
        <f t="shared" ca="1" si="32"/>
        <v>0</v>
      </c>
      <c r="CK15" s="2790">
        <f t="shared" ca="1" si="32"/>
        <v>0</v>
      </c>
      <c r="CL15" s="2790">
        <f t="shared" ca="1" si="32"/>
        <v>0</v>
      </c>
      <c r="CM15" s="2790">
        <f t="shared" ca="1" si="32"/>
        <v>0</v>
      </c>
      <c r="CN15" s="2790">
        <f t="shared" ca="1" si="32"/>
        <v>0</v>
      </c>
      <c r="CO15" s="2790">
        <f t="shared" ca="1" si="32"/>
        <v>0</v>
      </c>
      <c r="CP15" s="2790">
        <f t="shared" ca="1" si="32"/>
        <v>0</v>
      </c>
      <c r="CQ15" s="2790">
        <f t="shared" ca="1" si="32"/>
        <v>0</v>
      </c>
      <c r="CR15" s="2790">
        <f t="shared" ca="1" si="32"/>
        <v>0</v>
      </c>
      <c r="CS15" s="2790">
        <f t="shared" ca="1" si="32"/>
        <v>0</v>
      </c>
      <c r="CT15" s="2790">
        <f t="shared" ca="1" si="32"/>
        <v>0</v>
      </c>
      <c r="CU15" s="2790">
        <f t="shared" ca="1" si="32"/>
        <v>0</v>
      </c>
      <c r="CV15" s="2790">
        <f t="shared" ca="1" si="32"/>
        <v>0</v>
      </c>
      <c r="CW15" s="2790">
        <f t="shared" ca="1" si="32"/>
        <v>0</v>
      </c>
      <c r="CX15" s="2790">
        <f t="shared" ca="1" si="32"/>
        <v>0</v>
      </c>
      <c r="CY15" s="2790">
        <f t="shared" ca="1" si="32"/>
        <v>0</v>
      </c>
      <c r="CZ15" s="2790">
        <f t="shared" ca="1" si="32"/>
        <v>0</v>
      </c>
      <c r="DA15" s="2790">
        <f t="shared" ca="1" si="32"/>
        <v>0</v>
      </c>
      <c r="DB15" s="2790">
        <f t="shared" ca="1" si="32"/>
        <v>0</v>
      </c>
      <c r="DC15" s="2790">
        <f t="shared" ca="1" si="32"/>
        <v>0</v>
      </c>
      <c r="DD15" s="2790">
        <f t="shared" ca="1" si="32"/>
        <v>0</v>
      </c>
      <c r="DE15" s="2790">
        <f t="shared" ca="1" si="32"/>
        <v>0</v>
      </c>
      <c r="DF15" s="2790">
        <f t="shared" ca="1" si="32"/>
        <v>0</v>
      </c>
      <c r="DH15" s="596">
        <f t="shared" ref="DH15:DH38" ca="1" si="33">SUM(BO15:DF15)</f>
        <v>8.89107984923149</v>
      </c>
    </row>
    <row r="16" spans="1:112" s="6" customFormat="1" outlineLevel="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10"/>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3"/>
        <v>0</v>
      </c>
    </row>
    <row r="17" spans="1:112" s="6" customFormat="1" ht="12.75" customHeight="1" outlineLevel="1">
      <c r="A17" s="607"/>
      <c r="B17" s="607"/>
      <c r="C17" s="587" t="s">
        <v>470</v>
      </c>
      <c r="D17" s="586" t="s">
        <v>471</v>
      </c>
      <c r="E17" s="599"/>
      <c r="G17" s="589">
        <f t="shared" ref="G17:P18" ca="1" si="34">IFERROR(INDEX(INDIRECT($C17&amp;".Outputs["&amp;this.Year&amp;"]"), MATCH(G$5, INDIRECT($C17&amp;".Outputs[Vector]"), 0)), 0)</f>
        <v>0</v>
      </c>
      <c r="H17" s="589">
        <f t="shared" ca="1" si="34"/>
        <v>6.4034073941727252</v>
      </c>
      <c r="I17" s="589">
        <f t="shared" ca="1" si="34"/>
        <v>0</v>
      </c>
      <c r="J17" s="589">
        <f t="shared" ca="1" si="34"/>
        <v>0</v>
      </c>
      <c r="K17" s="589">
        <f t="shared" ca="1" si="34"/>
        <v>0</v>
      </c>
      <c r="L17" s="589">
        <f t="shared" ca="1" si="34"/>
        <v>0</v>
      </c>
      <c r="M17" s="589">
        <f t="shared" ca="1" si="34"/>
        <v>0</v>
      </c>
      <c r="N17" s="589">
        <f t="shared" ca="1" si="34"/>
        <v>0</v>
      </c>
      <c r="O17" s="589">
        <f t="shared" ca="1" si="34"/>
        <v>0</v>
      </c>
      <c r="P17" s="589">
        <f t="shared" ca="1" si="34"/>
        <v>0</v>
      </c>
      <c r="Q17" s="590">
        <f ca="1">SUM(G17:P17)</f>
        <v>6.4034073941727252</v>
      </c>
      <c r="S17" s="591">
        <f t="shared" ref="S17:AJ18" ca="1" si="35">IFERROR(INDEX(INDIRECT($C17&amp;".Outputs["&amp;this.Year&amp;"]"), MATCH(S$5, INDIRECT($C17&amp;".Outputs[Vector]"), 0)), 0)</f>
        <v>-5.929434432399237</v>
      </c>
      <c r="T17" s="591">
        <f t="shared" ca="1" si="35"/>
        <v>0</v>
      </c>
      <c r="U17" s="591">
        <f t="shared" ca="1" si="35"/>
        <v>0</v>
      </c>
      <c r="V17" s="591">
        <f t="shared" ca="1" si="35"/>
        <v>0</v>
      </c>
      <c r="W17" s="591">
        <f t="shared" ca="1" si="35"/>
        <v>-0.47397296177348791</v>
      </c>
      <c r="X17" s="591">
        <f t="shared" ref="X17:Z18" ca="1" si="36">IFERROR(INDEX(INDIRECT($C17&amp;".Outputs["&amp;this.Year&amp;"]"), MATCH(X$5, INDIRECT($C17&amp;".Outputs[Vector]"), 0)), 0)</f>
        <v>0</v>
      </c>
      <c r="Y17" s="591">
        <f t="shared" ca="1" si="36"/>
        <v>0</v>
      </c>
      <c r="Z17" s="591">
        <f t="shared" ca="1" si="36"/>
        <v>0</v>
      </c>
      <c r="AA17" s="591">
        <f t="shared" ca="1" si="35"/>
        <v>0</v>
      </c>
      <c r="AB17" s="591">
        <f t="shared" ca="1" si="35"/>
        <v>0</v>
      </c>
      <c r="AC17" s="591">
        <f t="shared" ca="1" si="35"/>
        <v>0</v>
      </c>
      <c r="AD17" s="591">
        <f t="shared" ca="1" si="35"/>
        <v>0</v>
      </c>
      <c r="AE17" s="591">
        <f t="shared" ca="1" si="35"/>
        <v>0</v>
      </c>
      <c r="AF17" s="591">
        <f t="shared" ca="1" si="35"/>
        <v>0</v>
      </c>
      <c r="AG17" s="591">
        <f t="shared" ca="1" si="35"/>
        <v>0</v>
      </c>
      <c r="AH17" s="591">
        <f t="shared" ca="1" si="35"/>
        <v>0</v>
      </c>
      <c r="AI17" s="591">
        <f t="shared" ca="1" si="35"/>
        <v>0</v>
      </c>
      <c r="AJ17" s="591">
        <f t="shared" ca="1" si="35"/>
        <v>0</v>
      </c>
      <c r="AK17" s="592">
        <f ca="1">SUM(S17:AJ17)</f>
        <v>-6.4034073941727252</v>
      </c>
      <c r="AM17" s="593">
        <f t="shared" ref="AM17:AU18" ca="1" si="37">IFERROR(INDEX(INDIRECT($C17&amp;".Outputs["&amp;this.Year&amp;"]"), MATCH(AM$5, INDIRECT($C17&amp;".Outputs[Vector]"), 0)), 0)</f>
        <v>0</v>
      </c>
      <c r="AN17" s="593">
        <f t="shared" ca="1" si="37"/>
        <v>0</v>
      </c>
      <c r="AO17" s="593">
        <f t="shared" ca="1" si="37"/>
        <v>0</v>
      </c>
      <c r="AP17" s="593">
        <f t="shared" ca="1" si="37"/>
        <v>0</v>
      </c>
      <c r="AQ17" s="593">
        <f t="shared" ca="1" si="37"/>
        <v>0</v>
      </c>
      <c r="AR17" s="593">
        <f t="shared" ca="1" si="37"/>
        <v>0</v>
      </c>
      <c r="AS17" s="593">
        <f t="shared" ca="1" si="37"/>
        <v>0</v>
      </c>
      <c r="AT17" s="593">
        <f t="shared" ca="1" si="37"/>
        <v>0</v>
      </c>
      <c r="AU17" s="593">
        <f t="shared" ca="1" si="37"/>
        <v>0</v>
      </c>
      <c r="AV17" s="593">
        <f t="shared" ref="AV17:BE18" ca="1" si="38">IFERROR(INDEX(INDIRECT($C17&amp;".Outputs["&amp;this.Year&amp;"]"), MATCH(AV$5, INDIRECT($C17&amp;".Outputs[Vector]"), 0)), 0)</f>
        <v>0</v>
      </c>
      <c r="AW17" s="593">
        <f t="shared" ca="1" si="38"/>
        <v>0</v>
      </c>
      <c r="AX17" s="593">
        <f t="shared" ca="1" si="38"/>
        <v>0</v>
      </c>
      <c r="AY17" s="593">
        <f t="shared" ca="1" si="38"/>
        <v>0</v>
      </c>
      <c r="AZ17" s="593">
        <f t="shared" ca="1" si="38"/>
        <v>0</v>
      </c>
      <c r="BA17" s="593">
        <f t="shared" ca="1" si="38"/>
        <v>0</v>
      </c>
      <c r="BB17" s="593">
        <f t="shared" ca="1" si="38"/>
        <v>0</v>
      </c>
      <c r="BC17" s="593">
        <f t="shared" ca="1" si="38"/>
        <v>0</v>
      </c>
      <c r="BD17" s="593">
        <f t="shared" ca="1" si="38"/>
        <v>0</v>
      </c>
      <c r="BE17" s="593">
        <f t="shared" ca="1" si="38"/>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10"/>
        <v>0</v>
      </c>
      <c r="BM17" s="610"/>
      <c r="BN17" s="413"/>
      <c r="BO17" s="2789">
        <f t="shared" ref="BO17:BX18" ca="1" si="39">IFERROR(SUMIFS(INDIRECT($C17&amp;".Emissions["&amp;this.Year&amp;"]"), INDIRECT($C17&amp;".Emissions[GHG]"), BO$6, INDIRECT($C17&amp;".Emissions[IPCC Sector]"), BO$5),0)</f>
        <v>9.7032313501822565E-2</v>
      </c>
      <c r="BP17" s="2790">
        <f t="shared" ca="1" si="39"/>
        <v>3.5832355910075688E-5</v>
      </c>
      <c r="BQ17" s="2790">
        <f t="shared" ca="1" si="39"/>
        <v>1.5339660934837163E-3</v>
      </c>
      <c r="BR17" s="2790">
        <f t="shared" ca="1" si="39"/>
        <v>0</v>
      </c>
      <c r="BS17" s="2790">
        <f t="shared" ca="1" si="39"/>
        <v>0</v>
      </c>
      <c r="BT17" s="2790">
        <f t="shared" ca="1" si="39"/>
        <v>0</v>
      </c>
      <c r="BU17" s="2790">
        <f t="shared" ca="1" si="39"/>
        <v>0</v>
      </c>
      <c r="BV17" s="2790">
        <f t="shared" ca="1" si="39"/>
        <v>0</v>
      </c>
      <c r="BW17" s="2790">
        <f t="shared" ca="1" si="39"/>
        <v>0</v>
      </c>
      <c r="BX17" s="2790">
        <f t="shared" ca="1" si="39"/>
        <v>0</v>
      </c>
      <c r="BY17" s="2790">
        <f t="shared" ref="BY17:CH18" ca="1" si="40">IFERROR(SUMIFS(INDIRECT($C17&amp;".Emissions["&amp;this.Year&amp;"]"), INDIRECT($C17&amp;".Emissions[GHG]"), BY$6, INDIRECT($C17&amp;".Emissions[IPCC Sector]"), BY$5),0)</f>
        <v>0</v>
      </c>
      <c r="BZ17" s="2790">
        <f t="shared" ca="1" si="40"/>
        <v>0</v>
      </c>
      <c r="CA17" s="2790">
        <f t="shared" ca="1" si="40"/>
        <v>0</v>
      </c>
      <c r="CB17" s="2790">
        <f t="shared" ca="1" si="40"/>
        <v>0</v>
      </c>
      <c r="CC17" s="2790">
        <f t="shared" ca="1" si="40"/>
        <v>0</v>
      </c>
      <c r="CD17" s="2790">
        <f t="shared" ca="1" si="40"/>
        <v>0</v>
      </c>
      <c r="CE17" s="2790">
        <f t="shared" ca="1" si="40"/>
        <v>0</v>
      </c>
      <c r="CF17" s="2790">
        <f t="shared" ca="1" si="40"/>
        <v>0</v>
      </c>
      <c r="CG17" s="2790">
        <f t="shared" ca="1" si="40"/>
        <v>0</v>
      </c>
      <c r="CH17" s="2790">
        <f t="shared" ca="1" si="40"/>
        <v>0</v>
      </c>
      <c r="CI17" s="2790">
        <f t="shared" ref="CI17:CR18" ca="1" si="41">IFERROR(SUMIFS(INDIRECT($C17&amp;".Emissions["&amp;this.Year&amp;"]"), INDIRECT($C17&amp;".Emissions[GHG]"), CI$6, INDIRECT($C17&amp;".Emissions[IPCC Sector]"), CI$5),0)</f>
        <v>0</v>
      </c>
      <c r="CJ17" s="2790">
        <f t="shared" ca="1" si="41"/>
        <v>0</v>
      </c>
      <c r="CK17" s="2790">
        <f t="shared" ca="1" si="41"/>
        <v>0</v>
      </c>
      <c r="CL17" s="2790">
        <f t="shared" ca="1" si="41"/>
        <v>0</v>
      </c>
      <c r="CM17" s="2790">
        <f t="shared" ca="1" si="41"/>
        <v>0</v>
      </c>
      <c r="CN17" s="2790">
        <f t="shared" ca="1" si="41"/>
        <v>0</v>
      </c>
      <c r="CO17" s="2790">
        <f t="shared" ca="1" si="41"/>
        <v>0</v>
      </c>
      <c r="CP17" s="2790">
        <f t="shared" ca="1" si="41"/>
        <v>0</v>
      </c>
      <c r="CQ17" s="2790">
        <f t="shared" ca="1" si="41"/>
        <v>0</v>
      </c>
      <c r="CR17" s="2790">
        <f t="shared" ca="1" si="41"/>
        <v>0</v>
      </c>
      <c r="CS17" s="2790">
        <f t="shared" ref="CS17:DF18" ca="1" si="42">IFERROR(SUMIFS(INDIRECT($C17&amp;".Emissions["&amp;this.Year&amp;"]"), INDIRECT($C17&amp;".Emissions[GHG]"), CS$6, INDIRECT($C17&amp;".Emissions[IPCC Sector]"), CS$5),0)</f>
        <v>0</v>
      </c>
      <c r="CT17" s="2790">
        <f t="shared" ca="1" si="42"/>
        <v>0</v>
      </c>
      <c r="CU17" s="2790">
        <f t="shared" ca="1" si="42"/>
        <v>0</v>
      </c>
      <c r="CV17" s="2790">
        <f t="shared" ca="1" si="42"/>
        <v>0</v>
      </c>
      <c r="CW17" s="2790">
        <f t="shared" ca="1" si="42"/>
        <v>0</v>
      </c>
      <c r="CX17" s="2790">
        <f t="shared" ca="1" si="42"/>
        <v>0</v>
      </c>
      <c r="CY17" s="2790">
        <f t="shared" ca="1" si="42"/>
        <v>0</v>
      </c>
      <c r="CZ17" s="2790">
        <f t="shared" ca="1" si="42"/>
        <v>0</v>
      </c>
      <c r="DA17" s="2790">
        <f t="shared" ca="1" si="42"/>
        <v>0</v>
      </c>
      <c r="DB17" s="2790">
        <f t="shared" ca="1" si="42"/>
        <v>0</v>
      </c>
      <c r="DC17" s="2790">
        <f t="shared" ca="1" si="42"/>
        <v>0</v>
      </c>
      <c r="DD17" s="2790">
        <f t="shared" ca="1" si="42"/>
        <v>0</v>
      </c>
      <c r="DE17" s="2790">
        <f t="shared" ca="1" si="42"/>
        <v>0</v>
      </c>
      <c r="DF17" s="2790">
        <f t="shared" ca="1" si="42"/>
        <v>0</v>
      </c>
      <c r="DH17" s="596">
        <f t="shared" ca="1" si="33"/>
        <v>9.8602111951216362E-2</v>
      </c>
    </row>
    <row r="18" spans="1:112" s="6" customFormat="1" ht="12.75" customHeight="1" outlineLevel="1">
      <c r="A18" s="607"/>
      <c r="B18" s="607"/>
      <c r="C18" s="587" t="s">
        <v>472</v>
      </c>
      <c r="D18" s="611" t="s">
        <v>473</v>
      </c>
      <c r="E18" s="611"/>
      <c r="G18" s="619">
        <f t="shared" ca="1" si="34"/>
        <v>0</v>
      </c>
      <c r="H18" s="619">
        <f t="shared" ca="1" si="34"/>
        <v>5.0203783783783802</v>
      </c>
      <c r="I18" s="619">
        <f t="shared" ca="1" si="34"/>
        <v>0</v>
      </c>
      <c r="J18" s="619">
        <f t="shared" ca="1" si="34"/>
        <v>0</v>
      </c>
      <c r="K18" s="619">
        <f t="shared" ca="1" si="34"/>
        <v>0</v>
      </c>
      <c r="L18" s="619">
        <f t="shared" ca="1" si="34"/>
        <v>0</v>
      </c>
      <c r="M18" s="619">
        <f t="shared" ca="1" si="34"/>
        <v>0</v>
      </c>
      <c r="N18" s="619">
        <f t="shared" ca="1" si="34"/>
        <v>0</v>
      </c>
      <c r="O18" s="619">
        <f t="shared" ca="1" si="34"/>
        <v>0</v>
      </c>
      <c r="P18" s="619">
        <f t="shared" ca="1" si="34"/>
        <v>0</v>
      </c>
      <c r="Q18" s="612">
        <f ca="1">SUM(G18:P18)</f>
        <v>5.0203783783783802</v>
      </c>
      <c r="S18" s="620">
        <f t="shared" ca="1" si="35"/>
        <v>-4.5294594594594599</v>
      </c>
      <c r="T18" s="620">
        <f t="shared" ca="1" si="35"/>
        <v>0</v>
      </c>
      <c r="U18" s="620">
        <f t="shared" ca="1" si="35"/>
        <v>0</v>
      </c>
      <c r="V18" s="620">
        <f t="shared" ca="1" si="35"/>
        <v>0</v>
      </c>
      <c r="W18" s="620">
        <f t="shared" ca="1" si="35"/>
        <v>-0.49091891891892003</v>
      </c>
      <c r="X18" s="620">
        <f t="shared" ca="1" si="36"/>
        <v>0</v>
      </c>
      <c r="Y18" s="620">
        <f t="shared" ca="1" si="36"/>
        <v>0</v>
      </c>
      <c r="Z18" s="620">
        <f t="shared" ca="1" si="36"/>
        <v>0</v>
      </c>
      <c r="AA18" s="620">
        <f t="shared" ca="1" si="35"/>
        <v>0</v>
      </c>
      <c r="AB18" s="620">
        <f t="shared" ca="1" si="35"/>
        <v>0</v>
      </c>
      <c r="AC18" s="620">
        <f t="shared" ca="1" si="35"/>
        <v>0</v>
      </c>
      <c r="AD18" s="620">
        <f t="shared" ca="1" si="35"/>
        <v>0</v>
      </c>
      <c r="AE18" s="620">
        <f t="shared" ca="1" si="35"/>
        <v>0</v>
      </c>
      <c r="AF18" s="620">
        <f t="shared" ca="1" si="35"/>
        <v>0</v>
      </c>
      <c r="AG18" s="620">
        <f t="shared" ca="1" si="35"/>
        <v>0</v>
      </c>
      <c r="AH18" s="620">
        <f t="shared" ca="1" si="35"/>
        <v>0</v>
      </c>
      <c r="AI18" s="620">
        <f t="shared" ca="1" si="35"/>
        <v>0</v>
      </c>
      <c r="AJ18" s="620">
        <f t="shared" ca="1" si="35"/>
        <v>0</v>
      </c>
      <c r="AK18" s="613">
        <f ca="1">SUM(S18:AJ18)</f>
        <v>-5.0203783783783802</v>
      </c>
      <c r="AM18" s="621">
        <f t="shared" ca="1" si="37"/>
        <v>0</v>
      </c>
      <c r="AN18" s="621">
        <f t="shared" ca="1" si="37"/>
        <v>0</v>
      </c>
      <c r="AO18" s="621">
        <f t="shared" ca="1" si="37"/>
        <v>0</v>
      </c>
      <c r="AP18" s="621">
        <f t="shared" ca="1" si="37"/>
        <v>0</v>
      </c>
      <c r="AQ18" s="621">
        <f t="shared" ca="1" si="37"/>
        <v>0</v>
      </c>
      <c r="AR18" s="621">
        <f t="shared" ca="1" si="37"/>
        <v>0</v>
      </c>
      <c r="AS18" s="621">
        <f t="shared" ca="1" si="37"/>
        <v>0</v>
      </c>
      <c r="AT18" s="621">
        <f t="shared" ca="1" si="37"/>
        <v>0</v>
      </c>
      <c r="AU18" s="621">
        <f t="shared" ca="1" si="37"/>
        <v>0</v>
      </c>
      <c r="AV18" s="621">
        <f t="shared" ca="1" si="38"/>
        <v>0</v>
      </c>
      <c r="AW18" s="621">
        <f t="shared" ca="1" si="38"/>
        <v>0</v>
      </c>
      <c r="AX18" s="621">
        <f t="shared" ca="1" si="38"/>
        <v>0</v>
      </c>
      <c r="AY18" s="621">
        <f t="shared" ca="1" si="38"/>
        <v>0</v>
      </c>
      <c r="AZ18" s="621">
        <f t="shared" ca="1" si="38"/>
        <v>0</v>
      </c>
      <c r="BA18" s="621">
        <f t="shared" ca="1" si="38"/>
        <v>0</v>
      </c>
      <c r="BB18" s="621">
        <f t="shared" ca="1" si="38"/>
        <v>0</v>
      </c>
      <c r="BC18" s="621">
        <f t="shared" ca="1" si="38"/>
        <v>0</v>
      </c>
      <c r="BD18" s="621">
        <f t="shared" ca="1" si="38"/>
        <v>0</v>
      </c>
      <c r="BE18" s="621">
        <f t="shared" ca="1" si="38"/>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10"/>
        <v>0</v>
      </c>
      <c r="BM18" s="610"/>
      <c r="BN18" s="413"/>
      <c r="BO18" s="2791">
        <f t="shared" ca="1" si="39"/>
        <v>0.100501510183784</v>
      </c>
      <c r="BP18" s="2792">
        <f t="shared" ca="1" si="39"/>
        <v>3.7113470270270359E-5</v>
      </c>
      <c r="BQ18" s="2792">
        <f t="shared" ca="1" si="39"/>
        <v>1.5888099891891929E-3</v>
      </c>
      <c r="BR18" s="2792">
        <f t="shared" ca="1" si="39"/>
        <v>0</v>
      </c>
      <c r="BS18" s="2792">
        <f t="shared" ca="1" si="39"/>
        <v>0</v>
      </c>
      <c r="BT18" s="2792">
        <f t="shared" ca="1" si="39"/>
        <v>0</v>
      </c>
      <c r="BU18" s="2792">
        <f t="shared" ca="1" si="39"/>
        <v>0</v>
      </c>
      <c r="BV18" s="2792">
        <f t="shared" ca="1" si="39"/>
        <v>0</v>
      </c>
      <c r="BW18" s="2792">
        <f t="shared" ca="1" si="39"/>
        <v>0</v>
      </c>
      <c r="BX18" s="2792">
        <f t="shared" ca="1" si="39"/>
        <v>0</v>
      </c>
      <c r="BY18" s="2792">
        <f t="shared" ca="1" si="40"/>
        <v>0</v>
      </c>
      <c r="BZ18" s="2792">
        <f t="shared" ca="1" si="40"/>
        <v>0</v>
      </c>
      <c r="CA18" s="2792">
        <f t="shared" ca="1" si="40"/>
        <v>0</v>
      </c>
      <c r="CB18" s="2792">
        <f t="shared" ca="1" si="40"/>
        <v>0</v>
      </c>
      <c r="CC18" s="2792">
        <f t="shared" ca="1" si="40"/>
        <v>0</v>
      </c>
      <c r="CD18" s="2792">
        <f t="shared" ca="1" si="40"/>
        <v>0</v>
      </c>
      <c r="CE18" s="2792">
        <f t="shared" ca="1" si="40"/>
        <v>0</v>
      </c>
      <c r="CF18" s="2792">
        <f t="shared" ca="1" si="40"/>
        <v>0</v>
      </c>
      <c r="CG18" s="2792">
        <f t="shared" ca="1" si="40"/>
        <v>0</v>
      </c>
      <c r="CH18" s="2792">
        <f t="shared" ca="1" si="40"/>
        <v>0</v>
      </c>
      <c r="CI18" s="2792">
        <f t="shared" ca="1" si="41"/>
        <v>0</v>
      </c>
      <c r="CJ18" s="2792">
        <f t="shared" ca="1" si="41"/>
        <v>0</v>
      </c>
      <c r="CK18" s="2792">
        <f t="shared" ca="1" si="41"/>
        <v>0</v>
      </c>
      <c r="CL18" s="2792">
        <f t="shared" ca="1" si="41"/>
        <v>0</v>
      </c>
      <c r="CM18" s="2792">
        <f t="shared" ca="1" si="41"/>
        <v>0</v>
      </c>
      <c r="CN18" s="2792">
        <f t="shared" ca="1" si="41"/>
        <v>0</v>
      </c>
      <c r="CO18" s="2792">
        <f t="shared" ca="1" si="41"/>
        <v>0</v>
      </c>
      <c r="CP18" s="2792">
        <f t="shared" ca="1" si="41"/>
        <v>0</v>
      </c>
      <c r="CQ18" s="2792">
        <f t="shared" ca="1" si="41"/>
        <v>0</v>
      </c>
      <c r="CR18" s="2792">
        <f t="shared" ca="1" si="41"/>
        <v>0</v>
      </c>
      <c r="CS18" s="2792">
        <f t="shared" ca="1" si="42"/>
        <v>0</v>
      </c>
      <c r="CT18" s="2792">
        <f t="shared" ca="1" si="42"/>
        <v>0</v>
      </c>
      <c r="CU18" s="2792">
        <f t="shared" ca="1" si="42"/>
        <v>0</v>
      </c>
      <c r="CV18" s="2792">
        <f t="shared" ca="1" si="42"/>
        <v>0</v>
      </c>
      <c r="CW18" s="2792">
        <f t="shared" ca="1" si="42"/>
        <v>0</v>
      </c>
      <c r="CX18" s="2792">
        <f t="shared" ca="1" si="42"/>
        <v>0</v>
      </c>
      <c r="CY18" s="2792">
        <f t="shared" ca="1" si="42"/>
        <v>0</v>
      </c>
      <c r="CZ18" s="2792">
        <f t="shared" ca="1" si="42"/>
        <v>0</v>
      </c>
      <c r="DA18" s="2792">
        <f t="shared" ca="1" si="42"/>
        <v>0</v>
      </c>
      <c r="DB18" s="2792">
        <f t="shared" ca="1" si="42"/>
        <v>0</v>
      </c>
      <c r="DC18" s="2792">
        <f t="shared" ca="1" si="42"/>
        <v>0</v>
      </c>
      <c r="DD18" s="2792">
        <f t="shared" ca="1" si="42"/>
        <v>0</v>
      </c>
      <c r="DE18" s="2792">
        <f t="shared" ca="1" si="42"/>
        <v>0</v>
      </c>
      <c r="DF18" s="2792">
        <f t="shared" ca="1" si="42"/>
        <v>0</v>
      </c>
      <c r="DH18" s="596">
        <f t="shared" ca="1" si="33"/>
        <v>0.10212743364324348</v>
      </c>
    </row>
    <row r="19" spans="1:112" s="6" customFormat="1" ht="15.75">
      <c r="A19" s="4"/>
      <c r="B19" s="3"/>
      <c r="C19" s="616" t="s">
        <v>474</v>
      </c>
      <c r="D19" s="617" t="s">
        <v>83</v>
      </c>
      <c r="E19" s="206"/>
      <c r="G19" s="618">
        <f ca="1">G17+G18</f>
        <v>0</v>
      </c>
      <c r="H19" s="618">
        <f t="shared" ref="H19:P19" ca="1" si="43">H17+H18</f>
        <v>11.423785772551106</v>
      </c>
      <c r="I19" s="618">
        <f t="shared" ca="1" si="43"/>
        <v>0</v>
      </c>
      <c r="J19" s="618">
        <f t="shared" ca="1" si="43"/>
        <v>0</v>
      </c>
      <c r="K19" s="618">
        <f t="shared" ca="1" si="43"/>
        <v>0</v>
      </c>
      <c r="L19" s="618">
        <f t="shared" ca="1" si="43"/>
        <v>0</v>
      </c>
      <c r="M19" s="618">
        <f t="shared" ca="1" si="43"/>
        <v>0</v>
      </c>
      <c r="N19" s="618">
        <f ca="1">N17+N18</f>
        <v>0</v>
      </c>
      <c r="O19" s="618">
        <f ca="1">O17+O18</f>
        <v>0</v>
      </c>
      <c r="P19" s="618">
        <f t="shared" ca="1" si="43"/>
        <v>0</v>
      </c>
      <c r="Q19" s="618">
        <f ca="1">SUM(G19:P19)</f>
        <v>11.423785772551106</v>
      </c>
      <c r="S19" s="581">
        <f ca="1">S17+S18</f>
        <v>-10.458893891858697</v>
      </c>
      <c r="T19" s="581">
        <f t="shared" ref="T19:AJ19" ca="1" si="44">T17+T18</f>
        <v>0</v>
      </c>
      <c r="U19" s="581">
        <f t="shared" ca="1" si="44"/>
        <v>0</v>
      </c>
      <c r="V19" s="581">
        <f t="shared" ca="1" si="44"/>
        <v>0</v>
      </c>
      <c r="W19" s="581">
        <f t="shared" ca="1" si="44"/>
        <v>-0.96489188069240794</v>
      </c>
      <c r="X19" s="581">
        <f ca="1">X17+X18</f>
        <v>0</v>
      </c>
      <c r="Y19" s="581">
        <f ca="1">Y17+Y18</f>
        <v>0</v>
      </c>
      <c r="Z19" s="581">
        <f ca="1">Z17+Z18</f>
        <v>0</v>
      </c>
      <c r="AA19" s="581">
        <f t="shared" ca="1" si="44"/>
        <v>0</v>
      </c>
      <c r="AB19" s="581">
        <f t="shared" ca="1" si="44"/>
        <v>0</v>
      </c>
      <c r="AC19" s="581">
        <f t="shared" ca="1" si="44"/>
        <v>0</v>
      </c>
      <c r="AD19" s="581">
        <f ca="1">AD17+AD18</f>
        <v>0</v>
      </c>
      <c r="AE19" s="581">
        <f ca="1">AE17+AE18</f>
        <v>0</v>
      </c>
      <c r="AF19" s="581">
        <f t="shared" ca="1" si="44"/>
        <v>0</v>
      </c>
      <c r="AG19" s="581">
        <f ca="1">AG17+AG18</f>
        <v>0</v>
      </c>
      <c r="AH19" s="581">
        <f ca="1">AH17+AH18</f>
        <v>0</v>
      </c>
      <c r="AI19" s="581">
        <f ca="1">AI17+AI18</f>
        <v>0</v>
      </c>
      <c r="AJ19" s="581">
        <f t="shared" ca="1" si="44"/>
        <v>0</v>
      </c>
      <c r="AK19" s="581">
        <f ca="1">SUM(S19:AJ19)</f>
        <v>-11.423785772551105</v>
      </c>
      <c r="AM19" s="582">
        <f t="shared" ref="AM19:BE19" ca="1" si="45">AM17+AM18</f>
        <v>0</v>
      </c>
      <c r="AN19" s="582">
        <f t="shared" ca="1" si="45"/>
        <v>0</v>
      </c>
      <c r="AO19" s="582">
        <f t="shared" ca="1" si="45"/>
        <v>0</v>
      </c>
      <c r="AP19" s="582">
        <f t="shared" ca="1" si="45"/>
        <v>0</v>
      </c>
      <c r="AQ19" s="582">
        <f t="shared" ca="1" si="45"/>
        <v>0</v>
      </c>
      <c r="AR19" s="582">
        <f t="shared" ca="1" si="45"/>
        <v>0</v>
      </c>
      <c r="AS19" s="582">
        <f t="shared" ca="1" si="45"/>
        <v>0</v>
      </c>
      <c r="AT19" s="582">
        <f t="shared" ca="1" si="45"/>
        <v>0</v>
      </c>
      <c r="AU19" s="582">
        <f t="shared" ca="1" si="45"/>
        <v>0</v>
      </c>
      <c r="AV19" s="582">
        <f t="shared" ca="1" si="45"/>
        <v>0</v>
      </c>
      <c r="AW19" s="582">
        <f t="shared" ca="1" si="45"/>
        <v>0</v>
      </c>
      <c r="AX19" s="582">
        <f t="shared" ca="1" si="45"/>
        <v>0</v>
      </c>
      <c r="AY19" s="582">
        <f t="shared" ca="1" si="45"/>
        <v>0</v>
      </c>
      <c r="AZ19" s="582">
        <f t="shared" ca="1" si="45"/>
        <v>0</v>
      </c>
      <c r="BA19" s="582">
        <f t="shared" ca="1" si="45"/>
        <v>0</v>
      </c>
      <c r="BB19" s="582">
        <f t="shared" ca="1" si="45"/>
        <v>0</v>
      </c>
      <c r="BC19" s="582">
        <f t="shared" ca="1" si="45"/>
        <v>0</v>
      </c>
      <c r="BD19" s="582">
        <f ca="1">BD17+BD18</f>
        <v>0</v>
      </c>
      <c r="BE19" s="582">
        <f t="shared" ca="1" si="45"/>
        <v>0</v>
      </c>
      <c r="BF19" s="582">
        <f ca="1">SUM(AM19:BE19)</f>
        <v>0</v>
      </c>
      <c r="BH19" s="3463">
        <f ca="1">BH17+BH18</f>
        <v>0</v>
      </c>
      <c r="BI19" s="3463">
        <f ca="1">BI17+BI18</f>
        <v>0</v>
      </c>
      <c r="BJ19" s="3463">
        <f ca="1">SUM(BH19:BI19)</f>
        <v>0</v>
      </c>
      <c r="BL19" s="3477">
        <f t="shared" ca="1" si="10"/>
        <v>1.7763568394002505E-15</v>
      </c>
      <c r="BM19" s="584"/>
      <c r="BN19" s="413"/>
      <c r="BO19" s="2790">
        <f t="shared" ref="BO19:DF19" ca="1" si="46">BO17+BO18</f>
        <v>0.19753382368560657</v>
      </c>
      <c r="BP19" s="2790">
        <f t="shared" ca="1" si="46"/>
        <v>7.2945826180346047E-5</v>
      </c>
      <c r="BQ19" s="2790">
        <f t="shared" ca="1" si="46"/>
        <v>3.1227760826729092E-3</v>
      </c>
      <c r="BR19" s="2790">
        <f t="shared" ca="1" si="46"/>
        <v>0</v>
      </c>
      <c r="BS19" s="2790">
        <f t="shared" ca="1" si="46"/>
        <v>0</v>
      </c>
      <c r="BT19" s="2790">
        <f t="shared" ca="1" si="46"/>
        <v>0</v>
      </c>
      <c r="BU19" s="2790">
        <f t="shared" ca="1" si="46"/>
        <v>0</v>
      </c>
      <c r="BV19" s="2790">
        <f t="shared" ca="1" si="46"/>
        <v>0</v>
      </c>
      <c r="BW19" s="2790">
        <f t="shared" ca="1" si="46"/>
        <v>0</v>
      </c>
      <c r="BX19" s="2790">
        <f t="shared" ca="1" si="46"/>
        <v>0</v>
      </c>
      <c r="BY19" s="2790">
        <f t="shared" ca="1" si="46"/>
        <v>0</v>
      </c>
      <c r="BZ19" s="2790">
        <f t="shared" ca="1" si="46"/>
        <v>0</v>
      </c>
      <c r="CA19" s="2790">
        <f t="shared" ca="1" si="46"/>
        <v>0</v>
      </c>
      <c r="CB19" s="2790">
        <f t="shared" ca="1" si="46"/>
        <v>0</v>
      </c>
      <c r="CC19" s="2790">
        <f t="shared" ca="1" si="46"/>
        <v>0</v>
      </c>
      <c r="CD19" s="2790">
        <f t="shared" ca="1" si="46"/>
        <v>0</v>
      </c>
      <c r="CE19" s="2790">
        <f t="shared" ca="1" si="46"/>
        <v>0</v>
      </c>
      <c r="CF19" s="2790">
        <f t="shared" ca="1" si="46"/>
        <v>0</v>
      </c>
      <c r="CG19" s="2790">
        <f t="shared" ca="1" si="46"/>
        <v>0</v>
      </c>
      <c r="CH19" s="2790">
        <f t="shared" ca="1" si="46"/>
        <v>0</v>
      </c>
      <c r="CI19" s="2790">
        <f t="shared" ca="1" si="46"/>
        <v>0</v>
      </c>
      <c r="CJ19" s="2790">
        <f t="shared" ca="1" si="46"/>
        <v>0</v>
      </c>
      <c r="CK19" s="2790">
        <f t="shared" ca="1" si="46"/>
        <v>0</v>
      </c>
      <c r="CL19" s="2790">
        <f t="shared" ca="1" si="46"/>
        <v>0</v>
      </c>
      <c r="CM19" s="2790">
        <f t="shared" ca="1" si="46"/>
        <v>0</v>
      </c>
      <c r="CN19" s="2790">
        <f t="shared" ca="1" si="46"/>
        <v>0</v>
      </c>
      <c r="CO19" s="2790">
        <f t="shared" ca="1" si="46"/>
        <v>0</v>
      </c>
      <c r="CP19" s="2790">
        <f t="shared" ca="1" si="46"/>
        <v>0</v>
      </c>
      <c r="CQ19" s="2790">
        <f t="shared" ca="1" si="46"/>
        <v>0</v>
      </c>
      <c r="CR19" s="2790">
        <f t="shared" ca="1" si="46"/>
        <v>0</v>
      </c>
      <c r="CS19" s="2790">
        <f t="shared" ca="1" si="46"/>
        <v>0</v>
      </c>
      <c r="CT19" s="2790">
        <f t="shared" ca="1" si="46"/>
        <v>0</v>
      </c>
      <c r="CU19" s="2790">
        <f t="shared" ca="1" si="46"/>
        <v>0</v>
      </c>
      <c r="CV19" s="2790">
        <f t="shared" ca="1" si="46"/>
        <v>0</v>
      </c>
      <c r="CW19" s="2790">
        <f t="shared" ca="1" si="46"/>
        <v>0</v>
      </c>
      <c r="CX19" s="2790">
        <f t="shared" ca="1" si="46"/>
        <v>0</v>
      </c>
      <c r="CY19" s="2790">
        <f t="shared" ca="1" si="46"/>
        <v>0</v>
      </c>
      <c r="CZ19" s="2790">
        <f t="shared" ca="1" si="46"/>
        <v>0</v>
      </c>
      <c r="DA19" s="2790">
        <f t="shared" ca="1" si="46"/>
        <v>0</v>
      </c>
      <c r="DB19" s="2790">
        <f t="shared" ca="1" si="46"/>
        <v>0</v>
      </c>
      <c r="DC19" s="2790">
        <f t="shared" ca="1" si="46"/>
        <v>0</v>
      </c>
      <c r="DD19" s="2790">
        <f t="shared" ca="1" si="46"/>
        <v>0</v>
      </c>
      <c r="DE19" s="2790">
        <f t="shared" ca="1" si="46"/>
        <v>0</v>
      </c>
      <c r="DF19" s="2790">
        <f t="shared" ca="1" si="46"/>
        <v>0</v>
      </c>
      <c r="DH19" s="596">
        <f t="shared" ca="1" si="33"/>
        <v>0.20072954559445982</v>
      </c>
    </row>
    <row r="20" spans="1:112" s="6" customFormat="1" ht="12.75" customHeight="1" outlineLevel="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10"/>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3"/>
        <v>0</v>
      </c>
    </row>
    <row r="21" spans="1:112" s="6" customFormat="1" ht="12.75" customHeight="1" outlineLevel="1">
      <c r="A21" s="607"/>
      <c r="B21" s="607"/>
      <c r="C21" s="587" t="s">
        <v>475</v>
      </c>
      <c r="D21" s="611" t="s">
        <v>476</v>
      </c>
      <c r="E21" s="611"/>
      <c r="G21" s="619">
        <f t="shared" ref="G21:P21" ca="1" si="47">IFERROR(INDEX(INDIRECT($C21&amp;".Outputs["&amp;this.Year&amp;"]"), MATCH(G$5, INDIRECT($C21&amp;".Outputs[Vector]"), 0)), 0)</f>
        <v>0</v>
      </c>
      <c r="H21" s="619">
        <f t="shared" ca="1" si="47"/>
        <v>0</v>
      </c>
      <c r="I21" s="619">
        <f t="shared" ca="1" si="47"/>
        <v>30.570671525127587</v>
      </c>
      <c r="J21" s="619">
        <f t="shared" ca="1" si="47"/>
        <v>0</v>
      </c>
      <c r="K21" s="619">
        <f t="shared" ca="1" si="47"/>
        <v>0</v>
      </c>
      <c r="L21" s="619">
        <f t="shared" ca="1" si="47"/>
        <v>0</v>
      </c>
      <c r="M21" s="619">
        <f t="shared" ca="1" si="47"/>
        <v>0</v>
      </c>
      <c r="N21" s="619">
        <f t="shared" ca="1" si="47"/>
        <v>0</v>
      </c>
      <c r="O21" s="619">
        <f t="shared" ca="1" si="47"/>
        <v>0</v>
      </c>
      <c r="P21" s="619">
        <f t="shared" ca="1" si="47"/>
        <v>0</v>
      </c>
      <c r="Q21" s="612">
        <f ca="1">SUM(G21:P21)</f>
        <v>30.570671525127587</v>
      </c>
      <c r="S21" s="620">
        <f t="shared" ref="S21:AJ21" ca="1" si="48">IFERROR(INDEX(INDIRECT($C21&amp;".Outputs["&amp;this.Year&amp;"]"), MATCH(S$5, INDIRECT($C21&amp;".Outputs[Vector]"), 0)), 0)</f>
        <v>-10.927338917600434</v>
      </c>
      <c r="T21" s="620">
        <f t="shared" ca="1" si="48"/>
        <v>0</v>
      </c>
      <c r="U21" s="620">
        <f t="shared" ca="1" si="48"/>
        <v>-3.6581296053538592</v>
      </c>
      <c r="V21" s="620">
        <f t="shared" ca="1" si="48"/>
        <v>-7.4691713807064319</v>
      </c>
      <c r="W21" s="620">
        <f t="shared" ca="1" si="48"/>
        <v>-8.5160316214668619</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8"/>
        <v>0</v>
      </c>
      <c r="AB21" s="620">
        <f t="shared" ca="1" si="48"/>
        <v>0</v>
      </c>
      <c r="AC21" s="620">
        <f t="shared" ca="1" si="48"/>
        <v>0</v>
      </c>
      <c r="AD21" s="620">
        <f t="shared" ca="1" si="48"/>
        <v>0</v>
      </c>
      <c r="AE21" s="620">
        <f t="shared" ca="1" si="48"/>
        <v>0</v>
      </c>
      <c r="AF21" s="620">
        <f t="shared" ca="1" si="48"/>
        <v>0</v>
      </c>
      <c r="AG21" s="620">
        <f t="shared" ca="1" si="48"/>
        <v>0</v>
      </c>
      <c r="AH21" s="620">
        <f t="shared" ca="1" si="48"/>
        <v>0</v>
      </c>
      <c r="AI21" s="620">
        <f t="shared" ca="1" si="48"/>
        <v>0</v>
      </c>
      <c r="AJ21" s="620">
        <f t="shared" ca="1" si="48"/>
        <v>0</v>
      </c>
      <c r="AK21" s="613">
        <f ca="1">SUM(S21:AJ21)</f>
        <v>-30.570671525127587</v>
      </c>
      <c r="AM21" s="621">
        <f t="shared" ref="AM21:AU21" ca="1" si="49">IFERROR(INDEX(INDIRECT($C21&amp;".Outputs["&amp;this.Year&amp;"]"), MATCH(AM$5, INDIRECT($C21&amp;".Outputs[Vector]"), 0)), 0)</f>
        <v>0</v>
      </c>
      <c r="AN21" s="621">
        <f t="shared" ca="1" si="49"/>
        <v>0</v>
      </c>
      <c r="AO21" s="621">
        <f t="shared" ca="1" si="49"/>
        <v>0</v>
      </c>
      <c r="AP21" s="621">
        <f t="shared" ca="1" si="49"/>
        <v>0</v>
      </c>
      <c r="AQ21" s="621">
        <f t="shared" ca="1" si="49"/>
        <v>0</v>
      </c>
      <c r="AR21" s="621">
        <f t="shared" ca="1" si="49"/>
        <v>0</v>
      </c>
      <c r="AS21" s="621">
        <f t="shared" ca="1" si="49"/>
        <v>0</v>
      </c>
      <c r="AT21" s="621">
        <f t="shared" ca="1" si="49"/>
        <v>0</v>
      </c>
      <c r="AU21" s="621">
        <f t="shared" ca="1" si="49"/>
        <v>0</v>
      </c>
      <c r="AV21" s="621">
        <f t="shared" ref="AV21:BE21" ca="1" si="50">IFERROR(INDEX(INDIRECT($C21&amp;".Outputs["&amp;this.Year&amp;"]"), MATCH(AV$5, INDIRECT($C21&amp;".Outputs[Vector]"), 0)), 0)</f>
        <v>0</v>
      </c>
      <c r="AW21" s="621">
        <f t="shared" ca="1" si="50"/>
        <v>0</v>
      </c>
      <c r="AX21" s="621">
        <f t="shared" ca="1" si="50"/>
        <v>0</v>
      </c>
      <c r="AY21" s="621">
        <f t="shared" ca="1" si="50"/>
        <v>0</v>
      </c>
      <c r="AZ21" s="621">
        <f t="shared" ca="1" si="50"/>
        <v>0</v>
      </c>
      <c r="BA21" s="621">
        <f t="shared" ca="1" si="50"/>
        <v>0</v>
      </c>
      <c r="BB21" s="621">
        <f t="shared" ca="1" si="50"/>
        <v>0</v>
      </c>
      <c r="BC21" s="621">
        <f t="shared" ca="1" si="50"/>
        <v>0</v>
      </c>
      <c r="BD21" s="621">
        <f t="shared" ca="1" si="50"/>
        <v>0</v>
      </c>
      <c r="BE21" s="621">
        <f t="shared" ca="1" si="50"/>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10"/>
        <v>0</v>
      </c>
      <c r="BM21" s="610"/>
      <c r="BN21" s="413"/>
      <c r="BO21" s="2791">
        <f t="shared" ref="BO21:DF21" ca="1" si="51">IFERROR(SUMIFS(INDIRECT($C21&amp;".Emissions["&amp;this.Year&amp;"]"), INDIRECT($C21&amp;".Emissions[GHG]"), BO$6, INDIRECT($C21&amp;".Emissions[IPCC Sector]"), BO$5),0)</f>
        <v>4.9494436535960773</v>
      </c>
      <c r="BP21" s="2792">
        <f t="shared" ca="1" si="51"/>
        <v>2.5314082784424399E-3</v>
      </c>
      <c r="BQ21" s="2792">
        <f t="shared" ca="1" si="51"/>
        <v>3.4603878216023828E-2</v>
      </c>
      <c r="BR21" s="2792">
        <f t="shared" ca="1" si="51"/>
        <v>0</v>
      </c>
      <c r="BS21" s="2792">
        <f t="shared" ca="1" si="51"/>
        <v>0</v>
      </c>
      <c r="BT21" s="2792">
        <f t="shared" ca="1" si="51"/>
        <v>0</v>
      </c>
      <c r="BU21" s="2792">
        <f t="shared" ca="1" si="51"/>
        <v>0</v>
      </c>
      <c r="BV21" s="2792">
        <f t="shared" ca="1" si="51"/>
        <v>0</v>
      </c>
      <c r="BW21" s="2792">
        <f t="shared" ca="1" si="51"/>
        <v>0.70168052689576832</v>
      </c>
      <c r="BX21" s="2792">
        <f t="shared" ca="1" si="51"/>
        <v>0</v>
      </c>
      <c r="BY21" s="2792">
        <f t="shared" ca="1" si="51"/>
        <v>0</v>
      </c>
      <c r="BZ21" s="2792">
        <f t="shared" ca="1" si="51"/>
        <v>0.65537525174047484</v>
      </c>
      <c r="CA21" s="2792">
        <f t="shared" ca="1" si="51"/>
        <v>0</v>
      </c>
      <c r="CB21" s="2792">
        <f t="shared" ca="1" si="51"/>
        <v>0</v>
      </c>
      <c r="CC21" s="2792">
        <f t="shared" ca="1" si="51"/>
        <v>0</v>
      </c>
      <c r="CD21" s="2792">
        <f t="shared" ca="1" si="51"/>
        <v>0</v>
      </c>
      <c r="CE21" s="2792">
        <f t="shared" ca="1" si="51"/>
        <v>0</v>
      </c>
      <c r="CF21" s="2792">
        <f t="shared" ca="1" si="51"/>
        <v>0</v>
      </c>
      <c r="CG21" s="2792">
        <f t="shared" ca="1" si="51"/>
        <v>0</v>
      </c>
      <c r="CH21" s="2792">
        <f t="shared" ca="1" si="51"/>
        <v>0</v>
      </c>
      <c r="CI21" s="2792">
        <f t="shared" ca="1" si="51"/>
        <v>0</v>
      </c>
      <c r="CJ21" s="2792">
        <f t="shared" ca="1" si="51"/>
        <v>0</v>
      </c>
      <c r="CK21" s="2792">
        <f t="shared" ca="1" si="51"/>
        <v>0</v>
      </c>
      <c r="CL21" s="2792">
        <f t="shared" ca="1" si="51"/>
        <v>0</v>
      </c>
      <c r="CM21" s="2792">
        <f t="shared" ca="1" si="51"/>
        <v>0</v>
      </c>
      <c r="CN21" s="2792">
        <f t="shared" ca="1" si="51"/>
        <v>0</v>
      </c>
      <c r="CO21" s="2792">
        <f t="shared" ca="1" si="51"/>
        <v>0</v>
      </c>
      <c r="CP21" s="2792">
        <f t="shared" ca="1" si="51"/>
        <v>0</v>
      </c>
      <c r="CQ21" s="2792">
        <f t="shared" ca="1" si="51"/>
        <v>0</v>
      </c>
      <c r="CR21" s="2792">
        <f t="shared" ca="1" si="51"/>
        <v>0</v>
      </c>
      <c r="CS21" s="2792">
        <f t="shared" ca="1" si="51"/>
        <v>0</v>
      </c>
      <c r="CT21" s="2792">
        <f t="shared" ca="1" si="51"/>
        <v>0</v>
      </c>
      <c r="CU21" s="2792">
        <f t="shared" ca="1" si="51"/>
        <v>0</v>
      </c>
      <c r="CV21" s="2792">
        <f t="shared" ca="1" si="51"/>
        <v>0</v>
      </c>
      <c r="CW21" s="2792">
        <f t="shared" ca="1" si="51"/>
        <v>0</v>
      </c>
      <c r="CX21" s="2792">
        <f t="shared" ca="1" si="51"/>
        <v>0</v>
      </c>
      <c r="CY21" s="2792">
        <f t="shared" ca="1" si="51"/>
        <v>0</v>
      </c>
      <c r="CZ21" s="2792">
        <f t="shared" ca="1" si="51"/>
        <v>0</v>
      </c>
      <c r="DA21" s="2792">
        <f t="shared" ca="1" si="51"/>
        <v>0</v>
      </c>
      <c r="DB21" s="2792">
        <f t="shared" ca="1" si="51"/>
        <v>0</v>
      </c>
      <c r="DC21" s="2792">
        <f t="shared" ca="1" si="51"/>
        <v>0</v>
      </c>
      <c r="DD21" s="2792">
        <f t="shared" ca="1" si="51"/>
        <v>0</v>
      </c>
      <c r="DE21" s="2792">
        <f t="shared" ca="1" si="51"/>
        <v>0</v>
      </c>
      <c r="DF21" s="2792">
        <f t="shared" ca="1" si="51"/>
        <v>0</v>
      </c>
      <c r="DH21" s="596">
        <f t="shared" ca="1" si="33"/>
        <v>6.3436347187267872</v>
      </c>
    </row>
    <row r="22" spans="1:112" s="6" customFormat="1" ht="15.75">
      <c r="A22" s="4"/>
      <c r="B22" s="3"/>
      <c r="C22" s="616" t="s">
        <v>477</v>
      </c>
      <c r="D22" s="617" t="s">
        <v>368</v>
      </c>
      <c r="E22" s="206"/>
      <c r="G22" s="618">
        <f ca="1">G21</f>
        <v>0</v>
      </c>
      <c r="H22" s="618">
        <f t="shared" ref="H22:P22" ca="1" si="52">H21</f>
        <v>0</v>
      </c>
      <c r="I22" s="618">
        <f t="shared" ca="1" si="52"/>
        <v>30.570671525127587</v>
      </c>
      <c r="J22" s="618">
        <f t="shared" ca="1" si="52"/>
        <v>0</v>
      </c>
      <c r="K22" s="618">
        <f t="shared" ca="1" si="52"/>
        <v>0</v>
      </c>
      <c r="L22" s="618">
        <f t="shared" ca="1" si="52"/>
        <v>0</v>
      </c>
      <c r="M22" s="618">
        <f t="shared" ca="1" si="52"/>
        <v>0</v>
      </c>
      <c r="N22" s="618">
        <f t="shared" ca="1" si="52"/>
        <v>0</v>
      </c>
      <c r="O22" s="618">
        <f t="shared" ca="1" si="52"/>
        <v>0</v>
      </c>
      <c r="P22" s="618">
        <f t="shared" ca="1" si="52"/>
        <v>0</v>
      </c>
      <c r="Q22" s="618">
        <f ca="1">SUM(G22:P22)</f>
        <v>30.570671525127587</v>
      </c>
      <c r="S22" s="581">
        <f t="shared" ref="S22:AJ22" ca="1" si="53">S21</f>
        <v>-10.927338917600434</v>
      </c>
      <c r="T22" s="581">
        <f t="shared" ca="1" si="53"/>
        <v>0</v>
      </c>
      <c r="U22" s="581">
        <f t="shared" ca="1" si="53"/>
        <v>-3.6581296053538592</v>
      </c>
      <c r="V22" s="581">
        <f t="shared" ca="1" si="53"/>
        <v>-7.4691713807064319</v>
      </c>
      <c r="W22" s="581">
        <f t="shared" ca="1" si="53"/>
        <v>-8.5160316214668619</v>
      </c>
      <c r="X22" s="581">
        <f t="shared" ca="1" si="53"/>
        <v>0</v>
      </c>
      <c r="Y22" s="581">
        <f t="shared" ca="1" si="53"/>
        <v>0</v>
      </c>
      <c r="Z22" s="581">
        <f t="shared" ca="1" si="53"/>
        <v>0</v>
      </c>
      <c r="AA22" s="581">
        <f t="shared" ca="1" si="53"/>
        <v>0</v>
      </c>
      <c r="AB22" s="581">
        <f t="shared" ca="1" si="53"/>
        <v>0</v>
      </c>
      <c r="AC22" s="581">
        <f t="shared" ca="1" si="53"/>
        <v>0</v>
      </c>
      <c r="AD22" s="581">
        <f t="shared" ca="1" si="53"/>
        <v>0</v>
      </c>
      <c r="AE22" s="581">
        <f ca="1">AE21</f>
        <v>0</v>
      </c>
      <c r="AF22" s="581">
        <f t="shared" ca="1" si="53"/>
        <v>0</v>
      </c>
      <c r="AG22" s="581">
        <f t="shared" ca="1" si="53"/>
        <v>0</v>
      </c>
      <c r="AH22" s="581">
        <f ca="1">AH21</f>
        <v>0</v>
      </c>
      <c r="AI22" s="581">
        <f t="shared" ca="1" si="53"/>
        <v>0</v>
      </c>
      <c r="AJ22" s="581">
        <f t="shared" ca="1" si="53"/>
        <v>0</v>
      </c>
      <c r="AK22" s="581">
        <f ca="1">SUM(S22:AJ22)</f>
        <v>-30.570671525127587</v>
      </c>
      <c r="AM22" s="582">
        <f t="shared" ref="AM22:BE22" ca="1" si="54">AM21</f>
        <v>0</v>
      </c>
      <c r="AN22" s="582">
        <f t="shared" ca="1" si="54"/>
        <v>0</v>
      </c>
      <c r="AO22" s="582">
        <f t="shared" ca="1" si="54"/>
        <v>0</v>
      </c>
      <c r="AP22" s="582">
        <f t="shared" ca="1" si="54"/>
        <v>0</v>
      </c>
      <c r="AQ22" s="582">
        <f t="shared" ca="1" si="54"/>
        <v>0</v>
      </c>
      <c r="AR22" s="582">
        <f t="shared" ca="1" si="54"/>
        <v>0</v>
      </c>
      <c r="AS22" s="582">
        <f t="shared" ca="1" si="54"/>
        <v>0</v>
      </c>
      <c r="AT22" s="582">
        <f t="shared" ca="1" si="54"/>
        <v>0</v>
      </c>
      <c r="AU22" s="582">
        <f t="shared" ca="1" si="54"/>
        <v>0</v>
      </c>
      <c r="AV22" s="582">
        <f t="shared" ca="1" si="54"/>
        <v>0</v>
      </c>
      <c r="AW22" s="582">
        <f t="shared" ca="1" si="54"/>
        <v>0</v>
      </c>
      <c r="AX22" s="582">
        <f t="shared" ca="1" si="54"/>
        <v>0</v>
      </c>
      <c r="AY22" s="582">
        <f t="shared" ca="1" si="54"/>
        <v>0</v>
      </c>
      <c r="AZ22" s="582">
        <f t="shared" ca="1" si="54"/>
        <v>0</v>
      </c>
      <c r="BA22" s="582">
        <f t="shared" ca="1" si="54"/>
        <v>0</v>
      </c>
      <c r="BB22" s="582">
        <f t="shared" ca="1" si="54"/>
        <v>0</v>
      </c>
      <c r="BC22" s="582">
        <f t="shared" ca="1" si="54"/>
        <v>0</v>
      </c>
      <c r="BD22" s="582">
        <f ca="1">BD21</f>
        <v>0</v>
      </c>
      <c r="BE22" s="582">
        <f t="shared" ca="1" si="54"/>
        <v>0</v>
      </c>
      <c r="BF22" s="582">
        <f ca="1">SUM(AM22:BE22)</f>
        <v>0</v>
      </c>
      <c r="BH22" s="3463">
        <f ca="1">BH21</f>
        <v>0</v>
      </c>
      <c r="BI22" s="3463">
        <f ca="1">BI21</f>
        <v>0</v>
      </c>
      <c r="BJ22" s="3463">
        <f ca="1">SUM(BH22:BI22)</f>
        <v>0</v>
      </c>
      <c r="BL22" s="3477">
        <f t="shared" ca="1" si="10"/>
        <v>0</v>
      </c>
      <c r="BM22" s="584"/>
      <c r="BN22" s="413"/>
      <c r="BO22" s="2790">
        <f t="shared" ref="BO22:DF22" ca="1" si="55">BO21</f>
        <v>4.9494436535960773</v>
      </c>
      <c r="BP22" s="2790">
        <f t="shared" ca="1" si="55"/>
        <v>2.5314082784424399E-3</v>
      </c>
      <c r="BQ22" s="2790">
        <f t="shared" ca="1" si="55"/>
        <v>3.4603878216023828E-2</v>
      </c>
      <c r="BR22" s="2790">
        <f t="shared" ca="1" si="55"/>
        <v>0</v>
      </c>
      <c r="BS22" s="2790">
        <f t="shared" ca="1" si="55"/>
        <v>0</v>
      </c>
      <c r="BT22" s="2790">
        <f t="shared" ca="1" si="55"/>
        <v>0</v>
      </c>
      <c r="BU22" s="2790">
        <f t="shared" ca="1" si="55"/>
        <v>0</v>
      </c>
      <c r="BV22" s="2790">
        <f t="shared" ca="1" si="55"/>
        <v>0</v>
      </c>
      <c r="BW22" s="2790">
        <f t="shared" ca="1" si="55"/>
        <v>0.70168052689576832</v>
      </c>
      <c r="BX22" s="2790">
        <f t="shared" ca="1" si="55"/>
        <v>0</v>
      </c>
      <c r="BY22" s="2790">
        <f t="shared" ca="1" si="55"/>
        <v>0</v>
      </c>
      <c r="BZ22" s="2790">
        <f t="shared" ca="1" si="55"/>
        <v>0.65537525174047484</v>
      </c>
      <c r="CA22" s="2790">
        <f t="shared" ca="1" si="55"/>
        <v>0</v>
      </c>
      <c r="CB22" s="2790">
        <f t="shared" ca="1" si="55"/>
        <v>0</v>
      </c>
      <c r="CC22" s="2790">
        <f t="shared" ca="1" si="55"/>
        <v>0</v>
      </c>
      <c r="CD22" s="2790">
        <f t="shared" ca="1" si="55"/>
        <v>0</v>
      </c>
      <c r="CE22" s="2790">
        <f t="shared" ca="1" si="55"/>
        <v>0</v>
      </c>
      <c r="CF22" s="2790">
        <f t="shared" ca="1" si="55"/>
        <v>0</v>
      </c>
      <c r="CG22" s="2790">
        <f t="shared" ca="1" si="55"/>
        <v>0</v>
      </c>
      <c r="CH22" s="2790">
        <f t="shared" ca="1" si="55"/>
        <v>0</v>
      </c>
      <c r="CI22" s="2790">
        <f t="shared" ca="1" si="55"/>
        <v>0</v>
      </c>
      <c r="CJ22" s="2790">
        <f t="shared" ca="1" si="55"/>
        <v>0</v>
      </c>
      <c r="CK22" s="2790">
        <f t="shared" ca="1" si="55"/>
        <v>0</v>
      </c>
      <c r="CL22" s="2790">
        <f t="shared" ca="1" si="55"/>
        <v>0</v>
      </c>
      <c r="CM22" s="2790">
        <f t="shared" ca="1" si="55"/>
        <v>0</v>
      </c>
      <c r="CN22" s="2790">
        <f t="shared" ca="1" si="55"/>
        <v>0</v>
      </c>
      <c r="CO22" s="2790">
        <f t="shared" ca="1" si="55"/>
        <v>0</v>
      </c>
      <c r="CP22" s="2790">
        <f t="shared" ca="1" si="55"/>
        <v>0</v>
      </c>
      <c r="CQ22" s="2790">
        <f t="shared" ca="1" si="55"/>
        <v>0</v>
      </c>
      <c r="CR22" s="2790">
        <f t="shared" ca="1" si="55"/>
        <v>0</v>
      </c>
      <c r="CS22" s="2790">
        <f t="shared" ca="1" si="55"/>
        <v>0</v>
      </c>
      <c r="CT22" s="2790">
        <f t="shared" ca="1" si="55"/>
        <v>0</v>
      </c>
      <c r="CU22" s="2790">
        <f t="shared" ca="1" si="55"/>
        <v>0</v>
      </c>
      <c r="CV22" s="2790">
        <f t="shared" ca="1" si="55"/>
        <v>0</v>
      </c>
      <c r="CW22" s="2790">
        <f t="shared" ca="1" si="55"/>
        <v>0</v>
      </c>
      <c r="CX22" s="2790">
        <f t="shared" ca="1" si="55"/>
        <v>0</v>
      </c>
      <c r="CY22" s="2790">
        <f t="shared" ca="1" si="55"/>
        <v>0</v>
      </c>
      <c r="CZ22" s="2790">
        <f t="shared" ca="1" si="55"/>
        <v>0</v>
      </c>
      <c r="DA22" s="2790">
        <f t="shared" ca="1" si="55"/>
        <v>0</v>
      </c>
      <c r="DB22" s="2790">
        <f t="shared" ca="1" si="55"/>
        <v>0</v>
      </c>
      <c r="DC22" s="2790">
        <f t="shared" ca="1" si="55"/>
        <v>0</v>
      </c>
      <c r="DD22" s="2790">
        <f t="shared" ca="1" si="55"/>
        <v>0</v>
      </c>
      <c r="DE22" s="2790">
        <f t="shared" ca="1" si="55"/>
        <v>0</v>
      </c>
      <c r="DF22" s="2790">
        <f t="shared" ca="1" si="55"/>
        <v>0</v>
      </c>
      <c r="DH22" s="596">
        <f t="shared" ca="1" si="33"/>
        <v>6.3436347187267872</v>
      </c>
    </row>
    <row r="23" spans="1:112" s="6" customFormat="1" ht="12.75" customHeight="1" outlineLevel="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10"/>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3"/>
        <v>0</v>
      </c>
    </row>
    <row r="24" spans="1:112" s="6" customFormat="1" ht="12.75" customHeight="1" outlineLevel="1">
      <c r="A24" s="607"/>
      <c r="B24" s="607"/>
      <c r="C24" s="587" t="s">
        <v>478</v>
      </c>
      <c r="D24" s="623" t="s">
        <v>479</v>
      </c>
      <c r="E24" s="599"/>
      <c r="G24" s="589">
        <f t="shared" ref="G24:P27" ca="1" si="56">IFERROR(INDEX(INDIRECT($C24&amp;".Outputs["&amp;this.Year&amp;"]"), MATCH(G$5, INDIRECT($C24&amp;".Outputs[Vector]"), 0)), 0)</f>
        <v>0</v>
      </c>
      <c r="H24" s="589">
        <f t="shared" ca="1" si="56"/>
        <v>0</v>
      </c>
      <c r="I24" s="589">
        <f t="shared" ca="1" si="56"/>
        <v>0</v>
      </c>
      <c r="J24" s="589">
        <f t="shared" ca="1" si="56"/>
        <v>16.12765889481858</v>
      </c>
      <c r="K24" s="589">
        <f t="shared" ca="1" si="56"/>
        <v>0.36323541422328681</v>
      </c>
      <c r="L24" s="589">
        <f t="shared" ca="1" si="56"/>
        <v>2.5228818186920948E-2</v>
      </c>
      <c r="M24" s="589">
        <f t="shared" ca="1" si="56"/>
        <v>0</v>
      </c>
      <c r="N24" s="589">
        <f t="shared" ca="1" si="56"/>
        <v>0</v>
      </c>
      <c r="O24" s="589">
        <f t="shared" ca="1" si="56"/>
        <v>0</v>
      </c>
      <c r="P24" s="589">
        <f t="shared" ca="1" si="56"/>
        <v>0</v>
      </c>
      <c r="Q24" s="590">
        <f t="shared" ref="Q24:Q32" ca="1" si="57">SUM(G24:P24)</f>
        <v>16.516123127228788</v>
      </c>
      <c r="S24" s="591">
        <f t="shared" ref="S24:AJ30" ca="1" si="58">IFERROR(INDEX(INDIRECT($C24&amp;".Outputs["&amp;this.Year&amp;"]"), MATCH(S$5, INDIRECT($C24&amp;".Outputs[Vector]"), 0)), 0)</f>
        <v>-0.55189181444861812</v>
      </c>
      <c r="T24" s="591">
        <f t="shared" ca="1" si="58"/>
        <v>0</v>
      </c>
      <c r="U24" s="591">
        <f t="shared" ca="1" si="58"/>
        <v>0</v>
      </c>
      <c r="V24" s="591">
        <f t="shared" ca="1" si="58"/>
        <v>-15.943057716420348</v>
      </c>
      <c r="W24" s="591">
        <f t="shared" ca="1" si="58"/>
        <v>0</v>
      </c>
      <c r="X24" s="591">
        <f t="shared" ref="X24:Z27" ca="1" si="59">IFERROR(INDEX(INDIRECT($C24&amp;".Outputs["&amp;this.Year&amp;"]"), MATCH(X$5, INDIRECT($C24&amp;".Outputs[Vector]"), 0)), 0)</f>
        <v>0</v>
      </c>
      <c r="Y24" s="591">
        <f t="shared" ca="1" si="59"/>
        <v>0</v>
      </c>
      <c r="Z24" s="591">
        <f t="shared" ca="1" si="59"/>
        <v>0</v>
      </c>
      <c r="AA24" s="591">
        <f t="shared" ca="1" si="58"/>
        <v>0</v>
      </c>
      <c r="AB24" s="591">
        <f t="shared" ca="1" si="58"/>
        <v>0</v>
      </c>
      <c r="AC24" s="591">
        <f t="shared" ca="1" si="58"/>
        <v>0</v>
      </c>
      <c r="AD24" s="591">
        <f t="shared" ca="1" si="58"/>
        <v>0</v>
      </c>
      <c r="AE24" s="591">
        <f t="shared" ca="1" si="58"/>
        <v>0</v>
      </c>
      <c r="AF24" s="591">
        <f t="shared" ca="1" si="58"/>
        <v>0</v>
      </c>
      <c r="AG24" s="591">
        <f t="shared" ca="1" si="58"/>
        <v>0</v>
      </c>
      <c r="AH24" s="591">
        <f t="shared" ca="1" si="58"/>
        <v>0</v>
      </c>
      <c r="AI24" s="591">
        <f t="shared" ca="1" si="58"/>
        <v>0</v>
      </c>
      <c r="AJ24" s="591">
        <f t="shared" ca="1" si="58"/>
        <v>-2.1173596359821727E-2</v>
      </c>
      <c r="AK24" s="592">
        <f t="shared" ref="AK24:AK32" ca="1" si="60">SUM(S24:AJ24)</f>
        <v>-16.516123127228788</v>
      </c>
      <c r="AM24" s="593">
        <f t="shared" ref="AM24:AU27" ca="1" si="61">IFERROR(INDEX(INDIRECT($C24&amp;".Outputs["&amp;this.Year&amp;"]"), MATCH(AM$5, INDIRECT($C24&amp;".Outputs[Vector]"), 0)), 0)</f>
        <v>0</v>
      </c>
      <c r="AN24" s="593">
        <f t="shared" ca="1" si="61"/>
        <v>0</v>
      </c>
      <c r="AO24" s="593">
        <f t="shared" ca="1" si="61"/>
        <v>0</v>
      </c>
      <c r="AP24" s="593">
        <f t="shared" ca="1" si="61"/>
        <v>0</v>
      </c>
      <c r="AQ24" s="593">
        <f t="shared" ca="1" si="61"/>
        <v>0</v>
      </c>
      <c r="AR24" s="593">
        <f t="shared" ca="1" si="61"/>
        <v>0</v>
      </c>
      <c r="AS24" s="593">
        <f t="shared" ca="1" si="61"/>
        <v>0</v>
      </c>
      <c r="AT24" s="593">
        <f t="shared" ca="1" si="61"/>
        <v>0</v>
      </c>
      <c r="AU24" s="593">
        <f t="shared" ca="1" si="61"/>
        <v>0</v>
      </c>
      <c r="AV24" s="593">
        <f t="shared" ref="AV24:BE30" ca="1" si="62">IFERROR(INDEX(INDIRECT($C24&amp;".Outputs["&amp;this.Year&amp;"]"), MATCH(AV$5, INDIRECT($C24&amp;".Outputs[Vector]"), 0)), 0)</f>
        <v>0</v>
      </c>
      <c r="AW24" s="593">
        <f t="shared" ca="1" si="62"/>
        <v>0</v>
      </c>
      <c r="AX24" s="593">
        <f t="shared" ca="1" si="62"/>
        <v>0</v>
      </c>
      <c r="AY24" s="593">
        <f t="shared" ca="1" si="62"/>
        <v>0</v>
      </c>
      <c r="AZ24" s="593">
        <f t="shared" ca="1" si="62"/>
        <v>0</v>
      </c>
      <c r="BA24" s="593">
        <f t="shared" ca="1" si="62"/>
        <v>0</v>
      </c>
      <c r="BB24" s="593">
        <f t="shared" ca="1" si="62"/>
        <v>0</v>
      </c>
      <c r="BC24" s="593">
        <f t="shared" ca="1" si="62"/>
        <v>0</v>
      </c>
      <c r="BD24" s="593">
        <f t="shared" ca="1" si="62"/>
        <v>0</v>
      </c>
      <c r="BE24" s="593">
        <f t="shared" ca="1" si="62"/>
        <v>0</v>
      </c>
      <c r="BF24" s="609">
        <f t="shared" ref="BF24:BF32" ca="1" si="63">SUM(AM24:BE24)</f>
        <v>0</v>
      </c>
      <c r="BH24" s="3471">
        <f t="shared" ref="BH24:BI30" ca="1" si="64">IFERROR(INDEX(INDIRECT($C24&amp;".Outputs["&amp;this.Year&amp;"]"), MATCH(BH$5, INDIRECT($C24&amp;".Outputs[Vector]"), 0)), 0)</f>
        <v>0</v>
      </c>
      <c r="BI24" s="3471">
        <f t="shared" ca="1" si="64"/>
        <v>0</v>
      </c>
      <c r="BJ24" s="3460">
        <f t="shared" ref="BJ24:BJ32" ca="1" si="65">SUM(BH24:BI24)</f>
        <v>0</v>
      </c>
      <c r="BL24" s="610">
        <f t="shared" ca="1" si="10"/>
        <v>0</v>
      </c>
      <c r="BM24" s="610"/>
      <c r="BN24" s="413"/>
      <c r="BO24" s="2789">
        <f t="shared" ref="BO24:BX27" ca="1" si="66">IFERROR(SUMIFS(INDIRECT($C24&amp;".Emissions["&amp;this.Year&amp;"]"), INDIRECT($C24&amp;".Emissions[GHG]"), BO$6, INDIRECT($C24&amp;".Emissions[IPCC Sector]"), BO$5),0)</f>
        <v>4.2070540702090007</v>
      </c>
      <c r="BP24" s="2790">
        <f t="shared" ca="1" si="66"/>
        <v>3.6158854900841353E-3</v>
      </c>
      <c r="BQ24" s="2790">
        <f t="shared" ca="1" si="66"/>
        <v>1.0675471446915066E-2</v>
      </c>
      <c r="BR24" s="2790">
        <f t="shared" ca="1" si="66"/>
        <v>0</v>
      </c>
      <c r="BS24" s="2790">
        <f t="shared" ca="1" si="66"/>
        <v>0</v>
      </c>
      <c r="BT24" s="2790">
        <f t="shared" ca="1" si="66"/>
        <v>0</v>
      </c>
      <c r="BU24" s="2790">
        <f t="shared" ca="1" si="66"/>
        <v>0</v>
      </c>
      <c r="BV24" s="2790">
        <f t="shared" ca="1" si="66"/>
        <v>0</v>
      </c>
      <c r="BW24" s="2790">
        <f t="shared" ca="1" si="66"/>
        <v>0</v>
      </c>
      <c r="BX24" s="2790">
        <f t="shared" ca="1" si="66"/>
        <v>0</v>
      </c>
      <c r="BY24" s="2790">
        <f t="shared" ref="BY24:CH27" ca="1" si="67">IFERROR(SUMIFS(INDIRECT($C24&amp;".Emissions["&amp;this.Year&amp;"]"), INDIRECT($C24&amp;".Emissions[GHG]"), BY$6, INDIRECT($C24&amp;".Emissions[IPCC Sector]"), BY$5),0)</f>
        <v>0</v>
      </c>
      <c r="BZ24" s="2790">
        <f t="shared" ca="1" si="67"/>
        <v>0</v>
      </c>
      <c r="CA24" s="2790">
        <f t="shared" ca="1" si="67"/>
        <v>0</v>
      </c>
      <c r="CB24" s="2790">
        <f t="shared" ca="1" si="67"/>
        <v>0</v>
      </c>
      <c r="CC24" s="2790">
        <f t="shared" ca="1" si="67"/>
        <v>0</v>
      </c>
      <c r="CD24" s="2790">
        <f t="shared" ca="1" si="67"/>
        <v>0</v>
      </c>
      <c r="CE24" s="2790">
        <f t="shared" ca="1" si="67"/>
        <v>0</v>
      </c>
      <c r="CF24" s="2790">
        <f t="shared" ca="1" si="67"/>
        <v>0</v>
      </c>
      <c r="CG24" s="2790">
        <f t="shared" ca="1" si="67"/>
        <v>0</v>
      </c>
      <c r="CH24" s="2790">
        <f t="shared" ca="1" si="67"/>
        <v>0</v>
      </c>
      <c r="CI24" s="2790">
        <f t="shared" ref="CI24:CR27" ca="1" si="68">IFERROR(SUMIFS(INDIRECT($C24&amp;".Emissions["&amp;this.Year&amp;"]"), INDIRECT($C24&amp;".Emissions[GHG]"), CI$6, INDIRECT($C24&amp;".Emissions[IPCC Sector]"), CI$5),0)</f>
        <v>0</v>
      </c>
      <c r="CJ24" s="2790">
        <f t="shared" ca="1" si="68"/>
        <v>0</v>
      </c>
      <c r="CK24" s="2790">
        <f t="shared" ca="1" si="68"/>
        <v>0</v>
      </c>
      <c r="CL24" s="2790">
        <f t="shared" ca="1" si="68"/>
        <v>0</v>
      </c>
      <c r="CM24" s="2790">
        <f t="shared" ca="1" si="68"/>
        <v>0</v>
      </c>
      <c r="CN24" s="2790">
        <f t="shared" ca="1" si="68"/>
        <v>0</v>
      </c>
      <c r="CO24" s="2790">
        <f t="shared" ca="1" si="68"/>
        <v>0</v>
      </c>
      <c r="CP24" s="2790">
        <f t="shared" ca="1" si="68"/>
        <v>0</v>
      </c>
      <c r="CQ24" s="2790">
        <f t="shared" ca="1" si="68"/>
        <v>0</v>
      </c>
      <c r="CR24" s="2790">
        <f t="shared" ca="1" si="68"/>
        <v>0</v>
      </c>
      <c r="CS24" s="2790">
        <f t="shared" ref="CS24:DF27" ca="1" si="69">IFERROR(SUMIFS(INDIRECT($C24&amp;".Emissions["&amp;this.Year&amp;"]"), INDIRECT($C24&amp;".Emissions[GHG]"), CS$6, INDIRECT($C24&amp;".Emissions[IPCC Sector]"), CS$5),0)</f>
        <v>0</v>
      </c>
      <c r="CT24" s="2790">
        <f t="shared" ca="1" si="69"/>
        <v>0</v>
      </c>
      <c r="CU24" s="2790">
        <f t="shared" ca="1" si="69"/>
        <v>0</v>
      </c>
      <c r="CV24" s="2790">
        <f t="shared" ca="1" si="69"/>
        <v>0</v>
      </c>
      <c r="CW24" s="2790">
        <f t="shared" ca="1" si="69"/>
        <v>0</v>
      </c>
      <c r="CX24" s="2790">
        <f t="shared" ca="1" si="69"/>
        <v>0</v>
      </c>
      <c r="CY24" s="2790">
        <f t="shared" ca="1" si="69"/>
        <v>0</v>
      </c>
      <c r="CZ24" s="2790">
        <f t="shared" ca="1" si="69"/>
        <v>0</v>
      </c>
      <c r="DA24" s="2790">
        <f t="shared" ca="1" si="69"/>
        <v>0</v>
      </c>
      <c r="DB24" s="2790">
        <f t="shared" ca="1" si="69"/>
        <v>0</v>
      </c>
      <c r="DC24" s="2790">
        <f t="shared" ca="1" si="69"/>
        <v>0</v>
      </c>
      <c r="DD24" s="2790">
        <f t="shared" ca="1" si="69"/>
        <v>0</v>
      </c>
      <c r="DE24" s="2790">
        <f t="shared" ca="1" si="69"/>
        <v>0</v>
      </c>
      <c r="DF24" s="2790">
        <f t="shared" ca="1" si="69"/>
        <v>0</v>
      </c>
      <c r="DH24" s="596">
        <f t="shared" ca="1" si="33"/>
        <v>4.2213454271459998</v>
      </c>
    </row>
    <row r="25" spans="1:112" s="6" customFormat="1" ht="12.75" customHeight="1" outlineLevel="1">
      <c r="A25" s="607"/>
      <c r="B25" s="607"/>
      <c r="C25" s="587" t="s">
        <v>480</v>
      </c>
      <c r="D25" s="623" t="s">
        <v>481</v>
      </c>
      <c r="E25" s="599"/>
      <c r="G25" s="589">
        <f t="shared" ca="1" si="56"/>
        <v>0</v>
      </c>
      <c r="H25" s="589">
        <f t="shared" ca="1" si="56"/>
        <v>0</v>
      </c>
      <c r="I25" s="589">
        <f t="shared" ca="1" si="56"/>
        <v>0</v>
      </c>
      <c r="J25" s="589">
        <f t="shared" ca="1" si="56"/>
        <v>16.956331875</v>
      </c>
      <c r="K25" s="589">
        <f t="shared" ca="1" si="56"/>
        <v>6.15351461824243E-3</v>
      </c>
      <c r="L25" s="589">
        <f t="shared" ca="1" si="56"/>
        <v>0</v>
      </c>
      <c r="M25" s="589">
        <f t="shared" ca="1" si="56"/>
        <v>0.66</v>
      </c>
      <c r="N25" s="589">
        <f t="shared" ca="1" si="56"/>
        <v>0</v>
      </c>
      <c r="O25" s="589">
        <f t="shared" ca="1" si="56"/>
        <v>0</v>
      </c>
      <c r="P25" s="589">
        <f t="shared" ca="1" si="56"/>
        <v>0</v>
      </c>
      <c r="Q25" s="590">
        <f t="shared" ca="1" si="57"/>
        <v>17.622485389618241</v>
      </c>
      <c r="S25" s="591">
        <f t="shared" ca="1" si="58"/>
        <v>0</v>
      </c>
      <c r="T25" s="591">
        <f t="shared" ca="1" si="58"/>
        <v>0</v>
      </c>
      <c r="U25" s="591">
        <f t="shared" ca="1" si="58"/>
        <v>0</v>
      </c>
      <c r="V25" s="591">
        <f t="shared" ca="1" si="58"/>
        <v>-17.622485389618241</v>
      </c>
      <c r="W25" s="591">
        <f t="shared" ca="1" si="58"/>
        <v>0</v>
      </c>
      <c r="X25" s="591">
        <f t="shared" ca="1" si="59"/>
        <v>0</v>
      </c>
      <c r="Y25" s="591">
        <f t="shared" ca="1" si="59"/>
        <v>0</v>
      </c>
      <c r="Z25" s="591">
        <f t="shared" ca="1" si="59"/>
        <v>0</v>
      </c>
      <c r="AA25" s="591">
        <f t="shared" ca="1" si="58"/>
        <v>0</v>
      </c>
      <c r="AB25" s="591">
        <f t="shared" ca="1" si="58"/>
        <v>0</v>
      </c>
      <c r="AC25" s="591">
        <f t="shared" ca="1" si="58"/>
        <v>0</v>
      </c>
      <c r="AD25" s="591">
        <f t="shared" ca="1" si="58"/>
        <v>0</v>
      </c>
      <c r="AE25" s="591">
        <f t="shared" ca="1" si="58"/>
        <v>0</v>
      </c>
      <c r="AF25" s="591">
        <f t="shared" ca="1" si="58"/>
        <v>0</v>
      </c>
      <c r="AG25" s="591">
        <f t="shared" ca="1" si="58"/>
        <v>0</v>
      </c>
      <c r="AH25" s="591">
        <f t="shared" ca="1" si="58"/>
        <v>0</v>
      </c>
      <c r="AI25" s="591">
        <f t="shared" ca="1" si="58"/>
        <v>0</v>
      </c>
      <c r="AJ25" s="591">
        <f t="shared" ca="1" si="58"/>
        <v>0</v>
      </c>
      <c r="AK25" s="592">
        <f t="shared" ca="1" si="60"/>
        <v>-17.622485389618241</v>
      </c>
      <c r="AM25" s="593">
        <f t="shared" ca="1" si="61"/>
        <v>0</v>
      </c>
      <c r="AN25" s="593">
        <f t="shared" ca="1" si="61"/>
        <v>0</v>
      </c>
      <c r="AO25" s="593">
        <f t="shared" ca="1" si="61"/>
        <v>0</v>
      </c>
      <c r="AP25" s="593">
        <f t="shared" ca="1" si="61"/>
        <v>0</v>
      </c>
      <c r="AQ25" s="593">
        <f t="shared" ca="1" si="61"/>
        <v>0</v>
      </c>
      <c r="AR25" s="593">
        <f t="shared" ca="1" si="61"/>
        <v>0</v>
      </c>
      <c r="AS25" s="593">
        <f t="shared" ca="1" si="61"/>
        <v>0</v>
      </c>
      <c r="AT25" s="593">
        <f t="shared" ca="1" si="61"/>
        <v>0</v>
      </c>
      <c r="AU25" s="593">
        <f t="shared" ca="1" si="61"/>
        <v>0</v>
      </c>
      <c r="AV25" s="593">
        <f t="shared" ca="1" si="62"/>
        <v>0</v>
      </c>
      <c r="AW25" s="593">
        <f t="shared" ca="1" si="62"/>
        <v>0</v>
      </c>
      <c r="AX25" s="593">
        <f t="shared" ca="1" si="62"/>
        <v>0</v>
      </c>
      <c r="AY25" s="593">
        <f t="shared" ca="1" si="62"/>
        <v>0</v>
      </c>
      <c r="AZ25" s="593">
        <f t="shared" ca="1" si="62"/>
        <v>0</v>
      </c>
      <c r="BA25" s="593">
        <f t="shared" ca="1" si="62"/>
        <v>0</v>
      </c>
      <c r="BB25" s="593">
        <f t="shared" ca="1" si="62"/>
        <v>0</v>
      </c>
      <c r="BC25" s="593">
        <f t="shared" ca="1" si="62"/>
        <v>0</v>
      </c>
      <c r="BD25" s="593">
        <f t="shared" ca="1" si="62"/>
        <v>0</v>
      </c>
      <c r="BE25" s="593">
        <f t="shared" ca="1" si="62"/>
        <v>0</v>
      </c>
      <c r="BF25" s="609">
        <f t="shared" ca="1" si="63"/>
        <v>0</v>
      </c>
      <c r="BH25" s="3471">
        <f t="shared" ca="1" si="64"/>
        <v>0</v>
      </c>
      <c r="BI25" s="3471">
        <f t="shared" ca="1" si="64"/>
        <v>0</v>
      </c>
      <c r="BJ25" s="3460">
        <f t="shared" ca="1" si="65"/>
        <v>0</v>
      </c>
      <c r="BL25" s="610">
        <f t="shared" ca="1" si="10"/>
        <v>0</v>
      </c>
      <c r="BM25" s="610"/>
      <c r="BN25" s="413"/>
      <c r="BO25" s="2789">
        <f t="shared" ca="1" si="66"/>
        <v>4.6502214446124608</v>
      </c>
      <c r="BP25" s="2790">
        <f t="shared" ca="1" si="66"/>
        <v>3.9967796863654174E-3</v>
      </c>
      <c r="BQ25" s="2790">
        <f t="shared" ca="1" si="66"/>
        <v>1.1800016216888374E-2</v>
      </c>
      <c r="BR25" s="2790">
        <f t="shared" ca="1" si="66"/>
        <v>0</v>
      </c>
      <c r="BS25" s="2790">
        <f t="shared" ca="1" si="66"/>
        <v>0</v>
      </c>
      <c r="BT25" s="2790">
        <f t="shared" ca="1" si="66"/>
        <v>0</v>
      </c>
      <c r="BU25" s="2790">
        <f t="shared" ca="1" si="66"/>
        <v>0</v>
      </c>
      <c r="BV25" s="2790">
        <f t="shared" ca="1" si="66"/>
        <v>0</v>
      </c>
      <c r="BW25" s="2790">
        <f t="shared" ca="1" si="66"/>
        <v>0</v>
      </c>
      <c r="BX25" s="2790">
        <f t="shared" ca="1" si="66"/>
        <v>0</v>
      </c>
      <c r="BY25" s="2790">
        <f t="shared" ca="1" si="67"/>
        <v>0</v>
      </c>
      <c r="BZ25" s="2790">
        <f t="shared" ca="1" si="67"/>
        <v>0</v>
      </c>
      <c r="CA25" s="2790">
        <f t="shared" ca="1" si="67"/>
        <v>0</v>
      </c>
      <c r="CB25" s="2790">
        <f t="shared" ca="1" si="67"/>
        <v>0</v>
      </c>
      <c r="CC25" s="2790">
        <f t="shared" ca="1" si="67"/>
        <v>0</v>
      </c>
      <c r="CD25" s="2790">
        <f t="shared" ca="1" si="67"/>
        <v>0</v>
      </c>
      <c r="CE25" s="2790">
        <f t="shared" ca="1" si="67"/>
        <v>0</v>
      </c>
      <c r="CF25" s="2790">
        <f t="shared" ca="1" si="67"/>
        <v>0</v>
      </c>
      <c r="CG25" s="2790">
        <f t="shared" ca="1" si="67"/>
        <v>0</v>
      </c>
      <c r="CH25" s="2790">
        <f t="shared" ca="1" si="67"/>
        <v>0</v>
      </c>
      <c r="CI25" s="2790">
        <f t="shared" ca="1" si="68"/>
        <v>0</v>
      </c>
      <c r="CJ25" s="2790">
        <f t="shared" ca="1" si="68"/>
        <v>0</v>
      </c>
      <c r="CK25" s="2790">
        <f t="shared" ca="1" si="68"/>
        <v>0</v>
      </c>
      <c r="CL25" s="2790">
        <f t="shared" ca="1" si="68"/>
        <v>0</v>
      </c>
      <c r="CM25" s="2790">
        <f t="shared" ca="1" si="68"/>
        <v>0</v>
      </c>
      <c r="CN25" s="2790">
        <f t="shared" ca="1" si="68"/>
        <v>0</v>
      </c>
      <c r="CO25" s="2790">
        <f t="shared" ca="1" si="68"/>
        <v>0</v>
      </c>
      <c r="CP25" s="2790">
        <f t="shared" ca="1" si="68"/>
        <v>0</v>
      </c>
      <c r="CQ25" s="2790">
        <f t="shared" ca="1" si="68"/>
        <v>0</v>
      </c>
      <c r="CR25" s="2790">
        <f t="shared" ca="1" si="68"/>
        <v>0</v>
      </c>
      <c r="CS25" s="2790">
        <f t="shared" ca="1" si="69"/>
        <v>0</v>
      </c>
      <c r="CT25" s="2790">
        <f t="shared" ca="1" si="69"/>
        <v>0</v>
      </c>
      <c r="CU25" s="2790">
        <f t="shared" ca="1" si="69"/>
        <v>0</v>
      </c>
      <c r="CV25" s="2790">
        <f t="shared" ca="1" si="69"/>
        <v>0</v>
      </c>
      <c r="CW25" s="2790">
        <f t="shared" ca="1" si="69"/>
        <v>0</v>
      </c>
      <c r="CX25" s="2790">
        <f t="shared" ca="1" si="69"/>
        <v>0</v>
      </c>
      <c r="CY25" s="2790">
        <f t="shared" ca="1" si="69"/>
        <v>0</v>
      </c>
      <c r="CZ25" s="2790">
        <f t="shared" ca="1" si="69"/>
        <v>0</v>
      </c>
      <c r="DA25" s="2790">
        <f t="shared" ca="1" si="69"/>
        <v>0</v>
      </c>
      <c r="DB25" s="2790">
        <f t="shared" ca="1" si="69"/>
        <v>0</v>
      </c>
      <c r="DC25" s="2790">
        <f t="shared" ca="1" si="69"/>
        <v>0</v>
      </c>
      <c r="DD25" s="2790">
        <f t="shared" ca="1" si="69"/>
        <v>0</v>
      </c>
      <c r="DE25" s="2790">
        <f t="shared" ca="1" si="69"/>
        <v>0</v>
      </c>
      <c r="DF25" s="2790">
        <f t="shared" ca="1" si="69"/>
        <v>0</v>
      </c>
      <c r="DH25" s="596">
        <f t="shared" ca="1" si="33"/>
        <v>4.6660182405157142</v>
      </c>
    </row>
    <row r="26" spans="1:112" s="6" customFormat="1" ht="10.5" customHeight="1" outlineLevel="2">
      <c r="A26" s="586"/>
      <c r="B26" s="586"/>
      <c r="C26" s="587" t="s">
        <v>482</v>
      </c>
      <c r="D26" s="623" t="s">
        <v>373</v>
      </c>
      <c r="E26" s="599"/>
      <c r="G26" s="589">
        <f t="shared" ca="1" si="56"/>
        <v>0</v>
      </c>
      <c r="H26" s="589">
        <f t="shared" ca="1" si="56"/>
        <v>0</v>
      </c>
      <c r="I26" s="589">
        <f t="shared" ca="1" si="56"/>
        <v>0</v>
      </c>
      <c r="J26" s="589">
        <f t="shared" ca="1" si="56"/>
        <v>0</v>
      </c>
      <c r="K26" s="589">
        <f t="shared" ca="1" si="56"/>
        <v>0</v>
      </c>
      <c r="L26" s="589">
        <f t="shared" ca="1" si="56"/>
        <v>0</v>
      </c>
      <c r="M26" s="589">
        <f t="shared" ca="1" si="56"/>
        <v>0</v>
      </c>
      <c r="N26" s="589">
        <f t="shared" ca="1" si="56"/>
        <v>10.195826064607054</v>
      </c>
      <c r="O26" s="589">
        <f t="shared" ca="1" si="56"/>
        <v>0</v>
      </c>
      <c r="P26" s="589">
        <f t="shared" ca="1" si="56"/>
        <v>0</v>
      </c>
      <c r="Q26" s="590">
        <f t="shared" ca="1" si="57"/>
        <v>10.195826064607054</v>
      </c>
      <c r="S26" s="591">
        <f t="shared" ca="1" si="58"/>
        <v>0</v>
      </c>
      <c r="T26" s="591">
        <f t="shared" ca="1" si="58"/>
        <v>0</v>
      </c>
      <c r="U26" s="591">
        <f t="shared" ca="1" si="58"/>
        <v>0</v>
      </c>
      <c r="V26" s="591">
        <f t="shared" ca="1" si="58"/>
        <v>-10.195826064607054</v>
      </c>
      <c r="W26" s="591">
        <f t="shared" ca="1" si="58"/>
        <v>0</v>
      </c>
      <c r="X26" s="591">
        <f t="shared" ca="1" si="59"/>
        <v>0</v>
      </c>
      <c r="Y26" s="591">
        <f t="shared" ca="1" si="59"/>
        <v>0</v>
      </c>
      <c r="Z26" s="591">
        <f t="shared" ca="1" si="59"/>
        <v>0</v>
      </c>
      <c r="AA26" s="591">
        <f t="shared" ca="1" si="58"/>
        <v>0</v>
      </c>
      <c r="AB26" s="591">
        <f t="shared" ca="1" si="58"/>
        <v>0</v>
      </c>
      <c r="AC26" s="591">
        <f t="shared" ca="1" si="58"/>
        <v>0</v>
      </c>
      <c r="AD26" s="591">
        <f t="shared" ca="1" si="58"/>
        <v>0</v>
      </c>
      <c r="AE26" s="591">
        <f t="shared" ca="1" si="58"/>
        <v>0</v>
      </c>
      <c r="AF26" s="591">
        <f t="shared" ca="1" si="58"/>
        <v>0</v>
      </c>
      <c r="AG26" s="591">
        <f t="shared" ca="1" si="58"/>
        <v>0</v>
      </c>
      <c r="AH26" s="591">
        <f t="shared" ca="1" si="58"/>
        <v>0</v>
      </c>
      <c r="AI26" s="591">
        <f t="shared" ca="1" si="58"/>
        <v>0</v>
      </c>
      <c r="AJ26" s="591">
        <f t="shared" ca="1" si="58"/>
        <v>0</v>
      </c>
      <c r="AK26" s="592">
        <f t="shared" ca="1" si="60"/>
        <v>-10.195826064607054</v>
      </c>
      <c r="AM26" s="593">
        <f t="shared" ca="1" si="61"/>
        <v>0</v>
      </c>
      <c r="AN26" s="593">
        <f t="shared" ca="1" si="61"/>
        <v>0</v>
      </c>
      <c r="AO26" s="593">
        <f t="shared" ca="1" si="61"/>
        <v>0</v>
      </c>
      <c r="AP26" s="593">
        <f t="shared" ca="1" si="61"/>
        <v>0</v>
      </c>
      <c r="AQ26" s="593">
        <f t="shared" ca="1" si="61"/>
        <v>0</v>
      </c>
      <c r="AR26" s="593">
        <f t="shared" ca="1" si="61"/>
        <v>0</v>
      </c>
      <c r="AS26" s="593">
        <f t="shared" ca="1" si="61"/>
        <v>0</v>
      </c>
      <c r="AT26" s="593">
        <f t="shared" ca="1" si="61"/>
        <v>0</v>
      </c>
      <c r="AU26" s="593">
        <f t="shared" ca="1" si="61"/>
        <v>0</v>
      </c>
      <c r="AV26" s="593">
        <f t="shared" ca="1" si="62"/>
        <v>0</v>
      </c>
      <c r="AW26" s="593">
        <f t="shared" ca="1" si="62"/>
        <v>0</v>
      </c>
      <c r="AX26" s="593">
        <f t="shared" ca="1" si="62"/>
        <v>0</v>
      </c>
      <c r="AY26" s="593">
        <f t="shared" ca="1" si="62"/>
        <v>0</v>
      </c>
      <c r="AZ26" s="593">
        <f t="shared" ca="1" si="62"/>
        <v>0</v>
      </c>
      <c r="BA26" s="593">
        <f t="shared" ca="1" si="62"/>
        <v>0</v>
      </c>
      <c r="BB26" s="593">
        <f t="shared" ca="1" si="62"/>
        <v>0</v>
      </c>
      <c r="BC26" s="593">
        <f t="shared" ca="1" si="62"/>
        <v>0</v>
      </c>
      <c r="BD26" s="593">
        <f t="shared" ca="1" si="62"/>
        <v>0</v>
      </c>
      <c r="BE26" s="593">
        <f t="shared" ca="1" si="62"/>
        <v>0</v>
      </c>
      <c r="BF26" s="594">
        <f t="shared" ca="1" si="63"/>
        <v>0</v>
      </c>
      <c r="BH26" s="3471">
        <f t="shared" ca="1" si="64"/>
        <v>0</v>
      </c>
      <c r="BI26" s="3471">
        <f t="shared" ca="1" si="64"/>
        <v>0</v>
      </c>
      <c r="BJ26" s="3460">
        <f t="shared" ca="1" si="65"/>
        <v>0</v>
      </c>
      <c r="BL26" s="595">
        <f t="shared" ca="1" si="10"/>
        <v>0</v>
      </c>
      <c r="BM26" s="595"/>
      <c r="BN26" s="413"/>
      <c r="BO26" s="2789">
        <f t="shared" ca="1" si="66"/>
        <v>0</v>
      </c>
      <c r="BP26" s="2790">
        <f t="shared" ca="1" si="66"/>
        <v>0</v>
      </c>
      <c r="BQ26" s="2790">
        <f t="shared" ca="1" si="66"/>
        <v>0</v>
      </c>
      <c r="BR26" s="2790">
        <f t="shared" ca="1" si="66"/>
        <v>0</v>
      </c>
      <c r="BS26" s="2790">
        <f t="shared" ca="1" si="66"/>
        <v>0</v>
      </c>
      <c r="BT26" s="2790">
        <f t="shared" ca="1" si="66"/>
        <v>0</v>
      </c>
      <c r="BU26" s="2790">
        <f t="shared" ca="1" si="66"/>
        <v>0</v>
      </c>
      <c r="BV26" s="2790">
        <f t="shared" ca="1" si="66"/>
        <v>0</v>
      </c>
      <c r="BW26" s="2790">
        <f t="shared" ca="1" si="66"/>
        <v>0</v>
      </c>
      <c r="BX26" s="2790">
        <f t="shared" ca="1" si="66"/>
        <v>0</v>
      </c>
      <c r="BY26" s="2790">
        <f t="shared" ca="1" si="67"/>
        <v>0</v>
      </c>
      <c r="BZ26" s="2790">
        <f t="shared" ca="1" si="67"/>
        <v>0</v>
      </c>
      <c r="CA26" s="2790">
        <f t="shared" ca="1" si="67"/>
        <v>0</v>
      </c>
      <c r="CB26" s="2790">
        <f t="shared" ca="1" si="67"/>
        <v>0</v>
      </c>
      <c r="CC26" s="2790">
        <f t="shared" ca="1" si="67"/>
        <v>0</v>
      </c>
      <c r="CD26" s="2790">
        <f t="shared" ca="1" si="67"/>
        <v>0</v>
      </c>
      <c r="CE26" s="2790">
        <f t="shared" ca="1" si="67"/>
        <v>0</v>
      </c>
      <c r="CF26" s="2790">
        <f t="shared" ca="1" si="67"/>
        <v>0</v>
      </c>
      <c r="CG26" s="2790">
        <f t="shared" ca="1" si="67"/>
        <v>0</v>
      </c>
      <c r="CH26" s="2790">
        <f t="shared" ca="1" si="67"/>
        <v>0</v>
      </c>
      <c r="CI26" s="2790">
        <f t="shared" ca="1" si="68"/>
        <v>0</v>
      </c>
      <c r="CJ26" s="2790">
        <f t="shared" ca="1" si="68"/>
        <v>0</v>
      </c>
      <c r="CK26" s="2790">
        <f t="shared" ca="1" si="68"/>
        <v>0</v>
      </c>
      <c r="CL26" s="2790">
        <f t="shared" ca="1" si="68"/>
        <v>0</v>
      </c>
      <c r="CM26" s="2790">
        <f t="shared" ca="1" si="68"/>
        <v>0</v>
      </c>
      <c r="CN26" s="2790">
        <f t="shared" ca="1" si="68"/>
        <v>0</v>
      </c>
      <c r="CO26" s="2790">
        <f t="shared" ca="1" si="68"/>
        <v>0</v>
      </c>
      <c r="CP26" s="2790">
        <f t="shared" ca="1" si="68"/>
        <v>0</v>
      </c>
      <c r="CQ26" s="2790">
        <f t="shared" ca="1" si="68"/>
        <v>0</v>
      </c>
      <c r="CR26" s="2790">
        <f t="shared" ca="1" si="68"/>
        <v>0</v>
      </c>
      <c r="CS26" s="2790">
        <f t="shared" ca="1" si="69"/>
        <v>0</v>
      </c>
      <c r="CT26" s="2790">
        <f t="shared" ca="1" si="69"/>
        <v>0</v>
      </c>
      <c r="CU26" s="2790">
        <f t="shared" ca="1" si="69"/>
        <v>2.690474581928509</v>
      </c>
      <c r="CV26" s="2790">
        <f t="shared" ca="1" si="69"/>
        <v>2.31241335145288E-3</v>
      </c>
      <c r="CW26" s="2790">
        <f t="shared" ca="1" si="69"/>
        <v>6.8271251328608836E-3</v>
      </c>
      <c r="CX26" s="2790">
        <f t="shared" ca="1" si="69"/>
        <v>0</v>
      </c>
      <c r="CY26" s="2790">
        <f t="shared" ca="1" si="69"/>
        <v>0</v>
      </c>
      <c r="CZ26" s="2790">
        <f t="shared" ca="1" si="69"/>
        <v>0</v>
      </c>
      <c r="DA26" s="2790">
        <f t="shared" ca="1" si="69"/>
        <v>0</v>
      </c>
      <c r="DB26" s="2790">
        <f t="shared" ca="1" si="69"/>
        <v>0</v>
      </c>
      <c r="DC26" s="2790">
        <f t="shared" ca="1" si="69"/>
        <v>0</v>
      </c>
      <c r="DD26" s="2790">
        <f t="shared" ca="1" si="69"/>
        <v>0</v>
      </c>
      <c r="DE26" s="2790">
        <f t="shared" ca="1" si="69"/>
        <v>0</v>
      </c>
      <c r="DF26" s="2790">
        <f t="shared" ca="1" si="69"/>
        <v>0</v>
      </c>
      <c r="DH26" s="596">
        <f t="shared" ca="1" si="33"/>
        <v>2.6996141204128228</v>
      </c>
    </row>
    <row r="27" spans="1:112" s="6" customFormat="1" ht="10.5" customHeight="1" outlineLevel="2">
      <c r="A27" s="597"/>
      <c r="B27" s="597"/>
      <c r="C27" s="598" t="s">
        <v>483</v>
      </c>
      <c r="D27" s="624" t="s">
        <v>484</v>
      </c>
      <c r="E27" s="599"/>
      <c r="G27" s="600">
        <f t="shared" ca="1" si="56"/>
        <v>0</v>
      </c>
      <c r="H27" s="600">
        <f t="shared" ca="1" si="56"/>
        <v>0</v>
      </c>
      <c r="I27" s="600">
        <f t="shared" ca="1" si="56"/>
        <v>0</v>
      </c>
      <c r="J27" s="600">
        <f t="shared" ca="1" si="56"/>
        <v>0</v>
      </c>
      <c r="K27" s="600">
        <f t="shared" ca="1" si="56"/>
        <v>0</v>
      </c>
      <c r="L27" s="600">
        <f t="shared" ca="1" si="56"/>
        <v>0</v>
      </c>
      <c r="M27" s="600">
        <f t="shared" ca="1" si="56"/>
        <v>0</v>
      </c>
      <c r="N27" s="600">
        <f t="shared" ca="1" si="56"/>
        <v>0</v>
      </c>
      <c r="O27" s="600">
        <f t="shared" ca="1" si="56"/>
        <v>0</v>
      </c>
      <c r="P27" s="600">
        <f t="shared" ca="1" si="56"/>
        <v>0</v>
      </c>
      <c r="Q27" s="601">
        <f t="shared" ca="1" si="57"/>
        <v>0</v>
      </c>
      <c r="S27" s="602">
        <f t="shared" ca="1" si="58"/>
        <v>0</v>
      </c>
      <c r="T27" s="602">
        <f t="shared" ca="1" si="58"/>
        <v>0</v>
      </c>
      <c r="U27" s="602">
        <f t="shared" ca="1" si="58"/>
        <v>0</v>
      </c>
      <c r="V27" s="602">
        <f t="shared" ca="1" si="58"/>
        <v>0</v>
      </c>
      <c r="W27" s="602">
        <f t="shared" ca="1" si="58"/>
        <v>0</v>
      </c>
      <c r="X27" s="602">
        <f t="shared" ca="1" si="59"/>
        <v>0</v>
      </c>
      <c r="Y27" s="602">
        <f t="shared" ca="1" si="59"/>
        <v>0</v>
      </c>
      <c r="Z27" s="602">
        <f t="shared" ca="1" si="59"/>
        <v>0</v>
      </c>
      <c r="AA27" s="602">
        <f t="shared" ca="1" si="58"/>
        <v>0</v>
      </c>
      <c r="AB27" s="602">
        <f t="shared" ca="1" si="58"/>
        <v>0</v>
      </c>
      <c r="AC27" s="602">
        <f t="shared" ca="1" si="58"/>
        <v>0</v>
      </c>
      <c r="AD27" s="602">
        <f t="shared" ca="1" si="58"/>
        <v>0</v>
      </c>
      <c r="AE27" s="602">
        <f t="shared" ca="1" si="58"/>
        <v>0</v>
      </c>
      <c r="AF27" s="602">
        <f t="shared" ca="1" si="58"/>
        <v>0</v>
      </c>
      <c r="AG27" s="602">
        <f t="shared" ca="1" si="58"/>
        <v>0</v>
      </c>
      <c r="AH27" s="602">
        <f t="shared" ca="1" si="58"/>
        <v>0</v>
      </c>
      <c r="AI27" s="602">
        <f t="shared" ca="1" si="58"/>
        <v>0</v>
      </c>
      <c r="AJ27" s="602">
        <f t="shared" ca="1" si="58"/>
        <v>0</v>
      </c>
      <c r="AK27" s="603">
        <f t="shared" ca="1" si="60"/>
        <v>0</v>
      </c>
      <c r="AM27" s="604">
        <f t="shared" ca="1" si="61"/>
        <v>0</v>
      </c>
      <c r="AN27" s="604">
        <f t="shared" ca="1" si="61"/>
        <v>0</v>
      </c>
      <c r="AO27" s="604">
        <f t="shared" ca="1" si="61"/>
        <v>0</v>
      </c>
      <c r="AP27" s="604">
        <f t="shared" ca="1" si="61"/>
        <v>0</v>
      </c>
      <c r="AQ27" s="604">
        <f t="shared" ca="1" si="61"/>
        <v>0</v>
      </c>
      <c r="AR27" s="604">
        <f t="shared" ca="1" si="61"/>
        <v>0</v>
      </c>
      <c r="AS27" s="604">
        <f t="shared" ca="1" si="61"/>
        <v>0</v>
      </c>
      <c r="AT27" s="604">
        <f t="shared" ca="1" si="61"/>
        <v>0</v>
      </c>
      <c r="AU27" s="604">
        <f t="shared" ca="1" si="61"/>
        <v>0</v>
      </c>
      <c r="AV27" s="604">
        <f t="shared" ca="1" si="62"/>
        <v>0</v>
      </c>
      <c r="AW27" s="604">
        <f t="shared" ca="1" si="62"/>
        <v>0</v>
      </c>
      <c r="AX27" s="604">
        <f t="shared" ca="1" si="62"/>
        <v>0</v>
      </c>
      <c r="AY27" s="604">
        <f t="shared" ca="1" si="62"/>
        <v>0</v>
      </c>
      <c r="AZ27" s="604">
        <f t="shared" ca="1" si="62"/>
        <v>0</v>
      </c>
      <c r="BA27" s="604">
        <f t="shared" ca="1" si="62"/>
        <v>0</v>
      </c>
      <c r="BB27" s="604">
        <f t="shared" ca="1" si="62"/>
        <v>0</v>
      </c>
      <c r="BC27" s="604">
        <f t="shared" ca="1" si="62"/>
        <v>0</v>
      </c>
      <c r="BD27" s="604">
        <f t="shared" ca="1" si="62"/>
        <v>0</v>
      </c>
      <c r="BE27" s="604">
        <f t="shared" ca="1" si="62"/>
        <v>0</v>
      </c>
      <c r="BF27" s="605">
        <f t="shared" ca="1" si="63"/>
        <v>0</v>
      </c>
      <c r="BH27" s="3472">
        <f t="shared" ca="1" si="64"/>
        <v>0</v>
      </c>
      <c r="BI27" s="3472">
        <f t="shared" ca="1" si="64"/>
        <v>0</v>
      </c>
      <c r="BJ27" s="3461">
        <f t="shared" ca="1" si="65"/>
        <v>0</v>
      </c>
      <c r="BL27" s="606">
        <f t="shared" ca="1" si="10"/>
        <v>0</v>
      </c>
      <c r="BM27" s="606"/>
      <c r="BN27" s="413"/>
      <c r="BO27" s="2789">
        <f t="shared" ca="1" si="66"/>
        <v>0</v>
      </c>
      <c r="BP27" s="2790">
        <f t="shared" ca="1" si="66"/>
        <v>0</v>
      </c>
      <c r="BQ27" s="2790">
        <f t="shared" ca="1" si="66"/>
        <v>0</v>
      </c>
      <c r="BR27" s="2790">
        <f t="shared" ca="1" si="66"/>
        <v>0</v>
      </c>
      <c r="BS27" s="2790">
        <f t="shared" ca="1" si="66"/>
        <v>0</v>
      </c>
      <c r="BT27" s="2790">
        <f t="shared" ca="1" si="66"/>
        <v>0</v>
      </c>
      <c r="BU27" s="2790">
        <f t="shared" ca="1" si="66"/>
        <v>0</v>
      </c>
      <c r="BV27" s="2790">
        <f t="shared" ca="1" si="66"/>
        <v>0</v>
      </c>
      <c r="BW27" s="2790">
        <f t="shared" ca="1" si="66"/>
        <v>0</v>
      </c>
      <c r="BX27" s="2790">
        <f t="shared" ca="1" si="66"/>
        <v>0</v>
      </c>
      <c r="BY27" s="2790">
        <f t="shared" ca="1" si="67"/>
        <v>0</v>
      </c>
      <c r="BZ27" s="2790">
        <f t="shared" ca="1" si="67"/>
        <v>0</v>
      </c>
      <c r="CA27" s="2790">
        <f t="shared" ca="1" si="67"/>
        <v>0</v>
      </c>
      <c r="CB27" s="2790">
        <f t="shared" ca="1" si="67"/>
        <v>0</v>
      </c>
      <c r="CC27" s="2790">
        <f t="shared" ca="1" si="67"/>
        <v>0</v>
      </c>
      <c r="CD27" s="2790">
        <f t="shared" ca="1" si="67"/>
        <v>0</v>
      </c>
      <c r="CE27" s="2790">
        <f t="shared" ca="1" si="67"/>
        <v>0</v>
      </c>
      <c r="CF27" s="2790">
        <f t="shared" ca="1" si="67"/>
        <v>0</v>
      </c>
      <c r="CG27" s="2790">
        <f t="shared" ca="1" si="67"/>
        <v>0</v>
      </c>
      <c r="CH27" s="2790">
        <f t="shared" ca="1" si="67"/>
        <v>0</v>
      </c>
      <c r="CI27" s="2790">
        <f t="shared" ca="1" si="68"/>
        <v>0</v>
      </c>
      <c r="CJ27" s="2790">
        <f t="shared" ca="1" si="68"/>
        <v>0</v>
      </c>
      <c r="CK27" s="2790">
        <f t="shared" ca="1" si="68"/>
        <v>0</v>
      </c>
      <c r="CL27" s="2790">
        <f t="shared" ca="1" si="68"/>
        <v>0</v>
      </c>
      <c r="CM27" s="2790">
        <f t="shared" ca="1" si="68"/>
        <v>0</v>
      </c>
      <c r="CN27" s="2790">
        <f t="shared" ca="1" si="68"/>
        <v>0</v>
      </c>
      <c r="CO27" s="2790">
        <f t="shared" ca="1" si="68"/>
        <v>0</v>
      </c>
      <c r="CP27" s="2790">
        <f t="shared" ca="1" si="68"/>
        <v>0</v>
      </c>
      <c r="CQ27" s="2790">
        <f t="shared" ca="1" si="68"/>
        <v>0</v>
      </c>
      <c r="CR27" s="2790">
        <f t="shared" ca="1" si="68"/>
        <v>0</v>
      </c>
      <c r="CS27" s="2790">
        <f t="shared" ca="1" si="69"/>
        <v>0</v>
      </c>
      <c r="CT27" s="2790">
        <f t="shared" ca="1" si="69"/>
        <v>0</v>
      </c>
      <c r="CU27" s="2790">
        <f t="shared" ca="1" si="69"/>
        <v>0</v>
      </c>
      <c r="CV27" s="2790">
        <f t="shared" ca="1" si="69"/>
        <v>0</v>
      </c>
      <c r="CW27" s="2790">
        <f t="shared" ca="1" si="69"/>
        <v>0</v>
      </c>
      <c r="CX27" s="2790">
        <f t="shared" ca="1" si="69"/>
        <v>0</v>
      </c>
      <c r="CY27" s="2790">
        <f t="shared" ca="1" si="69"/>
        <v>0</v>
      </c>
      <c r="CZ27" s="2790">
        <f t="shared" ca="1" si="69"/>
        <v>0</v>
      </c>
      <c r="DA27" s="2790">
        <f t="shared" ca="1" si="69"/>
        <v>0</v>
      </c>
      <c r="DB27" s="2790">
        <f t="shared" ca="1" si="69"/>
        <v>0</v>
      </c>
      <c r="DC27" s="2790">
        <f t="shared" ca="1" si="69"/>
        <v>0</v>
      </c>
      <c r="DD27" s="2790">
        <f t="shared" ca="1" si="69"/>
        <v>0</v>
      </c>
      <c r="DE27" s="2790">
        <f t="shared" ca="1" si="69"/>
        <v>0</v>
      </c>
      <c r="DF27" s="2790">
        <f t="shared" ca="1" si="69"/>
        <v>0</v>
      </c>
      <c r="DH27" s="596">
        <f t="shared" ca="1" si="33"/>
        <v>0</v>
      </c>
    </row>
    <row r="28" spans="1:112" s="6" customFormat="1" ht="10.5" customHeight="1" outlineLevel="1">
      <c r="A28" s="607"/>
      <c r="B28" s="607"/>
      <c r="C28" s="587"/>
      <c r="D28" s="623" t="s">
        <v>485</v>
      </c>
      <c r="E28" s="599"/>
      <c r="G28" s="590">
        <f ca="1">SUM(G26:G27)</f>
        <v>0</v>
      </c>
      <c r="H28" s="590">
        <f t="shared" ref="H28:P28" ca="1" si="70">SUM(H26:H27)</f>
        <v>0</v>
      </c>
      <c r="I28" s="590">
        <f t="shared" ca="1" si="70"/>
        <v>0</v>
      </c>
      <c r="J28" s="590">
        <f t="shared" ca="1" si="70"/>
        <v>0</v>
      </c>
      <c r="K28" s="590">
        <f t="shared" ca="1" si="70"/>
        <v>0</v>
      </c>
      <c r="L28" s="590">
        <f t="shared" ca="1" si="70"/>
        <v>0</v>
      </c>
      <c r="M28" s="590">
        <f t="shared" ca="1" si="70"/>
        <v>0</v>
      </c>
      <c r="N28" s="590">
        <f ca="1">SUM(N26:N27)</f>
        <v>10.195826064607054</v>
      </c>
      <c r="O28" s="590">
        <f ca="1">SUM(O26:O27)</f>
        <v>0</v>
      </c>
      <c r="P28" s="590">
        <f t="shared" ca="1" si="70"/>
        <v>0</v>
      </c>
      <c r="Q28" s="590">
        <f t="shared" ca="1" si="57"/>
        <v>10.195826064607054</v>
      </c>
      <c r="S28" s="592">
        <f t="shared" ref="S28:AJ28" ca="1" si="71">SUM(S26:S27)</f>
        <v>0</v>
      </c>
      <c r="T28" s="592">
        <f t="shared" ca="1" si="71"/>
        <v>0</v>
      </c>
      <c r="U28" s="592">
        <f t="shared" ca="1" si="71"/>
        <v>0</v>
      </c>
      <c r="V28" s="592">
        <f t="shared" ca="1" si="71"/>
        <v>-10.195826064607054</v>
      </c>
      <c r="W28" s="592">
        <f t="shared" ca="1" si="71"/>
        <v>0</v>
      </c>
      <c r="X28" s="592">
        <f t="shared" ca="1" si="71"/>
        <v>0</v>
      </c>
      <c r="Y28" s="592">
        <f t="shared" ca="1" si="71"/>
        <v>0</v>
      </c>
      <c r="Z28" s="592">
        <f t="shared" ca="1" si="71"/>
        <v>0</v>
      </c>
      <c r="AA28" s="592">
        <f t="shared" ca="1" si="71"/>
        <v>0</v>
      </c>
      <c r="AB28" s="592">
        <f t="shared" ca="1" si="71"/>
        <v>0</v>
      </c>
      <c r="AC28" s="592">
        <f t="shared" ca="1" si="71"/>
        <v>0</v>
      </c>
      <c r="AD28" s="592">
        <f t="shared" ca="1" si="71"/>
        <v>0</v>
      </c>
      <c r="AE28" s="592">
        <f ca="1">SUM(AE26:AE27)</f>
        <v>0</v>
      </c>
      <c r="AF28" s="592">
        <f t="shared" ca="1" si="71"/>
        <v>0</v>
      </c>
      <c r="AG28" s="592">
        <f t="shared" ca="1" si="71"/>
        <v>0</v>
      </c>
      <c r="AH28" s="592">
        <f ca="1">SUM(AH26:AH27)</f>
        <v>0</v>
      </c>
      <c r="AI28" s="592">
        <f t="shared" ca="1" si="71"/>
        <v>0</v>
      </c>
      <c r="AJ28" s="592">
        <f t="shared" ca="1" si="71"/>
        <v>0</v>
      </c>
      <c r="AK28" s="592">
        <f t="shared" ca="1" si="60"/>
        <v>-10.195826064607054</v>
      </c>
      <c r="AM28" s="608">
        <f t="shared" ref="AM28:BE28" ca="1" si="72">SUM(AM26:AM27)</f>
        <v>0</v>
      </c>
      <c r="AN28" s="608">
        <f t="shared" ca="1" si="72"/>
        <v>0</v>
      </c>
      <c r="AO28" s="608">
        <f t="shared" ca="1" si="72"/>
        <v>0</v>
      </c>
      <c r="AP28" s="608">
        <f t="shared" ca="1" si="72"/>
        <v>0</v>
      </c>
      <c r="AQ28" s="608">
        <f t="shared" ca="1" si="72"/>
        <v>0</v>
      </c>
      <c r="AR28" s="608">
        <f t="shared" ca="1" si="72"/>
        <v>0</v>
      </c>
      <c r="AS28" s="608">
        <f t="shared" ca="1" si="72"/>
        <v>0</v>
      </c>
      <c r="AT28" s="608">
        <f t="shared" ca="1" si="72"/>
        <v>0</v>
      </c>
      <c r="AU28" s="608">
        <f t="shared" ca="1" si="72"/>
        <v>0</v>
      </c>
      <c r="AV28" s="608">
        <f t="shared" ca="1" si="72"/>
        <v>0</v>
      </c>
      <c r="AW28" s="608">
        <f t="shared" ca="1" si="72"/>
        <v>0</v>
      </c>
      <c r="AX28" s="608">
        <f t="shared" ca="1" si="72"/>
        <v>0</v>
      </c>
      <c r="AY28" s="608">
        <f t="shared" ca="1" si="72"/>
        <v>0</v>
      </c>
      <c r="AZ28" s="608">
        <f t="shared" ca="1" si="72"/>
        <v>0</v>
      </c>
      <c r="BA28" s="608">
        <f t="shared" ca="1" si="72"/>
        <v>0</v>
      </c>
      <c r="BB28" s="608">
        <f t="shared" ca="1" si="72"/>
        <v>0</v>
      </c>
      <c r="BC28" s="608">
        <f t="shared" ca="1" si="72"/>
        <v>0</v>
      </c>
      <c r="BD28" s="608">
        <f ca="1">SUM(BD26:BD27)</f>
        <v>0</v>
      </c>
      <c r="BE28" s="608">
        <f t="shared" ca="1" si="72"/>
        <v>0</v>
      </c>
      <c r="BF28" s="594">
        <f t="shared" ca="1" si="63"/>
        <v>0</v>
      </c>
      <c r="BH28" s="3460">
        <f ca="1">SUM(BH26:BH27)</f>
        <v>0</v>
      </c>
      <c r="BI28" s="3460">
        <f ca="1">SUM(BI26:BI27)</f>
        <v>0</v>
      </c>
      <c r="BJ28" s="3460">
        <f t="shared" ca="1" si="65"/>
        <v>0</v>
      </c>
      <c r="BL28" s="595">
        <f t="shared" ca="1" si="10"/>
        <v>0</v>
      </c>
      <c r="BM28" s="595"/>
      <c r="BN28" s="413"/>
      <c r="BO28" s="2789">
        <f t="shared" ref="BO28:DF28" ca="1" si="73">SUM(BO26:BO27)</f>
        <v>0</v>
      </c>
      <c r="BP28" s="2790">
        <f t="shared" ca="1" si="73"/>
        <v>0</v>
      </c>
      <c r="BQ28" s="2790">
        <f t="shared" ca="1" si="73"/>
        <v>0</v>
      </c>
      <c r="BR28" s="2790">
        <f t="shared" ca="1" si="73"/>
        <v>0</v>
      </c>
      <c r="BS28" s="2790">
        <f t="shared" ca="1" si="73"/>
        <v>0</v>
      </c>
      <c r="BT28" s="2790">
        <f t="shared" ca="1" si="73"/>
        <v>0</v>
      </c>
      <c r="BU28" s="2790">
        <f t="shared" ca="1" si="73"/>
        <v>0</v>
      </c>
      <c r="BV28" s="2790">
        <f t="shared" ca="1" si="73"/>
        <v>0</v>
      </c>
      <c r="BW28" s="2790">
        <f t="shared" ca="1" si="73"/>
        <v>0</v>
      </c>
      <c r="BX28" s="2790">
        <f t="shared" ca="1" si="73"/>
        <v>0</v>
      </c>
      <c r="BY28" s="2790">
        <f t="shared" ca="1" si="73"/>
        <v>0</v>
      </c>
      <c r="BZ28" s="2790">
        <f t="shared" ca="1" si="73"/>
        <v>0</v>
      </c>
      <c r="CA28" s="2790">
        <f t="shared" ca="1" si="73"/>
        <v>0</v>
      </c>
      <c r="CB28" s="2790">
        <f t="shared" ca="1" si="73"/>
        <v>0</v>
      </c>
      <c r="CC28" s="2790">
        <f t="shared" ca="1" si="73"/>
        <v>0</v>
      </c>
      <c r="CD28" s="2790">
        <f t="shared" ca="1" si="73"/>
        <v>0</v>
      </c>
      <c r="CE28" s="2790">
        <f t="shared" ca="1" si="73"/>
        <v>0</v>
      </c>
      <c r="CF28" s="2790">
        <f t="shared" ca="1" si="73"/>
        <v>0</v>
      </c>
      <c r="CG28" s="2790">
        <f t="shared" ca="1" si="73"/>
        <v>0</v>
      </c>
      <c r="CH28" s="2790">
        <f t="shared" ca="1" si="73"/>
        <v>0</v>
      </c>
      <c r="CI28" s="2790">
        <f t="shared" ca="1" si="73"/>
        <v>0</v>
      </c>
      <c r="CJ28" s="2790">
        <f t="shared" ca="1" si="73"/>
        <v>0</v>
      </c>
      <c r="CK28" s="2790">
        <f t="shared" ca="1" si="73"/>
        <v>0</v>
      </c>
      <c r="CL28" s="2790">
        <f t="shared" ca="1" si="73"/>
        <v>0</v>
      </c>
      <c r="CM28" s="2790">
        <f t="shared" ca="1" si="73"/>
        <v>0</v>
      </c>
      <c r="CN28" s="2790">
        <f t="shared" ca="1" si="73"/>
        <v>0</v>
      </c>
      <c r="CO28" s="2790">
        <f t="shared" ca="1" si="73"/>
        <v>0</v>
      </c>
      <c r="CP28" s="2790">
        <f t="shared" ca="1" si="73"/>
        <v>0</v>
      </c>
      <c r="CQ28" s="2790">
        <f t="shared" ca="1" si="73"/>
        <v>0</v>
      </c>
      <c r="CR28" s="2790">
        <f t="shared" ca="1" si="73"/>
        <v>0</v>
      </c>
      <c r="CS28" s="2790">
        <f t="shared" ca="1" si="73"/>
        <v>0</v>
      </c>
      <c r="CT28" s="2790">
        <f t="shared" ca="1" si="73"/>
        <v>0</v>
      </c>
      <c r="CU28" s="2790">
        <f t="shared" ca="1" si="73"/>
        <v>2.690474581928509</v>
      </c>
      <c r="CV28" s="2790">
        <f t="shared" ca="1" si="73"/>
        <v>2.31241335145288E-3</v>
      </c>
      <c r="CW28" s="2790">
        <f t="shared" ca="1" si="73"/>
        <v>6.8271251328608836E-3</v>
      </c>
      <c r="CX28" s="2790">
        <f t="shared" ca="1" si="73"/>
        <v>0</v>
      </c>
      <c r="CY28" s="2790">
        <f t="shared" ca="1" si="73"/>
        <v>0</v>
      </c>
      <c r="CZ28" s="2790">
        <f t="shared" ca="1" si="73"/>
        <v>0</v>
      </c>
      <c r="DA28" s="2790">
        <f t="shared" ca="1" si="73"/>
        <v>0</v>
      </c>
      <c r="DB28" s="2790">
        <f t="shared" ca="1" si="73"/>
        <v>0</v>
      </c>
      <c r="DC28" s="2790">
        <f t="shared" ca="1" si="73"/>
        <v>0</v>
      </c>
      <c r="DD28" s="2790">
        <f t="shared" ca="1" si="73"/>
        <v>0</v>
      </c>
      <c r="DE28" s="2790">
        <f t="shared" ca="1" si="73"/>
        <v>0</v>
      </c>
      <c r="DF28" s="2790">
        <f t="shared" ca="1" si="73"/>
        <v>0</v>
      </c>
      <c r="DH28" s="596">
        <f t="shared" ca="1" si="33"/>
        <v>2.6996141204128228</v>
      </c>
    </row>
    <row r="29" spans="1:112" s="6" customFormat="1" ht="12.75" customHeight="1" outlineLevel="2">
      <c r="A29" s="586"/>
      <c r="B29" s="586"/>
      <c r="C29" s="587" t="s">
        <v>486</v>
      </c>
      <c r="D29" s="623" t="s">
        <v>374</v>
      </c>
      <c r="E29" s="599"/>
      <c r="G29" s="589">
        <f t="shared" ref="G29:P30" ca="1" si="74">IFERROR(INDEX(INDIRECT($C29&amp;".Outputs["&amp;this.Year&amp;"]"), MATCH(G$5, INDIRECT($C29&amp;".Outputs[Vector]"), 0)), 0)</f>
        <v>0</v>
      </c>
      <c r="H29" s="589">
        <f t="shared" ca="1" si="74"/>
        <v>0</v>
      </c>
      <c r="I29" s="589">
        <f t="shared" ca="1" si="74"/>
        <v>0</v>
      </c>
      <c r="J29" s="589">
        <f t="shared" ca="1" si="74"/>
        <v>0</v>
      </c>
      <c r="K29" s="589">
        <f t="shared" ca="1" si="74"/>
        <v>0</v>
      </c>
      <c r="L29" s="589">
        <f t="shared" ca="1" si="74"/>
        <v>0</v>
      </c>
      <c r="M29" s="589">
        <f t="shared" ca="1" si="74"/>
        <v>0</v>
      </c>
      <c r="N29" s="589">
        <f t="shared" ca="1" si="74"/>
        <v>0</v>
      </c>
      <c r="O29" s="589">
        <f t="shared" ca="1" si="74"/>
        <v>0</v>
      </c>
      <c r="P29" s="589">
        <f t="shared" ca="1" si="74"/>
        <v>0</v>
      </c>
      <c r="Q29" s="590">
        <f t="shared" ca="1" si="57"/>
        <v>0</v>
      </c>
      <c r="S29" s="591">
        <f t="shared" ca="1" si="58"/>
        <v>0</v>
      </c>
      <c r="T29" s="591">
        <f t="shared" ca="1" si="58"/>
        <v>0</v>
      </c>
      <c r="U29" s="591">
        <f t="shared" ca="1" si="58"/>
        <v>0</v>
      </c>
      <c r="V29" s="591">
        <f t="shared" ca="1" si="58"/>
        <v>0</v>
      </c>
      <c r="W29" s="591">
        <f t="shared" ca="1" si="58"/>
        <v>0</v>
      </c>
      <c r="X29" s="591">
        <f t="shared" ref="X29:Z30" ca="1" si="75">IFERROR(INDEX(INDIRECT($C29&amp;".Outputs["&amp;this.Year&amp;"]"), MATCH(X$5, INDIRECT($C29&amp;".Outputs[Vector]"), 0)), 0)</f>
        <v>0</v>
      </c>
      <c r="Y29" s="591">
        <f t="shared" ca="1" si="75"/>
        <v>0</v>
      </c>
      <c r="Z29" s="591">
        <f t="shared" ca="1" si="75"/>
        <v>0</v>
      </c>
      <c r="AA29" s="591">
        <f t="shared" ca="1" si="58"/>
        <v>0</v>
      </c>
      <c r="AB29" s="591">
        <f t="shared" ca="1" si="58"/>
        <v>0</v>
      </c>
      <c r="AC29" s="591">
        <f t="shared" ca="1" si="58"/>
        <v>0</v>
      </c>
      <c r="AD29" s="591">
        <f t="shared" ca="1" si="58"/>
        <v>0</v>
      </c>
      <c r="AE29" s="591">
        <f t="shared" ca="1" si="58"/>
        <v>0</v>
      </c>
      <c r="AF29" s="591">
        <f t="shared" ca="1" si="58"/>
        <v>0</v>
      </c>
      <c r="AG29" s="591">
        <f t="shared" ca="1" si="58"/>
        <v>0</v>
      </c>
      <c r="AH29" s="591">
        <f t="shared" ca="1" si="58"/>
        <v>0</v>
      </c>
      <c r="AI29" s="591">
        <f t="shared" ca="1" si="58"/>
        <v>0</v>
      </c>
      <c r="AJ29" s="591">
        <f t="shared" ca="1" si="58"/>
        <v>0</v>
      </c>
      <c r="AK29" s="592">
        <f t="shared" ca="1" si="60"/>
        <v>0</v>
      </c>
      <c r="AM29" s="593">
        <f t="shared" ref="AM29:AU30" ca="1" si="76">IFERROR(INDEX(INDIRECT($C29&amp;".Outputs["&amp;this.Year&amp;"]"), MATCH(AM$5, INDIRECT($C29&amp;".Outputs[Vector]"), 0)), 0)</f>
        <v>0</v>
      </c>
      <c r="AN29" s="593">
        <f t="shared" ca="1" si="76"/>
        <v>0</v>
      </c>
      <c r="AO29" s="593">
        <f t="shared" ca="1" si="76"/>
        <v>0</v>
      </c>
      <c r="AP29" s="593">
        <f t="shared" ca="1" si="76"/>
        <v>0</v>
      </c>
      <c r="AQ29" s="593">
        <f t="shared" ca="1" si="76"/>
        <v>0</v>
      </c>
      <c r="AR29" s="593">
        <f t="shared" ca="1" si="76"/>
        <v>0</v>
      </c>
      <c r="AS29" s="593">
        <f t="shared" ca="1" si="76"/>
        <v>0</v>
      </c>
      <c r="AT29" s="593">
        <f t="shared" ca="1" si="76"/>
        <v>0</v>
      </c>
      <c r="AU29" s="593">
        <f t="shared" ca="1" si="76"/>
        <v>0</v>
      </c>
      <c r="AV29" s="593">
        <f t="shared" ca="1" si="62"/>
        <v>0</v>
      </c>
      <c r="AW29" s="593">
        <f t="shared" ca="1" si="62"/>
        <v>0</v>
      </c>
      <c r="AX29" s="593">
        <f t="shared" ca="1" si="62"/>
        <v>0</v>
      </c>
      <c r="AY29" s="593">
        <f t="shared" ca="1" si="62"/>
        <v>0</v>
      </c>
      <c r="AZ29" s="593">
        <f t="shared" ca="1" si="62"/>
        <v>0</v>
      </c>
      <c r="BA29" s="593">
        <f t="shared" ca="1" si="62"/>
        <v>0</v>
      </c>
      <c r="BB29" s="593">
        <f t="shared" ca="1" si="62"/>
        <v>0</v>
      </c>
      <c r="BC29" s="593">
        <f t="shared" ca="1" si="62"/>
        <v>0</v>
      </c>
      <c r="BD29" s="593">
        <f t="shared" ca="1" si="62"/>
        <v>0</v>
      </c>
      <c r="BE29" s="593">
        <f t="shared" ca="1" si="62"/>
        <v>0</v>
      </c>
      <c r="BF29" s="609">
        <f t="shared" ca="1" si="63"/>
        <v>0</v>
      </c>
      <c r="BH29" s="3471">
        <f t="shared" ca="1" si="64"/>
        <v>0</v>
      </c>
      <c r="BI29" s="3471">
        <f t="shared" ca="1" si="64"/>
        <v>0</v>
      </c>
      <c r="BJ29" s="3460">
        <f t="shared" ca="1" si="65"/>
        <v>0</v>
      </c>
      <c r="BL29" s="610">
        <f t="shared" ca="1" si="10"/>
        <v>0</v>
      </c>
      <c r="BM29" s="610"/>
      <c r="BN29" s="413"/>
      <c r="BO29" s="2789">
        <f t="shared" ref="BO29:BX30" ca="1" si="77">IFERROR(SUMIFS(INDIRECT($C29&amp;".Emissions["&amp;this.Year&amp;"]"), INDIRECT($C29&amp;".Emissions[GHG]"), BO$6, INDIRECT($C29&amp;".Emissions[IPCC Sector]"), BO$5),0)</f>
        <v>0</v>
      </c>
      <c r="BP29" s="2790">
        <f t="shared" ca="1" si="77"/>
        <v>0</v>
      </c>
      <c r="BQ29" s="2790">
        <f t="shared" ca="1" si="77"/>
        <v>0</v>
      </c>
      <c r="BR29" s="2790">
        <f t="shared" ca="1" si="77"/>
        <v>0</v>
      </c>
      <c r="BS29" s="2790">
        <f t="shared" ca="1" si="77"/>
        <v>0</v>
      </c>
      <c r="BT29" s="2790">
        <f t="shared" ca="1" si="77"/>
        <v>0</v>
      </c>
      <c r="BU29" s="2790">
        <f t="shared" ca="1" si="77"/>
        <v>0</v>
      </c>
      <c r="BV29" s="2790">
        <f t="shared" ca="1" si="77"/>
        <v>0</v>
      </c>
      <c r="BW29" s="2790">
        <f t="shared" ca="1" si="77"/>
        <v>0</v>
      </c>
      <c r="BX29" s="2790">
        <f t="shared" ca="1" si="77"/>
        <v>0</v>
      </c>
      <c r="BY29" s="2790">
        <f t="shared" ref="BY29:CH30" ca="1" si="78">IFERROR(SUMIFS(INDIRECT($C29&amp;".Emissions["&amp;this.Year&amp;"]"), INDIRECT($C29&amp;".Emissions[GHG]"), BY$6, INDIRECT($C29&amp;".Emissions[IPCC Sector]"), BY$5),0)</f>
        <v>0</v>
      </c>
      <c r="BZ29" s="2790">
        <f t="shared" ca="1" si="78"/>
        <v>0</v>
      </c>
      <c r="CA29" s="2790">
        <f t="shared" ca="1" si="78"/>
        <v>0</v>
      </c>
      <c r="CB29" s="2790">
        <f t="shared" ca="1" si="78"/>
        <v>0</v>
      </c>
      <c r="CC29" s="2790">
        <f t="shared" ca="1" si="78"/>
        <v>0</v>
      </c>
      <c r="CD29" s="2790">
        <f t="shared" ca="1" si="78"/>
        <v>0</v>
      </c>
      <c r="CE29" s="2790">
        <f t="shared" ca="1" si="78"/>
        <v>0</v>
      </c>
      <c r="CF29" s="2790">
        <f t="shared" ca="1" si="78"/>
        <v>0</v>
      </c>
      <c r="CG29" s="2790">
        <f t="shared" ca="1" si="78"/>
        <v>0</v>
      </c>
      <c r="CH29" s="2790">
        <f t="shared" ca="1" si="78"/>
        <v>0</v>
      </c>
      <c r="CI29" s="2790">
        <f t="shared" ref="CI29:CR30" ca="1" si="79">IFERROR(SUMIFS(INDIRECT($C29&amp;".Emissions["&amp;this.Year&amp;"]"), INDIRECT($C29&amp;".Emissions[GHG]"), CI$6, INDIRECT($C29&amp;".Emissions[IPCC Sector]"), CI$5),0)</f>
        <v>0</v>
      </c>
      <c r="CJ29" s="2790">
        <f t="shared" ca="1" si="79"/>
        <v>0</v>
      </c>
      <c r="CK29" s="2790">
        <f t="shared" ca="1" si="79"/>
        <v>0</v>
      </c>
      <c r="CL29" s="2790">
        <f t="shared" ca="1" si="79"/>
        <v>0</v>
      </c>
      <c r="CM29" s="2790">
        <f t="shared" ca="1" si="79"/>
        <v>0</v>
      </c>
      <c r="CN29" s="2790">
        <f t="shared" ca="1" si="79"/>
        <v>0</v>
      </c>
      <c r="CO29" s="2790">
        <f t="shared" ca="1" si="79"/>
        <v>0</v>
      </c>
      <c r="CP29" s="2790">
        <f t="shared" ca="1" si="79"/>
        <v>0</v>
      </c>
      <c r="CQ29" s="2790">
        <f t="shared" ca="1" si="79"/>
        <v>0</v>
      </c>
      <c r="CR29" s="2790">
        <f t="shared" ca="1" si="79"/>
        <v>0</v>
      </c>
      <c r="CS29" s="2790">
        <f t="shared" ref="CS29:DF30" ca="1" si="80">IFERROR(SUMIFS(INDIRECT($C29&amp;".Emissions["&amp;this.Year&amp;"]"), INDIRECT($C29&amp;".Emissions[GHG]"), CS$6, INDIRECT($C29&amp;".Emissions[IPCC Sector]"), CS$5),0)</f>
        <v>0</v>
      </c>
      <c r="CT29" s="2790">
        <f t="shared" ca="1" si="80"/>
        <v>0</v>
      </c>
      <c r="CU29" s="2790">
        <f t="shared" ca="1" si="80"/>
        <v>0</v>
      </c>
      <c r="CV29" s="2790">
        <f t="shared" ca="1" si="80"/>
        <v>0</v>
      </c>
      <c r="CW29" s="2790">
        <f t="shared" ca="1" si="80"/>
        <v>0</v>
      </c>
      <c r="CX29" s="2790">
        <f t="shared" ca="1" si="80"/>
        <v>0</v>
      </c>
      <c r="CY29" s="2790">
        <f t="shared" ca="1" si="80"/>
        <v>0</v>
      </c>
      <c r="CZ29" s="2790">
        <f t="shared" ca="1" si="80"/>
        <v>0</v>
      </c>
      <c r="DA29" s="2790">
        <f t="shared" ca="1" si="80"/>
        <v>0</v>
      </c>
      <c r="DB29" s="2790">
        <f t="shared" ca="1" si="80"/>
        <v>0</v>
      </c>
      <c r="DC29" s="2790">
        <f t="shared" ca="1" si="80"/>
        <v>0</v>
      </c>
      <c r="DD29" s="2790">
        <f t="shared" ca="1" si="80"/>
        <v>0</v>
      </c>
      <c r="DE29" s="2790">
        <f t="shared" ca="1" si="80"/>
        <v>0</v>
      </c>
      <c r="DF29" s="2790">
        <f t="shared" ca="1" si="80"/>
        <v>0</v>
      </c>
      <c r="DH29" s="596">
        <f t="shared" ca="1" si="33"/>
        <v>0</v>
      </c>
    </row>
    <row r="30" spans="1:112" s="6" customFormat="1" ht="10.5" customHeight="1" outlineLevel="2">
      <c r="A30" s="597"/>
      <c r="B30" s="597"/>
      <c r="C30" s="598" t="s">
        <v>487</v>
      </c>
      <c r="D30" s="624" t="s">
        <v>488</v>
      </c>
      <c r="E30" s="599"/>
      <c r="G30" s="600">
        <f t="shared" ca="1" si="74"/>
        <v>0</v>
      </c>
      <c r="H30" s="600">
        <f t="shared" ca="1" si="74"/>
        <v>0</v>
      </c>
      <c r="I30" s="600">
        <f t="shared" ca="1" si="74"/>
        <v>0</v>
      </c>
      <c r="J30" s="600">
        <f t="shared" ca="1" si="74"/>
        <v>0</v>
      </c>
      <c r="K30" s="600">
        <f t="shared" ca="1" si="74"/>
        <v>0</v>
      </c>
      <c r="L30" s="600">
        <f t="shared" ca="1" si="74"/>
        <v>0</v>
      </c>
      <c r="M30" s="600">
        <f t="shared" ca="1" si="74"/>
        <v>0</v>
      </c>
      <c r="N30" s="600">
        <f t="shared" ca="1" si="74"/>
        <v>0</v>
      </c>
      <c r="O30" s="600">
        <f t="shared" ca="1" si="74"/>
        <v>0</v>
      </c>
      <c r="P30" s="600">
        <f t="shared" ca="1" si="74"/>
        <v>0</v>
      </c>
      <c r="Q30" s="601">
        <f t="shared" ca="1" si="57"/>
        <v>0</v>
      </c>
      <c r="S30" s="602">
        <f t="shared" ca="1" si="58"/>
        <v>0</v>
      </c>
      <c r="T30" s="602">
        <f t="shared" ca="1" si="58"/>
        <v>0</v>
      </c>
      <c r="U30" s="602">
        <f t="shared" ca="1" si="58"/>
        <v>0</v>
      </c>
      <c r="V30" s="602">
        <f t="shared" ca="1" si="58"/>
        <v>0</v>
      </c>
      <c r="W30" s="602">
        <f t="shared" ca="1" si="58"/>
        <v>0</v>
      </c>
      <c r="X30" s="602">
        <f t="shared" ca="1" si="75"/>
        <v>0</v>
      </c>
      <c r="Y30" s="602">
        <f t="shared" ca="1" si="75"/>
        <v>0</v>
      </c>
      <c r="Z30" s="602">
        <f t="shared" ca="1" si="75"/>
        <v>0</v>
      </c>
      <c r="AA30" s="602">
        <f t="shared" ca="1" si="58"/>
        <v>0</v>
      </c>
      <c r="AB30" s="602">
        <f t="shared" ca="1" si="58"/>
        <v>0</v>
      </c>
      <c r="AC30" s="602">
        <f t="shared" ca="1" si="58"/>
        <v>0</v>
      </c>
      <c r="AD30" s="602">
        <f t="shared" ca="1" si="58"/>
        <v>0</v>
      </c>
      <c r="AE30" s="602">
        <f t="shared" ca="1" si="58"/>
        <v>0</v>
      </c>
      <c r="AF30" s="602">
        <f t="shared" ca="1" si="58"/>
        <v>0</v>
      </c>
      <c r="AG30" s="602">
        <f t="shared" ca="1" si="58"/>
        <v>0</v>
      </c>
      <c r="AH30" s="602">
        <f t="shared" ca="1" si="58"/>
        <v>0</v>
      </c>
      <c r="AI30" s="602">
        <f t="shared" ca="1" si="58"/>
        <v>0</v>
      </c>
      <c r="AJ30" s="602">
        <f t="shared" ca="1" si="58"/>
        <v>0</v>
      </c>
      <c r="AK30" s="603">
        <f t="shared" ca="1" si="60"/>
        <v>0</v>
      </c>
      <c r="AM30" s="604">
        <f t="shared" ca="1" si="76"/>
        <v>0</v>
      </c>
      <c r="AN30" s="604">
        <f t="shared" ca="1" si="76"/>
        <v>0</v>
      </c>
      <c r="AO30" s="604">
        <f t="shared" ca="1" si="76"/>
        <v>0</v>
      </c>
      <c r="AP30" s="604">
        <f t="shared" ca="1" si="76"/>
        <v>0</v>
      </c>
      <c r="AQ30" s="604">
        <f t="shared" ca="1" si="76"/>
        <v>0</v>
      </c>
      <c r="AR30" s="604">
        <f t="shared" ca="1" si="76"/>
        <v>0</v>
      </c>
      <c r="AS30" s="604">
        <f t="shared" ca="1" si="76"/>
        <v>0</v>
      </c>
      <c r="AT30" s="604">
        <f t="shared" ca="1" si="76"/>
        <v>0</v>
      </c>
      <c r="AU30" s="604">
        <f t="shared" ca="1" si="76"/>
        <v>0</v>
      </c>
      <c r="AV30" s="604">
        <f t="shared" ca="1" si="62"/>
        <v>0</v>
      </c>
      <c r="AW30" s="604">
        <f t="shared" ca="1" si="62"/>
        <v>0</v>
      </c>
      <c r="AX30" s="604">
        <f t="shared" ca="1" si="62"/>
        <v>0</v>
      </c>
      <c r="AY30" s="604">
        <f t="shared" ca="1" si="62"/>
        <v>0</v>
      </c>
      <c r="AZ30" s="604">
        <f t="shared" ca="1" si="62"/>
        <v>0</v>
      </c>
      <c r="BA30" s="604">
        <f t="shared" ca="1" si="62"/>
        <v>0</v>
      </c>
      <c r="BB30" s="604">
        <f t="shared" ca="1" si="62"/>
        <v>0</v>
      </c>
      <c r="BC30" s="604">
        <f t="shared" ca="1" si="62"/>
        <v>0</v>
      </c>
      <c r="BD30" s="604">
        <f t="shared" ca="1" si="62"/>
        <v>0</v>
      </c>
      <c r="BE30" s="604">
        <f t="shared" ca="1" si="62"/>
        <v>0</v>
      </c>
      <c r="BF30" s="605">
        <f t="shared" ca="1" si="63"/>
        <v>0</v>
      </c>
      <c r="BH30" s="3472">
        <f t="shared" ca="1" si="64"/>
        <v>0</v>
      </c>
      <c r="BI30" s="3472">
        <f t="shared" ca="1" si="64"/>
        <v>0</v>
      </c>
      <c r="BJ30" s="3461">
        <f t="shared" ca="1" si="65"/>
        <v>0</v>
      </c>
      <c r="BL30" s="606">
        <f t="shared" ca="1" si="10"/>
        <v>0</v>
      </c>
      <c r="BM30" s="606"/>
      <c r="BN30" s="413"/>
      <c r="BO30" s="2789">
        <f t="shared" ca="1" si="77"/>
        <v>0</v>
      </c>
      <c r="BP30" s="2790">
        <f t="shared" ca="1" si="77"/>
        <v>0</v>
      </c>
      <c r="BQ30" s="2790">
        <f t="shared" ca="1" si="77"/>
        <v>0</v>
      </c>
      <c r="BR30" s="2790">
        <f t="shared" ca="1" si="77"/>
        <v>0</v>
      </c>
      <c r="BS30" s="2790">
        <f t="shared" ca="1" si="77"/>
        <v>0</v>
      </c>
      <c r="BT30" s="2790">
        <f t="shared" ca="1" si="77"/>
        <v>0</v>
      </c>
      <c r="BU30" s="2790">
        <f t="shared" ca="1" si="77"/>
        <v>0</v>
      </c>
      <c r="BV30" s="2790">
        <f t="shared" ca="1" si="77"/>
        <v>0</v>
      </c>
      <c r="BW30" s="2790">
        <f t="shared" ca="1" si="77"/>
        <v>0</v>
      </c>
      <c r="BX30" s="2790">
        <f t="shared" ca="1" si="77"/>
        <v>0</v>
      </c>
      <c r="BY30" s="2790">
        <f t="shared" ca="1" si="78"/>
        <v>0</v>
      </c>
      <c r="BZ30" s="2790">
        <f t="shared" ca="1" si="78"/>
        <v>0</v>
      </c>
      <c r="CA30" s="2790">
        <f t="shared" ca="1" si="78"/>
        <v>0</v>
      </c>
      <c r="CB30" s="2790">
        <f t="shared" ca="1" si="78"/>
        <v>0</v>
      </c>
      <c r="CC30" s="2790">
        <f t="shared" ca="1" si="78"/>
        <v>0</v>
      </c>
      <c r="CD30" s="2790">
        <f t="shared" ca="1" si="78"/>
        <v>0</v>
      </c>
      <c r="CE30" s="2790">
        <f t="shared" ca="1" si="78"/>
        <v>0</v>
      </c>
      <c r="CF30" s="2790">
        <f t="shared" ca="1" si="78"/>
        <v>0</v>
      </c>
      <c r="CG30" s="2790">
        <f t="shared" ca="1" si="78"/>
        <v>0</v>
      </c>
      <c r="CH30" s="2790">
        <f t="shared" ca="1" si="78"/>
        <v>0</v>
      </c>
      <c r="CI30" s="2790">
        <f t="shared" ca="1" si="79"/>
        <v>0</v>
      </c>
      <c r="CJ30" s="2790">
        <f t="shared" ca="1" si="79"/>
        <v>0</v>
      </c>
      <c r="CK30" s="2790">
        <f t="shared" ca="1" si="79"/>
        <v>0</v>
      </c>
      <c r="CL30" s="2790">
        <f t="shared" ca="1" si="79"/>
        <v>0</v>
      </c>
      <c r="CM30" s="2790">
        <f t="shared" ca="1" si="79"/>
        <v>0</v>
      </c>
      <c r="CN30" s="2790">
        <f t="shared" ca="1" si="79"/>
        <v>0</v>
      </c>
      <c r="CO30" s="2790">
        <f t="shared" ca="1" si="79"/>
        <v>0</v>
      </c>
      <c r="CP30" s="2790">
        <f t="shared" ca="1" si="79"/>
        <v>0</v>
      </c>
      <c r="CQ30" s="2790">
        <f t="shared" ca="1" si="79"/>
        <v>0</v>
      </c>
      <c r="CR30" s="2790">
        <f t="shared" ca="1" si="79"/>
        <v>0</v>
      </c>
      <c r="CS30" s="2790">
        <f t="shared" ca="1" si="80"/>
        <v>0</v>
      </c>
      <c r="CT30" s="2790">
        <f t="shared" ca="1" si="80"/>
        <v>0</v>
      </c>
      <c r="CU30" s="2790">
        <f t="shared" ca="1" si="80"/>
        <v>0</v>
      </c>
      <c r="CV30" s="2790">
        <f t="shared" ca="1" si="80"/>
        <v>0</v>
      </c>
      <c r="CW30" s="2790">
        <f t="shared" ca="1" si="80"/>
        <v>0</v>
      </c>
      <c r="CX30" s="2790">
        <f t="shared" ca="1" si="80"/>
        <v>0</v>
      </c>
      <c r="CY30" s="2790">
        <f t="shared" ca="1" si="80"/>
        <v>0</v>
      </c>
      <c r="CZ30" s="2790">
        <f t="shared" ca="1" si="80"/>
        <v>0</v>
      </c>
      <c r="DA30" s="2790">
        <f t="shared" ca="1" si="80"/>
        <v>0</v>
      </c>
      <c r="DB30" s="2790">
        <f t="shared" ca="1" si="80"/>
        <v>0</v>
      </c>
      <c r="DC30" s="2790">
        <f t="shared" ca="1" si="80"/>
        <v>0</v>
      </c>
      <c r="DD30" s="2790">
        <f t="shared" ca="1" si="80"/>
        <v>0</v>
      </c>
      <c r="DE30" s="2790">
        <f t="shared" ca="1" si="80"/>
        <v>0</v>
      </c>
      <c r="DF30" s="2790">
        <f t="shared" ca="1" si="80"/>
        <v>0</v>
      </c>
      <c r="DH30" s="596">
        <f t="shared" ca="1" si="33"/>
        <v>0</v>
      </c>
    </row>
    <row r="31" spans="1:112" s="6" customFormat="1" ht="11.25" customHeight="1" outlineLevel="1">
      <c r="A31" s="607"/>
      <c r="B31" s="607"/>
      <c r="C31" s="587"/>
      <c r="D31" s="625" t="s">
        <v>489</v>
      </c>
      <c r="E31" s="611"/>
      <c r="G31" s="612">
        <f t="shared" ref="G31:P31" ca="1" si="81">SUM(G29:G30)</f>
        <v>0</v>
      </c>
      <c r="H31" s="612">
        <f t="shared" ca="1" si="81"/>
        <v>0</v>
      </c>
      <c r="I31" s="612">
        <f t="shared" ca="1" si="81"/>
        <v>0</v>
      </c>
      <c r="J31" s="612">
        <f t="shared" ca="1" si="81"/>
        <v>0</v>
      </c>
      <c r="K31" s="612">
        <f t="shared" ca="1" si="81"/>
        <v>0</v>
      </c>
      <c r="L31" s="612">
        <f t="shared" ca="1" si="81"/>
        <v>0</v>
      </c>
      <c r="M31" s="612">
        <f t="shared" ca="1" si="81"/>
        <v>0</v>
      </c>
      <c r="N31" s="612">
        <f t="shared" ca="1" si="81"/>
        <v>0</v>
      </c>
      <c r="O31" s="612">
        <f t="shared" ca="1" si="81"/>
        <v>0</v>
      </c>
      <c r="P31" s="612">
        <f t="shared" ca="1" si="81"/>
        <v>0</v>
      </c>
      <c r="Q31" s="612">
        <f t="shared" ca="1" si="57"/>
        <v>0</v>
      </c>
      <c r="S31" s="613">
        <f t="shared" ref="S31:AJ31" ca="1" si="82">SUM(S29:S30)</f>
        <v>0</v>
      </c>
      <c r="T31" s="613">
        <f t="shared" ca="1" si="82"/>
        <v>0</v>
      </c>
      <c r="U31" s="613">
        <f t="shared" ca="1" si="82"/>
        <v>0</v>
      </c>
      <c r="V31" s="613">
        <f t="shared" ca="1" si="82"/>
        <v>0</v>
      </c>
      <c r="W31" s="613">
        <f t="shared" ca="1" si="82"/>
        <v>0</v>
      </c>
      <c r="X31" s="626">
        <f t="shared" ca="1" si="82"/>
        <v>0</v>
      </c>
      <c r="Y31" s="626">
        <f t="shared" ca="1" si="82"/>
        <v>0</v>
      </c>
      <c r="Z31" s="626">
        <f t="shared" ca="1" si="82"/>
        <v>0</v>
      </c>
      <c r="AA31" s="613">
        <f t="shared" ca="1" si="82"/>
        <v>0</v>
      </c>
      <c r="AB31" s="613">
        <f t="shared" ca="1" si="82"/>
        <v>0</v>
      </c>
      <c r="AC31" s="613">
        <f t="shared" ca="1" si="82"/>
        <v>0</v>
      </c>
      <c r="AD31" s="613">
        <f t="shared" ca="1" si="82"/>
        <v>0</v>
      </c>
      <c r="AE31" s="613">
        <f ca="1">SUM(AE29:AE30)</f>
        <v>0</v>
      </c>
      <c r="AF31" s="613">
        <f t="shared" ca="1" si="82"/>
        <v>0</v>
      </c>
      <c r="AG31" s="613">
        <f t="shared" ca="1" si="82"/>
        <v>0</v>
      </c>
      <c r="AH31" s="613">
        <f ca="1">SUM(AH29:AH30)</f>
        <v>0</v>
      </c>
      <c r="AI31" s="613">
        <f t="shared" ca="1" si="82"/>
        <v>0</v>
      </c>
      <c r="AJ31" s="613">
        <f t="shared" ca="1" si="82"/>
        <v>0</v>
      </c>
      <c r="AK31" s="613">
        <f t="shared" ca="1" si="60"/>
        <v>0</v>
      </c>
      <c r="AM31" s="627">
        <f t="shared" ref="AM31:BE31" ca="1" si="83">SUM(AM29:AM30)</f>
        <v>0</v>
      </c>
      <c r="AN31" s="627">
        <f t="shared" ca="1" si="83"/>
        <v>0</v>
      </c>
      <c r="AO31" s="627">
        <f t="shared" ca="1" si="83"/>
        <v>0</v>
      </c>
      <c r="AP31" s="627">
        <f t="shared" ca="1" si="83"/>
        <v>0</v>
      </c>
      <c r="AQ31" s="627">
        <f t="shared" ca="1" si="83"/>
        <v>0</v>
      </c>
      <c r="AR31" s="627">
        <f t="shared" ca="1" si="83"/>
        <v>0</v>
      </c>
      <c r="AS31" s="627">
        <f t="shared" ca="1" si="83"/>
        <v>0</v>
      </c>
      <c r="AT31" s="627">
        <f t="shared" ca="1" si="83"/>
        <v>0</v>
      </c>
      <c r="AU31" s="627">
        <f t="shared" ca="1" si="83"/>
        <v>0</v>
      </c>
      <c r="AV31" s="627">
        <f t="shared" ca="1" si="83"/>
        <v>0</v>
      </c>
      <c r="AW31" s="627">
        <f t="shared" ca="1" si="83"/>
        <v>0</v>
      </c>
      <c r="AX31" s="627">
        <f t="shared" ca="1" si="83"/>
        <v>0</v>
      </c>
      <c r="AY31" s="627">
        <f t="shared" ca="1" si="83"/>
        <v>0</v>
      </c>
      <c r="AZ31" s="627">
        <f t="shared" ca="1" si="83"/>
        <v>0</v>
      </c>
      <c r="BA31" s="627">
        <f t="shared" ca="1" si="83"/>
        <v>0</v>
      </c>
      <c r="BB31" s="627">
        <f t="shared" ca="1" si="83"/>
        <v>0</v>
      </c>
      <c r="BC31" s="627">
        <f t="shared" ca="1" si="83"/>
        <v>0</v>
      </c>
      <c r="BD31" s="627">
        <f ca="1">SUM(BD29:BD30)</f>
        <v>0</v>
      </c>
      <c r="BE31" s="627">
        <f t="shared" ca="1" si="83"/>
        <v>0</v>
      </c>
      <c r="BF31" s="628">
        <f t="shared" ca="1" si="63"/>
        <v>0</v>
      </c>
      <c r="BH31" s="3474">
        <f ca="1">SUM(BH29:BH30)</f>
        <v>0</v>
      </c>
      <c r="BI31" s="3474">
        <f ca="1">SUM(BI29:BI30)</f>
        <v>0</v>
      </c>
      <c r="BJ31" s="3462">
        <f t="shared" ca="1" si="65"/>
        <v>0</v>
      </c>
      <c r="BL31" s="595">
        <f t="shared" ca="1" si="10"/>
        <v>0</v>
      </c>
      <c r="BM31" s="595"/>
      <c r="BN31" s="607"/>
      <c r="BO31" s="2791">
        <f t="shared" ref="BO31:DF31" ca="1" si="84">SUM(BO29:BO30)</f>
        <v>0</v>
      </c>
      <c r="BP31" s="2792">
        <f t="shared" ca="1" si="84"/>
        <v>0</v>
      </c>
      <c r="BQ31" s="2792">
        <f t="shared" ca="1" si="84"/>
        <v>0</v>
      </c>
      <c r="BR31" s="2792">
        <f t="shared" ca="1" si="84"/>
        <v>0</v>
      </c>
      <c r="BS31" s="2792">
        <f t="shared" ca="1" si="84"/>
        <v>0</v>
      </c>
      <c r="BT31" s="2792">
        <f t="shared" ca="1" si="84"/>
        <v>0</v>
      </c>
      <c r="BU31" s="2792">
        <f t="shared" ca="1" si="84"/>
        <v>0</v>
      </c>
      <c r="BV31" s="2792">
        <f t="shared" ca="1" si="84"/>
        <v>0</v>
      </c>
      <c r="BW31" s="2792">
        <f t="shared" ca="1" si="84"/>
        <v>0</v>
      </c>
      <c r="BX31" s="2792">
        <f t="shared" ca="1" si="84"/>
        <v>0</v>
      </c>
      <c r="BY31" s="2792">
        <f t="shared" ca="1" si="84"/>
        <v>0</v>
      </c>
      <c r="BZ31" s="2792">
        <f t="shared" ca="1" si="84"/>
        <v>0</v>
      </c>
      <c r="CA31" s="2792">
        <f t="shared" ca="1" si="84"/>
        <v>0</v>
      </c>
      <c r="CB31" s="2792">
        <f t="shared" ca="1" si="84"/>
        <v>0</v>
      </c>
      <c r="CC31" s="2792">
        <f t="shared" ca="1" si="84"/>
        <v>0</v>
      </c>
      <c r="CD31" s="2792">
        <f t="shared" ca="1" si="84"/>
        <v>0</v>
      </c>
      <c r="CE31" s="2792">
        <f t="shared" ca="1" si="84"/>
        <v>0</v>
      </c>
      <c r="CF31" s="2792">
        <f t="shared" ca="1" si="84"/>
        <v>0</v>
      </c>
      <c r="CG31" s="2792">
        <f t="shared" ca="1" si="84"/>
        <v>0</v>
      </c>
      <c r="CH31" s="2792">
        <f t="shared" ca="1" si="84"/>
        <v>0</v>
      </c>
      <c r="CI31" s="2792">
        <f t="shared" ca="1" si="84"/>
        <v>0</v>
      </c>
      <c r="CJ31" s="2792">
        <f t="shared" ca="1" si="84"/>
        <v>0</v>
      </c>
      <c r="CK31" s="2792">
        <f t="shared" ca="1" si="84"/>
        <v>0</v>
      </c>
      <c r="CL31" s="2792">
        <f t="shared" ca="1" si="84"/>
        <v>0</v>
      </c>
      <c r="CM31" s="2792">
        <f t="shared" ca="1" si="84"/>
        <v>0</v>
      </c>
      <c r="CN31" s="2792">
        <f t="shared" ca="1" si="84"/>
        <v>0</v>
      </c>
      <c r="CO31" s="2792">
        <f t="shared" ca="1" si="84"/>
        <v>0</v>
      </c>
      <c r="CP31" s="2792">
        <f t="shared" ca="1" si="84"/>
        <v>0</v>
      </c>
      <c r="CQ31" s="2792">
        <f t="shared" ca="1" si="84"/>
        <v>0</v>
      </c>
      <c r="CR31" s="2792">
        <f t="shared" ca="1" si="84"/>
        <v>0</v>
      </c>
      <c r="CS31" s="2792">
        <f t="shared" ca="1" si="84"/>
        <v>0</v>
      </c>
      <c r="CT31" s="2792">
        <f t="shared" ca="1" si="84"/>
        <v>0</v>
      </c>
      <c r="CU31" s="2792">
        <f t="shared" ca="1" si="84"/>
        <v>0</v>
      </c>
      <c r="CV31" s="2792">
        <f t="shared" ca="1" si="84"/>
        <v>0</v>
      </c>
      <c r="CW31" s="2792">
        <f t="shared" ca="1" si="84"/>
        <v>0</v>
      </c>
      <c r="CX31" s="2792">
        <f t="shared" ca="1" si="84"/>
        <v>0</v>
      </c>
      <c r="CY31" s="2792">
        <f t="shared" ca="1" si="84"/>
        <v>0</v>
      </c>
      <c r="CZ31" s="2792">
        <f t="shared" ca="1" si="84"/>
        <v>0</v>
      </c>
      <c r="DA31" s="2792">
        <f t="shared" ca="1" si="84"/>
        <v>0</v>
      </c>
      <c r="DB31" s="2792">
        <f t="shared" ca="1" si="84"/>
        <v>0</v>
      </c>
      <c r="DC31" s="2792">
        <f t="shared" ca="1" si="84"/>
        <v>0</v>
      </c>
      <c r="DD31" s="2792">
        <f t="shared" ca="1" si="84"/>
        <v>0</v>
      </c>
      <c r="DE31" s="2792">
        <f t="shared" ca="1" si="84"/>
        <v>0</v>
      </c>
      <c r="DF31" s="2792">
        <f t="shared" ca="1" si="84"/>
        <v>0</v>
      </c>
      <c r="DH31" s="596">
        <f t="shared" ca="1" si="33"/>
        <v>0</v>
      </c>
    </row>
    <row r="32" spans="1:112" s="6" customFormat="1" ht="15.75">
      <c r="A32" s="4"/>
      <c r="B32" s="3"/>
      <c r="C32" s="616" t="s">
        <v>490</v>
      </c>
      <c r="D32" s="617" t="s">
        <v>491</v>
      </c>
      <c r="E32" s="206"/>
      <c r="G32" s="618">
        <f t="shared" ref="G32:P32" ca="1" si="85">G24+G25+G28+G31</f>
        <v>0</v>
      </c>
      <c r="H32" s="618">
        <f t="shared" ca="1" si="85"/>
        <v>0</v>
      </c>
      <c r="I32" s="618">
        <f t="shared" ca="1" si="85"/>
        <v>0</v>
      </c>
      <c r="J32" s="618">
        <f t="shared" ca="1" si="85"/>
        <v>33.083990769818584</v>
      </c>
      <c r="K32" s="618">
        <f t="shared" ca="1" si="85"/>
        <v>0.36938892884152924</v>
      </c>
      <c r="L32" s="618">
        <f t="shared" ca="1" si="85"/>
        <v>2.5228818186920948E-2</v>
      </c>
      <c r="M32" s="618">
        <f t="shared" ca="1" si="85"/>
        <v>0.66</v>
      </c>
      <c r="N32" s="618">
        <f t="shared" ca="1" si="85"/>
        <v>10.195826064607054</v>
      </c>
      <c r="O32" s="618">
        <f t="shared" ca="1" si="85"/>
        <v>0</v>
      </c>
      <c r="P32" s="618">
        <f t="shared" ca="1" si="85"/>
        <v>0</v>
      </c>
      <c r="Q32" s="618">
        <f t="shared" ca="1" si="57"/>
        <v>44.334434581454083</v>
      </c>
      <c r="S32" s="581">
        <f t="shared" ref="S32:AJ32" ca="1" si="86">S24+S25+S28+S31</f>
        <v>-0.55189181444861812</v>
      </c>
      <c r="T32" s="581">
        <f t="shared" ca="1" si="86"/>
        <v>0</v>
      </c>
      <c r="U32" s="581">
        <f t="shared" ca="1" si="86"/>
        <v>0</v>
      </c>
      <c r="V32" s="581">
        <f t="shared" ca="1" si="86"/>
        <v>-43.761369170645644</v>
      </c>
      <c r="W32" s="581">
        <f t="shared" ca="1" si="86"/>
        <v>0</v>
      </c>
      <c r="X32" s="581">
        <f t="shared" ca="1" si="86"/>
        <v>0</v>
      </c>
      <c r="Y32" s="581">
        <f t="shared" ca="1" si="86"/>
        <v>0</v>
      </c>
      <c r="Z32" s="581">
        <f t="shared" ca="1" si="86"/>
        <v>0</v>
      </c>
      <c r="AA32" s="581">
        <f t="shared" ca="1" si="86"/>
        <v>0</v>
      </c>
      <c r="AB32" s="581">
        <f t="shared" ca="1" si="86"/>
        <v>0</v>
      </c>
      <c r="AC32" s="581">
        <f t="shared" ca="1" si="86"/>
        <v>0</v>
      </c>
      <c r="AD32" s="581">
        <f t="shared" ca="1" si="86"/>
        <v>0</v>
      </c>
      <c r="AE32" s="581">
        <f ca="1">AE24+AE25+AE28+AE31</f>
        <v>0</v>
      </c>
      <c r="AF32" s="581">
        <f t="shared" ca="1" si="86"/>
        <v>0</v>
      </c>
      <c r="AG32" s="581">
        <f t="shared" ca="1" si="86"/>
        <v>0</v>
      </c>
      <c r="AH32" s="581">
        <f ca="1">AH24+AH25+AH28+AH31</f>
        <v>0</v>
      </c>
      <c r="AI32" s="581">
        <f t="shared" ca="1" si="86"/>
        <v>0</v>
      </c>
      <c r="AJ32" s="581">
        <f t="shared" ca="1" si="86"/>
        <v>-2.1173596359821727E-2</v>
      </c>
      <c r="AK32" s="581">
        <f t="shared" ca="1" si="60"/>
        <v>-44.334434581454083</v>
      </c>
      <c r="AM32" s="582">
        <f t="shared" ref="AM32:BE32" ca="1" si="87">AM24+AM25+AM28+AM31</f>
        <v>0</v>
      </c>
      <c r="AN32" s="582">
        <f t="shared" ca="1" si="87"/>
        <v>0</v>
      </c>
      <c r="AO32" s="582">
        <f t="shared" ca="1" si="87"/>
        <v>0</v>
      </c>
      <c r="AP32" s="582">
        <f t="shared" ca="1" si="87"/>
        <v>0</v>
      </c>
      <c r="AQ32" s="582">
        <f t="shared" ca="1" si="87"/>
        <v>0</v>
      </c>
      <c r="AR32" s="582">
        <f t="shared" ca="1" si="87"/>
        <v>0</v>
      </c>
      <c r="AS32" s="582">
        <f t="shared" ca="1" si="87"/>
        <v>0</v>
      </c>
      <c r="AT32" s="582">
        <f t="shared" ca="1" si="87"/>
        <v>0</v>
      </c>
      <c r="AU32" s="582">
        <f t="shared" ca="1" si="87"/>
        <v>0</v>
      </c>
      <c r="AV32" s="582">
        <f t="shared" ca="1" si="87"/>
        <v>0</v>
      </c>
      <c r="AW32" s="582">
        <f t="shared" ca="1" si="87"/>
        <v>0</v>
      </c>
      <c r="AX32" s="582">
        <f t="shared" ca="1" si="87"/>
        <v>0</v>
      </c>
      <c r="AY32" s="582">
        <f t="shared" ca="1" si="87"/>
        <v>0</v>
      </c>
      <c r="AZ32" s="582">
        <f t="shared" ca="1" si="87"/>
        <v>0</v>
      </c>
      <c r="BA32" s="582">
        <f t="shared" ca="1" si="87"/>
        <v>0</v>
      </c>
      <c r="BB32" s="582">
        <f t="shared" ca="1" si="87"/>
        <v>0</v>
      </c>
      <c r="BC32" s="582">
        <f t="shared" ca="1" si="87"/>
        <v>0</v>
      </c>
      <c r="BD32" s="582">
        <f ca="1">BD24+BD25+BD28+BD31</f>
        <v>0</v>
      </c>
      <c r="BE32" s="582">
        <f t="shared" ca="1" si="87"/>
        <v>0</v>
      </c>
      <c r="BF32" s="582">
        <f t="shared" ca="1" si="63"/>
        <v>0</v>
      </c>
      <c r="BH32" s="3463">
        <f ca="1">BH24+BH25+BH28+BH31</f>
        <v>0</v>
      </c>
      <c r="BI32" s="3463">
        <f ca="1">BI24+BI25+BI28+BI31</f>
        <v>0</v>
      </c>
      <c r="BJ32" s="3463">
        <f t="shared" ca="1" si="65"/>
        <v>0</v>
      </c>
      <c r="BL32" s="3477">
        <f t="shared" ca="1" si="10"/>
        <v>0</v>
      </c>
      <c r="BM32" s="584"/>
      <c r="BN32" s="413"/>
      <c r="BO32" s="2790">
        <f t="shared" ref="BO32:DF32" ca="1" si="88">BO24+BO25+BO28+BO31</f>
        <v>8.8572755148214615</v>
      </c>
      <c r="BP32" s="2790">
        <f t="shared" ca="1" si="88"/>
        <v>7.6126651764495522E-3</v>
      </c>
      <c r="BQ32" s="2790">
        <f t="shared" ca="1" si="88"/>
        <v>2.2475487663803438E-2</v>
      </c>
      <c r="BR32" s="2790">
        <f t="shared" ca="1" si="88"/>
        <v>0</v>
      </c>
      <c r="BS32" s="2790">
        <f t="shared" ca="1" si="88"/>
        <v>0</v>
      </c>
      <c r="BT32" s="2790">
        <f t="shared" ca="1" si="88"/>
        <v>0</v>
      </c>
      <c r="BU32" s="2790">
        <f t="shared" ca="1" si="88"/>
        <v>0</v>
      </c>
      <c r="BV32" s="2790">
        <f t="shared" ca="1" si="88"/>
        <v>0</v>
      </c>
      <c r="BW32" s="2790">
        <f t="shared" ca="1" si="88"/>
        <v>0</v>
      </c>
      <c r="BX32" s="2790">
        <f t="shared" ca="1" si="88"/>
        <v>0</v>
      </c>
      <c r="BY32" s="2790">
        <f t="shared" ca="1" si="88"/>
        <v>0</v>
      </c>
      <c r="BZ32" s="2790">
        <f t="shared" ca="1" si="88"/>
        <v>0</v>
      </c>
      <c r="CA32" s="2790">
        <f t="shared" ca="1" si="88"/>
        <v>0</v>
      </c>
      <c r="CB32" s="2790">
        <f t="shared" ca="1" si="88"/>
        <v>0</v>
      </c>
      <c r="CC32" s="2790">
        <f t="shared" ca="1" si="88"/>
        <v>0</v>
      </c>
      <c r="CD32" s="2790">
        <f t="shared" ca="1" si="88"/>
        <v>0</v>
      </c>
      <c r="CE32" s="2790">
        <f t="shared" ca="1" si="88"/>
        <v>0</v>
      </c>
      <c r="CF32" s="2790">
        <f t="shared" ca="1" si="88"/>
        <v>0</v>
      </c>
      <c r="CG32" s="2790">
        <f t="shared" ca="1" si="88"/>
        <v>0</v>
      </c>
      <c r="CH32" s="2790">
        <f t="shared" ca="1" si="88"/>
        <v>0</v>
      </c>
      <c r="CI32" s="2790">
        <f t="shared" ca="1" si="88"/>
        <v>0</v>
      </c>
      <c r="CJ32" s="2790">
        <f t="shared" ca="1" si="88"/>
        <v>0</v>
      </c>
      <c r="CK32" s="2790">
        <f t="shared" ca="1" si="88"/>
        <v>0</v>
      </c>
      <c r="CL32" s="2790">
        <f t="shared" ca="1" si="88"/>
        <v>0</v>
      </c>
      <c r="CM32" s="2790">
        <f t="shared" ca="1" si="88"/>
        <v>0</v>
      </c>
      <c r="CN32" s="2790">
        <f t="shared" ca="1" si="88"/>
        <v>0</v>
      </c>
      <c r="CO32" s="2790">
        <f t="shared" ca="1" si="88"/>
        <v>0</v>
      </c>
      <c r="CP32" s="2790">
        <f t="shared" ca="1" si="88"/>
        <v>0</v>
      </c>
      <c r="CQ32" s="2790">
        <f t="shared" ca="1" si="88"/>
        <v>0</v>
      </c>
      <c r="CR32" s="2790">
        <f t="shared" ca="1" si="88"/>
        <v>0</v>
      </c>
      <c r="CS32" s="2790">
        <f t="shared" ca="1" si="88"/>
        <v>0</v>
      </c>
      <c r="CT32" s="2790">
        <f t="shared" ca="1" si="88"/>
        <v>0</v>
      </c>
      <c r="CU32" s="2790">
        <f t="shared" ca="1" si="88"/>
        <v>2.690474581928509</v>
      </c>
      <c r="CV32" s="2790">
        <f t="shared" ca="1" si="88"/>
        <v>2.31241335145288E-3</v>
      </c>
      <c r="CW32" s="2790">
        <f t="shared" ca="1" si="88"/>
        <v>6.8271251328608836E-3</v>
      </c>
      <c r="CX32" s="2790">
        <f t="shared" ca="1" si="88"/>
        <v>0</v>
      </c>
      <c r="CY32" s="2790">
        <f t="shared" ca="1" si="88"/>
        <v>0</v>
      </c>
      <c r="CZ32" s="2790">
        <f t="shared" ca="1" si="88"/>
        <v>0</v>
      </c>
      <c r="DA32" s="2790">
        <f t="shared" ca="1" si="88"/>
        <v>0</v>
      </c>
      <c r="DB32" s="2790">
        <f t="shared" ca="1" si="88"/>
        <v>0</v>
      </c>
      <c r="DC32" s="2790">
        <f t="shared" ca="1" si="88"/>
        <v>0</v>
      </c>
      <c r="DD32" s="2790">
        <f t="shared" ca="1" si="88"/>
        <v>0</v>
      </c>
      <c r="DE32" s="2790">
        <f t="shared" ca="1" si="88"/>
        <v>0</v>
      </c>
      <c r="DF32" s="2790">
        <f t="shared" ca="1" si="88"/>
        <v>0</v>
      </c>
      <c r="DH32" s="596">
        <f t="shared" ca="1" si="33"/>
        <v>11.586977788074536</v>
      </c>
    </row>
    <row r="33" spans="1:112" s="6" customFormat="1" ht="12.75" customHeight="1" outlineLevel="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10"/>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3"/>
        <v>0</v>
      </c>
    </row>
    <row r="34" spans="1:112" s="6" customFormat="1" ht="12.75" customHeight="1" outlineLevel="1">
      <c r="A34" s="607"/>
      <c r="B34" s="607"/>
      <c r="C34" s="587" t="s">
        <v>492</v>
      </c>
      <c r="D34" s="611" t="s">
        <v>375</v>
      </c>
      <c r="E34" s="611"/>
      <c r="G34" s="619">
        <f t="shared" ref="G34:P34" ca="1" si="89">IFERROR(INDEX(INDIRECT($C34&amp;".Outputs["&amp;this.Year&amp;"]"), MATCH(G$5, INDIRECT($C34&amp;".Outputs[Vector]"), 0)), 0)</f>
        <v>0</v>
      </c>
      <c r="H34" s="619">
        <f t="shared" ca="1" si="89"/>
        <v>0</v>
      </c>
      <c r="I34" s="619">
        <f t="shared" ca="1" si="89"/>
        <v>0</v>
      </c>
      <c r="J34" s="619">
        <f t="shared" ca="1" si="89"/>
        <v>0</v>
      </c>
      <c r="K34" s="619">
        <f t="shared" ca="1" si="89"/>
        <v>0</v>
      </c>
      <c r="L34" s="619">
        <f t="shared" ca="1" si="89"/>
        <v>0</v>
      </c>
      <c r="M34" s="619">
        <f t="shared" ca="1" si="89"/>
        <v>0</v>
      </c>
      <c r="N34" s="619">
        <f t="shared" ca="1" si="89"/>
        <v>0</v>
      </c>
      <c r="O34" s="619">
        <f t="shared" ca="1" si="89"/>
        <v>0</v>
      </c>
      <c r="P34" s="619">
        <f t="shared" ca="1" si="89"/>
        <v>0</v>
      </c>
      <c r="Q34" s="612">
        <f ca="1">SUM(G34:P34)</f>
        <v>0</v>
      </c>
      <c r="S34" s="620">
        <f t="shared" ref="S34:AJ34" ca="1" si="90">IFERROR(INDEX(INDIRECT($C34&amp;".Outputs["&amp;this.Year&amp;"]"), MATCH(S$5, INDIRECT($C34&amp;".Outputs[Vector]"), 0)), 0)</f>
        <v>0</v>
      </c>
      <c r="T34" s="620">
        <f t="shared" ca="1" si="90"/>
        <v>0</v>
      </c>
      <c r="U34" s="620">
        <f t="shared" ca="1" si="90"/>
        <v>0</v>
      </c>
      <c r="V34" s="620">
        <f t="shared" ca="1" si="90"/>
        <v>0</v>
      </c>
      <c r="W34" s="620">
        <f t="shared" ca="1" si="90"/>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90"/>
        <v>0</v>
      </c>
      <c r="AB34" s="620">
        <f t="shared" ca="1" si="90"/>
        <v>0</v>
      </c>
      <c r="AC34" s="620">
        <f t="shared" ca="1" si="90"/>
        <v>0</v>
      </c>
      <c r="AD34" s="620">
        <f t="shared" ca="1" si="90"/>
        <v>0</v>
      </c>
      <c r="AE34" s="620">
        <f t="shared" ca="1" si="90"/>
        <v>0</v>
      </c>
      <c r="AF34" s="620">
        <f t="shared" ca="1" si="90"/>
        <v>0</v>
      </c>
      <c r="AG34" s="620">
        <f t="shared" ca="1" si="90"/>
        <v>0</v>
      </c>
      <c r="AH34" s="620">
        <f t="shared" ca="1" si="90"/>
        <v>0</v>
      </c>
      <c r="AI34" s="620">
        <f t="shared" ca="1" si="90"/>
        <v>0</v>
      </c>
      <c r="AJ34" s="620">
        <f t="shared" ca="1" si="90"/>
        <v>0</v>
      </c>
      <c r="AK34" s="613">
        <f ca="1">SUM(S34:AJ34)</f>
        <v>0</v>
      </c>
      <c r="AM34" s="621">
        <f t="shared" ref="AM34:AU34" ca="1" si="91">IFERROR(INDEX(INDIRECT($C34&amp;".Outputs["&amp;this.Year&amp;"]"), MATCH(AM$5, INDIRECT($C34&amp;".Outputs[Vector]"), 0)), 0)</f>
        <v>0</v>
      </c>
      <c r="AN34" s="621">
        <f t="shared" ca="1" si="91"/>
        <v>0</v>
      </c>
      <c r="AO34" s="621">
        <f t="shared" ca="1" si="91"/>
        <v>0</v>
      </c>
      <c r="AP34" s="621">
        <f t="shared" ca="1" si="91"/>
        <v>0</v>
      </c>
      <c r="AQ34" s="621">
        <f t="shared" ca="1" si="91"/>
        <v>0</v>
      </c>
      <c r="AR34" s="621">
        <f t="shared" ca="1" si="91"/>
        <v>0</v>
      </c>
      <c r="AS34" s="621">
        <f t="shared" ca="1" si="91"/>
        <v>0</v>
      </c>
      <c r="AT34" s="621">
        <f t="shared" ca="1" si="91"/>
        <v>0</v>
      </c>
      <c r="AU34" s="621">
        <f t="shared" ca="1" si="91"/>
        <v>0</v>
      </c>
      <c r="AV34" s="621">
        <f t="shared" ref="AV34:BE34" ca="1" si="92">IFERROR(INDEX(INDIRECT($C34&amp;".Outputs["&amp;this.Year&amp;"]"), MATCH(AV$5, INDIRECT($C34&amp;".Outputs[Vector]"), 0)), 0)</f>
        <v>0</v>
      </c>
      <c r="AW34" s="621">
        <f t="shared" ca="1" si="92"/>
        <v>0</v>
      </c>
      <c r="AX34" s="621">
        <f t="shared" ca="1" si="92"/>
        <v>0</v>
      </c>
      <c r="AY34" s="621">
        <f t="shared" ca="1" si="92"/>
        <v>0</v>
      </c>
      <c r="AZ34" s="621">
        <f t="shared" ca="1" si="92"/>
        <v>0</v>
      </c>
      <c r="BA34" s="621">
        <f t="shared" ca="1" si="92"/>
        <v>0</v>
      </c>
      <c r="BB34" s="621">
        <f t="shared" ca="1" si="92"/>
        <v>0</v>
      </c>
      <c r="BC34" s="621">
        <f t="shared" ca="1" si="92"/>
        <v>0</v>
      </c>
      <c r="BD34" s="621">
        <f t="shared" ca="1" si="92"/>
        <v>0</v>
      </c>
      <c r="BE34" s="621">
        <f t="shared" ca="1" si="92"/>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10"/>
        <v>0</v>
      </c>
      <c r="BM34" s="610"/>
      <c r="BN34" s="413"/>
      <c r="BO34" s="2791">
        <f t="shared" ref="BO34:DF34" ca="1" si="93">IFERROR(SUMIFS(INDIRECT($C34&amp;".Emissions["&amp;this.Year&amp;"]"), INDIRECT($C34&amp;".Emissions[GHG]"), BO$6, INDIRECT($C34&amp;".Emissions[IPCC Sector]"), BO$5),0)</f>
        <v>0</v>
      </c>
      <c r="BP34" s="2792">
        <f t="shared" ca="1" si="93"/>
        <v>0</v>
      </c>
      <c r="BQ34" s="2792">
        <f t="shared" ca="1" si="93"/>
        <v>0</v>
      </c>
      <c r="BR34" s="2792">
        <f t="shared" ca="1" si="93"/>
        <v>0</v>
      </c>
      <c r="BS34" s="2792">
        <f t="shared" ca="1" si="93"/>
        <v>0</v>
      </c>
      <c r="BT34" s="2792">
        <f t="shared" ca="1" si="93"/>
        <v>0</v>
      </c>
      <c r="BU34" s="2792">
        <f t="shared" ca="1" si="93"/>
        <v>0</v>
      </c>
      <c r="BV34" s="2792">
        <f t="shared" ca="1" si="93"/>
        <v>0</v>
      </c>
      <c r="BW34" s="2792">
        <f t="shared" ca="1" si="93"/>
        <v>0</v>
      </c>
      <c r="BX34" s="2792">
        <f t="shared" ca="1" si="93"/>
        <v>0</v>
      </c>
      <c r="BY34" s="2792">
        <f t="shared" ca="1" si="93"/>
        <v>0</v>
      </c>
      <c r="BZ34" s="2792">
        <f t="shared" ca="1" si="93"/>
        <v>0</v>
      </c>
      <c r="CA34" s="2792">
        <f t="shared" ca="1" si="93"/>
        <v>0</v>
      </c>
      <c r="CB34" s="2792">
        <f t="shared" ca="1" si="93"/>
        <v>0</v>
      </c>
      <c r="CC34" s="2792">
        <f t="shared" ca="1" si="93"/>
        <v>0</v>
      </c>
      <c r="CD34" s="2792">
        <f t="shared" ca="1" si="93"/>
        <v>0</v>
      </c>
      <c r="CE34" s="2792">
        <f t="shared" ca="1" si="93"/>
        <v>0</v>
      </c>
      <c r="CF34" s="2792">
        <f t="shared" ca="1" si="93"/>
        <v>0</v>
      </c>
      <c r="CG34" s="2792">
        <f t="shared" ca="1" si="93"/>
        <v>0</v>
      </c>
      <c r="CH34" s="2792">
        <f t="shared" ca="1" si="93"/>
        <v>0</v>
      </c>
      <c r="CI34" s="2792">
        <f t="shared" ca="1" si="93"/>
        <v>0</v>
      </c>
      <c r="CJ34" s="2792">
        <f t="shared" ca="1" si="93"/>
        <v>0</v>
      </c>
      <c r="CK34" s="2792">
        <f t="shared" ca="1" si="93"/>
        <v>0</v>
      </c>
      <c r="CL34" s="2792">
        <f t="shared" ca="1" si="93"/>
        <v>0</v>
      </c>
      <c r="CM34" s="2792">
        <f t="shared" ca="1" si="93"/>
        <v>0</v>
      </c>
      <c r="CN34" s="2792">
        <f t="shared" ca="1" si="93"/>
        <v>0</v>
      </c>
      <c r="CO34" s="2792">
        <f t="shared" ca="1" si="93"/>
        <v>0</v>
      </c>
      <c r="CP34" s="2792">
        <f t="shared" ca="1" si="93"/>
        <v>0</v>
      </c>
      <c r="CQ34" s="2792">
        <f t="shared" ca="1" si="93"/>
        <v>0</v>
      </c>
      <c r="CR34" s="2792">
        <f t="shared" ca="1" si="93"/>
        <v>0</v>
      </c>
      <c r="CS34" s="2792">
        <f t="shared" ca="1" si="93"/>
        <v>0</v>
      </c>
      <c r="CT34" s="2792">
        <f t="shared" ca="1" si="93"/>
        <v>0</v>
      </c>
      <c r="CU34" s="2792">
        <f t="shared" ca="1" si="93"/>
        <v>0</v>
      </c>
      <c r="CV34" s="2792">
        <f t="shared" ca="1" si="93"/>
        <v>0</v>
      </c>
      <c r="CW34" s="2792">
        <f t="shared" ca="1" si="93"/>
        <v>0</v>
      </c>
      <c r="CX34" s="2792">
        <f t="shared" ca="1" si="93"/>
        <v>0</v>
      </c>
      <c r="CY34" s="2792">
        <f t="shared" ca="1" si="93"/>
        <v>0</v>
      </c>
      <c r="CZ34" s="2792">
        <f t="shared" ca="1" si="93"/>
        <v>0</v>
      </c>
      <c r="DA34" s="2792">
        <f t="shared" ca="1" si="93"/>
        <v>0</v>
      </c>
      <c r="DB34" s="2792">
        <f t="shared" ca="1" si="93"/>
        <v>0</v>
      </c>
      <c r="DC34" s="2792">
        <f t="shared" ca="1" si="93"/>
        <v>0</v>
      </c>
      <c r="DD34" s="2792">
        <f t="shared" ca="1" si="93"/>
        <v>0</v>
      </c>
      <c r="DE34" s="2792">
        <f t="shared" ca="1" si="93"/>
        <v>0</v>
      </c>
      <c r="DF34" s="2792">
        <f t="shared" ca="1" si="93"/>
        <v>0</v>
      </c>
      <c r="DH34" s="596">
        <f t="shared" ca="1" si="33"/>
        <v>0</v>
      </c>
    </row>
    <row r="35" spans="1:112" s="6" customFormat="1" ht="15.75">
      <c r="A35" s="4"/>
      <c r="B35" s="3"/>
      <c r="C35" s="616" t="s">
        <v>493</v>
      </c>
      <c r="D35" s="617" t="s">
        <v>375</v>
      </c>
      <c r="E35" s="206"/>
      <c r="G35" s="618">
        <f ca="1">G34</f>
        <v>0</v>
      </c>
      <c r="H35" s="618">
        <f t="shared" ref="H35:P35" ca="1" si="94">H34</f>
        <v>0</v>
      </c>
      <c r="I35" s="618">
        <f t="shared" ca="1" si="94"/>
        <v>0</v>
      </c>
      <c r="J35" s="618">
        <f t="shared" ca="1" si="94"/>
        <v>0</v>
      </c>
      <c r="K35" s="618">
        <f t="shared" ca="1" si="94"/>
        <v>0</v>
      </c>
      <c r="L35" s="618">
        <f t="shared" ca="1" si="94"/>
        <v>0</v>
      </c>
      <c r="M35" s="618">
        <f t="shared" ca="1" si="94"/>
        <v>0</v>
      </c>
      <c r="N35" s="618">
        <f ca="1">N34</f>
        <v>0</v>
      </c>
      <c r="O35" s="618">
        <f ca="1">O34</f>
        <v>0</v>
      </c>
      <c r="P35" s="618">
        <f t="shared" ca="1" si="94"/>
        <v>0</v>
      </c>
      <c r="Q35" s="618">
        <f ca="1">SUM(G35:P35)</f>
        <v>0</v>
      </c>
      <c r="S35" s="581">
        <f ca="1">S34</f>
        <v>0</v>
      </c>
      <c r="T35" s="581">
        <f t="shared" ref="T35:AJ35" ca="1" si="95">T34</f>
        <v>0</v>
      </c>
      <c r="U35" s="581">
        <f t="shared" ca="1" si="95"/>
        <v>0</v>
      </c>
      <c r="V35" s="581">
        <f t="shared" ca="1" si="95"/>
        <v>0</v>
      </c>
      <c r="W35" s="581">
        <f t="shared" ca="1" si="95"/>
        <v>0</v>
      </c>
      <c r="X35" s="581">
        <f ca="1">X34</f>
        <v>0</v>
      </c>
      <c r="Y35" s="581">
        <f ca="1">Y34</f>
        <v>0</v>
      </c>
      <c r="Z35" s="581">
        <f ca="1">Z34</f>
        <v>0</v>
      </c>
      <c r="AA35" s="581">
        <f t="shared" ca="1" si="95"/>
        <v>0</v>
      </c>
      <c r="AB35" s="581">
        <f t="shared" ca="1" si="95"/>
        <v>0</v>
      </c>
      <c r="AC35" s="581">
        <f t="shared" ca="1" si="95"/>
        <v>0</v>
      </c>
      <c r="AD35" s="581">
        <f ca="1">AD34</f>
        <v>0</v>
      </c>
      <c r="AE35" s="581">
        <f ca="1">AE34</f>
        <v>0</v>
      </c>
      <c r="AF35" s="581">
        <f t="shared" ca="1" si="95"/>
        <v>0</v>
      </c>
      <c r="AG35" s="581">
        <f ca="1">AG34</f>
        <v>0</v>
      </c>
      <c r="AH35" s="581">
        <f ca="1">AH34</f>
        <v>0</v>
      </c>
      <c r="AI35" s="581">
        <f ca="1">AI34</f>
        <v>0</v>
      </c>
      <c r="AJ35" s="581">
        <f t="shared" ca="1" si="95"/>
        <v>0</v>
      </c>
      <c r="AK35" s="581">
        <f ca="1">SUM(S35:AJ35)</f>
        <v>0</v>
      </c>
      <c r="AM35" s="582">
        <f t="shared" ref="AM35:BE35" ca="1" si="96">AM34</f>
        <v>0</v>
      </c>
      <c r="AN35" s="582">
        <f t="shared" ca="1" si="96"/>
        <v>0</v>
      </c>
      <c r="AO35" s="582">
        <f t="shared" ca="1" si="96"/>
        <v>0</v>
      </c>
      <c r="AP35" s="582">
        <f t="shared" ca="1" si="96"/>
        <v>0</v>
      </c>
      <c r="AQ35" s="582">
        <f t="shared" ca="1" si="96"/>
        <v>0</v>
      </c>
      <c r="AR35" s="582">
        <f t="shared" ca="1" si="96"/>
        <v>0</v>
      </c>
      <c r="AS35" s="582">
        <f t="shared" ca="1" si="96"/>
        <v>0</v>
      </c>
      <c r="AT35" s="582">
        <f t="shared" ca="1" si="96"/>
        <v>0</v>
      </c>
      <c r="AU35" s="582">
        <f t="shared" ca="1" si="96"/>
        <v>0</v>
      </c>
      <c r="AV35" s="582">
        <f t="shared" ca="1" si="96"/>
        <v>0</v>
      </c>
      <c r="AW35" s="582">
        <f t="shared" ca="1" si="96"/>
        <v>0</v>
      </c>
      <c r="AX35" s="582">
        <f t="shared" ca="1" si="96"/>
        <v>0</v>
      </c>
      <c r="AY35" s="582">
        <f t="shared" ca="1" si="96"/>
        <v>0</v>
      </c>
      <c r="AZ35" s="582">
        <f t="shared" ca="1" si="96"/>
        <v>0</v>
      </c>
      <c r="BA35" s="582">
        <f t="shared" ca="1" si="96"/>
        <v>0</v>
      </c>
      <c r="BB35" s="582">
        <f t="shared" ca="1" si="96"/>
        <v>0</v>
      </c>
      <c r="BC35" s="582">
        <f t="shared" ca="1" si="96"/>
        <v>0</v>
      </c>
      <c r="BD35" s="582">
        <f ca="1">BD34</f>
        <v>0</v>
      </c>
      <c r="BE35" s="582">
        <f t="shared" ca="1" si="96"/>
        <v>0</v>
      </c>
      <c r="BF35" s="582">
        <f ca="1">SUM(AM35:BE35)</f>
        <v>0</v>
      </c>
      <c r="BH35" s="3463">
        <f ca="1">BH34</f>
        <v>0</v>
      </c>
      <c r="BI35" s="3463">
        <f ca="1">BI34</f>
        <v>0</v>
      </c>
      <c r="BJ35" s="3463">
        <f ca="1">SUM(BH35:BI35)</f>
        <v>0</v>
      </c>
      <c r="BL35" s="3477">
        <f t="shared" ca="1" si="10"/>
        <v>0</v>
      </c>
      <c r="BM35" s="584"/>
      <c r="BN35" s="413"/>
      <c r="BO35" s="2790">
        <f t="shared" ref="BO35:DF35" ca="1" si="97">BO34</f>
        <v>0</v>
      </c>
      <c r="BP35" s="2790">
        <f t="shared" ca="1" si="97"/>
        <v>0</v>
      </c>
      <c r="BQ35" s="2790">
        <f t="shared" ca="1" si="97"/>
        <v>0</v>
      </c>
      <c r="BR35" s="2790">
        <f t="shared" ca="1" si="97"/>
        <v>0</v>
      </c>
      <c r="BS35" s="2790">
        <f t="shared" ca="1" si="97"/>
        <v>0</v>
      </c>
      <c r="BT35" s="2790">
        <f t="shared" ca="1" si="97"/>
        <v>0</v>
      </c>
      <c r="BU35" s="2790">
        <f t="shared" ca="1" si="97"/>
        <v>0</v>
      </c>
      <c r="BV35" s="2790">
        <f t="shared" ca="1" si="97"/>
        <v>0</v>
      </c>
      <c r="BW35" s="2790">
        <f t="shared" ca="1" si="97"/>
        <v>0</v>
      </c>
      <c r="BX35" s="2790">
        <f t="shared" ca="1" si="97"/>
        <v>0</v>
      </c>
      <c r="BY35" s="2790">
        <f t="shared" ca="1" si="97"/>
        <v>0</v>
      </c>
      <c r="BZ35" s="2790">
        <f t="shared" ca="1" si="97"/>
        <v>0</v>
      </c>
      <c r="CA35" s="2790">
        <f t="shared" ca="1" si="97"/>
        <v>0</v>
      </c>
      <c r="CB35" s="2790">
        <f t="shared" ca="1" si="97"/>
        <v>0</v>
      </c>
      <c r="CC35" s="2790">
        <f t="shared" ca="1" si="97"/>
        <v>0</v>
      </c>
      <c r="CD35" s="2790">
        <f t="shared" ca="1" si="97"/>
        <v>0</v>
      </c>
      <c r="CE35" s="2790">
        <f t="shared" ca="1" si="97"/>
        <v>0</v>
      </c>
      <c r="CF35" s="2790">
        <f t="shared" ca="1" si="97"/>
        <v>0</v>
      </c>
      <c r="CG35" s="2790">
        <f t="shared" ca="1" si="97"/>
        <v>0</v>
      </c>
      <c r="CH35" s="2790">
        <f t="shared" ca="1" si="97"/>
        <v>0</v>
      </c>
      <c r="CI35" s="2790">
        <f t="shared" ca="1" si="97"/>
        <v>0</v>
      </c>
      <c r="CJ35" s="2790">
        <f t="shared" ca="1" si="97"/>
        <v>0</v>
      </c>
      <c r="CK35" s="2790">
        <f t="shared" ca="1" si="97"/>
        <v>0</v>
      </c>
      <c r="CL35" s="2790">
        <f t="shared" ca="1" si="97"/>
        <v>0</v>
      </c>
      <c r="CM35" s="2790">
        <f t="shared" ca="1" si="97"/>
        <v>0</v>
      </c>
      <c r="CN35" s="2790">
        <f t="shared" ca="1" si="97"/>
        <v>0</v>
      </c>
      <c r="CO35" s="2790">
        <f t="shared" ca="1" si="97"/>
        <v>0</v>
      </c>
      <c r="CP35" s="2790">
        <f t="shared" ca="1" si="97"/>
        <v>0</v>
      </c>
      <c r="CQ35" s="2790">
        <f t="shared" ca="1" si="97"/>
        <v>0</v>
      </c>
      <c r="CR35" s="2790">
        <f t="shared" ca="1" si="97"/>
        <v>0</v>
      </c>
      <c r="CS35" s="2790">
        <f t="shared" ca="1" si="97"/>
        <v>0</v>
      </c>
      <c r="CT35" s="2790">
        <f t="shared" ca="1" si="97"/>
        <v>0</v>
      </c>
      <c r="CU35" s="2790">
        <f t="shared" ca="1" si="97"/>
        <v>0</v>
      </c>
      <c r="CV35" s="2790">
        <f t="shared" ca="1" si="97"/>
        <v>0</v>
      </c>
      <c r="CW35" s="2790">
        <f t="shared" ca="1" si="97"/>
        <v>0</v>
      </c>
      <c r="CX35" s="2790">
        <f t="shared" ca="1" si="97"/>
        <v>0</v>
      </c>
      <c r="CY35" s="2790">
        <f t="shared" ca="1" si="97"/>
        <v>0</v>
      </c>
      <c r="CZ35" s="2790">
        <f t="shared" ca="1" si="97"/>
        <v>0</v>
      </c>
      <c r="DA35" s="2790">
        <f t="shared" ca="1" si="97"/>
        <v>0</v>
      </c>
      <c r="DB35" s="2790">
        <f t="shared" ca="1" si="97"/>
        <v>0</v>
      </c>
      <c r="DC35" s="2790">
        <f t="shared" ca="1" si="97"/>
        <v>0</v>
      </c>
      <c r="DD35" s="2790">
        <f t="shared" ca="1" si="97"/>
        <v>0</v>
      </c>
      <c r="DE35" s="2790">
        <f t="shared" ca="1" si="97"/>
        <v>0</v>
      </c>
      <c r="DF35" s="2790">
        <f t="shared" ca="1" si="97"/>
        <v>0</v>
      </c>
      <c r="DH35" s="596">
        <f t="shared" ca="1" si="33"/>
        <v>0</v>
      </c>
    </row>
    <row r="36" spans="1:112" s="6" customFormat="1" ht="12.75" customHeight="1" outlineLevel="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10"/>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3"/>
        <v>0</v>
      </c>
    </row>
    <row r="37" spans="1:112" s="6" customFormat="1" ht="12.75" customHeight="1" outlineLevel="1">
      <c r="A37" s="607"/>
      <c r="B37" s="607"/>
      <c r="C37" s="587" t="s">
        <v>494</v>
      </c>
      <c r="D37" s="611" t="s">
        <v>495</v>
      </c>
      <c r="E37" s="611"/>
      <c r="G37" s="619">
        <f t="shared" ref="G37:P37" ca="1" si="98">IFERROR(INDEX(INDIRECT($C37&amp;".Outputs["&amp;this.Year&amp;"]"), MATCH(G$5, INDIRECT($C37&amp;".Outputs[Vector]"), 0)), 0)</f>
        <v>0</v>
      </c>
      <c r="H37" s="619">
        <f t="shared" ca="1" si="98"/>
        <v>0</v>
      </c>
      <c r="I37" s="619">
        <f t="shared" ca="1" si="98"/>
        <v>0</v>
      </c>
      <c r="J37" s="619">
        <f t="shared" ca="1" si="98"/>
        <v>0</v>
      </c>
      <c r="K37" s="619">
        <f t="shared" ca="1" si="98"/>
        <v>0</v>
      </c>
      <c r="L37" s="619">
        <f t="shared" ca="1" si="98"/>
        <v>0</v>
      </c>
      <c r="M37" s="619">
        <f t="shared" ca="1" si="98"/>
        <v>0</v>
      </c>
      <c r="N37" s="619">
        <f t="shared" ca="1" si="98"/>
        <v>0</v>
      </c>
      <c r="O37" s="619">
        <f t="shared" ca="1" si="98"/>
        <v>0</v>
      </c>
      <c r="P37" s="619">
        <f t="shared" ca="1" si="98"/>
        <v>0</v>
      </c>
      <c r="Q37" s="612">
        <f ca="1">SUM(G37:P37)</f>
        <v>0</v>
      </c>
      <c r="S37" s="620">
        <f t="shared" ref="S37:AJ37" ca="1" si="99">IFERROR(INDEX(INDIRECT($C37&amp;".Outputs["&amp;this.Year&amp;"]"), MATCH(S$5, INDIRECT($C37&amp;".Outputs[Vector]"), 0)), 0)</f>
        <v>0</v>
      </c>
      <c r="T37" s="620">
        <f t="shared" ca="1" si="99"/>
        <v>0</v>
      </c>
      <c r="U37" s="620">
        <f t="shared" ca="1" si="99"/>
        <v>0</v>
      </c>
      <c r="V37" s="620">
        <f t="shared" ca="1" si="99"/>
        <v>0</v>
      </c>
      <c r="W37" s="620">
        <f t="shared" ca="1" si="99"/>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9"/>
        <v>0</v>
      </c>
      <c r="AB37" s="620">
        <f t="shared" ca="1" si="99"/>
        <v>0</v>
      </c>
      <c r="AC37" s="620">
        <f t="shared" ca="1" si="99"/>
        <v>0</v>
      </c>
      <c r="AD37" s="620">
        <f t="shared" ca="1" si="99"/>
        <v>0</v>
      </c>
      <c r="AE37" s="620">
        <f t="shared" ca="1" si="99"/>
        <v>0</v>
      </c>
      <c r="AF37" s="620">
        <f t="shared" ca="1" si="99"/>
        <v>0</v>
      </c>
      <c r="AG37" s="620">
        <f t="shared" ca="1" si="99"/>
        <v>0</v>
      </c>
      <c r="AH37" s="620">
        <f t="shared" ca="1" si="99"/>
        <v>0</v>
      </c>
      <c r="AI37" s="620">
        <f t="shared" ca="1" si="99"/>
        <v>0</v>
      </c>
      <c r="AJ37" s="620">
        <f t="shared" ca="1" si="99"/>
        <v>0</v>
      </c>
      <c r="AK37" s="613">
        <f ca="1">SUM(S37:AJ37)</f>
        <v>0</v>
      </c>
      <c r="AM37" s="621">
        <f t="shared" ref="AM37:AU37" ca="1" si="100">IFERROR(INDEX(INDIRECT($C37&amp;".Outputs["&amp;this.Year&amp;"]"), MATCH(AM$5, INDIRECT($C37&amp;".Outputs[Vector]"), 0)), 0)</f>
        <v>0</v>
      </c>
      <c r="AN37" s="621">
        <f t="shared" ca="1" si="100"/>
        <v>0</v>
      </c>
      <c r="AO37" s="621">
        <f t="shared" ca="1" si="100"/>
        <v>0</v>
      </c>
      <c r="AP37" s="621">
        <f t="shared" ca="1" si="100"/>
        <v>0</v>
      </c>
      <c r="AQ37" s="621">
        <f t="shared" ca="1" si="100"/>
        <v>0</v>
      </c>
      <c r="AR37" s="621">
        <f t="shared" ca="1" si="100"/>
        <v>0</v>
      </c>
      <c r="AS37" s="621">
        <f t="shared" ca="1" si="100"/>
        <v>0</v>
      </c>
      <c r="AT37" s="621">
        <f t="shared" ca="1" si="100"/>
        <v>0</v>
      </c>
      <c r="AU37" s="621">
        <f t="shared" ca="1" si="100"/>
        <v>0</v>
      </c>
      <c r="AV37" s="621">
        <f t="shared" ref="AV37:BE37" ca="1" si="101">IFERROR(INDEX(INDIRECT($C37&amp;".Outputs["&amp;this.Year&amp;"]"), MATCH(AV$5, INDIRECT($C37&amp;".Outputs[Vector]"), 0)), 0)</f>
        <v>0</v>
      </c>
      <c r="AW37" s="621">
        <f t="shared" ca="1" si="101"/>
        <v>0</v>
      </c>
      <c r="AX37" s="621">
        <f t="shared" ca="1" si="101"/>
        <v>0</v>
      </c>
      <c r="AY37" s="621">
        <f t="shared" ca="1" si="101"/>
        <v>0</v>
      </c>
      <c r="AZ37" s="621">
        <f t="shared" ca="1" si="101"/>
        <v>0</v>
      </c>
      <c r="BA37" s="621">
        <f t="shared" ca="1" si="101"/>
        <v>0</v>
      </c>
      <c r="BB37" s="621">
        <f t="shared" ca="1" si="101"/>
        <v>0</v>
      </c>
      <c r="BC37" s="621">
        <f t="shared" ca="1" si="101"/>
        <v>0</v>
      </c>
      <c r="BD37" s="621">
        <f t="shared" ca="1" si="101"/>
        <v>0</v>
      </c>
      <c r="BE37" s="621">
        <f t="shared" ca="1" si="101"/>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10"/>
        <v>0</v>
      </c>
      <c r="BM37" s="610"/>
      <c r="BN37" s="413"/>
      <c r="BO37" s="2791">
        <f t="shared" ref="BO37:DF37" ca="1" si="102">IFERROR(SUMIFS(INDIRECT($C37&amp;".Emissions["&amp;this.Year&amp;"]"), INDIRECT($C37&amp;".Emissions[GHG]"), BO$6, INDIRECT($C37&amp;".Emissions[IPCC Sector]"), BO$5),0)</f>
        <v>0</v>
      </c>
      <c r="BP37" s="2792">
        <f t="shared" ca="1" si="102"/>
        <v>0</v>
      </c>
      <c r="BQ37" s="2792">
        <f t="shared" ca="1" si="102"/>
        <v>0</v>
      </c>
      <c r="BR37" s="2792">
        <f t="shared" ca="1" si="102"/>
        <v>0</v>
      </c>
      <c r="BS37" s="2792">
        <f t="shared" ca="1" si="102"/>
        <v>0</v>
      </c>
      <c r="BT37" s="2792">
        <f t="shared" ca="1" si="102"/>
        <v>0</v>
      </c>
      <c r="BU37" s="2792">
        <f t="shared" ca="1" si="102"/>
        <v>0</v>
      </c>
      <c r="BV37" s="2792">
        <f t="shared" ca="1" si="102"/>
        <v>0</v>
      </c>
      <c r="BW37" s="2792">
        <f t="shared" ca="1" si="102"/>
        <v>0</v>
      </c>
      <c r="BX37" s="2792">
        <f t="shared" ca="1" si="102"/>
        <v>0</v>
      </c>
      <c r="BY37" s="2792">
        <f t="shared" ca="1" si="102"/>
        <v>0</v>
      </c>
      <c r="BZ37" s="2792">
        <f t="shared" ca="1" si="102"/>
        <v>0</v>
      </c>
      <c r="CA37" s="2792">
        <f t="shared" ca="1" si="102"/>
        <v>0</v>
      </c>
      <c r="CB37" s="2792">
        <f t="shared" ca="1" si="102"/>
        <v>0</v>
      </c>
      <c r="CC37" s="2792">
        <f t="shared" ca="1" si="102"/>
        <v>0</v>
      </c>
      <c r="CD37" s="2792">
        <f t="shared" ca="1" si="102"/>
        <v>0</v>
      </c>
      <c r="CE37" s="2792">
        <f t="shared" ca="1" si="102"/>
        <v>0</v>
      </c>
      <c r="CF37" s="2792">
        <f t="shared" ca="1" si="102"/>
        <v>0</v>
      </c>
      <c r="CG37" s="2792">
        <f t="shared" ca="1" si="102"/>
        <v>0</v>
      </c>
      <c r="CH37" s="2792">
        <f t="shared" ca="1" si="102"/>
        <v>0</v>
      </c>
      <c r="CI37" s="2792">
        <f t="shared" ca="1" si="102"/>
        <v>0</v>
      </c>
      <c r="CJ37" s="2792">
        <f t="shared" ca="1" si="102"/>
        <v>0</v>
      </c>
      <c r="CK37" s="2792">
        <f t="shared" ca="1" si="102"/>
        <v>0</v>
      </c>
      <c r="CL37" s="2792">
        <f t="shared" ca="1" si="102"/>
        <v>0</v>
      </c>
      <c r="CM37" s="2792">
        <f t="shared" ca="1" si="102"/>
        <v>0</v>
      </c>
      <c r="CN37" s="2792">
        <f t="shared" ca="1" si="102"/>
        <v>0</v>
      </c>
      <c r="CO37" s="2792">
        <f t="shared" ca="1" si="102"/>
        <v>0</v>
      </c>
      <c r="CP37" s="2792">
        <f t="shared" ca="1" si="102"/>
        <v>0</v>
      </c>
      <c r="CQ37" s="2792">
        <f t="shared" ca="1" si="102"/>
        <v>0</v>
      </c>
      <c r="CR37" s="2792">
        <f t="shared" ca="1" si="102"/>
        <v>0</v>
      </c>
      <c r="CS37" s="2792">
        <f t="shared" ca="1" si="102"/>
        <v>0</v>
      </c>
      <c r="CT37" s="2792">
        <f t="shared" ca="1" si="102"/>
        <v>0</v>
      </c>
      <c r="CU37" s="2792">
        <f t="shared" ca="1" si="102"/>
        <v>0</v>
      </c>
      <c r="CV37" s="2792">
        <f t="shared" ca="1" si="102"/>
        <v>0</v>
      </c>
      <c r="CW37" s="2792">
        <f t="shared" ca="1" si="102"/>
        <v>0</v>
      </c>
      <c r="CX37" s="2792">
        <f t="shared" ca="1" si="102"/>
        <v>0</v>
      </c>
      <c r="CY37" s="2792">
        <f t="shared" ca="1" si="102"/>
        <v>0</v>
      </c>
      <c r="CZ37" s="2792">
        <f t="shared" ca="1" si="102"/>
        <v>0</v>
      </c>
      <c r="DA37" s="2792">
        <f t="shared" ca="1" si="102"/>
        <v>0</v>
      </c>
      <c r="DB37" s="2792">
        <f t="shared" ca="1" si="102"/>
        <v>0</v>
      </c>
      <c r="DC37" s="2792">
        <f t="shared" ca="1" si="102"/>
        <v>0</v>
      </c>
      <c r="DD37" s="2792">
        <f t="shared" ca="1" si="102"/>
        <v>0</v>
      </c>
      <c r="DE37" s="2792">
        <f t="shared" ca="1" si="102"/>
        <v>0</v>
      </c>
      <c r="DF37" s="2792">
        <f t="shared" ca="1" si="102"/>
        <v>0</v>
      </c>
      <c r="DH37" s="596">
        <f t="shared" ca="1" si="33"/>
        <v>0</v>
      </c>
    </row>
    <row r="38" spans="1:112" s="6" customFormat="1" ht="15.75">
      <c r="A38" s="4"/>
      <c r="B38" s="3"/>
      <c r="C38" s="616" t="s">
        <v>496</v>
      </c>
      <c r="D38" s="617" t="s">
        <v>495</v>
      </c>
      <c r="E38" s="206"/>
      <c r="G38" s="618">
        <f t="shared" ref="G38:P38" ca="1" si="103">G37</f>
        <v>0</v>
      </c>
      <c r="H38" s="618">
        <f t="shared" ca="1" si="103"/>
        <v>0</v>
      </c>
      <c r="I38" s="618">
        <f t="shared" ca="1" si="103"/>
        <v>0</v>
      </c>
      <c r="J38" s="618">
        <f t="shared" ca="1" si="103"/>
        <v>0</v>
      </c>
      <c r="K38" s="618">
        <f t="shared" ca="1" si="103"/>
        <v>0</v>
      </c>
      <c r="L38" s="618">
        <f t="shared" ca="1" si="103"/>
        <v>0</v>
      </c>
      <c r="M38" s="618">
        <f t="shared" ca="1" si="103"/>
        <v>0</v>
      </c>
      <c r="N38" s="618">
        <f t="shared" ca="1" si="103"/>
        <v>0</v>
      </c>
      <c r="O38" s="618">
        <f t="shared" ca="1" si="103"/>
        <v>0</v>
      </c>
      <c r="P38" s="618">
        <f t="shared" ca="1" si="103"/>
        <v>0</v>
      </c>
      <c r="Q38" s="618">
        <f ca="1">SUM(G38:P38)</f>
        <v>0</v>
      </c>
      <c r="S38" s="581">
        <f t="shared" ref="S38:AJ38" ca="1" si="104">S37</f>
        <v>0</v>
      </c>
      <c r="T38" s="581">
        <f t="shared" ca="1" si="104"/>
        <v>0</v>
      </c>
      <c r="U38" s="581">
        <f t="shared" ca="1" si="104"/>
        <v>0</v>
      </c>
      <c r="V38" s="581">
        <f t="shared" ca="1" si="104"/>
        <v>0</v>
      </c>
      <c r="W38" s="581">
        <f t="shared" ca="1" si="104"/>
        <v>0</v>
      </c>
      <c r="X38" s="581">
        <f ca="1">X37</f>
        <v>0</v>
      </c>
      <c r="Y38" s="581">
        <f ca="1">Y37</f>
        <v>0</v>
      </c>
      <c r="Z38" s="581">
        <f ca="1">Z37</f>
        <v>0</v>
      </c>
      <c r="AA38" s="581">
        <f t="shared" ca="1" si="104"/>
        <v>0</v>
      </c>
      <c r="AB38" s="581">
        <f t="shared" ca="1" si="104"/>
        <v>0</v>
      </c>
      <c r="AC38" s="581">
        <f t="shared" ca="1" si="104"/>
        <v>0</v>
      </c>
      <c r="AD38" s="581">
        <f ca="1">AD37</f>
        <v>0</v>
      </c>
      <c r="AE38" s="581">
        <f ca="1">AE37</f>
        <v>0</v>
      </c>
      <c r="AF38" s="581">
        <f t="shared" ca="1" si="104"/>
        <v>0</v>
      </c>
      <c r="AG38" s="581">
        <f ca="1">AG37</f>
        <v>0</v>
      </c>
      <c r="AH38" s="581">
        <f ca="1">AH37</f>
        <v>0</v>
      </c>
      <c r="AI38" s="581">
        <f ca="1">AI37</f>
        <v>0</v>
      </c>
      <c r="AJ38" s="581">
        <f t="shared" ca="1" si="104"/>
        <v>0</v>
      </c>
      <c r="AK38" s="581">
        <f ca="1">SUM(S38:AJ38)</f>
        <v>0</v>
      </c>
      <c r="AM38" s="582">
        <f t="shared" ref="AM38:BE38" ca="1" si="105">AM37</f>
        <v>0</v>
      </c>
      <c r="AN38" s="582">
        <f t="shared" ca="1" si="105"/>
        <v>0</v>
      </c>
      <c r="AO38" s="582">
        <f t="shared" ca="1" si="105"/>
        <v>0</v>
      </c>
      <c r="AP38" s="582">
        <f t="shared" ca="1" si="105"/>
        <v>0</v>
      </c>
      <c r="AQ38" s="582">
        <f t="shared" ca="1" si="105"/>
        <v>0</v>
      </c>
      <c r="AR38" s="582">
        <f t="shared" ca="1" si="105"/>
        <v>0</v>
      </c>
      <c r="AS38" s="582">
        <f t="shared" ca="1" si="105"/>
        <v>0</v>
      </c>
      <c r="AT38" s="582">
        <f t="shared" ca="1" si="105"/>
        <v>0</v>
      </c>
      <c r="AU38" s="582">
        <f t="shared" ca="1" si="105"/>
        <v>0</v>
      </c>
      <c r="AV38" s="582">
        <f t="shared" ca="1" si="105"/>
        <v>0</v>
      </c>
      <c r="AW38" s="582">
        <f t="shared" ca="1" si="105"/>
        <v>0</v>
      </c>
      <c r="AX38" s="582">
        <f t="shared" ca="1" si="105"/>
        <v>0</v>
      </c>
      <c r="AY38" s="582">
        <f t="shared" ca="1" si="105"/>
        <v>0</v>
      </c>
      <c r="AZ38" s="582">
        <f t="shared" ca="1" si="105"/>
        <v>0</v>
      </c>
      <c r="BA38" s="582">
        <f t="shared" ca="1" si="105"/>
        <v>0</v>
      </c>
      <c r="BB38" s="582">
        <f t="shared" ca="1" si="105"/>
        <v>0</v>
      </c>
      <c r="BC38" s="582">
        <f t="shared" ca="1" si="105"/>
        <v>0</v>
      </c>
      <c r="BD38" s="582">
        <f ca="1">BD37</f>
        <v>0</v>
      </c>
      <c r="BE38" s="582">
        <f t="shared" ca="1" si="105"/>
        <v>0</v>
      </c>
      <c r="BF38" s="582">
        <f ca="1">SUM(AM38:BE38)</f>
        <v>0</v>
      </c>
      <c r="BH38" s="3463">
        <f ca="1">BH37</f>
        <v>0</v>
      </c>
      <c r="BI38" s="3463">
        <f ca="1">BI37</f>
        <v>0</v>
      </c>
      <c r="BJ38" s="3463">
        <f ca="1">SUM(BH38:BI38)</f>
        <v>0</v>
      </c>
      <c r="BL38" s="3477">
        <f t="shared" ca="1" si="10"/>
        <v>0</v>
      </c>
      <c r="BM38" s="584"/>
      <c r="BN38" s="413"/>
      <c r="BO38" s="2790">
        <f t="shared" ref="BO38:DF38" ca="1" si="106">BO37</f>
        <v>0</v>
      </c>
      <c r="BP38" s="2790">
        <f t="shared" ca="1" si="106"/>
        <v>0</v>
      </c>
      <c r="BQ38" s="2790">
        <f t="shared" ca="1" si="106"/>
        <v>0</v>
      </c>
      <c r="BR38" s="2790">
        <f t="shared" ca="1" si="106"/>
        <v>0</v>
      </c>
      <c r="BS38" s="2790">
        <f t="shared" ca="1" si="106"/>
        <v>0</v>
      </c>
      <c r="BT38" s="2790">
        <f t="shared" ca="1" si="106"/>
        <v>0</v>
      </c>
      <c r="BU38" s="2790">
        <f t="shared" ca="1" si="106"/>
        <v>0</v>
      </c>
      <c r="BV38" s="2790">
        <f t="shared" ca="1" si="106"/>
        <v>0</v>
      </c>
      <c r="BW38" s="2790">
        <f t="shared" ca="1" si="106"/>
        <v>0</v>
      </c>
      <c r="BX38" s="2790">
        <f t="shared" ca="1" si="106"/>
        <v>0</v>
      </c>
      <c r="BY38" s="2790">
        <f t="shared" ca="1" si="106"/>
        <v>0</v>
      </c>
      <c r="BZ38" s="2790">
        <f t="shared" ca="1" si="106"/>
        <v>0</v>
      </c>
      <c r="CA38" s="2790">
        <f t="shared" ca="1" si="106"/>
        <v>0</v>
      </c>
      <c r="CB38" s="2790">
        <f t="shared" ca="1" si="106"/>
        <v>0</v>
      </c>
      <c r="CC38" s="2790">
        <f t="shared" ca="1" si="106"/>
        <v>0</v>
      </c>
      <c r="CD38" s="2790">
        <f t="shared" ca="1" si="106"/>
        <v>0</v>
      </c>
      <c r="CE38" s="2790">
        <f t="shared" ca="1" si="106"/>
        <v>0</v>
      </c>
      <c r="CF38" s="2790">
        <f t="shared" ca="1" si="106"/>
        <v>0</v>
      </c>
      <c r="CG38" s="2790">
        <f t="shared" ca="1" si="106"/>
        <v>0</v>
      </c>
      <c r="CH38" s="2790">
        <f t="shared" ca="1" si="106"/>
        <v>0</v>
      </c>
      <c r="CI38" s="2790">
        <f t="shared" ca="1" si="106"/>
        <v>0</v>
      </c>
      <c r="CJ38" s="2790">
        <f t="shared" ca="1" si="106"/>
        <v>0</v>
      </c>
      <c r="CK38" s="2790">
        <f t="shared" ca="1" si="106"/>
        <v>0</v>
      </c>
      <c r="CL38" s="2790">
        <f t="shared" ca="1" si="106"/>
        <v>0</v>
      </c>
      <c r="CM38" s="2790">
        <f t="shared" ca="1" si="106"/>
        <v>0</v>
      </c>
      <c r="CN38" s="2790">
        <f t="shared" ca="1" si="106"/>
        <v>0</v>
      </c>
      <c r="CO38" s="2790">
        <f t="shared" ca="1" si="106"/>
        <v>0</v>
      </c>
      <c r="CP38" s="2790">
        <f t="shared" ca="1" si="106"/>
        <v>0</v>
      </c>
      <c r="CQ38" s="2790">
        <f t="shared" ca="1" si="106"/>
        <v>0</v>
      </c>
      <c r="CR38" s="2790">
        <f t="shared" ca="1" si="106"/>
        <v>0</v>
      </c>
      <c r="CS38" s="2790">
        <f t="shared" ca="1" si="106"/>
        <v>0</v>
      </c>
      <c r="CT38" s="2790">
        <f t="shared" ca="1" si="106"/>
        <v>0</v>
      </c>
      <c r="CU38" s="2790">
        <f t="shared" ca="1" si="106"/>
        <v>0</v>
      </c>
      <c r="CV38" s="2790">
        <f t="shared" ca="1" si="106"/>
        <v>0</v>
      </c>
      <c r="CW38" s="2790">
        <f t="shared" ca="1" si="106"/>
        <v>0</v>
      </c>
      <c r="CX38" s="2790">
        <f t="shared" ca="1" si="106"/>
        <v>0</v>
      </c>
      <c r="CY38" s="2790">
        <f t="shared" ca="1" si="106"/>
        <v>0</v>
      </c>
      <c r="CZ38" s="2790">
        <f t="shared" ca="1" si="106"/>
        <v>0</v>
      </c>
      <c r="DA38" s="2790">
        <f t="shared" ca="1" si="106"/>
        <v>0</v>
      </c>
      <c r="DB38" s="2790">
        <f t="shared" ca="1" si="106"/>
        <v>0</v>
      </c>
      <c r="DC38" s="2790">
        <f t="shared" ca="1" si="106"/>
        <v>0</v>
      </c>
      <c r="DD38" s="2790">
        <f t="shared" ca="1" si="106"/>
        <v>0</v>
      </c>
      <c r="DE38" s="2790">
        <f t="shared" ca="1" si="106"/>
        <v>0</v>
      </c>
      <c r="DF38" s="2790">
        <f t="shared" ca="1" si="106"/>
        <v>0</v>
      </c>
      <c r="DH38" s="596">
        <f t="shared" ca="1" si="33"/>
        <v>0</v>
      </c>
    </row>
    <row r="39" spans="1:112" s="6" customFormat="1" ht="6" customHeigh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10"/>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7">G$15+G$19+G$22+G$32+G$35+G$38</f>
        <v>40.107798280097512</v>
      </c>
      <c r="H40" s="633">
        <f t="shared" ca="1" si="107"/>
        <v>11.423785772551106</v>
      </c>
      <c r="I40" s="633">
        <f t="shared" ca="1" si="107"/>
        <v>30.570671525127587</v>
      </c>
      <c r="J40" s="633">
        <f t="shared" ca="1" si="107"/>
        <v>33.083990769818584</v>
      </c>
      <c r="K40" s="633">
        <f t="shared" ca="1" si="107"/>
        <v>0.36938892884152924</v>
      </c>
      <c r="L40" s="633">
        <f t="shared" ca="1" si="107"/>
        <v>2.5228818186920948E-2</v>
      </c>
      <c r="M40" s="633">
        <f t="shared" ca="1" si="107"/>
        <v>0.66</v>
      </c>
      <c r="N40" s="633">
        <f t="shared" ca="1" si="107"/>
        <v>10.195826064607054</v>
      </c>
      <c r="O40" s="633">
        <f t="shared" ca="1" si="107"/>
        <v>0</v>
      </c>
      <c r="P40" s="633">
        <f t="shared" ca="1" si="107"/>
        <v>0</v>
      </c>
      <c r="Q40" s="633">
        <f t="shared" ca="1" si="107"/>
        <v>126.4366901592303</v>
      </c>
      <c r="S40" s="634">
        <f t="shared" ref="S40:AJ40" ca="1" si="108">S$15+S$19+S$22+S$32+S$35+S$38</f>
        <v>-26.38214859615136</v>
      </c>
      <c r="T40" s="634">
        <f t="shared" ca="1" si="108"/>
        <v>8.175535714285715</v>
      </c>
      <c r="U40" s="634">
        <f t="shared" ca="1" si="108"/>
        <v>-3.8513944528640263</v>
      </c>
      <c r="V40" s="634">
        <f t="shared" ca="1" si="108"/>
        <v>-55.445026659383061</v>
      </c>
      <c r="W40" s="634">
        <f t="shared" ca="1" si="108"/>
        <v>-46.541425281127147</v>
      </c>
      <c r="X40" s="634">
        <f ca="1">X$15+X$19+X$22+X$32+X$35+X$38</f>
        <v>0</v>
      </c>
      <c r="Y40" s="634">
        <f ca="1">Y$15+Y$19+Y$22+Y$32+Y$35+Y$38</f>
        <v>0</v>
      </c>
      <c r="Z40" s="634">
        <f ca="1">Z$15+Z$19+Z$22+Z$32+Z$35+Z$38</f>
        <v>0</v>
      </c>
      <c r="AA40" s="634">
        <f t="shared" ca="1" si="108"/>
        <v>0</v>
      </c>
      <c r="AB40" s="634">
        <f t="shared" ca="1" si="108"/>
        <v>0</v>
      </c>
      <c r="AC40" s="634">
        <f t="shared" ca="1" si="108"/>
        <v>0</v>
      </c>
      <c r="AD40" s="634">
        <f t="shared" ca="1" si="108"/>
        <v>0</v>
      </c>
      <c r="AE40" s="634">
        <f t="shared" ca="1" si="108"/>
        <v>0</v>
      </c>
      <c r="AF40" s="634">
        <f t="shared" ca="1" si="108"/>
        <v>0</v>
      </c>
      <c r="AG40" s="634">
        <f t="shared" ca="1" si="108"/>
        <v>0</v>
      </c>
      <c r="AH40" s="634">
        <f t="shared" ca="1" si="108"/>
        <v>0</v>
      </c>
      <c r="AI40" s="634">
        <f t="shared" ca="1" si="108"/>
        <v>-2.3046831432863932</v>
      </c>
      <c r="AJ40" s="634">
        <f t="shared" ca="1" si="108"/>
        <v>-2.1173596359821727E-2</v>
      </c>
      <c r="AK40" s="634">
        <f ca="1">SUM(S40:AJ40)</f>
        <v>-126.3703160148861</v>
      </c>
      <c r="AM40" s="635">
        <f t="shared" ref="AM40:BE40" ca="1" si="109">AM$15+AM$19+AM$22+AM$32+AM$35+AM$38</f>
        <v>0</v>
      </c>
      <c r="AN40" s="635">
        <f t="shared" ca="1" si="109"/>
        <v>0</v>
      </c>
      <c r="AO40" s="635">
        <f t="shared" ca="1" si="109"/>
        <v>0</v>
      </c>
      <c r="AP40" s="635">
        <f t="shared" ca="1" si="109"/>
        <v>0</v>
      </c>
      <c r="AQ40" s="635">
        <f t="shared" ca="1" si="109"/>
        <v>0</v>
      </c>
      <c r="AR40" s="635">
        <f t="shared" ca="1" si="109"/>
        <v>0</v>
      </c>
      <c r="AS40" s="635">
        <f t="shared" ca="1" si="109"/>
        <v>0</v>
      </c>
      <c r="AT40" s="635">
        <f t="shared" ca="1" si="109"/>
        <v>0</v>
      </c>
      <c r="AU40" s="635">
        <f t="shared" ca="1" si="109"/>
        <v>0</v>
      </c>
      <c r="AV40" s="635">
        <f t="shared" ca="1" si="109"/>
        <v>0</v>
      </c>
      <c r="AW40" s="635">
        <f t="shared" ca="1" si="109"/>
        <v>0</v>
      </c>
      <c r="AX40" s="635">
        <f t="shared" ca="1" si="109"/>
        <v>0</v>
      </c>
      <c r="AY40" s="635">
        <f t="shared" ca="1" si="109"/>
        <v>0</v>
      </c>
      <c r="AZ40" s="635">
        <f t="shared" ca="1" si="109"/>
        <v>0</v>
      </c>
      <c r="BA40" s="635">
        <f t="shared" ca="1" si="109"/>
        <v>0</v>
      </c>
      <c r="BB40" s="635">
        <f t="shared" ca="1" si="109"/>
        <v>0</v>
      </c>
      <c r="BC40" s="635">
        <f t="shared" ca="1" si="109"/>
        <v>-6.6374144344193087E-2</v>
      </c>
      <c r="BD40" s="635">
        <f t="shared" ca="1" si="109"/>
        <v>0</v>
      </c>
      <c r="BE40" s="635">
        <f t="shared" ca="1" si="109"/>
        <v>0</v>
      </c>
      <c r="BF40" s="635">
        <f ca="1">SUM(AM40:BE40)</f>
        <v>-6.6374144344193087E-2</v>
      </c>
      <c r="BH40" s="3464">
        <f ca="1">BH$15+BH$19+BH$22+BH$32+BH$35+BH$38</f>
        <v>0</v>
      </c>
      <c r="BI40" s="3464">
        <f ca="1">BI$15+BI$19+BI$22+BI$32+BI$35+BI$38</f>
        <v>0</v>
      </c>
      <c r="BJ40" s="3464">
        <f ca="1">SUM(BH40:BI40)</f>
        <v>0</v>
      </c>
      <c r="BL40" s="3478">
        <f t="shared" ca="1" si="10"/>
        <v>1.8873791418627661E-15</v>
      </c>
      <c r="BM40" s="636"/>
      <c r="BO40" s="2793">
        <f t="shared" ref="BO40:DF40" ca="1" si="110">BO$15+BO$19+BO$22+BO$32+BO$35+BO$38</f>
        <v>22.768692524734817</v>
      </c>
      <c r="BP40" s="2793">
        <f t="shared" ca="1" si="110"/>
        <v>1.3984866240593974E-2</v>
      </c>
      <c r="BQ40" s="2793">
        <f t="shared" ca="1" si="110"/>
        <v>0.18307461160280006</v>
      </c>
      <c r="BR40" s="2793">
        <f t="shared" ca="1" si="110"/>
        <v>0</v>
      </c>
      <c r="BS40" s="2793">
        <f t="shared" ca="1" si="110"/>
        <v>0</v>
      </c>
      <c r="BT40" s="2793">
        <f t="shared" ca="1" si="110"/>
        <v>0</v>
      </c>
      <c r="BU40" s="2793">
        <f t="shared" ca="1" si="110"/>
        <v>0</v>
      </c>
      <c r="BV40" s="2793">
        <f t="shared" ca="1" si="110"/>
        <v>0</v>
      </c>
      <c r="BW40" s="2793">
        <f t="shared" ca="1" si="110"/>
        <v>0.70168052689576832</v>
      </c>
      <c r="BX40" s="2793">
        <f t="shared" ca="1" si="110"/>
        <v>0</v>
      </c>
      <c r="BY40" s="2793">
        <f t="shared" ca="1" si="110"/>
        <v>0</v>
      </c>
      <c r="BZ40" s="2793">
        <f t="shared" ca="1" si="110"/>
        <v>0.65537525174047484</v>
      </c>
      <c r="CA40" s="2793">
        <f t="shared" ca="1" si="110"/>
        <v>0</v>
      </c>
      <c r="CB40" s="2793">
        <f t="shared" ca="1" si="110"/>
        <v>0</v>
      </c>
      <c r="CC40" s="2793">
        <f t="shared" ca="1" si="110"/>
        <v>0</v>
      </c>
      <c r="CD40" s="2793">
        <f t="shared" ca="1" si="110"/>
        <v>0</v>
      </c>
      <c r="CE40" s="2793">
        <f t="shared" ca="1" si="110"/>
        <v>0</v>
      </c>
      <c r="CF40" s="2793">
        <f t="shared" ca="1" si="110"/>
        <v>0</v>
      </c>
      <c r="CG40" s="2793">
        <f t="shared" ca="1" si="110"/>
        <v>0</v>
      </c>
      <c r="CH40" s="2793">
        <f t="shared" ca="1" si="110"/>
        <v>0</v>
      </c>
      <c r="CI40" s="2793">
        <f t="shared" ca="1" si="110"/>
        <v>0</v>
      </c>
      <c r="CJ40" s="2793">
        <f t="shared" ca="1" si="110"/>
        <v>0</v>
      </c>
      <c r="CK40" s="2793">
        <f t="shared" ca="1" si="110"/>
        <v>0</v>
      </c>
      <c r="CL40" s="2793">
        <f t="shared" ca="1" si="110"/>
        <v>0</v>
      </c>
      <c r="CM40" s="2793">
        <f t="shared" ca="1" si="110"/>
        <v>0</v>
      </c>
      <c r="CN40" s="2793">
        <f t="shared" ca="1" si="110"/>
        <v>0</v>
      </c>
      <c r="CO40" s="2793">
        <f t="shared" ca="1" si="110"/>
        <v>0</v>
      </c>
      <c r="CP40" s="2793">
        <f t="shared" ca="1" si="110"/>
        <v>0</v>
      </c>
      <c r="CQ40" s="2793">
        <f t="shared" ca="1" si="110"/>
        <v>0</v>
      </c>
      <c r="CR40" s="2793">
        <f t="shared" ca="1" si="110"/>
        <v>0</v>
      </c>
      <c r="CS40" s="2793">
        <f t="shared" ca="1" si="110"/>
        <v>0</v>
      </c>
      <c r="CT40" s="2793">
        <f t="shared" ca="1" si="110"/>
        <v>0</v>
      </c>
      <c r="CU40" s="2793">
        <f t="shared" ca="1" si="110"/>
        <v>2.690474581928509</v>
      </c>
      <c r="CV40" s="2793">
        <f t="shared" ca="1" si="110"/>
        <v>2.31241335145288E-3</v>
      </c>
      <c r="CW40" s="2793">
        <f t="shared" ca="1" si="110"/>
        <v>6.8271251328608836E-3</v>
      </c>
      <c r="CX40" s="2793">
        <f t="shared" ca="1" si="110"/>
        <v>0</v>
      </c>
      <c r="CY40" s="2793">
        <f t="shared" ca="1" si="110"/>
        <v>0</v>
      </c>
      <c r="CZ40" s="2793">
        <f t="shared" ca="1" si="110"/>
        <v>0</v>
      </c>
      <c r="DA40" s="2793">
        <f t="shared" ca="1" si="110"/>
        <v>0</v>
      </c>
      <c r="DB40" s="2793">
        <f t="shared" ca="1" si="110"/>
        <v>0</v>
      </c>
      <c r="DC40" s="2793">
        <f t="shared" ca="1" si="110"/>
        <v>0</v>
      </c>
      <c r="DD40" s="2793">
        <f t="shared" ca="1" si="110"/>
        <v>0</v>
      </c>
      <c r="DE40" s="2793">
        <f t="shared" ca="1" si="110"/>
        <v>0</v>
      </c>
      <c r="DF40" s="2793">
        <f t="shared" ca="1" si="110"/>
        <v>0</v>
      </c>
      <c r="DH40" s="637">
        <f ca="1">SUM(BO40:DF40)</f>
        <v>27.022421901627279</v>
      </c>
    </row>
    <row r="41" spans="1:112" s="6" customFormat="1" ht="6" customHeigh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10"/>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24" customHeight="1">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10"/>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ht="12.75" customHeight="1" outlineLevel="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10"/>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ht="12.75" customHeight="1" outlineLevel="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-2.1173596359821727E-2</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10"/>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ht="12.75" customHeight="1" outlineLevel="1">
      <c r="A45" s="4"/>
      <c r="B45" s="4"/>
      <c r="C45" s="587" t="s">
        <v>502</v>
      </c>
      <c r="D45" s="611" t="s">
        <v>503</v>
      </c>
      <c r="E45" s="650"/>
      <c r="G45" s="619">
        <f t="shared" ref="G45:P45" ca="1" si="111">IFERROR(INDEX(INDIRECT($C45&amp;".Outputs["&amp;this.Year&amp;"]"), MATCH(G$5, INDIRECT($C45&amp;".Outputs[Vector]"), 0)), 0)</f>
        <v>0</v>
      </c>
      <c r="H45" s="619">
        <f t="shared" ca="1" si="111"/>
        <v>0</v>
      </c>
      <c r="I45" s="619">
        <f t="shared" ca="1" si="111"/>
        <v>0</v>
      </c>
      <c r="J45" s="619">
        <f t="shared" ca="1" si="111"/>
        <v>0</v>
      </c>
      <c r="K45" s="619">
        <f t="shared" ca="1" si="111"/>
        <v>0</v>
      </c>
      <c r="L45" s="619">
        <f t="shared" ca="1" si="111"/>
        <v>0</v>
      </c>
      <c r="M45" s="619">
        <f t="shared" ca="1" si="111"/>
        <v>0</v>
      </c>
      <c r="N45" s="619">
        <f t="shared" ca="1" si="111"/>
        <v>0</v>
      </c>
      <c r="O45" s="619">
        <f t="shared" ca="1" si="111"/>
        <v>0</v>
      </c>
      <c r="P45" s="619">
        <f t="shared" ca="1" si="111"/>
        <v>0</v>
      </c>
      <c r="Q45" s="612">
        <f ca="1">SUM(G45:P45)</f>
        <v>0</v>
      </c>
      <c r="S45" s="620">
        <f t="shared" ref="S45:AJ45" ca="1" si="112">IFERROR(INDEX(INDIRECT($C45&amp;".Outputs["&amp;this.Year&amp;"]"), MATCH(S$5, INDIRECT($C45&amp;".Outputs[Vector]"), 0)), 0)</f>
        <v>-1.9443774880473393E-2</v>
      </c>
      <c r="T45" s="620">
        <f t="shared" ca="1" si="112"/>
        <v>0</v>
      </c>
      <c r="U45" s="620">
        <f t="shared" ca="1" si="112"/>
        <v>0</v>
      </c>
      <c r="V45" s="620">
        <f t="shared" ca="1" si="112"/>
        <v>0</v>
      </c>
      <c r="W45" s="620">
        <f t="shared" ca="1" si="112"/>
        <v>-9.7398543255179937E-3</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12"/>
        <v>0</v>
      </c>
      <c r="AB45" s="620">
        <f t="shared" ca="1" si="112"/>
        <v>0</v>
      </c>
      <c r="AC45" s="620">
        <f t="shared" ca="1" si="112"/>
        <v>0</v>
      </c>
      <c r="AD45" s="620">
        <f t="shared" ca="1" si="112"/>
        <v>0</v>
      </c>
      <c r="AE45" s="620">
        <f t="shared" ca="1" si="112"/>
        <v>0</v>
      </c>
      <c r="AF45" s="620">
        <f t="shared" ca="1" si="112"/>
        <v>0</v>
      </c>
      <c r="AG45" s="620">
        <f t="shared" ca="1" si="112"/>
        <v>0</v>
      </c>
      <c r="AH45" s="620">
        <f t="shared" ca="1" si="112"/>
        <v>0</v>
      </c>
      <c r="AI45" s="620">
        <f t="shared" ca="1" si="112"/>
        <v>0</v>
      </c>
      <c r="AJ45" s="620">
        <f t="shared" ca="1" si="112"/>
        <v>2.1173596359821727E-2</v>
      </c>
      <c r="AK45" s="613">
        <f ca="1">SUM(S45:AJ45)</f>
        <v>-8.0100328461696589E-3</v>
      </c>
      <c r="AM45" s="621">
        <f t="shared" ref="AM45:AU45" ca="1" si="113">IFERROR(INDEX(INDIRECT($C45&amp;".Outputs["&amp;this.Year&amp;"]"), MATCH(AM$5, INDIRECT($C45&amp;".Outputs[Vector]"), 0)), 0)</f>
        <v>0</v>
      </c>
      <c r="AN45" s="621">
        <f t="shared" ca="1" si="113"/>
        <v>0</v>
      </c>
      <c r="AO45" s="621">
        <f t="shared" ca="1" si="113"/>
        <v>0</v>
      </c>
      <c r="AP45" s="621">
        <f t="shared" ca="1" si="113"/>
        <v>0</v>
      </c>
      <c r="AQ45" s="621">
        <f t="shared" ca="1" si="113"/>
        <v>0</v>
      </c>
      <c r="AR45" s="621">
        <f t="shared" ca="1" si="113"/>
        <v>0</v>
      </c>
      <c r="AS45" s="621">
        <f t="shared" ca="1" si="113"/>
        <v>0</v>
      </c>
      <c r="AT45" s="621">
        <f t="shared" ca="1" si="113"/>
        <v>0</v>
      </c>
      <c r="AU45" s="621">
        <f t="shared" ca="1" si="113"/>
        <v>0</v>
      </c>
      <c r="AV45" s="621">
        <f t="shared" ref="AV45:BE45" ca="1" si="114">IFERROR(INDEX(INDIRECT($C45&amp;".Outputs["&amp;this.Year&amp;"]"), MATCH(AV$5, INDIRECT($C45&amp;".Outputs[Vector]"), 0)), 0)</f>
        <v>0</v>
      </c>
      <c r="AW45" s="621">
        <f t="shared" ca="1" si="114"/>
        <v>0</v>
      </c>
      <c r="AX45" s="621">
        <f t="shared" ca="1" si="114"/>
        <v>0</v>
      </c>
      <c r="AY45" s="621">
        <f t="shared" ca="1" si="114"/>
        <v>0</v>
      </c>
      <c r="AZ45" s="621">
        <f t="shared" ca="1" si="114"/>
        <v>0</v>
      </c>
      <c r="BA45" s="621">
        <f t="shared" ca="1" si="114"/>
        <v>0</v>
      </c>
      <c r="BB45" s="621">
        <f t="shared" ca="1" si="114"/>
        <v>0</v>
      </c>
      <c r="BC45" s="621">
        <f t="shared" ca="1" si="114"/>
        <v>0</v>
      </c>
      <c r="BD45" s="621">
        <f t="shared" ca="1" si="114"/>
        <v>0</v>
      </c>
      <c r="BE45" s="621">
        <f t="shared" ca="1" si="114"/>
        <v>0</v>
      </c>
      <c r="BF45" s="615">
        <f ca="1">SUM(AM45:BE45)</f>
        <v>0</v>
      </c>
      <c r="BH45" s="3473">
        <f ca="1">IFERROR(INDEX(INDIRECT($C45&amp;".Outputs["&amp;this.Year&amp;"]"), MATCH(BH$5, INDIRECT($C45&amp;".Outputs[Vector]"), 0)), 0)</f>
        <v>8.0100328461696589E-3</v>
      </c>
      <c r="BI45" s="3473">
        <f ca="1">IFERROR(INDEX(INDIRECT($C45&amp;".Outputs["&amp;this.Year&amp;"]"), MATCH(BI$5, INDIRECT($C45&amp;".Outputs[Vector]"), 0)), 0)</f>
        <v>0</v>
      </c>
      <c r="BJ45" s="3462">
        <f ca="1">SUM(BH45:BI45)</f>
        <v>8.0100328461696589E-3</v>
      </c>
      <c r="BL45" s="3477"/>
      <c r="BM45" s="584"/>
      <c r="BN45" s="413"/>
      <c r="BO45" s="2791">
        <f t="shared" ref="BO45:DF45" ca="1" si="115">IFERROR(SUMIFS(INDIRECT($C45&amp;".Emissions["&amp;this.Year&amp;"]"), INDIRECT($C45&amp;".Emissions[GHG]"), BO$6, INDIRECT($C45&amp;".Emissions[IPCC Sector]"), BO$5),0)</f>
        <v>1.9939546653452342E-3</v>
      </c>
      <c r="BP45" s="2792">
        <f t="shared" ca="1" si="115"/>
        <v>7.3633298700916041E-7</v>
      </c>
      <c r="BQ45" s="2792">
        <f t="shared" ca="1" si="115"/>
        <v>3.1522064539106434E-5</v>
      </c>
      <c r="BR45" s="2792">
        <f t="shared" ca="1" si="115"/>
        <v>0</v>
      </c>
      <c r="BS45" s="2792">
        <f t="shared" ca="1" si="115"/>
        <v>0</v>
      </c>
      <c r="BT45" s="2792">
        <f t="shared" ca="1" si="115"/>
        <v>0</v>
      </c>
      <c r="BU45" s="2792">
        <f t="shared" ca="1" si="115"/>
        <v>0</v>
      </c>
      <c r="BV45" s="2792">
        <f t="shared" ca="1" si="115"/>
        <v>0</v>
      </c>
      <c r="BW45" s="2792">
        <f t="shared" ca="1" si="115"/>
        <v>0</v>
      </c>
      <c r="BX45" s="2792">
        <f t="shared" ca="1" si="115"/>
        <v>0</v>
      </c>
      <c r="BY45" s="2792">
        <f t="shared" ca="1" si="115"/>
        <v>0</v>
      </c>
      <c r="BZ45" s="2792">
        <f t="shared" ca="1" si="115"/>
        <v>0</v>
      </c>
      <c r="CA45" s="2792">
        <f t="shared" ca="1" si="115"/>
        <v>0</v>
      </c>
      <c r="CB45" s="2792">
        <f t="shared" ca="1" si="115"/>
        <v>0</v>
      </c>
      <c r="CC45" s="2792">
        <f t="shared" ca="1" si="115"/>
        <v>0</v>
      </c>
      <c r="CD45" s="2792">
        <f t="shared" ca="1" si="115"/>
        <v>0</v>
      </c>
      <c r="CE45" s="2792">
        <f t="shared" ca="1" si="115"/>
        <v>0</v>
      </c>
      <c r="CF45" s="2792">
        <f t="shared" ca="1" si="115"/>
        <v>0</v>
      </c>
      <c r="CG45" s="2792">
        <f t="shared" ca="1" si="115"/>
        <v>0</v>
      </c>
      <c r="CH45" s="2792">
        <f t="shared" ca="1" si="115"/>
        <v>0</v>
      </c>
      <c r="CI45" s="2792">
        <f t="shared" ca="1" si="115"/>
        <v>0</v>
      </c>
      <c r="CJ45" s="2792">
        <f t="shared" ca="1" si="115"/>
        <v>0</v>
      </c>
      <c r="CK45" s="2792">
        <f t="shared" ca="1" si="115"/>
        <v>0</v>
      </c>
      <c r="CL45" s="2792">
        <f t="shared" ca="1" si="115"/>
        <v>0</v>
      </c>
      <c r="CM45" s="2792">
        <f t="shared" ca="1" si="115"/>
        <v>0</v>
      </c>
      <c r="CN45" s="2792">
        <f t="shared" ca="1" si="115"/>
        <v>0</v>
      </c>
      <c r="CO45" s="2792">
        <f t="shared" ca="1" si="115"/>
        <v>0</v>
      </c>
      <c r="CP45" s="2792">
        <f t="shared" ca="1" si="115"/>
        <v>0</v>
      </c>
      <c r="CQ45" s="2792">
        <f t="shared" ca="1" si="115"/>
        <v>0</v>
      </c>
      <c r="CR45" s="2792">
        <f t="shared" ca="1" si="115"/>
        <v>0</v>
      </c>
      <c r="CS45" s="2792">
        <f t="shared" ca="1" si="115"/>
        <v>0</v>
      </c>
      <c r="CT45" s="2792">
        <f t="shared" ca="1" si="115"/>
        <v>0</v>
      </c>
      <c r="CU45" s="2792">
        <f t="shared" ca="1" si="115"/>
        <v>0</v>
      </c>
      <c r="CV45" s="2792">
        <f t="shared" ca="1" si="115"/>
        <v>0</v>
      </c>
      <c r="CW45" s="2792">
        <f t="shared" ca="1" si="115"/>
        <v>0</v>
      </c>
      <c r="CX45" s="2792">
        <f t="shared" ca="1" si="115"/>
        <v>0</v>
      </c>
      <c r="CY45" s="2792">
        <f t="shared" ca="1" si="115"/>
        <v>0</v>
      </c>
      <c r="CZ45" s="2792">
        <f t="shared" ca="1" si="115"/>
        <v>0</v>
      </c>
      <c r="DA45" s="2792">
        <f t="shared" ca="1" si="115"/>
        <v>0</v>
      </c>
      <c r="DB45" s="2792">
        <f t="shared" ca="1" si="115"/>
        <v>0</v>
      </c>
      <c r="DC45" s="2792">
        <f t="shared" ca="1" si="115"/>
        <v>0</v>
      </c>
      <c r="DD45" s="2792">
        <f t="shared" ca="1" si="115"/>
        <v>0</v>
      </c>
      <c r="DE45" s="2792">
        <f t="shared" ca="1" si="115"/>
        <v>0</v>
      </c>
      <c r="DF45" s="2792">
        <f t="shared" ca="1" si="115"/>
        <v>0</v>
      </c>
      <c r="DH45" s="596"/>
    </row>
    <row r="46" spans="1:112" s="6" customFormat="1" ht="15.75">
      <c r="A46" s="4"/>
      <c r="B46" s="3"/>
      <c r="C46" s="616" t="s">
        <v>504</v>
      </c>
      <c r="D46" s="617" t="s">
        <v>505</v>
      </c>
      <c r="E46" s="206"/>
      <c r="G46" s="618">
        <f ca="1">G45</f>
        <v>0</v>
      </c>
      <c r="H46" s="618">
        <f t="shared" ref="H46:P46" ca="1" si="116">H45</f>
        <v>0</v>
      </c>
      <c r="I46" s="618">
        <f t="shared" ca="1" si="116"/>
        <v>0</v>
      </c>
      <c r="J46" s="618">
        <f t="shared" ca="1" si="116"/>
        <v>0</v>
      </c>
      <c r="K46" s="618">
        <f t="shared" ca="1" si="116"/>
        <v>0</v>
      </c>
      <c r="L46" s="618">
        <f t="shared" ca="1" si="116"/>
        <v>0</v>
      </c>
      <c r="M46" s="618">
        <f t="shared" ca="1" si="116"/>
        <v>0</v>
      </c>
      <c r="N46" s="618">
        <f t="shared" ca="1" si="116"/>
        <v>0</v>
      </c>
      <c r="O46" s="618">
        <f t="shared" ca="1" si="116"/>
        <v>0</v>
      </c>
      <c r="P46" s="618">
        <f t="shared" ca="1" si="116"/>
        <v>0</v>
      </c>
      <c r="Q46" s="618">
        <f ca="1">SUM(G46:P46)</f>
        <v>0</v>
      </c>
      <c r="S46" s="581">
        <f t="shared" ref="S46:AJ46" ca="1" si="117">S45</f>
        <v>-1.9443774880473393E-2</v>
      </c>
      <c r="T46" s="581">
        <f t="shared" ca="1" si="117"/>
        <v>0</v>
      </c>
      <c r="U46" s="581">
        <f t="shared" ca="1" si="117"/>
        <v>0</v>
      </c>
      <c r="V46" s="581">
        <f t="shared" ca="1" si="117"/>
        <v>0</v>
      </c>
      <c r="W46" s="581">
        <f t="shared" ca="1" si="117"/>
        <v>-9.7398543255179937E-3</v>
      </c>
      <c r="X46" s="581">
        <f t="shared" ca="1" si="117"/>
        <v>0</v>
      </c>
      <c r="Y46" s="581">
        <f t="shared" ca="1" si="117"/>
        <v>0</v>
      </c>
      <c r="Z46" s="581">
        <f t="shared" ca="1" si="117"/>
        <v>0</v>
      </c>
      <c r="AA46" s="581">
        <f t="shared" ca="1" si="117"/>
        <v>0</v>
      </c>
      <c r="AB46" s="581">
        <f t="shared" ca="1" si="117"/>
        <v>0</v>
      </c>
      <c r="AC46" s="581">
        <f t="shared" ca="1" si="117"/>
        <v>0</v>
      </c>
      <c r="AD46" s="581">
        <f t="shared" ca="1" si="117"/>
        <v>0</v>
      </c>
      <c r="AE46" s="581">
        <f ca="1">AE45</f>
        <v>0</v>
      </c>
      <c r="AF46" s="581">
        <f t="shared" ca="1" si="117"/>
        <v>0</v>
      </c>
      <c r="AG46" s="581">
        <f t="shared" ca="1" si="117"/>
        <v>0</v>
      </c>
      <c r="AH46" s="581">
        <f ca="1">AH45</f>
        <v>0</v>
      </c>
      <c r="AI46" s="581">
        <f t="shared" ca="1" si="117"/>
        <v>0</v>
      </c>
      <c r="AJ46" s="581">
        <f t="shared" ca="1" si="117"/>
        <v>2.1173596359821727E-2</v>
      </c>
      <c r="AK46" s="581">
        <f ca="1">SUM(S46:AJ46)</f>
        <v>-8.0100328461696589E-3</v>
      </c>
      <c r="AM46" s="582">
        <f t="shared" ref="AM46:BE46" ca="1" si="118">AM45</f>
        <v>0</v>
      </c>
      <c r="AN46" s="582">
        <f t="shared" ca="1" si="118"/>
        <v>0</v>
      </c>
      <c r="AO46" s="582">
        <f t="shared" ca="1" si="118"/>
        <v>0</v>
      </c>
      <c r="AP46" s="582">
        <f t="shared" ca="1" si="118"/>
        <v>0</v>
      </c>
      <c r="AQ46" s="582">
        <f t="shared" ca="1" si="118"/>
        <v>0</v>
      </c>
      <c r="AR46" s="582">
        <f t="shared" ca="1" si="118"/>
        <v>0</v>
      </c>
      <c r="AS46" s="582">
        <f t="shared" ca="1" si="118"/>
        <v>0</v>
      </c>
      <c r="AT46" s="582">
        <f t="shared" ca="1" si="118"/>
        <v>0</v>
      </c>
      <c r="AU46" s="582">
        <f t="shared" ca="1" si="118"/>
        <v>0</v>
      </c>
      <c r="AV46" s="582">
        <f t="shared" ca="1" si="118"/>
        <v>0</v>
      </c>
      <c r="AW46" s="582">
        <f t="shared" ca="1" si="118"/>
        <v>0</v>
      </c>
      <c r="AX46" s="582">
        <f t="shared" ca="1" si="118"/>
        <v>0</v>
      </c>
      <c r="AY46" s="582">
        <f t="shared" ca="1" si="118"/>
        <v>0</v>
      </c>
      <c r="AZ46" s="582">
        <f t="shared" ca="1" si="118"/>
        <v>0</v>
      </c>
      <c r="BA46" s="582">
        <f t="shared" ca="1" si="118"/>
        <v>0</v>
      </c>
      <c r="BB46" s="582">
        <f t="shared" ca="1" si="118"/>
        <v>0</v>
      </c>
      <c r="BC46" s="582">
        <f t="shared" ca="1" si="118"/>
        <v>0</v>
      </c>
      <c r="BD46" s="582">
        <f t="shared" ca="1" si="118"/>
        <v>0</v>
      </c>
      <c r="BE46" s="582">
        <f t="shared" ca="1" si="118"/>
        <v>0</v>
      </c>
      <c r="BF46" s="582">
        <f ca="1">SUM(AM46:BE46)</f>
        <v>0</v>
      </c>
      <c r="BH46" s="3463">
        <f ca="1">BH45</f>
        <v>8.0100328461696589E-3</v>
      </c>
      <c r="BI46" s="3463">
        <f ca="1">BI45</f>
        <v>0</v>
      </c>
      <c r="BJ46" s="3463">
        <f ca="1">SUM(BH46:BI46)</f>
        <v>8.0100328461696589E-3</v>
      </c>
      <c r="BL46" s="3477">
        <f ca="1">Q46+AK46+BF46+BJ46</f>
        <v>0</v>
      </c>
      <c r="BM46" s="584"/>
      <c r="BN46" s="413"/>
      <c r="BO46" s="2790">
        <f t="shared" ref="BO46:DF46" ca="1" si="119">BO45</f>
        <v>1.9939546653452342E-3</v>
      </c>
      <c r="BP46" s="2790">
        <f t="shared" ca="1" si="119"/>
        <v>7.3633298700916041E-7</v>
      </c>
      <c r="BQ46" s="2790">
        <f t="shared" ca="1" si="119"/>
        <v>3.1522064539106434E-5</v>
      </c>
      <c r="BR46" s="2790">
        <f t="shared" ca="1" si="119"/>
        <v>0</v>
      </c>
      <c r="BS46" s="2790">
        <f t="shared" ca="1" si="119"/>
        <v>0</v>
      </c>
      <c r="BT46" s="2790">
        <f t="shared" ca="1" si="119"/>
        <v>0</v>
      </c>
      <c r="BU46" s="2790">
        <f t="shared" ca="1" si="119"/>
        <v>0</v>
      </c>
      <c r="BV46" s="2790">
        <f t="shared" ca="1" si="119"/>
        <v>0</v>
      </c>
      <c r="BW46" s="2790">
        <f t="shared" ca="1" si="119"/>
        <v>0</v>
      </c>
      <c r="BX46" s="2790">
        <f t="shared" ca="1" si="119"/>
        <v>0</v>
      </c>
      <c r="BY46" s="2790">
        <f t="shared" ca="1" si="119"/>
        <v>0</v>
      </c>
      <c r="BZ46" s="2790">
        <f t="shared" ca="1" si="119"/>
        <v>0</v>
      </c>
      <c r="CA46" s="2790">
        <f t="shared" ca="1" si="119"/>
        <v>0</v>
      </c>
      <c r="CB46" s="2790">
        <f t="shared" ca="1" si="119"/>
        <v>0</v>
      </c>
      <c r="CC46" s="2790">
        <f t="shared" ca="1" si="119"/>
        <v>0</v>
      </c>
      <c r="CD46" s="2790">
        <f t="shared" ca="1" si="119"/>
        <v>0</v>
      </c>
      <c r="CE46" s="2790">
        <f t="shared" ca="1" si="119"/>
        <v>0</v>
      </c>
      <c r="CF46" s="2790">
        <f t="shared" ca="1" si="119"/>
        <v>0</v>
      </c>
      <c r="CG46" s="2790">
        <f t="shared" ca="1" si="119"/>
        <v>0</v>
      </c>
      <c r="CH46" s="2790">
        <f t="shared" ca="1" si="119"/>
        <v>0</v>
      </c>
      <c r="CI46" s="2790">
        <f t="shared" ca="1" si="119"/>
        <v>0</v>
      </c>
      <c r="CJ46" s="2790">
        <f t="shared" ca="1" si="119"/>
        <v>0</v>
      </c>
      <c r="CK46" s="2790">
        <f t="shared" ca="1" si="119"/>
        <v>0</v>
      </c>
      <c r="CL46" s="2790">
        <f t="shared" ca="1" si="119"/>
        <v>0</v>
      </c>
      <c r="CM46" s="2790">
        <f t="shared" ca="1" si="119"/>
        <v>0</v>
      </c>
      <c r="CN46" s="2790">
        <f t="shared" ca="1" si="119"/>
        <v>0</v>
      </c>
      <c r="CO46" s="2790">
        <f t="shared" ca="1" si="119"/>
        <v>0</v>
      </c>
      <c r="CP46" s="2790">
        <f t="shared" ca="1" si="119"/>
        <v>0</v>
      </c>
      <c r="CQ46" s="2790">
        <f t="shared" ca="1" si="119"/>
        <v>0</v>
      </c>
      <c r="CR46" s="2790">
        <f t="shared" ca="1" si="119"/>
        <v>0</v>
      </c>
      <c r="CS46" s="2790">
        <f t="shared" ca="1" si="119"/>
        <v>0</v>
      </c>
      <c r="CT46" s="2790">
        <f t="shared" ca="1" si="119"/>
        <v>0</v>
      </c>
      <c r="CU46" s="2790">
        <f t="shared" ca="1" si="119"/>
        <v>0</v>
      </c>
      <c r="CV46" s="2790">
        <f t="shared" ca="1" si="119"/>
        <v>0</v>
      </c>
      <c r="CW46" s="2790">
        <f t="shared" ca="1" si="119"/>
        <v>0</v>
      </c>
      <c r="CX46" s="2790">
        <f t="shared" ca="1" si="119"/>
        <v>0</v>
      </c>
      <c r="CY46" s="2790">
        <f t="shared" ca="1" si="119"/>
        <v>0</v>
      </c>
      <c r="CZ46" s="2790">
        <f t="shared" ca="1" si="119"/>
        <v>0</v>
      </c>
      <c r="DA46" s="2790">
        <f t="shared" ca="1" si="119"/>
        <v>0</v>
      </c>
      <c r="DB46" s="2790">
        <f t="shared" ca="1" si="119"/>
        <v>0</v>
      </c>
      <c r="DC46" s="2790">
        <f t="shared" ca="1" si="119"/>
        <v>0</v>
      </c>
      <c r="DD46" s="2790">
        <f t="shared" ca="1" si="119"/>
        <v>0</v>
      </c>
      <c r="DE46" s="2790">
        <f t="shared" ca="1" si="119"/>
        <v>0</v>
      </c>
      <c r="DF46" s="2790">
        <f t="shared" ca="1" si="119"/>
        <v>0</v>
      </c>
      <c r="DH46" s="596">
        <f t="shared" ref="DH46:DH82" ca="1" si="120">SUM(BO46:DF46)</f>
        <v>2.0262130628713499E-3</v>
      </c>
    </row>
    <row r="47" spans="1:112" s="6" customFormat="1" outlineLevel="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20"/>
        <v>0</v>
      </c>
    </row>
    <row r="48" spans="1:112" s="6" customFormat="1" outlineLevel="1">
      <c r="A48" s="607"/>
      <c r="B48" s="607"/>
      <c r="C48" s="587" t="s">
        <v>506</v>
      </c>
      <c r="D48" s="588" t="s">
        <v>507</v>
      </c>
      <c r="E48" s="588"/>
      <c r="G48" s="589">
        <f t="shared" ref="G48:P49" ca="1" si="121">IFERROR(INDEX(INDIRECT($C48&amp;".Outputs["&amp;this.Year&amp;"]"), MATCH(G$5, INDIRECT($C48&amp;".Outputs[Vector]"), 0)), 0)</f>
        <v>0</v>
      </c>
      <c r="H48" s="589">
        <f t="shared" ca="1" si="121"/>
        <v>0</v>
      </c>
      <c r="I48" s="589">
        <f t="shared" ca="1" si="121"/>
        <v>0</v>
      </c>
      <c r="J48" s="589">
        <f t="shared" ca="1" si="121"/>
        <v>0</v>
      </c>
      <c r="K48" s="589">
        <f t="shared" ca="1" si="121"/>
        <v>0</v>
      </c>
      <c r="L48" s="589">
        <f t="shared" ca="1" si="121"/>
        <v>0</v>
      </c>
      <c r="M48" s="589">
        <f t="shared" ca="1" si="121"/>
        <v>0</v>
      </c>
      <c r="N48" s="589">
        <f t="shared" ca="1" si="121"/>
        <v>0</v>
      </c>
      <c r="O48" s="589">
        <f t="shared" ca="1" si="121"/>
        <v>0</v>
      </c>
      <c r="P48" s="589">
        <f t="shared" ca="1" si="121"/>
        <v>0</v>
      </c>
      <c r="Q48" s="590">
        <f ca="1">SUM(G48:P48)</f>
        <v>0</v>
      </c>
      <c r="S48" s="591">
        <f t="shared" ref="S48:AJ49" ca="1" si="122">IFERROR(INDEX(INDIRECT($C48&amp;".Outputs["&amp;this.Year&amp;"]"), MATCH(S$5, INDIRECT($C48&amp;".Outputs[Vector]"), 0)), 0)</f>
        <v>0</v>
      </c>
      <c r="T48" s="591">
        <f t="shared" ca="1" si="122"/>
        <v>0</v>
      </c>
      <c r="U48" s="591">
        <f t="shared" ca="1" si="122"/>
        <v>0</v>
      </c>
      <c r="V48" s="591">
        <f t="shared" ca="1" si="122"/>
        <v>0</v>
      </c>
      <c r="W48" s="591">
        <f t="shared" ca="1" si="122"/>
        <v>0</v>
      </c>
      <c r="X48" s="591">
        <f t="shared" ref="X48:Z50" ca="1" si="123">IFERROR(INDEX(INDIRECT($C48&amp;".Outputs["&amp;this.Year&amp;"]"), MATCH(X$5, INDIRECT($C48&amp;".Outputs[Vector]"), 0)), 0)</f>
        <v>0</v>
      </c>
      <c r="Y48" s="591">
        <f t="shared" ca="1" si="123"/>
        <v>0</v>
      </c>
      <c r="Z48" s="591">
        <f t="shared" ca="1" si="123"/>
        <v>0</v>
      </c>
      <c r="AA48" s="591">
        <f t="shared" ca="1" si="122"/>
        <v>0</v>
      </c>
      <c r="AB48" s="591">
        <f t="shared" ca="1" si="122"/>
        <v>0</v>
      </c>
      <c r="AC48" s="591">
        <f t="shared" ca="1" si="122"/>
        <v>0</v>
      </c>
      <c r="AD48" s="591">
        <f t="shared" ca="1" si="122"/>
        <v>0</v>
      </c>
      <c r="AE48" s="591">
        <f t="shared" ca="1" si="122"/>
        <v>0</v>
      </c>
      <c r="AF48" s="591">
        <f t="shared" ca="1" si="122"/>
        <v>0</v>
      </c>
      <c r="AG48" s="591">
        <f t="shared" ca="1" si="122"/>
        <v>7.7777777777777786</v>
      </c>
      <c r="AH48" s="591">
        <f t="shared" ca="1" si="122"/>
        <v>0</v>
      </c>
      <c r="AI48" s="591">
        <f t="shared" ca="1" si="122"/>
        <v>0</v>
      </c>
      <c r="AJ48" s="591">
        <f t="shared" ca="1" si="122"/>
        <v>0</v>
      </c>
      <c r="AK48" s="592">
        <f ca="1">SUM(S48:AJ48)</f>
        <v>7.7777777777777786</v>
      </c>
      <c r="AM48" s="593">
        <f t="shared" ref="AM48:AU50" ca="1" si="124">IFERROR(INDEX(INDIRECT($C48&amp;".Outputs["&amp;this.Year&amp;"]"), MATCH(AM$5, INDIRECT($C48&amp;".Outputs[Vector]"), 0)), 0)</f>
        <v>0</v>
      </c>
      <c r="AN48" s="593">
        <f t="shared" ca="1" si="124"/>
        <v>0</v>
      </c>
      <c r="AO48" s="593">
        <f t="shared" ca="1" si="124"/>
        <v>0</v>
      </c>
      <c r="AP48" s="593">
        <f t="shared" ca="1" si="124"/>
        <v>0</v>
      </c>
      <c r="AQ48" s="593">
        <f t="shared" ca="1" si="124"/>
        <v>0</v>
      </c>
      <c r="AR48" s="593">
        <f t="shared" ca="1" si="124"/>
        <v>0</v>
      </c>
      <c r="AS48" s="593">
        <f t="shared" ca="1" si="124"/>
        <v>0</v>
      </c>
      <c r="AT48" s="593">
        <f t="shared" ca="1" si="124"/>
        <v>0</v>
      </c>
      <c r="AU48" s="593">
        <f t="shared" ca="1" si="124"/>
        <v>0</v>
      </c>
      <c r="AV48" s="593">
        <f t="shared" ref="AV48:BE49" ca="1" si="125">IFERROR(INDEX(INDIRECT($C48&amp;".Outputs["&amp;this.Year&amp;"]"), MATCH(AV$5, INDIRECT($C48&amp;".Outputs[Vector]"), 0)), 0)</f>
        <v>0</v>
      </c>
      <c r="AW48" s="593">
        <f t="shared" ca="1" si="125"/>
        <v>0</v>
      </c>
      <c r="AX48" s="593">
        <f t="shared" ca="1" si="125"/>
        <v>0</v>
      </c>
      <c r="AY48" s="593">
        <f t="shared" ca="1" si="125"/>
        <v>0</v>
      </c>
      <c r="AZ48" s="593">
        <f t="shared" ca="1" si="125"/>
        <v>0</v>
      </c>
      <c r="BA48" s="593">
        <f t="shared" ca="1" si="125"/>
        <v>0</v>
      </c>
      <c r="BB48" s="593">
        <f t="shared" ca="1" si="125"/>
        <v>0</v>
      </c>
      <c r="BC48" s="593">
        <f t="shared" ca="1" si="125"/>
        <v>0</v>
      </c>
      <c r="BD48" s="593">
        <f t="shared" ca="1" si="125"/>
        <v>-7.7777777777777786</v>
      </c>
      <c r="BE48" s="593">
        <f t="shared" ca="1" si="125"/>
        <v>0</v>
      </c>
      <c r="BF48" s="609">
        <f ca="1">SUM(AM48:BE48)</f>
        <v>-7.7777777777777786</v>
      </c>
      <c r="BH48" s="3471">
        <f t="shared" ref="BH48:BI50" ca="1" si="126">IFERROR(INDEX(INDIRECT($C48&amp;".Outputs["&amp;this.Year&amp;"]"), MATCH(BH$5, INDIRECT($C48&amp;".Outputs[Vector]"), 0)), 0)</f>
        <v>0</v>
      </c>
      <c r="BI48" s="3471">
        <f t="shared" ca="1" si="126"/>
        <v>0</v>
      </c>
      <c r="BJ48" s="3460">
        <f ca="1">SUM(BH48:BI48)</f>
        <v>0</v>
      </c>
      <c r="BL48" s="610"/>
      <c r="BM48" s="610"/>
      <c r="BN48" s="413"/>
      <c r="BO48" s="2789">
        <f t="shared" ref="BO48:BX50" ca="1" si="127">IFERROR(SUMIFS(INDIRECT($C48&amp;".Emissions["&amp;this.Year&amp;"]"), INDIRECT($C48&amp;".Emissions[GHG]"), BO$6, INDIRECT($C48&amp;".Emissions[IPCC Sector]"), BO$5),0)</f>
        <v>0</v>
      </c>
      <c r="BP48" s="2790">
        <f t="shared" ca="1" si="127"/>
        <v>0</v>
      </c>
      <c r="BQ48" s="2790">
        <f t="shared" ca="1" si="127"/>
        <v>0</v>
      </c>
      <c r="BR48" s="2790">
        <f t="shared" ca="1" si="127"/>
        <v>0</v>
      </c>
      <c r="BS48" s="2790">
        <f t="shared" ca="1" si="127"/>
        <v>0</v>
      </c>
      <c r="BT48" s="2790">
        <f t="shared" ca="1" si="127"/>
        <v>0</v>
      </c>
      <c r="BU48" s="2790">
        <f t="shared" ca="1" si="127"/>
        <v>0</v>
      </c>
      <c r="BV48" s="2790">
        <f t="shared" ca="1" si="127"/>
        <v>0</v>
      </c>
      <c r="BW48" s="2790">
        <f t="shared" ca="1" si="127"/>
        <v>0</v>
      </c>
      <c r="BX48" s="2790">
        <f t="shared" ca="1" si="127"/>
        <v>0</v>
      </c>
      <c r="BY48" s="2790">
        <f t="shared" ref="BY48:CH50" ca="1" si="128">IFERROR(SUMIFS(INDIRECT($C48&amp;".Emissions["&amp;this.Year&amp;"]"), INDIRECT($C48&amp;".Emissions[GHG]"), BY$6, INDIRECT($C48&amp;".Emissions[IPCC Sector]"), BY$5),0)</f>
        <v>0</v>
      </c>
      <c r="BZ48" s="2790">
        <f t="shared" ca="1" si="128"/>
        <v>0</v>
      </c>
      <c r="CA48" s="2790">
        <f t="shared" ca="1" si="128"/>
        <v>0</v>
      </c>
      <c r="CB48" s="2790">
        <f t="shared" ca="1" si="128"/>
        <v>0</v>
      </c>
      <c r="CC48" s="2790">
        <f t="shared" ca="1" si="128"/>
        <v>0</v>
      </c>
      <c r="CD48" s="2790">
        <f t="shared" ca="1" si="128"/>
        <v>0</v>
      </c>
      <c r="CE48" s="2790">
        <f t="shared" ca="1" si="128"/>
        <v>0</v>
      </c>
      <c r="CF48" s="2790">
        <f t="shared" ca="1" si="128"/>
        <v>0</v>
      </c>
      <c r="CG48" s="2790">
        <f t="shared" ca="1" si="128"/>
        <v>0</v>
      </c>
      <c r="CH48" s="2790">
        <f t="shared" ca="1" si="128"/>
        <v>0</v>
      </c>
      <c r="CI48" s="2790">
        <f t="shared" ref="CI48:CR50" ca="1" si="129">IFERROR(SUMIFS(INDIRECT($C48&amp;".Emissions["&amp;this.Year&amp;"]"), INDIRECT($C48&amp;".Emissions[GHG]"), CI$6, INDIRECT($C48&amp;".Emissions[IPCC Sector]"), CI$5),0)</f>
        <v>0</v>
      </c>
      <c r="CJ48" s="2790">
        <f t="shared" ca="1" si="129"/>
        <v>0</v>
      </c>
      <c r="CK48" s="2790">
        <f t="shared" ca="1" si="129"/>
        <v>0</v>
      </c>
      <c r="CL48" s="2790">
        <f t="shared" ca="1" si="129"/>
        <v>0</v>
      </c>
      <c r="CM48" s="2790">
        <f t="shared" ca="1" si="129"/>
        <v>0</v>
      </c>
      <c r="CN48" s="2790">
        <f t="shared" ca="1" si="129"/>
        <v>0</v>
      </c>
      <c r="CO48" s="2790">
        <f t="shared" ca="1" si="129"/>
        <v>0</v>
      </c>
      <c r="CP48" s="2790">
        <f t="shared" ca="1" si="129"/>
        <v>0</v>
      </c>
      <c r="CQ48" s="2790">
        <f t="shared" ca="1" si="129"/>
        <v>0</v>
      </c>
      <c r="CR48" s="2790">
        <f t="shared" ca="1" si="129"/>
        <v>0</v>
      </c>
      <c r="CS48" s="2790">
        <f t="shared" ref="CS48:DF50" ca="1" si="130">IFERROR(SUMIFS(INDIRECT($C48&amp;".Emissions["&amp;this.Year&amp;"]"), INDIRECT($C48&amp;".Emissions[GHG]"), CS$6, INDIRECT($C48&amp;".Emissions[IPCC Sector]"), CS$5),0)</f>
        <v>0</v>
      </c>
      <c r="CT48" s="2790">
        <f t="shared" ca="1" si="130"/>
        <v>0</v>
      </c>
      <c r="CU48" s="2790">
        <f t="shared" ca="1" si="130"/>
        <v>0</v>
      </c>
      <c r="CV48" s="2790">
        <f t="shared" ca="1" si="130"/>
        <v>0</v>
      </c>
      <c r="CW48" s="2790">
        <f t="shared" ca="1" si="130"/>
        <v>0</v>
      </c>
      <c r="CX48" s="2790">
        <f t="shared" ca="1" si="130"/>
        <v>0</v>
      </c>
      <c r="CY48" s="2790">
        <f t="shared" ca="1" si="130"/>
        <v>0</v>
      </c>
      <c r="CZ48" s="2790">
        <f t="shared" ca="1" si="130"/>
        <v>0</v>
      </c>
      <c r="DA48" s="2790">
        <f t="shared" ca="1" si="130"/>
        <v>0</v>
      </c>
      <c r="DB48" s="2790">
        <f t="shared" ca="1" si="130"/>
        <v>0</v>
      </c>
      <c r="DC48" s="2790">
        <f t="shared" ca="1" si="130"/>
        <v>0</v>
      </c>
      <c r="DD48" s="2790">
        <f t="shared" ca="1" si="130"/>
        <v>0</v>
      </c>
      <c r="DE48" s="2790">
        <f t="shared" ca="1" si="130"/>
        <v>0</v>
      </c>
      <c r="DF48" s="2790">
        <f t="shared" ca="1" si="130"/>
        <v>0</v>
      </c>
      <c r="DH48" s="596">
        <f ca="1">SUM(BO48:DF48)</f>
        <v>0</v>
      </c>
    </row>
    <row r="49" spans="1:112" s="6" customFormat="1" outlineLevel="1">
      <c r="A49" s="607"/>
      <c r="B49" s="607"/>
      <c r="C49" s="587" t="s">
        <v>508</v>
      </c>
      <c r="D49" s="588" t="s">
        <v>509</v>
      </c>
      <c r="E49" s="588"/>
      <c r="G49" s="589">
        <f t="shared" ca="1" si="121"/>
        <v>0</v>
      </c>
      <c r="H49" s="589">
        <f t="shared" ca="1" si="121"/>
        <v>0</v>
      </c>
      <c r="I49" s="589">
        <f t="shared" ca="1" si="121"/>
        <v>0</v>
      </c>
      <c r="J49" s="589">
        <f t="shared" ca="1" si="121"/>
        <v>0</v>
      </c>
      <c r="K49" s="589">
        <f t="shared" ca="1" si="121"/>
        <v>0</v>
      </c>
      <c r="L49" s="589">
        <f t="shared" ca="1" si="121"/>
        <v>0</v>
      </c>
      <c r="M49" s="589">
        <f t="shared" ca="1" si="121"/>
        <v>0</v>
      </c>
      <c r="N49" s="589">
        <f t="shared" ca="1" si="121"/>
        <v>0</v>
      </c>
      <c r="O49" s="589">
        <f t="shared" ca="1" si="121"/>
        <v>0</v>
      </c>
      <c r="P49" s="589">
        <f t="shared" ca="1" si="121"/>
        <v>0</v>
      </c>
      <c r="Q49" s="590">
        <f ca="1">SUM(G49:P49)</f>
        <v>0</v>
      </c>
      <c r="S49" s="591">
        <f t="shared" ca="1" si="122"/>
        <v>0</v>
      </c>
      <c r="T49" s="591">
        <f t="shared" ca="1" si="122"/>
        <v>0</v>
      </c>
      <c r="U49" s="591">
        <f t="shared" ca="1" si="122"/>
        <v>0</v>
      </c>
      <c r="V49" s="591">
        <f t="shared" ca="1" si="122"/>
        <v>0</v>
      </c>
      <c r="W49" s="591">
        <f t="shared" ca="1" si="122"/>
        <v>0</v>
      </c>
      <c r="X49" s="591">
        <f t="shared" ca="1" si="123"/>
        <v>0.22186590218798416</v>
      </c>
      <c r="Y49" s="591">
        <f t="shared" ca="1" si="123"/>
        <v>0</v>
      </c>
      <c r="Z49" s="591">
        <f t="shared" ca="1" si="123"/>
        <v>0</v>
      </c>
      <c r="AA49" s="591">
        <f t="shared" ca="1" si="122"/>
        <v>0</v>
      </c>
      <c r="AB49" s="591">
        <f t="shared" ca="1" si="122"/>
        <v>0</v>
      </c>
      <c r="AC49" s="591">
        <f t="shared" ca="1" si="122"/>
        <v>0</v>
      </c>
      <c r="AD49" s="591">
        <f t="shared" ca="1" si="122"/>
        <v>0</v>
      </c>
      <c r="AE49" s="591">
        <f t="shared" ca="1" si="122"/>
        <v>0</v>
      </c>
      <c r="AF49" s="591">
        <f t="shared" ca="1" si="122"/>
        <v>0.4138297069566883</v>
      </c>
      <c r="AG49" s="591">
        <f t="shared" ca="1" si="122"/>
        <v>0.18103645132919804</v>
      </c>
      <c r="AH49" s="591">
        <f t="shared" ca="1" si="122"/>
        <v>0.15626201242516538</v>
      </c>
      <c r="AI49" s="591">
        <f t="shared" ca="1" si="122"/>
        <v>0</v>
      </c>
      <c r="AJ49" s="591">
        <f t="shared" ca="1" si="122"/>
        <v>0</v>
      </c>
      <c r="AK49" s="592">
        <f ca="1">SUM(S49:AJ49)</f>
        <v>0.97299407289903594</v>
      </c>
      <c r="AM49" s="593">
        <f t="shared" ca="1" si="124"/>
        <v>0</v>
      </c>
      <c r="AN49" s="593">
        <f t="shared" ca="1" si="124"/>
        <v>0</v>
      </c>
      <c r="AO49" s="593">
        <f t="shared" ca="1" si="124"/>
        <v>0</v>
      </c>
      <c r="AP49" s="593">
        <f t="shared" ca="1" si="124"/>
        <v>0</v>
      </c>
      <c r="AQ49" s="593">
        <f t="shared" ca="1" si="124"/>
        <v>0</v>
      </c>
      <c r="AR49" s="593">
        <f t="shared" ca="1" si="124"/>
        <v>0</v>
      </c>
      <c r="AS49" s="593">
        <f t="shared" ca="1" si="124"/>
        <v>0</v>
      </c>
      <c r="AT49" s="593">
        <f t="shared" ca="1" si="124"/>
        <v>0</v>
      </c>
      <c r="AU49" s="593">
        <f t="shared" ca="1" si="124"/>
        <v>0</v>
      </c>
      <c r="AV49" s="593">
        <f t="shared" ca="1" si="125"/>
        <v>0</v>
      </c>
      <c r="AW49" s="593">
        <f t="shared" ca="1" si="125"/>
        <v>0</v>
      </c>
      <c r="AX49" s="593">
        <f t="shared" ca="1" si="125"/>
        <v>0</v>
      </c>
      <c r="AY49" s="593">
        <f t="shared" ca="1" si="125"/>
        <v>0</v>
      </c>
      <c r="AZ49" s="593">
        <f t="shared" ca="1" si="125"/>
        <v>0</v>
      </c>
      <c r="BA49" s="593">
        <f t="shared" ca="1" si="125"/>
        <v>0</v>
      </c>
      <c r="BB49" s="593">
        <f t="shared" ca="1" si="125"/>
        <v>0</v>
      </c>
      <c r="BC49" s="593">
        <f t="shared" ca="1" si="125"/>
        <v>0</v>
      </c>
      <c r="BD49" s="593">
        <f t="shared" ca="1" si="125"/>
        <v>0</v>
      </c>
      <c r="BE49" s="593">
        <f t="shared" ca="1" si="125"/>
        <v>-0.97299407289903583</v>
      </c>
      <c r="BF49" s="609">
        <f ca="1">SUM(AM49:BE49)</f>
        <v>-0.97299407289903583</v>
      </c>
      <c r="BH49" s="3471">
        <f t="shared" ca="1" si="126"/>
        <v>0</v>
      </c>
      <c r="BI49" s="3471">
        <f t="shared" ca="1" si="126"/>
        <v>0</v>
      </c>
      <c r="BJ49" s="3460">
        <f ca="1">SUM(BH49:BI49)</f>
        <v>0</v>
      </c>
      <c r="BL49" s="610"/>
      <c r="BM49" s="610"/>
      <c r="BN49" s="413"/>
      <c r="BO49" s="2789">
        <f t="shared" ca="1" si="127"/>
        <v>0</v>
      </c>
      <c r="BP49" s="2790">
        <f t="shared" ca="1" si="127"/>
        <v>0</v>
      </c>
      <c r="BQ49" s="2790">
        <f t="shared" ca="1" si="127"/>
        <v>0</v>
      </c>
      <c r="BR49" s="2790">
        <f t="shared" ca="1" si="127"/>
        <v>0</v>
      </c>
      <c r="BS49" s="2790">
        <f t="shared" ca="1" si="127"/>
        <v>0</v>
      </c>
      <c r="BT49" s="2790">
        <f t="shared" ca="1" si="127"/>
        <v>0</v>
      </c>
      <c r="BU49" s="2790">
        <f t="shared" ca="1" si="127"/>
        <v>0</v>
      </c>
      <c r="BV49" s="2790">
        <f t="shared" ca="1" si="127"/>
        <v>0</v>
      </c>
      <c r="BW49" s="2790">
        <f t="shared" ca="1" si="127"/>
        <v>0</v>
      </c>
      <c r="BX49" s="2790">
        <f t="shared" ca="1" si="127"/>
        <v>0</v>
      </c>
      <c r="BY49" s="2790">
        <f t="shared" ca="1" si="128"/>
        <v>0</v>
      </c>
      <c r="BZ49" s="2790">
        <f t="shared" ca="1" si="128"/>
        <v>0</v>
      </c>
      <c r="CA49" s="2790">
        <f t="shared" ca="1" si="128"/>
        <v>0</v>
      </c>
      <c r="CB49" s="2790">
        <f t="shared" ca="1" si="128"/>
        <v>0</v>
      </c>
      <c r="CC49" s="2790">
        <f t="shared" ca="1" si="128"/>
        <v>0</v>
      </c>
      <c r="CD49" s="2790">
        <f t="shared" ca="1" si="128"/>
        <v>0</v>
      </c>
      <c r="CE49" s="2790">
        <f t="shared" ca="1" si="128"/>
        <v>0</v>
      </c>
      <c r="CF49" s="2790">
        <f t="shared" ca="1" si="128"/>
        <v>0</v>
      </c>
      <c r="CG49" s="2790">
        <f t="shared" ca="1" si="128"/>
        <v>0</v>
      </c>
      <c r="CH49" s="2790">
        <f t="shared" ca="1" si="128"/>
        <v>0</v>
      </c>
      <c r="CI49" s="2790">
        <f t="shared" ca="1" si="129"/>
        <v>0</v>
      </c>
      <c r="CJ49" s="2790">
        <f t="shared" ca="1" si="129"/>
        <v>0</v>
      </c>
      <c r="CK49" s="2790">
        <f t="shared" ca="1" si="129"/>
        <v>0</v>
      </c>
      <c r="CL49" s="2790">
        <f t="shared" ca="1" si="129"/>
        <v>0</v>
      </c>
      <c r="CM49" s="2790">
        <f t="shared" ca="1" si="129"/>
        <v>0</v>
      </c>
      <c r="CN49" s="2790">
        <f t="shared" ca="1" si="129"/>
        <v>0.41798160141775098</v>
      </c>
      <c r="CO49" s="2790">
        <f t="shared" ca="1" si="129"/>
        <v>6.1171082142857144E-2</v>
      </c>
      <c r="CP49" s="2790">
        <f t="shared" ca="1" si="129"/>
        <v>0</v>
      </c>
      <c r="CQ49" s="2790">
        <f t="shared" ca="1" si="129"/>
        <v>0</v>
      </c>
      <c r="CR49" s="2790">
        <f t="shared" ca="1" si="129"/>
        <v>0</v>
      </c>
      <c r="CS49" s="2790">
        <f t="shared" ca="1" si="130"/>
        <v>0</v>
      </c>
      <c r="CT49" s="2790">
        <f t="shared" ca="1" si="130"/>
        <v>0</v>
      </c>
      <c r="CU49" s="2790">
        <f t="shared" ca="1" si="130"/>
        <v>0</v>
      </c>
      <c r="CV49" s="2790">
        <f t="shared" ca="1" si="130"/>
        <v>0</v>
      </c>
      <c r="CW49" s="2790">
        <f t="shared" ca="1" si="130"/>
        <v>0</v>
      </c>
      <c r="CX49" s="2790">
        <f t="shared" ca="1" si="130"/>
        <v>0</v>
      </c>
      <c r="CY49" s="2790">
        <f t="shared" ca="1" si="130"/>
        <v>0</v>
      </c>
      <c r="CZ49" s="2790">
        <f t="shared" ca="1" si="130"/>
        <v>0</v>
      </c>
      <c r="DA49" s="2790">
        <f t="shared" ca="1" si="130"/>
        <v>0</v>
      </c>
      <c r="DB49" s="2790">
        <f t="shared" ca="1" si="130"/>
        <v>0</v>
      </c>
      <c r="DC49" s="2790">
        <f t="shared" ca="1" si="130"/>
        <v>0</v>
      </c>
      <c r="DD49" s="2790">
        <f t="shared" ca="1" si="130"/>
        <v>0</v>
      </c>
      <c r="DE49" s="2790">
        <f t="shared" ca="1" si="130"/>
        <v>0</v>
      </c>
      <c r="DF49" s="2790">
        <f t="shared" ca="1" si="130"/>
        <v>0</v>
      </c>
      <c r="DH49" s="596">
        <f t="shared" ca="1" si="120"/>
        <v>0.47915268356060814</v>
      </c>
    </row>
    <row r="50" spans="1:112" s="6" customFormat="1" ht="12.75" customHeight="1" outlineLevel="1">
      <c r="A50" s="607"/>
      <c r="B50" s="607"/>
      <c r="C50" s="587" t="s">
        <v>510</v>
      </c>
      <c r="D50" s="611" t="s">
        <v>511</v>
      </c>
      <c r="E50" s="611"/>
      <c r="G50" s="619">
        <f t="shared" ref="G50:P50" ca="1" si="131">IFERROR(INDEX(INDIRECT($C50&amp;".Outputs["&amp;this.Year&amp;"]"), MATCH(G$5, INDIRECT($C50&amp;".Outputs[Vector]"), 0)), 0)</f>
        <v>0</v>
      </c>
      <c r="H50" s="619">
        <f t="shared" ca="1" si="131"/>
        <v>0</v>
      </c>
      <c r="I50" s="619">
        <f t="shared" ca="1" si="131"/>
        <v>2.7878473320761668</v>
      </c>
      <c r="J50" s="619">
        <f t="shared" ca="1" si="131"/>
        <v>0</v>
      </c>
      <c r="K50" s="619">
        <f t="shared" ca="1" si="131"/>
        <v>0</v>
      </c>
      <c r="L50" s="619">
        <f t="shared" ca="1" si="131"/>
        <v>0</v>
      </c>
      <c r="M50" s="619">
        <f t="shared" ca="1" si="131"/>
        <v>0</v>
      </c>
      <c r="N50" s="619">
        <f t="shared" ca="1" si="131"/>
        <v>0</v>
      </c>
      <c r="O50" s="619">
        <f t="shared" ca="1" si="131"/>
        <v>0</v>
      </c>
      <c r="P50" s="619">
        <f t="shared" ca="1" si="131"/>
        <v>0</v>
      </c>
      <c r="Q50" s="612">
        <f ca="1">SUM(G50:P50)</f>
        <v>2.7878473320761668</v>
      </c>
      <c r="S50" s="620">
        <f t="shared" ref="S50:AJ50" ca="1" si="132">IFERROR(INDEX(INDIRECT($C50&amp;".Outputs["&amp;this.Year&amp;"]"), MATCH(S$5, INDIRECT($C50&amp;".Outputs[Vector]"), 0)), 0)</f>
        <v>-0.58544793973599496</v>
      </c>
      <c r="T50" s="620">
        <f t="shared" ca="1" si="132"/>
        <v>0</v>
      </c>
      <c r="U50" s="620">
        <f t="shared" ca="1" si="132"/>
        <v>0</v>
      </c>
      <c r="V50" s="620">
        <f t="shared" ca="1" si="132"/>
        <v>-2.2023993923401717</v>
      </c>
      <c r="W50" s="620">
        <f t="shared" ca="1" si="132"/>
        <v>0</v>
      </c>
      <c r="X50" s="620">
        <f t="shared" ca="1" si="123"/>
        <v>0</v>
      </c>
      <c r="Y50" s="620">
        <f t="shared" ca="1" si="123"/>
        <v>0</v>
      </c>
      <c r="Z50" s="620">
        <f t="shared" ca="1" si="123"/>
        <v>0</v>
      </c>
      <c r="AA50" s="620">
        <f t="shared" ca="1" si="132"/>
        <v>0</v>
      </c>
      <c r="AB50" s="620">
        <f t="shared" ca="1" si="132"/>
        <v>0</v>
      </c>
      <c r="AC50" s="620">
        <f t="shared" ca="1" si="132"/>
        <v>0</v>
      </c>
      <c r="AD50" s="620">
        <f t="shared" ca="1" si="132"/>
        <v>54.135182368629792</v>
      </c>
      <c r="AE50" s="620">
        <f t="shared" ca="1" si="132"/>
        <v>0.74346827555139616</v>
      </c>
      <c r="AF50" s="620">
        <f t="shared" ca="1" si="132"/>
        <v>21.184586003973315</v>
      </c>
      <c r="AG50" s="620">
        <f t="shared" ca="1" si="132"/>
        <v>9.9764846055529954</v>
      </c>
      <c r="AH50" s="620">
        <f t="shared" ca="1" si="132"/>
        <v>0</v>
      </c>
      <c r="AI50" s="620">
        <f t="shared" ca="1" si="132"/>
        <v>0</v>
      </c>
      <c r="AJ50" s="620">
        <f t="shared" ca="1" si="132"/>
        <v>0</v>
      </c>
      <c r="AK50" s="613">
        <f ca="1">SUM(S50:AJ50)</f>
        <v>83.251873921631329</v>
      </c>
      <c r="AM50" s="621">
        <f t="shared" ca="1" si="124"/>
        <v>0</v>
      </c>
      <c r="AN50" s="621">
        <f t="shared" ca="1" si="124"/>
        <v>0</v>
      </c>
      <c r="AO50" s="621">
        <f t="shared" ca="1" si="124"/>
        <v>0</v>
      </c>
      <c r="AP50" s="621">
        <f t="shared" ca="1" si="124"/>
        <v>0</v>
      </c>
      <c r="AQ50" s="621">
        <f t="shared" ca="1" si="124"/>
        <v>0</v>
      </c>
      <c r="AR50" s="621">
        <f t="shared" ca="1" si="124"/>
        <v>0</v>
      </c>
      <c r="AS50" s="621">
        <f t="shared" ca="1" si="124"/>
        <v>0</v>
      </c>
      <c r="AT50" s="621">
        <f t="shared" ca="1" si="124"/>
        <v>0</v>
      </c>
      <c r="AU50" s="621">
        <f t="shared" ca="1" si="124"/>
        <v>0</v>
      </c>
      <c r="AV50" s="621">
        <f t="shared" ref="AV50:BE50" ca="1" si="133">IFERROR(INDEX(INDIRECT($C50&amp;".Outputs["&amp;this.Year&amp;"]"), MATCH(AV$5, INDIRECT($C50&amp;".Outputs[Vector]"), 0)), 0)</f>
        <v>0</v>
      </c>
      <c r="AW50" s="621">
        <f t="shared" ca="1" si="133"/>
        <v>0</v>
      </c>
      <c r="AX50" s="621">
        <f t="shared" ca="1" si="133"/>
        <v>0</v>
      </c>
      <c r="AY50" s="621">
        <f t="shared" ca="1" si="133"/>
        <v>0</v>
      </c>
      <c r="AZ50" s="621">
        <f t="shared" ca="1" si="133"/>
        <v>0</v>
      </c>
      <c r="BA50" s="621">
        <f t="shared" ca="1" si="133"/>
        <v>0</v>
      </c>
      <c r="BB50" s="621">
        <f t="shared" ca="1" si="133"/>
        <v>0</v>
      </c>
      <c r="BC50" s="621">
        <f t="shared" ca="1" si="133"/>
        <v>0</v>
      </c>
      <c r="BD50" s="621">
        <f t="shared" ca="1" si="133"/>
        <v>-54.878650644181185</v>
      </c>
      <c r="BE50" s="621">
        <f t="shared" ca="1" si="133"/>
        <v>-31.161070609526313</v>
      </c>
      <c r="BF50" s="615">
        <f ca="1">SUM(AM50:BE50)</f>
        <v>-86.039721253707498</v>
      </c>
      <c r="BH50" s="3473">
        <f t="shared" ca="1" si="126"/>
        <v>0</v>
      </c>
      <c r="BI50" s="3473">
        <f t="shared" ca="1" si="126"/>
        <v>0</v>
      </c>
      <c r="BJ50" s="3462">
        <f ca="1">SUM(BH50:BI50)</f>
        <v>0</v>
      </c>
      <c r="BL50" s="610">
        <f ca="1">Q50+AK50+BF50+BJ50</f>
        <v>0</v>
      </c>
      <c r="BM50" s="610"/>
      <c r="BN50" s="413"/>
      <c r="BO50" s="2791">
        <f t="shared" ca="1" si="127"/>
        <v>0.58116915165072436</v>
      </c>
      <c r="BP50" s="2792">
        <f t="shared" ca="1" si="127"/>
        <v>4.9950418218275099E-4</v>
      </c>
      <c r="BQ50" s="2792">
        <f t="shared" ca="1" si="127"/>
        <v>1.474726633110979E-3</v>
      </c>
      <c r="BR50" s="2792">
        <f t="shared" ca="1" si="127"/>
        <v>0</v>
      </c>
      <c r="BS50" s="2792">
        <f t="shared" ca="1" si="127"/>
        <v>0</v>
      </c>
      <c r="BT50" s="2792">
        <f t="shared" ca="1" si="127"/>
        <v>0</v>
      </c>
      <c r="BU50" s="2792">
        <f t="shared" ca="1" si="127"/>
        <v>0</v>
      </c>
      <c r="BV50" s="2792">
        <f t="shared" ca="1" si="127"/>
        <v>0</v>
      </c>
      <c r="BW50" s="2792">
        <f t="shared" ca="1" si="127"/>
        <v>0</v>
      </c>
      <c r="BX50" s="2792">
        <f t="shared" ca="1" si="127"/>
        <v>0</v>
      </c>
      <c r="BY50" s="2792">
        <f t="shared" ca="1" si="128"/>
        <v>0</v>
      </c>
      <c r="BZ50" s="2792">
        <f t="shared" ca="1" si="128"/>
        <v>0</v>
      </c>
      <c r="CA50" s="2792">
        <f t="shared" ca="1" si="128"/>
        <v>0</v>
      </c>
      <c r="CB50" s="2792">
        <f t="shared" ca="1" si="128"/>
        <v>0</v>
      </c>
      <c r="CC50" s="2792">
        <f t="shared" ca="1" si="128"/>
        <v>0</v>
      </c>
      <c r="CD50" s="2792">
        <f t="shared" ca="1" si="128"/>
        <v>0</v>
      </c>
      <c r="CE50" s="2792">
        <f t="shared" ca="1" si="128"/>
        <v>0</v>
      </c>
      <c r="CF50" s="2792">
        <f t="shared" ca="1" si="128"/>
        <v>7.8636790414262387</v>
      </c>
      <c r="CG50" s="2792">
        <f t="shared" ca="1" si="128"/>
        <v>5.9121593570473818</v>
      </c>
      <c r="CH50" s="2792">
        <f t="shared" ca="1" si="128"/>
        <v>0</v>
      </c>
      <c r="CI50" s="2792">
        <f t="shared" ca="1" si="129"/>
        <v>-2.4850551056747112</v>
      </c>
      <c r="CJ50" s="2792">
        <f t="shared" ca="1" si="129"/>
        <v>0</v>
      </c>
      <c r="CK50" s="2792">
        <f t="shared" ca="1" si="129"/>
        <v>0</v>
      </c>
      <c r="CL50" s="2792">
        <f t="shared" ca="1" si="129"/>
        <v>0</v>
      </c>
      <c r="CM50" s="2792">
        <f t="shared" ca="1" si="129"/>
        <v>0</v>
      </c>
      <c r="CN50" s="2792">
        <f t="shared" ca="1" si="129"/>
        <v>0</v>
      </c>
      <c r="CO50" s="2792">
        <f t="shared" ca="1" si="129"/>
        <v>0</v>
      </c>
      <c r="CP50" s="2792">
        <f t="shared" ca="1" si="129"/>
        <v>0</v>
      </c>
      <c r="CQ50" s="2792">
        <f t="shared" ca="1" si="129"/>
        <v>0</v>
      </c>
      <c r="CR50" s="2792">
        <f t="shared" ca="1" si="129"/>
        <v>0</v>
      </c>
      <c r="CS50" s="2792">
        <f t="shared" ca="1" si="130"/>
        <v>0</v>
      </c>
      <c r="CT50" s="2792">
        <f t="shared" ca="1" si="130"/>
        <v>0</v>
      </c>
      <c r="CU50" s="2792">
        <f t="shared" ca="1" si="130"/>
        <v>0</v>
      </c>
      <c r="CV50" s="2792">
        <f t="shared" ca="1" si="130"/>
        <v>0</v>
      </c>
      <c r="CW50" s="2792">
        <f t="shared" ca="1" si="130"/>
        <v>0</v>
      </c>
      <c r="CX50" s="2792">
        <f t="shared" ca="1" si="130"/>
        <v>0</v>
      </c>
      <c r="CY50" s="2792">
        <f t="shared" ca="1" si="130"/>
        <v>0</v>
      </c>
      <c r="CZ50" s="2792">
        <f t="shared" ca="1" si="130"/>
        <v>0</v>
      </c>
      <c r="DA50" s="2792">
        <f t="shared" ca="1" si="130"/>
        <v>0</v>
      </c>
      <c r="DB50" s="2792">
        <f t="shared" ca="1" si="130"/>
        <v>0</v>
      </c>
      <c r="DC50" s="2792">
        <f t="shared" ca="1" si="130"/>
        <v>0</v>
      </c>
      <c r="DD50" s="2792">
        <f t="shared" ca="1" si="130"/>
        <v>0</v>
      </c>
      <c r="DE50" s="2792">
        <f t="shared" ca="1" si="130"/>
        <v>0</v>
      </c>
      <c r="DF50" s="2792">
        <f t="shared" ca="1" si="130"/>
        <v>0</v>
      </c>
      <c r="DH50" s="596">
        <f t="shared" ca="1" si="120"/>
        <v>11.873926675264929</v>
      </c>
    </row>
    <row r="51" spans="1:112" s="6" customFormat="1" ht="15.75">
      <c r="A51" s="4"/>
      <c r="B51" s="3"/>
      <c r="C51" s="616" t="s">
        <v>512</v>
      </c>
      <c r="D51" s="617" t="s">
        <v>513</v>
      </c>
      <c r="E51" s="206"/>
      <c r="G51" s="618">
        <f ca="1">SUM(G48:G50)</f>
        <v>0</v>
      </c>
      <c r="H51" s="618">
        <f t="shared" ref="H51:P51" ca="1" si="134">SUM(H48:H50)</f>
        <v>0</v>
      </c>
      <c r="I51" s="618">
        <f t="shared" ca="1" si="134"/>
        <v>2.7878473320761668</v>
      </c>
      <c r="J51" s="618">
        <f t="shared" ca="1" si="134"/>
        <v>0</v>
      </c>
      <c r="K51" s="618">
        <f t="shared" ca="1" si="134"/>
        <v>0</v>
      </c>
      <c r="L51" s="618">
        <f t="shared" ca="1" si="134"/>
        <v>0</v>
      </c>
      <c r="M51" s="618">
        <f t="shared" ca="1" si="134"/>
        <v>0</v>
      </c>
      <c r="N51" s="618">
        <f t="shared" ca="1" si="134"/>
        <v>0</v>
      </c>
      <c r="O51" s="618">
        <f t="shared" ca="1" si="134"/>
        <v>0</v>
      </c>
      <c r="P51" s="618">
        <f t="shared" ca="1" si="134"/>
        <v>0</v>
      </c>
      <c r="Q51" s="618">
        <f ca="1">SUM(G51:P51)</f>
        <v>2.7878473320761668</v>
      </c>
      <c r="S51" s="581">
        <f t="shared" ref="S51:AJ51" ca="1" si="135">SUM(S48:S50)</f>
        <v>-0.58544793973599496</v>
      </c>
      <c r="T51" s="581">
        <f t="shared" ca="1" si="135"/>
        <v>0</v>
      </c>
      <c r="U51" s="581">
        <f t="shared" ca="1" si="135"/>
        <v>0</v>
      </c>
      <c r="V51" s="581">
        <f t="shared" ca="1" si="135"/>
        <v>-2.2023993923401717</v>
      </c>
      <c r="W51" s="581">
        <f t="shared" ca="1" si="135"/>
        <v>0</v>
      </c>
      <c r="X51" s="581">
        <f t="shared" ca="1" si="135"/>
        <v>0.22186590218798416</v>
      </c>
      <c r="Y51" s="581">
        <f t="shared" ca="1" si="135"/>
        <v>0</v>
      </c>
      <c r="Z51" s="581">
        <f t="shared" ca="1" si="135"/>
        <v>0</v>
      </c>
      <c r="AA51" s="581">
        <f t="shared" ca="1" si="135"/>
        <v>0</v>
      </c>
      <c r="AB51" s="581">
        <f t="shared" ca="1" si="135"/>
        <v>0</v>
      </c>
      <c r="AC51" s="581">
        <f t="shared" ca="1" si="135"/>
        <v>0</v>
      </c>
      <c r="AD51" s="581">
        <f t="shared" ca="1" si="135"/>
        <v>54.135182368629792</v>
      </c>
      <c r="AE51" s="581">
        <f ca="1">SUM(AE48:AE50)</f>
        <v>0.74346827555139616</v>
      </c>
      <c r="AF51" s="581">
        <f t="shared" ca="1" si="135"/>
        <v>21.598415710930002</v>
      </c>
      <c r="AG51" s="581">
        <f t="shared" ca="1" si="135"/>
        <v>17.935298834659971</v>
      </c>
      <c r="AH51" s="581">
        <f ca="1">SUM(AH48:AH50)</f>
        <v>0.15626201242516538</v>
      </c>
      <c r="AI51" s="581">
        <f t="shared" ca="1" si="135"/>
        <v>0</v>
      </c>
      <c r="AJ51" s="581">
        <f t="shared" ca="1" si="135"/>
        <v>0</v>
      </c>
      <c r="AK51" s="581">
        <f ca="1">SUM(S51:AJ51)</f>
        <v>92.002645772308142</v>
      </c>
      <c r="AM51" s="582">
        <f t="shared" ref="AM51:BE51" ca="1" si="136">SUM(AM48:AM50)</f>
        <v>0</v>
      </c>
      <c r="AN51" s="582">
        <f t="shared" ca="1" si="136"/>
        <v>0</v>
      </c>
      <c r="AO51" s="582">
        <f t="shared" ca="1" si="136"/>
        <v>0</v>
      </c>
      <c r="AP51" s="582">
        <f t="shared" ca="1" si="136"/>
        <v>0</v>
      </c>
      <c r="AQ51" s="582">
        <f t="shared" ca="1" si="136"/>
        <v>0</v>
      </c>
      <c r="AR51" s="582">
        <f t="shared" ca="1" si="136"/>
        <v>0</v>
      </c>
      <c r="AS51" s="582">
        <f t="shared" ca="1" si="136"/>
        <v>0</v>
      </c>
      <c r="AT51" s="582">
        <f t="shared" ca="1" si="136"/>
        <v>0</v>
      </c>
      <c r="AU51" s="582">
        <f t="shared" ca="1" si="136"/>
        <v>0</v>
      </c>
      <c r="AV51" s="582">
        <f t="shared" ca="1" si="136"/>
        <v>0</v>
      </c>
      <c r="AW51" s="582">
        <f t="shared" ca="1" si="136"/>
        <v>0</v>
      </c>
      <c r="AX51" s="582">
        <f t="shared" ca="1" si="136"/>
        <v>0</v>
      </c>
      <c r="AY51" s="582">
        <f t="shared" ca="1" si="136"/>
        <v>0</v>
      </c>
      <c r="AZ51" s="582">
        <f t="shared" ca="1" si="136"/>
        <v>0</v>
      </c>
      <c r="BA51" s="582">
        <f t="shared" ca="1" si="136"/>
        <v>0</v>
      </c>
      <c r="BB51" s="582">
        <f t="shared" ca="1" si="136"/>
        <v>0</v>
      </c>
      <c r="BC51" s="582">
        <f t="shared" ca="1" si="136"/>
        <v>0</v>
      </c>
      <c r="BD51" s="582">
        <f t="shared" ca="1" si="136"/>
        <v>-62.656428421958964</v>
      </c>
      <c r="BE51" s="582">
        <f t="shared" ca="1" si="136"/>
        <v>-32.134064682425347</v>
      </c>
      <c r="BF51" s="582">
        <f ca="1">SUM(AM51:BE51)</f>
        <v>-94.790493104384311</v>
      </c>
      <c r="BH51" s="3463">
        <f ca="1">SUM(BH48:BH50)</f>
        <v>0</v>
      </c>
      <c r="BI51" s="3463">
        <f ca="1">SUM(BI48:BI50)</f>
        <v>0</v>
      </c>
      <c r="BJ51" s="3463">
        <f ca="1">SUM(BH51:BI51)</f>
        <v>0</v>
      </c>
      <c r="BL51" s="3477">
        <f ca="1">Q51+AK51+BF51+BJ51</f>
        <v>0</v>
      </c>
      <c r="BM51" s="584"/>
      <c r="BN51" s="413"/>
      <c r="BO51" s="2790">
        <f t="shared" ref="BO51:DF51" ca="1" si="137">SUM(BO48:BO50)</f>
        <v>0.58116915165072436</v>
      </c>
      <c r="BP51" s="2790">
        <f t="shared" ca="1" si="137"/>
        <v>4.9950418218275099E-4</v>
      </c>
      <c r="BQ51" s="2790">
        <f t="shared" ca="1" si="137"/>
        <v>1.474726633110979E-3</v>
      </c>
      <c r="BR51" s="2790">
        <f t="shared" ca="1" si="137"/>
        <v>0</v>
      </c>
      <c r="BS51" s="2790">
        <f t="shared" ca="1" si="137"/>
        <v>0</v>
      </c>
      <c r="BT51" s="2790">
        <f t="shared" ca="1" si="137"/>
        <v>0</v>
      </c>
      <c r="BU51" s="2790">
        <f t="shared" ca="1" si="137"/>
        <v>0</v>
      </c>
      <c r="BV51" s="2790">
        <f t="shared" ca="1" si="137"/>
        <v>0</v>
      </c>
      <c r="BW51" s="2790">
        <f t="shared" ca="1" si="137"/>
        <v>0</v>
      </c>
      <c r="BX51" s="2790">
        <f t="shared" ca="1" si="137"/>
        <v>0</v>
      </c>
      <c r="BY51" s="2790">
        <f t="shared" ca="1" si="137"/>
        <v>0</v>
      </c>
      <c r="BZ51" s="2790">
        <f t="shared" ca="1" si="137"/>
        <v>0</v>
      </c>
      <c r="CA51" s="2790">
        <f t="shared" ca="1" si="137"/>
        <v>0</v>
      </c>
      <c r="CB51" s="2790">
        <f t="shared" ca="1" si="137"/>
        <v>0</v>
      </c>
      <c r="CC51" s="2790">
        <f t="shared" ca="1" si="137"/>
        <v>0</v>
      </c>
      <c r="CD51" s="2790">
        <f t="shared" ca="1" si="137"/>
        <v>0</v>
      </c>
      <c r="CE51" s="2790">
        <f t="shared" ca="1" si="137"/>
        <v>0</v>
      </c>
      <c r="CF51" s="2790">
        <f t="shared" ca="1" si="137"/>
        <v>7.8636790414262387</v>
      </c>
      <c r="CG51" s="2790">
        <f t="shared" ca="1" si="137"/>
        <v>5.9121593570473818</v>
      </c>
      <c r="CH51" s="2790">
        <f t="shared" ca="1" si="137"/>
        <v>0</v>
      </c>
      <c r="CI51" s="2790">
        <f t="shared" ca="1" si="137"/>
        <v>-2.4850551056747112</v>
      </c>
      <c r="CJ51" s="2790">
        <f t="shared" ca="1" si="137"/>
        <v>0</v>
      </c>
      <c r="CK51" s="2790">
        <f t="shared" ca="1" si="137"/>
        <v>0</v>
      </c>
      <c r="CL51" s="2790">
        <f t="shared" ca="1" si="137"/>
        <v>0</v>
      </c>
      <c r="CM51" s="2790">
        <f t="shared" ca="1" si="137"/>
        <v>0</v>
      </c>
      <c r="CN51" s="2790">
        <f t="shared" ca="1" si="137"/>
        <v>0.41798160141775098</v>
      </c>
      <c r="CO51" s="2790">
        <f t="shared" ca="1" si="137"/>
        <v>6.1171082142857144E-2</v>
      </c>
      <c r="CP51" s="2790">
        <f t="shared" ca="1" si="137"/>
        <v>0</v>
      </c>
      <c r="CQ51" s="2790">
        <f t="shared" ca="1" si="137"/>
        <v>0</v>
      </c>
      <c r="CR51" s="2790">
        <f t="shared" ca="1" si="137"/>
        <v>0</v>
      </c>
      <c r="CS51" s="2790">
        <f t="shared" ca="1" si="137"/>
        <v>0</v>
      </c>
      <c r="CT51" s="2790">
        <f t="shared" ca="1" si="137"/>
        <v>0</v>
      </c>
      <c r="CU51" s="2790">
        <f t="shared" ca="1" si="137"/>
        <v>0</v>
      </c>
      <c r="CV51" s="2790">
        <f t="shared" ca="1" si="137"/>
        <v>0</v>
      </c>
      <c r="CW51" s="2790">
        <f t="shared" ca="1" si="137"/>
        <v>0</v>
      </c>
      <c r="CX51" s="2790">
        <f t="shared" ca="1" si="137"/>
        <v>0</v>
      </c>
      <c r="CY51" s="2790">
        <f t="shared" ca="1" si="137"/>
        <v>0</v>
      </c>
      <c r="CZ51" s="2790">
        <f t="shared" ca="1" si="137"/>
        <v>0</v>
      </c>
      <c r="DA51" s="2790">
        <f t="shared" ca="1" si="137"/>
        <v>0</v>
      </c>
      <c r="DB51" s="2790">
        <f t="shared" ca="1" si="137"/>
        <v>0</v>
      </c>
      <c r="DC51" s="2790">
        <f t="shared" ca="1" si="137"/>
        <v>0</v>
      </c>
      <c r="DD51" s="2790">
        <f t="shared" ca="1" si="137"/>
        <v>0</v>
      </c>
      <c r="DE51" s="2790">
        <f t="shared" ca="1" si="137"/>
        <v>0</v>
      </c>
      <c r="DF51" s="2790">
        <f t="shared" ca="1" si="137"/>
        <v>0</v>
      </c>
      <c r="DH51" s="596">
        <f t="shared" ca="1" si="120"/>
        <v>12.353079358825537</v>
      </c>
    </row>
    <row r="52" spans="1:112" s="6" customFormat="1" ht="12.75" customHeight="1" outlineLevel="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20"/>
        <v>0</v>
      </c>
    </row>
    <row r="53" spans="1:112" s="6" customFormat="1" outlineLevel="1">
      <c r="A53" s="607"/>
      <c r="B53" s="607"/>
      <c r="C53" s="651" t="s">
        <v>514</v>
      </c>
      <c r="D53" s="588" t="s">
        <v>515</v>
      </c>
      <c r="E53" s="588"/>
      <c r="G53" s="589">
        <f t="shared" ref="G53:P54" ca="1" si="138">IFERROR(INDEX(INDIRECT($C53&amp;".Outputs["&amp;this.Year&amp;"]"), MATCH(G$5, INDIRECT($C53&amp;".Outputs[Vector]"), 0)), 0)</f>
        <v>0</v>
      </c>
      <c r="H53" s="589">
        <f t="shared" ca="1" si="138"/>
        <v>0</v>
      </c>
      <c r="I53" s="589">
        <f t="shared" ca="1" si="138"/>
        <v>0</v>
      </c>
      <c r="J53" s="589">
        <f t="shared" ca="1" si="138"/>
        <v>0</v>
      </c>
      <c r="K53" s="589">
        <f t="shared" ca="1" si="138"/>
        <v>0</v>
      </c>
      <c r="L53" s="589">
        <f t="shared" ca="1" si="138"/>
        <v>0</v>
      </c>
      <c r="M53" s="589">
        <f t="shared" ca="1" si="138"/>
        <v>0</v>
      </c>
      <c r="N53" s="589">
        <f t="shared" ca="1" si="138"/>
        <v>0</v>
      </c>
      <c r="O53" s="589">
        <f t="shared" ca="1" si="138"/>
        <v>0</v>
      </c>
      <c r="P53" s="589">
        <f t="shared" ca="1" si="138"/>
        <v>0</v>
      </c>
      <c r="Q53" s="590">
        <f ca="1">SUM(G53:P53)</f>
        <v>0</v>
      </c>
      <c r="S53" s="591">
        <f t="shared" ref="S53:AJ54" ca="1" si="139">IFERROR(INDEX(INDIRECT($C53&amp;".Outputs["&amp;this.Year&amp;"]"), MATCH(S$5, INDIRECT($C53&amp;".Outputs[Vector]"), 0)), 0)</f>
        <v>-0.22598810482362028</v>
      </c>
      <c r="T53" s="591">
        <f t="shared" ca="1" si="139"/>
        <v>0</v>
      </c>
      <c r="U53" s="591">
        <f t="shared" ca="1" si="139"/>
        <v>0</v>
      </c>
      <c r="V53" s="591">
        <f t="shared" ca="1" si="139"/>
        <v>-1.8522858135888711</v>
      </c>
      <c r="W53" s="591">
        <f t="shared" ca="1" si="139"/>
        <v>-8.2401953248703863E-2</v>
      </c>
      <c r="X53" s="591">
        <f t="shared" ref="X53:Z54" ca="1" si="140">IFERROR(INDEX(INDIRECT($C53&amp;".Outputs["&amp;this.Year&amp;"]"), MATCH(X$5, INDIRECT($C53&amp;".Outputs[Vector]"), 0)), 0)</f>
        <v>0</v>
      </c>
      <c r="Y53" s="591">
        <f t="shared" ca="1" si="140"/>
        <v>0</v>
      </c>
      <c r="Z53" s="591">
        <f t="shared" ca="1" si="140"/>
        <v>0</v>
      </c>
      <c r="AA53" s="591">
        <f t="shared" ca="1" si="139"/>
        <v>0</v>
      </c>
      <c r="AB53" s="591">
        <f t="shared" ca="1" si="139"/>
        <v>-2.6537999724419409E-2</v>
      </c>
      <c r="AC53" s="591">
        <f t="shared" ca="1" si="139"/>
        <v>0</v>
      </c>
      <c r="AD53" s="591">
        <f t="shared" ca="1" si="139"/>
        <v>0</v>
      </c>
      <c r="AE53" s="591">
        <f t="shared" ca="1" si="139"/>
        <v>0</v>
      </c>
      <c r="AF53" s="591">
        <f t="shared" ca="1" si="139"/>
        <v>0</v>
      </c>
      <c r="AG53" s="591">
        <f t="shared" ca="1" si="139"/>
        <v>0</v>
      </c>
      <c r="AH53" s="591">
        <f t="shared" ca="1" si="139"/>
        <v>0</v>
      </c>
      <c r="AI53" s="591">
        <f t="shared" ca="1" si="139"/>
        <v>0</v>
      </c>
      <c r="AJ53" s="591">
        <f t="shared" ca="1" si="139"/>
        <v>0</v>
      </c>
      <c r="AK53" s="592">
        <f ca="1">SUM(S53:AJ53)</f>
        <v>-2.1872138713856146</v>
      </c>
      <c r="AM53" s="593">
        <f t="shared" ref="AM53:AU54" ca="1" si="141">IFERROR(INDEX(INDIRECT($C53&amp;".Outputs["&amp;this.Year&amp;"]"), MATCH(AM$5, INDIRECT($C53&amp;".Outputs[Vector]"), 0)), 0)</f>
        <v>0</v>
      </c>
      <c r="AN53" s="593">
        <f t="shared" ca="1" si="141"/>
        <v>0</v>
      </c>
      <c r="AO53" s="593">
        <f t="shared" ca="1" si="141"/>
        <v>0</v>
      </c>
      <c r="AP53" s="593">
        <f t="shared" ca="1" si="141"/>
        <v>0</v>
      </c>
      <c r="AQ53" s="593">
        <f t="shared" ca="1" si="141"/>
        <v>0</v>
      </c>
      <c r="AR53" s="593">
        <f t="shared" ca="1" si="141"/>
        <v>0</v>
      </c>
      <c r="AS53" s="593">
        <f t="shared" ca="1" si="141"/>
        <v>0</v>
      </c>
      <c r="AT53" s="593">
        <f t="shared" ca="1" si="141"/>
        <v>0</v>
      </c>
      <c r="AU53" s="593">
        <f t="shared" ca="1" si="141"/>
        <v>0</v>
      </c>
      <c r="AV53" s="593">
        <f t="shared" ref="AV53:BE54" ca="1" si="142">IFERROR(INDEX(INDIRECT($C53&amp;".Outputs["&amp;this.Year&amp;"]"), MATCH(AV$5, INDIRECT($C53&amp;".Outputs[Vector]"), 0)), 0)</f>
        <v>0</v>
      </c>
      <c r="AW53" s="593">
        <f t="shared" ca="1" si="142"/>
        <v>0</v>
      </c>
      <c r="AX53" s="593">
        <f t="shared" ca="1" si="142"/>
        <v>0</v>
      </c>
      <c r="AY53" s="593">
        <f t="shared" ca="1" si="142"/>
        <v>0</v>
      </c>
      <c r="AZ53" s="593">
        <f t="shared" ca="1" si="142"/>
        <v>0</v>
      </c>
      <c r="BA53" s="593">
        <f t="shared" ca="1" si="142"/>
        <v>0</v>
      </c>
      <c r="BB53" s="593">
        <f t="shared" ca="1" si="142"/>
        <v>0</v>
      </c>
      <c r="BC53" s="593">
        <f t="shared" ca="1" si="142"/>
        <v>0</v>
      </c>
      <c r="BD53" s="593">
        <f t="shared" ca="1" si="142"/>
        <v>0</v>
      </c>
      <c r="BE53" s="593">
        <f t="shared" ca="1" si="142"/>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43">IFERROR(SUMIFS(INDIRECT($C53&amp;".Emissions["&amp;this.Year&amp;"]"), INDIRECT($C53&amp;".Emissions[GHG]"), BO$6, INDIRECT($C53&amp;".Emissions[IPCC Sector]"), BO$5),0)</f>
        <v>0.50565060724124977</v>
      </c>
      <c r="BP53" s="2790">
        <f t="shared" ca="1" si="143"/>
        <v>4.2632801018755801E-4</v>
      </c>
      <c r="BQ53" s="2790">
        <f t="shared" ca="1" si="143"/>
        <v>1.5069762622732133E-3</v>
      </c>
      <c r="BR53" s="2790">
        <f t="shared" ca="1" si="143"/>
        <v>0</v>
      </c>
      <c r="BS53" s="2790">
        <f t="shared" ca="1" si="143"/>
        <v>0</v>
      </c>
      <c r="BT53" s="2790">
        <f t="shared" ca="1" si="143"/>
        <v>0</v>
      </c>
      <c r="BU53" s="2790">
        <f t="shared" ca="1" si="143"/>
        <v>0</v>
      </c>
      <c r="BV53" s="2790">
        <f t="shared" ca="1" si="143"/>
        <v>0</v>
      </c>
      <c r="BW53" s="2790">
        <f t="shared" ca="1" si="143"/>
        <v>0</v>
      </c>
      <c r="BX53" s="2790">
        <f t="shared" ca="1" si="143"/>
        <v>0</v>
      </c>
      <c r="BY53" s="2790">
        <f t="shared" ref="BY53:CH54" ca="1" si="144">IFERROR(SUMIFS(INDIRECT($C53&amp;".Emissions["&amp;this.Year&amp;"]"), INDIRECT($C53&amp;".Emissions[GHG]"), BY$6, INDIRECT($C53&amp;".Emissions[IPCC Sector]"), BY$5),0)</f>
        <v>0</v>
      </c>
      <c r="BZ53" s="2790">
        <f t="shared" ca="1" si="144"/>
        <v>0</v>
      </c>
      <c r="CA53" s="2790">
        <f t="shared" ca="1" si="144"/>
        <v>0</v>
      </c>
      <c r="CB53" s="2790">
        <f t="shared" ca="1" si="144"/>
        <v>0</v>
      </c>
      <c r="CC53" s="2790">
        <f t="shared" ca="1" si="144"/>
        <v>0</v>
      </c>
      <c r="CD53" s="2790">
        <f t="shared" ca="1" si="144"/>
        <v>0</v>
      </c>
      <c r="CE53" s="2790">
        <f t="shared" ca="1" si="144"/>
        <v>0</v>
      </c>
      <c r="CF53" s="2790">
        <f t="shared" ca="1" si="144"/>
        <v>0</v>
      </c>
      <c r="CG53" s="2790">
        <f t="shared" ca="1" si="144"/>
        <v>0</v>
      </c>
      <c r="CH53" s="2790">
        <f t="shared" ca="1" si="144"/>
        <v>0</v>
      </c>
      <c r="CI53" s="2790">
        <f t="shared" ref="CI53:CR54" ca="1" si="145">IFERROR(SUMIFS(INDIRECT($C53&amp;".Emissions["&amp;this.Year&amp;"]"), INDIRECT($C53&amp;".Emissions[GHG]"), CI$6, INDIRECT($C53&amp;".Emissions[IPCC Sector]"), CI$5),0)</f>
        <v>0</v>
      </c>
      <c r="CJ53" s="2790">
        <f t="shared" ca="1" si="145"/>
        <v>0</v>
      </c>
      <c r="CK53" s="2790">
        <f t="shared" ca="1" si="145"/>
        <v>0</v>
      </c>
      <c r="CL53" s="2790">
        <f t="shared" ca="1" si="145"/>
        <v>0</v>
      </c>
      <c r="CM53" s="2790">
        <f t="shared" ca="1" si="145"/>
        <v>0</v>
      </c>
      <c r="CN53" s="2790">
        <f t="shared" ca="1" si="145"/>
        <v>0</v>
      </c>
      <c r="CO53" s="2790">
        <f t="shared" ca="1" si="145"/>
        <v>0</v>
      </c>
      <c r="CP53" s="2790">
        <f t="shared" ca="1" si="145"/>
        <v>0</v>
      </c>
      <c r="CQ53" s="2790">
        <f t="shared" ca="1" si="145"/>
        <v>0</v>
      </c>
      <c r="CR53" s="2790">
        <f t="shared" ca="1" si="145"/>
        <v>0</v>
      </c>
      <c r="CS53" s="2790">
        <f t="shared" ref="CS53:DF54" ca="1" si="146">IFERROR(SUMIFS(INDIRECT($C53&amp;".Emissions["&amp;this.Year&amp;"]"), INDIRECT($C53&amp;".Emissions[GHG]"), CS$6, INDIRECT($C53&amp;".Emissions[IPCC Sector]"), CS$5),0)</f>
        <v>0</v>
      </c>
      <c r="CT53" s="2790">
        <f t="shared" ca="1" si="146"/>
        <v>0</v>
      </c>
      <c r="CU53" s="2790">
        <f t="shared" ca="1" si="146"/>
        <v>0</v>
      </c>
      <c r="CV53" s="2790">
        <f t="shared" ca="1" si="146"/>
        <v>0</v>
      </c>
      <c r="CW53" s="2790">
        <f t="shared" ca="1" si="146"/>
        <v>0</v>
      </c>
      <c r="CX53" s="2790">
        <f t="shared" ca="1" si="146"/>
        <v>0</v>
      </c>
      <c r="CY53" s="2790">
        <f t="shared" ca="1" si="146"/>
        <v>0</v>
      </c>
      <c r="CZ53" s="2790">
        <f t="shared" ca="1" si="146"/>
        <v>0</v>
      </c>
      <c r="DA53" s="2790">
        <f t="shared" ca="1" si="146"/>
        <v>0</v>
      </c>
      <c r="DB53" s="2790">
        <f t="shared" ca="1" si="146"/>
        <v>0</v>
      </c>
      <c r="DC53" s="2790">
        <f t="shared" ca="1" si="146"/>
        <v>0</v>
      </c>
      <c r="DD53" s="2790">
        <f t="shared" ca="1" si="146"/>
        <v>0</v>
      </c>
      <c r="DE53" s="2790">
        <f t="shared" ca="1" si="146"/>
        <v>0</v>
      </c>
      <c r="DF53" s="2790">
        <f t="shared" ca="1" si="146"/>
        <v>0</v>
      </c>
      <c r="DH53" s="596">
        <f t="shared" ca="1" si="120"/>
        <v>0.50758391151371063</v>
      </c>
    </row>
    <row r="54" spans="1:112" s="6" customFormat="1" outlineLevel="1">
      <c r="A54" s="607"/>
      <c r="B54" s="607"/>
      <c r="C54" s="651" t="s">
        <v>516</v>
      </c>
      <c r="D54" s="611" t="s">
        <v>517</v>
      </c>
      <c r="E54" s="611"/>
      <c r="G54" s="619">
        <f t="shared" ca="1" si="138"/>
        <v>0</v>
      </c>
      <c r="H54" s="619">
        <f t="shared" ca="1" si="138"/>
        <v>0</v>
      </c>
      <c r="I54" s="619">
        <f t="shared" ca="1" si="138"/>
        <v>0</v>
      </c>
      <c r="J54" s="619">
        <f t="shared" ca="1" si="138"/>
        <v>0</v>
      </c>
      <c r="K54" s="619">
        <f t="shared" ca="1" si="138"/>
        <v>0</v>
      </c>
      <c r="L54" s="619">
        <f t="shared" ca="1" si="138"/>
        <v>0</v>
      </c>
      <c r="M54" s="619">
        <f t="shared" ca="1" si="138"/>
        <v>0</v>
      </c>
      <c r="N54" s="619">
        <f t="shared" ca="1" si="138"/>
        <v>0</v>
      </c>
      <c r="O54" s="619">
        <f t="shared" ca="1" si="138"/>
        <v>0</v>
      </c>
      <c r="P54" s="619">
        <f t="shared" ca="1" si="138"/>
        <v>0</v>
      </c>
      <c r="Q54" s="612">
        <f ca="1">SUM(G54:P54)</f>
        <v>0</v>
      </c>
      <c r="S54" s="620">
        <f t="shared" ca="1" si="139"/>
        <v>0</v>
      </c>
      <c r="T54" s="620">
        <f t="shared" ca="1" si="139"/>
        <v>0</v>
      </c>
      <c r="U54" s="620">
        <f t="shared" ca="1" si="139"/>
        <v>0</v>
      </c>
      <c r="V54" s="620">
        <f t="shared" ca="1" si="139"/>
        <v>0</v>
      </c>
      <c r="W54" s="620">
        <f t="shared" ca="1" si="139"/>
        <v>0</v>
      </c>
      <c r="X54" s="620">
        <f t="shared" ca="1" si="140"/>
        <v>0</v>
      </c>
      <c r="Y54" s="620">
        <f t="shared" ca="1" si="140"/>
        <v>0</v>
      </c>
      <c r="Z54" s="620">
        <f t="shared" ca="1" si="140"/>
        <v>0</v>
      </c>
      <c r="AA54" s="620">
        <f t="shared" ca="1" si="139"/>
        <v>0</v>
      </c>
      <c r="AB54" s="620">
        <f t="shared" ca="1" si="139"/>
        <v>0</v>
      </c>
      <c r="AC54" s="620">
        <f t="shared" ca="1" si="139"/>
        <v>0</v>
      </c>
      <c r="AD54" s="620">
        <f t="shared" ca="1" si="139"/>
        <v>0</v>
      </c>
      <c r="AE54" s="620">
        <f t="shared" ca="1" si="139"/>
        <v>0</v>
      </c>
      <c r="AF54" s="620">
        <f t="shared" ca="1" si="139"/>
        <v>0</v>
      </c>
      <c r="AG54" s="620">
        <f t="shared" ca="1" si="139"/>
        <v>0</v>
      </c>
      <c r="AH54" s="620">
        <f t="shared" ca="1" si="139"/>
        <v>0</v>
      </c>
      <c r="AI54" s="620">
        <f t="shared" ca="1" si="139"/>
        <v>0</v>
      </c>
      <c r="AJ54" s="620">
        <f t="shared" ca="1" si="139"/>
        <v>0</v>
      </c>
      <c r="AK54" s="613">
        <f ca="1">SUM(S54:AJ54)</f>
        <v>0</v>
      </c>
      <c r="AM54" s="621">
        <f t="shared" ca="1" si="141"/>
        <v>0</v>
      </c>
      <c r="AN54" s="621">
        <f t="shared" ca="1" si="141"/>
        <v>0</v>
      </c>
      <c r="AO54" s="621">
        <f t="shared" ca="1" si="141"/>
        <v>0</v>
      </c>
      <c r="AP54" s="621">
        <f t="shared" ca="1" si="141"/>
        <v>0</v>
      </c>
      <c r="AQ54" s="621">
        <f t="shared" ca="1" si="141"/>
        <v>0</v>
      </c>
      <c r="AR54" s="621">
        <f t="shared" ca="1" si="141"/>
        <v>0</v>
      </c>
      <c r="AS54" s="621">
        <f t="shared" ca="1" si="141"/>
        <v>0</v>
      </c>
      <c r="AT54" s="621">
        <f t="shared" ca="1" si="141"/>
        <v>0</v>
      </c>
      <c r="AU54" s="621">
        <f t="shared" ca="1" si="141"/>
        <v>0</v>
      </c>
      <c r="AV54" s="621">
        <f t="shared" ca="1" si="142"/>
        <v>0</v>
      </c>
      <c r="AW54" s="621">
        <f t="shared" ca="1" si="142"/>
        <v>0</v>
      </c>
      <c r="AX54" s="621">
        <f t="shared" ca="1" si="142"/>
        <v>0</v>
      </c>
      <c r="AY54" s="621">
        <f t="shared" ca="1" si="142"/>
        <v>0</v>
      </c>
      <c r="AZ54" s="621">
        <f t="shared" ca="1" si="142"/>
        <v>0</v>
      </c>
      <c r="BA54" s="621">
        <f t="shared" ca="1" si="142"/>
        <v>0</v>
      </c>
      <c r="BB54" s="621">
        <f t="shared" ca="1" si="142"/>
        <v>0</v>
      </c>
      <c r="BC54" s="621">
        <f t="shared" ca="1" si="142"/>
        <v>0</v>
      </c>
      <c r="BD54" s="621">
        <f t="shared" ca="1" si="142"/>
        <v>0</v>
      </c>
      <c r="BE54" s="621">
        <f t="shared" ca="1" si="142"/>
        <v>0</v>
      </c>
      <c r="BF54" s="615">
        <f ca="1">SUM(AM54:BE54)</f>
        <v>0</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43"/>
        <v>0</v>
      </c>
      <c r="BP54" s="2792">
        <f t="shared" ca="1" si="143"/>
        <v>0</v>
      </c>
      <c r="BQ54" s="2792">
        <f t="shared" ca="1" si="143"/>
        <v>0</v>
      </c>
      <c r="BR54" s="2792">
        <f t="shared" ca="1" si="143"/>
        <v>0</v>
      </c>
      <c r="BS54" s="2792">
        <f t="shared" ca="1" si="143"/>
        <v>0</v>
      </c>
      <c r="BT54" s="2792">
        <f t="shared" ca="1" si="143"/>
        <v>0</v>
      </c>
      <c r="BU54" s="2792">
        <f t="shared" ca="1" si="143"/>
        <v>0</v>
      </c>
      <c r="BV54" s="2792">
        <f t="shared" ca="1" si="143"/>
        <v>0</v>
      </c>
      <c r="BW54" s="2792">
        <f t="shared" ca="1" si="143"/>
        <v>0</v>
      </c>
      <c r="BX54" s="2792">
        <f t="shared" ca="1" si="143"/>
        <v>0</v>
      </c>
      <c r="BY54" s="2792">
        <f t="shared" ca="1" si="144"/>
        <v>0</v>
      </c>
      <c r="BZ54" s="2792">
        <f t="shared" ca="1" si="144"/>
        <v>0</v>
      </c>
      <c r="CA54" s="2792">
        <f t="shared" ca="1" si="144"/>
        <v>0</v>
      </c>
      <c r="CB54" s="2792">
        <f t="shared" ca="1" si="144"/>
        <v>0</v>
      </c>
      <c r="CC54" s="2792">
        <f t="shared" ca="1" si="144"/>
        <v>0</v>
      </c>
      <c r="CD54" s="2792">
        <f t="shared" ca="1" si="144"/>
        <v>0</v>
      </c>
      <c r="CE54" s="2792">
        <f t="shared" ca="1" si="144"/>
        <v>0</v>
      </c>
      <c r="CF54" s="2792">
        <f t="shared" ca="1" si="144"/>
        <v>0</v>
      </c>
      <c r="CG54" s="2792">
        <f t="shared" ca="1" si="144"/>
        <v>0</v>
      </c>
      <c r="CH54" s="2792">
        <f t="shared" ca="1" si="144"/>
        <v>0</v>
      </c>
      <c r="CI54" s="2792">
        <f t="shared" ca="1" si="145"/>
        <v>0</v>
      </c>
      <c r="CJ54" s="2792">
        <f t="shared" ca="1" si="145"/>
        <v>0</v>
      </c>
      <c r="CK54" s="2792">
        <f t="shared" ca="1" si="145"/>
        <v>0</v>
      </c>
      <c r="CL54" s="2792">
        <f t="shared" ca="1" si="145"/>
        <v>0</v>
      </c>
      <c r="CM54" s="2792">
        <f t="shared" ca="1" si="145"/>
        <v>0</v>
      </c>
      <c r="CN54" s="2792">
        <f t="shared" ca="1" si="145"/>
        <v>0</v>
      </c>
      <c r="CO54" s="2792">
        <f t="shared" ca="1" si="145"/>
        <v>0</v>
      </c>
      <c r="CP54" s="2792">
        <f t="shared" ca="1" si="145"/>
        <v>0</v>
      </c>
      <c r="CQ54" s="2792">
        <f t="shared" ca="1" si="145"/>
        <v>0</v>
      </c>
      <c r="CR54" s="2792">
        <f t="shared" ca="1" si="145"/>
        <v>0</v>
      </c>
      <c r="CS54" s="2792">
        <f t="shared" ca="1" si="146"/>
        <v>0</v>
      </c>
      <c r="CT54" s="2792">
        <f t="shared" ca="1" si="146"/>
        <v>0</v>
      </c>
      <c r="CU54" s="2792">
        <f t="shared" ca="1" si="146"/>
        <v>0</v>
      </c>
      <c r="CV54" s="2792">
        <f t="shared" ca="1" si="146"/>
        <v>0</v>
      </c>
      <c r="CW54" s="2792">
        <f t="shared" ca="1" si="146"/>
        <v>0</v>
      </c>
      <c r="CX54" s="2792">
        <f t="shared" ca="1" si="146"/>
        <v>0</v>
      </c>
      <c r="CY54" s="2792">
        <f t="shared" ca="1" si="146"/>
        <v>0</v>
      </c>
      <c r="CZ54" s="2792">
        <f t="shared" ca="1" si="146"/>
        <v>0</v>
      </c>
      <c r="DA54" s="2792">
        <f t="shared" ca="1" si="146"/>
        <v>0</v>
      </c>
      <c r="DB54" s="2792">
        <f t="shared" ca="1" si="146"/>
        <v>0</v>
      </c>
      <c r="DC54" s="2792">
        <f t="shared" ca="1" si="146"/>
        <v>0</v>
      </c>
      <c r="DD54" s="2792">
        <f t="shared" ca="1" si="146"/>
        <v>0</v>
      </c>
      <c r="DE54" s="2792">
        <f t="shared" ca="1" si="146"/>
        <v>0</v>
      </c>
      <c r="DF54" s="2792">
        <f t="shared" ca="1" si="146"/>
        <v>0</v>
      </c>
      <c r="DH54" s="596">
        <f t="shared" ca="1" si="120"/>
        <v>0</v>
      </c>
    </row>
    <row r="55" spans="1:112" s="6" customFormat="1" ht="15.75">
      <c r="A55" s="652"/>
      <c r="B55" s="653"/>
      <c r="C55" s="616" t="s">
        <v>518</v>
      </c>
      <c r="D55" s="617" t="s">
        <v>519</v>
      </c>
      <c r="E55" s="206"/>
      <c r="G55" s="618">
        <f ca="1">SUM(G53:G54)</f>
        <v>0</v>
      </c>
      <c r="H55" s="618">
        <f t="shared" ref="H55:P55" ca="1" si="147">SUM(H53:H54)</f>
        <v>0</v>
      </c>
      <c r="I55" s="618">
        <f t="shared" ca="1" si="147"/>
        <v>0</v>
      </c>
      <c r="J55" s="618">
        <f t="shared" ca="1" si="147"/>
        <v>0</v>
      </c>
      <c r="K55" s="618">
        <f t="shared" ca="1" si="147"/>
        <v>0</v>
      </c>
      <c r="L55" s="618">
        <f t="shared" ca="1" si="147"/>
        <v>0</v>
      </c>
      <c r="M55" s="618">
        <f t="shared" ca="1" si="147"/>
        <v>0</v>
      </c>
      <c r="N55" s="618">
        <f t="shared" ca="1" si="147"/>
        <v>0</v>
      </c>
      <c r="O55" s="618">
        <f t="shared" ca="1" si="147"/>
        <v>0</v>
      </c>
      <c r="P55" s="618">
        <f t="shared" ca="1" si="147"/>
        <v>0</v>
      </c>
      <c r="Q55" s="618">
        <f ca="1">SUM(G55:P55)</f>
        <v>0</v>
      </c>
      <c r="S55" s="581">
        <f t="shared" ref="S55:AJ55" ca="1" si="148">SUM(S53:S54)</f>
        <v>-0.22598810482362028</v>
      </c>
      <c r="T55" s="581">
        <f t="shared" ca="1" si="148"/>
        <v>0</v>
      </c>
      <c r="U55" s="581">
        <f t="shared" ca="1" si="148"/>
        <v>0</v>
      </c>
      <c r="V55" s="581">
        <f t="shared" ca="1" si="148"/>
        <v>-1.8522858135888711</v>
      </c>
      <c r="W55" s="581">
        <f t="shared" ca="1" si="148"/>
        <v>-8.2401953248703863E-2</v>
      </c>
      <c r="X55" s="581">
        <f ca="1">SUM(X53:X54)</f>
        <v>0</v>
      </c>
      <c r="Y55" s="581">
        <f ca="1">SUM(Y53:Y54)</f>
        <v>0</v>
      </c>
      <c r="Z55" s="581">
        <f ca="1">SUM(Z53:Z54)</f>
        <v>0</v>
      </c>
      <c r="AA55" s="581">
        <f t="shared" ca="1" si="148"/>
        <v>0</v>
      </c>
      <c r="AB55" s="581">
        <f t="shared" ca="1" si="148"/>
        <v>-2.6537999724419409E-2</v>
      </c>
      <c r="AC55" s="581">
        <f t="shared" ca="1" si="148"/>
        <v>0</v>
      </c>
      <c r="AD55" s="581">
        <f ca="1">SUM(AD53:AD54)</f>
        <v>0</v>
      </c>
      <c r="AE55" s="581">
        <f ca="1">SUM(AE53:AE54)</f>
        <v>0</v>
      </c>
      <c r="AF55" s="581">
        <f t="shared" ca="1" si="148"/>
        <v>0</v>
      </c>
      <c r="AG55" s="581">
        <f ca="1">SUM(AG53:AG54)</f>
        <v>0</v>
      </c>
      <c r="AH55" s="581">
        <f ca="1">SUM(AH53:AH54)</f>
        <v>0</v>
      </c>
      <c r="AI55" s="581">
        <f ca="1">SUM(AI53:AI54)</f>
        <v>0</v>
      </c>
      <c r="AJ55" s="581">
        <f t="shared" ca="1" si="148"/>
        <v>0</v>
      </c>
      <c r="AK55" s="581">
        <f ca="1">SUM(S55:AJ55)</f>
        <v>-2.1872138713856146</v>
      </c>
      <c r="AM55" s="582">
        <f t="shared" ref="AM55:BE55" ca="1" si="149">SUM(AM53:AM54)</f>
        <v>0</v>
      </c>
      <c r="AN55" s="582">
        <f t="shared" ca="1" si="149"/>
        <v>0</v>
      </c>
      <c r="AO55" s="582">
        <f t="shared" ca="1" si="149"/>
        <v>0</v>
      </c>
      <c r="AP55" s="582">
        <f t="shared" ca="1" si="149"/>
        <v>0</v>
      </c>
      <c r="AQ55" s="582">
        <f t="shared" ca="1" si="149"/>
        <v>0</v>
      </c>
      <c r="AR55" s="582">
        <f t="shared" ca="1" si="149"/>
        <v>0</v>
      </c>
      <c r="AS55" s="582">
        <f t="shared" ca="1" si="149"/>
        <v>0</v>
      </c>
      <c r="AT55" s="582">
        <f t="shared" ca="1" si="149"/>
        <v>0</v>
      </c>
      <c r="AU55" s="582">
        <f t="shared" ca="1" si="149"/>
        <v>0</v>
      </c>
      <c r="AV55" s="582">
        <f t="shared" ca="1" si="149"/>
        <v>0</v>
      </c>
      <c r="AW55" s="582">
        <f t="shared" ca="1" si="149"/>
        <v>0</v>
      </c>
      <c r="AX55" s="582">
        <f t="shared" ca="1" si="149"/>
        <v>0</v>
      </c>
      <c r="AY55" s="582">
        <f t="shared" ca="1" si="149"/>
        <v>0</v>
      </c>
      <c r="AZ55" s="582">
        <f t="shared" ca="1" si="149"/>
        <v>0</v>
      </c>
      <c r="BA55" s="582">
        <f t="shared" ca="1" si="149"/>
        <v>0</v>
      </c>
      <c r="BB55" s="582">
        <f t="shared" ca="1" si="149"/>
        <v>0</v>
      </c>
      <c r="BC55" s="582">
        <f t="shared" ca="1" si="149"/>
        <v>0</v>
      </c>
      <c r="BD55" s="582">
        <f ca="1">SUM(BD53:BD54)</f>
        <v>0</v>
      </c>
      <c r="BE55" s="582">
        <f t="shared" ca="1" si="149"/>
        <v>0</v>
      </c>
      <c r="BF55" s="582">
        <f ca="1">SUM(AM55:BE55)</f>
        <v>0</v>
      </c>
      <c r="BH55" s="3463">
        <f ca="1">SUM(BH53:BH54)</f>
        <v>0</v>
      </c>
      <c r="BI55" s="3463">
        <f ca="1">SUM(BI53:BI54)</f>
        <v>2.1872138713856146</v>
      </c>
      <c r="BJ55" s="3463">
        <f ca="1">SUM(BH55:BI55)</f>
        <v>2.1872138713856146</v>
      </c>
      <c r="BL55" s="3477">
        <f t="shared" ref="BL55:BL63" ca="1" si="150">Q55+AK55+BF55+BJ55</f>
        <v>0</v>
      </c>
      <c r="BM55" s="654"/>
      <c r="BN55" s="413"/>
      <c r="BO55" s="2789">
        <f t="shared" ref="BO55:DF55" ca="1" si="151">SUM(BO53:BO54)</f>
        <v>0.50565060724124977</v>
      </c>
      <c r="BP55" s="2790">
        <f t="shared" ca="1" si="151"/>
        <v>4.2632801018755801E-4</v>
      </c>
      <c r="BQ55" s="2790">
        <f t="shared" ca="1" si="151"/>
        <v>1.5069762622732133E-3</v>
      </c>
      <c r="BR55" s="2790">
        <f t="shared" ca="1" si="151"/>
        <v>0</v>
      </c>
      <c r="BS55" s="2790">
        <f t="shared" ca="1" si="151"/>
        <v>0</v>
      </c>
      <c r="BT55" s="2790">
        <f t="shared" ca="1" si="151"/>
        <v>0</v>
      </c>
      <c r="BU55" s="2790">
        <f t="shared" ca="1" si="151"/>
        <v>0</v>
      </c>
      <c r="BV55" s="2790">
        <f t="shared" ca="1" si="151"/>
        <v>0</v>
      </c>
      <c r="BW55" s="2790">
        <f t="shared" ca="1" si="151"/>
        <v>0</v>
      </c>
      <c r="BX55" s="2790">
        <f t="shared" ca="1" si="151"/>
        <v>0</v>
      </c>
      <c r="BY55" s="2790">
        <f t="shared" ca="1" si="151"/>
        <v>0</v>
      </c>
      <c r="BZ55" s="2790">
        <f t="shared" ca="1" si="151"/>
        <v>0</v>
      </c>
      <c r="CA55" s="2790">
        <f t="shared" ca="1" si="151"/>
        <v>0</v>
      </c>
      <c r="CB55" s="2790">
        <f t="shared" ca="1" si="151"/>
        <v>0</v>
      </c>
      <c r="CC55" s="2790">
        <f t="shared" ca="1" si="151"/>
        <v>0</v>
      </c>
      <c r="CD55" s="2790">
        <f t="shared" ca="1" si="151"/>
        <v>0</v>
      </c>
      <c r="CE55" s="2790">
        <f t="shared" ca="1" si="151"/>
        <v>0</v>
      </c>
      <c r="CF55" s="2790">
        <f t="shared" ca="1" si="151"/>
        <v>0</v>
      </c>
      <c r="CG55" s="2790">
        <f t="shared" ca="1" si="151"/>
        <v>0</v>
      </c>
      <c r="CH55" s="2790">
        <f t="shared" ca="1" si="151"/>
        <v>0</v>
      </c>
      <c r="CI55" s="2790">
        <f t="shared" ca="1" si="151"/>
        <v>0</v>
      </c>
      <c r="CJ55" s="2790">
        <f t="shared" ca="1" si="151"/>
        <v>0</v>
      </c>
      <c r="CK55" s="2790">
        <f t="shared" ca="1" si="151"/>
        <v>0</v>
      </c>
      <c r="CL55" s="2790">
        <f t="shared" ca="1" si="151"/>
        <v>0</v>
      </c>
      <c r="CM55" s="2790">
        <f t="shared" ca="1" si="151"/>
        <v>0</v>
      </c>
      <c r="CN55" s="2790">
        <f t="shared" ca="1" si="151"/>
        <v>0</v>
      </c>
      <c r="CO55" s="2790">
        <f t="shared" ca="1" si="151"/>
        <v>0</v>
      </c>
      <c r="CP55" s="2790">
        <f t="shared" ca="1" si="151"/>
        <v>0</v>
      </c>
      <c r="CQ55" s="2790">
        <f t="shared" ca="1" si="151"/>
        <v>0</v>
      </c>
      <c r="CR55" s="2790">
        <f t="shared" ca="1" si="151"/>
        <v>0</v>
      </c>
      <c r="CS55" s="2790">
        <f t="shared" ca="1" si="151"/>
        <v>0</v>
      </c>
      <c r="CT55" s="2790">
        <f t="shared" ca="1" si="151"/>
        <v>0</v>
      </c>
      <c r="CU55" s="2790">
        <f t="shared" ca="1" si="151"/>
        <v>0</v>
      </c>
      <c r="CV55" s="2790">
        <f t="shared" ca="1" si="151"/>
        <v>0</v>
      </c>
      <c r="CW55" s="2790">
        <f t="shared" ca="1" si="151"/>
        <v>0</v>
      </c>
      <c r="CX55" s="2790">
        <f t="shared" ca="1" si="151"/>
        <v>0</v>
      </c>
      <c r="CY55" s="2790">
        <f t="shared" ca="1" si="151"/>
        <v>0</v>
      </c>
      <c r="CZ55" s="2790">
        <f t="shared" ca="1" si="151"/>
        <v>0</v>
      </c>
      <c r="DA55" s="2790">
        <f t="shared" ca="1" si="151"/>
        <v>0</v>
      </c>
      <c r="DB55" s="2790">
        <f t="shared" ca="1" si="151"/>
        <v>0</v>
      </c>
      <c r="DC55" s="2790">
        <f t="shared" ca="1" si="151"/>
        <v>0</v>
      </c>
      <c r="DD55" s="2790">
        <f t="shared" ca="1" si="151"/>
        <v>0</v>
      </c>
      <c r="DE55" s="2790">
        <f t="shared" ca="1" si="151"/>
        <v>0</v>
      </c>
      <c r="DF55" s="2790">
        <f t="shared" ca="1" si="151"/>
        <v>0</v>
      </c>
      <c r="DH55" s="596">
        <f t="shared" ca="1" si="120"/>
        <v>0.50758391151371063</v>
      </c>
    </row>
    <row r="56" spans="1:112" s="6" customFormat="1" outlineLevel="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50"/>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20"/>
        <v>0</v>
      </c>
    </row>
    <row r="57" spans="1:112" s="607" customFormat="1" ht="12.75" customHeight="1" outlineLevel="1">
      <c r="C57" s="587" t="s">
        <v>520</v>
      </c>
      <c r="D57" s="588" t="s">
        <v>521</v>
      </c>
      <c r="E57" s="588"/>
      <c r="F57" s="6"/>
      <c r="G57" s="589">
        <f t="shared" ref="G57:P62" ca="1" si="152">IFERROR(INDEX(INDIRECT($C57&amp;".Outputs["&amp;this.Year&amp;"]"), MATCH(G$5, INDIRECT($C57&amp;".Outputs[Vector]"), 0)), 0)</f>
        <v>0</v>
      </c>
      <c r="H57" s="589">
        <f t="shared" ca="1" si="152"/>
        <v>0</v>
      </c>
      <c r="I57" s="589">
        <f t="shared" ca="1" si="152"/>
        <v>0</v>
      </c>
      <c r="J57" s="589">
        <f t="shared" ca="1" si="152"/>
        <v>0</v>
      </c>
      <c r="K57" s="589">
        <f t="shared" ca="1" si="152"/>
        <v>0</v>
      </c>
      <c r="L57" s="589">
        <f t="shared" ca="1" si="152"/>
        <v>0</v>
      </c>
      <c r="M57" s="589">
        <f t="shared" ca="1" si="152"/>
        <v>0</v>
      </c>
      <c r="N57" s="589">
        <f t="shared" ca="1" si="152"/>
        <v>0</v>
      </c>
      <c r="O57" s="589">
        <f t="shared" ca="1" si="152"/>
        <v>0</v>
      </c>
      <c r="P57" s="589">
        <f t="shared" ca="1" si="152"/>
        <v>0</v>
      </c>
      <c r="Q57" s="590">
        <f t="shared" ref="Q57:Q63" ca="1" si="153">SUM(G57:P57)</f>
        <v>0</v>
      </c>
      <c r="R57" s="6"/>
      <c r="S57" s="591">
        <f t="shared" ref="S57:AJ62" ca="1" si="154">IFERROR(INDEX(INDIRECT($C57&amp;".Outputs["&amp;this.Year&amp;"]"), MATCH(S$5, INDIRECT($C57&amp;".Outputs[Vector]"), 0)), 0)</f>
        <v>0</v>
      </c>
      <c r="T57" s="591">
        <f t="shared" ca="1" si="154"/>
        <v>22.3427808</v>
      </c>
      <c r="U57" s="591">
        <f t="shared" ca="1" si="154"/>
        <v>0</v>
      </c>
      <c r="V57" s="591">
        <f t="shared" ca="1" si="154"/>
        <v>0</v>
      </c>
      <c r="W57" s="591">
        <f t="shared" ca="1" si="154"/>
        <v>0</v>
      </c>
      <c r="X57" s="591">
        <f t="shared" ref="X57:Z62" ca="1" si="155">IFERROR(INDEX(INDIRECT($C57&amp;".Outputs["&amp;this.Year&amp;"]"), MATCH(X$5, INDIRECT($C57&amp;".Outputs[Vector]"), 0)), 0)</f>
        <v>0</v>
      </c>
      <c r="Y57" s="591">
        <f t="shared" ca="1" si="155"/>
        <v>0</v>
      </c>
      <c r="Z57" s="591">
        <f t="shared" ca="1" si="155"/>
        <v>0</v>
      </c>
      <c r="AA57" s="591">
        <f t="shared" ca="1" si="154"/>
        <v>0</v>
      </c>
      <c r="AB57" s="591">
        <f t="shared" ca="1" si="154"/>
        <v>0</v>
      </c>
      <c r="AC57" s="591">
        <f t="shared" ca="1" si="154"/>
        <v>0</v>
      </c>
      <c r="AD57" s="591">
        <f t="shared" ca="1" si="154"/>
        <v>0</v>
      </c>
      <c r="AE57" s="591">
        <f t="shared" ca="1" si="154"/>
        <v>0</v>
      </c>
      <c r="AF57" s="591">
        <f t="shared" ca="1" si="154"/>
        <v>0</v>
      </c>
      <c r="AG57" s="591">
        <f t="shared" ca="1" si="154"/>
        <v>0</v>
      </c>
      <c r="AH57" s="591">
        <f t="shared" ca="1" si="154"/>
        <v>0</v>
      </c>
      <c r="AI57" s="591">
        <f t="shared" ca="1" si="154"/>
        <v>0</v>
      </c>
      <c r="AJ57" s="591">
        <f t="shared" ca="1" si="154"/>
        <v>0</v>
      </c>
      <c r="AK57" s="592">
        <f t="shared" ref="AK57:AK63" ca="1" si="156">SUM(S57:AJ57)</f>
        <v>22.3427808</v>
      </c>
      <c r="AL57" s="6"/>
      <c r="AM57" s="593">
        <f t="shared" ref="AM57:AU62" ca="1" si="157">IFERROR(INDEX(INDIRECT($C57&amp;".Outputs["&amp;this.Year&amp;"]"), MATCH(AM$5, INDIRECT($C57&amp;".Outputs[Vector]"), 0)), 0)</f>
        <v>0</v>
      </c>
      <c r="AN57" s="593">
        <f t="shared" ca="1" si="157"/>
        <v>0</v>
      </c>
      <c r="AO57" s="593">
        <f t="shared" ca="1" si="157"/>
        <v>0</v>
      </c>
      <c r="AP57" s="593">
        <f t="shared" ca="1" si="157"/>
        <v>0</v>
      </c>
      <c r="AQ57" s="593">
        <f t="shared" ca="1" si="157"/>
        <v>0</v>
      </c>
      <c r="AR57" s="593">
        <f t="shared" ca="1" si="157"/>
        <v>0</v>
      </c>
      <c r="AS57" s="593">
        <f t="shared" ca="1" si="157"/>
        <v>0</v>
      </c>
      <c r="AT57" s="593">
        <f t="shared" ca="1" si="157"/>
        <v>0</v>
      </c>
      <c r="AU57" s="593">
        <f t="shared" ca="1" si="157"/>
        <v>0</v>
      </c>
      <c r="AV57" s="593">
        <f t="shared" ref="AV57:BE62" ca="1" si="158">IFERROR(INDEX(INDIRECT($C57&amp;".Outputs["&amp;this.Year&amp;"]"), MATCH(AV$5, INDIRECT($C57&amp;".Outputs[Vector]"), 0)), 0)</f>
        <v>0</v>
      </c>
      <c r="AW57" s="593">
        <f t="shared" ca="1" si="158"/>
        <v>0</v>
      </c>
      <c r="AX57" s="593">
        <f t="shared" ca="1" si="158"/>
        <v>-22.3427808</v>
      </c>
      <c r="AY57" s="593">
        <f t="shared" ca="1" si="158"/>
        <v>0</v>
      </c>
      <c r="AZ57" s="593">
        <f t="shared" ca="1" si="158"/>
        <v>0</v>
      </c>
      <c r="BA57" s="593">
        <f t="shared" ca="1" si="158"/>
        <v>0</v>
      </c>
      <c r="BB57" s="593">
        <f t="shared" ca="1" si="158"/>
        <v>0</v>
      </c>
      <c r="BC57" s="593">
        <f t="shared" ca="1" si="158"/>
        <v>0</v>
      </c>
      <c r="BD57" s="593">
        <f t="shared" ca="1" si="158"/>
        <v>0</v>
      </c>
      <c r="BE57" s="593">
        <f t="shared" ca="1" si="158"/>
        <v>0</v>
      </c>
      <c r="BF57" s="609">
        <f t="shared" ref="BF57:BF63" ca="1" si="159">SUM(AM57:BE57)</f>
        <v>-22.3427808</v>
      </c>
      <c r="BG57" s="6"/>
      <c r="BH57" s="3471">
        <f t="shared" ref="BH57:BI62" ca="1" si="160">IFERROR(INDEX(INDIRECT($C57&amp;".Outputs["&amp;this.Year&amp;"]"), MATCH(BH$5, INDIRECT($C57&amp;".Outputs[Vector]"), 0)), 0)</f>
        <v>0</v>
      </c>
      <c r="BI57" s="3471">
        <f t="shared" ca="1" si="160"/>
        <v>0</v>
      </c>
      <c r="BJ57" s="3460">
        <f t="shared" ref="BJ57:BJ63" ca="1" si="161">SUM(BH57:BI57)</f>
        <v>0</v>
      </c>
      <c r="BK57" s="6"/>
      <c r="BL57" s="610">
        <f t="shared" ca="1" si="150"/>
        <v>0</v>
      </c>
      <c r="BM57" s="610"/>
      <c r="BN57" s="413"/>
      <c r="BO57" s="2789">
        <f t="shared" ref="BO57:BX62" ca="1" si="162">IFERROR(SUMIFS(INDIRECT($C57&amp;".Emissions["&amp;this.Year&amp;"]"), INDIRECT($C57&amp;".Emissions[GHG]"), BO$6, INDIRECT($C57&amp;".Emissions[IPCC Sector]"), BO$5),0)</f>
        <v>0</v>
      </c>
      <c r="BP57" s="2790">
        <f t="shared" ca="1" si="162"/>
        <v>0</v>
      </c>
      <c r="BQ57" s="2790">
        <f t="shared" ca="1" si="162"/>
        <v>0</v>
      </c>
      <c r="BR57" s="2790">
        <f t="shared" ca="1" si="162"/>
        <v>0</v>
      </c>
      <c r="BS57" s="2790">
        <f t="shared" ca="1" si="162"/>
        <v>0</v>
      </c>
      <c r="BT57" s="2790">
        <f t="shared" ca="1" si="162"/>
        <v>0</v>
      </c>
      <c r="BU57" s="2790">
        <f t="shared" ca="1" si="162"/>
        <v>0</v>
      </c>
      <c r="BV57" s="2790">
        <f t="shared" ca="1" si="162"/>
        <v>0</v>
      </c>
      <c r="BW57" s="2790">
        <f t="shared" ca="1" si="162"/>
        <v>0</v>
      </c>
      <c r="BX57" s="2790">
        <f t="shared" ca="1" si="162"/>
        <v>0</v>
      </c>
      <c r="BY57" s="2790">
        <f t="shared" ref="BY57:CH62" ca="1" si="163">IFERROR(SUMIFS(INDIRECT($C57&amp;".Emissions["&amp;this.Year&amp;"]"), INDIRECT($C57&amp;".Emissions[GHG]"), BY$6, INDIRECT($C57&amp;".Emissions[IPCC Sector]"), BY$5),0)</f>
        <v>0</v>
      </c>
      <c r="BZ57" s="2790">
        <f t="shared" ca="1" si="163"/>
        <v>0</v>
      </c>
      <c r="CA57" s="2790">
        <f t="shared" ca="1" si="163"/>
        <v>0</v>
      </c>
      <c r="CB57" s="2790">
        <f t="shared" ca="1" si="163"/>
        <v>0</v>
      </c>
      <c r="CC57" s="2790">
        <f t="shared" ca="1" si="163"/>
        <v>0</v>
      </c>
      <c r="CD57" s="2790">
        <f t="shared" ca="1" si="163"/>
        <v>0</v>
      </c>
      <c r="CE57" s="2790">
        <f t="shared" ca="1" si="163"/>
        <v>0</v>
      </c>
      <c r="CF57" s="2790">
        <f t="shared" ca="1" si="163"/>
        <v>0</v>
      </c>
      <c r="CG57" s="2790">
        <f t="shared" ca="1" si="163"/>
        <v>0</v>
      </c>
      <c r="CH57" s="2790">
        <f t="shared" ca="1" si="163"/>
        <v>0</v>
      </c>
      <c r="CI57" s="2790">
        <f t="shared" ref="CI57:CR62" ca="1" si="164">IFERROR(SUMIFS(INDIRECT($C57&amp;".Emissions["&amp;this.Year&amp;"]"), INDIRECT($C57&amp;".Emissions[GHG]"), CI$6, INDIRECT($C57&amp;".Emissions[IPCC Sector]"), CI$5),0)</f>
        <v>0</v>
      </c>
      <c r="CJ57" s="2790">
        <f t="shared" ca="1" si="164"/>
        <v>0</v>
      </c>
      <c r="CK57" s="2790">
        <f t="shared" ca="1" si="164"/>
        <v>0</v>
      </c>
      <c r="CL57" s="2790">
        <f t="shared" ca="1" si="164"/>
        <v>0</v>
      </c>
      <c r="CM57" s="2790">
        <f t="shared" ca="1" si="164"/>
        <v>0</v>
      </c>
      <c r="CN57" s="2790">
        <f t="shared" ca="1" si="164"/>
        <v>0</v>
      </c>
      <c r="CO57" s="2790">
        <f t="shared" ca="1" si="164"/>
        <v>0</v>
      </c>
      <c r="CP57" s="2790">
        <f t="shared" ca="1" si="164"/>
        <v>0</v>
      </c>
      <c r="CQ57" s="2790">
        <f t="shared" ca="1" si="164"/>
        <v>0</v>
      </c>
      <c r="CR57" s="2790">
        <f t="shared" ca="1" si="164"/>
        <v>0</v>
      </c>
      <c r="CS57" s="2790">
        <f t="shared" ref="CS57:DF62" ca="1" si="165">IFERROR(SUMIFS(INDIRECT($C57&amp;".Emissions["&amp;this.Year&amp;"]"), INDIRECT($C57&amp;".Emissions[GHG]"), CS$6, INDIRECT($C57&amp;".Emissions[IPCC Sector]"), CS$5),0)</f>
        <v>0</v>
      </c>
      <c r="CT57" s="2790">
        <f t="shared" ca="1" si="165"/>
        <v>0</v>
      </c>
      <c r="CU57" s="2790">
        <f t="shared" ca="1" si="165"/>
        <v>0</v>
      </c>
      <c r="CV57" s="2790">
        <f t="shared" ca="1" si="165"/>
        <v>0</v>
      </c>
      <c r="CW57" s="2790">
        <f t="shared" ca="1" si="165"/>
        <v>0</v>
      </c>
      <c r="CX57" s="2790">
        <f t="shared" ca="1" si="165"/>
        <v>0</v>
      </c>
      <c r="CY57" s="2790">
        <f t="shared" ca="1" si="165"/>
        <v>0</v>
      </c>
      <c r="CZ57" s="2790">
        <f t="shared" ca="1" si="165"/>
        <v>0</v>
      </c>
      <c r="DA57" s="2790">
        <f t="shared" ca="1" si="165"/>
        <v>0</v>
      </c>
      <c r="DB57" s="2790">
        <f t="shared" ca="1" si="165"/>
        <v>0</v>
      </c>
      <c r="DC57" s="2790">
        <f t="shared" ca="1" si="165"/>
        <v>0</v>
      </c>
      <c r="DD57" s="2790">
        <f t="shared" ca="1" si="165"/>
        <v>0</v>
      </c>
      <c r="DE57" s="2790">
        <f t="shared" ca="1" si="165"/>
        <v>0</v>
      </c>
      <c r="DF57" s="2790">
        <f t="shared" ca="1" si="165"/>
        <v>0</v>
      </c>
      <c r="DH57" s="596">
        <f t="shared" ca="1" si="120"/>
        <v>0</v>
      </c>
    </row>
    <row r="58" spans="1:112" s="607" customFormat="1" ht="12.75" customHeight="1" outlineLevel="1">
      <c r="C58" s="587" t="s">
        <v>522</v>
      </c>
      <c r="D58" s="588" t="s">
        <v>523</v>
      </c>
      <c r="E58" s="588"/>
      <c r="F58" s="6"/>
      <c r="G58" s="589">
        <f t="shared" ca="1" si="152"/>
        <v>0</v>
      </c>
      <c r="H58" s="589">
        <f t="shared" ca="1" si="152"/>
        <v>0</v>
      </c>
      <c r="I58" s="589">
        <f t="shared" ca="1" si="152"/>
        <v>0</v>
      </c>
      <c r="J58" s="589">
        <f t="shared" ca="1" si="152"/>
        <v>0</v>
      </c>
      <c r="K58" s="589">
        <f t="shared" ca="1" si="152"/>
        <v>0</v>
      </c>
      <c r="L58" s="589">
        <f t="shared" ca="1" si="152"/>
        <v>0</v>
      </c>
      <c r="M58" s="589">
        <f t="shared" ca="1" si="152"/>
        <v>0</v>
      </c>
      <c r="N58" s="589">
        <f t="shared" ca="1" si="152"/>
        <v>0</v>
      </c>
      <c r="O58" s="589">
        <f t="shared" ca="1" si="152"/>
        <v>0</v>
      </c>
      <c r="P58" s="589">
        <f t="shared" ca="1" si="152"/>
        <v>0</v>
      </c>
      <c r="Q58" s="590">
        <f ca="1">SUM(G58:P58)</f>
        <v>0</v>
      </c>
      <c r="R58" s="6"/>
      <c r="S58" s="591">
        <f t="shared" ca="1" si="154"/>
        <v>0</v>
      </c>
      <c r="T58" s="591">
        <f t="shared" ca="1" si="154"/>
        <v>9.1714275000000018</v>
      </c>
      <c r="U58" s="591">
        <f t="shared" ca="1" si="154"/>
        <v>0</v>
      </c>
      <c r="V58" s="591">
        <f t="shared" ca="1" si="154"/>
        <v>0</v>
      </c>
      <c r="W58" s="591">
        <f t="shared" ca="1" si="154"/>
        <v>0</v>
      </c>
      <c r="X58" s="591">
        <f t="shared" ca="1" si="155"/>
        <v>0</v>
      </c>
      <c r="Y58" s="591">
        <f t="shared" ca="1" si="155"/>
        <v>0</v>
      </c>
      <c r="Z58" s="591">
        <f t="shared" ca="1" si="155"/>
        <v>0</v>
      </c>
      <c r="AA58" s="591">
        <f t="shared" ca="1" si="154"/>
        <v>0</v>
      </c>
      <c r="AB58" s="591">
        <f t="shared" ca="1" si="154"/>
        <v>0</v>
      </c>
      <c r="AC58" s="591">
        <f t="shared" ca="1" si="154"/>
        <v>0</v>
      </c>
      <c r="AD58" s="591">
        <f t="shared" ca="1" si="154"/>
        <v>0</v>
      </c>
      <c r="AE58" s="591">
        <f t="shared" ca="1" si="154"/>
        <v>0</v>
      </c>
      <c r="AF58" s="591">
        <f t="shared" ca="1" si="154"/>
        <v>0</v>
      </c>
      <c r="AG58" s="591">
        <f t="shared" ca="1" si="154"/>
        <v>0</v>
      </c>
      <c r="AH58" s="591">
        <f t="shared" ca="1" si="154"/>
        <v>0</v>
      </c>
      <c r="AI58" s="591">
        <f t="shared" ca="1" si="154"/>
        <v>0</v>
      </c>
      <c r="AJ58" s="591">
        <f t="shared" ca="1" si="154"/>
        <v>0</v>
      </c>
      <c r="AK58" s="592">
        <f ca="1">SUM(S58:AJ58)</f>
        <v>9.1714275000000018</v>
      </c>
      <c r="AL58" s="6"/>
      <c r="AM58" s="593">
        <f t="shared" ca="1" si="157"/>
        <v>0</v>
      </c>
      <c r="AN58" s="593">
        <f t="shared" ca="1" si="157"/>
        <v>0</v>
      </c>
      <c r="AO58" s="593">
        <f t="shared" ca="1" si="157"/>
        <v>0</v>
      </c>
      <c r="AP58" s="593">
        <f t="shared" ca="1" si="157"/>
        <v>0</v>
      </c>
      <c r="AQ58" s="593">
        <f t="shared" ca="1" si="157"/>
        <v>0</v>
      </c>
      <c r="AR58" s="593">
        <f t="shared" ca="1" si="157"/>
        <v>0</v>
      </c>
      <c r="AS58" s="593">
        <f t="shared" ca="1" si="157"/>
        <v>0</v>
      </c>
      <c r="AT58" s="593">
        <f t="shared" ca="1" si="157"/>
        <v>0</v>
      </c>
      <c r="AU58" s="593">
        <f t="shared" ca="1" si="157"/>
        <v>0</v>
      </c>
      <c r="AV58" s="593">
        <f t="shared" ca="1" si="158"/>
        <v>0</v>
      </c>
      <c r="AW58" s="593">
        <f t="shared" ca="1" si="158"/>
        <v>0</v>
      </c>
      <c r="AX58" s="593">
        <f t="shared" ca="1" si="158"/>
        <v>-9.1714275000000018</v>
      </c>
      <c r="AY58" s="593">
        <f t="shared" ca="1" si="158"/>
        <v>0</v>
      </c>
      <c r="AZ58" s="593">
        <f t="shared" ca="1" si="158"/>
        <v>0</v>
      </c>
      <c r="BA58" s="593">
        <f t="shared" ca="1" si="158"/>
        <v>0</v>
      </c>
      <c r="BB58" s="593">
        <f t="shared" ca="1" si="158"/>
        <v>0</v>
      </c>
      <c r="BC58" s="593">
        <f t="shared" ca="1" si="158"/>
        <v>0</v>
      </c>
      <c r="BD58" s="593">
        <f t="shared" ca="1" si="158"/>
        <v>0</v>
      </c>
      <c r="BE58" s="593">
        <f t="shared" ca="1" si="158"/>
        <v>0</v>
      </c>
      <c r="BF58" s="609">
        <f ca="1">SUM(AM58:BE58)</f>
        <v>-9.1714275000000018</v>
      </c>
      <c r="BG58" s="6"/>
      <c r="BH58" s="3471">
        <f t="shared" ca="1" si="160"/>
        <v>0</v>
      </c>
      <c r="BI58" s="3471">
        <f t="shared" ca="1" si="160"/>
        <v>0</v>
      </c>
      <c r="BJ58" s="3460">
        <f ca="1">SUM(BH58:BI58)</f>
        <v>0</v>
      </c>
      <c r="BK58" s="6"/>
      <c r="BL58" s="610">
        <f t="shared" ca="1" si="150"/>
        <v>0</v>
      </c>
      <c r="BM58" s="610"/>
      <c r="BN58" s="413"/>
      <c r="BO58" s="2789">
        <f t="shared" ca="1" si="162"/>
        <v>0</v>
      </c>
      <c r="BP58" s="2790">
        <f t="shared" ca="1" si="162"/>
        <v>0</v>
      </c>
      <c r="BQ58" s="2790">
        <f t="shared" ca="1" si="162"/>
        <v>0</v>
      </c>
      <c r="BR58" s="2790">
        <f t="shared" ca="1" si="162"/>
        <v>0</v>
      </c>
      <c r="BS58" s="2790">
        <f t="shared" ca="1" si="162"/>
        <v>0</v>
      </c>
      <c r="BT58" s="2790">
        <f t="shared" ca="1" si="162"/>
        <v>0</v>
      </c>
      <c r="BU58" s="2790">
        <f t="shared" ca="1" si="162"/>
        <v>0</v>
      </c>
      <c r="BV58" s="2790">
        <f t="shared" ca="1" si="162"/>
        <v>0</v>
      </c>
      <c r="BW58" s="2790">
        <f t="shared" ca="1" si="162"/>
        <v>0</v>
      </c>
      <c r="BX58" s="2790">
        <f t="shared" ca="1" si="162"/>
        <v>0</v>
      </c>
      <c r="BY58" s="2790">
        <f t="shared" ca="1" si="163"/>
        <v>0</v>
      </c>
      <c r="BZ58" s="2790">
        <f t="shared" ca="1" si="163"/>
        <v>0</v>
      </c>
      <c r="CA58" s="2790">
        <f t="shared" ca="1" si="163"/>
        <v>0</v>
      </c>
      <c r="CB58" s="2790">
        <f t="shared" ca="1" si="163"/>
        <v>0</v>
      </c>
      <c r="CC58" s="2790">
        <f t="shared" ca="1" si="163"/>
        <v>0</v>
      </c>
      <c r="CD58" s="2790">
        <f t="shared" ca="1" si="163"/>
        <v>0</v>
      </c>
      <c r="CE58" s="2790">
        <f t="shared" ca="1" si="163"/>
        <v>0</v>
      </c>
      <c r="CF58" s="2790">
        <f t="shared" ca="1" si="163"/>
        <v>0</v>
      </c>
      <c r="CG58" s="2790">
        <f t="shared" ca="1" si="163"/>
        <v>0</v>
      </c>
      <c r="CH58" s="2790">
        <f t="shared" ca="1" si="163"/>
        <v>0</v>
      </c>
      <c r="CI58" s="2790">
        <f t="shared" ca="1" si="164"/>
        <v>0</v>
      </c>
      <c r="CJ58" s="2790">
        <f t="shared" ca="1" si="164"/>
        <v>0</v>
      </c>
      <c r="CK58" s="2790">
        <f t="shared" ca="1" si="164"/>
        <v>0</v>
      </c>
      <c r="CL58" s="2790">
        <f t="shared" ca="1" si="164"/>
        <v>0</v>
      </c>
      <c r="CM58" s="2790">
        <f t="shared" ca="1" si="164"/>
        <v>0</v>
      </c>
      <c r="CN58" s="2790">
        <f t="shared" ca="1" si="164"/>
        <v>0</v>
      </c>
      <c r="CO58" s="2790">
        <f t="shared" ca="1" si="164"/>
        <v>0</v>
      </c>
      <c r="CP58" s="2790">
        <f t="shared" ca="1" si="164"/>
        <v>0</v>
      </c>
      <c r="CQ58" s="2790">
        <f t="shared" ca="1" si="164"/>
        <v>0</v>
      </c>
      <c r="CR58" s="2790">
        <f t="shared" ca="1" si="164"/>
        <v>0</v>
      </c>
      <c r="CS58" s="2790">
        <f t="shared" ca="1" si="165"/>
        <v>0</v>
      </c>
      <c r="CT58" s="2790">
        <f t="shared" ca="1" si="165"/>
        <v>0</v>
      </c>
      <c r="CU58" s="2790">
        <f t="shared" ca="1" si="165"/>
        <v>0</v>
      </c>
      <c r="CV58" s="2790">
        <f t="shared" ca="1" si="165"/>
        <v>0</v>
      </c>
      <c r="CW58" s="2790">
        <f t="shared" ca="1" si="165"/>
        <v>0</v>
      </c>
      <c r="CX58" s="2790">
        <f t="shared" ca="1" si="165"/>
        <v>0</v>
      </c>
      <c r="CY58" s="2790">
        <f t="shared" ca="1" si="165"/>
        <v>0</v>
      </c>
      <c r="CZ58" s="2790">
        <f t="shared" ca="1" si="165"/>
        <v>0</v>
      </c>
      <c r="DA58" s="2790">
        <f t="shared" ca="1" si="165"/>
        <v>0</v>
      </c>
      <c r="DB58" s="2790">
        <f t="shared" ca="1" si="165"/>
        <v>0</v>
      </c>
      <c r="DC58" s="2790">
        <f t="shared" ca="1" si="165"/>
        <v>0</v>
      </c>
      <c r="DD58" s="2790">
        <f t="shared" ca="1" si="165"/>
        <v>0</v>
      </c>
      <c r="DE58" s="2790">
        <f t="shared" ca="1" si="165"/>
        <v>0</v>
      </c>
      <c r="DF58" s="2790">
        <f t="shared" ca="1" si="165"/>
        <v>0</v>
      </c>
      <c r="DH58" s="596">
        <f ca="1">SUM(BO58:DF58)</f>
        <v>0</v>
      </c>
    </row>
    <row r="59" spans="1:112" s="607" customFormat="1" ht="12.75" customHeight="1" outlineLevel="1">
      <c r="C59" s="587" t="s">
        <v>524</v>
      </c>
      <c r="D59" s="588" t="s">
        <v>525</v>
      </c>
      <c r="E59" s="588"/>
      <c r="F59" s="6"/>
      <c r="G59" s="589">
        <f t="shared" ca="1" si="152"/>
        <v>0</v>
      </c>
      <c r="H59" s="589">
        <f t="shared" ca="1" si="152"/>
        <v>0</v>
      </c>
      <c r="I59" s="589">
        <f t="shared" ca="1" si="152"/>
        <v>0</v>
      </c>
      <c r="J59" s="589">
        <f t="shared" ca="1" si="152"/>
        <v>0</v>
      </c>
      <c r="K59" s="589">
        <f t="shared" ca="1" si="152"/>
        <v>0</v>
      </c>
      <c r="L59" s="589">
        <f t="shared" ca="1" si="152"/>
        <v>0</v>
      </c>
      <c r="M59" s="589">
        <f t="shared" ca="1" si="152"/>
        <v>0</v>
      </c>
      <c r="N59" s="589">
        <f t="shared" ca="1" si="152"/>
        <v>0</v>
      </c>
      <c r="O59" s="589">
        <f t="shared" ca="1" si="152"/>
        <v>0</v>
      </c>
      <c r="P59" s="589">
        <f t="shared" ca="1" si="152"/>
        <v>0</v>
      </c>
      <c r="Q59" s="590">
        <f t="shared" ca="1" si="153"/>
        <v>0</v>
      </c>
      <c r="R59" s="6"/>
      <c r="S59" s="591">
        <f t="shared" ca="1" si="154"/>
        <v>0</v>
      </c>
      <c r="T59" s="591">
        <f t="shared" ca="1" si="154"/>
        <v>0.78946596000000002</v>
      </c>
      <c r="U59" s="591">
        <f t="shared" ca="1" si="154"/>
        <v>0</v>
      </c>
      <c r="V59" s="591">
        <f t="shared" ca="1" si="154"/>
        <v>0</v>
      </c>
      <c r="W59" s="591">
        <f t="shared" ca="1" si="154"/>
        <v>0</v>
      </c>
      <c r="X59" s="591">
        <f t="shared" ca="1" si="155"/>
        <v>0</v>
      </c>
      <c r="Y59" s="591">
        <f t="shared" ca="1" si="155"/>
        <v>0</v>
      </c>
      <c r="Z59" s="591">
        <f t="shared" ca="1" si="155"/>
        <v>0</v>
      </c>
      <c r="AA59" s="591">
        <f t="shared" ca="1" si="154"/>
        <v>0</v>
      </c>
      <c r="AB59" s="591">
        <f t="shared" ca="1" si="154"/>
        <v>0</v>
      </c>
      <c r="AC59" s="591">
        <f t="shared" ca="1" si="154"/>
        <v>0</v>
      </c>
      <c r="AD59" s="591">
        <f t="shared" ca="1" si="154"/>
        <v>0</v>
      </c>
      <c r="AE59" s="591">
        <f t="shared" ca="1" si="154"/>
        <v>0</v>
      </c>
      <c r="AF59" s="591">
        <f t="shared" ca="1" si="154"/>
        <v>0</v>
      </c>
      <c r="AG59" s="591">
        <f t="shared" ca="1" si="154"/>
        <v>0</v>
      </c>
      <c r="AH59" s="591">
        <f t="shared" ca="1" si="154"/>
        <v>0</v>
      </c>
      <c r="AI59" s="591">
        <f t="shared" ca="1" si="154"/>
        <v>0</v>
      </c>
      <c r="AJ59" s="591">
        <f t="shared" ca="1" si="154"/>
        <v>0</v>
      </c>
      <c r="AK59" s="592">
        <f t="shared" ca="1" si="156"/>
        <v>0.78946596000000002</v>
      </c>
      <c r="AL59" s="6"/>
      <c r="AM59" s="593">
        <f t="shared" ca="1" si="157"/>
        <v>0</v>
      </c>
      <c r="AN59" s="593">
        <f t="shared" ca="1" si="157"/>
        <v>0</v>
      </c>
      <c r="AO59" s="593">
        <f t="shared" ca="1" si="157"/>
        <v>0</v>
      </c>
      <c r="AP59" s="593">
        <f t="shared" ca="1" si="157"/>
        <v>0</v>
      </c>
      <c r="AQ59" s="593">
        <f t="shared" ca="1" si="157"/>
        <v>0</v>
      </c>
      <c r="AR59" s="593">
        <f t="shared" ca="1" si="157"/>
        <v>0</v>
      </c>
      <c r="AS59" s="593">
        <f t="shared" ca="1" si="157"/>
        <v>0</v>
      </c>
      <c r="AT59" s="593">
        <f t="shared" ca="1" si="157"/>
        <v>0</v>
      </c>
      <c r="AU59" s="593">
        <f t="shared" ca="1" si="157"/>
        <v>0</v>
      </c>
      <c r="AV59" s="593">
        <f t="shared" ca="1" si="158"/>
        <v>0</v>
      </c>
      <c r="AW59" s="593">
        <f t="shared" ca="1" si="158"/>
        <v>0</v>
      </c>
      <c r="AX59" s="593">
        <f t="shared" ca="1" si="158"/>
        <v>0</v>
      </c>
      <c r="AY59" s="593">
        <f t="shared" ca="1" si="158"/>
        <v>0</v>
      </c>
      <c r="AZ59" s="593">
        <f t="shared" ca="1" si="158"/>
        <v>0</v>
      </c>
      <c r="BA59" s="593">
        <f t="shared" ca="1" si="158"/>
        <v>0</v>
      </c>
      <c r="BB59" s="593">
        <f t="shared" ca="1" si="158"/>
        <v>-0.78946596000000002</v>
      </c>
      <c r="BC59" s="593">
        <f t="shared" ca="1" si="158"/>
        <v>0</v>
      </c>
      <c r="BD59" s="593">
        <f t="shared" ca="1" si="158"/>
        <v>0</v>
      </c>
      <c r="BE59" s="593">
        <f t="shared" ca="1" si="158"/>
        <v>0</v>
      </c>
      <c r="BF59" s="609">
        <f t="shared" ca="1" si="159"/>
        <v>-0.78946596000000002</v>
      </c>
      <c r="BG59" s="6"/>
      <c r="BH59" s="3471">
        <f t="shared" ca="1" si="160"/>
        <v>0</v>
      </c>
      <c r="BI59" s="3471">
        <f t="shared" ca="1" si="160"/>
        <v>0</v>
      </c>
      <c r="BJ59" s="3460">
        <f t="shared" ca="1" si="161"/>
        <v>0</v>
      </c>
      <c r="BK59" s="6"/>
      <c r="BL59" s="610">
        <f t="shared" ca="1" si="150"/>
        <v>0</v>
      </c>
      <c r="BM59" s="610"/>
      <c r="BN59" s="413"/>
      <c r="BO59" s="2789">
        <f t="shared" ca="1" si="162"/>
        <v>0</v>
      </c>
      <c r="BP59" s="2790">
        <f t="shared" ca="1" si="162"/>
        <v>0</v>
      </c>
      <c r="BQ59" s="2790">
        <f t="shared" ca="1" si="162"/>
        <v>0</v>
      </c>
      <c r="BR59" s="2790">
        <f t="shared" ca="1" si="162"/>
        <v>0</v>
      </c>
      <c r="BS59" s="2790">
        <f t="shared" ca="1" si="162"/>
        <v>0</v>
      </c>
      <c r="BT59" s="2790">
        <f t="shared" ca="1" si="162"/>
        <v>0</v>
      </c>
      <c r="BU59" s="2790">
        <f t="shared" ca="1" si="162"/>
        <v>0</v>
      </c>
      <c r="BV59" s="2790">
        <f t="shared" ca="1" si="162"/>
        <v>0</v>
      </c>
      <c r="BW59" s="2790">
        <f t="shared" ca="1" si="162"/>
        <v>0</v>
      </c>
      <c r="BX59" s="2790">
        <f t="shared" ca="1" si="162"/>
        <v>0</v>
      </c>
      <c r="BY59" s="2790">
        <f t="shared" ca="1" si="163"/>
        <v>0</v>
      </c>
      <c r="BZ59" s="2790">
        <f t="shared" ca="1" si="163"/>
        <v>0</v>
      </c>
      <c r="CA59" s="2790">
        <f t="shared" ca="1" si="163"/>
        <v>0</v>
      </c>
      <c r="CB59" s="2790">
        <f t="shared" ca="1" si="163"/>
        <v>0</v>
      </c>
      <c r="CC59" s="2790">
        <f t="shared" ca="1" si="163"/>
        <v>0</v>
      </c>
      <c r="CD59" s="2790">
        <f t="shared" ca="1" si="163"/>
        <v>0</v>
      </c>
      <c r="CE59" s="2790">
        <f t="shared" ca="1" si="163"/>
        <v>0</v>
      </c>
      <c r="CF59" s="2790">
        <f t="shared" ca="1" si="163"/>
        <v>0</v>
      </c>
      <c r="CG59" s="2790">
        <f t="shared" ca="1" si="163"/>
        <v>0</v>
      </c>
      <c r="CH59" s="2790">
        <f t="shared" ca="1" si="163"/>
        <v>0</v>
      </c>
      <c r="CI59" s="2790">
        <f t="shared" ca="1" si="164"/>
        <v>0</v>
      </c>
      <c r="CJ59" s="2790">
        <f t="shared" ca="1" si="164"/>
        <v>0</v>
      </c>
      <c r="CK59" s="2790">
        <f t="shared" ca="1" si="164"/>
        <v>0</v>
      </c>
      <c r="CL59" s="2790">
        <f t="shared" ca="1" si="164"/>
        <v>0</v>
      </c>
      <c r="CM59" s="2790">
        <f t="shared" ca="1" si="164"/>
        <v>0</v>
      </c>
      <c r="CN59" s="2790">
        <f t="shared" ca="1" si="164"/>
        <v>0</v>
      </c>
      <c r="CO59" s="2790">
        <f t="shared" ca="1" si="164"/>
        <v>0</v>
      </c>
      <c r="CP59" s="2790">
        <f t="shared" ca="1" si="164"/>
        <v>0</v>
      </c>
      <c r="CQ59" s="2790">
        <f t="shared" ca="1" si="164"/>
        <v>0</v>
      </c>
      <c r="CR59" s="2790">
        <f t="shared" ca="1" si="164"/>
        <v>0</v>
      </c>
      <c r="CS59" s="2790">
        <f t="shared" ca="1" si="165"/>
        <v>0</v>
      </c>
      <c r="CT59" s="2790">
        <f t="shared" ca="1" si="165"/>
        <v>0</v>
      </c>
      <c r="CU59" s="2790">
        <f t="shared" ca="1" si="165"/>
        <v>0</v>
      </c>
      <c r="CV59" s="2790">
        <f t="shared" ca="1" si="165"/>
        <v>0</v>
      </c>
      <c r="CW59" s="2790">
        <f t="shared" ca="1" si="165"/>
        <v>0</v>
      </c>
      <c r="CX59" s="2790">
        <f t="shared" ca="1" si="165"/>
        <v>0</v>
      </c>
      <c r="CY59" s="2790">
        <f t="shared" ca="1" si="165"/>
        <v>0</v>
      </c>
      <c r="CZ59" s="2790">
        <f t="shared" ca="1" si="165"/>
        <v>0</v>
      </c>
      <c r="DA59" s="2790">
        <f t="shared" ca="1" si="165"/>
        <v>0</v>
      </c>
      <c r="DB59" s="2790">
        <f t="shared" ca="1" si="165"/>
        <v>0</v>
      </c>
      <c r="DC59" s="2790">
        <f t="shared" ca="1" si="165"/>
        <v>0</v>
      </c>
      <c r="DD59" s="2790">
        <f t="shared" ca="1" si="165"/>
        <v>0</v>
      </c>
      <c r="DE59" s="2790">
        <f t="shared" ca="1" si="165"/>
        <v>0</v>
      </c>
      <c r="DF59" s="2790">
        <f t="shared" ca="1" si="165"/>
        <v>0</v>
      </c>
      <c r="DH59" s="596">
        <f t="shared" ca="1" si="120"/>
        <v>0</v>
      </c>
    </row>
    <row r="60" spans="1:112" s="607" customFormat="1" ht="12.75" customHeight="1" outlineLevel="1">
      <c r="C60" s="587" t="s">
        <v>526</v>
      </c>
      <c r="D60" s="588" t="s">
        <v>527</v>
      </c>
      <c r="E60" s="588"/>
      <c r="F60" s="6"/>
      <c r="G60" s="589">
        <f t="shared" ca="1" si="152"/>
        <v>0</v>
      </c>
      <c r="H60" s="589">
        <f t="shared" ca="1" si="152"/>
        <v>0</v>
      </c>
      <c r="I60" s="589">
        <f t="shared" ca="1" si="152"/>
        <v>0</v>
      </c>
      <c r="J60" s="589">
        <f t="shared" ca="1" si="152"/>
        <v>0</v>
      </c>
      <c r="K60" s="589">
        <f t="shared" ca="1" si="152"/>
        <v>0</v>
      </c>
      <c r="L60" s="589">
        <f t="shared" ca="1" si="152"/>
        <v>0</v>
      </c>
      <c r="M60" s="589">
        <f t="shared" ca="1" si="152"/>
        <v>0</v>
      </c>
      <c r="N60" s="589">
        <f t="shared" ca="1" si="152"/>
        <v>0</v>
      </c>
      <c r="O60" s="589">
        <f t="shared" ca="1" si="152"/>
        <v>0</v>
      </c>
      <c r="P60" s="589">
        <f t="shared" ca="1" si="152"/>
        <v>0</v>
      </c>
      <c r="Q60" s="590">
        <f t="shared" ca="1" si="153"/>
        <v>0</v>
      </c>
      <c r="R60" s="6"/>
      <c r="S60" s="591">
        <f t="shared" ca="1" si="154"/>
        <v>0</v>
      </c>
      <c r="T60" s="591">
        <f t="shared" ca="1" si="154"/>
        <v>6.7848840000000008</v>
      </c>
      <c r="U60" s="591">
        <f t="shared" ca="1" si="154"/>
        <v>0</v>
      </c>
      <c r="V60" s="591">
        <f t="shared" ca="1" si="154"/>
        <v>0</v>
      </c>
      <c r="W60" s="591">
        <f t="shared" ca="1" si="154"/>
        <v>0</v>
      </c>
      <c r="X60" s="591">
        <f t="shared" ca="1" si="155"/>
        <v>0</v>
      </c>
      <c r="Y60" s="591">
        <f t="shared" ca="1" si="155"/>
        <v>0</v>
      </c>
      <c r="Z60" s="591">
        <f t="shared" ca="1" si="155"/>
        <v>0</v>
      </c>
      <c r="AA60" s="591">
        <f t="shared" ca="1" si="154"/>
        <v>0</v>
      </c>
      <c r="AB60" s="591">
        <f t="shared" ca="1" si="154"/>
        <v>0</v>
      </c>
      <c r="AC60" s="591">
        <f t="shared" ca="1" si="154"/>
        <v>0</v>
      </c>
      <c r="AD60" s="591">
        <f t="shared" ca="1" si="154"/>
        <v>0</v>
      </c>
      <c r="AE60" s="591">
        <f t="shared" ca="1" si="154"/>
        <v>0</v>
      </c>
      <c r="AF60" s="591">
        <f t="shared" ca="1" si="154"/>
        <v>0</v>
      </c>
      <c r="AG60" s="591">
        <f t="shared" ca="1" si="154"/>
        <v>0</v>
      </c>
      <c r="AH60" s="591">
        <f t="shared" ca="1" si="154"/>
        <v>0</v>
      </c>
      <c r="AI60" s="591">
        <f t="shared" ca="1" si="154"/>
        <v>0</v>
      </c>
      <c r="AJ60" s="591">
        <f t="shared" ca="1" si="154"/>
        <v>0</v>
      </c>
      <c r="AK60" s="592">
        <f t="shared" ca="1" si="156"/>
        <v>6.7848840000000008</v>
      </c>
      <c r="AL60" s="6"/>
      <c r="AM60" s="593">
        <f t="shared" ca="1" si="157"/>
        <v>0</v>
      </c>
      <c r="AN60" s="593">
        <f t="shared" ca="1" si="157"/>
        <v>0</v>
      </c>
      <c r="AO60" s="593">
        <f t="shared" ca="1" si="157"/>
        <v>0</v>
      </c>
      <c r="AP60" s="593">
        <f t="shared" ca="1" si="157"/>
        <v>0</v>
      </c>
      <c r="AQ60" s="593">
        <f t="shared" ca="1" si="157"/>
        <v>0</v>
      </c>
      <c r="AR60" s="593">
        <f t="shared" ca="1" si="157"/>
        <v>0</v>
      </c>
      <c r="AS60" s="593">
        <f t="shared" ca="1" si="157"/>
        <v>0</v>
      </c>
      <c r="AT60" s="593">
        <f t="shared" ca="1" si="157"/>
        <v>0</v>
      </c>
      <c r="AU60" s="593">
        <f t="shared" ca="1" si="157"/>
        <v>0</v>
      </c>
      <c r="AV60" s="593">
        <f t="shared" ca="1" si="158"/>
        <v>0</v>
      </c>
      <c r="AW60" s="593">
        <f t="shared" ca="1" si="158"/>
        <v>0</v>
      </c>
      <c r="AX60" s="593">
        <f t="shared" ca="1" si="158"/>
        <v>0</v>
      </c>
      <c r="AY60" s="593">
        <f t="shared" ca="1" si="158"/>
        <v>-1.5778800000000002</v>
      </c>
      <c r="AZ60" s="593">
        <f t="shared" ca="1" si="158"/>
        <v>-5.2070040000000004</v>
      </c>
      <c r="BA60" s="593">
        <f t="shared" ca="1" si="158"/>
        <v>0</v>
      </c>
      <c r="BB60" s="593">
        <f t="shared" ca="1" si="158"/>
        <v>0</v>
      </c>
      <c r="BC60" s="593">
        <f t="shared" ca="1" si="158"/>
        <v>0</v>
      </c>
      <c r="BD60" s="593">
        <f t="shared" ca="1" si="158"/>
        <v>0</v>
      </c>
      <c r="BE60" s="593">
        <f t="shared" ca="1" si="158"/>
        <v>0</v>
      </c>
      <c r="BF60" s="609">
        <f t="shared" ca="1" si="159"/>
        <v>-6.7848840000000008</v>
      </c>
      <c r="BG60" s="6"/>
      <c r="BH60" s="3471">
        <f t="shared" ca="1" si="160"/>
        <v>0</v>
      </c>
      <c r="BI60" s="3471">
        <f t="shared" ca="1" si="160"/>
        <v>0</v>
      </c>
      <c r="BJ60" s="3460">
        <f t="shared" ca="1" si="161"/>
        <v>0</v>
      </c>
      <c r="BK60" s="6"/>
      <c r="BL60" s="610">
        <f t="shared" ca="1" si="150"/>
        <v>0</v>
      </c>
      <c r="BM60" s="610"/>
      <c r="BN60" s="413"/>
      <c r="BO60" s="2789">
        <f t="shared" ca="1" si="162"/>
        <v>0</v>
      </c>
      <c r="BP60" s="2790">
        <f t="shared" ca="1" si="162"/>
        <v>0</v>
      </c>
      <c r="BQ60" s="2790">
        <f t="shared" ca="1" si="162"/>
        <v>0</v>
      </c>
      <c r="BR60" s="2790">
        <f t="shared" ca="1" si="162"/>
        <v>0</v>
      </c>
      <c r="BS60" s="2790">
        <f t="shared" ca="1" si="162"/>
        <v>0</v>
      </c>
      <c r="BT60" s="2790">
        <f t="shared" ca="1" si="162"/>
        <v>0</v>
      </c>
      <c r="BU60" s="2790">
        <f t="shared" ca="1" si="162"/>
        <v>0</v>
      </c>
      <c r="BV60" s="2790">
        <f t="shared" ca="1" si="162"/>
        <v>0</v>
      </c>
      <c r="BW60" s="2790">
        <f t="shared" ca="1" si="162"/>
        <v>0</v>
      </c>
      <c r="BX60" s="2790">
        <f t="shared" ca="1" si="162"/>
        <v>0</v>
      </c>
      <c r="BY60" s="2790">
        <f t="shared" ca="1" si="163"/>
        <v>0</v>
      </c>
      <c r="BZ60" s="2790">
        <f t="shared" ca="1" si="163"/>
        <v>0</v>
      </c>
      <c r="CA60" s="2790">
        <f t="shared" ca="1" si="163"/>
        <v>0</v>
      </c>
      <c r="CB60" s="2790">
        <f t="shared" ca="1" si="163"/>
        <v>0</v>
      </c>
      <c r="CC60" s="2790">
        <f t="shared" ca="1" si="163"/>
        <v>0</v>
      </c>
      <c r="CD60" s="2790">
        <f t="shared" ca="1" si="163"/>
        <v>0</v>
      </c>
      <c r="CE60" s="2790">
        <f t="shared" ca="1" si="163"/>
        <v>0</v>
      </c>
      <c r="CF60" s="2790">
        <f t="shared" ca="1" si="163"/>
        <v>0</v>
      </c>
      <c r="CG60" s="2790">
        <f t="shared" ca="1" si="163"/>
        <v>0</v>
      </c>
      <c r="CH60" s="2790">
        <f t="shared" ca="1" si="163"/>
        <v>0</v>
      </c>
      <c r="CI60" s="2790">
        <f t="shared" ca="1" si="164"/>
        <v>0</v>
      </c>
      <c r="CJ60" s="2790">
        <f t="shared" ca="1" si="164"/>
        <v>0</v>
      </c>
      <c r="CK60" s="2790">
        <f t="shared" ca="1" si="164"/>
        <v>0</v>
      </c>
      <c r="CL60" s="2790">
        <f t="shared" ca="1" si="164"/>
        <v>0</v>
      </c>
      <c r="CM60" s="2790">
        <f t="shared" ca="1" si="164"/>
        <v>0</v>
      </c>
      <c r="CN60" s="2790">
        <f t="shared" ca="1" si="164"/>
        <v>0</v>
      </c>
      <c r="CO60" s="2790">
        <f t="shared" ca="1" si="164"/>
        <v>0</v>
      </c>
      <c r="CP60" s="2790">
        <f t="shared" ca="1" si="164"/>
        <v>0</v>
      </c>
      <c r="CQ60" s="2790">
        <f t="shared" ca="1" si="164"/>
        <v>0</v>
      </c>
      <c r="CR60" s="2790">
        <f t="shared" ca="1" si="164"/>
        <v>0</v>
      </c>
      <c r="CS60" s="2790">
        <f t="shared" ca="1" si="165"/>
        <v>0</v>
      </c>
      <c r="CT60" s="2790">
        <f t="shared" ca="1" si="165"/>
        <v>0</v>
      </c>
      <c r="CU60" s="2790">
        <f t="shared" ca="1" si="165"/>
        <v>0</v>
      </c>
      <c r="CV60" s="2790">
        <f t="shared" ca="1" si="165"/>
        <v>0</v>
      </c>
      <c r="CW60" s="2790">
        <f t="shared" ca="1" si="165"/>
        <v>0</v>
      </c>
      <c r="CX60" s="2790">
        <f t="shared" ca="1" si="165"/>
        <v>0</v>
      </c>
      <c r="CY60" s="2790">
        <f t="shared" ca="1" si="165"/>
        <v>0</v>
      </c>
      <c r="CZ60" s="2790">
        <f t="shared" ca="1" si="165"/>
        <v>0</v>
      </c>
      <c r="DA60" s="2790">
        <f t="shared" ca="1" si="165"/>
        <v>0</v>
      </c>
      <c r="DB60" s="2790">
        <f t="shared" ca="1" si="165"/>
        <v>0</v>
      </c>
      <c r="DC60" s="2790">
        <f t="shared" ca="1" si="165"/>
        <v>0</v>
      </c>
      <c r="DD60" s="2790">
        <f t="shared" ca="1" si="165"/>
        <v>0</v>
      </c>
      <c r="DE60" s="2790">
        <f t="shared" ca="1" si="165"/>
        <v>0</v>
      </c>
      <c r="DF60" s="2790">
        <f t="shared" ca="1" si="165"/>
        <v>0</v>
      </c>
      <c r="DH60" s="596">
        <f t="shared" ca="1" si="120"/>
        <v>0</v>
      </c>
    </row>
    <row r="61" spans="1:112" s="607" customFormat="1" ht="12.75" customHeight="1" outlineLevel="1">
      <c r="C61" s="587" t="s">
        <v>528</v>
      </c>
      <c r="D61" s="588" t="s">
        <v>529</v>
      </c>
      <c r="E61" s="588"/>
      <c r="F61" s="6"/>
      <c r="G61" s="589">
        <f t="shared" ca="1" si="152"/>
        <v>0</v>
      </c>
      <c r="H61" s="589">
        <f t="shared" ca="1" si="152"/>
        <v>0</v>
      </c>
      <c r="I61" s="589">
        <f t="shared" ca="1" si="152"/>
        <v>0</v>
      </c>
      <c r="J61" s="589">
        <f t="shared" ca="1" si="152"/>
        <v>0</v>
      </c>
      <c r="K61" s="589">
        <f t="shared" ca="1" si="152"/>
        <v>0</v>
      </c>
      <c r="L61" s="589">
        <f t="shared" ca="1" si="152"/>
        <v>0</v>
      </c>
      <c r="M61" s="589">
        <f t="shared" ca="1" si="152"/>
        <v>0</v>
      </c>
      <c r="N61" s="589">
        <f t="shared" ca="1" si="152"/>
        <v>0</v>
      </c>
      <c r="O61" s="589">
        <f t="shared" ca="1" si="152"/>
        <v>0</v>
      </c>
      <c r="P61" s="589">
        <f t="shared" ca="1" si="152"/>
        <v>0</v>
      </c>
      <c r="Q61" s="590">
        <f t="shared" ca="1" si="153"/>
        <v>0</v>
      </c>
      <c r="R61" s="6"/>
      <c r="S61" s="591">
        <f t="shared" ca="1" si="154"/>
        <v>0</v>
      </c>
      <c r="T61" s="591">
        <f t="shared" ca="1" si="154"/>
        <v>0</v>
      </c>
      <c r="U61" s="591">
        <f t="shared" ca="1" si="154"/>
        <v>0</v>
      </c>
      <c r="V61" s="591">
        <f t="shared" ca="1" si="154"/>
        <v>0</v>
      </c>
      <c r="W61" s="591">
        <f t="shared" ca="1" si="154"/>
        <v>0</v>
      </c>
      <c r="X61" s="591">
        <f t="shared" ca="1" si="155"/>
        <v>0</v>
      </c>
      <c r="Y61" s="591">
        <f t="shared" ca="1" si="155"/>
        <v>0</v>
      </c>
      <c r="Z61" s="591">
        <f t="shared" ca="1" si="155"/>
        <v>0</v>
      </c>
      <c r="AA61" s="591">
        <f t="shared" ca="1" si="154"/>
        <v>0</v>
      </c>
      <c r="AB61" s="591">
        <f t="shared" ca="1" si="154"/>
        <v>0</v>
      </c>
      <c r="AC61" s="591">
        <f t="shared" ca="1" si="154"/>
        <v>0</v>
      </c>
      <c r="AD61" s="591">
        <f t="shared" ca="1" si="154"/>
        <v>0</v>
      </c>
      <c r="AE61" s="591">
        <f t="shared" ca="1" si="154"/>
        <v>0</v>
      </c>
      <c r="AF61" s="591">
        <f t="shared" ca="1" si="154"/>
        <v>0</v>
      </c>
      <c r="AG61" s="591">
        <f t="shared" ca="1" si="154"/>
        <v>0</v>
      </c>
      <c r="AH61" s="591">
        <f t="shared" ca="1" si="154"/>
        <v>0</v>
      </c>
      <c r="AI61" s="591">
        <f t="shared" ca="1" si="154"/>
        <v>0</v>
      </c>
      <c r="AJ61" s="591">
        <f t="shared" ca="1" si="154"/>
        <v>0</v>
      </c>
      <c r="AK61" s="592">
        <f t="shared" ca="1" si="156"/>
        <v>0</v>
      </c>
      <c r="AL61" s="6"/>
      <c r="AM61" s="593">
        <f t="shared" ca="1" si="157"/>
        <v>0</v>
      </c>
      <c r="AN61" s="593">
        <f t="shared" ca="1" si="157"/>
        <v>0</v>
      </c>
      <c r="AO61" s="593">
        <f t="shared" ca="1" si="157"/>
        <v>0</v>
      </c>
      <c r="AP61" s="593">
        <f t="shared" ca="1" si="157"/>
        <v>0</v>
      </c>
      <c r="AQ61" s="593">
        <f t="shared" ca="1" si="157"/>
        <v>0</v>
      </c>
      <c r="AR61" s="593">
        <f t="shared" ca="1" si="157"/>
        <v>0</v>
      </c>
      <c r="AS61" s="593">
        <f t="shared" ca="1" si="157"/>
        <v>0</v>
      </c>
      <c r="AT61" s="593">
        <f t="shared" ca="1" si="157"/>
        <v>0</v>
      </c>
      <c r="AU61" s="593">
        <f t="shared" ca="1" si="157"/>
        <v>0</v>
      </c>
      <c r="AV61" s="593">
        <f t="shared" ca="1" si="158"/>
        <v>0</v>
      </c>
      <c r="AW61" s="593">
        <f t="shared" ca="1" si="158"/>
        <v>0</v>
      </c>
      <c r="AX61" s="593">
        <f t="shared" ca="1" si="158"/>
        <v>0</v>
      </c>
      <c r="AY61" s="593">
        <f t="shared" ca="1" si="158"/>
        <v>0</v>
      </c>
      <c r="AZ61" s="593">
        <f t="shared" ca="1" si="158"/>
        <v>0</v>
      </c>
      <c r="BA61" s="593">
        <f t="shared" ca="1" si="158"/>
        <v>0</v>
      </c>
      <c r="BB61" s="593">
        <f t="shared" ca="1" si="158"/>
        <v>0</v>
      </c>
      <c r="BC61" s="593">
        <f t="shared" ca="1" si="158"/>
        <v>0</v>
      </c>
      <c r="BD61" s="593">
        <f t="shared" ca="1" si="158"/>
        <v>0</v>
      </c>
      <c r="BE61" s="593">
        <f t="shared" ca="1" si="158"/>
        <v>0</v>
      </c>
      <c r="BF61" s="609">
        <f t="shared" ca="1" si="159"/>
        <v>0</v>
      </c>
      <c r="BG61" s="6"/>
      <c r="BH61" s="3471">
        <f t="shared" ca="1" si="160"/>
        <v>0</v>
      </c>
      <c r="BI61" s="3471">
        <f t="shared" ca="1" si="160"/>
        <v>0</v>
      </c>
      <c r="BJ61" s="3460">
        <f t="shared" ca="1" si="161"/>
        <v>0</v>
      </c>
      <c r="BK61" s="6"/>
      <c r="BL61" s="610">
        <f t="shared" ca="1" si="150"/>
        <v>0</v>
      </c>
      <c r="BM61" s="610"/>
      <c r="BN61" s="413"/>
      <c r="BO61" s="2789">
        <f t="shared" ca="1" si="162"/>
        <v>0</v>
      </c>
      <c r="BP61" s="2790">
        <f t="shared" ca="1" si="162"/>
        <v>0</v>
      </c>
      <c r="BQ61" s="2790">
        <f t="shared" ca="1" si="162"/>
        <v>0</v>
      </c>
      <c r="BR61" s="2790">
        <f t="shared" ca="1" si="162"/>
        <v>0</v>
      </c>
      <c r="BS61" s="2790">
        <f t="shared" ca="1" si="162"/>
        <v>0</v>
      </c>
      <c r="BT61" s="2790">
        <f t="shared" ca="1" si="162"/>
        <v>0</v>
      </c>
      <c r="BU61" s="2790">
        <f t="shared" ca="1" si="162"/>
        <v>0</v>
      </c>
      <c r="BV61" s="2790">
        <f t="shared" ca="1" si="162"/>
        <v>0</v>
      </c>
      <c r="BW61" s="2790">
        <f t="shared" ca="1" si="162"/>
        <v>0</v>
      </c>
      <c r="BX61" s="2790">
        <f t="shared" ca="1" si="162"/>
        <v>0</v>
      </c>
      <c r="BY61" s="2790">
        <f t="shared" ca="1" si="163"/>
        <v>0</v>
      </c>
      <c r="BZ61" s="2790">
        <f t="shared" ca="1" si="163"/>
        <v>0</v>
      </c>
      <c r="CA61" s="2790">
        <f t="shared" ca="1" si="163"/>
        <v>0</v>
      </c>
      <c r="CB61" s="2790">
        <f t="shared" ca="1" si="163"/>
        <v>0</v>
      </c>
      <c r="CC61" s="2790">
        <f t="shared" ca="1" si="163"/>
        <v>0</v>
      </c>
      <c r="CD61" s="2790">
        <f t="shared" ca="1" si="163"/>
        <v>0</v>
      </c>
      <c r="CE61" s="2790">
        <f t="shared" ca="1" si="163"/>
        <v>0</v>
      </c>
      <c r="CF61" s="2790">
        <f t="shared" ca="1" si="163"/>
        <v>0</v>
      </c>
      <c r="CG61" s="2790">
        <f t="shared" ca="1" si="163"/>
        <v>0</v>
      </c>
      <c r="CH61" s="2790">
        <f t="shared" ca="1" si="163"/>
        <v>0</v>
      </c>
      <c r="CI61" s="2790">
        <f t="shared" ca="1" si="164"/>
        <v>0</v>
      </c>
      <c r="CJ61" s="2790">
        <f t="shared" ca="1" si="164"/>
        <v>0</v>
      </c>
      <c r="CK61" s="2790">
        <f t="shared" ca="1" si="164"/>
        <v>0</v>
      </c>
      <c r="CL61" s="2790">
        <f t="shared" ca="1" si="164"/>
        <v>0</v>
      </c>
      <c r="CM61" s="2790">
        <f t="shared" ca="1" si="164"/>
        <v>0</v>
      </c>
      <c r="CN61" s="2790">
        <f t="shared" ca="1" si="164"/>
        <v>0</v>
      </c>
      <c r="CO61" s="2790">
        <f t="shared" ca="1" si="164"/>
        <v>0</v>
      </c>
      <c r="CP61" s="2790">
        <f t="shared" ca="1" si="164"/>
        <v>0</v>
      </c>
      <c r="CQ61" s="2790">
        <f t="shared" ca="1" si="164"/>
        <v>0</v>
      </c>
      <c r="CR61" s="2790">
        <f t="shared" ca="1" si="164"/>
        <v>0</v>
      </c>
      <c r="CS61" s="2790">
        <f t="shared" ca="1" si="165"/>
        <v>0</v>
      </c>
      <c r="CT61" s="2790">
        <f t="shared" ca="1" si="165"/>
        <v>0</v>
      </c>
      <c r="CU61" s="2790">
        <f t="shared" ca="1" si="165"/>
        <v>0</v>
      </c>
      <c r="CV61" s="2790">
        <f t="shared" ca="1" si="165"/>
        <v>0</v>
      </c>
      <c r="CW61" s="2790">
        <f t="shared" ca="1" si="165"/>
        <v>0</v>
      </c>
      <c r="CX61" s="2790">
        <f t="shared" ca="1" si="165"/>
        <v>0</v>
      </c>
      <c r="CY61" s="2790">
        <f t="shared" ca="1" si="165"/>
        <v>0</v>
      </c>
      <c r="CZ61" s="2790">
        <f t="shared" ca="1" si="165"/>
        <v>0</v>
      </c>
      <c r="DA61" s="2790">
        <f t="shared" ca="1" si="165"/>
        <v>0</v>
      </c>
      <c r="DB61" s="2790">
        <f t="shared" ca="1" si="165"/>
        <v>0</v>
      </c>
      <c r="DC61" s="2790">
        <f t="shared" ca="1" si="165"/>
        <v>0</v>
      </c>
      <c r="DD61" s="2790">
        <f t="shared" ca="1" si="165"/>
        <v>0</v>
      </c>
      <c r="DE61" s="2790">
        <f t="shared" ca="1" si="165"/>
        <v>0</v>
      </c>
      <c r="DF61" s="2790">
        <f t="shared" ca="1" si="165"/>
        <v>0</v>
      </c>
      <c r="DH61" s="596">
        <f t="shared" ca="1" si="120"/>
        <v>0</v>
      </c>
    </row>
    <row r="62" spans="1:112" s="6" customFormat="1" ht="12.75" customHeight="1" outlineLevel="1">
      <c r="A62" s="607"/>
      <c r="B62" s="607"/>
      <c r="C62" s="587" t="s">
        <v>530</v>
      </c>
      <c r="D62" s="611" t="s">
        <v>531</v>
      </c>
      <c r="E62" s="611"/>
      <c r="G62" s="619">
        <f t="shared" ca="1" si="152"/>
        <v>0</v>
      </c>
      <c r="H62" s="619">
        <f t="shared" ca="1" si="152"/>
        <v>0</v>
      </c>
      <c r="I62" s="619">
        <f t="shared" ca="1" si="152"/>
        <v>0</v>
      </c>
      <c r="J62" s="619">
        <f t="shared" ca="1" si="152"/>
        <v>0</v>
      </c>
      <c r="K62" s="619">
        <f t="shared" ca="1" si="152"/>
        <v>0</v>
      </c>
      <c r="L62" s="619">
        <f t="shared" ca="1" si="152"/>
        <v>0</v>
      </c>
      <c r="M62" s="619">
        <f t="shared" ca="1" si="152"/>
        <v>0</v>
      </c>
      <c r="N62" s="619">
        <f t="shared" ca="1" si="152"/>
        <v>0</v>
      </c>
      <c r="O62" s="619">
        <f t="shared" ca="1" si="152"/>
        <v>0</v>
      </c>
      <c r="P62" s="619">
        <f t="shared" ca="1" si="152"/>
        <v>0</v>
      </c>
      <c r="Q62" s="612">
        <f t="shared" ca="1" si="153"/>
        <v>0</v>
      </c>
      <c r="S62" s="620">
        <f t="shared" ca="1" si="154"/>
        <v>0</v>
      </c>
      <c r="T62" s="620">
        <f t="shared" ca="1" si="154"/>
        <v>0</v>
      </c>
      <c r="U62" s="620">
        <f t="shared" ca="1" si="154"/>
        <v>0</v>
      </c>
      <c r="V62" s="620">
        <f t="shared" ca="1" si="154"/>
        <v>0</v>
      </c>
      <c r="W62" s="620">
        <f t="shared" ca="1" si="154"/>
        <v>0</v>
      </c>
      <c r="X62" s="620">
        <f t="shared" ca="1" si="155"/>
        <v>0</v>
      </c>
      <c r="Y62" s="620">
        <f t="shared" ca="1" si="155"/>
        <v>0</v>
      </c>
      <c r="Z62" s="620">
        <f t="shared" ca="1" si="155"/>
        <v>0</v>
      </c>
      <c r="AA62" s="620">
        <f t="shared" ca="1" si="154"/>
        <v>0</v>
      </c>
      <c r="AB62" s="620">
        <f t="shared" ca="1" si="154"/>
        <v>0</v>
      </c>
      <c r="AC62" s="620">
        <f t="shared" ca="1" si="154"/>
        <v>0</v>
      </c>
      <c r="AD62" s="620">
        <f t="shared" ca="1" si="154"/>
        <v>0</v>
      </c>
      <c r="AE62" s="620">
        <f t="shared" ca="1" si="154"/>
        <v>0</v>
      </c>
      <c r="AF62" s="620">
        <f t="shared" ca="1" si="154"/>
        <v>0</v>
      </c>
      <c r="AG62" s="620">
        <f t="shared" ca="1" si="154"/>
        <v>0</v>
      </c>
      <c r="AH62" s="620">
        <f t="shared" ca="1" si="154"/>
        <v>0</v>
      </c>
      <c r="AI62" s="620">
        <f t="shared" ca="1" si="154"/>
        <v>0</v>
      </c>
      <c r="AJ62" s="620">
        <f t="shared" ca="1" si="154"/>
        <v>0</v>
      </c>
      <c r="AK62" s="613">
        <f t="shared" ca="1" si="156"/>
        <v>0</v>
      </c>
      <c r="AM62" s="621">
        <f t="shared" ca="1" si="157"/>
        <v>0</v>
      </c>
      <c r="AN62" s="621">
        <f t="shared" ca="1" si="157"/>
        <v>0</v>
      </c>
      <c r="AO62" s="621">
        <f t="shared" ca="1" si="157"/>
        <v>0</v>
      </c>
      <c r="AP62" s="621">
        <f t="shared" ca="1" si="157"/>
        <v>0</v>
      </c>
      <c r="AQ62" s="621">
        <f t="shared" ca="1" si="157"/>
        <v>0</v>
      </c>
      <c r="AR62" s="621">
        <f t="shared" ca="1" si="157"/>
        <v>0</v>
      </c>
      <c r="AS62" s="621">
        <f t="shared" ca="1" si="157"/>
        <v>0</v>
      </c>
      <c r="AT62" s="621">
        <f t="shared" ca="1" si="157"/>
        <v>0</v>
      </c>
      <c r="AU62" s="621">
        <f t="shared" ca="1" si="157"/>
        <v>0</v>
      </c>
      <c r="AV62" s="621">
        <f t="shared" ca="1" si="158"/>
        <v>0</v>
      </c>
      <c r="AW62" s="621">
        <f t="shared" ca="1" si="158"/>
        <v>0</v>
      </c>
      <c r="AX62" s="621">
        <f t="shared" ca="1" si="158"/>
        <v>0</v>
      </c>
      <c r="AY62" s="621">
        <f t="shared" ca="1" si="158"/>
        <v>0</v>
      </c>
      <c r="AZ62" s="621">
        <f t="shared" ca="1" si="158"/>
        <v>0</v>
      </c>
      <c r="BA62" s="621">
        <f t="shared" ca="1" si="158"/>
        <v>0</v>
      </c>
      <c r="BB62" s="621">
        <f t="shared" ca="1" si="158"/>
        <v>0</v>
      </c>
      <c r="BC62" s="621">
        <f t="shared" ca="1" si="158"/>
        <v>0</v>
      </c>
      <c r="BD62" s="621">
        <f t="shared" ca="1" si="158"/>
        <v>0</v>
      </c>
      <c r="BE62" s="621">
        <f t="shared" ca="1" si="158"/>
        <v>0</v>
      </c>
      <c r="BF62" s="615">
        <f t="shared" ca="1" si="159"/>
        <v>0</v>
      </c>
      <c r="BH62" s="3473">
        <f t="shared" ca="1" si="160"/>
        <v>0</v>
      </c>
      <c r="BI62" s="3473">
        <f t="shared" ca="1" si="160"/>
        <v>0</v>
      </c>
      <c r="BJ62" s="3462">
        <f t="shared" ca="1" si="161"/>
        <v>0</v>
      </c>
      <c r="BL62" s="610">
        <f t="shared" ca="1" si="150"/>
        <v>0</v>
      </c>
      <c r="BM62" s="610"/>
      <c r="BN62" s="413"/>
      <c r="BO62" s="2791">
        <f t="shared" ca="1" si="162"/>
        <v>0</v>
      </c>
      <c r="BP62" s="2792">
        <f t="shared" ca="1" si="162"/>
        <v>0</v>
      </c>
      <c r="BQ62" s="2792">
        <f t="shared" ca="1" si="162"/>
        <v>0</v>
      </c>
      <c r="BR62" s="2792">
        <f t="shared" ca="1" si="162"/>
        <v>0</v>
      </c>
      <c r="BS62" s="2792">
        <f t="shared" ca="1" si="162"/>
        <v>0</v>
      </c>
      <c r="BT62" s="2792">
        <f t="shared" ca="1" si="162"/>
        <v>0</v>
      </c>
      <c r="BU62" s="2792">
        <f t="shared" ca="1" si="162"/>
        <v>0</v>
      </c>
      <c r="BV62" s="2792">
        <f t="shared" ca="1" si="162"/>
        <v>0</v>
      </c>
      <c r="BW62" s="2792">
        <f t="shared" ca="1" si="162"/>
        <v>0</v>
      </c>
      <c r="BX62" s="2792">
        <f t="shared" ca="1" si="162"/>
        <v>0</v>
      </c>
      <c r="BY62" s="2792">
        <f t="shared" ca="1" si="163"/>
        <v>0</v>
      </c>
      <c r="BZ62" s="2792">
        <f t="shared" ca="1" si="163"/>
        <v>0</v>
      </c>
      <c r="CA62" s="2792">
        <f t="shared" ca="1" si="163"/>
        <v>0</v>
      </c>
      <c r="CB62" s="2792">
        <f t="shared" ca="1" si="163"/>
        <v>0</v>
      </c>
      <c r="CC62" s="2792">
        <f t="shared" ca="1" si="163"/>
        <v>0</v>
      </c>
      <c r="CD62" s="2792">
        <f t="shared" ca="1" si="163"/>
        <v>0</v>
      </c>
      <c r="CE62" s="2792">
        <f t="shared" ca="1" si="163"/>
        <v>0</v>
      </c>
      <c r="CF62" s="2792">
        <f t="shared" ca="1" si="163"/>
        <v>0</v>
      </c>
      <c r="CG62" s="2792">
        <f t="shared" ca="1" si="163"/>
        <v>0</v>
      </c>
      <c r="CH62" s="2792">
        <f t="shared" ca="1" si="163"/>
        <v>0</v>
      </c>
      <c r="CI62" s="2792">
        <f t="shared" ca="1" si="164"/>
        <v>0</v>
      </c>
      <c r="CJ62" s="2792">
        <f t="shared" ca="1" si="164"/>
        <v>0</v>
      </c>
      <c r="CK62" s="2792">
        <f t="shared" ca="1" si="164"/>
        <v>0</v>
      </c>
      <c r="CL62" s="2792">
        <f t="shared" ca="1" si="164"/>
        <v>0</v>
      </c>
      <c r="CM62" s="2792">
        <f t="shared" ca="1" si="164"/>
        <v>0</v>
      </c>
      <c r="CN62" s="2792">
        <f t="shared" ca="1" si="164"/>
        <v>0</v>
      </c>
      <c r="CO62" s="2792">
        <f t="shared" ca="1" si="164"/>
        <v>0</v>
      </c>
      <c r="CP62" s="2792">
        <f t="shared" ca="1" si="164"/>
        <v>0</v>
      </c>
      <c r="CQ62" s="2792">
        <f t="shared" ca="1" si="164"/>
        <v>0</v>
      </c>
      <c r="CR62" s="2792">
        <f t="shared" ca="1" si="164"/>
        <v>0</v>
      </c>
      <c r="CS62" s="2792">
        <f t="shared" ca="1" si="165"/>
        <v>0</v>
      </c>
      <c r="CT62" s="2792">
        <f t="shared" ca="1" si="165"/>
        <v>0</v>
      </c>
      <c r="CU62" s="2792">
        <f t="shared" ca="1" si="165"/>
        <v>0</v>
      </c>
      <c r="CV62" s="2792">
        <f t="shared" ca="1" si="165"/>
        <v>0</v>
      </c>
      <c r="CW62" s="2792">
        <f t="shared" ca="1" si="165"/>
        <v>0</v>
      </c>
      <c r="CX62" s="2792">
        <f t="shared" ca="1" si="165"/>
        <v>0</v>
      </c>
      <c r="CY62" s="2792">
        <f t="shared" ca="1" si="165"/>
        <v>0</v>
      </c>
      <c r="CZ62" s="2792">
        <f t="shared" ca="1" si="165"/>
        <v>0</v>
      </c>
      <c r="DA62" s="2792">
        <f t="shared" ca="1" si="165"/>
        <v>0</v>
      </c>
      <c r="DB62" s="2792">
        <f t="shared" ca="1" si="165"/>
        <v>0</v>
      </c>
      <c r="DC62" s="2792">
        <f t="shared" ca="1" si="165"/>
        <v>0</v>
      </c>
      <c r="DD62" s="2792">
        <f t="shared" ca="1" si="165"/>
        <v>0</v>
      </c>
      <c r="DE62" s="2792">
        <f t="shared" ca="1" si="165"/>
        <v>0</v>
      </c>
      <c r="DF62" s="2792">
        <f t="shared" ca="1" si="165"/>
        <v>0</v>
      </c>
      <c r="DH62" s="596">
        <f t="shared" ca="1" si="120"/>
        <v>0</v>
      </c>
    </row>
    <row r="63" spans="1:112" s="6" customFormat="1" ht="15.75">
      <c r="A63" s="4"/>
      <c r="B63" s="3"/>
      <c r="C63" s="616" t="s">
        <v>532</v>
      </c>
      <c r="D63" s="617" t="s">
        <v>533</v>
      </c>
      <c r="E63" s="206"/>
      <c r="G63" s="579">
        <f t="shared" ref="G63:P63" ca="1" si="166">SUM(G57:G62)</f>
        <v>0</v>
      </c>
      <c r="H63" s="579">
        <f t="shared" ca="1" si="166"/>
        <v>0</v>
      </c>
      <c r="I63" s="579">
        <f t="shared" ca="1" si="166"/>
        <v>0</v>
      </c>
      <c r="J63" s="579">
        <f t="shared" ca="1" si="166"/>
        <v>0</v>
      </c>
      <c r="K63" s="579">
        <f t="shared" ca="1" si="166"/>
        <v>0</v>
      </c>
      <c r="L63" s="579">
        <f t="shared" ca="1" si="166"/>
        <v>0</v>
      </c>
      <c r="M63" s="579">
        <f t="shared" ca="1" si="166"/>
        <v>0</v>
      </c>
      <c r="N63" s="579">
        <f t="shared" ca="1" si="166"/>
        <v>0</v>
      </c>
      <c r="O63" s="579">
        <f t="shared" ca="1" si="166"/>
        <v>0</v>
      </c>
      <c r="P63" s="579">
        <f t="shared" ca="1" si="166"/>
        <v>0</v>
      </c>
      <c r="Q63" s="618">
        <f t="shared" ca="1" si="153"/>
        <v>0</v>
      </c>
      <c r="S63" s="581">
        <f t="shared" ref="S63:AJ63" ca="1" si="167">SUM(S57:S62)</f>
        <v>0</v>
      </c>
      <c r="T63" s="581">
        <f t="shared" ca="1" si="167"/>
        <v>39.088558259999999</v>
      </c>
      <c r="U63" s="581">
        <f t="shared" ca="1" si="167"/>
        <v>0</v>
      </c>
      <c r="V63" s="581">
        <f t="shared" ca="1" si="167"/>
        <v>0</v>
      </c>
      <c r="W63" s="581">
        <f t="shared" ca="1" si="167"/>
        <v>0</v>
      </c>
      <c r="X63" s="581">
        <f t="shared" ca="1" si="167"/>
        <v>0</v>
      </c>
      <c r="Y63" s="581">
        <f t="shared" ca="1" si="167"/>
        <v>0</v>
      </c>
      <c r="Z63" s="581">
        <f t="shared" ca="1" si="167"/>
        <v>0</v>
      </c>
      <c r="AA63" s="581">
        <f t="shared" ca="1" si="167"/>
        <v>0</v>
      </c>
      <c r="AB63" s="581">
        <f t="shared" ca="1" si="167"/>
        <v>0</v>
      </c>
      <c r="AC63" s="581">
        <f t="shared" ca="1" si="167"/>
        <v>0</v>
      </c>
      <c r="AD63" s="581">
        <f t="shared" ca="1" si="167"/>
        <v>0</v>
      </c>
      <c r="AE63" s="581">
        <f ca="1">SUM(AE57:AE62)</f>
        <v>0</v>
      </c>
      <c r="AF63" s="581">
        <f t="shared" ca="1" si="167"/>
        <v>0</v>
      </c>
      <c r="AG63" s="581">
        <f t="shared" ca="1" si="167"/>
        <v>0</v>
      </c>
      <c r="AH63" s="581">
        <f ca="1">SUM(AH57:AH62)</f>
        <v>0</v>
      </c>
      <c r="AI63" s="581">
        <f t="shared" ca="1" si="167"/>
        <v>0</v>
      </c>
      <c r="AJ63" s="581">
        <f t="shared" ca="1" si="167"/>
        <v>0</v>
      </c>
      <c r="AK63" s="581">
        <f t="shared" ca="1" si="156"/>
        <v>39.088558259999999</v>
      </c>
      <c r="AM63" s="582">
        <f t="shared" ref="AM63:BE63" ca="1" si="168">SUM(AM57:AM62)</f>
        <v>0</v>
      </c>
      <c r="AN63" s="582">
        <f t="shared" ca="1" si="168"/>
        <v>0</v>
      </c>
      <c r="AO63" s="582">
        <f t="shared" ca="1" si="168"/>
        <v>0</v>
      </c>
      <c r="AP63" s="582">
        <f t="shared" ca="1" si="168"/>
        <v>0</v>
      </c>
      <c r="AQ63" s="582">
        <f t="shared" ca="1" si="168"/>
        <v>0</v>
      </c>
      <c r="AR63" s="582">
        <f t="shared" ca="1" si="168"/>
        <v>0</v>
      </c>
      <c r="AS63" s="582">
        <f t="shared" ca="1" si="168"/>
        <v>0</v>
      </c>
      <c r="AT63" s="582">
        <f t="shared" ca="1" si="168"/>
        <v>0</v>
      </c>
      <c r="AU63" s="582">
        <f t="shared" ca="1" si="168"/>
        <v>0</v>
      </c>
      <c r="AV63" s="582">
        <f t="shared" ca="1" si="168"/>
        <v>0</v>
      </c>
      <c r="AW63" s="582">
        <f t="shared" ca="1" si="168"/>
        <v>0</v>
      </c>
      <c r="AX63" s="582">
        <f t="shared" ca="1" si="168"/>
        <v>-31.5142083</v>
      </c>
      <c r="AY63" s="582">
        <f t="shared" ca="1" si="168"/>
        <v>-1.5778800000000002</v>
      </c>
      <c r="AZ63" s="582">
        <f t="shared" ca="1" si="168"/>
        <v>-5.2070040000000004</v>
      </c>
      <c r="BA63" s="582">
        <f t="shared" ca="1" si="168"/>
        <v>0</v>
      </c>
      <c r="BB63" s="582">
        <f t="shared" ca="1" si="168"/>
        <v>-0.78946596000000002</v>
      </c>
      <c r="BC63" s="582">
        <f t="shared" ca="1" si="168"/>
        <v>0</v>
      </c>
      <c r="BD63" s="582">
        <f t="shared" ca="1" si="168"/>
        <v>0</v>
      </c>
      <c r="BE63" s="582">
        <f t="shared" ca="1" si="168"/>
        <v>0</v>
      </c>
      <c r="BF63" s="582">
        <f t="shared" ca="1" si="159"/>
        <v>-39.088558259999999</v>
      </c>
      <c r="BH63" s="3463">
        <f ca="1">SUM(BH57:BH62)</f>
        <v>0</v>
      </c>
      <c r="BI63" s="3463">
        <f ca="1">SUM(BI57:BI62)</f>
        <v>0</v>
      </c>
      <c r="BJ63" s="3463">
        <f t="shared" ca="1" si="161"/>
        <v>0</v>
      </c>
      <c r="BL63" s="3477">
        <f t="shared" ca="1" si="150"/>
        <v>0</v>
      </c>
      <c r="BM63" s="584"/>
      <c r="BN63" s="413"/>
      <c r="BO63" s="2790">
        <f t="shared" ref="BO63:DF63" ca="1" si="169">SUM(BO57:BO62)</f>
        <v>0</v>
      </c>
      <c r="BP63" s="2790">
        <f t="shared" ca="1" si="169"/>
        <v>0</v>
      </c>
      <c r="BQ63" s="2790">
        <f t="shared" ca="1" si="169"/>
        <v>0</v>
      </c>
      <c r="BR63" s="2790">
        <f t="shared" ca="1" si="169"/>
        <v>0</v>
      </c>
      <c r="BS63" s="2790">
        <f t="shared" ca="1" si="169"/>
        <v>0</v>
      </c>
      <c r="BT63" s="2790">
        <f t="shared" ca="1" si="169"/>
        <v>0</v>
      </c>
      <c r="BU63" s="2790">
        <f t="shared" ca="1" si="169"/>
        <v>0</v>
      </c>
      <c r="BV63" s="2790">
        <f t="shared" ca="1" si="169"/>
        <v>0</v>
      </c>
      <c r="BW63" s="2790">
        <f t="shared" ca="1" si="169"/>
        <v>0</v>
      </c>
      <c r="BX63" s="2790">
        <f t="shared" ca="1" si="169"/>
        <v>0</v>
      </c>
      <c r="BY63" s="2790">
        <f t="shared" ca="1" si="169"/>
        <v>0</v>
      </c>
      <c r="BZ63" s="2790">
        <f t="shared" ca="1" si="169"/>
        <v>0</v>
      </c>
      <c r="CA63" s="2790">
        <f t="shared" ca="1" si="169"/>
        <v>0</v>
      </c>
      <c r="CB63" s="2790">
        <f t="shared" ca="1" si="169"/>
        <v>0</v>
      </c>
      <c r="CC63" s="2790">
        <f t="shared" ca="1" si="169"/>
        <v>0</v>
      </c>
      <c r="CD63" s="2790">
        <f t="shared" ca="1" si="169"/>
        <v>0</v>
      </c>
      <c r="CE63" s="2790">
        <f t="shared" ca="1" si="169"/>
        <v>0</v>
      </c>
      <c r="CF63" s="2790">
        <f t="shared" ca="1" si="169"/>
        <v>0</v>
      </c>
      <c r="CG63" s="2790">
        <f t="shared" ca="1" si="169"/>
        <v>0</v>
      </c>
      <c r="CH63" s="2790">
        <f t="shared" ca="1" si="169"/>
        <v>0</v>
      </c>
      <c r="CI63" s="2790">
        <f t="shared" ca="1" si="169"/>
        <v>0</v>
      </c>
      <c r="CJ63" s="2790">
        <f t="shared" ca="1" si="169"/>
        <v>0</v>
      </c>
      <c r="CK63" s="2790">
        <f t="shared" ca="1" si="169"/>
        <v>0</v>
      </c>
      <c r="CL63" s="2790">
        <f t="shared" ca="1" si="169"/>
        <v>0</v>
      </c>
      <c r="CM63" s="2790">
        <f t="shared" ca="1" si="169"/>
        <v>0</v>
      </c>
      <c r="CN63" s="2790">
        <f t="shared" ca="1" si="169"/>
        <v>0</v>
      </c>
      <c r="CO63" s="2790">
        <f t="shared" ca="1" si="169"/>
        <v>0</v>
      </c>
      <c r="CP63" s="2790">
        <f t="shared" ca="1" si="169"/>
        <v>0</v>
      </c>
      <c r="CQ63" s="2790">
        <f t="shared" ca="1" si="169"/>
        <v>0</v>
      </c>
      <c r="CR63" s="2790">
        <f t="shared" ca="1" si="169"/>
        <v>0</v>
      </c>
      <c r="CS63" s="2790">
        <f t="shared" ca="1" si="169"/>
        <v>0</v>
      </c>
      <c r="CT63" s="2790">
        <f t="shared" ca="1" si="169"/>
        <v>0</v>
      </c>
      <c r="CU63" s="2790">
        <f t="shared" ca="1" si="169"/>
        <v>0</v>
      </c>
      <c r="CV63" s="2790">
        <f t="shared" ca="1" si="169"/>
        <v>0</v>
      </c>
      <c r="CW63" s="2790">
        <f t="shared" ca="1" si="169"/>
        <v>0</v>
      </c>
      <c r="CX63" s="2790">
        <f t="shared" ca="1" si="169"/>
        <v>0</v>
      </c>
      <c r="CY63" s="2790">
        <f t="shared" ca="1" si="169"/>
        <v>0</v>
      </c>
      <c r="CZ63" s="2790">
        <f t="shared" ca="1" si="169"/>
        <v>0</v>
      </c>
      <c r="DA63" s="2790">
        <f t="shared" ca="1" si="169"/>
        <v>0</v>
      </c>
      <c r="DB63" s="2790">
        <f t="shared" ca="1" si="169"/>
        <v>0</v>
      </c>
      <c r="DC63" s="2790">
        <f t="shared" ca="1" si="169"/>
        <v>0</v>
      </c>
      <c r="DD63" s="2790">
        <f t="shared" ca="1" si="169"/>
        <v>0</v>
      </c>
      <c r="DE63" s="2790">
        <f t="shared" ca="1" si="169"/>
        <v>0</v>
      </c>
      <c r="DF63" s="2790">
        <f t="shared" ca="1" si="169"/>
        <v>0</v>
      </c>
      <c r="DH63" s="596">
        <f t="shared" ca="1" si="120"/>
        <v>0</v>
      </c>
    </row>
    <row r="64" spans="1:112" s="6" customFormat="1" ht="12.75" customHeight="1" outlineLevel="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20"/>
        <v>0</v>
      </c>
    </row>
    <row r="65" spans="1:112" s="607" customFormat="1" ht="12.75" customHeight="1" outlineLevel="1">
      <c r="C65" s="587" t="s">
        <v>534</v>
      </c>
      <c r="D65" s="588" t="s">
        <v>535</v>
      </c>
      <c r="E65" s="588"/>
      <c r="G65" s="657">
        <f t="shared" ref="G65:P67" ca="1" si="170">IFERROR(INDEX(INDIRECT($C65&amp;".Outputs["&amp;this.Year&amp;"]"), MATCH(G$5, INDIRECT($C65&amp;".Outputs[Vector]"), 0)), 0)</f>
        <v>0</v>
      </c>
      <c r="H65" s="657">
        <f t="shared" ca="1" si="170"/>
        <v>0</v>
      </c>
      <c r="I65" s="657">
        <f t="shared" ca="1" si="170"/>
        <v>0</v>
      </c>
      <c r="J65" s="657">
        <f t="shared" ca="1" si="170"/>
        <v>0</v>
      </c>
      <c r="K65" s="658">
        <f t="shared" ca="1" si="170"/>
        <v>0</v>
      </c>
      <c r="L65" s="657">
        <f t="shared" ca="1" si="170"/>
        <v>0</v>
      </c>
      <c r="M65" s="657">
        <f t="shared" ca="1" si="170"/>
        <v>0</v>
      </c>
      <c r="N65" s="657">
        <f t="shared" ca="1" si="170"/>
        <v>0</v>
      </c>
      <c r="O65" s="657">
        <f t="shared" ca="1" si="170"/>
        <v>0</v>
      </c>
      <c r="P65" s="657">
        <f t="shared" ca="1" si="170"/>
        <v>0</v>
      </c>
      <c r="Q65" s="659">
        <f ca="1">SUM(G65:P65)</f>
        <v>0</v>
      </c>
      <c r="S65" s="660">
        <f t="shared" ref="S65:AJ67" ca="1" si="171">IFERROR(INDEX(INDIRECT($C65&amp;".Outputs["&amp;this.Year&amp;"]"), MATCH(S$5, INDIRECT($C65&amp;".Outputs[Vector]"), 0)), 0)</f>
        <v>0</v>
      </c>
      <c r="T65" s="660">
        <f t="shared" ca="1" si="171"/>
        <v>3.401208</v>
      </c>
      <c r="U65" s="660">
        <f t="shared" ca="1" si="171"/>
        <v>0</v>
      </c>
      <c r="V65" s="660">
        <f t="shared" ca="1" si="171"/>
        <v>0</v>
      </c>
      <c r="W65" s="660">
        <f t="shared" ca="1" si="171"/>
        <v>0</v>
      </c>
      <c r="X65" s="660">
        <f t="shared" ref="X65:Z67" ca="1" si="172">IFERROR(INDEX(INDIRECT($C65&amp;".Outputs["&amp;this.Year&amp;"]"), MATCH(X$5, INDIRECT($C65&amp;".Outputs[Vector]"), 0)), 0)</f>
        <v>0</v>
      </c>
      <c r="Y65" s="660">
        <f t="shared" ca="1" si="172"/>
        <v>0</v>
      </c>
      <c r="Z65" s="660">
        <f t="shared" ca="1" si="172"/>
        <v>0</v>
      </c>
      <c r="AA65" s="660">
        <f t="shared" ca="1" si="171"/>
        <v>0</v>
      </c>
      <c r="AB65" s="660">
        <f t="shared" ca="1" si="171"/>
        <v>0</v>
      </c>
      <c r="AC65" s="660">
        <f t="shared" ca="1" si="171"/>
        <v>0</v>
      </c>
      <c r="AD65" s="660">
        <f t="shared" ca="1" si="171"/>
        <v>0</v>
      </c>
      <c r="AE65" s="660">
        <f t="shared" ca="1" si="171"/>
        <v>0</v>
      </c>
      <c r="AF65" s="660">
        <f t="shared" ca="1" si="171"/>
        <v>0</v>
      </c>
      <c r="AG65" s="660">
        <f t="shared" ca="1" si="171"/>
        <v>0</v>
      </c>
      <c r="AH65" s="660">
        <f t="shared" ca="1" si="171"/>
        <v>0</v>
      </c>
      <c r="AI65" s="660">
        <f t="shared" ca="1" si="171"/>
        <v>0</v>
      </c>
      <c r="AJ65" s="660">
        <f t="shared" ca="1" si="171"/>
        <v>0</v>
      </c>
      <c r="AK65" s="661">
        <f ca="1">SUM(S65:AJ65)</f>
        <v>3.401208</v>
      </c>
      <c r="AM65" s="662">
        <f t="shared" ref="AM65:AU67" ca="1" si="173">IFERROR(INDEX(INDIRECT($C65&amp;".Outputs["&amp;this.Year&amp;"]"), MATCH(AM$5, INDIRECT($C65&amp;".Outputs[Vector]"), 0)), 0)</f>
        <v>0</v>
      </c>
      <c r="AN65" s="662">
        <f t="shared" ca="1" si="173"/>
        <v>0</v>
      </c>
      <c r="AO65" s="662">
        <f t="shared" ca="1" si="173"/>
        <v>0</v>
      </c>
      <c r="AP65" s="662">
        <f t="shared" ca="1" si="173"/>
        <v>0</v>
      </c>
      <c r="AQ65" s="662">
        <f t="shared" ca="1" si="173"/>
        <v>0</v>
      </c>
      <c r="AR65" s="662">
        <f t="shared" ca="1" si="173"/>
        <v>0</v>
      </c>
      <c r="AS65" s="662">
        <f t="shared" ca="1" si="173"/>
        <v>0</v>
      </c>
      <c r="AT65" s="662">
        <f t="shared" ca="1" si="173"/>
        <v>0</v>
      </c>
      <c r="AU65" s="662">
        <f t="shared" ca="1" si="173"/>
        <v>0</v>
      </c>
      <c r="AV65" s="662">
        <f t="shared" ref="AV65:BE67" ca="1" si="174">IFERROR(INDEX(INDIRECT($C65&amp;".Outputs["&amp;this.Year&amp;"]"), MATCH(AV$5, INDIRECT($C65&amp;".Outputs[Vector]"), 0)), 0)</f>
        <v>0</v>
      </c>
      <c r="AW65" s="662">
        <f t="shared" ca="1" si="174"/>
        <v>-3.401208</v>
      </c>
      <c r="AX65" s="662">
        <f t="shared" ca="1" si="174"/>
        <v>0</v>
      </c>
      <c r="AY65" s="662">
        <f t="shared" ca="1" si="174"/>
        <v>0</v>
      </c>
      <c r="AZ65" s="662">
        <f t="shared" ca="1" si="174"/>
        <v>0</v>
      </c>
      <c r="BA65" s="662">
        <f t="shared" ca="1" si="174"/>
        <v>0</v>
      </c>
      <c r="BB65" s="662">
        <f t="shared" ca="1" si="174"/>
        <v>0</v>
      </c>
      <c r="BC65" s="662">
        <f t="shared" ca="1" si="174"/>
        <v>0</v>
      </c>
      <c r="BD65" s="662">
        <f t="shared" ca="1" si="174"/>
        <v>0</v>
      </c>
      <c r="BE65" s="662">
        <f t="shared" ca="1" si="174"/>
        <v>0</v>
      </c>
      <c r="BF65" s="609">
        <f ca="1">SUM(AM65:BE65)</f>
        <v>-3.401208</v>
      </c>
      <c r="BH65" s="663">
        <f t="shared" ref="BH65:BI67" ca="1" si="175">IFERROR(INDEX(INDIRECT($C65&amp;".Outputs["&amp;this.Year&amp;"]"), MATCH(BH$5, INDIRECT($C65&amp;".Outputs[Vector]"), 0)), 0)</f>
        <v>0</v>
      </c>
      <c r="BI65" s="663">
        <f t="shared" ca="1" si="175"/>
        <v>0</v>
      </c>
      <c r="BJ65" s="664">
        <f ca="1">SUM(BH65:BI65)</f>
        <v>0</v>
      </c>
      <c r="BL65" s="610">
        <f t="shared" ref="BL65:BL72" ca="1" si="176">Q65+AK65+BF65+BJ65</f>
        <v>0</v>
      </c>
      <c r="BM65" s="610"/>
      <c r="BO65" s="665">
        <f t="shared" ref="BO65:DF67" ca="1" si="177">IFERROR(SUMIFS(INDIRECT($C65&amp;".Emissions["&amp;this.Year&amp;"]"), INDIRECT($C65&amp;".Emissions[GHG]"), BO$6, INDIRECT($C65&amp;".Emissions[IPCC Sector]"), BO$5),0)</f>
        <v>0</v>
      </c>
      <c r="BP65" s="665">
        <f t="shared" ca="1" si="177"/>
        <v>0</v>
      </c>
      <c r="BQ65" s="665">
        <f t="shared" ca="1" si="177"/>
        <v>0</v>
      </c>
      <c r="BR65" s="665">
        <f t="shared" ca="1" si="177"/>
        <v>0</v>
      </c>
      <c r="BS65" s="665">
        <f t="shared" ca="1" si="177"/>
        <v>0</v>
      </c>
      <c r="BT65" s="665">
        <f t="shared" ca="1" si="177"/>
        <v>0</v>
      </c>
      <c r="BU65" s="665">
        <f t="shared" ca="1" si="177"/>
        <v>0</v>
      </c>
      <c r="BV65" s="665">
        <f t="shared" ca="1" si="177"/>
        <v>0</v>
      </c>
      <c r="BW65" s="665">
        <f t="shared" ca="1" si="177"/>
        <v>0</v>
      </c>
      <c r="BX65" s="665">
        <f t="shared" ca="1" si="177"/>
        <v>0</v>
      </c>
      <c r="BY65" s="665">
        <f t="shared" ca="1" si="177"/>
        <v>0</v>
      </c>
      <c r="BZ65" s="665">
        <f t="shared" ca="1" si="177"/>
        <v>0</v>
      </c>
      <c r="CA65" s="665">
        <f t="shared" ca="1" si="177"/>
        <v>0</v>
      </c>
      <c r="CB65" s="665">
        <f t="shared" ca="1" si="177"/>
        <v>0</v>
      </c>
      <c r="CC65" s="665">
        <f t="shared" ca="1" si="177"/>
        <v>0</v>
      </c>
      <c r="CD65" s="665">
        <f t="shared" ca="1" si="177"/>
        <v>0</v>
      </c>
      <c r="CE65" s="665">
        <f t="shared" ca="1" si="177"/>
        <v>0</v>
      </c>
      <c r="CF65" s="665">
        <f t="shared" ca="1" si="177"/>
        <v>0</v>
      </c>
      <c r="CG65" s="665">
        <f t="shared" ca="1" si="177"/>
        <v>0</v>
      </c>
      <c r="CH65" s="665">
        <f t="shared" ca="1" si="177"/>
        <v>0</v>
      </c>
      <c r="CI65" s="665">
        <f t="shared" ca="1" si="177"/>
        <v>0</v>
      </c>
      <c r="CJ65" s="665">
        <f t="shared" ca="1" si="177"/>
        <v>0</v>
      </c>
      <c r="CK65" s="665">
        <f t="shared" ca="1" si="177"/>
        <v>0</v>
      </c>
      <c r="CL65" s="665">
        <f t="shared" ca="1" si="177"/>
        <v>0</v>
      </c>
      <c r="CM65" s="665">
        <f t="shared" ca="1" si="177"/>
        <v>0</v>
      </c>
      <c r="CN65" s="665">
        <f t="shared" ca="1" si="177"/>
        <v>0</v>
      </c>
      <c r="CO65" s="665">
        <f t="shared" ca="1" si="177"/>
        <v>0</v>
      </c>
      <c r="CP65" s="665">
        <f t="shared" ca="1" si="177"/>
        <v>0</v>
      </c>
      <c r="CQ65" s="665">
        <f t="shared" ca="1" si="177"/>
        <v>0</v>
      </c>
      <c r="CR65" s="665">
        <f t="shared" ca="1" si="177"/>
        <v>0</v>
      </c>
      <c r="CS65" s="665">
        <f t="shared" ca="1" si="177"/>
        <v>0</v>
      </c>
      <c r="CT65" s="665">
        <f t="shared" ca="1" si="177"/>
        <v>0</v>
      </c>
      <c r="CU65" s="665">
        <f t="shared" ca="1" si="177"/>
        <v>0</v>
      </c>
      <c r="CV65" s="665">
        <f t="shared" ca="1" si="177"/>
        <v>0</v>
      </c>
      <c r="CW65" s="665">
        <f t="shared" ca="1" si="177"/>
        <v>0</v>
      </c>
      <c r="CX65" s="665">
        <f t="shared" ca="1" si="177"/>
        <v>0</v>
      </c>
      <c r="CY65" s="665">
        <f t="shared" ca="1" si="177"/>
        <v>0</v>
      </c>
      <c r="CZ65" s="665">
        <f t="shared" ca="1" si="177"/>
        <v>0</v>
      </c>
      <c r="DA65" s="665">
        <f t="shared" ca="1" si="177"/>
        <v>0</v>
      </c>
      <c r="DB65" s="665">
        <f t="shared" ca="1" si="177"/>
        <v>0</v>
      </c>
      <c r="DC65" s="665">
        <f t="shared" ca="1" si="177"/>
        <v>0</v>
      </c>
      <c r="DD65" s="665">
        <f t="shared" ca="1" si="177"/>
        <v>0</v>
      </c>
      <c r="DE65" s="665">
        <f t="shared" ca="1" si="177"/>
        <v>0</v>
      </c>
      <c r="DF65" s="665">
        <f t="shared" ca="1" si="177"/>
        <v>0</v>
      </c>
      <c r="DH65" s="666">
        <f t="shared" ca="1" si="120"/>
        <v>0</v>
      </c>
    </row>
    <row r="66" spans="1:112" s="607" customFormat="1" ht="12.75" customHeight="1" outlineLevel="1">
      <c r="C66" s="587" t="s">
        <v>25</v>
      </c>
      <c r="D66" s="588" t="s">
        <v>26</v>
      </c>
      <c r="E66" s="588"/>
      <c r="G66" s="657">
        <f t="shared" ca="1" si="170"/>
        <v>0</v>
      </c>
      <c r="H66" s="657">
        <f t="shared" ca="1" si="170"/>
        <v>0.16462022452045666</v>
      </c>
      <c r="I66" s="657">
        <f t="shared" ca="1" si="170"/>
        <v>0</v>
      </c>
      <c r="J66" s="657">
        <f t="shared" ca="1" si="170"/>
        <v>0</v>
      </c>
      <c r="K66" s="658">
        <f t="shared" ca="1" si="170"/>
        <v>0</v>
      </c>
      <c r="L66" s="657">
        <f t="shared" ca="1" si="170"/>
        <v>0</v>
      </c>
      <c r="M66" s="657">
        <f t="shared" ca="1" si="170"/>
        <v>0</v>
      </c>
      <c r="N66" s="657">
        <f t="shared" ca="1" si="170"/>
        <v>0</v>
      </c>
      <c r="O66" s="657">
        <f t="shared" ca="1" si="170"/>
        <v>0</v>
      </c>
      <c r="P66" s="657">
        <f t="shared" ca="1" si="170"/>
        <v>0</v>
      </c>
      <c r="Q66" s="659">
        <f ca="1">SUM(G66:P66)</f>
        <v>0.16462022452045666</v>
      </c>
      <c r="S66" s="660">
        <f t="shared" ca="1" si="171"/>
        <v>-0.16462022452045666</v>
      </c>
      <c r="T66" s="660">
        <f t="shared" ca="1" si="171"/>
        <v>0</v>
      </c>
      <c r="U66" s="660">
        <f t="shared" ca="1" si="171"/>
        <v>0</v>
      </c>
      <c r="V66" s="660">
        <f t="shared" ca="1" si="171"/>
        <v>0</v>
      </c>
      <c r="W66" s="660">
        <f t="shared" ca="1" si="171"/>
        <v>0</v>
      </c>
      <c r="X66" s="660">
        <f t="shared" ca="1" si="172"/>
        <v>0</v>
      </c>
      <c r="Y66" s="660">
        <f t="shared" ca="1" si="172"/>
        <v>0</v>
      </c>
      <c r="Z66" s="660">
        <f t="shared" ca="1" si="172"/>
        <v>0</v>
      </c>
      <c r="AA66" s="660">
        <f t="shared" ca="1" si="171"/>
        <v>0</v>
      </c>
      <c r="AB66" s="660">
        <f t="shared" ca="1" si="171"/>
        <v>0</v>
      </c>
      <c r="AC66" s="660">
        <f t="shared" ca="1" si="171"/>
        <v>0</v>
      </c>
      <c r="AD66" s="660">
        <f t="shared" ca="1" si="171"/>
        <v>0</v>
      </c>
      <c r="AE66" s="660">
        <f t="shared" ca="1" si="171"/>
        <v>0</v>
      </c>
      <c r="AF66" s="660">
        <f t="shared" ca="1" si="171"/>
        <v>0</v>
      </c>
      <c r="AG66" s="660">
        <f t="shared" ca="1" si="171"/>
        <v>0</v>
      </c>
      <c r="AH66" s="660">
        <f t="shared" ca="1" si="171"/>
        <v>0</v>
      </c>
      <c r="AI66" s="660">
        <f t="shared" ca="1" si="171"/>
        <v>2.3046831432863932</v>
      </c>
      <c r="AJ66" s="660">
        <f t="shared" ca="1" si="171"/>
        <v>0</v>
      </c>
      <c r="AK66" s="661">
        <f ca="1">SUM(S66:AJ66)</f>
        <v>2.1400629187659366</v>
      </c>
      <c r="AM66" s="662">
        <f t="shared" ca="1" si="173"/>
        <v>0</v>
      </c>
      <c r="AN66" s="662">
        <f t="shared" ca="1" si="173"/>
        <v>0</v>
      </c>
      <c r="AO66" s="662">
        <f t="shared" ca="1" si="173"/>
        <v>0</v>
      </c>
      <c r="AP66" s="662">
        <f t="shared" ca="1" si="173"/>
        <v>0</v>
      </c>
      <c r="AQ66" s="662">
        <f t="shared" ca="1" si="173"/>
        <v>0</v>
      </c>
      <c r="AR66" s="662">
        <f t="shared" ca="1" si="173"/>
        <v>0</v>
      </c>
      <c r="AS66" s="662">
        <f t="shared" ca="1" si="173"/>
        <v>0</v>
      </c>
      <c r="AT66" s="662">
        <f t="shared" ca="1" si="173"/>
        <v>0</v>
      </c>
      <c r="AU66" s="662">
        <f t="shared" ca="1" si="173"/>
        <v>0</v>
      </c>
      <c r="AV66" s="662">
        <f t="shared" ca="1" si="174"/>
        <v>0</v>
      </c>
      <c r="AW66" s="662">
        <f t="shared" ca="1" si="174"/>
        <v>-2.3046831432863932</v>
      </c>
      <c r="AX66" s="662">
        <f t="shared" ca="1" si="174"/>
        <v>0</v>
      </c>
      <c r="AY66" s="662">
        <f t="shared" ca="1" si="174"/>
        <v>0</v>
      </c>
      <c r="AZ66" s="662">
        <f t="shared" ca="1" si="174"/>
        <v>0</v>
      </c>
      <c r="BA66" s="662">
        <f t="shared" ca="1" si="174"/>
        <v>0</v>
      </c>
      <c r="BB66" s="662">
        <f t="shared" ca="1" si="174"/>
        <v>0</v>
      </c>
      <c r="BC66" s="662">
        <f t="shared" ca="1" si="174"/>
        <v>0</v>
      </c>
      <c r="BD66" s="662">
        <f t="shared" ca="1" si="174"/>
        <v>0</v>
      </c>
      <c r="BE66" s="662">
        <f t="shared" ca="1" si="174"/>
        <v>0</v>
      </c>
      <c r="BF66" s="609">
        <f ca="1">SUM(AM66:BE66)</f>
        <v>-2.3046831432863932</v>
      </c>
      <c r="BH66" s="663">
        <f t="shared" ca="1" si="175"/>
        <v>0</v>
      </c>
      <c r="BI66" s="663">
        <f t="shared" ca="1" si="175"/>
        <v>0</v>
      </c>
      <c r="BJ66" s="664">
        <f ca="1">SUM(BH66:BI66)</f>
        <v>0</v>
      </c>
      <c r="BL66" s="610">
        <f t="shared" ca="1" si="176"/>
        <v>0</v>
      </c>
      <c r="BM66" s="610"/>
      <c r="BO66" s="665">
        <f t="shared" ca="1" si="177"/>
        <v>0</v>
      </c>
      <c r="BP66" s="665">
        <f t="shared" ca="1" si="177"/>
        <v>0</v>
      </c>
      <c r="BQ66" s="665">
        <f t="shared" ca="1" si="177"/>
        <v>0</v>
      </c>
      <c r="BR66" s="665">
        <f t="shared" ca="1" si="177"/>
        <v>0</v>
      </c>
      <c r="BS66" s="665">
        <f t="shared" ca="1" si="177"/>
        <v>0</v>
      </c>
      <c r="BT66" s="665">
        <f t="shared" ca="1" si="177"/>
        <v>0</v>
      </c>
      <c r="BU66" s="665">
        <f t="shared" ca="1" si="177"/>
        <v>0</v>
      </c>
      <c r="BV66" s="665">
        <f t="shared" ca="1" si="177"/>
        <v>0</v>
      </c>
      <c r="BW66" s="665">
        <f t="shared" ca="1" si="177"/>
        <v>0</v>
      </c>
      <c r="BX66" s="665">
        <f t="shared" ca="1" si="177"/>
        <v>0</v>
      </c>
      <c r="BY66" s="665">
        <f t="shared" ca="1" si="177"/>
        <v>0</v>
      </c>
      <c r="BZ66" s="665">
        <f t="shared" ca="1" si="177"/>
        <v>0</v>
      </c>
      <c r="CA66" s="665">
        <f t="shared" ca="1" si="177"/>
        <v>0</v>
      </c>
      <c r="CB66" s="665">
        <f t="shared" ca="1" si="177"/>
        <v>0</v>
      </c>
      <c r="CC66" s="665">
        <f t="shared" ca="1" si="177"/>
        <v>0</v>
      </c>
      <c r="CD66" s="665">
        <f t="shared" ca="1" si="177"/>
        <v>0</v>
      </c>
      <c r="CE66" s="665">
        <f t="shared" ca="1" si="177"/>
        <v>0</v>
      </c>
      <c r="CF66" s="665">
        <f t="shared" ca="1" si="177"/>
        <v>0</v>
      </c>
      <c r="CG66" s="665">
        <f t="shared" ca="1" si="177"/>
        <v>0</v>
      </c>
      <c r="CH66" s="665">
        <f t="shared" ca="1" si="177"/>
        <v>0</v>
      </c>
      <c r="CI66" s="665">
        <f t="shared" ca="1" si="177"/>
        <v>0</v>
      </c>
      <c r="CJ66" s="665">
        <f t="shared" ca="1" si="177"/>
        <v>0</v>
      </c>
      <c r="CK66" s="665">
        <f t="shared" ca="1" si="177"/>
        <v>0</v>
      </c>
      <c r="CL66" s="665">
        <f t="shared" ca="1" si="177"/>
        <v>0</v>
      </c>
      <c r="CM66" s="665">
        <f t="shared" ca="1" si="177"/>
        <v>0</v>
      </c>
      <c r="CN66" s="665">
        <f t="shared" ca="1" si="177"/>
        <v>0</v>
      </c>
      <c r="CO66" s="665">
        <f t="shared" ca="1" si="177"/>
        <v>0</v>
      </c>
      <c r="CP66" s="665">
        <f t="shared" ca="1" si="177"/>
        <v>0</v>
      </c>
      <c r="CQ66" s="665">
        <f t="shared" ca="1" si="177"/>
        <v>0</v>
      </c>
      <c r="CR66" s="665">
        <f t="shared" ca="1" si="177"/>
        <v>0</v>
      </c>
      <c r="CS66" s="665">
        <f t="shared" ca="1" si="177"/>
        <v>0</v>
      </c>
      <c r="CT66" s="665">
        <f t="shared" ca="1" si="177"/>
        <v>0</v>
      </c>
      <c r="CU66" s="665">
        <f t="shared" ca="1" si="177"/>
        <v>0</v>
      </c>
      <c r="CV66" s="665">
        <f t="shared" ca="1" si="177"/>
        <v>0</v>
      </c>
      <c r="CW66" s="665">
        <f t="shared" ca="1" si="177"/>
        <v>0</v>
      </c>
      <c r="CX66" s="665">
        <f t="shared" ca="1" si="177"/>
        <v>0</v>
      </c>
      <c r="CY66" s="665">
        <f t="shared" ca="1" si="177"/>
        <v>0</v>
      </c>
      <c r="CZ66" s="665">
        <f t="shared" ca="1" si="177"/>
        <v>0</v>
      </c>
      <c r="DA66" s="665">
        <f t="shared" ca="1" si="177"/>
        <v>0</v>
      </c>
      <c r="DB66" s="665">
        <f t="shared" ca="1" si="177"/>
        <v>0</v>
      </c>
      <c r="DC66" s="665">
        <f t="shared" ca="1" si="177"/>
        <v>0</v>
      </c>
      <c r="DD66" s="665">
        <f t="shared" ca="1" si="177"/>
        <v>0</v>
      </c>
      <c r="DE66" s="665">
        <f t="shared" ca="1" si="177"/>
        <v>0</v>
      </c>
      <c r="DF66" s="665">
        <f t="shared" ca="1" si="177"/>
        <v>0</v>
      </c>
      <c r="DH66" s="666">
        <f t="shared" ca="1" si="120"/>
        <v>0</v>
      </c>
    </row>
    <row r="67" spans="1:112" s="607" customFormat="1" ht="12.75" customHeight="1" outlineLevel="1">
      <c r="C67" s="587" t="s">
        <v>536</v>
      </c>
      <c r="D67" s="611" t="s">
        <v>537</v>
      </c>
      <c r="E67" s="611"/>
      <c r="F67" s="6"/>
      <c r="G67" s="619">
        <f t="shared" ca="1" si="170"/>
        <v>0</v>
      </c>
      <c r="H67" s="619">
        <f t="shared" ca="1" si="170"/>
        <v>0</v>
      </c>
      <c r="I67" s="619">
        <f t="shared" ca="1" si="170"/>
        <v>0</v>
      </c>
      <c r="J67" s="619">
        <f t="shared" ca="1" si="170"/>
        <v>0</v>
      </c>
      <c r="K67" s="619">
        <f t="shared" ca="1" si="170"/>
        <v>0</v>
      </c>
      <c r="L67" s="619">
        <f t="shared" ca="1" si="170"/>
        <v>0</v>
      </c>
      <c r="M67" s="619">
        <f t="shared" ca="1" si="170"/>
        <v>0</v>
      </c>
      <c r="N67" s="619">
        <f t="shared" ca="1" si="170"/>
        <v>0</v>
      </c>
      <c r="O67" s="619">
        <f t="shared" ca="1" si="170"/>
        <v>0</v>
      </c>
      <c r="P67" s="619">
        <f t="shared" ca="1" si="170"/>
        <v>0</v>
      </c>
      <c r="Q67" s="612">
        <f ca="1">SUM(G67:P67)</f>
        <v>0</v>
      </c>
      <c r="R67" s="6"/>
      <c r="S67" s="620">
        <f t="shared" ca="1" si="171"/>
        <v>0</v>
      </c>
      <c r="T67" s="620">
        <f t="shared" ca="1" si="171"/>
        <v>0.38570399999999927</v>
      </c>
      <c r="U67" s="620">
        <f t="shared" ca="1" si="171"/>
        <v>0</v>
      </c>
      <c r="V67" s="620">
        <f t="shared" ca="1" si="171"/>
        <v>0</v>
      </c>
      <c r="W67" s="620">
        <f t="shared" ca="1" si="171"/>
        <v>0</v>
      </c>
      <c r="X67" s="620">
        <f t="shared" ca="1" si="172"/>
        <v>0</v>
      </c>
      <c r="Y67" s="620">
        <f t="shared" ca="1" si="172"/>
        <v>0</v>
      </c>
      <c r="Z67" s="620">
        <f t="shared" ca="1" si="172"/>
        <v>0</v>
      </c>
      <c r="AA67" s="620">
        <f t="shared" ca="1" si="171"/>
        <v>0</v>
      </c>
      <c r="AB67" s="620">
        <f t="shared" ca="1" si="171"/>
        <v>0</v>
      </c>
      <c r="AC67" s="620">
        <f t="shared" ca="1" si="171"/>
        <v>0</v>
      </c>
      <c r="AD67" s="620">
        <f t="shared" ca="1" si="171"/>
        <v>0</v>
      </c>
      <c r="AE67" s="620">
        <f t="shared" ca="1" si="171"/>
        <v>0</v>
      </c>
      <c r="AF67" s="620">
        <f t="shared" ca="1" si="171"/>
        <v>0</v>
      </c>
      <c r="AG67" s="620">
        <f t="shared" ca="1" si="171"/>
        <v>0</v>
      </c>
      <c r="AH67" s="620">
        <f t="shared" ca="1" si="171"/>
        <v>0</v>
      </c>
      <c r="AI67" s="620">
        <f t="shared" ca="1" si="171"/>
        <v>0</v>
      </c>
      <c r="AJ67" s="620">
        <f t="shared" ca="1" si="171"/>
        <v>0</v>
      </c>
      <c r="AK67" s="613">
        <f ca="1">SUM(S67:AJ67)</f>
        <v>0.38570399999999927</v>
      </c>
      <c r="AL67" s="6"/>
      <c r="AM67" s="621">
        <f t="shared" ca="1" si="173"/>
        <v>0</v>
      </c>
      <c r="AN67" s="621">
        <f t="shared" ca="1" si="173"/>
        <v>0</v>
      </c>
      <c r="AO67" s="621">
        <f t="shared" ca="1" si="173"/>
        <v>0</v>
      </c>
      <c r="AP67" s="621">
        <f t="shared" ca="1" si="173"/>
        <v>0</v>
      </c>
      <c r="AQ67" s="621">
        <f t="shared" ca="1" si="173"/>
        <v>0</v>
      </c>
      <c r="AR67" s="621">
        <f t="shared" ca="1" si="173"/>
        <v>0</v>
      </c>
      <c r="AS67" s="621">
        <f t="shared" ca="1" si="173"/>
        <v>0</v>
      </c>
      <c r="AT67" s="621">
        <f t="shared" ca="1" si="173"/>
        <v>0</v>
      </c>
      <c r="AU67" s="621">
        <f t="shared" ca="1" si="173"/>
        <v>0</v>
      </c>
      <c r="AV67" s="621">
        <f t="shared" ca="1" si="174"/>
        <v>0</v>
      </c>
      <c r="AW67" s="621">
        <f t="shared" ca="1" si="174"/>
        <v>0</v>
      </c>
      <c r="AX67" s="621">
        <f t="shared" ca="1" si="174"/>
        <v>-0.38570399999999927</v>
      </c>
      <c r="AY67" s="621">
        <f t="shared" ca="1" si="174"/>
        <v>0</v>
      </c>
      <c r="AZ67" s="621">
        <f t="shared" ca="1" si="174"/>
        <v>0</v>
      </c>
      <c r="BA67" s="621">
        <f t="shared" ca="1" si="174"/>
        <v>0</v>
      </c>
      <c r="BB67" s="621">
        <f t="shared" ca="1" si="174"/>
        <v>0</v>
      </c>
      <c r="BC67" s="621">
        <f t="shared" ca="1" si="174"/>
        <v>0</v>
      </c>
      <c r="BD67" s="621">
        <f t="shared" ca="1" si="174"/>
        <v>0</v>
      </c>
      <c r="BE67" s="621">
        <f t="shared" ca="1" si="174"/>
        <v>0</v>
      </c>
      <c r="BF67" s="615">
        <f ca="1">SUM(AM67:BE67)</f>
        <v>-0.38570399999999927</v>
      </c>
      <c r="BG67" s="6"/>
      <c r="BH67" s="3473">
        <f t="shared" ca="1" si="175"/>
        <v>0</v>
      </c>
      <c r="BI67" s="3473">
        <f t="shared" ca="1" si="175"/>
        <v>0</v>
      </c>
      <c r="BJ67" s="3462">
        <f ca="1">SUM(BH67:BI67)</f>
        <v>0</v>
      </c>
      <c r="BK67" s="6"/>
      <c r="BL67" s="610">
        <f t="shared" ca="1" si="176"/>
        <v>0</v>
      </c>
      <c r="BM67" s="610"/>
      <c r="BN67" s="413"/>
      <c r="BO67" s="2791">
        <f t="shared" ca="1" si="177"/>
        <v>0</v>
      </c>
      <c r="BP67" s="2792">
        <f t="shared" ca="1" si="177"/>
        <v>0</v>
      </c>
      <c r="BQ67" s="2792">
        <f t="shared" ca="1" si="177"/>
        <v>0</v>
      </c>
      <c r="BR67" s="2792">
        <f t="shared" ca="1" si="177"/>
        <v>0</v>
      </c>
      <c r="BS67" s="2792">
        <f t="shared" ca="1" si="177"/>
        <v>0</v>
      </c>
      <c r="BT67" s="2792">
        <f t="shared" ca="1" si="177"/>
        <v>0</v>
      </c>
      <c r="BU67" s="2792">
        <f t="shared" ca="1" si="177"/>
        <v>0</v>
      </c>
      <c r="BV67" s="2792">
        <f t="shared" ca="1" si="177"/>
        <v>0</v>
      </c>
      <c r="BW67" s="2792">
        <f t="shared" ca="1" si="177"/>
        <v>0</v>
      </c>
      <c r="BX67" s="2792">
        <f t="shared" ca="1" si="177"/>
        <v>0</v>
      </c>
      <c r="BY67" s="2792">
        <f t="shared" ca="1" si="177"/>
        <v>0</v>
      </c>
      <c r="BZ67" s="2792">
        <f t="shared" ca="1" si="177"/>
        <v>0</v>
      </c>
      <c r="CA67" s="2792">
        <f t="shared" ca="1" si="177"/>
        <v>0</v>
      </c>
      <c r="CB67" s="2792">
        <f t="shared" ca="1" si="177"/>
        <v>0</v>
      </c>
      <c r="CC67" s="2792">
        <f t="shared" ca="1" si="177"/>
        <v>0</v>
      </c>
      <c r="CD67" s="2792">
        <f t="shared" ca="1" si="177"/>
        <v>0</v>
      </c>
      <c r="CE67" s="2792">
        <f t="shared" ca="1" si="177"/>
        <v>0</v>
      </c>
      <c r="CF67" s="2792">
        <f t="shared" ca="1" si="177"/>
        <v>0</v>
      </c>
      <c r="CG67" s="2792">
        <f t="shared" ca="1" si="177"/>
        <v>0</v>
      </c>
      <c r="CH67" s="2792">
        <f t="shared" ca="1" si="177"/>
        <v>0</v>
      </c>
      <c r="CI67" s="2792">
        <f t="shared" ca="1" si="177"/>
        <v>0</v>
      </c>
      <c r="CJ67" s="2792">
        <f t="shared" ca="1" si="177"/>
        <v>0</v>
      </c>
      <c r="CK67" s="2792">
        <f t="shared" ca="1" si="177"/>
        <v>0</v>
      </c>
      <c r="CL67" s="2792">
        <f t="shared" ca="1" si="177"/>
        <v>0</v>
      </c>
      <c r="CM67" s="2792">
        <f t="shared" ca="1" si="177"/>
        <v>0</v>
      </c>
      <c r="CN67" s="2792">
        <f t="shared" ca="1" si="177"/>
        <v>0</v>
      </c>
      <c r="CO67" s="2792">
        <f t="shared" ca="1" si="177"/>
        <v>0</v>
      </c>
      <c r="CP67" s="2792">
        <f t="shared" ca="1" si="177"/>
        <v>0</v>
      </c>
      <c r="CQ67" s="2792">
        <f t="shared" ca="1" si="177"/>
        <v>0</v>
      </c>
      <c r="CR67" s="2792">
        <f t="shared" ca="1" si="177"/>
        <v>0</v>
      </c>
      <c r="CS67" s="2792">
        <f t="shared" ca="1" si="177"/>
        <v>0</v>
      </c>
      <c r="CT67" s="2792">
        <f t="shared" ca="1" si="177"/>
        <v>0</v>
      </c>
      <c r="CU67" s="2792">
        <f t="shared" ca="1" si="177"/>
        <v>0</v>
      </c>
      <c r="CV67" s="2792">
        <f t="shared" ca="1" si="177"/>
        <v>0</v>
      </c>
      <c r="CW67" s="2792">
        <f t="shared" ca="1" si="177"/>
        <v>0</v>
      </c>
      <c r="CX67" s="2792">
        <f t="shared" ca="1" si="177"/>
        <v>0</v>
      </c>
      <c r="CY67" s="2792">
        <f t="shared" ca="1" si="177"/>
        <v>0</v>
      </c>
      <c r="CZ67" s="2792">
        <f t="shared" ca="1" si="177"/>
        <v>0</v>
      </c>
      <c r="DA67" s="2792">
        <f t="shared" ca="1" si="177"/>
        <v>0</v>
      </c>
      <c r="DB67" s="2792">
        <f t="shared" ca="1" si="177"/>
        <v>0</v>
      </c>
      <c r="DC67" s="2792">
        <f t="shared" ca="1" si="177"/>
        <v>0</v>
      </c>
      <c r="DD67" s="2792">
        <f t="shared" ca="1" si="177"/>
        <v>0</v>
      </c>
      <c r="DE67" s="2792">
        <f t="shared" ca="1" si="177"/>
        <v>0</v>
      </c>
      <c r="DF67" s="2792">
        <f t="shared" ca="1" si="177"/>
        <v>0</v>
      </c>
      <c r="DH67" s="596">
        <f t="shared" ca="1" si="120"/>
        <v>0</v>
      </c>
    </row>
    <row r="68" spans="1:112" s="6" customFormat="1" ht="15.75">
      <c r="A68" s="4"/>
      <c r="B68" s="3"/>
      <c r="C68" s="616" t="s">
        <v>538</v>
      </c>
      <c r="D68" s="617" t="s">
        <v>539</v>
      </c>
      <c r="E68" s="206"/>
      <c r="G68" s="618">
        <f ca="1">SUM(G65:G67)</f>
        <v>0</v>
      </c>
      <c r="H68" s="618">
        <f t="shared" ref="H68:P68" ca="1" si="178">SUM(H65:H67)</f>
        <v>0.16462022452045666</v>
      </c>
      <c r="I68" s="618">
        <f t="shared" ca="1" si="178"/>
        <v>0</v>
      </c>
      <c r="J68" s="618">
        <f t="shared" ca="1" si="178"/>
        <v>0</v>
      </c>
      <c r="K68" s="618">
        <f t="shared" ca="1" si="178"/>
        <v>0</v>
      </c>
      <c r="L68" s="618">
        <f t="shared" ca="1" si="178"/>
        <v>0</v>
      </c>
      <c r="M68" s="618">
        <f t="shared" ca="1" si="178"/>
        <v>0</v>
      </c>
      <c r="N68" s="618">
        <f t="shared" ca="1" si="178"/>
        <v>0</v>
      </c>
      <c r="O68" s="618">
        <f t="shared" ca="1" si="178"/>
        <v>0</v>
      </c>
      <c r="P68" s="618">
        <f t="shared" ca="1" si="178"/>
        <v>0</v>
      </c>
      <c r="Q68" s="618">
        <f ca="1">SUM(G68:P68)</f>
        <v>0.16462022452045666</v>
      </c>
      <c r="S68" s="581">
        <f t="shared" ref="S68:AJ68" ca="1" si="179">SUM(S65:S67)</f>
        <v>-0.16462022452045666</v>
      </c>
      <c r="T68" s="581">
        <f t="shared" ca="1" si="179"/>
        <v>3.7869119999999992</v>
      </c>
      <c r="U68" s="581">
        <f t="shared" ca="1" si="179"/>
        <v>0</v>
      </c>
      <c r="V68" s="581">
        <f t="shared" ca="1" si="179"/>
        <v>0</v>
      </c>
      <c r="W68" s="581">
        <f t="shared" ca="1" si="179"/>
        <v>0</v>
      </c>
      <c r="X68" s="581">
        <f t="shared" ca="1" si="179"/>
        <v>0</v>
      </c>
      <c r="Y68" s="581">
        <f t="shared" ca="1" si="179"/>
        <v>0</v>
      </c>
      <c r="Z68" s="581">
        <f t="shared" ca="1" si="179"/>
        <v>0</v>
      </c>
      <c r="AA68" s="581">
        <f t="shared" ca="1" si="179"/>
        <v>0</v>
      </c>
      <c r="AB68" s="581">
        <f t="shared" ca="1" si="179"/>
        <v>0</v>
      </c>
      <c r="AC68" s="581">
        <f t="shared" ca="1" si="179"/>
        <v>0</v>
      </c>
      <c r="AD68" s="581">
        <f t="shared" ca="1" si="179"/>
        <v>0</v>
      </c>
      <c r="AE68" s="581">
        <f ca="1">SUM(AE65:AE67)</f>
        <v>0</v>
      </c>
      <c r="AF68" s="581">
        <f t="shared" ca="1" si="179"/>
        <v>0</v>
      </c>
      <c r="AG68" s="581">
        <f t="shared" ca="1" si="179"/>
        <v>0</v>
      </c>
      <c r="AH68" s="581">
        <f ca="1">SUM(AH65:AH67)</f>
        <v>0</v>
      </c>
      <c r="AI68" s="581">
        <f t="shared" ca="1" si="179"/>
        <v>2.3046831432863932</v>
      </c>
      <c r="AJ68" s="581">
        <f t="shared" ca="1" si="179"/>
        <v>0</v>
      </c>
      <c r="AK68" s="581">
        <f ca="1">SUM(S68:AJ68)</f>
        <v>5.9269749187659357</v>
      </c>
      <c r="AM68" s="582">
        <f t="shared" ref="AM68:BE68" ca="1" si="180">SUM(AM65:AM67)</f>
        <v>0</v>
      </c>
      <c r="AN68" s="582">
        <f t="shared" ca="1" si="180"/>
        <v>0</v>
      </c>
      <c r="AO68" s="582">
        <f t="shared" ca="1" si="180"/>
        <v>0</v>
      </c>
      <c r="AP68" s="582">
        <f t="shared" ca="1" si="180"/>
        <v>0</v>
      </c>
      <c r="AQ68" s="582">
        <f t="shared" ca="1" si="180"/>
        <v>0</v>
      </c>
      <c r="AR68" s="582">
        <f t="shared" ca="1" si="180"/>
        <v>0</v>
      </c>
      <c r="AS68" s="582">
        <f t="shared" ca="1" si="180"/>
        <v>0</v>
      </c>
      <c r="AT68" s="582">
        <f t="shared" ca="1" si="180"/>
        <v>0</v>
      </c>
      <c r="AU68" s="582">
        <f t="shared" ca="1" si="180"/>
        <v>0</v>
      </c>
      <c r="AV68" s="582">
        <f t="shared" ca="1" si="180"/>
        <v>0</v>
      </c>
      <c r="AW68" s="582">
        <f t="shared" ca="1" si="180"/>
        <v>-5.7058911432863937</v>
      </c>
      <c r="AX68" s="582">
        <f t="shared" ca="1" si="180"/>
        <v>-0.38570399999999927</v>
      </c>
      <c r="AY68" s="582">
        <f t="shared" ca="1" si="180"/>
        <v>0</v>
      </c>
      <c r="AZ68" s="582">
        <f t="shared" ca="1" si="180"/>
        <v>0</v>
      </c>
      <c r="BA68" s="582">
        <f t="shared" ca="1" si="180"/>
        <v>0</v>
      </c>
      <c r="BB68" s="582">
        <f t="shared" ca="1" si="180"/>
        <v>0</v>
      </c>
      <c r="BC68" s="582">
        <f t="shared" ca="1" si="180"/>
        <v>0</v>
      </c>
      <c r="BD68" s="582">
        <f t="shared" ca="1" si="180"/>
        <v>0</v>
      </c>
      <c r="BE68" s="582">
        <f t="shared" ca="1" si="180"/>
        <v>0</v>
      </c>
      <c r="BF68" s="582">
        <f ca="1">SUM(AM68:BE68)</f>
        <v>-6.0915951432863933</v>
      </c>
      <c r="BH68" s="3463">
        <f ca="1">SUM(BH65:BH67)</f>
        <v>0</v>
      </c>
      <c r="BI68" s="3463">
        <f ca="1">SUM(BI65:BI67)</f>
        <v>0</v>
      </c>
      <c r="BJ68" s="3463">
        <f ca="1">SUM(BH68:BI68)</f>
        <v>0</v>
      </c>
      <c r="BL68" s="3477">
        <f t="shared" ca="1" si="176"/>
        <v>-8.8817841970012523E-16</v>
      </c>
      <c r="BM68" s="584"/>
      <c r="BN68" s="413"/>
      <c r="BO68" s="2790">
        <f ca="1">SUM(BO65:BO67)</f>
        <v>0</v>
      </c>
      <c r="BP68" s="2790">
        <f t="shared" ref="BP68:DF68" ca="1" si="181">SUM(BP65:BP67)</f>
        <v>0</v>
      </c>
      <c r="BQ68" s="2790">
        <f t="shared" ca="1" si="181"/>
        <v>0</v>
      </c>
      <c r="BR68" s="2790">
        <f t="shared" ca="1" si="181"/>
        <v>0</v>
      </c>
      <c r="BS68" s="2790">
        <f t="shared" ca="1" si="181"/>
        <v>0</v>
      </c>
      <c r="BT68" s="2790">
        <f t="shared" ca="1" si="181"/>
        <v>0</v>
      </c>
      <c r="BU68" s="2790">
        <f t="shared" ca="1" si="181"/>
        <v>0</v>
      </c>
      <c r="BV68" s="2790">
        <f t="shared" ca="1" si="181"/>
        <v>0</v>
      </c>
      <c r="BW68" s="2790">
        <f t="shared" ca="1" si="181"/>
        <v>0</v>
      </c>
      <c r="BX68" s="2790">
        <f t="shared" ca="1" si="181"/>
        <v>0</v>
      </c>
      <c r="BY68" s="2790">
        <f t="shared" ca="1" si="181"/>
        <v>0</v>
      </c>
      <c r="BZ68" s="2790">
        <f t="shared" ca="1" si="181"/>
        <v>0</v>
      </c>
      <c r="CA68" s="2790">
        <f t="shared" ca="1" si="181"/>
        <v>0</v>
      </c>
      <c r="CB68" s="2790">
        <f t="shared" ca="1" si="181"/>
        <v>0</v>
      </c>
      <c r="CC68" s="2790">
        <f t="shared" ca="1" si="181"/>
        <v>0</v>
      </c>
      <c r="CD68" s="2790">
        <f t="shared" ca="1" si="181"/>
        <v>0</v>
      </c>
      <c r="CE68" s="2790">
        <f t="shared" ca="1" si="181"/>
        <v>0</v>
      </c>
      <c r="CF68" s="2790">
        <f t="shared" ca="1" si="181"/>
        <v>0</v>
      </c>
      <c r="CG68" s="2790">
        <f t="shared" ca="1" si="181"/>
        <v>0</v>
      </c>
      <c r="CH68" s="2790">
        <f t="shared" ca="1" si="181"/>
        <v>0</v>
      </c>
      <c r="CI68" s="2790">
        <f t="shared" ca="1" si="181"/>
        <v>0</v>
      </c>
      <c r="CJ68" s="2790">
        <f t="shared" ca="1" si="181"/>
        <v>0</v>
      </c>
      <c r="CK68" s="2790">
        <f t="shared" ca="1" si="181"/>
        <v>0</v>
      </c>
      <c r="CL68" s="2790">
        <f t="shared" ca="1" si="181"/>
        <v>0</v>
      </c>
      <c r="CM68" s="2790">
        <f t="shared" ca="1" si="181"/>
        <v>0</v>
      </c>
      <c r="CN68" s="2790">
        <f t="shared" ca="1" si="181"/>
        <v>0</v>
      </c>
      <c r="CO68" s="2790">
        <f t="shared" ca="1" si="181"/>
        <v>0</v>
      </c>
      <c r="CP68" s="2790">
        <f t="shared" ca="1" si="181"/>
        <v>0</v>
      </c>
      <c r="CQ68" s="2790">
        <f t="shared" ca="1" si="181"/>
        <v>0</v>
      </c>
      <c r="CR68" s="2790">
        <f t="shared" ca="1" si="181"/>
        <v>0</v>
      </c>
      <c r="CS68" s="2790">
        <f t="shared" ca="1" si="181"/>
        <v>0</v>
      </c>
      <c r="CT68" s="2790">
        <f t="shared" ca="1" si="181"/>
        <v>0</v>
      </c>
      <c r="CU68" s="2790">
        <f t="shared" ca="1" si="181"/>
        <v>0</v>
      </c>
      <c r="CV68" s="2790">
        <f t="shared" ca="1" si="181"/>
        <v>0</v>
      </c>
      <c r="CW68" s="2790">
        <f t="shared" ca="1" si="181"/>
        <v>0</v>
      </c>
      <c r="CX68" s="2790">
        <f t="shared" ca="1" si="181"/>
        <v>0</v>
      </c>
      <c r="CY68" s="2790">
        <f t="shared" ca="1" si="181"/>
        <v>0</v>
      </c>
      <c r="CZ68" s="2790">
        <f t="shared" ca="1" si="181"/>
        <v>0</v>
      </c>
      <c r="DA68" s="2790">
        <f t="shared" ca="1" si="181"/>
        <v>0</v>
      </c>
      <c r="DB68" s="2790">
        <f t="shared" ca="1" si="181"/>
        <v>0</v>
      </c>
      <c r="DC68" s="2790">
        <f t="shared" ca="1" si="181"/>
        <v>0</v>
      </c>
      <c r="DD68" s="2790">
        <f t="shared" ca="1" si="181"/>
        <v>0</v>
      </c>
      <c r="DE68" s="2790">
        <f t="shared" ca="1" si="181"/>
        <v>0</v>
      </c>
      <c r="DF68" s="2790">
        <f t="shared" ca="1" si="181"/>
        <v>0</v>
      </c>
      <c r="DH68" s="596">
        <f t="shared" ca="1" si="120"/>
        <v>0</v>
      </c>
    </row>
    <row r="69" spans="1:112" s="6" customFormat="1" ht="12.75" customHeight="1" outlineLevel="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76"/>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20"/>
        <v>0</v>
      </c>
    </row>
    <row r="70" spans="1:112" s="639" customFormat="1" ht="12.75" customHeight="1" outlineLevel="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76"/>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20"/>
        <v>0</v>
      </c>
    </row>
    <row r="71" spans="1:112" s="607" customFormat="1" ht="12.75" customHeight="1" outlineLevel="1">
      <c r="C71" s="587" t="s">
        <v>542</v>
      </c>
      <c r="D71" s="611" t="s">
        <v>543</v>
      </c>
      <c r="E71" s="611"/>
      <c r="F71" s="6"/>
      <c r="G71" s="619">
        <f t="shared" ref="G71:P71" ca="1" si="182">IFERROR(INDEX(INDIRECT($C71&amp;".Outputs["&amp;this.Year&amp;"]"), MATCH(G$5, INDIRECT($C71&amp;".Outputs[Vector]"), 0)), 0)</f>
        <v>0</v>
      </c>
      <c r="H71" s="619">
        <f t="shared" ca="1" si="182"/>
        <v>0</v>
      </c>
      <c r="I71" s="619">
        <f t="shared" ca="1" si="182"/>
        <v>0</v>
      </c>
      <c r="J71" s="619">
        <f t="shared" ca="1" si="182"/>
        <v>0</v>
      </c>
      <c r="K71" s="619">
        <f t="shared" ca="1" si="182"/>
        <v>0</v>
      </c>
      <c r="L71" s="619">
        <f t="shared" ca="1" si="182"/>
        <v>0</v>
      </c>
      <c r="M71" s="619">
        <f t="shared" ca="1" si="182"/>
        <v>0</v>
      </c>
      <c r="N71" s="619">
        <f t="shared" ca="1" si="182"/>
        <v>0</v>
      </c>
      <c r="O71" s="619">
        <f t="shared" ca="1" si="182"/>
        <v>0</v>
      </c>
      <c r="P71" s="619">
        <f t="shared" ca="1" si="182"/>
        <v>0</v>
      </c>
      <c r="Q71" s="612">
        <f ca="1">SUM(G71:P71)</f>
        <v>0</v>
      </c>
      <c r="R71" s="6"/>
      <c r="S71" s="620">
        <f t="shared" ref="S71:AJ71" ca="1" si="183">IFERROR(INDEX(INDIRECT($C71&amp;".Outputs["&amp;this.Year&amp;"]"), MATCH(S$5, INDIRECT($C71&amp;".Outputs[Vector]"), 0)), 0)</f>
        <v>0</v>
      </c>
      <c r="T71" s="620">
        <f t="shared" ca="1" si="183"/>
        <v>-3.7911428177742012E-3</v>
      </c>
      <c r="U71" s="620">
        <f t="shared" ca="1" si="183"/>
        <v>0</v>
      </c>
      <c r="V71" s="620">
        <f t="shared" ca="1" si="183"/>
        <v>0</v>
      </c>
      <c r="W71" s="620">
        <f t="shared" ca="1" si="183"/>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83"/>
        <v>0</v>
      </c>
      <c r="AB71" s="620">
        <f t="shared" ca="1" si="183"/>
        <v>2.6537999724419409E-2</v>
      </c>
      <c r="AC71" s="620">
        <f t="shared" ca="1" si="183"/>
        <v>0</v>
      </c>
      <c r="AD71" s="620">
        <f t="shared" ca="1" si="183"/>
        <v>0</v>
      </c>
      <c r="AE71" s="620">
        <f t="shared" ca="1" si="183"/>
        <v>0</v>
      </c>
      <c r="AF71" s="620">
        <f t="shared" ca="1" si="183"/>
        <v>0</v>
      </c>
      <c r="AG71" s="620">
        <f t="shared" ca="1" si="183"/>
        <v>0</v>
      </c>
      <c r="AH71" s="620">
        <f t="shared" ca="1" si="183"/>
        <v>0</v>
      </c>
      <c r="AI71" s="620">
        <f t="shared" ca="1" si="183"/>
        <v>0</v>
      </c>
      <c r="AJ71" s="620">
        <f t="shared" ca="1" si="183"/>
        <v>0</v>
      </c>
      <c r="AK71" s="613">
        <f ca="1">SUM(S71:AJ71)</f>
        <v>2.274685690664521E-2</v>
      </c>
      <c r="AL71" s="6"/>
      <c r="AM71" s="621">
        <f t="shared" ref="AM71:AU71" ca="1" si="184">IFERROR(INDEX(INDIRECT($C71&amp;".Outputs["&amp;this.Year&amp;"]"), MATCH(AM$5, INDIRECT($C71&amp;".Outputs[Vector]"), 0)), 0)</f>
        <v>0</v>
      </c>
      <c r="AN71" s="621">
        <f t="shared" ca="1" si="184"/>
        <v>0</v>
      </c>
      <c r="AO71" s="621">
        <f t="shared" ca="1" si="184"/>
        <v>0</v>
      </c>
      <c r="AP71" s="621">
        <f t="shared" ca="1" si="184"/>
        <v>0</v>
      </c>
      <c r="AQ71" s="621">
        <f t="shared" ca="1" si="184"/>
        <v>0</v>
      </c>
      <c r="AR71" s="621">
        <f t="shared" ca="1" si="184"/>
        <v>0</v>
      </c>
      <c r="AS71" s="621">
        <f t="shared" ca="1" si="184"/>
        <v>0</v>
      </c>
      <c r="AT71" s="621">
        <f t="shared" ca="1" si="184"/>
        <v>0</v>
      </c>
      <c r="AU71" s="621">
        <f t="shared" ca="1" si="184"/>
        <v>0</v>
      </c>
      <c r="AV71" s="621">
        <f t="shared" ref="AV71:BE71" ca="1" si="185">IFERROR(INDEX(INDIRECT($C71&amp;".Outputs["&amp;this.Year&amp;"]"), MATCH(AV$5, INDIRECT($C71&amp;".Outputs[Vector]"), 0)), 0)</f>
        <v>0</v>
      </c>
      <c r="AW71" s="621">
        <f t="shared" ca="1" si="185"/>
        <v>0</v>
      </c>
      <c r="AX71" s="621">
        <f t="shared" ca="1" si="185"/>
        <v>0</v>
      </c>
      <c r="AY71" s="621">
        <f t="shared" ca="1" si="185"/>
        <v>0</v>
      </c>
      <c r="AZ71" s="621">
        <f t="shared" ca="1" si="185"/>
        <v>0</v>
      </c>
      <c r="BA71" s="621">
        <f t="shared" ca="1" si="185"/>
        <v>0</v>
      </c>
      <c r="BB71" s="621">
        <f t="shared" ca="1" si="185"/>
        <v>0</v>
      </c>
      <c r="BC71" s="621">
        <f t="shared" ca="1" si="185"/>
        <v>0</v>
      </c>
      <c r="BD71" s="621">
        <f t="shared" ca="1" si="185"/>
        <v>0</v>
      </c>
      <c r="BE71" s="621">
        <f t="shared" ca="1" si="185"/>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76"/>
        <v>0</v>
      </c>
      <c r="BM71" s="610"/>
      <c r="BN71" s="413"/>
      <c r="BO71" s="2791">
        <f t="shared" ref="BO71:DF71" ca="1" si="186">IFERROR(SUMIFS(INDIRECT($C71&amp;".Emissions["&amp;this.Year&amp;"]"), INDIRECT($C71&amp;".Emissions[GHG]"), BO$6, INDIRECT($C71&amp;".Emissions[IPCC Sector]"), BO$5),0)</f>
        <v>0</v>
      </c>
      <c r="BP71" s="2792">
        <f t="shared" ca="1" si="186"/>
        <v>0</v>
      </c>
      <c r="BQ71" s="2792">
        <f t="shared" ca="1" si="186"/>
        <v>0</v>
      </c>
      <c r="BR71" s="2792">
        <f t="shared" ca="1" si="186"/>
        <v>0</v>
      </c>
      <c r="BS71" s="2792">
        <f t="shared" ca="1" si="186"/>
        <v>0</v>
      </c>
      <c r="BT71" s="2792">
        <f t="shared" ca="1" si="186"/>
        <v>0</v>
      </c>
      <c r="BU71" s="2792">
        <f t="shared" ca="1" si="186"/>
        <v>0</v>
      </c>
      <c r="BV71" s="2792">
        <f t="shared" ca="1" si="186"/>
        <v>0</v>
      </c>
      <c r="BW71" s="2792">
        <f t="shared" ca="1" si="186"/>
        <v>0</v>
      </c>
      <c r="BX71" s="2792">
        <f t="shared" ca="1" si="186"/>
        <v>0</v>
      </c>
      <c r="BY71" s="2792">
        <f t="shared" ca="1" si="186"/>
        <v>0</v>
      </c>
      <c r="BZ71" s="2792">
        <f t="shared" ca="1" si="186"/>
        <v>0</v>
      </c>
      <c r="CA71" s="2792">
        <f t="shared" ca="1" si="186"/>
        <v>0</v>
      </c>
      <c r="CB71" s="2792">
        <f t="shared" ca="1" si="186"/>
        <v>0</v>
      </c>
      <c r="CC71" s="2792">
        <f t="shared" ca="1" si="186"/>
        <v>0</v>
      </c>
      <c r="CD71" s="2792">
        <f t="shared" ca="1" si="186"/>
        <v>0</v>
      </c>
      <c r="CE71" s="2792">
        <f t="shared" ca="1" si="186"/>
        <v>0</v>
      </c>
      <c r="CF71" s="2792">
        <f t="shared" ca="1" si="186"/>
        <v>0</v>
      </c>
      <c r="CG71" s="2792">
        <f t="shared" ca="1" si="186"/>
        <v>0</v>
      </c>
      <c r="CH71" s="2792">
        <f t="shared" ca="1" si="186"/>
        <v>0</v>
      </c>
      <c r="CI71" s="2792">
        <f t="shared" ca="1" si="186"/>
        <v>0</v>
      </c>
      <c r="CJ71" s="2792">
        <f t="shared" ca="1" si="186"/>
        <v>0</v>
      </c>
      <c r="CK71" s="2792">
        <f t="shared" ca="1" si="186"/>
        <v>0</v>
      </c>
      <c r="CL71" s="2792">
        <f t="shared" ca="1" si="186"/>
        <v>0</v>
      </c>
      <c r="CM71" s="2792">
        <f t="shared" ca="1" si="186"/>
        <v>0</v>
      </c>
      <c r="CN71" s="2792">
        <f t="shared" ca="1" si="186"/>
        <v>0</v>
      </c>
      <c r="CO71" s="2792">
        <f t="shared" ca="1" si="186"/>
        <v>0</v>
      </c>
      <c r="CP71" s="2792">
        <f t="shared" ca="1" si="186"/>
        <v>0</v>
      </c>
      <c r="CQ71" s="2792">
        <f t="shared" ca="1" si="186"/>
        <v>0</v>
      </c>
      <c r="CR71" s="2792">
        <f t="shared" ca="1" si="186"/>
        <v>0</v>
      </c>
      <c r="CS71" s="2792">
        <f t="shared" ca="1" si="186"/>
        <v>0</v>
      </c>
      <c r="CT71" s="2792">
        <f t="shared" ca="1" si="186"/>
        <v>0</v>
      </c>
      <c r="CU71" s="2792">
        <f t="shared" ca="1" si="186"/>
        <v>0</v>
      </c>
      <c r="CV71" s="2792">
        <f t="shared" ca="1" si="186"/>
        <v>0</v>
      </c>
      <c r="CW71" s="2792">
        <f t="shared" ca="1" si="186"/>
        <v>0</v>
      </c>
      <c r="CX71" s="2792">
        <f t="shared" ca="1" si="186"/>
        <v>0</v>
      </c>
      <c r="CY71" s="2792">
        <f t="shared" ca="1" si="186"/>
        <v>0</v>
      </c>
      <c r="CZ71" s="2792">
        <f t="shared" ca="1" si="186"/>
        <v>0</v>
      </c>
      <c r="DA71" s="2792">
        <f t="shared" ca="1" si="186"/>
        <v>0</v>
      </c>
      <c r="DB71" s="2792">
        <f t="shared" ca="1" si="186"/>
        <v>0</v>
      </c>
      <c r="DC71" s="2792">
        <f t="shared" ca="1" si="186"/>
        <v>0</v>
      </c>
      <c r="DD71" s="2792">
        <f t="shared" ca="1" si="186"/>
        <v>0</v>
      </c>
      <c r="DE71" s="2792">
        <f t="shared" ca="1" si="186"/>
        <v>0</v>
      </c>
      <c r="DF71" s="2792">
        <f t="shared" ca="1" si="186"/>
        <v>0</v>
      </c>
      <c r="DH71" s="596">
        <f t="shared" ca="1" si="120"/>
        <v>0</v>
      </c>
    </row>
    <row r="72" spans="1:112" s="6" customFormat="1" ht="15.75">
      <c r="A72" s="4"/>
      <c r="B72" s="3"/>
      <c r="C72" s="616" t="s">
        <v>544</v>
      </c>
      <c r="D72" s="617" t="s">
        <v>545</v>
      </c>
      <c r="E72" s="206"/>
      <c r="G72" s="618">
        <f ca="1">G71</f>
        <v>0</v>
      </c>
      <c r="H72" s="618">
        <f t="shared" ref="H72:P72" ca="1" si="187">H71</f>
        <v>0</v>
      </c>
      <c r="I72" s="618">
        <f t="shared" ca="1" si="187"/>
        <v>0</v>
      </c>
      <c r="J72" s="618">
        <f t="shared" ca="1" si="187"/>
        <v>0</v>
      </c>
      <c r="K72" s="618">
        <f t="shared" ca="1" si="187"/>
        <v>0</v>
      </c>
      <c r="L72" s="618">
        <f t="shared" ca="1" si="187"/>
        <v>0</v>
      </c>
      <c r="M72" s="618">
        <f t="shared" ca="1" si="187"/>
        <v>0</v>
      </c>
      <c r="N72" s="618">
        <f t="shared" ca="1" si="187"/>
        <v>0</v>
      </c>
      <c r="O72" s="618">
        <f t="shared" ca="1" si="187"/>
        <v>0</v>
      </c>
      <c r="P72" s="618">
        <f t="shared" ca="1" si="187"/>
        <v>0</v>
      </c>
      <c r="Q72" s="618">
        <f ca="1">SUM(G72:P72)</f>
        <v>0</v>
      </c>
      <c r="S72" s="581">
        <f t="shared" ref="S72:AJ72" ca="1" si="188">S71</f>
        <v>0</v>
      </c>
      <c r="T72" s="581">
        <f t="shared" ca="1" si="188"/>
        <v>-3.7911428177742012E-3</v>
      </c>
      <c r="U72" s="581">
        <f t="shared" ca="1" si="188"/>
        <v>0</v>
      </c>
      <c r="V72" s="581">
        <f t="shared" ca="1" si="188"/>
        <v>0</v>
      </c>
      <c r="W72" s="581">
        <f t="shared" ca="1" si="188"/>
        <v>0</v>
      </c>
      <c r="X72" s="581">
        <f t="shared" ca="1" si="188"/>
        <v>0</v>
      </c>
      <c r="Y72" s="581">
        <f t="shared" ca="1" si="188"/>
        <v>0</v>
      </c>
      <c r="Z72" s="581">
        <f t="shared" ca="1" si="188"/>
        <v>0</v>
      </c>
      <c r="AA72" s="581">
        <f t="shared" ca="1" si="188"/>
        <v>0</v>
      </c>
      <c r="AB72" s="581">
        <f t="shared" ca="1" si="188"/>
        <v>2.6537999724419409E-2</v>
      </c>
      <c r="AC72" s="581">
        <f t="shared" ca="1" si="188"/>
        <v>0</v>
      </c>
      <c r="AD72" s="581">
        <f ca="1">AD71</f>
        <v>0</v>
      </c>
      <c r="AE72" s="581">
        <f ca="1">AE71</f>
        <v>0</v>
      </c>
      <c r="AF72" s="581">
        <f t="shared" ca="1" si="188"/>
        <v>0</v>
      </c>
      <c r="AG72" s="581">
        <f t="shared" ca="1" si="188"/>
        <v>0</v>
      </c>
      <c r="AH72" s="581">
        <f ca="1">AH71</f>
        <v>0</v>
      </c>
      <c r="AI72" s="581">
        <f ca="1">AI71</f>
        <v>0</v>
      </c>
      <c r="AJ72" s="581">
        <f t="shared" ca="1" si="188"/>
        <v>0</v>
      </c>
      <c r="AK72" s="581">
        <f ca="1">SUM(S72:AJ72)</f>
        <v>2.274685690664521E-2</v>
      </c>
      <c r="AM72" s="582">
        <f ca="1">AM71</f>
        <v>0</v>
      </c>
      <c r="AN72" s="582">
        <f t="shared" ref="AN72:BE72" ca="1" si="189">AN71</f>
        <v>0</v>
      </c>
      <c r="AO72" s="582">
        <f t="shared" ca="1" si="189"/>
        <v>0</v>
      </c>
      <c r="AP72" s="582">
        <f t="shared" ca="1" si="189"/>
        <v>0</v>
      </c>
      <c r="AQ72" s="582">
        <f t="shared" ca="1" si="189"/>
        <v>0</v>
      </c>
      <c r="AR72" s="582">
        <f t="shared" ca="1" si="189"/>
        <v>0</v>
      </c>
      <c r="AS72" s="582">
        <f t="shared" ca="1" si="189"/>
        <v>0</v>
      </c>
      <c r="AT72" s="582">
        <f t="shared" ca="1" si="189"/>
        <v>0</v>
      </c>
      <c r="AU72" s="582">
        <f t="shared" ca="1" si="189"/>
        <v>0</v>
      </c>
      <c r="AV72" s="582">
        <f t="shared" ca="1" si="189"/>
        <v>0</v>
      </c>
      <c r="AW72" s="582">
        <f t="shared" ca="1" si="189"/>
        <v>0</v>
      </c>
      <c r="AX72" s="582">
        <f t="shared" ca="1" si="189"/>
        <v>0</v>
      </c>
      <c r="AY72" s="582">
        <f t="shared" ca="1" si="189"/>
        <v>0</v>
      </c>
      <c r="AZ72" s="582">
        <f t="shared" ca="1" si="189"/>
        <v>0</v>
      </c>
      <c r="BA72" s="582">
        <f t="shared" ca="1" si="189"/>
        <v>0</v>
      </c>
      <c r="BB72" s="582">
        <f t="shared" ca="1" si="189"/>
        <v>0</v>
      </c>
      <c r="BC72" s="582">
        <f t="shared" ca="1" si="189"/>
        <v>0</v>
      </c>
      <c r="BD72" s="582">
        <f t="shared" ca="1" si="189"/>
        <v>0</v>
      </c>
      <c r="BE72" s="582">
        <f t="shared" ca="1" si="189"/>
        <v>0</v>
      </c>
      <c r="BF72" s="582">
        <f ca="1">SUM(AM72:BE72)</f>
        <v>0</v>
      </c>
      <c r="BH72" s="3463">
        <f ca="1">BH71</f>
        <v>-2.274685690664521E-2</v>
      </c>
      <c r="BI72" s="3463">
        <f ca="1">BI71</f>
        <v>0</v>
      </c>
      <c r="BJ72" s="3463">
        <f ca="1">SUM(BH72:BI72)</f>
        <v>-2.274685690664521E-2</v>
      </c>
      <c r="BL72" s="3477">
        <f t="shared" ca="1" si="176"/>
        <v>0</v>
      </c>
      <c r="BM72" s="584"/>
      <c r="BN72" s="413"/>
      <c r="BO72" s="2790">
        <f t="shared" ref="BO72:DF72" ca="1" si="190">BO71</f>
        <v>0</v>
      </c>
      <c r="BP72" s="2790">
        <f t="shared" ca="1" si="190"/>
        <v>0</v>
      </c>
      <c r="BQ72" s="2790">
        <f t="shared" ca="1" si="190"/>
        <v>0</v>
      </c>
      <c r="BR72" s="2790">
        <f t="shared" ca="1" si="190"/>
        <v>0</v>
      </c>
      <c r="BS72" s="2790">
        <f t="shared" ca="1" si="190"/>
        <v>0</v>
      </c>
      <c r="BT72" s="2790">
        <f t="shared" ca="1" si="190"/>
        <v>0</v>
      </c>
      <c r="BU72" s="2790">
        <f t="shared" ca="1" si="190"/>
        <v>0</v>
      </c>
      <c r="BV72" s="2790">
        <f t="shared" ca="1" si="190"/>
        <v>0</v>
      </c>
      <c r="BW72" s="2790">
        <f t="shared" ca="1" si="190"/>
        <v>0</v>
      </c>
      <c r="BX72" s="2790">
        <f t="shared" ca="1" si="190"/>
        <v>0</v>
      </c>
      <c r="BY72" s="2790">
        <f t="shared" ca="1" si="190"/>
        <v>0</v>
      </c>
      <c r="BZ72" s="2790">
        <f t="shared" ca="1" si="190"/>
        <v>0</v>
      </c>
      <c r="CA72" s="2790">
        <f t="shared" ca="1" si="190"/>
        <v>0</v>
      </c>
      <c r="CB72" s="2790">
        <f t="shared" ca="1" si="190"/>
        <v>0</v>
      </c>
      <c r="CC72" s="2790">
        <f t="shared" ca="1" si="190"/>
        <v>0</v>
      </c>
      <c r="CD72" s="2790">
        <f t="shared" ca="1" si="190"/>
        <v>0</v>
      </c>
      <c r="CE72" s="2790">
        <f t="shared" ca="1" si="190"/>
        <v>0</v>
      </c>
      <c r="CF72" s="2790">
        <f t="shared" ca="1" si="190"/>
        <v>0</v>
      </c>
      <c r="CG72" s="2790">
        <f t="shared" ca="1" si="190"/>
        <v>0</v>
      </c>
      <c r="CH72" s="2790">
        <f t="shared" ca="1" si="190"/>
        <v>0</v>
      </c>
      <c r="CI72" s="2790">
        <f t="shared" ca="1" si="190"/>
        <v>0</v>
      </c>
      <c r="CJ72" s="2790">
        <f t="shared" ca="1" si="190"/>
        <v>0</v>
      </c>
      <c r="CK72" s="2790">
        <f t="shared" ca="1" si="190"/>
        <v>0</v>
      </c>
      <c r="CL72" s="2790">
        <f t="shared" ca="1" si="190"/>
        <v>0</v>
      </c>
      <c r="CM72" s="2790">
        <f t="shared" ca="1" si="190"/>
        <v>0</v>
      </c>
      <c r="CN72" s="2790">
        <f t="shared" ca="1" si="190"/>
        <v>0</v>
      </c>
      <c r="CO72" s="2790">
        <f t="shared" ca="1" si="190"/>
        <v>0</v>
      </c>
      <c r="CP72" s="2790">
        <f t="shared" ca="1" si="190"/>
        <v>0</v>
      </c>
      <c r="CQ72" s="2790">
        <f t="shared" ca="1" si="190"/>
        <v>0</v>
      </c>
      <c r="CR72" s="2790">
        <f t="shared" ca="1" si="190"/>
        <v>0</v>
      </c>
      <c r="CS72" s="2790">
        <f t="shared" ca="1" si="190"/>
        <v>0</v>
      </c>
      <c r="CT72" s="2790">
        <f t="shared" ca="1" si="190"/>
        <v>0</v>
      </c>
      <c r="CU72" s="2790">
        <f t="shared" ca="1" si="190"/>
        <v>0</v>
      </c>
      <c r="CV72" s="2790">
        <f t="shared" ca="1" si="190"/>
        <v>0</v>
      </c>
      <c r="CW72" s="2790">
        <f t="shared" ca="1" si="190"/>
        <v>0</v>
      </c>
      <c r="CX72" s="2790">
        <f t="shared" ca="1" si="190"/>
        <v>0</v>
      </c>
      <c r="CY72" s="2790">
        <f t="shared" ca="1" si="190"/>
        <v>0</v>
      </c>
      <c r="CZ72" s="2790">
        <f t="shared" ca="1" si="190"/>
        <v>0</v>
      </c>
      <c r="DA72" s="2790">
        <f t="shared" ca="1" si="190"/>
        <v>0</v>
      </c>
      <c r="DB72" s="2790">
        <f t="shared" ca="1" si="190"/>
        <v>0</v>
      </c>
      <c r="DC72" s="2790">
        <f t="shared" ca="1" si="190"/>
        <v>0</v>
      </c>
      <c r="DD72" s="2790">
        <f t="shared" ca="1" si="190"/>
        <v>0</v>
      </c>
      <c r="DE72" s="2790">
        <f t="shared" ca="1" si="190"/>
        <v>0</v>
      </c>
      <c r="DF72" s="2790">
        <f t="shared" ca="1" si="190"/>
        <v>0</v>
      </c>
      <c r="DH72" s="596">
        <f t="shared" ca="1" si="120"/>
        <v>0</v>
      </c>
    </row>
    <row r="73" spans="1:112" s="6" customFormat="1" ht="12.75" customHeight="1" outlineLevel="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20"/>
        <v>0</v>
      </c>
    </row>
    <row r="74" spans="1:112" s="652" customFormat="1" ht="12.75" customHeight="1" outlineLevel="1">
      <c r="C74" s="667" t="s">
        <v>546</v>
      </c>
      <c r="D74" s="668" t="s">
        <v>547</v>
      </c>
      <c r="E74" s="668"/>
      <c r="F74" s="6"/>
      <c r="G74" s="669"/>
      <c r="H74" s="669"/>
      <c r="I74" s="669"/>
      <c r="J74" s="669"/>
      <c r="K74" s="670"/>
      <c r="L74" s="669"/>
      <c r="M74" s="669"/>
      <c r="N74" s="669"/>
      <c r="O74" s="669"/>
      <c r="P74" s="669"/>
      <c r="Q74" s="669"/>
      <c r="R74" s="6"/>
      <c r="S74" s="671">
        <f ca="1">S$40+S$46+S$51+S$99+S$55+S$93+S$63+S$68+S$72</f>
        <v>-27.377648640111907</v>
      </c>
      <c r="T74" s="671">
        <f ca="1">T$40+T$46+T$51+T$99+T$55+T$93+T$63+T$68+T$72</f>
        <v>54.159898235672543</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91">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20"/>
        <v>0</v>
      </c>
    </row>
    <row r="75" spans="1:112" s="607" customFormat="1" ht="12.75" customHeight="1" outlineLevel="1">
      <c r="C75" s="587" t="s">
        <v>548</v>
      </c>
      <c r="D75" s="611" t="s">
        <v>549</v>
      </c>
      <c r="E75" s="611"/>
      <c r="F75" s="6"/>
      <c r="G75" s="619">
        <f t="shared" ref="G75:P75" ca="1" si="192">IFERROR(INDEX(INDIRECT($C75&amp;".Outputs["&amp;this.Year&amp;"]"), MATCH(G$5, INDIRECT($C75&amp;".Outputs[Vector]"), 0)), 0)</f>
        <v>0</v>
      </c>
      <c r="H75" s="619">
        <f t="shared" ca="1" si="192"/>
        <v>0</v>
      </c>
      <c r="I75" s="619">
        <f t="shared" ca="1" si="192"/>
        <v>0</v>
      </c>
      <c r="J75" s="619">
        <f t="shared" ca="1" si="192"/>
        <v>0</v>
      </c>
      <c r="K75" s="619">
        <f t="shared" ca="1" si="192"/>
        <v>0</v>
      </c>
      <c r="L75" s="619">
        <f t="shared" ca="1" si="192"/>
        <v>0</v>
      </c>
      <c r="M75" s="619">
        <f t="shared" ca="1" si="192"/>
        <v>0</v>
      </c>
      <c r="N75" s="619">
        <f t="shared" ca="1" si="192"/>
        <v>0</v>
      </c>
      <c r="O75" s="619">
        <f t="shared" ca="1" si="192"/>
        <v>0</v>
      </c>
      <c r="P75" s="619">
        <f t="shared" ca="1" si="192"/>
        <v>0</v>
      </c>
      <c r="Q75" s="612">
        <f ca="1">SUM(G75:P75)</f>
        <v>0</v>
      </c>
      <c r="R75" s="6"/>
      <c r="S75" s="620">
        <f t="shared" ref="S75:AJ75" ca="1" si="193">IFERROR(INDEX(INDIRECT($C75&amp;".Outputs["&amp;this.Year&amp;"]"), MATCH(S$5, INDIRECT($C75&amp;".Outputs[Vector]"), 0)), 0)</f>
        <v>0</v>
      </c>
      <c r="T75" s="620">
        <f t="shared" ca="1" si="193"/>
        <v>7.0128000000000013</v>
      </c>
      <c r="U75" s="620">
        <f t="shared" ca="1" si="193"/>
        <v>0</v>
      </c>
      <c r="V75" s="620">
        <f t="shared" ca="1" si="193"/>
        <v>0</v>
      </c>
      <c r="W75" s="620">
        <f t="shared" ca="1" si="193"/>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93"/>
        <v>0</v>
      </c>
      <c r="AB75" s="620">
        <f t="shared" ca="1" si="193"/>
        <v>0</v>
      </c>
      <c r="AC75" s="620">
        <f t="shared" ca="1" si="193"/>
        <v>0</v>
      </c>
      <c r="AD75" s="620">
        <f t="shared" ca="1" si="193"/>
        <v>0</v>
      </c>
      <c r="AE75" s="620">
        <f t="shared" ca="1" si="193"/>
        <v>0</v>
      </c>
      <c r="AF75" s="620">
        <f t="shared" ca="1" si="193"/>
        <v>0</v>
      </c>
      <c r="AG75" s="620">
        <f t="shared" ca="1" si="193"/>
        <v>0</v>
      </c>
      <c r="AH75" s="620">
        <f t="shared" ca="1" si="193"/>
        <v>0</v>
      </c>
      <c r="AI75" s="620">
        <f t="shared" ca="1" si="193"/>
        <v>0</v>
      </c>
      <c r="AJ75" s="620">
        <f t="shared" ca="1" si="193"/>
        <v>0</v>
      </c>
      <c r="AK75" s="613">
        <f ca="1">SUM(S75:AJ75)</f>
        <v>7.0128000000000013</v>
      </c>
      <c r="AL75" s="6"/>
      <c r="AM75" s="621">
        <f t="shared" ref="AM75:AU75" ca="1" si="194">IFERROR(INDEX(INDIRECT($C75&amp;".Outputs["&amp;this.Year&amp;"]"), MATCH(AM$5, INDIRECT($C75&amp;".Outputs[Vector]"), 0)), 0)</f>
        <v>0</v>
      </c>
      <c r="AN75" s="621">
        <f t="shared" ca="1" si="194"/>
        <v>0</v>
      </c>
      <c r="AO75" s="621">
        <f t="shared" ca="1" si="194"/>
        <v>0</v>
      </c>
      <c r="AP75" s="621">
        <f t="shared" ca="1" si="194"/>
        <v>0</v>
      </c>
      <c r="AQ75" s="621">
        <f t="shared" ca="1" si="194"/>
        <v>0</v>
      </c>
      <c r="AR75" s="621">
        <f t="shared" ca="1" si="194"/>
        <v>0</v>
      </c>
      <c r="AS75" s="621">
        <f t="shared" ca="1" si="194"/>
        <v>0</v>
      </c>
      <c r="AT75" s="621">
        <f t="shared" ca="1" si="194"/>
        <v>0</v>
      </c>
      <c r="AU75" s="621">
        <f t="shared" ca="1" si="194"/>
        <v>0</v>
      </c>
      <c r="AV75" s="621">
        <f t="shared" ref="AV75:BE75" ca="1" si="195">IFERROR(INDEX(INDIRECT($C75&amp;".Outputs["&amp;this.Year&amp;"]"), MATCH(AV$5, INDIRECT($C75&amp;".Outputs[Vector]"), 0)), 0)</f>
        <v>-21.428000000000004</v>
      </c>
      <c r="AW75" s="621">
        <f t="shared" ca="1" si="195"/>
        <v>0</v>
      </c>
      <c r="AX75" s="621">
        <f t="shared" ca="1" si="195"/>
        <v>0</v>
      </c>
      <c r="AY75" s="621">
        <f t="shared" ca="1" si="195"/>
        <v>0</v>
      </c>
      <c r="AZ75" s="621">
        <f t="shared" ca="1" si="195"/>
        <v>0</v>
      </c>
      <c r="BA75" s="621">
        <f t="shared" ca="1" si="195"/>
        <v>0</v>
      </c>
      <c r="BB75" s="621">
        <f t="shared" ca="1" si="195"/>
        <v>0</v>
      </c>
      <c r="BC75" s="621">
        <f t="shared" ca="1" si="195"/>
        <v>0</v>
      </c>
      <c r="BD75" s="621">
        <f t="shared" ca="1" si="195"/>
        <v>0</v>
      </c>
      <c r="BE75" s="621">
        <f t="shared" ca="1" si="195"/>
        <v>0</v>
      </c>
      <c r="BF75" s="615">
        <f ca="1">SUM(AM75:BE75)</f>
        <v>-21.428000000000004</v>
      </c>
      <c r="BG75" s="6"/>
      <c r="BH75" s="3473">
        <f ca="1">IFERROR(INDEX(INDIRECT($C75&amp;".Outputs["&amp;this.Year&amp;"]"), MATCH(BH$5, INDIRECT($C75&amp;".Outputs[Vector]"), 0)), 0)</f>
        <v>13.713920000000003</v>
      </c>
      <c r="BI75" s="3473">
        <f ca="1">IFERROR(INDEX(INDIRECT($C75&amp;".Outputs["&amp;this.Year&amp;"]"), MATCH(BI$5, INDIRECT($C75&amp;".Outputs[Vector]"), 0)), 0)</f>
        <v>0.70128000000000013</v>
      </c>
      <c r="BJ75" s="3462">
        <f ca="1">SUM(BH75:BI75)</f>
        <v>14.415200000000004</v>
      </c>
      <c r="BK75" s="6"/>
      <c r="BL75" s="610">
        <f t="shared" ca="1" si="191"/>
        <v>0</v>
      </c>
      <c r="BM75" s="610"/>
      <c r="BN75" s="413"/>
      <c r="BO75" s="2791">
        <f t="shared" ref="BO75:DF75" ca="1" si="196">IFERROR(SUMIFS(INDIRECT($C75&amp;".Emissions["&amp;this.Year&amp;"]"), INDIRECT($C75&amp;".Emissions[GHG]"), BO$6, INDIRECT($C75&amp;".Emissions[IPCC Sector]"), BO$5),0)</f>
        <v>0</v>
      </c>
      <c r="BP75" s="2792">
        <f t="shared" ca="1" si="196"/>
        <v>0</v>
      </c>
      <c r="BQ75" s="2792">
        <f t="shared" ca="1" si="196"/>
        <v>0</v>
      </c>
      <c r="BR75" s="2792">
        <f t="shared" ca="1" si="196"/>
        <v>0</v>
      </c>
      <c r="BS75" s="2792">
        <f t="shared" ca="1" si="196"/>
        <v>0</v>
      </c>
      <c r="BT75" s="2792">
        <f t="shared" ca="1" si="196"/>
        <v>0</v>
      </c>
      <c r="BU75" s="2792">
        <f t="shared" ca="1" si="196"/>
        <v>0</v>
      </c>
      <c r="BV75" s="2792">
        <f t="shared" ca="1" si="196"/>
        <v>0</v>
      </c>
      <c r="BW75" s="2792">
        <f t="shared" ca="1" si="196"/>
        <v>0</v>
      </c>
      <c r="BX75" s="2792">
        <f t="shared" ca="1" si="196"/>
        <v>0</v>
      </c>
      <c r="BY75" s="2792">
        <f t="shared" ca="1" si="196"/>
        <v>0</v>
      </c>
      <c r="BZ75" s="2792">
        <f t="shared" ca="1" si="196"/>
        <v>0</v>
      </c>
      <c r="CA75" s="2792">
        <f t="shared" ca="1" si="196"/>
        <v>0</v>
      </c>
      <c r="CB75" s="2792">
        <f t="shared" ca="1" si="196"/>
        <v>0</v>
      </c>
      <c r="CC75" s="2792">
        <f t="shared" ca="1" si="196"/>
        <v>0</v>
      </c>
      <c r="CD75" s="2792">
        <f t="shared" ca="1" si="196"/>
        <v>0</v>
      </c>
      <c r="CE75" s="2792">
        <f t="shared" ca="1" si="196"/>
        <v>0</v>
      </c>
      <c r="CF75" s="2792">
        <f t="shared" ca="1" si="196"/>
        <v>0</v>
      </c>
      <c r="CG75" s="2792">
        <f t="shared" ca="1" si="196"/>
        <v>0</v>
      </c>
      <c r="CH75" s="2792">
        <f t="shared" ca="1" si="196"/>
        <v>0</v>
      </c>
      <c r="CI75" s="2792">
        <f t="shared" ca="1" si="196"/>
        <v>0</v>
      </c>
      <c r="CJ75" s="2792">
        <f t="shared" ca="1" si="196"/>
        <v>0</v>
      </c>
      <c r="CK75" s="2792">
        <f t="shared" ca="1" si="196"/>
        <v>0</v>
      </c>
      <c r="CL75" s="2792">
        <f t="shared" ca="1" si="196"/>
        <v>0</v>
      </c>
      <c r="CM75" s="2792">
        <f t="shared" ca="1" si="196"/>
        <v>0</v>
      </c>
      <c r="CN75" s="2792">
        <f t="shared" ca="1" si="196"/>
        <v>0</v>
      </c>
      <c r="CO75" s="2792">
        <f t="shared" ca="1" si="196"/>
        <v>0</v>
      </c>
      <c r="CP75" s="2792">
        <f t="shared" ca="1" si="196"/>
        <v>0</v>
      </c>
      <c r="CQ75" s="2792">
        <f t="shared" ca="1" si="196"/>
        <v>0</v>
      </c>
      <c r="CR75" s="2792">
        <f t="shared" ca="1" si="196"/>
        <v>0</v>
      </c>
      <c r="CS75" s="2792">
        <f t="shared" ca="1" si="196"/>
        <v>0</v>
      </c>
      <c r="CT75" s="2792">
        <f t="shared" ca="1" si="196"/>
        <v>0</v>
      </c>
      <c r="CU75" s="2792">
        <f t="shared" ca="1" si="196"/>
        <v>0</v>
      </c>
      <c r="CV75" s="2792">
        <f t="shared" ca="1" si="196"/>
        <v>0</v>
      </c>
      <c r="CW75" s="2792">
        <f t="shared" ca="1" si="196"/>
        <v>0</v>
      </c>
      <c r="CX75" s="2792">
        <f t="shared" ca="1" si="196"/>
        <v>0</v>
      </c>
      <c r="CY75" s="2792">
        <f t="shared" ca="1" si="196"/>
        <v>0</v>
      </c>
      <c r="CZ75" s="2792">
        <f t="shared" ca="1" si="196"/>
        <v>0</v>
      </c>
      <c r="DA75" s="2792">
        <f t="shared" ca="1" si="196"/>
        <v>0</v>
      </c>
      <c r="DB75" s="2792">
        <f t="shared" ca="1" si="196"/>
        <v>0</v>
      </c>
      <c r="DC75" s="2792">
        <f t="shared" ca="1" si="196"/>
        <v>0</v>
      </c>
      <c r="DD75" s="2792">
        <f t="shared" ca="1" si="196"/>
        <v>0</v>
      </c>
      <c r="DE75" s="2792">
        <f t="shared" ca="1" si="196"/>
        <v>0</v>
      </c>
      <c r="DF75" s="2792">
        <f t="shared" ca="1" si="196"/>
        <v>0</v>
      </c>
      <c r="DH75" s="596">
        <f t="shared" ca="1" si="120"/>
        <v>0</v>
      </c>
    </row>
    <row r="76" spans="1:112" s="6" customFormat="1" ht="15.75">
      <c r="A76" s="4"/>
      <c r="B76" s="3"/>
      <c r="C76" s="616" t="s">
        <v>550</v>
      </c>
      <c r="D76" s="617" t="s">
        <v>551</v>
      </c>
      <c r="E76" s="206"/>
      <c r="G76" s="618">
        <f ca="1">G75</f>
        <v>0</v>
      </c>
      <c r="H76" s="618">
        <f t="shared" ref="H76:P76" ca="1" si="197">H75</f>
        <v>0</v>
      </c>
      <c r="I76" s="618">
        <f t="shared" ca="1" si="197"/>
        <v>0</v>
      </c>
      <c r="J76" s="618">
        <f t="shared" ca="1" si="197"/>
        <v>0</v>
      </c>
      <c r="K76" s="618">
        <f t="shared" ca="1" si="197"/>
        <v>0</v>
      </c>
      <c r="L76" s="618">
        <f t="shared" ca="1" si="197"/>
        <v>0</v>
      </c>
      <c r="M76" s="618">
        <f t="shared" ca="1" si="197"/>
        <v>0</v>
      </c>
      <c r="N76" s="618">
        <f t="shared" ca="1" si="197"/>
        <v>0</v>
      </c>
      <c r="O76" s="618">
        <f t="shared" ca="1" si="197"/>
        <v>0</v>
      </c>
      <c r="P76" s="618">
        <f t="shared" ca="1" si="197"/>
        <v>0</v>
      </c>
      <c r="Q76" s="618">
        <f ca="1">SUM(G76:P76)</f>
        <v>0</v>
      </c>
      <c r="S76" s="581">
        <f t="shared" ref="S76:AJ76" ca="1" si="198">S75</f>
        <v>0</v>
      </c>
      <c r="T76" s="581">
        <f t="shared" ca="1" si="198"/>
        <v>7.0128000000000013</v>
      </c>
      <c r="U76" s="581">
        <f t="shared" ca="1" si="198"/>
        <v>0</v>
      </c>
      <c r="V76" s="581">
        <f t="shared" ca="1" si="198"/>
        <v>0</v>
      </c>
      <c r="W76" s="581">
        <f t="shared" ca="1" si="198"/>
        <v>0</v>
      </c>
      <c r="X76" s="581">
        <f t="shared" ca="1" si="198"/>
        <v>0</v>
      </c>
      <c r="Y76" s="581">
        <f t="shared" ca="1" si="198"/>
        <v>0</v>
      </c>
      <c r="Z76" s="581">
        <f t="shared" ca="1" si="198"/>
        <v>0</v>
      </c>
      <c r="AA76" s="581">
        <f t="shared" ca="1" si="198"/>
        <v>0</v>
      </c>
      <c r="AB76" s="581">
        <f t="shared" ca="1" si="198"/>
        <v>0</v>
      </c>
      <c r="AC76" s="581">
        <f t="shared" ca="1" si="198"/>
        <v>0</v>
      </c>
      <c r="AD76" s="581">
        <f t="shared" ca="1" si="198"/>
        <v>0</v>
      </c>
      <c r="AE76" s="581">
        <f ca="1">AE75</f>
        <v>0</v>
      </c>
      <c r="AF76" s="581">
        <f t="shared" ca="1" si="198"/>
        <v>0</v>
      </c>
      <c r="AG76" s="581">
        <f t="shared" ca="1" si="198"/>
        <v>0</v>
      </c>
      <c r="AH76" s="581">
        <f ca="1">AH75</f>
        <v>0</v>
      </c>
      <c r="AI76" s="581">
        <f t="shared" ca="1" si="198"/>
        <v>0</v>
      </c>
      <c r="AJ76" s="581">
        <f t="shared" ca="1" si="198"/>
        <v>0</v>
      </c>
      <c r="AK76" s="581">
        <f ca="1">SUM(S76:AJ76)</f>
        <v>7.0128000000000013</v>
      </c>
      <c r="AM76" s="582">
        <f t="shared" ref="AM76:BE76" ca="1" si="199">AM75</f>
        <v>0</v>
      </c>
      <c r="AN76" s="582">
        <f t="shared" ca="1" si="199"/>
        <v>0</v>
      </c>
      <c r="AO76" s="582">
        <f t="shared" ca="1" si="199"/>
        <v>0</v>
      </c>
      <c r="AP76" s="582">
        <f t="shared" ca="1" si="199"/>
        <v>0</v>
      </c>
      <c r="AQ76" s="582">
        <f t="shared" ca="1" si="199"/>
        <v>0</v>
      </c>
      <c r="AR76" s="582">
        <f t="shared" ca="1" si="199"/>
        <v>0</v>
      </c>
      <c r="AS76" s="582">
        <f t="shared" ca="1" si="199"/>
        <v>0</v>
      </c>
      <c r="AT76" s="582">
        <f t="shared" ca="1" si="199"/>
        <v>0</v>
      </c>
      <c r="AU76" s="582">
        <f t="shared" ca="1" si="199"/>
        <v>0</v>
      </c>
      <c r="AV76" s="582">
        <f t="shared" ca="1" si="199"/>
        <v>-21.428000000000004</v>
      </c>
      <c r="AW76" s="582">
        <f t="shared" ca="1" si="199"/>
        <v>0</v>
      </c>
      <c r="AX76" s="582">
        <f t="shared" ca="1" si="199"/>
        <v>0</v>
      </c>
      <c r="AY76" s="582">
        <f t="shared" ca="1" si="199"/>
        <v>0</v>
      </c>
      <c r="AZ76" s="582">
        <f t="shared" ca="1" si="199"/>
        <v>0</v>
      </c>
      <c r="BA76" s="582">
        <f t="shared" ca="1" si="199"/>
        <v>0</v>
      </c>
      <c r="BB76" s="582">
        <f t="shared" ca="1" si="199"/>
        <v>0</v>
      </c>
      <c r="BC76" s="582">
        <f t="shared" ca="1" si="199"/>
        <v>0</v>
      </c>
      <c r="BD76" s="582">
        <f t="shared" ca="1" si="199"/>
        <v>0</v>
      </c>
      <c r="BE76" s="582">
        <f t="shared" ca="1" si="199"/>
        <v>0</v>
      </c>
      <c r="BF76" s="582">
        <f ca="1">SUM(AM76:BE76)</f>
        <v>-21.428000000000004</v>
      </c>
      <c r="BH76" s="3463">
        <f ca="1">BH75</f>
        <v>13.713920000000003</v>
      </c>
      <c r="BI76" s="3463">
        <f ca="1">BI75</f>
        <v>0.70128000000000013</v>
      </c>
      <c r="BJ76" s="3463">
        <f ca="1">SUM(BH76:BI76)</f>
        <v>14.415200000000004</v>
      </c>
      <c r="BL76" s="3477">
        <f t="shared" ca="1" si="191"/>
        <v>0</v>
      </c>
      <c r="BM76" s="584"/>
      <c r="BN76" s="413"/>
      <c r="BO76" s="2790">
        <f t="shared" ref="BO76:DF76" ca="1" si="200">BO75</f>
        <v>0</v>
      </c>
      <c r="BP76" s="2790">
        <f t="shared" ca="1" si="200"/>
        <v>0</v>
      </c>
      <c r="BQ76" s="2790">
        <f t="shared" ca="1" si="200"/>
        <v>0</v>
      </c>
      <c r="BR76" s="2790">
        <f t="shared" ca="1" si="200"/>
        <v>0</v>
      </c>
      <c r="BS76" s="2790">
        <f t="shared" ca="1" si="200"/>
        <v>0</v>
      </c>
      <c r="BT76" s="2790">
        <f t="shared" ca="1" si="200"/>
        <v>0</v>
      </c>
      <c r="BU76" s="2790">
        <f t="shared" ca="1" si="200"/>
        <v>0</v>
      </c>
      <c r="BV76" s="2790">
        <f t="shared" ca="1" si="200"/>
        <v>0</v>
      </c>
      <c r="BW76" s="2790">
        <f t="shared" ca="1" si="200"/>
        <v>0</v>
      </c>
      <c r="BX76" s="2790">
        <f t="shared" ca="1" si="200"/>
        <v>0</v>
      </c>
      <c r="BY76" s="2790">
        <f t="shared" ca="1" si="200"/>
        <v>0</v>
      </c>
      <c r="BZ76" s="2790">
        <f t="shared" ca="1" si="200"/>
        <v>0</v>
      </c>
      <c r="CA76" s="2790">
        <f t="shared" ca="1" si="200"/>
        <v>0</v>
      </c>
      <c r="CB76" s="2790">
        <f t="shared" ca="1" si="200"/>
        <v>0</v>
      </c>
      <c r="CC76" s="2790">
        <f t="shared" ca="1" si="200"/>
        <v>0</v>
      </c>
      <c r="CD76" s="2790">
        <f t="shared" ca="1" si="200"/>
        <v>0</v>
      </c>
      <c r="CE76" s="2790">
        <f t="shared" ca="1" si="200"/>
        <v>0</v>
      </c>
      <c r="CF76" s="2790">
        <f t="shared" ca="1" si="200"/>
        <v>0</v>
      </c>
      <c r="CG76" s="2790">
        <f t="shared" ca="1" si="200"/>
        <v>0</v>
      </c>
      <c r="CH76" s="2790">
        <f t="shared" ca="1" si="200"/>
        <v>0</v>
      </c>
      <c r="CI76" s="2790">
        <f t="shared" ca="1" si="200"/>
        <v>0</v>
      </c>
      <c r="CJ76" s="2790">
        <f t="shared" ca="1" si="200"/>
        <v>0</v>
      </c>
      <c r="CK76" s="2790">
        <f t="shared" ca="1" si="200"/>
        <v>0</v>
      </c>
      <c r="CL76" s="2790">
        <f t="shared" ca="1" si="200"/>
        <v>0</v>
      </c>
      <c r="CM76" s="2790">
        <f t="shared" ca="1" si="200"/>
        <v>0</v>
      </c>
      <c r="CN76" s="2790">
        <f t="shared" ca="1" si="200"/>
        <v>0</v>
      </c>
      <c r="CO76" s="2790">
        <f t="shared" ca="1" si="200"/>
        <v>0</v>
      </c>
      <c r="CP76" s="2790">
        <f t="shared" ca="1" si="200"/>
        <v>0</v>
      </c>
      <c r="CQ76" s="2790">
        <f t="shared" ca="1" si="200"/>
        <v>0</v>
      </c>
      <c r="CR76" s="2790">
        <f t="shared" ca="1" si="200"/>
        <v>0</v>
      </c>
      <c r="CS76" s="2790">
        <f t="shared" ca="1" si="200"/>
        <v>0</v>
      </c>
      <c r="CT76" s="2790">
        <f t="shared" ca="1" si="200"/>
        <v>0</v>
      </c>
      <c r="CU76" s="2790">
        <f t="shared" ca="1" si="200"/>
        <v>0</v>
      </c>
      <c r="CV76" s="2790">
        <f t="shared" ca="1" si="200"/>
        <v>0</v>
      </c>
      <c r="CW76" s="2790">
        <f t="shared" ca="1" si="200"/>
        <v>0</v>
      </c>
      <c r="CX76" s="2790">
        <f t="shared" ca="1" si="200"/>
        <v>0</v>
      </c>
      <c r="CY76" s="2790">
        <f t="shared" ca="1" si="200"/>
        <v>0</v>
      </c>
      <c r="CZ76" s="2790">
        <f t="shared" ca="1" si="200"/>
        <v>0</v>
      </c>
      <c r="DA76" s="2790">
        <f t="shared" ca="1" si="200"/>
        <v>0</v>
      </c>
      <c r="DB76" s="2790">
        <f t="shared" ca="1" si="200"/>
        <v>0</v>
      </c>
      <c r="DC76" s="2790">
        <f t="shared" ca="1" si="200"/>
        <v>0</v>
      </c>
      <c r="DD76" s="2790">
        <f t="shared" ca="1" si="200"/>
        <v>0</v>
      </c>
      <c r="DE76" s="2790">
        <f t="shared" ca="1" si="200"/>
        <v>0</v>
      </c>
      <c r="DF76" s="2790">
        <f t="shared" ca="1" si="200"/>
        <v>0</v>
      </c>
      <c r="DH76" s="596">
        <f t="shared" ca="1" si="120"/>
        <v>0</v>
      </c>
    </row>
    <row r="77" spans="1:112" s="6" customFormat="1" ht="12.75" customHeight="1" outlineLevel="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91"/>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20"/>
        <v>0</v>
      </c>
    </row>
    <row r="78" spans="1:112" s="652" customFormat="1" ht="12.75" customHeight="1" outlineLevel="1">
      <c r="C78" s="667" t="s">
        <v>552</v>
      </c>
      <c r="D78" s="668" t="s">
        <v>547</v>
      </c>
      <c r="E78" s="668"/>
      <c r="F78" s="6"/>
      <c r="G78" s="669"/>
      <c r="H78" s="669"/>
      <c r="I78" s="669"/>
      <c r="J78" s="669"/>
      <c r="K78" s="670"/>
      <c r="L78" s="669"/>
      <c r="M78" s="669"/>
      <c r="N78" s="669"/>
      <c r="O78" s="669"/>
      <c r="P78" s="669"/>
      <c r="Q78" s="669"/>
      <c r="R78" s="6"/>
      <c r="S78" s="671">
        <f ca="1">S$74+S$76</f>
        <v>-27.377648640111907</v>
      </c>
      <c r="T78" s="671">
        <f ca="1">T$74+T$76</f>
        <v>61.172698235672542</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91"/>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20"/>
        <v>0</v>
      </c>
    </row>
    <row r="79" spans="1:112" s="607" customFormat="1" ht="12.75" customHeight="1" outlineLevel="1">
      <c r="C79" s="587" t="s">
        <v>553</v>
      </c>
      <c r="D79" s="588" t="s">
        <v>554</v>
      </c>
      <c r="E79" s="588"/>
      <c r="F79" s="6"/>
      <c r="G79" s="674">
        <f t="shared" ref="G79:P79" ca="1" si="201">IFERROR(INDEX(INDIRECT($C79&amp;".Outputs["&amp;this.Year&amp;"]"), MATCH(G$5, INDIRECT($C79&amp;".Outputs[Vector]"), 0)), 0)</f>
        <v>0</v>
      </c>
      <c r="H79" s="674">
        <f t="shared" ca="1" si="201"/>
        <v>0</v>
      </c>
      <c r="I79" s="674">
        <f t="shared" ca="1" si="201"/>
        <v>0</v>
      </c>
      <c r="J79" s="674">
        <f t="shared" ca="1" si="201"/>
        <v>0</v>
      </c>
      <c r="K79" s="674">
        <f t="shared" ca="1" si="201"/>
        <v>0</v>
      </c>
      <c r="L79" s="674">
        <f t="shared" ca="1" si="201"/>
        <v>0</v>
      </c>
      <c r="M79" s="674">
        <f t="shared" ca="1" si="201"/>
        <v>0</v>
      </c>
      <c r="N79" s="674">
        <f t="shared" ca="1" si="201"/>
        <v>0</v>
      </c>
      <c r="O79" s="674">
        <f t="shared" ca="1" si="201"/>
        <v>0</v>
      </c>
      <c r="P79" s="674">
        <f t="shared" ca="1" si="201"/>
        <v>0</v>
      </c>
      <c r="Q79" s="675">
        <f ca="1">SUM(G79:P79)</f>
        <v>0</v>
      </c>
      <c r="R79" s="6"/>
      <c r="S79" s="676">
        <f t="shared" ref="S79:AJ79" ca="1" si="202">IFERROR(INDEX(INDIRECT($C79&amp;".Outputs["&amp;this.Year&amp;"]"), MATCH(S$5, INDIRECT($C79&amp;".Outputs[Vector]"), 0)), 0)</f>
        <v>0</v>
      </c>
      <c r="T79" s="676">
        <f t="shared" ca="1" si="202"/>
        <v>9.9919251000000013</v>
      </c>
      <c r="U79" s="676">
        <f t="shared" ca="1" si="202"/>
        <v>0</v>
      </c>
      <c r="V79" s="676">
        <f t="shared" ca="1" si="202"/>
        <v>0</v>
      </c>
      <c r="W79" s="676">
        <f t="shared" ca="1" si="202"/>
        <v>-17.740714285714287</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202"/>
        <v>0</v>
      </c>
      <c r="AB79" s="676">
        <f t="shared" ca="1" si="202"/>
        <v>0</v>
      </c>
      <c r="AC79" s="676">
        <f t="shared" ca="1" si="202"/>
        <v>0</v>
      </c>
      <c r="AD79" s="676">
        <f t="shared" ca="1" si="202"/>
        <v>0</v>
      </c>
      <c r="AE79" s="676">
        <f t="shared" ca="1" si="202"/>
        <v>0</v>
      </c>
      <c r="AF79" s="676">
        <f t="shared" ca="1" si="202"/>
        <v>0</v>
      </c>
      <c r="AG79" s="676">
        <f t="shared" ca="1" si="202"/>
        <v>0</v>
      </c>
      <c r="AH79" s="676">
        <f t="shared" ca="1" si="202"/>
        <v>0</v>
      </c>
      <c r="AI79" s="676">
        <f t="shared" ca="1" si="202"/>
        <v>0</v>
      </c>
      <c r="AJ79" s="676">
        <f t="shared" ca="1" si="202"/>
        <v>0</v>
      </c>
      <c r="AK79" s="677">
        <f ca="1">SUM(S79:AJ79)</f>
        <v>-7.7487891857142852</v>
      </c>
      <c r="AL79" s="6"/>
      <c r="AM79" s="678">
        <f t="shared" ref="AM79:AU79" ca="1" si="203">IFERROR(INDEX(INDIRECT($C79&amp;".Outputs["&amp;this.Year&amp;"]"), MATCH(AM$5, INDIRECT($C79&amp;".Outputs[Vector]"), 0)), 0)</f>
        <v>0</v>
      </c>
      <c r="AN79" s="678">
        <f t="shared" ca="1" si="203"/>
        <v>0</v>
      </c>
      <c r="AO79" s="678">
        <f t="shared" ca="1" si="203"/>
        <v>0</v>
      </c>
      <c r="AP79" s="678">
        <f t="shared" ca="1" si="203"/>
        <v>0</v>
      </c>
      <c r="AQ79" s="678">
        <f t="shared" ca="1" si="203"/>
        <v>0</v>
      </c>
      <c r="AR79" s="678">
        <f t="shared" ca="1" si="203"/>
        <v>0</v>
      </c>
      <c r="AS79" s="678">
        <f t="shared" ca="1" si="203"/>
        <v>0</v>
      </c>
      <c r="AT79" s="678">
        <f t="shared" ca="1" si="203"/>
        <v>0</v>
      </c>
      <c r="AU79" s="678">
        <f t="shared" ca="1" si="203"/>
        <v>0</v>
      </c>
      <c r="AV79" s="678">
        <f t="shared" ref="AV79:BE79" ca="1" si="204">IFERROR(INDEX(INDIRECT($C79&amp;".Outputs["&amp;this.Year&amp;"]"), MATCH(AV$5, INDIRECT($C79&amp;".Outputs[Vector]"), 0)), 0)</f>
        <v>0</v>
      </c>
      <c r="AW79" s="678">
        <f t="shared" ca="1" si="204"/>
        <v>0</v>
      </c>
      <c r="AX79" s="678">
        <f t="shared" ca="1" si="204"/>
        <v>0</v>
      </c>
      <c r="AY79" s="678">
        <f t="shared" ca="1" si="204"/>
        <v>0</v>
      </c>
      <c r="AZ79" s="678">
        <f t="shared" ca="1" si="204"/>
        <v>0</v>
      </c>
      <c r="BA79" s="678">
        <f t="shared" ca="1" si="204"/>
        <v>0</v>
      </c>
      <c r="BB79" s="678">
        <f t="shared" ca="1" si="204"/>
        <v>0</v>
      </c>
      <c r="BC79" s="678">
        <f t="shared" ca="1" si="204"/>
        <v>0</v>
      </c>
      <c r="BD79" s="678">
        <f t="shared" ca="1" si="204"/>
        <v>0</v>
      </c>
      <c r="BE79" s="678">
        <f t="shared" ca="1" si="204"/>
        <v>0</v>
      </c>
      <c r="BF79" s="679">
        <f ca="1">SUM(AM79:BE79)</f>
        <v>0</v>
      </c>
      <c r="BG79" s="6"/>
      <c r="BH79" s="3475">
        <f ca="1">IFERROR(INDEX(INDIRECT($C79&amp;".Outputs["&amp;this.Year&amp;"]"), MATCH(BH$5, INDIRECT($C79&amp;".Outputs[Vector]"), 0)), 0)</f>
        <v>6.5640642857142861</v>
      </c>
      <c r="BI79" s="3475">
        <f ca="1">IFERROR(INDEX(INDIRECT($C79&amp;".Outputs["&amp;this.Year&amp;"]"), MATCH(BI$5, INDIRECT($C79&amp;".Outputs[Vector]"), 0)), 0)</f>
        <v>1.1847249000000002</v>
      </c>
      <c r="BJ79" s="3466">
        <f ca="1">SUM(BH79:BI79)</f>
        <v>7.7487891857142861</v>
      </c>
      <c r="BK79" s="6"/>
      <c r="BL79" s="610">
        <f t="shared" ca="1" si="191"/>
        <v>0</v>
      </c>
      <c r="BM79" s="610"/>
      <c r="BN79" s="413"/>
      <c r="BO79" s="2789">
        <f t="shared" ref="BO79:DF79" ca="1" si="205">IFERROR(SUMIFS(INDIRECT($C79&amp;".Emissions["&amp;this.Year&amp;"]"), INDIRECT($C79&amp;".Emissions[GHG]"), BO$6, INDIRECT($C79&amp;".Emissions[IPCC Sector]"), BO$5),0)</f>
        <v>3.6319003174285713</v>
      </c>
      <c r="BP79" s="2790">
        <f t="shared" ca="1" si="205"/>
        <v>1.3411980000000003E-3</v>
      </c>
      <c r="BQ79" s="2790">
        <f t="shared" ca="1" si="205"/>
        <v>5.7416047714285719E-2</v>
      </c>
      <c r="BR79" s="2790">
        <f t="shared" ca="1" si="205"/>
        <v>0</v>
      </c>
      <c r="BS79" s="2790">
        <f t="shared" ca="1" si="205"/>
        <v>0</v>
      </c>
      <c r="BT79" s="2790">
        <f t="shared" ca="1" si="205"/>
        <v>0</v>
      </c>
      <c r="BU79" s="2790">
        <f t="shared" ca="1" si="205"/>
        <v>0</v>
      </c>
      <c r="BV79" s="2790">
        <f t="shared" ca="1" si="205"/>
        <v>0</v>
      </c>
      <c r="BW79" s="2790">
        <f t="shared" ca="1" si="205"/>
        <v>0</v>
      </c>
      <c r="BX79" s="2790">
        <f t="shared" ca="1" si="205"/>
        <v>0</v>
      </c>
      <c r="BY79" s="2790">
        <f t="shared" ca="1" si="205"/>
        <v>0</v>
      </c>
      <c r="BZ79" s="2790">
        <f t="shared" ca="1" si="205"/>
        <v>0</v>
      </c>
      <c r="CA79" s="2790">
        <f t="shared" ca="1" si="205"/>
        <v>0</v>
      </c>
      <c r="CB79" s="2790">
        <f t="shared" ca="1" si="205"/>
        <v>0</v>
      </c>
      <c r="CC79" s="2790">
        <f t="shared" ca="1" si="205"/>
        <v>0</v>
      </c>
      <c r="CD79" s="2790">
        <f t="shared" ca="1" si="205"/>
        <v>0</v>
      </c>
      <c r="CE79" s="2790">
        <f t="shared" ca="1" si="205"/>
        <v>0</v>
      </c>
      <c r="CF79" s="2790">
        <f t="shared" ca="1" si="205"/>
        <v>0</v>
      </c>
      <c r="CG79" s="2790">
        <f t="shared" ca="1" si="205"/>
        <v>0</v>
      </c>
      <c r="CH79" s="2790">
        <f t="shared" ca="1" si="205"/>
        <v>0</v>
      </c>
      <c r="CI79" s="2790">
        <f t="shared" ca="1" si="205"/>
        <v>0</v>
      </c>
      <c r="CJ79" s="2790">
        <f t="shared" ca="1" si="205"/>
        <v>0</v>
      </c>
      <c r="CK79" s="2790">
        <f t="shared" ca="1" si="205"/>
        <v>0</v>
      </c>
      <c r="CL79" s="2790">
        <f t="shared" ca="1" si="205"/>
        <v>0</v>
      </c>
      <c r="CM79" s="2790">
        <f t="shared" ca="1" si="205"/>
        <v>0</v>
      </c>
      <c r="CN79" s="2790">
        <f t="shared" ca="1" si="205"/>
        <v>0</v>
      </c>
      <c r="CO79" s="2790">
        <f t="shared" ca="1" si="205"/>
        <v>0</v>
      </c>
      <c r="CP79" s="2790">
        <f t="shared" ca="1" si="205"/>
        <v>0</v>
      </c>
      <c r="CQ79" s="2790">
        <f t="shared" ca="1" si="205"/>
        <v>0</v>
      </c>
      <c r="CR79" s="2790">
        <f t="shared" ca="1" si="205"/>
        <v>0</v>
      </c>
      <c r="CS79" s="2790">
        <f t="shared" ca="1" si="205"/>
        <v>0</v>
      </c>
      <c r="CT79" s="2790">
        <f t="shared" ca="1" si="205"/>
        <v>0</v>
      </c>
      <c r="CU79" s="2790">
        <f t="shared" ca="1" si="205"/>
        <v>0</v>
      </c>
      <c r="CV79" s="2790">
        <f t="shared" ca="1" si="205"/>
        <v>0</v>
      </c>
      <c r="CW79" s="2790">
        <f t="shared" ca="1" si="205"/>
        <v>0</v>
      </c>
      <c r="CX79" s="2790">
        <f t="shared" ca="1" si="205"/>
        <v>0</v>
      </c>
      <c r="CY79" s="2790">
        <f t="shared" ca="1" si="205"/>
        <v>0</v>
      </c>
      <c r="CZ79" s="2790">
        <f t="shared" ca="1" si="205"/>
        <v>0</v>
      </c>
      <c r="DA79" s="2790">
        <f t="shared" ca="1" si="205"/>
        <v>0</v>
      </c>
      <c r="DB79" s="2790">
        <f t="shared" ca="1" si="205"/>
        <v>0</v>
      </c>
      <c r="DC79" s="2790">
        <f t="shared" ca="1" si="205"/>
        <v>-3.2687102856857142</v>
      </c>
      <c r="DD79" s="2790">
        <f t="shared" ca="1" si="205"/>
        <v>0</v>
      </c>
      <c r="DE79" s="2790">
        <f t="shared" ca="1" si="205"/>
        <v>0</v>
      </c>
      <c r="DF79" s="2790">
        <f t="shared" ca="1" si="205"/>
        <v>0</v>
      </c>
      <c r="DH79" s="596">
        <f t="shared" ca="1" si="120"/>
        <v>0.42194727745714289</v>
      </c>
    </row>
    <row r="80" spans="1:112" s="639" customFormat="1" ht="12.75" customHeight="1" outlineLevel="1">
      <c r="C80" s="640" t="s">
        <v>555</v>
      </c>
      <c r="D80" s="668" t="s">
        <v>547</v>
      </c>
      <c r="E80" s="641"/>
      <c r="F80" s="642"/>
      <c r="G80" s="643"/>
      <c r="H80" s="643"/>
      <c r="I80" s="643"/>
      <c r="J80" s="643"/>
      <c r="K80" s="644"/>
      <c r="L80" s="643"/>
      <c r="M80" s="643"/>
      <c r="N80" s="643"/>
      <c r="O80" s="643"/>
      <c r="P80" s="643"/>
      <c r="Q80" s="643"/>
      <c r="R80" s="642"/>
      <c r="S80" s="645">
        <f ca="1">S78+S79</f>
        <v>-27.377648640111907</v>
      </c>
      <c r="T80" s="645">
        <f ca="1">T78+T79</f>
        <v>71.164623335672545</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91"/>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20"/>
        <v>0</v>
      </c>
    </row>
    <row r="81" spans="1:112" s="607" customFormat="1" ht="12.75" customHeight="1" outlineLevel="1">
      <c r="C81" s="587" t="s">
        <v>556</v>
      </c>
      <c r="D81" s="588" t="s">
        <v>557</v>
      </c>
      <c r="E81" s="588"/>
      <c r="F81" s="6"/>
      <c r="G81" s="619">
        <f t="shared" ref="G81:P81" ca="1" si="206">IFERROR(INDEX(INDIRECT($C81&amp;".Outputs["&amp;this.Year&amp;"]"), MATCH(G$5, INDIRECT($C81&amp;".Outputs[Vector]"), 0)), 0)</f>
        <v>0</v>
      </c>
      <c r="H81" s="619">
        <f t="shared" ca="1" si="206"/>
        <v>0</v>
      </c>
      <c r="I81" s="619">
        <f t="shared" ca="1" si="206"/>
        <v>0</v>
      </c>
      <c r="J81" s="619">
        <f t="shared" ca="1" si="206"/>
        <v>0</v>
      </c>
      <c r="K81" s="619">
        <f t="shared" ca="1" si="206"/>
        <v>0</v>
      </c>
      <c r="L81" s="619">
        <f t="shared" ca="1" si="206"/>
        <v>0</v>
      </c>
      <c r="M81" s="619">
        <f t="shared" ca="1" si="206"/>
        <v>0</v>
      </c>
      <c r="N81" s="619">
        <f t="shared" ca="1" si="206"/>
        <v>0</v>
      </c>
      <c r="O81" s="619">
        <f t="shared" ca="1" si="206"/>
        <v>0</v>
      </c>
      <c r="P81" s="619">
        <f t="shared" ca="1" si="206"/>
        <v>0</v>
      </c>
      <c r="Q81" s="612">
        <f ca="1">SUM(G81:P81)</f>
        <v>0</v>
      </c>
      <c r="R81" s="6"/>
      <c r="S81" s="620">
        <f t="shared" ref="S81:AJ81" ca="1" si="207">IFERROR(INDEX(INDIRECT($C81&amp;".Outputs["&amp;this.Year&amp;"]"), MATCH(S$5, INDIRECT($C81&amp;".Outputs[Vector]"), 0)), 0)</f>
        <v>0</v>
      </c>
      <c r="T81" s="620">
        <f t="shared" ca="1" si="207"/>
        <v>7.7140800000000009</v>
      </c>
      <c r="U81" s="620">
        <f t="shared" ca="1" si="207"/>
        <v>-22.701435428571433</v>
      </c>
      <c r="V81" s="620">
        <f t="shared" ca="1" si="207"/>
        <v>0</v>
      </c>
      <c r="W81" s="620">
        <f t="shared" ca="1" si="207"/>
        <v>0</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207"/>
        <v>0</v>
      </c>
      <c r="AB81" s="620">
        <f t="shared" ca="1" si="207"/>
        <v>0</v>
      </c>
      <c r="AC81" s="620">
        <f t="shared" ca="1" si="207"/>
        <v>0</v>
      </c>
      <c r="AD81" s="620">
        <f t="shared" ca="1" si="207"/>
        <v>0</v>
      </c>
      <c r="AE81" s="620">
        <f t="shared" ca="1" si="207"/>
        <v>0</v>
      </c>
      <c r="AF81" s="620">
        <f t="shared" ca="1" si="207"/>
        <v>0</v>
      </c>
      <c r="AG81" s="620">
        <f t="shared" ca="1" si="207"/>
        <v>0</v>
      </c>
      <c r="AH81" s="620">
        <f t="shared" ca="1" si="207"/>
        <v>0</v>
      </c>
      <c r="AI81" s="620">
        <f t="shared" ca="1" si="207"/>
        <v>0</v>
      </c>
      <c r="AJ81" s="620">
        <f t="shared" ca="1" si="207"/>
        <v>0</v>
      </c>
      <c r="AK81" s="613">
        <f ca="1">SUM(S81:AJ81)</f>
        <v>-14.987355428571432</v>
      </c>
      <c r="AL81" s="6"/>
      <c r="AM81" s="621">
        <f t="shared" ref="AM81:AU81" ca="1" si="208">IFERROR(INDEX(INDIRECT($C81&amp;".Outputs["&amp;this.Year&amp;"]"), MATCH(AM$5, INDIRECT($C81&amp;".Outputs[Vector]"), 0)), 0)</f>
        <v>0</v>
      </c>
      <c r="AN81" s="621">
        <f t="shared" ca="1" si="208"/>
        <v>0</v>
      </c>
      <c r="AO81" s="621">
        <f t="shared" ca="1" si="208"/>
        <v>0</v>
      </c>
      <c r="AP81" s="621">
        <f t="shared" ca="1" si="208"/>
        <v>0</v>
      </c>
      <c r="AQ81" s="621">
        <f t="shared" ca="1" si="208"/>
        <v>0</v>
      </c>
      <c r="AR81" s="621">
        <f t="shared" ca="1" si="208"/>
        <v>0</v>
      </c>
      <c r="AS81" s="621">
        <f t="shared" ca="1" si="208"/>
        <v>0</v>
      </c>
      <c r="AT81" s="621">
        <f t="shared" ca="1" si="208"/>
        <v>0</v>
      </c>
      <c r="AU81" s="621">
        <f t="shared" ca="1" si="208"/>
        <v>0</v>
      </c>
      <c r="AV81" s="621">
        <f t="shared" ref="AV81:BE81" ca="1" si="209">IFERROR(INDEX(INDIRECT($C81&amp;".Outputs["&amp;this.Year&amp;"]"), MATCH(AV$5, INDIRECT($C81&amp;".Outputs[Vector]"), 0)), 0)</f>
        <v>0</v>
      </c>
      <c r="AW81" s="621">
        <f t="shared" ca="1" si="209"/>
        <v>0</v>
      </c>
      <c r="AX81" s="621">
        <f t="shared" ca="1" si="209"/>
        <v>0</v>
      </c>
      <c r="AY81" s="621">
        <f t="shared" ca="1" si="209"/>
        <v>0</v>
      </c>
      <c r="AZ81" s="621">
        <f t="shared" ca="1" si="209"/>
        <v>0</v>
      </c>
      <c r="BA81" s="621">
        <f t="shared" ca="1" si="209"/>
        <v>0</v>
      </c>
      <c r="BB81" s="621">
        <f t="shared" ca="1" si="209"/>
        <v>0</v>
      </c>
      <c r="BC81" s="621">
        <f t="shared" ca="1" si="209"/>
        <v>0</v>
      </c>
      <c r="BD81" s="621">
        <f t="shared" ca="1" si="209"/>
        <v>0</v>
      </c>
      <c r="BE81" s="621">
        <f t="shared" ca="1" si="209"/>
        <v>0</v>
      </c>
      <c r="BF81" s="615">
        <f ca="1">SUM(AM81:BE81)</f>
        <v>0</v>
      </c>
      <c r="BG81" s="6"/>
      <c r="BH81" s="3473">
        <f ca="1">IFERROR(INDEX(INDIRECT($C81&amp;".Outputs["&amp;this.Year&amp;"]"), MATCH(BH$5, INDIRECT($C81&amp;".Outputs[Vector]"), 0)), 0)</f>
        <v>14.755933028571432</v>
      </c>
      <c r="BI81" s="3473">
        <f ca="1">IFERROR(INDEX(INDIRECT($C81&amp;".Outputs["&amp;this.Year&amp;"]"), MATCH(BI$5, INDIRECT($C81&amp;".Outputs[Vector]"), 0)), 0)</f>
        <v>0.23142240000000003</v>
      </c>
      <c r="BJ81" s="3462">
        <f ca="1">SUM(BH81:BI81)</f>
        <v>14.987355428571432</v>
      </c>
      <c r="BK81" s="6"/>
      <c r="BL81" s="610">
        <f t="shared" ca="1" si="191"/>
        <v>0</v>
      </c>
      <c r="BM81" s="610"/>
      <c r="BN81" s="413"/>
      <c r="BO81" s="2791">
        <f t="shared" ref="BO81:DF81" ca="1" si="210">IFERROR(SUMIFS(INDIRECT($C81&amp;".Emissions["&amp;this.Year&amp;"]"), INDIRECT($C81&amp;".Emissions[GHG]"), BO$6, INDIRECT($C81&amp;".Emissions[IPCC Sector]"), BO$5),0)</f>
        <v>8.0477387684812829</v>
      </c>
      <c r="BP81" s="2792">
        <f t="shared" ca="1" si="210"/>
        <v>1.3214959591680005E-3</v>
      </c>
      <c r="BQ81" s="2792">
        <f t="shared" ca="1" si="210"/>
        <v>1.3934141066057146E-2</v>
      </c>
      <c r="BR81" s="2792">
        <f t="shared" ca="1" si="210"/>
        <v>0</v>
      </c>
      <c r="BS81" s="2792">
        <f t="shared" ca="1" si="210"/>
        <v>0</v>
      </c>
      <c r="BT81" s="2792">
        <f t="shared" ca="1" si="210"/>
        <v>0</v>
      </c>
      <c r="BU81" s="2792">
        <f t="shared" ca="1" si="210"/>
        <v>0</v>
      </c>
      <c r="BV81" s="2792">
        <f t="shared" ca="1" si="210"/>
        <v>0</v>
      </c>
      <c r="BW81" s="2792">
        <f t="shared" ca="1" si="210"/>
        <v>0</v>
      </c>
      <c r="BX81" s="2792">
        <f t="shared" ca="1" si="210"/>
        <v>0</v>
      </c>
      <c r="BY81" s="2792">
        <f t="shared" ca="1" si="210"/>
        <v>0</v>
      </c>
      <c r="BZ81" s="2792">
        <f t="shared" ca="1" si="210"/>
        <v>0</v>
      </c>
      <c r="CA81" s="2792">
        <f t="shared" ca="1" si="210"/>
        <v>0</v>
      </c>
      <c r="CB81" s="2792">
        <f t="shared" ca="1" si="210"/>
        <v>0</v>
      </c>
      <c r="CC81" s="2792">
        <f t="shared" ca="1" si="210"/>
        <v>0</v>
      </c>
      <c r="CD81" s="2792">
        <f t="shared" ca="1" si="210"/>
        <v>0</v>
      </c>
      <c r="CE81" s="2792">
        <f t="shared" ca="1" si="210"/>
        <v>0</v>
      </c>
      <c r="CF81" s="2792">
        <f t="shared" ca="1" si="210"/>
        <v>0</v>
      </c>
      <c r="CG81" s="2792">
        <f t="shared" ca="1" si="210"/>
        <v>0</v>
      </c>
      <c r="CH81" s="2792">
        <f t="shared" ca="1" si="210"/>
        <v>0</v>
      </c>
      <c r="CI81" s="2792">
        <f t="shared" ca="1" si="210"/>
        <v>0</v>
      </c>
      <c r="CJ81" s="2792">
        <f t="shared" ca="1" si="210"/>
        <v>0</v>
      </c>
      <c r="CK81" s="2792">
        <f t="shared" ca="1" si="210"/>
        <v>0</v>
      </c>
      <c r="CL81" s="2792">
        <f t="shared" ca="1" si="210"/>
        <v>0</v>
      </c>
      <c r="CM81" s="2792">
        <f t="shared" ca="1" si="210"/>
        <v>0</v>
      </c>
      <c r="CN81" s="2792">
        <f t="shared" ca="1" si="210"/>
        <v>0</v>
      </c>
      <c r="CO81" s="2792">
        <f t="shared" ca="1" si="210"/>
        <v>0</v>
      </c>
      <c r="CP81" s="2792">
        <f t="shared" ca="1" si="210"/>
        <v>0</v>
      </c>
      <c r="CQ81" s="2792">
        <f t="shared" ca="1" si="210"/>
        <v>0</v>
      </c>
      <c r="CR81" s="2792">
        <f t="shared" ca="1" si="210"/>
        <v>0</v>
      </c>
      <c r="CS81" s="2792">
        <f t="shared" ca="1" si="210"/>
        <v>0</v>
      </c>
      <c r="CT81" s="2792">
        <f t="shared" ca="1" si="210"/>
        <v>0</v>
      </c>
      <c r="CU81" s="2792">
        <f t="shared" ca="1" si="210"/>
        <v>0</v>
      </c>
      <c r="CV81" s="2792">
        <f t="shared" ca="1" si="210"/>
        <v>0</v>
      </c>
      <c r="CW81" s="2792">
        <f t="shared" ca="1" si="210"/>
        <v>0</v>
      </c>
      <c r="CX81" s="2792">
        <f t="shared" ca="1" si="210"/>
        <v>0</v>
      </c>
      <c r="CY81" s="2792">
        <f t="shared" ca="1" si="210"/>
        <v>0</v>
      </c>
      <c r="CZ81" s="2792">
        <f t="shared" ca="1" si="210"/>
        <v>0</v>
      </c>
      <c r="DA81" s="2792">
        <f t="shared" ca="1" si="210"/>
        <v>0</v>
      </c>
      <c r="DB81" s="2792">
        <f t="shared" ca="1" si="210"/>
        <v>0</v>
      </c>
      <c r="DC81" s="2792">
        <f t="shared" ca="1" si="210"/>
        <v>0</v>
      </c>
      <c r="DD81" s="2792">
        <f t="shared" ca="1" si="210"/>
        <v>0</v>
      </c>
      <c r="DE81" s="2792">
        <f t="shared" ca="1" si="210"/>
        <v>0</v>
      </c>
      <c r="DF81" s="2792">
        <f t="shared" ca="1" si="210"/>
        <v>0</v>
      </c>
      <c r="DH81" s="596">
        <f t="shared" ca="1" si="120"/>
        <v>8.0629944055065081</v>
      </c>
    </row>
    <row r="82" spans="1:112" s="6" customFormat="1" ht="15.75">
      <c r="A82" s="4"/>
      <c r="B82" s="3"/>
      <c r="C82" s="616" t="s">
        <v>558</v>
      </c>
      <c r="D82" s="617" t="s">
        <v>559</v>
      </c>
      <c r="E82" s="206"/>
      <c r="G82" s="618">
        <f t="shared" ref="G82:P82" ca="1" si="211">G79+G81</f>
        <v>0</v>
      </c>
      <c r="H82" s="618">
        <f t="shared" ca="1" si="211"/>
        <v>0</v>
      </c>
      <c r="I82" s="618">
        <f t="shared" ca="1" si="211"/>
        <v>0</v>
      </c>
      <c r="J82" s="618">
        <f t="shared" ca="1" si="211"/>
        <v>0</v>
      </c>
      <c r="K82" s="618">
        <f t="shared" ca="1" si="211"/>
        <v>0</v>
      </c>
      <c r="L82" s="618">
        <f t="shared" ca="1" si="211"/>
        <v>0</v>
      </c>
      <c r="M82" s="618">
        <f t="shared" ca="1" si="211"/>
        <v>0</v>
      </c>
      <c r="N82" s="618">
        <f t="shared" ca="1" si="211"/>
        <v>0</v>
      </c>
      <c r="O82" s="618">
        <f t="shared" ca="1" si="211"/>
        <v>0</v>
      </c>
      <c r="P82" s="618">
        <f t="shared" ca="1" si="211"/>
        <v>0</v>
      </c>
      <c r="Q82" s="618">
        <f ca="1">SUM(G82:P82)</f>
        <v>0</v>
      </c>
      <c r="S82" s="581">
        <f t="shared" ref="S82:AJ82" ca="1" si="212">S79+S81</f>
        <v>0</v>
      </c>
      <c r="T82" s="581">
        <f t="shared" ca="1" si="212"/>
        <v>17.706005100000002</v>
      </c>
      <c r="U82" s="581">
        <f t="shared" ca="1" si="212"/>
        <v>-22.701435428571433</v>
      </c>
      <c r="V82" s="581">
        <f t="shared" ca="1" si="212"/>
        <v>0</v>
      </c>
      <c r="W82" s="581">
        <f t="shared" ca="1" si="212"/>
        <v>-17.740714285714287</v>
      </c>
      <c r="X82" s="581">
        <f t="shared" ca="1" si="212"/>
        <v>0</v>
      </c>
      <c r="Y82" s="581">
        <f t="shared" ca="1" si="212"/>
        <v>0</v>
      </c>
      <c r="Z82" s="581">
        <f t="shared" ca="1" si="212"/>
        <v>0</v>
      </c>
      <c r="AA82" s="581">
        <f t="shared" ca="1" si="212"/>
        <v>0</v>
      </c>
      <c r="AB82" s="581">
        <f t="shared" ca="1" si="212"/>
        <v>0</v>
      </c>
      <c r="AC82" s="581">
        <f t="shared" ca="1" si="212"/>
        <v>0</v>
      </c>
      <c r="AD82" s="581">
        <f ca="1">AD79+AD81</f>
        <v>0</v>
      </c>
      <c r="AE82" s="581">
        <f ca="1">AE79+AE81</f>
        <v>0</v>
      </c>
      <c r="AF82" s="581">
        <f t="shared" ca="1" si="212"/>
        <v>0</v>
      </c>
      <c r="AG82" s="581">
        <f t="shared" ca="1" si="212"/>
        <v>0</v>
      </c>
      <c r="AH82" s="581">
        <f ca="1">AH79+AH81</f>
        <v>0</v>
      </c>
      <c r="AI82" s="581">
        <f t="shared" ca="1" si="212"/>
        <v>0</v>
      </c>
      <c r="AJ82" s="581">
        <f t="shared" ca="1" si="212"/>
        <v>0</v>
      </c>
      <c r="AK82" s="581">
        <f ca="1">SUM(S82:AJ82)</f>
        <v>-22.736144614285717</v>
      </c>
      <c r="AM82" s="582">
        <f t="shared" ref="AM82:BE82" ca="1" si="213">AM79+AM81</f>
        <v>0</v>
      </c>
      <c r="AN82" s="582">
        <f t="shared" ca="1" si="213"/>
        <v>0</v>
      </c>
      <c r="AO82" s="582">
        <f t="shared" ca="1" si="213"/>
        <v>0</v>
      </c>
      <c r="AP82" s="582">
        <f t="shared" ca="1" si="213"/>
        <v>0</v>
      </c>
      <c r="AQ82" s="582">
        <f t="shared" ca="1" si="213"/>
        <v>0</v>
      </c>
      <c r="AR82" s="582">
        <f t="shared" ca="1" si="213"/>
        <v>0</v>
      </c>
      <c r="AS82" s="582">
        <f t="shared" ca="1" si="213"/>
        <v>0</v>
      </c>
      <c r="AT82" s="582">
        <f t="shared" ca="1" si="213"/>
        <v>0</v>
      </c>
      <c r="AU82" s="582">
        <f t="shared" ca="1" si="213"/>
        <v>0</v>
      </c>
      <c r="AV82" s="582">
        <f t="shared" ca="1" si="213"/>
        <v>0</v>
      </c>
      <c r="AW82" s="582">
        <f t="shared" ca="1" si="213"/>
        <v>0</v>
      </c>
      <c r="AX82" s="582">
        <f t="shared" ca="1" si="213"/>
        <v>0</v>
      </c>
      <c r="AY82" s="582">
        <f t="shared" ca="1" si="213"/>
        <v>0</v>
      </c>
      <c r="AZ82" s="582">
        <f t="shared" ca="1" si="213"/>
        <v>0</v>
      </c>
      <c r="BA82" s="582">
        <f t="shared" ca="1" si="213"/>
        <v>0</v>
      </c>
      <c r="BB82" s="582">
        <f t="shared" ca="1" si="213"/>
        <v>0</v>
      </c>
      <c r="BC82" s="582">
        <f t="shared" ca="1" si="213"/>
        <v>0</v>
      </c>
      <c r="BD82" s="582">
        <f t="shared" ca="1" si="213"/>
        <v>0</v>
      </c>
      <c r="BE82" s="582">
        <f t="shared" ca="1" si="213"/>
        <v>0</v>
      </c>
      <c r="BF82" s="582">
        <f ca="1">SUM(AM82:BE82)</f>
        <v>0</v>
      </c>
      <c r="BH82" s="3463">
        <f ca="1">BH79+BH81</f>
        <v>21.319997314285718</v>
      </c>
      <c r="BI82" s="3463">
        <f ca="1">BI79+BI81</f>
        <v>1.4161473000000002</v>
      </c>
      <c r="BJ82" s="3463">
        <f ca="1">SUM(BH82:BI82)</f>
        <v>22.736144614285717</v>
      </c>
      <c r="BL82" s="3477">
        <f t="shared" ca="1" si="191"/>
        <v>0</v>
      </c>
      <c r="BM82" s="584"/>
      <c r="BN82" s="413"/>
      <c r="BO82" s="2790">
        <f t="shared" ref="BO82:DF82" ca="1" si="214">BO79+BO81</f>
        <v>11.679639085909855</v>
      </c>
      <c r="BP82" s="2790">
        <f t="shared" ca="1" si="214"/>
        <v>2.6626939591680009E-3</v>
      </c>
      <c r="BQ82" s="2790">
        <f t="shared" ca="1" si="214"/>
        <v>7.1350188780342869E-2</v>
      </c>
      <c r="BR82" s="2790">
        <f t="shared" ca="1" si="214"/>
        <v>0</v>
      </c>
      <c r="BS82" s="2790">
        <f t="shared" ca="1" si="214"/>
        <v>0</v>
      </c>
      <c r="BT82" s="2790">
        <f t="shared" ca="1" si="214"/>
        <v>0</v>
      </c>
      <c r="BU82" s="2790">
        <f t="shared" ca="1" si="214"/>
        <v>0</v>
      </c>
      <c r="BV82" s="2790">
        <f t="shared" ca="1" si="214"/>
        <v>0</v>
      </c>
      <c r="BW82" s="2790">
        <f t="shared" ca="1" si="214"/>
        <v>0</v>
      </c>
      <c r="BX82" s="2790">
        <f t="shared" ca="1" si="214"/>
        <v>0</v>
      </c>
      <c r="BY82" s="2790">
        <f t="shared" ca="1" si="214"/>
        <v>0</v>
      </c>
      <c r="BZ82" s="2790">
        <f t="shared" ca="1" si="214"/>
        <v>0</v>
      </c>
      <c r="CA82" s="2790">
        <f t="shared" ca="1" si="214"/>
        <v>0</v>
      </c>
      <c r="CB82" s="2790">
        <f t="shared" ca="1" si="214"/>
        <v>0</v>
      </c>
      <c r="CC82" s="2790">
        <f t="shared" ca="1" si="214"/>
        <v>0</v>
      </c>
      <c r="CD82" s="2790">
        <f t="shared" ca="1" si="214"/>
        <v>0</v>
      </c>
      <c r="CE82" s="2790">
        <f t="shared" ca="1" si="214"/>
        <v>0</v>
      </c>
      <c r="CF82" s="2790">
        <f t="shared" ca="1" si="214"/>
        <v>0</v>
      </c>
      <c r="CG82" s="2790">
        <f t="shared" ca="1" si="214"/>
        <v>0</v>
      </c>
      <c r="CH82" s="2790">
        <f t="shared" ca="1" si="214"/>
        <v>0</v>
      </c>
      <c r="CI82" s="2790">
        <f t="shared" ca="1" si="214"/>
        <v>0</v>
      </c>
      <c r="CJ82" s="2790">
        <f t="shared" ca="1" si="214"/>
        <v>0</v>
      </c>
      <c r="CK82" s="2790">
        <f t="shared" ca="1" si="214"/>
        <v>0</v>
      </c>
      <c r="CL82" s="2790">
        <f t="shared" ca="1" si="214"/>
        <v>0</v>
      </c>
      <c r="CM82" s="2790">
        <f t="shared" ca="1" si="214"/>
        <v>0</v>
      </c>
      <c r="CN82" s="2790">
        <f t="shared" ca="1" si="214"/>
        <v>0</v>
      </c>
      <c r="CO82" s="2790">
        <f t="shared" ca="1" si="214"/>
        <v>0</v>
      </c>
      <c r="CP82" s="2790">
        <f t="shared" ca="1" si="214"/>
        <v>0</v>
      </c>
      <c r="CQ82" s="2790">
        <f t="shared" ca="1" si="214"/>
        <v>0</v>
      </c>
      <c r="CR82" s="2790">
        <f t="shared" ca="1" si="214"/>
        <v>0</v>
      </c>
      <c r="CS82" s="2790">
        <f t="shared" ca="1" si="214"/>
        <v>0</v>
      </c>
      <c r="CT82" s="2790">
        <f t="shared" ca="1" si="214"/>
        <v>0</v>
      </c>
      <c r="CU82" s="2790">
        <f t="shared" ca="1" si="214"/>
        <v>0</v>
      </c>
      <c r="CV82" s="2790">
        <f t="shared" ca="1" si="214"/>
        <v>0</v>
      </c>
      <c r="CW82" s="2790">
        <f t="shared" ca="1" si="214"/>
        <v>0</v>
      </c>
      <c r="CX82" s="2790">
        <f t="shared" ca="1" si="214"/>
        <v>0</v>
      </c>
      <c r="CY82" s="2790">
        <f t="shared" ca="1" si="214"/>
        <v>0</v>
      </c>
      <c r="CZ82" s="2790">
        <f t="shared" ca="1" si="214"/>
        <v>0</v>
      </c>
      <c r="DA82" s="2790">
        <f t="shared" ca="1" si="214"/>
        <v>0</v>
      </c>
      <c r="DB82" s="2790">
        <f t="shared" ca="1" si="214"/>
        <v>0</v>
      </c>
      <c r="DC82" s="2790">
        <f t="shared" ca="1" si="214"/>
        <v>-3.2687102856857142</v>
      </c>
      <c r="DD82" s="2790">
        <f t="shared" ca="1" si="214"/>
        <v>0</v>
      </c>
      <c r="DE82" s="2790">
        <f t="shared" ca="1" si="214"/>
        <v>0</v>
      </c>
      <c r="DF82" s="2790">
        <f t="shared" ca="1" si="214"/>
        <v>0</v>
      </c>
      <c r="DH82" s="596">
        <f t="shared" ca="1" si="120"/>
        <v>8.4849416829636528</v>
      </c>
    </row>
    <row r="83" spans="1:112" s="6" customFormat="1" ht="6" customHeigh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91"/>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215">G$51+G$55+G$63+G$68+G$72+G$76+G$82+G$46</f>
        <v>0</v>
      </c>
      <c r="H84" s="680">
        <f t="shared" ca="1" si="215"/>
        <v>0.16462022452045666</v>
      </c>
      <c r="I84" s="680">
        <f t="shared" ca="1" si="215"/>
        <v>2.7878473320761668</v>
      </c>
      <c r="J84" s="680">
        <f t="shared" ca="1" si="215"/>
        <v>0</v>
      </c>
      <c r="K84" s="681">
        <f t="shared" ca="1" si="215"/>
        <v>0</v>
      </c>
      <c r="L84" s="680">
        <f t="shared" ca="1" si="215"/>
        <v>0</v>
      </c>
      <c r="M84" s="680">
        <f t="shared" ca="1" si="215"/>
        <v>0</v>
      </c>
      <c r="N84" s="680">
        <f t="shared" ca="1" si="215"/>
        <v>0</v>
      </c>
      <c r="O84" s="680">
        <f t="shared" ca="1" si="215"/>
        <v>0</v>
      </c>
      <c r="P84" s="680">
        <f t="shared" ca="1" si="215"/>
        <v>0</v>
      </c>
      <c r="Q84" s="633">
        <f ca="1">SUM(G84:P84)</f>
        <v>2.9524675565966234</v>
      </c>
      <c r="S84" s="634">
        <f t="shared" ref="S84:AJ84" ca="1" si="216">S$51+S$55+S$63+S$68+S$72+S$76+S$82+S$46</f>
        <v>-0.99550004396054537</v>
      </c>
      <c r="T84" s="634">
        <f t="shared" ca="1" si="216"/>
        <v>67.590484217182222</v>
      </c>
      <c r="U84" s="634">
        <f t="shared" ca="1" si="216"/>
        <v>-22.701435428571433</v>
      </c>
      <c r="V84" s="634">
        <f t="shared" ca="1" si="216"/>
        <v>-4.0546852059290428</v>
      </c>
      <c r="W84" s="634">
        <f t="shared" ca="1" si="216"/>
        <v>-17.832856093288505</v>
      </c>
      <c r="X84" s="634">
        <f t="shared" ca="1" si="216"/>
        <v>0.22186590218798416</v>
      </c>
      <c r="Y84" s="634">
        <f t="shared" ca="1" si="216"/>
        <v>0</v>
      </c>
      <c r="Z84" s="634">
        <f t="shared" ca="1" si="216"/>
        <v>0</v>
      </c>
      <c r="AA84" s="634">
        <f t="shared" ca="1" si="216"/>
        <v>0</v>
      </c>
      <c r="AB84" s="634">
        <f t="shared" ca="1" si="216"/>
        <v>0</v>
      </c>
      <c r="AC84" s="634">
        <f t="shared" ca="1" si="216"/>
        <v>0</v>
      </c>
      <c r="AD84" s="634">
        <f t="shared" ca="1" si="216"/>
        <v>54.135182368629792</v>
      </c>
      <c r="AE84" s="634">
        <f t="shared" ca="1" si="216"/>
        <v>0.74346827555139616</v>
      </c>
      <c r="AF84" s="634">
        <f t="shared" ca="1" si="216"/>
        <v>21.598415710930002</v>
      </c>
      <c r="AG84" s="634">
        <f t="shared" ca="1" si="216"/>
        <v>17.935298834659971</v>
      </c>
      <c r="AH84" s="634">
        <f t="shared" ca="1" si="216"/>
        <v>0.15626201242516538</v>
      </c>
      <c r="AI84" s="634">
        <f t="shared" ca="1" si="216"/>
        <v>2.3046831432863932</v>
      </c>
      <c r="AJ84" s="634">
        <f t="shared" ca="1" si="216"/>
        <v>2.1173596359821727E-2</v>
      </c>
      <c r="AK84" s="634">
        <f ca="1">SUM(S84:AJ84)</f>
        <v>119.12235728946321</v>
      </c>
      <c r="AM84" s="635">
        <f t="shared" ref="AM84:BE84" ca="1" si="217">AM$51+AM$55+AM$63+AM$68+AM$72+AM$76+AM$82+AM$46</f>
        <v>0</v>
      </c>
      <c r="AN84" s="635">
        <f t="shared" ca="1" si="217"/>
        <v>0</v>
      </c>
      <c r="AO84" s="635">
        <f t="shared" ca="1" si="217"/>
        <v>0</v>
      </c>
      <c r="AP84" s="635">
        <f t="shared" ca="1" si="217"/>
        <v>0</v>
      </c>
      <c r="AQ84" s="635">
        <f t="shared" ca="1" si="217"/>
        <v>0</v>
      </c>
      <c r="AR84" s="635">
        <f t="shared" ca="1" si="217"/>
        <v>0</v>
      </c>
      <c r="AS84" s="635">
        <f t="shared" ca="1" si="217"/>
        <v>0</v>
      </c>
      <c r="AT84" s="635">
        <f t="shared" ca="1" si="217"/>
        <v>0</v>
      </c>
      <c r="AU84" s="635">
        <f t="shared" ca="1" si="217"/>
        <v>0</v>
      </c>
      <c r="AV84" s="635">
        <f t="shared" ca="1" si="217"/>
        <v>-21.428000000000004</v>
      </c>
      <c r="AW84" s="635">
        <f t="shared" ca="1" si="217"/>
        <v>-5.7058911432863937</v>
      </c>
      <c r="AX84" s="635">
        <f t="shared" ca="1" si="217"/>
        <v>-31.8999123</v>
      </c>
      <c r="AY84" s="635">
        <f t="shared" ca="1" si="217"/>
        <v>-1.5778800000000002</v>
      </c>
      <c r="AZ84" s="635">
        <f t="shared" ca="1" si="217"/>
        <v>-5.2070040000000004</v>
      </c>
      <c r="BA84" s="635">
        <f t="shared" ca="1" si="217"/>
        <v>0</v>
      </c>
      <c r="BB84" s="635">
        <f t="shared" ca="1" si="217"/>
        <v>-0.78946596000000002</v>
      </c>
      <c r="BC84" s="635">
        <f t="shared" ca="1" si="217"/>
        <v>0</v>
      </c>
      <c r="BD84" s="635">
        <f t="shared" ca="1" si="217"/>
        <v>-62.656428421958964</v>
      </c>
      <c r="BE84" s="635">
        <f t="shared" ca="1" si="217"/>
        <v>-32.134064682425347</v>
      </c>
      <c r="BF84" s="635">
        <f ca="1">SUM(AM84:BE84)</f>
        <v>-161.39864650767072</v>
      </c>
      <c r="BH84" s="3464">
        <f ca="1">BH$51+BH$55+BH$63+BH$68+BH$72+BH$76+BH$82+BH$46</f>
        <v>35.019180490225253</v>
      </c>
      <c r="BI84" s="3464">
        <f ca="1">BI$51+BI$55+BI$63+BI$68+BI$72+BI$76+BI$82+BI$46</f>
        <v>4.3046411713856152</v>
      </c>
      <c r="BJ84" s="3464">
        <f ca="1">SUM(BH84:BI84)</f>
        <v>39.323821661610864</v>
      </c>
      <c r="BL84" s="3478">
        <f t="shared" ca="1" si="191"/>
        <v>0</v>
      </c>
      <c r="BM84" s="636"/>
      <c r="BO84" s="2793">
        <f t="shared" ref="BO84:DE84" ca="1" si="218">BO$51+BO$55+BO$63+BO$68+BO$72+BO$76+BO$82+BO$46</f>
        <v>12.768452799467173</v>
      </c>
      <c r="BP84" s="2793">
        <f t="shared" ca="1" si="218"/>
        <v>3.5892624845253194E-3</v>
      </c>
      <c r="BQ84" s="2793">
        <f t="shared" ca="1" si="218"/>
        <v>7.4363413740266157E-2</v>
      </c>
      <c r="BR84" s="2793">
        <f t="shared" ca="1" si="218"/>
        <v>0</v>
      </c>
      <c r="BS84" s="2793">
        <f t="shared" ca="1" si="218"/>
        <v>0</v>
      </c>
      <c r="BT84" s="2793">
        <f t="shared" ca="1" si="218"/>
        <v>0</v>
      </c>
      <c r="BU84" s="2793">
        <f t="shared" ca="1" si="218"/>
        <v>0</v>
      </c>
      <c r="BV84" s="2793">
        <f t="shared" ca="1" si="218"/>
        <v>0</v>
      </c>
      <c r="BW84" s="2793">
        <f t="shared" ca="1" si="218"/>
        <v>0</v>
      </c>
      <c r="BX84" s="2793">
        <f t="shared" ca="1" si="218"/>
        <v>0</v>
      </c>
      <c r="BY84" s="2793">
        <f t="shared" ca="1" si="218"/>
        <v>0</v>
      </c>
      <c r="BZ84" s="2793">
        <f t="shared" ca="1" si="218"/>
        <v>0</v>
      </c>
      <c r="CA84" s="2793">
        <f t="shared" ca="1" si="218"/>
        <v>0</v>
      </c>
      <c r="CB84" s="2793">
        <f t="shared" ca="1" si="218"/>
        <v>0</v>
      </c>
      <c r="CC84" s="2793">
        <f t="shared" ca="1" si="218"/>
        <v>0</v>
      </c>
      <c r="CD84" s="2793">
        <f t="shared" ca="1" si="218"/>
        <v>0</v>
      </c>
      <c r="CE84" s="2793">
        <f t="shared" ca="1" si="218"/>
        <v>0</v>
      </c>
      <c r="CF84" s="2793">
        <f t="shared" ca="1" si="218"/>
        <v>7.8636790414262387</v>
      </c>
      <c r="CG84" s="2793">
        <f t="shared" ca="1" si="218"/>
        <v>5.9121593570473818</v>
      </c>
      <c r="CH84" s="2793">
        <f t="shared" ca="1" si="218"/>
        <v>0</v>
      </c>
      <c r="CI84" s="2793">
        <f t="shared" ca="1" si="218"/>
        <v>-2.4850551056747112</v>
      </c>
      <c r="CJ84" s="2793">
        <f t="shared" ca="1" si="218"/>
        <v>0</v>
      </c>
      <c r="CK84" s="2793">
        <f t="shared" ca="1" si="218"/>
        <v>0</v>
      </c>
      <c r="CL84" s="2793">
        <f t="shared" ca="1" si="218"/>
        <v>0</v>
      </c>
      <c r="CM84" s="2793">
        <f t="shared" ca="1" si="218"/>
        <v>0</v>
      </c>
      <c r="CN84" s="2793">
        <f t="shared" ca="1" si="218"/>
        <v>0.41798160141775098</v>
      </c>
      <c r="CO84" s="2793">
        <f t="shared" ca="1" si="218"/>
        <v>6.1171082142857144E-2</v>
      </c>
      <c r="CP84" s="2793">
        <f t="shared" ca="1" si="218"/>
        <v>0</v>
      </c>
      <c r="CQ84" s="2793">
        <f t="shared" ca="1" si="218"/>
        <v>0</v>
      </c>
      <c r="CR84" s="2793">
        <f t="shared" ca="1" si="218"/>
        <v>0</v>
      </c>
      <c r="CS84" s="2793">
        <f t="shared" ca="1" si="218"/>
        <v>0</v>
      </c>
      <c r="CT84" s="2793">
        <f t="shared" ca="1" si="218"/>
        <v>0</v>
      </c>
      <c r="CU84" s="2793">
        <f t="shared" ca="1" si="218"/>
        <v>0</v>
      </c>
      <c r="CV84" s="2793">
        <f t="shared" ca="1" si="218"/>
        <v>0</v>
      </c>
      <c r="CW84" s="2793">
        <f t="shared" ca="1" si="218"/>
        <v>0</v>
      </c>
      <c r="CX84" s="2793">
        <f t="shared" ca="1" si="218"/>
        <v>0</v>
      </c>
      <c r="CY84" s="2793">
        <f t="shared" ca="1" si="218"/>
        <v>0</v>
      </c>
      <c r="CZ84" s="2793">
        <f t="shared" ca="1" si="218"/>
        <v>0</v>
      </c>
      <c r="DA84" s="2793">
        <f t="shared" ca="1" si="218"/>
        <v>0</v>
      </c>
      <c r="DB84" s="2793">
        <f t="shared" ca="1" si="218"/>
        <v>0</v>
      </c>
      <c r="DC84" s="2793">
        <f t="shared" ca="1" si="218"/>
        <v>-3.2687102856857142</v>
      </c>
      <c r="DD84" s="2793">
        <f t="shared" ca="1" si="218"/>
        <v>0</v>
      </c>
      <c r="DE84" s="2793">
        <f t="shared" ca="1" si="218"/>
        <v>0</v>
      </c>
      <c r="DF84" s="2793">
        <f ca="1">DF$51+DF$99+DF$55+DF$63+DF$68+DF$76+DF$82+DF$46</f>
        <v>0</v>
      </c>
      <c r="DH84" s="637">
        <f ca="1">SUM(BO84:DF84)</f>
        <v>21.347631166365769</v>
      </c>
    </row>
    <row r="85" spans="1:112" s="6" customFormat="1" ht="6" customHeigh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91"/>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24" customHeight="1">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91"/>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ht="6" customHeigh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91"/>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outlineLevel="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outlineLevel="1">
      <c r="C89" s="651" t="s">
        <v>563</v>
      </c>
      <c r="D89" s="588" t="s">
        <v>564</v>
      </c>
      <c r="E89" s="588"/>
      <c r="F89" s="6"/>
      <c r="G89" s="589">
        <f t="shared" ref="G89:P89" ca="1" si="219">IFERROR(INDEX(INDIRECT($C89&amp;".Outputs["&amp;this.Year&amp;"]"), MATCH(G$5, INDIRECT($C89&amp;".Outputs[Vector]"), 0)), 0)</f>
        <v>0</v>
      </c>
      <c r="H89" s="589">
        <f t="shared" ca="1" si="219"/>
        <v>0</v>
      </c>
      <c r="I89" s="589">
        <f t="shared" ca="1" si="219"/>
        <v>0</v>
      </c>
      <c r="J89" s="589">
        <f t="shared" ca="1" si="219"/>
        <v>0</v>
      </c>
      <c r="K89" s="589">
        <f t="shared" ca="1" si="219"/>
        <v>0</v>
      </c>
      <c r="L89" s="589">
        <f t="shared" ca="1" si="219"/>
        <v>0</v>
      </c>
      <c r="M89" s="589">
        <f t="shared" ca="1" si="219"/>
        <v>0</v>
      </c>
      <c r="N89" s="589">
        <f t="shared" ca="1" si="219"/>
        <v>0</v>
      </c>
      <c r="O89" s="589">
        <f t="shared" ca="1" si="219"/>
        <v>0</v>
      </c>
      <c r="P89" s="589">
        <f t="shared" ca="1" si="219"/>
        <v>0</v>
      </c>
      <c r="Q89" s="590">
        <f ca="1">SUM(G89:P89)</f>
        <v>0</v>
      </c>
      <c r="R89" s="6"/>
      <c r="S89" s="591">
        <f t="shared" ref="S89:AJ89" ca="1" si="220">IFERROR(INDEX(INDIRECT($C89&amp;".Outputs["&amp;this.Year&amp;"]"), MATCH(S$5, INDIRECT($C89&amp;".Outputs[Vector]"), 0)), 0)</f>
        <v>0</v>
      </c>
      <c r="T89" s="591">
        <f t="shared" ca="1" si="220"/>
        <v>7</v>
      </c>
      <c r="U89" s="591">
        <f t="shared" ca="1" si="220"/>
        <v>0</v>
      </c>
      <c r="V89" s="591">
        <f t="shared" ca="1" si="220"/>
        <v>0</v>
      </c>
      <c r="W89" s="591">
        <f t="shared" ca="1" si="220"/>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20"/>
        <v>0</v>
      </c>
      <c r="AB89" s="591">
        <f t="shared" ca="1" si="220"/>
        <v>0</v>
      </c>
      <c r="AC89" s="591">
        <f t="shared" ca="1" si="220"/>
        <v>0</v>
      </c>
      <c r="AD89" s="591">
        <f t="shared" ca="1" si="220"/>
        <v>0</v>
      </c>
      <c r="AE89" s="591">
        <f t="shared" ca="1" si="220"/>
        <v>0</v>
      </c>
      <c r="AF89" s="591">
        <f t="shared" ca="1" si="220"/>
        <v>0</v>
      </c>
      <c r="AG89" s="591">
        <f t="shared" ca="1" si="220"/>
        <v>0</v>
      </c>
      <c r="AH89" s="591">
        <f t="shared" ca="1" si="220"/>
        <v>0</v>
      </c>
      <c r="AI89" s="591">
        <f t="shared" ca="1" si="220"/>
        <v>0</v>
      </c>
      <c r="AJ89" s="591">
        <f t="shared" ca="1" si="220"/>
        <v>0</v>
      </c>
      <c r="AK89" s="592">
        <f ca="1">SUM(S89:AJ89)</f>
        <v>7</v>
      </c>
      <c r="AL89" s="6"/>
      <c r="AM89" s="593">
        <f t="shared" ref="AM89:AU89" ca="1" si="221">IFERROR(INDEX(INDIRECT($C89&amp;".Outputs["&amp;this.Year&amp;"]"), MATCH(AM$5, INDIRECT($C89&amp;".Outputs[Vector]"), 0)), 0)</f>
        <v>0</v>
      </c>
      <c r="AN89" s="593">
        <f t="shared" ca="1" si="221"/>
        <v>0</v>
      </c>
      <c r="AO89" s="593">
        <f t="shared" ca="1" si="221"/>
        <v>0</v>
      </c>
      <c r="AP89" s="593">
        <f t="shared" ca="1" si="221"/>
        <v>0</v>
      </c>
      <c r="AQ89" s="593">
        <f t="shared" ca="1" si="221"/>
        <v>-7</v>
      </c>
      <c r="AR89" s="593">
        <f t="shared" ca="1" si="221"/>
        <v>0</v>
      </c>
      <c r="AS89" s="593">
        <f t="shared" ca="1" si="221"/>
        <v>0</v>
      </c>
      <c r="AT89" s="593">
        <f t="shared" ca="1" si="221"/>
        <v>0</v>
      </c>
      <c r="AU89" s="593">
        <f t="shared" ca="1" si="221"/>
        <v>0</v>
      </c>
      <c r="AV89" s="593">
        <f t="shared" ref="AV89:BE89" ca="1" si="222">IFERROR(INDEX(INDIRECT($C89&amp;".Outputs["&amp;this.Year&amp;"]"), MATCH(AV$5, INDIRECT($C89&amp;".Outputs[Vector]"), 0)), 0)</f>
        <v>0</v>
      </c>
      <c r="AW89" s="593">
        <f t="shared" ca="1" si="222"/>
        <v>0</v>
      </c>
      <c r="AX89" s="593">
        <f t="shared" ca="1" si="222"/>
        <v>0</v>
      </c>
      <c r="AY89" s="593">
        <f t="shared" ca="1" si="222"/>
        <v>0</v>
      </c>
      <c r="AZ89" s="593">
        <f t="shared" ca="1" si="222"/>
        <v>0</v>
      </c>
      <c r="BA89" s="593">
        <f t="shared" ca="1" si="222"/>
        <v>0</v>
      </c>
      <c r="BB89" s="593">
        <f t="shared" ca="1" si="222"/>
        <v>0</v>
      </c>
      <c r="BC89" s="593">
        <f t="shared" ca="1" si="222"/>
        <v>0</v>
      </c>
      <c r="BD89" s="593">
        <f t="shared" ca="1" si="222"/>
        <v>0</v>
      </c>
      <c r="BE89" s="593">
        <f t="shared" ca="1" si="222"/>
        <v>0</v>
      </c>
      <c r="BF89" s="609">
        <f ca="1">SUM(AM89:BE89)</f>
        <v>-7</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23">Q89+AK89+BF89+BJ89</f>
        <v>0</v>
      </c>
      <c r="BM89" s="610"/>
      <c r="BO89" s="2789">
        <f t="shared" ref="BO89:DF89" ca="1" si="224">IFERROR(SUMIFS(INDIRECT($C89&amp;".Emissions["&amp;this.Year&amp;"]"), INDIRECT($C89&amp;".Emissions[GHG]"), BO$6, INDIRECT($C89&amp;".Emissions[IPCC Sector]"), BO$5),0)</f>
        <v>0</v>
      </c>
      <c r="BP89" s="2790">
        <f t="shared" ca="1" si="224"/>
        <v>0</v>
      </c>
      <c r="BQ89" s="2790">
        <f t="shared" ca="1" si="224"/>
        <v>0</v>
      </c>
      <c r="BR89" s="2790">
        <f t="shared" ca="1" si="224"/>
        <v>0</v>
      </c>
      <c r="BS89" s="2790">
        <f t="shared" ca="1" si="224"/>
        <v>0</v>
      </c>
      <c r="BT89" s="2790">
        <f t="shared" ca="1" si="224"/>
        <v>0</v>
      </c>
      <c r="BU89" s="2790">
        <f t="shared" ca="1" si="224"/>
        <v>0</v>
      </c>
      <c r="BV89" s="2790">
        <f t="shared" ca="1" si="224"/>
        <v>0</v>
      </c>
      <c r="BW89" s="2790">
        <f t="shared" ca="1" si="224"/>
        <v>0</v>
      </c>
      <c r="BX89" s="2790">
        <f t="shared" ca="1" si="224"/>
        <v>0</v>
      </c>
      <c r="BY89" s="2790">
        <f t="shared" ca="1" si="224"/>
        <v>0</v>
      </c>
      <c r="BZ89" s="2790">
        <f t="shared" ca="1" si="224"/>
        <v>0</v>
      </c>
      <c r="CA89" s="2790">
        <f t="shared" ca="1" si="224"/>
        <v>0</v>
      </c>
      <c r="CB89" s="2790">
        <f t="shared" ca="1" si="224"/>
        <v>0</v>
      </c>
      <c r="CC89" s="2790">
        <f t="shared" ca="1" si="224"/>
        <v>0</v>
      </c>
      <c r="CD89" s="2790">
        <f t="shared" ca="1" si="224"/>
        <v>0</v>
      </c>
      <c r="CE89" s="2790">
        <f t="shared" ca="1" si="224"/>
        <v>0</v>
      </c>
      <c r="CF89" s="2790">
        <f t="shared" ca="1" si="224"/>
        <v>0</v>
      </c>
      <c r="CG89" s="2790">
        <f t="shared" ca="1" si="224"/>
        <v>0</v>
      </c>
      <c r="CH89" s="2790">
        <f t="shared" ca="1" si="224"/>
        <v>0</v>
      </c>
      <c r="CI89" s="2790">
        <f t="shared" ca="1" si="224"/>
        <v>0</v>
      </c>
      <c r="CJ89" s="2790">
        <f t="shared" ca="1" si="224"/>
        <v>0</v>
      </c>
      <c r="CK89" s="2790">
        <f t="shared" ca="1" si="224"/>
        <v>0</v>
      </c>
      <c r="CL89" s="2790">
        <f t="shared" ca="1" si="224"/>
        <v>0</v>
      </c>
      <c r="CM89" s="2790">
        <f t="shared" ca="1" si="224"/>
        <v>0</v>
      </c>
      <c r="CN89" s="2790">
        <f t="shared" ca="1" si="224"/>
        <v>0</v>
      </c>
      <c r="CO89" s="2790">
        <f t="shared" ca="1" si="224"/>
        <v>0</v>
      </c>
      <c r="CP89" s="2790">
        <f t="shared" ca="1" si="224"/>
        <v>0</v>
      </c>
      <c r="CQ89" s="2790">
        <f t="shared" ca="1" si="224"/>
        <v>0</v>
      </c>
      <c r="CR89" s="2790">
        <f t="shared" ca="1" si="224"/>
        <v>0</v>
      </c>
      <c r="CS89" s="2790">
        <f t="shared" ca="1" si="224"/>
        <v>0</v>
      </c>
      <c r="CT89" s="2790">
        <f t="shared" ca="1" si="224"/>
        <v>0</v>
      </c>
      <c r="CU89" s="2790">
        <f t="shared" ca="1" si="224"/>
        <v>0</v>
      </c>
      <c r="CV89" s="2790">
        <f t="shared" ca="1" si="224"/>
        <v>0</v>
      </c>
      <c r="CW89" s="2790">
        <f t="shared" ca="1" si="224"/>
        <v>0</v>
      </c>
      <c r="CX89" s="2790">
        <f t="shared" ca="1" si="224"/>
        <v>0</v>
      </c>
      <c r="CY89" s="2790">
        <f t="shared" ca="1" si="224"/>
        <v>0</v>
      </c>
      <c r="CZ89" s="2790">
        <f t="shared" ca="1" si="224"/>
        <v>0</v>
      </c>
      <c r="DA89" s="2790">
        <f t="shared" ca="1" si="224"/>
        <v>0</v>
      </c>
      <c r="DB89" s="2790">
        <f t="shared" ca="1" si="224"/>
        <v>0</v>
      </c>
      <c r="DC89" s="2790">
        <f t="shared" ca="1" si="224"/>
        <v>0</v>
      </c>
      <c r="DD89" s="2790">
        <f t="shared" ca="1" si="224"/>
        <v>0</v>
      </c>
      <c r="DE89" s="2790">
        <f t="shared" ca="1" si="224"/>
        <v>0</v>
      </c>
      <c r="DF89" s="2790">
        <f t="shared" ca="1" si="224"/>
        <v>0</v>
      </c>
      <c r="DH89" s="596"/>
    </row>
    <row r="90" spans="1:112" s="652" customFormat="1" ht="12.75" customHeight="1" outlineLevel="1">
      <c r="C90" s="667" t="s">
        <v>565</v>
      </c>
      <c r="D90" s="668" t="s">
        <v>566</v>
      </c>
      <c r="E90" s="668"/>
      <c r="F90" s="6"/>
      <c r="G90" s="643"/>
      <c r="H90" s="643"/>
      <c r="I90" s="643"/>
      <c r="J90" s="643"/>
      <c r="K90" s="644"/>
      <c r="L90" s="643"/>
      <c r="M90" s="643"/>
      <c r="N90" s="643"/>
      <c r="O90" s="643"/>
      <c r="P90" s="643"/>
      <c r="Q90" s="643"/>
      <c r="R90" s="6"/>
      <c r="S90" s="645">
        <f ca="1">S$40+$S46+S$51+S$99+S$55+S$89</f>
        <v>-27.213028415591449</v>
      </c>
      <c r="T90" s="645">
        <f ca="1">T$40+$S46+T$51+T$99+T$55+T$89</f>
        <v>15.156091939405242</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23"/>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outlineLevel="1">
      <c r="C91" s="651" t="s">
        <v>567</v>
      </c>
      <c r="D91" s="588" t="s">
        <v>568</v>
      </c>
      <c r="E91" s="588"/>
      <c r="F91" s="6"/>
      <c r="G91" s="589">
        <f t="shared" ref="G91:P92" ca="1" si="225">IFERROR(INDEX(INDIRECT($C91&amp;".Outputs["&amp;this.Year&amp;"]"), MATCH(G$5, INDIRECT($C91&amp;".Outputs[Vector]"), 0)), 0)</f>
        <v>0</v>
      </c>
      <c r="H91" s="589">
        <f t="shared" ca="1" si="225"/>
        <v>0</v>
      </c>
      <c r="I91" s="589">
        <f t="shared" ca="1" si="225"/>
        <v>0</v>
      </c>
      <c r="J91" s="589">
        <f t="shared" ca="1" si="225"/>
        <v>0</v>
      </c>
      <c r="K91" s="589">
        <f t="shared" ca="1" si="225"/>
        <v>0</v>
      </c>
      <c r="L91" s="589">
        <f t="shared" ca="1" si="225"/>
        <v>0</v>
      </c>
      <c r="M91" s="589">
        <f t="shared" ca="1" si="225"/>
        <v>0</v>
      </c>
      <c r="N91" s="589">
        <f t="shared" ca="1" si="225"/>
        <v>0</v>
      </c>
      <c r="O91" s="589">
        <f t="shared" ca="1" si="225"/>
        <v>0</v>
      </c>
      <c r="P91" s="589">
        <f t="shared" ca="1" si="225"/>
        <v>0</v>
      </c>
      <c r="Q91" s="590">
        <f ca="1">SUM(G91:P91)</f>
        <v>0</v>
      </c>
      <c r="R91" s="6"/>
      <c r="S91" s="591">
        <f t="shared" ref="S91:AJ92" ca="1" si="226">IFERROR(INDEX(INDIRECT($C91&amp;".Outputs["&amp;this.Year&amp;"]"), MATCH(S$5, INDIRECT($C91&amp;".Outputs[Vector]"), 0)), 0)</f>
        <v>0</v>
      </c>
      <c r="T91" s="591">
        <f t="shared" ca="1" si="226"/>
        <v>-3.8873165957953972</v>
      </c>
      <c r="U91" s="591">
        <f t="shared" ca="1" si="226"/>
        <v>0</v>
      </c>
      <c r="V91" s="591">
        <f t="shared" ca="1" si="226"/>
        <v>0</v>
      </c>
      <c r="W91" s="591">
        <f t="shared" ca="1" si="226"/>
        <v>0</v>
      </c>
      <c r="X91" s="591">
        <f t="shared" ref="X91:Z92" ca="1" si="227">IFERROR(INDEX(INDIRECT($C91&amp;".Outputs["&amp;this.Year&amp;"]"), MATCH(X$5, INDIRECT($C91&amp;".Outputs[Vector]"), 0)), 0)</f>
        <v>0</v>
      </c>
      <c r="Y91" s="591">
        <f t="shared" ca="1" si="227"/>
        <v>0</v>
      </c>
      <c r="Z91" s="591">
        <f t="shared" ca="1" si="227"/>
        <v>0</v>
      </c>
      <c r="AA91" s="591">
        <f t="shared" ca="1" si="226"/>
        <v>0</v>
      </c>
      <c r="AB91" s="591">
        <f t="shared" ca="1" si="226"/>
        <v>0</v>
      </c>
      <c r="AC91" s="591">
        <f t="shared" ca="1" si="226"/>
        <v>0</v>
      </c>
      <c r="AD91" s="591">
        <f t="shared" ca="1" si="226"/>
        <v>0</v>
      </c>
      <c r="AE91" s="591">
        <f t="shared" ca="1" si="226"/>
        <v>0</v>
      </c>
      <c r="AF91" s="591">
        <f t="shared" ca="1" si="226"/>
        <v>0</v>
      </c>
      <c r="AG91" s="591">
        <f t="shared" ca="1" si="226"/>
        <v>0</v>
      </c>
      <c r="AH91" s="591">
        <f t="shared" ca="1" si="226"/>
        <v>0</v>
      </c>
      <c r="AI91" s="591">
        <f t="shared" ca="1" si="226"/>
        <v>0</v>
      </c>
      <c r="AJ91" s="591">
        <f t="shared" ca="1" si="226"/>
        <v>0</v>
      </c>
      <c r="AK91" s="592">
        <f ca="1">SUM(S91:AJ91)</f>
        <v>-3.8873165957953972</v>
      </c>
      <c r="AL91" s="6"/>
      <c r="AM91" s="593">
        <f t="shared" ref="AM91:AU92" ca="1" si="228">IFERROR(INDEX(INDIRECT($C91&amp;".Outputs["&amp;this.Year&amp;"]"), MATCH(AM$5, INDIRECT($C91&amp;".Outputs[Vector]"), 0)), 0)</f>
        <v>0</v>
      </c>
      <c r="AN91" s="593">
        <f t="shared" ca="1" si="228"/>
        <v>0</v>
      </c>
      <c r="AO91" s="593">
        <f t="shared" ca="1" si="228"/>
        <v>0</v>
      </c>
      <c r="AP91" s="593">
        <f t="shared" ca="1" si="228"/>
        <v>0</v>
      </c>
      <c r="AQ91" s="593">
        <f t="shared" ca="1" si="228"/>
        <v>0</v>
      </c>
      <c r="AR91" s="593">
        <f t="shared" ca="1" si="228"/>
        <v>0</v>
      </c>
      <c r="AS91" s="593">
        <f t="shared" ca="1" si="228"/>
        <v>0</v>
      </c>
      <c r="AT91" s="593">
        <f t="shared" ca="1" si="228"/>
        <v>0</v>
      </c>
      <c r="AU91" s="593">
        <f t="shared" ca="1" si="228"/>
        <v>0</v>
      </c>
      <c r="AV91" s="593">
        <f t="shared" ref="AV91:BE92" ca="1" si="229">IFERROR(INDEX(INDIRECT($C91&amp;".Outputs["&amp;this.Year&amp;"]"), MATCH(AV$5, INDIRECT($C91&amp;".Outputs[Vector]"), 0)), 0)</f>
        <v>0</v>
      </c>
      <c r="AW91" s="593">
        <f t="shared" ca="1" si="229"/>
        <v>0</v>
      </c>
      <c r="AX91" s="593">
        <f t="shared" ca="1" si="229"/>
        <v>0</v>
      </c>
      <c r="AY91" s="593">
        <f t="shared" ca="1" si="229"/>
        <v>0</v>
      </c>
      <c r="AZ91" s="593">
        <f t="shared" ca="1" si="229"/>
        <v>0</v>
      </c>
      <c r="BA91" s="593">
        <f t="shared" ca="1" si="229"/>
        <v>0</v>
      </c>
      <c r="BB91" s="593">
        <f t="shared" ca="1" si="229"/>
        <v>0</v>
      </c>
      <c r="BC91" s="593">
        <f t="shared" ca="1" si="229"/>
        <v>0</v>
      </c>
      <c r="BD91" s="593">
        <f t="shared" ca="1" si="229"/>
        <v>0</v>
      </c>
      <c r="BE91" s="593">
        <f t="shared" ca="1" si="22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3.8873165957953977</v>
      </c>
      <c r="BJ91" s="3460">
        <f ca="1">SUM(BH91:BI91)</f>
        <v>3.8873165957953977</v>
      </c>
      <c r="BK91" s="6"/>
      <c r="BL91" s="654">
        <f t="shared" ca="1" si="223"/>
        <v>0</v>
      </c>
      <c r="BM91" s="610"/>
      <c r="BO91" s="2789">
        <f t="shared" ref="BO91:BX92" ca="1" si="230">IFERROR(SUMIFS(INDIRECT($C91&amp;".Emissions["&amp;this.Year&amp;"]"), INDIRECT($C91&amp;".Emissions[GHG]"), BO$6, INDIRECT($C91&amp;".Emissions[IPCC Sector]"), BO$5),0)</f>
        <v>0</v>
      </c>
      <c r="BP91" s="2790">
        <f t="shared" ca="1" si="230"/>
        <v>0</v>
      </c>
      <c r="BQ91" s="2790">
        <f t="shared" ca="1" si="230"/>
        <v>0</v>
      </c>
      <c r="BR91" s="2790">
        <f t="shared" ca="1" si="230"/>
        <v>0</v>
      </c>
      <c r="BS91" s="2790">
        <f t="shared" ca="1" si="230"/>
        <v>0</v>
      </c>
      <c r="BT91" s="2790">
        <f t="shared" ca="1" si="230"/>
        <v>0</v>
      </c>
      <c r="BU91" s="2790">
        <f t="shared" ca="1" si="230"/>
        <v>0</v>
      </c>
      <c r="BV91" s="2790">
        <f t="shared" ca="1" si="230"/>
        <v>0</v>
      </c>
      <c r="BW91" s="2790">
        <f t="shared" ca="1" si="230"/>
        <v>0</v>
      </c>
      <c r="BX91" s="2790">
        <f t="shared" ca="1" si="230"/>
        <v>0</v>
      </c>
      <c r="BY91" s="2790">
        <f t="shared" ref="BY91:CH92" ca="1" si="231">IFERROR(SUMIFS(INDIRECT($C91&amp;".Emissions["&amp;this.Year&amp;"]"), INDIRECT($C91&amp;".Emissions[GHG]"), BY$6, INDIRECT($C91&amp;".Emissions[IPCC Sector]"), BY$5),0)</f>
        <v>0</v>
      </c>
      <c r="BZ91" s="2790">
        <f t="shared" ca="1" si="231"/>
        <v>0</v>
      </c>
      <c r="CA91" s="2790">
        <f t="shared" ca="1" si="231"/>
        <v>0</v>
      </c>
      <c r="CB91" s="2790">
        <f t="shared" ca="1" si="231"/>
        <v>0</v>
      </c>
      <c r="CC91" s="2790">
        <f t="shared" ca="1" si="231"/>
        <v>0</v>
      </c>
      <c r="CD91" s="2790">
        <f t="shared" ca="1" si="231"/>
        <v>0</v>
      </c>
      <c r="CE91" s="2790">
        <f t="shared" ca="1" si="231"/>
        <v>0</v>
      </c>
      <c r="CF91" s="2790">
        <f t="shared" ca="1" si="231"/>
        <v>0</v>
      </c>
      <c r="CG91" s="2790">
        <f t="shared" ca="1" si="231"/>
        <v>0</v>
      </c>
      <c r="CH91" s="2790">
        <f t="shared" ca="1" si="231"/>
        <v>0</v>
      </c>
      <c r="CI91" s="2790">
        <f t="shared" ref="CI91:CR92" ca="1" si="232">IFERROR(SUMIFS(INDIRECT($C91&amp;".Emissions["&amp;this.Year&amp;"]"), INDIRECT($C91&amp;".Emissions[GHG]"), CI$6, INDIRECT($C91&amp;".Emissions[IPCC Sector]"), CI$5),0)</f>
        <v>0</v>
      </c>
      <c r="CJ91" s="2790">
        <f t="shared" ca="1" si="232"/>
        <v>0</v>
      </c>
      <c r="CK91" s="2790">
        <f t="shared" ca="1" si="232"/>
        <v>0</v>
      </c>
      <c r="CL91" s="2790">
        <f t="shared" ca="1" si="232"/>
        <v>0</v>
      </c>
      <c r="CM91" s="2790">
        <f t="shared" ca="1" si="232"/>
        <v>0</v>
      </c>
      <c r="CN91" s="2790">
        <f t="shared" ca="1" si="232"/>
        <v>0</v>
      </c>
      <c r="CO91" s="2790">
        <f t="shared" ca="1" si="232"/>
        <v>0</v>
      </c>
      <c r="CP91" s="2790">
        <f t="shared" ca="1" si="232"/>
        <v>0</v>
      </c>
      <c r="CQ91" s="2790">
        <f t="shared" ca="1" si="232"/>
        <v>0</v>
      </c>
      <c r="CR91" s="2790">
        <f t="shared" ca="1" si="232"/>
        <v>0</v>
      </c>
      <c r="CS91" s="2790">
        <f t="shared" ref="CS91:DF92" ca="1" si="233">IFERROR(SUMIFS(INDIRECT($C91&amp;".Emissions["&amp;this.Year&amp;"]"), INDIRECT($C91&amp;".Emissions[GHG]"), CS$6, INDIRECT($C91&amp;".Emissions[IPCC Sector]"), CS$5),0)</f>
        <v>0</v>
      </c>
      <c r="CT91" s="2790">
        <f t="shared" ca="1" si="233"/>
        <v>0</v>
      </c>
      <c r="CU91" s="2790">
        <f t="shared" ca="1" si="233"/>
        <v>0</v>
      </c>
      <c r="CV91" s="2790">
        <f t="shared" ca="1" si="233"/>
        <v>0</v>
      </c>
      <c r="CW91" s="2790">
        <f t="shared" ca="1" si="233"/>
        <v>0</v>
      </c>
      <c r="CX91" s="2790">
        <f t="shared" ca="1" si="233"/>
        <v>0</v>
      </c>
      <c r="CY91" s="2790">
        <f t="shared" ca="1" si="233"/>
        <v>0</v>
      </c>
      <c r="CZ91" s="2790">
        <f t="shared" ca="1" si="233"/>
        <v>0</v>
      </c>
      <c r="DA91" s="2790">
        <f t="shared" ca="1" si="233"/>
        <v>0</v>
      </c>
      <c r="DB91" s="2790">
        <f t="shared" ca="1" si="233"/>
        <v>0</v>
      </c>
      <c r="DC91" s="2790">
        <f t="shared" ca="1" si="233"/>
        <v>0</v>
      </c>
      <c r="DD91" s="2790">
        <f t="shared" ca="1" si="233"/>
        <v>0</v>
      </c>
      <c r="DE91" s="2790">
        <f t="shared" ca="1" si="233"/>
        <v>0</v>
      </c>
      <c r="DF91" s="2790">
        <f t="shared" ca="1" si="233"/>
        <v>0</v>
      </c>
      <c r="DH91" s="596"/>
    </row>
    <row r="92" spans="1:112" s="607" customFormat="1" outlineLevel="1">
      <c r="C92" s="651" t="s">
        <v>569</v>
      </c>
      <c r="D92" s="611" t="s">
        <v>570</v>
      </c>
      <c r="E92" s="611"/>
      <c r="F92" s="6"/>
      <c r="G92" s="619">
        <f t="shared" ca="1" si="225"/>
        <v>0</v>
      </c>
      <c r="H92" s="619">
        <f t="shared" ca="1" si="225"/>
        <v>0</v>
      </c>
      <c r="I92" s="619">
        <f t="shared" ca="1" si="225"/>
        <v>0</v>
      </c>
      <c r="J92" s="619">
        <f t="shared" ca="1" si="225"/>
        <v>0</v>
      </c>
      <c r="K92" s="619">
        <f t="shared" ca="1" si="225"/>
        <v>0</v>
      </c>
      <c r="L92" s="619">
        <f t="shared" ca="1" si="225"/>
        <v>0</v>
      </c>
      <c r="M92" s="619">
        <f t="shared" ca="1" si="225"/>
        <v>0</v>
      </c>
      <c r="N92" s="619">
        <f t="shared" ca="1" si="225"/>
        <v>0</v>
      </c>
      <c r="O92" s="619">
        <f t="shared" ca="1" si="225"/>
        <v>0</v>
      </c>
      <c r="P92" s="619">
        <f t="shared" ca="1" si="225"/>
        <v>0</v>
      </c>
      <c r="Q92" s="612">
        <f ca="1">SUM(G92:P92)</f>
        <v>0</v>
      </c>
      <c r="R92" s="6"/>
      <c r="S92" s="620">
        <f t="shared" ca="1" si="226"/>
        <v>0</v>
      </c>
      <c r="T92" s="620">
        <f t="shared" ca="1" si="226"/>
        <v>0</v>
      </c>
      <c r="U92" s="620">
        <f t="shared" ca="1" si="226"/>
        <v>0</v>
      </c>
      <c r="V92" s="620">
        <f t="shared" ca="1" si="226"/>
        <v>0</v>
      </c>
      <c r="W92" s="620">
        <f t="shared" ca="1" si="226"/>
        <v>0</v>
      </c>
      <c r="X92" s="620">
        <f t="shared" ca="1" si="227"/>
        <v>0</v>
      </c>
      <c r="Y92" s="620">
        <f t="shared" ca="1" si="227"/>
        <v>0</v>
      </c>
      <c r="Z92" s="620">
        <f t="shared" ca="1" si="227"/>
        <v>0</v>
      </c>
      <c r="AA92" s="620">
        <f t="shared" ca="1" si="226"/>
        <v>0</v>
      </c>
      <c r="AB92" s="620">
        <f t="shared" ca="1" si="226"/>
        <v>0</v>
      </c>
      <c r="AC92" s="620">
        <f t="shared" ca="1" si="226"/>
        <v>0</v>
      </c>
      <c r="AD92" s="620">
        <f t="shared" ca="1" si="226"/>
        <v>0</v>
      </c>
      <c r="AE92" s="620">
        <f t="shared" ca="1" si="226"/>
        <v>0</v>
      </c>
      <c r="AF92" s="620">
        <f t="shared" ca="1" si="226"/>
        <v>0</v>
      </c>
      <c r="AG92" s="620">
        <f t="shared" ca="1" si="226"/>
        <v>0</v>
      </c>
      <c r="AH92" s="620">
        <f t="shared" ca="1" si="226"/>
        <v>0</v>
      </c>
      <c r="AI92" s="620">
        <f t="shared" ca="1" si="226"/>
        <v>0</v>
      </c>
      <c r="AJ92" s="620">
        <f t="shared" ca="1" si="226"/>
        <v>0</v>
      </c>
      <c r="AK92" s="613">
        <f ca="1">SUM(S92:AJ92)</f>
        <v>0</v>
      </c>
      <c r="AL92" s="6"/>
      <c r="AM92" s="621">
        <f t="shared" ca="1" si="228"/>
        <v>0</v>
      </c>
      <c r="AN92" s="621">
        <f t="shared" ca="1" si="228"/>
        <v>0</v>
      </c>
      <c r="AO92" s="621">
        <f t="shared" ca="1" si="228"/>
        <v>0</v>
      </c>
      <c r="AP92" s="621">
        <f t="shared" ca="1" si="228"/>
        <v>0</v>
      </c>
      <c r="AQ92" s="621">
        <f t="shared" ca="1" si="228"/>
        <v>0</v>
      </c>
      <c r="AR92" s="621">
        <f t="shared" ca="1" si="228"/>
        <v>0</v>
      </c>
      <c r="AS92" s="621">
        <f t="shared" ca="1" si="228"/>
        <v>0</v>
      </c>
      <c r="AT92" s="621">
        <f t="shared" ca="1" si="228"/>
        <v>0</v>
      </c>
      <c r="AU92" s="621">
        <f t="shared" ca="1" si="228"/>
        <v>0</v>
      </c>
      <c r="AV92" s="621">
        <f t="shared" ca="1" si="229"/>
        <v>0</v>
      </c>
      <c r="AW92" s="621">
        <f t="shared" ca="1" si="229"/>
        <v>0</v>
      </c>
      <c r="AX92" s="621">
        <f t="shared" ca="1" si="229"/>
        <v>0</v>
      </c>
      <c r="AY92" s="621">
        <f t="shared" ca="1" si="229"/>
        <v>0</v>
      </c>
      <c r="AZ92" s="621">
        <f t="shared" ca="1" si="229"/>
        <v>0</v>
      </c>
      <c r="BA92" s="621">
        <f t="shared" ca="1" si="229"/>
        <v>0</v>
      </c>
      <c r="BB92" s="621">
        <f t="shared" ca="1" si="229"/>
        <v>0</v>
      </c>
      <c r="BC92" s="621">
        <f t="shared" ca="1" si="229"/>
        <v>0</v>
      </c>
      <c r="BD92" s="621">
        <f t="shared" ca="1" si="229"/>
        <v>0</v>
      </c>
      <c r="BE92" s="621">
        <f t="shared" ca="1" si="229"/>
        <v>0</v>
      </c>
      <c r="BF92" s="615">
        <f ca="1">SUM(AM92:BE92)</f>
        <v>0</v>
      </c>
      <c r="BG92" s="6"/>
      <c r="BH92" s="3473">
        <f ca="1">IFERROR(INDEX(INDIRECT($C92&amp;".Outputs["&amp;this.Year&amp;"]"), MATCH(BH$5, INDIRECT($C92&amp;".Outputs[Vector]"), 0)), 0)</f>
        <v>0</v>
      </c>
      <c r="BI92" s="3473">
        <f ca="1">IFERROR(INDEX(INDIRECT($C92&amp;".Outputs["&amp;this.Year&amp;"]"), MATCH(BI$5, INDIRECT($C92&amp;".Outputs[Vector]"), 0)), 0)</f>
        <v>0</v>
      </c>
      <c r="BJ92" s="3462">
        <f ca="1">SUM(BH92:BI92)</f>
        <v>0</v>
      </c>
      <c r="BK92" s="6"/>
      <c r="BL92" s="654">
        <f t="shared" ca="1" si="223"/>
        <v>0</v>
      </c>
      <c r="BM92" s="610"/>
      <c r="BO92" s="2791">
        <f t="shared" ca="1" si="230"/>
        <v>0</v>
      </c>
      <c r="BP92" s="2792">
        <f t="shared" ca="1" si="230"/>
        <v>0</v>
      </c>
      <c r="BQ92" s="2792">
        <f t="shared" ca="1" si="230"/>
        <v>0</v>
      </c>
      <c r="BR92" s="2792">
        <f t="shared" ca="1" si="230"/>
        <v>0</v>
      </c>
      <c r="BS92" s="2792">
        <f t="shared" ca="1" si="230"/>
        <v>0</v>
      </c>
      <c r="BT92" s="2792">
        <f t="shared" ca="1" si="230"/>
        <v>0</v>
      </c>
      <c r="BU92" s="2792">
        <f t="shared" ca="1" si="230"/>
        <v>0</v>
      </c>
      <c r="BV92" s="2792">
        <f t="shared" ca="1" si="230"/>
        <v>0</v>
      </c>
      <c r="BW92" s="2792">
        <f t="shared" ca="1" si="230"/>
        <v>0</v>
      </c>
      <c r="BX92" s="2792">
        <f t="shared" ca="1" si="230"/>
        <v>0</v>
      </c>
      <c r="BY92" s="2792">
        <f t="shared" ca="1" si="231"/>
        <v>0</v>
      </c>
      <c r="BZ92" s="2792">
        <f t="shared" ca="1" si="231"/>
        <v>0</v>
      </c>
      <c r="CA92" s="2792">
        <f t="shared" ca="1" si="231"/>
        <v>0</v>
      </c>
      <c r="CB92" s="2792">
        <f t="shared" ca="1" si="231"/>
        <v>0</v>
      </c>
      <c r="CC92" s="2792">
        <f t="shared" ca="1" si="231"/>
        <v>0</v>
      </c>
      <c r="CD92" s="2792">
        <f t="shared" ca="1" si="231"/>
        <v>0</v>
      </c>
      <c r="CE92" s="2792">
        <f t="shared" ca="1" si="231"/>
        <v>0</v>
      </c>
      <c r="CF92" s="2792">
        <f t="shared" ca="1" si="231"/>
        <v>0</v>
      </c>
      <c r="CG92" s="2792">
        <f t="shared" ca="1" si="231"/>
        <v>0</v>
      </c>
      <c r="CH92" s="2792">
        <f t="shared" ca="1" si="231"/>
        <v>0</v>
      </c>
      <c r="CI92" s="2792">
        <f t="shared" ca="1" si="232"/>
        <v>0</v>
      </c>
      <c r="CJ92" s="2792">
        <f t="shared" ca="1" si="232"/>
        <v>0</v>
      </c>
      <c r="CK92" s="2792">
        <f t="shared" ca="1" si="232"/>
        <v>0</v>
      </c>
      <c r="CL92" s="2792">
        <f t="shared" ca="1" si="232"/>
        <v>0</v>
      </c>
      <c r="CM92" s="2792">
        <f t="shared" ca="1" si="232"/>
        <v>0</v>
      </c>
      <c r="CN92" s="2792">
        <f t="shared" ca="1" si="232"/>
        <v>0</v>
      </c>
      <c r="CO92" s="2792">
        <f t="shared" ca="1" si="232"/>
        <v>0</v>
      </c>
      <c r="CP92" s="2792">
        <f t="shared" ca="1" si="232"/>
        <v>0</v>
      </c>
      <c r="CQ92" s="2792">
        <f t="shared" ca="1" si="232"/>
        <v>0</v>
      </c>
      <c r="CR92" s="2792">
        <f t="shared" ca="1" si="232"/>
        <v>0</v>
      </c>
      <c r="CS92" s="2792">
        <f t="shared" ca="1" si="233"/>
        <v>0</v>
      </c>
      <c r="CT92" s="2792">
        <f t="shared" ca="1" si="233"/>
        <v>0</v>
      </c>
      <c r="CU92" s="2792">
        <f t="shared" ca="1" si="233"/>
        <v>0</v>
      </c>
      <c r="CV92" s="2792">
        <f t="shared" ca="1" si="233"/>
        <v>0</v>
      </c>
      <c r="CW92" s="2792">
        <f t="shared" ca="1" si="233"/>
        <v>0</v>
      </c>
      <c r="CX92" s="2792">
        <f t="shared" ca="1" si="233"/>
        <v>0</v>
      </c>
      <c r="CY92" s="2792">
        <f t="shared" ca="1" si="233"/>
        <v>0</v>
      </c>
      <c r="CZ92" s="2792">
        <f t="shared" ca="1" si="233"/>
        <v>0</v>
      </c>
      <c r="DA92" s="2792">
        <f t="shared" ca="1" si="233"/>
        <v>0</v>
      </c>
      <c r="DB92" s="2792">
        <f t="shared" ca="1" si="233"/>
        <v>0</v>
      </c>
      <c r="DC92" s="2792">
        <f t="shared" ca="1" si="233"/>
        <v>0</v>
      </c>
      <c r="DD92" s="2792">
        <f t="shared" ca="1" si="233"/>
        <v>0</v>
      </c>
      <c r="DE92" s="2792">
        <f t="shared" ca="1" si="233"/>
        <v>0</v>
      </c>
      <c r="DF92" s="2792">
        <f t="shared" ca="1" si="233"/>
        <v>0</v>
      </c>
      <c r="DH92" s="596"/>
    </row>
    <row r="93" spans="1:112" s="4" customFormat="1" ht="12.75" customHeight="1">
      <c r="B93" s="3"/>
      <c r="C93" s="616" t="s">
        <v>571</v>
      </c>
      <c r="D93" s="617" t="s">
        <v>572</v>
      </c>
      <c r="E93" s="206"/>
      <c r="F93" s="6"/>
      <c r="G93" s="579">
        <f t="shared" ref="G93:P93" ca="1" si="234">G$89+G$91+G$92</f>
        <v>0</v>
      </c>
      <c r="H93" s="579">
        <f t="shared" ca="1" si="234"/>
        <v>0</v>
      </c>
      <c r="I93" s="579">
        <f t="shared" ca="1" si="234"/>
        <v>0</v>
      </c>
      <c r="J93" s="579">
        <f t="shared" ca="1" si="234"/>
        <v>0</v>
      </c>
      <c r="K93" s="638">
        <f t="shared" ca="1" si="234"/>
        <v>0</v>
      </c>
      <c r="L93" s="579">
        <f t="shared" ca="1" si="234"/>
        <v>0</v>
      </c>
      <c r="M93" s="579">
        <f t="shared" ca="1" si="234"/>
        <v>0</v>
      </c>
      <c r="N93" s="579">
        <f t="shared" ca="1" si="234"/>
        <v>0</v>
      </c>
      <c r="O93" s="579">
        <f t="shared" ca="1" si="234"/>
        <v>0</v>
      </c>
      <c r="P93" s="579">
        <f t="shared" ca="1" si="234"/>
        <v>0</v>
      </c>
      <c r="Q93" s="618">
        <f ca="1">SUM(G93:P93)</f>
        <v>0</v>
      </c>
      <c r="R93" s="6"/>
      <c r="S93" s="581">
        <f t="shared" ref="S93:AJ93" ca="1" si="235">S$89+S$91+S$92</f>
        <v>0</v>
      </c>
      <c r="T93" s="581">
        <f t="shared" ca="1" si="235"/>
        <v>3.1126834042046028</v>
      </c>
      <c r="U93" s="581">
        <f t="shared" ca="1" si="235"/>
        <v>0</v>
      </c>
      <c r="V93" s="581">
        <f t="shared" ca="1" si="235"/>
        <v>0</v>
      </c>
      <c r="W93" s="581">
        <f t="shared" ca="1" si="235"/>
        <v>0</v>
      </c>
      <c r="X93" s="581">
        <f ca="1">X$89+X$91+X$92</f>
        <v>0</v>
      </c>
      <c r="Y93" s="581">
        <f ca="1">Y$89+Y$91+Y$92</f>
        <v>0</v>
      </c>
      <c r="Z93" s="581">
        <f ca="1">Z$89+Z$91+Z$92</f>
        <v>0</v>
      </c>
      <c r="AA93" s="581">
        <f t="shared" ca="1" si="235"/>
        <v>0</v>
      </c>
      <c r="AB93" s="581">
        <f t="shared" ca="1" si="235"/>
        <v>0</v>
      </c>
      <c r="AC93" s="581">
        <f t="shared" ca="1" si="235"/>
        <v>0</v>
      </c>
      <c r="AD93" s="581">
        <f t="shared" ca="1" si="235"/>
        <v>0</v>
      </c>
      <c r="AE93" s="581">
        <f t="shared" ca="1" si="235"/>
        <v>0</v>
      </c>
      <c r="AF93" s="581">
        <f t="shared" ca="1" si="235"/>
        <v>0</v>
      </c>
      <c r="AG93" s="581">
        <f t="shared" ca="1" si="235"/>
        <v>0</v>
      </c>
      <c r="AH93" s="581">
        <f t="shared" ca="1" si="235"/>
        <v>0</v>
      </c>
      <c r="AI93" s="581">
        <f t="shared" ca="1" si="235"/>
        <v>0</v>
      </c>
      <c r="AJ93" s="581">
        <f t="shared" ca="1" si="235"/>
        <v>0</v>
      </c>
      <c r="AK93" s="581">
        <f ca="1">SUM(S93:AJ93)</f>
        <v>3.1126834042046028</v>
      </c>
      <c r="AL93" s="6"/>
      <c r="AM93" s="582">
        <f t="shared" ref="AM93:BE93" ca="1" si="236">AM$89+AM$91+AM$92</f>
        <v>0</v>
      </c>
      <c r="AN93" s="582">
        <f t="shared" ca="1" si="236"/>
        <v>0</v>
      </c>
      <c r="AO93" s="582">
        <f t="shared" ca="1" si="236"/>
        <v>0</v>
      </c>
      <c r="AP93" s="582">
        <f t="shared" ca="1" si="236"/>
        <v>0</v>
      </c>
      <c r="AQ93" s="582">
        <f t="shared" ca="1" si="236"/>
        <v>-7</v>
      </c>
      <c r="AR93" s="582">
        <f t="shared" ca="1" si="236"/>
        <v>0</v>
      </c>
      <c r="AS93" s="582">
        <f t="shared" ca="1" si="236"/>
        <v>0</v>
      </c>
      <c r="AT93" s="582">
        <f t="shared" ca="1" si="236"/>
        <v>0</v>
      </c>
      <c r="AU93" s="582">
        <f t="shared" ca="1" si="236"/>
        <v>0</v>
      </c>
      <c r="AV93" s="582">
        <f t="shared" ca="1" si="236"/>
        <v>0</v>
      </c>
      <c r="AW93" s="582">
        <f t="shared" ca="1" si="236"/>
        <v>0</v>
      </c>
      <c r="AX93" s="582">
        <f t="shared" ca="1" si="236"/>
        <v>0</v>
      </c>
      <c r="AY93" s="582">
        <f t="shared" ca="1" si="236"/>
        <v>0</v>
      </c>
      <c r="AZ93" s="582">
        <f t="shared" ca="1" si="236"/>
        <v>0</v>
      </c>
      <c r="BA93" s="582">
        <f t="shared" ca="1" si="236"/>
        <v>0</v>
      </c>
      <c r="BB93" s="582">
        <f t="shared" ca="1" si="236"/>
        <v>0</v>
      </c>
      <c r="BC93" s="582">
        <f t="shared" ca="1" si="236"/>
        <v>0</v>
      </c>
      <c r="BD93" s="582">
        <f t="shared" ca="1" si="236"/>
        <v>0</v>
      </c>
      <c r="BE93" s="582">
        <f t="shared" ca="1" si="236"/>
        <v>0</v>
      </c>
      <c r="BF93" s="582">
        <f ca="1">SUM(AM93:BE93)</f>
        <v>-7</v>
      </c>
      <c r="BG93" s="6"/>
      <c r="BH93" s="3463">
        <f ca="1">BH$89+BH$91+BH$92</f>
        <v>0</v>
      </c>
      <c r="BI93" s="3463">
        <f ca="1">BI$89+BI$91+BI$92</f>
        <v>3.8873165957953977</v>
      </c>
      <c r="BJ93" s="3463">
        <f ca="1">SUM(BH93:BI93)</f>
        <v>3.8873165957953977</v>
      </c>
      <c r="BK93" s="6"/>
      <c r="BL93" s="3477">
        <f t="shared" ca="1" si="223"/>
        <v>0</v>
      </c>
      <c r="BM93" s="584"/>
      <c r="BN93" s="413"/>
      <c r="BO93" s="2790">
        <f t="shared" ref="BO93:DF93" ca="1" si="237">BO$89+BO$91+BO$92</f>
        <v>0</v>
      </c>
      <c r="BP93" s="2790">
        <f t="shared" ca="1" si="237"/>
        <v>0</v>
      </c>
      <c r="BQ93" s="2790">
        <f t="shared" ca="1" si="237"/>
        <v>0</v>
      </c>
      <c r="BR93" s="2790">
        <f t="shared" ca="1" si="237"/>
        <v>0</v>
      </c>
      <c r="BS93" s="2790">
        <f t="shared" ca="1" si="237"/>
        <v>0</v>
      </c>
      <c r="BT93" s="2790">
        <f t="shared" ca="1" si="237"/>
        <v>0</v>
      </c>
      <c r="BU93" s="2790">
        <f t="shared" ca="1" si="237"/>
        <v>0</v>
      </c>
      <c r="BV93" s="2790">
        <f t="shared" ca="1" si="237"/>
        <v>0</v>
      </c>
      <c r="BW93" s="2790">
        <f t="shared" ca="1" si="237"/>
        <v>0</v>
      </c>
      <c r="BX93" s="2790">
        <f t="shared" ca="1" si="237"/>
        <v>0</v>
      </c>
      <c r="BY93" s="2790">
        <f t="shared" ca="1" si="237"/>
        <v>0</v>
      </c>
      <c r="BZ93" s="2790">
        <f t="shared" ca="1" si="237"/>
        <v>0</v>
      </c>
      <c r="CA93" s="2790">
        <f t="shared" ca="1" si="237"/>
        <v>0</v>
      </c>
      <c r="CB93" s="2790">
        <f t="shared" ca="1" si="237"/>
        <v>0</v>
      </c>
      <c r="CC93" s="2790">
        <f t="shared" ca="1" si="237"/>
        <v>0</v>
      </c>
      <c r="CD93" s="2790">
        <f t="shared" ca="1" si="237"/>
        <v>0</v>
      </c>
      <c r="CE93" s="2790">
        <f t="shared" ca="1" si="237"/>
        <v>0</v>
      </c>
      <c r="CF93" s="2790">
        <f t="shared" ca="1" si="237"/>
        <v>0</v>
      </c>
      <c r="CG93" s="2790">
        <f t="shared" ca="1" si="237"/>
        <v>0</v>
      </c>
      <c r="CH93" s="2790">
        <f t="shared" ca="1" si="237"/>
        <v>0</v>
      </c>
      <c r="CI93" s="2790">
        <f t="shared" ca="1" si="237"/>
        <v>0</v>
      </c>
      <c r="CJ93" s="2790">
        <f t="shared" ca="1" si="237"/>
        <v>0</v>
      </c>
      <c r="CK93" s="2790">
        <f t="shared" ca="1" si="237"/>
        <v>0</v>
      </c>
      <c r="CL93" s="2790">
        <f t="shared" ca="1" si="237"/>
        <v>0</v>
      </c>
      <c r="CM93" s="2790">
        <f t="shared" ca="1" si="237"/>
        <v>0</v>
      </c>
      <c r="CN93" s="2790">
        <f t="shared" ca="1" si="237"/>
        <v>0</v>
      </c>
      <c r="CO93" s="2790">
        <f t="shared" ca="1" si="237"/>
        <v>0</v>
      </c>
      <c r="CP93" s="2790">
        <f t="shared" ca="1" si="237"/>
        <v>0</v>
      </c>
      <c r="CQ93" s="2790">
        <f t="shared" ca="1" si="237"/>
        <v>0</v>
      </c>
      <c r="CR93" s="2790">
        <f t="shared" ca="1" si="237"/>
        <v>0</v>
      </c>
      <c r="CS93" s="2790">
        <f t="shared" ca="1" si="237"/>
        <v>0</v>
      </c>
      <c r="CT93" s="2790">
        <f t="shared" ca="1" si="237"/>
        <v>0</v>
      </c>
      <c r="CU93" s="2790">
        <f t="shared" ca="1" si="237"/>
        <v>0</v>
      </c>
      <c r="CV93" s="2790">
        <f t="shared" ca="1" si="237"/>
        <v>0</v>
      </c>
      <c r="CW93" s="2790">
        <f t="shared" ca="1" si="237"/>
        <v>0</v>
      </c>
      <c r="CX93" s="2790">
        <f t="shared" ca="1" si="237"/>
        <v>0</v>
      </c>
      <c r="CY93" s="2790">
        <f t="shared" ca="1" si="237"/>
        <v>0</v>
      </c>
      <c r="CZ93" s="2790">
        <f t="shared" ca="1" si="237"/>
        <v>0</v>
      </c>
      <c r="DA93" s="2790">
        <f t="shared" ca="1" si="237"/>
        <v>0</v>
      </c>
      <c r="DB93" s="2790">
        <f t="shared" ca="1" si="237"/>
        <v>0</v>
      </c>
      <c r="DC93" s="2790">
        <f t="shared" ca="1" si="237"/>
        <v>0</v>
      </c>
      <c r="DD93" s="2790">
        <f t="shared" ca="1" si="237"/>
        <v>0</v>
      </c>
      <c r="DE93" s="2790">
        <f t="shared" ca="1" si="237"/>
        <v>0</v>
      </c>
      <c r="DF93" s="2790">
        <f t="shared" ca="1" si="237"/>
        <v>0</v>
      </c>
      <c r="DH93" s="596">
        <f t="shared" ref="DH93:DH104" ca="1" si="238">SUM(BO93:DF93)</f>
        <v>0</v>
      </c>
    </row>
    <row r="94" spans="1:112" s="6" customFormat="1" ht="12.75" customHeight="1" outlineLevel="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23"/>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38"/>
        <v>0</v>
      </c>
    </row>
    <row r="95" spans="1:112" s="639" customFormat="1" ht="12.75" customHeight="1" outlineLevel="1">
      <c r="C95" s="640" t="s">
        <v>573</v>
      </c>
      <c r="D95" s="641" t="s">
        <v>574</v>
      </c>
      <c r="E95" s="641"/>
      <c r="G95" s="643"/>
      <c r="H95" s="643"/>
      <c r="I95" s="643"/>
      <c r="J95" s="643"/>
      <c r="K95" s="644"/>
      <c r="L95" s="643"/>
      <c r="M95" s="643"/>
      <c r="N95" s="643"/>
      <c r="O95" s="643"/>
      <c r="P95" s="643"/>
      <c r="Q95" s="643"/>
      <c r="S95" s="645"/>
      <c r="T95" s="645"/>
      <c r="U95" s="645">
        <f ca="1">(U$40+U$84+U$93)</f>
        <v>-26.552829881435457</v>
      </c>
      <c r="V95" s="645">
        <f ca="1">(V$40+V$84+V$93)</f>
        <v>-59.499711865312101</v>
      </c>
      <c r="W95" s="645">
        <f ca="1">(W$40+W$84+W$93)</f>
        <v>-64.374281374415659</v>
      </c>
      <c r="X95" s="645"/>
      <c r="Y95" s="645"/>
      <c r="Z95" s="645"/>
      <c r="AA95" s="645"/>
      <c r="AB95" s="645"/>
      <c r="AC95" s="645">
        <f t="shared" ref="AC95:AH95" ca="1" si="239">(AC$40+AC$84+AC$93)</f>
        <v>0</v>
      </c>
      <c r="AD95" s="645">
        <f t="shared" ca="1" si="239"/>
        <v>54.135182368629792</v>
      </c>
      <c r="AE95" s="645">
        <f t="shared" ca="1" si="239"/>
        <v>0.74346827555139616</v>
      </c>
      <c r="AF95" s="645">
        <f t="shared" ca="1" si="239"/>
        <v>21.598415710930002</v>
      </c>
      <c r="AG95" s="645">
        <f t="shared" ca="1" si="239"/>
        <v>17.935298834659971</v>
      </c>
      <c r="AH95" s="645">
        <f t="shared" ca="1" si="239"/>
        <v>0.15626201242516538</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-32.134064682425347</v>
      </c>
      <c r="BF95" s="646">
        <f ca="1">SUM(AM95:BE95)</f>
        <v>-32.134064682425347</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38"/>
        <v>0</v>
      </c>
    </row>
    <row r="96" spans="1:112" s="642" customFormat="1" ht="12.75" customHeight="1" outlineLevel="1">
      <c r="A96" s="693"/>
      <c r="B96" s="693"/>
      <c r="C96" s="694" t="s">
        <v>575</v>
      </c>
      <c r="D96" s="695" t="s">
        <v>576</v>
      </c>
      <c r="E96" s="695"/>
      <c r="G96" s="696">
        <f t="shared" ref="G96:P96" ca="1" si="240">IFERROR(INDEX(INDIRECT($C96&amp;".Outputs["&amp;this.Year&amp;"]"), MATCH(G$5, INDIRECT($C96&amp;".Outputs[Vector]"), 0)), 0)</f>
        <v>0</v>
      </c>
      <c r="H96" s="696">
        <f t="shared" ca="1" si="240"/>
        <v>0</v>
      </c>
      <c r="I96" s="696">
        <f t="shared" ca="1" si="240"/>
        <v>0</v>
      </c>
      <c r="J96" s="696">
        <f t="shared" ca="1" si="240"/>
        <v>0</v>
      </c>
      <c r="K96" s="696">
        <f t="shared" ca="1" si="240"/>
        <v>0</v>
      </c>
      <c r="L96" s="696">
        <f t="shared" ca="1" si="240"/>
        <v>0</v>
      </c>
      <c r="M96" s="696">
        <f t="shared" ca="1" si="240"/>
        <v>0</v>
      </c>
      <c r="N96" s="696">
        <f t="shared" ca="1" si="240"/>
        <v>0</v>
      </c>
      <c r="O96" s="696">
        <f t="shared" ca="1" si="240"/>
        <v>0</v>
      </c>
      <c r="P96" s="696">
        <f t="shared" ca="1" si="240"/>
        <v>0</v>
      </c>
      <c r="Q96" s="697">
        <f ca="1">SUM(G96:P96)</f>
        <v>0</v>
      </c>
      <c r="S96" s="698">
        <f t="shared" ref="S96:AJ96" ca="1" si="241">IFERROR(INDEX(INDIRECT($C96&amp;".Outputs["&amp;this.Year&amp;"]"), MATCH(S$5, INDIRECT($C96&amp;".Outputs[Vector]"), 0)), 0)</f>
        <v>0</v>
      </c>
      <c r="T96" s="698">
        <f t="shared" ca="1" si="241"/>
        <v>0</v>
      </c>
      <c r="U96" s="698">
        <f t="shared" ca="1" si="241"/>
        <v>71.9469181755818</v>
      </c>
      <c r="V96" s="698">
        <f t="shared" ca="1" si="241"/>
        <v>0.23493597507424119</v>
      </c>
      <c r="W96" s="698">
        <f t="shared" ca="1" si="241"/>
        <v>15.401266021886139</v>
      </c>
      <c r="X96" s="698">
        <f t="shared" ca="1" si="241"/>
        <v>0</v>
      </c>
      <c r="Y96" s="698">
        <f t="shared" ca="1" si="241"/>
        <v>0</v>
      </c>
      <c r="Z96" s="698">
        <f t="shared" ca="1" si="241"/>
        <v>0</v>
      </c>
      <c r="AA96" s="698">
        <f t="shared" ca="1" si="241"/>
        <v>0</v>
      </c>
      <c r="AB96" s="698">
        <f t="shared" ca="1" si="241"/>
        <v>0</v>
      </c>
      <c r="AC96" s="698">
        <f t="shared" ca="1" si="241"/>
        <v>0</v>
      </c>
      <c r="AD96" s="698">
        <f t="shared" ca="1" si="241"/>
        <v>-54.135182368629792</v>
      </c>
      <c r="AE96" s="698">
        <f t="shared" ca="1" si="241"/>
        <v>-0.74346827555139616</v>
      </c>
      <c r="AF96" s="698">
        <f t="shared" ca="1" si="241"/>
        <v>-21.598415710930002</v>
      </c>
      <c r="AG96" s="698">
        <f t="shared" ca="1" si="241"/>
        <v>-17.935298834659971</v>
      </c>
      <c r="AH96" s="698">
        <f t="shared" ca="1" si="241"/>
        <v>-0.15626201242516538</v>
      </c>
      <c r="AI96" s="698">
        <f t="shared" ca="1" si="241"/>
        <v>0</v>
      </c>
      <c r="AJ96" s="698">
        <f t="shared" ca="1" si="241"/>
        <v>0</v>
      </c>
      <c r="AK96" s="699">
        <f ca="1">SUM(S96:AJ96)</f>
        <v>-6.9855070296541433</v>
      </c>
      <c r="AM96" s="700">
        <f t="shared" ref="AM96:BE96" ca="1" si="242">IFERROR(INDEX(INDIRECT($C96&amp;".Outputs["&amp;this.Year&amp;"]"), MATCH(AM$5, INDIRECT($C96&amp;".Outputs[Vector]"), 0)), 0)</f>
        <v>0</v>
      </c>
      <c r="AN96" s="700">
        <f t="shared" ca="1" si="242"/>
        <v>0</v>
      </c>
      <c r="AO96" s="700">
        <f t="shared" ca="1" si="242"/>
        <v>0</v>
      </c>
      <c r="AP96" s="700">
        <f t="shared" ca="1" si="242"/>
        <v>0</v>
      </c>
      <c r="AQ96" s="700">
        <f t="shared" ca="1" si="242"/>
        <v>0</v>
      </c>
      <c r="AR96" s="700">
        <f t="shared" ca="1" si="242"/>
        <v>0</v>
      </c>
      <c r="AS96" s="700">
        <f t="shared" ca="1" si="242"/>
        <v>0</v>
      </c>
      <c r="AT96" s="700">
        <f t="shared" ca="1" si="242"/>
        <v>0</v>
      </c>
      <c r="AU96" s="700">
        <f t="shared" ca="1" si="242"/>
        <v>0</v>
      </c>
      <c r="AV96" s="700">
        <f t="shared" ca="1" si="242"/>
        <v>0</v>
      </c>
      <c r="AW96" s="700">
        <f t="shared" ca="1" si="242"/>
        <v>0</v>
      </c>
      <c r="AX96" s="700">
        <f t="shared" ca="1" si="242"/>
        <v>0</v>
      </c>
      <c r="AY96" s="700">
        <f t="shared" ca="1" si="242"/>
        <v>0</v>
      </c>
      <c r="AZ96" s="700">
        <f t="shared" ca="1" si="242"/>
        <v>0</v>
      </c>
      <c r="BA96" s="700">
        <f t="shared" ca="1" si="242"/>
        <v>0</v>
      </c>
      <c r="BB96" s="700">
        <f t="shared" ca="1" si="242"/>
        <v>0</v>
      </c>
      <c r="BC96" s="700">
        <f t="shared" ca="1" si="242"/>
        <v>0</v>
      </c>
      <c r="BD96" s="700">
        <f t="shared" ca="1" si="242"/>
        <v>0</v>
      </c>
      <c r="BE96" s="700">
        <f t="shared" ca="1" si="242"/>
        <v>0</v>
      </c>
      <c r="BF96" s="701">
        <f ca="1">SUM(AM96:BE96)</f>
        <v>0</v>
      </c>
      <c r="BH96" s="3476">
        <f ca="1">IFERROR(INDEX(INDIRECT($C96&amp;".Outputs["&amp;this.Year&amp;"]"), MATCH(BH$5, INDIRECT($C96&amp;".Outputs[Vector]"), 0)), 0)</f>
        <v>6.9855070296541442</v>
      </c>
      <c r="BI96" s="3476">
        <f ca="1">IFERROR(INDEX(INDIRECT($C96&amp;".Outputs["&amp;this.Year&amp;"]"), MATCH(BI$5, INDIRECT($C96&amp;".Outputs[Vector]"), 0)), 0)</f>
        <v>0</v>
      </c>
      <c r="BJ96" s="3468">
        <f ca="1">SUM(BH96:BI96)</f>
        <v>6.9855070296541442</v>
      </c>
      <c r="BL96" s="702">
        <f ca="1">Q96+AK96+BF96+BJ96</f>
        <v>0</v>
      </c>
      <c r="BM96" s="702"/>
      <c r="BN96" s="703"/>
      <c r="BO96" s="2796">
        <f t="shared" ref="BO96:DF96" ca="1" si="243">IFERROR(SUMIFS(INDIRECT($C96&amp;".Emissions["&amp;this.Year&amp;"]"), INDIRECT($C96&amp;".Emissions[GHG]"), BO$6, INDIRECT($C96&amp;".Emissions[IPCC Sector]"), BO$5),0)</f>
        <v>0</v>
      </c>
      <c r="BP96" s="2797">
        <f t="shared" ca="1" si="243"/>
        <v>0</v>
      </c>
      <c r="BQ96" s="2797">
        <f t="shared" ca="1" si="243"/>
        <v>0</v>
      </c>
      <c r="BR96" s="2797">
        <f t="shared" ca="1" si="243"/>
        <v>0</v>
      </c>
      <c r="BS96" s="2797">
        <f t="shared" ca="1" si="243"/>
        <v>0</v>
      </c>
      <c r="BT96" s="2797">
        <f t="shared" ca="1" si="243"/>
        <v>0</v>
      </c>
      <c r="BU96" s="2797">
        <f t="shared" ca="1" si="243"/>
        <v>0</v>
      </c>
      <c r="BV96" s="2797">
        <f t="shared" ca="1" si="243"/>
        <v>0</v>
      </c>
      <c r="BW96" s="2797">
        <f t="shared" ca="1" si="243"/>
        <v>0</v>
      </c>
      <c r="BX96" s="2797">
        <f t="shared" ca="1" si="243"/>
        <v>0</v>
      </c>
      <c r="BY96" s="2797">
        <f t="shared" ca="1" si="243"/>
        <v>0</v>
      </c>
      <c r="BZ96" s="2797">
        <f t="shared" ca="1" si="243"/>
        <v>0</v>
      </c>
      <c r="CA96" s="2797">
        <f t="shared" ca="1" si="243"/>
        <v>0</v>
      </c>
      <c r="CB96" s="2797">
        <f t="shared" ca="1" si="243"/>
        <v>0</v>
      </c>
      <c r="CC96" s="2797">
        <f t="shared" ca="1" si="243"/>
        <v>0</v>
      </c>
      <c r="CD96" s="2797">
        <f t="shared" ca="1" si="243"/>
        <v>0</v>
      </c>
      <c r="CE96" s="2797">
        <f t="shared" ca="1" si="243"/>
        <v>0</v>
      </c>
      <c r="CF96" s="2797">
        <f t="shared" ca="1" si="243"/>
        <v>0</v>
      </c>
      <c r="CG96" s="2797">
        <f t="shared" ca="1" si="243"/>
        <v>0</v>
      </c>
      <c r="CH96" s="2797">
        <f t="shared" ca="1" si="243"/>
        <v>0</v>
      </c>
      <c r="CI96" s="2797">
        <f t="shared" ca="1" si="243"/>
        <v>0</v>
      </c>
      <c r="CJ96" s="2797">
        <f t="shared" ca="1" si="243"/>
        <v>0</v>
      </c>
      <c r="CK96" s="2797">
        <f t="shared" ca="1" si="243"/>
        <v>0</v>
      </c>
      <c r="CL96" s="2797">
        <f t="shared" ca="1" si="243"/>
        <v>0</v>
      </c>
      <c r="CM96" s="2797">
        <f t="shared" ca="1" si="243"/>
        <v>0</v>
      </c>
      <c r="CN96" s="2797">
        <f t="shared" ca="1" si="243"/>
        <v>0</v>
      </c>
      <c r="CO96" s="2797">
        <f t="shared" ca="1" si="243"/>
        <v>0</v>
      </c>
      <c r="CP96" s="2797">
        <f t="shared" ca="1" si="243"/>
        <v>0</v>
      </c>
      <c r="CQ96" s="2797">
        <f t="shared" ca="1" si="243"/>
        <v>0</v>
      </c>
      <c r="CR96" s="2797">
        <f t="shared" ca="1" si="243"/>
        <v>0</v>
      </c>
      <c r="CS96" s="2797">
        <f t="shared" ca="1" si="243"/>
        <v>0</v>
      </c>
      <c r="CT96" s="2797">
        <f t="shared" ca="1" si="243"/>
        <v>0</v>
      </c>
      <c r="CU96" s="2797">
        <f t="shared" ca="1" si="243"/>
        <v>0</v>
      </c>
      <c r="CV96" s="2797">
        <f t="shared" ca="1" si="243"/>
        <v>0</v>
      </c>
      <c r="CW96" s="2797">
        <f t="shared" ca="1" si="243"/>
        <v>0</v>
      </c>
      <c r="CX96" s="2797">
        <f t="shared" ca="1" si="243"/>
        <v>0</v>
      </c>
      <c r="CY96" s="2797">
        <f t="shared" ca="1" si="243"/>
        <v>-12.179790717984302</v>
      </c>
      <c r="CZ96" s="2797">
        <f t="shared" ca="1" si="243"/>
        <v>0</v>
      </c>
      <c r="DA96" s="2797">
        <f t="shared" ca="1" si="243"/>
        <v>0</v>
      </c>
      <c r="DB96" s="2797">
        <f t="shared" ca="1" si="243"/>
        <v>0</v>
      </c>
      <c r="DC96" s="2797">
        <f t="shared" ca="1" si="243"/>
        <v>0</v>
      </c>
      <c r="DD96" s="2797">
        <f t="shared" ca="1" si="243"/>
        <v>0</v>
      </c>
      <c r="DE96" s="2797">
        <f t="shared" ca="1" si="243"/>
        <v>0</v>
      </c>
      <c r="DF96" s="2797">
        <f t="shared" ca="1" si="243"/>
        <v>0</v>
      </c>
      <c r="DH96" s="649">
        <f t="shared" ca="1" si="238"/>
        <v>-12.179790717984302</v>
      </c>
    </row>
    <row r="97" spans="1:112" s="639" customFormat="1" ht="12.75" customHeight="1" outlineLevel="1">
      <c r="C97" s="640" t="s">
        <v>577</v>
      </c>
      <c r="D97" s="641" t="s">
        <v>574</v>
      </c>
      <c r="E97" s="641"/>
      <c r="G97" s="643"/>
      <c r="H97" s="643"/>
      <c r="I97" s="643"/>
      <c r="J97" s="643"/>
      <c r="K97" s="644"/>
      <c r="L97" s="643"/>
      <c r="M97" s="643"/>
      <c r="N97" s="643"/>
      <c r="O97" s="643"/>
      <c r="P97" s="643"/>
      <c r="Q97" s="643"/>
      <c r="S97" s="645"/>
      <c r="T97" s="645"/>
      <c r="U97" s="645">
        <f ca="1">U$95+U$96</f>
        <v>45.394088294146343</v>
      </c>
      <c r="V97" s="645">
        <f ca="1">V$95+V$96</f>
        <v>-59.264775890237857</v>
      </c>
      <c r="W97" s="645">
        <f ca="1">W$95+W$96</f>
        <v>-48.973015352529522</v>
      </c>
      <c r="X97" s="645"/>
      <c r="Y97" s="645"/>
      <c r="Z97" s="645"/>
      <c r="AA97" s="645"/>
      <c r="AB97" s="645"/>
      <c r="AC97" s="645">
        <f t="shared" ref="AC97:AH97" ca="1" si="244">AC$95+AC$96</f>
        <v>0</v>
      </c>
      <c r="AD97" s="645">
        <f t="shared" ca="1" si="244"/>
        <v>0</v>
      </c>
      <c r="AE97" s="645">
        <f t="shared" ca="1" si="244"/>
        <v>0</v>
      </c>
      <c r="AF97" s="645">
        <f t="shared" ca="1" si="244"/>
        <v>0</v>
      </c>
      <c r="AG97" s="645">
        <f t="shared" ca="1" si="244"/>
        <v>0</v>
      </c>
      <c r="AH97" s="645">
        <f t="shared" ca="1" si="24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-0.97299407289903583</v>
      </c>
      <c r="BF97" s="646">
        <f ca="1">SUM(AM97:BE97)</f>
        <v>-0.97299407289903583</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ht="12.75" customHeight="1" outlineLevel="1">
      <c r="A98" s="607"/>
      <c r="B98" s="607"/>
      <c r="C98" s="587" t="s">
        <v>578</v>
      </c>
      <c r="D98" s="611" t="s">
        <v>579</v>
      </c>
      <c r="E98" s="611"/>
      <c r="G98" s="619">
        <f t="shared" ref="G98:P98" ca="1" si="245">IFERROR(INDEX(INDIRECT($C98&amp;".Outputs["&amp;this.Year&amp;"]"), MATCH(G$5, INDIRECT($C98&amp;".Outputs[Vector]"), 0)), 0)</f>
        <v>0</v>
      </c>
      <c r="H98" s="619">
        <f t="shared" ca="1" si="245"/>
        <v>0</v>
      </c>
      <c r="I98" s="619">
        <f t="shared" ca="1" si="245"/>
        <v>0</v>
      </c>
      <c r="J98" s="619">
        <f t="shared" ca="1" si="245"/>
        <v>0</v>
      </c>
      <c r="K98" s="619">
        <f t="shared" ca="1" si="245"/>
        <v>0</v>
      </c>
      <c r="L98" s="619">
        <f t="shared" ca="1" si="245"/>
        <v>0</v>
      </c>
      <c r="M98" s="619">
        <f t="shared" ca="1" si="245"/>
        <v>0</v>
      </c>
      <c r="N98" s="619">
        <f t="shared" ca="1" si="245"/>
        <v>0</v>
      </c>
      <c r="O98" s="619">
        <f t="shared" ca="1" si="245"/>
        <v>0</v>
      </c>
      <c r="P98" s="619">
        <f t="shared" ca="1" si="245"/>
        <v>0</v>
      </c>
      <c r="Q98" s="612">
        <f ca="1">SUM(G98:P98)</f>
        <v>0</v>
      </c>
      <c r="S98" s="620">
        <f t="shared" ref="S98:AJ98" ca="1" si="246">IFERROR(INDEX(INDIRECT($C98&amp;".Outputs["&amp;this.Year&amp;"]"), MATCH(S$5, INDIRECT($C98&amp;".Outputs[Vector]"), 0)), 0)</f>
        <v>0</v>
      </c>
      <c r="T98" s="620">
        <f t="shared" ca="1" si="246"/>
        <v>0</v>
      </c>
      <c r="U98" s="620">
        <f t="shared" ca="1" si="246"/>
        <v>-45.394088294146343</v>
      </c>
      <c r="V98" s="620">
        <f t="shared" ca="1" si="246"/>
        <v>5.7985333333333298</v>
      </c>
      <c r="W98" s="620">
        <f t="shared" ca="1" si="246"/>
        <v>0</v>
      </c>
      <c r="X98" s="620">
        <f t="shared" ca="1" si="246"/>
        <v>0</v>
      </c>
      <c r="Y98" s="620">
        <f t="shared" ca="1" si="246"/>
        <v>0</v>
      </c>
      <c r="Z98" s="620">
        <f t="shared" ca="1" si="246"/>
        <v>0</v>
      </c>
      <c r="AA98" s="620">
        <f t="shared" ca="1" si="246"/>
        <v>0</v>
      </c>
      <c r="AB98" s="620">
        <f t="shared" ca="1" si="246"/>
        <v>0</v>
      </c>
      <c r="AC98" s="620">
        <f t="shared" ca="1" si="246"/>
        <v>0</v>
      </c>
      <c r="AD98" s="620">
        <f t="shared" ca="1" si="246"/>
        <v>0</v>
      </c>
      <c r="AE98" s="620">
        <f t="shared" ca="1" si="246"/>
        <v>0</v>
      </c>
      <c r="AF98" s="620">
        <f t="shared" ca="1" si="246"/>
        <v>0</v>
      </c>
      <c r="AG98" s="620">
        <f t="shared" ca="1" si="246"/>
        <v>0</v>
      </c>
      <c r="AH98" s="620">
        <f t="shared" ca="1" si="246"/>
        <v>0</v>
      </c>
      <c r="AI98" s="620">
        <f t="shared" ca="1" si="246"/>
        <v>0</v>
      </c>
      <c r="AJ98" s="620">
        <f t="shared" ca="1" si="246"/>
        <v>0</v>
      </c>
      <c r="AK98" s="613">
        <f ca="1">SUM(S98:AJ98)</f>
        <v>-39.595554960813011</v>
      </c>
      <c r="AM98" s="621">
        <f t="shared" ref="AM98:BE98" ca="1" si="247">IFERROR(INDEX(INDIRECT($C98&amp;".Outputs["&amp;this.Year&amp;"]"), MATCH(AM$5, INDIRECT($C98&amp;".Outputs[Vector]"), 0)), 0)</f>
        <v>0</v>
      </c>
      <c r="AN98" s="621">
        <f t="shared" ca="1" si="247"/>
        <v>0</v>
      </c>
      <c r="AO98" s="621">
        <f t="shared" ca="1" si="247"/>
        <v>0</v>
      </c>
      <c r="AP98" s="621">
        <f t="shared" ca="1" si="247"/>
        <v>39.595554960813011</v>
      </c>
      <c r="AQ98" s="621">
        <f t="shared" ca="1" si="247"/>
        <v>0</v>
      </c>
      <c r="AR98" s="621">
        <f t="shared" ca="1" si="247"/>
        <v>0</v>
      </c>
      <c r="AS98" s="621">
        <f t="shared" ca="1" si="247"/>
        <v>0</v>
      </c>
      <c r="AT98" s="621">
        <f t="shared" ca="1" si="247"/>
        <v>0</v>
      </c>
      <c r="AU98" s="621">
        <f t="shared" ca="1" si="247"/>
        <v>0</v>
      </c>
      <c r="AV98" s="621">
        <f t="shared" ca="1" si="247"/>
        <v>0</v>
      </c>
      <c r="AW98" s="621">
        <f t="shared" ca="1" si="247"/>
        <v>0</v>
      </c>
      <c r="AX98" s="621">
        <f t="shared" ca="1" si="247"/>
        <v>0</v>
      </c>
      <c r="AY98" s="621">
        <f t="shared" ca="1" si="247"/>
        <v>0</v>
      </c>
      <c r="AZ98" s="621">
        <f t="shared" ca="1" si="247"/>
        <v>0</v>
      </c>
      <c r="BA98" s="621">
        <f t="shared" ca="1" si="247"/>
        <v>0</v>
      </c>
      <c r="BB98" s="621">
        <f t="shared" ca="1" si="247"/>
        <v>0</v>
      </c>
      <c r="BC98" s="621">
        <f t="shared" ca="1" si="247"/>
        <v>0</v>
      </c>
      <c r="BD98" s="621">
        <f t="shared" ca="1" si="247"/>
        <v>0</v>
      </c>
      <c r="BE98" s="621">
        <f t="shared" ca="1" si="247"/>
        <v>0</v>
      </c>
      <c r="BF98" s="615">
        <f ca="1">SUM(AM98:BE98)</f>
        <v>39.595554960813011</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48">IFERROR(SUMIFS(INDIRECT($C98&amp;".Emissions["&amp;this.Year&amp;"]"), INDIRECT($C98&amp;".Emissions[GHG]"), BO$6, INDIRECT($C98&amp;".Emissions[IPCC Sector]"), BO$5),0)</f>
        <v>0</v>
      </c>
      <c r="BP98" s="2792">
        <f t="shared" ca="1" si="248"/>
        <v>0</v>
      </c>
      <c r="BQ98" s="2792">
        <f t="shared" ca="1" si="248"/>
        <v>0</v>
      </c>
      <c r="BR98" s="2792">
        <f t="shared" ca="1" si="248"/>
        <v>0</v>
      </c>
      <c r="BS98" s="2792">
        <f t="shared" ca="1" si="248"/>
        <v>0</v>
      </c>
      <c r="BT98" s="2792">
        <f t="shared" ca="1" si="248"/>
        <v>0</v>
      </c>
      <c r="BU98" s="2792">
        <f t="shared" ca="1" si="248"/>
        <v>0</v>
      </c>
      <c r="BV98" s="2792">
        <f t="shared" ca="1" si="248"/>
        <v>0</v>
      </c>
      <c r="BW98" s="2792">
        <f t="shared" ca="1" si="248"/>
        <v>0</v>
      </c>
      <c r="BX98" s="2792">
        <f t="shared" ca="1" si="248"/>
        <v>0</v>
      </c>
      <c r="BY98" s="2792">
        <f t="shared" ca="1" si="248"/>
        <v>0</v>
      </c>
      <c r="BZ98" s="2792">
        <f t="shared" ca="1" si="248"/>
        <v>0</v>
      </c>
      <c r="CA98" s="2792">
        <f t="shared" ca="1" si="248"/>
        <v>0</v>
      </c>
      <c r="CB98" s="2792">
        <f t="shared" ca="1" si="248"/>
        <v>0</v>
      </c>
      <c r="CC98" s="2792">
        <f t="shared" ca="1" si="248"/>
        <v>0</v>
      </c>
      <c r="CD98" s="2792">
        <f t="shared" ca="1" si="248"/>
        <v>0</v>
      </c>
      <c r="CE98" s="2792">
        <f t="shared" ca="1" si="248"/>
        <v>0</v>
      </c>
      <c r="CF98" s="2792">
        <f t="shared" ca="1" si="248"/>
        <v>0</v>
      </c>
      <c r="CG98" s="2792">
        <f t="shared" ca="1" si="248"/>
        <v>0</v>
      </c>
      <c r="CH98" s="2792">
        <f t="shared" ca="1" si="248"/>
        <v>0</v>
      </c>
      <c r="CI98" s="2792">
        <f t="shared" ca="1" si="248"/>
        <v>0</v>
      </c>
      <c r="CJ98" s="2792">
        <f t="shared" ca="1" si="248"/>
        <v>0</v>
      </c>
      <c r="CK98" s="2792">
        <f t="shared" ca="1" si="248"/>
        <v>0</v>
      </c>
      <c r="CL98" s="2792">
        <f t="shared" ca="1" si="248"/>
        <v>0</v>
      </c>
      <c r="CM98" s="2792">
        <f t="shared" ca="1" si="248"/>
        <v>0</v>
      </c>
      <c r="CN98" s="2792">
        <f t="shared" ca="1" si="248"/>
        <v>0</v>
      </c>
      <c r="CO98" s="2792">
        <f t="shared" ca="1" si="248"/>
        <v>0</v>
      </c>
      <c r="CP98" s="2792">
        <f t="shared" ca="1" si="248"/>
        <v>0</v>
      </c>
      <c r="CQ98" s="2792">
        <f t="shared" ca="1" si="248"/>
        <v>0</v>
      </c>
      <c r="CR98" s="2792">
        <f t="shared" ca="1" si="248"/>
        <v>0</v>
      </c>
      <c r="CS98" s="2792">
        <f t="shared" ca="1" si="248"/>
        <v>0</v>
      </c>
      <c r="CT98" s="2792">
        <f t="shared" ca="1" si="248"/>
        <v>0</v>
      </c>
      <c r="CU98" s="2792">
        <f t="shared" ca="1" si="248"/>
        <v>0</v>
      </c>
      <c r="CV98" s="2792">
        <f t="shared" ca="1" si="248"/>
        <v>0</v>
      </c>
      <c r="CW98" s="2792">
        <f t="shared" ca="1" si="248"/>
        <v>0</v>
      </c>
      <c r="CX98" s="2792">
        <f t="shared" ca="1" si="248"/>
        <v>0</v>
      </c>
      <c r="CY98" s="2792">
        <f t="shared" ca="1" si="248"/>
        <v>-1.5301169759999989</v>
      </c>
      <c r="CZ98" s="2792">
        <f t="shared" ca="1" si="248"/>
        <v>0</v>
      </c>
      <c r="DA98" s="2792">
        <f t="shared" ca="1" si="248"/>
        <v>0</v>
      </c>
      <c r="DB98" s="2792">
        <f t="shared" ca="1" si="248"/>
        <v>0</v>
      </c>
      <c r="DC98" s="2792">
        <f t="shared" ca="1" si="248"/>
        <v>0</v>
      </c>
      <c r="DD98" s="2792">
        <f t="shared" ca="1" si="248"/>
        <v>0</v>
      </c>
      <c r="DE98" s="2792">
        <f t="shared" ca="1" si="248"/>
        <v>0</v>
      </c>
      <c r="DF98" s="2792">
        <f t="shared" ca="1" si="248"/>
        <v>0</v>
      </c>
      <c r="DH98" s="596">
        <f ca="1">SUM(BO98:DF98)</f>
        <v>-1.5301169759999989</v>
      </c>
    </row>
    <row r="99" spans="1:112" s="6" customFormat="1" ht="15.75">
      <c r="A99" s="4"/>
      <c r="B99" s="3"/>
      <c r="C99" s="616" t="s">
        <v>580</v>
      </c>
      <c r="D99" s="617" t="s">
        <v>581</v>
      </c>
      <c r="E99" s="206"/>
      <c r="G99" s="618">
        <f ca="1">G$96+G98</f>
        <v>0</v>
      </c>
      <c r="H99" s="618">
        <f t="shared" ref="H99:P99" ca="1" si="249">H$96+H98</f>
        <v>0</v>
      </c>
      <c r="I99" s="618">
        <f t="shared" ca="1" si="249"/>
        <v>0</v>
      </c>
      <c r="J99" s="618">
        <f t="shared" ca="1" si="249"/>
        <v>0</v>
      </c>
      <c r="K99" s="618">
        <f t="shared" ca="1" si="249"/>
        <v>0</v>
      </c>
      <c r="L99" s="618">
        <f t="shared" ca="1" si="249"/>
        <v>0</v>
      </c>
      <c r="M99" s="618">
        <f t="shared" ca="1" si="249"/>
        <v>0</v>
      </c>
      <c r="N99" s="618">
        <f t="shared" ca="1" si="249"/>
        <v>0</v>
      </c>
      <c r="O99" s="618">
        <f t="shared" ca="1" si="249"/>
        <v>0</v>
      </c>
      <c r="P99" s="618">
        <f t="shared" ca="1" si="249"/>
        <v>0</v>
      </c>
      <c r="Q99" s="618">
        <f ca="1">SUM(G99:P99)</f>
        <v>0</v>
      </c>
      <c r="S99" s="581">
        <f t="shared" ref="S99:AJ99" ca="1" si="250">S$96+S98</f>
        <v>0</v>
      </c>
      <c r="T99" s="581">
        <f t="shared" ca="1" si="250"/>
        <v>0</v>
      </c>
      <c r="U99" s="581">
        <f t="shared" ca="1" si="250"/>
        <v>26.552829881435457</v>
      </c>
      <c r="V99" s="581">
        <f t="shared" ca="1" si="250"/>
        <v>6.0334693084075708</v>
      </c>
      <c r="W99" s="581">
        <f t="shared" ca="1" si="250"/>
        <v>15.401266021886139</v>
      </c>
      <c r="X99" s="581">
        <f t="shared" ca="1" si="250"/>
        <v>0</v>
      </c>
      <c r="Y99" s="581">
        <f t="shared" ca="1" si="250"/>
        <v>0</v>
      </c>
      <c r="Z99" s="581">
        <f t="shared" ca="1" si="250"/>
        <v>0</v>
      </c>
      <c r="AA99" s="581">
        <f t="shared" ca="1" si="250"/>
        <v>0</v>
      </c>
      <c r="AB99" s="581">
        <f t="shared" ca="1" si="250"/>
        <v>0</v>
      </c>
      <c r="AC99" s="581">
        <f t="shared" ca="1" si="250"/>
        <v>0</v>
      </c>
      <c r="AD99" s="581">
        <f ca="1">AD$96+AD98</f>
        <v>-54.135182368629792</v>
      </c>
      <c r="AE99" s="581">
        <f ca="1">AE$96+AE98</f>
        <v>-0.74346827555139616</v>
      </c>
      <c r="AF99" s="581">
        <f t="shared" ca="1" si="250"/>
        <v>-21.598415710930002</v>
      </c>
      <c r="AG99" s="581">
        <f t="shared" ca="1" si="250"/>
        <v>-17.935298834659971</v>
      </c>
      <c r="AH99" s="581">
        <f ca="1">AH$96+AH98</f>
        <v>-0.15626201242516538</v>
      </c>
      <c r="AI99" s="581">
        <f t="shared" ca="1" si="250"/>
        <v>0</v>
      </c>
      <c r="AJ99" s="581">
        <f t="shared" ca="1" si="250"/>
        <v>0</v>
      </c>
      <c r="AK99" s="581">
        <f ca="1">SUM(S99:AJ99)</f>
        <v>-46.58106199046717</v>
      </c>
      <c r="AM99" s="582">
        <f t="shared" ref="AM99:BE99" ca="1" si="251">AM$96+AM98</f>
        <v>0</v>
      </c>
      <c r="AN99" s="582">
        <f t="shared" ca="1" si="251"/>
        <v>0</v>
      </c>
      <c r="AO99" s="582">
        <f t="shared" ca="1" si="251"/>
        <v>0</v>
      </c>
      <c r="AP99" s="582">
        <f t="shared" ca="1" si="251"/>
        <v>39.595554960813011</v>
      </c>
      <c r="AQ99" s="582">
        <f t="shared" ca="1" si="251"/>
        <v>0</v>
      </c>
      <c r="AR99" s="582">
        <f t="shared" ca="1" si="251"/>
        <v>0</v>
      </c>
      <c r="AS99" s="582">
        <f t="shared" ca="1" si="251"/>
        <v>0</v>
      </c>
      <c r="AT99" s="582">
        <f t="shared" ca="1" si="251"/>
        <v>0</v>
      </c>
      <c r="AU99" s="582">
        <f t="shared" ca="1" si="251"/>
        <v>0</v>
      </c>
      <c r="AV99" s="582">
        <f t="shared" ca="1" si="251"/>
        <v>0</v>
      </c>
      <c r="AW99" s="582">
        <f t="shared" ca="1" si="251"/>
        <v>0</v>
      </c>
      <c r="AX99" s="582">
        <f t="shared" ca="1" si="251"/>
        <v>0</v>
      </c>
      <c r="AY99" s="582">
        <f t="shared" ca="1" si="251"/>
        <v>0</v>
      </c>
      <c r="AZ99" s="582">
        <f t="shared" ca="1" si="251"/>
        <v>0</v>
      </c>
      <c r="BA99" s="582">
        <f t="shared" ca="1" si="251"/>
        <v>0</v>
      </c>
      <c r="BB99" s="582">
        <f t="shared" ca="1" si="251"/>
        <v>0</v>
      </c>
      <c r="BC99" s="582">
        <f t="shared" ca="1" si="251"/>
        <v>0</v>
      </c>
      <c r="BD99" s="582">
        <f t="shared" ca="1" si="251"/>
        <v>0</v>
      </c>
      <c r="BE99" s="582">
        <f t="shared" ca="1" si="251"/>
        <v>0</v>
      </c>
      <c r="BF99" s="582">
        <f ca="1">SUM(AM99:BE99)</f>
        <v>39.595554960813011</v>
      </c>
      <c r="BH99" s="3463">
        <f ca="1">BH$96+BH98</f>
        <v>6.9855070296541442</v>
      </c>
      <c r="BI99" s="3463">
        <f ca="1">BI$96+BI98</f>
        <v>0</v>
      </c>
      <c r="BJ99" s="3463">
        <f ca="1">SUM(BH99:BI99)</f>
        <v>6.9855070296541442</v>
      </c>
      <c r="BL99" s="3477">
        <f ca="1">Q99+AK99+BF99+BJ99</f>
        <v>-1.4210854715202004E-14</v>
      </c>
      <c r="BM99" s="584"/>
      <c r="BN99" s="413"/>
      <c r="BO99" s="2790">
        <f t="shared" ref="BO99:DF99" ca="1" si="252">BO$96+BO98</f>
        <v>0</v>
      </c>
      <c r="BP99" s="2790">
        <f t="shared" ca="1" si="252"/>
        <v>0</v>
      </c>
      <c r="BQ99" s="2790">
        <f t="shared" ca="1" si="252"/>
        <v>0</v>
      </c>
      <c r="BR99" s="2790">
        <f t="shared" ca="1" si="252"/>
        <v>0</v>
      </c>
      <c r="BS99" s="2790">
        <f t="shared" ca="1" si="252"/>
        <v>0</v>
      </c>
      <c r="BT99" s="2790">
        <f t="shared" ca="1" si="252"/>
        <v>0</v>
      </c>
      <c r="BU99" s="2790">
        <f t="shared" ca="1" si="252"/>
        <v>0</v>
      </c>
      <c r="BV99" s="2790">
        <f t="shared" ca="1" si="252"/>
        <v>0</v>
      </c>
      <c r="BW99" s="2790">
        <f t="shared" ca="1" si="252"/>
        <v>0</v>
      </c>
      <c r="BX99" s="2790">
        <f t="shared" ca="1" si="252"/>
        <v>0</v>
      </c>
      <c r="BY99" s="2790">
        <f t="shared" ca="1" si="252"/>
        <v>0</v>
      </c>
      <c r="BZ99" s="2790">
        <f t="shared" ca="1" si="252"/>
        <v>0</v>
      </c>
      <c r="CA99" s="2790">
        <f t="shared" ca="1" si="252"/>
        <v>0</v>
      </c>
      <c r="CB99" s="2790">
        <f t="shared" ca="1" si="252"/>
        <v>0</v>
      </c>
      <c r="CC99" s="2790">
        <f t="shared" ca="1" si="252"/>
        <v>0</v>
      </c>
      <c r="CD99" s="2790">
        <f t="shared" ca="1" si="252"/>
        <v>0</v>
      </c>
      <c r="CE99" s="2790">
        <f t="shared" ca="1" si="252"/>
        <v>0</v>
      </c>
      <c r="CF99" s="2790">
        <f t="shared" ca="1" si="252"/>
        <v>0</v>
      </c>
      <c r="CG99" s="2790">
        <f t="shared" ca="1" si="252"/>
        <v>0</v>
      </c>
      <c r="CH99" s="2790">
        <f t="shared" ca="1" si="252"/>
        <v>0</v>
      </c>
      <c r="CI99" s="2790">
        <f t="shared" ca="1" si="252"/>
        <v>0</v>
      </c>
      <c r="CJ99" s="2790">
        <f t="shared" ca="1" si="252"/>
        <v>0</v>
      </c>
      <c r="CK99" s="2790">
        <f t="shared" ca="1" si="252"/>
        <v>0</v>
      </c>
      <c r="CL99" s="2790">
        <f t="shared" ca="1" si="252"/>
        <v>0</v>
      </c>
      <c r="CM99" s="2790">
        <f t="shared" ca="1" si="252"/>
        <v>0</v>
      </c>
      <c r="CN99" s="2790">
        <f t="shared" ca="1" si="252"/>
        <v>0</v>
      </c>
      <c r="CO99" s="2790">
        <f t="shared" ca="1" si="252"/>
        <v>0</v>
      </c>
      <c r="CP99" s="2790">
        <f t="shared" ca="1" si="252"/>
        <v>0</v>
      </c>
      <c r="CQ99" s="2790">
        <f t="shared" ca="1" si="252"/>
        <v>0</v>
      </c>
      <c r="CR99" s="2790">
        <f t="shared" ca="1" si="252"/>
        <v>0</v>
      </c>
      <c r="CS99" s="2790">
        <f t="shared" ca="1" si="252"/>
        <v>0</v>
      </c>
      <c r="CT99" s="2790">
        <f t="shared" ca="1" si="252"/>
        <v>0</v>
      </c>
      <c r="CU99" s="2790">
        <f t="shared" ca="1" si="252"/>
        <v>0</v>
      </c>
      <c r="CV99" s="2790">
        <f t="shared" ca="1" si="252"/>
        <v>0</v>
      </c>
      <c r="CW99" s="2790">
        <f t="shared" ca="1" si="252"/>
        <v>0</v>
      </c>
      <c r="CX99" s="2790">
        <f t="shared" ca="1" si="252"/>
        <v>0</v>
      </c>
      <c r="CY99" s="2790">
        <f t="shared" ca="1" si="252"/>
        <v>-13.709907693984301</v>
      </c>
      <c r="CZ99" s="2790">
        <f t="shared" ca="1" si="252"/>
        <v>0</v>
      </c>
      <c r="DA99" s="2790">
        <f t="shared" ca="1" si="252"/>
        <v>0</v>
      </c>
      <c r="DB99" s="2790">
        <f t="shared" ca="1" si="252"/>
        <v>0</v>
      </c>
      <c r="DC99" s="2790">
        <f t="shared" ca="1" si="252"/>
        <v>0</v>
      </c>
      <c r="DD99" s="2790">
        <f t="shared" ca="1" si="252"/>
        <v>0</v>
      </c>
      <c r="DE99" s="2790">
        <f t="shared" ca="1" si="252"/>
        <v>0</v>
      </c>
      <c r="DF99" s="2790">
        <f t="shared" ca="1" si="252"/>
        <v>0</v>
      </c>
      <c r="DH99" s="596">
        <f t="shared" ca="1" si="238"/>
        <v>-13.709907693984301</v>
      </c>
    </row>
    <row r="100" spans="1:112" s="4" customFormat="1" ht="12.75" customHeight="1" outlineLevel="1">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38"/>
        <v>0</v>
      </c>
    </row>
    <row r="101" spans="1:112" s="652" customFormat="1" ht="12.75" customHeight="1" outlineLevel="1">
      <c r="C101" s="667" t="s">
        <v>582</v>
      </c>
      <c r="D101" s="641" t="s">
        <v>574</v>
      </c>
      <c r="E101" s="685"/>
      <c r="G101" s="643"/>
      <c r="H101" s="643"/>
      <c r="I101" s="643"/>
      <c r="J101" s="643"/>
      <c r="K101" s="644"/>
      <c r="L101" s="643"/>
      <c r="M101" s="643"/>
      <c r="N101" s="643"/>
      <c r="O101" s="643"/>
      <c r="P101" s="643"/>
      <c r="Q101" s="704"/>
      <c r="R101" s="639"/>
      <c r="S101" s="645">
        <f ca="1">(S$40+S$84+S$93+S$99)</f>
        <v>-27.377648640111907</v>
      </c>
      <c r="T101" s="645">
        <f ca="1">(T$40+T$84+T$93+T$99)</f>
        <v>78.87870333567254</v>
      </c>
      <c r="U101" s="645">
        <f ca="1">(U$40+U$84+U$93+U$99)</f>
        <v>0</v>
      </c>
      <c r="V101" s="645">
        <f ca="1">(V$40+V$84+V$93+V$99)</f>
        <v>-53.466242556904533</v>
      </c>
      <c r="W101" s="645">
        <f ca="1">(W$40+W$84+W$93+W$99)</f>
        <v>-48.973015352529522</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38"/>
        <v>0</v>
      </c>
    </row>
    <row r="102" spans="1:112" s="607" customFormat="1" ht="12.75" customHeight="1" outlineLevel="1">
      <c r="B102" s="705"/>
      <c r="C102" s="651" t="s">
        <v>583</v>
      </c>
      <c r="D102" s="588" t="s">
        <v>584</v>
      </c>
      <c r="E102" s="588"/>
      <c r="F102" s="6"/>
      <c r="G102" s="659">
        <f t="shared" ref="G102:P102" ca="1" si="253">IFERROR(INDEX(INDIRECT($C102&amp;".Outputs["&amp;this.Year&amp;"]"), MATCH(G$5, INDIRECT($C102&amp;".Outputs[Vector]"), 0)), 0)</f>
        <v>0</v>
      </c>
      <c r="H102" s="659">
        <f t="shared" ca="1" si="253"/>
        <v>0</v>
      </c>
      <c r="I102" s="659">
        <f t="shared" ca="1" si="253"/>
        <v>0</v>
      </c>
      <c r="J102" s="659">
        <f t="shared" ca="1" si="253"/>
        <v>0</v>
      </c>
      <c r="K102" s="706">
        <f t="shared" ca="1" si="253"/>
        <v>0</v>
      </c>
      <c r="L102" s="659">
        <f t="shared" ca="1" si="253"/>
        <v>0</v>
      </c>
      <c r="M102" s="659">
        <f t="shared" ca="1" si="253"/>
        <v>0</v>
      </c>
      <c r="N102" s="659">
        <f t="shared" ca="1" si="253"/>
        <v>0</v>
      </c>
      <c r="O102" s="659">
        <f t="shared" ca="1" si="253"/>
        <v>0</v>
      </c>
      <c r="P102" s="659">
        <f t="shared" ca="1" si="253"/>
        <v>0</v>
      </c>
      <c r="Q102" s="707">
        <f ca="1">SUM(G102:P102)</f>
        <v>0</v>
      </c>
      <c r="R102" s="6"/>
      <c r="S102" s="661">
        <f t="shared" ref="S102:AJ102" ca="1" si="254">IFERROR(INDEX(INDIRECT($C102&amp;".Outputs["&amp;this.Year&amp;"]"), MATCH(S$5, INDIRECT($C102&amp;".Outputs[Vector]"), 0)), 0)</f>
        <v>0</v>
      </c>
      <c r="T102" s="661">
        <f t="shared" ca="1" si="254"/>
        <v>0</v>
      </c>
      <c r="U102" s="661">
        <f t="shared" ca="1" si="254"/>
        <v>0</v>
      </c>
      <c r="V102" s="661">
        <f t="shared" ca="1" si="254"/>
        <v>53.466242556904533</v>
      </c>
      <c r="W102" s="661">
        <f t="shared" ca="1" si="254"/>
        <v>48.973015352529522</v>
      </c>
      <c r="X102" s="661">
        <f t="shared" ca="1" si="254"/>
        <v>0</v>
      </c>
      <c r="Y102" s="661">
        <f t="shared" ca="1" si="254"/>
        <v>-53.466242556904533</v>
      </c>
      <c r="Z102" s="661">
        <f t="shared" ca="1" si="254"/>
        <v>-49.707610582817466</v>
      </c>
      <c r="AA102" s="661">
        <f t="shared" ca="1" si="254"/>
        <v>0</v>
      </c>
      <c r="AB102" s="661">
        <f t="shared" ca="1" si="254"/>
        <v>0</v>
      </c>
      <c r="AC102" s="661">
        <f t="shared" ca="1" si="254"/>
        <v>0</v>
      </c>
      <c r="AD102" s="661">
        <f t="shared" ca="1" si="254"/>
        <v>0</v>
      </c>
      <c r="AE102" s="661">
        <f t="shared" ca="1" si="254"/>
        <v>0</v>
      </c>
      <c r="AF102" s="661">
        <f t="shared" ca="1" si="254"/>
        <v>0</v>
      </c>
      <c r="AG102" s="661">
        <f t="shared" ca="1" si="254"/>
        <v>0</v>
      </c>
      <c r="AH102" s="661">
        <f t="shared" ca="1" si="254"/>
        <v>0</v>
      </c>
      <c r="AI102" s="661">
        <f t="shared" ca="1" si="254"/>
        <v>0</v>
      </c>
      <c r="AJ102" s="661">
        <f t="shared" ca="1" si="254"/>
        <v>0</v>
      </c>
      <c r="AK102" s="661">
        <f ca="1">SUM(S102:AJ102)</f>
        <v>-0.73459523028795104</v>
      </c>
      <c r="AL102" s="6"/>
      <c r="AM102" s="609">
        <f t="shared" ref="AM102:BE102" ca="1" si="255">IFERROR(INDEX(INDIRECT($C102&amp;".Outputs["&amp;this.Year&amp;"]"), MATCH(AM$5, INDIRECT($C102&amp;".Outputs[Vector]"), 0)), 0)</f>
        <v>0</v>
      </c>
      <c r="AN102" s="609">
        <f t="shared" ca="1" si="255"/>
        <v>0</v>
      </c>
      <c r="AO102" s="609">
        <f t="shared" ca="1" si="255"/>
        <v>0</v>
      </c>
      <c r="AP102" s="609">
        <f t="shared" ca="1" si="255"/>
        <v>0</v>
      </c>
      <c r="AQ102" s="609">
        <f t="shared" ca="1" si="255"/>
        <v>0</v>
      </c>
      <c r="AR102" s="609">
        <f t="shared" ca="1" si="255"/>
        <v>0</v>
      </c>
      <c r="AS102" s="609">
        <f t="shared" ca="1" si="255"/>
        <v>0</v>
      </c>
      <c r="AT102" s="609">
        <f t="shared" ca="1" si="255"/>
        <v>0</v>
      </c>
      <c r="AU102" s="609">
        <f t="shared" ca="1" si="255"/>
        <v>0</v>
      </c>
      <c r="AV102" s="609">
        <f t="shared" ca="1" si="255"/>
        <v>0</v>
      </c>
      <c r="AW102" s="609">
        <f t="shared" ca="1" si="255"/>
        <v>0</v>
      </c>
      <c r="AX102" s="609">
        <f t="shared" ca="1" si="255"/>
        <v>0</v>
      </c>
      <c r="AY102" s="609">
        <f t="shared" ca="1" si="255"/>
        <v>0</v>
      </c>
      <c r="AZ102" s="609">
        <f t="shared" ca="1" si="255"/>
        <v>0</v>
      </c>
      <c r="BA102" s="609">
        <f t="shared" ca="1" si="255"/>
        <v>0</v>
      </c>
      <c r="BB102" s="609">
        <f t="shared" ca="1" si="255"/>
        <v>0</v>
      </c>
      <c r="BC102" s="609">
        <f t="shared" ca="1" si="255"/>
        <v>0</v>
      </c>
      <c r="BD102" s="609">
        <f t="shared" ca="1" si="255"/>
        <v>0</v>
      </c>
      <c r="BE102" s="609">
        <f t="shared" ca="1" si="25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0.73459523028794282</v>
      </c>
      <c r="BJ102" s="664">
        <f ca="1">SUM(BH102:BI102)</f>
        <v>0.73459523028794282</v>
      </c>
      <c r="BK102" s="6"/>
      <c r="BL102" s="3477">
        <f t="shared" ref="BL102:BL109" ca="1" si="256">Q102+AK102+BF102+BJ102</f>
        <v>-8.2156503822261584E-15</v>
      </c>
      <c r="BM102" s="610"/>
      <c r="BO102" s="2789">
        <f t="shared" ref="BO102:BX103" ca="1" si="257">IFERROR(SUMIFS(INDIRECT($C102&amp;".Emissions["&amp;this.Year&amp;"]"), INDIRECT($C102&amp;".Emissions[GHG]"), BO$6, INDIRECT($C102&amp;".Emissions[IPCC Sector]"), BO$5),0)</f>
        <v>0</v>
      </c>
      <c r="BP102" s="2790">
        <f t="shared" ca="1" si="257"/>
        <v>0</v>
      </c>
      <c r="BQ102" s="2790">
        <f t="shared" ca="1" si="257"/>
        <v>0</v>
      </c>
      <c r="BR102" s="2790">
        <f t="shared" ca="1" si="257"/>
        <v>0</v>
      </c>
      <c r="BS102" s="2790">
        <f t="shared" ca="1" si="257"/>
        <v>0</v>
      </c>
      <c r="BT102" s="2790">
        <f t="shared" ca="1" si="257"/>
        <v>2.1357747727214344E-2</v>
      </c>
      <c r="BU102" s="2790">
        <f t="shared" ca="1" si="257"/>
        <v>0</v>
      </c>
      <c r="BV102" s="2790">
        <f t="shared" ca="1" si="257"/>
        <v>0</v>
      </c>
      <c r="BW102" s="2790">
        <f t="shared" ca="1" si="257"/>
        <v>0</v>
      </c>
      <c r="BX102" s="2790">
        <f t="shared" ca="1" si="257"/>
        <v>0</v>
      </c>
      <c r="BY102" s="2790">
        <f t="shared" ref="BY102:CH103" ca="1" si="258">IFERROR(SUMIFS(INDIRECT($C102&amp;".Emissions["&amp;this.Year&amp;"]"), INDIRECT($C102&amp;".Emissions[GHG]"), BY$6, INDIRECT($C102&amp;".Emissions[IPCC Sector]"), BY$5),0)</f>
        <v>0</v>
      </c>
      <c r="BZ102" s="2790">
        <f t="shared" ca="1" si="258"/>
        <v>0</v>
      </c>
      <c r="CA102" s="2790">
        <f t="shared" ca="1" si="258"/>
        <v>0</v>
      </c>
      <c r="CB102" s="2790">
        <f t="shared" ca="1" si="258"/>
        <v>0</v>
      </c>
      <c r="CC102" s="2790">
        <f t="shared" ca="1" si="258"/>
        <v>0</v>
      </c>
      <c r="CD102" s="2790">
        <f t="shared" ca="1" si="258"/>
        <v>0</v>
      </c>
      <c r="CE102" s="2790">
        <f t="shared" ca="1" si="258"/>
        <v>0</v>
      </c>
      <c r="CF102" s="2790">
        <f t="shared" ca="1" si="258"/>
        <v>0</v>
      </c>
      <c r="CG102" s="2790">
        <f t="shared" ca="1" si="258"/>
        <v>0</v>
      </c>
      <c r="CH102" s="2790">
        <f t="shared" ca="1" si="258"/>
        <v>0</v>
      </c>
      <c r="CI102" s="2790">
        <f t="shared" ref="CI102:CR103" ca="1" si="259">IFERROR(SUMIFS(INDIRECT($C102&amp;".Emissions["&amp;this.Year&amp;"]"), INDIRECT($C102&amp;".Emissions[GHG]"), CI$6, INDIRECT($C102&amp;".Emissions[IPCC Sector]"), CI$5),0)</f>
        <v>0</v>
      </c>
      <c r="CJ102" s="2790">
        <f t="shared" ca="1" si="259"/>
        <v>0</v>
      </c>
      <c r="CK102" s="2790">
        <f t="shared" ca="1" si="259"/>
        <v>0</v>
      </c>
      <c r="CL102" s="2790">
        <f t="shared" ca="1" si="259"/>
        <v>0</v>
      </c>
      <c r="CM102" s="2790">
        <f t="shared" ca="1" si="259"/>
        <v>0</v>
      </c>
      <c r="CN102" s="2790">
        <f t="shared" ca="1" si="259"/>
        <v>0</v>
      </c>
      <c r="CO102" s="2790">
        <f t="shared" ca="1" si="259"/>
        <v>0</v>
      </c>
      <c r="CP102" s="2790">
        <f t="shared" ca="1" si="259"/>
        <v>0</v>
      </c>
      <c r="CQ102" s="2790">
        <f t="shared" ca="1" si="259"/>
        <v>0</v>
      </c>
      <c r="CR102" s="2790">
        <f t="shared" ca="1" si="259"/>
        <v>0</v>
      </c>
      <c r="CS102" s="2790">
        <f t="shared" ref="CS102:DF103" ca="1" si="260">IFERROR(SUMIFS(INDIRECT($C102&amp;".Emissions["&amp;this.Year&amp;"]"), INDIRECT($C102&amp;".Emissions[GHG]"), CS$6, INDIRECT($C102&amp;".Emissions[IPCC Sector]"), CS$5),0)</f>
        <v>0</v>
      </c>
      <c r="CT102" s="2790">
        <f t="shared" ca="1" si="260"/>
        <v>0</v>
      </c>
      <c r="CU102" s="2790">
        <f t="shared" ca="1" si="260"/>
        <v>0</v>
      </c>
      <c r="CV102" s="2790">
        <f t="shared" ca="1" si="260"/>
        <v>0</v>
      </c>
      <c r="CW102" s="2790">
        <f t="shared" ca="1" si="260"/>
        <v>0</v>
      </c>
      <c r="CX102" s="2790">
        <f t="shared" ca="1" si="260"/>
        <v>0</v>
      </c>
      <c r="CY102" s="2790">
        <f t="shared" ca="1" si="260"/>
        <v>0</v>
      </c>
      <c r="CZ102" s="2790">
        <f t="shared" ca="1" si="260"/>
        <v>0</v>
      </c>
      <c r="DA102" s="2790">
        <f t="shared" ca="1" si="260"/>
        <v>0</v>
      </c>
      <c r="DB102" s="2790">
        <f t="shared" ca="1" si="260"/>
        <v>0</v>
      </c>
      <c r="DC102" s="2790">
        <f t="shared" ca="1" si="260"/>
        <v>0</v>
      </c>
      <c r="DD102" s="2790">
        <f t="shared" ca="1" si="260"/>
        <v>0</v>
      </c>
      <c r="DE102" s="2790">
        <f t="shared" ca="1" si="260"/>
        <v>0</v>
      </c>
      <c r="DF102" s="2790">
        <f t="shared" ca="1" si="260"/>
        <v>0</v>
      </c>
      <c r="DH102" s="596">
        <f t="shared" ca="1" si="238"/>
        <v>2.1357747727214344E-2</v>
      </c>
    </row>
    <row r="103" spans="1:112" s="607" customFormat="1" ht="12.75" customHeight="1" outlineLevel="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-51.501054695560633</v>
      </c>
      <c r="U103" s="711"/>
      <c r="V103" s="711"/>
      <c r="W103" s="711"/>
      <c r="X103" s="711">
        <f ca="1">-(X$40+X$84+X$93+X$99+X$102)</f>
        <v>-0.22186590218798416</v>
      </c>
      <c r="Y103" s="711">
        <f ca="1">-(Y$40+Y$84+Y$93+Y$99+Y$102)</f>
        <v>53.466242556904533</v>
      </c>
      <c r="Z103" s="711">
        <f ca="1">-(Z$40+Z$84+Z$93+Z$99+Z$102)</f>
        <v>49.707610582817466</v>
      </c>
      <c r="AA103" s="711"/>
      <c r="AB103" s="711"/>
      <c r="AC103" s="711"/>
      <c r="AD103" s="711"/>
      <c r="AE103" s="711"/>
      <c r="AF103" s="711"/>
      <c r="AG103" s="711"/>
      <c r="AH103" s="711"/>
      <c r="AI103" s="711"/>
      <c r="AJ103" s="711"/>
      <c r="AK103" s="711">
        <f ca="1">SUM(S103:AJ103)</f>
        <v>51.45093254197338</v>
      </c>
      <c r="AL103" s="6"/>
      <c r="AM103" s="615"/>
      <c r="AN103" s="615"/>
      <c r="AO103" s="615"/>
      <c r="AP103" s="615"/>
      <c r="AQ103" s="615">
        <f ca="1">-T103</f>
        <v>51.501054695560633</v>
      </c>
      <c r="AR103" s="615">
        <f>-V103</f>
        <v>0</v>
      </c>
      <c r="AS103" s="615">
        <f ca="1">-X103</f>
        <v>0.22186590218798416</v>
      </c>
      <c r="AT103" s="615">
        <f ca="1">-Y103</f>
        <v>-53.466242556904533</v>
      </c>
      <c r="AU103" s="615">
        <f ca="1">-Z103</f>
        <v>-49.707610582817466</v>
      </c>
      <c r="AV103" s="615"/>
      <c r="AW103" s="615"/>
      <c r="AX103" s="615"/>
      <c r="AY103" s="615"/>
      <c r="AZ103" s="615"/>
      <c r="BA103" s="615"/>
      <c r="BB103" s="615"/>
      <c r="BC103" s="615"/>
      <c r="BD103" s="615"/>
      <c r="BE103" s="615"/>
      <c r="BF103" s="615">
        <f ca="1">SUM(AM103:BE103)</f>
        <v>-51.45093254197338</v>
      </c>
      <c r="BG103" s="6"/>
      <c r="BH103" s="712"/>
      <c r="BI103" s="712"/>
      <c r="BJ103" s="712">
        <f>SUM(BH103:BI103)</f>
        <v>0</v>
      </c>
      <c r="BK103" s="6"/>
      <c r="BL103" s="3477">
        <f t="shared" ca="1" si="256"/>
        <v>0</v>
      </c>
      <c r="BM103" s="610"/>
      <c r="BO103" s="2791">
        <f t="shared" ca="1" si="257"/>
        <v>0</v>
      </c>
      <c r="BP103" s="2792">
        <f t="shared" ca="1" si="257"/>
        <v>0</v>
      </c>
      <c r="BQ103" s="2792">
        <f t="shared" ca="1" si="257"/>
        <v>0</v>
      </c>
      <c r="BR103" s="2792">
        <f t="shared" ca="1" si="257"/>
        <v>0</v>
      </c>
      <c r="BS103" s="2792">
        <f t="shared" ca="1" si="257"/>
        <v>0</v>
      </c>
      <c r="BT103" s="2792">
        <f t="shared" ca="1" si="257"/>
        <v>0</v>
      </c>
      <c r="BU103" s="2792">
        <f t="shared" ca="1" si="257"/>
        <v>0</v>
      </c>
      <c r="BV103" s="2792">
        <f t="shared" ca="1" si="257"/>
        <v>0</v>
      </c>
      <c r="BW103" s="2792">
        <f t="shared" ca="1" si="257"/>
        <v>0</v>
      </c>
      <c r="BX103" s="2792">
        <f t="shared" ca="1" si="257"/>
        <v>0</v>
      </c>
      <c r="BY103" s="2792">
        <f t="shared" ca="1" si="258"/>
        <v>0</v>
      </c>
      <c r="BZ103" s="2792">
        <f t="shared" ca="1" si="258"/>
        <v>0</v>
      </c>
      <c r="CA103" s="2792">
        <f t="shared" ca="1" si="258"/>
        <v>0</v>
      </c>
      <c r="CB103" s="2792">
        <f t="shared" ca="1" si="258"/>
        <v>0</v>
      </c>
      <c r="CC103" s="2792">
        <f t="shared" ca="1" si="258"/>
        <v>0</v>
      </c>
      <c r="CD103" s="2792">
        <f t="shared" ca="1" si="258"/>
        <v>0</v>
      </c>
      <c r="CE103" s="2792">
        <f t="shared" ca="1" si="258"/>
        <v>0</v>
      </c>
      <c r="CF103" s="2792">
        <f t="shared" ca="1" si="258"/>
        <v>0</v>
      </c>
      <c r="CG103" s="2792">
        <f t="shared" ca="1" si="258"/>
        <v>0</v>
      </c>
      <c r="CH103" s="2792">
        <f t="shared" ca="1" si="258"/>
        <v>0</v>
      </c>
      <c r="CI103" s="2792">
        <f t="shared" ca="1" si="259"/>
        <v>0</v>
      </c>
      <c r="CJ103" s="2792">
        <f t="shared" ca="1" si="259"/>
        <v>0</v>
      </c>
      <c r="CK103" s="2792">
        <f t="shared" ca="1" si="259"/>
        <v>0</v>
      </c>
      <c r="CL103" s="2792">
        <f t="shared" ca="1" si="259"/>
        <v>0</v>
      </c>
      <c r="CM103" s="2792">
        <f t="shared" ca="1" si="259"/>
        <v>0</v>
      </c>
      <c r="CN103" s="2792">
        <f t="shared" ca="1" si="259"/>
        <v>0</v>
      </c>
      <c r="CO103" s="2792">
        <f t="shared" ca="1" si="259"/>
        <v>0</v>
      </c>
      <c r="CP103" s="2792">
        <f t="shared" ca="1" si="259"/>
        <v>0</v>
      </c>
      <c r="CQ103" s="2792">
        <f t="shared" ca="1" si="259"/>
        <v>0</v>
      </c>
      <c r="CR103" s="2792">
        <f t="shared" ca="1" si="259"/>
        <v>0</v>
      </c>
      <c r="CS103" s="2792">
        <f t="shared" ca="1" si="260"/>
        <v>0</v>
      </c>
      <c r="CT103" s="2792">
        <f t="shared" ca="1" si="260"/>
        <v>0</v>
      </c>
      <c r="CU103" s="2792">
        <f t="shared" ca="1" si="260"/>
        <v>0</v>
      </c>
      <c r="CV103" s="2792">
        <f t="shared" ca="1" si="260"/>
        <v>0</v>
      </c>
      <c r="CW103" s="2792">
        <f t="shared" ca="1" si="260"/>
        <v>0</v>
      </c>
      <c r="CX103" s="2792">
        <f t="shared" ca="1" si="260"/>
        <v>0</v>
      </c>
      <c r="CY103" s="2792">
        <f t="shared" ca="1" si="260"/>
        <v>0</v>
      </c>
      <c r="CZ103" s="2792">
        <f t="shared" ca="1" si="260"/>
        <v>0</v>
      </c>
      <c r="DA103" s="2792">
        <f t="shared" ca="1" si="260"/>
        <v>0</v>
      </c>
      <c r="DB103" s="2792">
        <f t="shared" ca="1" si="260"/>
        <v>0</v>
      </c>
      <c r="DC103" s="2792">
        <f t="shared" ca="1" si="260"/>
        <v>0</v>
      </c>
      <c r="DD103" s="2792">
        <f t="shared" ca="1" si="260"/>
        <v>0</v>
      </c>
      <c r="DE103" s="2792">
        <f t="shared" ca="1" si="260"/>
        <v>0</v>
      </c>
      <c r="DF103" s="2792">
        <f t="shared" ca="1" si="260"/>
        <v>0</v>
      </c>
      <c r="DH103" s="596">
        <f t="shared" ca="1" si="238"/>
        <v>0</v>
      </c>
    </row>
    <row r="104" spans="1:112" s="6" customFormat="1" ht="15.75">
      <c r="B104" s="3" t="s">
        <v>585</v>
      </c>
      <c r="C104" s="629" t="s">
        <v>588</v>
      </c>
      <c r="D104" s="617" t="s">
        <v>589</v>
      </c>
      <c r="E104" s="519"/>
      <c r="G104" s="618">
        <f t="shared" ref="G104:P104" ca="1" si="261">SUM(G102:G103)</f>
        <v>0</v>
      </c>
      <c r="H104" s="618">
        <f t="shared" ca="1" si="261"/>
        <v>0</v>
      </c>
      <c r="I104" s="618">
        <f t="shared" ca="1" si="261"/>
        <v>0</v>
      </c>
      <c r="J104" s="618">
        <f t="shared" ca="1" si="261"/>
        <v>0</v>
      </c>
      <c r="K104" s="618">
        <f t="shared" ca="1" si="261"/>
        <v>0</v>
      </c>
      <c r="L104" s="618">
        <f t="shared" ca="1" si="261"/>
        <v>0</v>
      </c>
      <c r="M104" s="618">
        <f t="shared" ca="1" si="261"/>
        <v>0</v>
      </c>
      <c r="N104" s="618">
        <f t="shared" ca="1" si="261"/>
        <v>0</v>
      </c>
      <c r="O104" s="618">
        <f t="shared" ca="1" si="261"/>
        <v>0</v>
      </c>
      <c r="P104" s="618">
        <f t="shared" ca="1" si="261"/>
        <v>0</v>
      </c>
      <c r="Q104" s="618">
        <f ca="1">SUM(G104:P104)</f>
        <v>0</v>
      </c>
      <c r="S104" s="581">
        <f t="shared" ref="S104:AJ104" ca="1" si="262">SUM(S102:S103)</f>
        <v>0</v>
      </c>
      <c r="T104" s="581">
        <f t="shared" ca="1" si="262"/>
        <v>-51.501054695560633</v>
      </c>
      <c r="U104" s="581">
        <f t="shared" ca="1" si="262"/>
        <v>0</v>
      </c>
      <c r="V104" s="581">
        <f t="shared" ca="1" si="262"/>
        <v>53.466242556904533</v>
      </c>
      <c r="W104" s="581">
        <f t="shared" ca="1" si="262"/>
        <v>48.973015352529522</v>
      </c>
      <c r="X104" s="581">
        <f t="shared" ca="1" si="262"/>
        <v>-0.22186590218798416</v>
      </c>
      <c r="Y104" s="581">
        <f t="shared" ca="1" si="262"/>
        <v>0</v>
      </c>
      <c r="Z104" s="581">
        <f t="shared" ca="1" si="262"/>
        <v>0</v>
      </c>
      <c r="AA104" s="581">
        <f t="shared" ca="1" si="262"/>
        <v>0</v>
      </c>
      <c r="AB104" s="581">
        <f t="shared" ca="1" si="262"/>
        <v>0</v>
      </c>
      <c r="AC104" s="581">
        <f t="shared" ca="1" si="262"/>
        <v>0</v>
      </c>
      <c r="AD104" s="581">
        <f t="shared" ca="1" si="262"/>
        <v>0</v>
      </c>
      <c r="AE104" s="581">
        <f ca="1">SUM(AE102:AE103)</f>
        <v>0</v>
      </c>
      <c r="AF104" s="581">
        <f t="shared" ca="1" si="262"/>
        <v>0</v>
      </c>
      <c r="AG104" s="581">
        <f t="shared" ca="1" si="262"/>
        <v>0</v>
      </c>
      <c r="AH104" s="581">
        <f ca="1">SUM(AH102:AH103)</f>
        <v>0</v>
      </c>
      <c r="AI104" s="581">
        <f t="shared" ca="1" si="262"/>
        <v>0</v>
      </c>
      <c r="AJ104" s="581">
        <f t="shared" ca="1" si="262"/>
        <v>0</v>
      </c>
      <c r="AK104" s="581">
        <f ca="1">SUM(S104:AJ104)</f>
        <v>50.716337311685436</v>
      </c>
      <c r="AM104" s="582">
        <f t="shared" ref="AM104:BE104" ca="1" si="263">SUM(AM102:AM103)</f>
        <v>0</v>
      </c>
      <c r="AN104" s="582">
        <f t="shared" ca="1" si="263"/>
        <v>0</v>
      </c>
      <c r="AO104" s="582">
        <f t="shared" ca="1" si="263"/>
        <v>0</v>
      </c>
      <c r="AP104" s="582">
        <f t="shared" ca="1" si="263"/>
        <v>0</v>
      </c>
      <c r="AQ104" s="582">
        <f t="shared" ca="1" si="263"/>
        <v>51.501054695560633</v>
      </c>
      <c r="AR104" s="582">
        <f t="shared" ca="1" si="263"/>
        <v>0</v>
      </c>
      <c r="AS104" s="582">
        <f t="shared" ca="1" si="263"/>
        <v>0.22186590218798416</v>
      </c>
      <c r="AT104" s="582">
        <f t="shared" ca="1" si="263"/>
        <v>-53.466242556904533</v>
      </c>
      <c r="AU104" s="582">
        <f t="shared" ca="1" si="263"/>
        <v>-49.707610582817466</v>
      </c>
      <c r="AV104" s="582">
        <f t="shared" ca="1" si="263"/>
        <v>0</v>
      </c>
      <c r="AW104" s="582">
        <f t="shared" ca="1" si="263"/>
        <v>0</v>
      </c>
      <c r="AX104" s="582">
        <f t="shared" ca="1" si="263"/>
        <v>0</v>
      </c>
      <c r="AY104" s="582">
        <f t="shared" ca="1" si="263"/>
        <v>0</v>
      </c>
      <c r="AZ104" s="582">
        <f t="shared" ca="1" si="263"/>
        <v>0</v>
      </c>
      <c r="BA104" s="582">
        <f t="shared" ca="1" si="263"/>
        <v>0</v>
      </c>
      <c r="BB104" s="582">
        <f t="shared" ca="1" si="263"/>
        <v>0</v>
      </c>
      <c r="BC104" s="582">
        <f t="shared" ca="1" si="263"/>
        <v>0</v>
      </c>
      <c r="BD104" s="582">
        <f t="shared" ca="1" si="263"/>
        <v>0</v>
      </c>
      <c r="BE104" s="582">
        <f t="shared" ca="1" si="263"/>
        <v>0</v>
      </c>
      <c r="BF104" s="582">
        <f ca="1">SUM(AM104:BE104)</f>
        <v>-51.45093254197338</v>
      </c>
      <c r="BH104" s="3463">
        <f ca="1">SUM(BH102:BH103)</f>
        <v>0</v>
      </c>
      <c r="BI104" s="3463">
        <f ca="1">SUM(BI102:BI103)</f>
        <v>0.73459523028794282</v>
      </c>
      <c r="BJ104" s="3463">
        <f ca="1">SUM(BH104:BI104)</f>
        <v>0.73459523028794282</v>
      </c>
      <c r="BL104" s="3477">
        <f t="shared" ca="1" si="256"/>
        <v>-1.1102230246251565E-15</v>
      </c>
      <c r="BM104" s="584"/>
      <c r="BN104" s="413"/>
      <c r="BO104" s="2790">
        <f t="shared" ref="BO104:DF104" ca="1" si="264">SUM(BO102:BO103)</f>
        <v>0</v>
      </c>
      <c r="BP104" s="2790">
        <f t="shared" ca="1" si="264"/>
        <v>0</v>
      </c>
      <c r="BQ104" s="2790">
        <f t="shared" ca="1" si="264"/>
        <v>0</v>
      </c>
      <c r="BR104" s="2790">
        <f t="shared" ca="1" si="264"/>
        <v>0</v>
      </c>
      <c r="BS104" s="2790">
        <f t="shared" ca="1" si="264"/>
        <v>0</v>
      </c>
      <c r="BT104" s="2790">
        <f t="shared" ca="1" si="264"/>
        <v>2.1357747727214344E-2</v>
      </c>
      <c r="BU104" s="2790">
        <f t="shared" ca="1" si="264"/>
        <v>0</v>
      </c>
      <c r="BV104" s="2790">
        <f t="shared" ca="1" si="264"/>
        <v>0</v>
      </c>
      <c r="BW104" s="2790">
        <f t="shared" ca="1" si="264"/>
        <v>0</v>
      </c>
      <c r="BX104" s="2790">
        <f t="shared" ca="1" si="264"/>
        <v>0</v>
      </c>
      <c r="BY104" s="2790">
        <f t="shared" ca="1" si="264"/>
        <v>0</v>
      </c>
      <c r="BZ104" s="2790">
        <f t="shared" ca="1" si="264"/>
        <v>0</v>
      </c>
      <c r="CA104" s="2790">
        <f t="shared" ca="1" si="264"/>
        <v>0</v>
      </c>
      <c r="CB104" s="2790">
        <f t="shared" ca="1" si="264"/>
        <v>0</v>
      </c>
      <c r="CC104" s="2790">
        <f t="shared" ca="1" si="264"/>
        <v>0</v>
      </c>
      <c r="CD104" s="2790">
        <f t="shared" ca="1" si="264"/>
        <v>0</v>
      </c>
      <c r="CE104" s="2790">
        <f t="shared" ca="1" si="264"/>
        <v>0</v>
      </c>
      <c r="CF104" s="2790">
        <f t="shared" ca="1" si="264"/>
        <v>0</v>
      </c>
      <c r="CG104" s="2790">
        <f t="shared" ca="1" si="264"/>
        <v>0</v>
      </c>
      <c r="CH104" s="2790">
        <f t="shared" ca="1" si="264"/>
        <v>0</v>
      </c>
      <c r="CI104" s="2790">
        <f t="shared" ca="1" si="264"/>
        <v>0</v>
      </c>
      <c r="CJ104" s="2790">
        <f t="shared" ca="1" si="264"/>
        <v>0</v>
      </c>
      <c r="CK104" s="2790">
        <f t="shared" ca="1" si="264"/>
        <v>0</v>
      </c>
      <c r="CL104" s="2790">
        <f t="shared" ca="1" si="264"/>
        <v>0</v>
      </c>
      <c r="CM104" s="2790">
        <f t="shared" ca="1" si="264"/>
        <v>0</v>
      </c>
      <c r="CN104" s="2790">
        <f t="shared" ca="1" si="264"/>
        <v>0</v>
      </c>
      <c r="CO104" s="2790">
        <f t="shared" ca="1" si="264"/>
        <v>0</v>
      </c>
      <c r="CP104" s="2790">
        <f t="shared" ca="1" si="264"/>
        <v>0</v>
      </c>
      <c r="CQ104" s="2790">
        <f t="shared" ca="1" si="264"/>
        <v>0</v>
      </c>
      <c r="CR104" s="2790">
        <f t="shared" ca="1" si="264"/>
        <v>0</v>
      </c>
      <c r="CS104" s="2790">
        <f t="shared" ca="1" si="264"/>
        <v>0</v>
      </c>
      <c r="CT104" s="2790">
        <f t="shared" ca="1" si="264"/>
        <v>0</v>
      </c>
      <c r="CU104" s="2790">
        <f t="shared" ca="1" si="264"/>
        <v>0</v>
      </c>
      <c r="CV104" s="2790">
        <f t="shared" ca="1" si="264"/>
        <v>0</v>
      </c>
      <c r="CW104" s="2790">
        <f t="shared" ca="1" si="264"/>
        <v>0</v>
      </c>
      <c r="CX104" s="2790">
        <f t="shared" ca="1" si="264"/>
        <v>0</v>
      </c>
      <c r="CY104" s="2790">
        <f t="shared" ca="1" si="264"/>
        <v>0</v>
      </c>
      <c r="CZ104" s="2790">
        <f t="shared" ca="1" si="264"/>
        <v>0</v>
      </c>
      <c r="DA104" s="2790">
        <f t="shared" ca="1" si="264"/>
        <v>0</v>
      </c>
      <c r="DB104" s="2790">
        <f t="shared" ca="1" si="264"/>
        <v>0</v>
      </c>
      <c r="DC104" s="2790">
        <f t="shared" ca="1" si="264"/>
        <v>0</v>
      </c>
      <c r="DD104" s="2790">
        <f t="shared" ca="1" si="264"/>
        <v>0</v>
      </c>
      <c r="DE104" s="2790">
        <f t="shared" ca="1" si="264"/>
        <v>0</v>
      </c>
      <c r="DF104" s="2790">
        <f t="shared" ca="1" si="264"/>
        <v>0</v>
      </c>
      <c r="DH104" s="596">
        <f t="shared" ca="1" si="238"/>
        <v>2.1357747727214344E-2</v>
      </c>
    </row>
    <row r="105" spans="1:112" s="6" customFormat="1" ht="6" customHeigh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5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65">G$93+G$99+G$104</f>
        <v>0</v>
      </c>
      <c r="H106" s="680">
        <f t="shared" ca="1" si="265"/>
        <v>0</v>
      </c>
      <c r="I106" s="680">
        <f t="shared" ca="1" si="265"/>
        <v>0</v>
      </c>
      <c r="J106" s="680">
        <f t="shared" ca="1" si="265"/>
        <v>0</v>
      </c>
      <c r="K106" s="681">
        <f t="shared" ca="1" si="265"/>
        <v>0</v>
      </c>
      <c r="L106" s="680">
        <f t="shared" ca="1" si="265"/>
        <v>0</v>
      </c>
      <c r="M106" s="680">
        <f t="shared" ca="1" si="265"/>
        <v>0</v>
      </c>
      <c r="N106" s="680">
        <f t="shared" ca="1" si="265"/>
        <v>0</v>
      </c>
      <c r="O106" s="680">
        <f t="shared" ca="1" si="265"/>
        <v>0</v>
      </c>
      <c r="P106" s="680">
        <f t="shared" ca="1" si="265"/>
        <v>0</v>
      </c>
      <c r="Q106" s="633">
        <f ca="1">SUM(G106:P106)</f>
        <v>0</v>
      </c>
      <c r="S106" s="634">
        <f t="shared" ref="S106:AJ106" ca="1" si="266">S$93+S$99+S$104</f>
        <v>0</v>
      </c>
      <c r="T106" s="634">
        <f t="shared" ca="1" si="266"/>
        <v>-48.38837129135603</v>
      </c>
      <c r="U106" s="634">
        <f t="shared" ca="1" si="266"/>
        <v>26.552829881435457</v>
      </c>
      <c r="V106" s="634">
        <f t="shared" ca="1" si="266"/>
        <v>59.499711865312101</v>
      </c>
      <c r="W106" s="634">
        <f t="shared" ca="1" si="266"/>
        <v>64.374281374415659</v>
      </c>
      <c r="X106" s="634">
        <f t="shared" ca="1" si="266"/>
        <v>-0.22186590218798416</v>
      </c>
      <c r="Y106" s="634">
        <f t="shared" ca="1" si="266"/>
        <v>0</v>
      </c>
      <c r="Z106" s="634">
        <f t="shared" ca="1" si="266"/>
        <v>0</v>
      </c>
      <c r="AA106" s="634">
        <f t="shared" ca="1" si="266"/>
        <v>0</v>
      </c>
      <c r="AB106" s="634">
        <f t="shared" ca="1" si="266"/>
        <v>0</v>
      </c>
      <c r="AC106" s="634">
        <f t="shared" ca="1" si="266"/>
        <v>0</v>
      </c>
      <c r="AD106" s="634">
        <f t="shared" ca="1" si="266"/>
        <v>-54.135182368629792</v>
      </c>
      <c r="AE106" s="634">
        <f t="shared" ca="1" si="266"/>
        <v>-0.74346827555139616</v>
      </c>
      <c r="AF106" s="634">
        <f t="shared" ca="1" si="266"/>
        <v>-21.598415710930002</v>
      </c>
      <c r="AG106" s="634">
        <f t="shared" ca="1" si="266"/>
        <v>-17.935298834659971</v>
      </c>
      <c r="AH106" s="634">
        <f t="shared" ca="1" si="266"/>
        <v>-0.15626201242516538</v>
      </c>
      <c r="AI106" s="634">
        <f t="shared" ca="1" si="266"/>
        <v>0</v>
      </c>
      <c r="AJ106" s="634">
        <f t="shared" ca="1" si="266"/>
        <v>0</v>
      </c>
      <c r="AK106" s="634">
        <f ca="1">SUM(S106:AJ106)</f>
        <v>7.247958725422877</v>
      </c>
      <c r="AM106" s="635">
        <f t="shared" ref="AM106:BE106" ca="1" si="267">AM$93+AM$99+AM$104</f>
        <v>0</v>
      </c>
      <c r="AN106" s="635">
        <f t="shared" ca="1" si="267"/>
        <v>0</v>
      </c>
      <c r="AO106" s="635">
        <f t="shared" ca="1" si="267"/>
        <v>0</v>
      </c>
      <c r="AP106" s="635">
        <f t="shared" ca="1" si="267"/>
        <v>39.595554960813011</v>
      </c>
      <c r="AQ106" s="635">
        <f t="shared" ca="1" si="267"/>
        <v>44.501054695560633</v>
      </c>
      <c r="AR106" s="635">
        <f t="shared" ca="1" si="267"/>
        <v>0</v>
      </c>
      <c r="AS106" s="635">
        <f t="shared" ca="1" si="267"/>
        <v>0.22186590218798416</v>
      </c>
      <c r="AT106" s="635">
        <f t="shared" ca="1" si="267"/>
        <v>-53.466242556904533</v>
      </c>
      <c r="AU106" s="635">
        <f t="shared" ca="1" si="267"/>
        <v>-49.707610582817466</v>
      </c>
      <c r="AV106" s="635">
        <f t="shared" ca="1" si="267"/>
        <v>0</v>
      </c>
      <c r="AW106" s="635">
        <f t="shared" ca="1" si="267"/>
        <v>0</v>
      </c>
      <c r="AX106" s="635">
        <f t="shared" ca="1" si="267"/>
        <v>0</v>
      </c>
      <c r="AY106" s="635">
        <f t="shared" ca="1" si="267"/>
        <v>0</v>
      </c>
      <c r="AZ106" s="635">
        <f t="shared" ca="1" si="267"/>
        <v>0</v>
      </c>
      <c r="BA106" s="635">
        <f t="shared" ca="1" si="267"/>
        <v>0</v>
      </c>
      <c r="BB106" s="635">
        <f t="shared" ca="1" si="267"/>
        <v>0</v>
      </c>
      <c r="BC106" s="635">
        <f t="shared" ca="1" si="267"/>
        <v>0</v>
      </c>
      <c r="BD106" s="635">
        <f t="shared" ca="1" si="267"/>
        <v>0</v>
      </c>
      <c r="BE106" s="635">
        <f t="shared" ca="1" si="267"/>
        <v>0</v>
      </c>
      <c r="BF106" s="635">
        <f ca="1">SUM(AM106:BE106)</f>
        <v>-18.855377581160369</v>
      </c>
      <c r="BH106" s="3464">
        <f ca="1">BH$93+BH$99+BH$104</f>
        <v>6.9855070296541442</v>
      </c>
      <c r="BI106" s="3464">
        <f ca="1">BI$93+BI$99+BI$104</f>
        <v>4.6219118260833403</v>
      </c>
      <c r="BJ106" s="3464">
        <f ca="1">SUM(BH106:BI106)</f>
        <v>11.607418855737485</v>
      </c>
      <c r="BL106" s="3478">
        <f t="shared" ca="1" si="256"/>
        <v>0</v>
      </c>
      <c r="BM106" s="636"/>
      <c r="BO106" s="2793">
        <f t="shared" ref="BO106:DE106" ca="1" si="268">BO$93+BO$99+BO$104</f>
        <v>0</v>
      </c>
      <c r="BP106" s="2793">
        <f t="shared" ca="1" si="268"/>
        <v>0</v>
      </c>
      <c r="BQ106" s="2793">
        <f t="shared" ca="1" si="268"/>
        <v>0</v>
      </c>
      <c r="BR106" s="2793">
        <f t="shared" ca="1" si="268"/>
        <v>0</v>
      </c>
      <c r="BS106" s="2793">
        <f t="shared" ca="1" si="268"/>
        <v>0</v>
      </c>
      <c r="BT106" s="2793">
        <f t="shared" ca="1" si="268"/>
        <v>2.1357747727214344E-2</v>
      </c>
      <c r="BU106" s="2793">
        <f t="shared" ca="1" si="268"/>
        <v>0</v>
      </c>
      <c r="BV106" s="2793">
        <f t="shared" ca="1" si="268"/>
        <v>0</v>
      </c>
      <c r="BW106" s="2793">
        <f t="shared" ca="1" si="268"/>
        <v>0</v>
      </c>
      <c r="BX106" s="2793">
        <f t="shared" ca="1" si="268"/>
        <v>0</v>
      </c>
      <c r="BY106" s="2793">
        <f t="shared" ca="1" si="268"/>
        <v>0</v>
      </c>
      <c r="BZ106" s="2793">
        <f t="shared" ca="1" si="268"/>
        <v>0</v>
      </c>
      <c r="CA106" s="2793">
        <f t="shared" ca="1" si="268"/>
        <v>0</v>
      </c>
      <c r="CB106" s="2793">
        <f t="shared" ca="1" si="268"/>
        <v>0</v>
      </c>
      <c r="CC106" s="2793">
        <f t="shared" ca="1" si="268"/>
        <v>0</v>
      </c>
      <c r="CD106" s="2793">
        <f t="shared" ca="1" si="268"/>
        <v>0</v>
      </c>
      <c r="CE106" s="2793">
        <f t="shared" ca="1" si="268"/>
        <v>0</v>
      </c>
      <c r="CF106" s="2793">
        <f t="shared" ca="1" si="268"/>
        <v>0</v>
      </c>
      <c r="CG106" s="2793">
        <f t="shared" ca="1" si="268"/>
        <v>0</v>
      </c>
      <c r="CH106" s="2793">
        <f t="shared" ca="1" si="268"/>
        <v>0</v>
      </c>
      <c r="CI106" s="2793">
        <f t="shared" ca="1" si="268"/>
        <v>0</v>
      </c>
      <c r="CJ106" s="2793">
        <f t="shared" ca="1" si="268"/>
        <v>0</v>
      </c>
      <c r="CK106" s="2793">
        <f t="shared" ca="1" si="268"/>
        <v>0</v>
      </c>
      <c r="CL106" s="2793">
        <f t="shared" ca="1" si="268"/>
        <v>0</v>
      </c>
      <c r="CM106" s="2793">
        <f t="shared" ca="1" si="268"/>
        <v>0</v>
      </c>
      <c r="CN106" s="2793">
        <f t="shared" ca="1" si="268"/>
        <v>0</v>
      </c>
      <c r="CO106" s="2793">
        <f t="shared" ca="1" si="268"/>
        <v>0</v>
      </c>
      <c r="CP106" s="2793">
        <f t="shared" ca="1" si="268"/>
        <v>0</v>
      </c>
      <c r="CQ106" s="2793">
        <f t="shared" ca="1" si="268"/>
        <v>0</v>
      </c>
      <c r="CR106" s="2793">
        <f t="shared" ca="1" si="268"/>
        <v>0</v>
      </c>
      <c r="CS106" s="2793">
        <f t="shared" ca="1" si="268"/>
        <v>0</v>
      </c>
      <c r="CT106" s="2793">
        <f t="shared" ca="1" si="268"/>
        <v>0</v>
      </c>
      <c r="CU106" s="2793">
        <f t="shared" ca="1" si="268"/>
        <v>0</v>
      </c>
      <c r="CV106" s="2793">
        <f t="shared" ca="1" si="268"/>
        <v>0</v>
      </c>
      <c r="CW106" s="2793">
        <f t="shared" ca="1" si="268"/>
        <v>0</v>
      </c>
      <c r="CX106" s="2793">
        <f t="shared" ca="1" si="268"/>
        <v>0</v>
      </c>
      <c r="CY106" s="2793">
        <f t="shared" ca="1" si="268"/>
        <v>-13.709907693984301</v>
      </c>
      <c r="CZ106" s="2793">
        <f t="shared" ca="1" si="268"/>
        <v>0</v>
      </c>
      <c r="DA106" s="2793">
        <f t="shared" ca="1" si="268"/>
        <v>0</v>
      </c>
      <c r="DB106" s="2793">
        <f t="shared" ca="1" si="268"/>
        <v>0</v>
      </c>
      <c r="DC106" s="2793">
        <f t="shared" ca="1" si="268"/>
        <v>0</v>
      </c>
      <c r="DD106" s="2793">
        <f t="shared" ca="1" si="268"/>
        <v>0</v>
      </c>
      <c r="DE106" s="2793">
        <f t="shared" ca="1" si="268"/>
        <v>0</v>
      </c>
      <c r="DF106" s="2793">
        <f ca="1">DF$93+DF$104</f>
        <v>0</v>
      </c>
      <c r="DH106" s="637">
        <f ca="1">SUM(BO106:DF106)</f>
        <v>-13.688549946257087</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5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5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24" customHeight="1" thickBot="1">
      <c r="C109" s="713" t="s">
        <v>592</v>
      </c>
      <c r="D109" s="713"/>
      <c r="E109" s="713"/>
      <c r="G109" s="714">
        <f t="shared" ref="G109:P109" ca="1" si="269">G$40+G$84+G$106</f>
        <v>40.107798280097512</v>
      </c>
      <c r="H109" s="714">
        <f t="shared" ca="1" si="269"/>
        <v>11.588405997071563</v>
      </c>
      <c r="I109" s="714">
        <f t="shared" ca="1" si="269"/>
        <v>33.358518857203755</v>
      </c>
      <c r="J109" s="714">
        <f t="shared" ca="1" si="269"/>
        <v>33.083990769818584</v>
      </c>
      <c r="K109" s="714">
        <f t="shared" ca="1" si="269"/>
        <v>0.36938892884152924</v>
      </c>
      <c r="L109" s="714">
        <f t="shared" ca="1" si="269"/>
        <v>2.5228818186920948E-2</v>
      </c>
      <c r="M109" s="714">
        <f t="shared" ca="1" si="269"/>
        <v>0.66</v>
      </c>
      <c r="N109" s="714">
        <f t="shared" ca="1" si="269"/>
        <v>10.195826064607054</v>
      </c>
      <c r="O109" s="714">
        <f t="shared" ca="1" si="269"/>
        <v>0</v>
      </c>
      <c r="P109" s="714">
        <f t="shared" ca="1" si="269"/>
        <v>0</v>
      </c>
      <c r="Q109" s="714">
        <f ca="1">SUM(G109:P109)</f>
        <v>129.38915771582691</v>
      </c>
      <c r="S109" s="715">
        <f t="shared" ref="S109:AJ109" ca="1" si="270">S$40+S$84+S$106</f>
        <v>-27.377648640111907</v>
      </c>
      <c r="T109" s="715">
        <f t="shared" ca="1" si="270"/>
        <v>27.377648640111907</v>
      </c>
      <c r="U109" s="715">
        <f t="shared" ca="1" si="270"/>
        <v>0</v>
      </c>
      <c r="V109" s="715">
        <f t="shared" ca="1" si="270"/>
        <v>0</v>
      </c>
      <c r="W109" s="715">
        <f t="shared" ca="1" si="270"/>
        <v>0</v>
      </c>
      <c r="X109" s="715">
        <f t="shared" ca="1" si="270"/>
        <v>0</v>
      </c>
      <c r="Y109" s="715">
        <f t="shared" ca="1" si="270"/>
        <v>0</v>
      </c>
      <c r="Z109" s="715">
        <f t="shared" ca="1" si="270"/>
        <v>0</v>
      </c>
      <c r="AA109" s="715">
        <f t="shared" ca="1" si="270"/>
        <v>0</v>
      </c>
      <c r="AB109" s="715">
        <f t="shared" ca="1" si="270"/>
        <v>0</v>
      </c>
      <c r="AC109" s="715">
        <f t="shared" ca="1" si="270"/>
        <v>0</v>
      </c>
      <c r="AD109" s="715">
        <f t="shared" ca="1" si="270"/>
        <v>0</v>
      </c>
      <c r="AE109" s="715">
        <f t="shared" ca="1" si="270"/>
        <v>0</v>
      </c>
      <c r="AF109" s="715">
        <f t="shared" ca="1" si="270"/>
        <v>0</v>
      </c>
      <c r="AG109" s="715">
        <f t="shared" ca="1" si="270"/>
        <v>0</v>
      </c>
      <c r="AH109" s="715">
        <f t="shared" ca="1" si="270"/>
        <v>0</v>
      </c>
      <c r="AI109" s="715">
        <f t="shared" ca="1" si="270"/>
        <v>0</v>
      </c>
      <c r="AJ109" s="715">
        <f t="shared" ca="1" si="270"/>
        <v>0</v>
      </c>
      <c r="AK109" s="715">
        <f ca="1">SUM(S109:AJ109)</f>
        <v>0</v>
      </c>
      <c r="AM109" s="716">
        <f t="shared" ref="AM109:BE109" ca="1" si="271">AM$40+AM$84+AM$106</f>
        <v>0</v>
      </c>
      <c r="AN109" s="716">
        <f t="shared" ca="1" si="271"/>
        <v>0</v>
      </c>
      <c r="AO109" s="716">
        <f t="shared" ca="1" si="271"/>
        <v>0</v>
      </c>
      <c r="AP109" s="716">
        <f t="shared" ca="1" si="271"/>
        <v>39.595554960813011</v>
      </c>
      <c r="AQ109" s="716">
        <f t="shared" ca="1" si="271"/>
        <v>44.501054695560633</v>
      </c>
      <c r="AR109" s="716">
        <f t="shared" ca="1" si="271"/>
        <v>0</v>
      </c>
      <c r="AS109" s="716">
        <f t="shared" ca="1" si="271"/>
        <v>0.22186590218798416</v>
      </c>
      <c r="AT109" s="716">
        <f t="shared" ca="1" si="271"/>
        <v>-53.466242556904533</v>
      </c>
      <c r="AU109" s="716">
        <f t="shared" ca="1" si="271"/>
        <v>-49.707610582817466</v>
      </c>
      <c r="AV109" s="716">
        <f t="shared" ca="1" si="271"/>
        <v>-21.428000000000004</v>
      </c>
      <c r="AW109" s="716">
        <f t="shared" ca="1" si="271"/>
        <v>-5.7058911432863937</v>
      </c>
      <c r="AX109" s="716">
        <f t="shared" ca="1" si="271"/>
        <v>-31.8999123</v>
      </c>
      <c r="AY109" s="716">
        <f t="shared" ca="1" si="271"/>
        <v>-1.5778800000000002</v>
      </c>
      <c r="AZ109" s="716">
        <f t="shared" ca="1" si="271"/>
        <v>-5.2070040000000004</v>
      </c>
      <c r="BA109" s="716">
        <f t="shared" ca="1" si="271"/>
        <v>0</v>
      </c>
      <c r="BB109" s="716">
        <f t="shared" ca="1" si="271"/>
        <v>-0.78946596000000002</v>
      </c>
      <c r="BC109" s="716">
        <f t="shared" ca="1" si="271"/>
        <v>-6.6374144344193087E-2</v>
      </c>
      <c r="BD109" s="716">
        <f t="shared" ca="1" si="271"/>
        <v>-62.656428421958964</v>
      </c>
      <c r="BE109" s="716">
        <f t="shared" ca="1" si="271"/>
        <v>-32.134064682425347</v>
      </c>
      <c r="BF109" s="716">
        <f ca="1">SUM(AM109:BE109)</f>
        <v>-180.32039823317524</v>
      </c>
      <c r="BH109" s="3469">
        <f ca="1">BH$40+BH$84+BH$106</f>
        <v>42.004687519879397</v>
      </c>
      <c r="BI109" s="3469">
        <f ca="1">BI$40+BI$84+BI$106</f>
        <v>8.9265529974689564</v>
      </c>
      <c r="BJ109" s="3469">
        <f ca="1">SUM(BH109:BI109)</f>
        <v>50.931240517348357</v>
      </c>
      <c r="BL109" s="3479">
        <f t="shared" ca="1" si="256"/>
        <v>0</v>
      </c>
      <c r="BM109" s="577"/>
      <c r="BO109" s="2798">
        <f t="shared" ref="BO109:DF109" ca="1" si="272">BO$40+BO$84+BO$106</f>
        <v>35.537145324201987</v>
      </c>
      <c r="BP109" s="2798">
        <f t="shared" ca="1" si="272"/>
        <v>1.7574128725119292E-2</v>
      </c>
      <c r="BQ109" s="2798">
        <f t="shared" ca="1" si="272"/>
        <v>0.2574380253430662</v>
      </c>
      <c r="BR109" s="2798">
        <f t="shared" ca="1" si="272"/>
        <v>0</v>
      </c>
      <c r="BS109" s="2798">
        <f t="shared" ca="1" si="272"/>
        <v>0</v>
      </c>
      <c r="BT109" s="2798">
        <f t="shared" ca="1" si="272"/>
        <v>2.1357747727214344E-2</v>
      </c>
      <c r="BU109" s="2798">
        <f t="shared" ca="1" si="272"/>
        <v>0</v>
      </c>
      <c r="BV109" s="2798">
        <f t="shared" ca="1" si="272"/>
        <v>0</v>
      </c>
      <c r="BW109" s="2798">
        <f t="shared" ca="1" si="272"/>
        <v>0.70168052689576832</v>
      </c>
      <c r="BX109" s="2798">
        <f t="shared" ca="1" si="272"/>
        <v>0</v>
      </c>
      <c r="BY109" s="2798">
        <f t="shared" ca="1" si="272"/>
        <v>0</v>
      </c>
      <c r="BZ109" s="2798">
        <f t="shared" ca="1" si="272"/>
        <v>0.65537525174047484</v>
      </c>
      <c r="CA109" s="2798">
        <f t="shared" ca="1" si="272"/>
        <v>0</v>
      </c>
      <c r="CB109" s="2798">
        <f t="shared" ca="1" si="272"/>
        <v>0</v>
      </c>
      <c r="CC109" s="2798">
        <f t="shared" ca="1" si="272"/>
        <v>0</v>
      </c>
      <c r="CD109" s="2798">
        <f t="shared" ca="1" si="272"/>
        <v>0</v>
      </c>
      <c r="CE109" s="2798">
        <f t="shared" ca="1" si="272"/>
        <v>0</v>
      </c>
      <c r="CF109" s="2798">
        <f t="shared" ca="1" si="272"/>
        <v>7.8636790414262387</v>
      </c>
      <c r="CG109" s="2798">
        <f t="shared" ca="1" si="272"/>
        <v>5.9121593570473818</v>
      </c>
      <c r="CH109" s="2798">
        <f t="shared" ca="1" si="272"/>
        <v>0</v>
      </c>
      <c r="CI109" s="2798">
        <f t="shared" ca="1" si="272"/>
        <v>-2.4850551056747112</v>
      </c>
      <c r="CJ109" s="2798">
        <f t="shared" ca="1" si="272"/>
        <v>0</v>
      </c>
      <c r="CK109" s="2798">
        <f t="shared" ca="1" si="272"/>
        <v>0</v>
      </c>
      <c r="CL109" s="2798">
        <f t="shared" ca="1" si="272"/>
        <v>0</v>
      </c>
      <c r="CM109" s="2798">
        <f t="shared" ca="1" si="272"/>
        <v>0</v>
      </c>
      <c r="CN109" s="2798">
        <f t="shared" ca="1" si="272"/>
        <v>0.41798160141775098</v>
      </c>
      <c r="CO109" s="2798">
        <f t="shared" ca="1" si="272"/>
        <v>6.1171082142857144E-2</v>
      </c>
      <c r="CP109" s="2798">
        <f t="shared" ca="1" si="272"/>
        <v>0</v>
      </c>
      <c r="CQ109" s="2798">
        <f t="shared" ca="1" si="272"/>
        <v>0</v>
      </c>
      <c r="CR109" s="2798">
        <f t="shared" ca="1" si="272"/>
        <v>0</v>
      </c>
      <c r="CS109" s="2798">
        <f t="shared" ca="1" si="272"/>
        <v>0</v>
      </c>
      <c r="CT109" s="2798">
        <f t="shared" ca="1" si="272"/>
        <v>0</v>
      </c>
      <c r="CU109" s="2798">
        <f t="shared" ca="1" si="272"/>
        <v>2.690474581928509</v>
      </c>
      <c r="CV109" s="2798">
        <f t="shared" ca="1" si="272"/>
        <v>2.31241335145288E-3</v>
      </c>
      <c r="CW109" s="2798">
        <f t="shared" ca="1" si="272"/>
        <v>6.8271251328608836E-3</v>
      </c>
      <c r="CX109" s="2798">
        <f t="shared" ca="1" si="272"/>
        <v>0</v>
      </c>
      <c r="CY109" s="2798">
        <f t="shared" ca="1" si="272"/>
        <v>-13.709907693984301</v>
      </c>
      <c r="CZ109" s="2798">
        <f t="shared" ca="1" si="272"/>
        <v>0</v>
      </c>
      <c r="DA109" s="2798">
        <f t="shared" ca="1" si="272"/>
        <v>0</v>
      </c>
      <c r="DB109" s="2798">
        <f t="shared" ca="1" si="272"/>
        <v>0</v>
      </c>
      <c r="DC109" s="2798">
        <f t="shared" ca="1" si="272"/>
        <v>-3.2687102856857142</v>
      </c>
      <c r="DD109" s="2798">
        <f t="shared" ca="1" si="272"/>
        <v>0</v>
      </c>
      <c r="DE109" s="2798">
        <f t="shared" ca="1" si="272"/>
        <v>0</v>
      </c>
      <c r="DF109" s="2798">
        <f t="shared" ca="1" si="272"/>
        <v>0</v>
      </c>
      <c r="DH109" s="637">
        <f ca="1">SUM(BO109:DF109)</f>
        <v>34.681503121735958</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DF112" s="382" t="s">
        <v>593</v>
      </c>
      <c r="DH112" s="723">
        <f ca="1">SUM(DH63,DH68,DH76,DH82)</f>
        <v>8.4849416829636528</v>
      </c>
    </row>
    <row r="113" spans="2:112">
      <c r="B113" s="2685"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DF113" s="382" t="s">
        <v>595</v>
      </c>
      <c r="DH113" s="723">
        <f ca="1">T109-MIN(T103,0)-T72</f>
        <v>78.882494478490315</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DF114" s="382" t="s">
        <v>596</v>
      </c>
      <c r="DH114" s="2685">
        <f ca="1">DH112/DH113</f>
        <v>0.10756431752139034</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ht="24" customHeight="1">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DH148"/>
  <sheetViews>
    <sheetView topLeftCell="K93" workbookViewId="0">
      <selection activeCell="U109" sqref="U109"/>
    </sheetView>
  </sheetViews>
  <sheetFormatPr defaultColWidth="8.85546875" defaultRowHeight="15" outlineLevelRow="2" outlineLevelCol="2"/>
  <cols>
    <col min="1" max="1" width="1.7109375" style="2685" customWidth="1"/>
    <col min="2" max="2" width="1.42578125" style="2685" customWidth="1"/>
    <col min="3" max="3" width="4.42578125" style="518" customWidth="1"/>
    <col min="4" max="4" width="3.85546875" style="519" customWidth="1"/>
    <col min="5" max="5" width="41.7109375" style="519" customWidth="1"/>
    <col min="6" max="6" width="1.140625" style="268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style="2685" customWidth="1" outlineLevel="1"/>
    <col min="19" max="19" width="11.7109375" style="519" customWidth="1" outlineLevel="2"/>
    <col min="20" max="36" width="10" style="519" customWidth="1" outlineLevel="2"/>
    <col min="37" max="37" width="10" style="519" customWidth="1" outlineLevel="1"/>
    <col min="38" max="38" width="1.140625" style="2685" customWidth="1" outlineLevel="1"/>
    <col min="39" max="57" width="10" style="519" customWidth="1" outlineLevel="2"/>
    <col min="58" max="58" width="10" style="519" customWidth="1" outlineLevel="1"/>
    <col min="59" max="59" width="1.140625" style="2685" customWidth="1" outlineLevel="1"/>
    <col min="60" max="61" width="10" style="519" customWidth="1" outlineLevel="2"/>
    <col min="62" max="62" width="10" style="519" customWidth="1" outlineLevel="1"/>
    <col min="63" max="63" width="1.140625" style="2685" customWidth="1" outlineLevel="1"/>
    <col min="64" max="64" width="11" style="519" customWidth="1" outlineLevel="1"/>
    <col min="65" max="65" width="5.28515625" style="519" customWidth="1"/>
    <col min="66" max="66" width="8.85546875" style="2685"/>
    <col min="67" max="110" width="7.42578125" style="2685" customWidth="1"/>
    <col min="111" max="111" width="2.42578125" style="2685" customWidth="1"/>
    <col min="112" max="16384" width="8.85546875" style="2685"/>
  </cols>
  <sheetData>
    <row r="1" spans="1:112" ht="6" customHeight="1"/>
    <row r="2" spans="1:112" ht="21" customHeight="1">
      <c r="D2" s="521"/>
      <c r="E2" s="522">
        <v>2045</v>
      </c>
      <c r="G2" s="2685"/>
      <c r="H2" s="2685"/>
      <c r="I2" s="2685"/>
      <c r="J2" s="2685"/>
      <c r="K2" s="2685"/>
      <c r="L2" s="2685"/>
      <c r="M2" s="2685"/>
      <c r="N2" s="2685"/>
      <c r="O2" s="2685"/>
      <c r="P2" s="2685"/>
      <c r="Q2" s="2685"/>
      <c r="S2" s="383"/>
      <c r="T2" s="383"/>
      <c r="U2" s="383"/>
      <c r="V2" s="383"/>
      <c r="W2" s="383"/>
      <c r="X2" s="2685"/>
      <c r="Y2" s="2685"/>
      <c r="Z2" s="2685"/>
      <c r="AA2" s="2685"/>
      <c r="AB2" s="2685"/>
      <c r="AC2" s="2685"/>
      <c r="AD2" s="2685"/>
      <c r="AE2" s="2685"/>
      <c r="AF2" s="2685"/>
      <c r="AG2" s="2685"/>
      <c r="AH2" s="2685"/>
      <c r="AI2" s="2685"/>
      <c r="AJ2" s="2685"/>
      <c r="AK2" s="2685"/>
      <c r="AM2" s="2685"/>
      <c r="AN2" s="2685"/>
      <c r="AO2" s="2685"/>
      <c r="AP2" s="2685"/>
      <c r="AQ2" s="2685"/>
      <c r="AR2" s="2685"/>
      <c r="AS2" s="2685"/>
      <c r="AT2" s="2685"/>
      <c r="AU2" s="2685"/>
      <c r="AV2" s="2685"/>
      <c r="AW2" s="2685"/>
      <c r="AX2" s="2685"/>
      <c r="AY2" s="2685"/>
      <c r="AZ2" s="2685"/>
      <c r="BA2" s="2685"/>
      <c r="BB2" s="2685"/>
      <c r="BC2" s="2685"/>
      <c r="BD2" s="2685"/>
      <c r="BE2" s="2685"/>
      <c r="BF2" s="2685"/>
      <c r="BH2" s="2685"/>
      <c r="BI2" s="2685"/>
      <c r="BJ2" s="2685"/>
      <c r="BL2" s="2685"/>
      <c r="BM2" s="523"/>
    </row>
    <row r="3" spans="1:112" ht="39" customHeight="1">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36.75" customHeight="1">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ht="15.75" customHeight="1">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8" customHeight="1">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ht="6" customHeight="1" outlineLevel="1">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ht="10.5" customHeight="1" outlineLevel="2">
      <c r="A9" s="586"/>
      <c r="B9" s="586"/>
      <c r="C9" s="587" t="s">
        <v>2</v>
      </c>
      <c r="D9" s="586" t="s">
        <v>3</v>
      </c>
      <c r="E9" s="588"/>
      <c r="G9" s="589">
        <f ca="1">IFERROR(INDEX(INDIRECT($C9&amp;".Outputs["&amp;this.Year&amp;"]"), MATCH(G$5, INDIRECT($C9&amp;".Outputs[Vector]"), 0)), 0)</f>
        <v>25.26526230640583</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25.26526230640583</v>
      </c>
      <c r="S9" s="591">
        <f t="shared" ref="S9:AJ13" ca="1" si="2">IFERROR(INDEX(INDIRECT($C9&amp;".Outputs["&amp;this.Year&amp;"]"), MATCH(S$5, INDIRECT($C9&amp;".Outputs[Vector]"), 0)), 0)</f>
        <v>-1.9266970572248459</v>
      </c>
      <c r="T9" s="591">
        <f t="shared" ca="1" si="2"/>
        <v>0</v>
      </c>
      <c r="U9" s="591">
        <f t="shared" ca="1" si="2"/>
        <v>-3.3417807674940292E-2</v>
      </c>
      <c r="V9" s="591">
        <f t="shared" ca="1" si="2"/>
        <v>-1.6484970074699921</v>
      </c>
      <c r="W9" s="591">
        <f t="shared" ca="1" si="2"/>
        <v>-18.42610368749196</v>
      </c>
      <c r="X9" s="591">
        <f t="shared" ref="X9:Z10" ca="1" si="3">IFERROR(INDEX(INDIRECT($C9&amp;".Outputs["&amp;this.Year&amp;"]"), MATCH(X$5, INDIRECT($C9&amp;".Outputs[Vector]"), 0)), 0)</f>
        <v>0</v>
      </c>
      <c r="Y9" s="591">
        <f t="shared" ca="1" si="3"/>
        <v>0</v>
      </c>
      <c r="Z9" s="591">
        <f t="shared" ca="1" si="3"/>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-3.2093197943966696</v>
      </c>
      <c r="AJ9" s="591">
        <f t="shared" ca="1" si="2"/>
        <v>0</v>
      </c>
      <c r="AK9" s="592">
        <f t="shared" ref="AK9:AK15" ca="1" si="4">SUM(S9:AJ9)</f>
        <v>-25.244035354258408</v>
      </c>
      <c r="AM9" s="593">
        <f t="shared" ref="AM9:AU10" ca="1" si="5">IFERROR(INDEX(INDIRECT($C9&amp;".Outputs["&amp;this.Year&amp;"]"), MATCH(AM$5, INDIRECT($C9&amp;".Outputs[Vector]"), 0)), 0)</f>
        <v>0</v>
      </c>
      <c r="AN9" s="593">
        <f t="shared" ca="1" si="5"/>
        <v>0</v>
      </c>
      <c r="AO9" s="593">
        <f t="shared" ca="1" si="5"/>
        <v>0</v>
      </c>
      <c r="AP9" s="593">
        <f t="shared" ca="1" si="5"/>
        <v>0</v>
      </c>
      <c r="AQ9" s="593">
        <f t="shared" ca="1" si="5"/>
        <v>0</v>
      </c>
      <c r="AR9" s="593">
        <f t="shared" ca="1" si="5"/>
        <v>0</v>
      </c>
      <c r="AS9" s="593">
        <f t="shared" ca="1" si="5"/>
        <v>0</v>
      </c>
      <c r="AT9" s="593">
        <f t="shared" ca="1" si="5"/>
        <v>0</v>
      </c>
      <c r="AU9" s="593">
        <f t="shared" ca="1" si="5"/>
        <v>0</v>
      </c>
      <c r="AV9" s="593">
        <f t="shared" ref="AV9:BE13" ca="1" si="6">IFERROR(INDEX(INDIRECT($C9&amp;".Outputs["&amp;this.Year&amp;"]"), MATCH(AV$5, INDIRECT($C9&amp;".Outputs[Vector]"), 0)), 0)</f>
        <v>0</v>
      </c>
      <c r="AW9" s="593">
        <f t="shared" ca="1" si="6"/>
        <v>0</v>
      </c>
      <c r="AX9" s="593">
        <f t="shared" ca="1" si="6"/>
        <v>0</v>
      </c>
      <c r="AY9" s="593">
        <f t="shared" ca="1" si="6"/>
        <v>0</v>
      </c>
      <c r="AZ9" s="593">
        <f t="shared" ca="1" si="6"/>
        <v>0</v>
      </c>
      <c r="BA9" s="593">
        <f t="shared" ca="1" si="6"/>
        <v>0</v>
      </c>
      <c r="BB9" s="593">
        <f t="shared" ca="1" si="6"/>
        <v>0</v>
      </c>
      <c r="BC9" s="593">
        <f t="shared" ca="1" si="6"/>
        <v>-2.1226952147421783E-2</v>
      </c>
      <c r="BD9" s="593">
        <f t="shared" ca="1" si="6"/>
        <v>0</v>
      </c>
      <c r="BE9" s="593">
        <f t="shared" ca="1" si="6"/>
        <v>0</v>
      </c>
      <c r="BF9" s="594">
        <f t="shared" ref="BF9:BF15" ca="1" si="7">SUM(AM9:BE9)</f>
        <v>-2.1226952147421783E-2</v>
      </c>
      <c r="BH9" s="3471">
        <f ca="1">IFERROR(INDEX(INDIRECT($C9&amp;".Outputs["&amp;this.Year&amp;"]"), MATCH(BH$5, INDIRECT($C9&amp;".Outputs[Vector]"), 0)), 0)</f>
        <v>0</v>
      </c>
      <c r="BI9" s="3471">
        <f t="shared" ref="BH9:BI13" ca="1" si="8">IFERROR(INDEX(INDIRECT($C9&amp;".Outputs["&amp;this.Year&amp;"]"), MATCH(BI$5, INDIRECT($C9&amp;".Outputs[Vector]"), 0)), 0)</f>
        <v>0</v>
      </c>
      <c r="BJ9" s="3460">
        <f t="shared" ref="BJ9:BJ15" ca="1" si="9">SUM(BH9:BI9)</f>
        <v>0</v>
      </c>
      <c r="BL9" s="595">
        <f t="shared" ref="BL9:BL44" ca="1" si="10">Q9+AK9+BF9+BJ9</f>
        <v>8.6736173798840355E-16</v>
      </c>
      <c r="BM9" s="595"/>
      <c r="BN9" s="413"/>
      <c r="BO9" s="2789">
        <f t="shared" ref="BO9:BX10" ca="1" si="11">IFERROR(SUMIFS(INDIRECT($C9&amp;".Emissions["&amp;this.Year&amp;"]"), INDIRECT($C9&amp;".Emissions[GHG]"), BO$6, INDIRECT($C9&amp;".Emissions[IPCC Sector]"), BO$5),0)</f>
        <v>4.2185020489889125</v>
      </c>
      <c r="BP9" s="2790">
        <f t="shared" ca="1" si="11"/>
        <v>1.7686610304507443E-3</v>
      </c>
      <c r="BQ9" s="2790">
        <f t="shared" ca="1" si="11"/>
        <v>6.0756722707083502E-2</v>
      </c>
      <c r="BR9" s="2790">
        <f t="shared" ca="1" si="11"/>
        <v>0</v>
      </c>
      <c r="BS9" s="2790">
        <f t="shared" ca="1" si="11"/>
        <v>0</v>
      </c>
      <c r="BT9" s="2790">
        <f t="shared" ca="1" si="11"/>
        <v>0</v>
      </c>
      <c r="BU9" s="2790">
        <f t="shared" ca="1" si="11"/>
        <v>0</v>
      </c>
      <c r="BV9" s="2790">
        <f t="shared" ca="1" si="11"/>
        <v>0</v>
      </c>
      <c r="BW9" s="2790">
        <f t="shared" ca="1" si="11"/>
        <v>0</v>
      </c>
      <c r="BX9" s="2790">
        <f t="shared" ca="1" si="11"/>
        <v>0</v>
      </c>
      <c r="BY9" s="2790">
        <f t="shared" ref="BY9:CH10" ca="1" si="12">IFERROR(SUMIFS(INDIRECT($C9&amp;".Emissions["&amp;this.Year&amp;"]"), INDIRECT($C9&amp;".Emissions[GHG]"), BY$6, INDIRECT($C9&amp;".Emissions[IPCC Sector]"), BY$5),0)</f>
        <v>0</v>
      </c>
      <c r="BZ9" s="2790">
        <f t="shared" ca="1" si="12"/>
        <v>0</v>
      </c>
      <c r="CA9" s="2790">
        <f t="shared" ca="1" si="12"/>
        <v>0</v>
      </c>
      <c r="CB9" s="2790">
        <f t="shared" ca="1" si="12"/>
        <v>0</v>
      </c>
      <c r="CC9" s="2790">
        <f t="shared" ca="1" si="12"/>
        <v>0</v>
      </c>
      <c r="CD9" s="2790">
        <f t="shared" ca="1" si="12"/>
        <v>0</v>
      </c>
      <c r="CE9" s="2790">
        <f t="shared" ca="1" si="12"/>
        <v>0</v>
      </c>
      <c r="CF9" s="2790">
        <f t="shared" ca="1" si="12"/>
        <v>0</v>
      </c>
      <c r="CG9" s="2790">
        <f t="shared" ca="1" si="12"/>
        <v>0</v>
      </c>
      <c r="CH9" s="2790">
        <f t="shared" ca="1" si="12"/>
        <v>0</v>
      </c>
      <c r="CI9" s="2790">
        <f t="shared" ref="CI9:CR10" ca="1" si="13">IFERROR(SUMIFS(INDIRECT($C9&amp;".Emissions["&amp;this.Year&amp;"]"), INDIRECT($C9&amp;".Emissions[GHG]"), CI$6, INDIRECT($C9&amp;".Emissions[IPCC Sector]"), CI$5),0)</f>
        <v>0</v>
      </c>
      <c r="CJ9" s="2790">
        <f t="shared" ca="1" si="13"/>
        <v>0</v>
      </c>
      <c r="CK9" s="2790">
        <f t="shared" ca="1" si="13"/>
        <v>0</v>
      </c>
      <c r="CL9" s="2790">
        <f t="shared" ca="1" si="13"/>
        <v>0</v>
      </c>
      <c r="CM9" s="2790">
        <f t="shared" ca="1" si="13"/>
        <v>0</v>
      </c>
      <c r="CN9" s="2790">
        <f t="shared" ca="1" si="13"/>
        <v>0</v>
      </c>
      <c r="CO9" s="2790">
        <f t="shared" ca="1" si="13"/>
        <v>0</v>
      </c>
      <c r="CP9" s="2790">
        <f t="shared" ca="1" si="13"/>
        <v>0</v>
      </c>
      <c r="CQ9" s="2790">
        <f t="shared" ca="1" si="13"/>
        <v>0</v>
      </c>
      <c r="CR9" s="2790">
        <f t="shared" ca="1" si="13"/>
        <v>0</v>
      </c>
      <c r="CS9" s="2790">
        <f t="shared" ref="CS9:DF10" ca="1" si="14">IFERROR(SUMIFS(INDIRECT($C9&amp;".Emissions["&amp;this.Year&amp;"]"), INDIRECT($C9&amp;".Emissions[GHG]"), CS$6, INDIRECT($C9&amp;".Emissions[IPCC Sector]"), CS$5),0)</f>
        <v>0</v>
      </c>
      <c r="CT9" s="2790">
        <f t="shared" ca="1" si="14"/>
        <v>0</v>
      </c>
      <c r="CU9" s="2790">
        <f t="shared" ca="1" si="14"/>
        <v>0</v>
      </c>
      <c r="CV9" s="2790">
        <f t="shared" ca="1" si="14"/>
        <v>0</v>
      </c>
      <c r="CW9" s="2790">
        <f t="shared" ca="1" si="14"/>
        <v>0</v>
      </c>
      <c r="CX9" s="2790">
        <f t="shared" ca="1" si="14"/>
        <v>0</v>
      </c>
      <c r="CY9" s="2790">
        <f t="shared" ca="1" si="14"/>
        <v>0</v>
      </c>
      <c r="CZ9" s="2790">
        <f t="shared" ca="1" si="14"/>
        <v>0</v>
      </c>
      <c r="DA9" s="2790">
        <f t="shared" ca="1" si="14"/>
        <v>0</v>
      </c>
      <c r="DB9" s="2790">
        <f t="shared" ca="1" si="14"/>
        <v>0</v>
      </c>
      <c r="DC9" s="2790">
        <f t="shared" ca="1" si="14"/>
        <v>0</v>
      </c>
      <c r="DD9" s="2790">
        <f t="shared" ca="1" si="14"/>
        <v>0</v>
      </c>
      <c r="DE9" s="2790">
        <f t="shared" ca="1" si="14"/>
        <v>0</v>
      </c>
      <c r="DF9" s="2790">
        <f t="shared" ca="1" si="14"/>
        <v>0</v>
      </c>
      <c r="DH9" s="596"/>
    </row>
    <row r="10" spans="1:112" s="6" customFormat="1" ht="10.5" customHeight="1" outlineLevel="2">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3"/>
        <v>0</v>
      </c>
      <c r="Y10" s="602">
        <f t="shared" ca="1" si="3"/>
        <v>0</v>
      </c>
      <c r="Z10" s="602">
        <f t="shared" ca="1" si="3"/>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4"/>
        <v>0</v>
      </c>
      <c r="AM10" s="604">
        <f t="shared" ca="1" si="5"/>
        <v>0</v>
      </c>
      <c r="AN10" s="604">
        <f t="shared" ca="1" si="5"/>
        <v>0</v>
      </c>
      <c r="AO10" s="604">
        <f t="shared" ca="1" si="5"/>
        <v>0</v>
      </c>
      <c r="AP10" s="604">
        <f t="shared" ca="1" si="5"/>
        <v>0</v>
      </c>
      <c r="AQ10" s="604">
        <f t="shared" ca="1" si="5"/>
        <v>0</v>
      </c>
      <c r="AR10" s="604">
        <f t="shared" ca="1" si="5"/>
        <v>0</v>
      </c>
      <c r="AS10" s="604">
        <f t="shared" ca="1" si="5"/>
        <v>0</v>
      </c>
      <c r="AT10" s="604">
        <f t="shared" ca="1" si="5"/>
        <v>0</v>
      </c>
      <c r="AU10" s="604">
        <f t="shared" ca="1" si="5"/>
        <v>0</v>
      </c>
      <c r="AV10" s="604">
        <f t="shared" ca="1" si="6"/>
        <v>0</v>
      </c>
      <c r="AW10" s="604">
        <f t="shared" ca="1" si="6"/>
        <v>0</v>
      </c>
      <c r="AX10" s="604">
        <f t="shared" ca="1" si="6"/>
        <v>0</v>
      </c>
      <c r="AY10" s="604">
        <f t="shared" ca="1" si="6"/>
        <v>0</v>
      </c>
      <c r="AZ10" s="604">
        <f t="shared" ca="1" si="6"/>
        <v>0</v>
      </c>
      <c r="BA10" s="604">
        <f t="shared" ca="1" si="6"/>
        <v>0</v>
      </c>
      <c r="BB10" s="604">
        <f t="shared" ca="1" si="6"/>
        <v>0</v>
      </c>
      <c r="BC10" s="604">
        <f t="shared" ca="1" si="6"/>
        <v>0</v>
      </c>
      <c r="BD10" s="604">
        <f t="shared" ca="1" si="6"/>
        <v>0</v>
      </c>
      <c r="BE10" s="604">
        <f t="shared" ca="1" si="6"/>
        <v>0</v>
      </c>
      <c r="BF10" s="605">
        <f t="shared" ca="1" si="7"/>
        <v>0</v>
      </c>
      <c r="BH10" s="3472">
        <f t="shared" ca="1" si="8"/>
        <v>0</v>
      </c>
      <c r="BI10" s="3472">
        <f t="shared" ca="1" si="8"/>
        <v>0</v>
      </c>
      <c r="BJ10" s="3461">
        <f t="shared" ca="1" si="9"/>
        <v>0</v>
      </c>
      <c r="BL10" s="606">
        <f t="shared" ca="1" si="10"/>
        <v>0</v>
      </c>
      <c r="BM10" s="606"/>
      <c r="BN10" s="413"/>
      <c r="BO10" s="2789">
        <f t="shared" ca="1" si="11"/>
        <v>0</v>
      </c>
      <c r="BP10" s="2790">
        <f t="shared" ca="1" si="11"/>
        <v>0</v>
      </c>
      <c r="BQ10" s="2790">
        <f t="shared" ca="1" si="11"/>
        <v>0</v>
      </c>
      <c r="BR10" s="2790">
        <f t="shared" ca="1" si="11"/>
        <v>0</v>
      </c>
      <c r="BS10" s="2790">
        <f t="shared" ca="1" si="11"/>
        <v>0</v>
      </c>
      <c r="BT10" s="2790">
        <f t="shared" ca="1" si="11"/>
        <v>0</v>
      </c>
      <c r="BU10" s="2790">
        <f t="shared" ca="1" si="11"/>
        <v>0</v>
      </c>
      <c r="BV10" s="2790">
        <f t="shared" ca="1" si="11"/>
        <v>0</v>
      </c>
      <c r="BW10" s="2790">
        <f t="shared" ca="1" si="11"/>
        <v>0</v>
      </c>
      <c r="BX10" s="2790">
        <f t="shared" ca="1" si="11"/>
        <v>0</v>
      </c>
      <c r="BY10" s="2790">
        <f t="shared" ca="1" si="12"/>
        <v>0</v>
      </c>
      <c r="BZ10" s="2790">
        <f t="shared" ca="1" si="12"/>
        <v>0</v>
      </c>
      <c r="CA10" s="2790">
        <f t="shared" ca="1" si="12"/>
        <v>0</v>
      </c>
      <c r="CB10" s="2790">
        <f t="shared" ca="1" si="12"/>
        <v>0</v>
      </c>
      <c r="CC10" s="2790">
        <f t="shared" ca="1" si="12"/>
        <v>0</v>
      </c>
      <c r="CD10" s="2790">
        <f t="shared" ca="1" si="12"/>
        <v>0</v>
      </c>
      <c r="CE10" s="2790">
        <f t="shared" ca="1" si="12"/>
        <v>0</v>
      </c>
      <c r="CF10" s="2790">
        <f t="shared" ca="1" si="12"/>
        <v>0</v>
      </c>
      <c r="CG10" s="2790">
        <f t="shared" ca="1" si="12"/>
        <v>0</v>
      </c>
      <c r="CH10" s="2790">
        <f t="shared" ca="1" si="12"/>
        <v>0</v>
      </c>
      <c r="CI10" s="2790">
        <f t="shared" ca="1" si="13"/>
        <v>0</v>
      </c>
      <c r="CJ10" s="2790">
        <f t="shared" ca="1" si="13"/>
        <v>0</v>
      </c>
      <c r="CK10" s="2790">
        <f t="shared" ca="1" si="13"/>
        <v>0</v>
      </c>
      <c r="CL10" s="2790">
        <f t="shared" ca="1" si="13"/>
        <v>0</v>
      </c>
      <c r="CM10" s="2790">
        <f t="shared" ca="1" si="13"/>
        <v>0</v>
      </c>
      <c r="CN10" s="2790">
        <f t="shared" ca="1" si="13"/>
        <v>0</v>
      </c>
      <c r="CO10" s="2790">
        <f t="shared" ca="1" si="13"/>
        <v>0</v>
      </c>
      <c r="CP10" s="2790">
        <f t="shared" ca="1" si="13"/>
        <v>0</v>
      </c>
      <c r="CQ10" s="2790">
        <f t="shared" ca="1" si="13"/>
        <v>0</v>
      </c>
      <c r="CR10" s="2790">
        <f t="shared" ca="1" si="13"/>
        <v>0</v>
      </c>
      <c r="CS10" s="2790">
        <f t="shared" ca="1" si="14"/>
        <v>0</v>
      </c>
      <c r="CT10" s="2790">
        <f t="shared" ca="1" si="14"/>
        <v>0</v>
      </c>
      <c r="CU10" s="2790">
        <f t="shared" ca="1" si="14"/>
        <v>0</v>
      </c>
      <c r="CV10" s="2790">
        <f t="shared" ca="1" si="14"/>
        <v>0</v>
      </c>
      <c r="CW10" s="2790">
        <f t="shared" ca="1" si="14"/>
        <v>0</v>
      </c>
      <c r="CX10" s="2790">
        <f t="shared" ca="1" si="14"/>
        <v>0</v>
      </c>
      <c r="CY10" s="2790">
        <f t="shared" ca="1" si="14"/>
        <v>0</v>
      </c>
      <c r="CZ10" s="2790">
        <f t="shared" ca="1" si="14"/>
        <v>0</v>
      </c>
      <c r="DA10" s="2790">
        <f t="shared" ca="1" si="14"/>
        <v>0</v>
      </c>
      <c r="DB10" s="2790">
        <f t="shared" ca="1" si="14"/>
        <v>0</v>
      </c>
      <c r="DC10" s="2790">
        <f t="shared" ca="1" si="14"/>
        <v>0</v>
      </c>
      <c r="DD10" s="2790">
        <f t="shared" ca="1" si="14"/>
        <v>0</v>
      </c>
      <c r="DE10" s="2790">
        <f t="shared" ca="1" si="14"/>
        <v>0</v>
      </c>
      <c r="DF10" s="2790">
        <f t="shared" ca="1" si="14"/>
        <v>0</v>
      </c>
      <c r="DH10" s="596"/>
    </row>
    <row r="11" spans="1:112" s="6" customFormat="1" ht="12.75" customHeight="1" outlineLevel="1">
      <c r="A11" s="607"/>
      <c r="B11" s="607"/>
      <c r="C11" s="587"/>
      <c r="D11" s="607" t="s">
        <v>464</v>
      </c>
      <c r="E11" s="588"/>
      <c r="G11" s="590">
        <f ca="1">SUM(G9:G10)</f>
        <v>25.26526230640583</v>
      </c>
      <c r="H11" s="590">
        <f t="shared" ref="H11:P11" ca="1" si="15">SUM(H9:H10)</f>
        <v>0</v>
      </c>
      <c r="I11" s="590">
        <f t="shared" ca="1" si="15"/>
        <v>0</v>
      </c>
      <c r="J11" s="590">
        <f t="shared" ca="1" si="15"/>
        <v>0</v>
      </c>
      <c r="K11" s="590">
        <f t="shared" ca="1" si="15"/>
        <v>0</v>
      </c>
      <c r="L11" s="590">
        <f t="shared" ca="1" si="15"/>
        <v>0</v>
      </c>
      <c r="M11" s="590">
        <f t="shared" ca="1" si="15"/>
        <v>0</v>
      </c>
      <c r="N11" s="590">
        <f ca="1">SUM(N9:N10)</f>
        <v>0</v>
      </c>
      <c r="O11" s="590">
        <f ca="1">SUM(O9:O10)</f>
        <v>0</v>
      </c>
      <c r="P11" s="590">
        <f t="shared" ca="1" si="15"/>
        <v>0</v>
      </c>
      <c r="Q11" s="590">
        <f t="shared" ca="1" si="1"/>
        <v>25.26526230640583</v>
      </c>
      <c r="S11" s="592">
        <f ca="1">SUM(S9:S10)</f>
        <v>-1.9266970572248459</v>
      </c>
      <c r="T11" s="592">
        <f t="shared" ref="T11:AJ11" ca="1" si="16">SUM(T9:T10)</f>
        <v>0</v>
      </c>
      <c r="U11" s="592">
        <f t="shared" ca="1" si="16"/>
        <v>-3.3417807674940292E-2</v>
      </c>
      <c r="V11" s="592">
        <f t="shared" ca="1" si="16"/>
        <v>-1.6484970074699921</v>
      </c>
      <c r="W11" s="592">
        <f t="shared" ca="1" si="16"/>
        <v>-18.42610368749196</v>
      </c>
      <c r="X11" s="592">
        <f ca="1">SUM(X9:X10)</f>
        <v>0</v>
      </c>
      <c r="Y11" s="592">
        <f ca="1">SUM(Y9:Y10)</f>
        <v>0</v>
      </c>
      <c r="Z11" s="592">
        <f ca="1">SUM(Z9:Z10)</f>
        <v>0</v>
      </c>
      <c r="AA11" s="592">
        <f t="shared" ca="1" si="16"/>
        <v>0</v>
      </c>
      <c r="AB11" s="592">
        <f t="shared" ca="1" si="16"/>
        <v>0</v>
      </c>
      <c r="AC11" s="592">
        <f t="shared" ca="1" si="16"/>
        <v>0</v>
      </c>
      <c r="AD11" s="592">
        <f ca="1">SUM(AD9:AD10)</f>
        <v>0</v>
      </c>
      <c r="AE11" s="592">
        <f ca="1">SUM(AE9:AE10)</f>
        <v>0</v>
      </c>
      <c r="AF11" s="592">
        <f t="shared" ca="1" si="16"/>
        <v>0</v>
      </c>
      <c r="AG11" s="592">
        <f ca="1">SUM(AG9:AG10)</f>
        <v>0</v>
      </c>
      <c r="AH11" s="592">
        <f ca="1">SUM(AH9:AH10)</f>
        <v>0</v>
      </c>
      <c r="AI11" s="592">
        <f ca="1">SUM(AI9:AI10)</f>
        <v>-3.2093197943966696</v>
      </c>
      <c r="AJ11" s="592">
        <f t="shared" ca="1" si="16"/>
        <v>0</v>
      </c>
      <c r="AK11" s="592">
        <f t="shared" ca="1" si="4"/>
        <v>-25.244035354258408</v>
      </c>
      <c r="AM11" s="608">
        <f t="shared" ref="AM11:BE11" ca="1" si="17">SUM(AM9:AM10)</f>
        <v>0</v>
      </c>
      <c r="AN11" s="608">
        <f t="shared" ca="1" si="17"/>
        <v>0</v>
      </c>
      <c r="AO11" s="608">
        <f t="shared" ca="1" si="17"/>
        <v>0</v>
      </c>
      <c r="AP11" s="608">
        <f t="shared" ca="1" si="17"/>
        <v>0</v>
      </c>
      <c r="AQ11" s="608">
        <f t="shared" ca="1" si="17"/>
        <v>0</v>
      </c>
      <c r="AR11" s="608">
        <f t="shared" ca="1" si="17"/>
        <v>0</v>
      </c>
      <c r="AS11" s="608">
        <f t="shared" ca="1" si="17"/>
        <v>0</v>
      </c>
      <c r="AT11" s="608">
        <f t="shared" ca="1" si="17"/>
        <v>0</v>
      </c>
      <c r="AU11" s="608">
        <f t="shared" ca="1" si="17"/>
        <v>0</v>
      </c>
      <c r="AV11" s="608">
        <f t="shared" ca="1" si="17"/>
        <v>0</v>
      </c>
      <c r="AW11" s="608">
        <f t="shared" ca="1" si="17"/>
        <v>0</v>
      </c>
      <c r="AX11" s="608">
        <f t="shared" ca="1" si="17"/>
        <v>0</v>
      </c>
      <c r="AY11" s="608">
        <f t="shared" ca="1" si="17"/>
        <v>0</v>
      </c>
      <c r="AZ11" s="608">
        <f t="shared" ca="1" si="17"/>
        <v>0</v>
      </c>
      <c r="BA11" s="608">
        <f t="shared" ca="1" si="17"/>
        <v>0</v>
      </c>
      <c r="BB11" s="608">
        <f t="shared" ca="1" si="17"/>
        <v>0</v>
      </c>
      <c r="BC11" s="608">
        <f t="shared" ca="1" si="17"/>
        <v>-2.1226952147421783E-2</v>
      </c>
      <c r="BD11" s="608">
        <f ca="1">SUM(BD9:BD10)</f>
        <v>0</v>
      </c>
      <c r="BE11" s="608">
        <f t="shared" ca="1" si="17"/>
        <v>0</v>
      </c>
      <c r="BF11" s="609">
        <f t="shared" ca="1" si="7"/>
        <v>-2.1226952147421783E-2</v>
      </c>
      <c r="BH11" s="3460">
        <f ca="1">SUM(BH9:BH10)</f>
        <v>0</v>
      </c>
      <c r="BI11" s="3460">
        <f ca="1">SUM(BI9:BI10)</f>
        <v>0</v>
      </c>
      <c r="BJ11" s="3460">
        <f t="shared" ca="1" si="9"/>
        <v>0</v>
      </c>
      <c r="BL11" s="610">
        <f t="shared" ca="1" si="10"/>
        <v>8.6736173798840355E-16</v>
      </c>
      <c r="BM11" s="610"/>
      <c r="BN11" s="413"/>
      <c r="BO11" s="2789">
        <f t="shared" ref="BO11:DF11" ca="1" si="18">SUM(BO9:BO10)</f>
        <v>4.2185020489889125</v>
      </c>
      <c r="BP11" s="2790">
        <f t="shared" ca="1" si="18"/>
        <v>1.7686610304507443E-3</v>
      </c>
      <c r="BQ11" s="2790">
        <f t="shared" ca="1" si="18"/>
        <v>6.0756722707083502E-2</v>
      </c>
      <c r="BR11" s="2790">
        <f t="shared" ca="1" si="18"/>
        <v>0</v>
      </c>
      <c r="BS11" s="2790">
        <f t="shared" ca="1" si="18"/>
        <v>0</v>
      </c>
      <c r="BT11" s="2790">
        <f t="shared" ca="1" si="18"/>
        <v>0</v>
      </c>
      <c r="BU11" s="2790">
        <f t="shared" ca="1" si="18"/>
        <v>0</v>
      </c>
      <c r="BV11" s="2790">
        <f t="shared" ca="1" si="18"/>
        <v>0</v>
      </c>
      <c r="BW11" s="2790">
        <f t="shared" ca="1" si="18"/>
        <v>0</v>
      </c>
      <c r="BX11" s="2790">
        <f t="shared" ca="1" si="18"/>
        <v>0</v>
      </c>
      <c r="BY11" s="2790">
        <f t="shared" ca="1" si="18"/>
        <v>0</v>
      </c>
      <c r="BZ11" s="2790">
        <f t="shared" ca="1" si="18"/>
        <v>0</v>
      </c>
      <c r="CA11" s="2790">
        <f t="shared" ca="1" si="18"/>
        <v>0</v>
      </c>
      <c r="CB11" s="2790">
        <f t="shared" ca="1" si="18"/>
        <v>0</v>
      </c>
      <c r="CC11" s="2790">
        <f t="shared" ca="1" si="18"/>
        <v>0</v>
      </c>
      <c r="CD11" s="2790">
        <f t="shared" ca="1" si="18"/>
        <v>0</v>
      </c>
      <c r="CE11" s="2790">
        <f t="shared" ca="1" si="18"/>
        <v>0</v>
      </c>
      <c r="CF11" s="2790">
        <f t="shared" ca="1" si="18"/>
        <v>0</v>
      </c>
      <c r="CG11" s="2790">
        <f t="shared" ca="1" si="18"/>
        <v>0</v>
      </c>
      <c r="CH11" s="2790">
        <f t="shared" ca="1" si="18"/>
        <v>0</v>
      </c>
      <c r="CI11" s="2790">
        <f t="shared" ca="1" si="18"/>
        <v>0</v>
      </c>
      <c r="CJ11" s="2790">
        <f t="shared" ca="1" si="18"/>
        <v>0</v>
      </c>
      <c r="CK11" s="2790">
        <f t="shared" ca="1" si="18"/>
        <v>0</v>
      </c>
      <c r="CL11" s="2790">
        <f t="shared" ca="1" si="18"/>
        <v>0</v>
      </c>
      <c r="CM11" s="2790">
        <f t="shared" ca="1" si="18"/>
        <v>0</v>
      </c>
      <c r="CN11" s="2790">
        <f t="shared" ca="1" si="18"/>
        <v>0</v>
      </c>
      <c r="CO11" s="2790">
        <f t="shared" ca="1" si="18"/>
        <v>0</v>
      </c>
      <c r="CP11" s="2790">
        <f t="shared" ca="1" si="18"/>
        <v>0</v>
      </c>
      <c r="CQ11" s="2790">
        <f t="shared" ca="1" si="18"/>
        <v>0</v>
      </c>
      <c r="CR11" s="2790">
        <f t="shared" ca="1" si="18"/>
        <v>0</v>
      </c>
      <c r="CS11" s="2790">
        <f t="shared" ca="1" si="18"/>
        <v>0</v>
      </c>
      <c r="CT11" s="2790">
        <f t="shared" ca="1" si="18"/>
        <v>0</v>
      </c>
      <c r="CU11" s="2790">
        <f t="shared" ca="1" si="18"/>
        <v>0</v>
      </c>
      <c r="CV11" s="2790">
        <f t="shared" ca="1" si="18"/>
        <v>0</v>
      </c>
      <c r="CW11" s="2790">
        <f t="shared" ca="1" si="18"/>
        <v>0</v>
      </c>
      <c r="CX11" s="2790">
        <f t="shared" ca="1" si="18"/>
        <v>0</v>
      </c>
      <c r="CY11" s="2790">
        <f t="shared" ca="1" si="18"/>
        <v>0</v>
      </c>
      <c r="CZ11" s="2790">
        <f t="shared" ca="1" si="18"/>
        <v>0</v>
      </c>
      <c r="DA11" s="2790">
        <f t="shared" ca="1" si="18"/>
        <v>0</v>
      </c>
      <c r="DB11" s="2790">
        <f t="shared" ca="1" si="18"/>
        <v>0</v>
      </c>
      <c r="DC11" s="2790">
        <f t="shared" ca="1" si="18"/>
        <v>0</v>
      </c>
      <c r="DD11" s="2790">
        <f t="shared" ca="1" si="18"/>
        <v>0</v>
      </c>
      <c r="DE11" s="2790">
        <f t="shared" ca="1" si="18"/>
        <v>0</v>
      </c>
      <c r="DF11" s="2790">
        <f t="shared" ca="1" si="18"/>
        <v>0</v>
      </c>
      <c r="DH11" s="596"/>
    </row>
    <row r="12" spans="1:112" s="6" customFormat="1" ht="10.5" customHeight="1" outlineLevel="2">
      <c r="A12" s="586"/>
      <c r="B12" s="586"/>
      <c r="C12" s="587" t="s">
        <v>465</v>
      </c>
      <c r="D12" s="586" t="s">
        <v>466</v>
      </c>
      <c r="E12" s="599"/>
      <c r="G12" s="589">
        <f t="shared" ca="1" si="0"/>
        <v>16.26105062551477</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16.26105062551477</v>
      </c>
      <c r="S12" s="591">
        <f t="shared" ca="1" si="2"/>
        <v>-2.2595482142857137</v>
      </c>
      <c r="T12" s="591">
        <f t="shared" ca="1" si="2"/>
        <v>10.216607142857143</v>
      </c>
      <c r="U12" s="591">
        <f t="shared" ca="1" si="2"/>
        <v>-6.5240147783251268E-2</v>
      </c>
      <c r="V12" s="591">
        <f t="shared" ca="1" si="2"/>
        <v>-0.44861008836524285</v>
      </c>
      <c r="W12" s="591">
        <f t="shared" ca="1" si="2"/>
        <v>-23.692120032223414</v>
      </c>
      <c r="X12" s="591">
        <f t="shared" ref="X12:Z13" ca="1" si="19">IFERROR(INDEX(INDIRECT($C12&amp;".Outputs["&amp;this.Year&amp;"]"), MATCH(X$5, INDIRECT($C12&amp;".Outputs[Vector]"), 0)), 0)</f>
        <v>0</v>
      </c>
      <c r="Y12" s="591">
        <f t="shared" ca="1" si="19"/>
        <v>0</v>
      </c>
      <c r="Z12" s="591">
        <f t="shared" ca="1" si="19"/>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4"/>
        <v>-16.248911339800479</v>
      </c>
      <c r="AM12" s="593">
        <f t="shared" ref="AM12:AU13" ca="1" si="20">IFERROR(INDEX(INDIRECT($C12&amp;".Outputs["&amp;this.Year&amp;"]"), MATCH(AM$5, INDIRECT($C12&amp;".Outputs[Vector]"), 0)), 0)</f>
        <v>0</v>
      </c>
      <c r="AN12" s="593">
        <f t="shared" ca="1" si="20"/>
        <v>0</v>
      </c>
      <c r="AO12" s="593">
        <f t="shared" ca="1" si="20"/>
        <v>0</v>
      </c>
      <c r="AP12" s="593">
        <f t="shared" ca="1" si="20"/>
        <v>0</v>
      </c>
      <c r="AQ12" s="593">
        <f t="shared" ca="1" si="20"/>
        <v>0</v>
      </c>
      <c r="AR12" s="593">
        <f t="shared" ca="1" si="20"/>
        <v>0</v>
      </c>
      <c r="AS12" s="593">
        <f t="shared" ca="1" si="20"/>
        <v>0</v>
      </c>
      <c r="AT12" s="593">
        <f t="shared" ca="1" si="20"/>
        <v>0</v>
      </c>
      <c r="AU12" s="593">
        <f t="shared" ca="1" si="20"/>
        <v>0</v>
      </c>
      <c r="AV12" s="593">
        <f t="shared" ca="1" si="6"/>
        <v>0</v>
      </c>
      <c r="AW12" s="593">
        <f t="shared" ca="1" si="6"/>
        <v>0</v>
      </c>
      <c r="AX12" s="593">
        <f t="shared" ca="1" si="6"/>
        <v>0</v>
      </c>
      <c r="AY12" s="593">
        <f t="shared" ca="1" si="6"/>
        <v>0</v>
      </c>
      <c r="AZ12" s="593">
        <f t="shared" ca="1" si="6"/>
        <v>0</v>
      </c>
      <c r="BA12" s="593">
        <f t="shared" ca="1" si="6"/>
        <v>0</v>
      </c>
      <c r="BB12" s="593">
        <f t="shared" ca="1" si="6"/>
        <v>0</v>
      </c>
      <c r="BC12" s="593">
        <f t="shared" ca="1" si="6"/>
        <v>-1.2139285714285724E-2</v>
      </c>
      <c r="BD12" s="593">
        <f t="shared" ca="1" si="6"/>
        <v>0</v>
      </c>
      <c r="BE12" s="593">
        <f t="shared" ca="1" si="6"/>
        <v>0</v>
      </c>
      <c r="BF12" s="594">
        <f t="shared" ca="1" si="7"/>
        <v>-1.2139285714285724E-2</v>
      </c>
      <c r="BH12" s="3471">
        <f t="shared" ca="1" si="8"/>
        <v>0</v>
      </c>
      <c r="BI12" s="3471">
        <f t="shared" ca="1" si="8"/>
        <v>0</v>
      </c>
      <c r="BJ12" s="3460">
        <f t="shared" ca="1" si="9"/>
        <v>0</v>
      </c>
      <c r="BL12" s="595">
        <f t="shared" ca="1" si="10"/>
        <v>5.0688619968042303E-15</v>
      </c>
      <c r="BM12" s="595"/>
      <c r="BN12" s="413"/>
      <c r="BO12" s="2789">
        <f t="shared" ref="BO12:BX13" ca="1" si="21">IFERROR(SUMIFS(INDIRECT($C12&amp;".Emissions["&amp;this.Year&amp;"]"), INDIRECT($C12&amp;".Emissions[GHG]"), BO$6, INDIRECT($C12&amp;".Emissions[IPCC Sector]"), BO$5),0)</f>
        <v>4.9906850089295718</v>
      </c>
      <c r="BP12" s="2790">
        <f t="shared" ca="1" si="21"/>
        <v>1.8963215510980169E-3</v>
      </c>
      <c r="BQ12" s="2790">
        <f t="shared" ca="1" si="21"/>
        <v>7.701397058992028E-2</v>
      </c>
      <c r="BR12" s="2790">
        <f t="shared" ca="1" si="21"/>
        <v>0</v>
      </c>
      <c r="BS12" s="2790">
        <f t="shared" ca="1" si="21"/>
        <v>0</v>
      </c>
      <c r="BT12" s="2790">
        <f t="shared" ca="1" si="21"/>
        <v>0</v>
      </c>
      <c r="BU12" s="2790">
        <f t="shared" ca="1" si="21"/>
        <v>0</v>
      </c>
      <c r="BV12" s="2790">
        <f t="shared" ca="1" si="21"/>
        <v>0</v>
      </c>
      <c r="BW12" s="2790">
        <f t="shared" ca="1" si="21"/>
        <v>0</v>
      </c>
      <c r="BX12" s="2790">
        <f t="shared" ca="1" si="21"/>
        <v>0</v>
      </c>
      <c r="BY12" s="2790">
        <f t="shared" ref="BY12:CH13" ca="1" si="22">IFERROR(SUMIFS(INDIRECT($C12&amp;".Emissions["&amp;this.Year&amp;"]"), INDIRECT($C12&amp;".Emissions[GHG]"), BY$6, INDIRECT($C12&amp;".Emissions[IPCC Sector]"), BY$5),0)</f>
        <v>0</v>
      </c>
      <c r="BZ12" s="2790">
        <f t="shared" ca="1" si="22"/>
        <v>0</v>
      </c>
      <c r="CA12" s="2790">
        <f t="shared" ca="1" si="22"/>
        <v>0</v>
      </c>
      <c r="CB12" s="2790">
        <f t="shared" ca="1" si="22"/>
        <v>0</v>
      </c>
      <c r="CC12" s="2790">
        <f t="shared" ca="1" si="22"/>
        <v>0</v>
      </c>
      <c r="CD12" s="2790">
        <f t="shared" ca="1" si="22"/>
        <v>0</v>
      </c>
      <c r="CE12" s="2790">
        <f t="shared" ca="1" si="22"/>
        <v>0</v>
      </c>
      <c r="CF12" s="2790">
        <f t="shared" ca="1" si="22"/>
        <v>0</v>
      </c>
      <c r="CG12" s="2790">
        <f t="shared" ca="1" si="22"/>
        <v>0</v>
      </c>
      <c r="CH12" s="2790">
        <f t="shared" ca="1" si="22"/>
        <v>0</v>
      </c>
      <c r="CI12" s="2790">
        <f t="shared" ref="CI12:CR13" ca="1" si="23">IFERROR(SUMIFS(INDIRECT($C12&amp;".Emissions["&amp;this.Year&amp;"]"), INDIRECT($C12&amp;".Emissions[GHG]"), CI$6, INDIRECT($C12&amp;".Emissions[IPCC Sector]"), CI$5),0)</f>
        <v>0</v>
      </c>
      <c r="CJ12" s="2790">
        <f t="shared" ca="1" si="23"/>
        <v>0</v>
      </c>
      <c r="CK12" s="2790">
        <f t="shared" ca="1" si="23"/>
        <v>0</v>
      </c>
      <c r="CL12" s="2790">
        <f t="shared" ca="1" si="23"/>
        <v>0</v>
      </c>
      <c r="CM12" s="2790">
        <f t="shared" ca="1" si="23"/>
        <v>0</v>
      </c>
      <c r="CN12" s="2790">
        <f t="shared" ca="1" si="23"/>
        <v>0</v>
      </c>
      <c r="CO12" s="2790">
        <f t="shared" ca="1" si="23"/>
        <v>0</v>
      </c>
      <c r="CP12" s="2790">
        <f t="shared" ca="1" si="23"/>
        <v>0</v>
      </c>
      <c r="CQ12" s="2790">
        <f t="shared" ca="1" si="23"/>
        <v>0</v>
      </c>
      <c r="CR12" s="2790">
        <f t="shared" ca="1" si="23"/>
        <v>0</v>
      </c>
      <c r="CS12" s="2790">
        <f t="shared" ref="CS12:DF13" ca="1" si="24">IFERROR(SUMIFS(INDIRECT($C12&amp;".Emissions["&amp;this.Year&amp;"]"), INDIRECT($C12&amp;".Emissions[GHG]"), CS$6, INDIRECT($C12&amp;".Emissions[IPCC Sector]"), CS$5),0)</f>
        <v>0</v>
      </c>
      <c r="CT12" s="2790">
        <f t="shared" ca="1" si="24"/>
        <v>0</v>
      </c>
      <c r="CU12" s="2790">
        <f t="shared" ca="1" si="24"/>
        <v>0</v>
      </c>
      <c r="CV12" s="2790">
        <f t="shared" ca="1" si="24"/>
        <v>0</v>
      </c>
      <c r="CW12" s="2790">
        <f t="shared" ca="1" si="24"/>
        <v>0</v>
      </c>
      <c r="CX12" s="2790">
        <f t="shared" ca="1" si="24"/>
        <v>0</v>
      </c>
      <c r="CY12" s="2790">
        <f t="shared" ca="1" si="24"/>
        <v>0</v>
      </c>
      <c r="CZ12" s="2790">
        <f t="shared" ca="1" si="24"/>
        <v>0</v>
      </c>
      <c r="DA12" s="2790">
        <f t="shared" ca="1" si="24"/>
        <v>0</v>
      </c>
      <c r="DB12" s="2790">
        <f t="shared" ca="1" si="24"/>
        <v>0</v>
      </c>
      <c r="DC12" s="2790">
        <f t="shared" ca="1" si="24"/>
        <v>0</v>
      </c>
      <c r="DD12" s="2790">
        <f t="shared" ca="1" si="24"/>
        <v>0</v>
      </c>
      <c r="DE12" s="2790">
        <f t="shared" ca="1" si="24"/>
        <v>0</v>
      </c>
      <c r="DF12" s="2790">
        <f t="shared" ca="1" si="24"/>
        <v>0</v>
      </c>
      <c r="DH12" s="596"/>
    </row>
    <row r="13" spans="1:112" s="6" customFormat="1" ht="10.5" customHeight="1" outlineLevel="2">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19"/>
        <v>0</v>
      </c>
      <c r="Y13" s="602">
        <f t="shared" ca="1" si="19"/>
        <v>0</v>
      </c>
      <c r="Z13" s="602">
        <f t="shared" ca="1" si="19"/>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4"/>
        <v>0</v>
      </c>
      <c r="AM13" s="604">
        <f t="shared" ca="1" si="20"/>
        <v>0</v>
      </c>
      <c r="AN13" s="604">
        <f t="shared" ca="1" si="20"/>
        <v>0</v>
      </c>
      <c r="AO13" s="604">
        <f t="shared" ca="1" si="20"/>
        <v>0</v>
      </c>
      <c r="AP13" s="604">
        <f t="shared" ca="1" si="20"/>
        <v>0</v>
      </c>
      <c r="AQ13" s="604">
        <f t="shared" ca="1" si="20"/>
        <v>0</v>
      </c>
      <c r="AR13" s="604">
        <f t="shared" ca="1" si="20"/>
        <v>0</v>
      </c>
      <c r="AS13" s="604">
        <f t="shared" ca="1" si="20"/>
        <v>0</v>
      </c>
      <c r="AT13" s="604">
        <f t="shared" ca="1" si="20"/>
        <v>0</v>
      </c>
      <c r="AU13" s="604">
        <f t="shared" ca="1" si="20"/>
        <v>0</v>
      </c>
      <c r="AV13" s="604">
        <f t="shared" ca="1" si="6"/>
        <v>0</v>
      </c>
      <c r="AW13" s="604">
        <f t="shared" ca="1" si="6"/>
        <v>0</v>
      </c>
      <c r="AX13" s="604">
        <f t="shared" ca="1" si="6"/>
        <v>0</v>
      </c>
      <c r="AY13" s="604">
        <f t="shared" ca="1" si="6"/>
        <v>0</v>
      </c>
      <c r="AZ13" s="604">
        <f t="shared" ca="1" si="6"/>
        <v>0</v>
      </c>
      <c r="BA13" s="604">
        <f t="shared" ca="1" si="6"/>
        <v>0</v>
      </c>
      <c r="BB13" s="604">
        <f t="shared" ca="1" si="6"/>
        <v>0</v>
      </c>
      <c r="BC13" s="604">
        <f t="shared" ca="1" si="6"/>
        <v>0</v>
      </c>
      <c r="BD13" s="604">
        <f t="shared" ca="1" si="6"/>
        <v>0</v>
      </c>
      <c r="BE13" s="604">
        <f t="shared" ca="1" si="6"/>
        <v>0</v>
      </c>
      <c r="BF13" s="605">
        <f t="shared" ca="1" si="7"/>
        <v>0</v>
      </c>
      <c r="BH13" s="3472">
        <f t="shared" ca="1" si="8"/>
        <v>0</v>
      </c>
      <c r="BI13" s="3472">
        <f t="shared" ca="1" si="8"/>
        <v>0</v>
      </c>
      <c r="BJ13" s="3461">
        <f t="shared" ca="1" si="9"/>
        <v>0</v>
      </c>
      <c r="BL13" s="606">
        <f t="shared" ca="1" si="10"/>
        <v>0</v>
      </c>
      <c r="BM13" s="606"/>
      <c r="BN13" s="413"/>
      <c r="BO13" s="2789">
        <f t="shared" ca="1" si="21"/>
        <v>0</v>
      </c>
      <c r="BP13" s="2790">
        <f t="shared" ca="1" si="21"/>
        <v>0</v>
      </c>
      <c r="BQ13" s="2790">
        <f t="shared" ca="1" si="21"/>
        <v>0</v>
      </c>
      <c r="BR13" s="2790">
        <f t="shared" ca="1" si="21"/>
        <v>0</v>
      </c>
      <c r="BS13" s="2790">
        <f t="shared" ca="1" si="21"/>
        <v>0</v>
      </c>
      <c r="BT13" s="2790">
        <f t="shared" ca="1" si="21"/>
        <v>0</v>
      </c>
      <c r="BU13" s="2790">
        <f t="shared" ca="1" si="21"/>
        <v>0</v>
      </c>
      <c r="BV13" s="2790">
        <f t="shared" ca="1" si="21"/>
        <v>0</v>
      </c>
      <c r="BW13" s="2790">
        <f t="shared" ca="1" si="21"/>
        <v>0</v>
      </c>
      <c r="BX13" s="2790">
        <f t="shared" ca="1" si="21"/>
        <v>0</v>
      </c>
      <c r="BY13" s="2790">
        <f t="shared" ca="1" si="22"/>
        <v>0</v>
      </c>
      <c r="BZ13" s="2790">
        <f t="shared" ca="1" si="22"/>
        <v>0</v>
      </c>
      <c r="CA13" s="2790">
        <f t="shared" ca="1" si="22"/>
        <v>0</v>
      </c>
      <c r="CB13" s="2790">
        <f t="shared" ca="1" si="22"/>
        <v>0</v>
      </c>
      <c r="CC13" s="2790">
        <f t="shared" ca="1" si="22"/>
        <v>0</v>
      </c>
      <c r="CD13" s="2790">
        <f t="shared" ca="1" si="22"/>
        <v>0</v>
      </c>
      <c r="CE13" s="2790">
        <f t="shared" ca="1" si="22"/>
        <v>0</v>
      </c>
      <c r="CF13" s="2790">
        <f t="shared" ca="1" si="22"/>
        <v>0</v>
      </c>
      <c r="CG13" s="2790">
        <f t="shared" ca="1" si="22"/>
        <v>0</v>
      </c>
      <c r="CH13" s="2790">
        <f t="shared" ca="1" si="22"/>
        <v>0</v>
      </c>
      <c r="CI13" s="2790">
        <f t="shared" ca="1" si="23"/>
        <v>0</v>
      </c>
      <c r="CJ13" s="2790">
        <f t="shared" ca="1" si="23"/>
        <v>0</v>
      </c>
      <c r="CK13" s="2790">
        <f t="shared" ca="1" si="23"/>
        <v>0</v>
      </c>
      <c r="CL13" s="2790">
        <f t="shared" ca="1" si="23"/>
        <v>0</v>
      </c>
      <c r="CM13" s="2790">
        <f t="shared" ca="1" si="23"/>
        <v>0</v>
      </c>
      <c r="CN13" s="2790">
        <f t="shared" ca="1" si="23"/>
        <v>0</v>
      </c>
      <c r="CO13" s="2790">
        <f t="shared" ca="1" si="23"/>
        <v>0</v>
      </c>
      <c r="CP13" s="2790">
        <f t="shared" ca="1" si="23"/>
        <v>0</v>
      </c>
      <c r="CQ13" s="2790">
        <f t="shared" ca="1" si="23"/>
        <v>0</v>
      </c>
      <c r="CR13" s="2790">
        <f t="shared" ca="1" si="23"/>
        <v>0</v>
      </c>
      <c r="CS13" s="2790">
        <f t="shared" ca="1" si="24"/>
        <v>0</v>
      </c>
      <c r="CT13" s="2790">
        <f t="shared" ca="1" si="24"/>
        <v>0</v>
      </c>
      <c r="CU13" s="2790">
        <f t="shared" ca="1" si="24"/>
        <v>0</v>
      </c>
      <c r="CV13" s="2790">
        <f t="shared" ca="1" si="24"/>
        <v>0</v>
      </c>
      <c r="CW13" s="2790">
        <f t="shared" ca="1" si="24"/>
        <v>0</v>
      </c>
      <c r="CX13" s="2790">
        <f t="shared" ca="1" si="24"/>
        <v>0</v>
      </c>
      <c r="CY13" s="2790">
        <f t="shared" ca="1" si="24"/>
        <v>0</v>
      </c>
      <c r="CZ13" s="2790">
        <f t="shared" ca="1" si="24"/>
        <v>0</v>
      </c>
      <c r="DA13" s="2790">
        <f t="shared" ca="1" si="24"/>
        <v>0</v>
      </c>
      <c r="DB13" s="2790">
        <f t="shared" ca="1" si="24"/>
        <v>0</v>
      </c>
      <c r="DC13" s="2790">
        <f t="shared" ca="1" si="24"/>
        <v>0</v>
      </c>
      <c r="DD13" s="2790">
        <f t="shared" ca="1" si="24"/>
        <v>0</v>
      </c>
      <c r="DE13" s="2790">
        <f t="shared" ca="1" si="24"/>
        <v>0</v>
      </c>
      <c r="DF13" s="2790">
        <f t="shared" ca="1" si="24"/>
        <v>0</v>
      </c>
      <c r="DH13" s="596"/>
    </row>
    <row r="14" spans="1:112" s="6" customFormat="1" ht="12.75" customHeight="1" outlineLevel="1">
      <c r="A14" s="607"/>
      <c r="B14" s="607"/>
      <c r="C14" s="587"/>
      <c r="D14" s="611" t="s">
        <v>469</v>
      </c>
      <c r="E14" s="611"/>
      <c r="G14" s="612">
        <f ca="1">SUM(G12:G13)</f>
        <v>16.26105062551477</v>
      </c>
      <c r="H14" s="612">
        <f t="shared" ref="H14:P14" ca="1" si="25">SUM(H12:H13)</f>
        <v>0</v>
      </c>
      <c r="I14" s="612">
        <f t="shared" ca="1" si="25"/>
        <v>0</v>
      </c>
      <c r="J14" s="612">
        <f t="shared" ca="1" si="25"/>
        <v>0</v>
      </c>
      <c r="K14" s="612">
        <f t="shared" ca="1" si="25"/>
        <v>0</v>
      </c>
      <c r="L14" s="612">
        <f t="shared" ca="1" si="25"/>
        <v>0</v>
      </c>
      <c r="M14" s="612">
        <f t="shared" ca="1" si="25"/>
        <v>0</v>
      </c>
      <c r="N14" s="612">
        <f ca="1">SUM(N12:N13)</f>
        <v>0</v>
      </c>
      <c r="O14" s="612">
        <f ca="1">SUM(O12:O13)</f>
        <v>0</v>
      </c>
      <c r="P14" s="612">
        <f t="shared" ca="1" si="25"/>
        <v>0</v>
      </c>
      <c r="Q14" s="612">
        <f t="shared" ca="1" si="1"/>
        <v>16.26105062551477</v>
      </c>
      <c r="S14" s="613">
        <f t="shared" ref="S14:AJ14" ca="1" si="26">SUM(S12:S13)</f>
        <v>-2.2595482142857137</v>
      </c>
      <c r="T14" s="613">
        <f t="shared" ca="1" si="26"/>
        <v>10.216607142857143</v>
      </c>
      <c r="U14" s="613">
        <f t="shared" ca="1" si="26"/>
        <v>-6.5240147783251268E-2</v>
      </c>
      <c r="V14" s="613">
        <f t="shared" ca="1" si="26"/>
        <v>-0.44861008836524285</v>
      </c>
      <c r="W14" s="613">
        <f t="shared" ca="1" si="26"/>
        <v>-23.692120032223414</v>
      </c>
      <c r="X14" s="613">
        <f ca="1">SUM(X12:X13)</f>
        <v>0</v>
      </c>
      <c r="Y14" s="613">
        <f ca="1">SUM(Y12:Y13)</f>
        <v>0</v>
      </c>
      <c r="Z14" s="613">
        <f ca="1">SUM(Z12:Z13)</f>
        <v>0</v>
      </c>
      <c r="AA14" s="613">
        <f t="shared" ca="1" si="26"/>
        <v>0</v>
      </c>
      <c r="AB14" s="613">
        <f t="shared" ca="1" si="26"/>
        <v>0</v>
      </c>
      <c r="AC14" s="613">
        <f t="shared" ca="1" si="26"/>
        <v>0</v>
      </c>
      <c r="AD14" s="613">
        <f ca="1">SUM(AD12:AD13)</f>
        <v>0</v>
      </c>
      <c r="AE14" s="613">
        <f ca="1">SUM(AE12:AE13)</f>
        <v>0</v>
      </c>
      <c r="AF14" s="613">
        <f t="shared" ca="1" si="26"/>
        <v>0</v>
      </c>
      <c r="AG14" s="613">
        <f ca="1">SUM(AG12:AG13)</f>
        <v>0</v>
      </c>
      <c r="AH14" s="613">
        <f ca="1">SUM(AH12:AH13)</f>
        <v>0</v>
      </c>
      <c r="AI14" s="613">
        <f ca="1">SUM(AI12:AI13)</f>
        <v>0</v>
      </c>
      <c r="AJ14" s="613">
        <f t="shared" ca="1" si="26"/>
        <v>0</v>
      </c>
      <c r="AK14" s="613">
        <f t="shared" ca="1" si="4"/>
        <v>-16.248911339800479</v>
      </c>
      <c r="AM14" s="614">
        <f t="shared" ref="AM14:BE14" ca="1" si="27">SUM(AM12:AM13)</f>
        <v>0</v>
      </c>
      <c r="AN14" s="614">
        <f t="shared" ca="1" si="27"/>
        <v>0</v>
      </c>
      <c r="AO14" s="614">
        <f t="shared" ca="1" si="27"/>
        <v>0</v>
      </c>
      <c r="AP14" s="614">
        <f t="shared" ca="1" si="27"/>
        <v>0</v>
      </c>
      <c r="AQ14" s="614">
        <f t="shared" ca="1" si="27"/>
        <v>0</v>
      </c>
      <c r="AR14" s="614">
        <f t="shared" ca="1" si="27"/>
        <v>0</v>
      </c>
      <c r="AS14" s="614">
        <f t="shared" ca="1" si="27"/>
        <v>0</v>
      </c>
      <c r="AT14" s="614">
        <f t="shared" ca="1" si="27"/>
        <v>0</v>
      </c>
      <c r="AU14" s="614">
        <f t="shared" ca="1" si="27"/>
        <v>0</v>
      </c>
      <c r="AV14" s="614">
        <f t="shared" ca="1" si="27"/>
        <v>0</v>
      </c>
      <c r="AW14" s="614">
        <f t="shared" ca="1" si="27"/>
        <v>0</v>
      </c>
      <c r="AX14" s="614">
        <f t="shared" ca="1" si="27"/>
        <v>0</v>
      </c>
      <c r="AY14" s="614">
        <f t="shared" ca="1" si="27"/>
        <v>0</v>
      </c>
      <c r="AZ14" s="614">
        <f t="shared" ca="1" si="27"/>
        <v>0</v>
      </c>
      <c r="BA14" s="614">
        <f t="shared" ca="1" si="27"/>
        <v>0</v>
      </c>
      <c r="BB14" s="614">
        <f t="shared" ca="1" si="27"/>
        <v>0</v>
      </c>
      <c r="BC14" s="614">
        <f t="shared" ca="1" si="27"/>
        <v>-1.2139285714285724E-2</v>
      </c>
      <c r="BD14" s="614">
        <f ca="1">SUM(BD12:BD13)</f>
        <v>0</v>
      </c>
      <c r="BE14" s="614">
        <f t="shared" ca="1" si="27"/>
        <v>0</v>
      </c>
      <c r="BF14" s="615">
        <f t="shared" ca="1" si="7"/>
        <v>-1.2139285714285724E-2</v>
      </c>
      <c r="BH14" s="3462">
        <f ca="1">SUM(BH12:BH13)</f>
        <v>0</v>
      </c>
      <c r="BI14" s="3462">
        <f ca="1">SUM(BI12:BI13)</f>
        <v>0</v>
      </c>
      <c r="BJ14" s="3462">
        <f t="shared" ca="1" si="9"/>
        <v>0</v>
      </c>
      <c r="BL14" s="610">
        <f t="shared" ca="1" si="10"/>
        <v>5.0688619968042303E-15</v>
      </c>
      <c r="BM14" s="610"/>
      <c r="BN14" s="413"/>
      <c r="BO14" s="2791">
        <f t="shared" ref="BO14:DF14" ca="1" si="28">SUM(BO12:BO13)</f>
        <v>4.9906850089295718</v>
      </c>
      <c r="BP14" s="2792">
        <f t="shared" ca="1" si="28"/>
        <v>1.8963215510980169E-3</v>
      </c>
      <c r="BQ14" s="2792">
        <f t="shared" ca="1" si="28"/>
        <v>7.701397058992028E-2</v>
      </c>
      <c r="BR14" s="2792">
        <f t="shared" ca="1" si="28"/>
        <v>0</v>
      </c>
      <c r="BS14" s="2792">
        <f t="shared" ca="1" si="28"/>
        <v>0</v>
      </c>
      <c r="BT14" s="2792">
        <f t="shared" ca="1" si="28"/>
        <v>0</v>
      </c>
      <c r="BU14" s="2792">
        <f t="shared" ca="1" si="28"/>
        <v>0</v>
      </c>
      <c r="BV14" s="2792">
        <f t="shared" ca="1" si="28"/>
        <v>0</v>
      </c>
      <c r="BW14" s="2792">
        <f t="shared" ca="1" si="28"/>
        <v>0</v>
      </c>
      <c r="BX14" s="2792">
        <f t="shared" ca="1" si="28"/>
        <v>0</v>
      </c>
      <c r="BY14" s="2792">
        <f t="shared" ca="1" si="28"/>
        <v>0</v>
      </c>
      <c r="BZ14" s="2792">
        <f t="shared" ca="1" si="28"/>
        <v>0</v>
      </c>
      <c r="CA14" s="2792">
        <f t="shared" ca="1" si="28"/>
        <v>0</v>
      </c>
      <c r="CB14" s="2792">
        <f t="shared" ca="1" si="28"/>
        <v>0</v>
      </c>
      <c r="CC14" s="2792">
        <f t="shared" ca="1" si="28"/>
        <v>0</v>
      </c>
      <c r="CD14" s="2792">
        <f t="shared" ca="1" si="28"/>
        <v>0</v>
      </c>
      <c r="CE14" s="2792">
        <f t="shared" ca="1" si="28"/>
        <v>0</v>
      </c>
      <c r="CF14" s="2792">
        <f t="shared" ca="1" si="28"/>
        <v>0</v>
      </c>
      <c r="CG14" s="2792">
        <f t="shared" ca="1" si="28"/>
        <v>0</v>
      </c>
      <c r="CH14" s="2792">
        <f t="shared" ca="1" si="28"/>
        <v>0</v>
      </c>
      <c r="CI14" s="2792">
        <f t="shared" ca="1" si="28"/>
        <v>0</v>
      </c>
      <c r="CJ14" s="2792">
        <f t="shared" ca="1" si="28"/>
        <v>0</v>
      </c>
      <c r="CK14" s="2792">
        <f t="shared" ca="1" si="28"/>
        <v>0</v>
      </c>
      <c r="CL14" s="2792">
        <f t="shared" ca="1" si="28"/>
        <v>0</v>
      </c>
      <c r="CM14" s="2792">
        <f t="shared" ca="1" si="28"/>
        <v>0</v>
      </c>
      <c r="CN14" s="2792">
        <f t="shared" ca="1" si="28"/>
        <v>0</v>
      </c>
      <c r="CO14" s="2792">
        <f t="shared" ca="1" si="28"/>
        <v>0</v>
      </c>
      <c r="CP14" s="2792">
        <f t="shared" ca="1" si="28"/>
        <v>0</v>
      </c>
      <c r="CQ14" s="2792">
        <f t="shared" ca="1" si="28"/>
        <v>0</v>
      </c>
      <c r="CR14" s="2792">
        <f t="shared" ca="1" si="28"/>
        <v>0</v>
      </c>
      <c r="CS14" s="2792">
        <f t="shared" ca="1" si="28"/>
        <v>0</v>
      </c>
      <c r="CT14" s="2792">
        <f t="shared" ca="1" si="28"/>
        <v>0</v>
      </c>
      <c r="CU14" s="2792">
        <f t="shared" ca="1" si="28"/>
        <v>0</v>
      </c>
      <c r="CV14" s="2792">
        <f t="shared" ca="1" si="28"/>
        <v>0</v>
      </c>
      <c r="CW14" s="2792">
        <f t="shared" ca="1" si="28"/>
        <v>0</v>
      </c>
      <c r="CX14" s="2792">
        <f t="shared" ca="1" si="28"/>
        <v>0</v>
      </c>
      <c r="CY14" s="2792">
        <f t="shared" ca="1" si="28"/>
        <v>0</v>
      </c>
      <c r="CZ14" s="2792">
        <f t="shared" ca="1" si="28"/>
        <v>0</v>
      </c>
      <c r="DA14" s="2792">
        <f t="shared" ca="1" si="28"/>
        <v>0</v>
      </c>
      <c r="DB14" s="2792">
        <f t="shared" ca="1" si="28"/>
        <v>0</v>
      </c>
      <c r="DC14" s="2792">
        <f t="shared" ca="1" si="28"/>
        <v>0</v>
      </c>
      <c r="DD14" s="2792">
        <f t="shared" ca="1" si="28"/>
        <v>0</v>
      </c>
      <c r="DE14" s="2792">
        <f t="shared" ca="1" si="28"/>
        <v>0</v>
      </c>
      <c r="DF14" s="2792">
        <f t="shared" ca="1" si="28"/>
        <v>0</v>
      </c>
      <c r="DH14" s="596"/>
    </row>
    <row r="15" spans="1:112" s="6" customFormat="1" ht="15.75">
      <c r="A15" s="4"/>
      <c r="B15" s="3"/>
      <c r="C15" s="616" t="s">
        <v>0</v>
      </c>
      <c r="D15" s="617" t="s">
        <v>1</v>
      </c>
      <c r="E15" s="206"/>
      <c r="G15" s="618">
        <f t="shared" ref="G15:P15" ca="1" si="29">G14+G11</f>
        <v>41.5263129319206</v>
      </c>
      <c r="H15" s="618">
        <f t="shared" ca="1" si="29"/>
        <v>0</v>
      </c>
      <c r="I15" s="618">
        <f t="shared" ca="1" si="29"/>
        <v>0</v>
      </c>
      <c r="J15" s="618">
        <f t="shared" ca="1" si="29"/>
        <v>0</v>
      </c>
      <c r="K15" s="618">
        <f t="shared" ca="1" si="29"/>
        <v>0</v>
      </c>
      <c r="L15" s="618">
        <f t="shared" ca="1" si="29"/>
        <v>0</v>
      </c>
      <c r="M15" s="618">
        <f t="shared" ca="1" si="29"/>
        <v>0</v>
      </c>
      <c r="N15" s="618">
        <f t="shared" ca="1" si="29"/>
        <v>0</v>
      </c>
      <c r="O15" s="618">
        <f t="shared" ca="1" si="29"/>
        <v>0</v>
      </c>
      <c r="P15" s="618">
        <f t="shared" ca="1" si="29"/>
        <v>0</v>
      </c>
      <c r="Q15" s="618">
        <f t="shared" ca="1" si="1"/>
        <v>41.5263129319206</v>
      </c>
      <c r="S15" s="581">
        <f t="shared" ref="S15:AJ15" ca="1" si="30">S14+S11</f>
        <v>-4.1862452715105594</v>
      </c>
      <c r="T15" s="581">
        <f t="shared" ca="1" si="30"/>
        <v>10.216607142857143</v>
      </c>
      <c r="U15" s="581">
        <f t="shared" ca="1" si="30"/>
        <v>-9.865795545819156E-2</v>
      </c>
      <c r="V15" s="581">
        <f t="shared" ca="1" si="30"/>
        <v>-2.0971070958352351</v>
      </c>
      <c r="W15" s="581">
        <f t="shared" ca="1" si="30"/>
        <v>-42.118223719715374</v>
      </c>
      <c r="X15" s="581">
        <f t="shared" ca="1" si="30"/>
        <v>0</v>
      </c>
      <c r="Y15" s="581">
        <f t="shared" ca="1" si="30"/>
        <v>0</v>
      </c>
      <c r="Z15" s="581">
        <f t="shared" ca="1" si="30"/>
        <v>0</v>
      </c>
      <c r="AA15" s="581">
        <f t="shared" ca="1" si="30"/>
        <v>0</v>
      </c>
      <c r="AB15" s="581">
        <f t="shared" ca="1" si="30"/>
        <v>0</v>
      </c>
      <c r="AC15" s="581">
        <f t="shared" ca="1" si="30"/>
        <v>0</v>
      </c>
      <c r="AD15" s="581">
        <f t="shared" ca="1" si="30"/>
        <v>0</v>
      </c>
      <c r="AE15" s="581">
        <f ca="1">AE14+AE11</f>
        <v>0</v>
      </c>
      <c r="AF15" s="581">
        <f t="shared" ca="1" si="30"/>
        <v>0</v>
      </c>
      <c r="AG15" s="581">
        <f t="shared" ca="1" si="30"/>
        <v>0</v>
      </c>
      <c r="AH15" s="581">
        <f ca="1">AH14+AH11</f>
        <v>0</v>
      </c>
      <c r="AI15" s="581">
        <f t="shared" ca="1" si="30"/>
        <v>-3.2093197943966696</v>
      </c>
      <c r="AJ15" s="581">
        <f t="shared" ca="1" si="30"/>
        <v>0</v>
      </c>
      <c r="AK15" s="581">
        <f t="shared" ca="1" si="4"/>
        <v>-41.492946694058887</v>
      </c>
      <c r="AM15" s="582">
        <f t="shared" ref="AM15:BE15" ca="1" si="31">AM14+AM11</f>
        <v>0</v>
      </c>
      <c r="AN15" s="582">
        <f t="shared" ca="1" si="31"/>
        <v>0</v>
      </c>
      <c r="AO15" s="582">
        <f t="shared" ca="1" si="31"/>
        <v>0</v>
      </c>
      <c r="AP15" s="582">
        <f t="shared" ca="1" si="31"/>
        <v>0</v>
      </c>
      <c r="AQ15" s="582">
        <f t="shared" ca="1" si="31"/>
        <v>0</v>
      </c>
      <c r="AR15" s="582">
        <f t="shared" ca="1" si="31"/>
        <v>0</v>
      </c>
      <c r="AS15" s="582">
        <f t="shared" ca="1" si="31"/>
        <v>0</v>
      </c>
      <c r="AT15" s="582">
        <f t="shared" ca="1" si="31"/>
        <v>0</v>
      </c>
      <c r="AU15" s="582">
        <f t="shared" ca="1" si="31"/>
        <v>0</v>
      </c>
      <c r="AV15" s="582">
        <f t="shared" ca="1" si="31"/>
        <v>0</v>
      </c>
      <c r="AW15" s="582">
        <f t="shared" ca="1" si="31"/>
        <v>0</v>
      </c>
      <c r="AX15" s="582">
        <f t="shared" ca="1" si="31"/>
        <v>0</v>
      </c>
      <c r="AY15" s="582">
        <f t="shared" ca="1" si="31"/>
        <v>0</v>
      </c>
      <c r="AZ15" s="582">
        <f t="shared" ca="1" si="31"/>
        <v>0</v>
      </c>
      <c r="BA15" s="582">
        <f t="shared" ca="1" si="31"/>
        <v>0</v>
      </c>
      <c r="BB15" s="582">
        <f t="shared" ca="1" si="31"/>
        <v>0</v>
      </c>
      <c r="BC15" s="582">
        <f t="shared" ca="1" si="31"/>
        <v>-3.3366237861707504E-2</v>
      </c>
      <c r="BD15" s="582">
        <f ca="1">BD14+BD11</f>
        <v>0</v>
      </c>
      <c r="BE15" s="582">
        <f t="shared" ca="1" si="31"/>
        <v>0</v>
      </c>
      <c r="BF15" s="582">
        <f t="shared" ca="1" si="7"/>
        <v>-3.3366237861707504E-2</v>
      </c>
      <c r="BH15" s="3463">
        <f ca="1">BH14+BH11</f>
        <v>0</v>
      </c>
      <c r="BI15" s="3463">
        <f ca="1">BI14+BI11</f>
        <v>0</v>
      </c>
      <c r="BJ15" s="3463">
        <f t="shared" ca="1" si="9"/>
        <v>0</v>
      </c>
      <c r="BL15" s="3477">
        <f t="shared" ca="1" si="10"/>
        <v>5.9396931817445875E-15</v>
      </c>
      <c r="BM15" s="584"/>
      <c r="BN15" s="413"/>
      <c r="BO15" s="2790">
        <f t="shared" ref="BO15:DF15" ca="1" si="32">BO14+BO11</f>
        <v>9.2091870579184842</v>
      </c>
      <c r="BP15" s="2790">
        <f t="shared" ca="1" si="32"/>
        <v>3.6649825815487612E-3</v>
      </c>
      <c r="BQ15" s="2790">
        <f t="shared" ca="1" si="32"/>
        <v>0.13777069329700378</v>
      </c>
      <c r="BR15" s="2790">
        <f t="shared" ca="1" si="32"/>
        <v>0</v>
      </c>
      <c r="BS15" s="2790">
        <f t="shared" ca="1" si="32"/>
        <v>0</v>
      </c>
      <c r="BT15" s="2790">
        <f t="shared" ca="1" si="32"/>
        <v>0</v>
      </c>
      <c r="BU15" s="2790">
        <f t="shared" ca="1" si="32"/>
        <v>0</v>
      </c>
      <c r="BV15" s="2790">
        <f t="shared" ca="1" si="32"/>
        <v>0</v>
      </c>
      <c r="BW15" s="2790">
        <f t="shared" ca="1" si="32"/>
        <v>0</v>
      </c>
      <c r="BX15" s="2790">
        <f t="shared" ca="1" si="32"/>
        <v>0</v>
      </c>
      <c r="BY15" s="2790">
        <f t="shared" ca="1" si="32"/>
        <v>0</v>
      </c>
      <c r="BZ15" s="2790">
        <f t="shared" ca="1" si="32"/>
        <v>0</v>
      </c>
      <c r="CA15" s="2790">
        <f t="shared" ca="1" si="32"/>
        <v>0</v>
      </c>
      <c r="CB15" s="2790">
        <f t="shared" ca="1" si="32"/>
        <v>0</v>
      </c>
      <c r="CC15" s="2790">
        <f t="shared" ca="1" si="32"/>
        <v>0</v>
      </c>
      <c r="CD15" s="2790">
        <f t="shared" ca="1" si="32"/>
        <v>0</v>
      </c>
      <c r="CE15" s="2790">
        <f t="shared" ca="1" si="32"/>
        <v>0</v>
      </c>
      <c r="CF15" s="2790">
        <f t="shared" ca="1" si="32"/>
        <v>0</v>
      </c>
      <c r="CG15" s="2790">
        <f t="shared" ca="1" si="32"/>
        <v>0</v>
      </c>
      <c r="CH15" s="2790">
        <f t="shared" ca="1" si="32"/>
        <v>0</v>
      </c>
      <c r="CI15" s="2790">
        <f t="shared" ca="1" si="32"/>
        <v>0</v>
      </c>
      <c r="CJ15" s="2790">
        <f t="shared" ca="1" si="32"/>
        <v>0</v>
      </c>
      <c r="CK15" s="2790">
        <f t="shared" ca="1" si="32"/>
        <v>0</v>
      </c>
      <c r="CL15" s="2790">
        <f t="shared" ca="1" si="32"/>
        <v>0</v>
      </c>
      <c r="CM15" s="2790">
        <f t="shared" ca="1" si="32"/>
        <v>0</v>
      </c>
      <c r="CN15" s="2790">
        <f t="shared" ca="1" si="32"/>
        <v>0</v>
      </c>
      <c r="CO15" s="2790">
        <f t="shared" ca="1" si="32"/>
        <v>0</v>
      </c>
      <c r="CP15" s="2790">
        <f t="shared" ca="1" si="32"/>
        <v>0</v>
      </c>
      <c r="CQ15" s="2790">
        <f t="shared" ca="1" si="32"/>
        <v>0</v>
      </c>
      <c r="CR15" s="2790">
        <f t="shared" ca="1" si="32"/>
        <v>0</v>
      </c>
      <c r="CS15" s="2790">
        <f t="shared" ca="1" si="32"/>
        <v>0</v>
      </c>
      <c r="CT15" s="2790">
        <f t="shared" ca="1" si="32"/>
        <v>0</v>
      </c>
      <c r="CU15" s="2790">
        <f t="shared" ca="1" si="32"/>
        <v>0</v>
      </c>
      <c r="CV15" s="2790">
        <f t="shared" ca="1" si="32"/>
        <v>0</v>
      </c>
      <c r="CW15" s="2790">
        <f t="shared" ca="1" si="32"/>
        <v>0</v>
      </c>
      <c r="CX15" s="2790">
        <f t="shared" ca="1" si="32"/>
        <v>0</v>
      </c>
      <c r="CY15" s="2790">
        <f t="shared" ca="1" si="32"/>
        <v>0</v>
      </c>
      <c r="CZ15" s="2790">
        <f t="shared" ca="1" si="32"/>
        <v>0</v>
      </c>
      <c r="DA15" s="2790">
        <f t="shared" ca="1" si="32"/>
        <v>0</v>
      </c>
      <c r="DB15" s="2790">
        <f t="shared" ca="1" si="32"/>
        <v>0</v>
      </c>
      <c r="DC15" s="2790">
        <f t="shared" ca="1" si="32"/>
        <v>0</v>
      </c>
      <c r="DD15" s="2790">
        <f t="shared" ca="1" si="32"/>
        <v>0</v>
      </c>
      <c r="DE15" s="2790">
        <f t="shared" ca="1" si="32"/>
        <v>0</v>
      </c>
      <c r="DF15" s="2790">
        <f t="shared" ca="1" si="32"/>
        <v>0</v>
      </c>
      <c r="DH15" s="596">
        <f t="shared" ref="DH15:DH38" ca="1" si="33">SUM(BO15:DF15)</f>
        <v>9.3506227337970369</v>
      </c>
    </row>
    <row r="16" spans="1:112" s="6" customFormat="1" outlineLevel="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10"/>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3"/>
        <v>0</v>
      </c>
    </row>
    <row r="17" spans="1:112" s="6" customFormat="1" ht="12.75" customHeight="1" outlineLevel="1">
      <c r="A17" s="607"/>
      <c r="B17" s="607"/>
      <c r="C17" s="587" t="s">
        <v>470</v>
      </c>
      <c r="D17" s="586" t="s">
        <v>471</v>
      </c>
      <c r="E17" s="599"/>
      <c r="G17" s="589">
        <f t="shared" ref="G17:P18" ca="1" si="34">IFERROR(INDEX(INDIRECT($C17&amp;".Outputs["&amp;this.Year&amp;"]"), MATCH(G$5, INDIRECT($C17&amp;".Outputs[Vector]"), 0)), 0)</f>
        <v>0</v>
      </c>
      <c r="H17" s="589">
        <f t="shared" ca="1" si="34"/>
        <v>6.485657237052826</v>
      </c>
      <c r="I17" s="589">
        <f t="shared" ca="1" si="34"/>
        <v>0</v>
      </c>
      <c r="J17" s="589">
        <f t="shared" ca="1" si="34"/>
        <v>0</v>
      </c>
      <c r="K17" s="589">
        <f t="shared" ca="1" si="34"/>
        <v>0</v>
      </c>
      <c r="L17" s="589">
        <f t="shared" ca="1" si="34"/>
        <v>0</v>
      </c>
      <c r="M17" s="589">
        <f t="shared" ca="1" si="34"/>
        <v>0</v>
      </c>
      <c r="N17" s="589">
        <f t="shared" ca="1" si="34"/>
        <v>0</v>
      </c>
      <c r="O17" s="589">
        <f t="shared" ca="1" si="34"/>
        <v>0</v>
      </c>
      <c r="P17" s="589">
        <f t="shared" ca="1" si="34"/>
        <v>0</v>
      </c>
      <c r="Q17" s="590">
        <f ca="1">SUM(G17:P17)</f>
        <v>6.485657237052826</v>
      </c>
      <c r="S17" s="591">
        <f t="shared" ref="S17:AJ18" ca="1" si="35">IFERROR(INDEX(INDIRECT($C17&amp;".Outputs["&amp;this.Year&amp;"]"), MATCH(S$5, INDIRECT($C17&amp;".Outputs[Vector]"), 0)), 0)</f>
        <v>-6.0051027329882114</v>
      </c>
      <c r="T17" s="591">
        <f t="shared" ca="1" si="35"/>
        <v>0</v>
      </c>
      <c r="U17" s="591">
        <f t="shared" ca="1" si="35"/>
        <v>0</v>
      </c>
      <c r="V17" s="591">
        <f t="shared" ca="1" si="35"/>
        <v>0</v>
      </c>
      <c r="W17" s="591">
        <f t="shared" ca="1" si="35"/>
        <v>-0.48055450406461453</v>
      </c>
      <c r="X17" s="591">
        <f t="shared" ref="X17:Z18" ca="1" si="36">IFERROR(INDEX(INDIRECT($C17&amp;".Outputs["&amp;this.Year&amp;"]"), MATCH(X$5, INDIRECT($C17&amp;".Outputs[Vector]"), 0)), 0)</f>
        <v>0</v>
      </c>
      <c r="Y17" s="591">
        <f t="shared" ca="1" si="36"/>
        <v>0</v>
      </c>
      <c r="Z17" s="591">
        <f t="shared" ca="1" si="36"/>
        <v>0</v>
      </c>
      <c r="AA17" s="591">
        <f t="shared" ca="1" si="35"/>
        <v>0</v>
      </c>
      <c r="AB17" s="591">
        <f t="shared" ca="1" si="35"/>
        <v>0</v>
      </c>
      <c r="AC17" s="591">
        <f t="shared" ca="1" si="35"/>
        <v>0</v>
      </c>
      <c r="AD17" s="591">
        <f t="shared" ca="1" si="35"/>
        <v>0</v>
      </c>
      <c r="AE17" s="591">
        <f t="shared" ca="1" si="35"/>
        <v>0</v>
      </c>
      <c r="AF17" s="591">
        <f t="shared" ca="1" si="35"/>
        <v>0</v>
      </c>
      <c r="AG17" s="591">
        <f t="shared" ca="1" si="35"/>
        <v>0</v>
      </c>
      <c r="AH17" s="591">
        <f t="shared" ca="1" si="35"/>
        <v>0</v>
      </c>
      <c r="AI17" s="591">
        <f t="shared" ca="1" si="35"/>
        <v>0</v>
      </c>
      <c r="AJ17" s="591">
        <f t="shared" ca="1" si="35"/>
        <v>0</v>
      </c>
      <c r="AK17" s="592">
        <f ca="1">SUM(S17:AJ17)</f>
        <v>-6.485657237052826</v>
      </c>
      <c r="AM17" s="593">
        <f t="shared" ref="AM17:AU18" ca="1" si="37">IFERROR(INDEX(INDIRECT($C17&amp;".Outputs["&amp;this.Year&amp;"]"), MATCH(AM$5, INDIRECT($C17&amp;".Outputs[Vector]"), 0)), 0)</f>
        <v>0</v>
      </c>
      <c r="AN17" s="593">
        <f t="shared" ca="1" si="37"/>
        <v>0</v>
      </c>
      <c r="AO17" s="593">
        <f t="shared" ca="1" si="37"/>
        <v>0</v>
      </c>
      <c r="AP17" s="593">
        <f t="shared" ca="1" si="37"/>
        <v>0</v>
      </c>
      <c r="AQ17" s="593">
        <f t="shared" ca="1" si="37"/>
        <v>0</v>
      </c>
      <c r="AR17" s="593">
        <f t="shared" ca="1" si="37"/>
        <v>0</v>
      </c>
      <c r="AS17" s="593">
        <f t="shared" ca="1" si="37"/>
        <v>0</v>
      </c>
      <c r="AT17" s="593">
        <f t="shared" ca="1" si="37"/>
        <v>0</v>
      </c>
      <c r="AU17" s="593">
        <f t="shared" ca="1" si="37"/>
        <v>0</v>
      </c>
      <c r="AV17" s="593">
        <f t="shared" ref="AV17:BE18" ca="1" si="38">IFERROR(INDEX(INDIRECT($C17&amp;".Outputs["&amp;this.Year&amp;"]"), MATCH(AV$5, INDIRECT($C17&amp;".Outputs[Vector]"), 0)), 0)</f>
        <v>0</v>
      </c>
      <c r="AW17" s="593">
        <f t="shared" ca="1" si="38"/>
        <v>0</v>
      </c>
      <c r="AX17" s="593">
        <f t="shared" ca="1" si="38"/>
        <v>0</v>
      </c>
      <c r="AY17" s="593">
        <f t="shared" ca="1" si="38"/>
        <v>0</v>
      </c>
      <c r="AZ17" s="593">
        <f t="shared" ca="1" si="38"/>
        <v>0</v>
      </c>
      <c r="BA17" s="593">
        <f t="shared" ca="1" si="38"/>
        <v>0</v>
      </c>
      <c r="BB17" s="593">
        <f t="shared" ca="1" si="38"/>
        <v>0</v>
      </c>
      <c r="BC17" s="593">
        <f t="shared" ca="1" si="38"/>
        <v>0</v>
      </c>
      <c r="BD17" s="593">
        <f t="shared" ca="1" si="38"/>
        <v>0</v>
      </c>
      <c r="BE17" s="593">
        <f t="shared" ca="1" si="38"/>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10"/>
        <v>0</v>
      </c>
      <c r="BM17" s="610"/>
      <c r="BN17" s="413"/>
      <c r="BO17" s="2789">
        <f t="shared" ref="BO17:BX18" ca="1" si="39">IFERROR(SUMIFS(INDIRECT($C17&amp;".Emissions["&amp;this.Year&amp;"]"), INDIRECT($C17&amp;".Emissions[GHG]"), BO$6, INDIRECT($C17&amp;".Emissions[IPCC Sector]"), BO$5),0)</f>
        <v>9.8379694737512763E-2</v>
      </c>
      <c r="BP17" s="2790">
        <f t="shared" ca="1" si="39"/>
        <v>3.6329920507284861E-5</v>
      </c>
      <c r="BQ17" s="2790">
        <f t="shared" ca="1" si="39"/>
        <v>1.5552665969547185E-3</v>
      </c>
      <c r="BR17" s="2790">
        <f t="shared" ca="1" si="39"/>
        <v>0</v>
      </c>
      <c r="BS17" s="2790">
        <f t="shared" ca="1" si="39"/>
        <v>0</v>
      </c>
      <c r="BT17" s="2790">
        <f t="shared" ca="1" si="39"/>
        <v>0</v>
      </c>
      <c r="BU17" s="2790">
        <f t="shared" ca="1" si="39"/>
        <v>0</v>
      </c>
      <c r="BV17" s="2790">
        <f t="shared" ca="1" si="39"/>
        <v>0</v>
      </c>
      <c r="BW17" s="2790">
        <f t="shared" ca="1" si="39"/>
        <v>0</v>
      </c>
      <c r="BX17" s="2790">
        <f t="shared" ca="1" si="39"/>
        <v>0</v>
      </c>
      <c r="BY17" s="2790">
        <f t="shared" ref="BY17:CH18" ca="1" si="40">IFERROR(SUMIFS(INDIRECT($C17&amp;".Emissions["&amp;this.Year&amp;"]"), INDIRECT($C17&amp;".Emissions[GHG]"), BY$6, INDIRECT($C17&amp;".Emissions[IPCC Sector]"), BY$5),0)</f>
        <v>0</v>
      </c>
      <c r="BZ17" s="2790">
        <f t="shared" ca="1" si="40"/>
        <v>0</v>
      </c>
      <c r="CA17" s="2790">
        <f t="shared" ca="1" si="40"/>
        <v>0</v>
      </c>
      <c r="CB17" s="2790">
        <f t="shared" ca="1" si="40"/>
        <v>0</v>
      </c>
      <c r="CC17" s="2790">
        <f t="shared" ca="1" si="40"/>
        <v>0</v>
      </c>
      <c r="CD17" s="2790">
        <f t="shared" ca="1" si="40"/>
        <v>0</v>
      </c>
      <c r="CE17" s="2790">
        <f t="shared" ca="1" si="40"/>
        <v>0</v>
      </c>
      <c r="CF17" s="2790">
        <f t="shared" ca="1" si="40"/>
        <v>0</v>
      </c>
      <c r="CG17" s="2790">
        <f t="shared" ca="1" si="40"/>
        <v>0</v>
      </c>
      <c r="CH17" s="2790">
        <f t="shared" ca="1" si="40"/>
        <v>0</v>
      </c>
      <c r="CI17" s="2790">
        <f t="shared" ref="CI17:CR18" ca="1" si="41">IFERROR(SUMIFS(INDIRECT($C17&amp;".Emissions["&amp;this.Year&amp;"]"), INDIRECT($C17&amp;".Emissions[GHG]"), CI$6, INDIRECT($C17&amp;".Emissions[IPCC Sector]"), CI$5),0)</f>
        <v>0</v>
      </c>
      <c r="CJ17" s="2790">
        <f t="shared" ca="1" si="41"/>
        <v>0</v>
      </c>
      <c r="CK17" s="2790">
        <f t="shared" ca="1" si="41"/>
        <v>0</v>
      </c>
      <c r="CL17" s="2790">
        <f t="shared" ca="1" si="41"/>
        <v>0</v>
      </c>
      <c r="CM17" s="2790">
        <f t="shared" ca="1" si="41"/>
        <v>0</v>
      </c>
      <c r="CN17" s="2790">
        <f t="shared" ca="1" si="41"/>
        <v>0</v>
      </c>
      <c r="CO17" s="2790">
        <f t="shared" ca="1" si="41"/>
        <v>0</v>
      </c>
      <c r="CP17" s="2790">
        <f t="shared" ca="1" si="41"/>
        <v>0</v>
      </c>
      <c r="CQ17" s="2790">
        <f t="shared" ca="1" si="41"/>
        <v>0</v>
      </c>
      <c r="CR17" s="2790">
        <f t="shared" ca="1" si="41"/>
        <v>0</v>
      </c>
      <c r="CS17" s="2790">
        <f t="shared" ref="CS17:DF18" ca="1" si="42">IFERROR(SUMIFS(INDIRECT($C17&amp;".Emissions["&amp;this.Year&amp;"]"), INDIRECT($C17&amp;".Emissions[GHG]"), CS$6, INDIRECT($C17&amp;".Emissions[IPCC Sector]"), CS$5),0)</f>
        <v>0</v>
      </c>
      <c r="CT17" s="2790">
        <f t="shared" ca="1" si="42"/>
        <v>0</v>
      </c>
      <c r="CU17" s="2790">
        <f t="shared" ca="1" si="42"/>
        <v>0</v>
      </c>
      <c r="CV17" s="2790">
        <f t="shared" ca="1" si="42"/>
        <v>0</v>
      </c>
      <c r="CW17" s="2790">
        <f t="shared" ca="1" si="42"/>
        <v>0</v>
      </c>
      <c r="CX17" s="2790">
        <f t="shared" ca="1" si="42"/>
        <v>0</v>
      </c>
      <c r="CY17" s="2790">
        <f t="shared" ca="1" si="42"/>
        <v>0</v>
      </c>
      <c r="CZ17" s="2790">
        <f t="shared" ca="1" si="42"/>
        <v>0</v>
      </c>
      <c r="DA17" s="2790">
        <f t="shared" ca="1" si="42"/>
        <v>0</v>
      </c>
      <c r="DB17" s="2790">
        <f t="shared" ca="1" si="42"/>
        <v>0</v>
      </c>
      <c r="DC17" s="2790">
        <f t="shared" ca="1" si="42"/>
        <v>0</v>
      </c>
      <c r="DD17" s="2790">
        <f t="shared" ca="1" si="42"/>
        <v>0</v>
      </c>
      <c r="DE17" s="2790">
        <f t="shared" ca="1" si="42"/>
        <v>0</v>
      </c>
      <c r="DF17" s="2790">
        <f t="shared" ca="1" si="42"/>
        <v>0</v>
      </c>
      <c r="DH17" s="596">
        <f t="shared" ca="1" si="33"/>
        <v>9.9971291254974767E-2</v>
      </c>
    </row>
    <row r="18" spans="1:112" s="6" customFormat="1" ht="12.75" customHeight="1" outlineLevel="1">
      <c r="A18" s="607"/>
      <c r="B18" s="607"/>
      <c r="C18" s="587" t="s">
        <v>472</v>
      </c>
      <c r="D18" s="611" t="s">
        <v>473</v>
      </c>
      <c r="E18" s="611"/>
      <c r="G18" s="619">
        <f t="shared" ca="1" si="34"/>
        <v>0</v>
      </c>
      <c r="H18" s="619">
        <f t="shared" ca="1" si="34"/>
        <v>5.1111891891891901</v>
      </c>
      <c r="I18" s="619">
        <f t="shared" ca="1" si="34"/>
        <v>0</v>
      </c>
      <c r="J18" s="619">
        <f t="shared" ca="1" si="34"/>
        <v>0</v>
      </c>
      <c r="K18" s="619">
        <f t="shared" ca="1" si="34"/>
        <v>0</v>
      </c>
      <c r="L18" s="619">
        <f t="shared" ca="1" si="34"/>
        <v>0</v>
      </c>
      <c r="M18" s="619">
        <f t="shared" ca="1" si="34"/>
        <v>0</v>
      </c>
      <c r="N18" s="619">
        <f t="shared" ca="1" si="34"/>
        <v>0</v>
      </c>
      <c r="O18" s="619">
        <f t="shared" ca="1" si="34"/>
        <v>0</v>
      </c>
      <c r="P18" s="619">
        <f t="shared" ca="1" si="34"/>
        <v>0</v>
      </c>
      <c r="Q18" s="612">
        <f ca="1">SUM(G18:P18)</f>
        <v>5.1111891891891901</v>
      </c>
      <c r="S18" s="620">
        <f t="shared" ca="1" si="35"/>
        <v>-4.6197297297297304</v>
      </c>
      <c r="T18" s="620">
        <f t="shared" ca="1" si="35"/>
        <v>0</v>
      </c>
      <c r="U18" s="620">
        <f t="shared" ca="1" si="35"/>
        <v>0</v>
      </c>
      <c r="V18" s="620">
        <f t="shared" ca="1" si="35"/>
        <v>0</v>
      </c>
      <c r="W18" s="620">
        <f t="shared" ca="1" si="35"/>
        <v>-0.49145945945946007</v>
      </c>
      <c r="X18" s="620">
        <f t="shared" ca="1" si="36"/>
        <v>0</v>
      </c>
      <c r="Y18" s="620">
        <f t="shared" ca="1" si="36"/>
        <v>0</v>
      </c>
      <c r="Z18" s="620">
        <f t="shared" ca="1" si="36"/>
        <v>0</v>
      </c>
      <c r="AA18" s="620">
        <f t="shared" ca="1" si="35"/>
        <v>0</v>
      </c>
      <c r="AB18" s="620">
        <f t="shared" ca="1" si="35"/>
        <v>0</v>
      </c>
      <c r="AC18" s="620">
        <f t="shared" ca="1" si="35"/>
        <v>0</v>
      </c>
      <c r="AD18" s="620">
        <f t="shared" ca="1" si="35"/>
        <v>0</v>
      </c>
      <c r="AE18" s="620">
        <f t="shared" ca="1" si="35"/>
        <v>0</v>
      </c>
      <c r="AF18" s="620">
        <f t="shared" ca="1" si="35"/>
        <v>0</v>
      </c>
      <c r="AG18" s="620">
        <f t="shared" ca="1" si="35"/>
        <v>0</v>
      </c>
      <c r="AH18" s="620">
        <f t="shared" ca="1" si="35"/>
        <v>0</v>
      </c>
      <c r="AI18" s="620">
        <f t="shared" ca="1" si="35"/>
        <v>0</v>
      </c>
      <c r="AJ18" s="620">
        <f t="shared" ca="1" si="35"/>
        <v>0</v>
      </c>
      <c r="AK18" s="613">
        <f ca="1">SUM(S18:AJ18)</f>
        <v>-5.1111891891891901</v>
      </c>
      <c r="AM18" s="621">
        <f t="shared" ca="1" si="37"/>
        <v>0</v>
      </c>
      <c r="AN18" s="621">
        <f t="shared" ca="1" si="37"/>
        <v>0</v>
      </c>
      <c r="AO18" s="621">
        <f t="shared" ca="1" si="37"/>
        <v>0</v>
      </c>
      <c r="AP18" s="621">
        <f t="shared" ca="1" si="37"/>
        <v>0</v>
      </c>
      <c r="AQ18" s="621">
        <f t="shared" ca="1" si="37"/>
        <v>0</v>
      </c>
      <c r="AR18" s="621">
        <f t="shared" ca="1" si="37"/>
        <v>0</v>
      </c>
      <c r="AS18" s="621">
        <f t="shared" ca="1" si="37"/>
        <v>0</v>
      </c>
      <c r="AT18" s="621">
        <f t="shared" ca="1" si="37"/>
        <v>0</v>
      </c>
      <c r="AU18" s="621">
        <f t="shared" ca="1" si="37"/>
        <v>0</v>
      </c>
      <c r="AV18" s="621">
        <f t="shared" ca="1" si="38"/>
        <v>0</v>
      </c>
      <c r="AW18" s="621">
        <f t="shared" ca="1" si="38"/>
        <v>0</v>
      </c>
      <c r="AX18" s="621">
        <f t="shared" ca="1" si="38"/>
        <v>0</v>
      </c>
      <c r="AY18" s="621">
        <f t="shared" ca="1" si="38"/>
        <v>0</v>
      </c>
      <c r="AZ18" s="621">
        <f t="shared" ca="1" si="38"/>
        <v>0</v>
      </c>
      <c r="BA18" s="621">
        <f t="shared" ca="1" si="38"/>
        <v>0</v>
      </c>
      <c r="BB18" s="621">
        <f t="shared" ca="1" si="38"/>
        <v>0</v>
      </c>
      <c r="BC18" s="621">
        <f t="shared" ca="1" si="38"/>
        <v>0</v>
      </c>
      <c r="BD18" s="621">
        <f t="shared" ca="1" si="38"/>
        <v>0</v>
      </c>
      <c r="BE18" s="621">
        <f t="shared" ca="1" si="38"/>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10"/>
        <v>0</v>
      </c>
      <c r="BM18" s="610"/>
      <c r="BN18" s="413"/>
      <c r="BO18" s="2791">
        <f t="shared" ca="1" si="39"/>
        <v>0.10061217029189201</v>
      </c>
      <c r="BP18" s="2792">
        <f t="shared" ca="1" si="39"/>
        <v>3.7154335135135182E-5</v>
      </c>
      <c r="BQ18" s="2792">
        <f t="shared" ca="1" si="39"/>
        <v>1.5905593945945967E-3</v>
      </c>
      <c r="BR18" s="2792">
        <f t="shared" ca="1" si="39"/>
        <v>0</v>
      </c>
      <c r="BS18" s="2792">
        <f t="shared" ca="1" si="39"/>
        <v>0</v>
      </c>
      <c r="BT18" s="2792">
        <f t="shared" ca="1" si="39"/>
        <v>0</v>
      </c>
      <c r="BU18" s="2792">
        <f t="shared" ca="1" si="39"/>
        <v>0</v>
      </c>
      <c r="BV18" s="2792">
        <f t="shared" ca="1" si="39"/>
        <v>0</v>
      </c>
      <c r="BW18" s="2792">
        <f t="shared" ca="1" si="39"/>
        <v>0</v>
      </c>
      <c r="BX18" s="2792">
        <f t="shared" ca="1" si="39"/>
        <v>0</v>
      </c>
      <c r="BY18" s="2792">
        <f t="shared" ca="1" si="40"/>
        <v>0</v>
      </c>
      <c r="BZ18" s="2792">
        <f t="shared" ca="1" si="40"/>
        <v>0</v>
      </c>
      <c r="CA18" s="2792">
        <f t="shared" ca="1" si="40"/>
        <v>0</v>
      </c>
      <c r="CB18" s="2792">
        <f t="shared" ca="1" si="40"/>
        <v>0</v>
      </c>
      <c r="CC18" s="2792">
        <f t="shared" ca="1" si="40"/>
        <v>0</v>
      </c>
      <c r="CD18" s="2792">
        <f t="shared" ca="1" si="40"/>
        <v>0</v>
      </c>
      <c r="CE18" s="2792">
        <f t="shared" ca="1" si="40"/>
        <v>0</v>
      </c>
      <c r="CF18" s="2792">
        <f t="shared" ca="1" si="40"/>
        <v>0</v>
      </c>
      <c r="CG18" s="2792">
        <f t="shared" ca="1" si="40"/>
        <v>0</v>
      </c>
      <c r="CH18" s="2792">
        <f t="shared" ca="1" si="40"/>
        <v>0</v>
      </c>
      <c r="CI18" s="2792">
        <f t="shared" ca="1" si="41"/>
        <v>0</v>
      </c>
      <c r="CJ18" s="2792">
        <f t="shared" ca="1" si="41"/>
        <v>0</v>
      </c>
      <c r="CK18" s="2792">
        <f t="shared" ca="1" si="41"/>
        <v>0</v>
      </c>
      <c r="CL18" s="2792">
        <f t="shared" ca="1" si="41"/>
        <v>0</v>
      </c>
      <c r="CM18" s="2792">
        <f t="shared" ca="1" si="41"/>
        <v>0</v>
      </c>
      <c r="CN18" s="2792">
        <f t="shared" ca="1" si="41"/>
        <v>0</v>
      </c>
      <c r="CO18" s="2792">
        <f t="shared" ca="1" si="41"/>
        <v>0</v>
      </c>
      <c r="CP18" s="2792">
        <f t="shared" ca="1" si="41"/>
        <v>0</v>
      </c>
      <c r="CQ18" s="2792">
        <f t="shared" ca="1" si="41"/>
        <v>0</v>
      </c>
      <c r="CR18" s="2792">
        <f t="shared" ca="1" si="41"/>
        <v>0</v>
      </c>
      <c r="CS18" s="2792">
        <f t="shared" ca="1" si="42"/>
        <v>0</v>
      </c>
      <c r="CT18" s="2792">
        <f t="shared" ca="1" si="42"/>
        <v>0</v>
      </c>
      <c r="CU18" s="2792">
        <f t="shared" ca="1" si="42"/>
        <v>0</v>
      </c>
      <c r="CV18" s="2792">
        <f t="shared" ca="1" si="42"/>
        <v>0</v>
      </c>
      <c r="CW18" s="2792">
        <f t="shared" ca="1" si="42"/>
        <v>0</v>
      </c>
      <c r="CX18" s="2792">
        <f t="shared" ca="1" si="42"/>
        <v>0</v>
      </c>
      <c r="CY18" s="2792">
        <f t="shared" ca="1" si="42"/>
        <v>0</v>
      </c>
      <c r="CZ18" s="2792">
        <f t="shared" ca="1" si="42"/>
        <v>0</v>
      </c>
      <c r="DA18" s="2792">
        <f t="shared" ca="1" si="42"/>
        <v>0</v>
      </c>
      <c r="DB18" s="2792">
        <f t="shared" ca="1" si="42"/>
        <v>0</v>
      </c>
      <c r="DC18" s="2792">
        <f t="shared" ca="1" si="42"/>
        <v>0</v>
      </c>
      <c r="DD18" s="2792">
        <f t="shared" ca="1" si="42"/>
        <v>0</v>
      </c>
      <c r="DE18" s="2792">
        <f t="shared" ca="1" si="42"/>
        <v>0</v>
      </c>
      <c r="DF18" s="2792">
        <f t="shared" ca="1" si="42"/>
        <v>0</v>
      </c>
      <c r="DH18" s="596">
        <f t="shared" ca="1" si="33"/>
        <v>0.10223988402162175</v>
      </c>
    </row>
    <row r="19" spans="1:112" s="6" customFormat="1" ht="15.75">
      <c r="A19" s="4"/>
      <c r="B19" s="3"/>
      <c r="C19" s="616" t="s">
        <v>474</v>
      </c>
      <c r="D19" s="617" t="s">
        <v>83</v>
      </c>
      <c r="E19" s="206"/>
      <c r="G19" s="618">
        <f ca="1">G17+G18</f>
        <v>0</v>
      </c>
      <c r="H19" s="618">
        <f t="shared" ref="H19:P19" ca="1" si="43">H17+H18</f>
        <v>11.596846426242017</v>
      </c>
      <c r="I19" s="618">
        <f t="shared" ca="1" si="43"/>
        <v>0</v>
      </c>
      <c r="J19" s="618">
        <f t="shared" ca="1" si="43"/>
        <v>0</v>
      </c>
      <c r="K19" s="618">
        <f t="shared" ca="1" si="43"/>
        <v>0</v>
      </c>
      <c r="L19" s="618">
        <f t="shared" ca="1" si="43"/>
        <v>0</v>
      </c>
      <c r="M19" s="618">
        <f t="shared" ca="1" si="43"/>
        <v>0</v>
      </c>
      <c r="N19" s="618">
        <f ca="1">N17+N18</f>
        <v>0</v>
      </c>
      <c r="O19" s="618">
        <f ca="1">O17+O18</f>
        <v>0</v>
      </c>
      <c r="P19" s="618">
        <f t="shared" ca="1" si="43"/>
        <v>0</v>
      </c>
      <c r="Q19" s="618">
        <f ca="1">SUM(G19:P19)</f>
        <v>11.596846426242017</v>
      </c>
      <c r="S19" s="581">
        <f ca="1">S17+S18</f>
        <v>-10.624832462717942</v>
      </c>
      <c r="T19" s="581">
        <f t="shared" ref="T19:AJ19" ca="1" si="44">T17+T18</f>
        <v>0</v>
      </c>
      <c r="U19" s="581">
        <f t="shared" ca="1" si="44"/>
        <v>0</v>
      </c>
      <c r="V19" s="581">
        <f t="shared" ca="1" si="44"/>
        <v>0</v>
      </c>
      <c r="W19" s="581">
        <f t="shared" ca="1" si="44"/>
        <v>-0.97201396352407454</v>
      </c>
      <c r="X19" s="581">
        <f ca="1">X17+X18</f>
        <v>0</v>
      </c>
      <c r="Y19" s="581">
        <f ca="1">Y17+Y18</f>
        <v>0</v>
      </c>
      <c r="Z19" s="581">
        <f ca="1">Z17+Z18</f>
        <v>0</v>
      </c>
      <c r="AA19" s="581">
        <f t="shared" ca="1" si="44"/>
        <v>0</v>
      </c>
      <c r="AB19" s="581">
        <f t="shared" ca="1" si="44"/>
        <v>0</v>
      </c>
      <c r="AC19" s="581">
        <f t="shared" ca="1" si="44"/>
        <v>0</v>
      </c>
      <c r="AD19" s="581">
        <f ca="1">AD17+AD18</f>
        <v>0</v>
      </c>
      <c r="AE19" s="581">
        <f ca="1">AE17+AE18</f>
        <v>0</v>
      </c>
      <c r="AF19" s="581">
        <f t="shared" ca="1" si="44"/>
        <v>0</v>
      </c>
      <c r="AG19" s="581">
        <f ca="1">AG17+AG18</f>
        <v>0</v>
      </c>
      <c r="AH19" s="581">
        <f ca="1">AH17+AH18</f>
        <v>0</v>
      </c>
      <c r="AI19" s="581">
        <f ca="1">AI17+AI18</f>
        <v>0</v>
      </c>
      <c r="AJ19" s="581">
        <f t="shared" ca="1" si="44"/>
        <v>0</v>
      </c>
      <c r="AK19" s="581">
        <f ca="1">SUM(S19:AJ19)</f>
        <v>-11.596846426242017</v>
      </c>
      <c r="AM19" s="582">
        <f t="shared" ref="AM19:BE19" ca="1" si="45">AM17+AM18</f>
        <v>0</v>
      </c>
      <c r="AN19" s="582">
        <f t="shared" ca="1" si="45"/>
        <v>0</v>
      </c>
      <c r="AO19" s="582">
        <f t="shared" ca="1" si="45"/>
        <v>0</v>
      </c>
      <c r="AP19" s="582">
        <f t="shared" ca="1" si="45"/>
        <v>0</v>
      </c>
      <c r="AQ19" s="582">
        <f t="shared" ca="1" si="45"/>
        <v>0</v>
      </c>
      <c r="AR19" s="582">
        <f t="shared" ca="1" si="45"/>
        <v>0</v>
      </c>
      <c r="AS19" s="582">
        <f t="shared" ca="1" si="45"/>
        <v>0</v>
      </c>
      <c r="AT19" s="582">
        <f t="shared" ca="1" si="45"/>
        <v>0</v>
      </c>
      <c r="AU19" s="582">
        <f t="shared" ca="1" si="45"/>
        <v>0</v>
      </c>
      <c r="AV19" s="582">
        <f t="shared" ca="1" si="45"/>
        <v>0</v>
      </c>
      <c r="AW19" s="582">
        <f t="shared" ca="1" si="45"/>
        <v>0</v>
      </c>
      <c r="AX19" s="582">
        <f t="shared" ca="1" si="45"/>
        <v>0</v>
      </c>
      <c r="AY19" s="582">
        <f t="shared" ca="1" si="45"/>
        <v>0</v>
      </c>
      <c r="AZ19" s="582">
        <f t="shared" ca="1" si="45"/>
        <v>0</v>
      </c>
      <c r="BA19" s="582">
        <f t="shared" ca="1" si="45"/>
        <v>0</v>
      </c>
      <c r="BB19" s="582">
        <f t="shared" ca="1" si="45"/>
        <v>0</v>
      </c>
      <c r="BC19" s="582">
        <f t="shared" ca="1" si="45"/>
        <v>0</v>
      </c>
      <c r="BD19" s="582">
        <f ca="1">BD17+BD18</f>
        <v>0</v>
      </c>
      <c r="BE19" s="582">
        <f t="shared" ca="1" si="45"/>
        <v>0</v>
      </c>
      <c r="BF19" s="582">
        <f ca="1">SUM(AM19:BE19)</f>
        <v>0</v>
      </c>
      <c r="BH19" s="3463">
        <f ca="1">BH17+BH18</f>
        <v>0</v>
      </c>
      <c r="BI19" s="3463">
        <f ca="1">BI17+BI18</f>
        <v>0</v>
      </c>
      <c r="BJ19" s="3463">
        <f ca="1">SUM(BH19:BI19)</f>
        <v>0</v>
      </c>
      <c r="BL19" s="3477">
        <f t="shared" ca="1" si="10"/>
        <v>0</v>
      </c>
      <c r="BM19" s="584"/>
      <c r="BN19" s="413"/>
      <c r="BO19" s="2790">
        <f t="shared" ref="BO19:DF19" ca="1" si="46">BO17+BO18</f>
        <v>0.19899186502940477</v>
      </c>
      <c r="BP19" s="2790">
        <f t="shared" ca="1" si="46"/>
        <v>7.3484255642420037E-5</v>
      </c>
      <c r="BQ19" s="2790">
        <f t="shared" ca="1" si="46"/>
        <v>3.1458259915493154E-3</v>
      </c>
      <c r="BR19" s="2790">
        <f t="shared" ca="1" si="46"/>
        <v>0</v>
      </c>
      <c r="BS19" s="2790">
        <f t="shared" ca="1" si="46"/>
        <v>0</v>
      </c>
      <c r="BT19" s="2790">
        <f t="shared" ca="1" si="46"/>
        <v>0</v>
      </c>
      <c r="BU19" s="2790">
        <f t="shared" ca="1" si="46"/>
        <v>0</v>
      </c>
      <c r="BV19" s="2790">
        <f t="shared" ca="1" si="46"/>
        <v>0</v>
      </c>
      <c r="BW19" s="2790">
        <f t="shared" ca="1" si="46"/>
        <v>0</v>
      </c>
      <c r="BX19" s="2790">
        <f t="shared" ca="1" si="46"/>
        <v>0</v>
      </c>
      <c r="BY19" s="2790">
        <f t="shared" ca="1" si="46"/>
        <v>0</v>
      </c>
      <c r="BZ19" s="2790">
        <f t="shared" ca="1" si="46"/>
        <v>0</v>
      </c>
      <c r="CA19" s="2790">
        <f t="shared" ca="1" si="46"/>
        <v>0</v>
      </c>
      <c r="CB19" s="2790">
        <f t="shared" ca="1" si="46"/>
        <v>0</v>
      </c>
      <c r="CC19" s="2790">
        <f t="shared" ca="1" si="46"/>
        <v>0</v>
      </c>
      <c r="CD19" s="2790">
        <f t="shared" ca="1" si="46"/>
        <v>0</v>
      </c>
      <c r="CE19" s="2790">
        <f t="shared" ca="1" si="46"/>
        <v>0</v>
      </c>
      <c r="CF19" s="2790">
        <f t="shared" ca="1" si="46"/>
        <v>0</v>
      </c>
      <c r="CG19" s="2790">
        <f t="shared" ca="1" si="46"/>
        <v>0</v>
      </c>
      <c r="CH19" s="2790">
        <f t="shared" ca="1" si="46"/>
        <v>0</v>
      </c>
      <c r="CI19" s="2790">
        <f t="shared" ca="1" si="46"/>
        <v>0</v>
      </c>
      <c r="CJ19" s="2790">
        <f t="shared" ca="1" si="46"/>
        <v>0</v>
      </c>
      <c r="CK19" s="2790">
        <f t="shared" ca="1" si="46"/>
        <v>0</v>
      </c>
      <c r="CL19" s="2790">
        <f t="shared" ca="1" si="46"/>
        <v>0</v>
      </c>
      <c r="CM19" s="2790">
        <f t="shared" ca="1" si="46"/>
        <v>0</v>
      </c>
      <c r="CN19" s="2790">
        <f t="shared" ca="1" si="46"/>
        <v>0</v>
      </c>
      <c r="CO19" s="2790">
        <f t="shared" ca="1" si="46"/>
        <v>0</v>
      </c>
      <c r="CP19" s="2790">
        <f t="shared" ca="1" si="46"/>
        <v>0</v>
      </c>
      <c r="CQ19" s="2790">
        <f t="shared" ca="1" si="46"/>
        <v>0</v>
      </c>
      <c r="CR19" s="2790">
        <f t="shared" ca="1" si="46"/>
        <v>0</v>
      </c>
      <c r="CS19" s="2790">
        <f t="shared" ca="1" si="46"/>
        <v>0</v>
      </c>
      <c r="CT19" s="2790">
        <f t="shared" ca="1" si="46"/>
        <v>0</v>
      </c>
      <c r="CU19" s="2790">
        <f t="shared" ca="1" si="46"/>
        <v>0</v>
      </c>
      <c r="CV19" s="2790">
        <f t="shared" ca="1" si="46"/>
        <v>0</v>
      </c>
      <c r="CW19" s="2790">
        <f t="shared" ca="1" si="46"/>
        <v>0</v>
      </c>
      <c r="CX19" s="2790">
        <f t="shared" ca="1" si="46"/>
        <v>0</v>
      </c>
      <c r="CY19" s="2790">
        <f t="shared" ca="1" si="46"/>
        <v>0</v>
      </c>
      <c r="CZ19" s="2790">
        <f t="shared" ca="1" si="46"/>
        <v>0</v>
      </c>
      <c r="DA19" s="2790">
        <f t="shared" ca="1" si="46"/>
        <v>0</v>
      </c>
      <c r="DB19" s="2790">
        <f t="shared" ca="1" si="46"/>
        <v>0</v>
      </c>
      <c r="DC19" s="2790">
        <f t="shared" ca="1" si="46"/>
        <v>0</v>
      </c>
      <c r="DD19" s="2790">
        <f t="shared" ca="1" si="46"/>
        <v>0</v>
      </c>
      <c r="DE19" s="2790">
        <f t="shared" ca="1" si="46"/>
        <v>0</v>
      </c>
      <c r="DF19" s="2790">
        <f t="shared" ca="1" si="46"/>
        <v>0</v>
      </c>
      <c r="DH19" s="596">
        <f t="shared" ca="1" si="33"/>
        <v>0.20221117527659649</v>
      </c>
    </row>
    <row r="20" spans="1:112" s="6" customFormat="1" ht="12.75" customHeight="1" outlineLevel="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10"/>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3"/>
        <v>0</v>
      </c>
    </row>
    <row r="21" spans="1:112" s="6" customFormat="1" ht="12.75" customHeight="1" outlineLevel="1">
      <c r="A21" s="607"/>
      <c r="B21" s="607"/>
      <c r="C21" s="587" t="s">
        <v>475</v>
      </c>
      <c r="D21" s="611" t="s">
        <v>476</v>
      </c>
      <c r="E21" s="611"/>
      <c r="G21" s="619">
        <f t="shared" ref="G21:P21" ca="1" si="47">IFERROR(INDEX(INDIRECT($C21&amp;".Outputs["&amp;this.Year&amp;"]"), MATCH(G$5, INDIRECT($C21&amp;".Outputs[Vector]"), 0)), 0)</f>
        <v>0</v>
      </c>
      <c r="H21" s="619">
        <f t="shared" ca="1" si="47"/>
        <v>0</v>
      </c>
      <c r="I21" s="619">
        <f t="shared" ca="1" si="47"/>
        <v>31.825528267168547</v>
      </c>
      <c r="J21" s="619">
        <f t="shared" ca="1" si="47"/>
        <v>0</v>
      </c>
      <c r="K21" s="619">
        <f t="shared" ca="1" si="47"/>
        <v>0</v>
      </c>
      <c r="L21" s="619">
        <f t="shared" ca="1" si="47"/>
        <v>0</v>
      </c>
      <c r="M21" s="619">
        <f t="shared" ca="1" si="47"/>
        <v>0</v>
      </c>
      <c r="N21" s="619">
        <f t="shared" ca="1" si="47"/>
        <v>0</v>
      </c>
      <c r="O21" s="619">
        <f t="shared" ca="1" si="47"/>
        <v>0</v>
      </c>
      <c r="P21" s="619">
        <f t="shared" ca="1" si="47"/>
        <v>0</v>
      </c>
      <c r="Q21" s="612">
        <f ca="1">SUM(G21:P21)</f>
        <v>31.825528267168547</v>
      </c>
      <c r="S21" s="620">
        <f t="shared" ref="S21:AJ21" ca="1" si="48">IFERROR(INDEX(INDIRECT($C21&amp;".Outputs["&amp;this.Year&amp;"]"), MATCH(S$5, INDIRECT($C21&amp;".Outputs[Vector]"), 0)), 0)</f>
        <v>-11.375881400615459</v>
      </c>
      <c r="T21" s="620">
        <f t="shared" ca="1" si="48"/>
        <v>0</v>
      </c>
      <c r="U21" s="620">
        <f t="shared" ca="1" si="48"/>
        <v>-3.8082875302383297</v>
      </c>
      <c r="V21" s="620">
        <f t="shared" ca="1" si="48"/>
        <v>-7.7757639283001261</v>
      </c>
      <c r="W21" s="620">
        <f t="shared" ca="1" si="48"/>
        <v>-8.8655954080146326</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8"/>
        <v>0</v>
      </c>
      <c r="AB21" s="620">
        <f t="shared" ca="1" si="48"/>
        <v>0</v>
      </c>
      <c r="AC21" s="620">
        <f t="shared" ca="1" si="48"/>
        <v>0</v>
      </c>
      <c r="AD21" s="620">
        <f t="shared" ca="1" si="48"/>
        <v>0</v>
      </c>
      <c r="AE21" s="620">
        <f t="shared" ca="1" si="48"/>
        <v>0</v>
      </c>
      <c r="AF21" s="620">
        <f t="shared" ca="1" si="48"/>
        <v>0</v>
      </c>
      <c r="AG21" s="620">
        <f t="shared" ca="1" si="48"/>
        <v>0</v>
      </c>
      <c r="AH21" s="620">
        <f t="shared" ca="1" si="48"/>
        <v>0</v>
      </c>
      <c r="AI21" s="620">
        <f t="shared" ca="1" si="48"/>
        <v>0</v>
      </c>
      <c r="AJ21" s="620">
        <f t="shared" ca="1" si="48"/>
        <v>0</v>
      </c>
      <c r="AK21" s="613">
        <f ca="1">SUM(S21:AJ21)</f>
        <v>-31.825528267168551</v>
      </c>
      <c r="AM21" s="621">
        <f t="shared" ref="AM21:AU21" ca="1" si="49">IFERROR(INDEX(INDIRECT($C21&amp;".Outputs["&amp;this.Year&amp;"]"), MATCH(AM$5, INDIRECT($C21&amp;".Outputs[Vector]"), 0)), 0)</f>
        <v>0</v>
      </c>
      <c r="AN21" s="621">
        <f t="shared" ca="1" si="49"/>
        <v>0</v>
      </c>
      <c r="AO21" s="621">
        <f t="shared" ca="1" si="49"/>
        <v>0</v>
      </c>
      <c r="AP21" s="621">
        <f t="shared" ca="1" si="49"/>
        <v>0</v>
      </c>
      <c r="AQ21" s="621">
        <f t="shared" ca="1" si="49"/>
        <v>0</v>
      </c>
      <c r="AR21" s="621">
        <f t="shared" ca="1" si="49"/>
        <v>0</v>
      </c>
      <c r="AS21" s="621">
        <f t="shared" ca="1" si="49"/>
        <v>0</v>
      </c>
      <c r="AT21" s="621">
        <f t="shared" ca="1" si="49"/>
        <v>0</v>
      </c>
      <c r="AU21" s="621">
        <f t="shared" ca="1" si="49"/>
        <v>0</v>
      </c>
      <c r="AV21" s="621">
        <f t="shared" ref="AV21:BE21" ca="1" si="50">IFERROR(INDEX(INDIRECT($C21&amp;".Outputs["&amp;this.Year&amp;"]"), MATCH(AV$5, INDIRECT($C21&amp;".Outputs[Vector]"), 0)), 0)</f>
        <v>0</v>
      </c>
      <c r="AW21" s="621">
        <f t="shared" ca="1" si="50"/>
        <v>0</v>
      </c>
      <c r="AX21" s="621">
        <f t="shared" ca="1" si="50"/>
        <v>0</v>
      </c>
      <c r="AY21" s="621">
        <f t="shared" ca="1" si="50"/>
        <v>0</v>
      </c>
      <c r="AZ21" s="621">
        <f t="shared" ca="1" si="50"/>
        <v>0</v>
      </c>
      <c r="BA21" s="621">
        <f t="shared" ca="1" si="50"/>
        <v>0</v>
      </c>
      <c r="BB21" s="621">
        <f t="shared" ca="1" si="50"/>
        <v>0</v>
      </c>
      <c r="BC21" s="621">
        <f t="shared" ca="1" si="50"/>
        <v>0</v>
      </c>
      <c r="BD21" s="621">
        <f t="shared" ca="1" si="50"/>
        <v>0</v>
      </c>
      <c r="BE21" s="621">
        <f t="shared" ca="1" si="50"/>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10"/>
        <v>-3.5527136788005009E-15</v>
      </c>
      <c r="BM21" s="610"/>
      <c r="BN21" s="413"/>
      <c r="BO21" s="2791">
        <f t="shared" ref="BO21:DF21" ca="1" si="51">IFERROR(SUMIFS(INDIRECT($C21&amp;".Emissions["&amp;this.Year&amp;"]"), INDIRECT($C21&amp;".Emissions[GHG]"), BO$6, INDIRECT($C21&amp;".Emissions[IPCC Sector]"), BO$5),0)</f>
        <v>5.1526070918922198</v>
      </c>
      <c r="BP21" s="2792">
        <f t="shared" ca="1" si="51"/>
        <v>2.6353168478845876E-3</v>
      </c>
      <c r="BQ21" s="2792">
        <f t="shared" ca="1" si="51"/>
        <v>3.602428894676131E-2</v>
      </c>
      <c r="BR21" s="2792">
        <f t="shared" ca="1" si="51"/>
        <v>0</v>
      </c>
      <c r="BS21" s="2792">
        <f t="shared" ca="1" si="51"/>
        <v>0</v>
      </c>
      <c r="BT21" s="2792">
        <f t="shared" ca="1" si="51"/>
        <v>0</v>
      </c>
      <c r="BU21" s="2792">
        <f t="shared" ca="1" si="51"/>
        <v>0</v>
      </c>
      <c r="BV21" s="2792">
        <f t="shared" ca="1" si="51"/>
        <v>0</v>
      </c>
      <c r="BW21" s="2792">
        <f t="shared" ca="1" si="51"/>
        <v>0.61824769036199845</v>
      </c>
      <c r="BX21" s="2792">
        <f t="shared" ca="1" si="51"/>
        <v>0</v>
      </c>
      <c r="BY21" s="2792">
        <f t="shared" ca="1" si="51"/>
        <v>0</v>
      </c>
      <c r="BZ21" s="2792">
        <f t="shared" ca="1" si="51"/>
        <v>0.60273921385233153</v>
      </c>
      <c r="CA21" s="2792">
        <f t="shared" ca="1" si="51"/>
        <v>0</v>
      </c>
      <c r="CB21" s="2792">
        <f t="shared" ca="1" si="51"/>
        <v>0</v>
      </c>
      <c r="CC21" s="2792">
        <f t="shared" ca="1" si="51"/>
        <v>0</v>
      </c>
      <c r="CD21" s="2792">
        <f t="shared" ca="1" si="51"/>
        <v>0</v>
      </c>
      <c r="CE21" s="2792">
        <f t="shared" ca="1" si="51"/>
        <v>0</v>
      </c>
      <c r="CF21" s="2792">
        <f t="shared" ca="1" si="51"/>
        <v>0</v>
      </c>
      <c r="CG21" s="2792">
        <f t="shared" ca="1" si="51"/>
        <v>0</v>
      </c>
      <c r="CH21" s="2792">
        <f t="shared" ca="1" si="51"/>
        <v>0</v>
      </c>
      <c r="CI21" s="2792">
        <f t="shared" ca="1" si="51"/>
        <v>0</v>
      </c>
      <c r="CJ21" s="2792">
        <f t="shared" ca="1" si="51"/>
        <v>0</v>
      </c>
      <c r="CK21" s="2792">
        <f t="shared" ca="1" si="51"/>
        <v>0</v>
      </c>
      <c r="CL21" s="2792">
        <f t="shared" ca="1" si="51"/>
        <v>0</v>
      </c>
      <c r="CM21" s="2792">
        <f t="shared" ca="1" si="51"/>
        <v>0</v>
      </c>
      <c r="CN21" s="2792">
        <f t="shared" ca="1" si="51"/>
        <v>0</v>
      </c>
      <c r="CO21" s="2792">
        <f t="shared" ca="1" si="51"/>
        <v>0</v>
      </c>
      <c r="CP21" s="2792">
        <f t="shared" ca="1" si="51"/>
        <v>0</v>
      </c>
      <c r="CQ21" s="2792">
        <f t="shared" ca="1" si="51"/>
        <v>0</v>
      </c>
      <c r="CR21" s="2792">
        <f t="shared" ca="1" si="51"/>
        <v>0</v>
      </c>
      <c r="CS21" s="2792">
        <f t="shared" ca="1" si="51"/>
        <v>0</v>
      </c>
      <c r="CT21" s="2792">
        <f t="shared" ca="1" si="51"/>
        <v>0</v>
      </c>
      <c r="CU21" s="2792">
        <f t="shared" ca="1" si="51"/>
        <v>0</v>
      </c>
      <c r="CV21" s="2792">
        <f t="shared" ca="1" si="51"/>
        <v>0</v>
      </c>
      <c r="CW21" s="2792">
        <f t="shared" ca="1" si="51"/>
        <v>0</v>
      </c>
      <c r="CX21" s="2792">
        <f t="shared" ca="1" si="51"/>
        <v>0</v>
      </c>
      <c r="CY21" s="2792">
        <f t="shared" ca="1" si="51"/>
        <v>0</v>
      </c>
      <c r="CZ21" s="2792">
        <f t="shared" ca="1" si="51"/>
        <v>0</v>
      </c>
      <c r="DA21" s="2792">
        <f t="shared" ca="1" si="51"/>
        <v>0</v>
      </c>
      <c r="DB21" s="2792">
        <f t="shared" ca="1" si="51"/>
        <v>0</v>
      </c>
      <c r="DC21" s="2792">
        <f t="shared" ca="1" si="51"/>
        <v>0</v>
      </c>
      <c r="DD21" s="2792">
        <f t="shared" ca="1" si="51"/>
        <v>0</v>
      </c>
      <c r="DE21" s="2792">
        <f t="shared" ca="1" si="51"/>
        <v>0</v>
      </c>
      <c r="DF21" s="2792">
        <f t="shared" ca="1" si="51"/>
        <v>0</v>
      </c>
      <c r="DH21" s="596">
        <f t="shared" ca="1" si="33"/>
        <v>6.4122536019011953</v>
      </c>
    </row>
    <row r="22" spans="1:112" s="6" customFormat="1" ht="15.75">
      <c r="A22" s="4"/>
      <c r="B22" s="3"/>
      <c r="C22" s="616" t="s">
        <v>477</v>
      </c>
      <c r="D22" s="617" t="s">
        <v>368</v>
      </c>
      <c r="E22" s="206"/>
      <c r="G22" s="618">
        <f ca="1">G21</f>
        <v>0</v>
      </c>
      <c r="H22" s="618">
        <f t="shared" ref="H22:P22" ca="1" si="52">H21</f>
        <v>0</v>
      </c>
      <c r="I22" s="618">
        <f t="shared" ca="1" si="52"/>
        <v>31.825528267168547</v>
      </c>
      <c r="J22" s="618">
        <f t="shared" ca="1" si="52"/>
        <v>0</v>
      </c>
      <c r="K22" s="618">
        <f t="shared" ca="1" si="52"/>
        <v>0</v>
      </c>
      <c r="L22" s="618">
        <f t="shared" ca="1" si="52"/>
        <v>0</v>
      </c>
      <c r="M22" s="618">
        <f t="shared" ca="1" si="52"/>
        <v>0</v>
      </c>
      <c r="N22" s="618">
        <f t="shared" ca="1" si="52"/>
        <v>0</v>
      </c>
      <c r="O22" s="618">
        <f t="shared" ca="1" si="52"/>
        <v>0</v>
      </c>
      <c r="P22" s="618">
        <f t="shared" ca="1" si="52"/>
        <v>0</v>
      </c>
      <c r="Q22" s="618">
        <f ca="1">SUM(G22:P22)</f>
        <v>31.825528267168547</v>
      </c>
      <c r="S22" s="581">
        <f t="shared" ref="S22:AJ22" ca="1" si="53">S21</f>
        <v>-11.375881400615459</v>
      </c>
      <c r="T22" s="581">
        <f t="shared" ca="1" si="53"/>
        <v>0</v>
      </c>
      <c r="U22" s="581">
        <f t="shared" ca="1" si="53"/>
        <v>-3.8082875302383297</v>
      </c>
      <c r="V22" s="581">
        <f t="shared" ca="1" si="53"/>
        <v>-7.7757639283001261</v>
      </c>
      <c r="W22" s="581">
        <f t="shared" ca="1" si="53"/>
        <v>-8.8655954080146326</v>
      </c>
      <c r="X22" s="581">
        <f t="shared" ca="1" si="53"/>
        <v>0</v>
      </c>
      <c r="Y22" s="581">
        <f t="shared" ca="1" si="53"/>
        <v>0</v>
      </c>
      <c r="Z22" s="581">
        <f t="shared" ca="1" si="53"/>
        <v>0</v>
      </c>
      <c r="AA22" s="581">
        <f t="shared" ca="1" si="53"/>
        <v>0</v>
      </c>
      <c r="AB22" s="581">
        <f t="shared" ca="1" si="53"/>
        <v>0</v>
      </c>
      <c r="AC22" s="581">
        <f t="shared" ca="1" si="53"/>
        <v>0</v>
      </c>
      <c r="AD22" s="581">
        <f t="shared" ca="1" si="53"/>
        <v>0</v>
      </c>
      <c r="AE22" s="581">
        <f ca="1">AE21</f>
        <v>0</v>
      </c>
      <c r="AF22" s="581">
        <f t="shared" ca="1" si="53"/>
        <v>0</v>
      </c>
      <c r="AG22" s="581">
        <f t="shared" ca="1" si="53"/>
        <v>0</v>
      </c>
      <c r="AH22" s="581">
        <f ca="1">AH21</f>
        <v>0</v>
      </c>
      <c r="AI22" s="581">
        <f t="shared" ca="1" si="53"/>
        <v>0</v>
      </c>
      <c r="AJ22" s="581">
        <f t="shared" ca="1" si="53"/>
        <v>0</v>
      </c>
      <c r="AK22" s="581">
        <f ca="1">SUM(S22:AJ22)</f>
        <v>-31.825528267168551</v>
      </c>
      <c r="AM22" s="582">
        <f t="shared" ref="AM22:BE22" ca="1" si="54">AM21</f>
        <v>0</v>
      </c>
      <c r="AN22" s="582">
        <f t="shared" ca="1" si="54"/>
        <v>0</v>
      </c>
      <c r="AO22" s="582">
        <f t="shared" ca="1" si="54"/>
        <v>0</v>
      </c>
      <c r="AP22" s="582">
        <f t="shared" ca="1" si="54"/>
        <v>0</v>
      </c>
      <c r="AQ22" s="582">
        <f t="shared" ca="1" si="54"/>
        <v>0</v>
      </c>
      <c r="AR22" s="582">
        <f t="shared" ca="1" si="54"/>
        <v>0</v>
      </c>
      <c r="AS22" s="582">
        <f t="shared" ca="1" si="54"/>
        <v>0</v>
      </c>
      <c r="AT22" s="582">
        <f t="shared" ca="1" si="54"/>
        <v>0</v>
      </c>
      <c r="AU22" s="582">
        <f t="shared" ca="1" si="54"/>
        <v>0</v>
      </c>
      <c r="AV22" s="582">
        <f t="shared" ca="1" si="54"/>
        <v>0</v>
      </c>
      <c r="AW22" s="582">
        <f t="shared" ca="1" si="54"/>
        <v>0</v>
      </c>
      <c r="AX22" s="582">
        <f t="shared" ca="1" si="54"/>
        <v>0</v>
      </c>
      <c r="AY22" s="582">
        <f t="shared" ca="1" si="54"/>
        <v>0</v>
      </c>
      <c r="AZ22" s="582">
        <f t="shared" ca="1" si="54"/>
        <v>0</v>
      </c>
      <c r="BA22" s="582">
        <f t="shared" ca="1" si="54"/>
        <v>0</v>
      </c>
      <c r="BB22" s="582">
        <f t="shared" ca="1" si="54"/>
        <v>0</v>
      </c>
      <c r="BC22" s="582">
        <f t="shared" ca="1" si="54"/>
        <v>0</v>
      </c>
      <c r="BD22" s="582">
        <f ca="1">BD21</f>
        <v>0</v>
      </c>
      <c r="BE22" s="582">
        <f t="shared" ca="1" si="54"/>
        <v>0</v>
      </c>
      <c r="BF22" s="582">
        <f ca="1">SUM(AM22:BE22)</f>
        <v>0</v>
      </c>
      <c r="BH22" s="3463">
        <f ca="1">BH21</f>
        <v>0</v>
      </c>
      <c r="BI22" s="3463">
        <f ca="1">BI21</f>
        <v>0</v>
      </c>
      <c r="BJ22" s="3463">
        <f ca="1">SUM(BH22:BI22)</f>
        <v>0</v>
      </c>
      <c r="BL22" s="3477">
        <f t="shared" ca="1" si="10"/>
        <v>-3.5527136788005009E-15</v>
      </c>
      <c r="BM22" s="584"/>
      <c r="BN22" s="413"/>
      <c r="BO22" s="2790">
        <f t="shared" ref="BO22:DF22" ca="1" si="55">BO21</f>
        <v>5.1526070918922198</v>
      </c>
      <c r="BP22" s="2790">
        <f t="shared" ca="1" si="55"/>
        <v>2.6353168478845876E-3</v>
      </c>
      <c r="BQ22" s="2790">
        <f t="shared" ca="1" si="55"/>
        <v>3.602428894676131E-2</v>
      </c>
      <c r="BR22" s="2790">
        <f t="shared" ca="1" si="55"/>
        <v>0</v>
      </c>
      <c r="BS22" s="2790">
        <f t="shared" ca="1" si="55"/>
        <v>0</v>
      </c>
      <c r="BT22" s="2790">
        <f t="shared" ca="1" si="55"/>
        <v>0</v>
      </c>
      <c r="BU22" s="2790">
        <f t="shared" ca="1" si="55"/>
        <v>0</v>
      </c>
      <c r="BV22" s="2790">
        <f t="shared" ca="1" si="55"/>
        <v>0</v>
      </c>
      <c r="BW22" s="2790">
        <f t="shared" ca="1" si="55"/>
        <v>0.61824769036199845</v>
      </c>
      <c r="BX22" s="2790">
        <f t="shared" ca="1" si="55"/>
        <v>0</v>
      </c>
      <c r="BY22" s="2790">
        <f t="shared" ca="1" si="55"/>
        <v>0</v>
      </c>
      <c r="BZ22" s="2790">
        <f t="shared" ca="1" si="55"/>
        <v>0.60273921385233153</v>
      </c>
      <c r="CA22" s="2790">
        <f t="shared" ca="1" si="55"/>
        <v>0</v>
      </c>
      <c r="CB22" s="2790">
        <f t="shared" ca="1" si="55"/>
        <v>0</v>
      </c>
      <c r="CC22" s="2790">
        <f t="shared" ca="1" si="55"/>
        <v>0</v>
      </c>
      <c r="CD22" s="2790">
        <f t="shared" ca="1" si="55"/>
        <v>0</v>
      </c>
      <c r="CE22" s="2790">
        <f t="shared" ca="1" si="55"/>
        <v>0</v>
      </c>
      <c r="CF22" s="2790">
        <f t="shared" ca="1" si="55"/>
        <v>0</v>
      </c>
      <c r="CG22" s="2790">
        <f t="shared" ca="1" si="55"/>
        <v>0</v>
      </c>
      <c r="CH22" s="2790">
        <f t="shared" ca="1" si="55"/>
        <v>0</v>
      </c>
      <c r="CI22" s="2790">
        <f t="shared" ca="1" si="55"/>
        <v>0</v>
      </c>
      <c r="CJ22" s="2790">
        <f t="shared" ca="1" si="55"/>
        <v>0</v>
      </c>
      <c r="CK22" s="2790">
        <f t="shared" ca="1" si="55"/>
        <v>0</v>
      </c>
      <c r="CL22" s="2790">
        <f t="shared" ca="1" si="55"/>
        <v>0</v>
      </c>
      <c r="CM22" s="2790">
        <f t="shared" ca="1" si="55"/>
        <v>0</v>
      </c>
      <c r="CN22" s="2790">
        <f t="shared" ca="1" si="55"/>
        <v>0</v>
      </c>
      <c r="CO22" s="2790">
        <f t="shared" ca="1" si="55"/>
        <v>0</v>
      </c>
      <c r="CP22" s="2790">
        <f t="shared" ca="1" si="55"/>
        <v>0</v>
      </c>
      <c r="CQ22" s="2790">
        <f t="shared" ca="1" si="55"/>
        <v>0</v>
      </c>
      <c r="CR22" s="2790">
        <f t="shared" ca="1" si="55"/>
        <v>0</v>
      </c>
      <c r="CS22" s="2790">
        <f t="shared" ca="1" si="55"/>
        <v>0</v>
      </c>
      <c r="CT22" s="2790">
        <f t="shared" ca="1" si="55"/>
        <v>0</v>
      </c>
      <c r="CU22" s="2790">
        <f t="shared" ca="1" si="55"/>
        <v>0</v>
      </c>
      <c r="CV22" s="2790">
        <f t="shared" ca="1" si="55"/>
        <v>0</v>
      </c>
      <c r="CW22" s="2790">
        <f t="shared" ca="1" si="55"/>
        <v>0</v>
      </c>
      <c r="CX22" s="2790">
        <f t="shared" ca="1" si="55"/>
        <v>0</v>
      </c>
      <c r="CY22" s="2790">
        <f t="shared" ca="1" si="55"/>
        <v>0</v>
      </c>
      <c r="CZ22" s="2790">
        <f t="shared" ca="1" si="55"/>
        <v>0</v>
      </c>
      <c r="DA22" s="2790">
        <f t="shared" ca="1" si="55"/>
        <v>0</v>
      </c>
      <c r="DB22" s="2790">
        <f t="shared" ca="1" si="55"/>
        <v>0</v>
      </c>
      <c r="DC22" s="2790">
        <f t="shared" ca="1" si="55"/>
        <v>0</v>
      </c>
      <c r="DD22" s="2790">
        <f t="shared" ca="1" si="55"/>
        <v>0</v>
      </c>
      <c r="DE22" s="2790">
        <f t="shared" ca="1" si="55"/>
        <v>0</v>
      </c>
      <c r="DF22" s="2790">
        <f t="shared" ca="1" si="55"/>
        <v>0</v>
      </c>
      <c r="DH22" s="596">
        <f t="shared" ca="1" si="33"/>
        <v>6.4122536019011953</v>
      </c>
    </row>
    <row r="23" spans="1:112" s="6" customFormat="1" ht="12.75" customHeight="1" outlineLevel="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10"/>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3"/>
        <v>0</v>
      </c>
    </row>
    <row r="24" spans="1:112" s="6" customFormat="1" ht="12.75" customHeight="1" outlineLevel="1">
      <c r="A24" s="607"/>
      <c r="B24" s="607"/>
      <c r="C24" s="587" t="s">
        <v>478</v>
      </c>
      <c r="D24" s="623" t="s">
        <v>479</v>
      </c>
      <c r="E24" s="599"/>
      <c r="G24" s="589">
        <f t="shared" ref="G24:P27" ca="1" si="56">IFERROR(INDEX(INDIRECT($C24&amp;".Outputs["&amp;this.Year&amp;"]"), MATCH(G$5, INDIRECT($C24&amp;".Outputs[Vector]"), 0)), 0)</f>
        <v>0</v>
      </c>
      <c r="H24" s="589">
        <f t="shared" ca="1" si="56"/>
        <v>0</v>
      </c>
      <c r="I24" s="589">
        <f t="shared" ca="1" si="56"/>
        <v>0</v>
      </c>
      <c r="J24" s="589">
        <f t="shared" ca="1" si="56"/>
        <v>15.759448029913269</v>
      </c>
      <c r="K24" s="589">
        <f t="shared" ca="1" si="56"/>
        <v>0.34327065279402552</v>
      </c>
      <c r="L24" s="589">
        <f t="shared" ca="1" si="56"/>
        <v>2.4811333961622644E-2</v>
      </c>
      <c r="M24" s="589">
        <f t="shared" ca="1" si="56"/>
        <v>0</v>
      </c>
      <c r="N24" s="589">
        <f t="shared" ca="1" si="56"/>
        <v>0</v>
      </c>
      <c r="O24" s="589">
        <f t="shared" ca="1" si="56"/>
        <v>0</v>
      </c>
      <c r="P24" s="589">
        <f t="shared" ca="1" si="56"/>
        <v>0</v>
      </c>
      <c r="Q24" s="590">
        <f t="shared" ref="Q24:Q32" ca="1" si="57">SUM(G24:P24)</f>
        <v>16.127530016668917</v>
      </c>
      <c r="S24" s="591">
        <f t="shared" ref="S24:AJ30" ca="1" si="58">IFERROR(INDEX(INDIRECT($C24&amp;".Outputs["&amp;this.Year&amp;"]"), MATCH(S$5, INDIRECT($C24&amp;".Outputs[Vector]"), 0)), 0)</f>
        <v>-0.74511531550862542</v>
      </c>
      <c r="T24" s="591">
        <f t="shared" ca="1" si="58"/>
        <v>0</v>
      </c>
      <c r="U24" s="591">
        <f t="shared" ca="1" si="58"/>
        <v>0</v>
      </c>
      <c r="V24" s="591">
        <f t="shared" ca="1" si="58"/>
        <v>-15.353974670726995</v>
      </c>
      <c r="W24" s="591">
        <f t="shared" ca="1" si="58"/>
        <v>0</v>
      </c>
      <c r="X24" s="591">
        <f t="shared" ref="X24:Z27" ca="1" si="59">IFERROR(INDEX(INDIRECT($C24&amp;".Outputs["&amp;this.Year&amp;"]"), MATCH(X$5, INDIRECT($C24&amp;".Outputs[Vector]"), 0)), 0)</f>
        <v>0</v>
      </c>
      <c r="Y24" s="591">
        <f t="shared" ca="1" si="59"/>
        <v>0</v>
      </c>
      <c r="Z24" s="591">
        <f t="shared" ca="1" si="59"/>
        <v>0</v>
      </c>
      <c r="AA24" s="591">
        <f t="shared" ca="1" si="58"/>
        <v>0</v>
      </c>
      <c r="AB24" s="591">
        <f t="shared" ca="1" si="58"/>
        <v>0</v>
      </c>
      <c r="AC24" s="591">
        <f t="shared" ca="1" si="58"/>
        <v>0</v>
      </c>
      <c r="AD24" s="591">
        <f t="shared" ca="1" si="58"/>
        <v>0</v>
      </c>
      <c r="AE24" s="591">
        <f t="shared" ca="1" si="58"/>
        <v>0</v>
      </c>
      <c r="AF24" s="591">
        <f t="shared" ca="1" si="58"/>
        <v>0</v>
      </c>
      <c r="AG24" s="591">
        <f t="shared" ca="1" si="58"/>
        <v>0</v>
      </c>
      <c r="AH24" s="591">
        <f t="shared" ca="1" si="58"/>
        <v>0</v>
      </c>
      <c r="AI24" s="591">
        <f t="shared" ca="1" si="58"/>
        <v>0</v>
      </c>
      <c r="AJ24" s="591">
        <f t="shared" ca="1" si="58"/>
        <v>-2.8440030433297275E-2</v>
      </c>
      <c r="AK24" s="592">
        <f t="shared" ref="AK24:AK32" ca="1" si="60">SUM(S24:AJ24)</f>
        <v>-16.127530016668917</v>
      </c>
      <c r="AM24" s="593">
        <f t="shared" ref="AM24:AU27" ca="1" si="61">IFERROR(INDEX(INDIRECT($C24&amp;".Outputs["&amp;this.Year&amp;"]"), MATCH(AM$5, INDIRECT($C24&amp;".Outputs[Vector]"), 0)), 0)</f>
        <v>0</v>
      </c>
      <c r="AN24" s="593">
        <f t="shared" ca="1" si="61"/>
        <v>0</v>
      </c>
      <c r="AO24" s="593">
        <f t="shared" ca="1" si="61"/>
        <v>0</v>
      </c>
      <c r="AP24" s="593">
        <f t="shared" ca="1" si="61"/>
        <v>0</v>
      </c>
      <c r="AQ24" s="593">
        <f t="shared" ca="1" si="61"/>
        <v>0</v>
      </c>
      <c r="AR24" s="593">
        <f t="shared" ca="1" si="61"/>
        <v>0</v>
      </c>
      <c r="AS24" s="593">
        <f t="shared" ca="1" si="61"/>
        <v>0</v>
      </c>
      <c r="AT24" s="593">
        <f t="shared" ca="1" si="61"/>
        <v>0</v>
      </c>
      <c r="AU24" s="593">
        <f t="shared" ca="1" si="61"/>
        <v>0</v>
      </c>
      <c r="AV24" s="593">
        <f t="shared" ref="AV24:BE30" ca="1" si="62">IFERROR(INDEX(INDIRECT($C24&amp;".Outputs["&amp;this.Year&amp;"]"), MATCH(AV$5, INDIRECT($C24&amp;".Outputs[Vector]"), 0)), 0)</f>
        <v>0</v>
      </c>
      <c r="AW24" s="593">
        <f t="shared" ca="1" si="62"/>
        <v>0</v>
      </c>
      <c r="AX24" s="593">
        <f t="shared" ca="1" si="62"/>
        <v>0</v>
      </c>
      <c r="AY24" s="593">
        <f t="shared" ca="1" si="62"/>
        <v>0</v>
      </c>
      <c r="AZ24" s="593">
        <f t="shared" ca="1" si="62"/>
        <v>0</v>
      </c>
      <c r="BA24" s="593">
        <f t="shared" ca="1" si="62"/>
        <v>0</v>
      </c>
      <c r="BB24" s="593">
        <f t="shared" ca="1" si="62"/>
        <v>0</v>
      </c>
      <c r="BC24" s="593">
        <f t="shared" ca="1" si="62"/>
        <v>0</v>
      </c>
      <c r="BD24" s="593">
        <f t="shared" ca="1" si="62"/>
        <v>0</v>
      </c>
      <c r="BE24" s="593">
        <f t="shared" ca="1" si="62"/>
        <v>0</v>
      </c>
      <c r="BF24" s="609">
        <f t="shared" ref="BF24:BF32" ca="1" si="63">SUM(AM24:BE24)</f>
        <v>0</v>
      </c>
      <c r="BH24" s="3471">
        <f t="shared" ref="BH24:BI30" ca="1" si="64">IFERROR(INDEX(INDIRECT($C24&amp;".Outputs["&amp;this.Year&amp;"]"), MATCH(BH$5, INDIRECT($C24&amp;".Outputs[Vector]"), 0)), 0)</f>
        <v>0</v>
      </c>
      <c r="BI24" s="3471">
        <f t="shared" ca="1" si="64"/>
        <v>0</v>
      </c>
      <c r="BJ24" s="3460">
        <f t="shared" ref="BJ24:BJ32" ca="1" si="65">SUM(BH24:BI24)</f>
        <v>0</v>
      </c>
      <c r="BL24" s="610">
        <f t="shared" ca="1" si="10"/>
        <v>0</v>
      </c>
      <c r="BM24" s="610"/>
      <c r="BN24" s="413"/>
      <c r="BO24" s="2789">
        <f t="shared" ref="BO24:BX27" ca="1" si="66">IFERROR(SUMIFS(INDIRECT($C24&amp;".Emissions["&amp;this.Year&amp;"]"), INDIRECT($C24&amp;".Emissions[GHG]"), BO$6, INDIRECT($C24&amp;".Emissions[IPCC Sector]"), BO$5),0)</f>
        <v>4.0516068361114383</v>
      </c>
      <c r="BP24" s="2790">
        <f t="shared" ca="1" si="66"/>
        <v>3.4822814553208824E-3</v>
      </c>
      <c r="BQ24" s="2790">
        <f t="shared" ca="1" si="66"/>
        <v>1.0281021439518796E-2</v>
      </c>
      <c r="BR24" s="2790">
        <f t="shared" ca="1" si="66"/>
        <v>0</v>
      </c>
      <c r="BS24" s="2790">
        <f t="shared" ca="1" si="66"/>
        <v>0</v>
      </c>
      <c r="BT24" s="2790">
        <f t="shared" ca="1" si="66"/>
        <v>0</v>
      </c>
      <c r="BU24" s="2790">
        <f t="shared" ca="1" si="66"/>
        <v>0</v>
      </c>
      <c r="BV24" s="2790">
        <f t="shared" ca="1" si="66"/>
        <v>0</v>
      </c>
      <c r="BW24" s="2790">
        <f t="shared" ca="1" si="66"/>
        <v>0</v>
      </c>
      <c r="BX24" s="2790">
        <f t="shared" ca="1" si="66"/>
        <v>0</v>
      </c>
      <c r="BY24" s="2790">
        <f t="shared" ref="BY24:CH27" ca="1" si="67">IFERROR(SUMIFS(INDIRECT($C24&amp;".Emissions["&amp;this.Year&amp;"]"), INDIRECT($C24&amp;".Emissions[GHG]"), BY$6, INDIRECT($C24&amp;".Emissions[IPCC Sector]"), BY$5),0)</f>
        <v>0</v>
      </c>
      <c r="BZ24" s="2790">
        <f t="shared" ca="1" si="67"/>
        <v>0</v>
      </c>
      <c r="CA24" s="2790">
        <f t="shared" ca="1" si="67"/>
        <v>0</v>
      </c>
      <c r="CB24" s="2790">
        <f t="shared" ca="1" si="67"/>
        <v>0</v>
      </c>
      <c r="CC24" s="2790">
        <f t="shared" ca="1" si="67"/>
        <v>0</v>
      </c>
      <c r="CD24" s="2790">
        <f t="shared" ca="1" si="67"/>
        <v>0</v>
      </c>
      <c r="CE24" s="2790">
        <f t="shared" ca="1" si="67"/>
        <v>0</v>
      </c>
      <c r="CF24" s="2790">
        <f t="shared" ca="1" si="67"/>
        <v>0</v>
      </c>
      <c r="CG24" s="2790">
        <f t="shared" ca="1" si="67"/>
        <v>0</v>
      </c>
      <c r="CH24" s="2790">
        <f t="shared" ca="1" si="67"/>
        <v>0</v>
      </c>
      <c r="CI24" s="2790">
        <f t="shared" ref="CI24:CR27" ca="1" si="68">IFERROR(SUMIFS(INDIRECT($C24&amp;".Emissions["&amp;this.Year&amp;"]"), INDIRECT($C24&amp;".Emissions[GHG]"), CI$6, INDIRECT($C24&amp;".Emissions[IPCC Sector]"), CI$5),0)</f>
        <v>0</v>
      </c>
      <c r="CJ24" s="2790">
        <f t="shared" ca="1" si="68"/>
        <v>0</v>
      </c>
      <c r="CK24" s="2790">
        <f t="shared" ca="1" si="68"/>
        <v>0</v>
      </c>
      <c r="CL24" s="2790">
        <f t="shared" ca="1" si="68"/>
        <v>0</v>
      </c>
      <c r="CM24" s="2790">
        <f t="shared" ca="1" si="68"/>
        <v>0</v>
      </c>
      <c r="CN24" s="2790">
        <f t="shared" ca="1" si="68"/>
        <v>0</v>
      </c>
      <c r="CO24" s="2790">
        <f t="shared" ca="1" si="68"/>
        <v>0</v>
      </c>
      <c r="CP24" s="2790">
        <f t="shared" ca="1" si="68"/>
        <v>0</v>
      </c>
      <c r="CQ24" s="2790">
        <f t="shared" ca="1" si="68"/>
        <v>0</v>
      </c>
      <c r="CR24" s="2790">
        <f t="shared" ca="1" si="68"/>
        <v>0</v>
      </c>
      <c r="CS24" s="2790">
        <f t="shared" ref="CS24:DF27" ca="1" si="69">IFERROR(SUMIFS(INDIRECT($C24&amp;".Emissions["&amp;this.Year&amp;"]"), INDIRECT($C24&amp;".Emissions[GHG]"), CS$6, INDIRECT($C24&amp;".Emissions[IPCC Sector]"), CS$5),0)</f>
        <v>0</v>
      </c>
      <c r="CT24" s="2790">
        <f t="shared" ca="1" si="69"/>
        <v>0</v>
      </c>
      <c r="CU24" s="2790">
        <f t="shared" ca="1" si="69"/>
        <v>0</v>
      </c>
      <c r="CV24" s="2790">
        <f t="shared" ca="1" si="69"/>
        <v>0</v>
      </c>
      <c r="CW24" s="2790">
        <f t="shared" ca="1" si="69"/>
        <v>0</v>
      </c>
      <c r="CX24" s="2790">
        <f t="shared" ca="1" si="69"/>
        <v>0</v>
      </c>
      <c r="CY24" s="2790">
        <f t="shared" ca="1" si="69"/>
        <v>0</v>
      </c>
      <c r="CZ24" s="2790">
        <f t="shared" ca="1" si="69"/>
        <v>0</v>
      </c>
      <c r="DA24" s="2790">
        <f t="shared" ca="1" si="69"/>
        <v>0</v>
      </c>
      <c r="DB24" s="2790">
        <f t="shared" ca="1" si="69"/>
        <v>0</v>
      </c>
      <c r="DC24" s="2790">
        <f t="shared" ca="1" si="69"/>
        <v>0</v>
      </c>
      <c r="DD24" s="2790">
        <f t="shared" ca="1" si="69"/>
        <v>0</v>
      </c>
      <c r="DE24" s="2790">
        <f t="shared" ca="1" si="69"/>
        <v>0</v>
      </c>
      <c r="DF24" s="2790">
        <f t="shared" ca="1" si="69"/>
        <v>0</v>
      </c>
      <c r="DH24" s="596">
        <f t="shared" ca="1" si="33"/>
        <v>4.0653701390062782</v>
      </c>
    </row>
    <row r="25" spans="1:112" s="6" customFormat="1" ht="12.75" customHeight="1" outlineLevel="1">
      <c r="A25" s="607"/>
      <c r="B25" s="607"/>
      <c r="C25" s="587" t="s">
        <v>480</v>
      </c>
      <c r="D25" s="623" t="s">
        <v>481</v>
      </c>
      <c r="E25" s="599"/>
      <c r="G25" s="589">
        <f t="shared" ca="1" si="56"/>
        <v>0</v>
      </c>
      <c r="H25" s="589">
        <f t="shared" ca="1" si="56"/>
        <v>0</v>
      </c>
      <c r="I25" s="589">
        <f t="shared" ca="1" si="56"/>
        <v>0</v>
      </c>
      <c r="J25" s="589">
        <f t="shared" ca="1" si="56"/>
        <v>17.121204843749997</v>
      </c>
      <c r="K25" s="589">
        <f t="shared" ca="1" si="56"/>
        <v>6.3569875465009466E-3</v>
      </c>
      <c r="L25" s="589">
        <f t="shared" ca="1" si="56"/>
        <v>0</v>
      </c>
      <c r="M25" s="589">
        <f t="shared" ca="1" si="56"/>
        <v>0.66</v>
      </c>
      <c r="N25" s="589">
        <f t="shared" ca="1" si="56"/>
        <v>0</v>
      </c>
      <c r="O25" s="589">
        <f t="shared" ca="1" si="56"/>
        <v>0</v>
      </c>
      <c r="P25" s="589">
        <f t="shared" ca="1" si="56"/>
        <v>0</v>
      </c>
      <c r="Q25" s="590">
        <f t="shared" ca="1" si="57"/>
        <v>17.787561831296497</v>
      </c>
      <c r="S25" s="591">
        <f t="shared" ca="1" si="58"/>
        <v>0</v>
      </c>
      <c r="T25" s="591">
        <f t="shared" ca="1" si="58"/>
        <v>0</v>
      </c>
      <c r="U25" s="591">
        <f t="shared" ca="1" si="58"/>
        <v>0</v>
      </c>
      <c r="V25" s="591">
        <f t="shared" ca="1" si="58"/>
        <v>-17.787561831296497</v>
      </c>
      <c r="W25" s="591">
        <f t="shared" ca="1" si="58"/>
        <v>0</v>
      </c>
      <c r="X25" s="591">
        <f t="shared" ca="1" si="59"/>
        <v>0</v>
      </c>
      <c r="Y25" s="591">
        <f t="shared" ca="1" si="59"/>
        <v>0</v>
      </c>
      <c r="Z25" s="591">
        <f t="shared" ca="1" si="59"/>
        <v>0</v>
      </c>
      <c r="AA25" s="591">
        <f t="shared" ca="1" si="58"/>
        <v>0</v>
      </c>
      <c r="AB25" s="591">
        <f t="shared" ca="1" si="58"/>
        <v>0</v>
      </c>
      <c r="AC25" s="591">
        <f t="shared" ca="1" si="58"/>
        <v>0</v>
      </c>
      <c r="AD25" s="591">
        <f t="shared" ca="1" si="58"/>
        <v>0</v>
      </c>
      <c r="AE25" s="591">
        <f t="shared" ca="1" si="58"/>
        <v>0</v>
      </c>
      <c r="AF25" s="591">
        <f t="shared" ca="1" si="58"/>
        <v>0</v>
      </c>
      <c r="AG25" s="591">
        <f t="shared" ca="1" si="58"/>
        <v>0</v>
      </c>
      <c r="AH25" s="591">
        <f t="shared" ca="1" si="58"/>
        <v>0</v>
      </c>
      <c r="AI25" s="591">
        <f t="shared" ca="1" si="58"/>
        <v>0</v>
      </c>
      <c r="AJ25" s="591">
        <f t="shared" ca="1" si="58"/>
        <v>0</v>
      </c>
      <c r="AK25" s="592">
        <f t="shared" ca="1" si="60"/>
        <v>-17.787561831296497</v>
      </c>
      <c r="AM25" s="593">
        <f t="shared" ca="1" si="61"/>
        <v>0</v>
      </c>
      <c r="AN25" s="593">
        <f t="shared" ca="1" si="61"/>
        <v>0</v>
      </c>
      <c r="AO25" s="593">
        <f t="shared" ca="1" si="61"/>
        <v>0</v>
      </c>
      <c r="AP25" s="593">
        <f t="shared" ca="1" si="61"/>
        <v>0</v>
      </c>
      <c r="AQ25" s="593">
        <f t="shared" ca="1" si="61"/>
        <v>0</v>
      </c>
      <c r="AR25" s="593">
        <f t="shared" ca="1" si="61"/>
        <v>0</v>
      </c>
      <c r="AS25" s="593">
        <f t="shared" ca="1" si="61"/>
        <v>0</v>
      </c>
      <c r="AT25" s="593">
        <f t="shared" ca="1" si="61"/>
        <v>0</v>
      </c>
      <c r="AU25" s="593">
        <f t="shared" ca="1" si="61"/>
        <v>0</v>
      </c>
      <c r="AV25" s="593">
        <f t="shared" ca="1" si="62"/>
        <v>0</v>
      </c>
      <c r="AW25" s="593">
        <f t="shared" ca="1" si="62"/>
        <v>0</v>
      </c>
      <c r="AX25" s="593">
        <f t="shared" ca="1" si="62"/>
        <v>0</v>
      </c>
      <c r="AY25" s="593">
        <f t="shared" ca="1" si="62"/>
        <v>0</v>
      </c>
      <c r="AZ25" s="593">
        <f t="shared" ca="1" si="62"/>
        <v>0</v>
      </c>
      <c r="BA25" s="593">
        <f t="shared" ca="1" si="62"/>
        <v>0</v>
      </c>
      <c r="BB25" s="593">
        <f t="shared" ca="1" si="62"/>
        <v>0</v>
      </c>
      <c r="BC25" s="593">
        <f t="shared" ca="1" si="62"/>
        <v>0</v>
      </c>
      <c r="BD25" s="593">
        <f t="shared" ca="1" si="62"/>
        <v>0</v>
      </c>
      <c r="BE25" s="593">
        <f t="shared" ca="1" si="62"/>
        <v>0</v>
      </c>
      <c r="BF25" s="609">
        <f t="shared" ca="1" si="63"/>
        <v>0</v>
      </c>
      <c r="BH25" s="3471">
        <f t="shared" ca="1" si="64"/>
        <v>0</v>
      </c>
      <c r="BI25" s="3471">
        <f t="shared" ca="1" si="64"/>
        <v>0</v>
      </c>
      <c r="BJ25" s="3460">
        <f t="shared" ca="1" si="65"/>
        <v>0</v>
      </c>
      <c r="BL25" s="610">
        <f t="shared" ca="1" si="10"/>
        <v>0</v>
      </c>
      <c r="BM25" s="610"/>
      <c r="BN25" s="413"/>
      <c r="BO25" s="2789">
        <f t="shared" ca="1" si="66"/>
        <v>4.6937818160425184</v>
      </c>
      <c r="BP25" s="2790">
        <f t="shared" ca="1" si="66"/>
        <v>4.0342190233380454E-3</v>
      </c>
      <c r="BQ25" s="2790">
        <f t="shared" ca="1" si="66"/>
        <v>1.1910551402236135E-2</v>
      </c>
      <c r="BR25" s="2790">
        <f t="shared" ca="1" si="66"/>
        <v>0</v>
      </c>
      <c r="BS25" s="2790">
        <f t="shared" ca="1" si="66"/>
        <v>0</v>
      </c>
      <c r="BT25" s="2790">
        <f t="shared" ca="1" si="66"/>
        <v>0</v>
      </c>
      <c r="BU25" s="2790">
        <f t="shared" ca="1" si="66"/>
        <v>0</v>
      </c>
      <c r="BV25" s="2790">
        <f t="shared" ca="1" si="66"/>
        <v>0</v>
      </c>
      <c r="BW25" s="2790">
        <f t="shared" ca="1" si="66"/>
        <v>0</v>
      </c>
      <c r="BX25" s="2790">
        <f t="shared" ca="1" si="66"/>
        <v>0</v>
      </c>
      <c r="BY25" s="2790">
        <f t="shared" ca="1" si="67"/>
        <v>0</v>
      </c>
      <c r="BZ25" s="2790">
        <f t="shared" ca="1" si="67"/>
        <v>0</v>
      </c>
      <c r="CA25" s="2790">
        <f t="shared" ca="1" si="67"/>
        <v>0</v>
      </c>
      <c r="CB25" s="2790">
        <f t="shared" ca="1" si="67"/>
        <v>0</v>
      </c>
      <c r="CC25" s="2790">
        <f t="shared" ca="1" si="67"/>
        <v>0</v>
      </c>
      <c r="CD25" s="2790">
        <f t="shared" ca="1" si="67"/>
        <v>0</v>
      </c>
      <c r="CE25" s="2790">
        <f t="shared" ca="1" si="67"/>
        <v>0</v>
      </c>
      <c r="CF25" s="2790">
        <f t="shared" ca="1" si="67"/>
        <v>0</v>
      </c>
      <c r="CG25" s="2790">
        <f t="shared" ca="1" si="67"/>
        <v>0</v>
      </c>
      <c r="CH25" s="2790">
        <f t="shared" ca="1" si="67"/>
        <v>0</v>
      </c>
      <c r="CI25" s="2790">
        <f t="shared" ca="1" si="68"/>
        <v>0</v>
      </c>
      <c r="CJ25" s="2790">
        <f t="shared" ca="1" si="68"/>
        <v>0</v>
      </c>
      <c r="CK25" s="2790">
        <f t="shared" ca="1" si="68"/>
        <v>0</v>
      </c>
      <c r="CL25" s="2790">
        <f t="shared" ca="1" si="68"/>
        <v>0</v>
      </c>
      <c r="CM25" s="2790">
        <f t="shared" ca="1" si="68"/>
        <v>0</v>
      </c>
      <c r="CN25" s="2790">
        <f t="shared" ca="1" si="68"/>
        <v>0</v>
      </c>
      <c r="CO25" s="2790">
        <f t="shared" ca="1" si="68"/>
        <v>0</v>
      </c>
      <c r="CP25" s="2790">
        <f t="shared" ca="1" si="68"/>
        <v>0</v>
      </c>
      <c r="CQ25" s="2790">
        <f t="shared" ca="1" si="68"/>
        <v>0</v>
      </c>
      <c r="CR25" s="2790">
        <f t="shared" ca="1" si="68"/>
        <v>0</v>
      </c>
      <c r="CS25" s="2790">
        <f t="shared" ca="1" si="69"/>
        <v>0</v>
      </c>
      <c r="CT25" s="2790">
        <f t="shared" ca="1" si="69"/>
        <v>0</v>
      </c>
      <c r="CU25" s="2790">
        <f t="shared" ca="1" si="69"/>
        <v>0</v>
      </c>
      <c r="CV25" s="2790">
        <f t="shared" ca="1" si="69"/>
        <v>0</v>
      </c>
      <c r="CW25" s="2790">
        <f t="shared" ca="1" si="69"/>
        <v>0</v>
      </c>
      <c r="CX25" s="2790">
        <f t="shared" ca="1" si="69"/>
        <v>0</v>
      </c>
      <c r="CY25" s="2790">
        <f t="shared" ca="1" si="69"/>
        <v>0</v>
      </c>
      <c r="CZ25" s="2790">
        <f t="shared" ca="1" si="69"/>
        <v>0</v>
      </c>
      <c r="DA25" s="2790">
        <f t="shared" ca="1" si="69"/>
        <v>0</v>
      </c>
      <c r="DB25" s="2790">
        <f t="shared" ca="1" si="69"/>
        <v>0</v>
      </c>
      <c r="DC25" s="2790">
        <f t="shared" ca="1" si="69"/>
        <v>0</v>
      </c>
      <c r="DD25" s="2790">
        <f t="shared" ca="1" si="69"/>
        <v>0</v>
      </c>
      <c r="DE25" s="2790">
        <f t="shared" ca="1" si="69"/>
        <v>0</v>
      </c>
      <c r="DF25" s="2790">
        <f t="shared" ca="1" si="69"/>
        <v>0</v>
      </c>
      <c r="DH25" s="596">
        <f t="shared" ca="1" si="33"/>
        <v>4.7097265864680926</v>
      </c>
    </row>
    <row r="26" spans="1:112" s="6" customFormat="1" ht="10.5" customHeight="1" outlineLevel="2">
      <c r="A26" s="586"/>
      <c r="B26" s="586"/>
      <c r="C26" s="587" t="s">
        <v>482</v>
      </c>
      <c r="D26" s="623" t="s">
        <v>373</v>
      </c>
      <c r="E26" s="599"/>
      <c r="G26" s="589">
        <f t="shared" ca="1" si="56"/>
        <v>0</v>
      </c>
      <c r="H26" s="589">
        <f t="shared" ca="1" si="56"/>
        <v>0</v>
      </c>
      <c r="I26" s="589">
        <f t="shared" ca="1" si="56"/>
        <v>0</v>
      </c>
      <c r="J26" s="589">
        <f t="shared" ca="1" si="56"/>
        <v>0</v>
      </c>
      <c r="K26" s="589">
        <f t="shared" ca="1" si="56"/>
        <v>0</v>
      </c>
      <c r="L26" s="589">
        <f t="shared" ca="1" si="56"/>
        <v>0</v>
      </c>
      <c r="M26" s="589">
        <f t="shared" ca="1" si="56"/>
        <v>0</v>
      </c>
      <c r="N26" s="589">
        <f t="shared" ca="1" si="56"/>
        <v>11.025797638510145</v>
      </c>
      <c r="O26" s="589">
        <f t="shared" ca="1" si="56"/>
        <v>0</v>
      </c>
      <c r="P26" s="589">
        <f t="shared" ca="1" si="56"/>
        <v>0</v>
      </c>
      <c r="Q26" s="590">
        <f t="shared" ca="1" si="57"/>
        <v>11.025797638510145</v>
      </c>
      <c r="S26" s="591">
        <f t="shared" ca="1" si="58"/>
        <v>0</v>
      </c>
      <c r="T26" s="591">
        <f t="shared" ca="1" si="58"/>
        <v>0</v>
      </c>
      <c r="U26" s="591">
        <f t="shared" ca="1" si="58"/>
        <v>0</v>
      </c>
      <c r="V26" s="591">
        <f t="shared" ca="1" si="58"/>
        <v>-11.025797638510145</v>
      </c>
      <c r="W26" s="591">
        <f t="shared" ca="1" si="58"/>
        <v>0</v>
      </c>
      <c r="X26" s="591">
        <f t="shared" ca="1" si="59"/>
        <v>0</v>
      </c>
      <c r="Y26" s="591">
        <f t="shared" ca="1" si="59"/>
        <v>0</v>
      </c>
      <c r="Z26" s="591">
        <f t="shared" ca="1" si="59"/>
        <v>0</v>
      </c>
      <c r="AA26" s="591">
        <f t="shared" ca="1" si="58"/>
        <v>0</v>
      </c>
      <c r="AB26" s="591">
        <f t="shared" ca="1" si="58"/>
        <v>0</v>
      </c>
      <c r="AC26" s="591">
        <f t="shared" ca="1" si="58"/>
        <v>0</v>
      </c>
      <c r="AD26" s="591">
        <f t="shared" ca="1" si="58"/>
        <v>0</v>
      </c>
      <c r="AE26" s="591">
        <f t="shared" ca="1" si="58"/>
        <v>0</v>
      </c>
      <c r="AF26" s="591">
        <f t="shared" ca="1" si="58"/>
        <v>0</v>
      </c>
      <c r="AG26" s="591">
        <f t="shared" ca="1" si="58"/>
        <v>0</v>
      </c>
      <c r="AH26" s="591">
        <f t="shared" ca="1" si="58"/>
        <v>0</v>
      </c>
      <c r="AI26" s="591">
        <f t="shared" ca="1" si="58"/>
        <v>0</v>
      </c>
      <c r="AJ26" s="591">
        <f t="shared" ca="1" si="58"/>
        <v>0</v>
      </c>
      <c r="AK26" s="592">
        <f t="shared" ca="1" si="60"/>
        <v>-11.025797638510145</v>
      </c>
      <c r="AM26" s="593">
        <f t="shared" ca="1" si="61"/>
        <v>0</v>
      </c>
      <c r="AN26" s="593">
        <f t="shared" ca="1" si="61"/>
        <v>0</v>
      </c>
      <c r="AO26" s="593">
        <f t="shared" ca="1" si="61"/>
        <v>0</v>
      </c>
      <c r="AP26" s="593">
        <f t="shared" ca="1" si="61"/>
        <v>0</v>
      </c>
      <c r="AQ26" s="593">
        <f t="shared" ca="1" si="61"/>
        <v>0</v>
      </c>
      <c r="AR26" s="593">
        <f t="shared" ca="1" si="61"/>
        <v>0</v>
      </c>
      <c r="AS26" s="593">
        <f t="shared" ca="1" si="61"/>
        <v>0</v>
      </c>
      <c r="AT26" s="593">
        <f t="shared" ca="1" si="61"/>
        <v>0</v>
      </c>
      <c r="AU26" s="593">
        <f t="shared" ca="1" si="61"/>
        <v>0</v>
      </c>
      <c r="AV26" s="593">
        <f t="shared" ca="1" si="62"/>
        <v>0</v>
      </c>
      <c r="AW26" s="593">
        <f t="shared" ca="1" si="62"/>
        <v>0</v>
      </c>
      <c r="AX26" s="593">
        <f t="shared" ca="1" si="62"/>
        <v>0</v>
      </c>
      <c r="AY26" s="593">
        <f t="shared" ca="1" si="62"/>
        <v>0</v>
      </c>
      <c r="AZ26" s="593">
        <f t="shared" ca="1" si="62"/>
        <v>0</v>
      </c>
      <c r="BA26" s="593">
        <f t="shared" ca="1" si="62"/>
        <v>0</v>
      </c>
      <c r="BB26" s="593">
        <f t="shared" ca="1" si="62"/>
        <v>0</v>
      </c>
      <c r="BC26" s="593">
        <f t="shared" ca="1" si="62"/>
        <v>0</v>
      </c>
      <c r="BD26" s="593">
        <f t="shared" ca="1" si="62"/>
        <v>0</v>
      </c>
      <c r="BE26" s="593">
        <f t="shared" ca="1" si="62"/>
        <v>0</v>
      </c>
      <c r="BF26" s="594">
        <f t="shared" ca="1" si="63"/>
        <v>0</v>
      </c>
      <c r="BH26" s="3471">
        <f t="shared" ca="1" si="64"/>
        <v>0</v>
      </c>
      <c r="BI26" s="3471">
        <f t="shared" ca="1" si="64"/>
        <v>0</v>
      </c>
      <c r="BJ26" s="3460">
        <f t="shared" ca="1" si="65"/>
        <v>0</v>
      </c>
      <c r="BL26" s="595">
        <f t="shared" ca="1" si="10"/>
        <v>0</v>
      </c>
      <c r="BM26" s="595"/>
      <c r="BN26" s="413"/>
      <c r="BO26" s="2789">
        <f t="shared" ca="1" si="66"/>
        <v>0</v>
      </c>
      <c r="BP26" s="2790">
        <f t="shared" ca="1" si="66"/>
        <v>0</v>
      </c>
      <c r="BQ26" s="2790">
        <f t="shared" ca="1" si="66"/>
        <v>0</v>
      </c>
      <c r="BR26" s="2790">
        <f t="shared" ca="1" si="66"/>
        <v>0</v>
      </c>
      <c r="BS26" s="2790">
        <f t="shared" ca="1" si="66"/>
        <v>0</v>
      </c>
      <c r="BT26" s="2790">
        <f t="shared" ca="1" si="66"/>
        <v>0</v>
      </c>
      <c r="BU26" s="2790">
        <f t="shared" ca="1" si="66"/>
        <v>0</v>
      </c>
      <c r="BV26" s="2790">
        <f t="shared" ca="1" si="66"/>
        <v>0</v>
      </c>
      <c r="BW26" s="2790">
        <f t="shared" ca="1" si="66"/>
        <v>0</v>
      </c>
      <c r="BX26" s="2790">
        <f t="shared" ca="1" si="66"/>
        <v>0</v>
      </c>
      <c r="BY26" s="2790">
        <f t="shared" ca="1" si="67"/>
        <v>0</v>
      </c>
      <c r="BZ26" s="2790">
        <f t="shared" ca="1" si="67"/>
        <v>0</v>
      </c>
      <c r="CA26" s="2790">
        <f t="shared" ca="1" si="67"/>
        <v>0</v>
      </c>
      <c r="CB26" s="2790">
        <f t="shared" ca="1" si="67"/>
        <v>0</v>
      </c>
      <c r="CC26" s="2790">
        <f t="shared" ca="1" si="67"/>
        <v>0</v>
      </c>
      <c r="CD26" s="2790">
        <f t="shared" ca="1" si="67"/>
        <v>0</v>
      </c>
      <c r="CE26" s="2790">
        <f t="shared" ca="1" si="67"/>
        <v>0</v>
      </c>
      <c r="CF26" s="2790">
        <f t="shared" ca="1" si="67"/>
        <v>0</v>
      </c>
      <c r="CG26" s="2790">
        <f t="shared" ca="1" si="67"/>
        <v>0</v>
      </c>
      <c r="CH26" s="2790">
        <f t="shared" ca="1" si="67"/>
        <v>0</v>
      </c>
      <c r="CI26" s="2790">
        <f t="shared" ca="1" si="68"/>
        <v>0</v>
      </c>
      <c r="CJ26" s="2790">
        <f t="shared" ca="1" si="68"/>
        <v>0</v>
      </c>
      <c r="CK26" s="2790">
        <f t="shared" ca="1" si="68"/>
        <v>0</v>
      </c>
      <c r="CL26" s="2790">
        <f t="shared" ca="1" si="68"/>
        <v>0</v>
      </c>
      <c r="CM26" s="2790">
        <f t="shared" ca="1" si="68"/>
        <v>0</v>
      </c>
      <c r="CN26" s="2790">
        <f t="shared" ca="1" si="68"/>
        <v>0</v>
      </c>
      <c r="CO26" s="2790">
        <f t="shared" ca="1" si="68"/>
        <v>0</v>
      </c>
      <c r="CP26" s="2790">
        <f t="shared" ca="1" si="68"/>
        <v>0</v>
      </c>
      <c r="CQ26" s="2790">
        <f t="shared" ca="1" si="68"/>
        <v>0</v>
      </c>
      <c r="CR26" s="2790">
        <f t="shared" ca="1" si="68"/>
        <v>0</v>
      </c>
      <c r="CS26" s="2790">
        <f t="shared" ca="1" si="69"/>
        <v>0</v>
      </c>
      <c r="CT26" s="2790">
        <f t="shared" ca="1" si="69"/>
        <v>0</v>
      </c>
      <c r="CU26" s="2790">
        <f t="shared" ca="1" si="69"/>
        <v>2.9094874808500566</v>
      </c>
      <c r="CV26" s="2790">
        <f t="shared" ca="1" si="69"/>
        <v>2.500650904414101E-3</v>
      </c>
      <c r="CW26" s="2790">
        <f t="shared" ca="1" si="69"/>
        <v>7.3828740987463932E-3</v>
      </c>
      <c r="CX26" s="2790">
        <f t="shared" ca="1" si="69"/>
        <v>0</v>
      </c>
      <c r="CY26" s="2790">
        <f t="shared" ca="1" si="69"/>
        <v>0</v>
      </c>
      <c r="CZ26" s="2790">
        <f t="shared" ca="1" si="69"/>
        <v>0</v>
      </c>
      <c r="DA26" s="2790">
        <f t="shared" ca="1" si="69"/>
        <v>0</v>
      </c>
      <c r="DB26" s="2790">
        <f t="shared" ca="1" si="69"/>
        <v>0</v>
      </c>
      <c r="DC26" s="2790">
        <f t="shared" ca="1" si="69"/>
        <v>0</v>
      </c>
      <c r="DD26" s="2790">
        <f t="shared" ca="1" si="69"/>
        <v>0</v>
      </c>
      <c r="DE26" s="2790">
        <f t="shared" ca="1" si="69"/>
        <v>0</v>
      </c>
      <c r="DF26" s="2790">
        <f t="shared" ca="1" si="69"/>
        <v>0</v>
      </c>
      <c r="DH26" s="596">
        <f t="shared" ca="1" si="33"/>
        <v>2.9193710058532174</v>
      </c>
    </row>
    <row r="27" spans="1:112" s="6" customFormat="1" ht="10.5" customHeight="1" outlineLevel="2">
      <c r="A27" s="597"/>
      <c r="B27" s="597"/>
      <c r="C27" s="598" t="s">
        <v>483</v>
      </c>
      <c r="D27" s="624" t="s">
        <v>484</v>
      </c>
      <c r="E27" s="599"/>
      <c r="G27" s="600">
        <f t="shared" ca="1" si="56"/>
        <v>0</v>
      </c>
      <c r="H27" s="600">
        <f t="shared" ca="1" si="56"/>
        <v>0</v>
      </c>
      <c r="I27" s="600">
        <f t="shared" ca="1" si="56"/>
        <v>0</v>
      </c>
      <c r="J27" s="600">
        <f t="shared" ca="1" si="56"/>
        <v>0</v>
      </c>
      <c r="K27" s="600">
        <f t="shared" ca="1" si="56"/>
        <v>0</v>
      </c>
      <c r="L27" s="600">
        <f t="shared" ca="1" si="56"/>
        <v>0</v>
      </c>
      <c r="M27" s="600">
        <f t="shared" ca="1" si="56"/>
        <v>0</v>
      </c>
      <c r="N27" s="600">
        <f t="shared" ca="1" si="56"/>
        <v>0</v>
      </c>
      <c r="O27" s="600">
        <f t="shared" ca="1" si="56"/>
        <v>0</v>
      </c>
      <c r="P27" s="600">
        <f t="shared" ca="1" si="56"/>
        <v>0</v>
      </c>
      <c r="Q27" s="601">
        <f t="shared" ca="1" si="57"/>
        <v>0</v>
      </c>
      <c r="S27" s="602">
        <f t="shared" ca="1" si="58"/>
        <v>0</v>
      </c>
      <c r="T27" s="602">
        <f t="shared" ca="1" si="58"/>
        <v>0</v>
      </c>
      <c r="U27" s="602">
        <f t="shared" ca="1" si="58"/>
        <v>0</v>
      </c>
      <c r="V27" s="602">
        <f t="shared" ca="1" si="58"/>
        <v>0</v>
      </c>
      <c r="W27" s="602">
        <f t="shared" ca="1" si="58"/>
        <v>0</v>
      </c>
      <c r="X27" s="602">
        <f t="shared" ca="1" si="59"/>
        <v>0</v>
      </c>
      <c r="Y27" s="602">
        <f t="shared" ca="1" si="59"/>
        <v>0</v>
      </c>
      <c r="Z27" s="602">
        <f t="shared" ca="1" si="59"/>
        <v>0</v>
      </c>
      <c r="AA27" s="602">
        <f t="shared" ca="1" si="58"/>
        <v>0</v>
      </c>
      <c r="AB27" s="602">
        <f t="shared" ca="1" si="58"/>
        <v>0</v>
      </c>
      <c r="AC27" s="602">
        <f t="shared" ca="1" si="58"/>
        <v>0</v>
      </c>
      <c r="AD27" s="602">
        <f t="shared" ca="1" si="58"/>
        <v>0</v>
      </c>
      <c r="AE27" s="602">
        <f t="shared" ca="1" si="58"/>
        <v>0</v>
      </c>
      <c r="AF27" s="602">
        <f t="shared" ca="1" si="58"/>
        <v>0</v>
      </c>
      <c r="AG27" s="602">
        <f t="shared" ca="1" si="58"/>
        <v>0</v>
      </c>
      <c r="AH27" s="602">
        <f t="shared" ca="1" si="58"/>
        <v>0</v>
      </c>
      <c r="AI27" s="602">
        <f t="shared" ca="1" si="58"/>
        <v>0</v>
      </c>
      <c r="AJ27" s="602">
        <f t="shared" ca="1" si="58"/>
        <v>0</v>
      </c>
      <c r="AK27" s="603">
        <f t="shared" ca="1" si="60"/>
        <v>0</v>
      </c>
      <c r="AM27" s="604">
        <f t="shared" ca="1" si="61"/>
        <v>0</v>
      </c>
      <c r="AN27" s="604">
        <f t="shared" ca="1" si="61"/>
        <v>0</v>
      </c>
      <c r="AO27" s="604">
        <f t="shared" ca="1" si="61"/>
        <v>0</v>
      </c>
      <c r="AP27" s="604">
        <f t="shared" ca="1" si="61"/>
        <v>0</v>
      </c>
      <c r="AQ27" s="604">
        <f t="shared" ca="1" si="61"/>
        <v>0</v>
      </c>
      <c r="AR27" s="604">
        <f t="shared" ca="1" si="61"/>
        <v>0</v>
      </c>
      <c r="AS27" s="604">
        <f t="shared" ca="1" si="61"/>
        <v>0</v>
      </c>
      <c r="AT27" s="604">
        <f t="shared" ca="1" si="61"/>
        <v>0</v>
      </c>
      <c r="AU27" s="604">
        <f t="shared" ca="1" si="61"/>
        <v>0</v>
      </c>
      <c r="AV27" s="604">
        <f t="shared" ca="1" si="62"/>
        <v>0</v>
      </c>
      <c r="AW27" s="604">
        <f t="shared" ca="1" si="62"/>
        <v>0</v>
      </c>
      <c r="AX27" s="604">
        <f t="shared" ca="1" si="62"/>
        <v>0</v>
      </c>
      <c r="AY27" s="604">
        <f t="shared" ca="1" si="62"/>
        <v>0</v>
      </c>
      <c r="AZ27" s="604">
        <f t="shared" ca="1" si="62"/>
        <v>0</v>
      </c>
      <c r="BA27" s="604">
        <f t="shared" ca="1" si="62"/>
        <v>0</v>
      </c>
      <c r="BB27" s="604">
        <f t="shared" ca="1" si="62"/>
        <v>0</v>
      </c>
      <c r="BC27" s="604">
        <f t="shared" ca="1" si="62"/>
        <v>0</v>
      </c>
      <c r="BD27" s="604">
        <f t="shared" ca="1" si="62"/>
        <v>0</v>
      </c>
      <c r="BE27" s="604">
        <f t="shared" ca="1" si="62"/>
        <v>0</v>
      </c>
      <c r="BF27" s="605">
        <f t="shared" ca="1" si="63"/>
        <v>0</v>
      </c>
      <c r="BH27" s="3472">
        <f t="shared" ca="1" si="64"/>
        <v>0</v>
      </c>
      <c r="BI27" s="3472">
        <f t="shared" ca="1" si="64"/>
        <v>0</v>
      </c>
      <c r="BJ27" s="3461">
        <f t="shared" ca="1" si="65"/>
        <v>0</v>
      </c>
      <c r="BL27" s="606">
        <f t="shared" ca="1" si="10"/>
        <v>0</v>
      </c>
      <c r="BM27" s="606"/>
      <c r="BN27" s="413"/>
      <c r="BO27" s="2789">
        <f t="shared" ca="1" si="66"/>
        <v>0</v>
      </c>
      <c r="BP27" s="2790">
        <f t="shared" ca="1" si="66"/>
        <v>0</v>
      </c>
      <c r="BQ27" s="2790">
        <f t="shared" ca="1" si="66"/>
        <v>0</v>
      </c>
      <c r="BR27" s="2790">
        <f t="shared" ca="1" si="66"/>
        <v>0</v>
      </c>
      <c r="BS27" s="2790">
        <f t="shared" ca="1" si="66"/>
        <v>0</v>
      </c>
      <c r="BT27" s="2790">
        <f t="shared" ca="1" si="66"/>
        <v>0</v>
      </c>
      <c r="BU27" s="2790">
        <f t="shared" ca="1" si="66"/>
        <v>0</v>
      </c>
      <c r="BV27" s="2790">
        <f t="shared" ca="1" si="66"/>
        <v>0</v>
      </c>
      <c r="BW27" s="2790">
        <f t="shared" ca="1" si="66"/>
        <v>0</v>
      </c>
      <c r="BX27" s="2790">
        <f t="shared" ca="1" si="66"/>
        <v>0</v>
      </c>
      <c r="BY27" s="2790">
        <f t="shared" ca="1" si="67"/>
        <v>0</v>
      </c>
      <c r="BZ27" s="2790">
        <f t="shared" ca="1" si="67"/>
        <v>0</v>
      </c>
      <c r="CA27" s="2790">
        <f t="shared" ca="1" si="67"/>
        <v>0</v>
      </c>
      <c r="CB27" s="2790">
        <f t="shared" ca="1" si="67"/>
        <v>0</v>
      </c>
      <c r="CC27" s="2790">
        <f t="shared" ca="1" si="67"/>
        <v>0</v>
      </c>
      <c r="CD27" s="2790">
        <f t="shared" ca="1" si="67"/>
        <v>0</v>
      </c>
      <c r="CE27" s="2790">
        <f t="shared" ca="1" si="67"/>
        <v>0</v>
      </c>
      <c r="CF27" s="2790">
        <f t="shared" ca="1" si="67"/>
        <v>0</v>
      </c>
      <c r="CG27" s="2790">
        <f t="shared" ca="1" si="67"/>
        <v>0</v>
      </c>
      <c r="CH27" s="2790">
        <f t="shared" ca="1" si="67"/>
        <v>0</v>
      </c>
      <c r="CI27" s="2790">
        <f t="shared" ca="1" si="68"/>
        <v>0</v>
      </c>
      <c r="CJ27" s="2790">
        <f t="shared" ca="1" si="68"/>
        <v>0</v>
      </c>
      <c r="CK27" s="2790">
        <f t="shared" ca="1" si="68"/>
        <v>0</v>
      </c>
      <c r="CL27" s="2790">
        <f t="shared" ca="1" si="68"/>
        <v>0</v>
      </c>
      <c r="CM27" s="2790">
        <f t="shared" ca="1" si="68"/>
        <v>0</v>
      </c>
      <c r="CN27" s="2790">
        <f t="shared" ca="1" si="68"/>
        <v>0</v>
      </c>
      <c r="CO27" s="2790">
        <f t="shared" ca="1" si="68"/>
        <v>0</v>
      </c>
      <c r="CP27" s="2790">
        <f t="shared" ca="1" si="68"/>
        <v>0</v>
      </c>
      <c r="CQ27" s="2790">
        <f t="shared" ca="1" si="68"/>
        <v>0</v>
      </c>
      <c r="CR27" s="2790">
        <f t="shared" ca="1" si="68"/>
        <v>0</v>
      </c>
      <c r="CS27" s="2790">
        <f t="shared" ca="1" si="69"/>
        <v>0</v>
      </c>
      <c r="CT27" s="2790">
        <f t="shared" ca="1" si="69"/>
        <v>0</v>
      </c>
      <c r="CU27" s="2790">
        <f t="shared" ca="1" si="69"/>
        <v>0</v>
      </c>
      <c r="CV27" s="2790">
        <f t="shared" ca="1" si="69"/>
        <v>0</v>
      </c>
      <c r="CW27" s="2790">
        <f t="shared" ca="1" si="69"/>
        <v>0</v>
      </c>
      <c r="CX27" s="2790">
        <f t="shared" ca="1" si="69"/>
        <v>0</v>
      </c>
      <c r="CY27" s="2790">
        <f t="shared" ca="1" si="69"/>
        <v>0</v>
      </c>
      <c r="CZ27" s="2790">
        <f t="shared" ca="1" si="69"/>
        <v>0</v>
      </c>
      <c r="DA27" s="2790">
        <f t="shared" ca="1" si="69"/>
        <v>0</v>
      </c>
      <c r="DB27" s="2790">
        <f t="shared" ca="1" si="69"/>
        <v>0</v>
      </c>
      <c r="DC27" s="2790">
        <f t="shared" ca="1" si="69"/>
        <v>0</v>
      </c>
      <c r="DD27" s="2790">
        <f t="shared" ca="1" si="69"/>
        <v>0</v>
      </c>
      <c r="DE27" s="2790">
        <f t="shared" ca="1" si="69"/>
        <v>0</v>
      </c>
      <c r="DF27" s="2790">
        <f t="shared" ca="1" si="69"/>
        <v>0</v>
      </c>
      <c r="DH27" s="596">
        <f t="shared" ca="1" si="33"/>
        <v>0</v>
      </c>
    </row>
    <row r="28" spans="1:112" s="6" customFormat="1" ht="10.5" customHeight="1" outlineLevel="1">
      <c r="A28" s="607"/>
      <c r="B28" s="607"/>
      <c r="C28" s="587"/>
      <c r="D28" s="623" t="s">
        <v>485</v>
      </c>
      <c r="E28" s="599"/>
      <c r="G28" s="590">
        <f ca="1">SUM(G26:G27)</f>
        <v>0</v>
      </c>
      <c r="H28" s="590">
        <f t="shared" ref="H28:P28" ca="1" si="70">SUM(H26:H27)</f>
        <v>0</v>
      </c>
      <c r="I28" s="590">
        <f t="shared" ca="1" si="70"/>
        <v>0</v>
      </c>
      <c r="J28" s="590">
        <f t="shared" ca="1" si="70"/>
        <v>0</v>
      </c>
      <c r="K28" s="590">
        <f t="shared" ca="1" si="70"/>
        <v>0</v>
      </c>
      <c r="L28" s="590">
        <f t="shared" ca="1" si="70"/>
        <v>0</v>
      </c>
      <c r="M28" s="590">
        <f t="shared" ca="1" si="70"/>
        <v>0</v>
      </c>
      <c r="N28" s="590">
        <f ca="1">SUM(N26:N27)</f>
        <v>11.025797638510145</v>
      </c>
      <c r="O28" s="590">
        <f ca="1">SUM(O26:O27)</f>
        <v>0</v>
      </c>
      <c r="P28" s="590">
        <f t="shared" ca="1" si="70"/>
        <v>0</v>
      </c>
      <c r="Q28" s="590">
        <f t="shared" ca="1" si="57"/>
        <v>11.025797638510145</v>
      </c>
      <c r="S28" s="592">
        <f t="shared" ref="S28:AJ28" ca="1" si="71">SUM(S26:S27)</f>
        <v>0</v>
      </c>
      <c r="T28" s="592">
        <f t="shared" ca="1" si="71"/>
        <v>0</v>
      </c>
      <c r="U28" s="592">
        <f t="shared" ca="1" si="71"/>
        <v>0</v>
      </c>
      <c r="V28" s="592">
        <f t="shared" ca="1" si="71"/>
        <v>-11.025797638510145</v>
      </c>
      <c r="W28" s="592">
        <f t="shared" ca="1" si="71"/>
        <v>0</v>
      </c>
      <c r="X28" s="592">
        <f t="shared" ca="1" si="71"/>
        <v>0</v>
      </c>
      <c r="Y28" s="592">
        <f t="shared" ca="1" si="71"/>
        <v>0</v>
      </c>
      <c r="Z28" s="592">
        <f t="shared" ca="1" si="71"/>
        <v>0</v>
      </c>
      <c r="AA28" s="592">
        <f t="shared" ca="1" si="71"/>
        <v>0</v>
      </c>
      <c r="AB28" s="592">
        <f t="shared" ca="1" si="71"/>
        <v>0</v>
      </c>
      <c r="AC28" s="592">
        <f t="shared" ca="1" si="71"/>
        <v>0</v>
      </c>
      <c r="AD28" s="592">
        <f t="shared" ca="1" si="71"/>
        <v>0</v>
      </c>
      <c r="AE28" s="592">
        <f ca="1">SUM(AE26:AE27)</f>
        <v>0</v>
      </c>
      <c r="AF28" s="592">
        <f t="shared" ca="1" si="71"/>
        <v>0</v>
      </c>
      <c r="AG28" s="592">
        <f t="shared" ca="1" si="71"/>
        <v>0</v>
      </c>
      <c r="AH28" s="592">
        <f ca="1">SUM(AH26:AH27)</f>
        <v>0</v>
      </c>
      <c r="AI28" s="592">
        <f t="shared" ca="1" si="71"/>
        <v>0</v>
      </c>
      <c r="AJ28" s="592">
        <f t="shared" ca="1" si="71"/>
        <v>0</v>
      </c>
      <c r="AK28" s="592">
        <f t="shared" ca="1" si="60"/>
        <v>-11.025797638510145</v>
      </c>
      <c r="AM28" s="608">
        <f t="shared" ref="AM28:BE28" ca="1" si="72">SUM(AM26:AM27)</f>
        <v>0</v>
      </c>
      <c r="AN28" s="608">
        <f t="shared" ca="1" si="72"/>
        <v>0</v>
      </c>
      <c r="AO28" s="608">
        <f t="shared" ca="1" si="72"/>
        <v>0</v>
      </c>
      <c r="AP28" s="608">
        <f t="shared" ca="1" si="72"/>
        <v>0</v>
      </c>
      <c r="AQ28" s="608">
        <f t="shared" ca="1" si="72"/>
        <v>0</v>
      </c>
      <c r="AR28" s="608">
        <f t="shared" ca="1" si="72"/>
        <v>0</v>
      </c>
      <c r="AS28" s="608">
        <f t="shared" ca="1" si="72"/>
        <v>0</v>
      </c>
      <c r="AT28" s="608">
        <f t="shared" ca="1" si="72"/>
        <v>0</v>
      </c>
      <c r="AU28" s="608">
        <f t="shared" ca="1" si="72"/>
        <v>0</v>
      </c>
      <c r="AV28" s="608">
        <f t="shared" ca="1" si="72"/>
        <v>0</v>
      </c>
      <c r="AW28" s="608">
        <f t="shared" ca="1" si="72"/>
        <v>0</v>
      </c>
      <c r="AX28" s="608">
        <f t="shared" ca="1" si="72"/>
        <v>0</v>
      </c>
      <c r="AY28" s="608">
        <f t="shared" ca="1" si="72"/>
        <v>0</v>
      </c>
      <c r="AZ28" s="608">
        <f t="shared" ca="1" si="72"/>
        <v>0</v>
      </c>
      <c r="BA28" s="608">
        <f t="shared" ca="1" si="72"/>
        <v>0</v>
      </c>
      <c r="BB28" s="608">
        <f t="shared" ca="1" si="72"/>
        <v>0</v>
      </c>
      <c r="BC28" s="608">
        <f t="shared" ca="1" si="72"/>
        <v>0</v>
      </c>
      <c r="BD28" s="608">
        <f ca="1">SUM(BD26:BD27)</f>
        <v>0</v>
      </c>
      <c r="BE28" s="608">
        <f t="shared" ca="1" si="72"/>
        <v>0</v>
      </c>
      <c r="BF28" s="594">
        <f t="shared" ca="1" si="63"/>
        <v>0</v>
      </c>
      <c r="BH28" s="3460">
        <f ca="1">SUM(BH26:BH27)</f>
        <v>0</v>
      </c>
      <c r="BI28" s="3460">
        <f ca="1">SUM(BI26:BI27)</f>
        <v>0</v>
      </c>
      <c r="BJ28" s="3460">
        <f t="shared" ca="1" si="65"/>
        <v>0</v>
      </c>
      <c r="BL28" s="595">
        <f t="shared" ca="1" si="10"/>
        <v>0</v>
      </c>
      <c r="BM28" s="595"/>
      <c r="BN28" s="413"/>
      <c r="BO28" s="2789">
        <f t="shared" ref="BO28:DF28" ca="1" si="73">SUM(BO26:BO27)</f>
        <v>0</v>
      </c>
      <c r="BP28" s="2790">
        <f t="shared" ca="1" si="73"/>
        <v>0</v>
      </c>
      <c r="BQ28" s="2790">
        <f t="shared" ca="1" si="73"/>
        <v>0</v>
      </c>
      <c r="BR28" s="2790">
        <f t="shared" ca="1" si="73"/>
        <v>0</v>
      </c>
      <c r="BS28" s="2790">
        <f t="shared" ca="1" si="73"/>
        <v>0</v>
      </c>
      <c r="BT28" s="2790">
        <f t="shared" ca="1" si="73"/>
        <v>0</v>
      </c>
      <c r="BU28" s="2790">
        <f t="shared" ca="1" si="73"/>
        <v>0</v>
      </c>
      <c r="BV28" s="2790">
        <f t="shared" ca="1" si="73"/>
        <v>0</v>
      </c>
      <c r="BW28" s="2790">
        <f t="shared" ca="1" si="73"/>
        <v>0</v>
      </c>
      <c r="BX28" s="2790">
        <f t="shared" ca="1" si="73"/>
        <v>0</v>
      </c>
      <c r="BY28" s="2790">
        <f t="shared" ca="1" si="73"/>
        <v>0</v>
      </c>
      <c r="BZ28" s="2790">
        <f t="shared" ca="1" si="73"/>
        <v>0</v>
      </c>
      <c r="CA28" s="2790">
        <f t="shared" ca="1" si="73"/>
        <v>0</v>
      </c>
      <c r="CB28" s="2790">
        <f t="shared" ca="1" si="73"/>
        <v>0</v>
      </c>
      <c r="CC28" s="2790">
        <f t="shared" ca="1" si="73"/>
        <v>0</v>
      </c>
      <c r="CD28" s="2790">
        <f t="shared" ca="1" si="73"/>
        <v>0</v>
      </c>
      <c r="CE28" s="2790">
        <f t="shared" ca="1" si="73"/>
        <v>0</v>
      </c>
      <c r="CF28" s="2790">
        <f t="shared" ca="1" si="73"/>
        <v>0</v>
      </c>
      <c r="CG28" s="2790">
        <f t="shared" ca="1" si="73"/>
        <v>0</v>
      </c>
      <c r="CH28" s="2790">
        <f t="shared" ca="1" si="73"/>
        <v>0</v>
      </c>
      <c r="CI28" s="2790">
        <f t="shared" ca="1" si="73"/>
        <v>0</v>
      </c>
      <c r="CJ28" s="2790">
        <f t="shared" ca="1" si="73"/>
        <v>0</v>
      </c>
      <c r="CK28" s="2790">
        <f t="shared" ca="1" si="73"/>
        <v>0</v>
      </c>
      <c r="CL28" s="2790">
        <f t="shared" ca="1" si="73"/>
        <v>0</v>
      </c>
      <c r="CM28" s="2790">
        <f t="shared" ca="1" si="73"/>
        <v>0</v>
      </c>
      <c r="CN28" s="2790">
        <f t="shared" ca="1" si="73"/>
        <v>0</v>
      </c>
      <c r="CO28" s="2790">
        <f t="shared" ca="1" si="73"/>
        <v>0</v>
      </c>
      <c r="CP28" s="2790">
        <f t="shared" ca="1" si="73"/>
        <v>0</v>
      </c>
      <c r="CQ28" s="2790">
        <f t="shared" ca="1" si="73"/>
        <v>0</v>
      </c>
      <c r="CR28" s="2790">
        <f t="shared" ca="1" si="73"/>
        <v>0</v>
      </c>
      <c r="CS28" s="2790">
        <f t="shared" ca="1" si="73"/>
        <v>0</v>
      </c>
      <c r="CT28" s="2790">
        <f t="shared" ca="1" si="73"/>
        <v>0</v>
      </c>
      <c r="CU28" s="2790">
        <f t="shared" ca="1" si="73"/>
        <v>2.9094874808500566</v>
      </c>
      <c r="CV28" s="2790">
        <f t="shared" ca="1" si="73"/>
        <v>2.500650904414101E-3</v>
      </c>
      <c r="CW28" s="2790">
        <f t="shared" ca="1" si="73"/>
        <v>7.3828740987463932E-3</v>
      </c>
      <c r="CX28" s="2790">
        <f t="shared" ca="1" si="73"/>
        <v>0</v>
      </c>
      <c r="CY28" s="2790">
        <f t="shared" ca="1" si="73"/>
        <v>0</v>
      </c>
      <c r="CZ28" s="2790">
        <f t="shared" ca="1" si="73"/>
        <v>0</v>
      </c>
      <c r="DA28" s="2790">
        <f t="shared" ca="1" si="73"/>
        <v>0</v>
      </c>
      <c r="DB28" s="2790">
        <f t="shared" ca="1" si="73"/>
        <v>0</v>
      </c>
      <c r="DC28" s="2790">
        <f t="shared" ca="1" si="73"/>
        <v>0</v>
      </c>
      <c r="DD28" s="2790">
        <f t="shared" ca="1" si="73"/>
        <v>0</v>
      </c>
      <c r="DE28" s="2790">
        <f t="shared" ca="1" si="73"/>
        <v>0</v>
      </c>
      <c r="DF28" s="2790">
        <f t="shared" ca="1" si="73"/>
        <v>0</v>
      </c>
      <c r="DH28" s="596">
        <f t="shared" ca="1" si="33"/>
        <v>2.9193710058532174</v>
      </c>
    </row>
    <row r="29" spans="1:112" s="6" customFormat="1" ht="12.75" customHeight="1" outlineLevel="2">
      <c r="A29" s="586"/>
      <c r="B29" s="586"/>
      <c r="C29" s="587" t="s">
        <v>486</v>
      </c>
      <c r="D29" s="623" t="s">
        <v>374</v>
      </c>
      <c r="E29" s="599"/>
      <c r="G29" s="589">
        <f t="shared" ref="G29:P30" ca="1" si="74">IFERROR(INDEX(INDIRECT($C29&amp;".Outputs["&amp;this.Year&amp;"]"), MATCH(G$5, INDIRECT($C29&amp;".Outputs[Vector]"), 0)), 0)</f>
        <v>0</v>
      </c>
      <c r="H29" s="589">
        <f t="shared" ca="1" si="74"/>
        <v>0</v>
      </c>
      <c r="I29" s="589">
        <f t="shared" ca="1" si="74"/>
        <v>0</v>
      </c>
      <c r="J29" s="589">
        <f t="shared" ca="1" si="74"/>
        <v>0</v>
      </c>
      <c r="K29" s="589">
        <f t="shared" ca="1" si="74"/>
        <v>0</v>
      </c>
      <c r="L29" s="589">
        <f t="shared" ca="1" si="74"/>
        <v>0</v>
      </c>
      <c r="M29" s="589">
        <f t="shared" ca="1" si="74"/>
        <v>0</v>
      </c>
      <c r="N29" s="589">
        <f t="shared" ca="1" si="74"/>
        <v>0</v>
      </c>
      <c r="O29" s="589">
        <f t="shared" ca="1" si="74"/>
        <v>0</v>
      </c>
      <c r="P29" s="589">
        <f t="shared" ca="1" si="74"/>
        <v>0</v>
      </c>
      <c r="Q29" s="590">
        <f t="shared" ca="1" si="57"/>
        <v>0</v>
      </c>
      <c r="S29" s="591">
        <f t="shared" ca="1" si="58"/>
        <v>0</v>
      </c>
      <c r="T29" s="591">
        <f t="shared" ca="1" si="58"/>
        <v>0</v>
      </c>
      <c r="U29" s="591">
        <f t="shared" ca="1" si="58"/>
        <v>0</v>
      </c>
      <c r="V29" s="591">
        <f t="shared" ca="1" si="58"/>
        <v>0</v>
      </c>
      <c r="W29" s="591">
        <f t="shared" ca="1" si="58"/>
        <v>0</v>
      </c>
      <c r="X29" s="591">
        <f t="shared" ref="X29:Z30" ca="1" si="75">IFERROR(INDEX(INDIRECT($C29&amp;".Outputs["&amp;this.Year&amp;"]"), MATCH(X$5, INDIRECT($C29&amp;".Outputs[Vector]"), 0)), 0)</f>
        <v>0</v>
      </c>
      <c r="Y29" s="591">
        <f t="shared" ca="1" si="75"/>
        <v>0</v>
      </c>
      <c r="Z29" s="591">
        <f t="shared" ca="1" si="75"/>
        <v>0</v>
      </c>
      <c r="AA29" s="591">
        <f t="shared" ca="1" si="58"/>
        <v>0</v>
      </c>
      <c r="AB29" s="591">
        <f t="shared" ca="1" si="58"/>
        <v>0</v>
      </c>
      <c r="AC29" s="591">
        <f t="shared" ca="1" si="58"/>
        <v>0</v>
      </c>
      <c r="AD29" s="591">
        <f t="shared" ca="1" si="58"/>
        <v>0</v>
      </c>
      <c r="AE29" s="591">
        <f t="shared" ca="1" si="58"/>
        <v>0</v>
      </c>
      <c r="AF29" s="591">
        <f t="shared" ca="1" si="58"/>
        <v>0</v>
      </c>
      <c r="AG29" s="591">
        <f t="shared" ca="1" si="58"/>
        <v>0</v>
      </c>
      <c r="AH29" s="591">
        <f t="shared" ca="1" si="58"/>
        <v>0</v>
      </c>
      <c r="AI29" s="591">
        <f t="shared" ca="1" si="58"/>
        <v>0</v>
      </c>
      <c r="AJ29" s="591">
        <f t="shared" ca="1" si="58"/>
        <v>0</v>
      </c>
      <c r="AK29" s="592">
        <f t="shared" ca="1" si="60"/>
        <v>0</v>
      </c>
      <c r="AM29" s="593">
        <f t="shared" ref="AM29:AU30" ca="1" si="76">IFERROR(INDEX(INDIRECT($C29&amp;".Outputs["&amp;this.Year&amp;"]"), MATCH(AM$5, INDIRECT($C29&amp;".Outputs[Vector]"), 0)), 0)</f>
        <v>0</v>
      </c>
      <c r="AN29" s="593">
        <f t="shared" ca="1" si="76"/>
        <v>0</v>
      </c>
      <c r="AO29" s="593">
        <f t="shared" ca="1" si="76"/>
        <v>0</v>
      </c>
      <c r="AP29" s="593">
        <f t="shared" ca="1" si="76"/>
        <v>0</v>
      </c>
      <c r="AQ29" s="593">
        <f t="shared" ca="1" si="76"/>
        <v>0</v>
      </c>
      <c r="AR29" s="593">
        <f t="shared" ca="1" si="76"/>
        <v>0</v>
      </c>
      <c r="AS29" s="593">
        <f t="shared" ca="1" si="76"/>
        <v>0</v>
      </c>
      <c r="AT29" s="593">
        <f t="shared" ca="1" si="76"/>
        <v>0</v>
      </c>
      <c r="AU29" s="593">
        <f t="shared" ca="1" si="76"/>
        <v>0</v>
      </c>
      <c r="AV29" s="593">
        <f t="shared" ca="1" si="62"/>
        <v>0</v>
      </c>
      <c r="AW29" s="593">
        <f t="shared" ca="1" si="62"/>
        <v>0</v>
      </c>
      <c r="AX29" s="593">
        <f t="shared" ca="1" si="62"/>
        <v>0</v>
      </c>
      <c r="AY29" s="593">
        <f t="shared" ca="1" si="62"/>
        <v>0</v>
      </c>
      <c r="AZ29" s="593">
        <f t="shared" ca="1" si="62"/>
        <v>0</v>
      </c>
      <c r="BA29" s="593">
        <f t="shared" ca="1" si="62"/>
        <v>0</v>
      </c>
      <c r="BB29" s="593">
        <f t="shared" ca="1" si="62"/>
        <v>0</v>
      </c>
      <c r="BC29" s="593">
        <f t="shared" ca="1" si="62"/>
        <v>0</v>
      </c>
      <c r="BD29" s="593">
        <f t="shared" ca="1" si="62"/>
        <v>0</v>
      </c>
      <c r="BE29" s="593">
        <f t="shared" ca="1" si="62"/>
        <v>0</v>
      </c>
      <c r="BF29" s="609">
        <f t="shared" ca="1" si="63"/>
        <v>0</v>
      </c>
      <c r="BH29" s="3471">
        <f t="shared" ca="1" si="64"/>
        <v>0</v>
      </c>
      <c r="BI29" s="3471">
        <f t="shared" ca="1" si="64"/>
        <v>0</v>
      </c>
      <c r="BJ29" s="3460">
        <f t="shared" ca="1" si="65"/>
        <v>0</v>
      </c>
      <c r="BL29" s="610">
        <f t="shared" ca="1" si="10"/>
        <v>0</v>
      </c>
      <c r="BM29" s="610"/>
      <c r="BN29" s="413"/>
      <c r="BO29" s="2789">
        <f t="shared" ref="BO29:BX30" ca="1" si="77">IFERROR(SUMIFS(INDIRECT($C29&amp;".Emissions["&amp;this.Year&amp;"]"), INDIRECT($C29&amp;".Emissions[GHG]"), BO$6, INDIRECT($C29&amp;".Emissions[IPCC Sector]"), BO$5),0)</f>
        <v>0</v>
      </c>
      <c r="BP29" s="2790">
        <f t="shared" ca="1" si="77"/>
        <v>0</v>
      </c>
      <c r="BQ29" s="2790">
        <f t="shared" ca="1" si="77"/>
        <v>0</v>
      </c>
      <c r="BR29" s="2790">
        <f t="shared" ca="1" si="77"/>
        <v>0</v>
      </c>
      <c r="BS29" s="2790">
        <f t="shared" ca="1" si="77"/>
        <v>0</v>
      </c>
      <c r="BT29" s="2790">
        <f t="shared" ca="1" si="77"/>
        <v>0</v>
      </c>
      <c r="BU29" s="2790">
        <f t="shared" ca="1" si="77"/>
        <v>0</v>
      </c>
      <c r="BV29" s="2790">
        <f t="shared" ca="1" si="77"/>
        <v>0</v>
      </c>
      <c r="BW29" s="2790">
        <f t="shared" ca="1" si="77"/>
        <v>0</v>
      </c>
      <c r="BX29" s="2790">
        <f t="shared" ca="1" si="77"/>
        <v>0</v>
      </c>
      <c r="BY29" s="2790">
        <f t="shared" ref="BY29:CH30" ca="1" si="78">IFERROR(SUMIFS(INDIRECT($C29&amp;".Emissions["&amp;this.Year&amp;"]"), INDIRECT($C29&amp;".Emissions[GHG]"), BY$6, INDIRECT($C29&amp;".Emissions[IPCC Sector]"), BY$5),0)</f>
        <v>0</v>
      </c>
      <c r="BZ29" s="2790">
        <f t="shared" ca="1" si="78"/>
        <v>0</v>
      </c>
      <c r="CA29" s="2790">
        <f t="shared" ca="1" si="78"/>
        <v>0</v>
      </c>
      <c r="CB29" s="2790">
        <f t="shared" ca="1" si="78"/>
        <v>0</v>
      </c>
      <c r="CC29" s="2790">
        <f t="shared" ca="1" si="78"/>
        <v>0</v>
      </c>
      <c r="CD29" s="2790">
        <f t="shared" ca="1" si="78"/>
        <v>0</v>
      </c>
      <c r="CE29" s="2790">
        <f t="shared" ca="1" si="78"/>
        <v>0</v>
      </c>
      <c r="CF29" s="2790">
        <f t="shared" ca="1" si="78"/>
        <v>0</v>
      </c>
      <c r="CG29" s="2790">
        <f t="shared" ca="1" si="78"/>
        <v>0</v>
      </c>
      <c r="CH29" s="2790">
        <f t="shared" ca="1" si="78"/>
        <v>0</v>
      </c>
      <c r="CI29" s="2790">
        <f t="shared" ref="CI29:CR30" ca="1" si="79">IFERROR(SUMIFS(INDIRECT($C29&amp;".Emissions["&amp;this.Year&amp;"]"), INDIRECT($C29&amp;".Emissions[GHG]"), CI$6, INDIRECT($C29&amp;".Emissions[IPCC Sector]"), CI$5),0)</f>
        <v>0</v>
      </c>
      <c r="CJ29" s="2790">
        <f t="shared" ca="1" si="79"/>
        <v>0</v>
      </c>
      <c r="CK29" s="2790">
        <f t="shared" ca="1" si="79"/>
        <v>0</v>
      </c>
      <c r="CL29" s="2790">
        <f t="shared" ca="1" si="79"/>
        <v>0</v>
      </c>
      <c r="CM29" s="2790">
        <f t="shared" ca="1" si="79"/>
        <v>0</v>
      </c>
      <c r="CN29" s="2790">
        <f t="shared" ca="1" si="79"/>
        <v>0</v>
      </c>
      <c r="CO29" s="2790">
        <f t="shared" ca="1" si="79"/>
        <v>0</v>
      </c>
      <c r="CP29" s="2790">
        <f t="shared" ca="1" si="79"/>
        <v>0</v>
      </c>
      <c r="CQ29" s="2790">
        <f t="shared" ca="1" si="79"/>
        <v>0</v>
      </c>
      <c r="CR29" s="2790">
        <f t="shared" ca="1" si="79"/>
        <v>0</v>
      </c>
      <c r="CS29" s="2790">
        <f t="shared" ref="CS29:DF30" ca="1" si="80">IFERROR(SUMIFS(INDIRECT($C29&amp;".Emissions["&amp;this.Year&amp;"]"), INDIRECT($C29&amp;".Emissions[GHG]"), CS$6, INDIRECT($C29&amp;".Emissions[IPCC Sector]"), CS$5),0)</f>
        <v>0</v>
      </c>
      <c r="CT29" s="2790">
        <f t="shared" ca="1" si="80"/>
        <v>0</v>
      </c>
      <c r="CU29" s="2790">
        <f t="shared" ca="1" si="80"/>
        <v>0</v>
      </c>
      <c r="CV29" s="2790">
        <f t="shared" ca="1" si="80"/>
        <v>0</v>
      </c>
      <c r="CW29" s="2790">
        <f t="shared" ca="1" si="80"/>
        <v>0</v>
      </c>
      <c r="CX29" s="2790">
        <f t="shared" ca="1" si="80"/>
        <v>0</v>
      </c>
      <c r="CY29" s="2790">
        <f t="shared" ca="1" si="80"/>
        <v>0</v>
      </c>
      <c r="CZ29" s="2790">
        <f t="shared" ca="1" si="80"/>
        <v>0</v>
      </c>
      <c r="DA29" s="2790">
        <f t="shared" ca="1" si="80"/>
        <v>0</v>
      </c>
      <c r="DB29" s="2790">
        <f t="shared" ca="1" si="80"/>
        <v>0</v>
      </c>
      <c r="DC29" s="2790">
        <f t="shared" ca="1" si="80"/>
        <v>0</v>
      </c>
      <c r="DD29" s="2790">
        <f t="shared" ca="1" si="80"/>
        <v>0</v>
      </c>
      <c r="DE29" s="2790">
        <f t="shared" ca="1" si="80"/>
        <v>0</v>
      </c>
      <c r="DF29" s="2790">
        <f t="shared" ca="1" si="80"/>
        <v>0</v>
      </c>
      <c r="DH29" s="596">
        <f t="shared" ca="1" si="33"/>
        <v>0</v>
      </c>
    </row>
    <row r="30" spans="1:112" s="6" customFormat="1" ht="10.5" customHeight="1" outlineLevel="2">
      <c r="A30" s="597"/>
      <c r="B30" s="597"/>
      <c r="C30" s="598" t="s">
        <v>487</v>
      </c>
      <c r="D30" s="624" t="s">
        <v>488</v>
      </c>
      <c r="E30" s="599"/>
      <c r="G30" s="600">
        <f t="shared" ca="1" si="74"/>
        <v>0</v>
      </c>
      <c r="H30" s="600">
        <f t="shared" ca="1" si="74"/>
        <v>0</v>
      </c>
      <c r="I30" s="600">
        <f t="shared" ca="1" si="74"/>
        <v>0</v>
      </c>
      <c r="J30" s="600">
        <f t="shared" ca="1" si="74"/>
        <v>0</v>
      </c>
      <c r="K30" s="600">
        <f t="shared" ca="1" si="74"/>
        <v>0</v>
      </c>
      <c r="L30" s="600">
        <f t="shared" ca="1" si="74"/>
        <v>0</v>
      </c>
      <c r="M30" s="600">
        <f t="shared" ca="1" si="74"/>
        <v>0</v>
      </c>
      <c r="N30" s="600">
        <f t="shared" ca="1" si="74"/>
        <v>0</v>
      </c>
      <c r="O30" s="600">
        <f t="shared" ca="1" si="74"/>
        <v>0</v>
      </c>
      <c r="P30" s="600">
        <f t="shared" ca="1" si="74"/>
        <v>0</v>
      </c>
      <c r="Q30" s="601">
        <f t="shared" ca="1" si="57"/>
        <v>0</v>
      </c>
      <c r="S30" s="602">
        <f t="shared" ca="1" si="58"/>
        <v>0</v>
      </c>
      <c r="T30" s="602">
        <f t="shared" ca="1" si="58"/>
        <v>0</v>
      </c>
      <c r="U30" s="602">
        <f t="shared" ca="1" si="58"/>
        <v>0</v>
      </c>
      <c r="V30" s="602">
        <f t="shared" ca="1" si="58"/>
        <v>0</v>
      </c>
      <c r="W30" s="602">
        <f t="shared" ca="1" si="58"/>
        <v>0</v>
      </c>
      <c r="X30" s="602">
        <f t="shared" ca="1" si="75"/>
        <v>0</v>
      </c>
      <c r="Y30" s="602">
        <f t="shared" ca="1" si="75"/>
        <v>0</v>
      </c>
      <c r="Z30" s="602">
        <f t="shared" ca="1" si="75"/>
        <v>0</v>
      </c>
      <c r="AA30" s="602">
        <f t="shared" ca="1" si="58"/>
        <v>0</v>
      </c>
      <c r="AB30" s="602">
        <f t="shared" ca="1" si="58"/>
        <v>0</v>
      </c>
      <c r="AC30" s="602">
        <f t="shared" ca="1" si="58"/>
        <v>0</v>
      </c>
      <c r="AD30" s="602">
        <f t="shared" ca="1" si="58"/>
        <v>0</v>
      </c>
      <c r="AE30" s="602">
        <f t="shared" ca="1" si="58"/>
        <v>0</v>
      </c>
      <c r="AF30" s="602">
        <f t="shared" ca="1" si="58"/>
        <v>0</v>
      </c>
      <c r="AG30" s="602">
        <f t="shared" ca="1" si="58"/>
        <v>0</v>
      </c>
      <c r="AH30" s="602">
        <f t="shared" ca="1" si="58"/>
        <v>0</v>
      </c>
      <c r="AI30" s="602">
        <f t="shared" ca="1" si="58"/>
        <v>0</v>
      </c>
      <c r="AJ30" s="602">
        <f t="shared" ca="1" si="58"/>
        <v>0</v>
      </c>
      <c r="AK30" s="603">
        <f t="shared" ca="1" si="60"/>
        <v>0</v>
      </c>
      <c r="AM30" s="604">
        <f t="shared" ca="1" si="76"/>
        <v>0</v>
      </c>
      <c r="AN30" s="604">
        <f t="shared" ca="1" si="76"/>
        <v>0</v>
      </c>
      <c r="AO30" s="604">
        <f t="shared" ca="1" si="76"/>
        <v>0</v>
      </c>
      <c r="AP30" s="604">
        <f t="shared" ca="1" si="76"/>
        <v>0</v>
      </c>
      <c r="AQ30" s="604">
        <f t="shared" ca="1" si="76"/>
        <v>0</v>
      </c>
      <c r="AR30" s="604">
        <f t="shared" ca="1" si="76"/>
        <v>0</v>
      </c>
      <c r="AS30" s="604">
        <f t="shared" ca="1" si="76"/>
        <v>0</v>
      </c>
      <c r="AT30" s="604">
        <f t="shared" ca="1" si="76"/>
        <v>0</v>
      </c>
      <c r="AU30" s="604">
        <f t="shared" ca="1" si="76"/>
        <v>0</v>
      </c>
      <c r="AV30" s="604">
        <f t="shared" ca="1" si="62"/>
        <v>0</v>
      </c>
      <c r="AW30" s="604">
        <f t="shared" ca="1" si="62"/>
        <v>0</v>
      </c>
      <c r="AX30" s="604">
        <f t="shared" ca="1" si="62"/>
        <v>0</v>
      </c>
      <c r="AY30" s="604">
        <f t="shared" ca="1" si="62"/>
        <v>0</v>
      </c>
      <c r="AZ30" s="604">
        <f t="shared" ca="1" si="62"/>
        <v>0</v>
      </c>
      <c r="BA30" s="604">
        <f t="shared" ca="1" si="62"/>
        <v>0</v>
      </c>
      <c r="BB30" s="604">
        <f t="shared" ca="1" si="62"/>
        <v>0</v>
      </c>
      <c r="BC30" s="604">
        <f t="shared" ca="1" si="62"/>
        <v>0</v>
      </c>
      <c r="BD30" s="604">
        <f t="shared" ca="1" si="62"/>
        <v>0</v>
      </c>
      <c r="BE30" s="604">
        <f t="shared" ca="1" si="62"/>
        <v>0</v>
      </c>
      <c r="BF30" s="605">
        <f t="shared" ca="1" si="63"/>
        <v>0</v>
      </c>
      <c r="BH30" s="3472">
        <f t="shared" ca="1" si="64"/>
        <v>0</v>
      </c>
      <c r="BI30" s="3472">
        <f t="shared" ca="1" si="64"/>
        <v>0</v>
      </c>
      <c r="BJ30" s="3461">
        <f t="shared" ca="1" si="65"/>
        <v>0</v>
      </c>
      <c r="BL30" s="606">
        <f t="shared" ca="1" si="10"/>
        <v>0</v>
      </c>
      <c r="BM30" s="606"/>
      <c r="BN30" s="413"/>
      <c r="BO30" s="2789">
        <f t="shared" ca="1" si="77"/>
        <v>0</v>
      </c>
      <c r="BP30" s="2790">
        <f t="shared" ca="1" si="77"/>
        <v>0</v>
      </c>
      <c r="BQ30" s="2790">
        <f t="shared" ca="1" si="77"/>
        <v>0</v>
      </c>
      <c r="BR30" s="2790">
        <f t="shared" ca="1" si="77"/>
        <v>0</v>
      </c>
      <c r="BS30" s="2790">
        <f t="shared" ca="1" si="77"/>
        <v>0</v>
      </c>
      <c r="BT30" s="2790">
        <f t="shared" ca="1" si="77"/>
        <v>0</v>
      </c>
      <c r="BU30" s="2790">
        <f t="shared" ca="1" si="77"/>
        <v>0</v>
      </c>
      <c r="BV30" s="2790">
        <f t="shared" ca="1" si="77"/>
        <v>0</v>
      </c>
      <c r="BW30" s="2790">
        <f t="shared" ca="1" si="77"/>
        <v>0</v>
      </c>
      <c r="BX30" s="2790">
        <f t="shared" ca="1" si="77"/>
        <v>0</v>
      </c>
      <c r="BY30" s="2790">
        <f t="shared" ca="1" si="78"/>
        <v>0</v>
      </c>
      <c r="BZ30" s="2790">
        <f t="shared" ca="1" si="78"/>
        <v>0</v>
      </c>
      <c r="CA30" s="2790">
        <f t="shared" ca="1" si="78"/>
        <v>0</v>
      </c>
      <c r="CB30" s="2790">
        <f t="shared" ca="1" si="78"/>
        <v>0</v>
      </c>
      <c r="CC30" s="2790">
        <f t="shared" ca="1" si="78"/>
        <v>0</v>
      </c>
      <c r="CD30" s="2790">
        <f t="shared" ca="1" si="78"/>
        <v>0</v>
      </c>
      <c r="CE30" s="2790">
        <f t="shared" ca="1" si="78"/>
        <v>0</v>
      </c>
      <c r="CF30" s="2790">
        <f t="shared" ca="1" si="78"/>
        <v>0</v>
      </c>
      <c r="CG30" s="2790">
        <f t="shared" ca="1" si="78"/>
        <v>0</v>
      </c>
      <c r="CH30" s="2790">
        <f t="shared" ca="1" si="78"/>
        <v>0</v>
      </c>
      <c r="CI30" s="2790">
        <f t="shared" ca="1" si="79"/>
        <v>0</v>
      </c>
      <c r="CJ30" s="2790">
        <f t="shared" ca="1" si="79"/>
        <v>0</v>
      </c>
      <c r="CK30" s="2790">
        <f t="shared" ca="1" si="79"/>
        <v>0</v>
      </c>
      <c r="CL30" s="2790">
        <f t="shared" ca="1" si="79"/>
        <v>0</v>
      </c>
      <c r="CM30" s="2790">
        <f t="shared" ca="1" si="79"/>
        <v>0</v>
      </c>
      <c r="CN30" s="2790">
        <f t="shared" ca="1" si="79"/>
        <v>0</v>
      </c>
      <c r="CO30" s="2790">
        <f t="shared" ca="1" si="79"/>
        <v>0</v>
      </c>
      <c r="CP30" s="2790">
        <f t="shared" ca="1" si="79"/>
        <v>0</v>
      </c>
      <c r="CQ30" s="2790">
        <f t="shared" ca="1" si="79"/>
        <v>0</v>
      </c>
      <c r="CR30" s="2790">
        <f t="shared" ca="1" si="79"/>
        <v>0</v>
      </c>
      <c r="CS30" s="2790">
        <f t="shared" ca="1" si="80"/>
        <v>0</v>
      </c>
      <c r="CT30" s="2790">
        <f t="shared" ca="1" si="80"/>
        <v>0</v>
      </c>
      <c r="CU30" s="2790">
        <f t="shared" ca="1" si="80"/>
        <v>0</v>
      </c>
      <c r="CV30" s="2790">
        <f t="shared" ca="1" si="80"/>
        <v>0</v>
      </c>
      <c r="CW30" s="2790">
        <f t="shared" ca="1" si="80"/>
        <v>0</v>
      </c>
      <c r="CX30" s="2790">
        <f t="shared" ca="1" si="80"/>
        <v>0</v>
      </c>
      <c r="CY30" s="2790">
        <f t="shared" ca="1" si="80"/>
        <v>0</v>
      </c>
      <c r="CZ30" s="2790">
        <f t="shared" ca="1" si="80"/>
        <v>0</v>
      </c>
      <c r="DA30" s="2790">
        <f t="shared" ca="1" si="80"/>
        <v>0</v>
      </c>
      <c r="DB30" s="2790">
        <f t="shared" ca="1" si="80"/>
        <v>0</v>
      </c>
      <c r="DC30" s="2790">
        <f t="shared" ca="1" si="80"/>
        <v>0</v>
      </c>
      <c r="DD30" s="2790">
        <f t="shared" ca="1" si="80"/>
        <v>0</v>
      </c>
      <c r="DE30" s="2790">
        <f t="shared" ca="1" si="80"/>
        <v>0</v>
      </c>
      <c r="DF30" s="2790">
        <f t="shared" ca="1" si="80"/>
        <v>0</v>
      </c>
      <c r="DH30" s="596">
        <f t="shared" ca="1" si="33"/>
        <v>0</v>
      </c>
    </row>
    <row r="31" spans="1:112" s="6" customFormat="1" ht="11.25" customHeight="1" outlineLevel="1">
      <c r="A31" s="607"/>
      <c r="B31" s="607"/>
      <c r="C31" s="587"/>
      <c r="D31" s="625" t="s">
        <v>489</v>
      </c>
      <c r="E31" s="611"/>
      <c r="G31" s="612">
        <f t="shared" ref="G31:P31" ca="1" si="81">SUM(G29:G30)</f>
        <v>0</v>
      </c>
      <c r="H31" s="612">
        <f t="shared" ca="1" si="81"/>
        <v>0</v>
      </c>
      <c r="I31" s="612">
        <f t="shared" ca="1" si="81"/>
        <v>0</v>
      </c>
      <c r="J31" s="612">
        <f t="shared" ca="1" si="81"/>
        <v>0</v>
      </c>
      <c r="K31" s="612">
        <f t="shared" ca="1" si="81"/>
        <v>0</v>
      </c>
      <c r="L31" s="612">
        <f t="shared" ca="1" si="81"/>
        <v>0</v>
      </c>
      <c r="M31" s="612">
        <f t="shared" ca="1" si="81"/>
        <v>0</v>
      </c>
      <c r="N31" s="612">
        <f t="shared" ca="1" si="81"/>
        <v>0</v>
      </c>
      <c r="O31" s="612">
        <f t="shared" ca="1" si="81"/>
        <v>0</v>
      </c>
      <c r="P31" s="612">
        <f t="shared" ca="1" si="81"/>
        <v>0</v>
      </c>
      <c r="Q31" s="612">
        <f t="shared" ca="1" si="57"/>
        <v>0</v>
      </c>
      <c r="S31" s="613">
        <f t="shared" ref="S31:AJ31" ca="1" si="82">SUM(S29:S30)</f>
        <v>0</v>
      </c>
      <c r="T31" s="613">
        <f t="shared" ca="1" si="82"/>
        <v>0</v>
      </c>
      <c r="U31" s="613">
        <f t="shared" ca="1" si="82"/>
        <v>0</v>
      </c>
      <c r="V31" s="613">
        <f t="shared" ca="1" si="82"/>
        <v>0</v>
      </c>
      <c r="W31" s="613">
        <f t="shared" ca="1" si="82"/>
        <v>0</v>
      </c>
      <c r="X31" s="626">
        <f t="shared" ca="1" si="82"/>
        <v>0</v>
      </c>
      <c r="Y31" s="626">
        <f t="shared" ca="1" si="82"/>
        <v>0</v>
      </c>
      <c r="Z31" s="626">
        <f t="shared" ca="1" si="82"/>
        <v>0</v>
      </c>
      <c r="AA31" s="613">
        <f t="shared" ca="1" si="82"/>
        <v>0</v>
      </c>
      <c r="AB31" s="613">
        <f t="shared" ca="1" si="82"/>
        <v>0</v>
      </c>
      <c r="AC31" s="613">
        <f t="shared" ca="1" si="82"/>
        <v>0</v>
      </c>
      <c r="AD31" s="613">
        <f t="shared" ca="1" si="82"/>
        <v>0</v>
      </c>
      <c r="AE31" s="613">
        <f ca="1">SUM(AE29:AE30)</f>
        <v>0</v>
      </c>
      <c r="AF31" s="613">
        <f t="shared" ca="1" si="82"/>
        <v>0</v>
      </c>
      <c r="AG31" s="613">
        <f t="shared" ca="1" si="82"/>
        <v>0</v>
      </c>
      <c r="AH31" s="613">
        <f ca="1">SUM(AH29:AH30)</f>
        <v>0</v>
      </c>
      <c r="AI31" s="613">
        <f t="shared" ca="1" si="82"/>
        <v>0</v>
      </c>
      <c r="AJ31" s="613">
        <f t="shared" ca="1" si="82"/>
        <v>0</v>
      </c>
      <c r="AK31" s="613">
        <f t="shared" ca="1" si="60"/>
        <v>0</v>
      </c>
      <c r="AM31" s="627">
        <f t="shared" ref="AM31:BE31" ca="1" si="83">SUM(AM29:AM30)</f>
        <v>0</v>
      </c>
      <c r="AN31" s="627">
        <f t="shared" ca="1" si="83"/>
        <v>0</v>
      </c>
      <c r="AO31" s="627">
        <f t="shared" ca="1" si="83"/>
        <v>0</v>
      </c>
      <c r="AP31" s="627">
        <f t="shared" ca="1" si="83"/>
        <v>0</v>
      </c>
      <c r="AQ31" s="627">
        <f t="shared" ca="1" si="83"/>
        <v>0</v>
      </c>
      <c r="AR31" s="627">
        <f t="shared" ca="1" si="83"/>
        <v>0</v>
      </c>
      <c r="AS31" s="627">
        <f t="shared" ca="1" si="83"/>
        <v>0</v>
      </c>
      <c r="AT31" s="627">
        <f t="shared" ca="1" si="83"/>
        <v>0</v>
      </c>
      <c r="AU31" s="627">
        <f t="shared" ca="1" si="83"/>
        <v>0</v>
      </c>
      <c r="AV31" s="627">
        <f t="shared" ca="1" si="83"/>
        <v>0</v>
      </c>
      <c r="AW31" s="627">
        <f t="shared" ca="1" si="83"/>
        <v>0</v>
      </c>
      <c r="AX31" s="627">
        <f t="shared" ca="1" si="83"/>
        <v>0</v>
      </c>
      <c r="AY31" s="627">
        <f t="shared" ca="1" si="83"/>
        <v>0</v>
      </c>
      <c r="AZ31" s="627">
        <f t="shared" ca="1" si="83"/>
        <v>0</v>
      </c>
      <c r="BA31" s="627">
        <f t="shared" ca="1" si="83"/>
        <v>0</v>
      </c>
      <c r="BB31" s="627">
        <f t="shared" ca="1" si="83"/>
        <v>0</v>
      </c>
      <c r="BC31" s="627">
        <f t="shared" ca="1" si="83"/>
        <v>0</v>
      </c>
      <c r="BD31" s="627">
        <f ca="1">SUM(BD29:BD30)</f>
        <v>0</v>
      </c>
      <c r="BE31" s="627">
        <f t="shared" ca="1" si="83"/>
        <v>0</v>
      </c>
      <c r="BF31" s="628">
        <f t="shared" ca="1" si="63"/>
        <v>0</v>
      </c>
      <c r="BH31" s="3474">
        <f ca="1">SUM(BH29:BH30)</f>
        <v>0</v>
      </c>
      <c r="BI31" s="3474">
        <f ca="1">SUM(BI29:BI30)</f>
        <v>0</v>
      </c>
      <c r="BJ31" s="3462">
        <f t="shared" ca="1" si="65"/>
        <v>0</v>
      </c>
      <c r="BL31" s="595">
        <f t="shared" ca="1" si="10"/>
        <v>0</v>
      </c>
      <c r="BM31" s="595"/>
      <c r="BN31" s="607"/>
      <c r="BO31" s="2791">
        <f t="shared" ref="BO31:DF31" ca="1" si="84">SUM(BO29:BO30)</f>
        <v>0</v>
      </c>
      <c r="BP31" s="2792">
        <f t="shared" ca="1" si="84"/>
        <v>0</v>
      </c>
      <c r="BQ31" s="2792">
        <f t="shared" ca="1" si="84"/>
        <v>0</v>
      </c>
      <c r="BR31" s="2792">
        <f t="shared" ca="1" si="84"/>
        <v>0</v>
      </c>
      <c r="BS31" s="2792">
        <f t="shared" ca="1" si="84"/>
        <v>0</v>
      </c>
      <c r="BT31" s="2792">
        <f t="shared" ca="1" si="84"/>
        <v>0</v>
      </c>
      <c r="BU31" s="2792">
        <f t="shared" ca="1" si="84"/>
        <v>0</v>
      </c>
      <c r="BV31" s="2792">
        <f t="shared" ca="1" si="84"/>
        <v>0</v>
      </c>
      <c r="BW31" s="2792">
        <f t="shared" ca="1" si="84"/>
        <v>0</v>
      </c>
      <c r="BX31" s="2792">
        <f t="shared" ca="1" si="84"/>
        <v>0</v>
      </c>
      <c r="BY31" s="2792">
        <f t="shared" ca="1" si="84"/>
        <v>0</v>
      </c>
      <c r="BZ31" s="2792">
        <f t="shared" ca="1" si="84"/>
        <v>0</v>
      </c>
      <c r="CA31" s="2792">
        <f t="shared" ca="1" si="84"/>
        <v>0</v>
      </c>
      <c r="CB31" s="2792">
        <f t="shared" ca="1" si="84"/>
        <v>0</v>
      </c>
      <c r="CC31" s="2792">
        <f t="shared" ca="1" si="84"/>
        <v>0</v>
      </c>
      <c r="CD31" s="2792">
        <f t="shared" ca="1" si="84"/>
        <v>0</v>
      </c>
      <c r="CE31" s="2792">
        <f t="shared" ca="1" si="84"/>
        <v>0</v>
      </c>
      <c r="CF31" s="2792">
        <f t="shared" ca="1" si="84"/>
        <v>0</v>
      </c>
      <c r="CG31" s="2792">
        <f t="shared" ca="1" si="84"/>
        <v>0</v>
      </c>
      <c r="CH31" s="2792">
        <f t="shared" ca="1" si="84"/>
        <v>0</v>
      </c>
      <c r="CI31" s="2792">
        <f t="shared" ca="1" si="84"/>
        <v>0</v>
      </c>
      <c r="CJ31" s="2792">
        <f t="shared" ca="1" si="84"/>
        <v>0</v>
      </c>
      <c r="CK31" s="2792">
        <f t="shared" ca="1" si="84"/>
        <v>0</v>
      </c>
      <c r="CL31" s="2792">
        <f t="shared" ca="1" si="84"/>
        <v>0</v>
      </c>
      <c r="CM31" s="2792">
        <f t="shared" ca="1" si="84"/>
        <v>0</v>
      </c>
      <c r="CN31" s="2792">
        <f t="shared" ca="1" si="84"/>
        <v>0</v>
      </c>
      <c r="CO31" s="2792">
        <f t="shared" ca="1" si="84"/>
        <v>0</v>
      </c>
      <c r="CP31" s="2792">
        <f t="shared" ca="1" si="84"/>
        <v>0</v>
      </c>
      <c r="CQ31" s="2792">
        <f t="shared" ca="1" si="84"/>
        <v>0</v>
      </c>
      <c r="CR31" s="2792">
        <f t="shared" ca="1" si="84"/>
        <v>0</v>
      </c>
      <c r="CS31" s="2792">
        <f t="shared" ca="1" si="84"/>
        <v>0</v>
      </c>
      <c r="CT31" s="2792">
        <f t="shared" ca="1" si="84"/>
        <v>0</v>
      </c>
      <c r="CU31" s="2792">
        <f t="shared" ca="1" si="84"/>
        <v>0</v>
      </c>
      <c r="CV31" s="2792">
        <f t="shared" ca="1" si="84"/>
        <v>0</v>
      </c>
      <c r="CW31" s="2792">
        <f t="shared" ca="1" si="84"/>
        <v>0</v>
      </c>
      <c r="CX31" s="2792">
        <f t="shared" ca="1" si="84"/>
        <v>0</v>
      </c>
      <c r="CY31" s="2792">
        <f t="shared" ca="1" si="84"/>
        <v>0</v>
      </c>
      <c r="CZ31" s="2792">
        <f t="shared" ca="1" si="84"/>
        <v>0</v>
      </c>
      <c r="DA31" s="2792">
        <f t="shared" ca="1" si="84"/>
        <v>0</v>
      </c>
      <c r="DB31" s="2792">
        <f t="shared" ca="1" si="84"/>
        <v>0</v>
      </c>
      <c r="DC31" s="2792">
        <f t="shared" ca="1" si="84"/>
        <v>0</v>
      </c>
      <c r="DD31" s="2792">
        <f t="shared" ca="1" si="84"/>
        <v>0</v>
      </c>
      <c r="DE31" s="2792">
        <f t="shared" ca="1" si="84"/>
        <v>0</v>
      </c>
      <c r="DF31" s="2792">
        <f t="shared" ca="1" si="84"/>
        <v>0</v>
      </c>
      <c r="DH31" s="596">
        <f t="shared" ca="1" si="33"/>
        <v>0</v>
      </c>
    </row>
    <row r="32" spans="1:112" s="6" customFormat="1" ht="15.75">
      <c r="A32" s="4"/>
      <c r="B32" s="3"/>
      <c r="C32" s="616" t="s">
        <v>490</v>
      </c>
      <c r="D32" s="617" t="s">
        <v>491</v>
      </c>
      <c r="E32" s="206"/>
      <c r="G32" s="618">
        <f t="shared" ref="G32:P32" ca="1" si="85">G24+G25+G28+G31</f>
        <v>0</v>
      </c>
      <c r="H32" s="618">
        <f t="shared" ca="1" si="85"/>
        <v>0</v>
      </c>
      <c r="I32" s="618">
        <f t="shared" ca="1" si="85"/>
        <v>0</v>
      </c>
      <c r="J32" s="618">
        <f t="shared" ca="1" si="85"/>
        <v>32.880652873663266</v>
      </c>
      <c r="K32" s="618">
        <f t="shared" ca="1" si="85"/>
        <v>0.34962764034052646</v>
      </c>
      <c r="L32" s="618">
        <f t="shared" ca="1" si="85"/>
        <v>2.4811333961622644E-2</v>
      </c>
      <c r="M32" s="618">
        <f t="shared" ca="1" si="85"/>
        <v>0.66</v>
      </c>
      <c r="N32" s="618">
        <f t="shared" ca="1" si="85"/>
        <v>11.025797638510145</v>
      </c>
      <c r="O32" s="618">
        <f t="shared" ca="1" si="85"/>
        <v>0</v>
      </c>
      <c r="P32" s="618">
        <f t="shared" ca="1" si="85"/>
        <v>0</v>
      </c>
      <c r="Q32" s="618">
        <f t="shared" ca="1" si="57"/>
        <v>44.940889486475555</v>
      </c>
      <c r="S32" s="581">
        <f t="shared" ref="S32:AJ32" ca="1" si="86">S24+S25+S28+S31</f>
        <v>-0.74511531550862542</v>
      </c>
      <c r="T32" s="581">
        <f t="shared" ca="1" si="86"/>
        <v>0</v>
      </c>
      <c r="U32" s="581">
        <f t="shared" ca="1" si="86"/>
        <v>0</v>
      </c>
      <c r="V32" s="581">
        <f t="shared" ca="1" si="86"/>
        <v>-44.16733414053364</v>
      </c>
      <c r="W32" s="581">
        <f t="shared" ca="1" si="86"/>
        <v>0</v>
      </c>
      <c r="X32" s="581">
        <f t="shared" ca="1" si="86"/>
        <v>0</v>
      </c>
      <c r="Y32" s="581">
        <f t="shared" ca="1" si="86"/>
        <v>0</v>
      </c>
      <c r="Z32" s="581">
        <f t="shared" ca="1" si="86"/>
        <v>0</v>
      </c>
      <c r="AA32" s="581">
        <f t="shared" ca="1" si="86"/>
        <v>0</v>
      </c>
      <c r="AB32" s="581">
        <f t="shared" ca="1" si="86"/>
        <v>0</v>
      </c>
      <c r="AC32" s="581">
        <f t="shared" ca="1" si="86"/>
        <v>0</v>
      </c>
      <c r="AD32" s="581">
        <f t="shared" ca="1" si="86"/>
        <v>0</v>
      </c>
      <c r="AE32" s="581">
        <f ca="1">AE24+AE25+AE28+AE31</f>
        <v>0</v>
      </c>
      <c r="AF32" s="581">
        <f t="shared" ca="1" si="86"/>
        <v>0</v>
      </c>
      <c r="AG32" s="581">
        <f t="shared" ca="1" si="86"/>
        <v>0</v>
      </c>
      <c r="AH32" s="581">
        <f ca="1">AH24+AH25+AH28+AH31</f>
        <v>0</v>
      </c>
      <c r="AI32" s="581">
        <f t="shared" ca="1" si="86"/>
        <v>0</v>
      </c>
      <c r="AJ32" s="581">
        <f t="shared" ca="1" si="86"/>
        <v>-2.8440030433297275E-2</v>
      </c>
      <c r="AK32" s="581">
        <f t="shared" ca="1" si="60"/>
        <v>-44.940889486475562</v>
      </c>
      <c r="AM32" s="582">
        <f t="shared" ref="AM32:BE32" ca="1" si="87">AM24+AM25+AM28+AM31</f>
        <v>0</v>
      </c>
      <c r="AN32" s="582">
        <f t="shared" ca="1" si="87"/>
        <v>0</v>
      </c>
      <c r="AO32" s="582">
        <f t="shared" ca="1" si="87"/>
        <v>0</v>
      </c>
      <c r="AP32" s="582">
        <f t="shared" ca="1" si="87"/>
        <v>0</v>
      </c>
      <c r="AQ32" s="582">
        <f t="shared" ca="1" si="87"/>
        <v>0</v>
      </c>
      <c r="AR32" s="582">
        <f t="shared" ca="1" si="87"/>
        <v>0</v>
      </c>
      <c r="AS32" s="582">
        <f t="shared" ca="1" si="87"/>
        <v>0</v>
      </c>
      <c r="AT32" s="582">
        <f t="shared" ca="1" si="87"/>
        <v>0</v>
      </c>
      <c r="AU32" s="582">
        <f t="shared" ca="1" si="87"/>
        <v>0</v>
      </c>
      <c r="AV32" s="582">
        <f t="shared" ca="1" si="87"/>
        <v>0</v>
      </c>
      <c r="AW32" s="582">
        <f t="shared" ca="1" si="87"/>
        <v>0</v>
      </c>
      <c r="AX32" s="582">
        <f t="shared" ca="1" si="87"/>
        <v>0</v>
      </c>
      <c r="AY32" s="582">
        <f t="shared" ca="1" si="87"/>
        <v>0</v>
      </c>
      <c r="AZ32" s="582">
        <f t="shared" ca="1" si="87"/>
        <v>0</v>
      </c>
      <c r="BA32" s="582">
        <f t="shared" ca="1" si="87"/>
        <v>0</v>
      </c>
      <c r="BB32" s="582">
        <f t="shared" ca="1" si="87"/>
        <v>0</v>
      </c>
      <c r="BC32" s="582">
        <f t="shared" ca="1" si="87"/>
        <v>0</v>
      </c>
      <c r="BD32" s="582">
        <f ca="1">BD24+BD25+BD28+BD31</f>
        <v>0</v>
      </c>
      <c r="BE32" s="582">
        <f t="shared" ca="1" si="87"/>
        <v>0</v>
      </c>
      <c r="BF32" s="582">
        <f t="shared" ca="1" si="63"/>
        <v>0</v>
      </c>
      <c r="BH32" s="3463">
        <f ca="1">BH24+BH25+BH28+BH31</f>
        <v>0</v>
      </c>
      <c r="BI32" s="3463">
        <f ca="1">BI24+BI25+BI28+BI31</f>
        <v>0</v>
      </c>
      <c r="BJ32" s="3463">
        <f t="shared" ca="1" si="65"/>
        <v>0</v>
      </c>
      <c r="BL32" s="3477">
        <f t="shared" ca="1" si="10"/>
        <v>-7.1054273576010019E-15</v>
      </c>
      <c r="BM32" s="584"/>
      <c r="BN32" s="413"/>
      <c r="BO32" s="2790">
        <f t="shared" ref="BO32:DF32" ca="1" si="88">BO24+BO25+BO28+BO31</f>
        <v>8.7453886521539559</v>
      </c>
      <c r="BP32" s="2790">
        <f t="shared" ca="1" si="88"/>
        <v>7.5165004786589273E-3</v>
      </c>
      <c r="BQ32" s="2790">
        <f t="shared" ca="1" si="88"/>
        <v>2.2191572841754929E-2</v>
      </c>
      <c r="BR32" s="2790">
        <f t="shared" ca="1" si="88"/>
        <v>0</v>
      </c>
      <c r="BS32" s="2790">
        <f t="shared" ca="1" si="88"/>
        <v>0</v>
      </c>
      <c r="BT32" s="2790">
        <f t="shared" ca="1" si="88"/>
        <v>0</v>
      </c>
      <c r="BU32" s="2790">
        <f t="shared" ca="1" si="88"/>
        <v>0</v>
      </c>
      <c r="BV32" s="2790">
        <f t="shared" ca="1" si="88"/>
        <v>0</v>
      </c>
      <c r="BW32" s="2790">
        <f t="shared" ca="1" si="88"/>
        <v>0</v>
      </c>
      <c r="BX32" s="2790">
        <f t="shared" ca="1" si="88"/>
        <v>0</v>
      </c>
      <c r="BY32" s="2790">
        <f t="shared" ca="1" si="88"/>
        <v>0</v>
      </c>
      <c r="BZ32" s="2790">
        <f t="shared" ca="1" si="88"/>
        <v>0</v>
      </c>
      <c r="CA32" s="2790">
        <f t="shared" ca="1" si="88"/>
        <v>0</v>
      </c>
      <c r="CB32" s="2790">
        <f t="shared" ca="1" si="88"/>
        <v>0</v>
      </c>
      <c r="CC32" s="2790">
        <f t="shared" ca="1" si="88"/>
        <v>0</v>
      </c>
      <c r="CD32" s="2790">
        <f t="shared" ca="1" si="88"/>
        <v>0</v>
      </c>
      <c r="CE32" s="2790">
        <f t="shared" ca="1" si="88"/>
        <v>0</v>
      </c>
      <c r="CF32" s="2790">
        <f t="shared" ca="1" si="88"/>
        <v>0</v>
      </c>
      <c r="CG32" s="2790">
        <f t="shared" ca="1" si="88"/>
        <v>0</v>
      </c>
      <c r="CH32" s="2790">
        <f t="shared" ca="1" si="88"/>
        <v>0</v>
      </c>
      <c r="CI32" s="2790">
        <f t="shared" ca="1" si="88"/>
        <v>0</v>
      </c>
      <c r="CJ32" s="2790">
        <f t="shared" ca="1" si="88"/>
        <v>0</v>
      </c>
      <c r="CK32" s="2790">
        <f t="shared" ca="1" si="88"/>
        <v>0</v>
      </c>
      <c r="CL32" s="2790">
        <f t="shared" ca="1" si="88"/>
        <v>0</v>
      </c>
      <c r="CM32" s="2790">
        <f t="shared" ca="1" si="88"/>
        <v>0</v>
      </c>
      <c r="CN32" s="2790">
        <f t="shared" ca="1" si="88"/>
        <v>0</v>
      </c>
      <c r="CO32" s="2790">
        <f t="shared" ca="1" si="88"/>
        <v>0</v>
      </c>
      <c r="CP32" s="2790">
        <f t="shared" ca="1" si="88"/>
        <v>0</v>
      </c>
      <c r="CQ32" s="2790">
        <f t="shared" ca="1" si="88"/>
        <v>0</v>
      </c>
      <c r="CR32" s="2790">
        <f t="shared" ca="1" si="88"/>
        <v>0</v>
      </c>
      <c r="CS32" s="2790">
        <f t="shared" ca="1" si="88"/>
        <v>0</v>
      </c>
      <c r="CT32" s="2790">
        <f t="shared" ca="1" si="88"/>
        <v>0</v>
      </c>
      <c r="CU32" s="2790">
        <f t="shared" ca="1" si="88"/>
        <v>2.9094874808500566</v>
      </c>
      <c r="CV32" s="2790">
        <f t="shared" ca="1" si="88"/>
        <v>2.500650904414101E-3</v>
      </c>
      <c r="CW32" s="2790">
        <f t="shared" ca="1" si="88"/>
        <v>7.3828740987463932E-3</v>
      </c>
      <c r="CX32" s="2790">
        <f t="shared" ca="1" si="88"/>
        <v>0</v>
      </c>
      <c r="CY32" s="2790">
        <f t="shared" ca="1" si="88"/>
        <v>0</v>
      </c>
      <c r="CZ32" s="2790">
        <f t="shared" ca="1" si="88"/>
        <v>0</v>
      </c>
      <c r="DA32" s="2790">
        <f t="shared" ca="1" si="88"/>
        <v>0</v>
      </c>
      <c r="DB32" s="2790">
        <f t="shared" ca="1" si="88"/>
        <v>0</v>
      </c>
      <c r="DC32" s="2790">
        <f t="shared" ca="1" si="88"/>
        <v>0</v>
      </c>
      <c r="DD32" s="2790">
        <f t="shared" ca="1" si="88"/>
        <v>0</v>
      </c>
      <c r="DE32" s="2790">
        <f t="shared" ca="1" si="88"/>
        <v>0</v>
      </c>
      <c r="DF32" s="2790">
        <f t="shared" ca="1" si="88"/>
        <v>0</v>
      </c>
      <c r="DH32" s="596">
        <f t="shared" ca="1" si="33"/>
        <v>11.694467731327588</v>
      </c>
    </row>
    <row r="33" spans="1:112" s="6" customFormat="1" ht="12.75" customHeight="1" outlineLevel="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10"/>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3"/>
        <v>0</v>
      </c>
    </row>
    <row r="34" spans="1:112" s="6" customFormat="1" ht="12.75" customHeight="1" outlineLevel="1">
      <c r="A34" s="607"/>
      <c r="B34" s="607"/>
      <c r="C34" s="587" t="s">
        <v>492</v>
      </c>
      <c r="D34" s="611" t="s">
        <v>375</v>
      </c>
      <c r="E34" s="611"/>
      <c r="G34" s="619">
        <f t="shared" ref="G34:P34" ca="1" si="89">IFERROR(INDEX(INDIRECT($C34&amp;".Outputs["&amp;this.Year&amp;"]"), MATCH(G$5, INDIRECT($C34&amp;".Outputs[Vector]"), 0)), 0)</f>
        <v>0</v>
      </c>
      <c r="H34" s="619">
        <f t="shared" ca="1" si="89"/>
        <v>0</v>
      </c>
      <c r="I34" s="619">
        <f t="shared" ca="1" si="89"/>
        <v>0</v>
      </c>
      <c r="J34" s="619">
        <f t="shared" ca="1" si="89"/>
        <v>0</v>
      </c>
      <c r="K34" s="619">
        <f t="shared" ca="1" si="89"/>
        <v>0</v>
      </c>
      <c r="L34" s="619">
        <f t="shared" ca="1" si="89"/>
        <v>0</v>
      </c>
      <c r="M34" s="619">
        <f t="shared" ca="1" si="89"/>
        <v>0</v>
      </c>
      <c r="N34" s="619">
        <f t="shared" ca="1" si="89"/>
        <v>0</v>
      </c>
      <c r="O34" s="619">
        <f t="shared" ca="1" si="89"/>
        <v>0</v>
      </c>
      <c r="P34" s="619">
        <f t="shared" ca="1" si="89"/>
        <v>0</v>
      </c>
      <c r="Q34" s="612">
        <f ca="1">SUM(G34:P34)</f>
        <v>0</v>
      </c>
      <c r="S34" s="620">
        <f t="shared" ref="S34:AJ34" ca="1" si="90">IFERROR(INDEX(INDIRECT($C34&amp;".Outputs["&amp;this.Year&amp;"]"), MATCH(S$5, INDIRECT($C34&amp;".Outputs[Vector]"), 0)), 0)</f>
        <v>0</v>
      </c>
      <c r="T34" s="620">
        <f t="shared" ca="1" si="90"/>
        <v>0</v>
      </c>
      <c r="U34" s="620">
        <f t="shared" ca="1" si="90"/>
        <v>0</v>
      </c>
      <c r="V34" s="620">
        <f t="shared" ca="1" si="90"/>
        <v>0</v>
      </c>
      <c r="W34" s="620">
        <f t="shared" ca="1" si="90"/>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90"/>
        <v>0</v>
      </c>
      <c r="AB34" s="620">
        <f t="shared" ca="1" si="90"/>
        <v>0</v>
      </c>
      <c r="AC34" s="620">
        <f t="shared" ca="1" si="90"/>
        <v>0</v>
      </c>
      <c r="AD34" s="620">
        <f t="shared" ca="1" si="90"/>
        <v>0</v>
      </c>
      <c r="AE34" s="620">
        <f t="shared" ca="1" si="90"/>
        <v>0</v>
      </c>
      <c r="AF34" s="620">
        <f t="shared" ca="1" si="90"/>
        <v>0</v>
      </c>
      <c r="AG34" s="620">
        <f t="shared" ca="1" si="90"/>
        <v>0</v>
      </c>
      <c r="AH34" s="620">
        <f t="shared" ca="1" si="90"/>
        <v>0</v>
      </c>
      <c r="AI34" s="620">
        <f t="shared" ca="1" si="90"/>
        <v>0</v>
      </c>
      <c r="AJ34" s="620">
        <f t="shared" ca="1" si="90"/>
        <v>0</v>
      </c>
      <c r="AK34" s="613">
        <f ca="1">SUM(S34:AJ34)</f>
        <v>0</v>
      </c>
      <c r="AM34" s="621">
        <f t="shared" ref="AM34:AU34" ca="1" si="91">IFERROR(INDEX(INDIRECT($C34&amp;".Outputs["&amp;this.Year&amp;"]"), MATCH(AM$5, INDIRECT($C34&amp;".Outputs[Vector]"), 0)), 0)</f>
        <v>0</v>
      </c>
      <c r="AN34" s="621">
        <f t="shared" ca="1" si="91"/>
        <v>0</v>
      </c>
      <c r="AO34" s="621">
        <f t="shared" ca="1" si="91"/>
        <v>0</v>
      </c>
      <c r="AP34" s="621">
        <f t="shared" ca="1" si="91"/>
        <v>0</v>
      </c>
      <c r="AQ34" s="621">
        <f t="shared" ca="1" si="91"/>
        <v>0</v>
      </c>
      <c r="AR34" s="621">
        <f t="shared" ca="1" si="91"/>
        <v>0</v>
      </c>
      <c r="AS34" s="621">
        <f t="shared" ca="1" si="91"/>
        <v>0</v>
      </c>
      <c r="AT34" s="621">
        <f t="shared" ca="1" si="91"/>
        <v>0</v>
      </c>
      <c r="AU34" s="621">
        <f t="shared" ca="1" si="91"/>
        <v>0</v>
      </c>
      <c r="AV34" s="621">
        <f t="shared" ref="AV34:BE34" ca="1" si="92">IFERROR(INDEX(INDIRECT($C34&amp;".Outputs["&amp;this.Year&amp;"]"), MATCH(AV$5, INDIRECT($C34&amp;".Outputs[Vector]"), 0)), 0)</f>
        <v>0</v>
      </c>
      <c r="AW34" s="621">
        <f t="shared" ca="1" si="92"/>
        <v>0</v>
      </c>
      <c r="AX34" s="621">
        <f t="shared" ca="1" si="92"/>
        <v>0</v>
      </c>
      <c r="AY34" s="621">
        <f t="shared" ca="1" si="92"/>
        <v>0</v>
      </c>
      <c r="AZ34" s="621">
        <f t="shared" ca="1" si="92"/>
        <v>0</v>
      </c>
      <c r="BA34" s="621">
        <f t="shared" ca="1" si="92"/>
        <v>0</v>
      </c>
      <c r="BB34" s="621">
        <f t="shared" ca="1" si="92"/>
        <v>0</v>
      </c>
      <c r="BC34" s="621">
        <f t="shared" ca="1" si="92"/>
        <v>0</v>
      </c>
      <c r="BD34" s="621">
        <f t="shared" ca="1" si="92"/>
        <v>0</v>
      </c>
      <c r="BE34" s="621">
        <f t="shared" ca="1" si="92"/>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10"/>
        <v>0</v>
      </c>
      <c r="BM34" s="610"/>
      <c r="BN34" s="413"/>
      <c r="BO34" s="2791">
        <f t="shared" ref="BO34:DF34" ca="1" si="93">IFERROR(SUMIFS(INDIRECT($C34&amp;".Emissions["&amp;this.Year&amp;"]"), INDIRECT($C34&amp;".Emissions[GHG]"), BO$6, INDIRECT($C34&amp;".Emissions[IPCC Sector]"), BO$5),0)</f>
        <v>0</v>
      </c>
      <c r="BP34" s="2792">
        <f t="shared" ca="1" si="93"/>
        <v>0</v>
      </c>
      <c r="BQ34" s="2792">
        <f t="shared" ca="1" si="93"/>
        <v>0</v>
      </c>
      <c r="BR34" s="2792">
        <f t="shared" ca="1" si="93"/>
        <v>0</v>
      </c>
      <c r="BS34" s="2792">
        <f t="shared" ca="1" si="93"/>
        <v>0</v>
      </c>
      <c r="BT34" s="2792">
        <f t="shared" ca="1" si="93"/>
        <v>0</v>
      </c>
      <c r="BU34" s="2792">
        <f t="shared" ca="1" si="93"/>
        <v>0</v>
      </c>
      <c r="BV34" s="2792">
        <f t="shared" ca="1" si="93"/>
        <v>0</v>
      </c>
      <c r="BW34" s="2792">
        <f t="shared" ca="1" si="93"/>
        <v>0</v>
      </c>
      <c r="BX34" s="2792">
        <f t="shared" ca="1" si="93"/>
        <v>0</v>
      </c>
      <c r="BY34" s="2792">
        <f t="shared" ca="1" si="93"/>
        <v>0</v>
      </c>
      <c r="BZ34" s="2792">
        <f t="shared" ca="1" si="93"/>
        <v>0</v>
      </c>
      <c r="CA34" s="2792">
        <f t="shared" ca="1" si="93"/>
        <v>0</v>
      </c>
      <c r="CB34" s="2792">
        <f t="shared" ca="1" si="93"/>
        <v>0</v>
      </c>
      <c r="CC34" s="2792">
        <f t="shared" ca="1" si="93"/>
        <v>0</v>
      </c>
      <c r="CD34" s="2792">
        <f t="shared" ca="1" si="93"/>
        <v>0</v>
      </c>
      <c r="CE34" s="2792">
        <f t="shared" ca="1" si="93"/>
        <v>0</v>
      </c>
      <c r="CF34" s="2792">
        <f t="shared" ca="1" si="93"/>
        <v>0</v>
      </c>
      <c r="CG34" s="2792">
        <f t="shared" ca="1" si="93"/>
        <v>0</v>
      </c>
      <c r="CH34" s="2792">
        <f t="shared" ca="1" si="93"/>
        <v>0</v>
      </c>
      <c r="CI34" s="2792">
        <f t="shared" ca="1" si="93"/>
        <v>0</v>
      </c>
      <c r="CJ34" s="2792">
        <f t="shared" ca="1" si="93"/>
        <v>0</v>
      </c>
      <c r="CK34" s="2792">
        <f t="shared" ca="1" si="93"/>
        <v>0</v>
      </c>
      <c r="CL34" s="2792">
        <f t="shared" ca="1" si="93"/>
        <v>0</v>
      </c>
      <c r="CM34" s="2792">
        <f t="shared" ca="1" si="93"/>
        <v>0</v>
      </c>
      <c r="CN34" s="2792">
        <f t="shared" ca="1" si="93"/>
        <v>0</v>
      </c>
      <c r="CO34" s="2792">
        <f t="shared" ca="1" si="93"/>
        <v>0</v>
      </c>
      <c r="CP34" s="2792">
        <f t="shared" ca="1" si="93"/>
        <v>0</v>
      </c>
      <c r="CQ34" s="2792">
        <f t="shared" ca="1" si="93"/>
        <v>0</v>
      </c>
      <c r="CR34" s="2792">
        <f t="shared" ca="1" si="93"/>
        <v>0</v>
      </c>
      <c r="CS34" s="2792">
        <f t="shared" ca="1" si="93"/>
        <v>0</v>
      </c>
      <c r="CT34" s="2792">
        <f t="shared" ca="1" si="93"/>
        <v>0</v>
      </c>
      <c r="CU34" s="2792">
        <f t="shared" ca="1" si="93"/>
        <v>0</v>
      </c>
      <c r="CV34" s="2792">
        <f t="shared" ca="1" si="93"/>
        <v>0</v>
      </c>
      <c r="CW34" s="2792">
        <f t="shared" ca="1" si="93"/>
        <v>0</v>
      </c>
      <c r="CX34" s="2792">
        <f t="shared" ca="1" si="93"/>
        <v>0</v>
      </c>
      <c r="CY34" s="2792">
        <f t="shared" ca="1" si="93"/>
        <v>0</v>
      </c>
      <c r="CZ34" s="2792">
        <f t="shared" ca="1" si="93"/>
        <v>0</v>
      </c>
      <c r="DA34" s="2792">
        <f t="shared" ca="1" si="93"/>
        <v>0</v>
      </c>
      <c r="DB34" s="2792">
        <f t="shared" ca="1" si="93"/>
        <v>0</v>
      </c>
      <c r="DC34" s="2792">
        <f t="shared" ca="1" si="93"/>
        <v>0</v>
      </c>
      <c r="DD34" s="2792">
        <f t="shared" ca="1" si="93"/>
        <v>0</v>
      </c>
      <c r="DE34" s="2792">
        <f t="shared" ca="1" si="93"/>
        <v>0</v>
      </c>
      <c r="DF34" s="2792">
        <f t="shared" ca="1" si="93"/>
        <v>0</v>
      </c>
      <c r="DH34" s="596">
        <f t="shared" ca="1" si="33"/>
        <v>0</v>
      </c>
    </row>
    <row r="35" spans="1:112" s="6" customFormat="1" ht="15.75">
      <c r="A35" s="4"/>
      <c r="B35" s="3"/>
      <c r="C35" s="616" t="s">
        <v>493</v>
      </c>
      <c r="D35" s="617" t="s">
        <v>375</v>
      </c>
      <c r="E35" s="206"/>
      <c r="G35" s="618">
        <f ca="1">G34</f>
        <v>0</v>
      </c>
      <c r="H35" s="618">
        <f t="shared" ref="H35:P35" ca="1" si="94">H34</f>
        <v>0</v>
      </c>
      <c r="I35" s="618">
        <f t="shared" ca="1" si="94"/>
        <v>0</v>
      </c>
      <c r="J35" s="618">
        <f t="shared" ca="1" si="94"/>
        <v>0</v>
      </c>
      <c r="K35" s="618">
        <f t="shared" ca="1" si="94"/>
        <v>0</v>
      </c>
      <c r="L35" s="618">
        <f t="shared" ca="1" si="94"/>
        <v>0</v>
      </c>
      <c r="M35" s="618">
        <f t="shared" ca="1" si="94"/>
        <v>0</v>
      </c>
      <c r="N35" s="618">
        <f ca="1">N34</f>
        <v>0</v>
      </c>
      <c r="O35" s="618">
        <f ca="1">O34</f>
        <v>0</v>
      </c>
      <c r="P35" s="618">
        <f t="shared" ca="1" si="94"/>
        <v>0</v>
      </c>
      <c r="Q35" s="618">
        <f ca="1">SUM(G35:P35)</f>
        <v>0</v>
      </c>
      <c r="S35" s="581">
        <f ca="1">S34</f>
        <v>0</v>
      </c>
      <c r="T35" s="581">
        <f t="shared" ref="T35:AJ35" ca="1" si="95">T34</f>
        <v>0</v>
      </c>
      <c r="U35" s="581">
        <f t="shared" ca="1" si="95"/>
        <v>0</v>
      </c>
      <c r="V35" s="581">
        <f t="shared" ca="1" si="95"/>
        <v>0</v>
      </c>
      <c r="W35" s="581">
        <f t="shared" ca="1" si="95"/>
        <v>0</v>
      </c>
      <c r="X35" s="581">
        <f ca="1">X34</f>
        <v>0</v>
      </c>
      <c r="Y35" s="581">
        <f ca="1">Y34</f>
        <v>0</v>
      </c>
      <c r="Z35" s="581">
        <f ca="1">Z34</f>
        <v>0</v>
      </c>
      <c r="AA35" s="581">
        <f t="shared" ca="1" si="95"/>
        <v>0</v>
      </c>
      <c r="AB35" s="581">
        <f t="shared" ca="1" si="95"/>
        <v>0</v>
      </c>
      <c r="AC35" s="581">
        <f t="shared" ca="1" si="95"/>
        <v>0</v>
      </c>
      <c r="AD35" s="581">
        <f ca="1">AD34</f>
        <v>0</v>
      </c>
      <c r="AE35" s="581">
        <f ca="1">AE34</f>
        <v>0</v>
      </c>
      <c r="AF35" s="581">
        <f t="shared" ca="1" si="95"/>
        <v>0</v>
      </c>
      <c r="AG35" s="581">
        <f ca="1">AG34</f>
        <v>0</v>
      </c>
      <c r="AH35" s="581">
        <f ca="1">AH34</f>
        <v>0</v>
      </c>
      <c r="AI35" s="581">
        <f ca="1">AI34</f>
        <v>0</v>
      </c>
      <c r="AJ35" s="581">
        <f t="shared" ca="1" si="95"/>
        <v>0</v>
      </c>
      <c r="AK35" s="581">
        <f ca="1">SUM(S35:AJ35)</f>
        <v>0</v>
      </c>
      <c r="AM35" s="582">
        <f t="shared" ref="AM35:BE35" ca="1" si="96">AM34</f>
        <v>0</v>
      </c>
      <c r="AN35" s="582">
        <f t="shared" ca="1" si="96"/>
        <v>0</v>
      </c>
      <c r="AO35" s="582">
        <f t="shared" ca="1" si="96"/>
        <v>0</v>
      </c>
      <c r="AP35" s="582">
        <f t="shared" ca="1" si="96"/>
        <v>0</v>
      </c>
      <c r="AQ35" s="582">
        <f t="shared" ca="1" si="96"/>
        <v>0</v>
      </c>
      <c r="AR35" s="582">
        <f t="shared" ca="1" si="96"/>
        <v>0</v>
      </c>
      <c r="AS35" s="582">
        <f t="shared" ca="1" si="96"/>
        <v>0</v>
      </c>
      <c r="AT35" s="582">
        <f t="shared" ca="1" si="96"/>
        <v>0</v>
      </c>
      <c r="AU35" s="582">
        <f t="shared" ca="1" si="96"/>
        <v>0</v>
      </c>
      <c r="AV35" s="582">
        <f t="shared" ca="1" si="96"/>
        <v>0</v>
      </c>
      <c r="AW35" s="582">
        <f t="shared" ca="1" si="96"/>
        <v>0</v>
      </c>
      <c r="AX35" s="582">
        <f t="shared" ca="1" si="96"/>
        <v>0</v>
      </c>
      <c r="AY35" s="582">
        <f t="shared" ca="1" si="96"/>
        <v>0</v>
      </c>
      <c r="AZ35" s="582">
        <f t="shared" ca="1" si="96"/>
        <v>0</v>
      </c>
      <c r="BA35" s="582">
        <f t="shared" ca="1" si="96"/>
        <v>0</v>
      </c>
      <c r="BB35" s="582">
        <f t="shared" ca="1" si="96"/>
        <v>0</v>
      </c>
      <c r="BC35" s="582">
        <f t="shared" ca="1" si="96"/>
        <v>0</v>
      </c>
      <c r="BD35" s="582">
        <f ca="1">BD34</f>
        <v>0</v>
      </c>
      <c r="BE35" s="582">
        <f t="shared" ca="1" si="96"/>
        <v>0</v>
      </c>
      <c r="BF35" s="582">
        <f ca="1">SUM(AM35:BE35)</f>
        <v>0</v>
      </c>
      <c r="BH35" s="3463">
        <f ca="1">BH34</f>
        <v>0</v>
      </c>
      <c r="BI35" s="3463">
        <f ca="1">BI34</f>
        <v>0</v>
      </c>
      <c r="BJ35" s="3463">
        <f ca="1">SUM(BH35:BI35)</f>
        <v>0</v>
      </c>
      <c r="BL35" s="3477">
        <f t="shared" ca="1" si="10"/>
        <v>0</v>
      </c>
      <c r="BM35" s="584"/>
      <c r="BN35" s="413"/>
      <c r="BO35" s="2790">
        <f t="shared" ref="BO35:DF35" ca="1" si="97">BO34</f>
        <v>0</v>
      </c>
      <c r="BP35" s="2790">
        <f t="shared" ca="1" si="97"/>
        <v>0</v>
      </c>
      <c r="BQ35" s="2790">
        <f t="shared" ca="1" si="97"/>
        <v>0</v>
      </c>
      <c r="BR35" s="2790">
        <f t="shared" ca="1" si="97"/>
        <v>0</v>
      </c>
      <c r="BS35" s="2790">
        <f t="shared" ca="1" si="97"/>
        <v>0</v>
      </c>
      <c r="BT35" s="2790">
        <f t="shared" ca="1" si="97"/>
        <v>0</v>
      </c>
      <c r="BU35" s="2790">
        <f t="shared" ca="1" si="97"/>
        <v>0</v>
      </c>
      <c r="BV35" s="2790">
        <f t="shared" ca="1" si="97"/>
        <v>0</v>
      </c>
      <c r="BW35" s="2790">
        <f t="shared" ca="1" si="97"/>
        <v>0</v>
      </c>
      <c r="BX35" s="2790">
        <f t="shared" ca="1" si="97"/>
        <v>0</v>
      </c>
      <c r="BY35" s="2790">
        <f t="shared" ca="1" si="97"/>
        <v>0</v>
      </c>
      <c r="BZ35" s="2790">
        <f t="shared" ca="1" si="97"/>
        <v>0</v>
      </c>
      <c r="CA35" s="2790">
        <f t="shared" ca="1" si="97"/>
        <v>0</v>
      </c>
      <c r="CB35" s="2790">
        <f t="shared" ca="1" si="97"/>
        <v>0</v>
      </c>
      <c r="CC35" s="2790">
        <f t="shared" ca="1" si="97"/>
        <v>0</v>
      </c>
      <c r="CD35" s="2790">
        <f t="shared" ca="1" si="97"/>
        <v>0</v>
      </c>
      <c r="CE35" s="2790">
        <f t="shared" ca="1" si="97"/>
        <v>0</v>
      </c>
      <c r="CF35" s="2790">
        <f t="shared" ca="1" si="97"/>
        <v>0</v>
      </c>
      <c r="CG35" s="2790">
        <f t="shared" ca="1" si="97"/>
        <v>0</v>
      </c>
      <c r="CH35" s="2790">
        <f t="shared" ca="1" si="97"/>
        <v>0</v>
      </c>
      <c r="CI35" s="2790">
        <f t="shared" ca="1" si="97"/>
        <v>0</v>
      </c>
      <c r="CJ35" s="2790">
        <f t="shared" ca="1" si="97"/>
        <v>0</v>
      </c>
      <c r="CK35" s="2790">
        <f t="shared" ca="1" si="97"/>
        <v>0</v>
      </c>
      <c r="CL35" s="2790">
        <f t="shared" ca="1" si="97"/>
        <v>0</v>
      </c>
      <c r="CM35" s="2790">
        <f t="shared" ca="1" si="97"/>
        <v>0</v>
      </c>
      <c r="CN35" s="2790">
        <f t="shared" ca="1" si="97"/>
        <v>0</v>
      </c>
      <c r="CO35" s="2790">
        <f t="shared" ca="1" si="97"/>
        <v>0</v>
      </c>
      <c r="CP35" s="2790">
        <f t="shared" ca="1" si="97"/>
        <v>0</v>
      </c>
      <c r="CQ35" s="2790">
        <f t="shared" ca="1" si="97"/>
        <v>0</v>
      </c>
      <c r="CR35" s="2790">
        <f t="shared" ca="1" si="97"/>
        <v>0</v>
      </c>
      <c r="CS35" s="2790">
        <f t="shared" ca="1" si="97"/>
        <v>0</v>
      </c>
      <c r="CT35" s="2790">
        <f t="shared" ca="1" si="97"/>
        <v>0</v>
      </c>
      <c r="CU35" s="2790">
        <f t="shared" ca="1" si="97"/>
        <v>0</v>
      </c>
      <c r="CV35" s="2790">
        <f t="shared" ca="1" si="97"/>
        <v>0</v>
      </c>
      <c r="CW35" s="2790">
        <f t="shared" ca="1" si="97"/>
        <v>0</v>
      </c>
      <c r="CX35" s="2790">
        <f t="shared" ca="1" si="97"/>
        <v>0</v>
      </c>
      <c r="CY35" s="2790">
        <f t="shared" ca="1" si="97"/>
        <v>0</v>
      </c>
      <c r="CZ35" s="2790">
        <f t="shared" ca="1" si="97"/>
        <v>0</v>
      </c>
      <c r="DA35" s="2790">
        <f t="shared" ca="1" si="97"/>
        <v>0</v>
      </c>
      <c r="DB35" s="2790">
        <f t="shared" ca="1" si="97"/>
        <v>0</v>
      </c>
      <c r="DC35" s="2790">
        <f t="shared" ca="1" si="97"/>
        <v>0</v>
      </c>
      <c r="DD35" s="2790">
        <f t="shared" ca="1" si="97"/>
        <v>0</v>
      </c>
      <c r="DE35" s="2790">
        <f t="shared" ca="1" si="97"/>
        <v>0</v>
      </c>
      <c r="DF35" s="2790">
        <f t="shared" ca="1" si="97"/>
        <v>0</v>
      </c>
      <c r="DH35" s="596">
        <f t="shared" ca="1" si="33"/>
        <v>0</v>
      </c>
    </row>
    <row r="36" spans="1:112" s="6" customFormat="1" ht="12.75" customHeight="1" outlineLevel="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10"/>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3"/>
        <v>0</v>
      </c>
    </row>
    <row r="37" spans="1:112" s="6" customFormat="1" ht="12.75" customHeight="1" outlineLevel="1">
      <c r="A37" s="607"/>
      <c r="B37" s="607"/>
      <c r="C37" s="587" t="s">
        <v>494</v>
      </c>
      <c r="D37" s="611" t="s">
        <v>495</v>
      </c>
      <c r="E37" s="611"/>
      <c r="G37" s="619">
        <f t="shared" ref="G37:P37" ca="1" si="98">IFERROR(INDEX(INDIRECT($C37&amp;".Outputs["&amp;this.Year&amp;"]"), MATCH(G$5, INDIRECT($C37&amp;".Outputs[Vector]"), 0)), 0)</f>
        <v>0</v>
      </c>
      <c r="H37" s="619">
        <f t="shared" ca="1" si="98"/>
        <v>0</v>
      </c>
      <c r="I37" s="619">
        <f t="shared" ca="1" si="98"/>
        <v>0</v>
      </c>
      <c r="J37" s="619">
        <f t="shared" ca="1" si="98"/>
        <v>0</v>
      </c>
      <c r="K37" s="619">
        <f t="shared" ca="1" si="98"/>
        <v>0</v>
      </c>
      <c r="L37" s="619">
        <f t="shared" ca="1" si="98"/>
        <v>0</v>
      </c>
      <c r="M37" s="619">
        <f t="shared" ca="1" si="98"/>
        <v>0</v>
      </c>
      <c r="N37" s="619">
        <f t="shared" ca="1" si="98"/>
        <v>0</v>
      </c>
      <c r="O37" s="619">
        <f t="shared" ca="1" si="98"/>
        <v>0</v>
      </c>
      <c r="P37" s="619">
        <f t="shared" ca="1" si="98"/>
        <v>0</v>
      </c>
      <c r="Q37" s="612">
        <f ca="1">SUM(G37:P37)</f>
        <v>0</v>
      </c>
      <c r="S37" s="620">
        <f t="shared" ref="S37:AJ37" ca="1" si="99">IFERROR(INDEX(INDIRECT($C37&amp;".Outputs["&amp;this.Year&amp;"]"), MATCH(S$5, INDIRECT($C37&amp;".Outputs[Vector]"), 0)), 0)</f>
        <v>0</v>
      </c>
      <c r="T37" s="620">
        <f t="shared" ca="1" si="99"/>
        <v>0</v>
      </c>
      <c r="U37" s="620">
        <f t="shared" ca="1" si="99"/>
        <v>0</v>
      </c>
      <c r="V37" s="620">
        <f t="shared" ca="1" si="99"/>
        <v>0</v>
      </c>
      <c r="W37" s="620">
        <f t="shared" ca="1" si="99"/>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9"/>
        <v>0</v>
      </c>
      <c r="AB37" s="620">
        <f t="shared" ca="1" si="99"/>
        <v>0</v>
      </c>
      <c r="AC37" s="620">
        <f t="shared" ca="1" si="99"/>
        <v>0</v>
      </c>
      <c r="AD37" s="620">
        <f t="shared" ca="1" si="99"/>
        <v>0</v>
      </c>
      <c r="AE37" s="620">
        <f t="shared" ca="1" si="99"/>
        <v>0</v>
      </c>
      <c r="AF37" s="620">
        <f t="shared" ca="1" si="99"/>
        <v>0</v>
      </c>
      <c r="AG37" s="620">
        <f t="shared" ca="1" si="99"/>
        <v>0</v>
      </c>
      <c r="AH37" s="620">
        <f t="shared" ca="1" si="99"/>
        <v>0</v>
      </c>
      <c r="AI37" s="620">
        <f t="shared" ca="1" si="99"/>
        <v>0</v>
      </c>
      <c r="AJ37" s="620">
        <f t="shared" ca="1" si="99"/>
        <v>0</v>
      </c>
      <c r="AK37" s="613">
        <f ca="1">SUM(S37:AJ37)</f>
        <v>0</v>
      </c>
      <c r="AM37" s="621">
        <f t="shared" ref="AM37:AU37" ca="1" si="100">IFERROR(INDEX(INDIRECT($C37&amp;".Outputs["&amp;this.Year&amp;"]"), MATCH(AM$5, INDIRECT($C37&amp;".Outputs[Vector]"), 0)), 0)</f>
        <v>0</v>
      </c>
      <c r="AN37" s="621">
        <f t="shared" ca="1" si="100"/>
        <v>0</v>
      </c>
      <c r="AO37" s="621">
        <f t="shared" ca="1" si="100"/>
        <v>0</v>
      </c>
      <c r="AP37" s="621">
        <f t="shared" ca="1" si="100"/>
        <v>0</v>
      </c>
      <c r="AQ37" s="621">
        <f t="shared" ca="1" si="100"/>
        <v>0</v>
      </c>
      <c r="AR37" s="621">
        <f t="shared" ca="1" si="100"/>
        <v>0</v>
      </c>
      <c r="AS37" s="621">
        <f t="shared" ca="1" si="100"/>
        <v>0</v>
      </c>
      <c r="AT37" s="621">
        <f t="shared" ca="1" si="100"/>
        <v>0</v>
      </c>
      <c r="AU37" s="621">
        <f t="shared" ca="1" si="100"/>
        <v>0</v>
      </c>
      <c r="AV37" s="621">
        <f t="shared" ref="AV37:BE37" ca="1" si="101">IFERROR(INDEX(INDIRECT($C37&amp;".Outputs["&amp;this.Year&amp;"]"), MATCH(AV$5, INDIRECT($C37&amp;".Outputs[Vector]"), 0)), 0)</f>
        <v>0</v>
      </c>
      <c r="AW37" s="621">
        <f t="shared" ca="1" si="101"/>
        <v>0</v>
      </c>
      <c r="AX37" s="621">
        <f t="shared" ca="1" si="101"/>
        <v>0</v>
      </c>
      <c r="AY37" s="621">
        <f t="shared" ca="1" si="101"/>
        <v>0</v>
      </c>
      <c r="AZ37" s="621">
        <f t="shared" ca="1" si="101"/>
        <v>0</v>
      </c>
      <c r="BA37" s="621">
        <f t="shared" ca="1" si="101"/>
        <v>0</v>
      </c>
      <c r="BB37" s="621">
        <f t="shared" ca="1" si="101"/>
        <v>0</v>
      </c>
      <c r="BC37" s="621">
        <f t="shared" ca="1" si="101"/>
        <v>0</v>
      </c>
      <c r="BD37" s="621">
        <f t="shared" ca="1" si="101"/>
        <v>0</v>
      </c>
      <c r="BE37" s="621">
        <f t="shared" ca="1" si="101"/>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10"/>
        <v>0</v>
      </c>
      <c r="BM37" s="610"/>
      <c r="BN37" s="413"/>
      <c r="BO37" s="2791">
        <f t="shared" ref="BO37:DF37" ca="1" si="102">IFERROR(SUMIFS(INDIRECT($C37&amp;".Emissions["&amp;this.Year&amp;"]"), INDIRECT($C37&amp;".Emissions[GHG]"), BO$6, INDIRECT($C37&amp;".Emissions[IPCC Sector]"), BO$5),0)</f>
        <v>0</v>
      </c>
      <c r="BP37" s="2792">
        <f t="shared" ca="1" si="102"/>
        <v>0</v>
      </c>
      <c r="BQ37" s="2792">
        <f t="shared" ca="1" si="102"/>
        <v>0</v>
      </c>
      <c r="BR37" s="2792">
        <f t="shared" ca="1" si="102"/>
        <v>0</v>
      </c>
      <c r="BS37" s="2792">
        <f t="shared" ca="1" si="102"/>
        <v>0</v>
      </c>
      <c r="BT37" s="2792">
        <f t="shared" ca="1" si="102"/>
        <v>0</v>
      </c>
      <c r="BU37" s="2792">
        <f t="shared" ca="1" si="102"/>
        <v>0</v>
      </c>
      <c r="BV37" s="2792">
        <f t="shared" ca="1" si="102"/>
        <v>0</v>
      </c>
      <c r="BW37" s="2792">
        <f t="shared" ca="1" si="102"/>
        <v>0</v>
      </c>
      <c r="BX37" s="2792">
        <f t="shared" ca="1" si="102"/>
        <v>0</v>
      </c>
      <c r="BY37" s="2792">
        <f t="shared" ca="1" si="102"/>
        <v>0</v>
      </c>
      <c r="BZ37" s="2792">
        <f t="shared" ca="1" si="102"/>
        <v>0</v>
      </c>
      <c r="CA37" s="2792">
        <f t="shared" ca="1" si="102"/>
        <v>0</v>
      </c>
      <c r="CB37" s="2792">
        <f t="shared" ca="1" si="102"/>
        <v>0</v>
      </c>
      <c r="CC37" s="2792">
        <f t="shared" ca="1" si="102"/>
        <v>0</v>
      </c>
      <c r="CD37" s="2792">
        <f t="shared" ca="1" si="102"/>
        <v>0</v>
      </c>
      <c r="CE37" s="2792">
        <f t="shared" ca="1" si="102"/>
        <v>0</v>
      </c>
      <c r="CF37" s="2792">
        <f t="shared" ca="1" si="102"/>
        <v>0</v>
      </c>
      <c r="CG37" s="2792">
        <f t="shared" ca="1" si="102"/>
        <v>0</v>
      </c>
      <c r="CH37" s="2792">
        <f t="shared" ca="1" si="102"/>
        <v>0</v>
      </c>
      <c r="CI37" s="2792">
        <f t="shared" ca="1" si="102"/>
        <v>0</v>
      </c>
      <c r="CJ37" s="2792">
        <f t="shared" ca="1" si="102"/>
        <v>0</v>
      </c>
      <c r="CK37" s="2792">
        <f t="shared" ca="1" si="102"/>
        <v>0</v>
      </c>
      <c r="CL37" s="2792">
        <f t="shared" ca="1" si="102"/>
        <v>0</v>
      </c>
      <c r="CM37" s="2792">
        <f t="shared" ca="1" si="102"/>
        <v>0</v>
      </c>
      <c r="CN37" s="2792">
        <f t="shared" ca="1" si="102"/>
        <v>0</v>
      </c>
      <c r="CO37" s="2792">
        <f t="shared" ca="1" si="102"/>
        <v>0</v>
      </c>
      <c r="CP37" s="2792">
        <f t="shared" ca="1" si="102"/>
        <v>0</v>
      </c>
      <c r="CQ37" s="2792">
        <f t="shared" ca="1" si="102"/>
        <v>0</v>
      </c>
      <c r="CR37" s="2792">
        <f t="shared" ca="1" si="102"/>
        <v>0</v>
      </c>
      <c r="CS37" s="2792">
        <f t="shared" ca="1" si="102"/>
        <v>0</v>
      </c>
      <c r="CT37" s="2792">
        <f t="shared" ca="1" si="102"/>
        <v>0</v>
      </c>
      <c r="CU37" s="2792">
        <f t="shared" ca="1" si="102"/>
        <v>0</v>
      </c>
      <c r="CV37" s="2792">
        <f t="shared" ca="1" si="102"/>
        <v>0</v>
      </c>
      <c r="CW37" s="2792">
        <f t="shared" ca="1" si="102"/>
        <v>0</v>
      </c>
      <c r="CX37" s="2792">
        <f t="shared" ca="1" si="102"/>
        <v>0</v>
      </c>
      <c r="CY37" s="2792">
        <f t="shared" ca="1" si="102"/>
        <v>0</v>
      </c>
      <c r="CZ37" s="2792">
        <f t="shared" ca="1" si="102"/>
        <v>0</v>
      </c>
      <c r="DA37" s="2792">
        <f t="shared" ca="1" si="102"/>
        <v>0</v>
      </c>
      <c r="DB37" s="2792">
        <f t="shared" ca="1" si="102"/>
        <v>0</v>
      </c>
      <c r="DC37" s="2792">
        <f t="shared" ca="1" si="102"/>
        <v>0</v>
      </c>
      <c r="DD37" s="2792">
        <f t="shared" ca="1" si="102"/>
        <v>0</v>
      </c>
      <c r="DE37" s="2792">
        <f t="shared" ca="1" si="102"/>
        <v>0</v>
      </c>
      <c r="DF37" s="2792">
        <f t="shared" ca="1" si="102"/>
        <v>0</v>
      </c>
      <c r="DH37" s="596">
        <f t="shared" ca="1" si="33"/>
        <v>0</v>
      </c>
    </row>
    <row r="38" spans="1:112" s="6" customFormat="1" ht="15.75">
      <c r="A38" s="4"/>
      <c r="B38" s="3"/>
      <c r="C38" s="616" t="s">
        <v>496</v>
      </c>
      <c r="D38" s="617" t="s">
        <v>495</v>
      </c>
      <c r="E38" s="206"/>
      <c r="G38" s="618">
        <f t="shared" ref="G38:P38" ca="1" si="103">G37</f>
        <v>0</v>
      </c>
      <c r="H38" s="618">
        <f t="shared" ca="1" si="103"/>
        <v>0</v>
      </c>
      <c r="I38" s="618">
        <f t="shared" ca="1" si="103"/>
        <v>0</v>
      </c>
      <c r="J38" s="618">
        <f t="shared" ca="1" si="103"/>
        <v>0</v>
      </c>
      <c r="K38" s="618">
        <f t="shared" ca="1" si="103"/>
        <v>0</v>
      </c>
      <c r="L38" s="618">
        <f t="shared" ca="1" si="103"/>
        <v>0</v>
      </c>
      <c r="M38" s="618">
        <f t="shared" ca="1" si="103"/>
        <v>0</v>
      </c>
      <c r="N38" s="618">
        <f t="shared" ca="1" si="103"/>
        <v>0</v>
      </c>
      <c r="O38" s="618">
        <f t="shared" ca="1" si="103"/>
        <v>0</v>
      </c>
      <c r="P38" s="618">
        <f t="shared" ca="1" si="103"/>
        <v>0</v>
      </c>
      <c r="Q38" s="618">
        <f ca="1">SUM(G38:P38)</f>
        <v>0</v>
      </c>
      <c r="S38" s="581">
        <f t="shared" ref="S38:AJ38" ca="1" si="104">S37</f>
        <v>0</v>
      </c>
      <c r="T38" s="581">
        <f t="shared" ca="1" si="104"/>
        <v>0</v>
      </c>
      <c r="U38" s="581">
        <f t="shared" ca="1" si="104"/>
        <v>0</v>
      </c>
      <c r="V38" s="581">
        <f t="shared" ca="1" si="104"/>
        <v>0</v>
      </c>
      <c r="W38" s="581">
        <f t="shared" ca="1" si="104"/>
        <v>0</v>
      </c>
      <c r="X38" s="581">
        <f ca="1">X37</f>
        <v>0</v>
      </c>
      <c r="Y38" s="581">
        <f ca="1">Y37</f>
        <v>0</v>
      </c>
      <c r="Z38" s="581">
        <f ca="1">Z37</f>
        <v>0</v>
      </c>
      <c r="AA38" s="581">
        <f t="shared" ca="1" si="104"/>
        <v>0</v>
      </c>
      <c r="AB38" s="581">
        <f t="shared" ca="1" si="104"/>
        <v>0</v>
      </c>
      <c r="AC38" s="581">
        <f t="shared" ca="1" si="104"/>
        <v>0</v>
      </c>
      <c r="AD38" s="581">
        <f ca="1">AD37</f>
        <v>0</v>
      </c>
      <c r="AE38" s="581">
        <f ca="1">AE37</f>
        <v>0</v>
      </c>
      <c r="AF38" s="581">
        <f t="shared" ca="1" si="104"/>
        <v>0</v>
      </c>
      <c r="AG38" s="581">
        <f ca="1">AG37</f>
        <v>0</v>
      </c>
      <c r="AH38" s="581">
        <f ca="1">AH37</f>
        <v>0</v>
      </c>
      <c r="AI38" s="581">
        <f ca="1">AI37</f>
        <v>0</v>
      </c>
      <c r="AJ38" s="581">
        <f t="shared" ca="1" si="104"/>
        <v>0</v>
      </c>
      <c r="AK38" s="581">
        <f ca="1">SUM(S38:AJ38)</f>
        <v>0</v>
      </c>
      <c r="AM38" s="582">
        <f t="shared" ref="AM38:BE38" ca="1" si="105">AM37</f>
        <v>0</v>
      </c>
      <c r="AN38" s="582">
        <f t="shared" ca="1" si="105"/>
        <v>0</v>
      </c>
      <c r="AO38" s="582">
        <f t="shared" ca="1" si="105"/>
        <v>0</v>
      </c>
      <c r="AP38" s="582">
        <f t="shared" ca="1" si="105"/>
        <v>0</v>
      </c>
      <c r="AQ38" s="582">
        <f t="shared" ca="1" si="105"/>
        <v>0</v>
      </c>
      <c r="AR38" s="582">
        <f t="shared" ca="1" si="105"/>
        <v>0</v>
      </c>
      <c r="AS38" s="582">
        <f t="shared" ca="1" si="105"/>
        <v>0</v>
      </c>
      <c r="AT38" s="582">
        <f t="shared" ca="1" si="105"/>
        <v>0</v>
      </c>
      <c r="AU38" s="582">
        <f t="shared" ca="1" si="105"/>
        <v>0</v>
      </c>
      <c r="AV38" s="582">
        <f t="shared" ca="1" si="105"/>
        <v>0</v>
      </c>
      <c r="AW38" s="582">
        <f t="shared" ca="1" si="105"/>
        <v>0</v>
      </c>
      <c r="AX38" s="582">
        <f t="shared" ca="1" si="105"/>
        <v>0</v>
      </c>
      <c r="AY38" s="582">
        <f t="shared" ca="1" si="105"/>
        <v>0</v>
      </c>
      <c r="AZ38" s="582">
        <f t="shared" ca="1" si="105"/>
        <v>0</v>
      </c>
      <c r="BA38" s="582">
        <f t="shared" ca="1" si="105"/>
        <v>0</v>
      </c>
      <c r="BB38" s="582">
        <f t="shared" ca="1" si="105"/>
        <v>0</v>
      </c>
      <c r="BC38" s="582">
        <f t="shared" ca="1" si="105"/>
        <v>0</v>
      </c>
      <c r="BD38" s="582">
        <f ca="1">BD37</f>
        <v>0</v>
      </c>
      <c r="BE38" s="582">
        <f t="shared" ca="1" si="105"/>
        <v>0</v>
      </c>
      <c r="BF38" s="582">
        <f ca="1">SUM(AM38:BE38)</f>
        <v>0</v>
      </c>
      <c r="BH38" s="3463">
        <f ca="1">BH37</f>
        <v>0</v>
      </c>
      <c r="BI38" s="3463">
        <f ca="1">BI37</f>
        <v>0</v>
      </c>
      <c r="BJ38" s="3463">
        <f ca="1">SUM(BH38:BI38)</f>
        <v>0</v>
      </c>
      <c r="BL38" s="3477">
        <f t="shared" ca="1" si="10"/>
        <v>0</v>
      </c>
      <c r="BM38" s="584"/>
      <c r="BN38" s="413"/>
      <c r="BO38" s="2790">
        <f t="shared" ref="BO38:DF38" ca="1" si="106">BO37</f>
        <v>0</v>
      </c>
      <c r="BP38" s="2790">
        <f t="shared" ca="1" si="106"/>
        <v>0</v>
      </c>
      <c r="BQ38" s="2790">
        <f t="shared" ca="1" si="106"/>
        <v>0</v>
      </c>
      <c r="BR38" s="2790">
        <f t="shared" ca="1" si="106"/>
        <v>0</v>
      </c>
      <c r="BS38" s="2790">
        <f t="shared" ca="1" si="106"/>
        <v>0</v>
      </c>
      <c r="BT38" s="2790">
        <f t="shared" ca="1" si="106"/>
        <v>0</v>
      </c>
      <c r="BU38" s="2790">
        <f t="shared" ca="1" si="106"/>
        <v>0</v>
      </c>
      <c r="BV38" s="2790">
        <f t="shared" ca="1" si="106"/>
        <v>0</v>
      </c>
      <c r="BW38" s="2790">
        <f t="shared" ca="1" si="106"/>
        <v>0</v>
      </c>
      <c r="BX38" s="2790">
        <f t="shared" ca="1" si="106"/>
        <v>0</v>
      </c>
      <c r="BY38" s="2790">
        <f t="shared" ca="1" si="106"/>
        <v>0</v>
      </c>
      <c r="BZ38" s="2790">
        <f t="shared" ca="1" si="106"/>
        <v>0</v>
      </c>
      <c r="CA38" s="2790">
        <f t="shared" ca="1" si="106"/>
        <v>0</v>
      </c>
      <c r="CB38" s="2790">
        <f t="shared" ca="1" si="106"/>
        <v>0</v>
      </c>
      <c r="CC38" s="2790">
        <f t="shared" ca="1" si="106"/>
        <v>0</v>
      </c>
      <c r="CD38" s="2790">
        <f t="shared" ca="1" si="106"/>
        <v>0</v>
      </c>
      <c r="CE38" s="2790">
        <f t="shared" ca="1" si="106"/>
        <v>0</v>
      </c>
      <c r="CF38" s="2790">
        <f t="shared" ca="1" si="106"/>
        <v>0</v>
      </c>
      <c r="CG38" s="2790">
        <f t="shared" ca="1" si="106"/>
        <v>0</v>
      </c>
      <c r="CH38" s="2790">
        <f t="shared" ca="1" si="106"/>
        <v>0</v>
      </c>
      <c r="CI38" s="2790">
        <f t="shared" ca="1" si="106"/>
        <v>0</v>
      </c>
      <c r="CJ38" s="2790">
        <f t="shared" ca="1" si="106"/>
        <v>0</v>
      </c>
      <c r="CK38" s="2790">
        <f t="shared" ca="1" si="106"/>
        <v>0</v>
      </c>
      <c r="CL38" s="2790">
        <f t="shared" ca="1" si="106"/>
        <v>0</v>
      </c>
      <c r="CM38" s="2790">
        <f t="shared" ca="1" si="106"/>
        <v>0</v>
      </c>
      <c r="CN38" s="2790">
        <f t="shared" ca="1" si="106"/>
        <v>0</v>
      </c>
      <c r="CO38" s="2790">
        <f t="shared" ca="1" si="106"/>
        <v>0</v>
      </c>
      <c r="CP38" s="2790">
        <f t="shared" ca="1" si="106"/>
        <v>0</v>
      </c>
      <c r="CQ38" s="2790">
        <f t="shared" ca="1" si="106"/>
        <v>0</v>
      </c>
      <c r="CR38" s="2790">
        <f t="shared" ca="1" si="106"/>
        <v>0</v>
      </c>
      <c r="CS38" s="2790">
        <f t="shared" ca="1" si="106"/>
        <v>0</v>
      </c>
      <c r="CT38" s="2790">
        <f t="shared" ca="1" si="106"/>
        <v>0</v>
      </c>
      <c r="CU38" s="2790">
        <f t="shared" ca="1" si="106"/>
        <v>0</v>
      </c>
      <c r="CV38" s="2790">
        <f t="shared" ca="1" si="106"/>
        <v>0</v>
      </c>
      <c r="CW38" s="2790">
        <f t="shared" ca="1" si="106"/>
        <v>0</v>
      </c>
      <c r="CX38" s="2790">
        <f t="shared" ca="1" si="106"/>
        <v>0</v>
      </c>
      <c r="CY38" s="2790">
        <f t="shared" ca="1" si="106"/>
        <v>0</v>
      </c>
      <c r="CZ38" s="2790">
        <f t="shared" ca="1" si="106"/>
        <v>0</v>
      </c>
      <c r="DA38" s="2790">
        <f t="shared" ca="1" si="106"/>
        <v>0</v>
      </c>
      <c r="DB38" s="2790">
        <f t="shared" ca="1" si="106"/>
        <v>0</v>
      </c>
      <c r="DC38" s="2790">
        <f t="shared" ca="1" si="106"/>
        <v>0</v>
      </c>
      <c r="DD38" s="2790">
        <f t="shared" ca="1" si="106"/>
        <v>0</v>
      </c>
      <c r="DE38" s="2790">
        <f t="shared" ca="1" si="106"/>
        <v>0</v>
      </c>
      <c r="DF38" s="2790">
        <f t="shared" ca="1" si="106"/>
        <v>0</v>
      </c>
      <c r="DH38" s="596">
        <f t="shared" ca="1" si="33"/>
        <v>0</v>
      </c>
    </row>
    <row r="39" spans="1:112" s="6" customFormat="1" ht="6" customHeigh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10"/>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7">G$15+G$19+G$22+G$32+G$35+G$38</f>
        <v>41.5263129319206</v>
      </c>
      <c r="H40" s="633">
        <f t="shared" ca="1" si="107"/>
        <v>11.596846426242017</v>
      </c>
      <c r="I40" s="633">
        <f t="shared" ca="1" si="107"/>
        <v>31.825528267168547</v>
      </c>
      <c r="J40" s="633">
        <f t="shared" ca="1" si="107"/>
        <v>32.880652873663266</v>
      </c>
      <c r="K40" s="633">
        <f t="shared" ca="1" si="107"/>
        <v>0.34962764034052646</v>
      </c>
      <c r="L40" s="633">
        <f t="shared" ca="1" si="107"/>
        <v>2.4811333961622644E-2</v>
      </c>
      <c r="M40" s="633">
        <f t="shared" ca="1" si="107"/>
        <v>0.66</v>
      </c>
      <c r="N40" s="633">
        <f t="shared" ca="1" si="107"/>
        <v>11.025797638510145</v>
      </c>
      <c r="O40" s="633">
        <f t="shared" ca="1" si="107"/>
        <v>0</v>
      </c>
      <c r="P40" s="633">
        <f t="shared" ca="1" si="107"/>
        <v>0</v>
      </c>
      <c r="Q40" s="633">
        <f t="shared" ca="1" si="107"/>
        <v>129.88957711180672</v>
      </c>
      <c r="S40" s="634">
        <f t="shared" ref="S40:AJ40" ca="1" si="108">S$15+S$19+S$22+S$32+S$35+S$38</f>
        <v>-26.932074450352584</v>
      </c>
      <c r="T40" s="634">
        <f t="shared" ca="1" si="108"/>
        <v>10.216607142857143</v>
      </c>
      <c r="U40" s="634">
        <f t="shared" ca="1" si="108"/>
        <v>-3.9069454856965211</v>
      </c>
      <c r="V40" s="634">
        <f t="shared" ca="1" si="108"/>
        <v>-54.040205164669004</v>
      </c>
      <c r="W40" s="634">
        <f t="shared" ca="1" si="108"/>
        <v>-51.955833091254085</v>
      </c>
      <c r="X40" s="634">
        <f ca="1">X$15+X$19+X$22+X$32+X$35+X$38</f>
        <v>0</v>
      </c>
      <c r="Y40" s="634">
        <f ca="1">Y$15+Y$19+Y$22+Y$32+Y$35+Y$38</f>
        <v>0</v>
      </c>
      <c r="Z40" s="634">
        <f ca="1">Z$15+Z$19+Z$22+Z$32+Z$35+Z$38</f>
        <v>0</v>
      </c>
      <c r="AA40" s="634">
        <f t="shared" ca="1" si="108"/>
        <v>0</v>
      </c>
      <c r="AB40" s="634">
        <f t="shared" ca="1" si="108"/>
        <v>0</v>
      </c>
      <c r="AC40" s="634">
        <f t="shared" ca="1" si="108"/>
        <v>0</v>
      </c>
      <c r="AD40" s="634">
        <f t="shared" ca="1" si="108"/>
        <v>0</v>
      </c>
      <c r="AE40" s="634">
        <f t="shared" ca="1" si="108"/>
        <v>0</v>
      </c>
      <c r="AF40" s="634">
        <f t="shared" ca="1" si="108"/>
        <v>0</v>
      </c>
      <c r="AG40" s="634">
        <f t="shared" ca="1" si="108"/>
        <v>0</v>
      </c>
      <c r="AH40" s="634">
        <f t="shared" ca="1" si="108"/>
        <v>0</v>
      </c>
      <c r="AI40" s="634">
        <f t="shared" ca="1" si="108"/>
        <v>-3.2093197943966696</v>
      </c>
      <c r="AJ40" s="634">
        <f t="shared" ca="1" si="108"/>
        <v>-2.8440030433297275E-2</v>
      </c>
      <c r="AK40" s="634">
        <f ca="1">SUM(S40:AJ40)</f>
        <v>-129.856210873945</v>
      </c>
      <c r="AM40" s="635">
        <f t="shared" ref="AM40:BE40" ca="1" si="109">AM$15+AM$19+AM$22+AM$32+AM$35+AM$38</f>
        <v>0</v>
      </c>
      <c r="AN40" s="635">
        <f t="shared" ca="1" si="109"/>
        <v>0</v>
      </c>
      <c r="AO40" s="635">
        <f t="shared" ca="1" si="109"/>
        <v>0</v>
      </c>
      <c r="AP40" s="635">
        <f t="shared" ca="1" si="109"/>
        <v>0</v>
      </c>
      <c r="AQ40" s="635">
        <f t="shared" ca="1" si="109"/>
        <v>0</v>
      </c>
      <c r="AR40" s="635">
        <f t="shared" ca="1" si="109"/>
        <v>0</v>
      </c>
      <c r="AS40" s="635">
        <f t="shared" ca="1" si="109"/>
        <v>0</v>
      </c>
      <c r="AT40" s="635">
        <f t="shared" ca="1" si="109"/>
        <v>0</v>
      </c>
      <c r="AU40" s="635">
        <f t="shared" ca="1" si="109"/>
        <v>0</v>
      </c>
      <c r="AV40" s="635">
        <f t="shared" ca="1" si="109"/>
        <v>0</v>
      </c>
      <c r="AW40" s="635">
        <f t="shared" ca="1" si="109"/>
        <v>0</v>
      </c>
      <c r="AX40" s="635">
        <f t="shared" ca="1" si="109"/>
        <v>0</v>
      </c>
      <c r="AY40" s="635">
        <f t="shared" ca="1" si="109"/>
        <v>0</v>
      </c>
      <c r="AZ40" s="635">
        <f t="shared" ca="1" si="109"/>
        <v>0</v>
      </c>
      <c r="BA40" s="635">
        <f t="shared" ca="1" si="109"/>
        <v>0</v>
      </c>
      <c r="BB40" s="635">
        <f t="shared" ca="1" si="109"/>
        <v>0</v>
      </c>
      <c r="BC40" s="635">
        <f t="shared" ca="1" si="109"/>
        <v>-3.3366237861707504E-2</v>
      </c>
      <c r="BD40" s="635">
        <f t="shared" ca="1" si="109"/>
        <v>0</v>
      </c>
      <c r="BE40" s="635">
        <f t="shared" ca="1" si="109"/>
        <v>0</v>
      </c>
      <c r="BF40" s="635">
        <f ca="1">SUM(AM40:BE40)</f>
        <v>-3.3366237861707504E-2</v>
      </c>
      <c r="BH40" s="3464">
        <f ca="1">BH$15+BH$19+BH$22+BH$32+BH$35+BH$38</f>
        <v>0</v>
      </c>
      <c r="BI40" s="3464">
        <f ca="1">BI$15+BI$19+BI$22+BI$32+BI$35+BI$38</f>
        <v>0</v>
      </c>
      <c r="BJ40" s="3464">
        <f ca="1">SUM(BH40:BI40)</f>
        <v>0</v>
      </c>
      <c r="BL40" s="3478">
        <f t="shared" ca="1" si="10"/>
        <v>5.9396931817445875E-15</v>
      </c>
      <c r="BM40" s="636"/>
      <c r="BO40" s="2793">
        <f t="shared" ref="BO40:DF40" ca="1" si="110">BO$15+BO$19+BO$22+BO$32+BO$35+BO$38</f>
        <v>23.306174666994064</v>
      </c>
      <c r="BP40" s="2793">
        <f t="shared" ca="1" si="110"/>
        <v>1.3890284163734695E-2</v>
      </c>
      <c r="BQ40" s="2793">
        <f t="shared" ca="1" si="110"/>
        <v>0.19913238107706932</v>
      </c>
      <c r="BR40" s="2793">
        <f t="shared" ca="1" si="110"/>
        <v>0</v>
      </c>
      <c r="BS40" s="2793">
        <f t="shared" ca="1" si="110"/>
        <v>0</v>
      </c>
      <c r="BT40" s="2793">
        <f t="shared" ca="1" si="110"/>
        <v>0</v>
      </c>
      <c r="BU40" s="2793">
        <f t="shared" ca="1" si="110"/>
        <v>0</v>
      </c>
      <c r="BV40" s="2793">
        <f t="shared" ca="1" si="110"/>
        <v>0</v>
      </c>
      <c r="BW40" s="2793">
        <f t="shared" ca="1" si="110"/>
        <v>0.61824769036199845</v>
      </c>
      <c r="BX40" s="2793">
        <f t="shared" ca="1" si="110"/>
        <v>0</v>
      </c>
      <c r="BY40" s="2793">
        <f t="shared" ca="1" si="110"/>
        <v>0</v>
      </c>
      <c r="BZ40" s="2793">
        <f t="shared" ca="1" si="110"/>
        <v>0.60273921385233153</v>
      </c>
      <c r="CA40" s="2793">
        <f t="shared" ca="1" si="110"/>
        <v>0</v>
      </c>
      <c r="CB40" s="2793">
        <f t="shared" ca="1" si="110"/>
        <v>0</v>
      </c>
      <c r="CC40" s="2793">
        <f t="shared" ca="1" si="110"/>
        <v>0</v>
      </c>
      <c r="CD40" s="2793">
        <f t="shared" ca="1" si="110"/>
        <v>0</v>
      </c>
      <c r="CE40" s="2793">
        <f t="shared" ca="1" si="110"/>
        <v>0</v>
      </c>
      <c r="CF40" s="2793">
        <f t="shared" ca="1" si="110"/>
        <v>0</v>
      </c>
      <c r="CG40" s="2793">
        <f t="shared" ca="1" si="110"/>
        <v>0</v>
      </c>
      <c r="CH40" s="2793">
        <f t="shared" ca="1" si="110"/>
        <v>0</v>
      </c>
      <c r="CI40" s="2793">
        <f t="shared" ca="1" si="110"/>
        <v>0</v>
      </c>
      <c r="CJ40" s="2793">
        <f t="shared" ca="1" si="110"/>
        <v>0</v>
      </c>
      <c r="CK40" s="2793">
        <f t="shared" ca="1" si="110"/>
        <v>0</v>
      </c>
      <c r="CL40" s="2793">
        <f t="shared" ca="1" si="110"/>
        <v>0</v>
      </c>
      <c r="CM40" s="2793">
        <f t="shared" ca="1" si="110"/>
        <v>0</v>
      </c>
      <c r="CN40" s="2793">
        <f t="shared" ca="1" si="110"/>
        <v>0</v>
      </c>
      <c r="CO40" s="2793">
        <f t="shared" ca="1" si="110"/>
        <v>0</v>
      </c>
      <c r="CP40" s="2793">
        <f t="shared" ca="1" si="110"/>
        <v>0</v>
      </c>
      <c r="CQ40" s="2793">
        <f t="shared" ca="1" si="110"/>
        <v>0</v>
      </c>
      <c r="CR40" s="2793">
        <f t="shared" ca="1" si="110"/>
        <v>0</v>
      </c>
      <c r="CS40" s="2793">
        <f t="shared" ca="1" si="110"/>
        <v>0</v>
      </c>
      <c r="CT40" s="2793">
        <f t="shared" ca="1" si="110"/>
        <v>0</v>
      </c>
      <c r="CU40" s="2793">
        <f t="shared" ca="1" si="110"/>
        <v>2.9094874808500566</v>
      </c>
      <c r="CV40" s="2793">
        <f t="shared" ca="1" si="110"/>
        <v>2.500650904414101E-3</v>
      </c>
      <c r="CW40" s="2793">
        <f t="shared" ca="1" si="110"/>
        <v>7.3828740987463932E-3</v>
      </c>
      <c r="CX40" s="2793">
        <f t="shared" ca="1" si="110"/>
        <v>0</v>
      </c>
      <c r="CY40" s="2793">
        <f t="shared" ca="1" si="110"/>
        <v>0</v>
      </c>
      <c r="CZ40" s="2793">
        <f t="shared" ca="1" si="110"/>
        <v>0</v>
      </c>
      <c r="DA40" s="2793">
        <f t="shared" ca="1" si="110"/>
        <v>0</v>
      </c>
      <c r="DB40" s="2793">
        <f t="shared" ca="1" si="110"/>
        <v>0</v>
      </c>
      <c r="DC40" s="2793">
        <f t="shared" ca="1" si="110"/>
        <v>0</v>
      </c>
      <c r="DD40" s="2793">
        <f t="shared" ca="1" si="110"/>
        <v>0</v>
      </c>
      <c r="DE40" s="2793">
        <f t="shared" ca="1" si="110"/>
        <v>0</v>
      </c>
      <c r="DF40" s="2793">
        <f t="shared" ca="1" si="110"/>
        <v>0</v>
      </c>
      <c r="DH40" s="637">
        <f ca="1">SUM(BO40:DF40)</f>
        <v>27.659555242302414</v>
      </c>
    </row>
    <row r="41" spans="1:112" s="6" customFormat="1" ht="6" customHeigh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10"/>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24" customHeight="1">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10"/>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ht="12.75" customHeight="1" outlineLevel="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10"/>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ht="12.75" customHeight="1" outlineLevel="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-2.8440030433297275E-2</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10"/>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ht="12.75" customHeight="1" outlineLevel="1">
      <c r="A45" s="4"/>
      <c r="B45" s="4"/>
      <c r="C45" s="587" t="s">
        <v>502</v>
      </c>
      <c r="D45" s="611" t="s">
        <v>503</v>
      </c>
      <c r="E45" s="650"/>
      <c r="G45" s="619">
        <f t="shared" ref="G45:P45" ca="1" si="111">IFERROR(INDEX(INDIRECT($C45&amp;".Outputs["&amp;this.Year&amp;"]"), MATCH(G$5, INDIRECT($C45&amp;".Outputs[Vector]"), 0)), 0)</f>
        <v>0</v>
      </c>
      <c r="H45" s="619">
        <f t="shared" ca="1" si="111"/>
        <v>0</v>
      </c>
      <c r="I45" s="619">
        <f t="shared" ca="1" si="111"/>
        <v>0</v>
      </c>
      <c r="J45" s="619">
        <f t="shared" ca="1" si="111"/>
        <v>0</v>
      </c>
      <c r="K45" s="619">
        <f t="shared" ca="1" si="111"/>
        <v>0</v>
      </c>
      <c r="L45" s="619">
        <f t="shared" ca="1" si="111"/>
        <v>0</v>
      </c>
      <c r="M45" s="619">
        <f t="shared" ca="1" si="111"/>
        <v>0</v>
      </c>
      <c r="N45" s="619">
        <f t="shared" ca="1" si="111"/>
        <v>0</v>
      </c>
      <c r="O45" s="619">
        <f t="shared" ca="1" si="111"/>
        <v>0</v>
      </c>
      <c r="P45" s="619">
        <f t="shared" ca="1" si="111"/>
        <v>0</v>
      </c>
      <c r="Q45" s="612">
        <f ca="1">SUM(G45:P45)</f>
        <v>0</v>
      </c>
      <c r="S45" s="620">
        <f t="shared" ref="S45:AJ45" ca="1" si="112">IFERROR(INDEX(INDIRECT($C45&amp;".Outputs["&amp;this.Year&amp;"]"), MATCH(S$5, INDIRECT($C45&amp;".Outputs[Vector]"), 0)), 0)</f>
        <v>-3.1021346596490303E-2</v>
      </c>
      <c r="T45" s="620">
        <f t="shared" ca="1" si="112"/>
        <v>0</v>
      </c>
      <c r="U45" s="620">
        <f t="shared" ca="1" si="112"/>
        <v>0</v>
      </c>
      <c r="V45" s="620">
        <f t="shared" ca="1" si="112"/>
        <v>0</v>
      </c>
      <c r="W45" s="620">
        <f t="shared" ca="1" si="112"/>
        <v>-7.2206077266760305E-3</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12"/>
        <v>0</v>
      </c>
      <c r="AB45" s="620">
        <f t="shared" ca="1" si="112"/>
        <v>0</v>
      </c>
      <c r="AC45" s="620">
        <f t="shared" ca="1" si="112"/>
        <v>0</v>
      </c>
      <c r="AD45" s="620">
        <f t="shared" ca="1" si="112"/>
        <v>0</v>
      </c>
      <c r="AE45" s="620">
        <f t="shared" ca="1" si="112"/>
        <v>0</v>
      </c>
      <c r="AF45" s="620">
        <f t="shared" ca="1" si="112"/>
        <v>0</v>
      </c>
      <c r="AG45" s="620">
        <f t="shared" ca="1" si="112"/>
        <v>0</v>
      </c>
      <c r="AH45" s="620">
        <f t="shared" ca="1" si="112"/>
        <v>0</v>
      </c>
      <c r="AI45" s="620">
        <f t="shared" ca="1" si="112"/>
        <v>0</v>
      </c>
      <c r="AJ45" s="620">
        <f t="shared" ca="1" si="112"/>
        <v>2.8440030433297275E-2</v>
      </c>
      <c r="AK45" s="613">
        <f ca="1">SUM(S45:AJ45)</f>
        <v>-9.801923889869061E-3</v>
      </c>
      <c r="AM45" s="621">
        <f t="shared" ref="AM45:AU45" ca="1" si="113">IFERROR(INDEX(INDIRECT($C45&amp;".Outputs["&amp;this.Year&amp;"]"), MATCH(AM$5, INDIRECT($C45&amp;".Outputs[Vector]"), 0)), 0)</f>
        <v>0</v>
      </c>
      <c r="AN45" s="621">
        <f t="shared" ca="1" si="113"/>
        <v>0</v>
      </c>
      <c r="AO45" s="621">
        <f t="shared" ca="1" si="113"/>
        <v>0</v>
      </c>
      <c r="AP45" s="621">
        <f t="shared" ca="1" si="113"/>
        <v>0</v>
      </c>
      <c r="AQ45" s="621">
        <f t="shared" ca="1" si="113"/>
        <v>0</v>
      </c>
      <c r="AR45" s="621">
        <f t="shared" ca="1" si="113"/>
        <v>0</v>
      </c>
      <c r="AS45" s="621">
        <f t="shared" ca="1" si="113"/>
        <v>0</v>
      </c>
      <c r="AT45" s="621">
        <f t="shared" ca="1" si="113"/>
        <v>0</v>
      </c>
      <c r="AU45" s="621">
        <f t="shared" ca="1" si="113"/>
        <v>0</v>
      </c>
      <c r="AV45" s="621">
        <f t="shared" ref="AV45:BE45" ca="1" si="114">IFERROR(INDEX(INDIRECT($C45&amp;".Outputs["&amp;this.Year&amp;"]"), MATCH(AV$5, INDIRECT($C45&amp;".Outputs[Vector]"), 0)), 0)</f>
        <v>0</v>
      </c>
      <c r="AW45" s="621">
        <f t="shared" ca="1" si="114"/>
        <v>0</v>
      </c>
      <c r="AX45" s="621">
        <f t="shared" ca="1" si="114"/>
        <v>0</v>
      </c>
      <c r="AY45" s="621">
        <f t="shared" ca="1" si="114"/>
        <v>0</v>
      </c>
      <c r="AZ45" s="621">
        <f t="shared" ca="1" si="114"/>
        <v>0</v>
      </c>
      <c r="BA45" s="621">
        <f t="shared" ca="1" si="114"/>
        <v>0</v>
      </c>
      <c r="BB45" s="621">
        <f t="shared" ca="1" si="114"/>
        <v>0</v>
      </c>
      <c r="BC45" s="621">
        <f t="shared" ca="1" si="114"/>
        <v>0</v>
      </c>
      <c r="BD45" s="621">
        <f t="shared" ca="1" si="114"/>
        <v>0</v>
      </c>
      <c r="BE45" s="621">
        <f t="shared" ca="1" si="114"/>
        <v>0</v>
      </c>
      <c r="BF45" s="615">
        <f ca="1">SUM(AM45:BE45)</f>
        <v>0</v>
      </c>
      <c r="BH45" s="3473">
        <f ca="1">IFERROR(INDEX(INDIRECT($C45&amp;".Outputs["&amp;this.Year&amp;"]"), MATCH(BH$5, INDIRECT($C45&amp;".Outputs[Vector]"), 0)), 0)</f>
        <v>9.8019238898690575E-3</v>
      </c>
      <c r="BI45" s="3473">
        <f ca="1">IFERROR(INDEX(INDIRECT($C45&amp;".Outputs["&amp;this.Year&amp;"]"), MATCH(BI$5, INDIRECT($C45&amp;".Outputs[Vector]"), 0)), 0)</f>
        <v>0</v>
      </c>
      <c r="BJ45" s="3462">
        <f ca="1">SUM(BH45:BI45)</f>
        <v>9.8019238898690575E-3</v>
      </c>
      <c r="BL45" s="3477"/>
      <c r="BM45" s="584"/>
      <c r="BN45" s="413"/>
      <c r="BO45" s="2791">
        <f t="shared" ref="BO45:DF45" ca="1" si="115">IFERROR(SUMIFS(INDIRECT($C45&amp;".Emissions["&amp;this.Year&amp;"]"), INDIRECT($C45&amp;".Emissions[GHG]"), BO$6, INDIRECT($C45&amp;".Emissions[IPCC Sector]"), BO$5),0)</f>
        <v>1.4782114785343889E-3</v>
      </c>
      <c r="BP45" s="2792">
        <f t="shared" ca="1" si="115"/>
        <v>5.4587794413670802E-7</v>
      </c>
      <c r="BQ45" s="2792">
        <f t="shared" ca="1" si="115"/>
        <v>2.3368774846614304E-5</v>
      </c>
      <c r="BR45" s="2792">
        <f t="shared" ca="1" si="115"/>
        <v>0</v>
      </c>
      <c r="BS45" s="2792">
        <f t="shared" ca="1" si="115"/>
        <v>0</v>
      </c>
      <c r="BT45" s="2792">
        <f t="shared" ca="1" si="115"/>
        <v>0</v>
      </c>
      <c r="BU45" s="2792">
        <f t="shared" ca="1" si="115"/>
        <v>0</v>
      </c>
      <c r="BV45" s="2792">
        <f t="shared" ca="1" si="115"/>
        <v>0</v>
      </c>
      <c r="BW45" s="2792">
        <f t="shared" ca="1" si="115"/>
        <v>0</v>
      </c>
      <c r="BX45" s="2792">
        <f t="shared" ca="1" si="115"/>
        <v>0</v>
      </c>
      <c r="BY45" s="2792">
        <f t="shared" ca="1" si="115"/>
        <v>0</v>
      </c>
      <c r="BZ45" s="2792">
        <f t="shared" ca="1" si="115"/>
        <v>0</v>
      </c>
      <c r="CA45" s="2792">
        <f t="shared" ca="1" si="115"/>
        <v>0</v>
      </c>
      <c r="CB45" s="2792">
        <f t="shared" ca="1" si="115"/>
        <v>0</v>
      </c>
      <c r="CC45" s="2792">
        <f t="shared" ca="1" si="115"/>
        <v>0</v>
      </c>
      <c r="CD45" s="2792">
        <f t="shared" ca="1" si="115"/>
        <v>0</v>
      </c>
      <c r="CE45" s="2792">
        <f t="shared" ca="1" si="115"/>
        <v>0</v>
      </c>
      <c r="CF45" s="2792">
        <f t="shared" ca="1" si="115"/>
        <v>0</v>
      </c>
      <c r="CG45" s="2792">
        <f t="shared" ca="1" si="115"/>
        <v>0</v>
      </c>
      <c r="CH45" s="2792">
        <f t="shared" ca="1" si="115"/>
        <v>0</v>
      </c>
      <c r="CI45" s="2792">
        <f t="shared" ca="1" si="115"/>
        <v>0</v>
      </c>
      <c r="CJ45" s="2792">
        <f t="shared" ca="1" si="115"/>
        <v>0</v>
      </c>
      <c r="CK45" s="2792">
        <f t="shared" ca="1" si="115"/>
        <v>0</v>
      </c>
      <c r="CL45" s="2792">
        <f t="shared" ca="1" si="115"/>
        <v>0</v>
      </c>
      <c r="CM45" s="2792">
        <f t="shared" ca="1" si="115"/>
        <v>0</v>
      </c>
      <c r="CN45" s="2792">
        <f t="shared" ca="1" si="115"/>
        <v>0</v>
      </c>
      <c r="CO45" s="2792">
        <f t="shared" ca="1" si="115"/>
        <v>0</v>
      </c>
      <c r="CP45" s="2792">
        <f t="shared" ca="1" si="115"/>
        <v>0</v>
      </c>
      <c r="CQ45" s="2792">
        <f t="shared" ca="1" si="115"/>
        <v>0</v>
      </c>
      <c r="CR45" s="2792">
        <f t="shared" ca="1" si="115"/>
        <v>0</v>
      </c>
      <c r="CS45" s="2792">
        <f t="shared" ca="1" si="115"/>
        <v>0</v>
      </c>
      <c r="CT45" s="2792">
        <f t="shared" ca="1" si="115"/>
        <v>0</v>
      </c>
      <c r="CU45" s="2792">
        <f t="shared" ca="1" si="115"/>
        <v>0</v>
      </c>
      <c r="CV45" s="2792">
        <f t="shared" ca="1" si="115"/>
        <v>0</v>
      </c>
      <c r="CW45" s="2792">
        <f t="shared" ca="1" si="115"/>
        <v>0</v>
      </c>
      <c r="CX45" s="2792">
        <f t="shared" ca="1" si="115"/>
        <v>0</v>
      </c>
      <c r="CY45" s="2792">
        <f t="shared" ca="1" si="115"/>
        <v>0</v>
      </c>
      <c r="CZ45" s="2792">
        <f t="shared" ca="1" si="115"/>
        <v>0</v>
      </c>
      <c r="DA45" s="2792">
        <f t="shared" ca="1" si="115"/>
        <v>0</v>
      </c>
      <c r="DB45" s="2792">
        <f t="shared" ca="1" si="115"/>
        <v>0</v>
      </c>
      <c r="DC45" s="2792">
        <f t="shared" ca="1" si="115"/>
        <v>0</v>
      </c>
      <c r="DD45" s="2792">
        <f t="shared" ca="1" si="115"/>
        <v>0</v>
      </c>
      <c r="DE45" s="2792">
        <f t="shared" ca="1" si="115"/>
        <v>0</v>
      </c>
      <c r="DF45" s="2792">
        <f t="shared" ca="1" si="115"/>
        <v>0</v>
      </c>
      <c r="DH45" s="596"/>
    </row>
    <row r="46" spans="1:112" s="6" customFormat="1" ht="15.75">
      <c r="A46" s="4"/>
      <c r="B46" s="3"/>
      <c r="C46" s="616" t="s">
        <v>504</v>
      </c>
      <c r="D46" s="617" t="s">
        <v>505</v>
      </c>
      <c r="E46" s="206"/>
      <c r="G46" s="618">
        <f ca="1">G45</f>
        <v>0</v>
      </c>
      <c r="H46" s="618">
        <f t="shared" ref="H46:P46" ca="1" si="116">H45</f>
        <v>0</v>
      </c>
      <c r="I46" s="618">
        <f t="shared" ca="1" si="116"/>
        <v>0</v>
      </c>
      <c r="J46" s="618">
        <f t="shared" ca="1" si="116"/>
        <v>0</v>
      </c>
      <c r="K46" s="618">
        <f t="shared" ca="1" si="116"/>
        <v>0</v>
      </c>
      <c r="L46" s="618">
        <f t="shared" ca="1" si="116"/>
        <v>0</v>
      </c>
      <c r="M46" s="618">
        <f t="shared" ca="1" si="116"/>
        <v>0</v>
      </c>
      <c r="N46" s="618">
        <f t="shared" ca="1" si="116"/>
        <v>0</v>
      </c>
      <c r="O46" s="618">
        <f t="shared" ca="1" si="116"/>
        <v>0</v>
      </c>
      <c r="P46" s="618">
        <f t="shared" ca="1" si="116"/>
        <v>0</v>
      </c>
      <c r="Q46" s="618">
        <f ca="1">SUM(G46:P46)</f>
        <v>0</v>
      </c>
      <c r="S46" s="581">
        <f t="shared" ref="S46:AJ46" ca="1" si="117">S45</f>
        <v>-3.1021346596490303E-2</v>
      </c>
      <c r="T46" s="581">
        <f t="shared" ca="1" si="117"/>
        <v>0</v>
      </c>
      <c r="U46" s="581">
        <f t="shared" ca="1" si="117"/>
        <v>0</v>
      </c>
      <c r="V46" s="581">
        <f t="shared" ca="1" si="117"/>
        <v>0</v>
      </c>
      <c r="W46" s="581">
        <f t="shared" ca="1" si="117"/>
        <v>-7.2206077266760305E-3</v>
      </c>
      <c r="X46" s="581">
        <f t="shared" ca="1" si="117"/>
        <v>0</v>
      </c>
      <c r="Y46" s="581">
        <f t="shared" ca="1" si="117"/>
        <v>0</v>
      </c>
      <c r="Z46" s="581">
        <f t="shared" ca="1" si="117"/>
        <v>0</v>
      </c>
      <c r="AA46" s="581">
        <f t="shared" ca="1" si="117"/>
        <v>0</v>
      </c>
      <c r="AB46" s="581">
        <f t="shared" ca="1" si="117"/>
        <v>0</v>
      </c>
      <c r="AC46" s="581">
        <f t="shared" ca="1" si="117"/>
        <v>0</v>
      </c>
      <c r="AD46" s="581">
        <f t="shared" ca="1" si="117"/>
        <v>0</v>
      </c>
      <c r="AE46" s="581">
        <f ca="1">AE45</f>
        <v>0</v>
      </c>
      <c r="AF46" s="581">
        <f t="shared" ca="1" si="117"/>
        <v>0</v>
      </c>
      <c r="AG46" s="581">
        <f t="shared" ca="1" si="117"/>
        <v>0</v>
      </c>
      <c r="AH46" s="581">
        <f ca="1">AH45</f>
        <v>0</v>
      </c>
      <c r="AI46" s="581">
        <f t="shared" ca="1" si="117"/>
        <v>0</v>
      </c>
      <c r="AJ46" s="581">
        <f t="shared" ca="1" si="117"/>
        <v>2.8440030433297275E-2</v>
      </c>
      <c r="AK46" s="581">
        <f ca="1">SUM(S46:AJ46)</f>
        <v>-9.801923889869061E-3</v>
      </c>
      <c r="AM46" s="582">
        <f t="shared" ref="AM46:BE46" ca="1" si="118">AM45</f>
        <v>0</v>
      </c>
      <c r="AN46" s="582">
        <f t="shared" ca="1" si="118"/>
        <v>0</v>
      </c>
      <c r="AO46" s="582">
        <f t="shared" ca="1" si="118"/>
        <v>0</v>
      </c>
      <c r="AP46" s="582">
        <f t="shared" ca="1" si="118"/>
        <v>0</v>
      </c>
      <c r="AQ46" s="582">
        <f t="shared" ca="1" si="118"/>
        <v>0</v>
      </c>
      <c r="AR46" s="582">
        <f t="shared" ca="1" si="118"/>
        <v>0</v>
      </c>
      <c r="AS46" s="582">
        <f t="shared" ca="1" si="118"/>
        <v>0</v>
      </c>
      <c r="AT46" s="582">
        <f t="shared" ca="1" si="118"/>
        <v>0</v>
      </c>
      <c r="AU46" s="582">
        <f t="shared" ca="1" si="118"/>
        <v>0</v>
      </c>
      <c r="AV46" s="582">
        <f t="shared" ca="1" si="118"/>
        <v>0</v>
      </c>
      <c r="AW46" s="582">
        <f t="shared" ca="1" si="118"/>
        <v>0</v>
      </c>
      <c r="AX46" s="582">
        <f t="shared" ca="1" si="118"/>
        <v>0</v>
      </c>
      <c r="AY46" s="582">
        <f t="shared" ca="1" si="118"/>
        <v>0</v>
      </c>
      <c r="AZ46" s="582">
        <f t="shared" ca="1" si="118"/>
        <v>0</v>
      </c>
      <c r="BA46" s="582">
        <f t="shared" ca="1" si="118"/>
        <v>0</v>
      </c>
      <c r="BB46" s="582">
        <f t="shared" ca="1" si="118"/>
        <v>0</v>
      </c>
      <c r="BC46" s="582">
        <f t="shared" ca="1" si="118"/>
        <v>0</v>
      </c>
      <c r="BD46" s="582">
        <f t="shared" ca="1" si="118"/>
        <v>0</v>
      </c>
      <c r="BE46" s="582">
        <f t="shared" ca="1" si="118"/>
        <v>0</v>
      </c>
      <c r="BF46" s="582">
        <f ca="1">SUM(AM46:BE46)</f>
        <v>0</v>
      </c>
      <c r="BH46" s="3463">
        <f ca="1">BH45</f>
        <v>9.8019238898690575E-3</v>
      </c>
      <c r="BI46" s="3463">
        <f ca="1">BI45</f>
        <v>0</v>
      </c>
      <c r="BJ46" s="3463">
        <f ca="1">SUM(BH46:BI46)</f>
        <v>9.8019238898690575E-3</v>
      </c>
      <c r="BL46" s="3477">
        <f ca="1">Q46+AK46+BF46+BJ46</f>
        <v>0</v>
      </c>
      <c r="BM46" s="584"/>
      <c r="BN46" s="413"/>
      <c r="BO46" s="2790">
        <f t="shared" ref="BO46:DF46" ca="1" si="119">BO45</f>
        <v>1.4782114785343889E-3</v>
      </c>
      <c r="BP46" s="2790">
        <f t="shared" ca="1" si="119"/>
        <v>5.4587794413670802E-7</v>
      </c>
      <c r="BQ46" s="2790">
        <f t="shared" ca="1" si="119"/>
        <v>2.3368774846614304E-5</v>
      </c>
      <c r="BR46" s="2790">
        <f t="shared" ca="1" si="119"/>
        <v>0</v>
      </c>
      <c r="BS46" s="2790">
        <f t="shared" ca="1" si="119"/>
        <v>0</v>
      </c>
      <c r="BT46" s="2790">
        <f t="shared" ca="1" si="119"/>
        <v>0</v>
      </c>
      <c r="BU46" s="2790">
        <f t="shared" ca="1" si="119"/>
        <v>0</v>
      </c>
      <c r="BV46" s="2790">
        <f t="shared" ca="1" si="119"/>
        <v>0</v>
      </c>
      <c r="BW46" s="2790">
        <f t="shared" ca="1" si="119"/>
        <v>0</v>
      </c>
      <c r="BX46" s="2790">
        <f t="shared" ca="1" si="119"/>
        <v>0</v>
      </c>
      <c r="BY46" s="2790">
        <f t="shared" ca="1" si="119"/>
        <v>0</v>
      </c>
      <c r="BZ46" s="2790">
        <f t="shared" ca="1" si="119"/>
        <v>0</v>
      </c>
      <c r="CA46" s="2790">
        <f t="shared" ca="1" si="119"/>
        <v>0</v>
      </c>
      <c r="CB46" s="2790">
        <f t="shared" ca="1" si="119"/>
        <v>0</v>
      </c>
      <c r="CC46" s="2790">
        <f t="shared" ca="1" si="119"/>
        <v>0</v>
      </c>
      <c r="CD46" s="2790">
        <f t="shared" ca="1" si="119"/>
        <v>0</v>
      </c>
      <c r="CE46" s="2790">
        <f t="shared" ca="1" si="119"/>
        <v>0</v>
      </c>
      <c r="CF46" s="2790">
        <f t="shared" ca="1" si="119"/>
        <v>0</v>
      </c>
      <c r="CG46" s="2790">
        <f t="shared" ca="1" si="119"/>
        <v>0</v>
      </c>
      <c r="CH46" s="2790">
        <f t="shared" ca="1" si="119"/>
        <v>0</v>
      </c>
      <c r="CI46" s="2790">
        <f t="shared" ca="1" si="119"/>
        <v>0</v>
      </c>
      <c r="CJ46" s="2790">
        <f t="shared" ca="1" si="119"/>
        <v>0</v>
      </c>
      <c r="CK46" s="2790">
        <f t="shared" ca="1" si="119"/>
        <v>0</v>
      </c>
      <c r="CL46" s="2790">
        <f t="shared" ca="1" si="119"/>
        <v>0</v>
      </c>
      <c r="CM46" s="2790">
        <f t="shared" ca="1" si="119"/>
        <v>0</v>
      </c>
      <c r="CN46" s="2790">
        <f t="shared" ca="1" si="119"/>
        <v>0</v>
      </c>
      <c r="CO46" s="2790">
        <f t="shared" ca="1" si="119"/>
        <v>0</v>
      </c>
      <c r="CP46" s="2790">
        <f t="shared" ca="1" si="119"/>
        <v>0</v>
      </c>
      <c r="CQ46" s="2790">
        <f t="shared" ca="1" si="119"/>
        <v>0</v>
      </c>
      <c r="CR46" s="2790">
        <f t="shared" ca="1" si="119"/>
        <v>0</v>
      </c>
      <c r="CS46" s="2790">
        <f t="shared" ca="1" si="119"/>
        <v>0</v>
      </c>
      <c r="CT46" s="2790">
        <f t="shared" ca="1" si="119"/>
        <v>0</v>
      </c>
      <c r="CU46" s="2790">
        <f t="shared" ca="1" si="119"/>
        <v>0</v>
      </c>
      <c r="CV46" s="2790">
        <f t="shared" ca="1" si="119"/>
        <v>0</v>
      </c>
      <c r="CW46" s="2790">
        <f t="shared" ca="1" si="119"/>
        <v>0</v>
      </c>
      <c r="CX46" s="2790">
        <f t="shared" ca="1" si="119"/>
        <v>0</v>
      </c>
      <c r="CY46" s="2790">
        <f t="shared" ca="1" si="119"/>
        <v>0</v>
      </c>
      <c r="CZ46" s="2790">
        <f t="shared" ca="1" si="119"/>
        <v>0</v>
      </c>
      <c r="DA46" s="2790">
        <f t="shared" ca="1" si="119"/>
        <v>0</v>
      </c>
      <c r="DB46" s="2790">
        <f t="shared" ca="1" si="119"/>
        <v>0</v>
      </c>
      <c r="DC46" s="2790">
        <f t="shared" ca="1" si="119"/>
        <v>0</v>
      </c>
      <c r="DD46" s="2790">
        <f t="shared" ca="1" si="119"/>
        <v>0</v>
      </c>
      <c r="DE46" s="2790">
        <f t="shared" ca="1" si="119"/>
        <v>0</v>
      </c>
      <c r="DF46" s="2790">
        <f t="shared" ca="1" si="119"/>
        <v>0</v>
      </c>
      <c r="DH46" s="596">
        <f t="shared" ref="DH46:DH82" ca="1" si="120">SUM(BO46:DF46)</f>
        <v>1.5021261313251399E-3</v>
      </c>
    </row>
    <row r="47" spans="1:112" s="6" customFormat="1" outlineLevel="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20"/>
        <v>0</v>
      </c>
    </row>
    <row r="48" spans="1:112" s="6" customFormat="1" outlineLevel="1">
      <c r="A48" s="607"/>
      <c r="B48" s="607"/>
      <c r="C48" s="587" t="s">
        <v>506</v>
      </c>
      <c r="D48" s="588" t="s">
        <v>507</v>
      </c>
      <c r="E48" s="588"/>
      <c r="G48" s="589">
        <f t="shared" ref="G48:P49" ca="1" si="121">IFERROR(INDEX(INDIRECT($C48&amp;".Outputs["&amp;this.Year&amp;"]"), MATCH(G$5, INDIRECT($C48&amp;".Outputs[Vector]"), 0)), 0)</f>
        <v>0</v>
      </c>
      <c r="H48" s="589">
        <f t="shared" ca="1" si="121"/>
        <v>0</v>
      </c>
      <c r="I48" s="589">
        <f t="shared" ca="1" si="121"/>
        <v>0</v>
      </c>
      <c r="J48" s="589">
        <f t="shared" ca="1" si="121"/>
        <v>0</v>
      </c>
      <c r="K48" s="589">
        <f t="shared" ca="1" si="121"/>
        <v>0</v>
      </c>
      <c r="L48" s="589">
        <f t="shared" ca="1" si="121"/>
        <v>0</v>
      </c>
      <c r="M48" s="589">
        <f t="shared" ca="1" si="121"/>
        <v>0</v>
      </c>
      <c r="N48" s="589">
        <f t="shared" ca="1" si="121"/>
        <v>0</v>
      </c>
      <c r="O48" s="589">
        <f t="shared" ca="1" si="121"/>
        <v>0</v>
      </c>
      <c r="P48" s="589">
        <f t="shared" ca="1" si="121"/>
        <v>0</v>
      </c>
      <c r="Q48" s="590">
        <f ca="1">SUM(G48:P48)</f>
        <v>0</v>
      </c>
      <c r="S48" s="591">
        <f t="shared" ref="S48:AJ49" ca="1" si="122">IFERROR(INDEX(INDIRECT($C48&amp;".Outputs["&amp;this.Year&amp;"]"), MATCH(S$5, INDIRECT($C48&amp;".Outputs[Vector]"), 0)), 0)</f>
        <v>0</v>
      </c>
      <c r="T48" s="591">
        <f t="shared" ca="1" si="122"/>
        <v>0</v>
      </c>
      <c r="U48" s="591">
        <f t="shared" ca="1" si="122"/>
        <v>0</v>
      </c>
      <c r="V48" s="591">
        <f t="shared" ca="1" si="122"/>
        <v>0</v>
      </c>
      <c r="W48" s="591">
        <f t="shared" ca="1" si="122"/>
        <v>0</v>
      </c>
      <c r="X48" s="591">
        <f t="shared" ref="X48:Z50" ca="1" si="123">IFERROR(INDEX(INDIRECT($C48&amp;".Outputs["&amp;this.Year&amp;"]"), MATCH(X$5, INDIRECT($C48&amp;".Outputs[Vector]"), 0)), 0)</f>
        <v>0</v>
      </c>
      <c r="Y48" s="591">
        <f t="shared" ca="1" si="123"/>
        <v>0</v>
      </c>
      <c r="Z48" s="591">
        <f t="shared" ca="1" si="123"/>
        <v>0</v>
      </c>
      <c r="AA48" s="591">
        <f t="shared" ca="1" si="122"/>
        <v>0</v>
      </c>
      <c r="AB48" s="591">
        <f t="shared" ca="1" si="122"/>
        <v>0</v>
      </c>
      <c r="AC48" s="591">
        <f t="shared" ca="1" si="122"/>
        <v>0</v>
      </c>
      <c r="AD48" s="591">
        <f t="shared" ca="1" si="122"/>
        <v>0</v>
      </c>
      <c r="AE48" s="591">
        <f t="shared" ca="1" si="122"/>
        <v>0</v>
      </c>
      <c r="AF48" s="591">
        <f t="shared" ca="1" si="122"/>
        <v>0</v>
      </c>
      <c r="AG48" s="591">
        <f t="shared" ca="1" si="122"/>
        <v>11.666666666666668</v>
      </c>
      <c r="AH48" s="591">
        <f t="shared" ca="1" si="122"/>
        <v>0</v>
      </c>
      <c r="AI48" s="591">
        <f t="shared" ca="1" si="122"/>
        <v>0</v>
      </c>
      <c r="AJ48" s="591">
        <f t="shared" ca="1" si="122"/>
        <v>0</v>
      </c>
      <c r="AK48" s="592">
        <f ca="1">SUM(S48:AJ48)</f>
        <v>11.666666666666668</v>
      </c>
      <c r="AM48" s="593">
        <f t="shared" ref="AM48:AU50" ca="1" si="124">IFERROR(INDEX(INDIRECT($C48&amp;".Outputs["&amp;this.Year&amp;"]"), MATCH(AM$5, INDIRECT($C48&amp;".Outputs[Vector]"), 0)), 0)</f>
        <v>0</v>
      </c>
      <c r="AN48" s="593">
        <f t="shared" ca="1" si="124"/>
        <v>0</v>
      </c>
      <c r="AO48" s="593">
        <f t="shared" ca="1" si="124"/>
        <v>0</v>
      </c>
      <c r="AP48" s="593">
        <f t="shared" ca="1" si="124"/>
        <v>0</v>
      </c>
      <c r="AQ48" s="593">
        <f t="shared" ca="1" si="124"/>
        <v>0</v>
      </c>
      <c r="AR48" s="593">
        <f t="shared" ca="1" si="124"/>
        <v>0</v>
      </c>
      <c r="AS48" s="593">
        <f t="shared" ca="1" si="124"/>
        <v>0</v>
      </c>
      <c r="AT48" s="593">
        <f t="shared" ca="1" si="124"/>
        <v>0</v>
      </c>
      <c r="AU48" s="593">
        <f t="shared" ca="1" si="124"/>
        <v>0</v>
      </c>
      <c r="AV48" s="593">
        <f t="shared" ref="AV48:BE49" ca="1" si="125">IFERROR(INDEX(INDIRECT($C48&amp;".Outputs["&amp;this.Year&amp;"]"), MATCH(AV$5, INDIRECT($C48&amp;".Outputs[Vector]"), 0)), 0)</f>
        <v>0</v>
      </c>
      <c r="AW48" s="593">
        <f t="shared" ca="1" si="125"/>
        <v>0</v>
      </c>
      <c r="AX48" s="593">
        <f t="shared" ca="1" si="125"/>
        <v>0</v>
      </c>
      <c r="AY48" s="593">
        <f t="shared" ca="1" si="125"/>
        <v>0</v>
      </c>
      <c r="AZ48" s="593">
        <f t="shared" ca="1" si="125"/>
        <v>0</v>
      </c>
      <c r="BA48" s="593">
        <f t="shared" ca="1" si="125"/>
        <v>0</v>
      </c>
      <c r="BB48" s="593">
        <f t="shared" ca="1" si="125"/>
        <v>0</v>
      </c>
      <c r="BC48" s="593">
        <f t="shared" ca="1" si="125"/>
        <v>0</v>
      </c>
      <c r="BD48" s="593">
        <f t="shared" ca="1" si="125"/>
        <v>-11.666666666666668</v>
      </c>
      <c r="BE48" s="593">
        <f t="shared" ca="1" si="125"/>
        <v>0</v>
      </c>
      <c r="BF48" s="609">
        <f ca="1">SUM(AM48:BE48)</f>
        <v>-11.666666666666668</v>
      </c>
      <c r="BH48" s="3471">
        <f t="shared" ref="BH48:BI50" ca="1" si="126">IFERROR(INDEX(INDIRECT($C48&amp;".Outputs["&amp;this.Year&amp;"]"), MATCH(BH$5, INDIRECT($C48&amp;".Outputs[Vector]"), 0)), 0)</f>
        <v>0</v>
      </c>
      <c r="BI48" s="3471">
        <f t="shared" ca="1" si="126"/>
        <v>0</v>
      </c>
      <c r="BJ48" s="3460">
        <f ca="1">SUM(BH48:BI48)</f>
        <v>0</v>
      </c>
      <c r="BL48" s="610"/>
      <c r="BM48" s="610"/>
      <c r="BN48" s="413"/>
      <c r="BO48" s="2789">
        <f t="shared" ref="BO48:BX50" ca="1" si="127">IFERROR(SUMIFS(INDIRECT($C48&amp;".Emissions["&amp;this.Year&amp;"]"), INDIRECT($C48&amp;".Emissions[GHG]"), BO$6, INDIRECT($C48&amp;".Emissions[IPCC Sector]"), BO$5),0)</f>
        <v>0</v>
      </c>
      <c r="BP48" s="2790">
        <f t="shared" ca="1" si="127"/>
        <v>0</v>
      </c>
      <c r="BQ48" s="2790">
        <f t="shared" ca="1" si="127"/>
        <v>0</v>
      </c>
      <c r="BR48" s="2790">
        <f t="shared" ca="1" si="127"/>
        <v>0</v>
      </c>
      <c r="BS48" s="2790">
        <f t="shared" ca="1" si="127"/>
        <v>0</v>
      </c>
      <c r="BT48" s="2790">
        <f t="shared" ca="1" si="127"/>
        <v>0</v>
      </c>
      <c r="BU48" s="2790">
        <f t="shared" ca="1" si="127"/>
        <v>0</v>
      </c>
      <c r="BV48" s="2790">
        <f t="shared" ca="1" si="127"/>
        <v>0</v>
      </c>
      <c r="BW48" s="2790">
        <f t="shared" ca="1" si="127"/>
        <v>0</v>
      </c>
      <c r="BX48" s="2790">
        <f t="shared" ca="1" si="127"/>
        <v>0</v>
      </c>
      <c r="BY48" s="2790">
        <f t="shared" ref="BY48:CH50" ca="1" si="128">IFERROR(SUMIFS(INDIRECT($C48&amp;".Emissions["&amp;this.Year&amp;"]"), INDIRECT($C48&amp;".Emissions[GHG]"), BY$6, INDIRECT($C48&amp;".Emissions[IPCC Sector]"), BY$5),0)</f>
        <v>0</v>
      </c>
      <c r="BZ48" s="2790">
        <f t="shared" ca="1" si="128"/>
        <v>0</v>
      </c>
      <c r="CA48" s="2790">
        <f t="shared" ca="1" si="128"/>
        <v>0</v>
      </c>
      <c r="CB48" s="2790">
        <f t="shared" ca="1" si="128"/>
        <v>0</v>
      </c>
      <c r="CC48" s="2790">
        <f t="shared" ca="1" si="128"/>
        <v>0</v>
      </c>
      <c r="CD48" s="2790">
        <f t="shared" ca="1" si="128"/>
        <v>0</v>
      </c>
      <c r="CE48" s="2790">
        <f t="shared" ca="1" si="128"/>
        <v>0</v>
      </c>
      <c r="CF48" s="2790">
        <f t="shared" ca="1" si="128"/>
        <v>0</v>
      </c>
      <c r="CG48" s="2790">
        <f t="shared" ca="1" si="128"/>
        <v>0</v>
      </c>
      <c r="CH48" s="2790">
        <f t="shared" ca="1" si="128"/>
        <v>0</v>
      </c>
      <c r="CI48" s="2790">
        <f t="shared" ref="CI48:CR50" ca="1" si="129">IFERROR(SUMIFS(INDIRECT($C48&amp;".Emissions["&amp;this.Year&amp;"]"), INDIRECT($C48&amp;".Emissions[GHG]"), CI$6, INDIRECT($C48&amp;".Emissions[IPCC Sector]"), CI$5),0)</f>
        <v>0</v>
      </c>
      <c r="CJ48" s="2790">
        <f t="shared" ca="1" si="129"/>
        <v>0</v>
      </c>
      <c r="CK48" s="2790">
        <f t="shared" ca="1" si="129"/>
        <v>0</v>
      </c>
      <c r="CL48" s="2790">
        <f t="shared" ca="1" si="129"/>
        <v>0</v>
      </c>
      <c r="CM48" s="2790">
        <f t="shared" ca="1" si="129"/>
        <v>0</v>
      </c>
      <c r="CN48" s="2790">
        <f t="shared" ca="1" si="129"/>
        <v>0</v>
      </c>
      <c r="CO48" s="2790">
        <f t="shared" ca="1" si="129"/>
        <v>0</v>
      </c>
      <c r="CP48" s="2790">
        <f t="shared" ca="1" si="129"/>
        <v>0</v>
      </c>
      <c r="CQ48" s="2790">
        <f t="shared" ca="1" si="129"/>
        <v>0</v>
      </c>
      <c r="CR48" s="2790">
        <f t="shared" ca="1" si="129"/>
        <v>0</v>
      </c>
      <c r="CS48" s="2790">
        <f t="shared" ref="CS48:DF50" ca="1" si="130">IFERROR(SUMIFS(INDIRECT($C48&amp;".Emissions["&amp;this.Year&amp;"]"), INDIRECT($C48&amp;".Emissions[GHG]"), CS$6, INDIRECT($C48&amp;".Emissions[IPCC Sector]"), CS$5),0)</f>
        <v>0</v>
      </c>
      <c r="CT48" s="2790">
        <f t="shared" ca="1" si="130"/>
        <v>0</v>
      </c>
      <c r="CU48" s="2790">
        <f t="shared" ca="1" si="130"/>
        <v>0</v>
      </c>
      <c r="CV48" s="2790">
        <f t="shared" ca="1" si="130"/>
        <v>0</v>
      </c>
      <c r="CW48" s="2790">
        <f t="shared" ca="1" si="130"/>
        <v>0</v>
      </c>
      <c r="CX48" s="2790">
        <f t="shared" ca="1" si="130"/>
        <v>0</v>
      </c>
      <c r="CY48" s="2790">
        <f t="shared" ca="1" si="130"/>
        <v>0</v>
      </c>
      <c r="CZ48" s="2790">
        <f t="shared" ca="1" si="130"/>
        <v>0</v>
      </c>
      <c r="DA48" s="2790">
        <f t="shared" ca="1" si="130"/>
        <v>0</v>
      </c>
      <c r="DB48" s="2790">
        <f t="shared" ca="1" si="130"/>
        <v>0</v>
      </c>
      <c r="DC48" s="2790">
        <f t="shared" ca="1" si="130"/>
        <v>0</v>
      </c>
      <c r="DD48" s="2790">
        <f t="shared" ca="1" si="130"/>
        <v>0</v>
      </c>
      <c r="DE48" s="2790">
        <f t="shared" ca="1" si="130"/>
        <v>0</v>
      </c>
      <c r="DF48" s="2790">
        <f t="shared" ca="1" si="130"/>
        <v>0</v>
      </c>
      <c r="DH48" s="596">
        <f ca="1">SUM(BO48:DF48)</f>
        <v>0</v>
      </c>
    </row>
    <row r="49" spans="1:112" s="6" customFormat="1" outlineLevel="1">
      <c r="A49" s="607"/>
      <c r="B49" s="607"/>
      <c r="C49" s="587" t="s">
        <v>508</v>
      </c>
      <c r="D49" s="588" t="s">
        <v>509</v>
      </c>
      <c r="E49" s="588"/>
      <c r="G49" s="589">
        <f t="shared" ca="1" si="121"/>
        <v>0</v>
      </c>
      <c r="H49" s="589">
        <f t="shared" ca="1" si="121"/>
        <v>0</v>
      </c>
      <c r="I49" s="589">
        <f t="shared" ca="1" si="121"/>
        <v>0</v>
      </c>
      <c r="J49" s="589">
        <f t="shared" ca="1" si="121"/>
        <v>0</v>
      </c>
      <c r="K49" s="589">
        <f t="shared" ca="1" si="121"/>
        <v>0</v>
      </c>
      <c r="L49" s="589">
        <f t="shared" ca="1" si="121"/>
        <v>0</v>
      </c>
      <c r="M49" s="589">
        <f t="shared" ca="1" si="121"/>
        <v>0</v>
      </c>
      <c r="N49" s="589">
        <f t="shared" ca="1" si="121"/>
        <v>0</v>
      </c>
      <c r="O49" s="589">
        <f t="shared" ca="1" si="121"/>
        <v>0</v>
      </c>
      <c r="P49" s="589">
        <f t="shared" ca="1" si="121"/>
        <v>0</v>
      </c>
      <c r="Q49" s="590">
        <f ca="1">SUM(G49:P49)</f>
        <v>0</v>
      </c>
      <c r="S49" s="591">
        <f t="shared" ca="1" si="122"/>
        <v>0</v>
      </c>
      <c r="T49" s="591">
        <f t="shared" ca="1" si="122"/>
        <v>0</v>
      </c>
      <c r="U49" s="591">
        <f t="shared" ca="1" si="122"/>
        <v>0</v>
      </c>
      <c r="V49" s="591">
        <f t="shared" ca="1" si="122"/>
        <v>0</v>
      </c>
      <c r="W49" s="591">
        <f t="shared" ca="1" si="122"/>
        <v>0</v>
      </c>
      <c r="X49" s="591">
        <f t="shared" ca="1" si="123"/>
        <v>0.21811357288438121</v>
      </c>
      <c r="Y49" s="591">
        <f t="shared" ca="1" si="123"/>
        <v>0</v>
      </c>
      <c r="Z49" s="591">
        <f t="shared" ca="1" si="123"/>
        <v>0</v>
      </c>
      <c r="AA49" s="591">
        <f t="shared" ca="1" si="122"/>
        <v>0</v>
      </c>
      <c r="AB49" s="591">
        <f t="shared" ca="1" si="122"/>
        <v>0</v>
      </c>
      <c r="AC49" s="591">
        <f t="shared" ca="1" si="122"/>
        <v>0</v>
      </c>
      <c r="AD49" s="591">
        <f t="shared" ca="1" si="122"/>
        <v>0</v>
      </c>
      <c r="AE49" s="591">
        <f t="shared" ca="1" si="122"/>
        <v>0</v>
      </c>
      <c r="AF49" s="591">
        <f t="shared" ca="1" si="122"/>
        <v>0.40862327064153176</v>
      </c>
      <c r="AG49" s="591">
        <f t="shared" ca="1" si="122"/>
        <v>0.21163639296907455</v>
      </c>
      <c r="AH49" s="591">
        <f t="shared" ca="1" si="122"/>
        <v>0.14940807387289254</v>
      </c>
      <c r="AI49" s="591">
        <f t="shared" ca="1" si="122"/>
        <v>0</v>
      </c>
      <c r="AJ49" s="591">
        <f t="shared" ca="1" si="122"/>
        <v>0</v>
      </c>
      <c r="AK49" s="592">
        <f ca="1">SUM(S49:AJ49)</f>
        <v>0.98778131036788008</v>
      </c>
      <c r="AM49" s="593">
        <f t="shared" ca="1" si="124"/>
        <v>0</v>
      </c>
      <c r="AN49" s="593">
        <f t="shared" ca="1" si="124"/>
        <v>0</v>
      </c>
      <c r="AO49" s="593">
        <f t="shared" ca="1" si="124"/>
        <v>0</v>
      </c>
      <c r="AP49" s="593">
        <f t="shared" ca="1" si="124"/>
        <v>0</v>
      </c>
      <c r="AQ49" s="593">
        <f t="shared" ca="1" si="124"/>
        <v>0</v>
      </c>
      <c r="AR49" s="593">
        <f t="shared" ca="1" si="124"/>
        <v>0</v>
      </c>
      <c r="AS49" s="593">
        <f t="shared" ca="1" si="124"/>
        <v>0</v>
      </c>
      <c r="AT49" s="593">
        <f t="shared" ca="1" si="124"/>
        <v>0</v>
      </c>
      <c r="AU49" s="593">
        <f t="shared" ca="1" si="124"/>
        <v>0</v>
      </c>
      <c r="AV49" s="593">
        <f t="shared" ca="1" si="125"/>
        <v>0</v>
      </c>
      <c r="AW49" s="593">
        <f t="shared" ca="1" si="125"/>
        <v>0</v>
      </c>
      <c r="AX49" s="593">
        <f t="shared" ca="1" si="125"/>
        <v>0</v>
      </c>
      <c r="AY49" s="593">
        <f t="shared" ca="1" si="125"/>
        <v>0</v>
      </c>
      <c r="AZ49" s="593">
        <f t="shared" ca="1" si="125"/>
        <v>0</v>
      </c>
      <c r="BA49" s="593">
        <f t="shared" ca="1" si="125"/>
        <v>0</v>
      </c>
      <c r="BB49" s="593">
        <f t="shared" ca="1" si="125"/>
        <v>0</v>
      </c>
      <c r="BC49" s="593">
        <f t="shared" ca="1" si="125"/>
        <v>0</v>
      </c>
      <c r="BD49" s="593">
        <f t="shared" ca="1" si="125"/>
        <v>0</v>
      </c>
      <c r="BE49" s="593">
        <f t="shared" ca="1" si="125"/>
        <v>-0.98778131036788008</v>
      </c>
      <c r="BF49" s="609">
        <f ca="1">SUM(AM49:BE49)</f>
        <v>-0.98778131036788008</v>
      </c>
      <c r="BH49" s="3471">
        <f t="shared" ca="1" si="126"/>
        <v>0</v>
      </c>
      <c r="BI49" s="3471">
        <f t="shared" ca="1" si="126"/>
        <v>0</v>
      </c>
      <c r="BJ49" s="3460">
        <f ca="1">SUM(BH49:BI49)</f>
        <v>0</v>
      </c>
      <c r="BL49" s="610"/>
      <c r="BM49" s="610"/>
      <c r="BN49" s="413"/>
      <c r="BO49" s="2789">
        <f t="shared" ca="1" si="127"/>
        <v>0</v>
      </c>
      <c r="BP49" s="2790">
        <f t="shared" ca="1" si="127"/>
        <v>0</v>
      </c>
      <c r="BQ49" s="2790">
        <f t="shared" ca="1" si="127"/>
        <v>0</v>
      </c>
      <c r="BR49" s="2790">
        <f t="shared" ca="1" si="127"/>
        <v>0</v>
      </c>
      <c r="BS49" s="2790">
        <f t="shared" ca="1" si="127"/>
        <v>0</v>
      </c>
      <c r="BT49" s="2790">
        <f t="shared" ca="1" si="127"/>
        <v>0</v>
      </c>
      <c r="BU49" s="2790">
        <f t="shared" ca="1" si="127"/>
        <v>0</v>
      </c>
      <c r="BV49" s="2790">
        <f t="shared" ca="1" si="127"/>
        <v>0</v>
      </c>
      <c r="BW49" s="2790">
        <f t="shared" ca="1" si="127"/>
        <v>0</v>
      </c>
      <c r="BX49" s="2790">
        <f t="shared" ca="1" si="127"/>
        <v>0</v>
      </c>
      <c r="BY49" s="2790">
        <f t="shared" ca="1" si="128"/>
        <v>0</v>
      </c>
      <c r="BZ49" s="2790">
        <f t="shared" ca="1" si="128"/>
        <v>0</v>
      </c>
      <c r="CA49" s="2790">
        <f t="shared" ca="1" si="128"/>
        <v>0</v>
      </c>
      <c r="CB49" s="2790">
        <f t="shared" ca="1" si="128"/>
        <v>0</v>
      </c>
      <c r="CC49" s="2790">
        <f t="shared" ca="1" si="128"/>
        <v>0</v>
      </c>
      <c r="CD49" s="2790">
        <f t="shared" ca="1" si="128"/>
        <v>0</v>
      </c>
      <c r="CE49" s="2790">
        <f t="shared" ca="1" si="128"/>
        <v>0</v>
      </c>
      <c r="CF49" s="2790">
        <f t="shared" ca="1" si="128"/>
        <v>0</v>
      </c>
      <c r="CG49" s="2790">
        <f t="shared" ca="1" si="128"/>
        <v>0</v>
      </c>
      <c r="CH49" s="2790">
        <f t="shared" ca="1" si="128"/>
        <v>0</v>
      </c>
      <c r="CI49" s="2790">
        <f t="shared" ca="1" si="129"/>
        <v>0</v>
      </c>
      <c r="CJ49" s="2790">
        <f t="shared" ca="1" si="129"/>
        <v>0</v>
      </c>
      <c r="CK49" s="2790">
        <f t="shared" ca="1" si="129"/>
        <v>0</v>
      </c>
      <c r="CL49" s="2790">
        <f t="shared" ca="1" si="129"/>
        <v>0</v>
      </c>
      <c r="CM49" s="2790">
        <f t="shared" ca="1" si="129"/>
        <v>0</v>
      </c>
      <c r="CN49" s="2790">
        <f t="shared" ca="1" si="129"/>
        <v>0.35783383519980072</v>
      </c>
      <c r="CO49" s="2790">
        <f t="shared" ca="1" si="129"/>
        <v>6.2442691071428566E-2</v>
      </c>
      <c r="CP49" s="2790">
        <f t="shared" ca="1" si="129"/>
        <v>0</v>
      </c>
      <c r="CQ49" s="2790">
        <f t="shared" ca="1" si="129"/>
        <v>0</v>
      </c>
      <c r="CR49" s="2790">
        <f t="shared" ca="1" si="129"/>
        <v>0</v>
      </c>
      <c r="CS49" s="2790">
        <f t="shared" ca="1" si="130"/>
        <v>0</v>
      </c>
      <c r="CT49" s="2790">
        <f t="shared" ca="1" si="130"/>
        <v>0</v>
      </c>
      <c r="CU49" s="2790">
        <f t="shared" ca="1" si="130"/>
        <v>0</v>
      </c>
      <c r="CV49" s="2790">
        <f t="shared" ca="1" si="130"/>
        <v>0</v>
      </c>
      <c r="CW49" s="2790">
        <f t="shared" ca="1" si="130"/>
        <v>0</v>
      </c>
      <c r="CX49" s="2790">
        <f t="shared" ca="1" si="130"/>
        <v>0</v>
      </c>
      <c r="CY49" s="2790">
        <f t="shared" ca="1" si="130"/>
        <v>0</v>
      </c>
      <c r="CZ49" s="2790">
        <f t="shared" ca="1" si="130"/>
        <v>0</v>
      </c>
      <c r="DA49" s="2790">
        <f t="shared" ca="1" si="130"/>
        <v>0</v>
      </c>
      <c r="DB49" s="2790">
        <f t="shared" ca="1" si="130"/>
        <v>0</v>
      </c>
      <c r="DC49" s="2790">
        <f t="shared" ca="1" si="130"/>
        <v>0</v>
      </c>
      <c r="DD49" s="2790">
        <f t="shared" ca="1" si="130"/>
        <v>0</v>
      </c>
      <c r="DE49" s="2790">
        <f t="shared" ca="1" si="130"/>
        <v>0</v>
      </c>
      <c r="DF49" s="2790">
        <f t="shared" ca="1" si="130"/>
        <v>0</v>
      </c>
      <c r="DH49" s="596">
        <f t="shared" ca="1" si="120"/>
        <v>0.4202765262712293</v>
      </c>
    </row>
    <row r="50" spans="1:112" s="6" customFormat="1" ht="12.75" customHeight="1" outlineLevel="1">
      <c r="A50" s="607"/>
      <c r="B50" s="607"/>
      <c r="C50" s="587" t="s">
        <v>510</v>
      </c>
      <c r="D50" s="611" t="s">
        <v>511</v>
      </c>
      <c r="E50" s="611"/>
      <c r="G50" s="619">
        <f t="shared" ref="G50:P50" ca="1" si="131">IFERROR(INDEX(INDIRECT($C50&amp;".Outputs["&amp;this.Year&amp;"]"), MATCH(G$5, INDIRECT($C50&amp;".Outputs[Vector]"), 0)), 0)</f>
        <v>0</v>
      </c>
      <c r="H50" s="619">
        <f t="shared" ca="1" si="131"/>
        <v>0</v>
      </c>
      <c r="I50" s="619">
        <f t="shared" ca="1" si="131"/>
        <v>2.8249298512999599</v>
      </c>
      <c r="J50" s="619">
        <f t="shared" ca="1" si="131"/>
        <v>0</v>
      </c>
      <c r="K50" s="619">
        <f t="shared" ca="1" si="131"/>
        <v>0</v>
      </c>
      <c r="L50" s="619">
        <f t="shared" ca="1" si="131"/>
        <v>0</v>
      </c>
      <c r="M50" s="619">
        <f t="shared" ca="1" si="131"/>
        <v>0</v>
      </c>
      <c r="N50" s="619">
        <f t="shared" ca="1" si="131"/>
        <v>0</v>
      </c>
      <c r="O50" s="619">
        <f t="shared" ca="1" si="131"/>
        <v>0</v>
      </c>
      <c r="P50" s="619">
        <f t="shared" ca="1" si="131"/>
        <v>0</v>
      </c>
      <c r="Q50" s="612">
        <f ca="1">SUM(G50:P50)</f>
        <v>2.8249298512999599</v>
      </c>
      <c r="S50" s="620">
        <f t="shared" ref="S50:AJ50" ca="1" si="132">IFERROR(INDEX(INDIRECT($C50&amp;".Outputs["&amp;this.Year&amp;"]"), MATCH(S$5, INDIRECT($C50&amp;".Outputs[Vector]"), 0)), 0)</f>
        <v>-0.5932352687729916</v>
      </c>
      <c r="T50" s="620">
        <f t="shared" ca="1" si="132"/>
        <v>0</v>
      </c>
      <c r="U50" s="620">
        <f t="shared" ca="1" si="132"/>
        <v>0</v>
      </c>
      <c r="V50" s="620">
        <f t="shared" ca="1" si="132"/>
        <v>-2.2316945825269685</v>
      </c>
      <c r="W50" s="620">
        <f t="shared" ca="1" si="132"/>
        <v>0</v>
      </c>
      <c r="X50" s="620">
        <f t="shared" ca="1" si="123"/>
        <v>0</v>
      </c>
      <c r="Y50" s="620">
        <f t="shared" ca="1" si="123"/>
        <v>0</v>
      </c>
      <c r="Z50" s="620">
        <f t="shared" ca="1" si="123"/>
        <v>0</v>
      </c>
      <c r="AA50" s="620">
        <f t="shared" ca="1" si="132"/>
        <v>0</v>
      </c>
      <c r="AB50" s="620">
        <f t="shared" ca="1" si="132"/>
        <v>0</v>
      </c>
      <c r="AC50" s="620">
        <f t="shared" ca="1" si="132"/>
        <v>0</v>
      </c>
      <c r="AD50" s="620">
        <f t="shared" ca="1" si="132"/>
        <v>69.068203392186163</v>
      </c>
      <c r="AE50" s="620">
        <f t="shared" ca="1" si="132"/>
        <v>0.89383864833915727</v>
      </c>
      <c r="AF50" s="620">
        <f t="shared" ca="1" si="132"/>
        <v>23.044649782486974</v>
      </c>
      <c r="AG50" s="620">
        <f t="shared" ca="1" si="132"/>
        <v>11.343098790171382</v>
      </c>
      <c r="AH50" s="620">
        <f t="shared" ca="1" si="132"/>
        <v>0</v>
      </c>
      <c r="AI50" s="620">
        <f t="shared" ca="1" si="132"/>
        <v>0</v>
      </c>
      <c r="AJ50" s="620">
        <f t="shared" ca="1" si="132"/>
        <v>0</v>
      </c>
      <c r="AK50" s="613">
        <f ca="1">SUM(S50:AJ50)</f>
        <v>101.52486076188372</v>
      </c>
      <c r="AM50" s="621">
        <f t="shared" ca="1" si="124"/>
        <v>0</v>
      </c>
      <c r="AN50" s="621">
        <f t="shared" ca="1" si="124"/>
        <v>0</v>
      </c>
      <c r="AO50" s="621">
        <f t="shared" ca="1" si="124"/>
        <v>0</v>
      </c>
      <c r="AP50" s="621">
        <f t="shared" ca="1" si="124"/>
        <v>0</v>
      </c>
      <c r="AQ50" s="621">
        <f t="shared" ca="1" si="124"/>
        <v>0</v>
      </c>
      <c r="AR50" s="621">
        <f t="shared" ca="1" si="124"/>
        <v>0</v>
      </c>
      <c r="AS50" s="621">
        <f t="shared" ca="1" si="124"/>
        <v>0</v>
      </c>
      <c r="AT50" s="621">
        <f t="shared" ca="1" si="124"/>
        <v>0</v>
      </c>
      <c r="AU50" s="621">
        <f t="shared" ca="1" si="124"/>
        <v>0</v>
      </c>
      <c r="AV50" s="621">
        <f t="shared" ref="AV50:BE50" ca="1" si="133">IFERROR(INDEX(INDIRECT($C50&amp;".Outputs["&amp;this.Year&amp;"]"), MATCH(AV$5, INDIRECT($C50&amp;".Outputs[Vector]"), 0)), 0)</f>
        <v>0</v>
      </c>
      <c r="AW50" s="621">
        <f t="shared" ca="1" si="133"/>
        <v>0</v>
      </c>
      <c r="AX50" s="621">
        <f t="shared" ca="1" si="133"/>
        <v>0</v>
      </c>
      <c r="AY50" s="621">
        <f t="shared" ca="1" si="133"/>
        <v>0</v>
      </c>
      <c r="AZ50" s="621">
        <f t="shared" ca="1" si="133"/>
        <v>0</v>
      </c>
      <c r="BA50" s="621">
        <f t="shared" ca="1" si="133"/>
        <v>0</v>
      </c>
      <c r="BB50" s="621">
        <f t="shared" ca="1" si="133"/>
        <v>0</v>
      </c>
      <c r="BC50" s="621">
        <f t="shared" ca="1" si="133"/>
        <v>0</v>
      </c>
      <c r="BD50" s="621">
        <f t="shared" ca="1" si="133"/>
        <v>-69.962042040525318</v>
      </c>
      <c r="BE50" s="621">
        <f t="shared" ca="1" si="133"/>
        <v>-34.387748572658353</v>
      </c>
      <c r="BF50" s="615">
        <f ca="1">SUM(AM50:BE50)</f>
        <v>-104.34979061318367</v>
      </c>
      <c r="BH50" s="3473">
        <f t="shared" ca="1" si="126"/>
        <v>0</v>
      </c>
      <c r="BI50" s="3473">
        <f t="shared" ca="1" si="126"/>
        <v>0</v>
      </c>
      <c r="BJ50" s="3462">
        <f ca="1">SUM(BH50:BI50)</f>
        <v>0</v>
      </c>
      <c r="BL50" s="610">
        <f ca="1">Q50+AK50+BF50+BJ50</f>
        <v>0</v>
      </c>
      <c r="BM50" s="610"/>
      <c r="BN50" s="413"/>
      <c r="BO50" s="2791">
        <f t="shared" ca="1" si="127"/>
        <v>0.5888995664372163</v>
      </c>
      <c r="BP50" s="2792">
        <f t="shared" ca="1" si="127"/>
        <v>5.0614833131711653E-4</v>
      </c>
      <c r="BQ50" s="2792">
        <f t="shared" ca="1" si="127"/>
        <v>1.4943426924600581E-3</v>
      </c>
      <c r="BR50" s="2792">
        <f t="shared" ca="1" si="127"/>
        <v>0</v>
      </c>
      <c r="BS50" s="2792">
        <f t="shared" ca="1" si="127"/>
        <v>0</v>
      </c>
      <c r="BT50" s="2792">
        <f t="shared" ca="1" si="127"/>
        <v>0</v>
      </c>
      <c r="BU50" s="2792">
        <f t="shared" ca="1" si="127"/>
        <v>0</v>
      </c>
      <c r="BV50" s="2792">
        <f t="shared" ca="1" si="127"/>
        <v>0</v>
      </c>
      <c r="BW50" s="2792">
        <f t="shared" ca="1" si="127"/>
        <v>0</v>
      </c>
      <c r="BX50" s="2792">
        <f t="shared" ca="1" si="127"/>
        <v>0</v>
      </c>
      <c r="BY50" s="2792">
        <f t="shared" ca="1" si="128"/>
        <v>0</v>
      </c>
      <c r="BZ50" s="2792">
        <f t="shared" ca="1" si="128"/>
        <v>0</v>
      </c>
      <c r="CA50" s="2792">
        <f t="shared" ca="1" si="128"/>
        <v>0</v>
      </c>
      <c r="CB50" s="2792">
        <f t="shared" ca="1" si="128"/>
        <v>0</v>
      </c>
      <c r="CC50" s="2792">
        <f t="shared" ca="1" si="128"/>
        <v>0</v>
      </c>
      <c r="CD50" s="2792">
        <f t="shared" ca="1" si="128"/>
        <v>0</v>
      </c>
      <c r="CE50" s="2792">
        <f t="shared" ca="1" si="128"/>
        <v>0</v>
      </c>
      <c r="CF50" s="2792">
        <f t="shared" ca="1" si="128"/>
        <v>7.3960560826055533</v>
      </c>
      <c r="CG50" s="2792">
        <f t="shared" ca="1" si="128"/>
        <v>5.8922858964484579</v>
      </c>
      <c r="CH50" s="2792">
        <f t="shared" ca="1" si="128"/>
        <v>0</v>
      </c>
      <c r="CI50" s="2792">
        <f t="shared" ca="1" si="129"/>
        <v>-3.6112424759446609</v>
      </c>
      <c r="CJ50" s="2792">
        <f t="shared" ca="1" si="129"/>
        <v>0</v>
      </c>
      <c r="CK50" s="2792">
        <f t="shared" ca="1" si="129"/>
        <v>0</v>
      </c>
      <c r="CL50" s="2792">
        <f t="shared" ca="1" si="129"/>
        <v>0</v>
      </c>
      <c r="CM50" s="2792">
        <f t="shared" ca="1" si="129"/>
        <v>0</v>
      </c>
      <c r="CN50" s="2792">
        <f t="shared" ca="1" si="129"/>
        <v>0</v>
      </c>
      <c r="CO50" s="2792">
        <f t="shared" ca="1" si="129"/>
        <v>0</v>
      </c>
      <c r="CP50" s="2792">
        <f t="shared" ca="1" si="129"/>
        <v>0</v>
      </c>
      <c r="CQ50" s="2792">
        <f t="shared" ca="1" si="129"/>
        <v>0</v>
      </c>
      <c r="CR50" s="2792">
        <f t="shared" ca="1" si="129"/>
        <v>0</v>
      </c>
      <c r="CS50" s="2792">
        <f t="shared" ca="1" si="130"/>
        <v>0</v>
      </c>
      <c r="CT50" s="2792">
        <f t="shared" ca="1" si="130"/>
        <v>0</v>
      </c>
      <c r="CU50" s="2792">
        <f t="shared" ca="1" si="130"/>
        <v>0</v>
      </c>
      <c r="CV50" s="2792">
        <f t="shared" ca="1" si="130"/>
        <v>0</v>
      </c>
      <c r="CW50" s="2792">
        <f t="shared" ca="1" si="130"/>
        <v>0</v>
      </c>
      <c r="CX50" s="2792">
        <f t="shared" ca="1" si="130"/>
        <v>0</v>
      </c>
      <c r="CY50" s="2792">
        <f t="shared" ca="1" si="130"/>
        <v>0</v>
      </c>
      <c r="CZ50" s="2792">
        <f t="shared" ca="1" si="130"/>
        <v>0</v>
      </c>
      <c r="DA50" s="2792">
        <f t="shared" ca="1" si="130"/>
        <v>0</v>
      </c>
      <c r="DB50" s="2792">
        <f t="shared" ca="1" si="130"/>
        <v>0</v>
      </c>
      <c r="DC50" s="2792">
        <f t="shared" ca="1" si="130"/>
        <v>0</v>
      </c>
      <c r="DD50" s="2792">
        <f t="shared" ca="1" si="130"/>
        <v>0</v>
      </c>
      <c r="DE50" s="2792">
        <f t="shared" ca="1" si="130"/>
        <v>0</v>
      </c>
      <c r="DF50" s="2792">
        <f t="shared" ca="1" si="130"/>
        <v>0</v>
      </c>
      <c r="DH50" s="596">
        <f t="shared" ca="1" si="120"/>
        <v>10.267999560570345</v>
      </c>
    </row>
    <row r="51" spans="1:112" s="6" customFormat="1" ht="15.75">
      <c r="A51" s="4"/>
      <c r="B51" s="3"/>
      <c r="C51" s="616" t="s">
        <v>512</v>
      </c>
      <c r="D51" s="617" t="s">
        <v>513</v>
      </c>
      <c r="E51" s="206"/>
      <c r="G51" s="618">
        <f ca="1">SUM(G48:G50)</f>
        <v>0</v>
      </c>
      <c r="H51" s="618">
        <f t="shared" ref="H51:P51" ca="1" si="134">SUM(H48:H50)</f>
        <v>0</v>
      </c>
      <c r="I51" s="618">
        <f t="shared" ca="1" si="134"/>
        <v>2.8249298512999599</v>
      </c>
      <c r="J51" s="618">
        <f t="shared" ca="1" si="134"/>
        <v>0</v>
      </c>
      <c r="K51" s="618">
        <f t="shared" ca="1" si="134"/>
        <v>0</v>
      </c>
      <c r="L51" s="618">
        <f t="shared" ca="1" si="134"/>
        <v>0</v>
      </c>
      <c r="M51" s="618">
        <f t="shared" ca="1" si="134"/>
        <v>0</v>
      </c>
      <c r="N51" s="618">
        <f t="shared" ca="1" si="134"/>
        <v>0</v>
      </c>
      <c r="O51" s="618">
        <f t="shared" ca="1" si="134"/>
        <v>0</v>
      </c>
      <c r="P51" s="618">
        <f t="shared" ca="1" si="134"/>
        <v>0</v>
      </c>
      <c r="Q51" s="618">
        <f ca="1">SUM(G51:P51)</f>
        <v>2.8249298512999599</v>
      </c>
      <c r="S51" s="581">
        <f t="shared" ref="S51:AJ51" ca="1" si="135">SUM(S48:S50)</f>
        <v>-0.5932352687729916</v>
      </c>
      <c r="T51" s="581">
        <f t="shared" ca="1" si="135"/>
        <v>0</v>
      </c>
      <c r="U51" s="581">
        <f t="shared" ca="1" si="135"/>
        <v>0</v>
      </c>
      <c r="V51" s="581">
        <f t="shared" ca="1" si="135"/>
        <v>-2.2316945825269685</v>
      </c>
      <c r="W51" s="581">
        <f t="shared" ca="1" si="135"/>
        <v>0</v>
      </c>
      <c r="X51" s="581">
        <f t="shared" ca="1" si="135"/>
        <v>0.21811357288438121</v>
      </c>
      <c r="Y51" s="581">
        <f t="shared" ca="1" si="135"/>
        <v>0</v>
      </c>
      <c r="Z51" s="581">
        <f t="shared" ca="1" si="135"/>
        <v>0</v>
      </c>
      <c r="AA51" s="581">
        <f t="shared" ca="1" si="135"/>
        <v>0</v>
      </c>
      <c r="AB51" s="581">
        <f t="shared" ca="1" si="135"/>
        <v>0</v>
      </c>
      <c r="AC51" s="581">
        <f t="shared" ca="1" si="135"/>
        <v>0</v>
      </c>
      <c r="AD51" s="581">
        <f t="shared" ca="1" si="135"/>
        <v>69.068203392186163</v>
      </c>
      <c r="AE51" s="581">
        <f ca="1">SUM(AE48:AE50)</f>
        <v>0.89383864833915727</v>
      </c>
      <c r="AF51" s="581">
        <f t="shared" ca="1" si="135"/>
        <v>23.453273053128505</v>
      </c>
      <c r="AG51" s="581">
        <f t="shared" ca="1" si="135"/>
        <v>23.221401849807123</v>
      </c>
      <c r="AH51" s="581">
        <f ca="1">SUM(AH48:AH50)</f>
        <v>0.14940807387289254</v>
      </c>
      <c r="AI51" s="581">
        <f t="shared" ca="1" si="135"/>
        <v>0</v>
      </c>
      <c r="AJ51" s="581">
        <f t="shared" ca="1" si="135"/>
        <v>0</v>
      </c>
      <c r="AK51" s="581">
        <f ca="1">SUM(S51:AJ51)</f>
        <v>114.17930873891825</v>
      </c>
      <c r="AM51" s="582">
        <f t="shared" ref="AM51:BE51" ca="1" si="136">SUM(AM48:AM50)</f>
        <v>0</v>
      </c>
      <c r="AN51" s="582">
        <f t="shared" ca="1" si="136"/>
        <v>0</v>
      </c>
      <c r="AO51" s="582">
        <f t="shared" ca="1" si="136"/>
        <v>0</v>
      </c>
      <c r="AP51" s="582">
        <f t="shared" ca="1" si="136"/>
        <v>0</v>
      </c>
      <c r="AQ51" s="582">
        <f t="shared" ca="1" si="136"/>
        <v>0</v>
      </c>
      <c r="AR51" s="582">
        <f t="shared" ca="1" si="136"/>
        <v>0</v>
      </c>
      <c r="AS51" s="582">
        <f t="shared" ca="1" si="136"/>
        <v>0</v>
      </c>
      <c r="AT51" s="582">
        <f t="shared" ca="1" si="136"/>
        <v>0</v>
      </c>
      <c r="AU51" s="582">
        <f t="shared" ca="1" si="136"/>
        <v>0</v>
      </c>
      <c r="AV51" s="582">
        <f t="shared" ca="1" si="136"/>
        <v>0</v>
      </c>
      <c r="AW51" s="582">
        <f t="shared" ca="1" si="136"/>
        <v>0</v>
      </c>
      <c r="AX51" s="582">
        <f t="shared" ca="1" si="136"/>
        <v>0</v>
      </c>
      <c r="AY51" s="582">
        <f t="shared" ca="1" si="136"/>
        <v>0</v>
      </c>
      <c r="AZ51" s="582">
        <f t="shared" ca="1" si="136"/>
        <v>0</v>
      </c>
      <c r="BA51" s="582">
        <f t="shared" ca="1" si="136"/>
        <v>0</v>
      </c>
      <c r="BB51" s="582">
        <f t="shared" ca="1" si="136"/>
        <v>0</v>
      </c>
      <c r="BC51" s="582">
        <f t="shared" ca="1" si="136"/>
        <v>0</v>
      </c>
      <c r="BD51" s="582">
        <f t="shared" ca="1" si="136"/>
        <v>-81.62870870719199</v>
      </c>
      <c r="BE51" s="582">
        <f t="shared" ca="1" si="136"/>
        <v>-35.375529883026232</v>
      </c>
      <c r="BF51" s="582">
        <f ca="1">SUM(AM51:BE51)</f>
        <v>-117.00423859021822</v>
      </c>
      <c r="BH51" s="3463">
        <f ca="1">SUM(BH48:BH50)</f>
        <v>0</v>
      </c>
      <c r="BI51" s="3463">
        <f ca="1">SUM(BI48:BI50)</f>
        <v>0</v>
      </c>
      <c r="BJ51" s="3463">
        <f ca="1">SUM(BH51:BI51)</f>
        <v>0</v>
      </c>
      <c r="BL51" s="3477">
        <f ca="1">Q51+AK51+BF51+BJ51</f>
        <v>-1.4210854715202004E-14</v>
      </c>
      <c r="BM51" s="584"/>
      <c r="BN51" s="413"/>
      <c r="BO51" s="2790">
        <f t="shared" ref="BO51:DF51" ca="1" si="137">SUM(BO48:BO50)</f>
        <v>0.5888995664372163</v>
      </c>
      <c r="BP51" s="2790">
        <f t="shared" ca="1" si="137"/>
        <v>5.0614833131711653E-4</v>
      </c>
      <c r="BQ51" s="2790">
        <f t="shared" ca="1" si="137"/>
        <v>1.4943426924600581E-3</v>
      </c>
      <c r="BR51" s="2790">
        <f t="shared" ca="1" si="137"/>
        <v>0</v>
      </c>
      <c r="BS51" s="2790">
        <f t="shared" ca="1" si="137"/>
        <v>0</v>
      </c>
      <c r="BT51" s="2790">
        <f t="shared" ca="1" si="137"/>
        <v>0</v>
      </c>
      <c r="BU51" s="2790">
        <f t="shared" ca="1" si="137"/>
        <v>0</v>
      </c>
      <c r="BV51" s="2790">
        <f t="shared" ca="1" si="137"/>
        <v>0</v>
      </c>
      <c r="BW51" s="2790">
        <f t="shared" ca="1" si="137"/>
        <v>0</v>
      </c>
      <c r="BX51" s="2790">
        <f t="shared" ca="1" si="137"/>
        <v>0</v>
      </c>
      <c r="BY51" s="2790">
        <f t="shared" ca="1" si="137"/>
        <v>0</v>
      </c>
      <c r="BZ51" s="2790">
        <f t="shared" ca="1" si="137"/>
        <v>0</v>
      </c>
      <c r="CA51" s="2790">
        <f t="shared" ca="1" si="137"/>
        <v>0</v>
      </c>
      <c r="CB51" s="2790">
        <f t="shared" ca="1" si="137"/>
        <v>0</v>
      </c>
      <c r="CC51" s="2790">
        <f t="shared" ca="1" si="137"/>
        <v>0</v>
      </c>
      <c r="CD51" s="2790">
        <f t="shared" ca="1" si="137"/>
        <v>0</v>
      </c>
      <c r="CE51" s="2790">
        <f t="shared" ca="1" si="137"/>
        <v>0</v>
      </c>
      <c r="CF51" s="2790">
        <f t="shared" ca="1" si="137"/>
        <v>7.3960560826055533</v>
      </c>
      <c r="CG51" s="2790">
        <f t="shared" ca="1" si="137"/>
        <v>5.8922858964484579</v>
      </c>
      <c r="CH51" s="2790">
        <f t="shared" ca="1" si="137"/>
        <v>0</v>
      </c>
      <c r="CI51" s="2790">
        <f t="shared" ca="1" si="137"/>
        <v>-3.6112424759446609</v>
      </c>
      <c r="CJ51" s="2790">
        <f t="shared" ca="1" si="137"/>
        <v>0</v>
      </c>
      <c r="CK51" s="2790">
        <f t="shared" ca="1" si="137"/>
        <v>0</v>
      </c>
      <c r="CL51" s="2790">
        <f t="shared" ca="1" si="137"/>
        <v>0</v>
      </c>
      <c r="CM51" s="2790">
        <f t="shared" ca="1" si="137"/>
        <v>0</v>
      </c>
      <c r="CN51" s="2790">
        <f t="shared" ca="1" si="137"/>
        <v>0.35783383519980072</v>
      </c>
      <c r="CO51" s="2790">
        <f t="shared" ca="1" si="137"/>
        <v>6.2442691071428566E-2</v>
      </c>
      <c r="CP51" s="2790">
        <f t="shared" ca="1" si="137"/>
        <v>0</v>
      </c>
      <c r="CQ51" s="2790">
        <f t="shared" ca="1" si="137"/>
        <v>0</v>
      </c>
      <c r="CR51" s="2790">
        <f t="shared" ca="1" si="137"/>
        <v>0</v>
      </c>
      <c r="CS51" s="2790">
        <f t="shared" ca="1" si="137"/>
        <v>0</v>
      </c>
      <c r="CT51" s="2790">
        <f t="shared" ca="1" si="137"/>
        <v>0</v>
      </c>
      <c r="CU51" s="2790">
        <f t="shared" ca="1" si="137"/>
        <v>0</v>
      </c>
      <c r="CV51" s="2790">
        <f t="shared" ca="1" si="137"/>
        <v>0</v>
      </c>
      <c r="CW51" s="2790">
        <f t="shared" ca="1" si="137"/>
        <v>0</v>
      </c>
      <c r="CX51" s="2790">
        <f t="shared" ca="1" si="137"/>
        <v>0</v>
      </c>
      <c r="CY51" s="2790">
        <f t="shared" ca="1" si="137"/>
        <v>0</v>
      </c>
      <c r="CZ51" s="2790">
        <f t="shared" ca="1" si="137"/>
        <v>0</v>
      </c>
      <c r="DA51" s="2790">
        <f t="shared" ca="1" si="137"/>
        <v>0</v>
      </c>
      <c r="DB51" s="2790">
        <f t="shared" ca="1" si="137"/>
        <v>0</v>
      </c>
      <c r="DC51" s="2790">
        <f t="shared" ca="1" si="137"/>
        <v>0</v>
      </c>
      <c r="DD51" s="2790">
        <f t="shared" ca="1" si="137"/>
        <v>0</v>
      </c>
      <c r="DE51" s="2790">
        <f t="shared" ca="1" si="137"/>
        <v>0</v>
      </c>
      <c r="DF51" s="2790">
        <f t="shared" ca="1" si="137"/>
        <v>0</v>
      </c>
      <c r="DH51" s="596">
        <f t="shared" ca="1" si="120"/>
        <v>10.688276086841574</v>
      </c>
    </row>
    <row r="52" spans="1:112" s="6" customFormat="1" ht="12.75" customHeight="1" outlineLevel="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20"/>
        <v>0</v>
      </c>
    </row>
    <row r="53" spans="1:112" s="6" customFormat="1" outlineLevel="1">
      <c r="A53" s="607"/>
      <c r="B53" s="607"/>
      <c r="C53" s="651" t="s">
        <v>514</v>
      </c>
      <c r="D53" s="588" t="s">
        <v>515</v>
      </c>
      <c r="E53" s="588"/>
      <c r="G53" s="589">
        <f t="shared" ref="G53:P54" ca="1" si="138">IFERROR(INDEX(INDIRECT($C53&amp;".Outputs["&amp;this.Year&amp;"]"), MATCH(G$5, INDIRECT($C53&amp;".Outputs[Vector]"), 0)), 0)</f>
        <v>0</v>
      </c>
      <c r="H53" s="589">
        <f t="shared" ca="1" si="138"/>
        <v>0</v>
      </c>
      <c r="I53" s="589">
        <f t="shared" ca="1" si="138"/>
        <v>0</v>
      </c>
      <c r="J53" s="589">
        <f t="shared" ca="1" si="138"/>
        <v>0</v>
      </c>
      <c r="K53" s="589">
        <f t="shared" ca="1" si="138"/>
        <v>0</v>
      </c>
      <c r="L53" s="589">
        <f t="shared" ca="1" si="138"/>
        <v>0</v>
      </c>
      <c r="M53" s="589">
        <f t="shared" ca="1" si="138"/>
        <v>0</v>
      </c>
      <c r="N53" s="589">
        <f t="shared" ca="1" si="138"/>
        <v>0</v>
      </c>
      <c r="O53" s="589">
        <f t="shared" ca="1" si="138"/>
        <v>0</v>
      </c>
      <c r="P53" s="589">
        <f t="shared" ca="1" si="138"/>
        <v>0</v>
      </c>
      <c r="Q53" s="590">
        <f ca="1">SUM(G53:P53)</f>
        <v>0</v>
      </c>
      <c r="S53" s="591">
        <f t="shared" ref="S53:AJ54" ca="1" si="139">IFERROR(INDEX(INDIRECT($C53&amp;".Outputs["&amp;this.Year&amp;"]"), MATCH(S$5, INDIRECT($C53&amp;".Outputs[Vector]"), 0)), 0)</f>
        <v>-0.22598810482362028</v>
      </c>
      <c r="T53" s="591">
        <f t="shared" ca="1" si="139"/>
        <v>0</v>
      </c>
      <c r="U53" s="591">
        <f t="shared" ca="1" si="139"/>
        <v>0</v>
      </c>
      <c r="V53" s="591">
        <f t="shared" ca="1" si="139"/>
        <v>-1.8522858135888711</v>
      </c>
      <c r="W53" s="591">
        <f t="shared" ca="1" si="139"/>
        <v>-8.2401953248703863E-2</v>
      </c>
      <c r="X53" s="591">
        <f t="shared" ref="X53:Z54" ca="1" si="140">IFERROR(INDEX(INDIRECT($C53&amp;".Outputs["&amp;this.Year&amp;"]"), MATCH(X$5, INDIRECT($C53&amp;".Outputs[Vector]"), 0)), 0)</f>
        <v>0</v>
      </c>
      <c r="Y53" s="591">
        <f t="shared" ca="1" si="140"/>
        <v>0</v>
      </c>
      <c r="Z53" s="591">
        <f t="shared" ca="1" si="140"/>
        <v>0</v>
      </c>
      <c r="AA53" s="591">
        <f t="shared" ca="1" si="139"/>
        <v>0</v>
      </c>
      <c r="AB53" s="591">
        <f t="shared" ca="1" si="139"/>
        <v>-2.6537999724419409E-2</v>
      </c>
      <c r="AC53" s="591">
        <f t="shared" ca="1" si="139"/>
        <v>0</v>
      </c>
      <c r="AD53" s="591">
        <f t="shared" ca="1" si="139"/>
        <v>0</v>
      </c>
      <c r="AE53" s="591">
        <f t="shared" ca="1" si="139"/>
        <v>0</v>
      </c>
      <c r="AF53" s="591">
        <f t="shared" ca="1" si="139"/>
        <v>0</v>
      </c>
      <c r="AG53" s="591">
        <f t="shared" ca="1" si="139"/>
        <v>0</v>
      </c>
      <c r="AH53" s="591">
        <f t="shared" ca="1" si="139"/>
        <v>0</v>
      </c>
      <c r="AI53" s="591">
        <f t="shared" ca="1" si="139"/>
        <v>0</v>
      </c>
      <c r="AJ53" s="591">
        <f t="shared" ca="1" si="139"/>
        <v>0</v>
      </c>
      <c r="AK53" s="592">
        <f ca="1">SUM(S53:AJ53)</f>
        <v>-2.1872138713856146</v>
      </c>
      <c r="AM53" s="593">
        <f t="shared" ref="AM53:AU54" ca="1" si="141">IFERROR(INDEX(INDIRECT($C53&amp;".Outputs["&amp;this.Year&amp;"]"), MATCH(AM$5, INDIRECT($C53&amp;".Outputs[Vector]"), 0)), 0)</f>
        <v>0</v>
      </c>
      <c r="AN53" s="593">
        <f t="shared" ca="1" si="141"/>
        <v>0</v>
      </c>
      <c r="AO53" s="593">
        <f t="shared" ca="1" si="141"/>
        <v>0</v>
      </c>
      <c r="AP53" s="593">
        <f t="shared" ca="1" si="141"/>
        <v>0</v>
      </c>
      <c r="AQ53" s="593">
        <f t="shared" ca="1" si="141"/>
        <v>0</v>
      </c>
      <c r="AR53" s="593">
        <f t="shared" ca="1" si="141"/>
        <v>0</v>
      </c>
      <c r="AS53" s="593">
        <f t="shared" ca="1" si="141"/>
        <v>0</v>
      </c>
      <c r="AT53" s="593">
        <f t="shared" ca="1" si="141"/>
        <v>0</v>
      </c>
      <c r="AU53" s="593">
        <f t="shared" ca="1" si="141"/>
        <v>0</v>
      </c>
      <c r="AV53" s="593">
        <f t="shared" ref="AV53:BE54" ca="1" si="142">IFERROR(INDEX(INDIRECT($C53&amp;".Outputs["&amp;this.Year&amp;"]"), MATCH(AV$5, INDIRECT($C53&amp;".Outputs[Vector]"), 0)), 0)</f>
        <v>0</v>
      </c>
      <c r="AW53" s="593">
        <f t="shared" ca="1" si="142"/>
        <v>0</v>
      </c>
      <c r="AX53" s="593">
        <f t="shared" ca="1" si="142"/>
        <v>0</v>
      </c>
      <c r="AY53" s="593">
        <f t="shared" ca="1" si="142"/>
        <v>0</v>
      </c>
      <c r="AZ53" s="593">
        <f t="shared" ca="1" si="142"/>
        <v>0</v>
      </c>
      <c r="BA53" s="593">
        <f t="shared" ca="1" si="142"/>
        <v>0</v>
      </c>
      <c r="BB53" s="593">
        <f t="shared" ca="1" si="142"/>
        <v>0</v>
      </c>
      <c r="BC53" s="593">
        <f t="shared" ca="1" si="142"/>
        <v>0</v>
      </c>
      <c r="BD53" s="593">
        <f t="shared" ca="1" si="142"/>
        <v>0</v>
      </c>
      <c r="BE53" s="593">
        <f t="shared" ca="1" si="142"/>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43">IFERROR(SUMIFS(INDIRECT($C53&amp;".Emissions["&amp;this.Year&amp;"]"), INDIRECT($C53&amp;".Emissions[GHG]"), BO$6, INDIRECT($C53&amp;".Emissions[IPCC Sector]"), BO$5),0)</f>
        <v>0.50565060724124977</v>
      </c>
      <c r="BP53" s="2790">
        <f t="shared" ca="1" si="143"/>
        <v>4.2632801018755801E-4</v>
      </c>
      <c r="BQ53" s="2790">
        <f t="shared" ca="1" si="143"/>
        <v>1.5069762622732133E-3</v>
      </c>
      <c r="BR53" s="2790">
        <f t="shared" ca="1" si="143"/>
        <v>0</v>
      </c>
      <c r="BS53" s="2790">
        <f t="shared" ca="1" si="143"/>
        <v>0</v>
      </c>
      <c r="BT53" s="2790">
        <f t="shared" ca="1" si="143"/>
        <v>0</v>
      </c>
      <c r="BU53" s="2790">
        <f t="shared" ca="1" si="143"/>
        <v>0</v>
      </c>
      <c r="BV53" s="2790">
        <f t="shared" ca="1" si="143"/>
        <v>0</v>
      </c>
      <c r="BW53" s="2790">
        <f t="shared" ca="1" si="143"/>
        <v>0</v>
      </c>
      <c r="BX53" s="2790">
        <f t="shared" ca="1" si="143"/>
        <v>0</v>
      </c>
      <c r="BY53" s="2790">
        <f t="shared" ref="BY53:CH54" ca="1" si="144">IFERROR(SUMIFS(INDIRECT($C53&amp;".Emissions["&amp;this.Year&amp;"]"), INDIRECT($C53&amp;".Emissions[GHG]"), BY$6, INDIRECT($C53&amp;".Emissions[IPCC Sector]"), BY$5),0)</f>
        <v>0</v>
      </c>
      <c r="BZ53" s="2790">
        <f t="shared" ca="1" si="144"/>
        <v>0</v>
      </c>
      <c r="CA53" s="2790">
        <f t="shared" ca="1" si="144"/>
        <v>0</v>
      </c>
      <c r="CB53" s="2790">
        <f t="shared" ca="1" si="144"/>
        <v>0</v>
      </c>
      <c r="CC53" s="2790">
        <f t="shared" ca="1" si="144"/>
        <v>0</v>
      </c>
      <c r="CD53" s="2790">
        <f t="shared" ca="1" si="144"/>
        <v>0</v>
      </c>
      <c r="CE53" s="2790">
        <f t="shared" ca="1" si="144"/>
        <v>0</v>
      </c>
      <c r="CF53" s="2790">
        <f t="shared" ca="1" si="144"/>
        <v>0</v>
      </c>
      <c r="CG53" s="2790">
        <f t="shared" ca="1" si="144"/>
        <v>0</v>
      </c>
      <c r="CH53" s="2790">
        <f t="shared" ca="1" si="144"/>
        <v>0</v>
      </c>
      <c r="CI53" s="2790">
        <f t="shared" ref="CI53:CR54" ca="1" si="145">IFERROR(SUMIFS(INDIRECT($C53&amp;".Emissions["&amp;this.Year&amp;"]"), INDIRECT($C53&amp;".Emissions[GHG]"), CI$6, INDIRECT($C53&amp;".Emissions[IPCC Sector]"), CI$5),0)</f>
        <v>0</v>
      </c>
      <c r="CJ53" s="2790">
        <f t="shared" ca="1" si="145"/>
        <v>0</v>
      </c>
      <c r="CK53" s="2790">
        <f t="shared" ca="1" si="145"/>
        <v>0</v>
      </c>
      <c r="CL53" s="2790">
        <f t="shared" ca="1" si="145"/>
        <v>0</v>
      </c>
      <c r="CM53" s="2790">
        <f t="shared" ca="1" si="145"/>
        <v>0</v>
      </c>
      <c r="CN53" s="2790">
        <f t="shared" ca="1" si="145"/>
        <v>0</v>
      </c>
      <c r="CO53" s="2790">
        <f t="shared" ca="1" si="145"/>
        <v>0</v>
      </c>
      <c r="CP53" s="2790">
        <f t="shared" ca="1" si="145"/>
        <v>0</v>
      </c>
      <c r="CQ53" s="2790">
        <f t="shared" ca="1" si="145"/>
        <v>0</v>
      </c>
      <c r="CR53" s="2790">
        <f t="shared" ca="1" si="145"/>
        <v>0</v>
      </c>
      <c r="CS53" s="2790">
        <f t="shared" ref="CS53:DF54" ca="1" si="146">IFERROR(SUMIFS(INDIRECT($C53&amp;".Emissions["&amp;this.Year&amp;"]"), INDIRECT($C53&amp;".Emissions[GHG]"), CS$6, INDIRECT($C53&amp;".Emissions[IPCC Sector]"), CS$5),0)</f>
        <v>0</v>
      </c>
      <c r="CT53" s="2790">
        <f t="shared" ca="1" si="146"/>
        <v>0</v>
      </c>
      <c r="CU53" s="2790">
        <f t="shared" ca="1" si="146"/>
        <v>0</v>
      </c>
      <c r="CV53" s="2790">
        <f t="shared" ca="1" si="146"/>
        <v>0</v>
      </c>
      <c r="CW53" s="2790">
        <f t="shared" ca="1" si="146"/>
        <v>0</v>
      </c>
      <c r="CX53" s="2790">
        <f t="shared" ca="1" si="146"/>
        <v>0</v>
      </c>
      <c r="CY53" s="2790">
        <f t="shared" ca="1" si="146"/>
        <v>0</v>
      </c>
      <c r="CZ53" s="2790">
        <f t="shared" ca="1" si="146"/>
        <v>0</v>
      </c>
      <c r="DA53" s="2790">
        <f t="shared" ca="1" si="146"/>
        <v>0</v>
      </c>
      <c r="DB53" s="2790">
        <f t="shared" ca="1" si="146"/>
        <v>0</v>
      </c>
      <c r="DC53" s="2790">
        <f t="shared" ca="1" si="146"/>
        <v>0</v>
      </c>
      <c r="DD53" s="2790">
        <f t="shared" ca="1" si="146"/>
        <v>0</v>
      </c>
      <c r="DE53" s="2790">
        <f t="shared" ca="1" si="146"/>
        <v>0</v>
      </c>
      <c r="DF53" s="2790">
        <f t="shared" ca="1" si="146"/>
        <v>0</v>
      </c>
      <c r="DH53" s="596">
        <f t="shared" ca="1" si="120"/>
        <v>0.50758391151371063</v>
      </c>
    </row>
    <row r="54" spans="1:112" s="6" customFormat="1" outlineLevel="1">
      <c r="A54" s="607"/>
      <c r="B54" s="607"/>
      <c r="C54" s="651" t="s">
        <v>516</v>
      </c>
      <c r="D54" s="611" t="s">
        <v>517</v>
      </c>
      <c r="E54" s="611"/>
      <c r="G54" s="619">
        <f t="shared" ca="1" si="138"/>
        <v>0</v>
      </c>
      <c r="H54" s="619">
        <f t="shared" ca="1" si="138"/>
        <v>0</v>
      </c>
      <c r="I54" s="619">
        <f t="shared" ca="1" si="138"/>
        <v>0</v>
      </c>
      <c r="J54" s="619">
        <f t="shared" ca="1" si="138"/>
        <v>0</v>
      </c>
      <c r="K54" s="619">
        <f t="shared" ca="1" si="138"/>
        <v>0</v>
      </c>
      <c r="L54" s="619">
        <f t="shared" ca="1" si="138"/>
        <v>0</v>
      </c>
      <c r="M54" s="619">
        <f t="shared" ca="1" si="138"/>
        <v>0</v>
      </c>
      <c r="N54" s="619">
        <f t="shared" ca="1" si="138"/>
        <v>0</v>
      </c>
      <c r="O54" s="619">
        <f t="shared" ca="1" si="138"/>
        <v>0</v>
      </c>
      <c r="P54" s="619">
        <f t="shared" ca="1" si="138"/>
        <v>0</v>
      </c>
      <c r="Q54" s="612">
        <f ca="1">SUM(G54:P54)</f>
        <v>0</v>
      </c>
      <c r="S54" s="620">
        <f t="shared" ca="1" si="139"/>
        <v>0</v>
      </c>
      <c r="T54" s="620">
        <f t="shared" ca="1" si="139"/>
        <v>0</v>
      </c>
      <c r="U54" s="620">
        <f t="shared" ca="1" si="139"/>
        <v>0</v>
      </c>
      <c r="V54" s="620">
        <f t="shared" ca="1" si="139"/>
        <v>0</v>
      </c>
      <c r="W54" s="620">
        <f t="shared" ca="1" si="139"/>
        <v>0</v>
      </c>
      <c r="X54" s="620">
        <f t="shared" ca="1" si="140"/>
        <v>0</v>
      </c>
      <c r="Y54" s="620">
        <f t="shared" ca="1" si="140"/>
        <v>0</v>
      </c>
      <c r="Z54" s="620">
        <f t="shared" ca="1" si="140"/>
        <v>0</v>
      </c>
      <c r="AA54" s="620">
        <f t="shared" ca="1" si="139"/>
        <v>0</v>
      </c>
      <c r="AB54" s="620">
        <f t="shared" ca="1" si="139"/>
        <v>0</v>
      </c>
      <c r="AC54" s="620">
        <f t="shared" ca="1" si="139"/>
        <v>0</v>
      </c>
      <c r="AD54" s="620">
        <f t="shared" ca="1" si="139"/>
        <v>0</v>
      </c>
      <c r="AE54" s="620">
        <f t="shared" ca="1" si="139"/>
        <v>0</v>
      </c>
      <c r="AF54" s="620">
        <f t="shared" ca="1" si="139"/>
        <v>0</v>
      </c>
      <c r="AG54" s="620">
        <f t="shared" ca="1" si="139"/>
        <v>0</v>
      </c>
      <c r="AH54" s="620">
        <f t="shared" ca="1" si="139"/>
        <v>0</v>
      </c>
      <c r="AI54" s="620">
        <f t="shared" ca="1" si="139"/>
        <v>0</v>
      </c>
      <c r="AJ54" s="620">
        <f t="shared" ca="1" si="139"/>
        <v>0</v>
      </c>
      <c r="AK54" s="613">
        <f ca="1">SUM(S54:AJ54)</f>
        <v>0</v>
      </c>
      <c r="AM54" s="621">
        <f t="shared" ca="1" si="141"/>
        <v>0</v>
      </c>
      <c r="AN54" s="621">
        <f t="shared" ca="1" si="141"/>
        <v>0</v>
      </c>
      <c r="AO54" s="621">
        <f t="shared" ca="1" si="141"/>
        <v>0</v>
      </c>
      <c r="AP54" s="621">
        <f t="shared" ca="1" si="141"/>
        <v>0</v>
      </c>
      <c r="AQ54" s="621">
        <f t="shared" ca="1" si="141"/>
        <v>0</v>
      </c>
      <c r="AR54" s="621">
        <f t="shared" ca="1" si="141"/>
        <v>0</v>
      </c>
      <c r="AS54" s="621">
        <f t="shared" ca="1" si="141"/>
        <v>0</v>
      </c>
      <c r="AT54" s="621">
        <f t="shared" ca="1" si="141"/>
        <v>0</v>
      </c>
      <c r="AU54" s="621">
        <f t="shared" ca="1" si="141"/>
        <v>0</v>
      </c>
      <c r="AV54" s="621">
        <f t="shared" ca="1" si="142"/>
        <v>0</v>
      </c>
      <c r="AW54" s="621">
        <f t="shared" ca="1" si="142"/>
        <v>0</v>
      </c>
      <c r="AX54" s="621">
        <f t="shared" ca="1" si="142"/>
        <v>0</v>
      </c>
      <c r="AY54" s="621">
        <f t="shared" ca="1" si="142"/>
        <v>0</v>
      </c>
      <c r="AZ54" s="621">
        <f t="shared" ca="1" si="142"/>
        <v>0</v>
      </c>
      <c r="BA54" s="621">
        <f t="shared" ca="1" si="142"/>
        <v>0</v>
      </c>
      <c r="BB54" s="621">
        <f t="shared" ca="1" si="142"/>
        <v>0</v>
      </c>
      <c r="BC54" s="621">
        <f t="shared" ca="1" si="142"/>
        <v>0</v>
      </c>
      <c r="BD54" s="621">
        <f t="shared" ca="1" si="142"/>
        <v>0</v>
      </c>
      <c r="BE54" s="621">
        <f t="shared" ca="1" si="142"/>
        <v>0</v>
      </c>
      <c r="BF54" s="615">
        <f ca="1">SUM(AM54:BE54)</f>
        <v>0</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43"/>
        <v>0</v>
      </c>
      <c r="BP54" s="2792">
        <f t="shared" ca="1" si="143"/>
        <v>0</v>
      </c>
      <c r="BQ54" s="2792">
        <f t="shared" ca="1" si="143"/>
        <v>0</v>
      </c>
      <c r="BR54" s="2792">
        <f t="shared" ca="1" si="143"/>
        <v>0</v>
      </c>
      <c r="BS54" s="2792">
        <f t="shared" ca="1" si="143"/>
        <v>0</v>
      </c>
      <c r="BT54" s="2792">
        <f t="shared" ca="1" si="143"/>
        <v>0</v>
      </c>
      <c r="BU54" s="2792">
        <f t="shared" ca="1" si="143"/>
        <v>0</v>
      </c>
      <c r="BV54" s="2792">
        <f t="shared" ca="1" si="143"/>
        <v>0</v>
      </c>
      <c r="BW54" s="2792">
        <f t="shared" ca="1" si="143"/>
        <v>0</v>
      </c>
      <c r="BX54" s="2792">
        <f t="shared" ca="1" si="143"/>
        <v>0</v>
      </c>
      <c r="BY54" s="2792">
        <f t="shared" ca="1" si="144"/>
        <v>0</v>
      </c>
      <c r="BZ54" s="2792">
        <f t="shared" ca="1" si="144"/>
        <v>0</v>
      </c>
      <c r="CA54" s="2792">
        <f t="shared" ca="1" si="144"/>
        <v>0</v>
      </c>
      <c r="CB54" s="2792">
        <f t="shared" ca="1" si="144"/>
        <v>0</v>
      </c>
      <c r="CC54" s="2792">
        <f t="shared" ca="1" si="144"/>
        <v>0</v>
      </c>
      <c r="CD54" s="2792">
        <f t="shared" ca="1" si="144"/>
        <v>0</v>
      </c>
      <c r="CE54" s="2792">
        <f t="shared" ca="1" si="144"/>
        <v>0</v>
      </c>
      <c r="CF54" s="2792">
        <f t="shared" ca="1" si="144"/>
        <v>0</v>
      </c>
      <c r="CG54" s="2792">
        <f t="shared" ca="1" si="144"/>
        <v>0</v>
      </c>
      <c r="CH54" s="2792">
        <f t="shared" ca="1" si="144"/>
        <v>0</v>
      </c>
      <c r="CI54" s="2792">
        <f t="shared" ca="1" si="145"/>
        <v>0</v>
      </c>
      <c r="CJ54" s="2792">
        <f t="shared" ca="1" si="145"/>
        <v>0</v>
      </c>
      <c r="CK54" s="2792">
        <f t="shared" ca="1" si="145"/>
        <v>0</v>
      </c>
      <c r="CL54" s="2792">
        <f t="shared" ca="1" si="145"/>
        <v>0</v>
      </c>
      <c r="CM54" s="2792">
        <f t="shared" ca="1" si="145"/>
        <v>0</v>
      </c>
      <c r="CN54" s="2792">
        <f t="shared" ca="1" si="145"/>
        <v>0</v>
      </c>
      <c r="CO54" s="2792">
        <f t="shared" ca="1" si="145"/>
        <v>0</v>
      </c>
      <c r="CP54" s="2792">
        <f t="shared" ca="1" si="145"/>
        <v>0</v>
      </c>
      <c r="CQ54" s="2792">
        <f t="shared" ca="1" si="145"/>
        <v>0</v>
      </c>
      <c r="CR54" s="2792">
        <f t="shared" ca="1" si="145"/>
        <v>0</v>
      </c>
      <c r="CS54" s="2792">
        <f t="shared" ca="1" si="146"/>
        <v>0</v>
      </c>
      <c r="CT54" s="2792">
        <f t="shared" ca="1" si="146"/>
        <v>0</v>
      </c>
      <c r="CU54" s="2792">
        <f t="shared" ca="1" si="146"/>
        <v>0</v>
      </c>
      <c r="CV54" s="2792">
        <f t="shared" ca="1" si="146"/>
        <v>0</v>
      </c>
      <c r="CW54" s="2792">
        <f t="shared" ca="1" si="146"/>
        <v>0</v>
      </c>
      <c r="CX54" s="2792">
        <f t="shared" ca="1" si="146"/>
        <v>0</v>
      </c>
      <c r="CY54" s="2792">
        <f t="shared" ca="1" si="146"/>
        <v>0</v>
      </c>
      <c r="CZ54" s="2792">
        <f t="shared" ca="1" si="146"/>
        <v>0</v>
      </c>
      <c r="DA54" s="2792">
        <f t="shared" ca="1" si="146"/>
        <v>0</v>
      </c>
      <c r="DB54" s="2792">
        <f t="shared" ca="1" si="146"/>
        <v>0</v>
      </c>
      <c r="DC54" s="2792">
        <f t="shared" ca="1" si="146"/>
        <v>0</v>
      </c>
      <c r="DD54" s="2792">
        <f t="shared" ca="1" si="146"/>
        <v>0</v>
      </c>
      <c r="DE54" s="2792">
        <f t="shared" ca="1" si="146"/>
        <v>0</v>
      </c>
      <c r="DF54" s="2792">
        <f t="shared" ca="1" si="146"/>
        <v>0</v>
      </c>
      <c r="DH54" s="596">
        <f t="shared" ca="1" si="120"/>
        <v>0</v>
      </c>
    </row>
    <row r="55" spans="1:112" s="6" customFormat="1" ht="15.75">
      <c r="A55" s="652"/>
      <c r="B55" s="653"/>
      <c r="C55" s="616" t="s">
        <v>518</v>
      </c>
      <c r="D55" s="617" t="s">
        <v>519</v>
      </c>
      <c r="E55" s="206"/>
      <c r="G55" s="618">
        <f ca="1">SUM(G53:G54)</f>
        <v>0</v>
      </c>
      <c r="H55" s="618">
        <f t="shared" ref="H55:P55" ca="1" si="147">SUM(H53:H54)</f>
        <v>0</v>
      </c>
      <c r="I55" s="618">
        <f t="shared" ca="1" si="147"/>
        <v>0</v>
      </c>
      <c r="J55" s="618">
        <f t="shared" ca="1" si="147"/>
        <v>0</v>
      </c>
      <c r="K55" s="618">
        <f t="shared" ca="1" si="147"/>
        <v>0</v>
      </c>
      <c r="L55" s="618">
        <f t="shared" ca="1" si="147"/>
        <v>0</v>
      </c>
      <c r="M55" s="618">
        <f t="shared" ca="1" si="147"/>
        <v>0</v>
      </c>
      <c r="N55" s="618">
        <f t="shared" ca="1" si="147"/>
        <v>0</v>
      </c>
      <c r="O55" s="618">
        <f t="shared" ca="1" si="147"/>
        <v>0</v>
      </c>
      <c r="P55" s="618">
        <f t="shared" ca="1" si="147"/>
        <v>0</v>
      </c>
      <c r="Q55" s="618">
        <f ca="1">SUM(G55:P55)</f>
        <v>0</v>
      </c>
      <c r="S55" s="581">
        <f t="shared" ref="S55:AJ55" ca="1" si="148">SUM(S53:S54)</f>
        <v>-0.22598810482362028</v>
      </c>
      <c r="T55" s="581">
        <f t="shared" ca="1" si="148"/>
        <v>0</v>
      </c>
      <c r="U55" s="581">
        <f t="shared" ca="1" si="148"/>
        <v>0</v>
      </c>
      <c r="V55" s="581">
        <f t="shared" ca="1" si="148"/>
        <v>-1.8522858135888711</v>
      </c>
      <c r="W55" s="581">
        <f t="shared" ca="1" si="148"/>
        <v>-8.2401953248703863E-2</v>
      </c>
      <c r="X55" s="581">
        <f ca="1">SUM(X53:X54)</f>
        <v>0</v>
      </c>
      <c r="Y55" s="581">
        <f ca="1">SUM(Y53:Y54)</f>
        <v>0</v>
      </c>
      <c r="Z55" s="581">
        <f ca="1">SUM(Z53:Z54)</f>
        <v>0</v>
      </c>
      <c r="AA55" s="581">
        <f t="shared" ca="1" si="148"/>
        <v>0</v>
      </c>
      <c r="AB55" s="581">
        <f t="shared" ca="1" si="148"/>
        <v>-2.6537999724419409E-2</v>
      </c>
      <c r="AC55" s="581">
        <f t="shared" ca="1" si="148"/>
        <v>0</v>
      </c>
      <c r="AD55" s="581">
        <f ca="1">SUM(AD53:AD54)</f>
        <v>0</v>
      </c>
      <c r="AE55" s="581">
        <f ca="1">SUM(AE53:AE54)</f>
        <v>0</v>
      </c>
      <c r="AF55" s="581">
        <f t="shared" ca="1" si="148"/>
        <v>0</v>
      </c>
      <c r="AG55" s="581">
        <f ca="1">SUM(AG53:AG54)</f>
        <v>0</v>
      </c>
      <c r="AH55" s="581">
        <f ca="1">SUM(AH53:AH54)</f>
        <v>0</v>
      </c>
      <c r="AI55" s="581">
        <f ca="1">SUM(AI53:AI54)</f>
        <v>0</v>
      </c>
      <c r="AJ55" s="581">
        <f t="shared" ca="1" si="148"/>
        <v>0</v>
      </c>
      <c r="AK55" s="581">
        <f ca="1">SUM(S55:AJ55)</f>
        <v>-2.1872138713856146</v>
      </c>
      <c r="AM55" s="582">
        <f t="shared" ref="AM55:BE55" ca="1" si="149">SUM(AM53:AM54)</f>
        <v>0</v>
      </c>
      <c r="AN55" s="582">
        <f t="shared" ca="1" si="149"/>
        <v>0</v>
      </c>
      <c r="AO55" s="582">
        <f t="shared" ca="1" si="149"/>
        <v>0</v>
      </c>
      <c r="AP55" s="582">
        <f t="shared" ca="1" si="149"/>
        <v>0</v>
      </c>
      <c r="AQ55" s="582">
        <f t="shared" ca="1" si="149"/>
        <v>0</v>
      </c>
      <c r="AR55" s="582">
        <f t="shared" ca="1" si="149"/>
        <v>0</v>
      </c>
      <c r="AS55" s="582">
        <f t="shared" ca="1" si="149"/>
        <v>0</v>
      </c>
      <c r="AT55" s="582">
        <f t="shared" ca="1" si="149"/>
        <v>0</v>
      </c>
      <c r="AU55" s="582">
        <f t="shared" ca="1" si="149"/>
        <v>0</v>
      </c>
      <c r="AV55" s="582">
        <f t="shared" ca="1" si="149"/>
        <v>0</v>
      </c>
      <c r="AW55" s="582">
        <f t="shared" ca="1" si="149"/>
        <v>0</v>
      </c>
      <c r="AX55" s="582">
        <f t="shared" ca="1" si="149"/>
        <v>0</v>
      </c>
      <c r="AY55" s="582">
        <f t="shared" ca="1" si="149"/>
        <v>0</v>
      </c>
      <c r="AZ55" s="582">
        <f t="shared" ca="1" si="149"/>
        <v>0</v>
      </c>
      <c r="BA55" s="582">
        <f t="shared" ca="1" si="149"/>
        <v>0</v>
      </c>
      <c r="BB55" s="582">
        <f t="shared" ca="1" si="149"/>
        <v>0</v>
      </c>
      <c r="BC55" s="582">
        <f t="shared" ca="1" si="149"/>
        <v>0</v>
      </c>
      <c r="BD55" s="582">
        <f ca="1">SUM(BD53:BD54)</f>
        <v>0</v>
      </c>
      <c r="BE55" s="582">
        <f t="shared" ca="1" si="149"/>
        <v>0</v>
      </c>
      <c r="BF55" s="582">
        <f ca="1">SUM(AM55:BE55)</f>
        <v>0</v>
      </c>
      <c r="BH55" s="3463">
        <f ca="1">SUM(BH53:BH54)</f>
        <v>0</v>
      </c>
      <c r="BI55" s="3463">
        <f ca="1">SUM(BI53:BI54)</f>
        <v>2.1872138713856146</v>
      </c>
      <c r="BJ55" s="3463">
        <f ca="1">SUM(BH55:BI55)</f>
        <v>2.1872138713856146</v>
      </c>
      <c r="BL55" s="3477">
        <f t="shared" ref="BL55:BL63" ca="1" si="150">Q55+AK55+BF55+BJ55</f>
        <v>0</v>
      </c>
      <c r="BM55" s="654"/>
      <c r="BN55" s="413"/>
      <c r="BO55" s="2789">
        <f t="shared" ref="BO55:DF55" ca="1" si="151">SUM(BO53:BO54)</f>
        <v>0.50565060724124977</v>
      </c>
      <c r="BP55" s="2790">
        <f t="shared" ca="1" si="151"/>
        <v>4.2632801018755801E-4</v>
      </c>
      <c r="BQ55" s="2790">
        <f t="shared" ca="1" si="151"/>
        <v>1.5069762622732133E-3</v>
      </c>
      <c r="BR55" s="2790">
        <f t="shared" ca="1" si="151"/>
        <v>0</v>
      </c>
      <c r="BS55" s="2790">
        <f t="shared" ca="1" si="151"/>
        <v>0</v>
      </c>
      <c r="BT55" s="2790">
        <f t="shared" ca="1" si="151"/>
        <v>0</v>
      </c>
      <c r="BU55" s="2790">
        <f t="shared" ca="1" si="151"/>
        <v>0</v>
      </c>
      <c r="BV55" s="2790">
        <f t="shared" ca="1" si="151"/>
        <v>0</v>
      </c>
      <c r="BW55" s="2790">
        <f t="shared" ca="1" si="151"/>
        <v>0</v>
      </c>
      <c r="BX55" s="2790">
        <f t="shared" ca="1" si="151"/>
        <v>0</v>
      </c>
      <c r="BY55" s="2790">
        <f t="shared" ca="1" si="151"/>
        <v>0</v>
      </c>
      <c r="BZ55" s="2790">
        <f t="shared" ca="1" si="151"/>
        <v>0</v>
      </c>
      <c r="CA55" s="2790">
        <f t="shared" ca="1" si="151"/>
        <v>0</v>
      </c>
      <c r="CB55" s="2790">
        <f t="shared" ca="1" si="151"/>
        <v>0</v>
      </c>
      <c r="CC55" s="2790">
        <f t="shared" ca="1" si="151"/>
        <v>0</v>
      </c>
      <c r="CD55" s="2790">
        <f t="shared" ca="1" si="151"/>
        <v>0</v>
      </c>
      <c r="CE55" s="2790">
        <f t="shared" ca="1" si="151"/>
        <v>0</v>
      </c>
      <c r="CF55" s="2790">
        <f t="shared" ca="1" si="151"/>
        <v>0</v>
      </c>
      <c r="CG55" s="2790">
        <f t="shared" ca="1" si="151"/>
        <v>0</v>
      </c>
      <c r="CH55" s="2790">
        <f t="shared" ca="1" si="151"/>
        <v>0</v>
      </c>
      <c r="CI55" s="2790">
        <f t="shared" ca="1" si="151"/>
        <v>0</v>
      </c>
      <c r="CJ55" s="2790">
        <f t="shared" ca="1" si="151"/>
        <v>0</v>
      </c>
      <c r="CK55" s="2790">
        <f t="shared" ca="1" si="151"/>
        <v>0</v>
      </c>
      <c r="CL55" s="2790">
        <f t="shared" ca="1" si="151"/>
        <v>0</v>
      </c>
      <c r="CM55" s="2790">
        <f t="shared" ca="1" si="151"/>
        <v>0</v>
      </c>
      <c r="CN55" s="2790">
        <f t="shared" ca="1" si="151"/>
        <v>0</v>
      </c>
      <c r="CO55" s="2790">
        <f t="shared" ca="1" si="151"/>
        <v>0</v>
      </c>
      <c r="CP55" s="2790">
        <f t="shared" ca="1" si="151"/>
        <v>0</v>
      </c>
      <c r="CQ55" s="2790">
        <f t="shared" ca="1" si="151"/>
        <v>0</v>
      </c>
      <c r="CR55" s="2790">
        <f t="shared" ca="1" si="151"/>
        <v>0</v>
      </c>
      <c r="CS55" s="2790">
        <f t="shared" ca="1" si="151"/>
        <v>0</v>
      </c>
      <c r="CT55" s="2790">
        <f t="shared" ca="1" si="151"/>
        <v>0</v>
      </c>
      <c r="CU55" s="2790">
        <f t="shared" ca="1" si="151"/>
        <v>0</v>
      </c>
      <c r="CV55" s="2790">
        <f t="shared" ca="1" si="151"/>
        <v>0</v>
      </c>
      <c r="CW55" s="2790">
        <f t="shared" ca="1" si="151"/>
        <v>0</v>
      </c>
      <c r="CX55" s="2790">
        <f t="shared" ca="1" si="151"/>
        <v>0</v>
      </c>
      <c r="CY55" s="2790">
        <f t="shared" ca="1" si="151"/>
        <v>0</v>
      </c>
      <c r="CZ55" s="2790">
        <f t="shared" ca="1" si="151"/>
        <v>0</v>
      </c>
      <c r="DA55" s="2790">
        <f t="shared" ca="1" si="151"/>
        <v>0</v>
      </c>
      <c r="DB55" s="2790">
        <f t="shared" ca="1" si="151"/>
        <v>0</v>
      </c>
      <c r="DC55" s="2790">
        <f t="shared" ca="1" si="151"/>
        <v>0</v>
      </c>
      <c r="DD55" s="2790">
        <f t="shared" ca="1" si="151"/>
        <v>0</v>
      </c>
      <c r="DE55" s="2790">
        <f t="shared" ca="1" si="151"/>
        <v>0</v>
      </c>
      <c r="DF55" s="2790">
        <f t="shared" ca="1" si="151"/>
        <v>0</v>
      </c>
      <c r="DH55" s="596">
        <f t="shared" ca="1" si="120"/>
        <v>0.50758391151371063</v>
      </c>
    </row>
    <row r="56" spans="1:112" s="6" customFormat="1" outlineLevel="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50"/>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20"/>
        <v>0</v>
      </c>
    </row>
    <row r="57" spans="1:112" s="607" customFormat="1" ht="12.75" customHeight="1" outlineLevel="1">
      <c r="C57" s="587" t="s">
        <v>520</v>
      </c>
      <c r="D57" s="588" t="s">
        <v>521</v>
      </c>
      <c r="E57" s="588"/>
      <c r="F57" s="6"/>
      <c r="G57" s="589">
        <f t="shared" ref="G57:P62" ca="1" si="152">IFERROR(INDEX(INDIRECT($C57&amp;".Outputs["&amp;this.Year&amp;"]"), MATCH(G$5, INDIRECT($C57&amp;".Outputs[Vector]"), 0)), 0)</f>
        <v>0</v>
      </c>
      <c r="H57" s="589">
        <f t="shared" ca="1" si="152"/>
        <v>0</v>
      </c>
      <c r="I57" s="589">
        <f t="shared" ca="1" si="152"/>
        <v>0</v>
      </c>
      <c r="J57" s="589">
        <f t="shared" ca="1" si="152"/>
        <v>0</v>
      </c>
      <c r="K57" s="589">
        <f t="shared" ca="1" si="152"/>
        <v>0</v>
      </c>
      <c r="L57" s="589">
        <f t="shared" ca="1" si="152"/>
        <v>0</v>
      </c>
      <c r="M57" s="589">
        <f t="shared" ca="1" si="152"/>
        <v>0</v>
      </c>
      <c r="N57" s="589">
        <f t="shared" ca="1" si="152"/>
        <v>0</v>
      </c>
      <c r="O57" s="589">
        <f t="shared" ca="1" si="152"/>
        <v>0</v>
      </c>
      <c r="P57" s="589">
        <f t="shared" ca="1" si="152"/>
        <v>0</v>
      </c>
      <c r="Q57" s="590">
        <f t="shared" ref="Q57:Q63" ca="1" si="153">SUM(G57:P57)</f>
        <v>0</v>
      </c>
      <c r="R57" s="6"/>
      <c r="S57" s="591">
        <f t="shared" ref="S57:AJ62" ca="1" si="154">IFERROR(INDEX(INDIRECT($C57&amp;".Outputs["&amp;this.Year&amp;"]"), MATCH(S$5, INDIRECT($C57&amp;".Outputs[Vector]"), 0)), 0)</f>
        <v>0</v>
      </c>
      <c r="T57" s="591">
        <f t="shared" ca="1" si="154"/>
        <v>22.3427808</v>
      </c>
      <c r="U57" s="591">
        <f t="shared" ca="1" si="154"/>
        <v>0</v>
      </c>
      <c r="V57" s="591">
        <f t="shared" ca="1" si="154"/>
        <v>0</v>
      </c>
      <c r="W57" s="591">
        <f t="shared" ca="1" si="154"/>
        <v>0</v>
      </c>
      <c r="X57" s="591">
        <f t="shared" ref="X57:Z62" ca="1" si="155">IFERROR(INDEX(INDIRECT($C57&amp;".Outputs["&amp;this.Year&amp;"]"), MATCH(X$5, INDIRECT($C57&amp;".Outputs[Vector]"), 0)), 0)</f>
        <v>0</v>
      </c>
      <c r="Y57" s="591">
        <f t="shared" ca="1" si="155"/>
        <v>0</v>
      </c>
      <c r="Z57" s="591">
        <f t="shared" ca="1" si="155"/>
        <v>0</v>
      </c>
      <c r="AA57" s="591">
        <f t="shared" ca="1" si="154"/>
        <v>0</v>
      </c>
      <c r="AB57" s="591">
        <f t="shared" ca="1" si="154"/>
        <v>0</v>
      </c>
      <c r="AC57" s="591">
        <f t="shared" ca="1" si="154"/>
        <v>0</v>
      </c>
      <c r="AD57" s="591">
        <f t="shared" ca="1" si="154"/>
        <v>0</v>
      </c>
      <c r="AE57" s="591">
        <f t="shared" ca="1" si="154"/>
        <v>0</v>
      </c>
      <c r="AF57" s="591">
        <f t="shared" ca="1" si="154"/>
        <v>0</v>
      </c>
      <c r="AG57" s="591">
        <f t="shared" ca="1" si="154"/>
        <v>0</v>
      </c>
      <c r="AH57" s="591">
        <f t="shared" ca="1" si="154"/>
        <v>0</v>
      </c>
      <c r="AI57" s="591">
        <f t="shared" ca="1" si="154"/>
        <v>0</v>
      </c>
      <c r="AJ57" s="591">
        <f t="shared" ca="1" si="154"/>
        <v>0</v>
      </c>
      <c r="AK57" s="592">
        <f t="shared" ref="AK57:AK63" ca="1" si="156">SUM(S57:AJ57)</f>
        <v>22.3427808</v>
      </c>
      <c r="AL57" s="6"/>
      <c r="AM57" s="593">
        <f t="shared" ref="AM57:AU62" ca="1" si="157">IFERROR(INDEX(INDIRECT($C57&amp;".Outputs["&amp;this.Year&amp;"]"), MATCH(AM$5, INDIRECT($C57&amp;".Outputs[Vector]"), 0)), 0)</f>
        <v>0</v>
      </c>
      <c r="AN57" s="593">
        <f t="shared" ca="1" si="157"/>
        <v>0</v>
      </c>
      <c r="AO57" s="593">
        <f t="shared" ca="1" si="157"/>
        <v>0</v>
      </c>
      <c r="AP57" s="593">
        <f t="shared" ca="1" si="157"/>
        <v>0</v>
      </c>
      <c r="AQ57" s="593">
        <f t="shared" ca="1" si="157"/>
        <v>0</v>
      </c>
      <c r="AR57" s="593">
        <f t="shared" ca="1" si="157"/>
        <v>0</v>
      </c>
      <c r="AS57" s="593">
        <f t="shared" ca="1" si="157"/>
        <v>0</v>
      </c>
      <c r="AT57" s="593">
        <f t="shared" ca="1" si="157"/>
        <v>0</v>
      </c>
      <c r="AU57" s="593">
        <f t="shared" ca="1" si="157"/>
        <v>0</v>
      </c>
      <c r="AV57" s="593">
        <f t="shared" ref="AV57:BE62" ca="1" si="158">IFERROR(INDEX(INDIRECT($C57&amp;".Outputs["&amp;this.Year&amp;"]"), MATCH(AV$5, INDIRECT($C57&amp;".Outputs[Vector]"), 0)), 0)</f>
        <v>0</v>
      </c>
      <c r="AW57" s="593">
        <f t="shared" ca="1" si="158"/>
        <v>0</v>
      </c>
      <c r="AX57" s="593">
        <f t="shared" ca="1" si="158"/>
        <v>-22.3427808</v>
      </c>
      <c r="AY57" s="593">
        <f t="shared" ca="1" si="158"/>
        <v>0</v>
      </c>
      <c r="AZ57" s="593">
        <f t="shared" ca="1" si="158"/>
        <v>0</v>
      </c>
      <c r="BA57" s="593">
        <f t="shared" ca="1" si="158"/>
        <v>0</v>
      </c>
      <c r="BB57" s="593">
        <f t="shared" ca="1" si="158"/>
        <v>0</v>
      </c>
      <c r="BC57" s="593">
        <f t="shared" ca="1" si="158"/>
        <v>0</v>
      </c>
      <c r="BD57" s="593">
        <f t="shared" ca="1" si="158"/>
        <v>0</v>
      </c>
      <c r="BE57" s="593">
        <f t="shared" ca="1" si="158"/>
        <v>0</v>
      </c>
      <c r="BF57" s="609">
        <f t="shared" ref="BF57:BF63" ca="1" si="159">SUM(AM57:BE57)</f>
        <v>-22.3427808</v>
      </c>
      <c r="BG57" s="6"/>
      <c r="BH57" s="3471">
        <f t="shared" ref="BH57:BI62" ca="1" si="160">IFERROR(INDEX(INDIRECT($C57&amp;".Outputs["&amp;this.Year&amp;"]"), MATCH(BH$5, INDIRECT($C57&amp;".Outputs[Vector]"), 0)), 0)</f>
        <v>0</v>
      </c>
      <c r="BI57" s="3471">
        <f t="shared" ca="1" si="160"/>
        <v>0</v>
      </c>
      <c r="BJ57" s="3460">
        <f t="shared" ref="BJ57:BJ63" ca="1" si="161">SUM(BH57:BI57)</f>
        <v>0</v>
      </c>
      <c r="BK57" s="6"/>
      <c r="BL57" s="610">
        <f t="shared" ca="1" si="150"/>
        <v>0</v>
      </c>
      <c r="BM57" s="610"/>
      <c r="BN57" s="413"/>
      <c r="BO57" s="2789">
        <f t="shared" ref="BO57:BX62" ca="1" si="162">IFERROR(SUMIFS(INDIRECT($C57&amp;".Emissions["&amp;this.Year&amp;"]"), INDIRECT($C57&amp;".Emissions[GHG]"), BO$6, INDIRECT($C57&amp;".Emissions[IPCC Sector]"), BO$5),0)</f>
        <v>0</v>
      </c>
      <c r="BP57" s="2790">
        <f t="shared" ca="1" si="162"/>
        <v>0</v>
      </c>
      <c r="BQ57" s="2790">
        <f t="shared" ca="1" si="162"/>
        <v>0</v>
      </c>
      <c r="BR57" s="2790">
        <f t="shared" ca="1" si="162"/>
        <v>0</v>
      </c>
      <c r="BS57" s="2790">
        <f t="shared" ca="1" si="162"/>
        <v>0</v>
      </c>
      <c r="BT57" s="2790">
        <f t="shared" ca="1" si="162"/>
        <v>0</v>
      </c>
      <c r="BU57" s="2790">
        <f t="shared" ca="1" si="162"/>
        <v>0</v>
      </c>
      <c r="BV57" s="2790">
        <f t="shared" ca="1" si="162"/>
        <v>0</v>
      </c>
      <c r="BW57" s="2790">
        <f t="shared" ca="1" si="162"/>
        <v>0</v>
      </c>
      <c r="BX57" s="2790">
        <f t="shared" ca="1" si="162"/>
        <v>0</v>
      </c>
      <c r="BY57" s="2790">
        <f t="shared" ref="BY57:CH62" ca="1" si="163">IFERROR(SUMIFS(INDIRECT($C57&amp;".Emissions["&amp;this.Year&amp;"]"), INDIRECT($C57&amp;".Emissions[GHG]"), BY$6, INDIRECT($C57&amp;".Emissions[IPCC Sector]"), BY$5),0)</f>
        <v>0</v>
      </c>
      <c r="BZ57" s="2790">
        <f t="shared" ca="1" si="163"/>
        <v>0</v>
      </c>
      <c r="CA57" s="2790">
        <f t="shared" ca="1" si="163"/>
        <v>0</v>
      </c>
      <c r="CB57" s="2790">
        <f t="shared" ca="1" si="163"/>
        <v>0</v>
      </c>
      <c r="CC57" s="2790">
        <f t="shared" ca="1" si="163"/>
        <v>0</v>
      </c>
      <c r="CD57" s="2790">
        <f t="shared" ca="1" si="163"/>
        <v>0</v>
      </c>
      <c r="CE57" s="2790">
        <f t="shared" ca="1" si="163"/>
        <v>0</v>
      </c>
      <c r="CF57" s="2790">
        <f t="shared" ca="1" si="163"/>
        <v>0</v>
      </c>
      <c r="CG57" s="2790">
        <f t="shared" ca="1" si="163"/>
        <v>0</v>
      </c>
      <c r="CH57" s="2790">
        <f t="shared" ca="1" si="163"/>
        <v>0</v>
      </c>
      <c r="CI57" s="2790">
        <f t="shared" ref="CI57:CR62" ca="1" si="164">IFERROR(SUMIFS(INDIRECT($C57&amp;".Emissions["&amp;this.Year&amp;"]"), INDIRECT($C57&amp;".Emissions[GHG]"), CI$6, INDIRECT($C57&amp;".Emissions[IPCC Sector]"), CI$5),0)</f>
        <v>0</v>
      </c>
      <c r="CJ57" s="2790">
        <f t="shared" ca="1" si="164"/>
        <v>0</v>
      </c>
      <c r="CK57" s="2790">
        <f t="shared" ca="1" si="164"/>
        <v>0</v>
      </c>
      <c r="CL57" s="2790">
        <f t="shared" ca="1" si="164"/>
        <v>0</v>
      </c>
      <c r="CM57" s="2790">
        <f t="shared" ca="1" si="164"/>
        <v>0</v>
      </c>
      <c r="CN57" s="2790">
        <f t="shared" ca="1" si="164"/>
        <v>0</v>
      </c>
      <c r="CO57" s="2790">
        <f t="shared" ca="1" si="164"/>
        <v>0</v>
      </c>
      <c r="CP57" s="2790">
        <f t="shared" ca="1" si="164"/>
        <v>0</v>
      </c>
      <c r="CQ57" s="2790">
        <f t="shared" ca="1" si="164"/>
        <v>0</v>
      </c>
      <c r="CR57" s="2790">
        <f t="shared" ca="1" si="164"/>
        <v>0</v>
      </c>
      <c r="CS57" s="2790">
        <f t="shared" ref="CS57:DF62" ca="1" si="165">IFERROR(SUMIFS(INDIRECT($C57&amp;".Emissions["&amp;this.Year&amp;"]"), INDIRECT($C57&amp;".Emissions[GHG]"), CS$6, INDIRECT($C57&amp;".Emissions[IPCC Sector]"), CS$5),0)</f>
        <v>0</v>
      </c>
      <c r="CT57" s="2790">
        <f t="shared" ca="1" si="165"/>
        <v>0</v>
      </c>
      <c r="CU57" s="2790">
        <f t="shared" ca="1" si="165"/>
        <v>0</v>
      </c>
      <c r="CV57" s="2790">
        <f t="shared" ca="1" si="165"/>
        <v>0</v>
      </c>
      <c r="CW57" s="2790">
        <f t="shared" ca="1" si="165"/>
        <v>0</v>
      </c>
      <c r="CX57" s="2790">
        <f t="shared" ca="1" si="165"/>
        <v>0</v>
      </c>
      <c r="CY57" s="2790">
        <f t="shared" ca="1" si="165"/>
        <v>0</v>
      </c>
      <c r="CZ57" s="2790">
        <f t="shared" ca="1" si="165"/>
        <v>0</v>
      </c>
      <c r="DA57" s="2790">
        <f t="shared" ca="1" si="165"/>
        <v>0</v>
      </c>
      <c r="DB57" s="2790">
        <f t="shared" ca="1" si="165"/>
        <v>0</v>
      </c>
      <c r="DC57" s="2790">
        <f t="shared" ca="1" si="165"/>
        <v>0</v>
      </c>
      <c r="DD57" s="2790">
        <f t="shared" ca="1" si="165"/>
        <v>0</v>
      </c>
      <c r="DE57" s="2790">
        <f t="shared" ca="1" si="165"/>
        <v>0</v>
      </c>
      <c r="DF57" s="2790">
        <f t="shared" ca="1" si="165"/>
        <v>0</v>
      </c>
      <c r="DH57" s="596">
        <f t="shared" ca="1" si="120"/>
        <v>0</v>
      </c>
    </row>
    <row r="58" spans="1:112" s="607" customFormat="1" ht="12.75" customHeight="1" outlineLevel="1">
      <c r="C58" s="587" t="s">
        <v>522</v>
      </c>
      <c r="D58" s="588" t="s">
        <v>523</v>
      </c>
      <c r="E58" s="588"/>
      <c r="F58" s="6"/>
      <c r="G58" s="589">
        <f t="shared" ca="1" si="152"/>
        <v>0</v>
      </c>
      <c r="H58" s="589">
        <f t="shared" ca="1" si="152"/>
        <v>0</v>
      </c>
      <c r="I58" s="589">
        <f t="shared" ca="1" si="152"/>
        <v>0</v>
      </c>
      <c r="J58" s="589">
        <f t="shared" ca="1" si="152"/>
        <v>0</v>
      </c>
      <c r="K58" s="589">
        <f t="shared" ca="1" si="152"/>
        <v>0</v>
      </c>
      <c r="L58" s="589">
        <f t="shared" ca="1" si="152"/>
        <v>0</v>
      </c>
      <c r="M58" s="589">
        <f t="shared" ca="1" si="152"/>
        <v>0</v>
      </c>
      <c r="N58" s="589">
        <f t="shared" ca="1" si="152"/>
        <v>0</v>
      </c>
      <c r="O58" s="589">
        <f t="shared" ca="1" si="152"/>
        <v>0</v>
      </c>
      <c r="P58" s="589">
        <f t="shared" ca="1" si="152"/>
        <v>0</v>
      </c>
      <c r="Q58" s="590">
        <f ca="1">SUM(G58:P58)</f>
        <v>0</v>
      </c>
      <c r="R58" s="6"/>
      <c r="S58" s="591">
        <f t="shared" ca="1" si="154"/>
        <v>0</v>
      </c>
      <c r="T58" s="591">
        <f t="shared" ca="1" si="154"/>
        <v>16.074652500000003</v>
      </c>
      <c r="U58" s="591">
        <f t="shared" ca="1" si="154"/>
        <v>0</v>
      </c>
      <c r="V58" s="591">
        <f t="shared" ca="1" si="154"/>
        <v>0</v>
      </c>
      <c r="W58" s="591">
        <f t="shared" ca="1" si="154"/>
        <v>0</v>
      </c>
      <c r="X58" s="591">
        <f t="shared" ca="1" si="155"/>
        <v>0</v>
      </c>
      <c r="Y58" s="591">
        <f t="shared" ca="1" si="155"/>
        <v>0</v>
      </c>
      <c r="Z58" s="591">
        <f t="shared" ca="1" si="155"/>
        <v>0</v>
      </c>
      <c r="AA58" s="591">
        <f t="shared" ca="1" si="154"/>
        <v>0</v>
      </c>
      <c r="AB58" s="591">
        <f t="shared" ca="1" si="154"/>
        <v>0</v>
      </c>
      <c r="AC58" s="591">
        <f t="shared" ca="1" si="154"/>
        <v>0</v>
      </c>
      <c r="AD58" s="591">
        <f t="shared" ca="1" si="154"/>
        <v>0</v>
      </c>
      <c r="AE58" s="591">
        <f t="shared" ca="1" si="154"/>
        <v>0</v>
      </c>
      <c r="AF58" s="591">
        <f t="shared" ca="1" si="154"/>
        <v>0</v>
      </c>
      <c r="AG58" s="591">
        <f t="shared" ca="1" si="154"/>
        <v>0</v>
      </c>
      <c r="AH58" s="591">
        <f t="shared" ca="1" si="154"/>
        <v>0</v>
      </c>
      <c r="AI58" s="591">
        <f t="shared" ca="1" si="154"/>
        <v>0</v>
      </c>
      <c r="AJ58" s="591">
        <f t="shared" ca="1" si="154"/>
        <v>0</v>
      </c>
      <c r="AK58" s="592">
        <f ca="1">SUM(S58:AJ58)</f>
        <v>16.074652500000003</v>
      </c>
      <c r="AL58" s="6"/>
      <c r="AM58" s="593">
        <f t="shared" ca="1" si="157"/>
        <v>0</v>
      </c>
      <c r="AN58" s="593">
        <f t="shared" ca="1" si="157"/>
        <v>0</v>
      </c>
      <c r="AO58" s="593">
        <f t="shared" ca="1" si="157"/>
        <v>0</v>
      </c>
      <c r="AP58" s="593">
        <f t="shared" ca="1" si="157"/>
        <v>0</v>
      </c>
      <c r="AQ58" s="593">
        <f t="shared" ca="1" si="157"/>
        <v>0</v>
      </c>
      <c r="AR58" s="593">
        <f t="shared" ca="1" si="157"/>
        <v>0</v>
      </c>
      <c r="AS58" s="593">
        <f t="shared" ca="1" si="157"/>
        <v>0</v>
      </c>
      <c r="AT58" s="593">
        <f t="shared" ca="1" si="157"/>
        <v>0</v>
      </c>
      <c r="AU58" s="593">
        <f t="shared" ca="1" si="157"/>
        <v>0</v>
      </c>
      <c r="AV58" s="593">
        <f t="shared" ca="1" si="158"/>
        <v>0</v>
      </c>
      <c r="AW58" s="593">
        <f t="shared" ca="1" si="158"/>
        <v>0</v>
      </c>
      <c r="AX58" s="593">
        <f t="shared" ca="1" si="158"/>
        <v>-16.074652500000003</v>
      </c>
      <c r="AY58" s="593">
        <f t="shared" ca="1" si="158"/>
        <v>0</v>
      </c>
      <c r="AZ58" s="593">
        <f t="shared" ca="1" si="158"/>
        <v>0</v>
      </c>
      <c r="BA58" s="593">
        <f t="shared" ca="1" si="158"/>
        <v>0</v>
      </c>
      <c r="BB58" s="593">
        <f t="shared" ca="1" si="158"/>
        <v>0</v>
      </c>
      <c r="BC58" s="593">
        <f t="shared" ca="1" si="158"/>
        <v>0</v>
      </c>
      <c r="BD58" s="593">
        <f t="shared" ca="1" si="158"/>
        <v>0</v>
      </c>
      <c r="BE58" s="593">
        <f t="shared" ca="1" si="158"/>
        <v>0</v>
      </c>
      <c r="BF58" s="609">
        <f ca="1">SUM(AM58:BE58)</f>
        <v>-16.074652500000003</v>
      </c>
      <c r="BG58" s="6"/>
      <c r="BH58" s="3471">
        <f t="shared" ca="1" si="160"/>
        <v>0</v>
      </c>
      <c r="BI58" s="3471">
        <f t="shared" ca="1" si="160"/>
        <v>0</v>
      </c>
      <c r="BJ58" s="3460">
        <f ca="1">SUM(BH58:BI58)</f>
        <v>0</v>
      </c>
      <c r="BK58" s="6"/>
      <c r="BL58" s="610">
        <f t="shared" ca="1" si="150"/>
        <v>0</v>
      </c>
      <c r="BM58" s="610"/>
      <c r="BN58" s="413"/>
      <c r="BO58" s="2789">
        <f t="shared" ca="1" si="162"/>
        <v>0</v>
      </c>
      <c r="BP58" s="2790">
        <f t="shared" ca="1" si="162"/>
        <v>0</v>
      </c>
      <c r="BQ58" s="2790">
        <f t="shared" ca="1" si="162"/>
        <v>0</v>
      </c>
      <c r="BR58" s="2790">
        <f t="shared" ca="1" si="162"/>
        <v>0</v>
      </c>
      <c r="BS58" s="2790">
        <f t="shared" ca="1" si="162"/>
        <v>0</v>
      </c>
      <c r="BT58" s="2790">
        <f t="shared" ca="1" si="162"/>
        <v>0</v>
      </c>
      <c r="BU58" s="2790">
        <f t="shared" ca="1" si="162"/>
        <v>0</v>
      </c>
      <c r="BV58" s="2790">
        <f t="shared" ca="1" si="162"/>
        <v>0</v>
      </c>
      <c r="BW58" s="2790">
        <f t="shared" ca="1" si="162"/>
        <v>0</v>
      </c>
      <c r="BX58" s="2790">
        <f t="shared" ca="1" si="162"/>
        <v>0</v>
      </c>
      <c r="BY58" s="2790">
        <f t="shared" ca="1" si="163"/>
        <v>0</v>
      </c>
      <c r="BZ58" s="2790">
        <f t="shared" ca="1" si="163"/>
        <v>0</v>
      </c>
      <c r="CA58" s="2790">
        <f t="shared" ca="1" si="163"/>
        <v>0</v>
      </c>
      <c r="CB58" s="2790">
        <f t="shared" ca="1" si="163"/>
        <v>0</v>
      </c>
      <c r="CC58" s="2790">
        <f t="shared" ca="1" si="163"/>
        <v>0</v>
      </c>
      <c r="CD58" s="2790">
        <f t="shared" ca="1" si="163"/>
        <v>0</v>
      </c>
      <c r="CE58" s="2790">
        <f t="shared" ca="1" si="163"/>
        <v>0</v>
      </c>
      <c r="CF58" s="2790">
        <f t="shared" ca="1" si="163"/>
        <v>0</v>
      </c>
      <c r="CG58" s="2790">
        <f t="shared" ca="1" si="163"/>
        <v>0</v>
      </c>
      <c r="CH58" s="2790">
        <f t="shared" ca="1" si="163"/>
        <v>0</v>
      </c>
      <c r="CI58" s="2790">
        <f t="shared" ca="1" si="164"/>
        <v>0</v>
      </c>
      <c r="CJ58" s="2790">
        <f t="shared" ca="1" si="164"/>
        <v>0</v>
      </c>
      <c r="CK58" s="2790">
        <f t="shared" ca="1" si="164"/>
        <v>0</v>
      </c>
      <c r="CL58" s="2790">
        <f t="shared" ca="1" si="164"/>
        <v>0</v>
      </c>
      <c r="CM58" s="2790">
        <f t="shared" ca="1" si="164"/>
        <v>0</v>
      </c>
      <c r="CN58" s="2790">
        <f t="shared" ca="1" si="164"/>
        <v>0</v>
      </c>
      <c r="CO58" s="2790">
        <f t="shared" ca="1" si="164"/>
        <v>0</v>
      </c>
      <c r="CP58" s="2790">
        <f t="shared" ca="1" si="164"/>
        <v>0</v>
      </c>
      <c r="CQ58" s="2790">
        <f t="shared" ca="1" si="164"/>
        <v>0</v>
      </c>
      <c r="CR58" s="2790">
        <f t="shared" ca="1" si="164"/>
        <v>0</v>
      </c>
      <c r="CS58" s="2790">
        <f t="shared" ca="1" si="165"/>
        <v>0</v>
      </c>
      <c r="CT58" s="2790">
        <f t="shared" ca="1" si="165"/>
        <v>0</v>
      </c>
      <c r="CU58" s="2790">
        <f t="shared" ca="1" si="165"/>
        <v>0</v>
      </c>
      <c r="CV58" s="2790">
        <f t="shared" ca="1" si="165"/>
        <v>0</v>
      </c>
      <c r="CW58" s="2790">
        <f t="shared" ca="1" si="165"/>
        <v>0</v>
      </c>
      <c r="CX58" s="2790">
        <f t="shared" ca="1" si="165"/>
        <v>0</v>
      </c>
      <c r="CY58" s="2790">
        <f t="shared" ca="1" si="165"/>
        <v>0</v>
      </c>
      <c r="CZ58" s="2790">
        <f t="shared" ca="1" si="165"/>
        <v>0</v>
      </c>
      <c r="DA58" s="2790">
        <f t="shared" ca="1" si="165"/>
        <v>0</v>
      </c>
      <c r="DB58" s="2790">
        <f t="shared" ca="1" si="165"/>
        <v>0</v>
      </c>
      <c r="DC58" s="2790">
        <f t="shared" ca="1" si="165"/>
        <v>0</v>
      </c>
      <c r="DD58" s="2790">
        <f t="shared" ca="1" si="165"/>
        <v>0</v>
      </c>
      <c r="DE58" s="2790">
        <f t="shared" ca="1" si="165"/>
        <v>0</v>
      </c>
      <c r="DF58" s="2790">
        <f t="shared" ca="1" si="165"/>
        <v>0</v>
      </c>
      <c r="DH58" s="596">
        <f ca="1">SUM(BO58:DF58)</f>
        <v>0</v>
      </c>
    </row>
    <row r="59" spans="1:112" s="607" customFormat="1" ht="12.75" customHeight="1" outlineLevel="1">
      <c r="C59" s="587" t="s">
        <v>524</v>
      </c>
      <c r="D59" s="588" t="s">
        <v>525</v>
      </c>
      <c r="E59" s="588"/>
      <c r="F59" s="6"/>
      <c r="G59" s="589">
        <f t="shared" ca="1" si="152"/>
        <v>0</v>
      </c>
      <c r="H59" s="589">
        <f t="shared" ca="1" si="152"/>
        <v>0</v>
      </c>
      <c r="I59" s="589">
        <f t="shared" ca="1" si="152"/>
        <v>0</v>
      </c>
      <c r="J59" s="589">
        <f t="shared" ca="1" si="152"/>
        <v>0</v>
      </c>
      <c r="K59" s="589">
        <f t="shared" ca="1" si="152"/>
        <v>0</v>
      </c>
      <c r="L59" s="589">
        <f t="shared" ca="1" si="152"/>
        <v>0</v>
      </c>
      <c r="M59" s="589">
        <f t="shared" ca="1" si="152"/>
        <v>0</v>
      </c>
      <c r="N59" s="589">
        <f t="shared" ca="1" si="152"/>
        <v>0</v>
      </c>
      <c r="O59" s="589">
        <f t="shared" ca="1" si="152"/>
        <v>0</v>
      </c>
      <c r="P59" s="589">
        <f t="shared" ca="1" si="152"/>
        <v>0</v>
      </c>
      <c r="Q59" s="590">
        <f t="shared" ca="1" si="153"/>
        <v>0</v>
      </c>
      <c r="R59" s="6"/>
      <c r="S59" s="591">
        <f t="shared" ca="1" si="154"/>
        <v>0</v>
      </c>
      <c r="T59" s="591">
        <f t="shared" ca="1" si="154"/>
        <v>0.78946596000000002</v>
      </c>
      <c r="U59" s="591">
        <f t="shared" ca="1" si="154"/>
        <v>0</v>
      </c>
      <c r="V59" s="591">
        <f t="shared" ca="1" si="154"/>
        <v>0</v>
      </c>
      <c r="W59" s="591">
        <f t="shared" ca="1" si="154"/>
        <v>0</v>
      </c>
      <c r="X59" s="591">
        <f t="shared" ca="1" si="155"/>
        <v>0</v>
      </c>
      <c r="Y59" s="591">
        <f t="shared" ca="1" si="155"/>
        <v>0</v>
      </c>
      <c r="Z59" s="591">
        <f t="shared" ca="1" si="155"/>
        <v>0</v>
      </c>
      <c r="AA59" s="591">
        <f t="shared" ca="1" si="154"/>
        <v>0</v>
      </c>
      <c r="AB59" s="591">
        <f t="shared" ca="1" si="154"/>
        <v>0</v>
      </c>
      <c r="AC59" s="591">
        <f t="shared" ca="1" si="154"/>
        <v>0</v>
      </c>
      <c r="AD59" s="591">
        <f t="shared" ca="1" si="154"/>
        <v>0</v>
      </c>
      <c r="AE59" s="591">
        <f t="shared" ca="1" si="154"/>
        <v>0</v>
      </c>
      <c r="AF59" s="591">
        <f t="shared" ca="1" si="154"/>
        <v>0</v>
      </c>
      <c r="AG59" s="591">
        <f t="shared" ca="1" si="154"/>
        <v>0</v>
      </c>
      <c r="AH59" s="591">
        <f t="shared" ca="1" si="154"/>
        <v>0</v>
      </c>
      <c r="AI59" s="591">
        <f t="shared" ca="1" si="154"/>
        <v>0</v>
      </c>
      <c r="AJ59" s="591">
        <f t="shared" ca="1" si="154"/>
        <v>0</v>
      </c>
      <c r="AK59" s="592">
        <f t="shared" ca="1" si="156"/>
        <v>0.78946596000000002</v>
      </c>
      <c r="AL59" s="6"/>
      <c r="AM59" s="593">
        <f t="shared" ca="1" si="157"/>
        <v>0</v>
      </c>
      <c r="AN59" s="593">
        <f t="shared" ca="1" si="157"/>
        <v>0</v>
      </c>
      <c r="AO59" s="593">
        <f t="shared" ca="1" si="157"/>
        <v>0</v>
      </c>
      <c r="AP59" s="593">
        <f t="shared" ca="1" si="157"/>
        <v>0</v>
      </c>
      <c r="AQ59" s="593">
        <f t="shared" ca="1" si="157"/>
        <v>0</v>
      </c>
      <c r="AR59" s="593">
        <f t="shared" ca="1" si="157"/>
        <v>0</v>
      </c>
      <c r="AS59" s="593">
        <f t="shared" ca="1" si="157"/>
        <v>0</v>
      </c>
      <c r="AT59" s="593">
        <f t="shared" ca="1" si="157"/>
        <v>0</v>
      </c>
      <c r="AU59" s="593">
        <f t="shared" ca="1" si="157"/>
        <v>0</v>
      </c>
      <c r="AV59" s="593">
        <f t="shared" ca="1" si="158"/>
        <v>0</v>
      </c>
      <c r="AW59" s="593">
        <f t="shared" ca="1" si="158"/>
        <v>0</v>
      </c>
      <c r="AX59" s="593">
        <f t="shared" ca="1" si="158"/>
        <v>0</v>
      </c>
      <c r="AY59" s="593">
        <f t="shared" ca="1" si="158"/>
        <v>0</v>
      </c>
      <c r="AZ59" s="593">
        <f t="shared" ca="1" si="158"/>
        <v>0</v>
      </c>
      <c r="BA59" s="593">
        <f t="shared" ca="1" si="158"/>
        <v>0</v>
      </c>
      <c r="BB59" s="593">
        <f t="shared" ca="1" si="158"/>
        <v>-0.78946596000000002</v>
      </c>
      <c r="BC59" s="593">
        <f t="shared" ca="1" si="158"/>
        <v>0</v>
      </c>
      <c r="BD59" s="593">
        <f t="shared" ca="1" si="158"/>
        <v>0</v>
      </c>
      <c r="BE59" s="593">
        <f t="shared" ca="1" si="158"/>
        <v>0</v>
      </c>
      <c r="BF59" s="609">
        <f t="shared" ca="1" si="159"/>
        <v>-0.78946596000000002</v>
      </c>
      <c r="BG59" s="6"/>
      <c r="BH59" s="3471">
        <f t="shared" ca="1" si="160"/>
        <v>0</v>
      </c>
      <c r="BI59" s="3471">
        <f t="shared" ca="1" si="160"/>
        <v>0</v>
      </c>
      <c r="BJ59" s="3460">
        <f t="shared" ca="1" si="161"/>
        <v>0</v>
      </c>
      <c r="BK59" s="6"/>
      <c r="BL59" s="610">
        <f t="shared" ca="1" si="150"/>
        <v>0</v>
      </c>
      <c r="BM59" s="610"/>
      <c r="BN59" s="413"/>
      <c r="BO59" s="2789">
        <f t="shared" ca="1" si="162"/>
        <v>0</v>
      </c>
      <c r="BP59" s="2790">
        <f t="shared" ca="1" si="162"/>
        <v>0</v>
      </c>
      <c r="BQ59" s="2790">
        <f t="shared" ca="1" si="162"/>
        <v>0</v>
      </c>
      <c r="BR59" s="2790">
        <f t="shared" ca="1" si="162"/>
        <v>0</v>
      </c>
      <c r="BS59" s="2790">
        <f t="shared" ca="1" si="162"/>
        <v>0</v>
      </c>
      <c r="BT59" s="2790">
        <f t="shared" ca="1" si="162"/>
        <v>0</v>
      </c>
      <c r="BU59" s="2790">
        <f t="shared" ca="1" si="162"/>
        <v>0</v>
      </c>
      <c r="BV59" s="2790">
        <f t="shared" ca="1" si="162"/>
        <v>0</v>
      </c>
      <c r="BW59" s="2790">
        <f t="shared" ca="1" si="162"/>
        <v>0</v>
      </c>
      <c r="BX59" s="2790">
        <f t="shared" ca="1" si="162"/>
        <v>0</v>
      </c>
      <c r="BY59" s="2790">
        <f t="shared" ca="1" si="163"/>
        <v>0</v>
      </c>
      <c r="BZ59" s="2790">
        <f t="shared" ca="1" si="163"/>
        <v>0</v>
      </c>
      <c r="CA59" s="2790">
        <f t="shared" ca="1" si="163"/>
        <v>0</v>
      </c>
      <c r="CB59" s="2790">
        <f t="shared" ca="1" si="163"/>
        <v>0</v>
      </c>
      <c r="CC59" s="2790">
        <f t="shared" ca="1" si="163"/>
        <v>0</v>
      </c>
      <c r="CD59" s="2790">
        <f t="shared" ca="1" si="163"/>
        <v>0</v>
      </c>
      <c r="CE59" s="2790">
        <f t="shared" ca="1" si="163"/>
        <v>0</v>
      </c>
      <c r="CF59" s="2790">
        <f t="shared" ca="1" si="163"/>
        <v>0</v>
      </c>
      <c r="CG59" s="2790">
        <f t="shared" ca="1" si="163"/>
        <v>0</v>
      </c>
      <c r="CH59" s="2790">
        <f t="shared" ca="1" si="163"/>
        <v>0</v>
      </c>
      <c r="CI59" s="2790">
        <f t="shared" ca="1" si="164"/>
        <v>0</v>
      </c>
      <c r="CJ59" s="2790">
        <f t="shared" ca="1" si="164"/>
        <v>0</v>
      </c>
      <c r="CK59" s="2790">
        <f t="shared" ca="1" si="164"/>
        <v>0</v>
      </c>
      <c r="CL59" s="2790">
        <f t="shared" ca="1" si="164"/>
        <v>0</v>
      </c>
      <c r="CM59" s="2790">
        <f t="shared" ca="1" si="164"/>
        <v>0</v>
      </c>
      <c r="CN59" s="2790">
        <f t="shared" ca="1" si="164"/>
        <v>0</v>
      </c>
      <c r="CO59" s="2790">
        <f t="shared" ca="1" si="164"/>
        <v>0</v>
      </c>
      <c r="CP59" s="2790">
        <f t="shared" ca="1" si="164"/>
        <v>0</v>
      </c>
      <c r="CQ59" s="2790">
        <f t="shared" ca="1" si="164"/>
        <v>0</v>
      </c>
      <c r="CR59" s="2790">
        <f t="shared" ca="1" si="164"/>
        <v>0</v>
      </c>
      <c r="CS59" s="2790">
        <f t="shared" ca="1" si="165"/>
        <v>0</v>
      </c>
      <c r="CT59" s="2790">
        <f t="shared" ca="1" si="165"/>
        <v>0</v>
      </c>
      <c r="CU59" s="2790">
        <f t="shared" ca="1" si="165"/>
        <v>0</v>
      </c>
      <c r="CV59" s="2790">
        <f t="shared" ca="1" si="165"/>
        <v>0</v>
      </c>
      <c r="CW59" s="2790">
        <f t="shared" ca="1" si="165"/>
        <v>0</v>
      </c>
      <c r="CX59" s="2790">
        <f t="shared" ca="1" si="165"/>
        <v>0</v>
      </c>
      <c r="CY59" s="2790">
        <f t="shared" ca="1" si="165"/>
        <v>0</v>
      </c>
      <c r="CZ59" s="2790">
        <f t="shared" ca="1" si="165"/>
        <v>0</v>
      </c>
      <c r="DA59" s="2790">
        <f t="shared" ca="1" si="165"/>
        <v>0</v>
      </c>
      <c r="DB59" s="2790">
        <f t="shared" ca="1" si="165"/>
        <v>0</v>
      </c>
      <c r="DC59" s="2790">
        <f t="shared" ca="1" si="165"/>
        <v>0</v>
      </c>
      <c r="DD59" s="2790">
        <f t="shared" ca="1" si="165"/>
        <v>0</v>
      </c>
      <c r="DE59" s="2790">
        <f t="shared" ca="1" si="165"/>
        <v>0</v>
      </c>
      <c r="DF59" s="2790">
        <f t="shared" ca="1" si="165"/>
        <v>0</v>
      </c>
      <c r="DH59" s="596">
        <f t="shared" ca="1" si="120"/>
        <v>0</v>
      </c>
    </row>
    <row r="60" spans="1:112" s="607" customFormat="1" ht="12.75" customHeight="1" outlineLevel="1">
      <c r="C60" s="587" t="s">
        <v>526</v>
      </c>
      <c r="D60" s="588" t="s">
        <v>527</v>
      </c>
      <c r="E60" s="588"/>
      <c r="F60" s="6"/>
      <c r="G60" s="589">
        <f t="shared" ca="1" si="152"/>
        <v>0</v>
      </c>
      <c r="H60" s="589">
        <f t="shared" ca="1" si="152"/>
        <v>0</v>
      </c>
      <c r="I60" s="589">
        <f t="shared" ca="1" si="152"/>
        <v>0</v>
      </c>
      <c r="J60" s="589">
        <f t="shared" ca="1" si="152"/>
        <v>0</v>
      </c>
      <c r="K60" s="589">
        <f t="shared" ca="1" si="152"/>
        <v>0</v>
      </c>
      <c r="L60" s="589">
        <f t="shared" ca="1" si="152"/>
        <v>0</v>
      </c>
      <c r="M60" s="589">
        <f t="shared" ca="1" si="152"/>
        <v>0</v>
      </c>
      <c r="N60" s="589">
        <f t="shared" ca="1" si="152"/>
        <v>0</v>
      </c>
      <c r="O60" s="589">
        <f t="shared" ca="1" si="152"/>
        <v>0</v>
      </c>
      <c r="P60" s="589">
        <f t="shared" ca="1" si="152"/>
        <v>0</v>
      </c>
      <c r="Q60" s="590">
        <f t="shared" ca="1" si="153"/>
        <v>0</v>
      </c>
      <c r="R60" s="6"/>
      <c r="S60" s="591">
        <f t="shared" ca="1" si="154"/>
        <v>0</v>
      </c>
      <c r="T60" s="591">
        <f t="shared" ca="1" si="154"/>
        <v>7.7316120000000019</v>
      </c>
      <c r="U60" s="591">
        <f t="shared" ca="1" si="154"/>
        <v>0</v>
      </c>
      <c r="V60" s="591">
        <f t="shared" ca="1" si="154"/>
        <v>0</v>
      </c>
      <c r="W60" s="591">
        <f t="shared" ca="1" si="154"/>
        <v>0</v>
      </c>
      <c r="X60" s="591">
        <f t="shared" ca="1" si="155"/>
        <v>0</v>
      </c>
      <c r="Y60" s="591">
        <f t="shared" ca="1" si="155"/>
        <v>0</v>
      </c>
      <c r="Z60" s="591">
        <f t="shared" ca="1" si="155"/>
        <v>0</v>
      </c>
      <c r="AA60" s="591">
        <f t="shared" ca="1" si="154"/>
        <v>0</v>
      </c>
      <c r="AB60" s="591">
        <f t="shared" ca="1" si="154"/>
        <v>0</v>
      </c>
      <c r="AC60" s="591">
        <f t="shared" ca="1" si="154"/>
        <v>0</v>
      </c>
      <c r="AD60" s="591">
        <f t="shared" ca="1" si="154"/>
        <v>0</v>
      </c>
      <c r="AE60" s="591">
        <f t="shared" ca="1" si="154"/>
        <v>0</v>
      </c>
      <c r="AF60" s="591">
        <f t="shared" ca="1" si="154"/>
        <v>0</v>
      </c>
      <c r="AG60" s="591">
        <f t="shared" ca="1" si="154"/>
        <v>0</v>
      </c>
      <c r="AH60" s="591">
        <f t="shared" ca="1" si="154"/>
        <v>0</v>
      </c>
      <c r="AI60" s="591">
        <f t="shared" ca="1" si="154"/>
        <v>0</v>
      </c>
      <c r="AJ60" s="591">
        <f t="shared" ca="1" si="154"/>
        <v>0</v>
      </c>
      <c r="AK60" s="592">
        <f t="shared" ca="1" si="156"/>
        <v>7.7316120000000019</v>
      </c>
      <c r="AL60" s="6"/>
      <c r="AM60" s="593">
        <f t="shared" ca="1" si="157"/>
        <v>0</v>
      </c>
      <c r="AN60" s="593">
        <f t="shared" ca="1" si="157"/>
        <v>0</v>
      </c>
      <c r="AO60" s="593">
        <f t="shared" ca="1" si="157"/>
        <v>0</v>
      </c>
      <c r="AP60" s="593">
        <f t="shared" ca="1" si="157"/>
        <v>0</v>
      </c>
      <c r="AQ60" s="593">
        <f t="shared" ca="1" si="157"/>
        <v>0</v>
      </c>
      <c r="AR60" s="593">
        <f t="shared" ca="1" si="157"/>
        <v>0</v>
      </c>
      <c r="AS60" s="593">
        <f t="shared" ca="1" si="157"/>
        <v>0</v>
      </c>
      <c r="AT60" s="593">
        <f t="shared" ca="1" si="157"/>
        <v>0</v>
      </c>
      <c r="AU60" s="593">
        <f t="shared" ca="1" si="157"/>
        <v>0</v>
      </c>
      <c r="AV60" s="593">
        <f t="shared" ca="1" si="158"/>
        <v>0</v>
      </c>
      <c r="AW60" s="593">
        <f t="shared" ca="1" si="158"/>
        <v>0</v>
      </c>
      <c r="AX60" s="593">
        <f t="shared" ca="1" si="158"/>
        <v>0</v>
      </c>
      <c r="AY60" s="593">
        <f t="shared" ca="1" si="158"/>
        <v>-2.5246080000000011</v>
      </c>
      <c r="AZ60" s="593">
        <f t="shared" ca="1" si="158"/>
        <v>-5.2070040000000004</v>
      </c>
      <c r="BA60" s="593">
        <f t="shared" ca="1" si="158"/>
        <v>0</v>
      </c>
      <c r="BB60" s="593">
        <f t="shared" ca="1" si="158"/>
        <v>0</v>
      </c>
      <c r="BC60" s="593">
        <f t="shared" ca="1" si="158"/>
        <v>0</v>
      </c>
      <c r="BD60" s="593">
        <f t="shared" ca="1" si="158"/>
        <v>0</v>
      </c>
      <c r="BE60" s="593">
        <f t="shared" ca="1" si="158"/>
        <v>0</v>
      </c>
      <c r="BF60" s="609">
        <f t="shared" ca="1" si="159"/>
        <v>-7.7316120000000019</v>
      </c>
      <c r="BG60" s="6"/>
      <c r="BH60" s="3471">
        <f t="shared" ca="1" si="160"/>
        <v>0</v>
      </c>
      <c r="BI60" s="3471">
        <f t="shared" ca="1" si="160"/>
        <v>0</v>
      </c>
      <c r="BJ60" s="3460">
        <f t="shared" ca="1" si="161"/>
        <v>0</v>
      </c>
      <c r="BK60" s="6"/>
      <c r="BL60" s="610">
        <f t="shared" ca="1" si="150"/>
        <v>0</v>
      </c>
      <c r="BM60" s="610"/>
      <c r="BN60" s="413"/>
      <c r="BO60" s="2789">
        <f t="shared" ca="1" si="162"/>
        <v>0</v>
      </c>
      <c r="BP60" s="2790">
        <f t="shared" ca="1" si="162"/>
        <v>0</v>
      </c>
      <c r="BQ60" s="2790">
        <f t="shared" ca="1" si="162"/>
        <v>0</v>
      </c>
      <c r="BR60" s="2790">
        <f t="shared" ca="1" si="162"/>
        <v>0</v>
      </c>
      <c r="BS60" s="2790">
        <f t="shared" ca="1" si="162"/>
        <v>0</v>
      </c>
      <c r="BT60" s="2790">
        <f t="shared" ca="1" si="162"/>
        <v>0</v>
      </c>
      <c r="BU60" s="2790">
        <f t="shared" ca="1" si="162"/>
        <v>0</v>
      </c>
      <c r="BV60" s="2790">
        <f t="shared" ca="1" si="162"/>
        <v>0</v>
      </c>
      <c r="BW60" s="2790">
        <f t="shared" ca="1" si="162"/>
        <v>0</v>
      </c>
      <c r="BX60" s="2790">
        <f t="shared" ca="1" si="162"/>
        <v>0</v>
      </c>
      <c r="BY60" s="2790">
        <f t="shared" ca="1" si="163"/>
        <v>0</v>
      </c>
      <c r="BZ60" s="2790">
        <f t="shared" ca="1" si="163"/>
        <v>0</v>
      </c>
      <c r="CA60" s="2790">
        <f t="shared" ca="1" si="163"/>
        <v>0</v>
      </c>
      <c r="CB60" s="2790">
        <f t="shared" ca="1" si="163"/>
        <v>0</v>
      </c>
      <c r="CC60" s="2790">
        <f t="shared" ca="1" si="163"/>
        <v>0</v>
      </c>
      <c r="CD60" s="2790">
        <f t="shared" ca="1" si="163"/>
        <v>0</v>
      </c>
      <c r="CE60" s="2790">
        <f t="shared" ca="1" si="163"/>
        <v>0</v>
      </c>
      <c r="CF60" s="2790">
        <f t="shared" ca="1" si="163"/>
        <v>0</v>
      </c>
      <c r="CG60" s="2790">
        <f t="shared" ca="1" si="163"/>
        <v>0</v>
      </c>
      <c r="CH60" s="2790">
        <f t="shared" ca="1" si="163"/>
        <v>0</v>
      </c>
      <c r="CI60" s="2790">
        <f t="shared" ca="1" si="164"/>
        <v>0</v>
      </c>
      <c r="CJ60" s="2790">
        <f t="shared" ca="1" si="164"/>
        <v>0</v>
      </c>
      <c r="CK60" s="2790">
        <f t="shared" ca="1" si="164"/>
        <v>0</v>
      </c>
      <c r="CL60" s="2790">
        <f t="shared" ca="1" si="164"/>
        <v>0</v>
      </c>
      <c r="CM60" s="2790">
        <f t="shared" ca="1" si="164"/>
        <v>0</v>
      </c>
      <c r="CN60" s="2790">
        <f t="shared" ca="1" si="164"/>
        <v>0</v>
      </c>
      <c r="CO60" s="2790">
        <f t="shared" ca="1" si="164"/>
        <v>0</v>
      </c>
      <c r="CP60" s="2790">
        <f t="shared" ca="1" si="164"/>
        <v>0</v>
      </c>
      <c r="CQ60" s="2790">
        <f t="shared" ca="1" si="164"/>
        <v>0</v>
      </c>
      <c r="CR60" s="2790">
        <f t="shared" ca="1" si="164"/>
        <v>0</v>
      </c>
      <c r="CS60" s="2790">
        <f t="shared" ca="1" si="165"/>
        <v>0</v>
      </c>
      <c r="CT60" s="2790">
        <f t="shared" ca="1" si="165"/>
        <v>0</v>
      </c>
      <c r="CU60" s="2790">
        <f t="shared" ca="1" si="165"/>
        <v>0</v>
      </c>
      <c r="CV60" s="2790">
        <f t="shared" ca="1" si="165"/>
        <v>0</v>
      </c>
      <c r="CW60" s="2790">
        <f t="shared" ca="1" si="165"/>
        <v>0</v>
      </c>
      <c r="CX60" s="2790">
        <f t="shared" ca="1" si="165"/>
        <v>0</v>
      </c>
      <c r="CY60" s="2790">
        <f t="shared" ca="1" si="165"/>
        <v>0</v>
      </c>
      <c r="CZ60" s="2790">
        <f t="shared" ca="1" si="165"/>
        <v>0</v>
      </c>
      <c r="DA60" s="2790">
        <f t="shared" ca="1" si="165"/>
        <v>0</v>
      </c>
      <c r="DB60" s="2790">
        <f t="shared" ca="1" si="165"/>
        <v>0</v>
      </c>
      <c r="DC60" s="2790">
        <f t="shared" ca="1" si="165"/>
        <v>0</v>
      </c>
      <c r="DD60" s="2790">
        <f t="shared" ca="1" si="165"/>
        <v>0</v>
      </c>
      <c r="DE60" s="2790">
        <f t="shared" ca="1" si="165"/>
        <v>0</v>
      </c>
      <c r="DF60" s="2790">
        <f t="shared" ca="1" si="165"/>
        <v>0</v>
      </c>
      <c r="DH60" s="596">
        <f t="shared" ca="1" si="120"/>
        <v>0</v>
      </c>
    </row>
    <row r="61" spans="1:112" s="607" customFormat="1" ht="12.75" customHeight="1" outlineLevel="1">
      <c r="C61" s="587" t="s">
        <v>528</v>
      </c>
      <c r="D61" s="588" t="s">
        <v>529</v>
      </c>
      <c r="E61" s="588"/>
      <c r="F61" s="6"/>
      <c r="G61" s="589">
        <f t="shared" ca="1" si="152"/>
        <v>0</v>
      </c>
      <c r="H61" s="589">
        <f t="shared" ca="1" si="152"/>
        <v>0</v>
      </c>
      <c r="I61" s="589">
        <f t="shared" ca="1" si="152"/>
        <v>0</v>
      </c>
      <c r="J61" s="589">
        <f t="shared" ca="1" si="152"/>
        <v>0</v>
      </c>
      <c r="K61" s="589">
        <f t="shared" ca="1" si="152"/>
        <v>0</v>
      </c>
      <c r="L61" s="589">
        <f t="shared" ca="1" si="152"/>
        <v>0</v>
      </c>
      <c r="M61" s="589">
        <f t="shared" ca="1" si="152"/>
        <v>0</v>
      </c>
      <c r="N61" s="589">
        <f t="shared" ca="1" si="152"/>
        <v>0</v>
      </c>
      <c r="O61" s="589">
        <f t="shared" ca="1" si="152"/>
        <v>0</v>
      </c>
      <c r="P61" s="589">
        <f t="shared" ca="1" si="152"/>
        <v>0</v>
      </c>
      <c r="Q61" s="590">
        <f t="shared" ca="1" si="153"/>
        <v>0</v>
      </c>
      <c r="R61" s="6"/>
      <c r="S61" s="591">
        <f t="shared" ca="1" si="154"/>
        <v>0</v>
      </c>
      <c r="T61" s="591">
        <f t="shared" ca="1" si="154"/>
        <v>0</v>
      </c>
      <c r="U61" s="591">
        <f t="shared" ca="1" si="154"/>
        <v>0</v>
      </c>
      <c r="V61" s="591">
        <f t="shared" ca="1" si="154"/>
        <v>0</v>
      </c>
      <c r="W61" s="591">
        <f t="shared" ca="1" si="154"/>
        <v>0</v>
      </c>
      <c r="X61" s="591">
        <f t="shared" ca="1" si="155"/>
        <v>0</v>
      </c>
      <c r="Y61" s="591">
        <f t="shared" ca="1" si="155"/>
        <v>0</v>
      </c>
      <c r="Z61" s="591">
        <f t="shared" ca="1" si="155"/>
        <v>0</v>
      </c>
      <c r="AA61" s="591">
        <f t="shared" ca="1" si="154"/>
        <v>0</v>
      </c>
      <c r="AB61" s="591">
        <f t="shared" ca="1" si="154"/>
        <v>0</v>
      </c>
      <c r="AC61" s="591">
        <f t="shared" ca="1" si="154"/>
        <v>0</v>
      </c>
      <c r="AD61" s="591">
        <f t="shared" ca="1" si="154"/>
        <v>0</v>
      </c>
      <c r="AE61" s="591">
        <f t="shared" ca="1" si="154"/>
        <v>0</v>
      </c>
      <c r="AF61" s="591">
        <f t="shared" ca="1" si="154"/>
        <v>0</v>
      </c>
      <c r="AG61" s="591">
        <f t="shared" ca="1" si="154"/>
        <v>0</v>
      </c>
      <c r="AH61" s="591">
        <f t="shared" ca="1" si="154"/>
        <v>0</v>
      </c>
      <c r="AI61" s="591">
        <f t="shared" ca="1" si="154"/>
        <v>0</v>
      </c>
      <c r="AJ61" s="591">
        <f t="shared" ca="1" si="154"/>
        <v>0</v>
      </c>
      <c r="AK61" s="592">
        <f t="shared" ca="1" si="156"/>
        <v>0</v>
      </c>
      <c r="AL61" s="6"/>
      <c r="AM61" s="593">
        <f t="shared" ca="1" si="157"/>
        <v>0</v>
      </c>
      <c r="AN61" s="593">
        <f t="shared" ca="1" si="157"/>
        <v>0</v>
      </c>
      <c r="AO61" s="593">
        <f t="shared" ca="1" si="157"/>
        <v>0</v>
      </c>
      <c r="AP61" s="593">
        <f t="shared" ca="1" si="157"/>
        <v>0</v>
      </c>
      <c r="AQ61" s="593">
        <f t="shared" ca="1" si="157"/>
        <v>0</v>
      </c>
      <c r="AR61" s="593">
        <f t="shared" ca="1" si="157"/>
        <v>0</v>
      </c>
      <c r="AS61" s="593">
        <f t="shared" ca="1" si="157"/>
        <v>0</v>
      </c>
      <c r="AT61" s="593">
        <f t="shared" ca="1" si="157"/>
        <v>0</v>
      </c>
      <c r="AU61" s="593">
        <f t="shared" ca="1" si="157"/>
        <v>0</v>
      </c>
      <c r="AV61" s="593">
        <f t="shared" ca="1" si="158"/>
        <v>0</v>
      </c>
      <c r="AW61" s="593">
        <f t="shared" ca="1" si="158"/>
        <v>0</v>
      </c>
      <c r="AX61" s="593">
        <f t="shared" ca="1" si="158"/>
        <v>0</v>
      </c>
      <c r="AY61" s="593">
        <f t="shared" ca="1" si="158"/>
        <v>0</v>
      </c>
      <c r="AZ61" s="593">
        <f t="shared" ca="1" si="158"/>
        <v>0</v>
      </c>
      <c r="BA61" s="593">
        <f t="shared" ca="1" si="158"/>
        <v>0</v>
      </c>
      <c r="BB61" s="593">
        <f t="shared" ca="1" si="158"/>
        <v>0</v>
      </c>
      <c r="BC61" s="593">
        <f t="shared" ca="1" si="158"/>
        <v>0</v>
      </c>
      <c r="BD61" s="593">
        <f t="shared" ca="1" si="158"/>
        <v>0</v>
      </c>
      <c r="BE61" s="593">
        <f t="shared" ca="1" si="158"/>
        <v>0</v>
      </c>
      <c r="BF61" s="609">
        <f t="shared" ca="1" si="159"/>
        <v>0</v>
      </c>
      <c r="BG61" s="6"/>
      <c r="BH61" s="3471">
        <f t="shared" ca="1" si="160"/>
        <v>0</v>
      </c>
      <c r="BI61" s="3471">
        <f t="shared" ca="1" si="160"/>
        <v>0</v>
      </c>
      <c r="BJ61" s="3460">
        <f t="shared" ca="1" si="161"/>
        <v>0</v>
      </c>
      <c r="BK61" s="6"/>
      <c r="BL61" s="610">
        <f t="shared" ca="1" si="150"/>
        <v>0</v>
      </c>
      <c r="BM61" s="610"/>
      <c r="BN61" s="413"/>
      <c r="BO61" s="2789">
        <f t="shared" ca="1" si="162"/>
        <v>0</v>
      </c>
      <c r="BP61" s="2790">
        <f t="shared" ca="1" si="162"/>
        <v>0</v>
      </c>
      <c r="BQ61" s="2790">
        <f t="shared" ca="1" si="162"/>
        <v>0</v>
      </c>
      <c r="BR61" s="2790">
        <f t="shared" ca="1" si="162"/>
        <v>0</v>
      </c>
      <c r="BS61" s="2790">
        <f t="shared" ca="1" si="162"/>
        <v>0</v>
      </c>
      <c r="BT61" s="2790">
        <f t="shared" ca="1" si="162"/>
        <v>0</v>
      </c>
      <c r="BU61" s="2790">
        <f t="shared" ca="1" si="162"/>
        <v>0</v>
      </c>
      <c r="BV61" s="2790">
        <f t="shared" ca="1" si="162"/>
        <v>0</v>
      </c>
      <c r="BW61" s="2790">
        <f t="shared" ca="1" si="162"/>
        <v>0</v>
      </c>
      <c r="BX61" s="2790">
        <f t="shared" ca="1" si="162"/>
        <v>0</v>
      </c>
      <c r="BY61" s="2790">
        <f t="shared" ca="1" si="163"/>
        <v>0</v>
      </c>
      <c r="BZ61" s="2790">
        <f t="shared" ca="1" si="163"/>
        <v>0</v>
      </c>
      <c r="CA61" s="2790">
        <f t="shared" ca="1" si="163"/>
        <v>0</v>
      </c>
      <c r="CB61" s="2790">
        <f t="shared" ca="1" si="163"/>
        <v>0</v>
      </c>
      <c r="CC61" s="2790">
        <f t="shared" ca="1" si="163"/>
        <v>0</v>
      </c>
      <c r="CD61" s="2790">
        <f t="shared" ca="1" si="163"/>
        <v>0</v>
      </c>
      <c r="CE61" s="2790">
        <f t="shared" ca="1" si="163"/>
        <v>0</v>
      </c>
      <c r="CF61" s="2790">
        <f t="shared" ca="1" si="163"/>
        <v>0</v>
      </c>
      <c r="CG61" s="2790">
        <f t="shared" ca="1" si="163"/>
        <v>0</v>
      </c>
      <c r="CH61" s="2790">
        <f t="shared" ca="1" si="163"/>
        <v>0</v>
      </c>
      <c r="CI61" s="2790">
        <f t="shared" ca="1" si="164"/>
        <v>0</v>
      </c>
      <c r="CJ61" s="2790">
        <f t="shared" ca="1" si="164"/>
        <v>0</v>
      </c>
      <c r="CK61" s="2790">
        <f t="shared" ca="1" si="164"/>
        <v>0</v>
      </c>
      <c r="CL61" s="2790">
        <f t="shared" ca="1" si="164"/>
        <v>0</v>
      </c>
      <c r="CM61" s="2790">
        <f t="shared" ca="1" si="164"/>
        <v>0</v>
      </c>
      <c r="CN61" s="2790">
        <f t="shared" ca="1" si="164"/>
        <v>0</v>
      </c>
      <c r="CO61" s="2790">
        <f t="shared" ca="1" si="164"/>
        <v>0</v>
      </c>
      <c r="CP61" s="2790">
        <f t="shared" ca="1" si="164"/>
        <v>0</v>
      </c>
      <c r="CQ61" s="2790">
        <f t="shared" ca="1" si="164"/>
        <v>0</v>
      </c>
      <c r="CR61" s="2790">
        <f t="shared" ca="1" si="164"/>
        <v>0</v>
      </c>
      <c r="CS61" s="2790">
        <f t="shared" ca="1" si="165"/>
        <v>0</v>
      </c>
      <c r="CT61" s="2790">
        <f t="shared" ca="1" si="165"/>
        <v>0</v>
      </c>
      <c r="CU61" s="2790">
        <f t="shared" ca="1" si="165"/>
        <v>0</v>
      </c>
      <c r="CV61" s="2790">
        <f t="shared" ca="1" si="165"/>
        <v>0</v>
      </c>
      <c r="CW61" s="2790">
        <f t="shared" ca="1" si="165"/>
        <v>0</v>
      </c>
      <c r="CX61" s="2790">
        <f t="shared" ca="1" si="165"/>
        <v>0</v>
      </c>
      <c r="CY61" s="2790">
        <f t="shared" ca="1" si="165"/>
        <v>0</v>
      </c>
      <c r="CZ61" s="2790">
        <f t="shared" ca="1" si="165"/>
        <v>0</v>
      </c>
      <c r="DA61" s="2790">
        <f t="shared" ca="1" si="165"/>
        <v>0</v>
      </c>
      <c r="DB61" s="2790">
        <f t="shared" ca="1" si="165"/>
        <v>0</v>
      </c>
      <c r="DC61" s="2790">
        <f t="shared" ca="1" si="165"/>
        <v>0</v>
      </c>
      <c r="DD61" s="2790">
        <f t="shared" ca="1" si="165"/>
        <v>0</v>
      </c>
      <c r="DE61" s="2790">
        <f t="shared" ca="1" si="165"/>
        <v>0</v>
      </c>
      <c r="DF61" s="2790">
        <f t="shared" ca="1" si="165"/>
        <v>0</v>
      </c>
      <c r="DH61" s="596">
        <f t="shared" ca="1" si="120"/>
        <v>0</v>
      </c>
    </row>
    <row r="62" spans="1:112" s="6" customFormat="1" ht="12.75" customHeight="1" outlineLevel="1">
      <c r="A62" s="607"/>
      <c r="B62" s="607"/>
      <c r="C62" s="587" t="s">
        <v>530</v>
      </c>
      <c r="D62" s="611" t="s">
        <v>531</v>
      </c>
      <c r="E62" s="611"/>
      <c r="G62" s="619">
        <f t="shared" ca="1" si="152"/>
        <v>0</v>
      </c>
      <c r="H62" s="619">
        <f t="shared" ca="1" si="152"/>
        <v>0</v>
      </c>
      <c r="I62" s="619">
        <f t="shared" ca="1" si="152"/>
        <v>0</v>
      </c>
      <c r="J62" s="619">
        <f t="shared" ca="1" si="152"/>
        <v>0</v>
      </c>
      <c r="K62" s="619">
        <f t="shared" ca="1" si="152"/>
        <v>0</v>
      </c>
      <c r="L62" s="619">
        <f t="shared" ca="1" si="152"/>
        <v>0</v>
      </c>
      <c r="M62" s="619">
        <f t="shared" ca="1" si="152"/>
        <v>0</v>
      </c>
      <c r="N62" s="619">
        <f t="shared" ca="1" si="152"/>
        <v>0</v>
      </c>
      <c r="O62" s="619">
        <f t="shared" ca="1" si="152"/>
        <v>0</v>
      </c>
      <c r="P62" s="619">
        <f t="shared" ca="1" si="152"/>
        <v>0</v>
      </c>
      <c r="Q62" s="612">
        <f t="shared" ca="1" si="153"/>
        <v>0</v>
      </c>
      <c r="S62" s="620">
        <f t="shared" ca="1" si="154"/>
        <v>0</v>
      </c>
      <c r="T62" s="620">
        <f t="shared" ca="1" si="154"/>
        <v>0</v>
      </c>
      <c r="U62" s="620">
        <f t="shared" ca="1" si="154"/>
        <v>0</v>
      </c>
      <c r="V62" s="620">
        <f t="shared" ca="1" si="154"/>
        <v>0</v>
      </c>
      <c r="W62" s="620">
        <f t="shared" ca="1" si="154"/>
        <v>0</v>
      </c>
      <c r="X62" s="620">
        <f t="shared" ca="1" si="155"/>
        <v>0</v>
      </c>
      <c r="Y62" s="620">
        <f t="shared" ca="1" si="155"/>
        <v>0</v>
      </c>
      <c r="Z62" s="620">
        <f t="shared" ca="1" si="155"/>
        <v>0</v>
      </c>
      <c r="AA62" s="620">
        <f t="shared" ca="1" si="154"/>
        <v>0</v>
      </c>
      <c r="AB62" s="620">
        <f t="shared" ca="1" si="154"/>
        <v>0</v>
      </c>
      <c r="AC62" s="620">
        <f t="shared" ca="1" si="154"/>
        <v>0</v>
      </c>
      <c r="AD62" s="620">
        <f t="shared" ca="1" si="154"/>
        <v>0</v>
      </c>
      <c r="AE62" s="620">
        <f t="shared" ca="1" si="154"/>
        <v>0</v>
      </c>
      <c r="AF62" s="620">
        <f t="shared" ca="1" si="154"/>
        <v>0</v>
      </c>
      <c r="AG62" s="620">
        <f t="shared" ca="1" si="154"/>
        <v>0</v>
      </c>
      <c r="AH62" s="620">
        <f t="shared" ca="1" si="154"/>
        <v>0</v>
      </c>
      <c r="AI62" s="620">
        <f t="shared" ca="1" si="154"/>
        <v>0</v>
      </c>
      <c r="AJ62" s="620">
        <f t="shared" ca="1" si="154"/>
        <v>0</v>
      </c>
      <c r="AK62" s="613">
        <f t="shared" ca="1" si="156"/>
        <v>0</v>
      </c>
      <c r="AM62" s="621">
        <f t="shared" ca="1" si="157"/>
        <v>0</v>
      </c>
      <c r="AN62" s="621">
        <f t="shared" ca="1" si="157"/>
        <v>0</v>
      </c>
      <c r="AO62" s="621">
        <f t="shared" ca="1" si="157"/>
        <v>0</v>
      </c>
      <c r="AP62" s="621">
        <f t="shared" ca="1" si="157"/>
        <v>0</v>
      </c>
      <c r="AQ62" s="621">
        <f t="shared" ca="1" si="157"/>
        <v>0</v>
      </c>
      <c r="AR62" s="621">
        <f t="shared" ca="1" si="157"/>
        <v>0</v>
      </c>
      <c r="AS62" s="621">
        <f t="shared" ca="1" si="157"/>
        <v>0</v>
      </c>
      <c r="AT62" s="621">
        <f t="shared" ca="1" si="157"/>
        <v>0</v>
      </c>
      <c r="AU62" s="621">
        <f t="shared" ca="1" si="157"/>
        <v>0</v>
      </c>
      <c r="AV62" s="621">
        <f t="shared" ca="1" si="158"/>
        <v>0</v>
      </c>
      <c r="AW62" s="621">
        <f t="shared" ca="1" si="158"/>
        <v>0</v>
      </c>
      <c r="AX62" s="621">
        <f t="shared" ca="1" si="158"/>
        <v>0</v>
      </c>
      <c r="AY62" s="621">
        <f t="shared" ca="1" si="158"/>
        <v>0</v>
      </c>
      <c r="AZ62" s="621">
        <f t="shared" ca="1" si="158"/>
        <v>0</v>
      </c>
      <c r="BA62" s="621">
        <f t="shared" ca="1" si="158"/>
        <v>0</v>
      </c>
      <c r="BB62" s="621">
        <f t="shared" ca="1" si="158"/>
        <v>0</v>
      </c>
      <c r="BC62" s="621">
        <f t="shared" ca="1" si="158"/>
        <v>0</v>
      </c>
      <c r="BD62" s="621">
        <f t="shared" ca="1" si="158"/>
        <v>0</v>
      </c>
      <c r="BE62" s="621">
        <f t="shared" ca="1" si="158"/>
        <v>0</v>
      </c>
      <c r="BF62" s="615">
        <f t="shared" ca="1" si="159"/>
        <v>0</v>
      </c>
      <c r="BH62" s="3473">
        <f t="shared" ca="1" si="160"/>
        <v>0</v>
      </c>
      <c r="BI62" s="3473">
        <f t="shared" ca="1" si="160"/>
        <v>0</v>
      </c>
      <c r="BJ62" s="3462">
        <f t="shared" ca="1" si="161"/>
        <v>0</v>
      </c>
      <c r="BL62" s="610">
        <f t="shared" ca="1" si="150"/>
        <v>0</v>
      </c>
      <c r="BM62" s="610"/>
      <c r="BN62" s="413"/>
      <c r="BO62" s="2791">
        <f t="shared" ca="1" si="162"/>
        <v>0</v>
      </c>
      <c r="BP62" s="2792">
        <f t="shared" ca="1" si="162"/>
        <v>0</v>
      </c>
      <c r="BQ62" s="2792">
        <f t="shared" ca="1" si="162"/>
        <v>0</v>
      </c>
      <c r="BR62" s="2792">
        <f t="shared" ca="1" si="162"/>
        <v>0</v>
      </c>
      <c r="BS62" s="2792">
        <f t="shared" ca="1" si="162"/>
        <v>0</v>
      </c>
      <c r="BT62" s="2792">
        <f t="shared" ca="1" si="162"/>
        <v>0</v>
      </c>
      <c r="BU62" s="2792">
        <f t="shared" ca="1" si="162"/>
        <v>0</v>
      </c>
      <c r="BV62" s="2792">
        <f t="shared" ca="1" si="162"/>
        <v>0</v>
      </c>
      <c r="BW62" s="2792">
        <f t="shared" ca="1" si="162"/>
        <v>0</v>
      </c>
      <c r="BX62" s="2792">
        <f t="shared" ca="1" si="162"/>
        <v>0</v>
      </c>
      <c r="BY62" s="2792">
        <f t="shared" ca="1" si="163"/>
        <v>0</v>
      </c>
      <c r="BZ62" s="2792">
        <f t="shared" ca="1" si="163"/>
        <v>0</v>
      </c>
      <c r="CA62" s="2792">
        <f t="shared" ca="1" si="163"/>
        <v>0</v>
      </c>
      <c r="CB62" s="2792">
        <f t="shared" ca="1" si="163"/>
        <v>0</v>
      </c>
      <c r="CC62" s="2792">
        <f t="shared" ca="1" si="163"/>
        <v>0</v>
      </c>
      <c r="CD62" s="2792">
        <f t="shared" ca="1" si="163"/>
        <v>0</v>
      </c>
      <c r="CE62" s="2792">
        <f t="shared" ca="1" si="163"/>
        <v>0</v>
      </c>
      <c r="CF62" s="2792">
        <f t="shared" ca="1" si="163"/>
        <v>0</v>
      </c>
      <c r="CG62" s="2792">
        <f t="shared" ca="1" si="163"/>
        <v>0</v>
      </c>
      <c r="CH62" s="2792">
        <f t="shared" ca="1" si="163"/>
        <v>0</v>
      </c>
      <c r="CI62" s="2792">
        <f t="shared" ca="1" si="164"/>
        <v>0</v>
      </c>
      <c r="CJ62" s="2792">
        <f t="shared" ca="1" si="164"/>
        <v>0</v>
      </c>
      <c r="CK62" s="2792">
        <f t="shared" ca="1" si="164"/>
        <v>0</v>
      </c>
      <c r="CL62" s="2792">
        <f t="shared" ca="1" si="164"/>
        <v>0</v>
      </c>
      <c r="CM62" s="2792">
        <f t="shared" ca="1" si="164"/>
        <v>0</v>
      </c>
      <c r="CN62" s="2792">
        <f t="shared" ca="1" si="164"/>
        <v>0</v>
      </c>
      <c r="CO62" s="2792">
        <f t="shared" ca="1" si="164"/>
        <v>0</v>
      </c>
      <c r="CP62" s="2792">
        <f t="shared" ca="1" si="164"/>
        <v>0</v>
      </c>
      <c r="CQ62" s="2792">
        <f t="shared" ca="1" si="164"/>
        <v>0</v>
      </c>
      <c r="CR62" s="2792">
        <f t="shared" ca="1" si="164"/>
        <v>0</v>
      </c>
      <c r="CS62" s="2792">
        <f t="shared" ca="1" si="165"/>
        <v>0</v>
      </c>
      <c r="CT62" s="2792">
        <f t="shared" ca="1" si="165"/>
        <v>0</v>
      </c>
      <c r="CU62" s="2792">
        <f t="shared" ca="1" si="165"/>
        <v>0</v>
      </c>
      <c r="CV62" s="2792">
        <f t="shared" ca="1" si="165"/>
        <v>0</v>
      </c>
      <c r="CW62" s="2792">
        <f t="shared" ca="1" si="165"/>
        <v>0</v>
      </c>
      <c r="CX62" s="2792">
        <f t="shared" ca="1" si="165"/>
        <v>0</v>
      </c>
      <c r="CY62" s="2792">
        <f t="shared" ca="1" si="165"/>
        <v>0</v>
      </c>
      <c r="CZ62" s="2792">
        <f t="shared" ca="1" si="165"/>
        <v>0</v>
      </c>
      <c r="DA62" s="2792">
        <f t="shared" ca="1" si="165"/>
        <v>0</v>
      </c>
      <c r="DB62" s="2792">
        <f t="shared" ca="1" si="165"/>
        <v>0</v>
      </c>
      <c r="DC62" s="2792">
        <f t="shared" ca="1" si="165"/>
        <v>0</v>
      </c>
      <c r="DD62" s="2792">
        <f t="shared" ca="1" si="165"/>
        <v>0</v>
      </c>
      <c r="DE62" s="2792">
        <f t="shared" ca="1" si="165"/>
        <v>0</v>
      </c>
      <c r="DF62" s="2792">
        <f t="shared" ca="1" si="165"/>
        <v>0</v>
      </c>
      <c r="DH62" s="596">
        <f t="shared" ca="1" si="120"/>
        <v>0</v>
      </c>
    </row>
    <row r="63" spans="1:112" s="6" customFormat="1" ht="15.75">
      <c r="A63" s="4"/>
      <c r="B63" s="3"/>
      <c r="C63" s="616" t="s">
        <v>532</v>
      </c>
      <c r="D63" s="617" t="s">
        <v>533</v>
      </c>
      <c r="E63" s="206"/>
      <c r="G63" s="579">
        <f t="shared" ref="G63:P63" ca="1" si="166">SUM(G57:G62)</f>
        <v>0</v>
      </c>
      <c r="H63" s="579">
        <f t="shared" ca="1" si="166"/>
        <v>0</v>
      </c>
      <c r="I63" s="579">
        <f t="shared" ca="1" si="166"/>
        <v>0</v>
      </c>
      <c r="J63" s="579">
        <f t="shared" ca="1" si="166"/>
        <v>0</v>
      </c>
      <c r="K63" s="579">
        <f t="shared" ca="1" si="166"/>
        <v>0</v>
      </c>
      <c r="L63" s="579">
        <f t="shared" ca="1" si="166"/>
        <v>0</v>
      </c>
      <c r="M63" s="579">
        <f t="shared" ca="1" si="166"/>
        <v>0</v>
      </c>
      <c r="N63" s="579">
        <f t="shared" ca="1" si="166"/>
        <v>0</v>
      </c>
      <c r="O63" s="579">
        <f t="shared" ca="1" si="166"/>
        <v>0</v>
      </c>
      <c r="P63" s="579">
        <f t="shared" ca="1" si="166"/>
        <v>0</v>
      </c>
      <c r="Q63" s="618">
        <f t="shared" ca="1" si="153"/>
        <v>0</v>
      </c>
      <c r="S63" s="581">
        <f t="shared" ref="S63:AJ63" ca="1" si="167">SUM(S57:S62)</f>
        <v>0</v>
      </c>
      <c r="T63" s="581">
        <f t="shared" ca="1" si="167"/>
        <v>46.938511259999999</v>
      </c>
      <c r="U63" s="581">
        <f t="shared" ca="1" si="167"/>
        <v>0</v>
      </c>
      <c r="V63" s="581">
        <f t="shared" ca="1" si="167"/>
        <v>0</v>
      </c>
      <c r="W63" s="581">
        <f t="shared" ca="1" si="167"/>
        <v>0</v>
      </c>
      <c r="X63" s="581">
        <f t="shared" ca="1" si="167"/>
        <v>0</v>
      </c>
      <c r="Y63" s="581">
        <f t="shared" ca="1" si="167"/>
        <v>0</v>
      </c>
      <c r="Z63" s="581">
        <f t="shared" ca="1" si="167"/>
        <v>0</v>
      </c>
      <c r="AA63" s="581">
        <f t="shared" ca="1" si="167"/>
        <v>0</v>
      </c>
      <c r="AB63" s="581">
        <f t="shared" ca="1" si="167"/>
        <v>0</v>
      </c>
      <c r="AC63" s="581">
        <f t="shared" ca="1" si="167"/>
        <v>0</v>
      </c>
      <c r="AD63" s="581">
        <f t="shared" ca="1" si="167"/>
        <v>0</v>
      </c>
      <c r="AE63" s="581">
        <f ca="1">SUM(AE57:AE62)</f>
        <v>0</v>
      </c>
      <c r="AF63" s="581">
        <f t="shared" ca="1" si="167"/>
        <v>0</v>
      </c>
      <c r="AG63" s="581">
        <f t="shared" ca="1" si="167"/>
        <v>0</v>
      </c>
      <c r="AH63" s="581">
        <f ca="1">SUM(AH57:AH62)</f>
        <v>0</v>
      </c>
      <c r="AI63" s="581">
        <f t="shared" ca="1" si="167"/>
        <v>0</v>
      </c>
      <c r="AJ63" s="581">
        <f t="shared" ca="1" si="167"/>
        <v>0</v>
      </c>
      <c r="AK63" s="581">
        <f t="shared" ca="1" si="156"/>
        <v>46.938511259999999</v>
      </c>
      <c r="AM63" s="582">
        <f t="shared" ref="AM63:BE63" ca="1" si="168">SUM(AM57:AM62)</f>
        <v>0</v>
      </c>
      <c r="AN63" s="582">
        <f t="shared" ca="1" si="168"/>
        <v>0</v>
      </c>
      <c r="AO63" s="582">
        <f t="shared" ca="1" si="168"/>
        <v>0</v>
      </c>
      <c r="AP63" s="582">
        <f t="shared" ca="1" si="168"/>
        <v>0</v>
      </c>
      <c r="AQ63" s="582">
        <f t="shared" ca="1" si="168"/>
        <v>0</v>
      </c>
      <c r="AR63" s="582">
        <f t="shared" ca="1" si="168"/>
        <v>0</v>
      </c>
      <c r="AS63" s="582">
        <f t="shared" ca="1" si="168"/>
        <v>0</v>
      </c>
      <c r="AT63" s="582">
        <f t="shared" ca="1" si="168"/>
        <v>0</v>
      </c>
      <c r="AU63" s="582">
        <f t="shared" ca="1" si="168"/>
        <v>0</v>
      </c>
      <c r="AV63" s="582">
        <f t="shared" ca="1" si="168"/>
        <v>0</v>
      </c>
      <c r="AW63" s="582">
        <f t="shared" ca="1" si="168"/>
        <v>0</v>
      </c>
      <c r="AX63" s="582">
        <f t="shared" ca="1" si="168"/>
        <v>-38.417433299999999</v>
      </c>
      <c r="AY63" s="582">
        <f t="shared" ca="1" si="168"/>
        <v>-2.5246080000000011</v>
      </c>
      <c r="AZ63" s="582">
        <f t="shared" ca="1" si="168"/>
        <v>-5.2070040000000004</v>
      </c>
      <c r="BA63" s="582">
        <f t="shared" ca="1" si="168"/>
        <v>0</v>
      </c>
      <c r="BB63" s="582">
        <f t="shared" ca="1" si="168"/>
        <v>-0.78946596000000002</v>
      </c>
      <c r="BC63" s="582">
        <f t="shared" ca="1" si="168"/>
        <v>0</v>
      </c>
      <c r="BD63" s="582">
        <f t="shared" ca="1" si="168"/>
        <v>0</v>
      </c>
      <c r="BE63" s="582">
        <f t="shared" ca="1" si="168"/>
        <v>0</v>
      </c>
      <c r="BF63" s="582">
        <f t="shared" ca="1" si="159"/>
        <v>-46.938511259999999</v>
      </c>
      <c r="BH63" s="3463">
        <f ca="1">SUM(BH57:BH62)</f>
        <v>0</v>
      </c>
      <c r="BI63" s="3463">
        <f ca="1">SUM(BI57:BI62)</f>
        <v>0</v>
      </c>
      <c r="BJ63" s="3463">
        <f t="shared" ca="1" si="161"/>
        <v>0</v>
      </c>
      <c r="BL63" s="3477">
        <f t="shared" ca="1" si="150"/>
        <v>0</v>
      </c>
      <c r="BM63" s="584"/>
      <c r="BN63" s="413"/>
      <c r="BO63" s="2790">
        <f t="shared" ref="BO63:DF63" ca="1" si="169">SUM(BO57:BO62)</f>
        <v>0</v>
      </c>
      <c r="BP63" s="2790">
        <f t="shared" ca="1" si="169"/>
        <v>0</v>
      </c>
      <c r="BQ63" s="2790">
        <f t="shared" ca="1" si="169"/>
        <v>0</v>
      </c>
      <c r="BR63" s="2790">
        <f t="shared" ca="1" si="169"/>
        <v>0</v>
      </c>
      <c r="BS63" s="2790">
        <f t="shared" ca="1" si="169"/>
        <v>0</v>
      </c>
      <c r="BT63" s="2790">
        <f t="shared" ca="1" si="169"/>
        <v>0</v>
      </c>
      <c r="BU63" s="2790">
        <f t="shared" ca="1" si="169"/>
        <v>0</v>
      </c>
      <c r="BV63" s="2790">
        <f t="shared" ca="1" si="169"/>
        <v>0</v>
      </c>
      <c r="BW63" s="2790">
        <f t="shared" ca="1" si="169"/>
        <v>0</v>
      </c>
      <c r="BX63" s="2790">
        <f t="shared" ca="1" si="169"/>
        <v>0</v>
      </c>
      <c r="BY63" s="2790">
        <f t="shared" ca="1" si="169"/>
        <v>0</v>
      </c>
      <c r="BZ63" s="2790">
        <f t="shared" ca="1" si="169"/>
        <v>0</v>
      </c>
      <c r="CA63" s="2790">
        <f t="shared" ca="1" si="169"/>
        <v>0</v>
      </c>
      <c r="CB63" s="2790">
        <f t="shared" ca="1" si="169"/>
        <v>0</v>
      </c>
      <c r="CC63" s="2790">
        <f t="shared" ca="1" si="169"/>
        <v>0</v>
      </c>
      <c r="CD63" s="2790">
        <f t="shared" ca="1" si="169"/>
        <v>0</v>
      </c>
      <c r="CE63" s="2790">
        <f t="shared" ca="1" si="169"/>
        <v>0</v>
      </c>
      <c r="CF63" s="2790">
        <f t="shared" ca="1" si="169"/>
        <v>0</v>
      </c>
      <c r="CG63" s="2790">
        <f t="shared" ca="1" si="169"/>
        <v>0</v>
      </c>
      <c r="CH63" s="2790">
        <f t="shared" ca="1" si="169"/>
        <v>0</v>
      </c>
      <c r="CI63" s="2790">
        <f t="shared" ca="1" si="169"/>
        <v>0</v>
      </c>
      <c r="CJ63" s="2790">
        <f t="shared" ca="1" si="169"/>
        <v>0</v>
      </c>
      <c r="CK63" s="2790">
        <f t="shared" ca="1" si="169"/>
        <v>0</v>
      </c>
      <c r="CL63" s="2790">
        <f t="shared" ca="1" si="169"/>
        <v>0</v>
      </c>
      <c r="CM63" s="2790">
        <f t="shared" ca="1" si="169"/>
        <v>0</v>
      </c>
      <c r="CN63" s="2790">
        <f t="shared" ca="1" si="169"/>
        <v>0</v>
      </c>
      <c r="CO63" s="2790">
        <f t="shared" ca="1" si="169"/>
        <v>0</v>
      </c>
      <c r="CP63" s="2790">
        <f t="shared" ca="1" si="169"/>
        <v>0</v>
      </c>
      <c r="CQ63" s="2790">
        <f t="shared" ca="1" si="169"/>
        <v>0</v>
      </c>
      <c r="CR63" s="2790">
        <f t="shared" ca="1" si="169"/>
        <v>0</v>
      </c>
      <c r="CS63" s="2790">
        <f t="shared" ca="1" si="169"/>
        <v>0</v>
      </c>
      <c r="CT63" s="2790">
        <f t="shared" ca="1" si="169"/>
        <v>0</v>
      </c>
      <c r="CU63" s="2790">
        <f t="shared" ca="1" si="169"/>
        <v>0</v>
      </c>
      <c r="CV63" s="2790">
        <f t="shared" ca="1" si="169"/>
        <v>0</v>
      </c>
      <c r="CW63" s="2790">
        <f t="shared" ca="1" si="169"/>
        <v>0</v>
      </c>
      <c r="CX63" s="2790">
        <f t="shared" ca="1" si="169"/>
        <v>0</v>
      </c>
      <c r="CY63" s="2790">
        <f t="shared" ca="1" si="169"/>
        <v>0</v>
      </c>
      <c r="CZ63" s="2790">
        <f t="shared" ca="1" si="169"/>
        <v>0</v>
      </c>
      <c r="DA63" s="2790">
        <f t="shared" ca="1" si="169"/>
        <v>0</v>
      </c>
      <c r="DB63" s="2790">
        <f t="shared" ca="1" si="169"/>
        <v>0</v>
      </c>
      <c r="DC63" s="2790">
        <f t="shared" ca="1" si="169"/>
        <v>0</v>
      </c>
      <c r="DD63" s="2790">
        <f t="shared" ca="1" si="169"/>
        <v>0</v>
      </c>
      <c r="DE63" s="2790">
        <f t="shared" ca="1" si="169"/>
        <v>0</v>
      </c>
      <c r="DF63" s="2790">
        <f t="shared" ca="1" si="169"/>
        <v>0</v>
      </c>
      <c r="DH63" s="596">
        <f t="shared" ca="1" si="120"/>
        <v>0</v>
      </c>
    </row>
    <row r="64" spans="1:112" s="6" customFormat="1" ht="12.75" customHeight="1" outlineLevel="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20"/>
        <v>0</v>
      </c>
    </row>
    <row r="65" spans="1:112" s="607" customFormat="1" ht="12.75" customHeight="1" outlineLevel="1">
      <c r="C65" s="587" t="s">
        <v>534</v>
      </c>
      <c r="D65" s="588" t="s">
        <v>535</v>
      </c>
      <c r="E65" s="588"/>
      <c r="G65" s="657">
        <f t="shared" ref="G65:P67" ca="1" si="170">IFERROR(INDEX(INDIRECT($C65&amp;".Outputs["&amp;this.Year&amp;"]"), MATCH(G$5, INDIRECT($C65&amp;".Outputs[Vector]"), 0)), 0)</f>
        <v>0</v>
      </c>
      <c r="H65" s="657">
        <f t="shared" ca="1" si="170"/>
        <v>0</v>
      </c>
      <c r="I65" s="657">
        <f t="shared" ca="1" si="170"/>
        <v>0</v>
      </c>
      <c r="J65" s="657">
        <f t="shared" ca="1" si="170"/>
        <v>0</v>
      </c>
      <c r="K65" s="658">
        <f t="shared" ca="1" si="170"/>
        <v>0</v>
      </c>
      <c r="L65" s="657">
        <f t="shared" ca="1" si="170"/>
        <v>0</v>
      </c>
      <c r="M65" s="657">
        <f t="shared" ca="1" si="170"/>
        <v>0</v>
      </c>
      <c r="N65" s="657">
        <f t="shared" ca="1" si="170"/>
        <v>0</v>
      </c>
      <c r="O65" s="657">
        <f t="shared" ca="1" si="170"/>
        <v>0</v>
      </c>
      <c r="P65" s="657">
        <f t="shared" ca="1" si="170"/>
        <v>0</v>
      </c>
      <c r="Q65" s="659">
        <f ca="1">SUM(G65:P65)</f>
        <v>0</v>
      </c>
      <c r="S65" s="660">
        <f t="shared" ref="S65:AJ67" ca="1" si="171">IFERROR(INDEX(INDIRECT($C65&amp;".Outputs["&amp;this.Year&amp;"]"), MATCH(S$5, INDIRECT($C65&amp;".Outputs[Vector]"), 0)), 0)</f>
        <v>0</v>
      </c>
      <c r="T65" s="660">
        <f t="shared" ca="1" si="171"/>
        <v>3.8263590000000001</v>
      </c>
      <c r="U65" s="660">
        <f t="shared" ca="1" si="171"/>
        <v>0</v>
      </c>
      <c r="V65" s="660">
        <f t="shared" ca="1" si="171"/>
        <v>0</v>
      </c>
      <c r="W65" s="660">
        <f t="shared" ca="1" si="171"/>
        <v>0</v>
      </c>
      <c r="X65" s="660">
        <f t="shared" ref="X65:Z67" ca="1" si="172">IFERROR(INDEX(INDIRECT($C65&amp;".Outputs["&amp;this.Year&amp;"]"), MATCH(X$5, INDIRECT($C65&amp;".Outputs[Vector]"), 0)), 0)</f>
        <v>0</v>
      </c>
      <c r="Y65" s="660">
        <f t="shared" ca="1" si="172"/>
        <v>0</v>
      </c>
      <c r="Z65" s="660">
        <f t="shared" ca="1" si="172"/>
        <v>0</v>
      </c>
      <c r="AA65" s="660">
        <f t="shared" ca="1" si="171"/>
        <v>0</v>
      </c>
      <c r="AB65" s="660">
        <f t="shared" ca="1" si="171"/>
        <v>0</v>
      </c>
      <c r="AC65" s="660">
        <f t="shared" ca="1" si="171"/>
        <v>0</v>
      </c>
      <c r="AD65" s="660">
        <f t="shared" ca="1" si="171"/>
        <v>0</v>
      </c>
      <c r="AE65" s="660">
        <f t="shared" ca="1" si="171"/>
        <v>0</v>
      </c>
      <c r="AF65" s="660">
        <f t="shared" ca="1" si="171"/>
        <v>0</v>
      </c>
      <c r="AG65" s="660">
        <f t="shared" ca="1" si="171"/>
        <v>0</v>
      </c>
      <c r="AH65" s="660">
        <f t="shared" ca="1" si="171"/>
        <v>0</v>
      </c>
      <c r="AI65" s="660">
        <f t="shared" ca="1" si="171"/>
        <v>0</v>
      </c>
      <c r="AJ65" s="660">
        <f t="shared" ca="1" si="171"/>
        <v>0</v>
      </c>
      <c r="AK65" s="661">
        <f ca="1">SUM(S65:AJ65)</f>
        <v>3.8263590000000001</v>
      </c>
      <c r="AM65" s="662">
        <f t="shared" ref="AM65:AU67" ca="1" si="173">IFERROR(INDEX(INDIRECT($C65&amp;".Outputs["&amp;this.Year&amp;"]"), MATCH(AM$5, INDIRECT($C65&amp;".Outputs[Vector]"), 0)), 0)</f>
        <v>0</v>
      </c>
      <c r="AN65" s="662">
        <f t="shared" ca="1" si="173"/>
        <v>0</v>
      </c>
      <c r="AO65" s="662">
        <f t="shared" ca="1" si="173"/>
        <v>0</v>
      </c>
      <c r="AP65" s="662">
        <f t="shared" ca="1" si="173"/>
        <v>0</v>
      </c>
      <c r="AQ65" s="662">
        <f t="shared" ca="1" si="173"/>
        <v>0</v>
      </c>
      <c r="AR65" s="662">
        <f t="shared" ca="1" si="173"/>
        <v>0</v>
      </c>
      <c r="AS65" s="662">
        <f t="shared" ca="1" si="173"/>
        <v>0</v>
      </c>
      <c r="AT65" s="662">
        <f t="shared" ca="1" si="173"/>
        <v>0</v>
      </c>
      <c r="AU65" s="662">
        <f t="shared" ca="1" si="173"/>
        <v>0</v>
      </c>
      <c r="AV65" s="662">
        <f t="shared" ref="AV65:BE67" ca="1" si="174">IFERROR(INDEX(INDIRECT($C65&amp;".Outputs["&amp;this.Year&amp;"]"), MATCH(AV$5, INDIRECT($C65&amp;".Outputs[Vector]"), 0)), 0)</f>
        <v>0</v>
      </c>
      <c r="AW65" s="662">
        <f t="shared" ca="1" si="174"/>
        <v>-3.8263590000000001</v>
      </c>
      <c r="AX65" s="662">
        <f t="shared" ca="1" si="174"/>
        <v>0</v>
      </c>
      <c r="AY65" s="662">
        <f t="shared" ca="1" si="174"/>
        <v>0</v>
      </c>
      <c r="AZ65" s="662">
        <f t="shared" ca="1" si="174"/>
        <v>0</v>
      </c>
      <c r="BA65" s="662">
        <f t="shared" ca="1" si="174"/>
        <v>0</v>
      </c>
      <c r="BB65" s="662">
        <f t="shared" ca="1" si="174"/>
        <v>0</v>
      </c>
      <c r="BC65" s="662">
        <f t="shared" ca="1" si="174"/>
        <v>0</v>
      </c>
      <c r="BD65" s="662">
        <f t="shared" ca="1" si="174"/>
        <v>0</v>
      </c>
      <c r="BE65" s="662">
        <f t="shared" ca="1" si="174"/>
        <v>0</v>
      </c>
      <c r="BF65" s="609">
        <f ca="1">SUM(AM65:BE65)</f>
        <v>-3.8263590000000001</v>
      </c>
      <c r="BH65" s="663">
        <f t="shared" ref="BH65:BI67" ca="1" si="175">IFERROR(INDEX(INDIRECT($C65&amp;".Outputs["&amp;this.Year&amp;"]"), MATCH(BH$5, INDIRECT($C65&amp;".Outputs[Vector]"), 0)), 0)</f>
        <v>0</v>
      </c>
      <c r="BI65" s="663">
        <f t="shared" ca="1" si="175"/>
        <v>0</v>
      </c>
      <c r="BJ65" s="664">
        <f ca="1">SUM(BH65:BI65)</f>
        <v>0</v>
      </c>
      <c r="BL65" s="610">
        <f t="shared" ref="BL65:BL72" ca="1" si="176">Q65+AK65+BF65+BJ65</f>
        <v>0</v>
      </c>
      <c r="BM65" s="610"/>
      <c r="BO65" s="665">
        <f t="shared" ref="BO65:DF67" ca="1" si="177">IFERROR(SUMIFS(INDIRECT($C65&amp;".Emissions["&amp;this.Year&amp;"]"), INDIRECT($C65&amp;".Emissions[GHG]"), BO$6, INDIRECT($C65&amp;".Emissions[IPCC Sector]"), BO$5),0)</f>
        <v>0</v>
      </c>
      <c r="BP65" s="665">
        <f t="shared" ca="1" si="177"/>
        <v>0</v>
      </c>
      <c r="BQ65" s="665">
        <f t="shared" ca="1" si="177"/>
        <v>0</v>
      </c>
      <c r="BR65" s="665">
        <f t="shared" ca="1" si="177"/>
        <v>0</v>
      </c>
      <c r="BS65" s="665">
        <f t="shared" ca="1" si="177"/>
        <v>0</v>
      </c>
      <c r="BT65" s="665">
        <f t="shared" ca="1" si="177"/>
        <v>0</v>
      </c>
      <c r="BU65" s="665">
        <f t="shared" ca="1" si="177"/>
        <v>0</v>
      </c>
      <c r="BV65" s="665">
        <f t="shared" ca="1" si="177"/>
        <v>0</v>
      </c>
      <c r="BW65" s="665">
        <f t="shared" ca="1" si="177"/>
        <v>0</v>
      </c>
      <c r="BX65" s="665">
        <f t="shared" ca="1" si="177"/>
        <v>0</v>
      </c>
      <c r="BY65" s="665">
        <f t="shared" ca="1" si="177"/>
        <v>0</v>
      </c>
      <c r="BZ65" s="665">
        <f t="shared" ca="1" si="177"/>
        <v>0</v>
      </c>
      <c r="CA65" s="665">
        <f t="shared" ca="1" si="177"/>
        <v>0</v>
      </c>
      <c r="CB65" s="665">
        <f t="shared" ca="1" si="177"/>
        <v>0</v>
      </c>
      <c r="CC65" s="665">
        <f t="shared" ca="1" si="177"/>
        <v>0</v>
      </c>
      <c r="CD65" s="665">
        <f t="shared" ca="1" si="177"/>
        <v>0</v>
      </c>
      <c r="CE65" s="665">
        <f t="shared" ca="1" si="177"/>
        <v>0</v>
      </c>
      <c r="CF65" s="665">
        <f t="shared" ca="1" si="177"/>
        <v>0</v>
      </c>
      <c r="CG65" s="665">
        <f t="shared" ca="1" si="177"/>
        <v>0</v>
      </c>
      <c r="CH65" s="665">
        <f t="shared" ca="1" si="177"/>
        <v>0</v>
      </c>
      <c r="CI65" s="665">
        <f t="shared" ca="1" si="177"/>
        <v>0</v>
      </c>
      <c r="CJ65" s="665">
        <f t="shared" ca="1" si="177"/>
        <v>0</v>
      </c>
      <c r="CK65" s="665">
        <f t="shared" ca="1" si="177"/>
        <v>0</v>
      </c>
      <c r="CL65" s="665">
        <f t="shared" ca="1" si="177"/>
        <v>0</v>
      </c>
      <c r="CM65" s="665">
        <f t="shared" ca="1" si="177"/>
        <v>0</v>
      </c>
      <c r="CN65" s="665">
        <f t="shared" ca="1" si="177"/>
        <v>0</v>
      </c>
      <c r="CO65" s="665">
        <f t="shared" ca="1" si="177"/>
        <v>0</v>
      </c>
      <c r="CP65" s="665">
        <f t="shared" ca="1" si="177"/>
        <v>0</v>
      </c>
      <c r="CQ65" s="665">
        <f t="shared" ca="1" si="177"/>
        <v>0</v>
      </c>
      <c r="CR65" s="665">
        <f t="shared" ca="1" si="177"/>
        <v>0</v>
      </c>
      <c r="CS65" s="665">
        <f t="shared" ca="1" si="177"/>
        <v>0</v>
      </c>
      <c r="CT65" s="665">
        <f t="shared" ca="1" si="177"/>
        <v>0</v>
      </c>
      <c r="CU65" s="665">
        <f t="shared" ca="1" si="177"/>
        <v>0</v>
      </c>
      <c r="CV65" s="665">
        <f t="shared" ca="1" si="177"/>
        <v>0</v>
      </c>
      <c r="CW65" s="665">
        <f t="shared" ca="1" si="177"/>
        <v>0</v>
      </c>
      <c r="CX65" s="665">
        <f t="shared" ca="1" si="177"/>
        <v>0</v>
      </c>
      <c r="CY65" s="665">
        <f t="shared" ca="1" si="177"/>
        <v>0</v>
      </c>
      <c r="CZ65" s="665">
        <f t="shared" ca="1" si="177"/>
        <v>0</v>
      </c>
      <c r="DA65" s="665">
        <f t="shared" ca="1" si="177"/>
        <v>0</v>
      </c>
      <c r="DB65" s="665">
        <f t="shared" ca="1" si="177"/>
        <v>0</v>
      </c>
      <c r="DC65" s="665">
        <f t="shared" ca="1" si="177"/>
        <v>0</v>
      </c>
      <c r="DD65" s="665">
        <f t="shared" ca="1" si="177"/>
        <v>0</v>
      </c>
      <c r="DE65" s="665">
        <f t="shared" ca="1" si="177"/>
        <v>0</v>
      </c>
      <c r="DF65" s="665">
        <f t="shared" ca="1" si="177"/>
        <v>0</v>
      </c>
      <c r="DH65" s="666">
        <f t="shared" ca="1" si="120"/>
        <v>0</v>
      </c>
    </row>
    <row r="66" spans="1:112" s="607" customFormat="1" ht="12.75" customHeight="1" outlineLevel="1">
      <c r="C66" s="587" t="s">
        <v>25</v>
      </c>
      <c r="D66" s="588" t="s">
        <v>26</v>
      </c>
      <c r="E66" s="588"/>
      <c r="G66" s="657">
        <f t="shared" ca="1" si="170"/>
        <v>0</v>
      </c>
      <c r="H66" s="657">
        <f t="shared" ca="1" si="170"/>
        <v>0.22923712817119068</v>
      </c>
      <c r="I66" s="657">
        <f t="shared" ca="1" si="170"/>
        <v>0</v>
      </c>
      <c r="J66" s="657">
        <f t="shared" ca="1" si="170"/>
        <v>0</v>
      </c>
      <c r="K66" s="658">
        <f t="shared" ca="1" si="170"/>
        <v>0</v>
      </c>
      <c r="L66" s="657">
        <f t="shared" ca="1" si="170"/>
        <v>0</v>
      </c>
      <c r="M66" s="657">
        <f t="shared" ca="1" si="170"/>
        <v>0</v>
      </c>
      <c r="N66" s="657">
        <f t="shared" ca="1" si="170"/>
        <v>0</v>
      </c>
      <c r="O66" s="657">
        <f t="shared" ca="1" si="170"/>
        <v>0</v>
      </c>
      <c r="P66" s="657">
        <f t="shared" ca="1" si="170"/>
        <v>0</v>
      </c>
      <c r="Q66" s="659">
        <f ca="1">SUM(G66:P66)</f>
        <v>0.22923712817119068</v>
      </c>
      <c r="S66" s="660">
        <f t="shared" ca="1" si="171"/>
        <v>-0.22923712817119068</v>
      </c>
      <c r="T66" s="660">
        <f t="shared" ca="1" si="171"/>
        <v>0</v>
      </c>
      <c r="U66" s="660">
        <f t="shared" ca="1" si="171"/>
        <v>0</v>
      </c>
      <c r="V66" s="660">
        <f t="shared" ca="1" si="171"/>
        <v>0</v>
      </c>
      <c r="W66" s="660">
        <f t="shared" ca="1" si="171"/>
        <v>0</v>
      </c>
      <c r="X66" s="660">
        <f t="shared" ca="1" si="172"/>
        <v>0</v>
      </c>
      <c r="Y66" s="660">
        <f t="shared" ca="1" si="172"/>
        <v>0</v>
      </c>
      <c r="Z66" s="660">
        <f t="shared" ca="1" si="172"/>
        <v>0</v>
      </c>
      <c r="AA66" s="660">
        <f t="shared" ca="1" si="171"/>
        <v>0</v>
      </c>
      <c r="AB66" s="660">
        <f t="shared" ca="1" si="171"/>
        <v>0</v>
      </c>
      <c r="AC66" s="660">
        <f t="shared" ca="1" si="171"/>
        <v>0</v>
      </c>
      <c r="AD66" s="660">
        <f t="shared" ca="1" si="171"/>
        <v>0</v>
      </c>
      <c r="AE66" s="660">
        <f t="shared" ca="1" si="171"/>
        <v>0</v>
      </c>
      <c r="AF66" s="660">
        <f t="shared" ca="1" si="171"/>
        <v>0</v>
      </c>
      <c r="AG66" s="660">
        <f t="shared" ca="1" si="171"/>
        <v>0</v>
      </c>
      <c r="AH66" s="660">
        <f t="shared" ca="1" si="171"/>
        <v>0</v>
      </c>
      <c r="AI66" s="660">
        <f t="shared" ca="1" si="171"/>
        <v>3.2093197943966696</v>
      </c>
      <c r="AJ66" s="660">
        <f t="shared" ca="1" si="171"/>
        <v>0</v>
      </c>
      <c r="AK66" s="661">
        <f ca="1">SUM(S66:AJ66)</f>
        <v>2.9800826662254787</v>
      </c>
      <c r="AM66" s="662">
        <f t="shared" ca="1" si="173"/>
        <v>0</v>
      </c>
      <c r="AN66" s="662">
        <f t="shared" ca="1" si="173"/>
        <v>0</v>
      </c>
      <c r="AO66" s="662">
        <f t="shared" ca="1" si="173"/>
        <v>0</v>
      </c>
      <c r="AP66" s="662">
        <f t="shared" ca="1" si="173"/>
        <v>0</v>
      </c>
      <c r="AQ66" s="662">
        <f t="shared" ca="1" si="173"/>
        <v>0</v>
      </c>
      <c r="AR66" s="662">
        <f t="shared" ca="1" si="173"/>
        <v>0</v>
      </c>
      <c r="AS66" s="662">
        <f t="shared" ca="1" si="173"/>
        <v>0</v>
      </c>
      <c r="AT66" s="662">
        <f t="shared" ca="1" si="173"/>
        <v>0</v>
      </c>
      <c r="AU66" s="662">
        <f t="shared" ca="1" si="173"/>
        <v>0</v>
      </c>
      <c r="AV66" s="662">
        <f t="shared" ca="1" si="174"/>
        <v>0</v>
      </c>
      <c r="AW66" s="662">
        <f t="shared" ca="1" si="174"/>
        <v>-3.2093197943966696</v>
      </c>
      <c r="AX66" s="662">
        <f t="shared" ca="1" si="174"/>
        <v>0</v>
      </c>
      <c r="AY66" s="662">
        <f t="shared" ca="1" si="174"/>
        <v>0</v>
      </c>
      <c r="AZ66" s="662">
        <f t="shared" ca="1" si="174"/>
        <v>0</v>
      </c>
      <c r="BA66" s="662">
        <f t="shared" ca="1" si="174"/>
        <v>0</v>
      </c>
      <c r="BB66" s="662">
        <f t="shared" ca="1" si="174"/>
        <v>0</v>
      </c>
      <c r="BC66" s="662">
        <f t="shared" ca="1" si="174"/>
        <v>0</v>
      </c>
      <c r="BD66" s="662">
        <f t="shared" ca="1" si="174"/>
        <v>0</v>
      </c>
      <c r="BE66" s="662">
        <f t="shared" ca="1" si="174"/>
        <v>0</v>
      </c>
      <c r="BF66" s="609">
        <f ca="1">SUM(AM66:BE66)</f>
        <v>-3.2093197943966696</v>
      </c>
      <c r="BH66" s="663">
        <f t="shared" ca="1" si="175"/>
        <v>0</v>
      </c>
      <c r="BI66" s="663">
        <f t="shared" ca="1" si="175"/>
        <v>0</v>
      </c>
      <c r="BJ66" s="664">
        <f ca="1">SUM(BH66:BI66)</f>
        <v>0</v>
      </c>
      <c r="BL66" s="610">
        <f t="shared" ca="1" si="176"/>
        <v>-4.4408920985006262E-16</v>
      </c>
      <c r="BM66" s="610"/>
      <c r="BO66" s="665">
        <f t="shared" ca="1" si="177"/>
        <v>0</v>
      </c>
      <c r="BP66" s="665">
        <f t="shared" ca="1" si="177"/>
        <v>0</v>
      </c>
      <c r="BQ66" s="665">
        <f t="shared" ca="1" si="177"/>
        <v>0</v>
      </c>
      <c r="BR66" s="665">
        <f t="shared" ca="1" si="177"/>
        <v>0</v>
      </c>
      <c r="BS66" s="665">
        <f t="shared" ca="1" si="177"/>
        <v>0</v>
      </c>
      <c r="BT66" s="665">
        <f t="shared" ca="1" si="177"/>
        <v>0</v>
      </c>
      <c r="BU66" s="665">
        <f t="shared" ca="1" si="177"/>
        <v>0</v>
      </c>
      <c r="BV66" s="665">
        <f t="shared" ca="1" si="177"/>
        <v>0</v>
      </c>
      <c r="BW66" s="665">
        <f t="shared" ca="1" si="177"/>
        <v>0</v>
      </c>
      <c r="BX66" s="665">
        <f t="shared" ca="1" si="177"/>
        <v>0</v>
      </c>
      <c r="BY66" s="665">
        <f t="shared" ca="1" si="177"/>
        <v>0</v>
      </c>
      <c r="BZ66" s="665">
        <f t="shared" ca="1" si="177"/>
        <v>0</v>
      </c>
      <c r="CA66" s="665">
        <f t="shared" ca="1" si="177"/>
        <v>0</v>
      </c>
      <c r="CB66" s="665">
        <f t="shared" ca="1" si="177"/>
        <v>0</v>
      </c>
      <c r="CC66" s="665">
        <f t="shared" ca="1" si="177"/>
        <v>0</v>
      </c>
      <c r="CD66" s="665">
        <f t="shared" ca="1" si="177"/>
        <v>0</v>
      </c>
      <c r="CE66" s="665">
        <f t="shared" ca="1" si="177"/>
        <v>0</v>
      </c>
      <c r="CF66" s="665">
        <f t="shared" ca="1" si="177"/>
        <v>0</v>
      </c>
      <c r="CG66" s="665">
        <f t="shared" ca="1" si="177"/>
        <v>0</v>
      </c>
      <c r="CH66" s="665">
        <f t="shared" ca="1" si="177"/>
        <v>0</v>
      </c>
      <c r="CI66" s="665">
        <f t="shared" ca="1" si="177"/>
        <v>0</v>
      </c>
      <c r="CJ66" s="665">
        <f t="shared" ca="1" si="177"/>
        <v>0</v>
      </c>
      <c r="CK66" s="665">
        <f t="shared" ca="1" si="177"/>
        <v>0</v>
      </c>
      <c r="CL66" s="665">
        <f t="shared" ca="1" si="177"/>
        <v>0</v>
      </c>
      <c r="CM66" s="665">
        <f t="shared" ca="1" si="177"/>
        <v>0</v>
      </c>
      <c r="CN66" s="665">
        <f t="shared" ca="1" si="177"/>
        <v>0</v>
      </c>
      <c r="CO66" s="665">
        <f t="shared" ca="1" si="177"/>
        <v>0</v>
      </c>
      <c r="CP66" s="665">
        <f t="shared" ca="1" si="177"/>
        <v>0</v>
      </c>
      <c r="CQ66" s="665">
        <f t="shared" ca="1" si="177"/>
        <v>0</v>
      </c>
      <c r="CR66" s="665">
        <f t="shared" ca="1" si="177"/>
        <v>0</v>
      </c>
      <c r="CS66" s="665">
        <f t="shared" ca="1" si="177"/>
        <v>0</v>
      </c>
      <c r="CT66" s="665">
        <f t="shared" ca="1" si="177"/>
        <v>0</v>
      </c>
      <c r="CU66" s="665">
        <f t="shared" ca="1" si="177"/>
        <v>0</v>
      </c>
      <c r="CV66" s="665">
        <f t="shared" ca="1" si="177"/>
        <v>0</v>
      </c>
      <c r="CW66" s="665">
        <f t="shared" ca="1" si="177"/>
        <v>0</v>
      </c>
      <c r="CX66" s="665">
        <f t="shared" ca="1" si="177"/>
        <v>0</v>
      </c>
      <c r="CY66" s="665">
        <f t="shared" ca="1" si="177"/>
        <v>0</v>
      </c>
      <c r="CZ66" s="665">
        <f t="shared" ca="1" si="177"/>
        <v>0</v>
      </c>
      <c r="DA66" s="665">
        <f t="shared" ca="1" si="177"/>
        <v>0</v>
      </c>
      <c r="DB66" s="665">
        <f t="shared" ca="1" si="177"/>
        <v>0</v>
      </c>
      <c r="DC66" s="665">
        <f t="shared" ca="1" si="177"/>
        <v>0</v>
      </c>
      <c r="DD66" s="665">
        <f t="shared" ca="1" si="177"/>
        <v>0</v>
      </c>
      <c r="DE66" s="665">
        <f t="shared" ca="1" si="177"/>
        <v>0</v>
      </c>
      <c r="DF66" s="665">
        <f t="shared" ca="1" si="177"/>
        <v>0</v>
      </c>
      <c r="DH66" s="666">
        <f t="shared" ca="1" si="120"/>
        <v>0</v>
      </c>
    </row>
    <row r="67" spans="1:112" s="607" customFormat="1" ht="12.75" customHeight="1" outlineLevel="1">
      <c r="C67" s="587" t="s">
        <v>536</v>
      </c>
      <c r="D67" s="611" t="s">
        <v>537</v>
      </c>
      <c r="E67" s="611"/>
      <c r="F67" s="6"/>
      <c r="G67" s="619">
        <f t="shared" ca="1" si="170"/>
        <v>0</v>
      </c>
      <c r="H67" s="619">
        <f t="shared" ca="1" si="170"/>
        <v>0</v>
      </c>
      <c r="I67" s="619">
        <f t="shared" ca="1" si="170"/>
        <v>0</v>
      </c>
      <c r="J67" s="619">
        <f t="shared" ca="1" si="170"/>
        <v>0</v>
      </c>
      <c r="K67" s="619">
        <f t="shared" ca="1" si="170"/>
        <v>0</v>
      </c>
      <c r="L67" s="619">
        <f t="shared" ca="1" si="170"/>
        <v>0</v>
      </c>
      <c r="M67" s="619">
        <f t="shared" ca="1" si="170"/>
        <v>0</v>
      </c>
      <c r="N67" s="619">
        <f t="shared" ca="1" si="170"/>
        <v>0</v>
      </c>
      <c r="O67" s="619">
        <f t="shared" ca="1" si="170"/>
        <v>0</v>
      </c>
      <c r="P67" s="619">
        <f t="shared" ca="1" si="170"/>
        <v>0</v>
      </c>
      <c r="Q67" s="612">
        <f ca="1">SUM(G67:P67)</f>
        <v>0</v>
      </c>
      <c r="R67" s="6"/>
      <c r="S67" s="620">
        <f t="shared" ca="1" si="171"/>
        <v>0</v>
      </c>
      <c r="T67" s="620">
        <f t="shared" ca="1" si="171"/>
        <v>0.42076799999999998</v>
      </c>
      <c r="U67" s="620">
        <f t="shared" ca="1" si="171"/>
        <v>0</v>
      </c>
      <c r="V67" s="620">
        <f t="shared" ca="1" si="171"/>
        <v>0</v>
      </c>
      <c r="W67" s="620">
        <f t="shared" ca="1" si="171"/>
        <v>0</v>
      </c>
      <c r="X67" s="620">
        <f t="shared" ca="1" si="172"/>
        <v>0</v>
      </c>
      <c r="Y67" s="620">
        <f t="shared" ca="1" si="172"/>
        <v>0</v>
      </c>
      <c r="Z67" s="620">
        <f t="shared" ca="1" si="172"/>
        <v>0</v>
      </c>
      <c r="AA67" s="620">
        <f t="shared" ca="1" si="171"/>
        <v>0</v>
      </c>
      <c r="AB67" s="620">
        <f t="shared" ca="1" si="171"/>
        <v>0</v>
      </c>
      <c r="AC67" s="620">
        <f t="shared" ca="1" si="171"/>
        <v>0</v>
      </c>
      <c r="AD67" s="620">
        <f t="shared" ca="1" si="171"/>
        <v>0</v>
      </c>
      <c r="AE67" s="620">
        <f t="shared" ca="1" si="171"/>
        <v>0</v>
      </c>
      <c r="AF67" s="620">
        <f t="shared" ca="1" si="171"/>
        <v>0</v>
      </c>
      <c r="AG67" s="620">
        <f t="shared" ca="1" si="171"/>
        <v>0</v>
      </c>
      <c r="AH67" s="620">
        <f t="shared" ca="1" si="171"/>
        <v>0</v>
      </c>
      <c r="AI67" s="620">
        <f t="shared" ca="1" si="171"/>
        <v>0</v>
      </c>
      <c r="AJ67" s="620">
        <f t="shared" ca="1" si="171"/>
        <v>0</v>
      </c>
      <c r="AK67" s="613">
        <f ca="1">SUM(S67:AJ67)</f>
        <v>0.42076799999999998</v>
      </c>
      <c r="AL67" s="6"/>
      <c r="AM67" s="621">
        <f t="shared" ca="1" si="173"/>
        <v>0</v>
      </c>
      <c r="AN67" s="621">
        <f t="shared" ca="1" si="173"/>
        <v>0</v>
      </c>
      <c r="AO67" s="621">
        <f t="shared" ca="1" si="173"/>
        <v>0</v>
      </c>
      <c r="AP67" s="621">
        <f t="shared" ca="1" si="173"/>
        <v>0</v>
      </c>
      <c r="AQ67" s="621">
        <f t="shared" ca="1" si="173"/>
        <v>0</v>
      </c>
      <c r="AR67" s="621">
        <f t="shared" ca="1" si="173"/>
        <v>0</v>
      </c>
      <c r="AS67" s="621">
        <f t="shared" ca="1" si="173"/>
        <v>0</v>
      </c>
      <c r="AT67" s="621">
        <f t="shared" ca="1" si="173"/>
        <v>0</v>
      </c>
      <c r="AU67" s="621">
        <f t="shared" ca="1" si="173"/>
        <v>0</v>
      </c>
      <c r="AV67" s="621">
        <f t="shared" ca="1" si="174"/>
        <v>0</v>
      </c>
      <c r="AW67" s="621">
        <f t="shared" ca="1" si="174"/>
        <v>0</v>
      </c>
      <c r="AX67" s="621">
        <f t="shared" ca="1" si="174"/>
        <v>-0.42076799999999998</v>
      </c>
      <c r="AY67" s="621">
        <f t="shared" ca="1" si="174"/>
        <v>0</v>
      </c>
      <c r="AZ67" s="621">
        <f t="shared" ca="1" si="174"/>
        <v>0</v>
      </c>
      <c r="BA67" s="621">
        <f t="shared" ca="1" si="174"/>
        <v>0</v>
      </c>
      <c r="BB67" s="621">
        <f t="shared" ca="1" si="174"/>
        <v>0</v>
      </c>
      <c r="BC67" s="621">
        <f t="shared" ca="1" si="174"/>
        <v>0</v>
      </c>
      <c r="BD67" s="621">
        <f t="shared" ca="1" si="174"/>
        <v>0</v>
      </c>
      <c r="BE67" s="621">
        <f t="shared" ca="1" si="174"/>
        <v>0</v>
      </c>
      <c r="BF67" s="615">
        <f ca="1">SUM(AM67:BE67)</f>
        <v>-0.42076799999999998</v>
      </c>
      <c r="BG67" s="6"/>
      <c r="BH67" s="3473">
        <f t="shared" ca="1" si="175"/>
        <v>0</v>
      </c>
      <c r="BI67" s="3473">
        <f t="shared" ca="1" si="175"/>
        <v>0</v>
      </c>
      <c r="BJ67" s="3462">
        <f ca="1">SUM(BH67:BI67)</f>
        <v>0</v>
      </c>
      <c r="BK67" s="6"/>
      <c r="BL67" s="610">
        <f t="shared" ca="1" si="176"/>
        <v>0</v>
      </c>
      <c r="BM67" s="610"/>
      <c r="BN67" s="413"/>
      <c r="BO67" s="2791">
        <f t="shared" ca="1" si="177"/>
        <v>0</v>
      </c>
      <c r="BP67" s="2792">
        <f t="shared" ca="1" si="177"/>
        <v>0</v>
      </c>
      <c r="BQ67" s="2792">
        <f t="shared" ca="1" si="177"/>
        <v>0</v>
      </c>
      <c r="BR67" s="2792">
        <f t="shared" ca="1" si="177"/>
        <v>0</v>
      </c>
      <c r="BS67" s="2792">
        <f t="shared" ca="1" si="177"/>
        <v>0</v>
      </c>
      <c r="BT67" s="2792">
        <f t="shared" ca="1" si="177"/>
        <v>0</v>
      </c>
      <c r="BU67" s="2792">
        <f t="shared" ca="1" si="177"/>
        <v>0</v>
      </c>
      <c r="BV67" s="2792">
        <f t="shared" ca="1" si="177"/>
        <v>0</v>
      </c>
      <c r="BW67" s="2792">
        <f t="shared" ca="1" si="177"/>
        <v>0</v>
      </c>
      <c r="BX67" s="2792">
        <f t="shared" ca="1" si="177"/>
        <v>0</v>
      </c>
      <c r="BY67" s="2792">
        <f t="shared" ca="1" si="177"/>
        <v>0</v>
      </c>
      <c r="BZ67" s="2792">
        <f t="shared" ca="1" si="177"/>
        <v>0</v>
      </c>
      <c r="CA67" s="2792">
        <f t="shared" ca="1" si="177"/>
        <v>0</v>
      </c>
      <c r="CB67" s="2792">
        <f t="shared" ca="1" si="177"/>
        <v>0</v>
      </c>
      <c r="CC67" s="2792">
        <f t="shared" ca="1" si="177"/>
        <v>0</v>
      </c>
      <c r="CD67" s="2792">
        <f t="shared" ca="1" si="177"/>
        <v>0</v>
      </c>
      <c r="CE67" s="2792">
        <f t="shared" ca="1" si="177"/>
        <v>0</v>
      </c>
      <c r="CF67" s="2792">
        <f t="shared" ca="1" si="177"/>
        <v>0</v>
      </c>
      <c r="CG67" s="2792">
        <f t="shared" ca="1" si="177"/>
        <v>0</v>
      </c>
      <c r="CH67" s="2792">
        <f t="shared" ca="1" si="177"/>
        <v>0</v>
      </c>
      <c r="CI67" s="2792">
        <f t="shared" ca="1" si="177"/>
        <v>0</v>
      </c>
      <c r="CJ67" s="2792">
        <f t="shared" ca="1" si="177"/>
        <v>0</v>
      </c>
      <c r="CK67" s="2792">
        <f t="shared" ca="1" si="177"/>
        <v>0</v>
      </c>
      <c r="CL67" s="2792">
        <f t="shared" ca="1" si="177"/>
        <v>0</v>
      </c>
      <c r="CM67" s="2792">
        <f t="shared" ca="1" si="177"/>
        <v>0</v>
      </c>
      <c r="CN67" s="2792">
        <f t="shared" ca="1" si="177"/>
        <v>0</v>
      </c>
      <c r="CO67" s="2792">
        <f t="shared" ca="1" si="177"/>
        <v>0</v>
      </c>
      <c r="CP67" s="2792">
        <f t="shared" ca="1" si="177"/>
        <v>0</v>
      </c>
      <c r="CQ67" s="2792">
        <f t="shared" ca="1" si="177"/>
        <v>0</v>
      </c>
      <c r="CR67" s="2792">
        <f t="shared" ca="1" si="177"/>
        <v>0</v>
      </c>
      <c r="CS67" s="2792">
        <f t="shared" ca="1" si="177"/>
        <v>0</v>
      </c>
      <c r="CT67" s="2792">
        <f t="shared" ca="1" si="177"/>
        <v>0</v>
      </c>
      <c r="CU67" s="2792">
        <f t="shared" ca="1" si="177"/>
        <v>0</v>
      </c>
      <c r="CV67" s="2792">
        <f t="shared" ca="1" si="177"/>
        <v>0</v>
      </c>
      <c r="CW67" s="2792">
        <f t="shared" ca="1" si="177"/>
        <v>0</v>
      </c>
      <c r="CX67" s="2792">
        <f t="shared" ca="1" si="177"/>
        <v>0</v>
      </c>
      <c r="CY67" s="2792">
        <f t="shared" ca="1" si="177"/>
        <v>0</v>
      </c>
      <c r="CZ67" s="2792">
        <f t="shared" ca="1" si="177"/>
        <v>0</v>
      </c>
      <c r="DA67" s="2792">
        <f t="shared" ca="1" si="177"/>
        <v>0</v>
      </c>
      <c r="DB67" s="2792">
        <f t="shared" ca="1" si="177"/>
        <v>0</v>
      </c>
      <c r="DC67" s="2792">
        <f t="shared" ca="1" si="177"/>
        <v>0</v>
      </c>
      <c r="DD67" s="2792">
        <f t="shared" ca="1" si="177"/>
        <v>0</v>
      </c>
      <c r="DE67" s="2792">
        <f t="shared" ca="1" si="177"/>
        <v>0</v>
      </c>
      <c r="DF67" s="2792">
        <f t="shared" ca="1" si="177"/>
        <v>0</v>
      </c>
      <c r="DH67" s="596">
        <f t="shared" ca="1" si="120"/>
        <v>0</v>
      </c>
    </row>
    <row r="68" spans="1:112" s="6" customFormat="1" ht="15.75">
      <c r="A68" s="4"/>
      <c r="B68" s="3"/>
      <c r="C68" s="616" t="s">
        <v>538</v>
      </c>
      <c r="D68" s="617" t="s">
        <v>539</v>
      </c>
      <c r="E68" s="206"/>
      <c r="G68" s="618">
        <f ca="1">SUM(G65:G67)</f>
        <v>0</v>
      </c>
      <c r="H68" s="618">
        <f t="shared" ref="H68:P68" ca="1" si="178">SUM(H65:H67)</f>
        <v>0.22923712817119068</v>
      </c>
      <c r="I68" s="618">
        <f t="shared" ca="1" si="178"/>
        <v>0</v>
      </c>
      <c r="J68" s="618">
        <f t="shared" ca="1" si="178"/>
        <v>0</v>
      </c>
      <c r="K68" s="618">
        <f t="shared" ca="1" si="178"/>
        <v>0</v>
      </c>
      <c r="L68" s="618">
        <f t="shared" ca="1" si="178"/>
        <v>0</v>
      </c>
      <c r="M68" s="618">
        <f t="shared" ca="1" si="178"/>
        <v>0</v>
      </c>
      <c r="N68" s="618">
        <f t="shared" ca="1" si="178"/>
        <v>0</v>
      </c>
      <c r="O68" s="618">
        <f t="shared" ca="1" si="178"/>
        <v>0</v>
      </c>
      <c r="P68" s="618">
        <f t="shared" ca="1" si="178"/>
        <v>0</v>
      </c>
      <c r="Q68" s="618">
        <f ca="1">SUM(G68:P68)</f>
        <v>0.22923712817119068</v>
      </c>
      <c r="S68" s="581">
        <f t="shared" ref="S68:AJ68" ca="1" si="179">SUM(S65:S67)</f>
        <v>-0.22923712817119068</v>
      </c>
      <c r="T68" s="581">
        <f t="shared" ca="1" si="179"/>
        <v>4.2471269999999999</v>
      </c>
      <c r="U68" s="581">
        <f t="shared" ca="1" si="179"/>
        <v>0</v>
      </c>
      <c r="V68" s="581">
        <f t="shared" ca="1" si="179"/>
        <v>0</v>
      </c>
      <c r="W68" s="581">
        <f t="shared" ca="1" si="179"/>
        <v>0</v>
      </c>
      <c r="X68" s="581">
        <f t="shared" ca="1" si="179"/>
        <v>0</v>
      </c>
      <c r="Y68" s="581">
        <f t="shared" ca="1" si="179"/>
        <v>0</v>
      </c>
      <c r="Z68" s="581">
        <f t="shared" ca="1" si="179"/>
        <v>0</v>
      </c>
      <c r="AA68" s="581">
        <f t="shared" ca="1" si="179"/>
        <v>0</v>
      </c>
      <c r="AB68" s="581">
        <f t="shared" ca="1" si="179"/>
        <v>0</v>
      </c>
      <c r="AC68" s="581">
        <f t="shared" ca="1" si="179"/>
        <v>0</v>
      </c>
      <c r="AD68" s="581">
        <f t="shared" ca="1" si="179"/>
        <v>0</v>
      </c>
      <c r="AE68" s="581">
        <f ca="1">SUM(AE65:AE67)</f>
        <v>0</v>
      </c>
      <c r="AF68" s="581">
        <f t="shared" ca="1" si="179"/>
        <v>0</v>
      </c>
      <c r="AG68" s="581">
        <f t="shared" ca="1" si="179"/>
        <v>0</v>
      </c>
      <c r="AH68" s="581">
        <f ca="1">SUM(AH65:AH67)</f>
        <v>0</v>
      </c>
      <c r="AI68" s="581">
        <f t="shared" ca="1" si="179"/>
        <v>3.2093197943966696</v>
      </c>
      <c r="AJ68" s="581">
        <f t="shared" ca="1" si="179"/>
        <v>0</v>
      </c>
      <c r="AK68" s="581">
        <f ca="1">SUM(S68:AJ68)</f>
        <v>7.2272096662254786</v>
      </c>
      <c r="AM68" s="582">
        <f t="shared" ref="AM68:BE68" ca="1" si="180">SUM(AM65:AM67)</f>
        <v>0</v>
      </c>
      <c r="AN68" s="582">
        <f t="shared" ca="1" si="180"/>
        <v>0</v>
      </c>
      <c r="AO68" s="582">
        <f t="shared" ca="1" si="180"/>
        <v>0</v>
      </c>
      <c r="AP68" s="582">
        <f t="shared" ca="1" si="180"/>
        <v>0</v>
      </c>
      <c r="AQ68" s="582">
        <f t="shared" ca="1" si="180"/>
        <v>0</v>
      </c>
      <c r="AR68" s="582">
        <f t="shared" ca="1" si="180"/>
        <v>0</v>
      </c>
      <c r="AS68" s="582">
        <f t="shared" ca="1" si="180"/>
        <v>0</v>
      </c>
      <c r="AT68" s="582">
        <f t="shared" ca="1" si="180"/>
        <v>0</v>
      </c>
      <c r="AU68" s="582">
        <f t="shared" ca="1" si="180"/>
        <v>0</v>
      </c>
      <c r="AV68" s="582">
        <f t="shared" ca="1" si="180"/>
        <v>0</v>
      </c>
      <c r="AW68" s="582">
        <f t="shared" ca="1" si="180"/>
        <v>-7.0356787943966701</v>
      </c>
      <c r="AX68" s="582">
        <f t="shared" ca="1" si="180"/>
        <v>-0.42076799999999998</v>
      </c>
      <c r="AY68" s="582">
        <f t="shared" ca="1" si="180"/>
        <v>0</v>
      </c>
      <c r="AZ68" s="582">
        <f t="shared" ca="1" si="180"/>
        <v>0</v>
      </c>
      <c r="BA68" s="582">
        <f t="shared" ca="1" si="180"/>
        <v>0</v>
      </c>
      <c r="BB68" s="582">
        <f t="shared" ca="1" si="180"/>
        <v>0</v>
      </c>
      <c r="BC68" s="582">
        <f t="shared" ca="1" si="180"/>
        <v>0</v>
      </c>
      <c r="BD68" s="582">
        <f t="shared" ca="1" si="180"/>
        <v>0</v>
      </c>
      <c r="BE68" s="582">
        <f t="shared" ca="1" si="180"/>
        <v>0</v>
      </c>
      <c r="BF68" s="582">
        <f ca="1">SUM(AM68:BE68)</f>
        <v>-7.4564467943966699</v>
      </c>
      <c r="BH68" s="3463">
        <f ca="1">SUM(BH65:BH67)</f>
        <v>0</v>
      </c>
      <c r="BI68" s="3463">
        <f ca="1">SUM(BI65:BI67)</f>
        <v>0</v>
      </c>
      <c r="BJ68" s="3463">
        <f ca="1">SUM(BH68:BI68)</f>
        <v>0</v>
      </c>
      <c r="BL68" s="3477">
        <f t="shared" ca="1" si="176"/>
        <v>-8.8817841970012523E-16</v>
      </c>
      <c r="BM68" s="584"/>
      <c r="BN68" s="413"/>
      <c r="BO68" s="2790">
        <f ca="1">SUM(BO65:BO67)</f>
        <v>0</v>
      </c>
      <c r="BP68" s="2790">
        <f t="shared" ref="BP68:DF68" ca="1" si="181">SUM(BP65:BP67)</f>
        <v>0</v>
      </c>
      <c r="BQ68" s="2790">
        <f t="shared" ca="1" si="181"/>
        <v>0</v>
      </c>
      <c r="BR68" s="2790">
        <f t="shared" ca="1" si="181"/>
        <v>0</v>
      </c>
      <c r="BS68" s="2790">
        <f t="shared" ca="1" si="181"/>
        <v>0</v>
      </c>
      <c r="BT68" s="2790">
        <f t="shared" ca="1" si="181"/>
        <v>0</v>
      </c>
      <c r="BU68" s="2790">
        <f t="shared" ca="1" si="181"/>
        <v>0</v>
      </c>
      <c r="BV68" s="2790">
        <f t="shared" ca="1" si="181"/>
        <v>0</v>
      </c>
      <c r="BW68" s="2790">
        <f t="shared" ca="1" si="181"/>
        <v>0</v>
      </c>
      <c r="BX68" s="2790">
        <f t="shared" ca="1" si="181"/>
        <v>0</v>
      </c>
      <c r="BY68" s="2790">
        <f t="shared" ca="1" si="181"/>
        <v>0</v>
      </c>
      <c r="BZ68" s="2790">
        <f t="shared" ca="1" si="181"/>
        <v>0</v>
      </c>
      <c r="CA68" s="2790">
        <f t="shared" ca="1" si="181"/>
        <v>0</v>
      </c>
      <c r="CB68" s="2790">
        <f t="shared" ca="1" si="181"/>
        <v>0</v>
      </c>
      <c r="CC68" s="2790">
        <f t="shared" ca="1" si="181"/>
        <v>0</v>
      </c>
      <c r="CD68" s="2790">
        <f t="shared" ca="1" si="181"/>
        <v>0</v>
      </c>
      <c r="CE68" s="2790">
        <f t="shared" ca="1" si="181"/>
        <v>0</v>
      </c>
      <c r="CF68" s="2790">
        <f t="shared" ca="1" si="181"/>
        <v>0</v>
      </c>
      <c r="CG68" s="2790">
        <f t="shared" ca="1" si="181"/>
        <v>0</v>
      </c>
      <c r="CH68" s="2790">
        <f t="shared" ca="1" si="181"/>
        <v>0</v>
      </c>
      <c r="CI68" s="2790">
        <f t="shared" ca="1" si="181"/>
        <v>0</v>
      </c>
      <c r="CJ68" s="2790">
        <f t="shared" ca="1" si="181"/>
        <v>0</v>
      </c>
      <c r="CK68" s="2790">
        <f t="shared" ca="1" si="181"/>
        <v>0</v>
      </c>
      <c r="CL68" s="2790">
        <f t="shared" ca="1" si="181"/>
        <v>0</v>
      </c>
      <c r="CM68" s="2790">
        <f t="shared" ca="1" si="181"/>
        <v>0</v>
      </c>
      <c r="CN68" s="2790">
        <f t="shared" ca="1" si="181"/>
        <v>0</v>
      </c>
      <c r="CO68" s="2790">
        <f t="shared" ca="1" si="181"/>
        <v>0</v>
      </c>
      <c r="CP68" s="2790">
        <f t="shared" ca="1" si="181"/>
        <v>0</v>
      </c>
      <c r="CQ68" s="2790">
        <f t="shared" ca="1" si="181"/>
        <v>0</v>
      </c>
      <c r="CR68" s="2790">
        <f t="shared" ca="1" si="181"/>
        <v>0</v>
      </c>
      <c r="CS68" s="2790">
        <f t="shared" ca="1" si="181"/>
        <v>0</v>
      </c>
      <c r="CT68" s="2790">
        <f t="shared" ca="1" si="181"/>
        <v>0</v>
      </c>
      <c r="CU68" s="2790">
        <f t="shared" ca="1" si="181"/>
        <v>0</v>
      </c>
      <c r="CV68" s="2790">
        <f t="shared" ca="1" si="181"/>
        <v>0</v>
      </c>
      <c r="CW68" s="2790">
        <f t="shared" ca="1" si="181"/>
        <v>0</v>
      </c>
      <c r="CX68" s="2790">
        <f t="shared" ca="1" si="181"/>
        <v>0</v>
      </c>
      <c r="CY68" s="2790">
        <f t="shared" ca="1" si="181"/>
        <v>0</v>
      </c>
      <c r="CZ68" s="2790">
        <f t="shared" ca="1" si="181"/>
        <v>0</v>
      </c>
      <c r="DA68" s="2790">
        <f t="shared" ca="1" si="181"/>
        <v>0</v>
      </c>
      <c r="DB68" s="2790">
        <f t="shared" ca="1" si="181"/>
        <v>0</v>
      </c>
      <c r="DC68" s="2790">
        <f t="shared" ca="1" si="181"/>
        <v>0</v>
      </c>
      <c r="DD68" s="2790">
        <f t="shared" ca="1" si="181"/>
        <v>0</v>
      </c>
      <c r="DE68" s="2790">
        <f t="shared" ca="1" si="181"/>
        <v>0</v>
      </c>
      <c r="DF68" s="2790">
        <f t="shared" ca="1" si="181"/>
        <v>0</v>
      </c>
      <c r="DH68" s="596">
        <f t="shared" ca="1" si="120"/>
        <v>0</v>
      </c>
    </row>
    <row r="69" spans="1:112" s="6" customFormat="1" ht="12.75" customHeight="1" outlineLevel="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76"/>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20"/>
        <v>0</v>
      </c>
    </row>
    <row r="70" spans="1:112" s="639" customFormat="1" ht="12.75" customHeight="1" outlineLevel="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76"/>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20"/>
        <v>0</v>
      </c>
    </row>
    <row r="71" spans="1:112" s="607" customFormat="1" ht="12.75" customHeight="1" outlineLevel="1">
      <c r="C71" s="587" t="s">
        <v>542</v>
      </c>
      <c r="D71" s="611" t="s">
        <v>543</v>
      </c>
      <c r="E71" s="611"/>
      <c r="F71" s="6"/>
      <c r="G71" s="619">
        <f t="shared" ref="G71:P71" ca="1" si="182">IFERROR(INDEX(INDIRECT($C71&amp;".Outputs["&amp;this.Year&amp;"]"), MATCH(G$5, INDIRECT($C71&amp;".Outputs[Vector]"), 0)), 0)</f>
        <v>0</v>
      </c>
      <c r="H71" s="619">
        <f t="shared" ca="1" si="182"/>
        <v>0</v>
      </c>
      <c r="I71" s="619">
        <f t="shared" ca="1" si="182"/>
        <v>0</v>
      </c>
      <c r="J71" s="619">
        <f t="shared" ca="1" si="182"/>
        <v>0</v>
      </c>
      <c r="K71" s="619">
        <f t="shared" ca="1" si="182"/>
        <v>0</v>
      </c>
      <c r="L71" s="619">
        <f t="shared" ca="1" si="182"/>
        <v>0</v>
      </c>
      <c r="M71" s="619">
        <f t="shared" ca="1" si="182"/>
        <v>0</v>
      </c>
      <c r="N71" s="619">
        <f t="shared" ca="1" si="182"/>
        <v>0</v>
      </c>
      <c r="O71" s="619">
        <f t="shared" ca="1" si="182"/>
        <v>0</v>
      </c>
      <c r="P71" s="619">
        <f t="shared" ca="1" si="182"/>
        <v>0</v>
      </c>
      <c r="Q71" s="612">
        <f ca="1">SUM(G71:P71)</f>
        <v>0</v>
      </c>
      <c r="R71" s="6"/>
      <c r="S71" s="620">
        <f t="shared" ref="S71:AJ71" ca="1" si="183">IFERROR(INDEX(INDIRECT($C71&amp;".Outputs["&amp;this.Year&amp;"]"), MATCH(S$5, INDIRECT($C71&amp;".Outputs[Vector]"), 0)), 0)</f>
        <v>0</v>
      </c>
      <c r="T71" s="620">
        <f t="shared" ca="1" si="183"/>
        <v>-3.7911428177742012E-3</v>
      </c>
      <c r="U71" s="620">
        <f t="shared" ca="1" si="183"/>
        <v>0</v>
      </c>
      <c r="V71" s="620">
        <f t="shared" ca="1" si="183"/>
        <v>0</v>
      </c>
      <c r="W71" s="620">
        <f t="shared" ca="1" si="183"/>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83"/>
        <v>0</v>
      </c>
      <c r="AB71" s="620">
        <f t="shared" ca="1" si="183"/>
        <v>2.6537999724419409E-2</v>
      </c>
      <c r="AC71" s="620">
        <f t="shared" ca="1" si="183"/>
        <v>0</v>
      </c>
      <c r="AD71" s="620">
        <f t="shared" ca="1" si="183"/>
        <v>0</v>
      </c>
      <c r="AE71" s="620">
        <f t="shared" ca="1" si="183"/>
        <v>0</v>
      </c>
      <c r="AF71" s="620">
        <f t="shared" ca="1" si="183"/>
        <v>0</v>
      </c>
      <c r="AG71" s="620">
        <f t="shared" ca="1" si="183"/>
        <v>0</v>
      </c>
      <c r="AH71" s="620">
        <f t="shared" ca="1" si="183"/>
        <v>0</v>
      </c>
      <c r="AI71" s="620">
        <f t="shared" ca="1" si="183"/>
        <v>0</v>
      </c>
      <c r="AJ71" s="620">
        <f t="shared" ca="1" si="183"/>
        <v>0</v>
      </c>
      <c r="AK71" s="613">
        <f ca="1">SUM(S71:AJ71)</f>
        <v>2.274685690664521E-2</v>
      </c>
      <c r="AL71" s="6"/>
      <c r="AM71" s="621">
        <f t="shared" ref="AM71:AU71" ca="1" si="184">IFERROR(INDEX(INDIRECT($C71&amp;".Outputs["&amp;this.Year&amp;"]"), MATCH(AM$5, INDIRECT($C71&amp;".Outputs[Vector]"), 0)), 0)</f>
        <v>0</v>
      </c>
      <c r="AN71" s="621">
        <f t="shared" ca="1" si="184"/>
        <v>0</v>
      </c>
      <c r="AO71" s="621">
        <f t="shared" ca="1" si="184"/>
        <v>0</v>
      </c>
      <c r="AP71" s="621">
        <f t="shared" ca="1" si="184"/>
        <v>0</v>
      </c>
      <c r="AQ71" s="621">
        <f t="shared" ca="1" si="184"/>
        <v>0</v>
      </c>
      <c r="AR71" s="621">
        <f t="shared" ca="1" si="184"/>
        <v>0</v>
      </c>
      <c r="AS71" s="621">
        <f t="shared" ca="1" si="184"/>
        <v>0</v>
      </c>
      <c r="AT71" s="621">
        <f t="shared" ca="1" si="184"/>
        <v>0</v>
      </c>
      <c r="AU71" s="621">
        <f t="shared" ca="1" si="184"/>
        <v>0</v>
      </c>
      <c r="AV71" s="621">
        <f t="shared" ref="AV71:BE71" ca="1" si="185">IFERROR(INDEX(INDIRECT($C71&amp;".Outputs["&amp;this.Year&amp;"]"), MATCH(AV$5, INDIRECT($C71&amp;".Outputs[Vector]"), 0)), 0)</f>
        <v>0</v>
      </c>
      <c r="AW71" s="621">
        <f t="shared" ca="1" si="185"/>
        <v>0</v>
      </c>
      <c r="AX71" s="621">
        <f t="shared" ca="1" si="185"/>
        <v>0</v>
      </c>
      <c r="AY71" s="621">
        <f t="shared" ca="1" si="185"/>
        <v>0</v>
      </c>
      <c r="AZ71" s="621">
        <f t="shared" ca="1" si="185"/>
        <v>0</v>
      </c>
      <c r="BA71" s="621">
        <f t="shared" ca="1" si="185"/>
        <v>0</v>
      </c>
      <c r="BB71" s="621">
        <f t="shared" ca="1" si="185"/>
        <v>0</v>
      </c>
      <c r="BC71" s="621">
        <f t="shared" ca="1" si="185"/>
        <v>0</v>
      </c>
      <c r="BD71" s="621">
        <f t="shared" ca="1" si="185"/>
        <v>0</v>
      </c>
      <c r="BE71" s="621">
        <f t="shared" ca="1" si="185"/>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76"/>
        <v>0</v>
      </c>
      <c r="BM71" s="610"/>
      <c r="BN71" s="413"/>
      <c r="BO71" s="2791">
        <f t="shared" ref="BO71:DF71" ca="1" si="186">IFERROR(SUMIFS(INDIRECT($C71&amp;".Emissions["&amp;this.Year&amp;"]"), INDIRECT($C71&amp;".Emissions[GHG]"), BO$6, INDIRECT($C71&amp;".Emissions[IPCC Sector]"), BO$5),0)</f>
        <v>0</v>
      </c>
      <c r="BP71" s="2792">
        <f t="shared" ca="1" si="186"/>
        <v>0</v>
      </c>
      <c r="BQ71" s="2792">
        <f t="shared" ca="1" si="186"/>
        <v>0</v>
      </c>
      <c r="BR71" s="2792">
        <f t="shared" ca="1" si="186"/>
        <v>0</v>
      </c>
      <c r="BS71" s="2792">
        <f t="shared" ca="1" si="186"/>
        <v>0</v>
      </c>
      <c r="BT71" s="2792">
        <f t="shared" ca="1" si="186"/>
        <v>0</v>
      </c>
      <c r="BU71" s="2792">
        <f t="shared" ca="1" si="186"/>
        <v>0</v>
      </c>
      <c r="BV71" s="2792">
        <f t="shared" ca="1" si="186"/>
        <v>0</v>
      </c>
      <c r="BW71" s="2792">
        <f t="shared" ca="1" si="186"/>
        <v>0</v>
      </c>
      <c r="BX71" s="2792">
        <f t="shared" ca="1" si="186"/>
        <v>0</v>
      </c>
      <c r="BY71" s="2792">
        <f t="shared" ca="1" si="186"/>
        <v>0</v>
      </c>
      <c r="BZ71" s="2792">
        <f t="shared" ca="1" si="186"/>
        <v>0</v>
      </c>
      <c r="CA71" s="2792">
        <f t="shared" ca="1" si="186"/>
        <v>0</v>
      </c>
      <c r="CB71" s="2792">
        <f t="shared" ca="1" si="186"/>
        <v>0</v>
      </c>
      <c r="CC71" s="2792">
        <f t="shared" ca="1" si="186"/>
        <v>0</v>
      </c>
      <c r="CD71" s="2792">
        <f t="shared" ca="1" si="186"/>
        <v>0</v>
      </c>
      <c r="CE71" s="2792">
        <f t="shared" ca="1" si="186"/>
        <v>0</v>
      </c>
      <c r="CF71" s="2792">
        <f t="shared" ca="1" si="186"/>
        <v>0</v>
      </c>
      <c r="CG71" s="2792">
        <f t="shared" ca="1" si="186"/>
        <v>0</v>
      </c>
      <c r="CH71" s="2792">
        <f t="shared" ca="1" si="186"/>
        <v>0</v>
      </c>
      <c r="CI71" s="2792">
        <f t="shared" ca="1" si="186"/>
        <v>0</v>
      </c>
      <c r="CJ71" s="2792">
        <f t="shared" ca="1" si="186"/>
        <v>0</v>
      </c>
      <c r="CK71" s="2792">
        <f t="shared" ca="1" si="186"/>
        <v>0</v>
      </c>
      <c r="CL71" s="2792">
        <f t="shared" ca="1" si="186"/>
        <v>0</v>
      </c>
      <c r="CM71" s="2792">
        <f t="shared" ca="1" si="186"/>
        <v>0</v>
      </c>
      <c r="CN71" s="2792">
        <f t="shared" ca="1" si="186"/>
        <v>0</v>
      </c>
      <c r="CO71" s="2792">
        <f t="shared" ca="1" si="186"/>
        <v>0</v>
      </c>
      <c r="CP71" s="2792">
        <f t="shared" ca="1" si="186"/>
        <v>0</v>
      </c>
      <c r="CQ71" s="2792">
        <f t="shared" ca="1" si="186"/>
        <v>0</v>
      </c>
      <c r="CR71" s="2792">
        <f t="shared" ca="1" si="186"/>
        <v>0</v>
      </c>
      <c r="CS71" s="2792">
        <f t="shared" ca="1" si="186"/>
        <v>0</v>
      </c>
      <c r="CT71" s="2792">
        <f t="shared" ca="1" si="186"/>
        <v>0</v>
      </c>
      <c r="CU71" s="2792">
        <f t="shared" ca="1" si="186"/>
        <v>0</v>
      </c>
      <c r="CV71" s="2792">
        <f t="shared" ca="1" si="186"/>
        <v>0</v>
      </c>
      <c r="CW71" s="2792">
        <f t="shared" ca="1" si="186"/>
        <v>0</v>
      </c>
      <c r="CX71" s="2792">
        <f t="shared" ca="1" si="186"/>
        <v>0</v>
      </c>
      <c r="CY71" s="2792">
        <f t="shared" ca="1" si="186"/>
        <v>0</v>
      </c>
      <c r="CZ71" s="2792">
        <f t="shared" ca="1" si="186"/>
        <v>0</v>
      </c>
      <c r="DA71" s="2792">
        <f t="shared" ca="1" si="186"/>
        <v>0</v>
      </c>
      <c r="DB71" s="2792">
        <f t="shared" ca="1" si="186"/>
        <v>0</v>
      </c>
      <c r="DC71" s="2792">
        <f t="shared" ca="1" si="186"/>
        <v>0</v>
      </c>
      <c r="DD71" s="2792">
        <f t="shared" ca="1" si="186"/>
        <v>0</v>
      </c>
      <c r="DE71" s="2792">
        <f t="shared" ca="1" si="186"/>
        <v>0</v>
      </c>
      <c r="DF71" s="2792">
        <f t="shared" ca="1" si="186"/>
        <v>0</v>
      </c>
      <c r="DH71" s="596">
        <f t="shared" ca="1" si="120"/>
        <v>0</v>
      </c>
    </row>
    <row r="72" spans="1:112" s="6" customFormat="1" ht="15.75">
      <c r="A72" s="4"/>
      <c r="B72" s="3"/>
      <c r="C72" s="616" t="s">
        <v>544</v>
      </c>
      <c r="D72" s="617" t="s">
        <v>545</v>
      </c>
      <c r="E72" s="206"/>
      <c r="G72" s="618">
        <f ca="1">G71</f>
        <v>0</v>
      </c>
      <c r="H72" s="618">
        <f t="shared" ref="H72:P72" ca="1" si="187">H71</f>
        <v>0</v>
      </c>
      <c r="I72" s="618">
        <f t="shared" ca="1" si="187"/>
        <v>0</v>
      </c>
      <c r="J72" s="618">
        <f t="shared" ca="1" si="187"/>
        <v>0</v>
      </c>
      <c r="K72" s="618">
        <f t="shared" ca="1" si="187"/>
        <v>0</v>
      </c>
      <c r="L72" s="618">
        <f t="shared" ca="1" si="187"/>
        <v>0</v>
      </c>
      <c r="M72" s="618">
        <f t="shared" ca="1" si="187"/>
        <v>0</v>
      </c>
      <c r="N72" s="618">
        <f t="shared" ca="1" si="187"/>
        <v>0</v>
      </c>
      <c r="O72" s="618">
        <f t="shared" ca="1" si="187"/>
        <v>0</v>
      </c>
      <c r="P72" s="618">
        <f t="shared" ca="1" si="187"/>
        <v>0</v>
      </c>
      <c r="Q72" s="618">
        <f ca="1">SUM(G72:P72)</f>
        <v>0</v>
      </c>
      <c r="S72" s="581">
        <f t="shared" ref="S72:AJ72" ca="1" si="188">S71</f>
        <v>0</v>
      </c>
      <c r="T72" s="581">
        <f t="shared" ca="1" si="188"/>
        <v>-3.7911428177742012E-3</v>
      </c>
      <c r="U72" s="581">
        <f t="shared" ca="1" si="188"/>
        <v>0</v>
      </c>
      <c r="V72" s="581">
        <f t="shared" ca="1" si="188"/>
        <v>0</v>
      </c>
      <c r="W72" s="581">
        <f t="shared" ca="1" si="188"/>
        <v>0</v>
      </c>
      <c r="X72" s="581">
        <f t="shared" ca="1" si="188"/>
        <v>0</v>
      </c>
      <c r="Y72" s="581">
        <f t="shared" ca="1" si="188"/>
        <v>0</v>
      </c>
      <c r="Z72" s="581">
        <f t="shared" ca="1" si="188"/>
        <v>0</v>
      </c>
      <c r="AA72" s="581">
        <f t="shared" ca="1" si="188"/>
        <v>0</v>
      </c>
      <c r="AB72" s="581">
        <f t="shared" ca="1" si="188"/>
        <v>2.6537999724419409E-2</v>
      </c>
      <c r="AC72" s="581">
        <f t="shared" ca="1" si="188"/>
        <v>0</v>
      </c>
      <c r="AD72" s="581">
        <f ca="1">AD71</f>
        <v>0</v>
      </c>
      <c r="AE72" s="581">
        <f ca="1">AE71</f>
        <v>0</v>
      </c>
      <c r="AF72" s="581">
        <f t="shared" ca="1" si="188"/>
        <v>0</v>
      </c>
      <c r="AG72" s="581">
        <f t="shared" ca="1" si="188"/>
        <v>0</v>
      </c>
      <c r="AH72" s="581">
        <f ca="1">AH71</f>
        <v>0</v>
      </c>
      <c r="AI72" s="581">
        <f ca="1">AI71</f>
        <v>0</v>
      </c>
      <c r="AJ72" s="581">
        <f t="shared" ca="1" si="188"/>
        <v>0</v>
      </c>
      <c r="AK72" s="581">
        <f ca="1">SUM(S72:AJ72)</f>
        <v>2.274685690664521E-2</v>
      </c>
      <c r="AM72" s="582">
        <f ca="1">AM71</f>
        <v>0</v>
      </c>
      <c r="AN72" s="582">
        <f t="shared" ref="AN72:BE72" ca="1" si="189">AN71</f>
        <v>0</v>
      </c>
      <c r="AO72" s="582">
        <f t="shared" ca="1" si="189"/>
        <v>0</v>
      </c>
      <c r="AP72" s="582">
        <f t="shared" ca="1" si="189"/>
        <v>0</v>
      </c>
      <c r="AQ72" s="582">
        <f t="shared" ca="1" si="189"/>
        <v>0</v>
      </c>
      <c r="AR72" s="582">
        <f t="shared" ca="1" si="189"/>
        <v>0</v>
      </c>
      <c r="AS72" s="582">
        <f t="shared" ca="1" si="189"/>
        <v>0</v>
      </c>
      <c r="AT72" s="582">
        <f t="shared" ca="1" si="189"/>
        <v>0</v>
      </c>
      <c r="AU72" s="582">
        <f t="shared" ca="1" si="189"/>
        <v>0</v>
      </c>
      <c r="AV72" s="582">
        <f t="shared" ca="1" si="189"/>
        <v>0</v>
      </c>
      <c r="AW72" s="582">
        <f t="shared" ca="1" si="189"/>
        <v>0</v>
      </c>
      <c r="AX72" s="582">
        <f t="shared" ca="1" si="189"/>
        <v>0</v>
      </c>
      <c r="AY72" s="582">
        <f t="shared" ca="1" si="189"/>
        <v>0</v>
      </c>
      <c r="AZ72" s="582">
        <f t="shared" ca="1" si="189"/>
        <v>0</v>
      </c>
      <c r="BA72" s="582">
        <f t="shared" ca="1" si="189"/>
        <v>0</v>
      </c>
      <c r="BB72" s="582">
        <f t="shared" ca="1" si="189"/>
        <v>0</v>
      </c>
      <c r="BC72" s="582">
        <f t="shared" ca="1" si="189"/>
        <v>0</v>
      </c>
      <c r="BD72" s="582">
        <f t="shared" ca="1" si="189"/>
        <v>0</v>
      </c>
      <c r="BE72" s="582">
        <f t="shared" ca="1" si="189"/>
        <v>0</v>
      </c>
      <c r="BF72" s="582">
        <f ca="1">SUM(AM72:BE72)</f>
        <v>0</v>
      </c>
      <c r="BH72" s="3463">
        <f ca="1">BH71</f>
        <v>-2.274685690664521E-2</v>
      </c>
      <c r="BI72" s="3463">
        <f ca="1">BI71</f>
        <v>0</v>
      </c>
      <c r="BJ72" s="3463">
        <f ca="1">SUM(BH72:BI72)</f>
        <v>-2.274685690664521E-2</v>
      </c>
      <c r="BL72" s="3477">
        <f t="shared" ca="1" si="176"/>
        <v>0</v>
      </c>
      <c r="BM72" s="584"/>
      <c r="BN72" s="413"/>
      <c r="BO72" s="2790">
        <f t="shared" ref="BO72:DF72" ca="1" si="190">BO71</f>
        <v>0</v>
      </c>
      <c r="BP72" s="2790">
        <f t="shared" ca="1" si="190"/>
        <v>0</v>
      </c>
      <c r="BQ72" s="2790">
        <f t="shared" ca="1" si="190"/>
        <v>0</v>
      </c>
      <c r="BR72" s="2790">
        <f t="shared" ca="1" si="190"/>
        <v>0</v>
      </c>
      <c r="BS72" s="2790">
        <f t="shared" ca="1" si="190"/>
        <v>0</v>
      </c>
      <c r="BT72" s="2790">
        <f t="shared" ca="1" si="190"/>
        <v>0</v>
      </c>
      <c r="BU72" s="2790">
        <f t="shared" ca="1" si="190"/>
        <v>0</v>
      </c>
      <c r="BV72" s="2790">
        <f t="shared" ca="1" si="190"/>
        <v>0</v>
      </c>
      <c r="BW72" s="2790">
        <f t="shared" ca="1" si="190"/>
        <v>0</v>
      </c>
      <c r="BX72" s="2790">
        <f t="shared" ca="1" si="190"/>
        <v>0</v>
      </c>
      <c r="BY72" s="2790">
        <f t="shared" ca="1" si="190"/>
        <v>0</v>
      </c>
      <c r="BZ72" s="2790">
        <f t="shared" ca="1" si="190"/>
        <v>0</v>
      </c>
      <c r="CA72" s="2790">
        <f t="shared" ca="1" si="190"/>
        <v>0</v>
      </c>
      <c r="CB72" s="2790">
        <f t="shared" ca="1" si="190"/>
        <v>0</v>
      </c>
      <c r="CC72" s="2790">
        <f t="shared" ca="1" si="190"/>
        <v>0</v>
      </c>
      <c r="CD72" s="2790">
        <f t="shared" ca="1" si="190"/>
        <v>0</v>
      </c>
      <c r="CE72" s="2790">
        <f t="shared" ca="1" si="190"/>
        <v>0</v>
      </c>
      <c r="CF72" s="2790">
        <f t="shared" ca="1" si="190"/>
        <v>0</v>
      </c>
      <c r="CG72" s="2790">
        <f t="shared" ca="1" si="190"/>
        <v>0</v>
      </c>
      <c r="CH72" s="2790">
        <f t="shared" ca="1" si="190"/>
        <v>0</v>
      </c>
      <c r="CI72" s="2790">
        <f t="shared" ca="1" si="190"/>
        <v>0</v>
      </c>
      <c r="CJ72" s="2790">
        <f t="shared" ca="1" si="190"/>
        <v>0</v>
      </c>
      <c r="CK72" s="2790">
        <f t="shared" ca="1" si="190"/>
        <v>0</v>
      </c>
      <c r="CL72" s="2790">
        <f t="shared" ca="1" si="190"/>
        <v>0</v>
      </c>
      <c r="CM72" s="2790">
        <f t="shared" ca="1" si="190"/>
        <v>0</v>
      </c>
      <c r="CN72" s="2790">
        <f t="shared" ca="1" si="190"/>
        <v>0</v>
      </c>
      <c r="CO72" s="2790">
        <f t="shared" ca="1" si="190"/>
        <v>0</v>
      </c>
      <c r="CP72" s="2790">
        <f t="shared" ca="1" si="190"/>
        <v>0</v>
      </c>
      <c r="CQ72" s="2790">
        <f t="shared" ca="1" si="190"/>
        <v>0</v>
      </c>
      <c r="CR72" s="2790">
        <f t="shared" ca="1" si="190"/>
        <v>0</v>
      </c>
      <c r="CS72" s="2790">
        <f t="shared" ca="1" si="190"/>
        <v>0</v>
      </c>
      <c r="CT72" s="2790">
        <f t="shared" ca="1" si="190"/>
        <v>0</v>
      </c>
      <c r="CU72" s="2790">
        <f t="shared" ca="1" si="190"/>
        <v>0</v>
      </c>
      <c r="CV72" s="2790">
        <f t="shared" ca="1" si="190"/>
        <v>0</v>
      </c>
      <c r="CW72" s="2790">
        <f t="shared" ca="1" si="190"/>
        <v>0</v>
      </c>
      <c r="CX72" s="2790">
        <f t="shared" ca="1" si="190"/>
        <v>0</v>
      </c>
      <c r="CY72" s="2790">
        <f t="shared" ca="1" si="190"/>
        <v>0</v>
      </c>
      <c r="CZ72" s="2790">
        <f t="shared" ca="1" si="190"/>
        <v>0</v>
      </c>
      <c r="DA72" s="2790">
        <f t="shared" ca="1" si="190"/>
        <v>0</v>
      </c>
      <c r="DB72" s="2790">
        <f t="shared" ca="1" si="190"/>
        <v>0</v>
      </c>
      <c r="DC72" s="2790">
        <f t="shared" ca="1" si="190"/>
        <v>0</v>
      </c>
      <c r="DD72" s="2790">
        <f t="shared" ca="1" si="190"/>
        <v>0</v>
      </c>
      <c r="DE72" s="2790">
        <f t="shared" ca="1" si="190"/>
        <v>0</v>
      </c>
      <c r="DF72" s="2790">
        <f t="shared" ca="1" si="190"/>
        <v>0</v>
      </c>
      <c r="DH72" s="596">
        <f t="shared" ca="1" si="120"/>
        <v>0</v>
      </c>
    </row>
    <row r="73" spans="1:112" s="6" customFormat="1" ht="12.75" customHeight="1" outlineLevel="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20"/>
        <v>0</v>
      </c>
    </row>
    <row r="74" spans="1:112" s="652" customFormat="1" ht="12.75" customHeight="1" outlineLevel="1">
      <c r="C74" s="667" t="s">
        <v>546</v>
      </c>
      <c r="D74" s="668" t="s">
        <v>547</v>
      </c>
      <c r="E74" s="668"/>
      <c r="F74" s="6"/>
      <c r="G74" s="669"/>
      <c r="H74" s="669"/>
      <c r="I74" s="669"/>
      <c r="J74" s="669"/>
      <c r="K74" s="670"/>
      <c r="L74" s="669"/>
      <c r="M74" s="669"/>
      <c r="N74" s="669"/>
      <c r="O74" s="669"/>
      <c r="P74" s="669"/>
      <c r="Q74" s="669"/>
      <c r="R74" s="6"/>
      <c r="S74" s="671">
        <f ca="1">S$40+S$46+S$51+S$99+S$55+S$93+S$63+S$68+S$72</f>
        <v>-28.011556298716879</v>
      </c>
      <c r="T74" s="671">
        <f ca="1">T$40+T$46+T$51+T$99+T$55+T$93+T$63+T$68+T$72</f>
        <v>66.429815829504747</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91">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20"/>
        <v>0</v>
      </c>
    </row>
    <row r="75" spans="1:112" s="607" customFormat="1" ht="12.75" customHeight="1" outlineLevel="1">
      <c r="C75" s="587" t="s">
        <v>548</v>
      </c>
      <c r="D75" s="611" t="s">
        <v>549</v>
      </c>
      <c r="E75" s="611"/>
      <c r="F75" s="6"/>
      <c r="G75" s="619">
        <f t="shared" ref="G75:P75" ca="1" si="192">IFERROR(INDEX(INDIRECT($C75&amp;".Outputs["&amp;this.Year&amp;"]"), MATCH(G$5, INDIRECT($C75&amp;".Outputs[Vector]"), 0)), 0)</f>
        <v>0</v>
      </c>
      <c r="H75" s="619">
        <f t="shared" ca="1" si="192"/>
        <v>0</v>
      </c>
      <c r="I75" s="619">
        <f t="shared" ca="1" si="192"/>
        <v>0</v>
      </c>
      <c r="J75" s="619">
        <f t="shared" ca="1" si="192"/>
        <v>0</v>
      </c>
      <c r="K75" s="619">
        <f t="shared" ca="1" si="192"/>
        <v>0</v>
      </c>
      <c r="L75" s="619">
        <f t="shared" ca="1" si="192"/>
        <v>0</v>
      </c>
      <c r="M75" s="619">
        <f t="shared" ca="1" si="192"/>
        <v>0</v>
      </c>
      <c r="N75" s="619">
        <f t="shared" ca="1" si="192"/>
        <v>0</v>
      </c>
      <c r="O75" s="619">
        <f t="shared" ca="1" si="192"/>
        <v>0</v>
      </c>
      <c r="P75" s="619">
        <f t="shared" ca="1" si="192"/>
        <v>0</v>
      </c>
      <c r="Q75" s="612">
        <f ca="1">SUM(G75:P75)</f>
        <v>0</v>
      </c>
      <c r="R75" s="6"/>
      <c r="S75" s="620">
        <f t="shared" ref="S75:AJ75" ca="1" si="193">IFERROR(INDEX(INDIRECT($C75&amp;".Outputs["&amp;this.Year&amp;"]"), MATCH(S$5, INDIRECT($C75&amp;".Outputs[Vector]"), 0)), 0)</f>
        <v>0</v>
      </c>
      <c r="T75" s="620">
        <f t="shared" ca="1" si="193"/>
        <v>7.0128000000000013</v>
      </c>
      <c r="U75" s="620">
        <f t="shared" ca="1" si="193"/>
        <v>0</v>
      </c>
      <c r="V75" s="620">
        <f t="shared" ca="1" si="193"/>
        <v>0</v>
      </c>
      <c r="W75" s="620">
        <f t="shared" ca="1" si="193"/>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93"/>
        <v>0</v>
      </c>
      <c r="AB75" s="620">
        <f t="shared" ca="1" si="193"/>
        <v>0</v>
      </c>
      <c r="AC75" s="620">
        <f t="shared" ca="1" si="193"/>
        <v>0</v>
      </c>
      <c r="AD75" s="620">
        <f t="shared" ca="1" si="193"/>
        <v>0</v>
      </c>
      <c r="AE75" s="620">
        <f t="shared" ca="1" si="193"/>
        <v>0</v>
      </c>
      <c r="AF75" s="620">
        <f t="shared" ca="1" si="193"/>
        <v>0</v>
      </c>
      <c r="AG75" s="620">
        <f t="shared" ca="1" si="193"/>
        <v>0</v>
      </c>
      <c r="AH75" s="620">
        <f t="shared" ca="1" si="193"/>
        <v>0</v>
      </c>
      <c r="AI75" s="620">
        <f t="shared" ca="1" si="193"/>
        <v>0</v>
      </c>
      <c r="AJ75" s="620">
        <f t="shared" ca="1" si="193"/>
        <v>0</v>
      </c>
      <c r="AK75" s="613">
        <f ca="1">SUM(S75:AJ75)</f>
        <v>7.0128000000000013</v>
      </c>
      <c r="AL75" s="6"/>
      <c r="AM75" s="621">
        <f t="shared" ref="AM75:AU75" ca="1" si="194">IFERROR(INDEX(INDIRECT($C75&amp;".Outputs["&amp;this.Year&amp;"]"), MATCH(AM$5, INDIRECT($C75&amp;".Outputs[Vector]"), 0)), 0)</f>
        <v>0</v>
      </c>
      <c r="AN75" s="621">
        <f t="shared" ca="1" si="194"/>
        <v>0</v>
      </c>
      <c r="AO75" s="621">
        <f t="shared" ca="1" si="194"/>
        <v>0</v>
      </c>
      <c r="AP75" s="621">
        <f t="shared" ca="1" si="194"/>
        <v>0</v>
      </c>
      <c r="AQ75" s="621">
        <f t="shared" ca="1" si="194"/>
        <v>0</v>
      </c>
      <c r="AR75" s="621">
        <f t="shared" ca="1" si="194"/>
        <v>0</v>
      </c>
      <c r="AS75" s="621">
        <f t="shared" ca="1" si="194"/>
        <v>0</v>
      </c>
      <c r="AT75" s="621">
        <f t="shared" ca="1" si="194"/>
        <v>0</v>
      </c>
      <c r="AU75" s="621">
        <f t="shared" ca="1" si="194"/>
        <v>0</v>
      </c>
      <c r="AV75" s="621">
        <f t="shared" ref="AV75:BE75" ca="1" si="195">IFERROR(INDEX(INDIRECT($C75&amp;".Outputs["&amp;this.Year&amp;"]"), MATCH(AV$5, INDIRECT($C75&amp;".Outputs[Vector]"), 0)), 0)</f>
        <v>-21.428000000000004</v>
      </c>
      <c r="AW75" s="621">
        <f t="shared" ca="1" si="195"/>
        <v>0</v>
      </c>
      <c r="AX75" s="621">
        <f t="shared" ca="1" si="195"/>
        <v>0</v>
      </c>
      <c r="AY75" s="621">
        <f t="shared" ca="1" si="195"/>
        <v>0</v>
      </c>
      <c r="AZ75" s="621">
        <f t="shared" ca="1" si="195"/>
        <v>0</v>
      </c>
      <c r="BA75" s="621">
        <f t="shared" ca="1" si="195"/>
        <v>0</v>
      </c>
      <c r="BB75" s="621">
        <f t="shared" ca="1" si="195"/>
        <v>0</v>
      </c>
      <c r="BC75" s="621">
        <f t="shared" ca="1" si="195"/>
        <v>0</v>
      </c>
      <c r="BD75" s="621">
        <f t="shared" ca="1" si="195"/>
        <v>0</v>
      </c>
      <c r="BE75" s="621">
        <f t="shared" ca="1" si="195"/>
        <v>0</v>
      </c>
      <c r="BF75" s="615">
        <f ca="1">SUM(AM75:BE75)</f>
        <v>-21.428000000000004</v>
      </c>
      <c r="BG75" s="6"/>
      <c r="BH75" s="3473">
        <f ca="1">IFERROR(INDEX(INDIRECT($C75&amp;".Outputs["&amp;this.Year&amp;"]"), MATCH(BH$5, INDIRECT($C75&amp;".Outputs[Vector]"), 0)), 0)</f>
        <v>13.713920000000003</v>
      </c>
      <c r="BI75" s="3473">
        <f ca="1">IFERROR(INDEX(INDIRECT($C75&amp;".Outputs["&amp;this.Year&amp;"]"), MATCH(BI$5, INDIRECT($C75&amp;".Outputs[Vector]"), 0)), 0)</f>
        <v>0.70128000000000013</v>
      </c>
      <c r="BJ75" s="3462">
        <f ca="1">SUM(BH75:BI75)</f>
        <v>14.415200000000004</v>
      </c>
      <c r="BK75" s="6"/>
      <c r="BL75" s="610">
        <f t="shared" ca="1" si="191"/>
        <v>0</v>
      </c>
      <c r="BM75" s="610"/>
      <c r="BN75" s="413"/>
      <c r="BO75" s="2791">
        <f t="shared" ref="BO75:DF75" ca="1" si="196">IFERROR(SUMIFS(INDIRECT($C75&amp;".Emissions["&amp;this.Year&amp;"]"), INDIRECT($C75&amp;".Emissions[GHG]"), BO$6, INDIRECT($C75&amp;".Emissions[IPCC Sector]"), BO$5),0)</f>
        <v>0</v>
      </c>
      <c r="BP75" s="2792">
        <f t="shared" ca="1" si="196"/>
        <v>0</v>
      </c>
      <c r="BQ75" s="2792">
        <f t="shared" ca="1" si="196"/>
        <v>0</v>
      </c>
      <c r="BR75" s="2792">
        <f t="shared" ca="1" si="196"/>
        <v>0</v>
      </c>
      <c r="BS75" s="2792">
        <f t="shared" ca="1" si="196"/>
        <v>0</v>
      </c>
      <c r="BT75" s="2792">
        <f t="shared" ca="1" si="196"/>
        <v>0</v>
      </c>
      <c r="BU75" s="2792">
        <f t="shared" ca="1" si="196"/>
        <v>0</v>
      </c>
      <c r="BV75" s="2792">
        <f t="shared" ca="1" si="196"/>
        <v>0</v>
      </c>
      <c r="BW75" s="2792">
        <f t="shared" ca="1" si="196"/>
        <v>0</v>
      </c>
      <c r="BX75" s="2792">
        <f t="shared" ca="1" si="196"/>
        <v>0</v>
      </c>
      <c r="BY75" s="2792">
        <f t="shared" ca="1" si="196"/>
        <v>0</v>
      </c>
      <c r="BZ75" s="2792">
        <f t="shared" ca="1" si="196"/>
        <v>0</v>
      </c>
      <c r="CA75" s="2792">
        <f t="shared" ca="1" si="196"/>
        <v>0</v>
      </c>
      <c r="CB75" s="2792">
        <f t="shared" ca="1" si="196"/>
        <v>0</v>
      </c>
      <c r="CC75" s="2792">
        <f t="shared" ca="1" si="196"/>
        <v>0</v>
      </c>
      <c r="CD75" s="2792">
        <f t="shared" ca="1" si="196"/>
        <v>0</v>
      </c>
      <c r="CE75" s="2792">
        <f t="shared" ca="1" si="196"/>
        <v>0</v>
      </c>
      <c r="CF75" s="2792">
        <f t="shared" ca="1" si="196"/>
        <v>0</v>
      </c>
      <c r="CG75" s="2792">
        <f t="shared" ca="1" si="196"/>
        <v>0</v>
      </c>
      <c r="CH75" s="2792">
        <f t="shared" ca="1" si="196"/>
        <v>0</v>
      </c>
      <c r="CI75" s="2792">
        <f t="shared" ca="1" si="196"/>
        <v>0</v>
      </c>
      <c r="CJ75" s="2792">
        <f t="shared" ca="1" si="196"/>
        <v>0</v>
      </c>
      <c r="CK75" s="2792">
        <f t="shared" ca="1" si="196"/>
        <v>0</v>
      </c>
      <c r="CL75" s="2792">
        <f t="shared" ca="1" si="196"/>
        <v>0</v>
      </c>
      <c r="CM75" s="2792">
        <f t="shared" ca="1" si="196"/>
        <v>0</v>
      </c>
      <c r="CN75" s="2792">
        <f t="shared" ca="1" si="196"/>
        <v>0</v>
      </c>
      <c r="CO75" s="2792">
        <f t="shared" ca="1" si="196"/>
        <v>0</v>
      </c>
      <c r="CP75" s="2792">
        <f t="shared" ca="1" si="196"/>
        <v>0</v>
      </c>
      <c r="CQ75" s="2792">
        <f t="shared" ca="1" si="196"/>
        <v>0</v>
      </c>
      <c r="CR75" s="2792">
        <f t="shared" ca="1" si="196"/>
        <v>0</v>
      </c>
      <c r="CS75" s="2792">
        <f t="shared" ca="1" si="196"/>
        <v>0</v>
      </c>
      <c r="CT75" s="2792">
        <f t="shared" ca="1" si="196"/>
        <v>0</v>
      </c>
      <c r="CU75" s="2792">
        <f t="shared" ca="1" si="196"/>
        <v>0</v>
      </c>
      <c r="CV75" s="2792">
        <f t="shared" ca="1" si="196"/>
        <v>0</v>
      </c>
      <c r="CW75" s="2792">
        <f t="shared" ca="1" si="196"/>
        <v>0</v>
      </c>
      <c r="CX75" s="2792">
        <f t="shared" ca="1" si="196"/>
        <v>0</v>
      </c>
      <c r="CY75" s="2792">
        <f t="shared" ca="1" si="196"/>
        <v>0</v>
      </c>
      <c r="CZ75" s="2792">
        <f t="shared" ca="1" si="196"/>
        <v>0</v>
      </c>
      <c r="DA75" s="2792">
        <f t="shared" ca="1" si="196"/>
        <v>0</v>
      </c>
      <c r="DB75" s="2792">
        <f t="shared" ca="1" si="196"/>
        <v>0</v>
      </c>
      <c r="DC75" s="2792">
        <f t="shared" ca="1" si="196"/>
        <v>0</v>
      </c>
      <c r="DD75" s="2792">
        <f t="shared" ca="1" si="196"/>
        <v>0</v>
      </c>
      <c r="DE75" s="2792">
        <f t="shared" ca="1" si="196"/>
        <v>0</v>
      </c>
      <c r="DF75" s="2792">
        <f t="shared" ca="1" si="196"/>
        <v>0</v>
      </c>
      <c r="DH75" s="596">
        <f t="shared" ca="1" si="120"/>
        <v>0</v>
      </c>
    </row>
    <row r="76" spans="1:112" s="6" customFormat="1" ht="15.75">
      <c r="A76" s="4"/>
      <c r="B76" s="3"/>
      <c r="C76" s="616" t="s">
        <v>550</v>
      </c>
      <c r="D76" s="617" t="s">
        <v>551</v>
      </c>
      <c r="E76" s="206"/>
      <c r="G76" s="618">
        <f ca="1">G75</f>
        <v>0</v>
      </c>
      <c r="H76" s="618">
        <f t="shared" ref="H76:P76" ca="1" si="197">H75</f>
        <v>0</v>
      </c>
      <c r="I76" s="618">
        <f t="shared" ca="1" si="197"/>
        <v>0</v>
      </c>
      <c r="J76" s="618">
        <f t="shared" ca="1" si="197"/>
        <v>0</v>
      </c>
      <c r="K76" s="618">
        <f t="shared" ca="1" si="197"/>
        <v>0</v>
      </c>
      <c r="L76" s="618">
        <f t="shared" ca="1" si="197"/>
        <v>0</v>
      </c>
      <c r="M76" s="618">
        <f t="shared" ca="1" si="197"/>
        <v>0</v>
      </c>
      <c r="N76" s="618">
        <f t="shared" ca="1" si="197"/>
        <v>0</v>
      </c>
      <c r="O76" s="618">
        <f t="shared" ca="1" si="197"/>
        <v>0</v>
      </c>
      <c r="P76" s="618">
        <f t="shared" ca="1" si="197"/>
        <v>0</v>
      </c>
      <c r="Q76" s="618">
        <f ca="1">SUM(G76:P76)</f>
        <v>0</v>
      </c>
      <c r="S76" s="581">
        <f t="shared" ref="S76:AJ76" ca="1" si="198">S75</f>
        <v>0</v>
      </c>
      <c r="T76" s="581">
        <f t="shared" ca="1" si="198"/>
        <v>7.0128000000000013</v>
      </c>
      <c r="U76" s="581">
        <f t="shared" ca="1" si="198"/>
        <v>0</v>
      </c>
      <c r="V76" s="581">
        <f t="shared" ca="1" si="198"/>
        <v>0</v>
      </c>
      <c r="W76" s="581">
        <f t="shared" ca="1" si="198"/>
        <v>0</v>
      </c>
      <c r="X76" s="581">
        <f t="shared" ca="1" si="198"/>
        <v>0</v>
      </c>
      <c r="Y76" s="581">
        <f t="shared" ca="1" si="198"/>
        <v>0</v>
      </c>
      <c r="Z76" s="581">
        <f t="shared" ca="1" si="198"/>
        <v>0</v>
      </c>
      <c r="AA76" s="581">
        <f t="shared" ca="1" si="198"/>
        <v>0</v>
      </c>
      <c r="AB76" s="581">
        <f t="shared" ca="1" si="198"/>
        <v>0</v>
      </c>
      <c r="AC76" s="581">
        <f t="shared" ca="1" si="198"/>
        <v>0</v>
      </c>
      <c r="AD76" s="581">
        <f t="shared" ca="1" si="198"/>
        <v>0</v>
      </c>
      <c r="AE76" s="581">
        <f ca="1">AE75</f>
        <v>0</v>
      </c>
      <c r="AF76" s="581">
        <f t="shared" ca="1" si="198"/>
        <v>0</v>
      </c>
      <c r="AG76" s="581">
        <f t="shared" ca="1" si="198"/>
        <v>0</v>
      </c>
      <c r="AH76" s="581">
        <f ca="1">AH75</f>
        <v>0</v>
      </c>
      <c r="AI76" s="581">
        <f t="shared" ca="1" si="198"/>
        <v>0</v>
      </c>
      <c r="AJ76" s="581">
        <f t="shared" ca="1" si="198"/>
        <v>0</v>
      </c>
      <c r="AK76" s="581">
        <f ca="1">SUM(S76:AJ76)</f>
        <v>7.0128000000000013</v>
      </c>
      <c r="AM76" s="582">
        <f t="shared" ref="AM76:BE76" ca="1" si="199">AM75</f>
        <v>0</v>
      </c>
      <c r="AN76" s="582">
        <f t="shared" ca="1" si="199"/>
        <v>0</v>
      </c>
      <c r="AO76" s="582">
        <f t="shared" ca="1" si="199"/>
        <v>0</v>
      </c>
      <c r="AP76" s="582">
        <f t="shared" ca="1" si="199"/>
        <v>0</v>
      </c>
      <c r="AQ76" s="582">
        <f t="shared" ca="1" si="199"/>
        <v>0</v>
      </c>
      <c r="AR76" s="582">
        <f t="shared" ca="1" si="199"/>
        <v>0</v>
      </c>
      <c r="AS76" s="582">
        <f t="shared" ca="1" si="199"/>
        <v>0</v>
      </c>
      <c r="AT76" s="582">
        <f t="shared" ca="1" si="199"/>
        <v>0</v>
      </c>
      <c r="AU76" s="582">
        <f t="shared" ca="1" si="199"/>
        <v>0</v>
      </c>
      <c r="AV76" s="582">
        <f t="shared" ca="1" si="199"/>
        <v>-21.428000000000004</v>
      </c>
      <c r="AW76" s="582">
        <f t="shared" ca="1" si="199"/>
        <v>0</v>
      </c>
      <c r="AX76" s="582">
        <f t="shared" ca="1" si="199"/>
        <v>0</v>
      </c>
      <c r="AY76" s="582">
        <f t="shared" ca="1" si="199"/>
        <v>0</v>
      </c>
      <c r="AZ76" s="582">
        <f t="shared" ca="1" si="199"/>
        <v>0</v>
      </c>
      <c r="BA76" s="582">
        <f t="shared" ca="1" si="199"/>
        <v>0</v>
      </c>
      <c r="BB76" s="582">
        <f t="shared" ca="1" si="199"/>
        <v>0</v>
      </c>
      <c r="BC76" s="582">
        <f t="shared" ca="1" si="199"/>
        <v>0</v>
      </c>
      <c r="BD76" s="582">
        <f t="shared" ca="1" si="199"/>
        <v>0</v>
      </c>
      <c r="BE76" s="582">
        <f t="shared" ca="1" si="199"/>
        <v>0</v>
      </c>
      <c r="BF76" s="582">
        <f ca="1">SUM(AM76:BE76)</f>
        <v>-21.428000000000004</v>
      </c>
      <c r="BH76" s="3463">
        <f ca="1">BH75</f>
        <v>13.713920000000003</v>
      </c>
      <c r="BI76" s="3463">
        <f ca="1">BI75</f>
        <v>0.70128000000000013</v>
      </c>
      <c r="BJ76" s="3463">
        <f ca="1">SUM(BH76:BI76)</f>
        <v>14.415200000000004</v>
      </c>
      <c r="BL76" s="3477">
        <f t="shared" ca="1" si="191"/>
        <v>0</v>
      </c>
      <c r="BM76" s="584"/>
      <c r="BN76" s="413"/>
      <c r="BO76" s="2790">
        <f t="shared" ref="BO76:DF76" ca="1" si="200">BO75</f>
        <v>0</v>
      </c>
      <c r="BP76" s="2790">
        <f t="shared" ca="1" si="200"/>
        <v>0</v>
      </c>
      <c r="BQ76" s="2790">
        <f t="shared" ca="1" si="200"/>
        <v>0</v>
      </c>
      <c r="BR76" s="2790">
        <f t="shared" ca="1" si="200"/>
        <v>0</v>
      </c>
      <c r="BS76" s="2790">
        <f t="shared" ca="1" si="200"/>
        <v>0</v>
      </c>
      <c r="BT76" s="2790">
        <f t="shared" ca="1" si="200"/>
        <v>0</v>
      </c>
      <c r="BU76" s="2790">
        <f t="shared" ca="1" si="200"/>
        <v>0</v>
      </c>
      <c r="BV76" s="2790">
        <f t="shared" ca="1" si="200"/>
        <v>0</v>
      </c>
      <c r="BW76" s="2790">
        <f t="shared" ca="1" si="200"/>
        <v>0</v>
      </c>
      <c r="BX76" s="2790">
        <f t="shared" ca="1" si="200"/>
        <v>0</v>
      </c>
      <c r="BY76" s="2790">
        <f t="shared" ca="1" si="200"/>
        <v>0</v>
      </c>
      <c r="BZ76" s="2790">
        <f t="shared" ca="1" si="200"/>
        <v>0</v>
      </c>
      <c r="CA76" s="2790">
        <f t="shared" ca="1" si="200"/>
        <v>0</v>
      </c>
      <c r="CB76" s="2790">
        <f t="shared" ca="1" si="200"/>
        <v>0</v>
      </c>
      <c r="CC76" s="2790">
        <f t="shared" ca="1" si="200"/>
        <v>0</v>
      </c>
      <c r="CD76" s="2790">
        <f t="shared" ca="1" si="200"/>
        <v>0</v>
      </c>
      <c r="CE76" s="2790">
        <f t="shared" ca="1" si="200"/>
        <v>0</v>
      </c>
      <c r="CF76" s="2790">
        <f t="shared" ca="1" si="200"/>
        <v>0</v>
      </c>
      <c r="CG76" s="2790">
        <f t="shared" ca="1" si="200"/>
        <v>0</v>
      </c>
      <c r="CH76" s="2790">
        <f t="shared" ca="1" si="200"/>
        <v>0</v>
      </c>
      <c r="CI76" s="2790">
        <f t="shared" ca="1" si="200"/>
        <v>0</v>
      </c>
      <c r="CJ76" s="2790">
        <f t="shared" ca="1" si="200"/>
        <v>0</v>
      </c>
      <c r="CK76" s="2790">
        <f t="shared" ca="1" si="200"/>
        <v>0</v>
      </c>
      <c r="CL76" s="2790">
        <f t="shared" ca="1" si="200"/>
        <v>0</v>
      </c>
      <c r="CM76" s="2790">
        <f t="shared" ca="1" si="200"/>
        <v>0</v>
      </c>
      <c r="CN76" s="2790">
        <f t="shared" ca="1" si="200"/>
        <v>0</v>
      </c>
      <c r="CO76" s="2790">
        <f t="shared" ca="1" si="200"/>
        <v>0</v>
      </c>
      <c r="CP76" s="2790">
        <f t="shared" ca="1" si="200"/>
        <v>0</v>
      </c>
      <c r="CQ76" s="2790">
        <f t="shared" ca="1" si="200"/>
        <v>0</v>
      </c>
      <c r="CR76" s="2790">
        <f t="shared" ca="1" si="200"/>
        <v>0</v>
      </c>
      <c r="CS76" s="2790">
        <f t="shared" ca="1" si="200"/>
        <v>0</v>
      </c>
      <c r="CT76" s="2790">
        <f t="shared" ca="1" si="200"/>
        <v>0</v>
      </c>
      <c r="CU76" s="2790">
        <f t="shared" ca="1" si="200"/>
        <v>0</v>
      </c>
      <c r="CV76" s="2790">
        <f t="shared" ca="1" si="200"/>
        <v>0</v>
      </c>
      <c r="CW76" s="2790">
        <f t="shared" ca="1" si="200"/>
        <v>0</v>
      </c>
      <c r="CX76" s="2790">
        <f t="shared" ca="1" si="200"/>
        <v>0</v>
      </c>
      <c r="CY76" s="2790">
        <f t="shared" ca="1" si="200"/>
        <v>0</v>
      </c>
      <c r="CZ76" s="2790">
        <f t="shared" ca="1" si="200"/>
        <v>0</v>
      </c>
      <c r="DA76" s="2790">
        <f t="shared" ca="1" si="200"/>
        <v>0</v>
      </c>
      <c r="DB76" s="2790">
        <f t="shared" ca="1" si="200"/>
        <v>0</v>
      </c>
      <c r="DC76" s="2790">
        <f t="shared" ca="1" si="200"/>
        <v>0</v>
      </c>
      <c r="DD76" s="2790">
        <f t="shared" ca="1" si="200"/>
        <v>0</v>
      </c>
      <c r="DE76" s="2790">
        <f t="shared" ca="1" si="200"/>
        <v>0</v>
      </c>
      <c r="DF76" s="2790">
        <f t="shared" ca="1" si="200"/>
        <v>0</v>
      </c>
      <c r="DH76" s="596">
        <f t="shared" ca="1" si="120"/>
        <v>0</v>
      </c>
    </row>
    <row r="77" spans="1:112" s="6" customFormat="1" ht="12.75" customHeight="1" outlineLevel="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91"/>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20"/>
        <v>0</v>
      </c>
    </row>
    <row r="78" spans="1:112" s="652" customFormat="1" ht="12.75" customHeight="1" outlineLevel="1">
      <c r="C78" s="667" t="s">
        <v>552</v>
      </c>
      <c r="D78" s="668" t="s">
        <v>547</v>
      </c>
      <c r="E78" s="668"/>
      <c r="F78" s="6"/>
      <c r="G78" s="669"/>
      <c r="H78" s="669"/>
      <c r="I78" s="669"/>
      <c r="J78" s="669"/>
      <c r="K78" s="670"/>
      <c r="L78" s="669"/>
      <c r="M78" s="669"/>
      <c r="N78" s="669"/>
      <c r="O78" s="669"/>
      <c r="P78" s="669"/>
      <c r="Q78" s="669"/>
      <c r="R78" s="6"/>
      <c r="S78" s="671">
        <f ca="1">S$74+S$76</f>
        <v>-28.011556298716879</v>
      </c>
      <c r="T78" s="671">
        <f ca="1">T$74+T$76</f>
        <v>73.442615829504746</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91"/>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20"/>
        <v>0</v>
      </c>
    </row>
    <row r="79" spans="1:112" s="607" customFormat="1" ht="12.75" customHeight="1" outlineLevel="1">
      <c r="C79" s="587" t="s">
        <v>553</v>
      </c>
      <c r="D79" s="588" t="s">
        <v>554</v>
      </c>
      <c r="E79" s="588"/>
      <c r="F79" s="6"/>
      <c r="G79" s="674">
        <f t="shared" ref="G79:P79" ca="1" si="201">IFERROR(INDEX(INDIRECT($C79&amp;".Outputs["&amp;this.Year&amp;"]"), MATCH(G$5, INDIRECT($C79&amp;".Outputs[Vector]"), 0)), 0)</f>
        <v>0</v>
      </c>
      <c r="H79" s="674">
        <f t="shared" ca="1" si="201"/>
        <v>0</v>
      </c>
      <c r="I79" s="674">
        <f t="shared" ca="1" si="201"/>
        <v>0</v>
      </c>
      <c r="J79" s="674">
        <f t="shared" ca="1" si="201"/>
        <v>0</v>
      </c>
      <c r="K79" s="674">
        <f t="shared" ca="1" si="201"/>
        <v>0</v>
      </c>
      <c r="L79" s="674">
        <f t="shared" ca="1" si="201"/>
        <v>0</v>
      </c>
      <c r="M79" s="674">
        <f t="shared" ca="1" si="201"/>
        <v>0</v>
      </c>
      <c r="N79" s="674">
        <f t="shared" ca="1" si="201"/>
        <v>0</v>
      </c>
      <c r="O79" s="674">
        <f t="shared" ca="1" si="201"/>
        <v>0</v>
      </c>
      <c r="P79" s="674">
        <f t="shared" ca="1" si="201"/>
        <v>0</v>
      </c>
      <c r="Q79" s="675">
        <f ca="1">SUM(G79:P79)</f>
        <v>0</v>
      </c>
      <c r="R79" s="6"/>
      <c r="S79" s="676">
        <f t="shared" ref="S79:AJ79" ca="1" si="202">IFERROR(INDEX(INDIRECT($C79&amp;".Outputs["&amp;this.Year&amp;"]"), MATCH(S$5, INDIRECT($C79&amp;".Outputs[Vector]"), 0)), 0)</f>
        <v>0</v>
      </c>
      <c r="T79" s="676">
        <f t="shared" ca="1" si="202"/>
        <v>16.671836249999998</v>
      </c>
      <c r="U79" s="676">
        <f t="shared" ca="1" si="202"/>
        <v>0</v>
      </c>
      <c r="V79" s="676">
        <f t="shared" ca="1" si="202"/>
        <v>0</v>
      </c>
      <c r="W79" s="676">
        <f t="shared" ca="1" si="202"/>
        <v>-29.105859374999998</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202"/>
        <v>0</v>
      </c>
      <c r="AB79" s="676">
        <f t="shared" ca="1" si="202"/>
        <v>0</v>
      </c>
      <c r="AC79" s="676">
        <f t="shared" ca="1" si="202"/>
        <v>0</v>
      </c>
      <c r="AD79" s="676">
        <f t="shared" ca="1" si="202"/>
        <v>0</v>
      </c>
      <c r="AE79" s="676">
        <f t="shared" ca="1" si="202"/>
        <v>0</v>
      </c>
      <c r="AF79" s="676">
        <f t="shared" ca="1" si="202"/>
        <v>0</v>
      </c>
      <c r="AG79" s="676">
        <f t="shared" ca="1" si="202"/>
        <v>0</v>
      </c>
      <c r="AH79" s="676">
        <f t="shared" ca="1" si="202"/>
        <v>0</v>
      </c>
      <c r="AI79" s="676">
        <f t="shared" ca="1" si="202"/>
        <v>0</v>
      </c>
      <c r="AJ79" s="676">
        <f t="shared" ca="1" si="202"/>
        <v>0</v>
      </c>
      <c r="AK79" s="677">
        <f ca="1">SUM(S79:AJ79)</f>
        <v>-12.434023125</v>
      </c>
      <c r="AL79" s="6"/>
      <c r="AM79" s="678">
        <f t="shared" ref="AM79:AU79" ca="1" si="203">IFERROR(INDEX(INDIRECT($C79&amp;".Outputs["&amp;this.Year&amp;"]"), MATCH(AM$5, INDIRECT($C79&amp;".Outputs[Vector]"), 0)), 0)</f>
        <v>0</v>
      </c>
      <c r="AN79" s="678">
        <f t="shared" ca="1" si="203"/>
        <v>0</v>
      </c>
      <c r="AO79" s="678">
        <f t="shared" ca="1" si="203"/>
        <v>0</v>
      </c>
      <c r="AP79" s="678">
        <f t="shared" ca="1" si="203"/>
        <v>0</v>
      </c>
      <c r="AQ79" s="678">
        <f t="shared" ca="1" si="203"/>
        <v>0</v>
      </c>
      <c r="AR79" s="678">
        <f t="shared" ca="1" si="203"/>
        <v>0</v>
      </c>
      <c r="AS79" s="678">
        <f t="shared" ca="1" si="203"/>
        <v>0</v>
      </c>
      <c r="AT79" s="678">
        <f t="shared" ca="1" si="203"/>
        <v>0</v>
      </c>
      <c r="AU79" s="678">
        <f t="shared" ca="1" si="203"/>
        <v>0</v>
      </c>
      <c r="AV79" s="678">
        <f t="shared" ref="AV79:BE79" ca="1" si="204">IFERROR(INDEX(INDIRECT($C79&amp;".Outputs["&amp;this.Year&amp;"]"), MATCH(AV$5, INDIRECT($C79&amp;".Outputs[Vector]"), 0)), 0)</f>
        <v>0</v>
      </c>
      <c r="AW79" s="678">
        <f t="shared" ca="1" si="204"/>
        <v>0</v>
      </c>
      <c r="AX79" s="678">
        <f t="shared" ca="1" si="204"/>
        <v>0</v>
      </c>
      <c r="AY79" s="678">
        <f t="shared" ca="1" si="204"/>
        <v>0</v>
      </c>
      <c r="AZ79" s="678">
        <f t="shared" ca="1" si="204"/>
        <v>0</v>
      </c>
      <c r="BA79" s="678">
        <f t="shared" ca="1" si="204"/>
        <v>0</v>
      </c>
      <c r="BB79" s="678">
        <f t="shared" ca="1" si="204"/>
        <v>0</v>
      </c>
      <c r="BC79" s="678">
        <f t="shared" ca="1" si="204"/>
        <v>0</v>
      </c>
      <c r="BD79" s="678">
        <f t="shared" ca="1" si="204"/>
        <v>0</v>
      </c>
      <c r="BE79" s="678">
        <f t="shared" ca="1" si="204"/>
        <v>0</v>
      </c>
      <c r="BF79" s="679">
        <f ca="1">SUM(AM79:BE79)</f>
        <v>0</v>
      </c>
      <c r="BG79" s="6"/>
      <c r="BH79" s="3475">
        <f ca="1">IFERROR(INDEX(INDIRECT($C79&amp;".Outputs["&amp;this.Year&amp;"]"), MATCH(BH$5, INDIRECT($C79&amp;".Outputs[Vector]"), 0)), 0)</f>
        <v>10.478109374999999</v>
      </c>
      <c r="BI79" s="3475">
        <f ca="1">IFERROR(INDEX(INDIRECT($C79&amp;".Outputs["&amp;this.Year&amp;"]"), MATCH(BI$5, INDIRECT($C79&amp;".Outputs[Vector]"), 0)), 0)</f>
        <v>1.9559137500000001</v>
      </c>
      <c r="BJ79" s="3466">
        <f ca="1">SUM(BH79:BI79)</f>
        <v>12.434023125</v>
      </c>
      <c r="BK79" s="6"/>
      <c r="BL79" s="610">
        <f t="shared" ca="1" si="191"/>
        <v>0</v>
      </c>
      <c r="BM79" s="610"/>
      <c r="BN79" s="413"/>
      <c r="BO79" s="2789">
        <f t="shared" ref="BO79:DF79" ca="1" si="205">IFERROR(SUMIFS(INDIRECT($C79&amp;".Emissions["&amp;this.Year&amp;"]"), INDIRECT($C79&amp;".Emissions[GHG]"), BO$6, INDIRECT($C79&amp;".Emissions[IPCC Sector]"), BO$5),0)</f>
        <v>5.9585864582812498</v>
      </c>
      <c r="BP79" s="2790">
        <f t="shared" ca="1" si="205"/>
        <v>2.2004029687500001E-3</v>
      </c>
      <c r="BQ79" s="2790">
        <f t="shared" ca="1" si="205"/>
        <v>9.419820328124999E-2</v>
      </c>
      <c r="BR79" s="2790">
        <f t="shared" ca="1" si="205"/>
        <v>0</v>
      </c>
      <c r="BS79" s="2790">
        <f t="shared" ca="1" si="205"/>
        <v>0</v>
      </c>
      <c r="BT79" s="2790">
        <f t="shared" ca="1" si="205"/>
        <v>0</v>
      </c>
      <c r="BU79" s="2790">
        <f t="shared" ca="1" si="205"/>
        <v>0</v>
      </c>
      <c r="BV79" s="2790">
        <f t="shared" ca="1" si="205"/>
        <v>0</v>
      </c>
      <c r="BW79" s="2790">
        <f t="shared" ca="1" si="205"/>
        <v>0</v>
      </c>
      <c r="BX79" s="2790">
        <f t="shared" ca="1" si="205"/>
        <v>0</v>
      </c>
      <c r="BY79" s="2790">
        <f t="shared" ca="1" si="205"/>
        <v>0</v>
      </c>
      <c r="BZ79" s="2790">
        <f t="shared" ca="1" si="205"/>
        <v>0</v>
      </c>
      <c r="CA79" s="2790">
        <f t="shared" ca="1" si="205"/>
        <v>0</v>
      </c>
      <c r="CB79" s="2790">
        <f t="shared" ca="1" si="205"/>
        <v>0</v>
      </c>
      <c r="CC79" s="2790">
        <f t="shared" ca="1" si="205"/>
        <v>0</v>
      </c>
      <c r="CD79" s="2790">
        <f t="shared" ca="1" si="205"/>
        <v>0</v>
      </c>
      <c r="CE79" s="2790">
        <f t="shared" ca="1" si="205"/>
        <v>0</v>
      </c>
      <c r="CF79" s="2790">
        <f t="shared" ca="1" si="205"/>
        <v>0</v>
      </c>
      <c r="CG79" s="2790">
        <f t="shared" ca="1" si="205"/>
        <v>0</v>
      </c>
      <c r="CH79" s="2790">
        <f t="shared" ca="1" si="205"/>
        <v>0</v>
      </c>
      <c r="CI79" s="2790">
        <f t="shared" ca="1" si="205"/>
        <v>0</v>
      </c>
      <c r="CJ79" s="2790">
        <f t="shared" ca="1" si="205"/>
        <v>0</v>
      </c>
      <c r="CK79" s="2790">
        <f t="shared" ca="1" si="205"/>
        <v>0</v>
      </c>
      <c r="CL79" s="2790">
        <f t="shared" ca="1" si="205"/>
        <v>0</v>
      </c>
      <c r="CM79" s="2790">
        <f t="shared" ca="1" si="205"/>
        <v>0</v>
      </c>
      <c r="CN79" s="2790">
        <f t="shared" ca="1" si="205"/>
        <v>0</v>
      </c>
      <c r="CO79" s="2790">
        <f t="shared" ca="1" si="205"/>
        <v>0</v>
      </c>
      <c r="CP79" s="2790">
        <f t="shared" ca="1" si="205"/>
        <v>0</v>
      </c>
      <c r="CQ79" s="2790">
        <f t="shared" ca="1" si="205"/>
        <v>0</v>
      </c>
      <c r="CR79" s="2790">
        <f t="shared" ca="1" si="205"/>
        <v>0</v>
      </c>
      <c r="CS79" s="2790">
        <f t="shared" ca="1" si="205"/>
        <v>0</v>
      </c>
      <c r="CT79" s="2790">
        <f t="shared" ca="1" si="205"/>
        <v>0</v>
      </c>
      <c r="CU79" s="2790">
        <f t="shared" ca="1" si="205"/>
        <v>0</v>
      </c>
      <c r="CV79" s="2790">
        <f t="shared" ca="1" si="205"/>
        <v>0</v>
      </c>
      <c r="CW79" s="2790">
        <f t="shared" ca="1" si="205"/>
        <v>0</v>
      </c>
      <c r="CX79" s="2790">
        <f t="shared" ca="1" si="205"/>
        <v>0</v>
      </c>
      <c r="CY79" s="2790">
        <f t="shared" ca="1" si="205"/>
        <v>0</v>
      </c>
      <c r="CZ79" s="2790">
        <f t="shared" ca="1" si="205"/>
        <v>0</v>
      </c>
      <c r="DA79" s="2790">
        <f t="shared" ca="1" si="205"/>
        <v>0</v>
      </c>
      <c r="DB79" s="2790">
        <f t="shared" ca="1" si="205"/>
        <v>0</v>
      </c>
      <c r="DC79" s="2790">
        <f t="shared" ca="1" si="205"/>
        <v>-5.3627278124531248</v>
      </c>
      <c r="DD79" s="2790">
        <f t="shared" ca="1" si="205"/>
        <v>0</v>
      </c>
      <c r="DE79" s="2790">
        <f t="shared" ca="1" si="205"/>
        <v>0</v>
      </c>
      <c r="DF79" s="2790">
        <f t="shared" ca="1" si="205"/>
        <v>0</v>
      </c>
      <c r="DH79" s="596">
        <f t="shared" ca="1" si="120"/>
        <v>0.69225725207812516</v>
      </c>
    </row>
    <row r="80" spans="1:112" s="639" customFormat="1" ht="12.75" customHeight="1" outlineLevel="1">
      <c r="C80" s="640" t="s">
        <v>555</v>
      </c>
      <c r="D80" s="668" t="s">
        <v>547</v>
      </c>
      <c r="E80" s="641"/>
      <c r="F80" s="642"/>
      <c r="G80" s="643"/>
      <c r="H80" s="643"/>
      <c r="I80" s="643"/>
      <c r="J80" s="643"/>
      <c r="K80" s="644"/>
      <c r="L80" s="643"/>
      <c r="M80" s="643"/>
      <c r="N80" s="643"/>
      <c r="O80" s="643"/>
      <c r="P80" s="643"/>
      <c r="Q80" s="643"/>
      <c r="R80" s="642"/>
      <c r="S80" s="645">
        <f ca="1">S78+S79</f>
        <v>-28.011556298716879</v>
      </c>
      <c r="T80" s="645">
        <f ca="1">T78+T79</f>
        <v>90.114452079504744</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91"/>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20"/>
        <v>0</v>
      </c>
    </row>
    <row r="81" spans="1:112" s="607" customFormat="1" ht="12.75" customHeight="1" outlineLevel="1">
      <c r="C81" s="587" t="s">
        <v>556</v>
      </c>
      <c r="D81" s="588" t="s">
        <v>557</v>
      </c>
      <c r="E81" s="588"/>
      <c r="F81" s="6"/>
      <c r="G81" s="619">
        <f t="shared" ref="G81:P81" ca="1" si="206">IFERROR(INDEX(INDIRECT($C81&amp;".Outputs["&amp;this.Year&amp;"]"), MATCH(G$5, INDIRECT($C81&amp;".Outputs[Vector]"), 0)), 0)</f>
        <v>0</v>
      </c>
      <c r="H81" s="619">
        <f t="shared" ca="1" si="206"/>
        <v>0</v>
      </c>
      <c r="I81" s="619">
        <f t="shared" ca="1" si="206"/>
        <v>0</v>
      </c>
      <c r="J81" s="619">
        <f t="shared" ca="1" si="206"/>
        <v>0</v>
      </c>
      <c r="K81" s="619">
        <f t="shared" ca="1" si="206"/>
        <v>0</v>
      </c>
      <c r="L81" s="619">
        <f t="shared" ca="1" si="206"/>
        <v>0</v>
      </c>
      <c r="M81" s="619">
        <f t="shared" ca="1" si="206"/>
        <v>0</v>
      </c>
      <c r="N81" s="619">
        <f t="shared" ca="1" si="206"/>
        <v>0</v>
      </c>
      <c r="O81" s="619">
        <f t="shared" ca="1" si="206"/>
        <v>0</v>
      </c>
      <c r="P81" s="619">
        <f t="shared" ca="1" si="206"/>
        <v>0</v>
      </c>
      <c r="Q81" s="612">
        <f ca="1">SUM(G81:P81)</f>
        <v>0</v>
      </c>
      <c r="R81" s="6"/>
      <c r="S81" s="620">
        <f t="shared" ref="S81:AJ81" ca="1" si="207">IFERROR(INDEX(INDIRECT($C81&amp;".Outputs["&amp;this.Year&amp;"]"), MATCH(S$5, INDIRECT($C81&amp;".Outputs[Vector]"), 0)), 0)</f>
        <v>0</v>
      </c>
      <c r="T81" s="620">
        <f t="shared" ca="1" si="207"/>
        <v>7.7140800000000009</v>
      </c>
      <c r="U81" s="620">
        <f t="shared" ca="1" si="207"/>
        <v>-22.701435428571433</v>
      </c>
      <c r="V81" s="620">
        <f t="shared" ca="1" si="207"/>
        <v>0</v>
      </c>
      <c r="W81" s="620">
        <f t="shared" ca="1" si="207"/>
        <v>0</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207"/>
        <v>0</v>
      </c>
      <c r="AB81" s="620">
        <f t="shared" ca="1" si="207"/>
        <v>0</v>
      </c>
      <c r="AC81" s="620">
        <f t="shared" ca="1" si="207"/>
        <v>0</v>
      </c>
      <c r="AD81" s="620">
        <f t="shared" ca="1" si="207"/>
        <v>0</v>
      </c>
      <c r="AE81" s="620">
        <f t="shared" ca="1" si="207"/>
        <v>0</v>
      </c>
      <c r="AF81" s="620">
        <f t="shared" ca="1" si="207"/>
        <v>0</v>
      </c>
      <c r="AG81" s="620">
        <f t="shared" ca="1" si="207"/>
        <v>0</v>
      </c>
      <c r="AH81" s="620">
        <f t="shared" ca="1" si="207"/>
        <v>0</v>
      </c>
      <c r="AI81" s="620">
        <f t="shared" ca="1" si="207"/>
        <v>0</v>
      </c>
      <c r="AJ81" s="620">
        <f t="shared" ca="1" si="207"/>
        <v>0</v>
      </c>
      <c r="AK81" s="613">
        <f ca="1">SUM(S81:AJ81)</f>
        <v>-14.987355428571432</v>
      </c>
      <c r="AL81" s="6"/>
      <c r="AM81" s="621">
        <f t="shared" ref="AM81:AU81" ca="1" si="208">IFERROR(INDEX(INDIRECT($C81&amp;".Outputs["&amp;this.Year&amp;"]"), MATCH(AM$5, INDIRECT($C81&amp;".Outputs[Vector]"), 0)), 0)</f>
        <v>0</v>
      </c>
      <c r="AN81" s="621">
        <f t="shared" ca="1" si="208"/>
        <v>0</v>
      </c>
      <c r="AO81" s="621">
        <f t="shared" ca="1" si="208"/>
        <v>0</v>
      </c>
      <c r="AP81" s="621">
        <f t="shared" ca="1" si="208"/>
        <v>0</v>
      </c>
      <c r="AQ81" s="621">
        <f t="shared" ca="1" si="208"/>
        <v>0</v>
      </c>
      <c r="AR81" s="621">
        <f t="shared" ca="1" si="208"/>
        <v>0</v>
      </c>
      <c r="AS81" s="621">
        <f t="shared" ca="1" si="208"/>
        <v>0</v>
      </c>
      <c r="AT81" s="621">
        <f t="shared" ca="1" si="208"/>
        <v>0</v>
      </c>
      <c r="AU81" s="621">
        <f t="shared" ca="1" si="208"/>
        <v>0</v>
      </c>
      <c r="AV81" s="621">
        <f t="shared" ref="AV81:BE81" ca="1" si="209">IFERROR(INDEX(INDIRECT($C81&amp;".Outputs["&amp;this.Year&amp;"]"), MATCH(AV$5, INDIRECT($C81&amp;".Outputs[Vector]"), 0)), 0)</f>
        <v>0</v>
      </c>
      <c r="AW81" s="621">
        <f t="shared" ca="1" si="209"/>
        <v>0</v>
      </c>
      <c r="AX81" s="621">
        <f t="shared" ca="1" si="209"/>
        <v>0</v>
      </c>
      <c r="AY81" s="621">
        <f t="shared" ca="1" si="209"/>
        <v>0</v>
      </c>
      <c r="AZ81" s="621">
        <f t="shared" ca="1" si="209"/>
        <v>0</v>
      </c>
      <c r="BA81" s="621">
        <f t="shared" ca="1" si="209"/>
        <v>0</v>
      </c>
      <c r="BB81" s="621">
        <f t="shared" ca="1" si="209"/>
        <v>0</v>
      </c>
      <c r="BC81" s="621">
        <f t="shared" ca="1" si="209"/>
        <v>0</v>
      </c>
      <c r="BD81" s="621">
        <f t="shared" ca="1" si="209"/>
        <v>0</v>
      </c>
      <c r="BE81" s="621">
        <f t="shared" ca="1" si="209"/>
        <v>0</v>
      </c>
      <c r="BF81" s="615">
        <f ca="1">SUM(AM81:BE81)</f>
        <v>0</v>
      </c>
      <c r="BG81" s="6"/>
      <c r="BH81" s="3473">
        <f ca="1">IFERROR(INDEX(INDIRECT($C81&amp;".Outputs["&amp;this.Year&amp;"]"), MATCH(BH$5, INDIRECT($C81&amp;".Outputs[Vector]"), 0)), 0)</f>
        <v>14.755933028571432</v>
      </c>
      <c r="BI81" s="3473">
        <f ca="1">IFERROR(INDEX(INDIRECT($C81&amp;".Outputs["&amp;this.Year&amp;"]"), MATCH(BI$5, INDIRECT($C81&amp;".Outputs[Vector]"), 0)), 0)</f>
        <v>0.23142240000000003</v>
      </c>
      <c r="BJ81" s="3462">
        <f ca="1">SUM(BH81:BI81)</f>
        <v>14.987355428571432</v>
      </c>
      <c r="BK81" s="6"/>
      <c r="BL81" s="610">
        <f t="shared" ca="1" si="191"/>
        <v>0</v>
      </c>
      <c r="BM81" s="610"/>
      <c r="BN81" s="413"/>
      <c r="BO81" s="2791">
        <f t="shared" ref="BO81:DF81" ca="1" si="210">IFERROR(SUMIFS(INDIRECT($C81&amp;".Emissions["&amp;this.Year&amp;"]"), INDIRECT($C81&amp;".Emissions[GHG]"), BO$6, INDIRECT($C81&amp;".Emissions[IPCC Sector]"), BO$5),0)</f>
        <v>8.0477387684812829</v>
      </c>
      <c r="BP81" s="2792">
        <f t="shared" ca="1" si="210"/>
        <v>1.3214959591680005E-3</v>
      </c>
      <c r="BQ81" s="2792">
        <f t="shared" ca="1" si="210"/>
        <v>1.3934141066057146E-2</v>
      </c>
      <c r="BR81" s="2792">
        <f t="shared" ca="1" si="210"/>
        <v>0</v>
      </c>
      <c r="BS81" s="2792">
        <f t="shared" ca="1" si="210"/>
        <v>0</v>
      </c>
      <c r="BT81" s="2792">
        <f t="shared" ca="1" si="210"/>
        <v>0</v>
      </c>
      <c r="BU81" s="2792">
        <f t="shared" ca="1" si="210"/>
        <v>0</v>
      </c>
      <c r="BV81" s="2792">
        <f t="shared" ca="1" si="210"/>
        <v>0</v>
      </c>
      <c r="BW81" s="2792">
        <f t="shared" ca="1" si="210"/>
        <v>0</v>
      </c>
      <c r="BX81" s="2792">
        <f t="shared" ca="1" si="210"/>
        <v>0</v>
      </c>
      <c r="BY81" s="2792">
        <f t="shared" ca="1" si="210"/>
        <v>0</v>
      </c>
      <c r="BZ81" s="2792">
        <f t="shared" ca="1" si="210"/>
        <v>0</v>
      </c>
      <c r="CA81" s="2792">
        <f t="shared" ca="1" si="210"/>
        <v>0</v>
      </c>
      <c r="CB81" s="2792">
        <f t="shared" ca="1" si="210"/>
        <v>0</v>
      </c>
      <c r="CC81" s="2792">
        <f t="shared" ca="1" si="210"/>
        <v>0</v>
      </c>
      <c r="CD81" s="2792">
        <f t="shared" ca="1" si="210"/>
        <v>0</v>
      </c>
      <c r="CE81" s="2792">
        <f t="shared" ca="1" si="210"/>
        <v>0</v>
      </c>
      <c r="CF81" s="2792">
        <f t="shared" ca="1" si="210"/>
        <v>0</v>
      </c>
      <c r="CG81" s="2792">
        <f t="shared" ca="1" si="210"/>
        <v>0</v>
      </c>
      <c r="CH81" s="2792">
        <f t="shared" ca="1" si="210"/>
        <v>0</v>
      </c>
      <c r="CI81" s="2792">
        <f t="shared" ca="1" si="210"/>
        <v>0</v>
      </c>
      <c r="CJ81" s="2792">
        <f t="shared" ca="1" si="210"/>
        <v>0</v>
      </c>
      <c r="CK81" s="2792">
        <f t="shared" ca="1" si="210"/>
        <v>0</v>
      </c>
      <c r="CL81" s="2792">
        <f t="shared" ca="1" si="210"/>
        <v>0</v>
      </c>
      <c r="CM81" s="2792">
        <f t="shared" ca="1" si="210"/>
        <v>0</v>
      </c>
      <c r="CN81" s="2792">
        <f t="shared" ca="1" si="210"/>
        <v>0</v>
      </c>
      <c r="CO81" s="2792">
        <f t="shared" ca="1" si="210"/>
        <v>0</v>
      </c>
      <c r="CP81" s="2792">
        <f t="shared" ca="1" si="210"/>
        <v>0</v>
      </c>
      <c r="CQ81" s="2792">
        <f t="shared" ca="1" si="210"/>
        <v>0</v>
      </c>
      <c r="CR81" s="2792">
        <f t="shared" ca="1" si="210"/>
        <v>0</v>
      </c>
      <c r="CS81" s="2792">
        <f t="shared" ca="1" si="210"/>
        <v>0</v>
      </c>
      <c r="CT81" s="2792">
        <f t="shared" ca="1" si="210"/>
        <v>0</v>
      </c>
      <c r="CU81" s="2792">
        <f t="shared" ca="1" si="210"/>
        <v>0</v>
      </c>
      <c r="CV81" s="2792">
        <f t="shared" ca="1" si="210"/>
        <v>0</v>
      </c>
      <c r="CW81" s="2792">
        <f t="shared" ca="1" si="210"/>
        <v>0</v>
      </c>
      <c r="CX81" s="2792">
        <f t="shared" ca="1" si="210"/>
        <v>0</v>
      </c>
      <c r="CY81" s="2792">
        <f t="shared" ca="1" si="210"/>
        <v>0</v>
      </c>
      <c r="CZ81" s="2792">
        <f t="shared" ca="1" si="210"/>
        <v>0</v>
      </c>
      <c r="DA81" s="2792">
        <f t="shared" ca="1" si="210"/>
        <v>0</v>
      </c>
      <c r="DB81" s="2792">
        <f t="shared" ca="1" si="210"/>
        <v>0</v>
      </c>
      <c r="DC81" s="2792">
        <f t="shared" ca="1" si="210"/>
        <v>0</v>
      </c>
      <c r="DD81" s="2792">
        <f t="shared" ca="1" si="210"/>
        <v>0</v>
      </c>
      <c r="DE81" s="2792">
        <f t="shared" ca="1" si="210"/>
        <v>0</v>
      </c>
      <c r="DF81" s="2792">
        <f t="shared" ca="1" si="210"/>
        <v>0</v>
      </c>
      <c r="DH81" s="596">
        <f t="shared" ca="1" si="120"/>
        <v>8.0629944055065081</v>
      </c>
    </row>
    <row r="82" spans="1:112" s="6" customFormat="1" ht="15.75">
      <c r="A82" s="4"/>
      <c r="B82" s="3"/>
      <c r="C82" s="616" t="s">
        <v>558</v>
      </c>
      <c r="D82" s="617" t="s">
        <v>559</v>
      </c>
      <c r="E82" s="206"/>
      <c r="G82" s="618">
        <f t="shared" ref="G82:P82" ca="1" si="211">G79+G81</f>
        <v>0</v>
      </c>
      <c r="H82" s="618">
        <f t="shared" ca="1" si="211"/>
        <v>0</v>
      </c>
      <c r="I82" s="618">
        <f t="shared" ca="1" si="211"/>
        <v>0</v>
      </c>
      <c r="J82" s="618">
        <f t="shared" ca="1" si="211"/>
        <v>0</v>
      </c>
      <c r="K82" s="618">
        <f t="shared" ca="1" si="211"/>
        <v>0</v>
      </c>
      <c r="L82" s="618">
        <f t="shared" ca="1" si="211"/>
        <v>0</v>
      </c>
      <c r="M82" s="618">
        <f t="shared" ca="1" si="211"/>
        <v>0</v>
      </c>
      <c r="N82" s="618">
        <f t="shared" ca="1" si="211"/>
        <v>0</v>
      </c>
      <c r="O82" s="618">
        <f t="shared" ca="1" si="211"/>
        <v>0</v>
      </c>
      <c r="P82" s="618">
        <f t="shared" ca="1" si="211"/>
        <v>0</v>
      </c>
      <c r="Q82" s="618">
        <f ca="1">SUM(G82:P82)</f>
        <v>0</v>
      </c>
      <c r="S82" s="581">
        <f t="shared" ref="S82:AJ82" ca="1" si="212">S79+S81</f>
        <v>0</v>
      </c>
      <c r="T82" s="581">
        <f t="shared" ca="1" si="212"/>
        <v>24.385916250000001</v>
      </c>
      <c r="U82" s="581">
        <f t="shared" ca="1" si="212"/>
        <v>-22.701435428571433</v>
      </c>
      <c r="V82" s="581">
        <f t="shared" ca="1" si="212"/>
        <v>0</v>
      </c>
      <c r="W82" s="581">
        <f t="shared" ca="1" si="212"/>
        <v>-29.105859374999998</v>
      </c>
      <c r="X82" s="581">
        <f t="shared" ca="1" si="212"/>
        <v>0</v>
      </c>
      <c r="Y82" s="581">
        <f t="shared" ca="1" si="212"/>
        <v>0</v>
      </c>
      <c r="Z82" s="581">
        <f t="shared" ca="1" si="212"/>
        <v>0</v>
      </c>
      <c r="AA82" s="581">
        <f t="shared" ca="1" si="212"/>
        <v>0</v>
      </c>
      <c r="AB82" s="581">
        <f t="shared" ca="1" si="212"/>
        <v>0</v>
      </c>
      <c r="AC82" s="581">
        <f t="shared" ca="1" si="212"/>
        <v>0</v>
      </c>
      <c r="AD82" s="581">
        <f ca="1">AD79+AD81</f>
        <v>0</v>
      </c>
      <c r="AE82" s="581">
        <f ca="1">AE79+AE81</f>
        <v>0</v>
      </c>
      <c r="AF82" s="581">
        <f t="shared" ca="1" si="212"/>
        <v>0</v>
      </c>
      <c r="AG82" s="581">
        <f t="shared" ca="1" si="212"/>
        <v>0</v>
      </c>
      <c r="AH82" s="581">
        <f ca="1">AH79+AH81</f>
        <v>0</v>
      </c>
      <c r="AI82" s="581">
        <f t="shared" ca="1" si="212"/>
        <v>0</v>
      </c>
      <c r="AJ82" s="581">
        <f t="shared" ca="1" si="212"/>
        <v>0</v>
      </c>
      <c r="AK82" s="581">
        <f ca="1">SUM(S82:AJ82)</f>
        <v>-27.421378553571429</v>
      </c>
      <c r="AM82" s="582">
        <f t="shared" ref="AM82:BE82" ca="1" si="213">AM79+AM81</f>
        <v>0</v>
      </c>
      <c r="AN82" s="582">
        <f t="shared" ca="1" si="213"/>
        <v>0</v>
      </c>
      <c r="AO82" s="582">
        <f t="shared" ca="1" si="213"/>
        <v>0</v>
      </c>
      <c r="AP82" s="582">
        <f t="shared" ca="1" si="213"/>
        <v>0</v>
      </c>
      <c r="AQ82" s="582">
        <f t="shared" ca="1" si="213"/>
        <v>0</v>
      </c>
      <c r="AR82" s="582">
        <f t="shared" ca="1" si="213"/>
        <v>0</v>
      </c>
      <c r="AS82" s="582">
        <f t="shared" ca="1" si="213"/>
        <v>0</v>
      </c>
      <c r="AT82" s="582">
        <f t="shared" ca="1" si="213"/>
        <v>0</v>
      </c>
      <c r="AU82" s="582">
        <f t="shared" ca="1" si="213"/>
        <v>0</v>
      </c>
      <c r="AV82" s="582">
        <f t="shared" ca="1" si="213"/>
        <v>0</v>
      </c>
      <c r="AW82" s="582">
        <f t="shared" ca="1" si="213"/>
        <v>0</v>
      </c>
      <c r="AX82" s="582">
        <f t="shared" ca="1" si="213"/>
        <v>0</v>
      </c>
      <c r="AY82" s="582">
        <f t="shared" ca="1" si="213"/>
        <v>0</v>
      </c>
      <c r="AZ82" s="582">
        <f t="shared" ca="1" si="213"/>
        <v>0</v>
      </c>
      <c r="BA82" s="582">
        <f t="shared" ca="1" si="213"/>
        <v>0</v>
      </c>
      <c r="BB82" s="582">
        <f t="shared" ca="1" si="213"/>
        <v>0</v>
      </c>
      <c r="BC82" s="582">
        <f t="shared" ca="1" si="213"/>
        <v>0</v>
      </c>
      <c r="BD82" s="582">
        <f t="shared" ca="1" si="213"/>
        <v>0</v>
      </c>
      <c r="BE82" s="582">
        <f t="shared" ca="1" si="213"/>
        <v>0</v>
      </c>
      <c r="BF82" s="582">
        <f ca="1">SUM(AM82:BE82)</f>
        <v>0</v>
      </c>
      <c r="BH82" s="3463">
        <f ca="1">BH79+BH81</f>
        <v>25.234042403571429</v>
      </c>
      <c r="BI82" s="3463">
        <f ca="1">BI79+BI81</f>
        <v>2.1873361500000001</v>
      </c>
      <c r="BJ82" s="3463">
        <f ca="1">SUM(BH82:BI82)</f>
        <v>27.421378553571429</v>
      </c>
      <c r="BL82" s="3477">
        <f t="shared" ca="1" si="191"/>
        <v>0</v>
      </c>
      <c r="BM82" s="584"/>
      <c r="BN82" s="413"/>
      <c r="BO82" s="2790">
        <f t="shared" ref="BO82:DF82" ca="1" si="214">BO79+BO81</f>
        <v>14.006325226762533</v>
      </c>
      <c r="BP82" s="2790">
        <f t="shared" ca="1" si="214"/>
        <v>3.5218989279180006E-3</v>
      </c>
      <c r="BQ82" s="2790">
        <f t="shared" ca="1" si="214"/>
        <v>0.10813234434730713</v>
      </c>
      <c r="BR82" s="2790">
        <f t="shared" ca="1" si="214"/>
        <v>0</v>
      </c>
      <c r="BS82" s="2790">
        <f t="shared" ca="1" si="214"/>
        <v>0</v>
      </c>
      <c r="BT82" s="2790">
        <f t="shared" ca="1" si="214"/>
        <v>0</v>
      </c>
      <c r="BU82" s="2790">
        <f t="shared" ca="1" si="214"/>
        <v>0</v>
      </c>
      <c r="BV82" s="2790">
        <f t="shared" ca="1" si="214"/>
        <v>0</v>
      </c>
      <c r="BW82" s="2790">
        <f t="shared" ca="1" si="214"/>
        <v>0</v>
      </c>
      <c r="BX82" s="2790">
        <f t="shared" ca="1" si="214"/>
        <v>0</v>
      </c>
      <c r="BY82" s="2790">
        <f t="shared" ca="1" si="214"/>
        <v>0</v>
      </c>
      <c r="BZ82" s="2790">
        <f t="shared" ca="1" si="214"/>
        <v>0</v>
      </c>
      <c r="CA82" s="2790">
        <f t="shared" ca="1" si="214"/>
        <v>0</v>
      </c>
      <c r="CB82" s="2790">
        <f t="shared" ca="1" si="214"/>
        <v>0</v>
      </c>
      <c r="CC82" s="2790">
        <f t="shared" ca="1" si="214"/>
        <v>0</v>
      </c>
      <c r="CD82" s="2790">
        <f t="shared" ca="1" si="214"/>
        <v>0</v>
      </c>
      <c r="CE82" s="2790">
        <f t="shared" ca="1" si="214"/>
        <v>0</v>
      </c>
      <c r="CF82" s="2790">
        <f t="shared" ca="1" si="214"/>
        <v>0</v>
      </c>
      <c r="CG82" s="2790">
        <f t="shared" ca="1" si="214"/>
        <v>0</v>
      </c>
      <c r="CH82" s="2790">
        <f t="shared" ca="1" si="214"/>
        <v>0</v>
      </c>
      <c r="CI82" s="2790">
        <f t="shared" ca="1" si="214"/>
        <v>0</v>
      </c>
      <c r="CJ82" s="2790">
        <f t="shared" ca="1" si="214"/>
        <v>0</v>
      </c>
      <c r="CK82" s="2790">
        <f t="shared" ca="1" si="214"/>
        <v>0</v>
      </c>
      <c r="CL82" s="2790">
        <f t="shared" ca="1" si="214"/>
        <v>0</v>
      </c>
      <c r="CM82" s="2790">
        <f t="shared" ca="1" si="214"/>
        <v>0</v>
      </c>
      <c r="CN82" s="2790">
        <f t="shared" ca="1" si="214"/>
        <v>0</v>
      </c>
      <c r="CO82" s="2790">
        <f t="shared" ca="1" si="214"/>
        <v>0</v>
      </c>
      <c r="CP82" s="2790">
        <f t="shared" ca="1" si="214"/>
        <v>0</v>
      </c>
      <c r="CQ82" s="2790">
        <f t="shared" ca="1" si="214"/>
        <v>0</v>
      </c>
      <c r="CR82" s="2790">
        <f t="shared" ca="1" si="214"/>
        <v>0</v>
      </c>
      <c r="CS82" s="2790">
        <f t="shared" ca="1" si="214"/>
        <v>0</v>
      </c>
      <c r="CT82" s="2790">
        <f t="shared" ca="1" si="214"/>
        <v>0</v>
      </c>
      <c r="CU82" s="2790">
        <f t="shared" ca="1" si="214"/>
        <v>0</v>
      </c>
      <c r="CV82" s="2790">
        <f t="shared" ca="1" si="214"/>
        <v>0</v>
      </c>
      <c r="CW82" s="2790">
        <f t="shared" ca="1" si="214"/>
        <v>0</v>
      </c>
      <c r="CX82" s="2790">
        <f t="shared" ca="1" si="214"/>
        <v>0</v>
      </c>
      <c r="CY82" s="2790">
        <f t="shared" ca="1" si="214"/>
        <v>0</v>
      </c>
      <c r="CZ82" s="2790">
        <f t="shared" ca="1" si="214"/>
        <v>0</v>
      </c>
      <c r="DA82" s="2790">
        <f t="shared" ca="1" si="214"/>
        <v>0</v>
      </c>
      <c r="DB82" s="2790">
        <f t="shared" ca="1" si="214"/>
        <v>0</v>
      </c>
      <c r="DC82" s="2790">
        <f t="shared" ca="1" si="214"/>
        <v>-5.3627278124531248</v>
      </c>
      <c r="DD82" s="2790">
        <f t="shared" ca="1" si="214"/>
        <v>0</v>
      </c>
      <c r="DE82" s="2790">
        <f t="shared" ca="1" si="214"/>
        <v>0</v>
      </c>
      <c r="DF82" s="2790">
        <f t="shared" ca="1" si="214"/>
        <v>0</v>
      </c>
      <c r="DH82" s="596">
        <f t="shared" ca="1" si="120"/>
        <v>8.7552516575846333</v>
      </c>
    </row>
    <row r="83" spans="1:112" s="6" customFormat="1" ht="6" customHeigh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91"/>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215">G$51+G$55+G$63+G$68+G$72+G$76+G$82+G$46</f>
        <v>0</v>
      </c>
      <c r="H84" s="680">
        <f t="shared" ca="1" si="215"/>
        <v>0.22923712817119068</v>
      </c>
      <c r="I84" s="680">
        <f t="shared" ca="1" si="215"/>
        <v>2.8249298512999599</v>
      </c>
      <c r="J84" s="680">
        <f t="shared" ca="1" si="215"/>
        <v>0</v>
      </c>
      <c r="K84" s="681">
        <f t="shared" ca="1" si="215"/>
        <v>0</v>
      </c>
      <c r="L84" s="680">
        <f t="shared" ca="1" si="215"/>
        <v>0</v>
      </c>
      <c r="M84" s="680">
        <f t="shared" ca="1" si="215"/>
        <v>0</v>
      </c>
      <c r="N84" s="680">
        <f t="shared" ca="1" si="215"/>
        <v>0</v>
      </c>
      <c r="O84" s="680">
        <f t="shared" ca="1" si="215"/>
        <v>0</v>
      </c>
      <c r="P84" s="680">
        <f t="shared" ca="1" si="215"/>
        <v>0</v>
      </c>
      <c r="Q84" s="633">
        <f ca="1">SUM(G84:P84)</f>
        <v>3.0541669794711508</v>
      </c>
      <c r="S84" s="634">
        <f t="shared" ref="S84:AJ84" ca="1" si="216">S$51+S$55+S$63+S$68+S$72+S$76+S$82+S$46</f>
        <v>-1.079481848364293</v>
      </c>
      <c r="T84" s="634">
        <f t="shared" ca="1" si="216"/>
        <v>82.580563367182222</v>
      </c>
      <c r="U84" s="634">
        <f t="shared" ca="1" si="216"/>
        <v>-22.701435428571433</v>
      </c>
      <c r="V84" s="634">
        <f t="shared" ca="1" si="216"/>
        <v>-4.0839803961158392</v>
      </c>
      <c r="W84" s="634">
        <f t="shared" ca="1" si="216"/>
        <v>-29.195481935975376</v>
      </c>
      <c r="X84" s="634">
        <f t="shared" ca="1" si="216"/>
        <v>0.21811357288438121</v>
      </c>
      <c r="Y84" s="634">
        <f t="shared" ca="1" si="216"/>
        <v>0</v>
      </c>
      <c r="Z84" s="634">
        <f t="shared" ca="1" si="216"/>
        <v>0</v>
      </c>
      <c r="AA84" s="634">
        <f t="shared" ca="1" si="216"/>
        <v>0</v>
      </c>
      <c r="AB84" s="634">
        <f t="shared" ca="1" si="216"/>
        <v>0</v>
      </c>
      <c r="AC84" s="634">
        <f t="shared" ca="1" si="216"/>
        <v>0</v>
      </c>
      <c r="AD84" s="634">
        <f t="shared" ca="1" si="216"/>
        <v>69.068203392186163</v>
      </c>
      <c r="AE84" s="634">
        <f t="shared" ca="1" si="216"/>
        <v>0.89383864833915727</v>
      </c>
      <c r="AF84" s="634">
        <f t="shared" ca="1" si="216"/>
        <v>23.453273053128505</v>
      </c>
      <c r="AG84" s="634">
        <f t="shared" ca="1" si="216"/>
        <v>23.221401849807123</v>
      </c>
      <c r="AH84" s="634">
        <f t="shared" ca="1" si="216"/>
        <v>0.14940807387289254</v>
      </c>
      <c r="AI84" s="634">
        <f t="shared" ca="1" si="216"/>
        <v>3.2093197943966696</v>
      </c>
      <c r="AJ84" s="634">
        <f t="shared" ca="1" si="216"/>
        <v>2.8440030433297275E-2</v>
      </c>
      <c r="AK84" s="634">
        <f ca="1">SUM(S84:AJ84)</f>
        <v>145.76218217320346</v>
      </c>
      <c r="AM84" s="635">
        <f t="shared" ref="AM84:BE84" ca="1" si="217">AM$51+AM$55+AM$63+AM$68+AM$72+AM$76+AM$82+AM$46</f>
        <v>0</v>
      </c>
      <c r="AN84" s="635">
        <f t="shared" ca="1" si="217"/>
        <v>0</v>
      </c>
      <c r="AO84" s="635">
        <f t="shared" ca="1" si="217"/>
        <v>0</v>
      </c>
      <c r="AP84" s="635">
        <f t="shared" ca="1" si="217"/>
        <v>0</v>
      </c>
      <c r="AQ84" s="635">
        <f t="shared" ca="1" si="217"/>
        <v>0</v>
      </c>
      <c r="AR84" s="635">
        <f t="shared" ca="1" si="217"/>
        <v>0</v>
      </c>
      <c r="AS84" s="635">
        <f t="shared" ca="1" si="217"/>
        <v>0</v>
      </c>
      <c r="AT84" s="635">
        <f t="shared" ca="1" si="217"/>
        <v>0</v>
      </c>
      <c r="AU84" s="635">
        <f t="shared" ca="1" si="217"/>
        <v>0</v>
      </c>
      <c r="AV84" s="635">
        <f t="shared" ca="1" si="217"/>
        <v>-21.428000000000004</v>
      </c>
      <c r="AW84" s="635">
        <f t="shared" ca="1" si="217"/>
        <v>-7.0356787943966701</v>
      </c>
      <c r="AX84" s="635">
        <f t="shared" ca="1" si="217"/>
        <v>-38.838201300000001</v>
      </c>
      <c r="AY84" s="635">
        <f t="shared" ca="1" si="217"/>
        <v>-2.5246080000000011</v>
      </c>
      <c r="AZ84" s="635">
        <f t="shared" ca="1" si="217"/>
        <v>-5.2070040000000004</v>
      </c>
      <c r="BA84" s="635">
        <f t="shared" ca="1" si="217"/>
        <v>0</v>
      </c>
      <c r="BB84" s="635">
        <f t="shared" ca="1" si="217"/>
        <v>-0.78946596000000002</v>
      </c>
      <c r="BC84" s="635">
        <f t="shared" ca="1" si="217"/>
        <v>0</v>
      </c>
      <c r="BD84" s="635">
        <f t="shared" ca="1" si="217"/>
        <v>-81.62870870719199</v>
      </c>
      <c r="BE84" s="635">
        <f t="shared" ca="1" si="217"/>
        <v>-35.375529883026232</v>
      </c>
      <c r="BF84" s="635">
        <f ca="1">SUM(AM84:BE84)</f>
        <v>-192.8271966446149</v>
      </c>
      <c r="BH84" s="3464">
        <f ca="1">BH$51+BH$55+BH$63+BH$68+BH$72+BH$76+BH$82+BH$46</f>
        <v>38.935017470554655</v>
      </c>
      <c r="BI84" s="3464">
        <f ca="1">BI$51+BI$55+BI$63+BI$68+BI$72+BI$76+BI$82+BI$46</f>
        <v>5.0758300213856149</v>
      </c>
      <c r="BJ84" s="3464">
        <f ca="1">SUM(BH84:BI84)</f>
        <v>44.010847491940268</v>
      </c>
      <c r="BL84" s="3478">
        <f t="shared" ca="1" si="191"/>
        <v>0</v>
      </c>
      <c r="BM84" s="636"/>
      <c r="BO84" s="2793">
        <f t="shared" ref="BO84:DE84" ca="1" si="218">BO$51+BO$55+BO$63+BO$68+BO$72+BO$76+BO$82+BO$46</f>
        <v>15.102353611919533</v>
      </c>
      <c r="BP84" s="2793">
        <f t="shared" ca="1" si="218"/>
        <v>4.454921147366812E-3</v>
      </c>
      <c r="BQ84" s="2793">
        <f t="shared" ca="1" si="218"/>
        <v>0.11115703207688701</v>
      </c>
      <c r="BR84" s="2793">
        <f t="shared" ca="1" si="218"/>
        <v>0</v>
      </c>
      <c r="BS84" s="2793">
        <f t="shared" ca="1" si="218"/>
        <v>0</v>
      </c>
      <c r="BT84" s="2793">
        <f t="shared" ca="1" si="218"/>
        <v>0</v>
      </c>
      <c r="BU84" s="2793">
        <f t="shared" ca="1" si="218"/>
        <v>0</v>
      </c>
      <c r="BV84" s="2793">
        <f t="shared" ca="1" si="218"/>
        <v>0</v>
      </c>
      <c r="BW84" s="2793">
        <f t="shared" ca="1" si="218"/>
        <v>0</v>
      </c>
      <c r="BX84" s="2793">
        <f t="shared" ca="1" si="218"/>
        <v>0</v>
      </c>
      <c r="BY84" s="2793">
        <f t="shared" ca="1" si="218"/>
        <v>0</v>
      </c>
      <c r="BZ84" s="2793">
        <f t="shared" ca="1" si="218"/>
        <v>0</v>
      </c>
      <c r="CA84" s="2793">
        <f t="shared" ca="1" si="218"/>
        <v>0</v>
      </c>
      <c r="CB84" s="2793">
        <f t="shared" ca="1" si="218"/>
        <v>0</v>
      </c>
      <c r="CC84" s="2793">
        <f t="shared" ca="1" si="218"/>
        <v>0</v>
      </c>
      <c r="CD84" s="2793">
        <f t="shared" ca="1" si="218"/>
        <v>0</v>
      </c>
      <c r="CE84" s="2793">
        <f t="shared" ca="1" si="218"/>
        <v>0</v>
      </c>
      <c r="CF84" s="2793">
        <f t="shared" ca="1" si="218"/>
        <v>7.3960560826055533</v>
      </c>
      <c r="CG84" s="2793">
        <f t="shared" ca="1" si="218"/>
        <v>5.8922858964484579</v>
      </c>
      <c r="CH84" s="2793">
        <f t="shared" ca="1" si="218"/>
        <v>0</v>
      </c>
      <c r="CI84" s="2793">
        <f t="shared" ca="1" si="218"/>
        <v>-3.6112424759446609</v>
      </c>
      <c r="CJ84" s="2793">
        <f t="shared" ca="1" si="218"/>
        <v>0</v>
      </c>
      <c r="CK84" s="2793">
        <f t="shared" ca="1" si="218"/>
        <v>0</v>
      </c>
      <c r="CL84" s="2793">
        <f t="shared" ca="1" si="218"/>
        <v>0</v>
      </c>
      <c r="CM84" s="2793">
        <f t="shared" ca="1" si="218"/>
        <v>0</v>
      </c>
      <c r="CN84" s="2793">
        <f t="shared" ca="1" si="218"/>
        <v>0.35783383519980072</v>
      </c>
      <c r="CO84" s="2793">
        <f t="shared" ca="1" si="218"/>
        <v>6.2442691071428566E-2</v>
      </c>
      <c r="CP84" s="2793">
        <f t="shared" ca="1" si="218"/>
        <v>0</v>
      </c>
      <c r="CQ84" s="2793">
        <f t="shared" ca="1" si="218"/>
        <v>0</v>
      </c>
      <c r="CR84" s="2793">
        <f t="shared" ca="1" si="218"/>
        <v>0</v>
      </c>
      <c r="CS84" s="2793">
        <f t="shared" ca="1" si="218"/>
        <v>0</v>
      </c>
      <c r="CT84" s="2793">
        <f t="shared" ca="1" si="218"/>
        <v>0</v>
      </c>
      <c r="CU84" s="2793">
        <f t="shared" ca="1" si="218"/>
        <v>0</v>
      </c>
      <c r="CV84" s="2793">
        <f t="shared" ca="1" si="218"/>
        <v>0</v>
      </c>
      <c r="CW84" s="2793">
        <f t="shared" ca="1" si="218"/>
        <v>0</v>
      </c>
      <c r="CX84" s="2793">
        <f t="shared" ca="1" si="218"/>
        <v>0</v>
      </c>
      <c r="CY84" s="2793">
        <f t="shared" ca="1" si="218"/>
        <v>0</v>
      </c>
      <c r="CZ84" s="2793">
        <f t="shared" ca="1" si="218"/>
        <v>0</v>
      </c>
      <c r="DA84" s="2793">
        <f t="shared" ca="1" si="218"/>
        <v>0</v>
      </c>
      <c r="DB84" s="2793">
        <f t="shared" ca="1" si="218"/>
        <v>0</v>
      </c>
      <c r="DC84" s="2793">
        <f t="shared" ca="1" si="218"/>
        <v>-5.3627278124531248</v>
      </c>
      <c r="DD84" s="2793">
        <f t="shared" ca="1" si="218"/>
        <v>0</v>
      </c>
      <c r="DE84" s="2793">
        <f t="shared" ca="1" si="218"/>
        <v>0</v>
      </c>
      <c r="DF84" s="2793">
        <f ca="1">DF$51+DF$99+DF$55+DF$63+DF$68+DF$76+DF$82+DF$46</f>
        <v>0</v>
      </c>
      <c r="DH84" s="637">
        <f ca="1">SUM(BO84:DF84)</f>
        <v>19.952613782071239</v>
      </c>
    </row>
    <row r="85" spans="1:112" s="6" customFormat="1" ht="6" customHeigh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91"/>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24" customHeight="1">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91"/>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ht="6" customHeigh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91"/>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outlineLevel="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outlineLevel="1">
      <c r="C89" s="651" t="s">
        <v>563</v>
      </c>
      <c r="D89" s="588" t="s">
        <v>564</v>
      </c>
      <c r="E89" s="588"/>
      <c r="F89" s="6"/>
      <c r="G89" s="589">
        <f t="shared" ref="G89:P89" ca="1" si="219">IFERROR(INDEX(INDIRECT($C89&amp;".Outputs["&amp;this.Year&amp;"]"), MATCH(G$5, INDIRECT($C89&amp;".Outputs[Vector]"), 0)), 0)</f>
        <v>0</v>
      </c>
      <c r="H89" s="589">
        <f t="shared" ca="1" si="219"/>
        <v>0</v>
      </c>
      <c r="I89" s="589">
        <f t="shared" ca="1" si="219"/>
        <v>0</v>
      </c>
      <c r="J89" s="589">
        <f t="shared" ca="1" si="219"/>
        <v>0</v>
      </c>
      <c r="K89" s="589">
        <f t="shared" ca="1" si="219"/>
        <v>0</v>
      </c>
      <c r="L89" s="589">
        <f t="shared" ca="1" si="219"/>
        <v>0</v>
      </c>
      <c r="M89" s="589">
        <f t="shared" ca="1" si="219"/>
        <v>0</v>
      </c>
      <c r="N89" s="589">
        <f t="shared" ca="1" si="219"/>
        <v>0</v>
      </c>
      <c r="O89" s="589">
        <f t="shared" ca="1" si="219"/>
        <v>0</v>
      </c>
      <c r="P89" s="589">
        <f t="shared" ca="1" si="219"/>
        <v>0</v>
      </c>
      <c r="Q89" s="590">
        <f ca="1">SUM(G89:P89)</f>
        <v>0</v>
      </c>
      <c r="R89" s="6"/>
      <c r="S89" s="591">
        <f t="shared" ref="S89:AJ89" ca="1" si="220">IFERROR(INDEX(INDIRECT($C89&amp;".Outputs["&amp;this.Year&amp;"]"), MATCH(S$5, INDIRECT($C89&amp;".Outputs[Vector]"), 0)), 0)</f>
        <v>0</v>
      </c>
      <c r="T89" s="591">
        <f t="shared" ca="1" si="220"/>
        <v>9</v>
      </c>
      <c r="U89" s="591">
        <f t="shared" ca="1" si="220"/>
        <v>0</v>
      </c>
      <c r="V89" s="591">
        <f t="shared" ca="1" si="220"/>
        <v>0</v>
      </c>
      <c r="W89" s="591">
        <f t="shared" ca="1" si="220"/>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20"/>
        <v>0</v>
      </c>
      <c r="AB89" s="591">
        <f t="shared" ca="1" si="220"/>
        <v>0</v>
      </c>
      <c r="AC89" s="591">
        <f t="shared" ca="1" si="220"/>
        <v>0</v>
      </c>
      <c r="AD89" s="591">
        <f t="shared" ca="1" si="220"/>
        <v>0</v>
      </c>
      <c r="AE89" s="591">
        <f t="shared" ca="1" si="220"/>
        <v>0</v>
      </c>
      <c r="AF89" s="591">
        <f t="shared" ca="1" si="220"/>
        <v>0</v>
      </c>
      <c r="AG89" s="591">
        <f t="shared" ca="1" si="220"/>
        <v>0</v>
      </c>
      <c r="AH89" s="591">
        <f t="shared" ca="1" si="220"/>
        <v>0</v>
      </c>
      <c r="AI89" s="591">
        <f t="shared" ca="1" si="220"/>
        <v>0</v>
      </c>
      <c r="AJ89" s="591">
        <f t="shared" ca="1" si="220"/>
        <v>0</v>
      </c>
      <c r="AK89" s="592">
        <f ca="1">SUM(S89:AJ89)</f>
        <v>9</v>
      </c>
      <c r="AL89" s="6"/>
      <c r="AM89" s="593">
        <f t="shared" ref="AM89:AU89" ca="1" si="221">IFERROR(INDEX(INDIRECT($C89&amp;".Outputs["&amp;this.Year&amp;"]"), MATCH(AM$5, INDIRECT($C89&amp;".Outputs[Vector]"), 0)), 0)</f>
        <v>0</v>
      </c>
      <c r="AN89" s="593">
        <f t="shared" ca="1" si="221"/>
        <v>0</v>
      </c>
      <c r="AO89" s="593">
        <f t="shared" ca="1" si="221"/>
        <v>0</v>
      </c>
      <c r="AP89" s="593">
        <f t="shared" ca="1" si="221"/>
        <v>0</v>
      </c>
      <c r="AQ89" s="593">
        <f t="shared" ca="1" si="221"/>
        <v>-9</v>
      </c>
      <c r="AR89" s="593">
        <f t="shared" ca="1" si="221"/>
        <v>0</v>
      </c>
      <c r="AS89" s="593">
        <f t="shared" ca="1" si="221"/>
        <v>0</v>
      </c>
      <c r="AT89" s="593">
        <f t="shared" ca="1" si="221"/>
        <v>0</v>
      </c>
      <c r="AU89" s="593">
        <f t="shared" ca="1" si="221"/>
        <v>0</v>
      </c>
      <c r="AV89" s="593">
        <f t="shared" ref="AV89:BE89" ca="1" si="222">IFERROR(INDEX(INDIRECT($C89&amp;".Outputs["&amp;this.Year&amp;"]"), MATCH(AV$5, INDIRECT($C89&amp;".Outputs[Vector]"), 0)), 0)</f>
        <v>0</v>
      </c>
      <c r="AW89" s="593">
        <f t="shared" ca="1" si="222"/>
        <v>0</v>
      </c>
      <c r="AX89" s="593">
        <f t="shared" ca="1" si="222"/>
        <v>0</v>
      </c>
      <c r="AY89" s="593">
        <f t="shared" ca="1" si="222"/>
        <v>0</v>
      </c>
      <c r="AZ89" s="593">
        <f t="shared" ca="1" si="222"/>
        <v>0</v>
      </c>
      <c r="BA89" s="593">
        <f t="shared" ca="1" si="222"/>
        <v>0</v>
      </c>
      <c r="BB89" s="593">
        <f t="shared" ca="1" si="222"/>
        <v>0</v>
      </c>
      <c r="BC89" s="593">
        <f t="shared" ca="1" si="222"/>
        <v>0</v>
      </c>
      <c r="BD89" s="593">
        <f t="shared" ca="1" si="222"/>
        <v>0</v>
      </c>
      <c r="BE89" s="593">
        <f t="shared" ca="1" si="222"/>
        <v>0</v>
      </c>
      <c r="BF89" s="609">
        <f ca="1">SUM(AM89:BE89)</f>
        <v>-9</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23">Q89+AK89+BF89+BJ89</f>
        <v>0</v>
      </c>
      <c r="BM89" s="610"/>
      <c r="BO89" s="2789">
        <f t="shared" ref="BO89:DF89" ca="1" si="224">IFERROR(SUMIFS(INDIRECT($C89&amp;".Emissions["&amp;this.Year&amp;"]"), INDIRECT($C89&amp;".Emissions[GHG]"), BO$6, INDIRECT($C89&amp;".Emissions[IPCC Sector]"), BO$5),0)</f>
        <v>0</v>
      </c>
      <c r="BP89" s="2790">
        <f t="shared" ca="1" si="224"/>
        <v>0</v>
      </c>
      <c r="BQ89" s="2790">
        <f t="shared" ca="1" si="224"/>
        <v>0</v>
      </c>
      <c r="BR89" s="2790">
        <f t="shared" ca="1" si="224"/>
        <v>0</v>
      </c>
      <c r="BS89" s="2790">
        <f t="shared" ca="1" si="224"/>
        <v>0</v>
      </c>
      <c r="BT89" s="2790">
        <f t="shared" ca="1" si="224"/>
        <v>0</v>
      </c>
      <c r="BU89" s="2790">
        <f t="shared" ca="1" si="224"/>
        <v>0</v>
      </c>
      <c r="BV89" s="2790">
        <f t="shared" ca="1" si="224"/>
        <v>0</v>
      </c>
      <c r="BW89" s="2790">
        <f t="shared" ca="1" si="224"/>
        <v>0</v>
      </c>
      <c r="BX89" s="2790">
        <f t="shared" ca="1" si="224"/>
        <v>0</v>
      </c>
      <c r="BY89" s="2790">
        <f t="shared" ca="1" si="224"/>
        <v>0</v>
      </c>
      <c r="BZ89" s="2790">
        <f t="shared" ca="1" si="224"/>
        <v>0</v>
      </c>
      <c r="CA89" s="2790">
        <f t="shared" ca="1" si="224"/>
        <v>0</v>
      </c>
      <c r="CB89" s="2790">
        <f t="shared" ca="1" si="224"/>
        <v>0</v>
      </c>
      <c r="CC89" s="2790">
        <f t="shared" ca="1" si="224"/>
        <v>0</v>
      </c>
      <c r="CD89" s="2790">
        <f t="shared" ca="1" si="224"/>
        <v>0</v>
      </c>
      <c r="CE89" s="2790">
        <f t="shared" ca="1" si="224"/>
        <v>0</v>
      </c>
      <c r="CF89" s="2790">
        <f t="shared" ca="1" si="224"/>
        <v>0</v>
      </c>
      <c r="CG89" s="2790">
        <f t="shared" ca="1" si="224"/>
        <v>0</v>
      </c>
      <c r="CH89" s="2790">
        <f t="shared" ca="1" si="224"/>
        <v>0</v>
      </c>
      <c r="CI89" s="2790">
        <f t="shared" ca="1" si="224"/>
        <v>0</v>
      </c>
      <c r="CJ89" s="2790">
        <f t="shared" ca="1" si="224"/>
        <v>0</v>
      </c>
      <c r="CK89" s="2790">
        <f t="shared" ca="1" si="224"/>
        <v>0</v>
      </c>
      <c r="CL89" s="2790">
        <f t="shared" ca="1" si="224"/>
        <v>0</v>
      </c>
      <c r="CM89" s="2790">
        <f t="shared" ca="1" si="224"/>
        <v>0</v>
      </c>
      <c r="CN89" s="2790">
        <f t="shared" ca="1" si="224"/>
        <v>0</v>
      </c>
      <c r="CO89" s="2790">
        <f t="shared" ca="1" si="224"/>
        <v>0</v>
      </c>
      <c r="CP89" s="2790">
        <f t="shared" ca="1" si="224"/>
        <v>0</v>
      </c>
      <c r="CQ89" s="2790">
        <f t="shared" ca="1" si="224"/>
        <v>0</v>
      </c>
      <c r="CR89" s="2790">
        <f t="shared" ca="1" si="224"/>
        <v>0</v>
      </c>
      <c r="CS89" s="2790">
        <f t="shared" ca="1" si="224"/>
        <v>0</v>
      </c>
      <c r="CT89" s="2790">
        <f t="shared" ca="1" si="224"/>
        <v>0</v>
      </c>
      <c r="CU89" s="2790">
        <f t="shared" ca="1" si="224"/>
        <v>0</v>
      </c>
      <c r="CV89" s="2790">
        <f t="shared" ca="1" si="224"/>
        <v>0</v>
      </c>
      <c r="CW89" s="2790">
        <f t="shared" ca="1" si="224"/>
        <v>0</v>
      </c>
      <c r="CX89" s="2790">
        <f t="shared" ca="1" si="224"/>
        <v>0</v>
      </c>
      <c r="CY89" s="2790">
        <f t="shared" ca="1" si="224"/>
        <v>0</v>
      </c>
      <c r="CZ89" s="2790">
        <f t="shared" ca="1" si="224"/>
        <v>0</v>
      </c>
      <c r="DA89" s="2790">
        <f t="shared" ca="1" si="224"/>
        <v>0</v>
      </c>
      <c r="DB89" s="2790">
        <f t="shared" ca="1" si="224"/>
        <v>0</v>
      </c>
      <c r="DC89" s="2790">
        <f t="shared" ca="1" si="224"/>
        <v>0</v>
      </c>
      <c r="DD89" s="2790">
        <f t="shared" ca="1" si="224"/>
        <v>0</v>
      </c>
      <c r="DE89" s="2790">
        <f t="shared" ca="1" si="224"/>
        <v>0</v>
      </c>
      <c r="DF89" s="2790">
        <f t="shared" ca="1" si="224"/>
        <v>0</v>
      </c>
      <c r="DH89" s="596"/>
    </row>
    <row r="90" spans="1:112" s="652" customFormat="1" ht="12.75" customHeight="1" outlineLevel="1">
      <c r="C90" s="667" t="s">
        <v>565</v>
      </c>
      <c r="D90" s="668" t="s">
        <v>566</v>
      </c>
      <c r="E90" s="668"/>
      <c r="F90" s="6"/>
      <c r="G90" s="643"/>
      <c r="H90" s="643"/>
      <c r="I90" s="643"/>
      <c r="J90" s="643"/>
      <c r="K90" s="644"/>
      <c r="L90" s="643"/>
      <c r="M90" s="643"/>
      <c r="N90" s="643"/>
      <c r="O90" s="643"/>
      <c r="P90" s="643"/>
      <c r="Q90" s="643"/>
      <c r="R90" s="6"/>
      <c r="S90" s="645">
        <f ca="1">S$40+$S46+S$51+S$99+S$55+S$89</f>
        <v>-27.782319170545687</v>
      </c>
      <c r="T90" s="645">
        <f ca="1">T$40+$S46+T$51+T$99+T$55+T$89</f>
        <v>19.185585796260654</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23"/>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outlineLevel="1">
      <c r="C91" s="651" t="s">
        <v>567</v>
      </c>
      <c r="D91" s="588" t="s">
        <v>568</v>
      </c>
      <c r="E91" s="588"/>
      <c r="F91" s="6"/>
      <c r="G91" s="589">
        <f t="shared" ref="G91:P92" ca="1" si="225">IFERROR(INDEX(INDIRECT($C91&amp;".Outputs["&amp;this.Year&amp;"]"), MATCH(G$5, INDIRECT($C91&amp;".Outputs[Vector]"), 0)), 0)</f>
        <v>0</v>
      </c>
      <c r="H91" s="589">
        <f t="shared" ca="1" si="225"/>
        <v>0</v>
      </c>
      <c r="I91" s="589">
        <f t="shared" ca="1" si="225"/>
        <v>0</v>
      </c>
      <c r="J91" s="589">
        <f t="shared" ca="1" si="225"/>
        <v>0</v>
      </c>
      <c r="K91" s="589">
        <f t="shared" ca="1" si="225"/>
        <v>0</v>
      </c>
      <c r="L91" s="589">
        <f t="shared" ca="1" si="225"/>
        <v>0</v>
      </c>
      <c r="M91" s="589">
        <f t="shared" ca="1" si="225"/>
        <v>0</v>
      </c>
      <c r="N91" s="589">
        <f t="shared" ca="1" si="225"/>
        <v>0</v>
      </c>
      <c r="O91" s="589">
        <f t="shared" ca="1" si="225"/>
        <v>0</v>
      </c>
      <c r="P91" s="589">
        <f t="shared" ca="1" si="225"/>
        <v>0</v>
      </c>
      <c r="Q91" s="590">
        <f ca="1">SUM(G91:P91)</f>
        <v>0</v>
      </c>
      <c r="R91" s="6"/>
      <c r="S91" s="591">
        <f t="shared" ref="S91:AJ92" ca="1" si="226">IFERROR(INDEX(INDIRECT($C91&amp;".Outputs["&amp;this.Year&amp;"]"), MATCH(S$5, INDIRECT($C91&amp;".Outputs[Vector]"), 0)), 0)</f>
        <v>0</v>
      </c>
      <c r="T91" s="591">
        <f t="shared" ca="1" si="226"/>
        <v>-3.9686384305346216</v>
      </c>
      <c r="U91" s="591">
        <f t="shared" ca="1" si="226"/>
        <v>0</v>
      </c>
      <c r="V91" s="591">
        <f t="shared" ca="1" si="226"/>
        <v>0</v>
      </c>
      <c r="W91" s="591">
        <f t="shared" ca="1" si="226"/>
        <v>0</v>
      </c>
      <c r="X91" s="591">
        <f t="shared" ref="X91:Z92" ca="1" si="227">IFERROR(INDEX(INDIRECT($C91&amp;".Outputs["&amp;this.Year&amp;"]"), MATCH(X$5, INDIRECT($C91&amp;".Outputs[Vector]"), 0)), 0)</f>
        <v>0</v>
      </c>
      <c r="Y91" s="591">
        <f t="shared" ca="1" si="227"/>
        <v>0</v>
      </c>
      <c r="Z91" s="591">
        <f t="shared" ca="1" si="227"/>
        <v>0</v>
      </c>
      <c r="AA91" s="591">
        <f t="shared" ca="1" si="226"/>
        <v>0</v>
      </c>
      <c r="AB91" s="591">
        <f t="shared" ca="1" si="226"/>
        <v>0</v>
      </c>
      <c r="AC91" s="591">
        <f t="shared" ca="1" si="226"/>
        <v>0</v>
      </c>
      <c r="AD91" s="591">
        <f t="shared" ca="1" si="226"/>
        <v>0</v>
      </c>
      <c r="AE91" s="591">
        <f t="shared" ca="1" si="226"/>
        <v>0</v>
      </c>
      <c r="AF91" s="591">
        <f t="shared" ca="1" si="226"/>
        <v>0</v>
      </c>
      <c r="AG91" s="591">
        <f t="shared" ca="1" si="226"/>
        <v>0</v>
      </c>
      <c r="AH91" s="591">
        <f t="shared" ca="1" si="226"/>
        <v>0</v>
      </c>
      <c r="AI91" s="591">
        <f t="shared" ca="1" si="226"/>
        <v>0</v>
      </c>
      <c r="AJ91" s="591">
        <f t="shared" ca="1" si="226"/>
        <v>0</v>
      </c>
      <c r="AK91" s="592">
        <f ca="1">SUM(S91:AJ91)</f>
        <v>-3.9686384305346216</v>
      </c>
      <c r="AL91" s="6"/>
      <c r="AM91" s="593">
        <f t="shared" ref="AM91:AU92" ca="1" si="228">IFERROR(INDEX(INDIRECT($C91&amp;".Outputs["&amp;this.Year&amp;"]"), MATCH(AM$5, INDIRECT($C91&amp;".Outputs[Vector]"), 0)), 0)</f>
        <v>0</v>
      </c>
      <c r="AN91" s="593">
        <f t="shared" ca="1" si="228"/>
        <v>0</v>
      </c>
      <c r="AO91" s="593">
        <f t="shared" ca="1" si="228"/>
        <v>0</v>
      </c>
      <c r="AP91" s="593">
        <f t="shared" ca="1" si="228"/>
        <v>0</v>
      </c>
      <c r="AQ91" s="593">
        <f t="shared" ca="1" si="228"/>
        <v>0</v>
      </c>
      <c r="AR91" s="593">
        <f t="shared" ca="1" si="228"/>
        <v>0</v>
      </c>
      <c r="AS91" s="593">
        <f t="shared" ca="1" si="228"/>
        <v>0</v>
      </c>
      <c r="AT91" s="593">
        <f t="shared" ca="1" si="228"/>
        <v>0</v>
      </c>
      <c r="AU91" s="593">
        <f t="shared" ca="1" si="228"/>
        <v>0</v>
      </c>
      <c r="AV91" s="593">
        <f t="shared" ref="AV91:BE92" ca="1" si="229">IFERROR(INDEX(INDIRECT($C91&amp;".Outputs["&amp;this.Year&amp;"]"), MATCH(AV$5, INDIRECT($C91&amp;".Outputs[Vector]"), 0)), 0)</f>
        <v>0</v>
      </c>
      <c r="AW91" s="593">
        <f t="shared" ca="1" si="229"/>
        <v>0</v>
      </c>
      <c r="AX91" s="593">
        <f t="shared" ca="1" si="229"/>
        <v>0</v>
      </c>
      <c r="AY91" s="593">
        <f t="shared" ca="1" si="229"/>
        <v>0</v>
      </c>
      <c r="AZ91" s="593">
        <f t="shared" ca="1" si="229"/>
        <v>0</v>
      </c>
      <c r="BA91" s="593">
        <f t="shared" ca="1" si="229"/>
        <v>0</v>
      </c>
      <c r="BB91" s="593">
        <f t="shared" ca="1" si="229"/>
        <v>0</v>
      </c>
      <c r="BC91" s="593">
        <f t="shared" ca="1" si="229"/>
        <v>0</v>
      </c>
      <c r="BD91" s="593">
        <f t="shared" ca="1" si="229"/>
        <v>0</v>
      </c>
      <c r="BE91" s="593">
        <f t="shared" ca="1" si="22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3.9686384305346207</v>
      </c>
      <c r="BJ91" s="3460">
        <f ca="1">SUM(BH91:BI91)</f>
        <v>3.9686384305346207</v>
      </c>
      <c r="BK91" s="6"/>
      <c r="BL91" s="654">
        <f t="shared" ca="1" si="223"/>
        <v>0</v>
      </c>
      <c r="BM91" s="610"/>
      <c r="BO91" s="2789">
        <f t="shared" ref="BO91:BX92" ca="1" si="230">IFERROR(SUMIFS(INDIRECT($C91&amp;".Emissions["&amp;this.Year&amp;"]"), INDIRECT($C91&amp;".Emissions[GHG]"), BO$6, INDIRECT($C91&amp;".Emissions[IPCC Sector]"), BO$5),0)</f>
        <v>0</v>
      </c>
      <c r="BP91" s="2790">
        <f t="shared" ca="1" si="230"/>
        <v>0</v>
      </c>
      <c r="BQ91" s="2790">
        <f t="shared" ca="1" si="230"/>
        <v>0</v>
      </c>
      <c r="BR91" s="2790">
        <f t="shared" ca="1" si="230"/>
        <v>0</v>
      </c>
      <c r="BS91" s="2790">
        <f t="shared" ca="1" si="230"/>
        <v>0</v>
      </c>
      <c r="BT91" s="2790">
        <f t="shared" ca="1" si="230"/>
        <v>0</v>
      </c>
      <c r="BU91" s="2790">
        <f t="shared" ca="1" si="230"/>
        <v>0</v>
      </c>
      <c r="BV91" s="2790">
        <f t="shared" ca="1" si="230"/>
        <v>0</v>
      </c>
      <c r="BW91" s="2790">
        <f t="shared" ca="1" si="230"/>
        <v>0</v>
      </c>
      <c r="BX91" s="2790">
        <f t="shared" ca="1" si="230"/>
        <v>0</v>
      </c>
      <c r="BY91" s="2790">
        <f t="shared" ref="BY91:CH92" ca="1" si="231">IFERROR(SUMIFS(INDIRECT($C91&amp;".Emissions["&amp;this.Year&amp;"]"), INDIRECT($C91&amp;".Emissions[GHG]"), BY$6, INDIRECT($C91&amp;".Emissions[IPCC Sector]"), BY$5),0)</f>
        <v>0</v>
      </c>
      <c r="BZ91" s="2790">
        <f t="shared" ca="1" si="231"/>
        <v>0</v>
      </c>
      <c r="CA91" s="2790">
        <f t="shared" ca="1" si="231"/>
        <v>0</v>
      </c>
      <c r="CB91" s="2790">
        <f t="shared" ca="1" si="231"/>
        <v>0</v>
      </c>
      <c r="CC91" s="2790">
        <f t="shared" ca="1" si="231"/>
        <v>0</v>
      </c>
      <c r="CD91" s="2790">
        <f t="shared" ca="1" si="231"/>
        <v>0</v>
      </c>
      <c r="CE91" s="2790">
        <f t="shared" ca="1" si="231"/>
        <v>0</v>
      </c>
      <c r="CF91" s="2790">
        <f t="shared" ca="1" si="231"/>
        <v>0</v>
      </c>
      <c r="CG91" s="2790">
        <f t="shared" ca="1" si="231"/>
        <v>0</v>
      </c>
      <c r="CH91" s="2790">
        <f t="shared" ca="1" si="231"/>
        <v>0</v>
      </c>
      <c r="CI91" s="2790">
        <f t="shared" ref="CI91:CR92" ca="1" si="232">IFERROR(SUMIFS(INDIRECT($C91&amp;".Emissions["&amp;this.Year&amp;"]"), INDIRECT($C91&amp;".Emissions[GHG]"), CI$6, INDIRECT($C91&amp;".Emissions[IPCC Sector]"), CI$5),0)</f>
        <v>0</v>
      </c>
      <c r="CJ91" s="2790">
        <f t="shared" ca="1" si="232"/>
        <v>0</v>
      </c>
      <c r="CK91" s="2790">
        <f t="shared" ca="1" si="232"/>
        <v>0</v>
      </c>
      <c r="CL91" s="2790">
        <f t="shared" ca="1" si="232"/>
        <v>0</v>
      </c>
      <c r="CM91" s="2790">
        <f t="shared" ca="1" si="232"/>
        <v>0</v>
      </c>
      <c r="CN91" s="2790">
        <f t="shared" ca="1" si="232"/>
        <v>0</v>
      </c>
      <c r="CO91" s="2790">
        <f t="shared" ca="1" si="232"/>
        <v>0</v>
      </c>
      <c r="CP91" s="2790">
        <f t="shared" ca="1" si="232"/>
        <v>0</v>
      </c>
      <c r="CQ91" s="2790">
        <f t="shared" ca="1" si="232"/>
        <v>0</v>
      </c>
      <c r="CR91" s="2790">
        <f t="shared" ca="1" si="232"/>
        <v>0</v>
      </c>
      <c r="CS91" s="2790">
        <f t="shared" ref="CS91:DF92" ca="1" si="233">IFERROR(SUMIFS(INDIRECT($C91&amp;".Emissions["&amp;this.Year&amp;"]"), INDIRECT($C91&amp;".Emissions[GHG]"), CS$6, INDIRECT($C91&amp;".Emissions[IPCC Sector]"), CS$5),0)</f>
        <v>0</v>
      </c>
      <c r="CT91" s="2790">
        <f t="shared" ca="1" si="233"/>
        <v>0</v>
      </c>
      <c r="CU91" s="2790">
        <f t="shared" ca="1" si="233"/>
        <v>0</v>
      </c>
      <c r="CV91" s="2790">
        <f t="shared" ca="1" si="233"/>
        <v>0</v>
      </c>
      <c r="CW91" s="2790">
        <f t="shared" ca="1" si="233"/>
        <v>0</v>
      </c>
      <c r="CX91" s="2790">
        <f t="shared" ca="1" si="233"/>
        <v>0</v>
      </c>
      <c r="CY91" s="2790">
        <f t="shared" ca="1" si="233"/>
        <v>0</v>
      </c>
      <c r="CZ91" s="2790">
        <f t="shared" ca="1" si="233"/>
        <v>0</v>
      </c>
      <c r="DA91" s="2790">
        <f t="shared" ca="1" si="233"/>
        <v>0</v>
      </c>
      <c r="DB91" s="2790">
        <f t="shared" ca="1" si="233"/>
        <v>0</v>
      </c>
      <c r="DC91" s="2790">
        <f t="shared" ca="1" si="233"/>
        <v>0</v>
      </c>
      <c r="DD91" s="2790">
        <f t="shared" ca="1" si="233"/>
        <v>0</v>
      </c>
      <c r="DE91" s="2790">
        <f t="shared" ca="1" si="233"/>
        <v>0</v>
      </c>
      <c r="DF91" s="2790">
        <f t="shared" ca="1" si="233"/>
        <v>0</v>
      </c>
      <c r="DH91" s="596"/>
    </row>
    <row r="92" spans="1:112" s="607" customFormat="1" outlineLevel="1">
      <c r="C92" s="651" t="s">
        <v>569</v>
      </c>
      <c r="D92" s="611" t="s">
        <v>570</v>
      </c>
      <c r="E92" s="611"/>
      <c r="F92" s="6"/>
      <c r="G92" s="619">
        <f t="shared" ca="1" si="225"/>
        <v>0</v>
      </c>
      <c r="H92" s="619">
        <f t="shared" ca="1" si="225"/>
        <v>0</v>
      </c>
      <c r="I92" s="619">
        <f t="shared" ca="1" si="225"/>
        <v>0</v>
      </c>
      <c r="J92" s="619">
        <f t="shared" ca="1" si="225"/>
        <v>0</v>
      </c>
      <c r="K92" s="619">
        <f t="shared" ca="1" si="225"/>
        <v>0</v>
      </c>
      <c r="L92" s="619">
        <f t="shared" ca="1" si="225"/>
        <v>0</v>
      </c>
      <c r="M92" s="619">
        <f t="shared" ca="1" si="225"/>
        <v>0</v>
      </c>
      <c r="N92" s="619">
        <f t="shared" ca="1" si="225"/>
        <v>0</v>
      </c>
      <c r="O92" s="619">
        <f t="shared" ca="1" si="225"/>
        <v>0</v>
      </c>
      <c r="P92" s="619">
        <f t="shared" ca="1" si="225"/>
        <v>0</v>
      </c>
      <c r="Q92" s="612">
        <f ca="1">SUM(G92:P92)</f>
        <v>0</v>
      </c>
      <c r="R92" s="6"/>
      <c r="S92" s="620">
        <f t="shared" ca="1" si="226"/>
        <v>0</v>
      </c>
      <c r="T92" s="620">
        <f t="shared" ca="1" si="226"/>
        <v>0</v>
      </c>
      <c r="U92" s="620">
        <f t="shared" ca="1" si="226"/>
        <v>0</v>
      </c>
      <c r="V92" s="620">
        <f t="shared" ca="1" si="226"/>
        <v>0</v>
      </c>
      <c r="W92" s="620">
        <f t="shared" ca="1" si="226"/>
        <v>0</v>
      </c>
      <c r="X92" s="620">
        <f t="shared" ca="1" si="227"/>
        <v>0</v>
      </c>
      <c r="Y92" s="620">
        <f t="shared" ca="1" si="227"/>
        <v>0</v>
      </c>
      <c r="Z92" s="620">
        <f t="shared" ca="1" si="227"/>
        <v>0</v>
      </c>
      <c r="AA92" s="620">
        <f t="shared" ca="1" si="226"/>
        <v>0</v>
      </c>
      <c r="AB92" s="620">
        <f t="shared" ca="1" si="226"/>
        <v>0</v>
      </c>
      <c r="AC92" s="620">
        <f t="shared" ca="1" si="226"/>
        <v>0</v>
      </c>
      <c r="AD92" s="620">
        <f t="shared" ca="1" si="226"/>
        <v>0</v>
      </c>
      <c r="AE92" s="620">
        <f t="shared" ca="1" si="226"/>
        <v>0</v>
      </c>
      <c r="AF92" s="620">
        <f t="shared" ca="1" si="226"/>
        <v>0</v>
      </c>
      <c r="AG92" s="620">
        <f t="shared" ca="1" si="226"/>
        <v>0</v>
      </c>
      <c r="AH92" s="620">
        <f t="shared" ca="1" si="226"/>
        <v>0</v>
      </c>
      <c r="AI92" s="620">
        <f t="shared" ca="1" si="226"/>
        <v>0</v>
      </c>
      <c r="AJ92" s="620">
        <f t="shared" ca="1" si="226"/>
        <v>0</v>
      </c>
      <c r="AK92" s="613">
        <f ca="1">SUM(S92:AJ92)</f>
        <v>0</v>
      </c>
      <c r="AL92" s="6"/>
      <c r="AM92" s="621">
        <f t="shared" ca="1" si="228"/>
        <v>0</v>
      </c>
      <c r="AN92" s="621">
        <f t="shared" ca="1" si="228"/>
        <v>0</v>
      </c>
      <c r="AO92" s="621">
        <f t="shared" ca="1" si="228"/>
        <v>0</v>
      </c>
      <c r="AP92" s="621">
        <f t="shared" ca="1" si="228"/>
        <v>0</v>
      </c>
      <c r="AQ92" s="621">
        <f t="shared" ca="1" si="228"/>
        <v>0</v>
      </c>
      <c r="AR92" s="621">
        <f t="shared" ca="1" si="228"/>
        <v>0</v>
      </c>
      <c r="AS92" s="621">
        <f t="shared" ca="1" si="228"/>
        <v>0</v>
      </c>
      <c r="AT92" s="621">
        <f t="shared" ca="1" si="228"/>
        <v>0</v>
      </c>
      <c r="AU92" s="621">
        <f t="shared" ca="1" si="228"/>
        <v>0</v>
      </c>
      <c r="AV92" s="621">
        <f t="shared" ca="1" si="229"/>
        <v>0</v>
      </c>
      <c r="AW92" s="621">
        <f t="shared" ca="1" si="229"/>
        <v>0</v>
      </c>
      <c r="AX92" s="621">
        <f t="shared" ca="1" si="229"/>
        <v>0</v>
      </c>
      <c r="AY92" s="621">
        <f t="shared" ca="1" si="229"/>
        <v>0</v>
      </c>
      <c r="AZ92" s="621">
        <f t="shared" ca="1" si="229"/>
        <v>0</v>
      </c>
      <c r="BA92" s="621">
        <f t="shared" ca="1" si="229"/>
        <v>0</v>
      </c>
      <c r="BB92" s="621">
        <f t="shared" ca="1" si="229"/>
        <v>0</v>
      </c>
      <c r="BC92" s="621">
        <f t="shared" ca="1" si="229"/>
        <v>0</v>
      </c>
      <c r="BD92" s="621">
        <f t="shared" ca="1" si="229"/>
        <v>0</v>
      </c>
      <c r="BE92" s="621">
        <f t="shared" ca="1" si="229"/>
        <v>0</v>
      </c>
      <c r="BF92" s="615">
        <f ca="1">SUM(AM92:BE92)</f>
        <v>0</v>
      </c>
      <c r="BG92" s="6"/>
      <c r="BH92" s="3473">
        <f ca="1">IFERROR(INDEX(INDIRECT($C92&amp;".Outputs["&amp;this.Year&amp;"]"), MATCH(BH$5, INDIRECT($C92&amp;".Outputs[Vector]"), 0)), 0)</f>
        <v>0</v>
      </c>
      <c r="BI92" s="3473">
        <f ca="1">IFERROR(INDEX(INDIRECT($C92&amp;".Outputs["&amp;this.Year&amp;"]"), MATCH(BI$5, INDIRECT($C92&amp;".Outputs[Vector]"), 0)), 0)</f>
        <v>0</v>
      </c>
      <c r="BJ92" s="3462">
        <f ca="1">SUM(BH92:BI92)</f>
        <v>0</v>
      </c>
      <c r="BK92" s="6"/>
      <c r="BL92" s="654">
        <f t="shared" ca="1" si="223"/>
        <v>0</v>
      </c>
      <c r="BM92" s="610"/>
      <c r="BO92" s="2791">
        <f t="shared" ca="1" si="230"/>
        <v>0</v>
      </c>
      <c r="BP92" s="2792">
        <f t="shared" ca="1" si="230"/>
        <v>0</v>
      </c>
      <c r="BQ92" s="2792">
        <f t="shared" ca="1" si="230"/>
        <v>0</v>
      </c>
      <c r="BR92" s="2792">
        <f t="shared" ca="1" si="230"/>
        <v>0</v>
      </c>
      <c r="BS92" s="2792">
        <f t="shared" ca="1" si="230"/>
        <v>0</v>
      </c>
      <c r="BT92" s="2792">
        <f t="shared" ca="1" si="230"/>
        <v>0</v>
      </c>
      <c r="BU92" s="2792">
        <f t="shared" ca="1" si="230"/>
        <v>0</v>
      </c>
      <c r="BV92" s="2792">
        <f t="shared" ca="1" si="230"/>
        <v>0</v>
      </c>
      <c r="BW92" s="2792">
        <f t="shared" ca="1" si="230"/>
        <v>0</v>
      </c>
      <c r="BX92" s="2792">
        <f t="shared" ca="1" si="230"/>
        <v>0</v>
      </c>
      <c r="BY92" s="2792">
        <f t="shared" ca="1" si="231"/>
        <v>0</v>
      </c>
      <c r="BZ92" s="2792">
        <f t="shared" ca="1" si="231"/>
        <v>0</v>
      </c>
      <c r="CA92" s="2792">
        <f t="shared" ca="1" si="231"/>
        <v>0</v>
      </c>
      <c r="CB92" s="2792">
        <f t="shared" ca="1" si="231"/>
        <v>0</v>
      </c>
      <c r="CC92" s="2792">
        <f t="shared" ca="1" si="231"/>
        <v>0</v>
      </c>
      <c r="CD92" s="2792">
        <f t="shared" ca="1" si="231"/>
        <v>0</v>
      </c>
      <c r="CE92" s="2792">
        <f t="shared" ca="1" si="231"/>
        <v>0</v>
      </c>
      <c r="CF92" s="2792">
        <f t="shared" ca="1" si="231"/>
        <v>0</v>
      </c>
      <c r="CG92" s="2792">
        <f t="shared" ca="1" si="231"/>
        <v>0</v>
      </c>
      <c r="CH92" s="2792">
        <f t="shared" ca="1" si="231"/>
        <v>0</v>
      </c>
      <c r="CI92" s="2792">
        <f t="shared" ca="1" si="232"/>
        <v>0</v>
      </c>
      <c r="CJ92" s="2792">
        <f t="shared" ca="1" si="232"/>
        <v>0</v>
      </c>
      <c r="CK92" s="2792">
        <f t="shared" ca="1" si="232"/>
        <v>0</v>
      </c>
      <c r="CL92" s="2792">
        <f t="shared" ca="1" si="232"/>
        <v>0</v>
      </c>
      <c r="CM92" s="2792">
        <f t="shared" ca="1" si="232"/>
        <v>0</v>
      </c>
      <c r="CN92" s="2792">
        <f t="shared" ca="1" si="232"/>
        <v>0</v>
      </c>
      <c r="CO92" s="2792">
        <f t="shared" ca="1" si="232"/>
        <v>0</v>
      </c>
      <c r="CP92" s="2792">
        <f t="shared" ca="1" si="232"/>
        <v>0</v>
      </c>
      <c r="CQ92" s="2792">
        <f t="shared" ca="1" si="232"/>
        <v>0</v>
      </c>
      <c r="CR92" s="2792">
        <f t="shared" ca="1" si="232"/>
        <v>0</v>
      </c>
      <c r="CS92" s="2792">
        <f t="shared" ca="1" si="233"/>
        <v>0</v>
      </c>
      <c r="CT92" s="2792">
        <f t="shared" ca="1" si="233"/>
        <v>0</v>
      </c>
      <c r="CU92" s="2792">
        <f t="shared" ca="1" si="233"/>
        <v>0</v>
      </c>
      <c r="CV92" s="2792">
        <f t="shared" ca="1" si="233"/>
        <v>0</v>
      </c>
      <c r="CW92" s="2792">
        <f t="shared" ca="1" si="233"/>
        <v>0</v>
      </c>
      <c r="CX92" s="2792">
        <f t="shared" ca="1" si="233"/>
        <v>0</v>
      </c>
      <c r="CY92" s="2792">
        <f t="shared" ca="1" si="233"/>
        <v>0</v>
      </c>
      <c r="CZ92" s="2792">
        <f t="shared" ca="1" si="233"/>
        <v>0</v>
      </c>
      <c r="DA92" s="2792">
        <f t="shared" ca="1" si="233"/>
        <v>0</v>
      </c>
      <c r="DB92" s="2792">
        <f t="shared" ca="1" si="233"/>
        <v>0</v>
      </c>
      <c r="DC92" s="2792">
        <f t="shared" ca="1" si="233"/>
        <v>0</v>
      </c>
      <c r="DD92" s="2792">
        <f t="shared" ca="1" si="233"/>
        <v>0</v>
      </c>
      <c r="DE92" s="2792">
        <f t="shared" ca="1" si="233"/>
        <v>0</v>
      </c>
      <c r="DF92" s="2792">
        <f t="shared" ca="1" si="233"/>
        <v>0</v>
      </c>
      <c r="DH92" s="596"/>
    </row>
    <row r="93" spans="1:112" s="4" customFormat="1" ht="12.75" customHeight="1">
      <c r="B93" s="3"/>
      <c r="C93" s="616" t="s">
        <v>571</v>
      </c>
      <c r="D93" s="617" t="s">
        <v>572</v>
      </c>
      <c r="E93" s="206"/>
      <c r="F93" s="6"/>
      <c r="G93" s="579">
        <f t="shared" ref="G93:P93" ca="1" si="234">G$89+G$91+G$92</f>
        <v>0</v>
      </c>
      <c r="H93" s="579">
        <f t="shared" ca="1" si="234"/>
        <v>0</v>
      </c>
      <c r="I93" s="579">
        <f t="shared" ca="1" si="234"/>
        <v>0</v>
      </c>
      <c r="J93" s="579">
        <f t="shared" ca="1" si="234"/>
        <v>0</v>
      </c>
      <c r="K93" s="638">
        <f t="shared" ca="1" si="234"/>
        <v>0</v>
      </c>
      <c r="L93" s="579">
        <f t="shared" ca="1" si="234"/>
        <v>0</v>
      </c>
      <c r="M93" s="579">
        <f t="shared" ca="1" si="234"/>
        <v>0</v>
      </c>
      <c r="N93" s="579">
        <f t="shared" ca="1" si="234"/>
        <v>0</v>
      </c>
      <c r="O93" s="579">
        <f t="shared" ca="1" si="234"/>
        <v>0</v>
      </c>
      <c r="P93" s="579">
        <f t="shared" ca="1" si="234"/>
        <v>0</v>
      </c>
      <c r="Q93" s="618">
        <f ca="1">SUM(G93:P93)</f>
        <v>0</v>
      </c>
      <c r="R93" s="6"/>
      <c r="S93" s="581">
        <f t="shared" ref="S93:AJ93" ca="1" si="235">S$89+S$91+S$92</f>
        <v>0</v>
      </c>
      <c r="T93" s="581">
        <f t="shared" ca="1" si="235"/>
        <v>5.0313615694653784</v>
      </c>
      <c r="U93" s="581">
        <f t="shared" ca="1" si="235"/>
        <v>0</v>
      </c>
      <c r="V93" s="581">
        <f t="shared" ca="1" si="235"/>
        <v>0</v>
      </c>
      <c r="W93" s="581">
        <f t="shared" ca="1" si="235"/>
        <v>0</v>
      </c>
      <c r="X93" s="581">
        <f ca="1">X$89+X$91+X$92</f>
        <v>0</v>
      </c>
      <c r="Y93" s="581">
        <f ca="1">Y$89+Y$91+Y$92</f>
        <v>0</v>
      </c>
      <c r="Z93" s="581">
        <f ca="1">Z$89+Z$91+Z$92</f>
        <v>0</v>
      </c>
      <c r="AA93" s="581">
        <f t="shared" ca="1" si="235"/>
        <v>0</v>
      </c>
      <c r="AB93" s="581">
        <f t="shared" ca="1" si="235"/>
        <v>0</v>
      </c>
      <c r="AC93" s="581">
        <f t="shared" ca="1" si="235"/>
        <v>0</v>
      </c>
      <c r="AD93" s="581">
        <f t="shared" ca="1" si="235"/>
        <v>0</v>
      </c>
      <c r="AE93" s="581">
        <f t="shared" ca="1" si="235"/>
        <v>0</v>
      </c>
      <c r="AF93" s="581">
        <f t="shared" ca="1" si="235"/>
        <v>0</v>
      </c>
      <c r="AG93" s="581">
        <f t="shared" ca="1" si="235"/>
        <v>0</v>
      </c>
      <c r="AH93" s="581">
        <f t="shared" ca="1" si="235"/>
        <v>0</v>
      </c>
      <c r="AI93" s="581">
        <f t="shared" ca="1" si="235"/>
        <v>0</v>
      </c>
      <c r="AJ93" s="581">
        <f t="shared" ca="1" si="235"/>
        <v>0</v>
      </c>
      <c r="AK93" s="581">
        <f ca="1">SUM(S93:AJ93)</f>
        <v>5.0313615694653784</v>
      </c>
      <c r="AL93" s="6"/>
      <c r="AM93" s="582">
        <f t="shared" ref="AM93:BE93" ca="1" si="236">AM$89+AM$91+AM$92</f>
        <v>0</v>
      </c>
      <c r="AN93" s="582">
        <f t="shared" ca="1" si="236"/>
        <v>0</v>
      </c>
      <c r="AO93" s="582">
        <f t="shared" ca="1" si="236"/>
        <v>0</v>
      </c>
      <c r="AP93" s="582">
        <f t="shared" ca="1" si="236"/>
        <v>0</v>
      </c>
      <c r="AQ93" s="582">
        <f t="shared" ca="1" si="236"/>
        <v>-9</v>
      </c>
      <c r="AR93" s="582">
        <f t="shared" ca="1" si="236"/>
        <v>0</v>
      </c>
      <c r="AS93" s="582">
        <f t="shared" ca="1" si="236"/>
        <v>0</v>
      </c>
      <c r="AT93" s="582">
        <f t="shared" ca="1" si="236"/>
        <v>0</v>
      </c>
      <c r="AU93" s="582">
        <f t="shared" ca="1" si="236"/>
        <v>0</v>
      </c>
      <c r="AV93" s="582">
        <f t="shared" ca="1" si="236"/>
        <v>0</v>
      </c>
      <c r="AW93" s="582">
        <f t="shared" ca="1" si="236"/>
        <v>0</v>
      </c>
      <c r="AX93" s="582">
        <f t="shared" ca="1" si="236"/>
        <v>0</v>
      </c>
      <c r="AY93" s="582">
        <f t="shared" ca="1" si="236"/>
        <v>0</v>
      </c>
      <c r="AZ93" s="582">
        <f t="shared" ca="1" si="236"/>
        <v>0</v>
      </c>
      <c r="BA93" s="582">
        <f t="shared" ca="1" si="236"/>
        <v>0</v>
      </c>
      <c r="BB93" s="582">
        <f t="shared" ca="1" si="236"/>
        <v>0</v>
      </c>
      <c r="BC93" s="582">
        <f t="shared" ca="1" si="236"/>
        <v>0</v>
      </c>
      <c r="BD93" s="582">
        <f t="shared" ca="1" si="236"/>
        <v>0</v>
      </c>
      <c r="BE93" s="582">
        <f t="shared" ca="1" si="236"/>
        <v>0</v>
      </c>
      <c r="BF93" s="582">
        <f ca="1">SUM(AM93:BE93)</f>
        <v>-9</v>
      </c>
      <c r="BG93" s="6"/>
      <c r="BH93" s="3463">
        <f ca="1">BH$89+BH$91+BH$92</f>
        <v>0</v>
      </c>
      <c r="BI93" s="3463">
        <f ca="1">BI$89+BI$91+BI$92</f>
        <v>3.9686384305346207</v>
      </c>
      <c r="BJ93" s="3463">
        <f ca="1">SUM(BH93:BI93)</f>
        <v>3.9686384305346207</v>
      </c>
      <c r="BK93" s="6"/>
      <c r="BL93" s="3477">
        <f t="shared" ca="1" si="223"/>
        <v>0</v>
      </c>
      <c r="BM93" s="584"/>
      <c r="BN93" s="413"/>
      <c r="BO93" s="2790">
        <f t="shared" ref="BO93:DF93" ca="1" si="237">BO$89+BO$91+BO$92</f>
        <v>0</v>
      </c>
      <c r="BP93" s="2790">
        <f t="shared" ca="1" si="237"/>
        <v>0</v>
      </c>
      <c r="BQ93" s="2790">
        <f t="shared" ca="1" si="237"/>
        <v>0</v>
      </c>
      <c r="BR93" s="2790">
        <f t="shared" ca="1" si="237"/>
        <v>0</v>
      </c>
      <c r="BS93" s="2790">
        <f t="shared" ca="1" si="237"/>
        <v>0</v>
      </c>
      <c r="BT93" s="2790">
        <f t="shared" ca="1" si="237"/>
        <v>0</v>
      </c>
      <c r="BU93" s="2790">
        <f t="shared" ca="1" si="237"/>
        <v>0</v>
      </c>
      <c r="BV93" s="2790">
        <f t="shared" ca="1" si="237"/>
        <v>0</v>
      </c>
      <c r="BW93" s="2790">
        <f t="shared" ca="1" si="237"/>
        <v>0</v>
      </c>
      <c r="BX93" s="2790">
        <f t="shared" ca="1" si="237"/>
        <v>0</v>
      </c>
      <c r="BY93" s="2790">
        <f t="shared" ca="1" si="237"/>
        <v>0</v>
      </c>
      <c r="BZ93" s="2790">
        <f t="shared" ca="1" si="237"/>
        <v>0</v>
      </c>
      <c r="CA93" s="2790">
        <f t="shared" ca="1" si="237"/>
        <v>0</v>
      </c>
      <c r="CB93" s="2790">
        <f t="shared" ca="1" si="237"/>
        <v>0</v>
      </c>
      <c r="CC93" s="2790">
        <f t="shared" ca="1" si="237"/>
        <v>0</v>
      </c>
      <c r="CD93" s="2790">
        <f t="shared" ca="1" si="237"/>
        <v>0</v>
      </c>
      <c r="CE93" s="2790">
        <f t="shared" ca="1" si="237"/>
        <v>0</v>
      </c>
      <c r="CF93" s="2790">
        <f t="shared" ca="1" si="237"/>
        <v>0</v>
      </c>
      <c r="CG93" s="2790">
        <f t="shared" ca="1" si="237"/>
        <v>0</v>
      </c>
      <c r="CH93" s="2790">
        <f t="shared" ca="1" si="237"/>
        <v>0</v>
      </c>
      <c r="CI93" s="2790">
        <f t="shared" ca="1" si="237"/>
        <v>0</v>
      </c>
      <c r="CJ93" s="2790">
        <f t="shared" ca="1" si="237"/>
        <v>0</v>
      </c>
      <c r="CK93" s="2790">
        <f t="shared" ca="1" si="237"/>
        <v>0</v>
      </c>
      <c r="CL93" s="2790">
        <f t="shared" ca="1" si="237"/>
        <v>0</v>
      </c>
      <c r="CM93" s="2790">
        <f t="shared" ca="1" si="237"/>
        <v>0</v>
      </c>
      <c r="CN93" s="2790">
        <f t="shared" ca="1" si="237"/>
        <v>0</v>
      </c>
      <c r="CO93" s="2790">
        <f t="shared" ca="1" si="237"/>
        <v>0</v>
      </c>
      <c r="CP93" s="2790">
        <f t="shared" ca="1" si="237"/>
        <v>0</v>
      </c>
      <c r="CQ93" s="2790">
        <f t="shared" ca="1" si="237"/>
        <v>0</v>
      </c>
      <c r="CR93" s="2790">
        <f t="shared" ca="1" si="237"/>
        <v>0</v>
      </c>
      <c r="CS93" s="2790">
        <f t="shared" ca="1" si="237"/>
        <v>0</v>
      </c>
      <c r="CT93" s="2790">
        <f t="shared" ca="1" si="237"/>
        <v>0</v>
      </c>
      <c r="CU93" s="2790">
        <f t="shared" ca="1" si="237"/>
        <v>0</v>
      </c>
      <c r="CV93" s="2790">
        <f t="shared" ca="1" si="237"/>
        <v>0</v>
      </c>
      <c r="CW93" s="2790">
        <f t="shared" ca="1" si="237"/>
        <v>0</v>
      </c>
      <c r="CX93" s="2790">
        <f t="shared" ca="1" si="237"/>
        <v>0</v>
      </c>
      <c r="CY93" s="2790">
        <f t="shared" ca="1" si="237"/>
        <v>0</v>
      </c>
      <c r="CZ93" s="2790">
        <f t="shared" ca="1" si="237"/>
        <v>0</v>
      </c>
      <c r="DA93" s="2790">
        <f t="shared" ca="1" si="237"/>
        <v>0</v>
      </c>
      <c r="DB93" s="2790">
        <f t="shared" ca="1" si="237"/>
        <v>0</v>
      </c>
      <c r="DC93" s="2790">
        <f t="shared" ca="1" si="237"/>
        <v>0</v>
      </c>
      <c r="DD93" s="2790">
        <f t="shared" ca="1" si="237"/>
        <v>0</v>
      </c>
      <c r="DE93" s="2790">
        <f t="shared" ca="1" si="237"/>
        <v>0</v>
      </c>
      <c r="DF93" s="2790">
        <f t="shared" ca="1" si="237"/>
        <v>0</v>
      </c>
      <c r="DH93" s="596">
        <f t="shared" ref="DH93:DH104" ca="1" si="238">SUM(BO93:DF93)</f>
        <v>0</v>
      </c>
    </row>
    <row r="94" spans="1:112" s="6" customFormat="1" ht="12.75" customHeight="1" outlineLevel="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23"/>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38"/>
        <v>0</v>
      </c>
    </row>
    <row r="95" spans="1:112" s="639" customFormat="1" ht="12.75" customHeight="1" outlineLevel="1">
      <c r="C95" s="640" t="s">
        <v>573</v>
      </c>
      <c r="D95" s="641" t="s">
        <v>574</v>
      </c>
      <c r="E95" s="641"/>
      <c r="G95" s="643"/>
      <c r="H95" s="643"/>
      <c r="I95" s="643"/>
      <c r="J95" s="643"/>
      <c r="K95" s="644"/>
      <c r="L95" s="643"/>
      <c r="M95" s="643"/>
      <c r="N95" s="643"/>
      <c r="O95" s="643"/>
      <c r="P95" s="643"/>
      <c r="Q95" s="643"/>
      <c r="S95" s="645"/>
      <c r="T95" s="645"/>
      <c r="U95" s="645">
        <f ca="1">(U$40+U$84+U$93)</f>
        <v>-26.608380914267954</v>
      </c>
      <c r="V95" s="645">
        <f ca="1">(V$40+V$84+V$93)</f>
        <v>-58.124185560784845</v>
      </c>
      <c r="W95" s="645">
        <f ca="1">(W$40+W$84+W$93)</f>
        <v>-81.151315027229458</v>
      </c>
      <c r="X95" s="645"/>
      <c r="Y95" s="645"/>
      <c r="Z95" s="645"/>
      <c r="AA95" s="645"/>
      <c r="AB95" s="645"/>
      <c r="AC95" s="645">
        <f t="shared" ref="AC95:AH95" ca="1" si="239">(AC$40+AC$84+AC$93)</f>
        <v>0</v>
      </c>
      <c r="AD95" s="645">
        <f t="shared" ca="1" si="239"/>
        <v>69.068203392186163</v>
      </c>
      <c r="AE95" s="645">
        <f t="shared" ca="1" si="239"/>
        <v>0.89383864833915727</v>
      </c>
      <c r="AF95" s="645">
        <f t="shared" ca="1" si="239"/>
        <v>23.453273053128505</v>
      </c>
      <c r="AG95" s="645">
        <f t="shared" ca="1" si="239"/>
        <v>23.221401849807123</v>
      </c>
      <c r="AH95" s="645">
        <f t="shared" ca="1" si="239"/>
        <v>0.14940807387289254</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-35.375529883026232</v>
      </c>
      <c r="BF95" s="646">
        <f ca="1">SUM(AM95:BE95)</f>
        <v>-35.375529883026232</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38"/>
        <v>0</v>
      </c>
    </row>
    <row r="96" spans="1:112" s="642" customFormat="1" ht="12.75" customHeight="1" outlineLevel="1">
      <c r="A96" s="693"/>
      <c r="B96" s="693"/>
      <c r="C96" s="694" t="s">
        <v>575</v>
      </c>
      <c r="D96" s="695" t="s">
        <v>576</v>
      </c>
      <c r="E96" s="695"/>
      <c r="G96" s="696">
        <f t="shared" ref="G96:P96" ca="1" si="240">IFERROR(INDEX(INDIRECT($C96&amp;".Outputs["&amp;this.Year&amp;"]"), MATCH(G$5, INDIRECT($C96&amp;".Outputs[Vector]"), 0)), 0)</f>
        <v>0</v>
      </c>
      <c r="H96" s="696">
        <f t="shared" ca="1" si="240"/>
        <v>0</v>
      </c>
      <c r="I96" s="696">
        <f t="shared" ca="1" si="240"/>
        <v>0</v>
      </c>
      <c r="J96" s="696">
        <f t="shared" ca="1" si="240"/>
        <v>0</v>
      </c>
      <c r="K96" s="696">
        <f t="shared" ca="1" si="240"/>
        <v>0</v>
      </c>
      <c r="L96" s="696">
        <f t="shared" ca="1" si="240"/>
        <v>0</v>
      </c>
      <c r="M96" s="696">
        <f t="shared" ca="1" si="240"/>
        <v>0</v>
      </c>
      <c r="N96" s="696">
        <f t="shared" ca="1" si="240"/>
        <v>0</v>
      </c>
      <c r="O96" s="696">
        <f t="shared" ca="1" si="240"/>
        <v>0</v>
      </c>
      <c r="P96" s="696">
        <f t="shared" ca="1" si="240"/>
        <v>0</v>
      </c>
      <c r="Q96" s="697">
        <f ca="1">SUM(G96:P96)</f>
        <v>0</v>
      </c>
      <c r="S96" s="698">
        <f t="shared" ref="S96:AJ96" ca="1" si="241">IFERROR(INDEX(INDIRECT($C96&amp;".Outputs["&amp;this.Year&amp;"]"), MATCH(S$5, INDIRECT($C96&amp;".Outputs[Vector]"), 0)), 0)</f>
        <v>0</v>
      </c>
      <c r="T96" s="698">
        <f t="shared" ca="1" si="241"/>
        <v>0</v>
      </c>
      <c r="U96" s="698">
        <f t="shared" ca="1" si="241"/>
        <v>87.895402623048938</v>
      </c>
      <c r="V96" s="698">
        <f t="shared" ca="1" si="241"/>
        <v>0.28245301287517371</v>
      </c>
      <c r="W96" s="698">
        <f t="shared" ca="1" si="241"/>
        <v>19.887599646208944</v>
      </c>
      <c r="X96" s="698">
        <f t="shared" ca="1" si="241"/>
        <v>0</v>
      </c>
      <c r="Y96" s="698">
        <f t="shared" ca="1" si="241"/>
        <v>0</v>
      </c>
      <c r="Z96" s="698">
        <f t="shared" ca="1" si="241"/>
        <v>0</v>
      </c>
      <c r="AA96" s="698">
        <f t="shared" ca="1" si="241"/>
        <v>0</v>
      </c>
      <c r="AB96" s="698">
        <f t="shared" ca="1" si="241"/>
        <v>0</v>
      </c>
      <c r="AC96" s="698">
        <f t="shared" ca="1" si="241"/>
        <v>0</v>
      </c>
      <c r="AD96" s="698">
        <f t="shared" ca="1" si="241"/>
        <v>-69.068203392186163</v>
      </c>
      <c r="AE96" s="698">
        <f t="shared" ca="1" si="241"/>
        <v>-0.89383864833915727</v>
      </c>
      <c r="AF96" s="698">
        <f t="shared" ca="1" si="241"/>
        <v>-23.453273053128505</v>
      </c>
      <c r="AG96" s="698">
        <f t="shared" ca="1" si="241"/>
        <v>-23.221401849807123</v>
      </c>
      <c r="AH96" s="698">
        <f t="shared" ca="1" si="241"/>
        <v>-0.14940807387289254</v>
      </c>
      <c r="AI96" s="698">
        <f t="shared" ca="1" si="241"/>
        <v>0</v>
      </c>
      <c r="AJ96" s="698">
        <f t="shared" ca="1" si="241"/>
        <v>0</v>
      </c>
      <c r="AK96" s="699">
        <f ca="1">SUM(S96:AJ96)</f>
        <v>-8.7206697352007811</v>
      </c>
      <c r="AM96" s="700">
        <f t="shared" ref="AM96:BE96" ca="1" si="242">IFERROR(INDEX(INDIRECT($C96&amp;".Outputs["&amp;this.Year&amp;"]"), MATCH(AM$5, INDIRECT($C96&amp;".Outputs[Vector]"), 0)), 0)</f>
        <v>0</v>
      </c>
      <c r="AN96" s="700">
        <f t="shared" ca="1" si="242"/>
        <v>0</v>
      </c>
      <c r="AO96" s="700">
        <f t="shared" ca="1" si="242"/>
        <v>0</v>
      </c>
      <c r="AP96" s="700">
        <f t="shared" ca="1" si="242"/>
        <v>0</v>
      </c>
      <c r="AQ96" s="700">
        <f t="shared" ca="1" si="242"/>
        <v>0</v>
      </c>
      <c r="AR96" s="700">
        <f t="shared" ca="1" si="242"/>
        <v>0</v>
      </c>
      <c r="AS96" s="700">
        <f t="shared" ca="1" si="242"/>
        <v>0</v>
      </c>
      <c r="AT96" s="700">
        <f t="shared" ca="1" si="242"/>
        <v>0</v>
      </c>
      <c r="AU96" s="700">
        <f t="shared" ca="1" si="242"/>
        <v>0</v>
      </c>
      <c r="AV96" s="700">
        <f t="shared" ca="1" si="242"/>
        <v>0</v>
      </c>
      <c r="AW96" s="700">
        <f t="shared" ca="1" si="242"/>
        <v>0</v>
      </c>
      <c r="AX96" s="700">
        <f t="shared" ca="1" si="242"/>
        <v>0</v>
      </c>
      <c r="AY96" s="700">
        <f t="shared" ca="1" si="242"/>
        <v>0</v>
      </c>
      <c r="AZ96" s="700">
        <f t="shared" ca="1" si="242"/>
        <v>0</v>
      </c>
      <c r="BA96" s="700">
        <f t="shared" ca="1" si="242"/>
        <v>0</v>
      </c>
      <c r="BB96" s="700">
        <f t="shared" ca="1" si="242"/>
        <v>0</v>
      </c>
      <c r="BC96" s="700">
        <f t="shared" ca="1" si="242"/>
        <v>0</v>
      </c>
      <c r="BD96" s="700">
        <f t="shared" ca="1" si="242"/>
        <v>0</v>
      </c>
      <c r="BE96" s="700">
        <f t="shared" ca="1" si="242"/>
        <v>0</v>
      </c>
      <c r="BF96" s="701">
        <f ca="1">SUM(AM96:BE96)</f>
        <v>0</v>
      </c>
      <c r="BH96" s="3476">
        <f ca="1">IFERROR(INDEX(INDIRECT($C96&amp;".Outputs["&amp;this.Year&amp;"]"), MATCH(BH$5, INDIRECT($C96&amp;".Outputs[Vector]"), 0)), 0)</f>
        <v>8.7206697352007865</v>
      </c>
      <c r="BI96" s="3476">
        <f ca="1">IFERROR(INDEX(INDIRECT($C96&amp;".Outputs["&amp;this.Year&amp;"]"), MATCH(BI$5, INDIRECT($C96&amp;".Outputs[Vector]"), 0)), 0)</f>
        <v>0</v>
      </c>
      <c r="BJ96" s="3468">
        <f ca="1">SUM(BH96:BI96)</f>
        <v>8.7206697352007865</v>
      </c>
      <c r="BL96" s="702">
        <f ca="1">Q96+AK96+BF96+BJ96</f>
        <v>0</v>
      </c>
      <c r="BM96" s="702"/>
      <c r="BN96" s="703"/>
      <c r="BO96" s="2796">
        <f t="shared" ref="BO96:DF96" ca="1" si="243">IFERROR(SUMIFS(INDIRECT($C96&amp;".Emissions["&amp;this.Year&amp;"]"), INDIRECT($C96&amp;".Emissions[GHG]"), BO$6, INDIRECT($C96&amp;".Emissions[IPCC Sector]"), BO$5),0)</f>
        <v>0</v>
      </c>
      <c r="BP96" s="2797">
        <f t="shared" ca="1" si="243"/>
        <v>0</v>
      </c>
      <c r="BQ96" s="2797">
        <f t="shared" ca="1" si="243"/>
        <v>0</v>
      </c>
      <c r="BR96" s="2797">
        <f t="shared" ca="1" si="243"/>
        <v>0</v>
      </c>
      <c r="BS96" s="2797">
        <f t="shared" ca="1" si="243"/>
        <v>0</v>
      </c>
      <c r="BT96" s="2797">
        <f t="shared" ca="1" si="243"/>
        <v>0</v>
      </c>
      <c r="BU96" s="2797">
        <f t="shared" ca="1" si="243"/>
        <v>0</v>
      </c>
      <c r="BV96" s="2797">
        <f t="shared" ca="1" si="243"/>
        <v>0</v>
      </c>
      <c r="BW96" s="2797">
        <f t="shared" ca="1" si="243"/>
        <v>0</v>
      </c>
      <c r="BX96" s="2797">
        <f t="shared" ca="1" si="243"/>
        <v>0</v>
      </c>
      <c r="BY96" s="2797">
        <f t="shared" ca="1" si="243"/>
        <v>0</v>
      </c>
      <c r="BZ96" s="2797">
        <f t="shared" ca="1" si="243"/>
        <v>0</v>
      </c>
      <c r="CA96" s="2797">
        <f t="shared" ca="1" si="243"/>
        <v>0</v>
      </c>
      <c r="CB96" s="2797">
        <f t="shared" ca="1" si="243"/>
        <v>0</v>
      </c>
      <c r="CC96" s="2797">
        <f t="shared" ca="1" si="243"/>
        <v>0</v>
      </c>
      <c r="CD96" s="2797">
        <f t="shared" ca="1" si="243"/>
        <v>0</v>
      </c>
      <c r="CE96" s="2797">
        <f t="shared" ca="1" si="243"/>
        <v>0</v>
      </c>
      <c r="CF96" s="2797">
        <f t="shared" ca="1" si="243"/>
        <v>0</v>
      </c>
      <c r="CG96" s="2797">
        <f t="shared" ca="1" si="243"/>
        <v>0</v>
      </c>
      <c r="CH96" s="2797">
        <f t="shared" ca="1" si="243"/>
        <v>0</v>
      </c>
      <c r="CI96" s="2797">
        <f t="shared" ca="1" si="243"/>
        <v>0</v>
      </c>
      <c r="CJ96" s="2797">
        <f t="shared" ca="1" si="243"/>
        <v>0</v>
      </c>
      <c r="CK96" s="2797">
        <f t="shared" ca="1" si="243"/>
        <v>0</v>
      </c>
      <c r="CL96" s="2797">
        <f t="shared" ca="1" si="243"/>
        <v>0</v>
      </c>
      <c r="CM96" s="2797">
        <f t="shared" ca="1" si="243"/>
        <v>0</v>
      </c>
      <c r="CN96" s="2797">
        <f t="shared" ca="1" si="243"/>
        <v>0</v>
      </c>
      <c r="CO96" s="2797">
        <f t="shared" ca="1" si="243"/>
        <v>0</v>
      </c>
      <c r="CP96" s="2797">
        <f t="shared" ca="1" si="243"/>
        <v>0</v>
      </c>
      <c r="CQ96" s="2797">
        <f t="shared" ca="1" si="243"/>
        <v>0</v>
      </c>
      <c r="CR96" s="2797">
        <f t="shared" ca="1" si="243"/>
        <v>0</v>
      </c>
      <c r="CS96" s="2797">
        <f t="shared" ca="1" si="243"/>
        <v>0</v>
      </c>
      <c r="CT96" s="2797">
        <f t="shared" ca="1" si="243"/>
        <v>0</v>
      </c>
      <c r="CU96" s="2797">
        <f t="shared" ca="1" si="243"/>
        <v>0</v>
      </c>
      <c r="CV96" s="2797">
        <f t="shared" ca="1" si="243"/>
        <v>0</v>
      </c>
      <c r="CW96" s="2797">
        <f t="shared" ca="1" si="243"/>
        <v>0</v>
      </c>
      <c r="CX96" s="2797">
        <f t="shared" ca="1" si="243"/>
        <v>0</v>
      </c>
      <c r="CY96" s="2797">
        <f t="shared" ca="1" si="243"/>
        <v>-13.129532390118314</v>
      </c>
      <c r="CZ96" s="2797">
        <f t="shared" ca="1" si="243"/>
        <v>0</v>
      </c>
      <c r="DA96" s="2797">
        <f t="shared" ca="1" si="243"/>
        <v>0</v>
      </c>
      <c r="DB96" s="2797">
        <f t="shared" ca="1" si="243"/>
        <v>0</v>
      </c>
      <c r="DC96" s="2797">
        <f t="shared" ca="1" si="243"/>
        <v>0</v>
      </c>
      <c r="DD96" s="2797">
        <f t="shared" ca="1" si="243"/>
        <v>0</v>
      </c>
      <c r="DE96" s="2797">
        <f t="shared" ca="1" si="243"/>
        <v>0</v>
      </c>
      <c r="DF96" s="2797">
        <f t="shared" ca="1" si="243"/>
        <v>0</v>
      </c>
      <c r="DH96" s="649">
        <f t="shared" ca="1" si="238"/>
        <v>-13.129532390118314</v>
      </c>
    </row>
    <row r="97" spans="1:112" s="639" customFormat="1" ht="12.75" customHeight="1" outlineLevel="1">
      <c r="C97" s="640" t="s">
        <v>577</v>
      </c>
      <c r="D97" s="641" t="s">
        <v>574</v>
      </c>
      <c r="E97" s="641"/>
      <c r="G97" s="643"/>
      <c r="H97" s="643"/>
      <c r="I97" s="643"/>
      <c r="J97" s="643"/>
      <c r="K97" s="644"/>
      <c r="L97" s="643"/>
      <c r="M97" s="643"/>
      <c r="N97" s="643"/>
      <c r="O97" s="643"/>
      <c r="P97" s="643"/>
      <c r="Q97" s="643"/>
      <c r="S97" s="645"/>
      <c r="T97" s="645"/>
      <c r="U97" s="645">
        <f ca="1">U$95+U$96</f>
        <v>61.287021708780983</v>
      </c>
      <c r="V97" s="645">
        <f ca="1">V$95+V$96</f>
        <v>-57.841732547909672</v>
      </c>
      <c r="W97" s="645">
        <f ca="1">W$95+W$96</f>
        <v>-61.263715381020518</v>
      </c>
      <c r="X97" s="645"/>
      <c r="Y97" s="645"/>
      <c r="Z97" s="645"/>
      <c r="AA97" s="645"/>
      <c r="AB97" s="645"/>
      <c r="AC97" s="645">
        <f t="shared" ref="AC97:AH97" ca="1" si="244">AC$95+AC$96</f>
        <v>0</v>
      </c>
      <c r="AD97" s="645">
        <f t="shared" ca="1" si="244"/>
        <v>0</v>
      </c>
      <c r="AE97" s="645">
        <f t="shared" ca="1" si="244"/>
        <v>0</v>
      </c>
      <c r="AF97" s="645">
        <f t="shared" ca="1" si="244"/>
        <v>0</v>
      </c>
      <c r="AG97" s="645">
        <f t="shared" ca="1" si="244"/>
        <v>0</v>
      </c>
      <c r="AH97" s="645">
        <f t="shared" ca="1" si="24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-0.98778131036788008</v>
      </c>
      <c r="BF97" s="646">
        <f ca="1">SUM(AM97:BE97)</f>
        <v>-0.98778131036788008</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ht="12.75" customHeight="1" outlineLevel="1">
      <c r="A98" s="607"/>
      <c r="B98" s="607"/>
      <c r="C98" s="587" t="s">
        <v>578</v>
      </c>
      <c r="D98" s="611" t="s">
        <v>579</v>
      </c>
      <c r="E98" s="611"/>
      <c r="G98" s="619">
        <f t="shared" ref="G98:P98" ca="1" si="245">IFERROR(INDEX(INDIRECT($C98&amp;".Outputs["&amp;this.Year&amp;"]"), MATCH(G$5, INDIRECT($C98&amp;".Outputs[Vector]"), 0)), 0)</f>
        <v>0</v>
      </c>
      <c r="H98" s="619">
        <f t="shared" ca="1" si="245"/>
        <v>0</v>
      </c>
      <c r="I98" s="619">
        <f t="shared" ca="1" si="245"/>
        <v>0</v>
      </c>
      <c r="J98" s="619">
        <f t="shared" ca="1" si="245"/>
        <v>0</v>
      </c>
      <c r="K98" s="619">
        <f t="shared" ca="1" si="245"/>
        <v>0</v>
      </c>
      <c r="L98" s="619">
        <f t="shared" ca="1" si="245"/>
        <v>0</v>
      </c>
      <c r="M98" s="619">
        <f t="shared" ca="1" si="245"/>
        <v>0</v>
      </c>
      <c r="N98" s="619">
        <f t="shared" ca="1" si="245"/>
        <v>0</v>
      </c>
      <c r="O98" s="619">
        <f t="shared" ca="1" si="245"/>
        <v>0</v>
      </c>
      <c r="P98" s="619">
        <f t="shared" ca="1" si="245"/>
        <v>0</v>
      </c>
      <c r="Q98" s="612">
        <f ca="1">SUM(G98:P98)</f>
        <v>0</v>
      </c>
      <c r="S98" s="620">
        <f t="shared" ref="S98:AJ98" ca="1" si="246">IFERROR(INDEX(INDIRECT($C98&amp;".Outputs["&amp;this.Year&amp;"]"), MATCH(S$5, INDIRECT($C98&amp;".Outputs[Vector]"), 0)), 0)</f>
        <v>0</v>
      </c>
      <c r="T98" s="620">
        <f t="shared" ca="1" si="246"/>
        <v>0</v>
      </c>
      <c r="U98" s="620">
        <f t="shared" ca="1" si="246"/>
        <v>-61.287021708780983</v>
      </c>
      <c r="V98" s="620">
        <f t="shared" ca="1" si="246"/>
        <v>6.8992666666666702</v>
      </c>
      <c r="W98" s="620">
        <f t="shared" ca="1" si="246"/>
        <v>0</v>
      </c>
      <c r="X98" s="620">
        <f t="shared" ca="1" si="246"/>
        <v>0</v>
      </c>
      <c r="Y98" s="620">
        <f t="shared" ca="1" si="246"/>
        <v>0</v>
      </c>
      <c r="Z98" s="620">
        <f t="shared" ca="1" si="246"/>
        <v>0</v>
      </c>
      <c r="AA98" s="620">
        <f t="shared" ca="1" si="246"/>
        <v>0</v>
      </c>
      <c r="AB98" s="620">
        <f t="shared" ca="1" si="246"/>
        <v>0</v>
      </c>
      <c r="AC98" s="620">
        <f t="shared" ca="1" si="246"/>
        <v>0</v>
      </c>
      <c r="AD98" s="620">
        <f t="shared" ca="1" si="246"/>
        <v>0</v>
      </c>
      <c r="AE98" s="620">
        <f t="shared" ca="1" si="246"/>
        <v>0</v>
      </c>
      <c r="AF98" s="620">
        <f t="shared" ca="1" si="246"/>
        <v>0</v>
      </c>
      <c r="AG98" s="620">
        <f t="shared" ca="1" si="246"/>
        <v>0</v>
      </c>
      <c r="AH98" s="620">
        <f t="shared" ca="1" si="246"/>
        <v>0</v>
      </c>
      <c r="AI98" s="620">
        <f t="shared" ca="1" si="246"/>
        <v>0</v>
      </c>
      <c r="AJ98" s="620">
        <f t="shared" ca="1" si="246"/>
        <v>0</v>
      </c>
      <c r="AK98" s="613">
        <f ca="1">SUM(S98:AJ98)</f>
        <v>-54.387755042114314</v>
      </c>
      <c r="AM98" s="621">
        <f t="shared" ref="AM98:BE98" ca="1" si="247">IFERROR(INDEX(INDIRECT($C98&amp;".Outputs["&amp;this.Year&amp;"]"), MATCH(AM$5, INDIRECT($C98&amp;".Outputs[Vector]"), 0)), 0)</f>
        <v>0</v>
      </c>
      <c r="AN98" s="621">
        <f t="shared" ca="1" si="247"/>
        <v>0</v>
      </c>
      <c r="AO98" s="621">
        <f t="shared" ca="1" si="247"/>
        <v>0</v>
      </c>
      <c r="AP98" s="621">
        <f t="shared" ca="1" si="247"/>
        <v>54.387755042114314</v>
      </c>
      <c r="AQ98" s="621">
        <f t="shared" ca="1" si="247"/>
        <v>0</v>
      </c>
      <c r="AR98" s="621">
        <f t="shared" ca="1" si="247"/>
        <v>0</v>
      </c>
      <c r="AS98" s="621">
        <f t="shared" ca="1" si="247"/>
        <v>0</v>
      </c>
      <c r="AT98" s="621">
        <f t="shared" ca="1" si="247"/>
        <v>0</v>
      </c>
      <c r="AU98" s="621">
        <f t="shared" ca="1" si="247"/>
        <v>0</v>
      </c>
      <c r="AV98" s="621">
        <f t="shared" ca="1" si="247"/>
        <v>0</v>
      </c>
      <c r="AW98" s="621">
        <f t="shared" ca="1" si="247"/>
        <v>0</v>
      </c>
      <c r="AX98" s="621">
        <f t="shared" ca="1" si="247"/>
        <v>0</v>
      </c>
      <c r="AY98" s="621">
        <f t="shared" ca="1" si="247"/>
        <v>0</v>
      </c>
      <c r="AZ98" s="621">
        <f t="shared" ca="1" si="247"/>
        <v>0</v>
      </c>
      <c r="BA98" s="621">
        <f t="shared" ca="1" si="247"/>
        <v>0</v>
      </c>
      <c r="BB98" s="621">
        <f t="shared" ca="1" si="247"/>
        <v>0</v>
      </c>
      <c r="BC98" s="621">
        <f t="shared" ca="1" si="247"/>
        <v>0</v>
      </c>
      <c r="BD98" s="621">
        <f t="shared" ca="1" si="247"/>
        <v>0</v>
      </c>
      <c r="BE98" s="621">
        <f t="shared" ca="1" si="247"/>
        <v>0</v>
      </c>
      <c r="BF98" s="615">
        <f ca="1">SUM(AM98:BE98)</f>
        <v>54.387755042114314</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48">IFERROR(SUMIFS(INDIRECT($C98&amp;".Emissions["&amp;this.Year&amp;"]"), INDIRECT($C98&amp;".Emissions[GHG]"), BO$6, INDIRECT($C98&amp;".Emissions[IPCC Sector]"), BO$5),0)</f>
        <v>0</v>
      </c>
      <c r="BP98" s="2792">
        <f t="shared" ca="1" si="248"/>
        <v>0</v>
      </c>
      <c r="BQ98" s="2792">
        <f t="shared" ca="1" si="248"/>
        <v>0</v>
      </c>
      <c r="BR98" s="2792">
        <f t="shared" ca="1" si="248"/>
        <v>0</v>
      </c>
      <c r="BS98" s="2792">
        <f t="shared" ca="1" si="248"/>
        <v>0</v>
      </c>
      <c r="BT98" s="2792">
        <f t="shared" ca="1" si="248"/>
        <v>0</v>
      </c>
      <c r="BU98" s="2792">
        <f t="shared" ca="1" si="248"/>
        <v>0</v>
      </c>
      <c r="BV98" s="2792">
        <f t="shared" ca="1" si="248"/>
        <v>0</v>
      </c>
      <c r="BW98" s="2792">
        <f t="shared" ca="1" si="248"/>
        <v>0</v>
      </c>
      <c r="BX98" s="2792">
        <f t="shared" ca="1" si="248"/>
        <v>0</v>
      </c>
      <c r="BY98" s="2792">
        <f t="shared" ca="1" si="248"/>
        <v>0</v>
      </c>
      <c r="BZ98" s="2792">
        <f t="shared" ca="1" si="248"/>
        <v>0</v>
      </c>
      <c r="CA98" s="2792">
        <f t="shared" ca="1" si="248"/>
        <v>0</v>
      </c>
      <c r="CB98" s="2792">
        <f t="shared" ca="1" si="248"/>
        <v>0</v>
      </c>
      <c r="CC98" s="2792">
        <f t="shared" ca="1" si="248"/>
        <v>0</v>
      </c>
      <c r="CD98" s="2792">
        <f t="shared" ca="1" si="248"/>
        <v>0</v>
      </c>
      <c r="CE98" s="2792">
        <f t="shared" ca="1" si="248"/>
        <v>0</v>
      </c>
      <c r="CF98" s="2792">
        <f t="shared" ca="1" si="248"/>
        <v>0</v>
      </c>
      <c r="CG98" s="2792">
        <f t="shared" ca="1" si="248"/>
        <v>0</v>
      </c>
      <c r="CH98" s="2792">
        <f t="shared" ca="1" si="248"/>
        <v>0</v>
      </c>
      <c r="CI98" s="2792">
        <f t="shared" ca="1" si="248"/>
        <v>0</v>
      </c>
      <c r="CJ98" s="2792">
        <f t="shared" ca="1" si="248"/>
        <v>0</v>
      </c>
      <c r="CK98" s="2792">
        <f t="shared" ca="1" si="248"/>
        <v>0</v>
      </c>
      <c r="CL98" s="2792">
        <f t="shared" ca="1" si="248"/>
        <v>0</v>
      </c>
      <c r="CM98" s="2792">
        <f t="shared" ca="1" si="248"/>
        <v>0</v>
      </c>
      <c r="CN98" s="2792">
        <f t="shared" ca="1" si="248"/>
        <v>0</v>
      </c>
      <c r="CO98" s="2792">
        <f t="shared" ca="1" si="248"/>
        <v>0</v>
      </c>
      <c r="CP98" s="2792">
        <f t="shared" ca="1" si="248"/>
        <v>0</v>
      </c>
      <c r="CQ98" s="2792">
        <f t="shared" ca="1" si="248"/>
        <v>0</v>
      </c>
      <c r="CR98" s="2792">
        <f t="shared" ca="1" si="248"/>
        <v>0</v>
      </c>
      <c r="CS98" s="2792">
        <f t="shared" ca="1" si="248"/>
        <v>0</v>
      </c>
      <c r="CT98" s="2792">
        <f t="shared" ca="1" si="248"/>
        <v>0</v>
      </c>
      <c r="CU98" s="2792">
        <f t="shared" ca="1" si="248"/>
        <v>0</v>
      </c>
      <c r="CV98" s="2792">
        <f t="shared" ca="1" si="248"/>
        <v>0</v>
      </c>
      <c r="CW98" s="2792">
        <f t="shared" ca="1" si="248"/>
        <v>0</v>
      </c>
      <c r="CX98" s="2792">
        <f t="shared" ca="1" si="248"/>
        <v>0</v>
      </c>
      <c r="CY98" s="2792">
        <f t="shared" ca="1" si="248"/>
        <v>-1.8205784880000007</v>
      </c>
      <c r="CZ98" s="2792">
        <f t="shared" ca="1" si="248"/>
        <v>0</v>
      </c>
      <c r="DA98" s="2792">
        <f t="shared" ca="1" si="248"/>
        <v>0</v>
      </c>
      <c r="DB98" s="2792">
        <f t="shared" ca="1" si="248"/>
        <v>0</v>
      </c>
      <c r="DC98" s="2792">
        <f t="shared" ca="1" si="248"/>
        <v>0</v>
      </c>
      <c r="DD98" s="2792">
        <f t="shared" ca="1" si="248"/>
        <v>0</v>
      </c>
      <c r="DE98" s="2792">
        <f t="shared" ca="1" si="248"/>
        <v>0</v>
      </c>
      <c r="DF98" s="2792">
        <f t="shared" ca="1" si="248"/>
        <v>0</v>
      </c>
      <c r="DH98" s="596">
        <f ca="1">SUM(BO98:DF98)</f>
        <v>-1.8205784880000007</v>
      </c>
    </row>
    <row r="99" spans="1:112" s="6" customFormat="1" ht="15.75">
      <c r="A99" s="4"/>
      <c r="B99" s="3"/>
      <c r="C99" s="616" t="s">
        <v>580</v>
      </c>
      <c r="D99" s="617" t="s">
        <v>581</v>
      </c>
      <c r="E99" s="206"/>
      <c r="G99" s="618">
        <f ca="1">G$96+G98</f>
        <v>0</v>
      </c>
      <c r="H99" s="618">
        <f t="shared" ref="H99:P99" ca="1" si="249">H$96+H98</f>
        <v>0</v>
      </c>
      <c r="I99" s="618">
        <f t="shared" ca="1" si="249"/>
        <v>0</v>
      </c>
      <c r="J99" s="618">
        <f t="shared" ca="1" si="249"/>
        <v>0</v>
      </c>
      <c r="K99" s="618">
        <f t="shared" ca="1" si="249"/>
        <v>0</v>
      </c>
      <c r="L99" s="618">
        <f t="shared" ca="1" si="249"/>
        <v>0</v>
      </c>
      <c r="M99" s="618">
        <f t="shared" ca="1" si="249"/>
        <v>0</v>
      </c>
      <c r="N99" s="618">
        <f t="shared" ca="1" si="249"/>
        <v>0</v>
      </c>
      <c r="O99" s="618">
        <f t="shared" ca="1" si="249"/>
        <v>0</v>
      </c>
      <c r="P99" s="618">
        <f t="shared" ca="1" si="249"/>
        <v>0</v>
      </c>
      <c r="Q99" s="618">
        <f ca="1">SUM(G99:P99)</f>
        <v>0</v>
      </c>
      <c r="S99" s="581">
        <f t="shared" ref="S99:AJ99" ca="1" si="250">S$96+S98</f>
        <v>0</v>
      </c>
      <c r="T99" s="581">
        <f t="shared" ca="1" si="250"/>
        <v>0</v>
      </c>
      <c r="U99" s="581">
        <f t="shared" ca="1" si="250"/>
        <v>26.608380914267954</v>
      </c>
      <c r="V99" s="581">
        <f t="shared" ca="1" si="250"/>
        <v>7.1817196795418443</v>
      </c>
      <c r="W99" s="581">
        <f t="shared" ca="1" si="250"/>
        <v>19.887599646208944</v>
      </c>
      <c r="X99" s="581">
        <f t="shared" ca="1" si="250"/>
        <v>0</v>
      </c>
      <c r="Y99" s="581">
        <f t="shared" ca="1" si="250"/>
        <v>0</v>
      </c>
      <c r="Z99" s="581">
        <f t="shared" ca="1" si="250"/>
        <v>0</v>
      </c>
      <c r="AA99" s="581">
        <f t="shared" ca="1" si="250"/>
        <v>0</v>
      </c>
      <c r="AB99" s="581">
        <f t="shared" ca="1" si="250"/>
        <v>0</v>
      </c>
      <c r="AC99" s="581">
        <f t="shared" ca="1" si="250"/>
        <v>0</v>
      </c>
      <c r="AD99" s="581">
        <f ca="1">AD$96+AD98</f>
        <v>-69.068203392186163</v>
      </c>
      <c r="AE99" s="581">
        <f ca="1">AE$96+AE98</f>
        <v>-0.89383864833915727</v>
      </c>
      <c r="AF99" s="581">
        <f t="shared" ca="1" si="250"/>
        <v>-23.453273053128505</v>
      </c>
      <c r="AG99" s="581">
        <f t="shared" ca="1" si="250"/>
        <v>-23.221401849807123</v>
      </c>
      <c r="AH99" s="581">
        <f ca="1">AH$96+AH98</f>
        <v>-0.14940807387289254</v>
      </c>
      <c r="AI99" s="581">
        <f t="shared" ca="1" si="250"/>
        <v>0</v>
      </c>
      <c r="AJ99" s="581">
        <f t="shared" ca="1" si="250"/>
        <v>0</v>
      </c>
      <c r="AK99" s="581">
        <f ca="1">SUM(S99:AJ99)</f>
        <v>-63.108424777315108</v>
      </c>
      <c r="AM99" s="582">
        <f t="shared" ref="AM99:BE99" ca="1" si="251">AM$96+AM98</f>
        <v>0</v>
      </c>
      <c r="AN99" s="582">
        <f t="shared" ca="1" si="251"/>
        <v>0</v>
      </c>
      <c r="AO99" s="582">
        <f t="shared" ca="1" si="251"/>
        <v>0</v>
      </c>
      <c r="AP99" s="582">
        <f t="shared" ca="1" si="251"/>
        <v>54.387755042114314</v>
      </c>
      <c r="AQ99" s="582">
        <f t="shared" ca="1" si="251"/>
        <v>0</v>
      </c>
      <c r="AR99" s="582">
        <f t="shared" ca="1" si="251"/>
        <v>0</v>
      </c>
      <c r="AS99" s="582">
        <f t="shared" ca="1" si="251"/>
        <v>0</v>
      </c>
      <c r="AT99" s="582">
        <f t="shared" ca="1" si="251"/>
        <v>0</v>
      </c>
      <c r="AU99" s="582">
        <f t="shared" ca="1" si="251"/>
        <v>0</v>
      </c>
      <c r="AV99" s="582">
        <f t="shared" ca="1" si="251"/>
        <v>0</v>
      </c>
      <c r="AW99" s="582">
        <f t="shared" ca="1" si="251"/>
        <v>0</v>
      </c>
      <c r="AX99" s="582">
        <f t="shared" ca="1" si="251"/>
        <v>0</v>
      </c>
      <c r="AY99" s="582">
        <f t="shared" ca="1" si="251"/>
        <v>0</v>
      </c>
      <c r="AZ99" s="582">
        <f t="shared" ca="1" si="251"/>
        <v>0</v>
      </c>
      <c r="BA99" s="582">
        <f t="shared" ca="1" si="251"/>
        <v>0</v>
      </c>
      <c r="BB99" s="582">
        <f t="shared" ca="1" si="251"/>
        <v>0</v>
      </c>
      <c r="BC99" s="582">
        <f t="shared" ca="1" si="251"/>
        <v>0</v>
      </c>
      <c r="BD99" s="582">
        <f t="shared" ca="1" si="251"/>
        <v>0</v>
      </c>
      <c r="BE99" s="582">
        <f t="shared" ca="1" si="251"/>
        <v>0</v>
      </c>
      <c r="BF99" s="582">
        <f ca="1">SUM(AM99:BE99)</f>
        <v>54.387755042114314</v>
      </c>
      <c r="BH99" s="3463">
        <f ca="1">BH$96+BH98</f>
        <v>8.7206697352007865</v>
      </c>
      <c r="BI99" s="3463">
        <f ca="1">BI$96+BI98</f>
        <v>0</v>
      </c>
      <c r="BJ99" s="3463">
        <f ca="1">SUM(BH99:BI99)</f>
        <v>8.7206697352007865</v>
      </c>
      <c r="BL99" s="3477">
        <f ca="1">Q99+AK99+BF99+BJ99</f>
        <v>0</v>
      </c>
      <c r="BM99" s="584"/>
      <c r="BN99" s="413"/>
      <c r="BO99" s="2790">
        <f t="shared" ref="BO99:DF99" ca="1" si="252">BO$96+BO98</f>
        <v>0</v>
      </c>
      <c r="BP99" s="2790">
        <f t="shared" ca="1" si="252"/>
        <v>0</v>
      </c>
      <c r="BQ99" s="2790">
        <f t="shared" ca="1" si="252"/>
        <v>0</v>
      </c>
      <c r="BR99" s="2790">
        <f t="shared" ca="1" si="252"/>
        <v>0</v>
      </c>
      <c r="BS99" s="2790">
        <f t="shared" ca="1" si="252"/>
        <v>0</v>
      </c>
      <c r="BT99" s="2790">
        <f t="shared" ca="1" si="252"/>
        <v>0</v>
      </c>
      <c r="BU99" s="2790">
        <f t="shared" ca="1" si="252"/>
        <v>0</v>
      </c>
      <c r="BV99" s="2790">
        <f t="shared" ca="1" si="252"/>
        <v>0</v>
      </c>
      <c r="BW99" s="2790">
        <f t="shared" ca="1" si="252"/>
        <v>0</v>
      </c>
      <c r="BX99" s="2790">
        <f t="shared" ca="1" si="252"/>
        <v>0</v>
      </c>
      <c r="BY99" s="2790">
        <f t="shared" ca="1" si="252"/>
        <v>0</v>
      </c>
      <c r="BZ99" s="2790">
        <f t="shared" ca="1" si="252"/>
        <v>0</v>
      </c>
      <c r="CA99" s="2790">
        <f t="shared" ca="1" si="252"/>
        <v>0</v>
      </c>
      <c r="CB99" s="2790">
        <f t="shared" ca="1" si="252"/>
        <v>0</v>
      </c>
      <c r="CC99" s="2790">
        <f t="shared" ca="1" si="252"/>
        <v>0</v>
      </c>
      <c r="CD99" s="2790">
        <f t="shared" ca="1" si="252"/>
        <v>0</v>
      </c>
      <c r="CE99" s="2790">
        <f t="shared" ca="1" si="252"/>
        <v>0</v>
      </c>
      <c r="CF99" s="2790">
        <f t="shared" ca="1" si="252"/>
        <v>0</v>
      </c>
      <c r="CG99" s="2790">
        <f t="shared" ca="1" si="252"/>
        <v>0</v>
      </c>
      <c r="CH99" s="2790">
        <f t="shared" ca="1" si="252"/>
        <v>0</v>
      </c>
      <c r="CI99" s="2790">
        <f t="shared" ca="1" si="252"/>
        <v>0</v>
      </c>
      <c r="CJ99" s="2790">
        <f t="shared" ca="1" si="252"/>
        <v>0</v>
      </c>
      <c r="CK99" s="2790">
        <f t="shared" ca="1" si="252"/>
        <v>0</v>
      </c>
      <c r="CL99" s="2790">
        <f t="shared" ca="1" si="252"/>
        <v>0</v>
      </c>
      <c r="CM99" s="2790">
        <f t="shared" ca="1" si="252"/>
        <v>0</v>
      </c>
      <c r="CN99" s="2790">
        <f t="shared" ca="1" si="252"/>
        <v>0</v>
      </c>
      <c r="CO99" s="2790">
        <f t="shared" ca="1" si="252"/>
        <v>0</v>
      </c>
      <c r="CP99" s="2790">
        <f t="shared" ca="1" si="252"/>
        <v>0</v>
      </c>
      <c r="CQ99" s="2790">
        <f t="shared" ca="1" si="252"/>
        <v>0</v>
      </c>
      <c r="CR99" s="2790">
        <f t="shared" ca="1" si="252"/>
        <v>0</v>
      </c>
      <c r="CS99" s="2790">
        <f t="shared" ca="1" si="252"/>
        <v>0</v>
      </c>
      <c r="CT99" s="2790">
        <f t="shared" ca="1" si="252"/>
        <v>0</v>
      </c>
      <c r="CU99" s="2790">
        <f t="shared" ca="1" si="252"/>
        <v>0</v>
      </c>
      <c r="CV99" s="2790">
        <f t="shared" ca="1" si="252"/>
        <v>0</v>
      </c>
      <c r="CW99" s="2790">
        <f t="shared" ca="1" si="252"/>
        <v>0</v>
      </c>
      <c r="CX99" s="2790">
        <f t="shared" ca="1" si="252"/>
        <v>0</v>
      </c>
      <c r="CY99" s="2790">
        <f t="shared" ca="1" si="252"/>
        <v>-14.950110878118315</v>
      </c>
      <c r="CZ99" s="2790">
        <f t="shared" ca="1" si="252"/>
        <v>0</v>
      </c>
      <c r="DA99" s="2790">
        <f t="shared" ca="1" si="252"/>
        <v>0</v>
      </c>
      <c r="DB99" s="2790">
        <f t="shared" ca="1" si="252"/>
        <v>0</v>
      </c>
      <c r="DC99" s="2790">
        <f t="shared" ca="1" si="252"/>
        <v>0</v>
      </c>
      <c r="DD99" s="2790">
        <f t="shared" ca="1" si="252"/>
        <v>0</v>
      </c>
      <c r="DE99" s="2790">
        <f t="shared" ca="1" si="252"/>
        <v>0</v>
      </c>
      <c r="DF99" s="2790">
        <f t="shared" ca="1" si="252"/>
        <v>0</v>
      </c>
      <c r="DH99" s="596">
        <f t="shared" ca="1" si="238"/>
        <v>-14.950110878118315</v>
      </c>
    </row>
    <row r="100" spans="1:112" s="4" customFormat="1" ht="12.75" customHeight="1" outlineLevel="1">
      <c r="B100" s="3"/>
      <c r="C100" s="616"/>
      <c r="D100" s="617"/>
      <c r="E100" s="206"/>
      <c r="F100" s="6"/>
      <c r="G100" s="579"/>
      <c r="H100" s="579"/>
      <c r="I100" s="579"/>
      <c r="J100" s="579"/>
      <c r="K100" s="638"/>
      <c r="L100" s="579"/>
      <c r="M100" s="579"/>
      <c r="N100" s="579"/>
      <c r="O100" s="579"/>
      <c r="P100" s="579"/>
      <c r="Q100" s="618"/>
      <c r="R100" s="6"/>
      <c r="S100" s="581"/>
      <c r="T100" s="581"/>
      <c r="U100" s="581"/>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38"/>
        <v>0</v>
      </c>
    </row>
    <row r="101" spans="1:112" s="652" customFormat="1" ht="12.75" customHeight="1" outlineLevel="1">
      <c r="C101" s="667" t="s">
        <v>582</v>
      </c>
      <c r="D101" s="641" t="s">
        <v>574</v>
      </c>
      <c r="E101" s="685"/>
      <c r="G101" s="643"/>
      <c r="H101" s="643"/>
      <c r="I101" s="643"/>
      <c r="J101" s="643"/>
      <c r="K101" s="644"/>
      <c r="L101" s="643"/>
      <c r="M101" s="643"/>
      <c r="N101" s="643"/>
      <c r="O101" s="643"/>
      <c r="P101" s="643"/>
      <c r="Q101" s="704"/>
      <c r="R101" s="639"/>
      <c r="S101" s="645">
        <f ca="1">(S$40+S$84+S$93+S$99)</f>
        <v>-28.011556298716876</v>
      </c>
      <c r="T101" s="645">
        <f ca="1">(T$40+T$84+T$93+T$99)</f>
        <v>97.82853207950474</v>
      </c>
      <c r="U101" s="645">
        <f ca="1">(U$40+U$84+U$93+U$99)</f>
        <v>0</v>
      </c>
      <c r="V101" s="645">
        <f ca="1">(V$40+V$84+V$93+V$99)</f>
        <v>-50.942465881243002</v>
      </c>
      <c r="W101" s="645">
        <f ca="1">(W$40+W$84+W$93+W$99)</f>
        <v>-61.263715381020518</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38"/>
        <v>0</v>
      </c>
    </row>
    <row r="102" spans="1:112" s="607" customFormat="1" ht="12.75" customHeight="1" outlineLevel="1">
      <c r="B102" s="705"/>
      <c r="C102" s="651" t="s">
        <v>583</v>
      </c>
      <c r="D102" s="588" t="s">
        <v>584</v>
      </c>
      <c r="E102" s="588"/>
      <c r="F102" s="6"/>
      <c r="G102" s="659">
        <f t="shared" ref="G102:P102" ca="1" si="253">IFERROR(INDEX(INDIRECT($C102&amp;".Outputs["&amp;this.Year&amp;"]"), MATCH(G$5, INDIRECT($C102&amp;".Outputs[Vector]"), 0)), 0)</f>
        <v>0</v>
      </c>
      <c r="H102" s="659">
        <f t="shared" ca="1" si="253"/>
        <v>0</v>
      </c>
      <c r="I102" s="659">
        <f t="shared" ca="1" si="253"/>
        <v>0</v>
      </c>
      <c r="J102" s="659">
        <f t="shared" ca="1" si="253"/>
        <v>0</v>
      </c>
      <c r="K102" s="706">
        <f t="shared" ca="1" si="253"/>
        <v>0</v>
      </c>
      <c r="L102" s="659">
        <f t="shared" ca="1" si="253"/>
        <v>0</v>
      </c>
      <c r="M102" s="659">
        <f t="shared" ca="1" si="253"/>
        <v>0</v>
      </c>
      <c r="N102" s="659">
        <f t="shared" ca="1" si="253"/>
        <v>0</v>
      </c>
      <c r="O102" s="659">
        <f t="shared" ca="1" si="253"/>
        <v>0</v>
      </c>
      <c r="P102" s="659">
        <f t="shared" ca="1" si="253"/>
        <v>0</v>
      </c>
      <c r="Q102" s="707">
        <f ca="1">SUM(G102:P102)</f>
        <v>0</v>
      </c>
      <c r="R102" s="6"/>
      <c r="S102" s="661">
        <f t="shared" ref="S102:AJ102" ca="1" si="254">IFERROR(INDEX(INDIRECT($C102&amp;".Outputs["&amp;this.Year&amp;"]"), MATCH(S$5, INDIRECT($C102&amp;".Outputs[Vector]"), 0)), 0)</f>
        <v>0</v>
      </c>
      <c r="T102" s="661">
        <f t="shared" ca="1" si="254"/>
        <v>0</v>
      </c>
      <c r="U102" s="661">
        <f t="shared" ca="1" si="254"/>
        <v>0</v>
      </c>
      <c r="V102" s="661">
        <f t="shared" ca="1" si="254"/>
        <v>50.942465881243002</v>
      </c>
      <c r="W102" s="661">
        <f t="shared" ca="1" si="254"/>
        <v>61.263715381020518</v>
      </c>
      <c r="X102" s="661">
        <f t="shared" ca="1" si="254"/>
        <v>0</v>
      </c>
      <c r="Y102" s="661">
        <f t="shared" ca="1" si="254"/>
        <v>-50.942465881243002</v>
      </c>
      <c r="Z102" s="661">
        <f t="shared" ca="1" si="254"/>
        <v>-62.182671111735829</v>
      </c>
      <c r="AA102" s="661">
        <f t="shared" ca="1" si="254"/>
        <v>0</v>
      </c>
      <c r="AB102" s="661">
        <f t="shared" ca="1" si="254"/>
        <v>0</v>
      </c>
      <c r="AC102" s="661">
        <f t="shared" ca="1" si="254"/>
        <v>0</v>
      </c>
      <c r="AD102" s="661">
        <f t="shared" ca="1" si="254"/>
        <v>0</v>
      </c>
      <c r="AE102" s="661">
        <f t="shared" ca="1" si="254"/>
        <v>0</v>
      </c>
      <c r="AF102" s="661">
        <f t="shared" ca="1" si="254"/>
        <v>0</v>
      </c>
      <c r="AG102" s="661">
        <f t="shared" ca="1" si="254"/>
        <v>0</v>
      </c>
      <c r="AH102" s="661">
        <f t="shared" ca="1" si="254"/>
        <v>0</v>
      </c>
      <c r="AI102" s="661">
        <f t="shared" ca="1" si="254"/>
        <v>0</v>
      </c>
      <c r="AJ102" s="661">
        <f t="shared" ca="1" si="254"/>
        <v>0</v>
      </c>
      <c r="AK102" s="661">
        <f ca="1">SUM(S102:AJ102)</f>
        <v>-0.91895573071530379</v>
      </c>
      <c r="AL102" s="6"/>
      <c r="AM102" s="609">
        <f t="shared" ref="AM102:BE102" ca="1" si="255">IFERROR(INDEX(INDIRECT($C102&amp;".Outputs["&amp;this.Year&amp;"]"), MATCH(AM$5, INDIRECT($C102&amp;".Outputs[Vector]"), 0)), 0)</f>
        <v>0</v>
      </c>
      <c r="AN102" s="609">
        <f t="shared" ca="1" si="255"/>
        <v>0</v>
      </c>
      <c r="AO102" s="609">
        <f t="shared" ca="1" si="255"/>
        <v>0</v>
      </c>
      <c r="AP102" s="609">
        <f t="shared" ca="1" si="255"/>
        <v>0</v>
      </c>
      <c r="AQ102" s="609">
        <f t="shared" ca="1" si="255"/>
        <v>0</v>
      </c>
      <c r="AR102" s="609">
        <f t="shared" ca="1" si="255"/>
        <v>0</v>
      </c>
      <c r="AS102" s="609">
        <f t="shared" ca="1" si="255"/>
        <v>0</v>
      </c>
      <c r="AT102" s="609">
        <f t="shared" ca="1" si="255"/>
        <v>0</v>
      </c>
      <c r="AU102" s="609">
        <f t="shared" ca="1" si="255"/>
        <v>0</v>
      </c>
      <c r="AV102" s="609">
        <f t="shared" ca="1" si="255"/>
        <v>0</v>
      </c>
      <c r="AW102" s="609">
        <f t="shared" ca="1" si="255"/>
        <v>0</v>
      </c>
      <c r="AX102" s="609">
        <f t="shared" ca="1" si="255"/>
        <v>0</v>
      </c>
      <c r="AY102" s="609">
        <f t="shared" ca="1" si="255"/>
        <v>0</v>
      </c>
      <c r="AZ102" s="609">
        <f t="shared" ca="1" si="255"/>
        <v>0</v>
      </c>
      <c r="BA102" s="609">
        <f t="shared" ca="1" si="255"/>
        <v>0</v>
      </c>
      <c r="BB102" s="609">
        <f t="shared" ca="1" si="255"/>
        <v>0</v>
      </c>
      <c r="BC102" s="609">
        <f t="shared" ca="1" si="255"/>
        <v>0</v>
      </c>
      <c r="BD102" s="609">
        <f t="shared" ca="1" si="255"/>
        <v>0</v>
      </c>
      <c r="BE102" s="609">
        <f t="shared" ca="1" si="25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0.91895573071530778</v>
      </c>
      <c r="BJ102" s="664">
        <f ca="1">SUM(BH102:BI102)</f>
        <v>0.91895573071530778</v>
      </c>
      <c r="BK102" s="6"/>
      <c r="BL102" s="3477">
        <f t="shared" ref="BL102:BL109" ca="1" si="256">Q102+AK102+BF102+BJ102</f>
        <v>3.9968028886505635E-15</v>
      </c>
      <c r="BM102" s="610"/>
      <c r="BO102" s="2789">
        <f t="shared" ref="BO102:BX103" ca="1" si="257">IFERROR(SUMIFS(INDIRECT($C102&amp;".Emissions["&amp;this.Year&amp;"]"), INDIRECT($C102&amp;".Emissions[GHG]"), BO$6, INDIRECT($C102&amp;".Emissions[IPCC Sector]"), BO$5),0)</f>
        <v>0</v>
      </c>
      <c r="BP102" s="2790">
        <f t="shared" ca="1" si="257"/>
        <v>0</v>
      </c>
      <c r="BQ102" s="2790">
        <f t="shared" ca="1" si="257"/>
        <v>0</v>
      </c>
      <c r="BR102" s="2790">
        <f t="shared" ca="1" si="257"/>
        <v>0</v>
      </c>
      <c r="BS102" s="2790">
        <f t="shared" ca="1" si="257"/>
        <v>0</v>
      </c>
      <c r="BT102" s="2790">
        <f t="shared" ca="1" si="257"/>
        <v>2.6717876539168711E-2</v>
      </c>
      <c r="BU102" s="2790">
        <f t="shared" ca="1" si="257"/>
        <v>0</v>
      </c>
      <c r="BV102" s="2790">
        <f t="shared" ca="1" si="257"/>
        <v>0</v>
      </c>
      <c r="BW102" s="2790">
        <f t="shared" ca="1" si="257"/>
        <v>0</v>
      </c>
      <c r="BX102" s="2790">
        <f t="shared" ca="1" si="257"/>
        <v>0</v>
      </c>
      <c r="BY102" s="2790">
        <f t="shared" ref="BY102:CH103" ca="1" si="258">IFERROR(SUMIFS(INDIRECT($C102&amp;".Emissions["&amp;this.Year&amp;"]"), INDIRECT($C102&amp;".Emissions[GHG]"), BY$6, INDIRECT($C102&amp;".Emissions[IPCC Sector]"), BY$5),0)</f>
        <v>0</v>
      </c>
      <c r="BZ102" s="2790">
        <f t="shared" ca="1" si="258"/>
        <v>0</v>
      </c>
      <c r="CA102" s="2790">
        <f t="shared" ca="1" si="258"/>
        <v>0</v>
      </c>
      <c r="CB102" s="2790">
        <f t="shared" ca="1" si="258"/>
        <v>0</v>
      </c>
      <c r="CC102" s="2790">
        <f t="shared" ca="1" si="258"/>
        <v>0</v>
      </c>
      <c r="CD102" s="2790">
        <f t="shared" ca="1" si="258"/>
        <v>0</v>
      </c>
      <c r="CE102" s="2790">
        <f t="shared" ca="1" si="258"/>
        <v>0</v>
      </c>
      <c r="CF102" s="2790">
        <f t="shared" ca="1" si="258"/>
        <v>0</v>
      </c>
      <c r="CG102" s="2790">
        <f t="shared" ca="1" si="258"/>
        <v>0</v>
      </c>
      <c r="CH102" s="2790">
        <f t="shared" ca="1" si="258"/>
        <v>0</v>
      </c>
      <c r="CI102" s="2790">
        <f t="shared" ref="CI102:CR103" ca="1" si="259">IFERROR(SUMIFS(INDIRECT($C102&amp;".Emissions["&amp;this.Year&amp;"]"), INDIRECT($C102&amp;".Emissions[GHG]"), CI$6, INDIRECT($C102&amp;".Emissions[IPCC Sector]"), CI$5),0)</f>
        <v>0</v>
      </c>
      <c r="CJ102" s="2790">
        <f t="shared" ca="1" si="259"/>
        <v>0</v>
      </c>
      <c r="CK102" s="2790">
        <f t="shared" ca="1" si="259"/>
        <v>0</v>
      </c>
      <c r="CL102" s="2790">
        <f t="shared" ca="1" si="259"/>
        <v>0</v>
      </c>
      <c r="CM102" s="2790">
        <f t="shared" ca="1" si="259"/>
        <v>0</v>
      </c>
      <c r="CN102" s="2790">
        <f t="shared" ca="1" si="259"/>
        <v>0</v>
      </c>
      <c r="CO102" s="2790">
        <f t="shared" ca="1" si="259"/>
        <v>0</v>
      </c>
      <c r="CP102" s="2790">
        <f t="shared" ca="1" si="259"/>
        <v>0</v>
      </c>
      <c r="CQ102" s="2790">
        <f t="shared" ca="1" si="259"/>
        <v>0</v>
      </c>
      <c r="CR102" s="2790">
        <f t="shared" ca="1" si="259"/>
        <v>0</v>
      </c>
      <c r="CS102" s="2790">
        <f t="shared" ref="CS102:DF103" ca="1" si="260">IFERROR(SUMIFS(INDIRECT($C102&amp;".Emissions["&amp;this.Year&amp;"]"), INDIRECT($C102&amp;".Emissions[GHG]"), CS$6, INDIRECT($C102&amp;".Emissions[IPCC Sector]"), CS$5),0)</f>
        <v>0</v>
      </c>
      <c r="CT102" s="2790">
        <f t="shared" ca="1" si="260"/>
        <v>0</v>
      </c>
      <c r="CU102" s="2790">
        <f t="shared" ca="1" si="260"/>
        <v>0</v>
      </c>
      <c r="CV102" s="2790">
        <f t="shared" ca="1" si="260"/>
        <v>0</v>
      </c>
      <c r="CW102" s="2790">
        <f t="shared" ca="1" si="260"/>
        <v>0</v>
      </c>
      <c r="CX102" s="2790">
        <f t="shared" ca="1" si="260"/>
        <v>0</v>
      </c>
      <c r="CY102" s="2790">
        <f t="shared" ca="1" si="260"/>
        <v>0</v>
      </c>
      <c r="CZ102" s="2790">
        <f t="shared" ca="1" si="260"/>
        <v>0</v>
      </c>
      <c r="DA102" s="2790">
        <f t="shared" ca="1" si="260"/>
        <v>0</v>
      </c>
      <c r="DB102" s="2790">
        <f t="shared" ca="1" si="260"/>
        <v>0</v>
      </c>
      <c r="DC102" s="2790">
        <f t="shared" ca="1" si="260"/>
        <v>0</v>
      </c>
      <c r="DD102" s="2790">
        <f t="shared" ca="1" si="260"/>
        <v>0</v>
      </c>
      <c r="DE102" s="2790">
        <f t="shared" ca="1" si="260"/>
        <v>0</v>
      </c>
      <c r="DF102" s="2790">
        <f t="shared" ca="1" si="260"/>
        <v>0</v>
      </c>
      <c r="DH102" s="596">
        <f t="shared" ca="1" si="238"/>
        <v>2.6717876539168711E-2</v>
      </c>
    </row>
    <row r="103" spans="1:112" s="607" customFormat="1" ht="12.75" customHeight="1" outlineLevel="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-69.816975780787857</v>
      </c>
      <c r="U103" s="711"/>
      <c r="V103" s="711"/>
      <c r="W103" s="711"/>
      <c r="X103" s="711">
        <f ca="1">-(X$40+X$84+X$93+X$99+X$102)</f>
        <v>-0.21811357288438121</v>
      </c>
      <c r="Y103" s="711">
        <f ca="1">-(Y$40+Y$84+Y$93+Y$99+Y$102)</f>
        <v>50.942465881243002</v>
      </c>
      <c r="Z103" s="711">
        <f ca="1">-(Z$40+Z$84+Z$93+Z$99+Z$102)</f>
        <v>62.182671111735829</v>
      </c>
      <c r="AA103" s="711"/>
      <c r="AB103" s="711"/>
      <c r="AC103" s="711"/>
      <c r="AD103" s="711"/>
      <c r="AE103" s="711"/>
      <c r="AF103" s="711"/>
      <c r="AG103" s="711"/>
      <c r="AH103" s="711"/>
      <c r="AI103" s="711"/>
      <c r="AJ103" s="711"/>
      <c r="AK103" s="711">
        <f ca="1">SUM(S103:AJ103)</f>
        <v>43.090047639306597</v>
      </c>
      <c r="AL103" s="6"/>
      <c r="AM103" s="615"/>
      <c r="AN103" s="615"/>
      <c r="AO103" s="615"/>
      <c r="AP103" s="615"/>
      <c r="AQ103" s="615">
        <f ca="1">-T103</f>
        <v>69.816975780787857</v>
      </c>
      <c r="AR103" s="615">
        <f>-V103</f>
        <v>0</v>
      </c>
      <c r="AS103" s="615">
        <f ca="1">-X103</f>
        <v>0.21811357288438121</v>
      </c>
      <c r="AT103" s="615">
        <f ca="1">-Y103</f>
        <v>-50.942465881243002</v>
      </c>
      <c r="AU103" s="615">
        <f ca="1">-Z103</f>
        <v>-62.182671111735829</v>
      </c>
      <c r="AV103" s="615"/>
      <c r="AW103" s="615"/>
      <c r="AX103" s="615"/>
      <c r="AY103" s="615"/>
      <c r="AZ103" s="615"/>
      <c r="BA103" s="615"/>
      <c r="BB103" s="615"/>
      <c r="BC103" s="615"/>
      <c r="BD103" s="615"/>
      <c r="BE103" s="615"/>
      <c r="BF103" s="615">
        <f ca="1">SUM(AM103:BE103)</f>
        <v>-43.090047639306597</v>
      </c>
      <c r="BG103" s="6"/>
      <c r="BH103" s="712"/>
      <c r="BI103" s="712"/>
      <c r="BJ103" s="712">
        <f>SUM(BH103:BI103)</f>
        <v>0</v>
      </c>
      <c r="BK103" s="6"/>
      <c r="BL103" s="3477">
        <f t="shared" ca="1" si="256"/>
        <v>0</v>
      </c>
      <c r="BM103" s="610"/>
      <c r="BO103" s="2791">
        <f t="shared" ca="1" si="257"/>
        <v>0</v>
      </c>
      <c r="BP103" s="2792">
        <f t="shared" ca="1" si="257"/>
        <v>0</v>
      </c>
      <c r="BQ103" s="2792">
        <f t="shared" ca="1" si="257"/>
        <v>0</v>
      </c>
      <c r="BR103" s="2792">
        <f t="shared" ca="1" si="257"/>
        <v>0</v>
      </c>
      <c r="BS103" s="2792">
        <f t="shared" ca="1" si="257"/>
        <v>0</v>
      </c>
      <c r="BT103" s="2792">
        <f t="shared" ca="1" si="257"/>
        <v>0</v>
      </c>
      <c r="BU103" s="2792">
        <f t="shared" ca="1" si="257"/>
        <v>0</v>
      </c>
      <c r="BV103" s="2792">
        <f t="shared" ca="1" si="257"/>
        <v>0</v>
      </c>
      <c r="BW103" s="2792">
        <f t="shared" ca="1" si="257"/>
        <v>0</v>
      </c>
      <c r="BX103" s="2792">
        <f t="shared" ca="1" si="257"/>
        <v>0</v>
      </c>
      <c r="BY103" s="2792">
        <f t="shared" ca="1" si="258"/>
        <v>0</v>
      </c>
      <c r="BZ103" s="2792">
        <f t="shared" ca="1" si="258"/>
        <v>0</v>
      </c>
      <c r="CA103" s="2792">
        <f t="shared" ca="1" si="258"/>
        <v>0</v>
      </c>
      <c r="CB103" s="2792">
        <f t="shared" ca="1" si="258"/>
        <v>0</v>
      </c>
      <c r="CC103" s="2792">
        <f t="shared" ca="1" si="258"/>
        <v>0</v>
      </c>
      <c r="CD103" s="2792">
        <f t="shared" ca="1" si="258"/>
        <v>0</v>
      </c>
      <c r="CE103" s="2792">
        <f t="shared" ca="1" si="258"/>
        <v>0</v>
      </c>
      <c r="CF103" s="2792">
        <f t="shared" ca="1" si="258"/>
        <v>0</v>
      </c>
      <c r="CG103" s="2792">
        <f t="shared" ca="1" si="258"/>
        <v>0</v>
      </c>
      <c r="CH103" s="2792">
        <f t="shared" ca="1" si="258"/>
        <v>0</v>
      </c>
      <c r="CI103" s="2792">
        <f t="shared" ca="1" si="259"/>
        <v>0</v>
      </c>
      <c r="CJ103" s="2792">
        <f t="shared" ca="1" si="259"/>
        <v>0</v>
      </c>
      <c r="CK103" s="2792">
        <f t="shared" ca="1" si="259"/>
        <v>0</v>
      </c>
      <c r="CL103" s="2792">
        <f t="shared" ca="1" si="259"/>
        <v>0</v>
      </c>
      <c r="CM103" s="2792">
        <f t="shared" ca="1" si="259"/>
        <v>0</v>
      </c>
      <c r="CN103" s="2792">
        <f t="shared" ca="1" si="259"/>
        <v>0</v>
      </c>
      <c r="CO103" s="2792">
        <f t="shared" ca="1" si="259"/>
        <v>0</v>
      </c>
      <c r="CP103" s="2792">
        <f t="shared" ca="1" si="259"/>
        <v>0</v>
      </c>
      <c r="CQ103" s="2792">
        <f t="shared" ca="1" si="259"/>
        <v>0</v>
      </c>
      <c r="CR103" s="2792">
        <f t="shared" ca="1" si="259"/>
        <v>0</v>
      </c>
      <c r="CS103" s="2792">
        <f t="shared" ca="1" si="260"/>
        <v>0</v>
      </c>
      <c r="CT103" s="2792">
        <f t="shared" ca="1" si="260"/>
        <v>0</v>
      </c>
      <c r="CU103" s="2792">
        <f t="shared" ca="1" si="260"/>
        <v>0</v>
      </c>
      <c r="CV103" s="2792">
        <f t="shared" ca="1" si="260"/>
        <v>0</v>
      </c>
      <c r="CW103" s="2792">
        <f t="shared" ca="1" si="260"/>
        <v>0</v>
      </c>
      <c r="CX103" s="2792">
        <f t="shared" ca="1" si="260"/>
        <v>0</v>
      </c>
      <c r="CY103" s="2792">
        <f t="shared" ca="1" si="260"/>
        <v>0</v>
      </c>
      <c r="CZ103" s="2792">
        <f t="shared" ca="1" si="260"/>
        <v>0</v>
      </c>
      <c r="DA103" s="2792">
        <f t="shared" ca="1" si="260"/>
        <v>0</v>
      </c>
      <c r="DB103" s="2792">
        <f t="shared" ca="1" si="260"/>
        <v>0</v>
      </c>
      <c r="DC103" s="2792">
        <f t="shared" ca="1" si="260"/>
        <v>0</v>
      </c>
      <c r="DD103" s="2792">
        <f t="shared" ca="1" si="260"/>
        <v>0</v>
      </c>
      <c r="DE103" s="2792">
        <f t="shared" ca="1" si="260"/>
        <v>0</v>
      </c>
      <c r="DF103" s="2792">
        <f t="shared" ca="1" si="260"/>
        <v>0</v>
      </c>
      <c r="DH103" s="596">
        <f t="shared" ca="1" si="238"/>
        <v>0</v>
      </c>
    </row>
    <row r="104" spans="1:112" s="6" customFormat="1" ht="15.75">
      <c r="B104" s="3" t="s">
        <v>585</v>
      </c>
      <c r="C104" s="629" t="s">
        <v>588</v>
      </c>
      <c r="D104" s="617" t="s">
        <v>589</v>
      </c>
      <c r="E104" s="519"/>
      <c r="G104" s="618">
        <f t="shared" ref="G104:P104" ca="1" si="261">SUM(G102:G103)</f>
        <v>0</v>
      </c>
      <c r="H104" s="618">
        <f t="shared" ca="1" si="261"/>
        <v>0</v>
      </c>
      <c r="I104" s="618">
        <f t="shared" ca="1" si="261"/>
        <v>0</v>
      </c>
      <c r="J104" s="618">
        <f t="shared" ca="1" si="261"/>
        <v>0</v>
      </c>
      <c r="K104" s="618">
        <f t="shared" ca="1" si="261"/>
        <v>0</v>
      </c>
      <c r="L104" s="618">
        <f t="shared" ca="1" si="261"/>
        <v>0</v>
      </c>
      <c r="M104" s="618">
        <f t="shared" ca="1" si="261"/>
        <v>0</v>
      </c>
      <c r="N104" s="618">
        <f t="shared" ca="1" si="261"/>
        <v>0</v>
      </c>
      <c r="O104" s="618">
        <f t="shared" ca="1" si="261"/>
        <v>0</v>
      </c>
      <c r="P104" s="618">
        <f t="shared" ca="1" si="261"/>
        <v>0</v>
      </c>
      <c r="Q104" s="618">
        <f ca="1">SUM(G104:P104)</f>
        <v>0</v>
      </c>
      <c r="S104" s="581">
        <f t="shared" ref="S104:AJ104" ca="1" si="262">SUM(S102:S103)</f>
        <v>0</v>
      </c>
      <c r="T104" s="581">
        <f t="shared" ca="1" si="262"/>
        <v>-69.816975780787857</v>
      </c>
      <c r="U104" s="581">
        <f t="shared" ca="1" si="262"/>
        <v>0</v>
      </c>
      <c r="V104" s="581">
        <f t="shared" ca="1" si="262"/>
        <v>50.942465881243002</v>
      </c>
      <c r="W104" s="581">
        <f t="shared" ca="1" si="262"/>
        <v>61.263715381020518</v>
      </c>
      <c r="X104" s="581">
        <f t="shared" ca="1" si="262"/>
        <v>-0.21811357288438121</v>
      </c>
      <c r="Y104" s="581">
        <f t="shared" ca="1" si="262"/>
        <v>0</v>
      </c>
      <c r="Z104" s="581">
        <f t="shared" ca="1" si="262"/>
        <v>0</v>
      </c>
      <c r="AA104" s="581">
        <f t="shared" ca="1" si="262"/>
        <v>0</v>
      </c>
      <c r="AB104" s="581">
        <f t="shared" ca="1" si="262"/>
        <v>0</v>
      </c>
      <c r="AC104" s="581">
        <f t="shared" ca="1" si="262"/>
        <v>0</v>
      </c>
      <c r="AD104" s="581">
        <f t="shared" ca="1" si="262"/>
        <v>0</v>
      </c>
      <c r="AE104" s="581">
        <f ca="1">SUM(AE102:AE103)</f>
        <v>0</v>
      </c>
      <c r="AF104" s="581">
        <f t="shared" ca="1" si="262"/>
        <v>0</v>
      </c>
      <c r="AG104" s="581">
        <f t="shared" ca="1" si="262"/>
        <v>0</v>
      </c>
      <c r="AH104" s="581">
        <f ca="1">SUM(AH102:AH103)</f>
        <v>0</v>
      </c>
      <c r="AI104" s="581">
        <f t="shared" ca="1" si="262"/>
        <v>0</v>
      </c>
      <c r="AJ104" s="581">
        <f t="shared" ca="1" si="262"/>
        <v>0</v>
      </c>
      <c r="AK104" s="581">
        <f ca="1">SUM(S104:AJ104)</f>
        <v>42.171091908591279</v>
      </c>
      <c r="AM104" s="582">
        <f t="shared" ref="AM104:BE104" ca="1" si="263">SUM(AM102:AM103)</f>
        <v>0</v>
      </c>
      <c r="AN104" s="582">
        <f t="shared" ca="1" si="263"/>
        <v>0</v>
      </c>
      <c r="AO104" s="582">
        <f t="shared" ca="1" si="263"/>
        <v>0</v>
      </c>
      <c r="AP104" s="582">
        <f t="shared" ca="1" si="263"/>
        <v>0</v>
      </c>
      <c r="AQ104" s="582">
        <f t="shared" ca="1" si="263"/>
        <v>69.816975780787857</v>
      </c>
      <c r="AR104" s="582">
        <f t="shared" ca="1" si="263"/>
        <v>0</v>
      </c>
      <c r="AS104" s="582">
        <f t="shared" ca="1" si="263"/>
        <v>0.21811357288438121</v>
      </c>
      <c r="AT104" s="582">
        <f t="shared" ca="1" si="263"/>
        <v>-50.942465881243002</v>
      </c>
      <c r="AU104" s="582">
        <f t="shared" ca="1" si="263"/>
        <v>-62.182671111735829</v>
      </c>
      <c r="AV104" s="582">
        <f t="shared" ca="1" si="263"/>
        <v>0</v>
      </c>
      <c r="AW104" s="582">
        <f t="shared" ca="1" si="263"/>
        <v>0</v>
      </c>
      <c r="AX104" s="582">
        <f t="shared" ca="1" si="263"/>
        <v>0</v>
      </c>
      <c r="AY104" s="582">
        <f t="shared" ca="1" si="263"/>
        <v>0</v>
      </c>
      <c r="AZ104" s="582">
        <f t="shared" ca="1" si="263"/>
        <v>0</v>
      </c>
      <c r="BA104" s="582">
        <f t="shared" ca="1" si="263"/>
        <v>0</v>
      </c>
      <c r="BB104" s="582">
        <f t="shared" ca="1" si="263"/>
        <v>0</v>
      </c>
      <c r="BC104" s="582">
        <f t="shared" ca="1" si="263"/>
        <v>0</v>
      </c>
      <c r="BD104" s="582">
        <f t="shared" ca="1" si="263"/>
        <v>0</v>
      </c>
      <c r="BE104" s="582">
        <f t="shared" ca="1" si="263"/>
        <v>0</v>
      </c>
      <c r="BF104" s="582">
        <f ca="1">SUM(AM104:BE104)</f>
        <v>-43.090047639306597</v>
      </c>
      <c r="BH104" s="3463">
        <f ca="1">SUM(BH102:BH103)</f>
        <v>0</v>
      </c>
      <c r="BI104" s="3463">
        <f ca="1">SUM(BI102:BI103)</f>
        <v>0.91895573071530778</v>
      </c>
      <c r="BJ104" s="3463">
        <f ca="1">SUM(BH104:BI104)</f>
        <v>0.91895573071530778</v>
      </c>
      <c r="BL104" s="3477">
        <f t="shared" ca="1" si="256"/>
        <v>-1.021405182655144E-14</v>
      </c>
      <c r="BM104" s="584"/>
      <c r="BN104" s="413"/>
      <c r="BO104" s="2790">
        <f t="shared" ref="BO104:DF104" ca="1" si="264">SUM(BO102:BO103)</f>
        <v>0</v>
      </c>
      <c r="BP104" s="2790">
        <f t="shared" ca="1" si="264"/>
        <v>0</v>
      </c>
      <c r="BQ104" s="2790">
        <f t="shared" ca="1" si="264"/>
        <v>0</v>
      </c>
      <c r="BR104" s="2790">
        <f t="shared" ca="1" si="264"/>
        <v>0</v>
      </c>
      <c r="BS104" s="2790">
        <f t="shared" ca="1" si="264"/>
        <v>0</v>
      </c>
      <c r="BT104" s="2790">
        <f t="shared" ca="1" si="264"/>
        <v>2.6717876539168711E-2</v>
      </c>
      <c r="BU104" s="2790">
        <f t="shared" ca="1" si="264"/>
        <v>0</v>
      </c>
      <c r="BV104" s="2790">
        <f t="shared" ca="1" si="264"/>
        <v>0</v>
      </c>
      <c r="BW104" s="2790">
        <f t="shared" ca="1" si="264"/>
        <v>0</v>
      </c>
      <c r="BX104" s="2790">
        <f t="shared" ca="1" si="264"/>
        <v>0</v>
      </c>
      <c r="BY104" s="2790">
        <f t="shared" ca="1" si="264"/>
        <v>0</v>
      </c>
      <c r="BZ104" s="2790">
        <f t="shared" ca="1" si="264"/>
        <v>0</v>
      </c>
      <c r="CA104" s="2790">
        <f t="shared" ca="1" si="264"/>
        <v>0</v>
      </c>
      <c r="CB104" s="2790">
        <f t="shared" ca="1" si="264"/>
        <v>0</v>
      </c>
      <c r="CC104" s="2790">
        <f t="shared" ca="1" si="264"/>
        <v>0</v>
      </c>
      <c r="CD104" s="2790">
        <f t="shared" ca="1" si="264"/>
        <v>0</v>
      </c>
      <c r="CE104" s="2790">
        <f t="shared" ca="1" si="264"/>
        <v>0</v>
      </c>
      <c r="CF104" s="2790">
        <f t="shared" ca="1" si="264"/>
        <v>0</v>
      </c>
      <c r="CG104" s="2790">
        <f t="shared" ca="1" si="264"/>
        <v>0</v>
      </c>
      <c r="CH104" s="2790">
        <f t="shared" ca="1" si="264"/>
        <v>0</v>
      </c>
      <c r="CI104" s="2790">
        <f t="shared" ca="1" si="264"/>
        <v>0</v>
      </c>
      <c r="CJ104" s="2790">
        <f t="shared" ca="1" si="264"/>
        <v>0</v>
      </c>
      <c r="CK104" s="2790">
        <f t="shared" ca="1" si="264"/>
        <v>0</v>
      </c>
      <c r="CL104" s="2790">
        <f t="shared" ca="1" si="264"/>
        <v>0</v>
      </c>
      <c r="CM104" s="2790">
        <f t="shared" ca="1" si="264"/>
        <v>0</v>
      </c>
      <c r="CN104" s="2790">
        <f t="shared" ca="1" si="264"/>
        <v>0</v>
      </c>
      <c r="CO104" s="2790">
        <f t="shared" ca="1" si="264"/>
        <v>0</v>
      </c>
      <c r="CP104" s="2790">
        <f t="shared" ca="1" si="264"/>
        <v>0</v>
      </c>
      <c r="CQ104" s="2790">
        <f t="shared" ca="1" si="264"/>
        <v>0</v>
      </c>
      <c r="CR104" s="2790">
        <f t="shared" ca="1" si="264"/>
        <v>0</v>
      </c>
      <c r="CS104" s="2790">
        <f t="shared" ca="1" si="264"/>
        <v>0</v>
      </c>
      <c r="CT104" s="2790">
        <f t="shared" ca="1" si="264"/>
        <v>0</v>
      </c>
      <c r="CU104" s="2790">
        <f t="shared" ca="1" si="264"/>
        <v>0</v>
      </c>
      <c r="CV104" s="2790">
        <f t="shared" ca="1" si="264"/>
        <v>0</v>
      </c>
      <c r="CW104" s="2790">
        <f t="shared" ca="1" si="264"/>
        <v>0</v>
      </c>
      <c r="CX104" s="2790">
        <f t="shared" ca="1" si="264"/>
        <v>0</v>
      </c>
      <c r="CY104" s="2790">
        <f t="shared" ca="1" si="264"/>
        <v>0</v>
      </c>
      <c r="CZ104" s="2790">
        <f t="shared" ca="1" si="264"/>
        <v>0</v>
      </c>
      <c r="DA104" s="2790">
        <f t="shared" ca="1" si="264"/>
        <v>0</v>
      </c>
      <c r="DB104" s="2790">
        <f t="shared" ca="1" si="264"/>
        <v>0</v>
      </c>
      <c r="DC104" s="2790">
        <f t="shared" ca="1" si="264"/>
        <v>0</v>
      </c>
      <c r="DD104" s="2790">
        <f t="shared" ca="1" si="264"/>
        <v>0</v>
      </c>
      <c r="DE104" s="2790">
        <f t="shared" ca="1" si="264"/>
        <v>0</v>
      </c>
      <c r="DF104" s="2790">
        <f t="shared" ca="1" si="264"/>
        <v>0</v>
      </c>
      <c r="DH104" s="596">
        <f t="shared" ca="1" si="238"/>
        <v>2.6717876539168711E-2</v>
      </c>
    </row>
    <row r="105" spans="1:112" s="6" customFormat="1" ht="6" customHeight="1">
      <c r="C105" s="518"/>
      <c r="D105" s="519"/>
      <c r="E105" s="519"/>
      <c r="G105" s="579"/>
      <c r="H105" s="579"/>
      <c r="I105" s="579"/>
      <c r="J105" s="579"/>
      <c r="K105" s="638"/>
      <c r="L105" s="579"/>
      <c r="M105" s="579"/>
      <c r="N105" s="579"/>
      <c r="O105" s="579"/>
      <c r="P105" s="579"/>
      <c r="Q105" s="579"/>
      <c r="S105" s="581"/>
      <c r="T105" s="581"/>
      <c r="U105" s="581"/>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5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65">G$93+G$99+G$104</f>
        <v>0</v>
      </c>
      <c r="H106" s="680">
        <f t="shared" ca="1" si="265"/>
        <v>0</v>
      </c>
      <c r="I106" s="680">
        <f t="shared" ca="1" si="265"/>
        <v>0</v>
      </c>
      <c r="J106" s="680">
        <f t="shared" ca="1" si="265"/>
        <v>0</v>
      </c>
      <c r="K106" s="681">
        <f t="shared" ca="1" si="265"/>
        <v>0</v>
      </c>
      <c r="L106" s="680">
        <f t="shared" ca="1" si="265"/>
        <v>0</v>
      </c>
      <c r="M106" s="680">
        <f t="shared" ca="1" si="265"/>
        <v>0</v>
      </c>
      <c r="N106" s="680">
        <f t="shared" ca="1" si="265"/>
        <v>0</v>
      </c>
      <c r="O106" s="680">
        <f t="shared" ca="1" si="265"/>
        <v>0</v>
      </c>
      <c r="P106" s="680">
        <f t="shared" ca="1" si="265"/>
        <v>0</v>
      </c>
      <c r="Q106" s="633">
        <f ca="1">SUM(G106:P106)</f>
        <v>0</v>
      </c>
      <c r="S106" s="634">
        <f t="shared" ref="S106:AJ106" ca="1" si="266">S$93+S$99+S$104</f>
        <v>0</v>
      </c>
      <c r="T106" s="634">
        <f t="shared" ca="1" si="266"/>
        <v>-64.785614211322482</v>
      </c>
      <c r="U106" s="634">
        <f t="shared" ca="1" si="266"/>
        <v>26.608380914267954</v>
      </c>
      <c r="V106" s="634">
        <f t="shared" ca="1" si="266"/>
        <v>58.124185560784845</v>
      </c>
      <c r="W106" s="634">
        <f t="shared" ca="1" si="266"/>
        <v>81.151315027229458</v>
      </c>
      <c r="X106" s="634">
        <f t="shared" ca="1" si="266"/>
        <v>-0.21811357288438121</v>
      </c>
      <c r="Y106" s="634">
        <f t="shared" ca="1" si="266"/>
        <v>0</v>
      </c>
      <c r="Z106" s="634">
        <f t="shared" ca="1" si="266"/>
        <v>0</v>
      </c>
      <c r="AA106" s="634">
        <f t="shared" ca="1" si="266"/>
        <v>0</v>
      </c>
      <c r="AB106" s="634">
        <f t="shared" ca="1" si="266"/>
        <v>0</v>
      </c>
      <c r="AC106" s="634">
        <f t="shared" ca="1" si="266"/>
        <v>0</v>
      </c>
      <c r="AD106" s="634">
        <f t="shared" ca="1" si="266"/>
        <v>-69.068203392186163</v>
      </c>
      <c r="AE106" s="634">
        <f t="shared" ca="1" si="266"/>
        <v>-0.89383864833915727</v>
      </c>
      <c r="AF106" s="634">
        <f t="shared" ca="1" si="266"/>
        <v>-23.453273053128505</v>
      </c>
      <c r="AG106" s="634">
        <f t="shared" ca="1" si="266"/>
        <v>-23.221401849807123</v>
      </c>
      <c r="AH106" s="634">
        <f t="shared" ca="1" si="266"/>
        <v>-0.14940807387289254</v>
      </c>
      <c r="AI106" s="634">
        <f t="shared" ca="1" si="266"/>
        <v>0</v>
      </c>
      <c r="AJ106" s="634">
        <f t="shared" ca="1" si="266"/>
        <v>0</v>
      </c>
      <c r="AK106" s="634">
        <f ca="1">SUM(S106:AJ106)</f>
        <v>-15.905971299258452</v>
      </c>
      <c r="AM106" s="635">
        <f t="shared" ref="AM106:BE106" ca="1" si="267">AM$93+AM$99+AM$104</f>
        <v>0</v>
      </c>
      <c r="AN106" s="635">
        <f t="shared" ca="1" si="267"/>
        <v>0</v>
      </c>
      <c r="AO106" s="635">
        <f t="shared" ca="1" si="267"/>
        <v>0</v>
      </c>
      <c r="AP106" s="635">
        <f t="shared" ca="1" si="267"/>
        <v>54.387755042114314</v>
      </c>
      <c r="AQ106" s="635">
        <f t="shared" ca="1" si="267"/>
        <v>60.816975780787857</v>
      </c>
      <c r="AR106" s="635">
        <f t="shared" ca="1" si="267"/>
        <v>0</v>
      </c>
      <c r="AS106" s="635">
        <f t="shared" ca="1" si="267"/>
        <v>0.21811357288438121</v>
      </c>
      <c r="AT106" s="635">
        <f t="shared" ca="1" si="267"/>
        <v>-50.942465881243002</v>
      </c>
      <c r="AU106" s="635">
        <f t="shared" ca="1" si="267"/>
        <v>-62.182671111735829</v>
      </c>
      <c r="AV106" s="635">
        <f t="shared" ca="1" si="267"/>
        <v>0</v>
      </c>
      <c r="AW106" s="635">
        <f t="shared" ca="1" si="267"/>
        <v>0</v>
      </c>
      <c r="AX106" s="635">
        <f t="shared" ca="1" si="267"/>
        <v>0</v>
      </c>
      <c r="AY106" s="635">
        <f t="shared" ca="1" si="267"/>
        <v>0</v>
      </c>
      <c r="AZ106" s="635">
        <f t="shared" ca="1" si="267"/>
        <v>0</v>
      </c>
      <c r="BA106" s="635">
        <f t="shared" ca="1" si="267"/>
        <v>0</v>
      </c>
      <c r="BB106" s="635">
        <f t="shared" ca="1" si="267"/>
        <v>0</v>
      </c>
      <c r="BC106" s="635">
        <f t="shared" ca="1" si="267"/>
        <v>0</v>
      </c>
      <c r="BD106" s="635">
        <f t="shared" ca="1" si="267"/>
        <v>0</v>
      </c>
      <c r="BE106" s="635">
        <f t="shared" ca="1" si="267"/>
        <v>0</v>
      </c>
      <c r="BF106" s="635">
        <f ca="1">SUM(AM106:BE106)</f>
        <v>2.2977074028077311</v>
      </c>
      <c r="BH106" s="3464">
        <f ca="1">BH$93+BH$99+BH$104</f>
        <v>8.7206697352007865</v>
      </c>
      <c r="BI106" s="3464">
        <f ca="1">BI$93+BI$99+BI$104</f>
        <v>4.887594161249929</v>
      </c>
      <c r="BJ106" s="3464">
        <f ca="1">SUM(BH106:BI106)</f>
        <v>13.608263896450715</v>
      </c>
      <c r="BL106" s="3478">
        <f t="shared" ca="1" si="256"/>
        <v>0</v>
      </c>
      <c r="BM106" s="636"/>
      <c r="BO106" s="2793">
        <f t="shared" ref="BO106:DE106" ca="1" si="268">BO$93+BO$99+BO$104</f>
        <v>0</v>
      </c>
      <c r="BP106" s="2793">
        <f t="shared" ca="1" si="268"/>
        <v>0</v>
      </c>
      <c r="BQ106" s="2793">
        <f t="shared" ca="1" si="268"/>
        <v>0</v>
      </c>
      <c r="BR106" s="2793">
        <f t="shared" ca="1" si="268"/>
        <v>0</v>
      </c>
      <c r="BS106" s="2793">
        <f t="shared" ca="1" si="268"/>
        <v>0</v>
      </c>
      <c r="BT106" s="2793">
        <f t="shared" ca="1" si="268"/>
        <v>2.6717876539168711E-2</v>
      </c>
      <c r="BU106" s="2793">
        <f t="shared" ca="1" si="268"/>
        <v>0</v>
      </c>
      <c r="BV106" s="2793">
        <f t="shared" ca="1" si="268"/>
        <v>0</v>
      </c>
      <c r="BW106" s="2793">
        <f t="shared" ca="1" si="268"/>
        <v>0</v>
      </c>
      <c r="BX106" s="2793">
        <f t="shared" ca="1" si="268"/>
        <v>0</v>
      </c>
      <c r="BY106" s="2793">
        <f t="shared" ca="1" si="268"/>
        <v>0</v>
      </c>
      <c r="BZ106" s="2793">
        <f t="shared" ca="1" si="268"/>
        <v>0</v>
      </c>
      <c r="CA106" s="2793">
        <f t="shared" ca="1" si="268"/>
        <v>0</v>
      </c>
      <c r="CB106" s="2793">
        <f t="shared" ca="1" si="268"/>
        <v>0</v>
      </c>
      <c r="CC106" s="2793">
        <f t="shared" ca="1" si="268"/>
        <v>0</v>
      </c>
      <c r="CD106" s="2793">
        <f t="shared" ca="1" si="268"/>
        <v>0</v>
      </c>
      <c r="CE106" s="2793">
        <f t="shared" ca="1" si="268"/>
        <v>0</v>
      </c>
      <c r="CF106" s="2793">
        <f t="shared" ca="1" si="268"/>
        <v>0</v>
      </c>
      <c r="CG106" s="2793">
        <f t="shared" ca="1" si="268"/>
        <v>0</v>
      </c>
      <c r="CH106" s="2793">
        <f t="shared" ca="1" si="268"/>
        <v>0</v>
      </c>
      <c r="CI106" s="2793">
        <f t="shared" ca="1" si="268"/>
        <v>0</v>
      </c>
      <c r="CJ106" s="2793">
        <f t="shared" ca="1" si="268"/>
        <v>0</v>
      </c>
      <c r="CK106" s="2793">
        <f t="shared" ca="1" si="268"/>
        <v>0</v>
      </c>
      <c r="CL106" s="2793">
        <f t="shared" ca="1" si="268"/>
        <v>0</v>
      </c>
      <c r="CM106" s="2793">
        <f t="shared" ca="1" si="268"/>
        <v>0</v>
      </c>
      <c r="CN106" s="2793">
        <f t="shared" ca="1" si="268"/>
        <v>0</v>
      </c>
      <c r="CO106" s="2793">
        <f t="shared" ca="1" si="268"/>
        <v>0</v>
      </c>
      <c r="CP106" s="2793">
        <f t="shared" ca="1" si="268"/>
        <v>0</v>
      </c>
      <c r="CQ106" s="2793">
        <f t="shared" ca="1" si="268"/>
        <v>0</v>
      </c>
      <c r="CR106" s="2793">
        <f t="shared" ca="1" si="268"/>
        <v>0</v>
      </c>
      <c r="CS106" s="2793">
        <f t="shared" ca="1" si="268"/>
        <v>0</v>
      </c>
      <c r="CT106" s="2793">
        <f t="shared" ca="1" si="268"/>
        <v>0</v>
      </c>
      <c r="CU106" s="2793">
        <f t="shared" ca="1" si="268"/>
        <v>0</v>
      </c>
      <c r="CV106" s="2793">
        <f t="shared" ca="1" si="268"/>
        <v>0</v>
      </c>
      <c r="CW106" s="2793">
        <f t="shared" ca="1" si="268"/>
        <v>0</v>
      </c>
      <c r="CX106" s="2793">
        <f t="shared" ca="1" si="268"/>
        <v>0</v>
      </c>
      <c r="CY106" s="2793">
        <f t="shared" ca="1" si="268"/>
        <v>-14.950110878118315</v>
      </c>
      <c r="CZ106" s="2793">
        <f t="shared" ca="1" si="268"/>
        <v>0</v>
      </c>
      <c r="DA106" s="2793">
        <f t="shared" ca="1" si="268"/>
        <v>0</v>
      </c>
      <c r="DB106" s="2793">
        <f t="shared" ca="1" si="268"/>
        <v>0</v>
      </c>
      <c r="DC106" s="2793">
        <f t="shared" ca="1" si="268"/>
        <v>0</v>
      </c>
      <c r="DD106" s="2793">
        <f t="shared" ca="1" si="268"/>
        <v>0</v>
      </c>
      <c r="DE106" s="2793">
        <f t="shared" ca="1" si="268"/>
        <v>0</v>
      </c>
      <c r="DF106" s="2793">
        <f ca="1">DF$93+DF$104</f>
        <v>0</v>
      </c>
      <c r="DH106" s="637">
        <f ca="1">SUM(BO106:DF106)</f>
        <v>-14.923393001579146</v>
      </c>
    </row>
    <row r="107" spans="1:112" s="6" customFormat="1">
      <c r="C107" s="518"/>
      <c r="D107" s="519"/>
      <c r="E107" s="519"/>
      <c r="G107" s="579"/>
      <c r="H107" s="579"/>
      <c r="I107" s="579"/>
      <c r="J107" s="579"/>
      <c r="K107" s="638"/>
      <c r="L107" s="579"/>
      <c r="M107" s="579"/>
      <c r="N107" s="579"/>
      <c r="O107" s="579"/>
      <c r="P107" s="579"/>
      <c r="Q107" s="579"/>
      <c r="S107" s="581"/>
      <c r="T107" s="581"/>
      <c r="U107" s="581"/>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5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581"/>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5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24" customHeight="1" thickBot="1">
      <c r="C109" s="713" t="s">
        <v>592</v>
      </c>
      <c r="D109" s="713"/>
      <c r="E109" s="713"/>
      <c r="G109" s="714">
        <f t="shared" ref="G109:P109" ca="1" si="269">G$40+G$84+G$106</f>
        <v>41.5263129319206</v>
      </c>
      <c r="H109" s="714">
        <f t="shared" ca="1" si="269"/>
        <v>11.826083554413207</v>
      </c>
      <c r="I109" s="714">
        <f t="shared" ca="1" si="269"/>
        <v>34.650458118468507</v>
      </c>
      <c r="J109" s="714">
        <f t="shared" ca="1" si="269"/>
        <v>32.880652873663266</v>
      </c>
      <c r="K109" s="714">
        <f t="shared" ca="1" si="269"/>
        <v>0.34962764034052646</v>
      </c>
      <c r="L109" s="714">
        <f t="shared" ca="1" si="269"/>
        <v>2.4811333961622644E-2</v>
      </c>
      <c r="M109" s="714">
        <f t="shared" ca="1" si="269"/>
        <v>0.66</v>
      </c>
      <c r="N109" s="714">
        <f t="shared" ca="1" si="269"/>
        <v>11.025797638510145</v>
      </c>
      <c r="O109" s="714">
        <f t="shared" ca="1" si="269"/>
        <v>0</v>
      </c>
      <c r="P109" s="714">
        <f t="shared" ca="1" si="269"/>
        <v>0</v>
      </c>
      <c r="Q109" s="714">
        <f ca="1">SUM(G109:P109)</f>
        <v>132.94374409127786</v>
      </c>
      <c r="S109" s="715">
        <f t="shared" ref="S109:AJ109" ca="1" si="270">S$40+S$84+S$106</f>
        <v>-28.011556298716876</v>
      </c>
      <c r="T109" s="715">
        <f t="shared" ca="1" si="270"/>
        <v>28.011556298716883</v>
      </c>
      <c r="U109" s="715">
        <f t="shared" ca="1" si="270"/>
        <v>0</v>
      </c>
      <c r="V109" s="715">
        <f t="shared" ca="1" si="270"/>
        <v>0</v>
      </c>
      <c r="W109" s="715">
        <f t="shared" ca="1" si="270"/>
        <v>0</v>
      </c>
      <c r="X109" s="715">
        <f t="shared" ca="1" si="270"/>
        <v>0</v>
      </c>
      <c r="Y109" s="715">
        <f t="shared" ca="1" si="270"/>
        <v>0</v>
      </c>
      <c r="Z109" s="715">
        <f t="shared" ca="1" si="270"/>
        <v>0</v>
      </c>
      <c r="AA109" s="715">
        <f t="shared" ca="1" si="270"/>
        <v>0</v>
      </c>
      <c r="AB109" s="715">
        <f t="shared" ca="1" si="270"/>
        <v>0</v>
      </c>
      <c r="AC109" s="715">
        <f t="shared" ca="1" si="270"/>
        <v>0</v>
      </c>
      <c r="AD109" s="715">
        <f t="shared" ca="1" si="270"/>
        <v>0</v>
      </c>
      <c r="AE109" s="715">
        <f t="shared" ca="1" si="270"/>
        <v>0</v>
      </c>
      <c r="AF109" s="715">
        <f t="shared" ca="1" si="270"/>
        <v>0</v>
      </c>
      <c r="AG109" s="715">
        <f t="shared" ca="1" si="270"/>
        <v>0</v>
      </c>
      <c r="AH109" s="715">
        <f t="shared" ca="1" si="270"/>
        <v>0</v>
      </c>
      <c r="AI109" s="715">
        <f t="shared" ca="1" si="270"/>
        <v>0</v>
      </c>
      <c r="AJ109" s="715">
        <f t="shared" ca="1" si="270"/>
        <v>0</v>
      </c>
      <c r="AK109" s="715">
        <f ca="1">SUM(S109:AJ109)</f>
        <v>7.1054273576010019E-15</v>
      </c>
      <c r="AM109" s="716">
        <f t="shared" ref="AM109:BE109" ca="1" si="271">AM$40+AM$84+AM$106</f>
        <v>0</v>
      </c>
      <c r="AN109" s="716">
        <f t="shared" ca="1" si="271"/>
        <v>0</v>
      </c>
      <c r="AO109" s="716">
        <f t="shared" ca="1" si="271"/>
        <v>0</v>
      </c>
      <c r="AP109" s="716">
        <f t="shared" ca="1" si="271"/>
        <v>54.387755042114314</v>
      </c>
      <c r="AQ109" s="716">
        <f t="shared" ca="1" si="271"/>
        <v>60.816975780787857</v>
      </c>
      <c r="AR109" s="716">
        <f t="shared" ca="1" si="271"/>
        <v>0</v>
      </c>
      <c r="AS109" s="716">
        <f t="shared" ca="1" si="271"/>
        <v>0.21811357288438121</v>
      </c>
      <c r="AT109" s="716">
        <f t="shared" ca="1" si="271"/>
        <v>-50.942465881243002</v>
      </c>
      <c r="AU109" s="716">
        <f t="shared" ca="1" si="271"/>
        <v>-62.182671111735829</v>
      </c>
      <c r="AV109" s="716">
        <f t="shared" ca="1" si="271"/>
        <v>-21.428000000000004</v>
      </c>
      <c r="AW109" s="716">
        <f t="shared" ca="1" si="271"/>
        <v>-7.0356787943966701</v>
      </c>
      <c r="AX109" s="716">
        <f t="shared" ca="1" si="271"/>
        <v>-38.838201300000001</v>
      </c>
      <c r="AY109" s="716">
        <f t="shared" ca="1" si="271"/>
        <v>-2.5246080000000011</v>
      </c>
      <c r="AZ109" s="716">
        <f t="shared" ca="1" si="271"/>
        <v>-5.2070040000000004</v>
      </c>
      <c r="BA109" s="716">
        <f t="shared" ca="1" si="271"/>
        <v>0</v>
      </c>
      <c r="BB109" s="716">
        <f t="shared" ca="1" si="271"/>
        <v>-0.78946596000000002</v>
      </c>
      <c r="BC109" s="716">
        <f t="shared" ca="1" si="271"/>
        <v>-3.3366237861707504E-2</v>
      </c>
      <c r="BD109" s="716">
        <f t="shared" ca="1" si="271"/>
        <v>-81.62870870719199</v>
      </c>
      <c r="BE109" s="716">
        <f t="shared" ca="1" si="271"/>
        <v>-35.375529883026232</v>
      </c>
      <c r="BF109" s="716">
        <f ca="1">SUM(AM109:BE109)</f>
        <v>-190.56285547966888</v>
      </c>
      <c r="BH109" s="3469">
        <f ca="1">BH$40+BH$84+BH$106</f>
        <v>47.655687205755441</v>
      </c>
      <c r="BI109" s="3469">
        <f ca="1">BI$40+BI$84+BI$106</f>
        <v>9.9634241826355439</v>
      </c>
      <c r="BJ109" s="3469">
        <f ca="1">SUM(BH109:BI109)</f>
        <v>57.619111388390984</v>
      </c>
      <c r="BL109" s="3479">
        <f t="shared" ca="1" si="256"/>
        <v>0</v>
      </c>
      <c r="BM109" s="577"/>
      <c r="BO109" s="2798">
        <f t="shared" ref="BO109:DF109" ca="1" si="272">BO$40+BO$84+BO$106</f>
        <v>38.408528278913593</v>
      </c>
      <c r="BP109" s="2798">
        <f t="shared" ca="1" si="272"/>
        <v>1.8345205311101509E-2</v>
      </c>
      <c r="BQ109" s="2798">
        <f t="shared" ca="1" si="272"/>
        <v>0.31028941315395631</v>
      </c>
      <c r="BR109" s="2798">
        <f t="shared" ca="1" si="272"/>
        <v>0</v>
      </c>
      <c r="BS109" s="2798">
        <f t="shared" ca="1" si="272"/>
        <v>0</v>
      </c>
      <c r="BT109" s="2798">
        <f t="shared" ca="1" si="272"/>
        <v>2.6717876539168711E-2</v>
      </c>
      <c r="BU109" s="2798">
        <f t="shared" ca="1" si="272"/>
        <v>0</v>
      </c>
      <c r="BV109" s="2798">
        <f t="shared" ca="1" si="272"/>
        <v>0</v>
      </c>
      <c r="BW109" s="2798">
        <f t="shared" ca="1" si="272"/>
        <v>0.61824769036199845</v>
      </c>
      <c r="BX109" s="2798">
        <f t="shared" ca="1" si="272"/>
        <v>0</v>
      </c>
      <c r="BY109" s="2798">
        <f t="shared" ca="1" si="272"/>
        <v>0</v>
      </c>
      <c r="BZ109" s="2798">
        <f t="shared" ca="1" si="272"/>
        <v>0.60273921385233153</v>
      </c>
      <c r="CA109" s="2798">
        <f t="shared" ca="1" si="272"/>
        <v>0</v>
      </c>
      <c r="CB109" s="2798">
        <f t="shared" ca="1" si="272"/>
        <v>0</v>
      </c>
      <c r="CC109" s="2798">
        <f t="shared" ca="1" si="272"/>
        <v>0</v>
      </c>
      <c r="CD109" s="2798">
        <f t="shared" ca="1" si="272"/>
        <v>0</v>
      </c>
      <c r="CE109" s="2798">
        <f t="shared" ca="1" si="272"/>
        <v>0</v>
      </c>
      <c r="CF109" s="2798">
        <f t="shared" ca="1" si="272"/>
        <v>7.3960560826055533</v>
      </c>
      <c r="CG109" s="2798">
        <f t="shared" ca="1" si="272"/>
        <v>5.8922858964484579</v>
      </c>
      <c r="CH109" s="2798">
        <f t="shared" ca="1" si="272"/>
        <v>0</v>
      </c>
      <c r="CI109" s="2798">
        <f t="shared" ca="1" si="272"/>
        <v>-3.6112424759446609</v>
      </c>
      <c r="CJ109" s="2798">
        <f t="shared" ca="1" si="272"/>
        <v>0</v>
      </c>
      <c r="CK109" s="2798">
        <f t="shared" ca="1" si="272"/>
        <v>0</v>
      </c>
      <c r="CL109" s="2798">
        <f t="shared" ca="1" si="272"/>
        <v>0</v>
      </c>
      <c r="CM109" s="2798">
        <f t="shared" ca="1" si="272"/>
        <v>0</v>
      </c>
      <c r="CN109" s="2798">
        <f t="shared" ca="1" si="272"/>
        <v>0.35783383519980072</v>
      </c>
      <c r="CO109" s="2798">
        <f t="shared" ca="1" si="272"/>
        <v>6.2442691071428566E-2</v>
      </c>
      <c r="CP109" s="2798">
        <f t="shared" ca="1" si="272"/>
        <v>0</v>
      </c>
      <c r="CQ109" s="2798">
        <f t="shared" ca="1" si="272"/>
        <v>0</v>
      </c>
      <c r="CR109" s="2798">
        <f t="shared" ca="1" si="272"/>
        <v>0</v>
      </c>
      <c r="CS109" s="2798">
        <f t="shared" ca="1" si="272"/>
        <v>0</v>
      </c>
      <c r="CT109" s="2798">
        <f t="shared" ca="1" si="272"/>
        <v>0</v>
      </c>
      <c r="CU109" s="2798">
        <f t="shared" ca="1" si="272"/>
        <v>2.9094874808500566</v>
      </c>
      <c r="CV109" s="2798">
        <f t="shared" ca="1" si="272"/>
        <v>2.500650904414101E-3</v>
      </c>
      <c r="CW109" s="2798">
        <f t="shared" ca="1" si="272"/>
        <v>7.3828740987463932E-3</v>
      </c>
      <c r="CX109" s="2798">
        <f t="shared" ca="1" si="272"/>
        <v>0</v>
      </c>
      <c r="CY109" s="2798">
        <f t="shared" ca="1" si="272"/>
        <v>-14.950110878118315</v>
      </c>
      <c r="CZ109" s="2798">
        <f t="shared" ca="1" si="272"/>
        <v>0</v>
      </c>
      <c r="DA109" s="2798">
        <f t="shared" ca="1" si="272"/>
        <v>0</v>
      </c>
      <c r="DB109" s="2798">
        <f t="shared" ca="1" si="272"/>
        <v>0</v>
      </c>
      <c r="DC109" s="2798">
        <f t="shared" ca="1" si="272"/>
        <v>-5.3627278124531248</v>
      </c>
      <c r="DD109" s="2798">
        <f t="shared" ca="1" si="272"/>
        <v>0</v>
      </c>
      <c r="DE109" s="2798">
        <f t="shared" ca="1" si="272"/>
        <v>0</v>
      </c>
      <c r="DF109" s="2798">
        <f t="shared" ca="1" si="272"/>
        <v>0</v>
      </c>
      <c r="DH109" s="637">
        <f ca="1">SUM(BO109:DF109)</f>
        <v>32.688776022794492</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DF112" s="382" t="s">
        <v>593</v>
      </c>
      <c r="DH112" s="723">
        <f ca="1">SUM(DH63,DH68,DH76,DH82)</f>
        <v>8.7552516575846333</v>
      </c>
    </row>
    <row r="113" spans="2:112">
      <c r="B113" s="2685"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DF113" s="382" t="s">
        <v>595</v>
      </c>
      <c r="DH113" s="723">
        <f ca="1">T109-MIN(T103,0)-T72</f>
        <v>97.832323222322515</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DF114" s="382" t="s">
        <v>596</v>
      </c>
      <c r="DH114" s="2685">
        <f ca="1">DH112/DH113</f>
        <v>8.9492423048039574E-2</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ht="24" customHeight="1">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sheetPr codeName="Sheet24"/>
  <dimension ref="A2:DH148"/>
  <sheetViews>
    <sheetView topLeftCell="F90" workbookViewId="0">
      <selection activeCell="X102" sqref="X102"/>
    </sheetView>
  </sheetViews>
  <sheetFormatPr defaultColWidth="8.85546875" defaultRowHeight="15" outlineLevelCol="2"/>
  <cols>
    <col min="1" max="1" width="1.7109375" customWidth="1"/>
    <col min="2" max="2" width="1.42578125" customWidth="1"/>
    <col min="3" max="3" width="4.42578125" style="518" customWidth="1"/>
    <col min="4" max="4" width="3.85546875" style="519" customWidth="1"/>
    <col min="5" max="5" width="41.7109375" style="519" customWidth="1"/>
    <col min="6" max="6" width="1.140625" customWidth="1" outlineLevel="1"/>
    <col min="7" max="10" width="10" style="519" customWidth="1" outlineLevel="2"/>
    <col min="11" max="11" width="10" style="520" customWidth="1" outlineLevel="2"/>
    <col min="12" max="16" width="10" style="519" customWidth="1" outlineLevel="2"/>
    <col min="17" max="17" width="10" style="519" customWidth="1" outlineLevel="1"/>
    <col min="18" max="18" width="1.140625" customWidth="1" outlineLevel="1"/>
    <col min="19" max="19" width="11.7109375" style="519" customWidth="1" outlineLevel="2"/>
    <col min="20" max="36" width="10" style="519" customWidth="1" outlineLevel="2"/>
    <col min="37" max="37" width="10" style="519" customWidth="1" outlineLevel="1"/>
    <col min="38" max="38" width="1.140625" customWidth="1" outlineLevel="1"/>
    <col min="39" max="57" width="10" style="519" customWidth="1" outlineLevel="2"/>
    <col min="58" max="58" width="10" style="519" customWidth="1" outlineLevel="1"/>
    <col min="59" max="59" width="1.140625" customWidth="1" outlineLevel="1"/>
    <col min="60" max="61" width="10" style="519" customWidth="1" outlineLevel="2"/>
    <col min="62" max="62" width="10" style="519" customWidth="1" outlineLevel="1"/>
    <col min="63" max="63" width="1.140625" customWidth="1" outlineLevel="1"/>
    <col min="64" max="64" width="11" style="519" customWidth="1" outlineLevel="1"/>
    <col min="65" max="65" width="5.28515625" style="519" customWidth="1"/>
    <col min="67" max="110" width="7.42578125" customWidth="1"/>
    <col min="111" max="111" width="2.42578125" customWidth="1"/>
  </cols>
  <sheetData>
    <row r="2" spans="1:112" ht="22.5">
      <c r="D2" s="521"/>
      <c r="E2" s="522">
        <v>2050</v>
      </c>
      <c r="G2"/>
      <c r="H2"/>
      <c r="I2"/>
      <c r="J2"/>
      <c r="K2"/>
      <c r="L2"/>
      <c r="M2"/>
      <c r="N2"/>
      <c r="O2"/>
      <c r="P2"/>
      <c r="Q2"/>
      <c r="S2" s="383"/>
      <c r="T2" s="383"/>
      <c r="U2" s="383"/>
      <c r="V2" s="383"/>
      <c r="W2" s="383"/>
      <c r="X2"/>
      <c r="Y2"/>
      <c r="Z2"/>
      <c r="AA2"/>
      <c r="AB2"/>
      <c r="AC2"/>
      <c r="AD2"/>
      <c r="AE2"/>
      <c r="AF2"/>
      <c r="AG2"/>
      <c r="AH2"/>
      <c r="AI2"/>
      <c r="AJ2"/>
      <c r="AK2"/>
      <c r="AM2"/>
      <c r="AN2"/>
      <c r="AO2"/>
      <c r="AP2"/>
      <c r="AQ2"/>
      <c r="AR2"/>
      <c r="AS2"/>
      <c r="AT2"/>
      <c r="AU2"/>
      <c r="AV2"/>
      <c r="AW2"/>
      <c r="AX2"/>
      <c r="AY2"/>
      <c r="AZ2"/>
      <c r="BA2"/>
      <c r="BB2"/>
      <c r="BC2"/>
      <c r="BD2"/>
      <c r="BE2"/>
      <c r="BF2"/>
      <c r="BH2"/>
      <c r="BI2"/>
      <c r="BJ2"/>
      <c r="BL2"/>
      <c r="BM2" s="523"/>
    </row>
    <row r="3" spans="1:112" ht="22.5">
      <c r="A3" s="510"/>
      <c r="B3" s="510"/>
      <c r="C3" s="510"/>
      <c r="D3" s="524"/>
      <c r="E3" s="525" t="s">
        <v>27</v>
      </c>
      <c r="G3" s="526" t="s">
        <v>362</v>
      </c>
      <c r="H3" s="526"/>
      <c r="I3" s="526"/>
      <c r="J3" s="526"/>
      <c r="K3" s="526"/>
      <c r="L3" s="526"/>
      <c r="M3" s="526"/>
      <c r="N3" s="526"/>
      <c r="O3" s="526"/>
      <c r="P3" s="526"/>
      <c r="Q3" s="526"/>
      <c r="S3" s="527" t="s">
        <v>363</v>
      </c>
      <c r="T3" s="528"/>
      <c r="U3" s="528"/>
      <c r="V3" s="528"/>
      <c r="W3" s="528"/>
      <c r="X3" s="529"/>
      <c r="Y3" s="528"/>
      <c r="Z3" s="528"/>
      <c r="AA3" s="528"/>
      <c r="AB3" s="528"/>
      <c r="AC3" s="528"/>
      <c r="AD3" s="528"/>
      <c r="AE3" s="528"/>
      <c r="AF3" s="528"/>
      <c r="AG3" s="528"/>
      <c r="AH3" s="528"/>
      <c r="AI3" s="528"/>
      <c r="AJ3" s="528"/>
      <c r="AK3" s="530"/>
      <c r="AM3" s="531" t="s">
        <v>364</v>
      </c>
      <c r="AN3" s="532"/>
      <c r="AO3" s="532"/>
      <c r="AP3" s="533"/>
      <c r="AQ3" s="532"/>
      <c r="AR3" s="532"/>
      <c r="AS3" s="532"/>
      <c r="AT3" s="532"/>
      <c r="AU3" s="532"/>
      <c r="AV3" s="532"/>
      <c r="AW3" s="532"/>
      <c r="AX3" s="532"/>
      <c r="AY3" s="532"/>
      <c r="AZ3" s="532"/>
      <c r="BA3" s="532"/>
      <c r="BB3" s="532"/>
      <c r="BC3" s="532"/>
      <c r="BD3" s="532"/>
      <c r="BE3" s="532"/>
      <c r="BF3" s="534"/>
      <c r="BH3" s="535" t="s">
        <v>365</v>
      </c>
      <c r="BI3" s="536"/>
      <c r="BJ3" s="536"/>
      <c r="BL3" s="537"/>
      <c r="BM3" s="537"/>
      <c r="BN3" s="510"/>
      <c r="BO3" s="538" t="s">
        <v>366</v>
      </c>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39"/>
      <c r="CZ3" s="539"/>
      <c r="DA3" s="539"/>
      <c r="DB3" s="539"/>
      <c r="DC3" s="540"/>
      <c r="DD3" s="540"/>
      <c r="DE3" s="540"/>
      <c r="DF3" s="540"/>
    </row>
    <row r="4" spans="1:112" ht="63">
      <c r="C4" s="541"/>
      <c r="D4" s="541"/>
      <c r="G4" s="542" t="str">
        <f>INDEX(Vectors[Description], MATCH(G$5,Vectors[Code],FALSE))</f>
        <v>Heating and cooling</v>
      </c>
      <c r="H4" s="542" t="str">
        <f>INDEX(Vectors[Description], MATCH(H$5,Vectors[Code],FALSE))</f>
        <v>Lighting &amp; appliances</v>
      </c>
      <c r="I4" s="542" t="str">
        <f>INDEX(Vectors[Description], MATCH(I$5,Vectors[Code],FALSE))</f>
        <v>Industry</v>
      </c>
      <c r="J4" s="542" t="str">
        <f>INDEX(Vectors[Description], MATCH(J$5,Vectors[Code],FALSE))</f>
        <v>Road transport</v>
      </c>
      <c r="K4" s="542" t="str">
        <f>INDEX(Vectors[Description], MATCH(K$5,Vectors[Code],FALSE))</f>
        <v>Rail transport</v>
      </c>
      <c r="L4" s="542" t="str">
        <f>INDEX(Vectors[Description], MATCH(L$5,Vectors[Code],FALSE))</f>
        <v>Domestic aviation</v>
      </c>
      <c r="M4" s="542" t="str">
        <f>INDEX(Vectors[Description], MATCH(M$5,Vectors[Code],FALSE))</f>
        <v>National navigation</v>
      </c>
      <c r="N4" s="542" t="str">
        <f>INDEX(Vectors[Description], MATCH(N$5,Vectors[Code],FALSE))</f>
        <v>International aviation</v>
      </c>
      <c r="O4" s="542" t="str">
        <f>INDEX(Vectors[Description], MATCH(O$5,Vectors[Code],FALSE))</f>
        <v>International shipping</v>
      </c>
      <c r="P4" s="542" t="str">
        <f>INDEX(Vectors[Description], MATCH(P$5,Vectors[Code],FALSE))</f>
        <v>Food consumption (unused)</v>
      </c>
      <c r="Q4" s="543" t="s">
        <v>376</v>
      </c>
      <c r="R4" s="3579"/>
      <c r="S4" s="544" t="str">
        <f>INDEX(Vectors[Description], MATCH(S$5,Vectors[Code],FALSE))</f>
        <v>Electricity (delivered to end user)</v>
      </c>
      <c r="T4" s="544" t="str">
        <f>INDEX(Vectors[Description], MATCH(T$5,Vectors[Code],FALSE))</f>
        <v>Electricity (supplied to grid)</v>
      </c>
      <c r="U4" s="544" t="str">
        <f>INDEX(Vectors[Description], MATCH(U$5,Vectors[Code],FALSE))</f>
        <v>Solid hydrocarbons</v>
      </c>
      <c r="V4" s="544" t="str">
        <f>INDEX(Vectors[Description], MATCH(V$5,Vectors[Code],FALSE))</f>
        <v>Liquid hydrocarbons</v>
      </c>
      <c r="W4" s="544" t="str">
        <f>INDEX(Vectors[Description], MATCH(W$5,Vectors[Code],FALSE))</f>
        <v>Gaseous hydrocarbons</v>
      </c>
      <c r="X4" s="544" t="str">
        <f>INDEX(Vectors[Description], MATCH(X$5,Vectors[Code],FALSE))</f>
        <v>Coal, peat and solid fuels</v>
      </c>
      <c r="Y4" s="544" t="str">
        <f>INDEX(Vectors[Description], MATCH(Y$5,Vectors[Code],FALSE))</f>
        <v>Oil and petroleum products</v>
      </c>
      <c r="Z4" s="544" t="str">
        <f>INDEX(Vectors[Description], MATCH(Z$5,Vectors[Code],FALSE))</f>
        <v>Natural gas</v>
      </c>
      <c r="AA4" s="544" t="str">
        <f>INDEX(Vectors[Description], MATCH(AA$5,Vectors[Code],FALSE))</f>
        <v>Blast furnace gas</v>
      </c>
      <c r="AB4" s="544" t="str">
        <f>INDEX(Vectors[Description], MATCH(AB$5,Vectors[Code],FALSE))</f>
        <v>Heat transport</v>
      </c>
      <c r="AC4" s="544" t="str">
        <f>INDEX(Vectors[Description], MATCH(AC$5,Vectors[Code],FALSE))</f>
        <v>Edible biomass</v>
      </c>
      <c r="AD4" s="544" t="str">
        <f>INDEX(Vectors[Description], MATCH(AD$5,Vectors[Code],FALSE))</f>
        <v>Energy crops (second generation)</v>
      </c>
      <c r="AE4" s="544" t="str">
        <f>INDEX(Vectors[Description], MATCH(AE$5,Vectors[Code],FALSE))</f>
        <v>Energy crops (first generation)</v>
      </c>
      <c r="AF4" s="544" t="str">
        <f>INDEX(Vectors[Description], MATCH(AF$5,Vectors[Code],FALSE))</f>
        <v>Dry biomass and waste</v>
      </c>
      <c r="AG4" s="544" t="str">
        <f>INDEX(Vectors[Description], MATCH(AG$5,Vectors[Code],FALSE))</f>
        <v>Wet biomass and waste</v>
      </c>
      <c r="AH4" s="544" t="str">
        <f>INDEX(Vectors[Description], MATCH(AH$5,Vectors[Code],FALSE))</f>
        <v>Gaseous waste</v>
      </c>
      <c r="AI4" s="544" t="str">
        <f>INDEX(Vectors[Description], MATCH(AI$5,Vectors[Code],FALSE))</f>
        <v>Domestic solar thermal</v>
      </c>
      <c r="AJ4" s="544" t="str">
        <f>INDEX(Vectors[Description], MATCH(AJ$5,Vectors[Code],FALSE))</f>
        <v>H2</v>
      </c>
      <c r="AK4" s="545" t="s">
        <v>386</v>
      </c>
      <c r="AL4" s="3579"/>
      <c r="AM4" s="546" t="str">
        <f>INDEX(Vectors[Description], MATCH(AM$5,Vectors[Code],FALSE))</f>
        <v>Peat reserves</v>
      </c>
      <c r="AN4" s="546" t="str">
        <f>INDEX(Vectors[Description], MATCH(AN$5,Vectors[Code],FALSE))</f>
        <v>Oil reserves</v>
      </c>
      <c r="AO4" s="546" t="str">
        <f>INDEX(Vectors[Description], MATCH(AO$5,Vectors[Code],FALSE))</f>
        <v>Gas reserves</v>
      </c>
      <c r="AP4" s="546" t="str">
        <f>INDEX(Vectors[Description], MATCH(AP$5,Vectors[Code],FALSE))</f>
        <v>Biomass imports (exports in parenthesis)</v>
      </c>
      <c r="AQ4" s="546" t="str">
        <f>INDEX(Vectors[Description], MATCH(AQ$5,Vectors[Code],FALSE))</f>
        <v>Electricity imports (exports in paranthesis)</v>
      </c>
      <c r="AR4" s="546" t="str">
        <f>INDEX(Vectors[Description], MATCH(AR$5,Vectors[Code],FALSE))</f>
        <v>Petroleum products oversupply</v>
      </c>
      <c r="AS4" s="546" t="str">
        <f>INDEX(Vectors[Description], MATCH(AS$5,Vectors[Code],FALSE))</f>
        <v>Coal imports (exports in paranthesis)</v>
      </c>
      <c r="AT4" s="546" t="str">
        <f>INDEX(Vectors[Description], MATCH(AT$5,Vectors[Code],FALSE))</f>
        <v>Oil and petroleum products imports (exports in parenthesis)</v>
      </c>
      <c r="AU4" s="546" t="str">
        <f>INDEX(Vectors[Description], MATCH(AU$5,Vectors[Code],FALSE))</f>
        <v>Gas imports (exports in parenthesis)</v>
      </c>
      <c r="AV4" s="546" t="str">
        <f>INDEX(Vectors[Description], MATCH(AV$5,Vectors[Code],FALSE))</f>
        <v>Nuclear fission</v>
      </c>
      <c r="AW4" s="546" t="str">
        <f>INDEX(Vectors[Description], MATCH(AW$5,Vectors[Code],FALSE))</f>
        <v>Solar</v>
      </c>
      <c r="AX4" s="546" t="str">
        <f>INDEX(Vectors[Description], MATCH(AX$5,Vectors[Code],FALSE))</f>
        <v>Wind</v>
      </c>
      <c r="AY4" s="546" t="str">
        <f>INDEX(Vectors[Description], MATCH(AY$5,Vectors[Code],FALSE))</f>
        <v>Tidal</v>
      </c>
      <c r="AZ4" s="546" t="str">
        <f>INDEX(Vectors[Description], MATCH(AZ$5,Vectors[Code],FALSE))</f>
        <v>Wave</v>
      </c>
      <c r="BA4" s="546" t="str">
        <f>INDEX(Vectors[Description], MATCH(BA$5,Vectors[Code],FALSE))</f>
        <v>Geothermal</v>
      </c>
      <c r="BB4" s="546" t="str">
        <f>INDEX(Vectors[Description], MATCH(BB$5,Vectors[Code],FALSE))</f>
        <v>Hydro</v>
      </c>
      <c r="BC4" s="546" t="str">
        <f>INDEX(Vectors[Description], MATCH(BC$5,Vectors[Code],FALSE))</f>
        <v>Environmental heat</v>
      </c>
      <c r="BD4" s="546" t="str">
        <f>INDEX(Vectors[Description], MATCH(BD$5,Vectors[Code],FALSE))</f>
        <v>Agriculture</v>
      </c>
      <c r="BE4" s="546" t="str">
        <f>INDEX(Vectors[Description], MATCH(BE$5,Vectors[Code],FALSE))</f>
        <v>Waste (all forms of biomass)</v>
      </c>
      <c r="BF4" s="547" t="s">
        <v>403</v>
      </c>
      <c r="BG4" s="3579"/>
      <c r="BH4" s="548" t="str">
        <f>INDEX(Vectors[Description], MATCH(BH$5,Vectors[Code],FALSE))</f>
        <v>Conversion losses</v>
      </c>
      <c r="BI4" s="548" t="str">
        <f>INDEX(Vectors[Description], MATCH(BI$5,Vectors[Code],FALSE))</f>
        <v>Distribution losses and own use</v>
      </c>
      <c r="BJ4" s="549" t="s">
        <v>405</v>
      </c>
      <c r="BL4" s="550" t="s">
        <v>406</v>
      </c>
      <c r="BM4" s="550"/>
      <c r="BO4" s="551" t="s">
        <v>308</v>
      </c>
      <c r="BP4" s="552"/>
      <c r="BQ4" s="552"/>
      <c r="BR4" s="553"/>
      <c r="BS4" s="551" t="s">
        <v>407</v>
      </c>
      <c r="BT4" s="552"/>
      <c r="BU4" s="552"/>
      <c r="BV4" s="553"/>
      <c r="BW4" s="551" t="s">
        <v>408</v>
      </c>
      <c r="BX4" s="552"/>
      <c r="BY4" s="552"/>
      <c r="BZ4" s="553"/>
      <c r="CA4" s="551" t="s">
        <v>409</v>
      </c>
      <c r="CB4" s="552"/>
      <c r="CC4" s="552"/>
      <c r="CD4" s="553"/>
      <c r="CE4" s="551" t="s">
        <v>401</v>
      </c>
      <c r="CF4" s="552"/>
      <c r="CG4" s="552"/>
      <c r="CH4" s="553"/>
      <c r="CI4" s="551" t="s">
        <v>410</v>
      </c>
      <c r="CJ4" s="552"/>
      <c r="CK4" s="552"/>
      <c r="CL4" s="553"/>
      <c r="CM4" s="551" t="s">
        <v>402</v>
      </c>
      <c r="CN4" s="552"/>
      <c r="CO4" s="552"/>
      <c r="CP4" s="553"/>
      <c r="CQ4" s="551" t="s">
        <v>411</v>
      </c>
      <c r="CR4" s="552"/>
      <c r="CS4" s="552"/>
      <c r="CT4" s="553"/>
      <c r="CU4" s="551" t="s">
        <v>412</v>
      </c>
      <c r="CV4" s="552"/>
      <c r="CW4" s="552"/>
      <c r="CX4" s="553"/>
      <c r="CY4" s="551" t="s">
        <v>413</v>
      </c>
      <c r="CZ4" s="552"/>
      <c r="DA4" s="552"/>
      <c r="DB4" s="553"/>
      <c r="DC4" s="551" t="s">
        <v>414</v>
      </c>
      <c r="DD4" s="552"/>
      <c r="DE4" s="552"/>
      <c r="DF4" s="553"/>
      <c r="DH4" s="554" t="s">
        <v>59</v>
      </c>
    </row>
    <row r="5" spans="1:112">
      <c r="D5" s="555" t="s">
        <v>415</v>
      </c>
      <c r="G5" s="556" t="s">
        <v>103</v>
      </c>
      <c r="H5" s="556" t="s">
        <v>416</v>
      </c>
      <c r="I5" s="556" t="s">
        <v>417</v>
      </c>
      <c r="J5" s="556" t="s">
        <v>418</v>
      </c>
      <c r="K5" s="556" t="s">
        <v>419</v>
      </c>
      <c r="L5" s="556" t="s">
        <v>420</v>
      </c>
      <c r="M5" s="556" t="s">
        <v>421</v>
      </c>
      <c r="N5" s="556" t="s">
        <v>422</v>
      </c>
      <c r="O5" s="556" t="s">
        <v>423</v>
      </c>
      <c r="P5" s="556" t="s">
        <v>424</v>
      </c>
      <c r="Q5" s="556"/>
      <c r="S5" s="557" t="s">
        <v>96</v>
      </c>
      <c r="T5" s="557" t="s">
        <v>97</v>
      </c>
      <c r="U5" s="557" t="s">
        <v>98</v>
      </c>
      <c r="V5" s="557" t="s">
        <v>99</v>
      </c>
      <c r="W5" s="557" t="s">
        <v>100</v>
      </c>
      <c r="X5" s="557" t="s">
        <v>425</v>
      </c>
      <c r="Y5" s="557" t="s">
        <v>426</v>
      </c>
      <c r="Z5" s="557" t="s">
        <v>427</v>
      </c>
      <c r="AA5" s="557" t="s">
        <v>428</v>
      </c>
      <c r="AB5" s="557" t="s">
        <v>101</v>
      </c>
      <c r="AC5" s="557" t="s">
        <v>429</v>
      </c>
      <c r="AD5" s="557" t="s">
        <v>430</v>
      </c>
      <c r="AE5" s="557" t="s">
        <v>431</v>
      </c>
      <c r="AF5" s="557" t="s">
        <v>432</v>
      </c>
      <c r="AG5" s="557" t="s">
        <v>433</v>
      </c>
      <c r="AH5" s="557" t="s">
        <v>434</v>
      </c>
      <c r="AI5" s="557" t="s">
        <v>31</v>
      </c>
      <c r="AJ5" s="557" t="s">
        <v>435</v>
      </c>
      <c r="AK5" s="557"/>
      <c r="AM5" s="558" t="s">
        <v>436</v>
      </c>
      <c r="AN5" s="558" t="s">
        <v>437</v>
      </c>
      <c r="AO5" s="558" t="s">
        <v>438</v>
      </c>
      <c r="AP5" s="558" t="s">
        <v>439</v>
      </c>
      <c r="AQ5" s="558" t="s">
        <v>440</v>
      </c>
      <c r="AR5" s="558" t="s">
        <v>441</v>
      </c>
      <c r="AS5" s="558" t="s">
        <v>442</v>
      </c>
      <c r="AT5" s="558" t="s">
        <v>443</v>
      </c>
      <c r="AU5" s="558" t="s">
        <v>444</v>
      </c>
      <c r="AV5" s="558" t="s">
        <v>445</v>
      </c>
      <c r="AW5" s="558" t="s">
        <v>446</v>
      </c>
      <c r="AX5" s="558" t="s">
        <v>447</v>
      </c>
      <c r="AY5" s="558" t="s">
        <v>448</v>
      </c>
      <c r="AZ5" s="558" t="s">
        <v>449</v>
      </c>
      <c r="BA5" s="558" t="s">
        <v>450</v>
      </c>
      <c r="BB5" s="558" t="s">
        <v>451</v>
      </c>
      <c r="BC5" s="558" t="s">
        <v>102</v>
      </c>
      <c r="BD5" s="558" t="s">
        <v>452</v>
      </c>
      <c r="BE5" s="558" t="s">
        <v>453</v>
      </c>
      <c r="BF5" s="558"/>
      <c r="BH5" s="559" t="s">
        <v>104</v>
      </c>
      <c r="BI5" s="559" t="s">
        <v>454</v>
      </c>
      <c r="BJ5" s="559"/>
      <c r="BL5" s="560" t="s">
        <v>455</v>
      </c>
      <c r="BM5" s="560"/>
      <c r="BO5" s="561" t="s">
        <v>307</v>
      </c>
      <c r="BP5" s="562" t="s">
        <v>307</v>
      </c>
      <c r="BQ5" s="562" t="s">
        <v>307</v>
      </c>
      <c r="BR5" s="563" t="s">
        <v>307</v>
      </c>
      <c r="BS5" s="561" t="s">
        <v>456</v>
      </c>
      <c r="BT5" s="562" t="s">
        <v>456</v>
      </c>
      <c r="BU5" s="562" t="s">
        <v>456</v>
      </c>
      <c r="BV5" s="563" t="s">
        <v>456</v>
      </c>
      <c r="BW5" s="561">
        <v>2</v>
      </c>
      <c r="BX5" s="562">
        <v>2</v>
      </c>
      <c r="BY5" s="562">
        <v>2</v>
      </c>
      <c r="BZ5" s="563">
        <v>2</v>
      </c>
      <c r="CA5" s="561">
        <v>3</v>
      </c>
      <c r="CB5" s="562">
        <v>3</v>
      </c>
      <c r="CC5" s="562">
        <v>3</v>
      </c>
      <c r="CD5" s="563">
        <v>3</v>
      </c>
      <c r="CE5" s="561">
        <v>4</v>
      </c>
      <c r="CF5" s="562">
        <v>4</v>
      </c>
      <c r="CG5" s="562">
        <v>4</v>
      </c>
      <c r="CH5" s="563">
        <v>4</v>
      </c>
      <c r="CI5" s="561">
        <v>5</v>
      </c>
      <c r="CJ5" s="562">
        <v>5</v>
      </c>
      <c r="CK5" s="562">
        <v>5</v>
      </c>
      <c r="CL5" s="563">
        <v>5</v>
      </c>
      <c r="CM5" s="561">
        <v>6</v>
      </c>
      <c r="CN5" s="562">
        <v>6</v>
      </c>
      <c r="CO5" s="562">
        <v>6</v>
      </c>
      <c r="CP5" s="563">
        <v>6</v>
      </c>
      <c r="CQ5" s="561">
        <v>7</v>
      </c>
      <c r="CR5" s="562">
        <v>7</v>
      </c>
      <c r="CS5" s="562">
        <v>7</v>
      </c>
      <c r="CT5" s="563">
        <v>7</v>
      </c>
      <c r="CU5" s="561" t="s">
        <v>457</v>
      </c>
      <c r="CV5" s="562" t="s">
        <v>457</v>
      </c>
      <c r="CW5" s="562" t="s">
        <v>457</v>
      </c>
      <c r="CX5" s="563" t="s">
        <v>457</v>
      </c>
      <c r="CY5" s="561" t="s">
        <v>458</v>
      </c>
      <c r="CZ5" s="562" t="s">
        <v>458</v>
      </c>
      <c r="DA5" s="562" t="s">
        <v>458</v>
      </c>
      <c r="DB5" s="563" t="s">
        <v>458</v>
      </c>
      <c r="DC5" s="561" t="s">
        <v>459</v>
      </c>
      <c r="DD5" s="562" t="s">
        <v>459</v>
      </c>
      <c r="DE5" s="562" t="s">
        <v>459</v>
      </c>
      <c r="DF5" s="563" t="s">
        <v>459</v>
      </c>
    </row>
    <row r="6" spans="1:112">
      <c r="G6" s="564"/>
      <c r="H6" s="564"/>
      <c r="I6" s="564"/>
      <c r="J6" s="564"/>
      <c r="K6" s="565"/>
      <c r="L6" s="564"/>
      <c r="M6" s="564"/>
      <c r="N6" s="564"/>
      <c r="O6" s="564"/>
      <c r="P6" s="564"/>
      <c r="Q6" s="564"/>
      <c r="S6" s="566"/>
      <c r="T6" s="566"/>
      <c r="U6" s="566"/>
      <c r="V6" s="566"/>
      <c r="W6" s="566"/>
      <c r="X6" s="566"/>
      <c r="Y6" s="566"/>
      <c r="Z6" s="566"/>
      <c r="AA6" s="566"/>
      <c r="AB6" s="566"/>
      <c r="AC6" s="566"/>
      <c r="AD6" s="566"/>
      <c r="AE6" s="566"/>
      <c r="AF6" s="566"/>
      <c r="AG6" s="566"/>
      <c r="AH6" s="566"/>
      <c r="AI6" s="566"/>
      <c r="AJ6" s="566"/>
      <c r="AK6" s="566"/>
      <c r="AM6" s="567"/>
      <c r="AN6" s="567"/>
      <c r="AO6" s="567"/>
      <c r="AP6" s="567"/>
      <c r="AQ6" s="567"/>
      <c r="AR6" s="567"/>
      <c r="AS6" s="567"/>
      <c r="AT6" s="567"/>
      <c r="AU6" s="567"/>
      <c r="AV6" s="567"/>
      <c r="AW6" s="567"/>
      <c r="AX6" s="567"/>
      <c r="AY6" s="567"/>
      <c r="AZ6" s="567"/>
      <c r="BA6" s="567"/>
      <c r="BB6" s="567"/>
      <c r="BC6" s="567"/>
      <c r="BD6" s="567"/>
      <c r="BE6" s="567"/>
      <c r="BF6" s="567"/>
      <c r="BH6" s="568"/>
      <c r="BI6" s="568"/>
      <c r="BJ6" s="568"/>
      <c r="BL6" s="569"/>
      <c r="BM6" s="569"/>
      <c r="BO6" s="570" t="s">
        <v>253</v>
      </c>
      <c r="BP6" s="570" t="s">
        <v>255</v>
      </c>
      <c r="BQ6" s="570" t="s">
        <v>256</v>
      </c>
      <c r="BR6" s="570" t="s">
        <v>460</v>
      </c>
      <c r="BS6" s="570" t="s">
        <v>253</v>
      </c>
      <c r="BT6" s="570" t="s">
        <v>255</v>
      </c>
      <c r="BU6" s="570" t="s">
        <v>256</v>
      </c>
      <c r="BV6" s="570" t="s">
        <v>460</v>
      </c>
      <c r="BW6" s="570" t="s">
        <v>253</v>
      </c>
      <c r="BX6" s="570" t="s">
        <v>255</v>
      </c>
      <c r="BY6" s="570" t="s">
        <v>256</v>
      </c>
      <c r="BZ6" s="570" t="s">
        <v>460</v>
      </c>
      <c r="CA6" s="570" t="s">
        <v>253</v>
      </c>
      <c r="CB6" s="570" t="s">
        <v>255</v>
      </c>
      <c r="CC6" s="570" t="s">
        <v>256</v>
      </c>
      <c r="CD6" s="570" t="s">
        <v>460</v>
      </c>
      <c r="CE6" s="570" t="s">
        <v>253</v>
      </c>
      <c r="CF6" s="570" t="s">
        <v>255</v>
      </c>
      <c r="CG6" s="570" t="s">
        <v>256</v>
      </c>
      <c r="CH6" s="570" t="s">
        <v>460</v>
      </c>
      <c r="CI6" s="570" t="s">
        <v>253</v>
      </c>
      <c r="CJ6" s="570" t="s">
        <v>255</v>
      </c>
      <c r="CK6" s="570" t="s">
        <v>256</v>
      </c>
      <c r="CL6" s="570" t="s">
        <v>460</v>
      </c>
      <c r="CM6" s="570" t="s">
        <v>253</v>
      </c>
      <c r="CN6" s="570" t="s">
        <v>255</v>
      </c>
      <c r="CO6" s="570" t="s">
        <v>256</v>
      </c>
      <c r="CP6" s="570" t="s">
        <v>460</v>
      </c>
      <c r="CQ6" s="570" t="s">
        <v>253</v>
      </c>
      <c r="CR6" s="570" t="s">
        <v>255</v>
      </c>
      <c r="CS6" s="570" t="s">
        <v>256</v>
      </c>
      <c r="CT6" s="570" t="s">
        <v>460</v>
      </c>
      <c r="CU6" s="570" t="s">
        <v>253</v>
      </c>
      <c r="CV6" s="570" t="s">
        <v>255</v>
      </c>
      <c r="CW6" s="570" t="s">
        <v>256</v>
      </c>
      <c r="CX6" s="570" t="s">
        <v>460</v>
      </c>
      <c r="CY6" s="570" t="s">
        <v>253</v>
      </c>
      <c r="CZ6" s="570" t="s">
        <v>255</v>
      </c>
      <c r="DA6" s="570" t="s">
        <v>256</v>
      </c>
      <c r="DB6" s="570" t="s">
        <v>460</v>
      </c>
      <c r="DC6" s="570" t="s">
        <v>253</v>
      </c>
      <c r="DD6" s="570" t="s">
        <v>255</v>
      </c>
      <c r="DE6" s="570" t="s">
        <v>256</v>
      </c>
      <c r="DF6" s="570" t="s">
        <v>460</v>
      </c>
    </row>
    <row r="7" spans="1:112" ht="15.75">
      <c r="C7" s="571" t="s">
        <v>461</v>
      </c>
      <c r="D7" s="571"/>
      <c r="E7" s="572"/>
      <c r="G7" s="573"/>
      <c r="H7" s="573"/>
      <c r="I7" s="573"/>
      <c r="J7" s="573"/>
      <c r="K7" s="573"/>
      <c r="L7" s="573"/>
      <c r="M7" s="573"/>
      <c r="N7" s="573"/>
      <c r="O7" s="573"/>
      <c r="P7" s="573"/>
      <c r="Q7" s="573"/>
      <c r="S7" s="574"/>
      <c r="T7" s="574"/>
      <c r="U7" s="574"/>
      <c r="V7" s="574"/>
      <c r="W7" s="574"/>
      <c r="X7" s="574"/>
      <c r="Y7" s="574"/>
      <c r="Z7" s="574"/>
      <c r="AA7" s="574"/>
      <c r="AB7" s="574"/>
      <c r="AC7" s="574"/>
      <c r="AD7" s="574"/>
      <c r="AE7" s="574"/>
      <c r="AF7" s="574"/>
      <c r="AG7" s="574"/>
      <c r="AH7" s="574"/>
      <c r="AI7" s="574"/>
      <c r="AJ7" s="574"/>
      <c r="AK7" s="574"/>
      <c r="AM7" s="575"/>
      <c r="AN7" s="575"/>
      <c r="AO7" s="575"/>
      <c r="AP7" s="575"/>
      <c r="AQ7" s="575"/>
      <c r="AR7" s="575"/>
      <c r="AS7" s="575"/>
      <c r="AT7" s="575"/>
      <c r="AU7" s="575"/>
      <c r="AV7" s="575"/>
      <c r="AW7" s="575"/>
      <c r="AX7" s="575"/>
      <c r="AY7" s="575"/>
      <c r="AZ7" s="575"/>
      <c r="BA7" s="575"/>
      <c r="BB7" s="575"/>
      <c r="BC7" s="575"/>
      <c r="BD7" s="575"/>
      <c r="BE7" s="575"/>
      <c r="BF7" s="575"/>
      <c r="BH7" s="576"/>
      <c r="BI7" s="576"/>
      <c r="BJ7" s="576"/>
      <c r="BL7" s="577"/>
      <c r="BM7" s="577"/>
      <c r="BO7" s="578"/>
      <c r="BP7" s="578"/>
      <c r="BQ7" s="578"/>
      <c r="BR7" s="578"/>
      <c r="BS7" s="578"/>
      <c r="BT7" s="578"/>
      <c r="BU7" s="578"/>
      <c r="BV7" s="578"/>
      <c r="BW7" s="578"/>
      <c r="BX7" s="578"/>
      <c r="BY7" s="578"/>
      <c r="BZ7" s="578"/>
      <c r="CA7" s="578"/>
      <c r="CB7" s="578"/>
      <c r="CC7" s="578"/>
      <c r="CD7" s="578"/>
      <c r="CE7" s="578"/>
      <c r="CF7" s="578"/>
      <c r="CG7" s="578"/>
      <c r="CH7" s="578"/>
      <c r="CI7" s="578"/>
      <c r="CJ7" s="578"/>
      <c r="CK7" s="578"/>
      <c r="CL7" s="578"/>
      <c r="CM7" s="578"/>
      <c r="CN7" s="578"/>
      <c r="CO7" s="578"/>
      <c r="CP7" s="578"/>
      <c r="CQ7" s="578"/>
      <c r="CR7" s="578"/>
      <c r="CS7" s="578"/>
      <c r="CT7" s="578"/>
      <c r="CU7" s="578"/>
      <c r="CV7" s="578"/>
      <c r="CW7" s="578"/>
      <c r="CX7" s="578"/>
      <c r="CY7" s="578"/>
      <c r="CZ7" s="578"/>
      <c r="DA7" s="578"/>
      <c r="DB7" s="578"/>
      <c r="DC7" s="578"/>
      <c r="DD7" s="578"/>
      <c r="DE7" s="578"/>
      <c r="DF7" s="578"/>
    </row>
    <row r="8" spans="1:112">
      <c r="G8" s="579"/>
      <c r="H8" s="579"/>
      <c r="I8" s="579"/>
      <c r="J8" s="579"/>
      <c r="K8" s="580"/>
      <c r="L8" s="579"/>
      <c r="M8" s="579"/>
      <c r="N8" s="579"/>
      <c r="O8" s="579"/>
      <c r="P8" s="579"/>
      <c r="Q8" s="579"/>
      <c r="S8" s="581"/>
      <c r="T8" s="581"/>
      <c r="U8" s="581"/>
      <c r="V8" s="581"/>
      <c r="W8" s="581"/>
      <c r="X8" s="581"/>
      <c r="Y8" s="581"/>
      <c r="Z8" s="581"/>
      <c r="AA8" s="581"/>
      <c r="AB8" s="581"/>
      <c r="AC8" s="581"/>
      <c r="AD8" s="581"/>
      <c r="AE8" s="581"/>
      <c r="AF8" s="581"/>
      <c r="AG8" s="581"/>
      <c r="AH8" s="581"/>
      <c r="AI8" s="581"/>
      <c r="AJ8" s="581"/>
      <c r="AK8" s="581"/>
      <c r="AM8" s="582"/>
      <c r="AN8" s="582"/>
      <c r="AO8" s="582"/>
      <c r="AP8" s="582"/>
      <c r="AQ8" s="582"/>
      <c r="AR8" s="582"/>
      <c r="AS8" s="582"/>
      <c r="AT8" s="582"/>
      <c r="AU8" s="582"/>
      <c r="AV8" s="582"/>
      <c r="AW8" s="582"/>
      <c r="AX8" s="582"/>
      <c r="AY8" s="582"/>
      <c r="AZ8" s="582"/>
      <c r="BA8" s="582"/>
      <c r="BB8" s="582"/>
      <c r="BC8" s="582"/>
      <c r="BD8" s="582"/>
      <c r="BE8" s="582"/>
      <c r="BF8" s="582"/>
      <c r="BH8" s="583"/>
      <c r="BI8" s="583"/>
      <c r="BJ8" s="583"/>
      <c r="BL8" s="584"/>
      <c r="BM8" s="584"/>
      <c r="BO8" s="585"/>
      <c r="BP8" s="585"/>
      <c r="BQ8" s="585"/>
      <c r="BR8" s="585"/>
      <c r="BS8" s="585"/>
      <c r="BT8" s="585"/>
      <c r="BU8" s="585"/>
      <c r="BV8" s="585"/>
      <c r="BW8" s="585"/>
      <c r="BX8" s="585"/>
      <c r="BY8" s="585"/>
      <c r="BZ8" s="585"/>
      <c r="CA8" s="585"/>
      <c r="CB8" s="585"/>
      <c r="CC8" s="585"/>
      <c r="CD8" s="585"/>
      <c r="CE8" s="585"/>
      <c r="CF8" s="585"/>
      <c r="CG8" s="585"/>
      <c r="CH8" s="585"/>
      <c r="CI8" s="585"/>
      <c r="CJ8" s="585"/>
      <c r="CK8" s="585"/>
      <c r="CL8" s="585"/>
      <c r="CM8" s="585"/>
      <c r="CN8" s="585"/>
      <c r="CO8" s="585"/>
      <c r="CP8" s="585"/>
      <c r="CQ8" s="585"/>
      <c r="CR8" s="585"/>
      <c r="CS8" s="585"/>
      <c r="CT8" s="585"/>
      <c r="CU8" s="585"/>
      <c r="CV8" s="585"/>
      <c r="CW8" s="585"/>
      <c r="CX8" s="585"/>
      <c r="CY8" s="585"/>
      <c r="CZ8" s="585"/>
      <c r="DA8" s="585"/>
      <c r="DB8" s="585"/>
      <c r="DC8" s="585"/>
      <c r="DD8" s="585"/>
      <c r="DE8" s="585"/>
      <c r="DF8" s="585"/>
    </row>
    <row r="9" spans="1:112" s="6" customFormat="1">
      <c r="A9" s="586"/>
      <c r="B9" s="586"/>
      <c r="C9" s="587" t="s">
        <v>2</v>
      </c>
      <c r="D9" s="586" t="s">
        <v>3</v>
      </c>
      <c r="E9" s="588"/>
      <c r="G9" s="589">
        <f ca="1">IFERROR(INDEX(INDIRECT($C9&amp;".Outputs["&amp;this.Year&amp;"]"), MATCH(G$5, INDIRECT($C9&amp;".Outputs[Vector]"), 0)), 0)</f>
        <v>25.929362795953232</v>
      </c>
      <c r="H9" s="589">
        <f t="shared" ref="G9:P13" ca="1" si="0">IFERROR(INDEX(INDIRECT($C9&amp;".Outputs["&amp;this.Year&amp;"]"), MATCH(H$5, INDIRECT($C9&amp;".Outputs[Vector]"), 0)), 0)</f>
        <v>0</v>
      </c>
      <c r="I9" s="589">
        <f t="shared" ca="1" si="0"/>
        <v>0</v>
      </c>
      <c r="J9" s="589">
        <f t="shared" ca="1" si="0"/>
        <v>0</v>
      </c>
      <c r="K9" s="589">
        <f t="shared" ca="1" si="0"/>
        <v>0</v>
      </c>
      <c r="L9" s="589">
        <f t="shared" ca="1" si="0"/>
        <v>0</v>
      </c>
      <c r="M9" s="589">
        <f t="shared" ca="1" si="0"/>
        <v>0</v>
      </c>
      <c r="N9" s="589">
        <f t="shared" ca="1" si="0"/>
        <v>0</v>
      </c>
      <c r="O9" s="589">
        <f t="shared" ca="1" si="0"/>
        <v>0</v>
      </c>
      <c r="P9" s="589">
        <f t="shared" ca="1" si="0"/>
        <v>0</v>
      </c>
      <c r="Q9" s="590">
        <f t="shared" ref="Q9:Q15" ca="1" si="1">SUM(G9:P9)</f>
        <v>25.929362795953232</v>
      </c>
      <c r="S9" s="591">
        <f t="shared" ref="S9:AJ13" ca="1" si="2">IFERROR(INDEX(INDIRECT($C9&amp;".Outputs["&amp;this.Year&amp;"]"), MATCH(S$5, INDIRECT($C9&amp;".Outputs[Vector]"), 0)), 0)</f>
        <v>-1.9961524440419962</v>
      </c>
      <c r="T9" s="591">
        <f t="shared" ca="1" si="2"/>
        <v>0</v>
      </c>
      <c r="U9" s="591">
        <f t="shared" ca="1" si="2"/>
        <v>0</v>
      </c>
      <c r="V9" s="591">
        <f t="shared" ca="1" si="2"/>
        <v>0</v>
      </c>
      <c r="W9" s="591">
        <f t="shared" ca="1" si="2"/>
        <v>-19.742167028986774</v>
      </c>
      <c r="X9" s="591">
        <f t="shared" ca="1" si="2"/>
        <v>0</v>
      </c>
      <c r="Y9" s="591">
        <f t="shared" ca="1" si="2"/>
        <v>0</v>
      </c>
      <c r="Z9" s="591">
        <f t="shared" ca="1" si="2"/>
        <v>0</v>
      </c>
      <c r="AA9" s="591">
        <f t="shared" ca="1" si="2"/>
        <v>0</v>
      </c>
      <c r="AB9" s="591">
        <f t="shared" ca="1" si="2"/>
        <v>0</v>
      </c>
      <c r="AC9" s="591">
        <f t="shared" ca="1" si="2"/>
        <v>0</v>
      </c>
      <c r="AD9" s="591">
        <f t="shared" ca="1" si="2"/>
        <v>0</v>
      </c>
      <c r="AE9" s="591">
        <f t="shared" ca="1" si="2"/>
        <v>0</v>
      </c>
      <c r="AF9" s="591">
        <f t="shared" ca="1" si="2"/>
        <v>0</v>
      </c>
      <c r="AG9" s="591">
        <f t="shared" ca="1" si="2"/>
        <v>0</v>
      </c>
      <c r="AH9" s="591">
        <f t="shared" ca="1" si="2"/>
        <v>0</v>
      </c>
      <c r="AI9" s="591">
        <f t="shared" ca="1" si="2"/>
        <v>-4.1910433229244628</v>
      </c>
      <c r="AJ9" s="591">
        <f t="shared" ca="1" si="2"/>
        <v>0</v>
      </c>
      <c r="AK9" s="592">
        <f t="shared" ref="AK9:AK15" ca="1" si="3">SUM(S9:AJ9)</f>
        <v>-25.929362795953232</v>
      </c>
      <c r="AM9" s="593">
        <f t="shared" ref="AM9:BB10" ca="1" si="4">IFERROR(INDEX(INDIRECT($C9&amp;".Outputs["&amp;this.Year&amp;"]"), MATCH(AM$5, INDIRECT($C9&amp;".Outputs[Vector]"), 0)), 0)</f>
        <v>0</v>
      </c>
      <c r="AN9" s="593">
        <f t="shared" ca="1" si="4"/>
        <v>0</v>
      </c>
      <c r="AO9" s="593">
        <f t="shared" ca="1" si="4"/>
        <v>0</v>
      </c>
      <c r="AP9" s="593">
        <f t="shared" ca="1" si="4"/>
        <v>0</v>
      </c>
      <c r="AQ9" s="593">
        <f t="shared" ca="1" si="4"/>
        <v>0</v>
      </c>
      <c r="AR9" s="593">
        <f t="shared" ca="1" si="4"/>
        <v>0</v>
      </c>
      <c r="AS9" s="593">
        <f t="shared" ca="1" si="4"/>
        <v>0</v>
      </c>
      <c r="AT9" s="593">
        <f t="shared" ca="1" si="4"/>
        <v>0</v>
      </c>
      <c r="AU9" s="593">
        <f t="shared" ca="1" si="4"/>
        <v>0</v>
      </c>
      <c r="AV9" s="593">
        <f t="shared" ca="1" si="4"/>
        <v>0</v>
      </c>
      <c r="AW9" s="593">
        <f t="shared" ca="1" si="4"/>
        <v>0</v>
      </c>
      <c r="AX9" s="593">
        <f t="shared" ca="1" si="4"/>
        <v>0</v>
      </c>
      <c r="AY9" s="593">
        <f t="shared" ca="1" si="4"/>
        <v>0</v>
      </c>
      <c r="AZ9" s="593">
        <f t="shared" ca="1" si="4"/>
        <v>0</v>
      </c>
      <c r="BA9" s="593">
        <f t="shared" ca="1" si="4"/>
        <v>0</v>
      </c>
      <c r="BB9" s="593">
        <f t="shared" ca="1" si="4"/>
        <v>0</v>
      </c>
      <c r="BC9" s="593">
        <f t="shared" ref="BC9:BE10" ca="1" si="5">IFERROR(INDEX(INDIRECT($C9&amp;".Outputs["&amp;this.Year&amp;"]"), MATCH(BC$5, INDIRECT($C9&amp;".Outputs[Vector]"), 0)), 0)</f>
        <v>0</v>
      </c>
      <c r="BD9" s="593">
        <f t="shared" ca="1" si="5"/>
        <v>0</v>
      </c>
      <c r="BE9" s="593">
        <f t="shared" ca="1" si="5"/>
        <v>0</v>
      </c>
      <c r="BF9" s="594">
        <f t="shared" ref="BF9:BF15" ca="1" si="6">SUM(AM9:BE9)</f>
        <v>0</v>
      </c>
      <c r="BH9" s="3471">
        <f ca="1">IFERROR(INDEX(INDIRECT($C9&amp;".Outputs["&amp;this.Year&amp;"]"), MATCH(BH$5, INDIRECT($C9&amp;".Outputs[Vector]"), 0)), 0)</f>
        <v>0</v>
      </c>
      <c r="BI9" s="3471">
        <f t="shared" ref="BH9:BI13" ca="1" si="7">IFERROR(INDEX(INDIRECT($C9&amp;".Outputs["&amp;this.Year&amp;"]"), MATCH(BI$5, INDIRECT($C9&amp;".Outputs[Vector]"), 0)), 0)</f>
        <v>0</v>
      </c>
      <c r="BJ9" s="3460">
        <f t="shared" ref="BJ9:BJ15" ca="1" si="8">SUM(BH9:BI9)</f>
        <v>0</v>
      </c>
      <c r="BL9" s="595">
        <f t="shared" ref="BL9:BL44" ca="1" si="9">Q9+AK9+BF9+BJ9</f>
        <v>0</v>
      </c>
      <c r="BM9" s="595"/>
      <c r="BN9" s="413"/>
      <c r="BO9" s="2789">
        <f t="shared" ref="BO9:BX10" ca="1" si="10">IFERROR(SUMIFS(INDIRECT($C9&amp;".Emissions["&amp;this.Year&amp;"]"), INDIRECT($C9&amp;".Emissions[GHG]"), BO$6, INDIRECT($C9&amp;".Emissions[IPCC Sector]"), BO$5),0)</f>
        <v>4.0416401247746068</v>
      </c>
      <c r="BP9" s="2790">
        <f t="shared" ca="1" si="10"/>
        <v>1.4925078273914003E-3</v>
      </c>
      <c r="BQ9" s="2790">
        <f t="shared" ca="1" si="10"/>
        <v>6.3893549372612796E-2</v>
      </c>
      <c r="BR9" s="2790">
        <f t="shared" ca="1" si="10"/>
        <v>0</v>
      </c>
      <c r="BS9" s="2790">
        <f t="shared" ca="1" si="10"/>
        <v>0</v>
      </c>
      <c r="BT9" s="2790">
        <f t="shared" ca="1" si="10"/>
        <v>0</v>
      </c>
      <c r="BU9" s="2790">
        <f t="shared" ca="1" si="10"/>
        <v>0</v>
      </c>
      <c r="BV9" s="2790">
        <f t="shared" ca="1" si="10"/>
        <v>0</v>
      </c>
      <c r="BW9" s="2790">
        <f t="shared" ca="1" si="10"/>
        <v>0</v>
      </c>
      <c r="BX9" s="2790">
        <f t="shared" ca="1" si="10"/>
        <v>0</v>
      </c>
      <c r="BY9" s="2790">
        <f t="shared" ref="BY9:CH10" ca="1" si="11">IFERROR(SUMIFS(INDIRECT($C9&amp;".Emissions["&amp;this.Year&amp;"]"), INDIRECT($C9&amp;".Emissions[GHG]"), BY$6, INDIRECT($C9&amp;".Emissions[IPCC Sector]"), BY$5),0)</f>
        <v>0</v>
      </c>
      <c r="BZ9" s="2790">
        <f t="shared" ca="1" si="11"/>
        <v>0</v>
      </c>
      <c r="CA9" s="2790">
        <f t="shared" ca="1" si="11"/>
        <v>0</v>
      </c>
      <c r="CB9" s="2790">
        <f t="shared" ca="1" si="11"/>
        <v>0</v>
      </c>
      <c r="CC9" s="2790">
        <f t="shared" ca="1" si="11"/>
        <v>0</v>
      </c>
      <c r="CD9" s="2790">
        <f t="shared" ca="1" si="11"/>
        <v>0</v>
      </c>
      <c r="CE9" s="2790">
        <f t="shared" ca="1" si="11"/>
        <v>0</v>
      </c>
      <c r="CF9" s="2790">
        <f t="shared" ca="1" si="11"/>
        <v>0</v>
      </c>
      <c r="CG9" s="2790">
        <f t="shared" ca="1" si="11"/>
        <v>0</v>
      </c>
      <c r="CH9" s="2790">
        <f t="shared" ca="1" si="11"/>
        <v>0</v>
      </c>
      <c r="CI9" s="2790">
        <f t="shared" ref="CI9:CR10" ca="1" si="12">IFERROR(SUMIFS(INDIRECT($C9&amp;".Emissions["&amp;this.Year&amp;"]"), INDIRECT($C9&amp;".Emissions[GHG]"), CI$6, INDIRECT($C9&amp;".Emissions[IPCC Sector]"), CI$5),0)</f>
        <v>0</v>
      </c>
      <c r="CJ9" s="2790">
        <f t="shared" ca="1" si="12"/>
        <v>0</v>
      </c>
      <c r="CK9" s="2790">
        <f t="shared" ca="1" si="12"/>
        <v>0</v>
      </c>
      <c r="CL9" s="2790">
        <f t="shared" ca="1" si="12"/>
        <v>0</v>
      </c>
      <c r="CM9" s="2790">
        <f t="shared" ca="1" si="12"/>
        <v>0</v>
      </c>
      <c r="CN9" s="2790">
        <f t="shared" ca="1" si="12"/>
        <v>0</v>
      </c>
      <c r="CO9" s="2790">
        <f t="shared" ca="1" si="12"/>
        <v>0</v>
      </c>
      <c r="CP9" s="2790">
        <f t="shared" ca="1" si="12"/>
        <v>0</v>
      </c>
      <c r="CQ9" s="2790">
        <f t="shared" ca="1" si="12"/>
        <v>0</v>
      </c>
      <c r="CR9" s="2790">
        <f t="shared" ca="1" si="12"/>
        <v>0</v>
      </c>
      <c r="CS9" s="2790">
        <f t="shared" ref="CS9:DF10" ca="1" si="13">IFERROR(SUMIFS(INDIRECT($C9&amp;".Emissions["&amp;this.Year&amp;"]"), INDIRECT($C9&amp;".Emissions[GHG]"), CS$6, INDIRECT($C9&amp;".Emissions[IPCC Sector]"), CS$5),0)</f>
        <v>0</v>
      </c>
      <c r="CT9" s="2790">
        <f t="shared" ca="1" si="13"/>
        <v>0</v>
      </c>
      <c r="CU9" s="2790">
        <f t="shared" ca="1" si="13"/>
        <v>0</v>
      </c>
      <c r="CV9" s="2790">
        <f t="shared" ca="1" si="13"/>
        <v>0</v>
      </c>
      <c r="CW9" s="2790">
        <f t="shared" ca="1" si="13"/>
        <v>0</v>
      </c>
      <c r="CX9" s="2790">
        <f t="shared" ca="1" si="13"/>
        <v>0</v>
      </c>
      <c r="CY9" s="2790">
        <f t="shared" ca="1" si="13"/>
        <v>0</v>
      </c>
      <c r="CZ9" s="2790">
        <f t="shared" ca="1" si="13"/>
        <v>0</v>
      </c>
      <c r="DA9" s="2790">
        <f t="shared" ca="1" si="13"/>
        <v>0</v>
      </c>
      <c r="DB9" s="2790">
        <f t="shared" ca="1" si="13"/>
        <v>0</v>
      </c>
      <c r="DC9" s="2790">
        <f t="shared" ca="1" si="13"/>
        <v>0</v>
      </c>
      <c r="DD9" s="2790">
        <f t="shared" ca="1" si="13"/>
        <v>0</v>
      </c>
      <c r="DE9" s="2790">
        <f t="shared" ca="1" si="13"/>
        <v>0</v>
      </c>
      <c r="DF9" s="2790">
        <f t="shared" ca="1" si="13"/>
        <v>0</v>
      </c>
      <c r="DH9" s="596"/>
    </row>
    <row r="10" spans="1:112" s="6" customFormat="1">
      <c r="A10" s="597"/>
      <c r="B10" s="597"/>
      <c r="C10" s="598" t="s">
        <v>462</v>
      </c>
      <c r="D10" s="597" t="s">
        <v>463</v>
      </c>
      <c r="E10" s="599"/>
      <c r="G10" s="600">
        <f t="shared" ca="1" si="0"/>
        <v>0</v>
      </c>
      <c r="H10" s="600">
        <f t="shared" ca="1" si="0"/>
        <v>0</v>
      </c>
      <c r="I10" s="600">
        <f t="shared" ca="1" si="0"/>
        <v>0</v>
      </c>
      <c r="J10" s="600">
        <f t="shared" ca="1" si="0"/>
        <v>0</v>
      </c>
      <c r="K10" s="600">
        <f t="shared" ca="1" si="0"/>
        <v>0</v>
      </c>
      <c r="L10" s="600">
        <f t="shared" ca="1" si="0"/>
        <v>0</v>
      </c>
      <c r="M10" s="600">
        <f t="shared" ca="1" si="0"/>
        <v>0</v>
      </c>
      <c r="N10" s="600">
        <f t="shared" ca="1" si="0"/>
        <v>0</v>
      </c>
      <c r="O10" s="600">
        <f t="shared" ca="1" si="0"/>
        <v>0</v>
      </c>
      <c r="P10" s="600">
        <f t="shared" ca="1" si="0"/>
        <v>0</v>
      </c>
      <c r="Q10" s="601">
        <f t="shared" ca="1" si="1"/>
        <v>0</v>
      </c>
      <c r="S10" s="602">
        <f t="shared" ca="1" si="2"/>
        <v>0</v>
      </c>
      <c r="T10" s="602">
        <f t="shared" ca="1" si="2"/>
        <v>0</v>
      </c>
      <c r="U10" s="602">
        <f t="shared" ca="1" si="2"/>
        <v>0</v>
      </c>
      <c r="V10" s="602">
        <f t="shared" ca="1" si="2"/>
        <v>0</v>
      </c>
      <c r="W10" s="602">
        <f t="shared" ca="1" si="2"/>
        <v>0</v>
      </c>
      <c r="X10" s="602">
        <f t="shared" ca="1" si="2"/>
        <v>0</v>
      </c>
      <c r="Y10" s="602">
        <f t="shared" ca="1" si="2"/>
        <v>0</v>
      </c>
      <c r="Z10" s="602">
        <f t="shared" ca="1" si="2"/>
        <v>0</v>
      </c>
      <c r="AA10" s="602">
        <f t="shared" ca="1" si="2"/>
        <v>0</v>
      </c>
      <c r="AB10" s="602">
        <f t="shared" ca="1" si="2"/>
        <v>0</v>
      </c>
      <c r="AC10" s="602">
        <f t="shared" ca="1" si="2"/>
        <v>0</v>
      </c>
      <c r="AD10" s="602">
        <f t="shared" ca="1" si="2"/>
        <v>0</v>
      </c>
      <c r="AE10" s="602">
        <f t="shared" ca="1" si="2"/>
        <v>0</v>
      </c>
      <c r="AF10" s="602">
        <f t="shared" ca="1" si="2"/>
        <v>0</v>
      </c>
      <c r="AG10" s="602">
        <f t="shared" ca="1" si="2"/>
        <v>0</v>
      </c>
      <c r="AH10" s="602">
        <f t="shared" ca="1" si="2"/>
        <v>0</v>
      </c>
      <c r="AI10" s="602">
        <f t="shared" ca="1" si="2"/>
        <v>0</v>
      </c>
      <c r="AJ10" s="602">
        <f t="shared" ca="1" si="2"/>
        <v>0</v>
      </c>
      <c r="AK10" s="603">
        <f t="shared" ca="1" si="3"/>
        <v>0</v>
      </c>
      <c r="AM10" s="604">
        <f t="shared" ca="1" si="4"/>
        <v>0</v>
      </c>
      <c r="AN10" s="604">
        <f t="shared" ca="1" si="4"/>
        <v>0</v>
      </c>
      <c r="AO10" s="604">
        <f t="shared" ca="1" si="4"/>
        <v>0</v>
      </c>
      <c r="AP10" s="604">
        <f t="shared" ca="1" si="4"/>
        <v>0</v>
      </c>
      <c r="AQ10" s="604">
        <f t="shared" ca="1" si="4"/>
        <v>0</v>
      </c>
      <c r="AR10" s="604">
        <f t="shared" ca="1" si="4"/>
        <v>0</v>
      </c>
      <c r="AS10" s="604">
        <f t="shared" ca="1" si="4"/>
        <v>0</v>
      </c>
      <c r="AT10" s="604">
        <f t="shared" ca="1" si="4"/>
        <v>0</v>
      </c>
      <c r="AU10" s="604">
        <f t="shared" ca="1" si="4"/>
        <v>0</v>
      </c>
      <c r="AV10" s="604">
        <f t="shared" ca="1" si="4"/>
        <v>0</v>
      </c>
      <c r="AW10" s="604">
        <f t="shared" ca="1" si="4"/>
        <v>0</v>
      </c>
      <c r="AX10" s="604">
        <f t="shared" ca="1" si="4"/>
        <v>0</v>
      </c>
      <c r="AY10" s="604">
        <f t="shared" ca="1" si="4"/>
        <v>0</v>
      </c>
      <c r="AZ10" s="604">
        <f t="shared" ca="1" si="4"/>
        <v>0</v>
      </c>
      <c r="BA10" s="604">
        <f t="shared" ca="1" si="4"/>
        <v>0</v>
      </c>
      <c r="BB10" s="604">
        <f t="shared" ca="1" si="4"/>
        <v>0</v>
      </c>
      <c r="BC10" s="604">
        <f t="shared" ca="1" si="5"/>
        <v>0</v>
      </c>
      <c r="BD10" s="604">
        <f t="shared" ca="1" si="5"/>
        <v>0</v>
      </c>
      <c r="BE10" s="604">
        <f t="shared" ca="1" si="5"/>
        <v>0</v>
      </c>
      <c r="BF10" s="605">
        <f t="shared" ca="1" si="6"/>
        <v>0</v>
      </c>
      <c r="BH10" s="3472">
        <f t="shared" ca="1" si="7"/>
        <v>0</v>
      </c>
      <c r="BI10" s="3472">
        <f t="shared" ca="1" si="7"/>
        <v>0</v>
      </c>
      <c r="BJ10" s="3461">
        <f t="shared" ca="1" si="8"/>
        <v>0</v>
      </c>
      <c r="BL10" s="606">
        <f t="shared" ca="1" si="9"/>
        <v>0</v>
      </c>
      <c r="BM10" s="606"/>
      <c r="BN10" s="413"/>
      <c r="BO10" s="2789">
        <f t="shared" ca="1" si="10"/>
        <v>0</v>
      </c>
      <c r="BP10" s="2790">
        <f t="shared" ca="1" si="10"/>
        <v>0</v>
      </c>
      <c r="BQ10" s="2790">
        <f t="shared" ca="1" si="10"/>
        <v>0</v>
      </c>
      <c r="BR10" s="2790">
        <f t="shared" ca="1" si="10"/>
        <v>0</v>
      </c>
      <c r="BS10" s="2790">
        <f t="shared" ca="1" si="10"/>
        <v>0</v>
      </c>
      <c r="BT10" s="2790">
        <f t="shared" ca="1" si="10"/>
        <v>0</v>
      </c>
      <c r="BU10" s="2790">
        <f t="shared" ca="1" si="10"/>
        <v>0</v>
      </c>
      <c r="BV10" s="2790">
        <f t="shared" ca="1" si="10"/>
        <v>0</v>
      </c>
      <c r="BW10" s="2790">
        <f t="shared" ca="1" si="10"/>
        <v>0</v>
      </c>
      <c r="BX10" s="2790">
        <f t="shared" ca="1" si="10"/>
        <v>0</v>
      </c>
      <c r="BY10" s="2790">
        <f t="shared" ca="1" si="11"/>
        <v>0</v>
      </c>
      <c r="BZ10" s="2790">
        <f t="shared" ca="1" si="11"/>
        <v>0</v>
      </c>
      <c r="CA10" s="2790">
        <f t="shared" ca="1" si="11"/>
        <v>0</v>
      </c>
      <c r="CB10" s="2790">
        <f t="shared" ca="1" si="11"/>
        <v>0</v>
      </c>
      <c r="CC10" s="2790">
        <f t="shared" ca="1" si="11"/>
        <v>0</v>
      </c>
      <c r="CD10" s="2790">
        <f t="shared" ca="1" si="11"/>
        <v>0</v>
      </c>
      <c r="CE10" s="2790">
        <f t="shared" ca="1" si="11"/>
        <v>0</v>
      </c>
      <c r="CF10" s="2790">
        <f t="shared" ca="1" si="11"/>
        <v>0</v>
      </c>
      <c r="CG10" s="2790">
        <f t="shared" ca="1" si="11"/>
        <v>0</v>
      </c>
      <c r="CH10" s="2790">
        <f t="shared" ca="1" si="11"/>
        <v>0</v>
      </c>
      <c r="CI10" s="2790">
        <f t="shared" ca="1" si="12"/>
        <v>0</v>
      </c>
      <c r="CJ10" s="2790">
        <f t="shared" ca="1" si="12"/>
        <v>0</v>
      </c>
      <c r="CK10" s="2790">
        <f t="shared" ca="1" si="12"/>
        <v>0</v>
      </c>
      <c r="CL10" s="2790">
        <f t="shared" ca="1" si="12"/>
        <v>0</v>
      </c>
      <c r="CM10" s="2790">
        <f t="shared" ca="1" si="12"/>
        <v>0</v>
      </c>
      <c r="CN10" s="2790">
        <f t="shared" ca="1" si="12"/>
        <v>0</v>
      </c>
      <c r="CO10" s="2790">
        <f t="shared" ca="1" si="12"/>
        <v>0</v>
      </c>
      <c r="CP10" s="2790">
        <f t="shared" ca="1" si="12"/>
        <v>0</v>
      </c>
      <c r="CQ10" s="2790">
        <f t="shared" ca="1" si="12"/>
        <v>0</v>
      </c>
      <c r="CR10" s="2790">
        <f t="shared" ca="1" si="12"/>
        <v>0</v>
      </c>
      <c r="CS10" s="2790">
        <f t="shared" ca="1" si="13"/>
        <v>0</v>
      </c>
      <c r="CT10" s="2790">
        <f t="shared" ca="1" si="13"/>
        <v>0</v>
      </c>
      <c r="CU10" s="2790">
        <f t="shared" ca="1" si="13"/>
        <v>0</v>
      </c>
      <c r="CV10" s="2790">
        <f t="shared" ca="1" si="13"/>
        <v>0</v>
      </c>
      <c r="CW10" s="2790">
        <f t="shared" ca="1" si="13"/>
        <v>0</v>
      </c>
      <c r="CX10" s="2790">
        <f t="shared" ca="1" si="13"/>
        <v>0</v>
      </c>
      <c r="CY10" s="2790">
        <f t="shared" ca="1" si="13"/>
        <v>0</v>
      </c>
      <c r="CZ10" s="2790">
        <f t="shared" ca="1" si="13"/>
        <v>0</v>
      </c>
      <c r="DA10" s="2790">
        <f t="shared" ca="1" si="13"/>
        <v>0</v>
      </c>
      <c r="DB10" s="2790">
        <f t="shared" ca="1" si="13"/>
        <v>0</v>
      </c>
      <c r="DC10" s="2790">
        <f t="shared" ca="1" si="13"/>
        <v>0</v>
      </c>
      <c r="DD10" s="2790">
        <f t="shared" ca="1" si="13"/>
        <v>0</v>
      </c>
      <c r="DE10" s="2790">
        <f t="shared" ca="1" si="13"/>
        <v>0</v>
      </c>
      <c r="DF10" s="2790">
        <f t="shared" ca="1" si="13"/>
        <v>0</v>
      </c>
      <c r="DH10" s="596"/>
    </row>
    <row r="11" spans="1:112" s="6" customFormat="1">
      <c r="A11" s="607"/>
      <c r="B11" s="607"/>
      <c r="C11" s="587"/>
      <c r="D11" s="607" t="s">
        <v>464</v>
      </c>
      <c r="E11" s="588"/>
      <c r="G11" s="590">
        <f ca="1">SUM(G9:G10)</f>
        <v>25.929362795953232</v>
      </c>
      <c r="H11" s="590">
        <f t="shared" ref="H11:P11" ca="1" si="14">SUM(H9:H10)</f>
        <v>0</v>
      </c>
      <c r="I11" s="590">
        <f t="shared" ca="1" si="14"/>
        <v>0</v>
      </c>
      <c r="J11" s="590">
        <f t="shared" ca="1" si="14"/>
        <v>0</v>
      </c>
      <c r="K11" s="590">
        <f t="shared" ca="1" si="14"/>
        <v>0</v>
      </c>
      <c r="L11" s="590">
        <f t="shared" ca="1" si="14"/>
        <v>0</v>
      </c>
      <c r="M11" s="590">
        <f t="shared" ca="1" si="14"/>
        <v>0</v>
      </c>
      <c r="N11" s="590">
        <f ca="1">SUM(N9:N10)</f>
        <v>0</v>
      </c>
      <c r="O11" s="590">
        <f ca="1">SUM(O9:O10)</f>
        <v>0</v>
      </c>
      <c r="P11" s="590">
        <f t="shared" ca="1" si="14"/>
        <v>0</v>
      </c>
      <c r="Q11" s="590">
        <f t="shared" ca="1" si="1"/>
        <v>25.929362795953232</v>
      </c>
      <c r="S11" s="592">
        <f ca="1">SUM(S9:S10)</f>
        <v>-1.9961524440419962</v>
      </c>
      <c r="T11" s="592">
        <f t="shared" ref="T11:AJ11" ca="1" si="15">SUM(T9:T10)</f>
        <v>0</v>
      </c>
      <c r="U11" s="592">
        <f t="shared" ca="1" si="15"/>
        <v>0</v>
      </c>
      <c r="V11" s="592">
        <f t="shared" ca="1" si="15"/>
        <v>0</v>
      </c>
      <c r="W11" s="592">
        <f t="shared" ca="1" si="15"/>
        <v>-19.742167028986774</v>
      </c>
      <c r="X11" s="592">
        <f ca="1">SUM(X9:X10)</f>
        <v>0</v>
      </c>
      <c r="Y11" s="592">
        <f ca="1">SUM(Y9:Y10)</f>
        <v>0</v>
      </c>
      <c r="Z11" s="592">
        <f ca="1">SUM(Z9:Z10)</f>
        <v>0</v>
      </c>
      <c r="AA11" s="592">
        <f t="shared" ca="1" si="15"/>
        <v>0</v>
      </c>
      <c r="AB11" s="592">
        <f t="shared" ca="1" si="15"/>
        <v>0</v>
      </c>
      <c r="AC11" s="592">
        <f t="shared" ca="1" si="15"/>
        <v>0</v>
      </c>
      <c r="AD11" s="592">
        <f ca="1">SUM(AD9:AD10)</f>
        <v>0</v>
      </c>
      <c r="AE11" s="592">
        <f ca="1">SUM(AE9:AE10)</f>
        <v>0</v>
      </c>
      <c r="AF11" s="592">
        <f t="shared" ca="1" si="15"/>
        <v>0</v>
      </c>
      <c r="AG11" s="592">
        <f ca="1">SUM(AG9:AG10)</f>
        <v>0</v>
      </c>
      <c r="AH11" s="592">
        <f ca="1">SUM(AH9:AH10)</f>
        <v>0</v>
      </c>
      <c r="AI11" s="592">
        <f ca="1">SUM(AI9:AI10)</f>
        <v>-4.1910433229244628</v>
      </c>
      <c r="AJ11" s="592">
        <f t="shared" ca="1" si="15"/>
        <v>0</v>
      </c>
      <c r="AK11" s="592">
        <f t="shared" ca="1" si="3"/>
        <v>-25.929362795953232</v>
      </c>
      <c r="AM11" s="608">
        <f t="shared" ref="AM11:BE11" ca="1" si="16">SUM(AM9:AM10)</f>
        <v>0</v>
      </c>
      <c r="AN11" s="608">
        <f t="shared" ca="1" si="16"/>
        <v>0</v>
      </c>
      <c r="AO11" s="608">
        <f t="shared" ca="1" si="16"/>
        <v>0</v>
      </c>
      <c r="AP11" s="608">
        <f t="shared" ca="1" si="16"/>
        <v>0</v>
      </c>
      <c r="AQ11" s="608">
        <f t="shared" ca="1" si="16"/>
        <v>0</v>
      </c>
      <c r="AR11" s="608">
        <f t="shared" ca="1" si="16"/>
        <v>0</v>
      </c>
      <c r="AS11" s="608">
        <f t="shared" ca="1" si="16"/>
        <v>0</v>
      </c>
      <c r="AT11" s="608">
        <f t="shared" ca="1" si="16"/>
        <v>0</v>
      </c>
      <c r="AU11" s="608">
        <f t="shared" ca="1" si="16"/>
        <v>0</v>
      </c>
      <c r="AV11" s="608">
        <f t="shared" ca="1" si="16"/>
        <v>0</v>
      </c>
      <c r="AW11" s="608">
        <f t="shared" ca="1" si="16"/>
        <v>0</v>
      </c>
      <c r="AX11" s="608">
        <f t="shared" ca="1" si="16"/>
        <v>0</v>
      </c>
      <c r="AY11" s="608">
        <f t="shared" ca="1" si="16"/>
        <v>0</v>
      </c>
      <c r="AZ11" s="608">
        <f t="shared" ca="1" si="16"/>
        <v>0</v>
      </c>
      <c r="BA11" s="608">
        <f t="shared" ca="1" si="16"/>
        <v>0</v>
      </c>
      <c r="BB11" s="608">
        <f t="shared" ca="1" si="16"/>
        <v>0</v>
      </c>
      <c r="BC11" s="608">
        <f t="shared" ca="1" si="16"/>
        <v>0</v>
      </c>
      <c r="BD11" s="608">
        <f ca="1">SUM(BD9:BD10)</f>
        <v>0</v>
      </c>
      <c r="BE11" s="608">
        <f t="shared" ca="1" si="16"/>
        <v>0</v>
      </c>
      <c r="BF11" s="609">
        <f t="shared" ca="1" si="6"/>
        <v>0</v>
      </c>
      <c r="BH11" s="3460">
        <f ca="1">SUM(BH9:BH10)</f>
        <v>0</v>
      </c>
      <c r="BI11" s="3460">
        <f ca="1">SUM(BI9:BI10)</f>
        <v>0</v>
      </c>
      <c r="BJ11" s="3460">
        <f t="shared" ca="1" si="8"/>
        <v>0</v>
      </c>
      <c r="BL11" s="610">
        <f t="shared" ca="1" si="9"/>
        <v>0</v>
      </c>
      <c r="BM11" s="610"/>
      <c r="BN11" s="413"/>
      <c r="BO11" s="2789">
        <f t="shared" ref="BO11:DF11" ca="1" si="17">SUM(BO9:BO10)</f>
        <v>4.0416401247746068</v>
      </c>
      <c r="BP11" s="2790">
        <f t="shared" ca="1" si="17"/>
        <v>1.4925078273914003E-3</v>
      </c>
      <c r="BQ11" s="2790">
        <f t="shared" ca="1" si="17"/>
        <v>6.3893549372612796E-2</v>
      </c>
      <c r="BR11" s="2790">
        <f t="shared" ca="1" si="17"/>
        <v>0</v>
      </c>
      <c r="BS11" s="2790">
        <f t="shared" ca="1" si="17"/>
        <v>0</v>
      </c>
      <c r="BT11" s="2790">
        <f t="shared" ca="1" si="17"/>
        <v>0</v>
      </c>
      <c r="BU11" s="2790">
        <f t="shared" ca="1" si="17"/>
        <v>0</v>
      </c>
      <c r="BV11" s="2790">
        <f t="shared" ca="1" si="17"/>
        <v>0</v>
      </c>
      <c r="BW11" s="2790">
        <f t="shared" ca="1" si="17"/>
        <v>0</v>
      </c>
      <c r="BX11" s="2790">
        <f t="shared" ca="1" si="17"/>
        <v>0</v>
      </c>
      <c r="BY11" s="2790">
        <f t="shared" ca="1" si="17"/>
        <v>0</v>
      </c>
      <c r="BZ11" s="2790">
        <f t="shared" ca="1" si="17"/>
        <v>0</v>
      </c>
      <c r="CA11" s="2790">
        <f t="shared" ca="1" si="17"/>
        <v>0</v>
      </c>
      <c r="CB11" s="2790">
        <f t="shared" ca="1" si="17"/>
        <v>0</v>
      </c>
      <c r="CC11" s="2790">
        <f t="shared" ca="1" si="17"/>
        <v>0</v>
      </c>
      <c r="CD11" s="2790">
        <f t="shared" ca="1" si="17"/>
        <v>0</v>
      </c>
      <c r="CE11" s="2790">
        <f t="shared" ca="1" si="17"/>
        <v>0</v>
      </c>
      <c r="CF11" s="2790">
        <f t="shared" ca="1" si="17"/>
        <v>0</v>
      </c>
      <c r="CG11" s="2790">
        <f t="shared" ca="1" si="17"/>
        <v>0</v>
      </c>
      <c r="CH11" s="2790">
        <f t="shared" ca="1" si="17"/>
        <v>0</v>
      </c>
      <c r="CI11" s="2790">
        <f t="shared" ca="1" si="17"/>
        <v>0</v>
      </c>
      <c r="CJ11" s="2790">
        <f t="shared" ca="1" si="17"/>
        <v>0</v>
      </c>
      <c r="CK11" s="2790">
        <f t="shared" ca="1" si="17"/>
        <v>0</v>
      </c>
      <c r="CL11" s="2790">
        <f t="shared" ca="1" si="17"/>
        <v>0</v>
      </c>
      <c r="CM11" s="2790">
        <f t="shared" ca="1" si="17"/>
        <v>0</v>
      </c>
      <c r="CN11" s="2790">
        <f t="shared" ca="1" si="17"/>
        <v>0</v>
      </c>
      <c r="CO11" s="2790">
        <f t="shared" ca="1" si="17"/>
        <v>0</v>
      </c>
      <c r="CP11" s="2790">
        <f t="shared" ca="1" si="17"/>
        <v>0</v>
      </c>
      <c r="CQ11" s="2790">
        <f t="shared" ca="1" si="17"/>
        <v>0</v>
      </c>
      <c r="CR11" s="2790">
        <f t="shared" ca="1" si="17"/>
        <v>0</v>
      </c>
      <c r="CS11" s="2790">
        <f t="shared" ca="1" si="17"/>
        <v>0</v>
      </c>
      <c r="CT11" s="2790">
        <f t="shared" ca="1" si="17"/>
        <v>0</v>
      </c>
      <c r="CU11" s="2790">
        <f t="shared" ca="1" si="17"/>
        <v>0</v>
      </c>
      <c r="CV11" s="2790">
        <f t="shared" ca="1" si="17"/>
        <v>0</v>
      </c>
      <c r="CW11" s="2790">
        <f t="shared" ca="1" si="17"/>
        <v>0</v>
      </c>
      <c r="CX11" s="2790">
        <f t="shared" ca="1" si="17"/>
        <v>0</v>
      </c>
      <c r="CY11" s="2790">
        <f t="shared" ca="1" si="17"/>
        <v>0</v>
      </c>
      <c r="CZ11" s="2790">
        <f t="shared" ca="1" si="17"/>
        <v>0</v>
      </c>
      <c r="DA11" s="2790">
        <f t="shared" ca="1" si="17"/>
        <v>0</v>
      </c>
      <c r="DB11" s="2790">
        <f t="shared" ca="1" si="17"/>
        <v>0</v>
      </c>
      <c r="DC11" s="2790">
        <f t="shared" ca="1" si="17"/>
        <v>0</v>
      </c>
      <c r="DD11" s="2790">
        <f t="shared" ca="1" si="17"/>
        <v>0</v>
      </c>
      <c r="DE11" s="2790">
        <f t="shared" ca="1" si="17"/>
        <v>0</v>
      </c>
      <c r="DF11" s="2790">
        <f t="shared" ca="1" si="17"/>
        <v>0</v>
      </c>
      <c r="DH11" s="596"/>
    </row>
    <row r="12" spans="1:112" s="6" customFormat="1">
      <c r="A12" s="586"/>
      <c r="B12" s="586"/>
      <c r="C12" s="587" t="s">
        <v>465</v>
      </c>
      <c r="D12" s="586" t="s">
        <v>466</v>
      </c>
      <c r="E12" s="599"/>
      <c r="G12" s="589">
        <f t="shared" ca="1" si="0"/>
        <v>17.039131868131868</v>
      </c>
      <c r="H12" s="589">
        <f t="shared" ca="1" si="0"/>
        <v>0</v>
      </c>
      <c r="I12" s="589">
        <f t="shared" ca="1" si="0"/>
        <v>0</v>
      </c>
      <c r="J12" s="589">
        <f t="shared" ca="1" si="0"/>
        <v>0</v>
      </c>
      <c r="K12" s="589">
        <f t="shared" ca="1" si="0"/>
        <v>0</v>
      </c>
      <c r="L12" s="589">
        <f t="shared" ca="1" si="0"/>
        <v>0</v>
      </c>
      <c r="M12" s="589">
        <f t="shared" ca="1" si="0"/>
        <v>0</v>
      </c>
      <c r="N12" s="589">
        <f t="shared" ca="1" si="0"/>
        <v>0</v>
      </c>
      <c r="O12" s="589">
        <f t="shared" ca="1" si="0"/>
        <v>0</v>
      </c>
      <c r="P12" s="589">
        <f t="shared" ca="1" si="0"/>
        <v>0</v>
      </c>
      <c r="Q12" s="590">
        <f t="shared" ca="1" si="1"/>
        <v>17.039131868131868</v>
      </c>
      <c r="S12" s="591">
        <f t="shared" ca="1" si="2"/>
        <v>-1.877</v>
      </c>
      <c r="T12" s="591">
        <f t="shared" ca="1" si="2"/>
        <v>12.392999999999999</v>
      </c>
      <c r="U12" s="591">
        <f t="shared" ca="1" si="2"/>
        <v>0</v>
      </c>
      <c r="V12" s="591">
        <f t="shared" ca="1" si="2"/>
        <v>0</v>
      </c>
      <c r="W12" s="591">
        <f t="shared" ca="1" si="2"/>
        <v>-27.555131868131866</v>
      </c>
      <c r="X12" s="591">
        <f t="shared" ca="1" si="2"/>
        <v>0</v>
      </c>
      <c r="Y12" s="591">
        <f t="shared" ca="1" si="2"/>
        <v>0</v>
      </c>
      <c r="Z12" s="591">
        <f t="shared" ca="1" si="2"/>
        <v>0</v>
      </c>
      <c r="AA12" s="591">
        <f t="shared" ca="1" si="2"/>
        <v>0</v>
      </c>
      <c r="AB12" s="591">
        <f t="shared" ca="1" si="2"/>
        <v>0</v>
      </c>
      <c r="AC12" s="591">
        <f t="shared" ca="1" si="2"/>
        <v>0</v>
      </c>
      <c r="AD12" s="591">
        <f t="shared" ca="1" si="2"/>
        <v>0</v>
      </c>
      <c r="AE12" s="591">
        <f t="shared" ca="1" si="2"/>
        <v>0</v>
      </c>
      <c r="AF12" s="591">
        <f t="shared" ca="1" si="2"/>
        <v>0</v>
      </c>
      <c r="AG12" s="591">
        <f t="shared" ca="1" si="2"/>
        <v>0</v>
      </c>
      <c r="AH12" s="591">
        <f t="shared" ca="1" si="2"/>
        <v>0</v>
      </c>
      <c r="AI12" s="591">
        <f t="shared" ca="1" si="2"/>
        <v>0</v>
      </c>
      <c r="AJ12" s="591">
        <f t="shared" ca="1" si="2"/>
        <v>0</v>
      </c>
      <c r="AK12" s="592">
        <f t="shared" ca="1" si="3"/>
        <v>-17.039131868131868</v>
      </c>
      <c r="AM12" s="593">
        <f t="shared" ref="AM12:BB13" ca="1" si="18">IFERROR(INDEX(INDIRECT($C12&amp;".Outputs["&amp;this.Year&amp;"]"), MATCH(AM$5, INDIRECT($C12&amp;".Outputs[Vector]"), 0)), 0)</f>
        <v>0</v>
      </c>
      <c r="AN12" s="593">
        <f t="shared" ca="1" si="18"/>
        <v>0</v>
      </c>
      <c r="AO12" s="593">
        <f t="shared" ca="1" si="18"/>
        <v>0</v>
      </c>
      <c r="AP12" s="593">
        <f t="shared" ca="1" si="18"/>
        <v>0</v>
      </c>
      <c r="AQ12" s="593">
        <f t="shared" ca="1" si="18"/>
        <v>0</v>
      </c>
      <c r="AR12" s="593">
        <f t="shared" ca="1" si="18"/>
        <v>0</v>
      </c>
      <c r="AS12" s="593">
        <f t="shared" ca="1" si="18"/>
        <v>0</v>
      </c>
      <c r="AT12" s="593">
        <f t="shared" ca="1" si="18"/>
        <v>0</v>
      </c>
      <c r="AU12" s="593">
        <f t="shared" ca="1" si="18"/>
        <v>0</v>
      </c>
      <c r="AV12" s="593">
        <f t="shared" ca="1" si="18"/>
        <v>0</v>
      </c>
      <c r="AW12" s="593">
        <f t="shared" ca="1" si="18"/>
        <v>0</v>
      </c>
      <c r="AX12" s="593">
        <f t="shared" ca="1" si="18"/>
        <v>0</v>
      </c>
      <c r="AY12" s="593">
        <f t="shared" ca="1" si="18"/>
        <v>0</v>
      </c>
      <c r="AZ12" s="593">
        <f t="shared" ca="1" si="18"/>
        <v>0</v>
      </c>
      <c r="BA12" s="593">
        <f t="shared" ca="1" si="18"/>
        <v>0</v>
      </c>
      <c r="BB12" s="593">
        <f t="shared" ca="1" si="18"/>
        <v>0</v>
      </c>
      <c r="BC12" s="593">
        <f t="shared" ref="BC12:BE13" ca="1" si="19">IFERROR(INDEX(INDIRECT($C12&amp;".Outputs["&amp;this.Year&amp;"]"), MATCH(BC$5, INDIRECT($C12&amp;".Outputs[Vector]"), 0)), 0)</f>
        <v>0</v>
      </c>
      <c r="BD12" s="593">
        <f t="shared" ca="1" si="19"/>
        <v>0</v>
      </c>
      <c r="BE12" s="593">
        <f t="shared" ca="1" si="19"/>
        <v>0</v>
      </c>
      <c r="BF12" s="594">
        <f t="shared" ca="1" si="6"/>
        <v>0</v>
      </c>
      <c r="BH12" s="3471">
        <f t="shared" ca="1" si="7"/>
        <v>0</v>
      </c>
      <c r="BI12" s="3471">
        <f t="shared" ca="1" si="7"/>
        <v>0</v>
      </c>
      <c r="BJ12" s="3460">
        <f t="shared" ca="1" si="8"/>
        <v>0</v>
      </c>
      <c r="BL12" s="595">
        <f t="shared" ca="1" si="9"/>
        <v>0</v>
      </c>
      <c r="BM12" s="595"/>
      <c r="BN12" s="413"/>
      <c r="BO12" s="2789">
        <f t="shared" ref="BO12:BX13" ca="1" si="20">IFERROR(SUMIFS(INDIRECT($C12&amp;".Emissions["&amp;this.Year&amp;"]"), INDIRECT($C12&amp;".Emissions[GHG]"), BO$6, INDIRECT($C12&amp;".Emissions[IPCC Sector]"), BO$5),0)</f>
        <v>5.6411196622021968</v>
      </c>
      <c r="BP12" s="2790">
        <f t="shared" ca="1" si="20"/>
        <v>2.0831679692307693E-3</v>
      </c>
      <c r="BQ12" s="2790">
        <f t="shared" ca="1" si="20"/>
        <v>8.9179428778021971E-2</v>
      </c>
      <c r="BR12" s="2790">
        <f t="shared" ca="1" si="20"/>
        <v>0</v>
      </c>
      <c r="BS12" s="2790">
        <f t="shared" ca="1" si="20"/>
        <v>0</v>
      </c>
      <c r="BT12" s="2790">
        <f t="shared" ca="1" si="20"/>
        <v>0</v>
      </c>
      <c r="BU12" s="2790">
        <f t="shared" ca="1" si="20"/>
        <v>0</v>
      </c>
      <c r="BV12" s="2790">
        <f t="shared" ca="1" si="20"/>
        <v>0</v>
      </c>
      <c r="BW12" s="2790">
        <f t="shared" ca="1" si="20"/>
        <v>0</v>
      </c>
      <c r="BX12" s="2790">
        <f t="shared" ca="1" si="20"/>
        <v>0</v>
      </c>
      <c r="BY12" s="2790">
        <f t="shared" ref="BY12:CH13" ca="1" si="21">IFERROR(SUMIFS(INDIRECT($C12&amp;".Emissions["&amp;this.Year&amp;"]"), INDIRECT($C12&amp;".Emissions[GHG]"), BY$6, INDIRECT($C12&amp;".Emissions[IPCC Sector]"), BY$5),0)</f>
        <v>0</v>
      </c>
      <c r="BZ12" s="2790">
        <f t="shared" ca="1" si="21"/>
        <v>0</v>
      </c>
      <c r="CA12" s="2790">
        <f t="shared" ca="1" si="21"/>
        <v>0</v>
      </c>
      <c r="CB12" s="2790">
        <f t="shared" ca="1" si="21"/>
        <v>0</v>
      </c>
      <c r="CC12" s="2790">
        <f t="shared" ca="1" si="21"/>
        <v>0</v>
      </c>
      <c r="CD12" s="2790">
        <f t="shared" ca="1" si="21"/>
        <v>0</v>
      </c>
      <c r="CE12" s="2790">
        <f t="shared" ca="1" si="21"/>
        <v>0</v>
      </c>
      <c r="CF12" s="2790">
        <f t="shared" ca="1" si="21"/>
        <v>0</v>
      </c>
      <c r="CG12" s="2790">
        <f t="shared" ca="1" si="21"/>
        <v>0</v>
      </c>
      <c r="CH12" s="2790">
        <f t="shared" ca="1" si="21"/>
        <v>0</v>
      </c>
      <c r="CI12" s="2790">
        <f t="shared" ref="CI12:CR13" ca="1" si="22">IFERROR(SUMIFS(INDIRECT($C12&amp;".Emissions["&amp;this.Year&amp;"]"), INDIRECT($C12&amp;".Emissions[GHG]"), CI$6, INDIRECT($C12&amp;".Emissions[IPCC Sector]"), CI$5),0)</f>
        <v>0</v>
      </c>
      <c r="CJ12" s="2790">
        <f t="shared" ca="1" si="22"/>
        <v>0</v>
      </c>
      <c r="CK12" s="2790">
        <f t="shared" ca="1" si="22"/>
        <v>0</v>
      </c>
      <c r="CL12" s="2790">
        <f t="shared" ca="1" si="22"/>
        <v>0</v>
      </c>
      <c r="CM12" s="2790">
        <f t="shared" ca="1" si="22"/>
        <v>0</v>
      </c>
      <c r="CN12" s="2790">
        <f t="shared" ca="1" si="22"/>
        <v>0</v>
      </c>
      <c r="CO12" s="2790">
        <f t="shared" ca="1" si="22"/>
        <v>0</v>
      </c>
      <c r="CP12" s="2790">
        <f t="shared" ca="1" si="22"/>
        <v>0</v>
      </c>
      <c r="CQ12" s="2790">
        <f t="shared" ca="1" si="22"/>
        <v>0</v>
      </c>
      <c r="CR12" s="2790">
        <f t="shared" ca="1" si="22"/>
        <v>0</v>
      </c>
      <c r="CS12" s="2790">
        <f t="shared" ref="CS12:DF13" ca="1" si="23">IFERROR(SUMIFS(INDIRECT($C12&amp;".Emissions["&amp;this.Year&amp;"]"), INDIRECT($C12&amp;".Emissions[GHG]"), CS$6, INDIRECT($C12&amp;".Emissions[IPCC Sector]"), CS$5),0)</f>
        <v>0</v>
      </c>
      <c r="CT12" s="2790">
        <f t="shared" ca="1" si="23"/>
        <v>0</v>
      </c>
      <c r="CU12" s="2790">
        <f t="shared" ca="1" si="23"/>
        <v>0</v>
      </c>
      <c r="CV12" s="2790">
        <f t="shared" ca="1" si="23"/>
        <v>0</v>
      </c>
      <c r="CW12" s="2790">
        <f t="shared" ca="1" si="23"/>
        <v>0</v>
      </c>
      <c r="CX12" s="2790">
        <f t="shared" ca="1" si="23"/>
        <v>0</v>
      </c>
      <c r="CY12" s="2790">
        <f t="shared" ca="1" si="23"/>
        <v>0</v>
      </c>
      <c r="CZ12" s="2790">
        <f t="shared" ca="1" si="23"/>
        <v>0</v>
      </c>
      <c r="DA12" s="2790">
        <f t="shared" ca="1" si="23"/>
        <v>0</v>
      </c>
      <c r="DB12" s="2790">
        <f t="shared" ca="1" si="23"/>
        <v>0</v>
      </c>
      <c r="DC12" s="2790">
        <f t="shared" ca="1" si="23"/>
        <v>0</v>
      </c>
      <c r="DD12" s="2790">
        <f t="shared" ca="1" si="23"/>
        <v>0</v>
      </c>
      <c r="DE12" s="2790">
        <f t="shared" ca="1" si="23"/>
        <v>0</v>
      </c>
      <c r="DF12" s="2790">
        <f t="shared" ca="1" si="23"/>
        <v>0</v>
      </c>
      <c r="DH12" s="596"/>
    </row>
    <row r="13" spans="1:112" s="6" customFormat="1">
      <c r="A13" s="597"/>
      <c r="B13" s="597"/>
      <c r="C13" s="598" t="s">
        <v>467</v>
      </c>
      <c r="D13" s="597" t="s">
        <v>468</v>
      </c>
      <c r="E13" s="599"/>
      <c r="G13" s="600">
        <f t="shared" ca="1" si="0"/>
        <v>0</v>
      </c>
      <c r="H13" s="600">
        <f t="shared" ca="1" si="0"/>
        <v>0</v>
      </c>
      <c r="I13" s="600">
        <f t="shared" ca="1" si="0"/>
        <v>0</v>
      </c>
      <c r="J13" s="600">
        <f t="shared" ca="1" si="0"/>
        <v>0</v>
      </c>
      <c r="K13" s="600">
        <f t="shared" ca="1" si="0"/>
        <v>0</v>
      </c>
      <c r="L13" s="600">
        <f t="shared" ca="1" si="0"/>
        <v>0</v>
      </c>
      <c r="M13" s="600">
        <f t="shared" ca="1" si="0"/>
        <v>0</v>
      </c>
      <c r="N13" s="600">
        <f t="shared" ca="1" si="0"/>
        <v>0</v>
      </c>
      <c r="O13" s="600">
        <f t="shared" ca="1" si="0"/>
        <v>0</v>
      </c>
      <c r="P13" s="600">
        <f t="shared" ca="1" si="0"/>
        <v>0</v>
      </c>
      <c r="Q13" s="601">
        <f t="shared" ca="1" si="1"/>
        <v>0</v>
      </c>
      <c r="S13" s="602">
        <f t="shared" ca="1" si="2"/>
        <v>0</v>
      </c>
      <c r="T13" s="602">
        <f t="shared" ca="1" si="2"/>
        <v>0</v>
      </c>
      <c r="U13" s="602">
        <f t="shared" ca="1" si="2"/>
        <v>0</v>
      </c>
      <c r="V13" s="602">
        <f t="shared" ca="1" si="2"/>
        <v>0</v>
      </c>
      <c r="W13" s="602">
        <f t="shared" ca="1" si="2"/>
        <v>0</v>
      </c>
      <c r="X13" s="602">
        <f t="shared" ca="1" si="2"/>
        <v>0</v>
      </c>
      <c r="Y13" s="602">
        <f t="shared" ca="1" si="2"/>
        <v>0</v>
      </c>
      <c r="Z13" s="602">
        <f t="shared" ca="1" si="2"/>
        <v>0</v>
      </c>
      <c r="AA13" s="602">
        <f t="shared" ca="1" si="2"/>
        <v>0</v>
      </c>
      <c r="AB13" s="602">
        <f t="shared" ca="1" si="2"/>
        <v>0</v>
      </c>
      <c r="AC13" s="602">
        <f t="shared" ca="1" si="2"/>
        <v>0</v>
      </c>
      <c r="AD13" s="602">
        <f t="shared" ca="1" si="2"/>
        <v>0</v>
      </c>
      <c r="AE13" s="602">
        <f t="shared" ca="1" si="2"/>
        <v>0</v>
      </c>
      <c r="AF13" s="602">
        <f t="shared" ca="1" si="2"/>
        <v>0</v>
      </c>
      <c r="AG13" s="602">
        <f t="shared" ca="1" si="2"/>
        <v>0</v>
      </c>
      <c r="AH13" s="602">
        <f t="shared" ca="1" si="2"/>
        <v>0</v>
      </c>
      <c r="AI13" s="602">
        <f t="shared" ca="1" si="2"/>
        <v>0</v>
      </c>
      <c r="AJ13" s="602">
        <f t="shared" ca="1" si="2"/>
        <v>0</v>
      </c>
      <c r="AK13" s="603">
        <f t="shared" ca="1" si="3"/>
        <v>0</v>
      </c>
      <c r="AM13" s="604">
        <f t="shared" ca="1" si="18"/>
        <v>0</v>
      </c>
      <c r="AN13" s="604">
        <f t="shared" ca="1" si="18"/>
        <v>0</v>
      </c>
      <c r="AO13" s="604">
        <f t="shared" ca="1" si="18"/>
        <v>0</v>
      </c>
      <c r="AP13" s="604">
        <f t="shared" ca="1" si="18"/>
        <v>0</v>
      </c>
      <c r="AQ13" s="604">
        <f t="shared" ca="1" si="18"/>
        <v>0</v>
      </c>
      <c r="AR13" s="604">
        <f t="shared" ca="1" si="18"/>
        <v>0</v>
      </c>
      <c r="AS13" s="604">
        <f t="shared" ca="1" si="18"/>
        <v>0</v>
      </c>
      <c r="AT13" s="604">
        <f t="shared" ca="1" si="18"/>
        <v>0</v>
      </c>
      <c r="AU13" s="604">
        <f t="shared" ca="1" si="18"/>
        <v>0</v>
      </c>
      <c r="AV13" s="604">
        <f t="shared" ca="1" si="18"/>
        <v>0</v>
      </c>
      <c r="AW13" s="604">
        <f t="shared" ca="1" si="18"/>
        <v>0</v>
      </c>
      <c r="AX13" s="604">
        <f t="shared" ca="1" si="18"/>
        <v>0</v>
      </c>
      <c r="AY13" s="604">
        <f t="shared" ca="1" si="18"/>
        <v>0</v>
      </c>
      <c r="AZ13" s="604">
        <f t="shared" ca="1" si="18"/>
        <v>0</v>
      </c>
      <c r="BA13" s="604">
        <f t="shared" ca="1" si="18"/>
        <v>0</v>
      </c>
      <c r="BB13" s="604">
        <f t="shared" ca="1" si="18"/>
        <v>0</v>
      </c>
      <c r="BC13" s="604">
        <f t="shared" ca="1" si="19"/>
        <v>0</v>
      </c>
      <c r="BD13" s="604">
        <f t="shared" ca="1" si="19"/>
        <v>0</v>
      </c>
      <c r="BE13" s="604">
        <f t="shared" ca="1" si="19"/>
        <v>0</v>
      </c>
      <c r="BF13" s="605">
        <f t="shared" ca="1" si="6"/>
        <v>0</v>
      </c>
      <c r="BH13" s="3472">
        <f t="shared" ca="1" si="7"/>
        <v>0</v>
      </c>
      <c r="BI13" s="3472">
        <f t="shared" ca="1" si="7"/>
        <v>0</v>
      </c>
      <c r="BJ13" s="3461">
        <f t="shared" ca="1" si="8"/>
        <v>0</v>
      </c>
      <c r="BL13" s="606">
        <f t="shared" ca="1" si="9"/>
        <v>0</v>
      </c>
      <c r="BM13" s="606"/>
      <c r="BN13" s="413"/>
      <c r="BO13" s="2789">
        <f t="shared" ca="1" si="20"/>
        <v>0</v>
      </c>
      <c r="BP13" s="2790">
        <f t="shared" ca="1" si="20"/>
        <v>0</v>
      </c>
      <c r="BQ13" s="2790">
        <f t="shared" ca="1" si="20"/>
        <v>0</v>
      </c>
      <c r="BR13" s="2790">
        <f t="shared" ca="1" si="20"/>
        <v>0</v>
      </c>
      <c r="BS13" s="2790">
        <f t="shared" ca="1" si="20"/>
        <v>0</v>
      </c>
      <c r="BT13" s="2790">
        <f t="shared" ca="1" si="20"/>
        <v>0</v>
      </c>
      <c r="BU13" s="2790">
        <f t="shared" ca="1" si="20"/>
        <v>0</v>
      </c>
      <c r="BV13" s="2790">
        <f t="shared" ca="1" si="20"/>
        <v>0</v>
      </c>
      <c r="BW13" s="2790">
        <f t="shared" ca="1" si="20"/>
        <v>0</v>
      </c>
      <c r="BX13" s="2790">
        <f t="shared" ca="1" si="20"/>
        <v>0</v>
      </c>
      <c r="BY13" s="2790">
        <f t="shared" ca="1" si="21"/>
        <v>0</v>
      </c>
      <c r="BZ13" s="2790">
        <f t="shared" ca="1" si="21"/>
        <v>0</v>
      </c>
      <c r="CA13" s="2790">
        <f t="shared" ca="1" si="21"/>
        <v>0</v>
      </c>
      <c r="CB13" s="2790">
        <f t="shared" ca="1" si="21"/>
        <v>0</v>
      </c>
      <c r="CC13" s="2790">
        <f t="shared" ca="1" si="21"/>
        <v>0</v>
      </c>
      <c r="CD13" s="2790">
        <f t="shared" ca="1" si="21"/>
        <v>0</v>
      </c>
      <c r="CE13" s="2790">
        <f t="shared" ca="1" si="21"/>
        <v>0</v>
      </c>
      <c r="CF13" s="2790">
        <f t="shared" ca="1" si="21"/>
        <v>0</v>
      </c>
      <c r="CG13" s="2790">
        <f t="shared" ca="1" si="21"/>
        <v>0</v>
      </c>
      <c r="CH13" s="2790">
        <f t="shared" ca="1" si="21"/>
        <v>0</v>
      </c>
      <c r="CI13" s="2790">
        <f t="shared" ca="1" si="22"/>
        <v>0</v>
      </c>
      <c r="CJ13" s="2790">
        <f t="shared" ca="1" si="22"/>
        <v>0</v>
      </c>
      <c r="CK13" s="2790">
        <f t="shared" ca="1" si="22"/>
        <v>0</v>
      </c>
      <c r="CL13" s="2790">
        <f t="shared" ca="1" si="22"/>
        <v>0</v>
      </c>
      <c r="CM13" s="2790">
        <f t="shared" ca="1" si="22"/>
        <v>0</v>
      </c>
      <c r="CN13" s="2790">
        <f t="shared" ca="1" si="22"/>
        <v>0</v>
      </c>
      <c r="CO13" s="2790">
        <f t="shared" ca="1" si="22"/>
        <v>0</v>
      </c>
      <c r="CP13" s="2790">
        <f t="shared" ca="1" si="22"/>
        <v>0</v>
      </c>
      <c r="CQ13" s="2790">
        <f t="shared" ca="1" si="22"/>
        <v>0</v>
      </c>
      <c r="CR13" s="2790">
        <f t="shared" ca="1" si="22"/>
        <v>0</v>
      </c>
      <c r="CS13" s="2790">
        <f t="shared" ca="1" si="23"/>
        <v>0</v>
      </c>
      <c r="CT13" s="2790">
        <f t="shared" ca="1" si="23"/>
        <v>0</v>
      </c>
      <c r="CU13" s="2790">
        <f t="shared" ca="1" si="23"/>
        <v>0</v>
      </c>
      <c r="CV13" s="2790">
        <f t="shared" ca="1" si="23"/>
        <v>0</v>
      </c>
      <c r="CW13" s="2790">
        <f t="shared" ca="1" si="23"/>
        <v>0</v>
      </c>
      <c r="CX13" s="2790">
        <f t="shared" ca="1" si="23"/>
        <v>0</v>
      </c>
      <c r="CY13" s="2790">
        <f t="shared" ca="1" si="23"/>
        <v>0</v>
      </c>
      <c r="CZ13" s="2790">
        <f t="shared" ca="1" si="23"/>
        <v>0</v>
      </c>
      <c r="DA13" s="2790">
        <f t="shared" ca="1" si="23"/>
        <v>0</v>
      </c>
      <c r="DB13" s="2790">
        <f t="shared" ca="1" si="23"/>
        <v>0</v>
      </c>
      <c r="DC13" s="2790">
        <f t="shared" ca="1" si="23"/>
        <v>0</v>
      </c>
      <c r="DD13" s="2790">
        <f t="shared" ca="1" si="23"/>
        <v>0</v>
      </c>
      <c r="DE13" s="2790">
        <f t="shared" ca="1" si="23"/>
        <v>0</v>
      </c>
      <c r="DF13" s="2790">
        <f t="shared" ca="1" si="23"/>
        <v>0</v>
      </c>
      <c r="DH13" s="596"/>
    </row>
    <row r="14" spans="1:112" s="6" customFormat="1">
      <c r="A14" s="607"/>
      <c r="B14" s="607"/>
      <c r="C14" s="587"/>
      <c r="D14" s="611" t="s">
        <v>469</v>
      </c>
      <c r="E14" s="611"/>
      <c r="G14" s="612">
        <f ca="1">SUM(G12:G13)</f>
        <v>17.039131868131868</v>
      </c>
      <c r="H14" s="612">
        <f t="shared" ref="H14:P14" ca="1" si="24">SUM(H12:H13)</f>
        <v>0</v>
      </c>
      <c r="I14" s="612">
        <f t="shared" ca="1" si="24"/>
        <v>0</v>
      </c>
      <c r="J14" s="612">
        <f t="shared" ca="1" si="24"/>
        <v>0</v>
      </c>
      <c r="K14" s="612">
        <f t="shared" ca="1" si="24"/>
        <v>0</v>
      </c>
      <c r="L14" s="612">
        <f t="shared" ca="1" si="24"/>
        <v>0</v>
      </c>
      <c r="M14" s="612">
        <f t="shared" ca="1" si="24"/>
        <v>0</v>
      </c>
      <c r="N14" s="612">
        <f ca="1">SUM(N12:N13)</f>
        <v>0</v>
      </c>
      <c r="O14" s="612">
        <f ca="1">SUM(O12:O13)</f>
        <v>0</v>
      </c>
      <c r="P14" s="612">
        <f t="shared" ca="1" si="24"/>
        <v>0</v>
      </c>
      <c r="Q14" s="612">
        <f t="shared" ca="1" si="1"/>
        <v>17.039131868131868</v>
      </c>
      <c r="S14" s="613">
        <f t="shared" ref="S14:AJ14" ca="1" si="25">SUM(S12:S13)</f>
        <v>-1.877</v>
      </c>
      <c r="T14" s="613">
        <f t="shared" ca="1" si="25"/>
        <v>12.392999999999999</v>
      </c>
      <c r="U14" s="613">
        <f t="shared" ca="1" si="25"/>
        <v>0</v>
      </c>
      <c r="V14" s="613">
        <f t="shared" ca="1" si="25"/>
        <v>0</v>
      </c>
      <c r="W14" s="613">
        <f t="shared" ca="1" si="25"/>
        <v>-27.555131868131866</v>
      </c>
      <c r="X14" s="613">
        <f ca="1">SUM(X12:X13)</f>
        <v>0</v>
      </c>
      <c r="Y14" s="613">
        <f ca="1">SUM(Y12:Y13)</f>
        <v>0</v>
      </c>
      <c r="Z14" s="613">
        <f ca="1">SUM(Z12:Z13)</f>
        <v>0</v>
      </c>
      <c r="AA14" s="613">
        <f t="shared" ca="1" si="25"/>
        <v>0</v>
      </c>
      <c r="AB14" s="613">
        <f t="shared" ca="1" si="25"/>
        <v>0</v>
      </c>
      <c r="AC14" s="613">
        <f t="shared" ca="1" si="25"/>
        <v>0</v>
      </c>
      <c r="AD14" s="613">
        <f ca="1">SUM(AD12:AD13)</f>
        <v>0</v>
      </c>
      <c r="AE14" s="613">
        <f ca="1">SUM(AE12:AE13)</f>
        <v>0</v>
      </c>
      <c r="AF14" s="613">
        <f t="shared" ca="1" si="25"/>
        <v>0</v>
      </c>
      <c r="AG14" s="613">
        <f ca="1">SUM(AG12:AG13)</f>
        <v>0</v>
      </c>
      <c r="AH14" s="613">
        <f ca="1">SUM(AH12:AH13)</f>
        <v>0</v>
      </c>
      <c r="AI14" s="613">
        <f ca="1">SUM(AI12:AI13)</f>
        <v>0</v>
      </c>
      <c r="AJ14" s="613">
        <f t="shared" ca="1" si="25"/>
        <v>0</v>
      </c>
      <c r="AK14" s="613">
        <f t="shared" ca="1" si="3"/>
        <v>-17.039131868131868</v>
      </c>
      <c r="AM14" s="614">
        <f t="shared" ref="AM14:BE14" ca="1" si="26">SUM(AM12:AM13)</f>
        <v>0</v>
      </c>
      <c r="AN14" s="614">
        <f t="shared" ca="1" si="26"/>
        <v>0</v>
      </c>
      <c r="AO14" s="614">
        <f t="shared" ca="1" si="26"/>
        <v>0</v>
      </c>
      <c r="AP14" s="614">
        <f t="shared" ca="1" si="26"/>
        <v>0</v>
      </c>
      <c r="AQ14" s="614">
        <f t="shared" ca="1" si="26"/>
        <v>0</v>
      </c>
      <c r="AR14" s="614">
        <f t="shared" ca="1" si="26"/>
        <v>0</v>
      </c>
      <c r="AS14" s="614">
        <f t="shared" ca="1" si="26"/>
        <v>0</v>
      </c>
      <c r="AT14" s="614">
        <f t="shared" ca="1" si="26"/>
        <v>0</v>
      </c>
      <c r="AU14" s="614">
        <f t="shared" ca="1" si="26"/>
        <v>0</v>
      </c>
      <c r="AV14" s="614">
        <f t="shared" ca="1" si="26"/>
        <v>0</v>
      </c>
      <c r="AW14" s="614">
        <f t="shared" ca="1" si="26"/>
        <v>0</v>
      </c>
      <c r="AX14" s="614">
        <f t="shared" ca="1" si="26"/>
        <v>0</v>
      </c>
      <c r="AY14" s="614">
        <f t="shared" ca="1" si="26"/>
        <v>0</v>
      </c>
      <c r="AZ14" s="614">
        <f t="shared" ca="1" si="26"/>
        <v>0</v>
      </c>
      <c r="BA14" s="614">
        <f t="shared" ca="1" si="26"/>
        <v>0</v>
      </c>
      <c r="BB14" s="614">
        <f t="shared" ca="1" si="26"/>
        <v>0</v>
      </c>
      <c r="BC14" s="614">
        <f t="shared" ca="1" si="26"/>
        <v>0</v>
      </c>
      <c r="BD14" s="614">
        <f ca="1">SUM(BD12:BD13)</f>
        <v>0</v>
      </c>
      <c r="BE14" s="614">
        <f t="shared" ca="1" si="26"/>
        <v>0</v>
      </c>
      <c r="BF14" s="615">
        <f t="shared" ca="1" si="6"/>
        <v>0</v>
      </c>
      <c r="BH14" s="3462">
        <f ca="1">SUM(BH12:BH13)</f>
        <v>0</v>
      </c>
      <c r="BI14" s="3462">
        <f ca="1">SUM(BI12:BI13)</f>
        <v>0</v>
      </c>
      <c r="BJ14" s="3462">
        <f t="shared" ca="1" si="8"/>
        <v>0</v>
      </c>
      <c r="BL14" s="610">
        <f t="shared" ca="1" si="9"/>
        <v>0</v>
      </c>
      <c r="BM14" s="610"/>
      <c r="BN14" s="413"/>
      <c r="BO14" s="2791">
        <f t="shared" ref="BO14:DF14" ca="1" si="27">SUM(BO12:BO13)</f>
        <v>5.6411196622021968</v>
      </c>
      <c r="BP14" s="2792">
        <f t="shared" ca="1" si="27"/>
        <v>2.0831679692307693E-3</v>
      </c>
      <c r="BQ14" s="2792">
        <f t="shared" ca="1" si="27"/>
        <v>8.9179428778021971E-2</v>
      </c>
      <c r="BR14" s="2792">
        <f t="shared" ca="1" si="27"/>
        <v>0</v>
      </c>
      <c r="BS14" s="2792">
        <f t="shared" ca="1" si="27"/>
        <v>0</v>
      </c>
      <c r="BT14" s="2792">
        <f t="shared" ca="1" si="27"/>
        <v>0</v>
      </c>
      <c r="BU14" s="2792">
        <f t="shared" ca="1" si="27"/>
        <v>0</v>
      </c>
      <c r="BV14" s="2792">
        <f t="shared" ca="1" si="27"/>
        <v>0</v>
      </c>
      <c r="BW14" s="2792">
        <f t="shared" ca="1" si="27"/>
        <v>0</v>
      </c>
      <c r="BX14" s="2792">
        <f t="shared" ca="1" si="27"/>
        <v>0</v>
      </c>
      <c r="BY14" s="2792">
        <f t="shared" ca="1" si="27"/>
        <v>0</v>
      </c>
      <c r="BZ14" s="2792">
        <f t="shared" ca="1" si="27"/>
        <v>0</v>
      </c>
      <c r="CA14" s="2792">
        <f t="shared" ca="1" si="27"/>
        <v>0</v>
      </c>
      <c r="CB14" s="2792">
        <f t="shared" ca="1" si="27"/>
        <v>0</v>
      </c>
      <c r="CC14" s="2792">
        <f t="shared" ca="1" si="27"/>
        <v>0</v>
      </c>
      <c r="CD14" s="2792">
        <f t="shared" ca="1" si="27"/>
        <v>0</v>
      </c>
      <c r="CE14" s="2792">
        <f t="shared" ca="1" si="27"/>
        <v>0</v>
      </c>
      <c r="CF14" s="2792">
        <f t="shared" ca="1" si="27"/>
        <v>0</v>
      </c>
      <c r="CG14" s="2792">
        <f t="shared" ca="1" si="27"/>
        <v>0</v>
      </c>
      <c r="CH14" s="2792">
        <f t="shared" ca="1" si="27"/>
        <v>0</v>
      </c>
      <c r="CI14" s="2792">
        <f t="shared" ca="1" si="27"/>
        <v>0</v>
      </c>
      <c r="CJ14" s="2792">
        <f t="shared" ca="1" si="27"/>
        <v>0</v>
      </c>
      <c r="CK14" s="2792">
        <f t="shared" ca="1" si="27"/>
        <v>0</v>
      </c>
      <c r="CL14" s="2792">
        <f t="shared" ca="1" si="27"/>
        <v>0</v>
      </c>
      <c r="CM14" s="2792">
        <f t="shared" ca="1" si="27"/>
        <v>0</v>
      </c>
      <c r="CN14" s="2792">
        <f t="shared" ca="1" si="27"/>
        <v>0</v>
      </c>
      <c r="CO14" s="2792">
        <f t="shared" ca="1" si="27"/>
        <v>0</v>
      </c>
      <c r="CP14" s="2792">
        <f t="shared" ca="1" si="27"/>
        <v>0</v>
      </c>
      <c r="CQ14" s="2792">
        <f t="shared" ca="1" si="27"/>
        <v>0</v>
      </c>
      <c r="CR14" s="2792">
        <f t="shared" ca="1" si="27"/>
        <v>0</v>
      </c>
      <c r="CS14" s="2792">
        <f t="shared" ca="1" si="27"/>
        <v>0</v>
      </c>
      <c r="CT14" s="2792">
        <f t="shared" ca="1" si="27"/>
        <v>0</v>
      </c>
      <c r="CU14" s="2792">
        <f t="shared" ca="1" si="27"/>
        <v>0</v>
      </c>
      <c r="CV14" s="2792">
        <f t="shared" ca="1" si="27"/>
        <v>0</v>
      </c>
      <c r="CW14" s="2792">
        <f t="shared" ca="1" si="27"/>
        <v>0</v>
      </c>
      <c r="CX14" s="2792">
        <f t="shared" ca="1" si="27"/>
        <v>0</v>
      </c>
      <c r="CY14" s="2792">
        <f t="shared" ca="1" si="27"/>
        <v>0</v>
      </c>
      <c r="CZ14" s="2792">
        <f t="shared" ca="1" si="27"/>
        <v>0</v>
      </c>
      <c r="DA14" s="2792">
        <f t="shared" ca="1" si="27"/>
        <v>0</v>
      </c>
      <c r="DB14" s="2792">
        <f t="shared" ca="1" si="27"/>
        <v>0</v>
      </c>
      <c r="DC14" s="2792">
        <f t="shared" ca="1" si="27"/>
        <v>0</v>
      </c>
      <c r="DD14" s="2792">
        <f t="shared" ca="1" si="27"/>
        <v>0</v>
      </c>
      <c r="DE14" s="2792">
        <f t="shared" ca="1" si="27"/>
        <v>0</v>
      </c>
      <c r="DF14" s="2792">
        <f t="shared" ca="1" si="27"/>
        <v>0</v>
      </c>
      <c r="DH14" s="596"/>
    </row>
    <row r="15" spans="1:112" s="6" customFormat="1" ht="15.75">
      <c r="A15" s="4"/>
      <c r="B15" s="3"/>
      <c r="C15" s="616" t="s">
        <v>0</v>
      </c>
      <c r="D15" s="617" t="s">
        <v>1</v>
      </c>
      <c r="E15" s="206"/>
      <c r="G15" s="618">
        <f t="shared" ref="G15:P15" ca="1" si="28">G14+G11</f>
        <v>42.9684946640851</v>
      </c>
      <c r="H15" s="618">
        <f t="shared" ca="1" si="28"/>
        <v>0</v>
      </c>
      <c r="I15" s="618">
        <f t="shared" ca="1" si="28"/>
        <v>0</v>
      </c>
      <c r="J15" s="618">
        <f t="shared" ca="1" si="28"/>
        <v>0</v>
      </c>
      <c r="K15" s="618">
        <f t="shared" ca="1" si="28"/>
        <v>0</v>
      </c>
      <c r="L15" s="618">
        <f t="shared" ca="1" si="28"/>
        <v>0</v>
      </c>
      <c r="M15" s="618">
        <f t="shared" ca="1" si="28"/>
        <v>0</v>
      </c>
      <c r="N15" s="618">
        <f t="shared" ca="1" si="28"/>
        <v>0</v>
      </c>
      <c r="O15" s="618">
        <f t="shared" ca="1" si="28"/>
        <v>0</v>
      </c>
      <c r="P15" s="618">
        <f t="shared" ca="1" si="28"/>
        <v>0</v>
      </c>
      <c r="Q15" s="618">
        <f t="shared" ca="1" si="1"/>
        <v>42.9684946640851</v>
      </c>
      <c r="S15" s="581">
        <f t="shared" ref="S15:AJ15" ca="1" si="29">S14+S11</f>
        <v>-3.8731524440419962</v>
      </c>
      <c r="T15" s="581">
        <f t="shared" ca="1" si="29"/>
        <v>12.392999999999999</v>
      </c>
      <c r="U15" s="581">
        <f t="shared" ca="1" si="29"/>
        <v>0</v>
      </c>
      <c r="V15" s="581">
        <f t="shared" ca="1" si="29"/>
        <v>0</v>
      </c>
      <c r="W15" s="581">
        <f t="shared" ca="1" si="29"/>
        <v>-47.297298897118637</v>
      </c>
      <c r="X15" s="581">
        <f t="shared" ca="1" si="29"/>
        <v>0</v>
      </c>
      <c r="Y15" s="581">
        <f t="shared" ca="1" si="29"/>
        <v>0</v>
      </c>
      <c r="Z15" s="581">
        <f t="shared" ca="1" si="29"/>
        <v>0</v>
      </c>
      <c r="AA15" s="581">
        <f t="shared" ca="1" si="29"/>
        <v>0</v>
      </c>
      <c r="AB15" s="581">
        <f t="shared" ca="1" si="29"/>
        <v>0</v>
      </c>
      <c r="AC15" s="581">
        <f t="shared" ca="1" si="29"/>
        <v>0</v>
      </c>
      <c r="AD15" s="581">
        <f t="shared" ca="1" si="29"/>
        <v>0</v>
      </c>
      <c r="AE15" s="581">
        <f ca="1">AE14+AE11</f>
        <v>0</v>
      </c>
      <c r="AF15" s="581">
        <f t="shared" ca="1" si="29"/>
        <v>0</v>
      </c>
      <c r="AG15" s="581">
        <f t="shared" ca="1" si="29"/>
        <v>0</v>
      </c>
      <c r="AH15" s="581">
        <f ca="1">AH14+AH11</f>
        <v>0</v>
      </c>
      <c r="AI15" s="581">
        <f t="shared" ca="1" si="29"/>
        <v>-4.1910433229244628</v>
      </c>
      <c r="AJ15" s="581">
        <f t="shared" ca="1" si="29"/>
        <v>0</v>
      </c>
      <c r="AK15" s="581">
        <f t="shared" ca="1" si="3"/>
        <v>-42.9684946640851</v>
      </c>
      <c r="AM15" s="582">
        <f t="shared" ref="AM15:BE15" ca="1" si="30">AM14+AM11</f>
        <v>0</v>
      </c>
      <c r="AN15" s="582">
        <f t="shared" ca="1" si="30"/>
        <v>0</v>
      </c>
      <c r="AO15" s="582">
        <f t="shared" ca="1" si="30"/>
        <v>0</v>
      </c>
      <c r="AP15" s="582">
        <f t="shared" ca="1" si="30"/>
        <v>0</v>
      </c>
      <c r="AQ15" s="582">
        <f t="shared" ca="1" si="30"/>
        <v>0</v>
      </c>
      <c r="AR15" s="582">
        <f t="shared" ca="1" si="30"/>
        <v>0</v>
      </c>
      <c r="AS15" s="582">
        <f t="shared" ca="1" si="30"/>
        <v>0</v>
      </c>
      <c r="AT15" s="582">
        <f t="shared" ca="1" si="30"/>
        <v>0</v>
      </c>
      <c r="AU15" s="582">
        <f t="shared" ca="1" si="30"/>
        <v>0</v>
      </c>
      <c r="AV15" s="582">
        <f t="shared" ca="1" si="30"/>
        <v>0</v>
      </c>
      <c r="AW15" s="582">
        <f t="shared" ca="1" si="30"/>
        <v>0</v>
      </c>
      <c r="AX15" s="582">
        <f t="shared" ca="1" si="30"/>
        <v>0</v>
      </c>
      <c r="AY15" s="582">
        <f t="shared" ca="1" si="30"/>
        <v>0</v>
      </c>
      <c r="AZ15" s="582">
        <f t="shared" ca="1" si="30"/>
        <v>0</v>
      </c>
      <c r="BA15" s="582">
        <f t="shared" ca="1" si="30"/>
        <v>0</v>
      </c>
      <c r="BB15" s="582">
        <f t="shared" ca="1" si="30"/>
        <v>0</v>
      </c>
      <c r="BC15" s="582">
        <f t="shared" ca="1" si="30"/>
        <v>0</v>
      </c>
      <c r="BD15" s="582">
        <f ca="1">BD14+BD11</f>
        <v>0</v>
      </c>
      <c r="BE15" s="582">
        <f t="shared" ca="1" si="30"/>
        <v>0</v>
      </c>
      <c r="BF15" s="582">
        <f t="shared" ca="1" si="6"/>
        <v>0</v>
      </c>
      <c r="BH15" s="3463">
        <f ca="1">BH14+BH11</f>
        <v>0</v>
      </c>
      <c r="BI15" s="3463">
        <f ca="1">BI14+BI11</f>
        <v>0</v>
      </c>
      <c r="BJ15" s="3463">
        <f t="shared" ca="1" si="8"/>
        <v>0</v>
      </c>
      <c r="BL15" s="3477">
        <f t="shared" ca="1" si="9"/>
        <v>0</v>
      </c>
      <c r="BM15" s="584"/>
      <c r="BN15" s="413"/>
      <c r="BO15" s="2790">
        <f t="shared" ref="BO15:DF15" ca="1" si="31">BO14+BO11</f>
        <v>9.6827597869768027</v>
      </c>
      <c r="BP15" s="2790">
        <f t="shared" ca="1" si="31"/>
        <v>3.5756757966221697E-3</v>
      </c>
      <c r="BQ15" s="2790">
        <f t="shared" ca="1" si="31"/>
        <v>0.15307297815063475</v>
      </c>
      <c r="BR15" s="2790">
        <f t="shared" ca="1" si="31"/>
        <v>0</v>
      </c>
      <c r="BS15" s="2790">
        <f t="shared" ca="1" si="31"/>
        <v>0</v>
      </c>
      <c r="BT15" s="2790">
        <f t="shared" ca="1" si="31"/>
        <v>0</v>
      </c>
      <c r="BU15" s="2790">
        <f t="shared" ca="1" si="31"/>
        <v>0</v>
      </c>
      <c r="BV15" s="2790">
        <f t="shared" ca="1" si="31"/>
        <v>0</v>
      </c>
      <c r="BW15" s="2790">
        <f t="shared" ca="1" si="31"/>
        <v>0</v>
      </c>
      <c r="BX15" s="2790">
        <f t="shared" ca="1" si="31"/>
        <v>0</v>
      </c>
      <c r="BY15" s="2790">
        <f t="shared" ca="1" si="31"/>
        <v>0</v>
      </c>
      <c r="BZ15" s="2790">
        <f t="shared" ca="1" si="31"/>
        <v>0</v>
      </c>
      <c r="CA15" s="2790">
        <f t="shared" ca="1" si="31"/>
        <v>0</v>
      </c>
      <c r="CB15" s="2790">
        <f t="shared" ca="1" si="31"/>
        <v>0</v>
      </c>
      <c r="CC15" s="2790">
        <f t="shared" ca="1" si="31"/>
        <v>0</v>
      </c>
      <c r="CD15" s="2790">
        <f t="shared" ca="1" si="31"/>
        <v>0</v>
      </c>
      <c r="CE15" s="2790">
        <f t="shared" ca="1" si="31"/>
        <v>0</v>
      </c>
      <c r="CF15" s="2790">
        <f t="shared" ca="1" si="31"/>
        <v>0</v>
      </c>
      <c r="CG15" s="2790">
        <f t="shared" ca="1" si="31"/>
        <v>0</v>
      </c>
      <c r="CH15" s="2790">
        <f t="shared" ca="1" si="31"/>
        <v>0</v>
      </c>
      <c r="CI15" s="2790">
        <f t="shared" ca="1" si="31"/>
        <v>0</v>
      </c>
      <c r="CJ15" s="2790">
        <f t="shared" ca="1" si="31"/>
        <v>0</v>
      </c>
      <c r="CK15" s="2790">
        <f t="shared" ca="1" si="31"/>
        <v>0</v>
      </c>
      <c r="CL15" s="2790">
        <f t="shared" ca="1" si="31"/>
        <v>0</v>
      </c>
      <c r="CM15" s="2790">
        <f t="shared" ca="1" si="31"/>
        <v>0</v>
      </c>
      <c r="CN15" s="2790">
        <f t="shared" ca="1" si="31"/>
        <v>0</v>
      </c>
      <c r="CO15" s="2790">
        <f t="shared" ca="1" si="31"/>
        <v>0</v>
      </c>
      <c r="CP15" s="2790">
        <f t="shared" ca="1" si="31"/>
        <v>0</v>
      </c>
      <c r="CQ15" s="2790">
        <f t="shared" ca="1" si="31"/>
        <v>0</v>
      </c>
      <c r="CR15" s="2790">
        <f t="shared" ca="1" si="31"/>
        <v>0</v>
      </c>
      <c r="CS15" s="2790">
        <f t="shared" ca="1" si="31"/>
        <v>0</v>
      </c>
      <c r="CT15" s="2790">
        <f t="shared" ca="1" si="31"/>
        <v>0</v>
      </c>
      <c r="CU15" s="2790">
        <f t="shared" ca="1" si="31"/>
        <v>0</v>
      </c>
      <c r="CV15" s="2790">
        <f t="shared" ca="1" si="31"/>
        <v>0</v>
      </c>
      <c r="CW15" s="2790">
        <f t="shared" ca="1" si="31"/>
        <v>0</v>
      </c>
      <c r="CX15" s="2790">
        <f t="shared" ca="1" si="31"/>
        <v>0</v>
      </c>
      <c r="CY15" s="2790">
        <f t="shared" ca="1" si="31"/>
        <v>0</v>
      </c>
      <c r="CZ15" s="2790">
        <f t="shared" ca="1" si="31"/>
        <v>0</v>
      </c>
      <c r="DA15" s="2790">
        <f t="shared" ca="1" si="31"/>
        <v>0</v>
      </c>
      <c r="DB15" s="2790">
        <f t="shared" ca="1" si="31"/>
        <v>0</v>
      </c>
      <c r="DC15" s="2790">
        <f t="shared" ca="1" si="31"/>
        <v>0</v>
      </c>
      <c r="DD15" s="2790">
        <f t="shared" ca="1" si="31"/>
        <v>0</v>
      </c>
      <c r="DE15" s="2790">
        <f t="shared" ca="1" si="31"/>
        <v>0</v>
      </c>
      <c r="DF15" s="2790">
        <f t="shared" ca="1" si="31"/>
        <v>0</v>
      </c>
      <c r="DH15" s="596">
        <f t="shared" ref="DH15:DH38" ca="1" si="32">SUM(BO15:DF15)</f>
        <v>9.8394084409240588</v>
      </c>
    </row>
    <row r="16" spans="1:112" s="6" customFormat="1">
      <c r="A16" s="607"/>
      <c r="B16" s="607"/>
      <c r="C16" s="587"/>
      <c r="D16" s="588"/>
      <c r="E16" s="588"/>
      <c r="G16" s="590"/>
      <c r="H16" s="590"/>
      <c r="I16" s="590"/>
      <c r="J16" s="590"/>
      <c r="K16" s="590"/>
      <c r="L16" s="590"/>
      <c r="M16" s="590"/>
      <c r="N16" s="590"/>
      <c r="O16" s="590"/>
      <c r="P16" s="590"/>
      <c r="Q16" s="590"/>
      <c r="S16" s="592"/>
      <c r="T16" s="592"/>
      <c r="U16" s="592"/>
      <c r="V16" s="592"/>
      <c r="W16" s="592"/>
      <c r="X16" s="592"/>
      <c r="Y16" s="592"/>
      <c r="Z16" s="592"/>
      <c r="AA16" s="592"/>
      <c r="AB16" s="592"/>
      <c r="AC16" s="592"/>
      <c r="AD16" s="592"/>
      <c r="AE16" s="592"/>
      <c r="AF16" s="592"/>
      <c r="AG16" s="592"/>
      <c r="AH16" s="592"/>
      <c r="AI16" s="592"/>
      <c r="AJ16" s="592"/>
      <c r="AK16" s="592"/>
      <c r="AM16" s="608"/>
      <c r="AN16" s="608"/>
      <c r="AO16" s="608"/>
      <c r="AP16" s="608"/>
      <c r="AQ16" s="608"/>
      <c r="AR16" s="608"/>
      <c r="AS16" s="608"/>
      <c r="AT16" s="608"/>
      <c r="AU16" s="608"/>
      <c r="AV16" s="608"/>
      <c r="AW16" s="608"/>
      <c r="AX16" s="608"/>
      <c r="AY16" s="608"/>
      <c r="AZ16" s="608"/>
      <c r="BA16" s="608"/>
      <c r="BB16" s="608"/>
      <c r="BC16" s="608"/>
      <c r="BD16" s="608"/>
      <c r="BE16" s="608"/>
      <c r="BF16" s="609"/>
      <c r="BH16" s="3460"/>
      <c r="BI16" s="3460"/>
      <c r="BJ16" s="3460"/>
      <c r="BL16" s="610">
        <f t="shared" si="9"/>
        <v>0</v>
      </c>
      <c r="BM16" s="610"/>
      <c r="BN16" s="607"/>
      <c r="BO16" s="2789"/>
      <c r="BP16" s="2790"/>
      <c r="BQ16" s="2790"/>
      <c r="BR16" s="2790"/>
      <c r="BS16" s="2790"/>
      <c r="BT16" s="2790"/>
      <c r="BU16" s="2790"/>
      <c r="BV16" s="2790"/>
      <c r="BW16" s="2790"/>
      <c r="BX16" s="2790"/>
      <c r="BY16" s="2790"/>
      <c r="BZ16" s="2790"/>
      <c r="CA16" s="2790"/>
      <c r="CB16" s="2790"/>
      <c r="CC16" s="2790"/>
      <c r="CD16" s="2790"/>
      <c r="CE16" s="2790"/>
      <c r="CF16" s="2790"/>
      <c r="CG16" s="2790"/>
      <c r="CH16" s="2790"/>
      <c r="CI16" s="2790"/>
      <c r="CJ16" s="2790"/>
      <c r="CK16" s="2790"/>
      <c r="CL16" s="2790"/>
      <c r="CM16" s="2790"/>
      <c r="CN16" s="2790"/>
      <c r="CO16" s="2790"/>
      <c r="CP16" s="2790"/>
      <c r="CQ16" s="2790"/>
      <c r="CR16" s="2790"/>
      <c r="CS16" s="2790"/>
      <c r="CT16" s="2790"/>
      <c r="CU16" s="2790"/>
      <c r="CV16" s="2790"/>
      <c r="CW16" s="2790"/>
      <c r="CX16" s="2790"/>
      <c r="CY16" s="2790"/>
      <c r="CZ16" s="2790"/>
      <c r="DA16" s="2790"/>
      <c r="DB16" s="2790"/>
      <c r="DC16" s="2790"/>
      <c r="DD16" s="2790"/>
      <c r="DE16" s="2790"/>
      <c r="DF16" s="2790"/>
      <c r="DH16" s="596">
        <f t="shared" si="32"/>
        <v>0</v>
      </c>
    </row>
    <row r="17" spans="1:112" s="6" customFormat="1">
      <c r="A17" s="607"/>
      <c r="B17" s="607"/>
      <c r="C17" s="587" t="s">
        <v>470</v>
      </c>
      <c r="D17" s="586" t="s">
        <v>471</v>
      </c>
      <c r="E17" s="599"/>
      <c r="G17" s="589">
        <f t="shared" ref="G17:P18" ca="1" si="33">IFERROR(INDEX(INDIRECT($C17&amp;".Outputs["&amp;this.Year&amp;"]"), MATCH(G$5, INDIRECT($C17&amp;".Outputs[Vector]"), 0)), 0)</f>
        <v>0</v>
      </c>
      <c r="H17" s="589">
        <f t="shared" ca="1" si="33"/>
        <v>6.5335123342766952</v>
      </c>
      <c r="I17" s="589">
        <f t="shared" ca="1" si="33"/>
        <v>0</v>
      </c>
      <c r="J17" s="589">
        <f t="shared" ca="1" si="33"/>
        <v>0</v>
      </c>
      <c r="K17" s="589">
        <f t="shared" ca="1" si="33"/>
        <v>0</v>
      </c>
      <c r="L17" s="589">
        <f t="shared" ca="1" si="33"/>
        <v>0</v>
      </c>
      <c r="M17" s="589">
        <f t="shared" ca="1" si="33"/>
        <v>0</v>
      </c>
      <c r="N17" s="589">
        <f t="shared" ca="1" si="33"/>
        <v>0</v>
      </c>
      <c r="O17" s="589">
        <f t="shared" ca="1" si="33"/>
        <v>0</v>
      </c>
      <c r="P17" s="589">
        <f t="shared" ca="1" si="33"/>
        <v>0</v>
      </c>
      <c r="Q17" s="590">
        <f ca="1">SUM(G17:P17)</f>
        <v>6.5335123342766952</v>
      </c>
      <c r="S17" s="591">
        <f t="shared" ref="S17:AJ18" ca="1" si="34">IFERROR(INDEX(INDIRECT($C17&amp;".Outputs["&amp;this.Year&amp;"]"), MATCH(S$5, INDIRECT($C17&amp;".Outputs[Vector]"), 0)), 0)</f>
        <v>-6.0488605289299739</v>
      </c>
      <c r="T17" s="591">
        <f t="shared" ca="1" si="34"/>
        <v>0</v>
      </c>
      <c r="U17" s="591">
        <f t="shared" ca="1" si="34"/>
        <v>0</v>
      </c>
      <c r="V17" s="591">
        <f t="shared" ca="1" si="34"/>
        <v>0</v>
      </c>
      <c r="W17" s="591">
        <f t="shared" ca="1" si="34"/>
        <v>-0.48465180534672125</v>
      </c>
      <c r="X17" s="591">
        <f t="shared" ca="1" si="34"/>
        <v>0</v>
      </c>
      <c r="Y17" s="591">
        <f t="shared" ca="1" si="34"/>
        <v>0</v>
      </c>
      <c r="Z17" s="591">
        <f t="shared" ca="1" si="34"/>
        <v>0</v>
      </c>
      <c r="AA17" s="591">
        <f t="shared" ca="1" si="34"/>
        <v>0</v>
      </c>
      <c r="AB17" s="591">
        <f t="shared" ca="1" si="34"/>
        <v>0</v>
      </c>
      <c r="AC17" s="591">
        <f t="shared" ca="1" si="34"/>
        <v>0</v>
      </c>
      <c r="AD17" s="591">
        <f t="shared" ca="1" si="34"/>
        <v>0</v>
      </c>
      <c r="AE17" s="591">
        <f t="shared" ca="1" si="34"/>
        <v>0</v>
      </c>
      <c r="AF17" s="591">
        <f t="shared" ca="1" si="34"/>
        <v>0</v>
      </c>
      <c r="AG17" s="591">
        <f t="shared" ca="1" si="34"/>
        <v>0</v>
      </c>
      <c r="AH17" s="591">
        <f t="shared" ca="1" si="34"/>
        <v>0</v>
      </c>
      <c r="AI17" s="591">
        <f t="shared" ca="1" si="34"/>
        <v>0</v>
      </c>
      <c r="AJ17" s="591">
        <f t="shared" ca="1" si="34"/>
        <v>0</v>
      </c>
      <c r="AK17" s="592">
        <f ca="1">SUM(S17:AJ17)</f>
        <v>-6.5335123342766952</v>
      </c>
      <c r="AM17" s="593">
        <f t="shared" ref="AM17:BB18" ca="1" si="35">IFERROR(INDEX(INDIRECT($C17&amp;".Outputs["&amp;this.Year&amp;"]"), MATCH(AM$5, INDIRECT($C17&amp;".Outputs[Vector]"), 0)), 0)</f>
        <v>0</v>
      </c>
      <c r="AN17" s="593">
        <f t="shared" ca="1" si="35"/>
        <v>0</v>
      </c>
      <c r="AO17" s="593">
        <f t="shared" ca="1" si="35"/>
        <v>0</v>
      </c>
      <c r="AP17" s="593">
        <f t="shared" ca="1" si="35"/>
        <v>0</v>
      </c>
      <c r="AQ17" s="593">
        <f t="shared" ca="1" si="35"/>
        <v>0</v>
      </c>
      <c r="AR17" s="593">
        <f t="shared" ca="1" si="35"/>
        <v>0</v>
      </c>
      <c r="AS17" s="593">
        <f t="shared" ca="1" si="35"/>
        <v>0</v>
      </c>
      <c r="AT17" s="593">
        <f t="shared" ca="1" si="35"/>
        <v>0</v>
      </c>
      <c r="AU17" s="593">
        <f t="shared" ca="1" si="35"/>
        <v>0</v>
      </c>
      <c r="AV17" s="593">
        <f t="shared" ca="1" si="35"/>
        <v>0</v>
      </c>
      <c r="AW17" s="593">
        <f t="shared" ca="1" si="35"/>
        <v>0</v>
      </c>
      <c r="AX17" s="593">
        <f t="shared" ca="1" si="35"/>
        <v>0</v>
      </c>
      <c r="AY17" s="593">
        <f t="shared" ca="1" si="35"/>
        <v>0</v>
      </c>
      <c r="AZ17" s="593">
        <f t="shared" ca="1" si="35"/>
        <v>0</v>
      </c>
      <c r="BA17" s="593">
        <f t="shared" ca="1" si="35"/>
        <v>0</v>
      </c>
      <c r="BB17" s="593">
        <f t="shared" ca="1" si="35"/>
        <v>0</v>
      </c>
      <c r="BC17" s="593">
        <f t="shared" ref="BC17:BE18" ca="1" si="36">IFERROR(INDEX(INDIRECT($C17&amp;".Outputs["&amp;this.Year&amp;"]"), MATCH(BC$5, INDIRECT($C17&amp;".Outputs[Vector]"), 0)), 0)</f>
        <v>0</v>
      </c>
      <c r="BD17" s="593">
        <f t="shared" ca="1" si="36"/>
        <v>0</v>
      </c>
      <c r="BE17" s="593">
        <f t="shared" ca="1" si="36"/>
        <v>0</v>
      </c>
      <c r="BF17" s="609">
        <f ca="1">SUM(AM17:BE17)</f>
        <v>0</v>
      </c>
      <c r="BH17" s="3471">
        <f ca="1">IFERROR(INDEX(INDIRECT($C17&amp;".Outputs["&amp;this.Year&amp;"]"), MATCH(BH$5, INDIRECT($C17&amp;".Outputs[Vector]"), 0)), 0)</f>
        <v>0</v>
      </c>
      <c r="BI17" s="3471">
        <f ca="1">IFERROR(INDEX(INDIRECT($C17&amp;".Outputs["&amp;this.Year&amp;"]"), MATCH(BI$5, INDIRECT($C17&amp;".Outputs[Vector]"), 0)), 0)</f>
        <v>0</v>
      </c>
      <c r="BJ17" s="3460">
        <f ca="1">SUM(BH17:BI17)</f>
        <v>0</v>
      </c>
      <c r="BL17" s="610">
        <f t="shared" ca="1" si="9"/>
        <v>0</v>
      </c>
      <c r="BM17" s="610"/>
      <c r="BN17" s="413"/>
      <c r="BO17" s="2789">
        <f t="shared" ref="BO17:BX18" ca="1" si="37">IFERROR(SUMIFS(INDIRECT($C17&amp;".Emissions["&amp;this.Year&amp;"]"), INDIRECT($C17&amp;".Emissions[GHG]"), BO$6, INDIRECT($C17&amp;".Emissions[IPCC Sector]"), BO$5),0)</f>
        <v>9.9218499172747193E-2</v>
      </c>
      <c r="BP17" s="2790">
        <f t="shared" ca="1" si="37"/>
        <v>3.6639676484212133E-5</v>
      </c>
      <c r="BQ17" s="2790">
        <f t="shared" ca="1" si="37"/>
        <v>1.5685271028241287E-3</v>
      </c>
      <c r="BR17" s="2790">
        <f t="shared" ca="1" si="37"/>
        <v>0</v>
      </c>
      <c r="BS17" s="2790">
        <f t="shared" ca="1" si="37"/>
        <v>0</v>
      </c>
      <c r="BT17" s="2790">
        <f t="shared" ca="1" si="37"/>
        <v>0</v>
      </c>
      <c r="BU17" s="2790">
        <f t="shared" ca="1" si="37"/>
        <v>0</v>
      </c>
      <c r="BV17" s="2790">
        <f t="shared" ca="1" si="37"/>
        <v>0</v>
      </c>
      <c r="BW17" s="2790">
        <f t="shared" ca="1" si="37"/>
        <v>0</v>
      </c>
      <c r="BX17" s="2790">
        <f t="shared" ca="1" si="37"/>
        <v>0</v>
      </c>
      <c r="BY17" s="2790">
        <f t="shared" ref="BY17:CH18" ca="1" si="38">IFERROR(SUMIFS(INDIRECT($C17&amp;".Emissions["&amp;this.Year&amp;"]"), INDIRECT($C17&amp;".Emissions[GHG]"), BY$6, INDIRECT($C17&amp;".Emissions[IPCC Sector]"), BY$5),0)</f>
        <v>0</v>
      </c>
      <c r="BZ17" s="2790">
        <f t="shared" ca="1" si="38"/>
        <v>0</v>
      </c>
      <c r="CA17" s="2790">
        <f t="shared" ca="1" si="38"/>
        <v>0</v>
      </c>
      <c r="CB17" s="2790">
        <f t="shared" ca="1" si="38"/>
        <v>0</v>
      </c>
      <c r="CC17" s="2790">
        <f t="shared" ca="1" si="38"/>
        <v>0</v>
      </c>
      <c r="CD17" s="2790">
        <f t="shared" ca="1" si="38"/>
        <v>0</v>
      </c>
      <c r="CE17" s="2790">
        <f t="shared" ca="1" si="38"/>
        <v>0</v>
      </c>
      <c r="CF17" s="2790">
        <f t="shared" ca="1" si="38"/>
        <v>0</v>
      </c>
      <c r="CG17" s="2790">
        <f t="shared" ca="1" si="38"/>
        <v>0</v>
      </c>
      <c r="CH17" s="2790">
        <f t="shared" ca="1" si="38"/>
        <v>0</v>
      </c>
      <c r="CI17" s="2790">
        <f t="shared" ref="CI17:CR18" ca="1" si="39">IFERROR(SUMIFS(INDIRECT($C17&amp;".Emissions["&amp;this.Year&amp;"]"), INDIRECT($C17&amp;".Emissions[GHG]"), CI$6, INDIRECT($C17&amp;".Emissions[IPCC Sector]"), CI$5),0)</f>
        <v>0</v>
      </c>
      <c r="CJ17" s="2790">
        <f t="shared" ca="1" si="39"/>
        <v>0</v>
      </c>
      <c r="CK17" s="2790">
        <f t="shared" ca="1" si="39"/>
        <v>0</v>
      </c>
      <c r="CL17" s="2790">
        <f t="shared" ca="1" si="39"/>
        <v>0</v>
      </c>
      <c r="CM17" s="2790">
        <f t="shared" ca="1" si="39"/>
        <v>0</v>
      </c>
      <c r="CN17" s="2790">
        <f t="shared" ca="1" si="39"/>
        <v>0</v>
      </c>
      <c r="CO17" s="2790">
        <f t="shared" ca="1" si="39"/>
        <v>0</v>
      </c>
      <c r="CP17" s="2790">
        <f t="shared" ca="1" si="39"/>
        <v>0</v>
      </c>
      <c r="CQ17" s="2790">
        <f t="shared" ca="1" si="39"/>
        <v>0</v>
      </c>
      <c r="CR17" s="2790">
        <f t="shared" ca="1" si="39"/>
        <v>0</v>
      </c>
      <c r="CS17" s="2790">
        <f t="shared" ref="CS17:DF18" ca="1" si="40">IFERROR(SUMIFS(INDIRECT($C17&amp;".Emissions["&amp;this.Year&amp;"]"), INDIRECT($C17&amp;".Emissions[GHG]"), CS$6, INDIRECT($C17&amp;".Emissions[IPCC Sector]"), CS$5),0)</f>
        <v>0</v>
      </c>
      <c r="CT17" s="2790">
        <f t="shared" ca="1" si="40"/>
        <v>0</v>
      </c>
      <c r="CU17" s="2790">
        <f t="shared" ca="1" si="40"/>
        <v>0</v>
      </c>
      <c r="CV17" s="2790">
        <f t="shared" ca="1" si="40"/>
        <v>0</v>
      </c>
      <c r="CW17" s="2790">
        <f t="shared" ca="1" si="40"/>
        <v>0</v>
      </c>
      <c r="CX17" s="2790">
        <f t="shared" ca="1" si="40"/>
        <v>0</v>
      </c>
      <c r="CY17" s="2790">
        <f t="shared" ca="1" si="40"/>
        <v>0</v>
      </c>
      <c r="CZ17" s="2790">
        <f t="shared" ca="1" si="40"/>
        <v>0</v>
      </c>
      <c r="DA17" s="2790">
        <f t="shared" ca="1" si="40"/>
        <v>0</v>
      </c>
      <c r="DB17" s="2790">
        <f t="shared" ca="1" si="40"/>
        <v>0</v>
      </c>
      <c r="DC17" s="2790">
        <f t="shared" ca="1" si="40"/>
        <v>0</v>
      </c>
      <c r="DD17" s="2790">
        <f t="shared" ca="1" si="40"/>
        <v>0</v>
      </c>
      <c r="DE17" s="2790">
        <f t="shared" ca="1" si="40"/>
        <v>0</v>
      </c>
      <c r="DF17" s="2790">
        <f t="shared" ca="1" si="40"/>
        <v>0</v>
      </c>
      <c r="DH17" s="596">
        <f t="shared" ca="1" si="32"/>
        <v>0.10082366595205552</v>
      </c>
    </row>
    <row r="18" spans="1:112" s="6" customFormat="1">
      <c r="A18" s="607"/>
      <c r="B18" s="607"/>
      <c r="C18" s="587" t="s">
        <v>472</v>
      </c>
      <c r="D18" s="611" t="s">
        <v>473</v>
      </c>
      <c r="E18" s="611"/>
      <c r="G18" s="619">
        <f t="shared" ca="1" si="33"/>
        <v>0</v>
      </c>
      <c r="H18" s="619">
        <f t="shared" ca="1" si="33"/>
        <v>5.202</v>
      </c>
      <c r="I18" s="619">
        <f t="shared" ca="1" si="33"/>
        <v>0</v>
      </c>
      <c r="J18" s="619">
        <f t="shared" ca="1" si="33"/>
        <v>0</v>
      </c>
      <c r="K18" s="619">
        <f t="shared" ca="1" si="33"/>
        <v>0</v>
      </c>
      <c r="L18" s="619">
        <f t="shared" ca="1" si="33"/>
        <v>0</v>
      </c>
      <c r="M18" s="619">
        <f t="shared" ca="1" si="33"/>
        <v>0</v>
      </c>
      <c r="N18" s="619">
        <f t="shared" ca="1" si="33"/>
        <v>0</v>
      </c>
      <c r="O18" s="619">
        <f t="shared" ca="1" si="33"/>
        <v>0</v>
      </c>
      <c r="P18" s="619">
        <f t="shared" ca="1" si="33"/>
        <v>0</v>
      </c>
      <c r="Q18" s="612">
        <f ca="1">SUM(G18:P18)</f>
        <v>5.202</v>
      </c>
      <c r="S18" s="620">
        <f t="shared" ca="1" si="34"/>
        <v>-4.71</v>
      </c>
      <c r="T18" s="620">
        <f t="shared" ca="1" si="34"/>
        <v>0</v>
      </c>
      <c r="U18" s="620">
        <f t="shared" ca="1" si="34"/>
        <v>0</v>
      </c>
      <c r="V18" s="620">
        <f t="shared" ca="1" si="34"/>
        <v>0</v>
      </c>
      <c r="W18" s="620">
        <f t="shared" ca="1" si="34"/>
        <v>-0.49199999999999999</v>
      </c>
      <c r="X18" s="620">
        <f t="shared" ca="1" si="34"/>
        <v>0</v>
      </c>
      <c r="Y18" s="620">
        <f t="shared" ca="1" si="34"/>
        <v>0</v>
      </c>
      <c r="Z18" s="620">
        <f t="shared" ca="1" si="34"/>
        <v>0</v>
      </c>
      <c r="AA18" s="620">
        <f t="shared" ca="1" si="34"/>
        <v>0</v>
      </c>
      <c r="AB18" s="620">
        <f t="shared" ca="1" si="34"/>
        <v>0</v>
      </c>
      <c r="AC18" s="620">
        <f t="shared" ca="1" si="34"/>
        <v>0</v>
      </c>
      <c r="AD18" s="620">
        <f t="shared" ca="1" si="34"/>
        <v>0</v>
      </c>
      <c r="AE18" s="620">
        <f t="shared" ca="1" si="34"/>
        <v>0</v>
      </c>
      <c r="AF18" s="620">
        <f t="shared" ca="1" si="34"/>
        <v>0</v>
      </c>
      <c r="AG18" s="620">
        <f t="shared" ca="1" si="34"/>
        <v>0</v>
      </c>
      <c r="AH18" s="620">
        <f t="shared" ca="1" si="34"/>
        <v>0</v>
      </c>
      <c r="AI18" s="620">
        <f t="shared" ca="1" si="34"/>
        <v>0</v>
      </c>
      <c r="AJ18" s="620">
        <f t="shared" ca="1" si="34"/>
        <v>0</v>
      </c>
      <c r="AK18" s="613">
        <f ca="1">SUM(S18:AJ18)</f>
        <v>-5.202</v>
      </c>
      <c r="AM18" s="621">
        <f t="shared" ca="1" si="35"/>
        <v>0</v>
      </c>
      <c r="AN18" s="621">
        <f t="shared" ca="1" si="35"/>
        <v>0</v>
      </c>
      <c r="AO18" s="621">
        <f t="shared" ca="1" si="35"/>
        <v>0</v>
      </c>
      <c r="AP18" s="621">
        <f t="shared" ca="1" si="35"/>
        <v>0</v>
      </c>
      <c r="AQ18" s="621">
        <f t="shared" ca="1" si="35"/>
        <v>0</v>
      </c>
      <c r="AR18" s="621">
        <f t="shared" ca="1" si="35"/>
        <v>0</v>
      </c>
      <c r="AS18" s="621">
        <f t="shared" ca="1" si="35"/>
        <v>0</v>
      </c>
      <c r="AT18" s="621">
        <f t="shared" ca="1" si="35"/>
        <v>0</v>
      </c>
      <c r="AU18" s="621">
        <f t="shared" ca="1" si="35"/>
        <v>0</v>
      </c>
      <c r="AV18" s="621">
        <f t="shared" ca="1" si="35"/>
        <v>0</v>
      </c>
      <c r="AW18" s="621">
        <f t="shared" ca="1" si="35"/>
        <v>0</v>
      </c>
      <c r="AX18" s="621">
        <f t="shared" ca="1" si="35"/>
        <v>0</v>
      </c>
      <c r="AY18" s="621">
        <f t="shared" ca="1" si="35"/>
        <v>0</v>
      </c>
      <c r="AZ18" s="621">
        <f t="shared" ca="1" si="35"/>
        <v>0</v>
      </c>
      <c r="BA18" s="621">
        <f t="shared" ca="1" si="35"/>
        <v>0</v>
      </c>
      <c r="BB18" s="621">
        <f t="shared" ca="1" si="35"/>
        <v>0</v>
      </c>
      <c r="BC18" s="621">
        <f t="shared" ca="1" si="36"/>
        <v>0</v>
      </c>
      <c r="BD18" s="621">
        <f t="shared" ca="1" si="36"/>
        <v>0</v>
      </c>
      <c r="BE18" s="621">
        <f t="shared" ca="1" si="36"/>
        <v>0</v>
      </c>
      <c r="BF18" s="615">
        <f ca="1">SUM(AM18:BE18)</f>
        <v>0</v>
      </c>
      <c r="BH18" s="3473">
        <f ca="1">IFERROR(INDEX(INDIRECT($C18&amp;".Outputs["&amp;this.Year&amp;"]"), MATCH(BH$5, INDIRECT($C18&amp;".Outputs[Vector]"), 0)), 0)</f>
        <v>0</v>
      </c>
      <c r="BI18" s="3473">
        <f ca="1">IFERROR(INDEX(INDIRECT($C18&amp;".Outputs["&amp;this.Year&amp;"]"), MATCH(BI$5, INDIRECT($C18&amp;".Outputs[Vector]"), 0)), 0)</f>
        <v>0</v>
      </c>
      <c r="BJ18" s="3462">
        <f ca="1">SUM(BH18:BI18)</f>
        <v>0</v>
      </c>
      <c r="BL18" s="610">
        <f t="shared" ca="1" si="9"/>
        <v>0</v>
      </c>
      <c r="BM18" s="610"/>
      <c r="BN18" s="413"/>
      <c r="BO18" s="2791">
        <f t="shared" ca="1" si="37"/>
        <v>0.10072283039999999</v>
      </c>
      <c r="BP18" s="2792">
        <f t="shared" ca="1" si="37"/>
        <v>3.7195200000000006E-5</v>
      </c>
      <c r="BQ18" s="2792">
        <f t="shared" ca="1" si="37"/>
        <v>1.5923088E-3</v>
      </c>
      <c r="BR18" s="2792">
        <f t="shared" ca="1" si="37"/>
        <v>0</v>
      </c>
      <c r="BS18" s="2792">
        <f t="shared" ca="1" si="37"/>
        <v>0</v>
      </c>
      <c r="BT18" s="2792">
        <f t="shared" ca="1" si="37"/>
        <v>0</v>
      </c>
      <c r="BU18" s="2792">
        <f t="shared" ca="1" si="37"/>
        <v>0</v>
      </c>
      <c r="BV18" s="2792">
        <f t="shared" ca="1" si="37"/>
        <v>0</v>
      </c>
      <c r="BW18" s="2792">
        <f t="shared" ca="1" si="37"/>
        <v>0</v>
      </c>
      <c r="BX18" s="2792">
        <f t="shared" ca="1" si="37"/>
        <v>0</v>
      </c>
      <c r="BY18" s="2792">
        <f t="shared" ca="1" si="38"/>
        <v>0</v>
      </c>
      <c r="BZ18" s="2792">
        <f t="shared" ca="1" si="38"/>
        <v>0</v>
      </c>
      <c r="CA18" s="2792">
        <f t="shared" ca="1" si="38"/>
        <v>0</v>
      </c>
      <c r="CB18" s="2792">
        <f t="shared" ca="1" si="38"/>
        <v>0</v>
      </c>
      <c r="CC18" s="2792">
        <f t="shared" ca="1" si="38"/>
        <v>0</v>
      </c>
      <c r="CD18" s="2792">
        <f t="shared" ca="1" si="38"/>
        <v>0</v>
      </c>
      <c r="CE18" s="2792">
        <f t="shared" ca="1" si="38"/>
        <v>0</v>
      </c>
      <c r="CF18" s="2792">
        <f t="shared" ca="1" si="38"/>
        <v>0</v>
      </c>
      <c r="CG18" s="2792">
        <f t="shared" ca="1" si="38"/>
        <v>0</v>
      </c>
      <c r="CH18" s="2792">
        <f t="shared" ca="1" si="38"/>
        <v>0</v>
      </c>
      <c r="CI18" s="2792">
        <f t="shared" ca="1" si="39"/>
        <v>0</v>
      </c>
      <c r="CJ18" s="2792">
        <f t="shared" ca="1" si="39"/>
        <v>0</v>
      </c>
      <c r="CK18" s="2792">
        <f t="shared" ca="1" si="39"/>
        <v>0</v>
      </c>
      <c r="CL18" s="2792">
        <f t="shared" ca="1" si="39"/>
        <v>0</v>
      </c>
      <c r="CM18" s="2792">
        <f t="shared" ca="1" si="39"/>
        <v>0</v>
      </c>
      <c r="CN18" s="2792">
        <f t="shared" ca="1" si="39"/>
        <v>0</v>
      </c>
      <c r="CO18" s="2792">
        <f t="shared" ca="1" si="39"/>
        <v>0</v>
      </c>
      <c r="CP18" s="2792">
        <f t="shared" ca="1" si="39"/>
        <v>0</v>
      </c>
      <c r="CQ18" s="2792">
        <f t="shared" ca="1" si="39"/>
        <v>0</v>
      </c>
      <c r="CR18" s="2792">
        <f t="shared" ca="1" si="39"/>
        <v>0</v>
      </c>
      <c r="CS18" s="2792">
        <f t="shared" ca="1" si="40"/>
        <v>0</v>
      </c>
      <c r="CT18" s="2792">
        <f t="shared" ca="1" si="40"/>
        <v>0</v>
      </c>
      <c r="CU18" s="2792">
        <f t="shared" ca="1" si="40"/>
        <v>0</v>
      </c>
      <c r="CV18" s="2792">
        <f t="shared" ca="1" si="40"/>
        <v>0</v>
      </c>
      <c r="CW18" s="2792">
        <f t="shared" ca="1" si="40"/>
        <v>0</v>
      </c>
      <c r="CX18" s="2792">
        <f t="shared" ca="1" si="40"/>
        <v>0</v>
      </c>
      <c r="CY18" s="2792">
        <f t="shared" ca="1" si="40"/>
        <v>0</v>
      </c>
      <c r="CZ18" s="2792">
        <f t="shared" ca="1" si="40"/>
        <v>0</v>
      </c>
      <c r="DA18" s="2792">
        <f t="shared" ca="1" si="40"/>
        <v>0</v>
      </c>
      <c r="DB18" s="2792">
        <f t="shared" ca="1" si="40"/>
        <v>0</v>
      </c>
      <c r="DC18" s="2792">
        <f t="shared" ca="1" si="40"/>
        <v>0</v>
      </c>
      <c r="DD18" s="2792">
        <f t="shared" ca="1" si="40"/>
        <v>0</v>
      </c>
      <c r="DE18" s="2792">
        <f t="shared" ca="1" si="40"/>
        <v>0</v>
      </c>
      <c r="DF18" s="2792">
        <f t="shared" ca="1" si="40"/>
        <v>0</v>
      </c>
      <c r="DH18" s="596">
        <f t="shared" ca="1" si="32"/>
        <v>0.10235233439999999</v>
      </c>
    </row>
    <row r="19" spans="1:112" s="6" customFormat="1" ht="15.75">
      <c r="A19" s="4"/>
      <c r="B19" s="3"/>
      <c r="C19" s="616" t="s">
        <v>474</v>
      </c>
      <c r="D19" s="617" t="s">
        <v>83</v>
      </c>
      <c r="E19" s="206"/>
      <c r="G19" s="618">
        <f ca="1">G17+G18</f>
        <v>0</v>
      </c>
      <c r="H19" s="618">
        <f t="shared" ref="H19:P19" ca="1" si="41">H17+H18</f>
        <v>11.735512334276695</v>
      </c>
      <c r="I19" s="618">
        <f t="shared" ca="1" si="41"/>
        <v>0</v>
      </c>
      <c r="J19" s="618">
        <f t="shared" ca="1" si="41"/>
        <v>0</v>
      </c>
      <c r="K19" s="618">
        <f t="shared" ca="1" si="41"/>
        <v>0</v>
      </c>
      <c r="L19" s="618">
        <f t="shared" ca="1" si="41"/>
        <v>0</v>
      </c>
      <c r="M19" s="618">
        <f t="shared" ca="1" si="41"/>
        <v>0</v>
      </c>
      <c r="N19" s="618">
        <f ca="1">N17+N18</f>
        <v>0</v>
      </c>
      <c r="O19" s="618">
        <f ca="1">O17+O18</f>
        <v>0</v>
      </c>
      <c r="P19" s="618">
        <f t="shared" ca="1" si="41"/>
        <v>0</v>
      </c>
      <c r="Q19" s="618">
        <f ca="1">SUM(G19:P19)</f>
        <v>11.735512334276695</v>
      </c>
      <c r="S19" s="581">
        <f ca="1">S17+S18</f>
        <v>-10.758860528929974</v>
      </c>
      <c r="T19" s="581">
        <f t="shared" ref="T19:AJ19" ca="1" si="42">T17+T18</f>
        <v>0</v>
      </c>
      <c r="U19" s="581">
        <f t="shared" ca="1" si="42"/>
        <v>0</v>
      </c>
      <c r="V19" s="581">
        <f t="shared" ca="1" si="42"/>
        <v>0</v>
      </c>
      <c r="W19" s="581">
        <f t="shared" ca="1" si="42"/>
        <v>-0.97665180534672125</v>
      </c>
      <c r="X19" s="581">
        <f ca="1">X17+X18</f>
        <v>0</v>
      </c>
      <c r="Y19" s="581">
        <f ca="1">Y17+Y18</f>
        <v>0</v>
      </c>
      <c r="Z19" s="581">
        <f ca="1">Z17+Z18</f>
        <v>0</v>
      </c>
      <c r="AA19" s="581">
        <f t="shared" ca="1" si="42"/>
        <v>0</v>
      </c>
      <c r="AB19" s="581">
        <f t="shared" ca="1" si="42"/>
        <v>0</v>
      </c>
      <c r="AC19" s="581">
        <f t="shared" ca="1" si="42"/>
        <v>0</v>
      </c>
      <c r="AD19" s="581">
        <f ca="1">AD17+AD18</f>
        <v>0</v>
      </c>
      <c r="AE19" s="581">
        <f ca="1">AE17+AE18</f>
        <v>0</v>
      </c>
      <c r="AF19" s="581">
        <f t="shared" ca="1" si="42"/>
        <v>0</v>
      </c>
      <c r="AG19" s="581">
        <f ca="1">AG17+AG18</f>
        <v>0</v>
      </c>
      <c r="AH19" s="581">
        <f ca="1">AH17+AH18</f>
        <v>0</v>
      </c>
      <c r="AI19" s="581">
        <f ca="1">AI17+AI18</f>
        <v>0</v>
      </c>
      <c r="AJ19" s="581">
        <f t="shared" ca="1" si="42"/>
        <v>0</v>
      </c>
      <c r="AK19" s="581">
        <f ca="1">SUM(S19:AJ19)</f>
        <v>-11.735512334276695</v>
      </c>
      <c r="AM19" s="582">
        <f t="shared" ref="AM19:BE19" ca="1" si="43">AM17+AM18</f>
        <v>0</v>
      </c>
      <c r="AN19" s="582">
        <f t="shared" ca="1" si="43"/>
        <v>0</v>
      </c>
      <c r="AO19" s="582">
        <f t="shared" ca="1" si="43"/>
        <v>0</v>
      </c>
      <c r="AP19" s="582">
        <f t="shared" ca="1" si="43"/>
        <v>0</v>
      </c>
      <c r="AQ19" s="582">
        <f t="shared" ca="1" si="43"/>
        <v>0</v>
      </c>
      <c r="AR19" s="582">
        <f t="shared" ca="1" si="43"/>
        <v>0</v>
      </c>
      <c r="AS19" s="582">
        <f t="shared" ca="1" si="43"/>
        <v>0</v>
      </c>
      <c r="AT19" s="582">
        <f t="shared" ca="1" si="43"/>
        <v>0</v>
      </c>
      <c r="AU19" s="582">
        <f t="shared" ca="1" si="43"/>
        <v>0</v>
      </c>
      <c r="AV19" s="582">
        <f t="shared" ca="1" si="43"/>
        <v>0</v>
      </c>
      <c r="AW19" s="582">
        <f t="shared" ca="1" si="43"/>
        <v>0</v>
      </c>
      <c r="AX19" s="582">
        <f t="shared" ca="1" si="43"/>
        <v>0</v>
      </c>
      <c r="AY19" s="582">
        <f t="shared" ca="1" si="43"/>
        <v>0</v>
      </c>
      <c r="AZ19" s="582">
        <f t="shared" ca="1" si="43"/>
        <v>0</v>
      </c>
      <c r="BA19" s="582">
        <f t="shared" ca="1" si="43"/>
        <v>0</v>
      </c>
      <c r="BB19" s="582">
        <f t="shared" ca="1" si="43"/>
        <v>0</v>
      </c>
      <c r="BC19" s="582">
        <f t="shared" ca="1" si="43"/>
        <v>0</v>
      </c>
      <c r="BD19" s="582">
        <f ca="1">BD17+BD18</f>
        <v>0</v>
      </c>
      <c r="BE19" s="582">
        <f t="shared" ca="1" si="43"/>
        <v>0</v>
      </c>
      <c r="BF19" s="582">
        <f ca="1">SUM(AM19:BE19)</f>
        <v>0</v>
      </c>
      <c r="BH19" s="3463">
        <f ca="1">BH17+BH18</f>
        <v>0</v>
      </c>
      <c r="BI19" s="3463">
        <f ca="1">BI17+BI18</f>
        <v>0</v>
      </c>
      <c r="BJ19" s="3463">
        <f ca="1">SUM(BH19:BI19)</f>
        <v>0</v>
      </c>
      <c r="BL19" s="3477">
        <f t="shared" ca="1" si="9"/>
        <v>0</v>
      </c>
      <c r="BM19" s="584"/>
      <c r="BN19" s="413"/>
      <c r="BO19" s="2790">
        <f t="shared" ref="BO19:DF19" ca="1" si="44">BO17+BO18</f>
        <v>0.19994132957274718</v>
      </c>
      <c r="BP19" s="2790">
        <f t="shared" ca="1" si="44"/>
        <v>7.3834876484212139E-5</v>
      </c>
      <c r="BQ19" s="2790">
        <f t="shared" ca="1" si="44"/>
        <v>3.1608359028241287E-3</v>
      </c>
      <c r="BR19" s="2790">
        <f t="shared" ca="1" si="44"/>
        <v>0</v>
      </c>
      <c r="BS19" s="2790">
        <f t="shared" ca="1" si="44"/>
        <v>0</v>
      </c>
      <c r="BT19" s="2790">
        <f t="shared" ca="1" si="44"/>
        <v>0</v>
      </c>
      <c r="BU19" s="2790">
        <f t="shared" ca="1" si="44"/>
        <v>0</v>
      </c>
      <c r="BV19" s="2790">
        <f t="shared" ca="1" si="44"/>
        <v>0</v>
      </c>
      <c r="BW19" s="2790">
        <f t="shared" ca="1" si="44"/>
        <v>0</v>
      </c>
      <c r="BX19" s="2790">
        <f t="shared" ca="1" si="44"/>
        <v>0</v>
      </c>
      <c r="BY19" s="2790">
        <f t="shared" ca="1" si="44"/>
        <v>0</v>
      </c>
      <c r="BZ19" s="2790">
        <f t="shared" ca="1" si="44"/>
        <v>0</v>
      </c>
      <c r="CA19" s="2790">
        <f t="shared" ca="1" si="44"/>
        <v>0</v>
      </c>
      <c r="CB19" s="2790">
        <f t="shared" ca="1" si="44"/>
        <v>0</v>
      </c>
      <c r="CC19" s="2790">
        <f t="shared" ca="1" si="44"/>
        <v>0</v>
      </c>
      <c r="CD19" s="2790">
        <f t="shared" ca="1" si="44"/>
        <v>0</v>
      </c>
      <c r="CE19" s="2790">
        <f t="shared" ca="1" si="44"/>
        <v>0</v>
      </c>
      <c r="CF19" s="2790">
        <f t="shared" ca="1" si="44"/>
        <v>0</v>
      </c>
      <c r="CG19" s="2790">
        <f t="shared" ca="1" si="44"/>
        <v>0</v>
      </c>
      <c r="CH19" s="2790">
        <f t="shared" ca="1" si="44"/>
        <v>0</v>
      </c>
      <c r="CI19" s="2790">
        <f t="shared" ca="1" si="44"/>
        <v>0</v>
      </c>
      <c r="CJ19" s="2790">
        <f t="shared" ca="1" si="44"/>
        <v>0</v>
      </c>
      <c r="CK19" s="2790">
        <f t="shared" ca="1" si="44"/>
        <v>0</v>
      </c>
      <c r="CL19" s="2790">
        <f t="shared" ca="1" si="44"/>
        <v>0</v>
      </c>
      <c r="CM19" s="2790">
        <f t="shared" ca="1" si="44"/>
        <v>0</v>
      </c>
      <c r="CN19" s="2790">
        <f t="shared" ca="1" si="44"/>
        <v>0</v>
      </c>
      <c r="CO19" s="2790">
        <f t="shared" ca="1" si="44"/>
        <v>0</v>
      </c>
      <c r="CP19" s="2790">
        <f t="shared" ca="1" si="44"/>
        <v>0</v>
      </c>
      <c r="CQ19" s="2790">
        <f t="shared" ca="1" si="44"/>
        <v>0</v>
      </c>
      <c r="CR19" s="2790">
        <f t="shared" ca="1" si="44"/>
        <v>0</v>
      </c>
      <c r="CS19" s="2790">
        <f t="shared" ca="1" si="44"/>
        <v>0</v>
      </c>
      <c r="CT19" s="2790">
        <f t="shared" ca="1" si="44"/>
        <v>0</v>
      </c>
      <c r="CU19" s="2790">
        <f t="shared" ca="1" si="44"/>
        <v>0</v>
      </c>
      <c r="CV19" s="2790">
        <f t="shared" ca="1" si="44"/>
        <v>0</v>
      </c>
      <c r="CW19" s="2790">
        <f t="shared" ca="1" si="44"/>
        <v>0</v>
      </c>
      <c r="CX19" s="2790">
        <f t="shared" ca="1" si="44"/>
        <v>0</v>
      </c>
      <c r="CY19" s="2790">
        <f t="shared" ca="1" si="44"/>
        <v>0</v>
      </c>
      <c r="CZ19" s="2790">
        <f t="shared" ca="1" si="44"/>
        <v>0</v>
      </c>
      <c r="DA19" s="2790">
        <f t="shared" ca="1" si="44"/>
        <v>0</v>
      </c>
      <c r="DB19" s="2790">
        <f t="shared" ca="1" si="44"/>
        <v>0</v>
      </c>
      <c r="DC19" s="2790">
        <f t="shared" ca="1" si="44"/>
        <v>0</v>
      </c>
      <c r="DD19" s="2790">
        <f t="shared" ca="1" si="44"/>
        <v>0</v>
      </c>
      <c r="DE19" s="2790">
        <f t="shared" ca="1" si="44"/>
        <v>0</v>
      </c>
      <c r="DF19" s="2790">
        <f t="shared" ca="1" si="44"/>
        <v>0</v>
      </c>
      <c r="DH19" s="596">
        <f t="shared" ca="1" si="32"/>
        <v>0.20317600035205552</v>
      </c>
    </row>
    <row r="20" spans="1:112" s="6" customFormat="1">
      <c r="A20" s="607"/>
      <c r="B20" s="607"/>
      <c r="C20" s="587"/>
      <c r="D20" s="588"/>
      <c r="E20" s="588"/>
      <c r="G20" s="590"/>
      <c r="H20" s="590"/>
      <c r="I20" s="590"/>
      <c r="J20" s="590"/>
      <c r="K20" s="590"/>
      <c r="L20" s="590"/>
      <c r="M20" s="590"/>
      <c r="N20" s="590"/>
      <c r="O20" s="590"/>
      <c r="P20" s="590"/>
      <c r="Q20" s="590"/>
      <c r="S20" s="592"/>
      <c r="T20" s="592"/>
      <c r="U20" s="592"/>
      <c r="V20" s="592"/>
      <c r="W20" s="592"/>
      <c r="X20" s="592"/>
      <c r="Y20" s="592"/>
      <c r="Z20" s="592"/>
      <c r="AA20" s="592"/>
      <c r="AB20" s="592"/>
      <c r="AC20" s="592"/>
      <c r="AD20" s="592"/>
      <c r="AE20" s="592"/>
      <c r="AF20" s="592"/>
      <c r="AG20" s="592"/>
      <c r="AH20" s="592"/>
      <c r="AI20" s="592"/>
      <c r="AJ20" s="592"/>
      <c r="AK20" s="592"/>
      <c r="AM20" s="608"/>
      <c r="AN20" s="608"/>
      <c r="AO20" s="608"/>
      <c r="AP20" s="608"/>
      <c r="AQ20" s="608"/>
      <c r="AR20" s="608"/>
      <c r="AS20" s="608"/>
      <c r="AT20" s="608"/>
      <c r="AU20" s="608"/>
      <c r="AV20" s="608"/>
      <c r="AW20" s="608"/>
      <c r="AX20" s="608"/>
      <c r="AY20" s="608"/>
      <c r="AZ20" s="608"/>
      <c r="BA20" s="608"/>
      <c r="BB20" s="608"/>
      <c r="BC20" s="608"/>
      <c r="BD20" s="608"/>
      <c r="BE20" s="608"/>
      <c r="BF20" s="609"/>
      <c r="BH20" s="3460"/>
      <c r="BI20" s="3460"/>
      <c r="BJ20" s="3460"/>
      <c r="BL20" s="610">
        <f t="shared" si="9"/>
        <v>0</v>
      </c>
      <c r="BM20" s="610"/>
      <c r="BN20" s="607"/>
      <c r="BO20" s="2789"/>
      <c r="BP20" s="2790"/>
      <c r="BQ20" s="2790"/>
      <c r="BR20" s="2790"/>
      <c r="BS20" s="2790"/>
      <c r="BT20" s="2790"/>
      <c r="BU20" s="2790"/>
      <c r="BV20" s="2790"/>
      <c r="BW20" s="2790"/>
      <c r="BX20" s="2790"/>
      <c r="BY20" s="2790"/>
      <c r="BZ20" s="2790"/>
      <c r="CA20" s="2790"/>
      <c r="CB20" s="2790"/>
      <c r="CC20" s="2790"/>
      <c r="CD20" s="2790"/>
      <c r="CE20" s="2790"/>
      <c r="CF20" s="2790"/>
      <c r="CG20" s="2790"/>
      <c r="CH20" s="2790"/>
      <c r="CI20" s="2790"/>
      <c r="CJ20" s="2790"/>
      <c r="CK20" s="2790"/>
      <c r="CL20" s="2790"/>
      <c r="CM20" s="2790"/>
      <c r="CN20" s="2790"/>
      <c r="CO20" s="2790"/>
      <c r="CP20" s="2790"/>
      <c r="CQ20" s="2790"/>
      <c r="CR20" s="2790"/>
      <c r="CS20" s="2790"/>
      <c r="CT20" s="2790"/>
      <c r="CU20" s="2790"/>
      <c r="CV20" s="2790"/>
      <c r="CW20" s="2790"/>
      <c r="CX20" s="2790"/>
      <c r="CY20" s="2790"/>
      <c r="CZ20" s="2790"/>
      <c r="DA20" s="2790"/>
      <c r="DB20" s="2790"/>
      <c r="DC20" s="2790"/>
      <c r="DD20" s="2790"/>
      <c r="DE20" s="2790"/>
      <c r="DF20" s="2790"/>
      <c r="DH20" s="596">
        <f t="shared" si="32"/>
        <v>0</v>
      </c>
    </row>
    <row r="21" spans="1:112" s="6" customFormat="1">
      <c r="A21" s="607"/>
      <c r="B21" s="607"/>
      <c r="C21" s="587" t="s">
        <v>475</v>
      </c>
      <c r="D21" s="611" t="s">
        <v>476</v>
      </c>
      <c r="E21" s="611"/>
      <c r="G21" s="619">
        <f t="shared" ref="G21:P21" ca="1" si="45">IFERROR(INDEX(INDIRECT($C21&amp;".Outputs["&amp;this.Year&amp;"]"), MATCH(G$5, INDIRECT($C21&amp;".Outputs[Vector]"), 0)), 0)</f>
        <v>0</v>
      </c>
      <c r="H21" s="619">
        <f t="shared" ca="1" si="45"/>
        <v>0</v>
      </c>
      <c r="I21" s="619">
        <f t="shared" ca="1" si="45"/>
        <v>33.213047829785495</v>
      </c>
      <c r="J21" s="619">
        <f t="shared" ca="1" si="45"/>
        <v>0</v>
      </c>
      <c r="K21" s="619">
        <f t="shared" ca="1" si="45"/>
        <v>0</v>
      </c>
      <c r="L21" s="619">
        <f t="shared" ca="1" si="45"/>
        <v>0</v>
      </c>
      <c r="M21" s="619">
        <f t="shared" ca="1" si="45"/>
        <v>0</v>
      </c>
      <c r="N21" s="619">
        <f t="shared" ca="1" si="45"/>
        <v>0</v>
      </c>
      <c r="O21" s="619">
        <f t="shared" ca="1" si="45"/>
        <v>0</v>
      </c>
      <c r="P21" s="619">
        <f t="shared" ca="1" si="45"/>
        <v>0</v>
      </c>
      <c r="Q21" s="612">
        <f ca="1">SUM(G21:P21)</f>
        <v>33.213047829785495</v>
      </c>
      <c r="S21" s="620">
        <f t="shared" ref="S21:AJ21" ca="1" si="46">IFERROR(INDEX(INDIRECT($C21&amp;".Outputs["&amp;this.Year&amp;"]"), MATCH(S$5, INDIRECT($C21&amp;".Outputs[Vector]"), 0)), 0)</f>
        <v>-11.871843568245758</v>
      </c>
      <c r="T21" s="620">
        <f t="shared" ca="1" si="46"/>
        <v>0</v>
      </c>
      <c r="U21" s="620">
        <f t="shared" ca="1" si="46"/>
        <v>-3.9743200750532086</v>
      </c>
      <c r="V21" s="620">
        <f t="shared" ca="1" si="46"/>
        <v>-8.1147692850764876</v>
      </c>
      <c r="W21" s="620">
        <f t="shared" ca="1" si="46"/>
        <v>-9.2521149014100423</v>
      </c>
      <c r="X21" s="620">
        <f ca="1">IFERROR(INDEX(INDIRECT($C21&amp;".Outputs["&amp;this.Year&amp;"]"), MATCH(X$5, INDIRECT($C21&amp;".Outputs[Vector]"), 0)), 0)</f>
        <v>0</v>
      </c>
      <c r="Y21" s="620">
        <f ca="1">IFERROR(INDEX(INDIRECT($C21&amp;".Outputs["&amp;this.Year&amp;"]"), MATCH(Y$5, INDIRECT($C21&amp;".Outputs[Vector]"), 0)), 0)</f>
        <v>0</v>
      </c>
      <c r="Z21" s="620">
        <f ca="1">IFERROR(INDEX(INDIRECT($C21&amp;".Outputs["&amp;this.Year&amp;"]"), MATCH(Z$5, INDIRECT($C21&amp;".Outputs[Vector]"), 0)), 0)</f>
        <v>0</v>
      </c>
      <c r="AA21" s="620">
        <f t="shared" ca="1" si="46"/>
        <v>0</v>
      </c>
      <c r="AB21" s="620">
        <f t="shared" ca="1" si="46"/>
        <v>0</v>
      </c>
      <c r="AC21" s="620">
        <f t="shared" ca="1" si="46"/>
        <v>0</v>
      </c>
      <c r="AD21" s="620">
        <f t="shared" ca="1" si="46"/>
        <v>0</v>
      </c>
      <c r="AE21" s="620">
        <f t="shared" ca="1" si="46"/>
        <v>0</v>
      </c>
      <c r="AF21" s="620">
        <f t="shared" ca="1" si="46"/>
        <v>0</v>
      </c>
      <c r="AG21" s="620">
        <f t="shared" ca="1" si="46"/>
        <v>0</v>
      </c>
      <c r="AH21" s="620">
        <f t="shared" ca="1" si="46"/>
        <v>0</v>
      </c>
      <c r="AI21" s="620">
        <f t="shared" ca="1" si="46"/>
        <v>0</v>
      </c>
      <c r="AJ21" s="620">
        <f t="shared" ca="1" si="46"/>
        <v>0</v>
      </c>
      <c r="AK21" s="613">
        <f ca="1">SUM(S21:AJ21)</f>
        <v>-33.213047829785495</v>
      </c>
      <c r="AM21" s="621">
        <f t="shared" ref="AM21:BE21" ca="1" si="47">IFERROR(INDEX(INDIRECT($C21&amp;".Outputs["&amp;this.Year&amp;"]"), MATCH(AM$5, INDIRECT($C21&amp;".Outputs[Vector]"), 0)), 0)</f>
        <v>0</v>
      </c>
      <c r="AN21" s="621">
        <f t="shared" ca="1" si="47"/>
        <v>0</v>
      </c>
      <c r="AO21" s="621">
        <f t="shared" ca="1" si="47"/>
        <v>0</v>
      </c>
      <c r="AP21" s="621">
        <f t="shared" ca="1" si="47"/>
        <v>0</v>
      </c>
      <c r="AQ21" s="621">
        <f t="shared" ca="1" si="47"/>
        <v>0</v>
      </c>
      <c r="AR21" s="621">
        <f t="shared" ca="1" si="47"/>
        <v>0</v>
      </c>
      <c r="AS21" s="621">
        <f t="shared" ca="1" si="47"/>
        <v>0</v>
      </c>
      <c r="AT21" s="621">
        <f t="shared" ca="1" si="47"/>
        <v>0</v>
      </c>
      <c r="AU21" s="621">
        <f t="shared" ca="1" si="47"/>
        <v>0</v>
      </c>
      <c r="AV21" s="621">
        <f t="shared" ca="1" si="47"/>
        <v>0</v>
      </c>
      <c r="AW21" s="621">
        <f t="shared" ca="1" si="47"/>
        <v>0</v>
      </c>
      <c r="AX21" s="621">
        <f t="shared" ca="1" si="47"/>
        <v>0</v>
      </c>
      <c r="AY21" s="621">
        <f t="shared" ca="1" si="47"/>
        <v>0</v>
      </c>
      <c r="AZ21" s="621">
        <f t="shared" ca="1" si="47"/>
        <v>0</v>
      </c>
      <c r="BA21" s="621">
        <f t="shared" ca="1" si="47"/>
        <v>0</v>
      </c>
      <c r="BB21" s="621">
        <f t="shared" ca="1" si="47"/>
        <v>0</v>
      </c>
      <c r="BC21" s="621">
        <f t="shared" ca="1" si="47"/>
        <v>0</v>
      </c>
      <c r="BD21" s="621">
        <f t="shared" ca="1" si="47"/>
        <v>0</v>
      </c>
      <c r="BE21" s="621">
        <f t="shared" ca="1" si="47"/>
        <v>0</v>
      </c>
      <c r="BF21" s="615">
        <f ca="1">SUM(AM21:BE21)</f>
        <v>0</v>
      </c>
      <c r="BH21" s="3473">
        <f ca="1">IFERROR(INDEX(INDIRECT($C21&amp;".Outputs["&amp;this.Year&amp;"]"), MATCH(BH$5, INDIRECT($C21&amp;".Outputs[Vector]"), 0)), 0)</f>
        <v>0</v>
      </c>
      <c r="BI21" s="3473">
        <f ca="1">IFERROR(INDEX(INDIRECT($C21&amp;".Outputs["&amp;this.Year&amp;"]"), MATCH(BI$5, INDIRECT($C21&amp;".Outputs[Vector]"), 0)), 0)</f>
        <v>0</v>
      </c>
      <c r="BJ21" s="3462">
        <f ca="1">SUM(BH21:BI21)</f>
        <v>0</v>
      </c>
      <c r="BL21" s="610">
        <f t="shared" ca="1" si="9"/>
        <v>0</v>
      </c>
      <c r="BM21" s="610"/>
      <c r="BN21" s="413"/>
      <c r="BO21" s="2791">
        <f t="shared" ref="BO21:DF21" ca="1" si="48">IFERROR(SUMIFS(INDIRECT($C21&amp;".Emissions["&amp;this.Year&amp;"]"), INDIRECT($C21&amp;".Emissions[GHG]"), BO$6, INDIRECT($C21&amp;".Emissions[IPCC Sector]"), BO$5),0)</f>
        <v>5.3772488662081734</v>
      </c>
      <c r="BP21" s="2792">
        <f t="shared" ca="1" si="48"/>
        <v>2.7502105787737628E-3</v>
      </c>
      <c r="BQ21" s="2792">
        <f t="shared" ca="1" si="48"/>
        <v>3.759486478209037E-2</v>
      </c>
      <c r="BR21" s="2792">
        <f t="shared" ca="1" si="48"/>
        <v>0</v>
      </c>
      <c r="BS21" s="2792">
        <f t="shared" ca="1" si="48"/>
        <v>0</v>
      </c>
      <c r="BT21" s="2792">
        <f t="shared" ca="1" si="48"/>
        <v>0</v>
      </c>
      <c r="BU21" s="2792">
        <f t="shared" ca="1" si="48"/>
        <v>0</v>
      </c>
      <c r="BV21" s="2792">
        <f t="shared" ca="1" si="48"/>
        <v>0</v>
      </c>
      <c r="BW21" s="2792">
        <f t="shared" ca="1" si="48"/>
        <v>0.54473537740733713</v>
      </c>
      <c r="BX21" s="2792">
        <f t="shared" ca="1" si="48"/>
        <v>0</v>
      </c>
      <c r="BY21" s="2792">
        <f t="shared" ca="1" si="48"/>
        <v>0</v>
      </c>
      <c r="BZ21" s="2792">
        <f t="shared" ca="1" si="48"/>
        <v>0.55433060517700083</v>
      </c>
      <c r="CA21" s="2792">
        <f t="shared" ca="1" si="48"/>
        <v>0</v>
      </c>
      <c r="CB21" s="2792">
        <f t="shared" ca="1" si="48"/>
        <v>0</v>
      </c>
      <c r="CC21" s="2792">
        <f t="shared" ca="1" si="48"/>
        <v>0</v>
      </c>
      <c r="CD21" s="2792">
        <f t="shared" ca="1" si="48"/>
        <v>0</v>
      </c>
      <c r="CE21" s="2792">
        <f t="shared" ca="1" si="48"/>
        <v>0</v>
      </c>
      <c r="CF21" s="2792">
        <f t="shared" ca="1" si="48"/>
        <v>0</v>
      </c>
      <c r="CG21" s="2792">
        <f t="shared" ca="1" si="48"/>
        <v>0</v>
      </c>
      <c r="CH21" s="2792">
        <f t="shared" ca="1" si="48"/>
        <v>0</v>
      </c>
      <c r="CI21" s="2792">
        <f t="shared" ca="1" si="48"/>
        <v>0</v>
      </c>
      <c r="CJ21" s="2792">
        <f t="shared" ca="1" si="48"/>
        <v>0</v>
      </c>
      <c r="CK21" s="2792">
        <f t="shared" ca="1" si="48"/>
        <v>0</v>
      </c>
      <c r="CL21" s="2792">
        <f t="shared" ca="1" si="48"/>
        <v>0</v>
      </c>
      <c r="CM21" s="2792">
        <f t="shared" ca="1" si="48"/>
        <v>0</v>
      </c>
      <c r="CN21" s="2792">
        <f t="shared" ca="1" si="48"/>
        <v>0</v>
      </c>
      <c r="CO21" s="2792">
        <f t="shared" ca="1" si="48"/>
        <v>0</v>
      </c>
      <c r="CP21" s="2792">
        <f t="shared" ca="1" si="48"/>
        <v>0</v>
      </c>
      <c r="CQ21" s="2792">
        <f t="shared" ca="1" si="48"/>
        <v>0</v>
      </c>
      <c r="CR21" s="2792">
        <f t="shared" ca="1" si="48"/>
        <v>0</v>
      </c>
      <c r="CS21" s="2792">
        <f t="shared" ca="1" si="48"/>
        <v>0</v>
      </c>
      <c r="CT21" s="2792">
        <f t="shared" ca="1" si="48"/>
        <v>0</v>
      </c>
      <c r="CU21" s="2792">
        <f t="shared" ca="1" si="48"/>
        <v>0</v>
      </c>
      <c r="CV21" s="2792">
        <f t="shared" ca="1" si="48"/>
        <v>0</v>
      </c>
      <c r="CW21" s="2792">
        <f t="shared" ca="1" si="48"/>
        <v>0</v>
      </c>
      <c r="CX21" s="2792">
        <f t="shared" ca="1" si="48"/>
        <v>0</v>
      </c>
      <c r="CY21" s="2792">
        <f t="shared" ca="1" si="48"/>
        <v>0</v>
      </c>
      <c r="CZ21" s="2792">
        <f t="shared" ca="1" si="48"/>
        <v>0</v>
      </c>
      <c r="DA21" s="2792">
        <f t="shared" ca="1" si="48"/>
        <v>0</v>
      </c>
      <c r="DB21" s="2792">
        <f t="shared" ca="1" si="48"/>
        <v>0</v>
      </c>
      <c r="DC21" s="2792">
        <f t="shared" ca="1" si="48"/>
        <v>0</v>
      </c>
      <c r="DD21" s="2792">
        <f t="shared" ca="1" si="48"/>
        <v>0</v>
      </c>
      <c r="DE21" s="2792">
        <f t="shared" ca="1" si="48"/>
        <v>0</v>
      </c>
      <c r="DF21" s="2792">
        <f t="shared" ca="1" si="48"/>
        <v>0</v>
      </c>
      <c r="DH21" s="596">
        <f t="shared" ca="1" si="32"/>
        <v>6.5166599241533758</v>
      </c>
    </row>
    <row r="22" spans="1:112" s="6" customFormat="1" ht="15.75">
      <c r="A22" s="4"/>
      <c r="B22" s="3"/>
      <c r="C22" s="616" t="s">
        <v>477</v>
      </c>
      <c r="D22" s="617" t="s">
        <v>368</v>
      </c>
      <c r="E22" s="206"/>
      <c r="G22" s="618">
        <f ca="1">G21</f>
        <v>0</v>
      </c>
      <c r="H22" s="618">
        <f t="shared" ref="H22:P22" ca="1" si="49">H21</f>
        <v>0</v>
      </c>
      <c r="I22" s="618">
        <f t="shared" ca="1" si="49"/>
        <v>33.213047829785495</v>
      </c>
      <c r="J22" s="618">
        <f t="shared" ca="1" si="49"/>
        <v>0</v>
      </c>
      <c r="K22" s="618">
        <f t="shared" ca="1" si="49"/>
        <v>0</v>
      </c>
      <c r="L22" s="618">
        <f t="shared" ca="1" si="49"/>
        <v>0</v>
      </c>
      <c r="M22" s="618">
        <f t="shared" ca="1" si="49"/>
        <v>0</v>
      </c>
      <c r="N22" s="618">
        <f t="shared" ca="1" si="49"/>
        <v>0</v>
      </c>
      <c r="O22" s="618">
        <f t="shared" ca="1" si="49"/>
        <v>0</v>
      </c>
      <c r="P22" s="618">
        <f t="shared" ca="1" si="49"/>
        <v>0</v>
      </c>
      <c r="Q22" s="618">
        <f ca="1">SUM(G22:P22)</f>
        <v>33.213047829785495</v>
      </c>
      <c r="S22" s="581">
        <f t="shared" ref="S22:AJ22" ca="1" si="50">S21</f>
        <v>-11.871843568245758</v>
      </c>
      <c r="T22" s="581">
        <f t="shared" ca="1" si="50"/>
        <v>0</v>
      </c>
      <c r="U22" s="581">
        <f t="shared" ca="1" si="50"/>
        <v>-3.9743200750532086</v>
      </c>
      <c r="V22" s="581">
        <f t="shared" ca="1" si="50"/>
        <v>-8.1147692850764876</v>
      </c>
      <c r="W22" s="581">
        <f t="shared" ca="1" si="50"/>
        <v>-9.2521149014100423</v>
      </c>
      <c r="X22" s="581">
        <f t="shared" ca="1" si="50"/>
        <v>0</v>
      </c>
      <c r="Y22" s="581">
        <f t="shared" ca="1" si="50"/>
        <v>0</v>
      </c>
      <c r="Z22" s="581">
        <f t="shared" ca="1" si="50"/>
        <v>0</v>
      </c>
      <c r="AA22" s="581">
        <f t="shared" ca="1" si="50"/>
        <v>0</v>
      </c>
      <c r="AB22" s="581">
        <f t="shared" ca="1" si="50"/>
        <v>0</v>
      </c>
      <c r="AC22" s="581">
        <f t="shared" ca="1" si="50"/>
        <v>0</v>
      </c>
      <c r="AD22" s="581">
        <f t="shared" ca="1" si="50"/>
        <v>0</v>
      </c>
      <c r="AE22" s="581">
        <f ca="1">AE21</f>
        <v>0</v>
      </c>
      <c r="AF22" s="581">
        <f t="shared" ca="1" si="50"/>
        <v>0</v>
      </c>
      <c r="AG22" s="581">
        <f t="shared" ca="1" si="50"/>
        <v>0</v>
      </c>
      <c r="AH22" s="581">
        <f ca="1">AH21</f>
        <v>0</v>
      </c>
      <c r="AI22" s="581">
        <f t="shared" ca="1" si="50"/>
        <v>0</v>
      </c>
      <c r="AJ22" s="581">
        <f t="shared" ca="1" si="50"/>
        <v>0</v>
      </c>
      <c r="AK22" s="581">
        <f ca="1">SUM(S22:AJ22)</f>
        <v>-33.213047829785495</v>
      </c>
      <c r="AM22" s="582">
        <f t="shared" ref="AM22:BE22" ca="1" si="51">AM21</f>
        <v>0</v>
      </c>
      <c r="AN22" s="582">
        <f t="shared" ca="1" si="51"/>
        <v>0</v>
      </c>
      <c r="AO22" s="582">
        <f t="shared" ca="1" si="51"/>
        <v>0</v>
      </c>
      <c r="AP22" s="582">
        <f t="shared" ca="1" si="51"/>
        <v>0</v>
      </c>
      <c r="AQ22" s="582">
        <f t="shared" ca="1" si="51"/>
        <v>0</v>
      </c>
      <c r="AR22" s="582">
        <f t="shared" ca="1" si="51"/>
        <v>0</v>
      </c>
      <c r="AS22" s="582">
        <f t="shared" ca="1" si="51"/>
        <v>0</v>
      </c>
      <c r="AT22" s="582">
        <f t="shared" ca="1" si="51"/>
        <v>0</v>
      </c>
      <c r="AU22" s="582">
        <f t="shared" ca="1" si="51"/>
        <v>0</v>
      </c>
      <c r="AV22" s="582">
        <f t="shared" ca="1" si="51"/>
        <v>0</v>
      </c>
      <c r="AW22" s="582">
        <f t="shared" ca="1" si="51"/>
        <v>0</v>
      </c>
      <c r="AX22" s="582">
        <f t="shared" ca="1" si="51"/>
        <v>0</v>
      </c>
      <c r="AY22" s="582">
        <f t="shared" ca="1" si="51"/>
        <v>0</v>
      </c>
      <c r="AZ22" s="582">
        <f t="shared" ca="1" si="51"/>
        <v>0</v>
      </c>
      <c r="BA22" s="582">
        <f t="shared" ca="1" si="51"/>
        <v>0</v>
      </c>
      <c r="BB22" s="582">
        <f t="shared" ca="1" si="51"/>
        <v>0</v>
      </c>
      <c r="BC22" s="582">
        <f t="shared" ca="1" si="51"/>
        <v>0</v>
      </c>
      <c r="BD22" s="582">
        <f ca="1">BD21</f>
        <v>0</v>
      </c>
      <c r="BE22" s="582">
        <f t="shared" ca="1" si="51"/>
        <v>0</v>
      </c>
      <c r="BF22" s="582">
        <f ca="1">SUM(AM22:BE22)</f>
        <v>0</v>
      </c>
      <c r="BH22" s="3463">
        <f ca="1">BH21</f>
        <v>0</v>
      </c>
      <c r="BI22" s="3463">
        <f ca="1">BI21</f>
        <v>0</v>
      </c>
      <c r="BJ22" s="3463">
        <f ca="1">SUM(BH22:BI22)</f>
        <v>0</v>
      </c>
      <c r="BL22" s="3477">
        <f t="shared" ca="1" si="9"/>
        <v>0</v>
      </c>
      <c r="BM22" s="584"/>
      <c r="BN22" s="413"/>
      <c r="BO22" s="2790">
        <f t="shared" ref="BO22:DF22" ca="1" si="52">BO21</f>
        <v>5.3772488662081734</v>
      </c>
      <c r="BP22" s="2790">
        <f t="shared" ca="1" si="52"/>
        <v>2.7502105787737628E-3</v>
      </c>
      <c r="BQ22" s="2790">
        <f t="shared" ca="1" si="52"/>
        <v>3.759486478209037E-2</v>
      </c>
      <c r="BR22" s="2790">
        <f t="shared" ca="1" si="52"/>
        <v>0</v>
      </c>
      <c r="BS22" s="2790">
        <f t="shared" ca="1" si="52"/>
        <v>0</v>
      </c>
      <c r="BT22" s="2790">
        <f t="shared" ca="1" si="52"/>
        <v>0</v>
      </c>
      <c r="BU22" s="2790">
        <f t="shared" ca="1" si="52"/>
        <v>0</v>
      </c>
      <c r="BV22" s="2790">
        <f t="shared" ca="1" si="52"/>
        <v>0</v>
      </c>
      <c r="BW22" s="2790">
        <f t="shared" ca="1" si="52"/>
        <v>0.54473537740733713</v>
      </c>
      <c r="BX22" s="2790">
        <f t="shared" ca="1" si="52"/>
        <v>0</v>
      </c>
      <c r="BY22" s="2790">
        <f t="shared" ca="1" si="52"/>
        <v>0</v>
      </c>
      <c r="BZ22" s="2790">
        <f t="shared" ca="1" si="52"/>
        <v>0.55433060517700083</v>
      </c>
      <c r="CA22" s="2790">
        <f t="shared" ca="1" si="52"/>
        <v>0</v>
      </c>
      <c r="CB22" s="2790">
        <f t="shared" ca="1" si="52"/>
        <v>0</v>
      </c>
      <c r="CC22" s="2790">
        <f t="shared" ca="1" si="52"/>
        <v>0</v>
      </c>
      <c r="CD22" s="2790">
        <f t="shared" ca="1" si="52"/>
        <v>0</v>
      </c>
      <c r="CE22" s="2790">
        <f t="shared" ca="1" si="52"/>
        <v>0</v>
      </c>
      <c r="CF22" s="2790">
        <f t="shared" ca="1" si="52"/>
        <v>0</v>
      </c>
      <c r="CG22" s="2790">
        <f t="shared" ca="1" si="52"/>
        <v>0</v>
      </c>
      <c r="CH22" s="2790">
        <f t="shared" ca="1" si="52"/>
        <v>0</v>
      </c>
      <c r="CI22" s="2790">
        <f t="shared" ca="1" si="52"/>
        <v>0</v>
      </c>
      <c r="CJ22" s="2790">
        <f t="shared" ca="1" si="52"/>
        <v>0</v>
      </c>
      <c r="CK22" s="2790">
        <f t="shared" ca="1" si="52"/>
        <v>0</v>
      </c>
      <c r="CL22" s="2790">
        <f t="shared" ca="1" si="52"/>
        <v>0</v>
      </c>
      <c r="CM22" s="2790">
        <f t="shared" ca="1" si="52"/>
        <v>0</v>
      </c>
      <c r="CN22" s="2790">
        <f t="shared" ca="1" si="52"/>
        <v>0</v>
      </c>
      <c r="CO22" s="2790">
        <f t="shared" ca="1" si="52"/>
        <v>0</v>
      </c>
      <c r="CP22" s="2790">
        <f t="shared" ca="1" si="52"/>
        <v>0</v>
      </c>
      <c r="CQ22" s="2790">
        <f t="shared" ca="1" si="52"/>
        <v>0</v>
      </c>
      <c r="CR22" s="2790">
        <f t="shared" ca="1" si="52"/>
        <v>0</v>
      </c>
      <c r="CS22" s="2790">
        <f t="shared" ca="1" si="52"/>
        <v>0</v>
      </c>
      <c r="CT22" s="2790">
        <f t="shared" ca="1" si="52"/>
        <v>0</v>
      </c>
      <c r="CU22" s="2790">
        <f t="shared" ca="1" si="52"/>
        <v>0</v>
      </c>
      <c r="CV22" s="2790">
        <f t="shared" ca="1" si="52"/>
        <v>0</v>
      </c>
      <c r="CW22" s="2790">
        <f t="shared" ca="1" si="52"/>
        <v>0</v>
      </c>
      <c r="CX22" s="2790">
        <f t="shared" ca="1" si="52"/>
        <v>0</v>
      </c>
      <c r="CY22" s="2790">
        <f t="shared" ca="1" si="52"/>
        <v>0</v>
      </c>
      <c r="CZ22" s="2790">
        <f t="shared" ca="1" si="52"/>
        <v>0</v>
      </c>
      <c r="DA22" s="2790">
        <f t="shared" ca="1" si="52"/>
        <v>0</v>
      </c>
      <c r="DB22" s="2790">
        <f t="shared" ca="1" si="52"/>
        <v>0</v>
      </c>
      <c r="DC22" s="2790">
        <f t="shared" ca="1" si="52"/>
        <v>0</v>
      </c>
      <c r="DD22" s="2790">
        <f t="shared" ca="1" si="52"/>
        <v>0</v>
      </c>
      <c r="DE22" s="2790">
        <f t="shared" ca="1" si="52"/>
        <v>0</v>
      </c>
      <c r="DF22" s="2790">
        <f t="shared" ca="1" si="52"/>
        <v>0</v>
      </c>
      <c r="DH22" s="596">
        <f t="shared" ca="1" si="32"/>
        <v>6.5166599241533758</v>
      </c>
    </row>
    <row r="23" spans="1:112" s="6" customFormat="1">
      <c r="A23" s="4"/>
      <c r="B23" s="4"/>
      <c r="C23" s="622"/>
      <c r="D23" s="206"/>
      <c r="E23" s="206"/>
      <c r="G23" s="618"/>
      <c r="H23" s="618"/>
      <c r="I23" s="618"/>
      <c r="J23" s="618"/>
      <c r="K23" s="618"/>
      <c r="L23" s="618"/>
      <c r="M23" s="618"/>
      <c r="N23" s="618"/>
      <c r="O23" s="618"/>
      <c r="P23" s="618"/>
      <c r="Q23" s="618"/>
      <c r="S23" s="581"/>
      <c r="T23" s="581"/>
      <c r="U23" s="581"/>
      <c r="V23" s="581"/>
      <c r="W23" s="581"/>
      <c r="X23" s="581"/>
      <c r="Y23" s="581"/>
      <c r="Z23" s="581"/>
      <c r="AA23" s="581"/>
      <c r="AB23" s="581"/>
      <c r="AC23" s="581"/>
      <c r="AD23" s="581"/>
      <c r="AE23" s="581"/>
      <c r="AF23" s="581"/>
      <c r="AG23" s="581"/>
      <c r="AH23" s="581"/>
      <c r="AI23" s="581"/>
      <c r="AJ23" s="581"/>
      <c r="AK23" s="581"/>
      <c r="AM23" s="582"/>
      <c r="AN23" s="582"/>
      <c r="AO23" s="582"/>
      <c r="AP23" s="582"/>
      <c r="AQ23" s="582"/>
      <c r="AR23" s="582"/>
      <c r="AS23" s="582"/>
      <c r="AT23" s="582"/>
      <c r="AU23" s="582"/>
      <c r="AV23" s="582"/>
      <c r="AW23" s="582"/>
      <c r="AX23" s="582"/>
      <c r="AY23" s="582"/>
      <c r="AZ23" s="582"/>
      <c r="BA23" s="582"/>
      <c r="BB23" s="582"/>
      <c r="BC23" s="582"/>
      <c r="BD23" s="582"/>
      <c r="BE23" s="582"/>
      <c r="BF23" s="582"/>
      <c r="BH23" s="3463"/>
      <c r="BI23" s="3463"/>
      <c r="BJ23" s="3463"/>
      <c r="BL23" s="3477">
        <f t="shared" si="9"/>
        <v>0</v>
      </c>
      <c r="BM23" s="584"/>
      <c r="BN23" s="4"/>
      <c r="BO23" s="2790"/>
      <c r="BP23" s="2790"/>
      <c r="BQ23" s="2790"/>
      <c r="BR23" s="2790"/>
      <c r="BS23" s="2790"/>
      <c r="BT23" s="2790"/>
      <c r="BU23" s="2790"/>
      <c r="BV23" s="2790"/>
      <c r="BW23" s="2790"/>
      <c r="BX23" s="2790"/>
      <c r="BY23" s="2790"/>
      <c r="BZ23" s="2790"/>
      <c r="CA23" s="2790"/>
      <c r="CB23" s="2790"/>
      <c r="CC23" s="2790"/>
      <c r="CD23" s="2790"/>
      <c r="CE23" s="2790"/>
      <c r="CF23" s="2790"/>
      <c r="CG23" s="2790"/>
      <c r="CH23" s="2790"/>
      <c r="CI23" s="2790"/>
      <c r="CJ23" s="2790"/>
      <c r="CK23" s="2790"/>
      <c r="CL23" s="2790"/>
      <c r="CM23" s="2790"/>
      <c r="CN23" s="2790"/>
      <c r="CO23" s="2790"/>
      <c r="CP23" s="2790"/>
      <c r="CQ23" s="2790"/>
      <c r="CR23" s="2790"/>
      <c r="CS23" s="2790"/>
      <c r="CT23" s="2790"/>
      <c r="CU23" s="2790"/>
      <c r="CV23" s="2790"/>
      <c r="CW23" s="2790"/>
      <c r="CX23" s="2790"/>
      <c r="CY23" s="2790"/>
      <c r="CZ23" s="2790"/>
      <c r="DA23" s="2790"/>
      <c r="DB23" s="2790"/>
      <c r="DC23" s="2790"/>
      <c r="DD23" s="2790"/>
      <c r="DE23" s="2790"/>
      <c r="DF23" s="2790"/>
      <c r="DH23" s="596">
        <f t="shared" si="32"/>
        <v>0</v>
      </c>
    </row>
    <row r="24" spans="1:112" s="6" customFormat="1">
      <c r="A24" s="607"/>
      <c r="B24" s="607"/>
      <c r="C24" s="587" t="s">
        <v>478</v>
      </c>
      <c r="D24" s="623" t="s">
        <v>479</v>
      </c>
      <c r="E24" s="599"/>
      <c r="G24" s="589">
        <f t="shared" ref="G24:P27" ca="1" si="53">IFERROR(INDEX(INDIRECT($C24&amp;".Outputs["&amp;this.Year&amp;"]"), MATCH(G$5, INDIRECT($C24&amp;".Outputs[Vector]"), 0)), 0)</f>
        <v>0</v>
      </c>
      <c r="H24" s="589">
        <f t="shared" ca="1" si="53"/>
        <v>0</v>
      </c>
      <c r="I24" s="589">
        <f t="shared" ca="1" si="53"/>
        <v>0</v>
      </c>
      <c r="J24" s="589">
        <f t="shared" ca="1" si="53"/>
        <v>15.429261720662987</v>
      </c>
      <c r="K24" s="589">
        <f t="shared" ca="1" si="53"/>
        <v>0.32001065279402552</v>
      </c>
      <c r="L24" s="589">
        <f t="shared" ca="1" si="53"/>
        <v>2.4811333961622644E-2</v>
      </c>
      <c r="M24" s="589">
        <f t="shared" ca="1" si="53"/>
        <v>0</v>
      </c>
      <c r="N24" s="589">
        <f t="shared" ca="1" si="53"/>
        <v>0</v>
      </c>
      <c r="O24" s="589">
        <f t="shared" ca="1" si="53"/>
        <v>0</v>
      </c>
      <c r="P24" s="589">
        <f t="shared" ca="1" si="53"/>
        <v>0</v>
      </c>
      <c r="Q24" s="590">
        <f t="shared" ref="Q24:Q32" ca="1" si="54">SUM(G24:P24)</f>
        <v>15.774083707418635</v>
      </c>
      <c r="S24" s="591">
        <f t="shared" ref="S24:AJ30" ca="1" si="55">IFERROR(INDEX(INDIRECT($C24&amp;".Outputs["&amp;this.Year&amp;"]"), MATCH(S$5, INDIRECT($C24&amp;".Outputs[Vector]"), 0)), 0)</f>
        <v>-0.86275884221025234</v>
      </c>
      <c r="T24" s="591">
        <f t="shared" ca="1" si="55"/>
        <v>0</v>
      </c>
      <c r="U24" s="591">
        <f t="shared" ca="1" si="55"/>
        <v>0</v>
      </c>
      <c r="V24" s="591">
        <f t="shared" ca="1" si="55"/>
        <v>-14.879612998030204</v>
      </c>
      <c r="W24" s="591">
        <f t="shared" ca="1" si="55"/>
        <v>0</v>
      </c>
      <c r="X24" s="591">
        <f t="shared" ca="1" si="55"/>
        <v>0</v>
      </c>
      <c r="Y24" s="591">
        <f t="shared" ca="1" si="55"/>
        <v>0</v>
      </c>
      <c r="Z24" s="591">
        <f t="shared" ca="1" si="55"/>
        <v>0</v>
      </c>
      <c r="AA24" s="591">
        <f t="shared" ca="1" si="55"/>
        <v>0</v>
      </c>
      <c r="AB24" s="591">
        <f t="shared" ca="1" si="55"/>
        <v>0</v>
      </c>
      <c r="AC24" s="591">
        <f t="shared" ca="1" si="55"/>
        <v>0</v>
      </c>
      <c r="AD24" s="591">
        <f t="shared" ca="1" si="55"/>
        <v>0</v>
      </c>
      <c r="AE24" s="591">
        <f t="shared" ca="1" si="55"/>
        <v>0</v>
      </c>
      <c r="AF24" s="591">
        <f t="shared" ca="1" si="55"/>
        <v>0</v>
      </c>
      <c r="AG24" s="591">
        <f t="shared" ca="1" si="55"/>
        <v>0</v>
      </c>
      <c r="AH24" s="591">
        <f t="shared" ca="1" si="55"/>
        <v>0</v>
      </c>
      <c r="AI24" s="591">
        <f t="shared" ca="1" si="55"/>
        <v>0</v>
      </c>
      <c r="AJ24" s="591">
        <f t="shared" ca="1" si="55"/>
        <v>-3.1711867178177075E-2</v>
      </c>
      <c r="AK24" s="592">
        <f t="shared" ref="AK24:AK32" ca="1" si="56">SUM(S24:AJ24)</f>
        <v>-15.774083707418635</v>
      </c>
      <c r="AM24" s="593">
        <f t="shared" ref="AM24:BB27" ca="1" si="57">IFERROR(INDEX(INDIRECT($C24&amp;".Outputs["&amp;this.Year&amp;"]"), MATCH(AM$5, INDIRECT($C24&amp;".Outputs[Vector]"), 0)), 0)</f>
        <v>0</v>
      </c>
      <c r="AN24" s="593">
        <f t="shared" ca="1" si="57"/>
        <v>0</v>
      </c>
      <c r="AO24" s="593">
        <f t="shared" ca="1" si="57"/>
        <v>0</v>
      </c>
      <c r="AP24" s="593">
        <f t="shared" ca="1" si="57"/>
        <v>0</v>
      </c>
      <c r="AQ24" s="593">
        <f t="shared" ca="1" si="57"/>
        <v>0</v>
      </c>
      <c r="AR24" s="593">
        <f t="shared" ca="1" si="57"/>
        <v>0</v>
      </c>
      <c r="AS24" s="593">
        <f t="shared" ca="1" si="57"/>
        <v>0</v>
      </c>
      <c r="AT24" s="593">
        <f t="shared" ca="1" si="57"/>
        <v>0</v>
      </c>
      <c r="AU24" s="593">
        <f t="shared" ca="1" si="57"/>
        <v>0</v>
      </c>
      <c r="AV24" s="593">
        <f t="shared" ca="1" si="57"/>
        <v>0</v>
      </c>
      <c r="AW24" s="593">
        <f t="shared" ca="1" si="57"/>
        <v>0</v>
      </c>
      <c r="AX24" s="593">
        <f t="shared" ca="1" si="57"/>
        <v>0</v>
      </c>
      <c r="AY24" s="593">
        <f t="shared" ca="1" si="57"/>
        <v>0</v>
      </c>
      <c r="AZ24" s="593">
        <f t="shared" ca="1" si="57"/>
        <v>0</v>
      </c>
      <c r="BA24" s="593">
        <f t="shared" ca="1" si="57"/>
        <v>0</v>
      </c>
      <c r="BB24" s="593">
        <f t="shared" ca="1" si="57"/>
        <v>0</v>
      </c>
      <c r="BC24" s="593">
        <f t="shared" ref="BC24:BE27" ca="1" si="58">IFERROR(INDEX(INDIRECT($C24&amp;".Outputs["&amp;this.Year&amp;"]"), MATCH(BC$5, INDIRECT($C24&amp;".Outputs[Vector]"), 0)), 0)</f>
        <v>0</v>
      </c>
      <c r="BD24" s="593">
        <f t="shared" ca="1" si="58"/>
        <v>0</v>
      </c>
      <c r="BE24" s="593">
        <f t="shared" ca="1" si="58"/>
        <v>0</v>
      </c>
      <c r="BF24" s="609">
        <f t="shared" ref="BF24:BF32" ca="1" si="59">SUM(AM24:BE24)</f>
        <v>0</v>
      </c>
      <c r="BH24" s="3471">
        <f t="shared" ref="BH24:BI30" ca="1" si="60">IFERROR(INDEX(INDIRECT($C24&amp;".Outputs["&amp;this.Year&amp;"]"), MATCH(BH$5, INDIRECT($C24&amp;".Outputs[Vector]"), 0)), 0)</f>
        <v>0</v>
      </c>
      <c r="BI24" s="3471">
        <f t="shared" ca="1" si="60"/>
        <v>0</v>
      </c>
      <c r="BJ24" s="3460">
        <f t="shared" ref="BJ24:BJ32" ca="1" si="61">SUM(BH24:BI24)</f>
        <v>0</v>
      </c>
      <c r="BL24" s="610">
        <f t="shared" ca="1" si="9"/>
        <v>0</v>
      </c>
      <c r="BM24" s="610"/>
      <c r="BN24" s="413"/>
      <c r="BO24" s="2789">
        <f t="shared" ref="BO24:BX27" ca="1" si="62">IFERROR(SUMIFS(INDIRECT($C24&amp;".Emissions["&amp;this.Year&amp;"]"), INDIRECT($C24&amp;".Emissions[GHG]"), BO$6, INDIRECT($C24&amp;".Emissions[IPCC Sector]"), BO$5),0)</f>
        <v>3.9264322779202097</v>
      </c>
      <c r="BP24" s="2790">
        <f t="shared" ca="1" si="62"/>
        <v>3.3746962279532504E-3</v>
      </c>
      <c r="BQ24" s="2790">
        <f t="shared" ca="1" si="62"/>
        <v>9.9633888634810246E-3</v>
      </c>
      <c r="BR24" s="2790">
        <f t="shared" ca="1" si="62"/>
        <v>0</v>
      </c>
      <c r="BS24" s="2790">
        <f t="shared" ca="1" si="62"/>
        <v>0</v>
      </c>
      <c r="BT24" s="2790">
        <f t="shared" ca="1" si="62"/>
        <v>0</v>
      </c>
      <c r="BU24" s="2790">
        <f t="shared" ca="1" si="62"/>
        <v>0</v>
      </c>
      <c r="BV24" s="2790">
        <f t="shared" ca="1" si="62"/>
        <v>0</v>
      </c>
      <c r="BW24" s="2790">
        <f t="shared" ca="1" si="62"/>
        <v>0</v>
      </c>
      <c r="BX24" s="2790">
        <f t="shared" ca="1" si="62"/>
        <v>0</v>
      </c>
      <c r="BY24" s="2790">
        <f t="shared" ref="BY24:CH27" ca="1" si="63">IFERROR(SUMIFS(INDIRECT($C24&amp;".Emissions["&amp;this.Year&amp;"]"), INDIRECT($C24&amp;".Emissions[GHG]"), BY$6, INDIRECT($C24&amp;".Emissions[IPCC Sector]"), BY$5),0)</f>
        <v>0</v>
      </c>
      <c r="BZ24" s="2790">
        <f t="shared" ca="1" si="63"/>
        <v>0</v>
      </c>
      <c r="CA24" s="2790">
        <f t="shared" ca="1" si="63"/>
        <v>0</v>
      </c>
      <c r="CB24" s="2790">
        <f t="shared" ca="1" si="63"/>
        <v>0</v>
      </c>
      <c r="CC24" s="2790">
        <f t="shared" ca="1" si="63"/>
        <v>0</v>
      </c>
      <c r="CD24" s="2790">
        <f t="shared" ca="1" si="63"/>
        <v>0</v>
      </c>
      <c r="CE24" s="2790">
        <f t="shared" ca="1" si="63"/>
        <v>0</v>
      </c>
      <c r="CF24" s="2790">
        <f t="shared" ca="1" si="63"/>
        <v>0</v>
      </c>
      <c r="CG24" s="2790">
        <f t="shared" ca="1" si="63"/>
        <v>0</v>
      </c>
      <c r="CH24" s="2790">
        <f t="shared" ca="1" si="63"/>
        <v>0</v>
      </c>
      <c r="CI24" s="2790">
        <f t="shared" ref="CI24:CR27" ca="1" si="64">IFERROR(SUMIFS(INDIRECT($C24&amp;".Emissions["&amp;this.Year&amp;"]"), INDIRECT($C24&amp;".Emissions[GHG]"), CI$6, INDIRECT($C24&amp;".Emissions[IPCC Sector]"), CI$5),0)</f>
        <v>0</v>
      </c>
      <c r="CJ24" s="2790">
        <f t="shared" ca="1" si="64"/>
        <v>0</v>
      </c>
      <c r="CK24" s="2790">
        <f t="shared" ca="1" si="64"/>
        <v>0</v>
      </c>
      <c r="CL24" s="2790">
        <f t="shared" ca="1" si="64"/>
        <v>0</v>
      </c>
      <c r="CM24" s="2790">
        <f t="shared" ca="1" si="64"/>
        <v>0</v>
      </c>
      <c r="CN24" s="2790">
        <f t="shared" ca="1" si="64"/>
        <v>0</v>
      </c>
      <c r="CO24" s="2790">
        <f t="shared" ca="1" si="64"/>
        <v>0</v>
      </c>
      <c r="CP24" s="2790">
        <f t="shared" ca="1" si="64"/>
        <v>0</v>
      </c>
      <c r="CQ24" s="2790">
        <f t="shared" ca="1" si="64"/>
        <v>0</v>
      </c>
      <c r="CR24" s="2790">
        <f t="shared" ca="1" si="64"/>
        <v>0</v>
      </c>
      <c r="CS24" s="2790">
        <f t="shared" ref="CS24:DF27" ca="1" si="65">IFERROR(SUMIFS(INDIRECT($C24&amp;".Emissions["&amp;this.Year&amp;"]"), INDIRECT($C24&amp;".Emissions[GHG]"), CS$6, INDIRECT($C24&amp;".Emissions[IPCC Sector]"), CS$5),0)</f>
        <v>0</v>
      </c>
      <c r="CT24" s="2790">
        <f t="shared" ca="1" si="65"/>
        <v>0</v>
      </c>
      <c r="CU24" s="2790">
        <f t="shared" ca="1" si="65"/>
        <v>0</v>
      </c>
      <c r="CV24" s="2790">
        <f t="shared" ca="1" si="65"/>
        <v>0</v>
      </c>
      <c r="CW24" s="2790">
        <f t="shared" ca="1" si="65"/>
        <v>0</v>
      </c>
      <c r="CX24" s="2790">
        <f t="shared" ca="1" si="65"/>
        <v>0</v>
      </c>
      <c r="CY24" s="2790">
        <f t="shared" ca="1" si="65"/>
        <v>0</v>
      </c>
      <c r="CZ24" s="2790">
        <f t="shared" ca="1" si="65"/>
        <v>0</v>
      </c>
      <c r="DA24" s="2790">
        <f t="shared" ca="1" si="65"/>
        <v>0</v>
      </c>
      <c r="DB24" s="2790">
        <f t="shared" ca="1" si="65"/>
        <v>0</v>
      </c>
      <c r="DC24" s="2790">
        <f t="shared" ca="1" si="65"/>
        <v>0</v>
      </c>
      <c r="DD24" s="2790">
        <f t="shared" ca="1" si="65"/>
        <v>0</v>
      </c>
      <c r="DE24" s="2790">
        <f t="shared" ca="1" si="65"/>
        <v>0</v>
      </c>
      <c r="DF24" s="2790">
        <f t="shared" ca="1" si="65"/>
        <v>0</v>
      </c>
      <c r="DH24" s="596">
        <f t="shared" ca="1" si="32"/>
        <v>3.9397703630116436</v>
      </c>
    </row>
    <row r="25" spans="1:112" s="6" customFormat="1">
      <c r="A25" s="607"/>
      <c r="B25" s="607"/>
      <c r="C25" s="587" t="s">
        <v>480</v>
      </c>
      <c r="D25" s="623" t="s">
        <v>481</v>
      </c>
      <c r="E25" s="599"/>
      <c r="G25" s="589">
        <f t="shared" ca="1" si="53"/>
        <v>0</v>
      </c>
      <c r="H25" s="589">
        <f t="shared" ca="1" si="53"/>
        <v>0</v>
      </c>
      <c r="I25" s="589">
        <f t="shared" ca="1" si="53"/>
        <v>0</v>
      </c>
      <c r="J25" s="589">
        <f t="shared" ca="1" si="53"/>
        <v>17.260739999999998</v>
      </c>
      <c r="K25" s="589">
        <f t="shared" ca="1" si="53"/>
        <v>6.5604604747594641E-3</v>
      </c>
      <c r="L25" s="589">
        <f t="shared" ca="1" si="53"/>
        <v>0</v>
      </c>
      <c r="M25" s="589">
        <f t="shared" ca="1" si="53"/>
        <v>0.66</v>
      </c>
      <c r="N25" s="589">
        <f t="shared" ca="1" si="53"/>
        <v>0</v>
      </c>
      <c r="O25" s="589">
        <f t="shared" ca="1" si="53"/>
        <v>0</v>
      </c>
      <c r="P25" s="589">
        <f t="shared" ca="1" si="53"/>
        <v>0</v>
      </c>
      <c r="Q25" s="590">
        <f t="shared" ca="1" si="54"/>
        <v>17.927300460474758</v>
      </c>
      <c r="S25" s="591">
        <f t="shared" ca="1" si="55"/>
        <v>0</v>
      </c>
      <c r="T25" s="591">
        <f t="shared" ca="1" si="55"/>
        <v>0</v>
      </c>
      <c r="U25" s="591">
        <f t="shared" ca="1" si="55"/>
        <v>0</v>
      </c>
      <c r="V25" s="591">
        <f t="shared" ca="1" si="55"/>
        <v>-17.927300460474758</v>
      </c>
      <c r="W25" s="591">
        <f t="shared" ca="1" si="55"/>
        <v>0</v>
      </c>
      <c r="X25" s="591">
        <f t="shared" ca="1" si="55"/>
        <v>0</v>
      </c>
      <c r="Y25" s="591">
        <f t="shared" ca="1" si="55"/>
        <v>0</v>
      </c>
      <c r="Z25" s="591">
        <f t="shared" ca="1" si="55"/>
        <v>0</v>
      </c>
      <c r="AA25" s="591">
        <f t="shared" ca="1" si="55"/>
        <v>0</v>
      </c>
      <c r="AB25" s="591">
        <f t="shared" ca="1" si="55"/>
        <v>0</v>
      </c>
      <c r="AC25" s="591">
        <f t="shared" ca="1" si="55"/>
        <v>0</v>
      </c>
      <c r="AD25" s="591">
        <f t="shared" ca="1" si="55"/>
        <v>0</v>
      </c>
      <c r="AE25" s="591">
        <f t="shared" ca="1" si="55"/>
        <v>0</v>
      </c>
      <c r="AF25" s="591">
        <f t="shared" ca="1" si="55"/>
        <v>0</v>
      </c>
      <c r="AG25" s="591">
        <f t="shared" ca="1" si="55"/>
        <v>0</v>
      </c>
      <c r="AH25" s="591">
        <f t="shared" ca="1" si="55"/>
        <v>0</v>
      </c>
      <c r="AI25" s="591">
        <f t="shared" ca="1" si="55"/>
        <v>0</v>
      </c>
      <c r="AJ25" s="591">
        <f t="shared" ca="1" si="55"/>
        <v>0</v>
      </c>
      <c r="AK25" s="592">
        <f t="shared" ca="1" si="56"/>
        <v>-17.927300460474758</v>
      </c>
      <c r="AM25" s="593">
        <f t="shared" ca="1" si="57"/>
        <v>0</v>
      </c>
      <c r="AN25" s="593">
        <f t="shared" ca="1" si="57"/>
        <v>0</v>
      </c>
      <c r="AO25" s="593">
        <f t="shared" ca="1" si="57"/>
        <v>0</v>
      </c>
      <c r="AP25" s="593">
        <f t="shared" ca="1" si="57"/>
        <v>0</v>
      </c>
      <c r="AQ25" s="593">
        <f t="shared" ca="1" si="57"/>
        <v>0</v>
      </c>
      <c r="AR25" s="593">
        <f t="shared" ca="1" si="57"/>
        <v>0</v>
      </c>
      <c r="AS25" s="593">
        <f t="shared" ca="1" si="57"/>
        <v>0</v>
      </c>
      <c r="AT25" s="593">
        <f t="shared" ca="1" si="57"/>
        <v>0</v>
      </c>
      <c r="AU25" s="593">
        <f t="shared" ca="1" si="57"/>
        <v>0</v>
      </c>
      <c r="AV25" s="593">
        <f t="shared" ca="1" si="57"/>
        <v>0</v>
      </c>
      <c r="AW25" s="593">
        <f t="shared" ca="1" si="57"/>
        <v>0</v>
      </c>
      <c r="AX25" s="593">
        <f t="shared" ca="1" si="57"/>
        <v>0</v>
      </c>
      <c r="AY25" s="593">
        <f t="shared" ca="1" si="57"/>
        <v>0</v>
      </c>
      <c r="AZ25" s="593">
        <f t="shared" ca="1" si="57"/>
        <v>0</v>
      </c>
      <c r="BA25" s="593">
        <f t="shared" ca="1" si="57"/>
        <v>0</v>
      </c>
      <c r="BB25" s="593">
        <f t="shared" ca="1" si="57"/>
        <v>0</v>
      </c>
      <c r="BC25" s="593">
        <f t="shared" ca="1" si="58"/>
        <v>0</v>
      </c>
      <c r="BD25" s="593">
        <f t="shared" ca="1" si="58"/>
        <v>0</v>
      </c>
      <c r="BE25" s="593">
        <f t="shared" ca="1" si="58"/>
        <v>0</v>
      </c>
      <c r="BF25" s="609">
        <f t="shared" ca="1" si="59"/>
        <v>0</v>
      </c>
      <c r="BH25" s="3471">
        <f t="shared" ca="1" si="60"/>
        <v>0</v>
      </c>
      <c r="BI25" s="3471">
        <f t="shared" ca="1" si="60"/>
        <v>0</v>
      </c>
      <c r="BJ25" s="3460">
        <f t="shared" ca="1" si="61"/>
        <v>0</v>
      </c>
      <c r="BL25" s="610">
        <f t="shared" ca="1" si="9"/>
        <v>0</v>
      </c>
      <c r="BM25" s="610"/>
      <c r="BN25" s="413"/>
      <c r="BO25" s="2789">
        <f t="shared" ca="1" si="62"/>
        <v>4.7306560455100781</v>
      </c>
      <c r="BP25" s="2790">
        <f t="shared" ca="1" si="62"/>
        <v>4.0659117444356756E-3</v>
      </c>
      <c r="BQ25" s="2790">
        <f t="shared" ca="1" si="62"/>
        <v>1.2004120388333898E-2</v>
      </c>
      <c r="BR25" s="2790">
        <f t="shared" ca="1" si="62"/>
        <v>0</v>
      </c>
      <c r="BS25" s="2790">
        <f t="shared" ca="1" si="62"/>
        <v>0</v>
      </c>
      <c r="BT25" s="2790">
        <f t="shared" ca="1" si="62"/>
        <v>0</v>
      </c>
      <c r="BU25" s="2790">
        <f t="shared" ca="1" si="62"/>
        <v>0</v>
      </c>
      <c r="BV25" s="2790">
        <f t="shared" ca="1" si="62"/>
        <v>0</v>
      </c>
      <c r="BW25" s="2790">
        <f t="shared" ca="1" si="62"/>
        <v>0</v>
      </c>
      <c r="BX25" s="2790">
        <f t="shared" ca="1" si="62"/>
        <v>0</v>
      </c>
      <c r="BY25" s="2790">
        <f t="shared" ca="1" si="63"/>
        <v>0</v>
      </c>
      <c r="BZ25" s="2790">
        <f t="shared" ca="1" si="63"/>
        <v>0</v>
      </c>
      <c r="CA25" s="2790">
        <f t="shared" ca="1" si="63"/>
        <v>0</v>
      </c>
      <c r="CB25" s="2790">
        <f t="shared" ca="1" si="63"/>
        <v>0</v>
      </c>
      <c r="CC25" s="2790">
        <f t="shared" ca="1" si="63"/>
        <v>0</v>
      </c>
      <c r="CD25" s="2790">
        <f t="shared" ca="1" si="63"/>
        <v>0</v>
      </c>
      <c r="CE25" s="2790">
        <f t="shared" ca="1" si="63"/>
        <v>0</v>
      </c>
      <c r="CF25" s="2790">
        <f t="shared" ca="1" si="63"/>
        <v>0</v>
      </c>
      <c r="CG25" s="2790">
        <f t="shared" ca="1" si="63"/>
        <v>0</v>
      </c>
      <c r="CH25" s="2790">
        <f t="shared" ca="1" si="63"/>
        <v>0</v>
      </c>
      <c r="CI25" s="2790">
        <f t="shared" ca="1" si="64"/>
        <v>0</v>
      </c>
      <c r="CJ25" s="2790">
        <f t="shared" ca="1" si="64"/>
        <v>0</v>
      </c>
      <c r="CK25" s="2790">
        <f t="shared" ca="1" si="64"/>
        <v>0</v>
      </c>
      <c r="CL25" s="2790">
        <f t="shared" ca="1" si="64"/>
        <v>0</v>
      </c>
      <c r="CM25" s="2790">
        <f t="shared" ca="1" si="64"/>
        <v>0</v>
      </c>
      <c r="CN25" s="2790">
        <f t="shared" ca="1" si="64"/>
        <v>0</v>
      </c>
      <c r="CO25" s="2790">
        <f t="shared" ca="1" si="64"/>
        <v>0</v>
      </c>
      <c r="CP25" s="2790">
        <f t="shared" ca="1" si="64"/>
        <v>0</v>
      </c>
      <c r="CQ25" s="2790">
        <f t="shared" ca="1" si="64"/>
        <v>0</v>
      </c>
      <c r="CR25" s="2790">
        <f t="shared" ca="1" si="64"/>
        <v>0</v>
      </c>
      <c r="CS25" s="2790">
        <f t="shared" ca="1" si="65"/>
        <v>0</v>
      </c>
      <c r="CT25" s="2790">
        <f t="shared" ca="1" si="65"/>
        <v>0</v>
      </c>
      <c r="CU25" s="2790">
        <f t="shared" ca="1" si="65"/>
        <v>0</v>
      </c>
      <c r="CV25" s="2790">
        <f t="shared" ca="1" si="65"/>
        <v>0</v>
      </c>
      <c r="CW25" s="2790">
        <f t="shared" ca="1" si="65"/>
        <v>0</v>
      </c>
      <c r="CX25" s="2790">
        <f t="shared" ca="1" si="65"/>
        <v>0</v>
      </c>
      <c r="CY25" s="2790">
        <f t="shared" ca="1" si="65"/>
        <v>0</v>
      </c>
      <c r="CZ25" s="2790">
        <f t="shared" ca="1" si="65"/>
        <v>0</v>
      </c>
      <c r="DA25" s="2790">
        <f t="shared" ca="1" si="65"/>
        <v>0</v>
      </c>
      <c r="DB25" s="2790">
        <f t="shared" ca="1" si="65"/>
        <v>0</v>
      </c>
      <c r="DC25" s="2790">
        <f t="shared" ca="1" si="65"/>
        <v>0</v>
      </c>
      <c r="DD25" s="2790">
        <f t="shared" ca="1" si="65"/>
        <v>0</v>
      </c>
      <c r="DE25" s="2790">
        <f t="shared" ca="1" si="65"/>
        <v>0</v>
      </c>
      <c r="DF25" s="2790">
        <f t="shared" ca="1" si="65"/>
        <v>0</v>
      </c>
      <c r="DH25" s="596">
        <f t="shared" ca="1" si="32"/>
        <v>4.7467260776428475</v>
      </c>
    </row>
    <row r="26" spans="1:112" s="6" customFormat="1">
      <c r="A26" s="586"/>
      <c r="B26" s="586"/>
      <c r="C26" s="587" t="s">
        <v>482</v>
      </c>
      <c r="D26" s="623" t="s">
        <v>373</v>
      </c>
      <c r="E26" s="599"/>
      <c r="G26" s="589">
        <f t="shared" ca="1" si="53"/>
        <v>0</v>
      </c>
      <c r="H26" s="589">
        <f t="shared" ca="1" si="53"/>
        <v>0</v>
      </c>
      <c r="I26" s="589">
        <f t="shared" ca="1" si="53"/>
        <v>0</v>
      </c>
      <c r="J26" s="589">
        <f t="shared" ca="1" si="53"/>
        <v>0</v>
      </c>
      <c r="K26" s="589">
        <f t="shared" ca="1" si="53"/>
        <v>0</v>
      </c>
      <c r="L26" s="589">
        <f t="shared" ca="1" si="53"/>
        <v>0</v>
      </c>
      <c r="M26" s="589">
        <f t="shared" ca="1" si="53"/>
        <v>0</v>
      </c>
      <c r="N26" s="589">
        <f t="shared" ca="1" si="53"/>
        <v>11.923331449069897</v>
      </c>
      <c r="O26" s="589">
        <f t="shared" ca="1" si="53"/>
        <v>0</v>
      </c>
      <c r="P26" s="589">
        <f t="shared" ca="1" si="53"/>
        <v>0</v>
      </c>
      <c r="Q26" s="590">
        <f t="shared" ca="1" si="54"/>
        <v>11.923331449069897</v>
      </c>
      <c r="S26" s="591">
        <f t="shared" ca="1" si="55"/>
        <v>0</v>
      </c>
      <c r="T26" s="591">
        <f t="shared" ca="1" si="55"/>
        <v>0</v>
      </c>
      <c r="U26" s="591">
        <f t="shared" ca="1" si="55"/>
        <v>0</v>
      </c>
      <c r="V26" s="591">
        <f t="shared" ca="1" si="55"/>
        <v>-11.923331449069897</v>
      </c>
      <c r="W26" s="591">
        <f t="shared" ca="1" si="55"/>
        <v>0</v>
      </c>
      <c r="X26" s="591">
        <f t="shared" ca="1" si="55"/>
        <v>0</v>
      </c>
      <c r="Y26" s="591">
        <f t="shared" ca="1" si="55"/>
        <v>0</v>
      </c>
      <c r="Z26" s="591">
        <f t="shared" ca="1" si="55"/>
        <v>0</v>
      </c>
      <c r="AA26" s="591">
        <f t="shared" ca="1" si="55"/>
        <v>0</v>
      </c>
      <c r="AB26" s="591">
        <f t="shared" ca="1" si="55"/>
        <v>0</v>
      </c>
      <c r="AC26" s="591">
        <f t="shared" ca="1" si="55"/>
        <v>0</v>
      </c>
      <c r="AD26" s="591">
        <f t="shared" ca="1" si="55"/>
        <v>0</v>
      </c>
      <c r="AE26" s="591">
        <f t="shared" ca="1" si="55"/>
        <v>0</v>
      </c>
      <c r="AF26" s="591">
        <f t="shared" ca="1" si="55"/>
        <v>0</v>
      </c>
      <c r="AG26" s="591">
        <f t="shared" ca="1" si="55"/>
        <v>0</v>
      </c>
      <c r="AH26" s="591">
        <f t="shared" ca="1" si="55"/>
        <v>0</v>
      </c>
      <c r="AI26" s="591">
        <f t="shared" ca="1" si="55"/>
        <v>0</v>
      </c>
      <c r="AJ26" s="591">
        <f t="shared" ca="1" si="55"/>
        <v>0</v>
      </c>
      <c r="AK26" s="592">
        <f t="shared" ca="1" si="56"/>
        <v>-11.923331449069897</v>
      </c>
      <c r="AM26" s="593">
        <f t="shared" ca="1" si="57"/>
        <v>0</v>
      </c>
      <c r="AN26" s="593">
        <f t="shared" ca="1" si="57"/>
        <v>0</v>
      </c>
      <c r="AO26" s="593">
        <f t="shared" ca="1" si="57"/>
        <v>0</v>
      </c>
      <c r="AP26" s="593">
        <f t="shared" ca="1" si="57"/>
        <v>0</v>
      </c>
      <c r="AQ26" s="593">
        <f t="shared" ca="1" si="57"/>
        <v>0</v>
      </c>
      <c r="AR26" s="593">
        <f t="shared" ca="1" si="57"/>
        <v>0</v>
      </c>
      <c r="AS26" s="593">
        <f t="shared" ca="1" si="57"/>
        <v>0</v>
      </c>
      <c r="AT26" s="593">
        <f t="shared" ca="1" si="57"/>
        <v>0</v>
      </c>
      <c r="AU26" s="593">
        <f t="shared" ca="1" si="57"/>
        <v>0</v>
      </c>
      <c r="AV26" s="593">
        <f t="shared" ca="1" si="57"/>
        <v>0</v>
      </c>
      <c r="AW26" s="593">
        <f t="shared" ca="1" si="57"/>
        <v>0</v>
      </c>
      <c r="AX26" s="593">
        <f t="shared" ca="1" si="57"/>
        <v>0</v>
      </c>
      <c r="AY26" s="593">
        <f t="shared" ca="1" si="57"/>
        <v>0</v>
      </c>
      <c r="AZ26" s="593">
        <f t="shared" ca="1" si="57"/>
        <v>0</v>
      </c>
      <c r="BA26" s="593">
        <f t="shared" ca="1" si="57"/>
        <v>0</v>
      </c>
      <c r="BB26" s="593">
        <f t="shared" ca="1" si="57"/>
        <v>0</v>
      </c>
      <c r="BC26" s="593">
        <f t="shared" ca="1" si="58"/>
        <v>0</v>
      </c>
      <c r="BD26" s="593">
        <f t="shared" ca="1" si="58"/>
        <v>0</v>
      </c>
      <c r="BE26" s="593">
        <f t="shared" ca="1" si="58"/>
        <v>0</v>
      </c>
      <c r="BF26" s="594">
        <f t="shared" ca="1" si="59"/>
        <v>0</v>
      </c>
      <c r="BH26" s="3471">
        <f t="shared" ca="1" si="60"/>
        <v>0</v>
      </c>
      <c r="BI26" s="3471">
        <f t="shared" ca="1" si="60"/>
        <v>0</v>
      </c>
      <c r="BJ26" s="3460">
        <f t="shared" ca="1" si="61"/>
        <v>0</v>
      </c>
      <c r="BL26" s="595">
        <f t="shared" ca="1" si="9"/>
        <v>0</v>
      </c>
      <c r="BM26" s="595"/>
      <c r="BN26" s="413"/>
      <c r="BO26" s="2789">
        <f t="shared" ca="1" si="62"/>
        <v>0</v>
      </c>
      <c r="BP26" s="2790">
        <f t="shared" ca="1" si="62"/>
        <v>0</v>
      </c>
      <c r="BQ26" s="2790">
        <f t="shared" ca="1" si="62"/>
        <v>0</v>
      </c>
      <c r="BR26" s="2790">
        <f t="shared" ca="1" si="62"/>
        <v>0</v>
      </c>
      <c r="BS26" s="2790">
        <f t="shared" ca="1" si="62"/>
        <v>0</v>
      </c>
      <c r="BT26" s="2790">
        <f t="shared" ca="1" si="62"/>
        <v>0</v>
      </c>
      <c r="BU26" s="2790">
        <f t="shared" ca="1" si="62"/>
        <v>0</v>
      </c>
      <c r="BV26" s="2790">
        <f t="shared" ca="1" si="62"/>
        <v>0</v>
      </c>
      <c r="BW26" s="2790">
        <f t="shared" ca="1" si="62"/>
        <v>0</v>
      </c>
      <c r="BX26" s="2790">
        <f t="shared" ca="1" si="62"/>
        <v>0</v>
      </c>
      <c r="BY26" s="2790">
        <f t="shared" ca="1" si="63"/>
        <v>0</v>
      </c>
      <c r="BZ26" s="2790">
        <f t="shared" ca="1" si="63"/>
        <v>0</v>
      </c>
      <c r="CA26" s="2790">
        <f t="shared" ca="1" si="63"/>
        <v>0</v>
      </c>
      <c r="CB26" s="2790">
        <f t="shared" ca="1" si="63"/>
        <v>0</v>
      </c>
      <c r="CC26" s="2790">
        <f t="shared" ca="1" si="63"/>
        <v>0</v>
      </c>
      <c r="CD26" s="2790">
        <f t="shared" ca="1" si="63"/>
        <v>0</v>
      </c>
      <c r="CE26" s="2790">
        <f t="shared" ca="1" si="63"/>
        <v>0</v>
      </c>
      <c r="CF26" s="2790">
        <f t="shared" ca="1" si="63"/>
        <v>0</v>
      </c>
      <c r="CG26" s="2790">
        <f t="shared" ca="1" si="63"/>
        <v>0</v>
      </c>
      <c r="CH26" s="2790">
        <f t="shared" ca="1" si="63"/>
        <v>0</v>
      </c>
      <c r="CI26" s="2790">
        <f t="shared" ca="1" si="64"/>
        <v>0</v>
      </c>
      <c r="CJ26" s="2790">
        <f t="shared" ca="1" si="64"/>
        <v>0</v>
      </c>
      <c r="CK26" s="2790">
        <f t="shared" ca="1" si="64"/>
        <v>0</v>
      </c>
      <c r="CL26" s="2790">
        <f t="shared" ca="1" si="64"/>
        <v>0</v>
      </c>
      <c r="CM26" s="2790">
        <f t="shared" ca="1" si="64"/>
        <v>0</v>
      </c>
      <c r="CN26" s="2790">
        <f t="shared" ca="1" si="64"/>
        <v>0</v>
      </c>
      <c r="CO26" s="2790">
        <f t="shared" ca="1" si="64"/>
        <v>0</v>
      </c>
      <c r="CP26" s="2790">
        <f t="shared" ca="1" si="64"/>
        <v>0</v>
      </c>
      <c r="CQ26" s="2790">
        <f t="shared" ca="1" si="64"/>
        <v>0</v>
      </c>
      <c r="CR26" s="2790">
        <f t="shared" ca="1" si="64"/>
        <v>0</v>
      </c>
      <c r="CS26" s="2790">
        <f t="shared" ca="1" si="65"/>
        <v>0</v>
      </c>
      <c r="CT26" s="2790">
        <f t="shared" ca="1" si="65"/>
        <v>0</v>
      </c>
      <c r="CU26" s="2790">
        <f t="shared" ca="1" si="65"/>
        <v>3.146328702780564</v>
      </c>
      <c r="CV26" s="2790">
        <f t="shared" ca="1" si="65"/>
        <v>2.7042115726490529E-3</v>
      </c>
      <c r="CW26" s="2790">
        <f t="shared" ca="1" si="65"/>
        <v>7.9838627382972024E-3</v>
      </c>
      <c r="CX26" s="2790">
        <f t="shared" ca="1" si="65"/>
        <v>0</v>
      </c>
      <c r="CY26" s="2790">
        <f t="shared" ca="1" si="65"/>
        <v>0</v>
      </c>
      <c r="CZ26" s="2790">
        <f t="shared" ca="1" si="65"/>
        <v>0</v>
      </c>
      <c r="DA26" s="2790">
        <f t="shared" ca="1" si="65"/>
        <v>0</v>
      </c>
      <c r="DB26" s="2790">
        <f t="shared" ca="1" si="65"/>
        <v>0</v>
      </c>
      <c r="DC26" s="2790">
        <f t="shared" ca="1" si="65"/>
        <v>0</v>
      </c>
      <c r="DD26" s="2790">
        <f t="shared" ca="1" si="65"/>
        <v>0</v>
      </c>
      <c r="DE26" s="2790">
        <f t="shared" ca="1" si="65"/>
        <v>0</v>
      </c>
      <c r="DF26" s="2790">
        <f t="shared" ca="1" si="65"/>
        <v>0</v>
      </c>
      <c r="DH26" s="596">
        <f t="shared" ca="1" si="32"/>
        <v>3.1570167770915103</v>
      </c>
    </row>
    <row r="27" spans="1:112" s="6" customFormat="1">
      <c r="A27" s="597"/>
      <c r="B27" s="597"/>
      <c r="C27" s="598" t="s">
        <v>483</v>
      </c>
      <c r="D27" s="624" t="s">
        <v>484</v>
      </c>
      <c r="E27" s="599"/>
      <c r="G27" s="600">
        <f t="shared" ca="1" si="53"/>
        <v>0</v>
      </c>
      <c r="H27" s="600">
        <f t="shared" ca="1" si="53"/>
        <v>0</v>
      </c>
      <c r="I27" s="600">
        <f t="shared" ca="1" si="53"/>
        <v>0</v>
      </c>
      <c r="J27" s="600">
        <f t="shared" ca="1" si="53"/>
        <v>0</v>
      </c>
      <c r="K27" s="600">
        <f t="shared" ca="1" si="53"/>
        <v>0</v>
      </c>
      <c r="L27" s="600">
        <f t="shared" ca="1" si="53"/>
        <v>0</v>
      </c>
      <c r="M27" s="600">
        <f t="shared" ca="1" si="53"/>
        <v>0</v>
      </c>
      <c r="N27" s="600">
        <f t="shared" ca="1" si="53"/>
        <v>0</v>
      </c>
      <c r="O27" s="600">
        <f t="shared" ca="1" si="53"/>
        <v>0</v>
      </c>
      <c r="P27" s="600">
        <f t="shared" ca="1" si="53"/>
        <v>0</v>
      </c>
      <c r="Q27" s="601">
        <f t="shared" ca="1" si="54"/>
        <v>0</v>
      </c>
      <c r="S27" s="602">
        <f t="shared" ca="1" si="55"/>
        <v>0</v>
      </c>
      <c r="T27" s="602">
        <f t="shared" ca="1" si="55"/>
        <v>0</v>
      </c>
      <c r="U27" s="602">
        <f t="shared" ca="1" si="55"/>
        <v>0</v>
      </c>
      <c r="V27" s="602">
        <f t="shared" ca="1" si="55"/>
        <v>0</v>
      </c>
      <c r="W27" s="602">
        <f t="shared" ca="1" si="55"/>
        <v>0</v>
      </c>
      <c r="X27" s="602">
        <f t="shared" ca="1" si="55"/>
        <v>0</v>
      </c>
      <c r="Y27" s="602">
        <f t="shared" ca="1" si="55"/>
        <v>0</v>
      </c>
      <c r="Z27" s="602">
        <f t="shared" ca="1" si="55"/>
        <v>0</v>
      </c>
      <c r="AA27" s="602">
        <f t="shared" ca="1" si="55"/>
        <v>0</v>
      </c>
      <c r="AB27" s="602">
        <f t="shared" ca="1" si="55"/>
        <v>0</v>
      </c>
      <c r="AC27" s="602">
        <f t="shared" ca="1" si="55"/>
        <v>0</v>
      </c>
      <c r="AD27" s="602">
        <f t="shared" ca="1" si="55"/>
        <v>0</v>
      </c>
      <c r="AE27" s="602">
        <f t="shared" ca="1" si="55"/>
        <v>0</v>
      </c>
      <c r="AF27" s="602">
        <f t="shared" ca="1" si="55"/>
        <v>0</v>
      </c>
      <c r="AG27" s="602">
        <f t="shared" ca="1" si="55"/>
        <v>0</v>
      </c>
      <c r="AH27" s="602">
        <f t="shared" ca="1" si="55"/>
        <v>0</v>
      </c>
      <c r="AI27" s="602">
        <f t="shared" ca="1" si="55"/>
        <v>0</v>
      </c>
      <c r="AJ27" s="602">
        <f t="shared" ca="1" si="55"/>
        <v>0</v>
      </c>
      <c r="AK27" s="603">
        <f t="shared" ca="1" si="56"/>
        <v>0</v>
      </c>
      <c r="AM27" s="604">
        <f t="shared" ca="1" si="57"/>
        <v>0</v>
      </c>
      <c r="AN27" s="604">
        <f t="shared" ca="1" si="57"/>
        <v>0</v>
      </c>
      <c r="AO27" s="604">
        <f t="shared" ca="1" si="57"/>
        <v>0</v>
      </c>
      <c r="AP27" s="604">
        <f t="shared" ca="1" si="57"/>
        <v>0</v>
      </c>
      <c r="AQ27" s="604">
        <f t="shared" ca="1" si="57"/>
        <v>0</v>
      </c>
      <c r="AR27" s="604">
        <f t="shared" ca="1" si="57"/>
        <v>0</v>
      </c>
      <c r="AS27" s="604">
        <f t="shared" ca="1" si="57"/>
        <v>0</v>
      </c>
      <c r="AT27" s="604">
        <f t="shared" ca="1" si="57"/>
        <v>0</v>
      </c>
      <c r="AU27" s="604">
        <f t="shared" ca="1" si="57"/>
        <v>0</v>
      </c>
      <c r="AV27" s="604">
        <f t="shared" ca="1" si="57"/>
        <v>0</v>
      </c>
      <c r="AW27" s="604">
        <f t="shared" ca="1" si="57"/>
        <v>0</v>
      </c>
      <c r="AX27" s="604">
        <f t="shared" ca="1" si="57"/>
        <v>0</v>
      </c>
      <c r="AY27" s="604">
        <f t="shared" ca="1" si="57"/>
        <v>0</v>
      </c>
      <c r="AZ27" s="604">
        <f t="shared" ca="1" si="57"/>
        <v>0</v>
      </c>
      <c r="BA27" s="604">
        <f t="shared" ca="1" si="57"/>
        <v>0</v>
      </c>
      <c r="BB27" s="604">
        <f t="shared" ca="1" si="57"/>
        <v>0</v>
      </c>
      <c r="BC27" s="604">
        <f t="shared" ca="1" si="58"/>
        <v>0</v>
      </c>
      <c r="BD27" s="604">
        <f t="shared" ca="1" si="58"/>
        <v>0</v>
      </c>
      <c r="BE27" s="604">
        <f t="shared" ca="1" si="58"/>
        <v>0</v>
      </c>
      <c r="BF27" s="605">
        <f t="shared" ca="1" si="59"/>
        <v>0</v>
      </c>
      <c r="BH27" s="3472">
        <f t="shared" ca="1" si="60"/>
        <v>0</v>
      </c>
      <c r="BI27" s="3472">
        <f t="shared" ca="1" si="60"/>
        <v>0</v>
      </c>
      <c r="BJ27" s="3461">
        <f t="shared" ca="1" si="61"/>
        <v>0</v>
      </c>
      <c r="BL27" s="606">
        <f t="shared" ca="1" si="9"/>
        <v>0</v>
      </c>
      <c r="BM27" s="606"/>
      <c r="BN27" s="413"/>
      <c r="BO27" s="2789">
        <f t="shared" ca="1" si="62"/>
        <v>0</v>
      </c>
      <c r="BP27" s="2790">
        <f t="shared" ca="1" si="62"/>
        <v>0</v>
      </c>
      <c r="BQ27" s="2790">
        <f t="shared" ca="1" si="62"/>
        <v>0</v>
      </c>
      <c r="BR27" s="2790">
        <f t="shared" ca="1" si="62"/>
        <v>0</v>
      </c>
      <c r="BS27" s="2790">
        <f t="shared" ca="1" si="62"/>
        <v>0</v>
      </c>
      <c r="BT27" s="2790">
        <f t="shared" ca="1" si="62"/>
        <v>0</v>
      </c>
      <c r="BU27" s="2790">
        <f t="shared" ca="1" si="62"/>
        <v>0</v>
      </c>
      <c r="BV27" s="2790">
        <f t="shared" ca="1" si="62"/>
        <v>0</v>
      </c>
      <c r="BW27" s="2790">
        <f t="shared" ca="1" si="62"/>
        <v>0</v>
      </c>
      <c r="BX27" s="2790">
        <f t="shared" ca="1" si="62"/>
        <v>0</v>
      </c>
      <c r="BY27" s="2790">
        <f t="shared" ca="1" si="63"/>
        <v>0</v>
      </c>
      <c r="BZ27" s="2790">
        <f t="shared" ca="1" si="63"/>
        <v>0</v>
      </c>
      <c r="CA27" s="2790">
        <f t="shared" ca="1" si="63"/>
        <v>0</v>
      </c>
      <c r="CB27" s="2790">
        <f t="shared" ca="1" si="63"/>
        <v>0</v>
      </c>
      <c r="CC27" s="2790">
        <f t="shared" ca="1" si="63"/>
        <v>0</v>
      </c>
      <c r="CD27" s="2790">
        <f t="shared" ca="1" si="63"/>
        <v>0</v>
      </c>
      <c r="CE27" s="2790">
        <f t="shared" ca="1" si="63"/>
        <v>0</v>
      </c>
      <c r="CF27" s="2790">
        <f t="shared" ca="1" si="63"/>
        <v>0</v>
      </c>
      <c r="CG27" s="2790">
        <f t="shared" ca="1" si="63"/>
        <v>0</v>
      </c>
      <c r="CH27" s="2790">
        <f t="shared" ca="1" si="63"/>
        <v>0</v>
      </c>
      <c r="CI27" s="2790">
        <f t="shared" ca="1" si="64"/>
        <v>0</v>
      </c>
      <c r="CJ27" s="2790">
        <f t="shared" ca="1" si="64"/>
        <v>0</v>
      </c>
      <c r="CK27" s="2790">
        <f t="shared" ca="1" si="64"/>
        <v>0</v>
      </c>
      <c r="CL27" s="2790">
        <f t="shared" ca="1" si="64"/>
        <v>0</v>
      </c>
      <c r="CM27" s="2790">
        <f t="shared" ca="1" si="64"/>
        <v>0</v>
      </c>
      <c r="CN27" s="2790">
        <f t="shared" ca="1" si="64"/>
        <v>0</v>
      </c>
      <c r="CO27" s="2790">
        <f t="shared" ca="1" si="64"/>
        <v>0</v>
      </c>
      <c r="CP27" s="2790">
        <f t="shared" ca="1" si="64"/>
        <v>0</v>
      </c>
      <c r="CQ27" s="2790">
        <f t="shared" ca="1" si="64"/>
        <v>0</v>
      </c>
      <c r="CR27" s="2790">
        <f t="shared" ca="1" si="64"/>
        <v>0</v>
      </c>
      <c r="CS27" s="2790">
        <f t="shared" ca="1" si="65"/>
        <v>0</v>
      </c>
      <c r="CT27" s="2790">
        <f t="shared" ca="1" si="65"/>
        <v>0</v>
      </c>
      <c r="CU27" s="2790">
        <f t="shared" ca="1" si="65"/>
        <v>0</v>
      </c>
      <c r="CV27" s="2790">
        <f t="shared" ca="1" si="65"/>
        <v>0</v>
      </c>
      <c r="CW27" s="2790">
        <f t="shared" ca="1" si="65"/>
        <v>0</v>
      </c>
      <c r="CX27" s="2790">
        <f t="shared" ca="1" si="65"/>
        <v>0</v>
      </c>
      <c r="CY27" s="2790">
        <f t="shared" ca="1" si="65"/>
        <v>0</v>
      </c>
      <c r="CZ27" s="2790">
        <f t="shared" ca="1" si="65"/>
        <v>0</v>
      </c>
      <c r="DA27" s="2790">
        <f t="shared" ca="1" si="65"/>
        <v>0</v>
      </c>
      <c r="DB27" s="2790">
        <f t="shared" ca="1" si="65"/>
        <v>0</v>
      </c>
      <c r="DC27" s="2790">
        <f t="shared" ca="1" si="65"/>
        <v>0</v>
      </c>
      <c r="DD27" s="2790">
        <f t="shared" ca="1" si="65"/>
        <v>0</v>
      </c>
      <c r="DE27" s="2790">
        <f t="shared" ca="1" si="65"/>
        <v>0</v>
      </c>
      <c r="DF27" s="2790">
        <f t="shared" ca="1" si="65"/>
        <v>0</v>
      </c>
      <c r="DH27" s="596">
        <f t="shared" ca="1" si="32"/>
        <v>0</v>
      </c>
    </row>
    <row r="28" spans="1:112" s="6" customFormat="1">
      <c r="A28" s="607"/>
      <c r="B28" s="607"/>
      <c r="C28" s="587"/>
      <c r="D28" s="623" t="s">
        <v>485</v>
      </c>
      <c r="E28" s="599"/>
      <c r="G28" s="590">
        <f ca="1">SUM(G26:G27)</f>
        <v>0</v>
      </c>
      <c r="H28" s="590">
        <f t="shared" ref="H28:P28" ca="1" si="66">SUM(H26:H27)</f>
        <v>0</v>
      </c>
      <c r="I28" s="590">
        <f t="shared" ca="1" si="66"/>
        <v>0</v>
      </c>
      <c r="J28" s="590">
        <f t="shared" ca="1" si="66"/>
        <v>0</v>
      </c>
      <c r="K28" s="590">
        <f t="shared" ca="1" si="66"/>
        <v>0</v>
      </c>
      <c r="L28" s="590">
        <f t="shared" ca="1" si="66"/>
        <v>0</v>
      </c>
      <c r="M28" s="590">
        <f t="shared" ca="1" si="66"/>
        <v>0</v>
      </c>
      <c r="N28" s="590">
        <f ca="1">SUM(N26:N27)</f>
        <v>11.923331449069897</v>
      </c>
      <c r="O28" s="590">
        <f ca="1">SUM(O26:O27)</f>
        <v>0</v>
      </c>
      <c r="P28" s="590">
        <f t="shared" ca="1" si="66"/>
        <v>0</v>
      </c>
      <c r="Q28" s="590">
        <f t="shared" ca="1" si="54"/>
        <v>11.923331449069897</v>
      </c>
      <c r="S28" s="592">
        <f t="shared" ref="S28:AJ28" ca="1" si="67">SUM(S26:S27)</f>
        <v>0</v>
      </c>
      <c r="T28" s="592">
        <f t="shared" ca="1" si="67"/>
        <v>0</v>
      </c>
      <c r="U28" s="592">
        <f t="shared" ca="1" si="67"/>
        <v>0</v>
      </c>
      <c r="V28" s="592">
        <f t="shared" ca="1" si="67"/>
        <v>-11.923331449069897</v>
      </c>
      <c r="W28" s="592">
        <f t="shared" ca="1" si="67"/>
        <v>0</v>
      </c>
      <c r="X28" s="592">
        <f t="shared" ca="1" si="67"/>
        <v>0</v>
      </c>
      <c r="Y28" s="592">
        <f t="shared" ca="1" si="67"/>
        <v>0</v>
      </c>
      <c r="Z28" s="592">
        <f t="shared" ca="1" si="67"/>
        <v>0</v>
      </c>
      <c r="AA28" s="592">
        <f t="shared" ca="1" si="67"/>
        <v>0</v>
      </c>
      <c r="AB28" s="592">
        <f t="shared" ca="1" si="67"/>
        <v>0</v>
      </c>
      <c r="AC28" s="592">
        <f t="shared" ca="1" si="67"/>
        <v>0</v>
      </c>
      <c r="AD28" s="592">
        <f t="shared" ca="1" si="67"/>
        <v>0</v>
      </c>
      <c r="AE28" s="592">
        <f ca="1">SUM(AE26:AE27)</f>
        <v>0</v>
      </c>
      <c r="AF28" s="592">
        <f t="shared" ca="1" si="67"/>
        <v>0</v>
      </c>
      <c r="AG28" s="592">
        <f t="shared" ca="1" si="67"/>
        <v>0</v>
      </c>
      <c r="AH28" s="592">
        <f ca="1">SUM(AH26:AH27)</f>
        <v>0</v>
      </c>
      <c r="AI28" s="592">
        <f t="shared" ca="1" si="67"/>
        <v>0</v>
      </c>
      <c r="AJ28" s="592">
        <f t="shared" ca="1" si="67"/>
        <v>0</v>
      </c>
      <c r="AK28" s="592">
        <f t="shared" ca="1" si="56"/>
        <v>-11.923331449069897</v>
      </c>
      <c r="AM28" s="608">
        <f t="shared" ref="AM28:BE28" ca="1" si="68">SUM(AM26:AM27)</f>
        <v>0</v>
      </c>
      <c r="AN28" s="608">
        <f t="shared" ca="1" si="68"/>
        <v>0</v>
      </c>
      <c r="AO28" s="608">
        <f t="shared" ca="1" si="68"/>
        <v>0</v>
      </c>
      <c r="AP28" s="608">
        <f t="shared" ca="1" si="68"/>
        <v>0</v>
      </c>
      <c r="AQ28" s="608">
        <f t="shared" ca="1" si="68"/>
        <v>0</v>
      </c>
      <c r="AR28" s="608">
        <f t="shared" ca="1" si="68"/>
        <v>0</v>
      </c>
      <c r="AS28" s="608">
        <f t="shared" ca="1" si="68"/>
        <v>0</v>
      </c>
      <c r="AT28" s="608">
        <f t="shared" ca="1" si="68"/>
        <v>0</v>
      </c>
      <c r="AU28" s="608">
        <f t="shared" ca="1" si="68"/>
        <v>0</v>
      </c>
      <c r="AV28" s="608">
        <f t="shared" ca="1" si="68"/>
        <v>0</v>
      </c>
      <c r="AW28" s="608">
        <f t="shared" ca="1" si="68"/>
        <v>0</v>
      </c>
      <c r="AX28" s="608">
        <f t="shared" ca="1" si="68"/>
        <v>0</v>
      </c>
      <c r="AY28" s="608">
        <f t="shared" ca="1" si="68"/>
        <v>0</v>
      </c>
      <c r="AZ28" s="608">
        <f t="shared" ca="1" si="68"/>
        <v>0</v>
      </c>
      <c r="BA28" s="608">
        <f t="shared" ca="1" si="68"/>
        <v>0</v>
      </c>
      <c r="BB28" s="608">
        <f t="shared" ca="1" si="68"/>
        <v>0</v>
      </c>
      <c r="BC28" s="608">
        <f t="shared" ca="1" si="68"/>
        <v>0</v>
      </c>
      <c r="BD28" s="608">
        <f ca="1">SUM(BD26:BD27)</f>
        <v>0</v>
      </c>
      <c r="BE28" s="608">
        <f t="shared" ca="1" si="68"/>
        <v>0</v>
      </c>
      <c r="BF28" s="594">
        <f t="shared" ca="1" si="59"/>
        <v>0</v>
      </c>
      <c r="BH28" s="3460">
        <f ca="1">SUM(BH26:BH27)</f>
        <v>0</v>
      </c>
      <c r="BI28" s="3460">
        <f ca="1">SUM(BI26:BI27)</f>
        <v>0</v>
      </c>
      <c r="BJ28" s="3460">
        <f t="shared" ca="1" si="61"/>
        <v>0</v>
      </c>
      <c r="BL28" s="595">
        <f t="shared" ca="1" si="9"/>
        <v>0</v>
      </c>
      <c r="BM28" s="595"/>
      <c r="BN28" s="413"/>
      <c r="BO28" s="2789">
        <f t="shared" ref="BO28:DF28" ca="1" si="69">SUM(BO26:BO27)</f>
        <v>0</v>
      </c>
      <c r="BP28" s="2790">
        <f t="shared" ca="1" si="69"/>
        <v>0</v>
      </c>
      <c r="BQ28" s="2790">
        <f t="shared" ca="1" si="69"/>
        <v>0</v>
      </c>
      <c r="BR28" s="2790">
        <f t="shared" ca="1" si="69"/>
        <v>0</v>
      </c>
      <c r="BS28" s="2790">
        <f t="shared" ca="1" si="69"/>
        <v>0</v>
      </c>
      <c r="BT28" s="2790">
        <f t="shared" ca="1" si="69"/>
        <v>0</v>
      </c>
      <c r="BU28" s="2790">
        <f t="shared" ca="1" si="69"/>
        <v>0</v>
      </c>
      <c r="BV28" s="2790">
        <f t="shared" ca="1" si="69"/>
        <v>0</v>
      </c>
      <c r="BW28" s="2790">
        <f t="shared" ca="1" si="69"/>
        <v>0</v>
      </c>
      <c r="BX28" s="2790">
        <f t="shared" ca="1" si="69"/>
        <v>0</v>
      </c>
      <c r="BY28" s="2790">
        <f t="shared" ca="1" si="69"/>
        <v>0</v>
      </c>
      <c r="BZ28" s="2790">
        <f t="shared" ca="1" si="69"/>
        <v>0</v>
      </c>
      <c r="CA28" s="2790">
        <f t="shared" ca="1" si="69"/>
        <v>0</v>
      </c>
      <c r="CB28" s="2790">
        <f t="shared" ca="1" si="69"/>
        <v>0</v>
      </c>
      <c r="CC28" s="2790">
        <f t="shared" ca="1" si="69"/>
        <v>0</v>
      </c>
      <c r="CD28" s="2790">
        <f t="shared" ca="1" si="69"/>
        <v>0</v>
      </c>
      <c r="CE28" s="2790">
        <f t="shared" ca="1" si="69"/>
        <v>0</v>
      </c>
      <c r="CF28" s="2790">
        <f t="shared" ca="1" si="69"/>
        <v>0</v>
      </c>
      <c r="CG28" s="2790">
        <f t="shared" ca="1" si="69"/>
        <v>0</v>
      </c>
      <c r="CH28" s="2790">
        <f t="shared" ca="1" si="69"/>
        <v>0</v>
      </c>
      <c r="CI28" s="2790">
        <f t="shared" ca="1" si="69"/>
        <v>0</v>
      </c>
      <c r="CJ28" s="2790">
        <f t="shared" ca="1" si="69"/>
        <v>0</v>
      </c>
      <c r="CK28" s="2790">
        <f t="shared" ca="1" si="69"/>
        <v>0</v>
      </c>
      <c r="CL28" s="2790">
        <f t="shared" ca="1" si="69"/>
        <v>0</v>
      </c>
      <c r="CM28" s="2790">
        <f t="shared" ca="1" si="69"/>
        <v>0</v>
      </c>
      <c r="CN28" s="2790">
        <f t="shared" ca="1" si="69"/>
        <v>0</v>
      </c>
      <c r="CO28" s="2790">
        <f t="shared" ca="1" si="69"/>
        <v>0</v>
      </c>
      <c r="CP28" s="2790">
        <f t="shared" ca="1" si="69"/>
        <v>0</v>
      </c>
      <c r="CQ28" s="2790">
        <f t="shared" ca="1" si="69"/>
        <v>0</v>
      </c>
      <c r="CR28" s="2790">
        <f t="shared" ca="1" si="69"/>
        <v>0</v>
      </c>
      <c r="CS28" s="2790">
        <f t="shared" ca="1" si="69"/>
        <v>0</v>
      </c>
      <c r="CT28" s="2790">
        <f t="shared" ca="1" si="69"/>
        <v>0</v>
      </c>
      <c r="CU28" s="2790">
        <f t="shared" ca="1" si="69"/>
        <v>3.146328702780564</v>
      </c>
      <c r="CV28" s="2790">
        <f t="shared" ca="1" si="69"/>
        <v>2.7042115726490529E-3</v>
      </c>
      <c r="CW28" s="2790">
        <f t="shared" ca="1" si="69"/>
        <v>7.9838627382972024E-3</v>
      </c>
      <c r="CX28" s="2790">
        <f t="shared" ca="1" si="69"/>
        <v>0</v>
      </c>
      <c r="CY28" s="2790">
        <f t="shared" ca="1" si="69"/>
        <v>0</v>
      </c>
      <c r="CZ28" s="2790">
        <f t="shared" ca="1" si="69"/>
        <v>0</v>
      </c>
      <c r="DA28" s="2790">
        <f t="shared" ca="1" si="69"/>
        <v>0</v>
      </c>
      <c r="DB28" s="2790">
        <f t="shared" ca="1" si="69"/>
        <v>0</v>
      </c>
      <c r="DC28" s="2790">
        <f t="shared" ca="1" si="69"/>
        <v>0</v>
      </c>
      <c r="DD28" s="2790">
        <f t="shared" ca="1" si="69"/>
        <v>0</v>
      </c>
      <c r="DE28" s="2790">
        <f t="shared" ca="1" si="69"/>
        <v>0</v>
      </c>
      <c r="DF28" s="2790">
        <f t="shared" ca="1" si="69"/>
        <v>0</v>
      </c>
      <c r="DH28" s="596">
        <f t="shared" ca="1" si="32"/>
        <v>3.1570167770915103</v>
      </c>
    </row>
    <row r="29" spans="1:112" s="6" customFormat="1">
      <c r="A29" s="586"/>
      <c r="B29" s="586"/>
      <c r="C29" s="587" t="s">
        <v>486</v>
      </c>
      <c r="D29" s="623" t="s">
        <v>374</v>
      </c>
      <c r="E29" s="599"/>
      <c r="G29" s="589">
        <f t="shared" ref="G29:P30" ca="1" si="70">IFERROR(INDEX(INDIRECT($C29&amp;".Outputs["&amp;this.Year&amp;"]"), MATCH(G$5, INDIRECT($C29&amp;".Outputs[Vector]"), 0)), 0)</f>
        <v>0</v>
      </c>
      <c r="H29" s="589">
        <f t="shared" ca="1" si="70"/>
        <v>0</v>
      </c>
      <c r="I29" s="589">
        <f t="shared" ca="1" si="70"/>
        <v>0</v>
      </c>
      <c r="J29" s="589">
        <f t="shared" ca="1" si="70"/>
        <v>0</v>
      </c>
      <c r="K29" s="589">
        <f t="shared" ca="1" si="70"/>
        <v>0</v>
      </c>
      <c r="L29" s="589">
        <f t="shared" ca="1" si="70"/>
        <v>0</v>
      </c>
      <c r="M29" s="589">
        <f t="shared" ca="1" si="70"/>
        <v>0</v>
      </c>
      <c r="N29" s="589">
        <f t="shared" ca="1" si="70"/>
        <v>0</v>
      </c>
      <c r="O29" s="589">
        <f t="shared" ca="1" si="70"/>
        <v>0</v>
      </c>
      <c r="P29" s="589">
        <f t="shared" ca="1" si="70"/>
        <v>0</v>
      </c>
      <c r="Q29" s="590">
        <f t="shared" ca="1" si="54"/>
        <v>0</v>
      </c>
      <c r="S29" s="591">
        <f t="shared" ca="1" si="55"/>
        <v>0</v>
      </c>
      <c r="T29" s="591">
        <f t="shared" ca="1" si="55"/>
        <v>0</v>
      </c>
      <c r="U29" s="591">
        <f t="shared" ca="1" si="55"/>
        <v>0</v>
      </c>
      <c r="V29" s="591">
        <f t="shared" ca="1" si="55"/>
        <v>0</v>
      </c>
      <c r="W29" s="591">
        <f t="shared" ca="1" si="55"/>
        <v>0</v>
      </c>
      <c r="X29" s="591">
        <f t="shared" ca="1" si="55"/>
        <v>0</v>
      </c>
      <c r="Y29" s="591">
        <f t="shared" ca="1" si="55"/>
        <v>0</v>
      </c>
      <c r="Z29" s="591">
        <f t="shared" ca="1" si="55"/>
        <v>0</v>
      </c>
      <c r="AA29" s="591">
        <f t="shared" ca="1" si="55"/>
        <v>0</v>
      </c>
      <c r="AB29" s="591">
        <f t="shared" ca="1" si="55"/>
        <v>0</v>
      </c>
      <c r="AC29" s="591">
        <f t="shared" ca="1" si="55"/>
        <v>0</v>
      </c>
      <c r="AD29" s="591">
        <f t="shared" ca="1" si="55"/>
        <v>0</v>
      </c>
      <c r="AE29" s="591">
        <f t="shared" ca="1" si="55"/>
        <v>0</v>
      </c>
      <c r="AF29" s="591">
        <f t="shared" ca="1" si="55"/>
        <v>0</v>
      </c>
      <c r="AG29" s="591">
        <f t="shared" ca="1" si="55"/>
        <v>0</v>
      </c>
      <c r="AH29" s="591">
        <f t="shared" ca="1" si="55"/>
        <v>0</v>
      </c>
      <c r="AI29" s="591">
        <f t="shared" ca="1" si="55"/>
        <v>0</v>
      </c>
      <c r="AJ29" s="591">
        <f t="shared" ca="1" si="55"/>
        <v>0</v>
      </c>
      <c r="AK29" s="592">
        <f t="shared" ca="1" si="56"/>
        <v>0</v>
      </c>
      <c r="AM29" s="593">
        <f t="shared" ref="AM29:BB30" ca="1" si="71">IFERROR(INDEX(INDIRECT($C29&amp;".Outputs["&amp;this.Year&amp;"]"), MATCH(AM$5, INDIRECT($C29&amp;".Outputs[Vector]"), 0)), 0)</f>
        <v>0</v>
      </c>
      <c r="AN29" s="593">
        <f t="shared" ca="1" si="71"/>
        <v>0</v>
      </c>
      <c r="AO29" s="593">
        <f t="shared" ca="1" si="71"/>
        <v>0</v>
      </c>
      <c r="AP29" s="593">
        <f t="shared" ca="1" si="71"/>
        <v>0</v>
      </c>
      <c r="AQ29" s="593">
        <f t="shared" ca="1" si="71"/>
        <v>0</v>
      </c>
      <c r="AR29" s="593">
        <f t="shared" ca="1" si="71"/>
        <v>0</v>
      </c>
      <c r="AS29" s="593">
        <f t="shared" ca="1" si="71"/>
        <v>0</v>
      </c>
      <c r="AT29" s="593">
        <f t="shared" ca="1" si="71"/>
        <v>0</v>
      </c>
      <c r="AU29" s="593">
        <f t="shared" ca="1" si="71"/>
        <v>0</v>
      </c>
      <c r="AV29" s="593">
        <f t="shared" ca="1" si="71"/>
        <v>0</v>
      </c>
      <c r="AW29" s="593">
        <f t="shared" ca="1" si="71"/>
        <v>0</v>
      </c>
      <c r="AX29" s="593">
        <f t="shared" ca="1" si="71"/>
        <v>0</v>
      </c>
      <c r="AY29" s="593">
        <f t="shared" ca="1" si="71"/>
        <v>0</v>
      </c>
      <c r="AZ29" s="593">
        <f t="shared" ca="1" si="71"/>
        <v>0</v>
      </c>
      <c r="BA29" s="593">
        <f t="shared" ca="1" si="71"/>
        <v>0</v>
      </c>
      <c r="BB29" s="593">
        <f t="shared" ca="1" si="71"/>
        <v>0</v>
      </c>
      <c r="BC29" s="593">
        <f t="shared" ref="BC29:BE30" ca="1" si="72">IFERROR(INDEX(INDIRECT($C29&amp;".Outputs["&amp;this.Year&amp;"]"), MATCH(BC$5, INDIRECT($C29&amp;".Outputs[Vector]"), 0)), 0)</f>
        <v>0</v>
      </c>
      <c r="BD29" s="593">
        <f t="shared" ca="1" si="72"/>
        <v>0</v>
      </c>
      <c r="BE29" s="593">
        <f t="shared" ca="1" si="72"/>
        <v>0</v>
      </c>
      <c r="BF29" s="609">
        <f t="shared" ca="1" si="59"/>
        <v>0</v>
      </c>
      <c r="BH29" s="3471">
        <f t="shared" ca="1" si="60"/>
        <v>0</v>
      </c>
      <c r="BI29" s="3471">
        <f t="shared" ca="1" si="60"/>
        <v>0</v>
      </c>
      <c r="BJ29" s="3460">
        <f t="shared" ca="1" si="61"/>
        <v>0</v>
      </c>
      <c r="BL29" s="610">
        <f t="shared" ca="1" si="9"/>
        <v>0</v>
      </c>
      <c r="BM29" s="610"/>
      <c r="BN29" s="413"/>
      <c r="BO29" s="2789">
        <f t="shared" ref="BO29:BX30" ca="1" si="73">IFERROR(SUMIFS(INDIRECT($C29&amp;".Emissions["&amp;this.Year&amp;"]"), INDIRECT($C29&amp;".Emissions[GHG]"), BO$6, INDIRECT($C29&amp;".Emissions[IPCC Sector]"), BO$5),0)</f>
        <v>0</v>
      </c>
      <c r="BP29" s="2790">
        <f t="shared" ca="1" si="73"/>
        <v>0</v>
      </c>
      <c r="BQ29" s="2790">
        <f t="shared" ca="1" si="73"/>
        <v>0</v>
      </c>
      <c r="BR29" s="2790">
        <f t="shared" ca="1" si="73"/>
        <v>0</v>
      </c>
      <c r="BS29" s="2790">
        <f t="shared" ca="1" si="73"/>
        <v>0</v>
      </c>
      <c r="BT29" s="2790">
        <f t="shared" ca="1" si="73"/>
        <v>0</v>
      </c>
      <c r="BU29" s="2790">
        <f t="shared" ca="1" si="73"/>
        <v>0</v>
      </c>
      <c r="BV29" s="2790">
        <f t="shared" ca="1" si="73"/>
        <v>0</v>
      </c>
      <c r="BW29" s="2790">
        <f t="shared" ca="1" si="73"/>
        <v>0</v>
      </c>
      <c r="BX29" s="2790">
        <f t="shared" ca="1" si="73"/>
        <v>0</v>
      </c>
      <c r="BY29" s="2790">
        <f t="shared" ref="BY29:CH30" ca="1" si="74">IFERROR(SUMIFS(INDIRECT($C29&amp;".Emissions["&amp;this.Year&amp;"]"), INDIRECT($C29&amp;".Emissions[GHG]"), BY$6, INDIRECT($C29&amp;".Emissions[IPCC Sector]"), BY$5),0)</f>
        <v>0</v>
      </c>
      <c r="BZ29" s="2790">
        <f t="shared" ca="1" si="74"/>
        <v>0</v>
      </c>
      <c r="CA29" s="2790">
        <f t="shared" ca="1" si="74"/>
        <v>0</v>
      </c>
      <c r="CB29" s="2790">
        <f t="shared" ca="1" si="74"/>
        <v>0</v>
      </c>
      <c r="CC29" s="2790">
        <f t="shared" ca="1" si="74"/>
        <v>0</v>
      </c>
      <c r="CD29" s="2790">
        <f t="shared" ca="1" si="74"/>
        <v>0</v>
      </c>
      <c r="CE29" s="2790">
        <f t="shared" ca="1" si="74"/>
        <v>0</v>
      </c>
      <c r="CF29" s="2790">
        <f t="shared" ca="1" si="74"/>
        <v>0</v>
      </c>
      <c r="CG29" s="2790">
        <f t="shared" ca="1" si="74"/>
        <v>0</v>
      </c>
      <c r="CH29" s="2790">
        <f t="shared" ca="1" si="74"/>
        <v>0</v>
      </c>
      <c r="CI29" s="2790">
        <f t="shared" ref="CI29:CR30" ca="1" si="75">IFERROR(SUMIFS(INDIRECT($C29&amp;".Emissions["&amp;this.Year&amp;"]"), INDIRECT($C29&amp;".Emissions[GHG]"), CI$6, INDIRECT($C29&amp;".Emissions[IPCC Sector]"), CI$5),0)</f>
        <v>0</v>
      </c>
      <c r="CJ29" s="2790">
        <f t="shared" ca="1" si="75"/>
        <v>0</v>
      </c>
      <c r="CK29" s="2790">
        <f t="shared" ca="1" si="75"/>
        <v>0</v>
      </c>
      <c r="CL29" s="2790">
        <f t="shared" ca="1" si="75"/>
        <v>0</v>
      </c>
      <c r="CM29" s="2790">
        <f t="shared" ca="1" si="75"/>
        <v>0</v>
      </c>
      <c r="CN29" s="2790">
        <f t="shared" ca="1" si="75"/>
        <v>0</v>
      </c>
      <c r="CO29" s="2790">
        <f t="shared" ca="1" si="75"/>
        <v>0</v>
      </c>
      <c r="CP29" s="2790">
        <f t="shared" ca="1" si="75"/>
        <v>0</v>
      </c>
      <c r="CQ29" s="2790">
        <f t="shared" ca="1" si="75"/>
        <v>0</v>
      </c>
      <c r="CR29" s="2790">
        <f t="shared" ca="1" si="75"/>
        <v>0</v>
      </c>
      <c r="CS29" s="2790">
        <f t="shared" ref="CS29:DF30" ca="1" si="76">IFERROR(SUMIFS(INDIRECT($C29&amp;".Emissions["&amp;this.Year&amp;"]"), INDIRECT($C29&amp;".Emissions[GHG]"), CS$6, INDIRECT($C29&amp;".Emissions[IPCC Sector]"), CS$5),0)</f>
        <v>0</v>
      </c>
      <c r="CT29" s="2790">
        <f t="shared" ca="1" si="76"/>
        <v>0</v>
      </c>
      <c r="CU29" s="2790">
        <f t="shared" ca="1" si="76"/>
        <v>0</v>
      </c>
      <c r="CV29" s="2790">
        <f t="shared" ca="1" si="76"/>
        <v>0</v>
      </c>
      <c r="CW29" s="2790">
        <f t="shared" ca="1" si="76"/>
        <v>0</v>
      </c>
      <c r="CX29" s="2790">
        <f t="shared" ca="1" si="76"/>
        <v>0</v>
      </c>
      <c r="CY29" s="2790">
        <f t="shared" ca="1" si="76"/>
        <v>0</v>
      </c>
      <c r="CZ29" s="2790">
        <f t="shared" ca="1" si="76"/>
        <v>0</v>
      </c>
      <c r="DA29" s="2790">
        <f t="shared" ca="1" si="76"/>
        <v>0</v>
      </c>
      <c r="DB29" s="2790">
        <f t="shared" ca="1" si="76"/>
        <v>0</v>
      </c>
      <c r="DC29" s="2790">
        <f t="shared" ca="1" si="76"/>
        <v>0</v>
      </c>
      <c r="DD29" s="2790">
        <f t="shared" ca="1" si="76"/>
        <v>0</v>
      </c>
      <c r="DE29" s="2790">
        <f t="shared" ca="1" si="76"/>
        <v>0</v>
      </c>
      <c r="DF29" s="2790">
        <f t="shared" ca="1" si="76"/>
        <v>0</v>
      </c>
      <c r="DH29" s="596">
        <f t="shared" ca="1" si="32"/>
        <v>0</v>
      </c>
    </row>
    <row r="30" spans="1:112" s="6" customFormat="1">
      <c r="A30" s="597"/>
      <c r="B30" s="597"/>
      <c r="C30" s="598" t="s">
        <v>487</v>
      </c>
      <c r="D30" s="624" t="s">
        <v>488</v>
      </c>
      <c r="E30" s="599"/>
      <c r="G30" s="600">
        <f t="shared" ca="1" si="70"/>
        <v>0</v>
      </c>
      <c r="H30" s="600">
        <f t="shared" ca="1" si="70"/>
        <v>0</v>
      </c>
      <c r="I30" s="600">
        <f t="shared" ca="1" si="70"/>
        <v>0</v>
      </c>
      <c r="J30" s="600">
        <f t="shared" ca="1" si="70"/>
        <v>0</v>
      </c>
      <c r="K30" s="600">
        <f t="shared" ca="1" si="70"/>
        <v>0</v>
      </c>
      <c r="L30" s="600">
        <f t="shared" ca="1" si="70"/>
        <v>0</v>
      </c>
      <c r="M30" s="600">
        <f t="shared" ca="1" si="70"/>
        <v>0</v>
      </c>
      <c r="N30" s="600">
        <f t="shared" ca="1" si="70"/>
        <v>0</v>
      </c>
      <c r="O30" s="600">
        <f t="shared" ca="1" si="70"/>
        <v>0</v>
      </c>
      <c r="P30" s="600">
        <f t="shared" ca="1" si="70"/>
        <v>0</v>
      </c>
      <c r="Q30" s="601">
        <f t="shared" ca="1" si="54"/>
        <v>0</v>
      </c>
      <c r="S30" s="602">
        <f t="shared" ca="1" si="55"/>
        <v>0</v>
      </c>
      <c r="T30" s="602">
        <f t="shared" ca="1" si="55"/>
        <v>0</v>
      </c>
      <c r="U30" s="602">
        <f t="shared" ca="1" si="55"/>
        <v>0</v>
      </c>
      <c r="V30" s="602">
        <f t="shared" ca="1" si="55"/>
        <v>0</v>
      </c>
      <c r="W30" s="602">
        <f t="shared" ca="1" si="55"/>
        <v>0</v>
      </c>
      <c r="X30" s="602">
        <f t="shared" ca="1" si="55"/>
        <v>0</v>
      </c>
      <c r="Y30" s="602">
        <f t="shared" ca="1" si="55"/>
        <v>0</v>
      </c>
      <c r="Z30" s="602">
        <f t="shared" ca="1" si="55"/>
        <v>0</v>
      </c>
      <c r="AA30" s="602">
        <f t="shared" ca="1" si="55"/>
        <v>0</v>
      </c>
      <c r="AB30" s="602">
        <f t="shared" ca="1" si="55"/>
        <v>0</v>
      </c>
      <c r="AC30" s="602">
        <f t="shared" ca="1" si="55"/>
        <v>0</v>
      </c>
      <c r="AD30" s="602">
        <f t="shared" ca="1" si="55"/>
        <v>0</v>
      </c>
      <c r="AE30" s="602">
        <f t="shared" ca="1" si="55"/>
        <v>0</v>
      </c>
      <c r="AF30" s="602">
        <f t="shared" ca="1" si="55"/>
        <v>0</v>
      </c>
      <c r="AG30" s="602">
        <f t="shared" ca="1" si="55"/>
        <v>0</v>
      </c>
      <c r="AH30" s="602">
        <f t="shared" ca="1" si="55"/>
        <v>0</v>
      </c>
      <c r="AI30" s="602">
        <f t="shared" ca="1" si="55"/>
        <v>0</v>
      </c>
      <c r="AJ30" s="602">
        <f t="shared" ca="1" si="55"/>
        <v>0</v>
      </c>
      <c r="AK30" s="603">
        <f t="shared" ca="1" si="56"/>
        <v>0</v>
      </c>
      <c r="AM30" s="604">
        <f t="shared" ca="1" si="71"/>
        <v>0</v>
      </c>
      <c r="AN30" s="604">
        <f t="shared" ca="1" si="71"/>
        <v>0</v>
      </c>
      <c r="AO30" s="604">
        <f t="shared" ca="1" si="71"/>
        <v>0</v>
      </c>
      <c r="AP30" s="604">
        <f t="shared" ca="1" si="71"/>
        <v>0</v>
      </c>
      <c r="AQ30" s="604">
        <f t="shared" ca="1" si="71"/>
        <v>0</v>
      </c>
      <c r="AR30" s="604">
        <f t="shared" ca="1" si="71"/>
        <v>0</v>
      </c>
      <c r="AS30" s="604">
        <f t="shared" ca="1" si="71"/>
        <v>0</v>
      </c>
      <c r="AT30" s="604">
        <f t="shared" ca="1" si="71"/>
        <v>0</v>
      </c>
      <c r="AU30" s="604">
        <f t="shared" ca="1" si="71"/>
        <v>0</v>
      </c>
      <c r="AV30" s="604">
        <f t="shared" ca="1" si="71"/>
        <v>0</v>
      </c>
      <c r="AW30" s="604">
        <f t="shared" ca="1" si="71"/>
        <v>0</v>
      </c>
      <c r="AX30" s="604">
        <f t="shared" ca="1" si="71"/>
        <v>0</v>
      </c>
      <c r="AY30" s="604">
        <f t="shared" ca="1" si="71"/>
        <v>0</v>
      </c>
      <c r="AZ30" s="604">
        <f t="shared" ca="1" si="71"/>
        <v>0</v>
      </c>
      <c r="BA30" s="604">
        <f t="shared" ca="1" si="71"/>
        <v>0</v>
      </c>
      <c r="BB30" s="604">
        <f t="shared" ca="1" si="71"/>
        <v>0</v>
      </c>
      <c r="BC30" s="604">
        <f t="shared" ca="1" si="72"/>
        <v>0</v>
      </c>
      <c r="BD30" s="604">
        <f t="shared" ca="1" si="72"/>
        <v>0</v>
      </c>
      <c r="BE30" s="604">
        <f t="shared" ca="1" si="72"/>
        <v>0</v>
      </c>
      <c r="BF30" s="605">
        <f t="shared" ca="1" si="59"/>
        <v>0</v>
      </c>
      <c r="BH30" s="3472">
        <f t="shared" ca="1" si="60"/>
        <v>0</v>
      </c>
      <c r="BI30" s="3472">
        <f t="shared" ca="1" si="60"/>
        <v>0</v>
      </c>
      <c r="BJ30" s="3461">
        <f t="shared" ca="1" si="61"/>
        <v>0</v>
      </c>
      <c r="BL30" s="606">
        <f t="shared" ca="1" si="9"/>
        <v>0</v>
      </c>
      <c r="BM30" s="606"/>
      <c r="BN30" s="413"/>
      <c r="BO30" s="2789">
        <f t="shared" ca="1" si="73"/>
        <v>0</v>
      </c>
      <c r="BP30" s="2790">
        <f t="shared" ca="1" si="73"/>
        <v>0</v>
      </c>
      <c r="BQ30" s="2790">
        <f t="shared" ca="1" si="73"/>
        <v>0</v>
      </c>
      <c r="BR30" s="2790">
        <f t="shared" ca="1" si="73"/>
        <v>0</v>
      </c>
      <c r="BS30" s="2790">
        <f t="shared" ca="1" si="73"/>
        <v>0</v>
      </c>
      <c r="BT30" s="2790">
        <f t="shared" ca="1" si="73"/>
        <v>0</v>
      </c>
      <c r="BU30" s="2790">
        <f t="shared" ca="1" si="73"/>
        <v>0</v>
      </c>
      <c r="BV30" s="2790">
        <f t="shared" ca="1" si="73"/>
        <v>0</v>
      </c>
      <c r="BW30" s="2790">
        <f t="shared" ca="1" si="73"/>
        <v>0</v>
      </c>
      <c r="BX30" s="2790">
        <f t="shared" ca="1" si="73"/>
        <v>0</v>
      </c>
      <c r="BY30" s="2790">
        <f t="shared" ca="1" si="74"/>
        <v>0</v>
      </c>
      <c r="BZ30" s="2790">
        <f t="shared" ca="1" si="74"/>
        <v>0</v>
      </c>
      <c r="CA30" s="2790">
        <f t="shared" ca="1" si="74"/>
        <v>0</v>
      </c>
      <c r="CB30" s="2790">
        <f t="shared" ca="1" si="74"/>
        <v>0</v>
      </c>
      <c r="CC30" s="2790">
        <f t="shared" ca="1" si="74"/>
        <v>0</v>
      </c>
      <c r="CD30" s="2790">
        <f t="shared" ca="1" si="74"/>
        <v>0</v>
      </c>
      <c r="CE30" s="2790">
        <f t="shared" ca="1" si="74"/>
        <v>0</v>
      </c>
      <c r="CF30" s="2790">
        <f t="shared" ca="1" si="74"/>
        <v>0</v>
      </c>
      <c r="CG30" s="2790">
        <f t="shared" ca="1" si="74"/>
        <v>0</v>
      </c>
      <c r="CH30" s="2790">
        <f t="shared" ca="1" si="74"/>
        <v>0</v>
      </c>
      <c r="CI30" s="2790">
        <f t="shared" ca="1" si="75"/>
        <v>0</v>
      </c>
      <c r="CJ30" s="2790">
        <f t="shared" ca="1" si="75"/>
        <v>0</v>
      </c>
      <c r="CK30" s="2790">
        <f t="shared" ca="1" si="75"/>
        <v>0</v>
      </c>
      <c r="CL30" s="2790">
        <f t="shared" ca="1" si="75"/>
        <v>0</v>
      </c>
      <c r="CM30" s="2790">
        <f t="shared" ca="1" si="75"/>
        <v>0</v>
      </c>
      <c r="CN30" s="2790">
        <f t="shared" ca="1" si="75"/>
        <v>0</v>
      </c>
      <c r="CO30" s="2790">
        <f t="shared" ca="1" si="75"/>
        <v>0</v>
      </c>
      <c r="CP30" s="2790">
        <f t="shared" ca="1" si="75"/>
        <v>0</v>
      </c>
      <c r="CQ30" s="2790">
        <f t="shared" ca="1" si="75"/>
        <v>0</v>
      </c>
      <c r="CR30" s="2790">
        <f t="shared" ca="1" si="75"/>
        <v>0</v>
      </c>
      <c r="CS30" s="2790">
        <f t="shared" ca="1" si="76"/>
        <v>0</v>
      </c>
      <c r="CT30" s="2790">
        <f t="shared" ca="1" si="76"/>
        <v>0</v>
      </c>
      <c r="CU30" s="2790">
        <f t="shared" ca="1" si="76"/>
        <v>0</v>
      </c>
      <c r="CV30" s="2790">
        <f t="shared" ca="1" si="76"/>
        <v>0</v>
      </c>
      <c r="CW30" s="2790">
        <f t="shared" ca="1" si="76"/>
        <v>0</v>
      </c>
      <c r="CX30" s="2790">
        <f t="shared" ca="1" si="76"/>
        <v>0</v>
      </c>
      <c r="CY30" s="2790">
        <f t="shared" ca="1" si="76"/>
        <v>0</v>
      </c>
      <c r="CZ30" s="2790">
        <f t="shared" ca="1" si="76"/>
        <v>0</v>
      </c>
      <c r="DA30" s="2790">
        <f t="shared" ca="1" si="76"/>
        <v>0</v>
      </c>
      <c r="DB30" s="2790">
        <f t="shared" ca="1" si="76"/>
        <v>0</v>
      </c>
      <c r="DC30" s="2790">
        <f t="shared" ca="1" si="76"/>
        <v>0</v>
      </c>
      <c r="DD30" s="2790">
        <f t="shared" ca="1" si="76"/>
        <v>0</v>
      </c>
      <c r="DE30" s="2790">
        <f t="shared" ca="1" si="76"/>
        <v>0</v>
      </c>
      <c r="DF30" s="2790">
        <f t="shared" ca="1" si="76"/>
        <v>0</v>
      </c>
      <c r="DH30" s="596">
        <f t="shared" ca="1" si="32"/>
        <v>0</v>
      </c>
    </row>
    <row r="31" spans="1:112" s="6" customFormat="1">
      <c r="A31" s="607"/>
      <c r="B31" s="607"/>
      <c r="C31" s="587"/>
      <c r="D31" s="625" t="s">
        <v>489</v>
      </c>
      <c r="E31" s="611"/>
      <c r="G31" s="612">
        <f t="shared" ref="G31:P31" ca="1" si="77">SUM(G29:G30)</f>
        <v>0</v>
      </c>
      <c r="H31" s="612">
        <f t="shared" ca="1" si="77"/>
        <v>0</v>
      </c>
      <c r="I31" s="612">
        <f t="shared" ca="1" si="77"/>
        <v>0</v>
      </c>
      <c r="J31" s="612">
        <f t="shared" ca="1" si="77"/>
        <v>0</v>
      </c>
      <c r="K31" s="612">
        <f t="shared" ca="1" si="77"/>
        <v>0</v>
      </c>
      <c r="L31" s="612">
        <f t="shared" ca="1" si="77"/>
        <v>0</v>
      </c>
      <c r="M31" s="612">
        <f t="shared" ca="1" si="77"/>
        <v>0</v>
      </c>
      <c r="N31" s="612">
        <f t="shared" ca="1" si="77"/>
        <v>0</v>
      </c>
      <c r="O31" s="612">
        <f t="shared" ca="1" si="77"/>
        <v>0</v>
      </c>
      <c r="P31" s="612">
        <f t="shared" ca="1" si="77"/>
        <v>0</v>
      </c>
      <c r="Q31" s="612">
        <f t="shared" ca="1" si="54"/>
        <v>0</v>
      </c>
      <c r="S31" s="613">
        <f t="shared" ref="S31:AJ31" ca="1" si="78">SUM(S29:S30)</f>
        <v>0</v>
      </c>
      <c r="T31" s="613">
        <f t="shared" ca="1" si="78"/>
        <v>0</v>
      </c>
      <c r="U31" s="613">
        <f t="shared" ca="1" si="78"/>
        <v>0</v>
      </c>
      <c r="V31" s="613">
        <f t="shared" ca="1" si="78"/>
        <v>0</v>
      </c>
      <c r="W31" s="613">
        <f t="shared" ca="1" si="78"/>
        <v>0</v>
      </c>
      <c r="X31" s="626">
        <f t="shared" ca="1" si="78"/>
        <v>0</v>
      </c>
      <c r="Y31" s="626">
        <f t="shared" ca="1" si="78"/>
        <v>0</v>
      </c>
      <c r="Z31" s="626">
        <f t="shared" ca="1" si="78"/>
        <v>0</v>
      </c>
      <c r="AA31" s="613">
        <f t="shared" ca="1" si="78"/>
        <v>0</v>
      </c>
      <c r="AB31" s="613">
        <f t="shared" ca="1" si="78"/>
        <v>0</v>
      </c>
      <c r="AC31" s="613">
        <f t="shared" ca="1" si="78"/>
        <v>0</v>
      </c>
      <c r="AD31" s="613">
        <f t="shared" ca="1" si="78"/>
        <v>0</v>
      </c>
      <c r="AE31" s="613">
        <f ca="1">SUM(AE29:AE30)</f>
        <v>0</v>
      </c>
      <c r="AF31" s="613">
        <f t="shared" ca="1" si="78"/>
        <v>0</v>
      </c>
      <c r="AG31" s="613">
        <f t="shared" ca="1" si="78"/>
        <v>0</v>
      </c>
      <c r="AH31" s="613">
        <f ca="1">SUM(AH29:AH30)</f>
        <v>0</v>
      </c>
      <c r="AI31" s="613">
        <f t="shared" ca="1" si="78"/>
        <v>0</v>
      </c>
      <c r="AJ31" s="613">
        <f t="shared" ca="1" si="78"/>
        <v>0</v>
      </c>
      <c r="AK31" s="613">
        <f t="shared" ca="1" si="56"/>
        <v>0</v>
      </c>
      <c r="AM31" s="627">
        <f t="shared" ref="AM31:BE31" ca="1" si="79">SUM(AM29:AM30)</f>
        <v>0</v>
      </c>
      <c r="AN31" s="627">
        <f t="shared" ca="1" si="79"/>
        <v>0</v>
      </c>
      <c r="AO31" s="627">
        <f t="shared" ca="1" si="79"/>
        <v>0</v>
      </c>
      <c r="AP31" s="627">
        <f t="shared" ca="1" si="79"/>
        <v>0</v>
      </c>
      <c r="AQ31" s="627">
        <f t="shared" ca="1" si="79"/>
        <v>0</v>
      </c>
      <c r="AR31" s="627">
        <f t="shared" ca="1" si="79"/>
        <v>0</v>
      </c>
      <c r="AS31" s="627">
        <f t="shared" ca="1" si="79"/>
        <v>0</v>
      </c>
      <c r="AT31" s="627">
        <f t="shared" ca="1" si="79"/>
        <v>0</v>
      </c>
      <c r="AU31" s="627">
        <f t="shared" ca="1" si="79"/>
        <v>0</v>
      </c>
      <c r="AV31" s="627">
        <f t="shared" ca="1" si="79"/>
        <v>0</v>
      </c>
      <c r="AW31" s="627">
        <f t="shared" ca="1" si="79"/>
        <v>0</v>
      </c>
      <c r="AX31" s="627">
        <f t="shared" ca="1" si="79"/>
        <v>0</v>
      </c>
      <c r="AY31" s="627">
        <f t="shared" ca="1" si="79"/>
        <v>0</v>
      </c>
      <c r="AZ31" s="627">
        <f t="shared" ca="1" si="79"/>
        <v>0</v>
      </c>
      <c r="BA31" s="627">
        <f t="shared" ca="1" si="79"/>
        <v>0</v>
      </c>
      <c r="BB31" s="627">
        <f t="shared" ca="1" si="79"/>
        <v>0</v>
      </c>
      <c r="BC31" s="627">
        <f t="shared" ca="1" si="79"/>
        <v>0</v>
      </c>
      <c r="BD31" s="627">
        <f ca="1">SUM(BD29:BD30)</f>
        <v>0</v>
      </c>
      <c r="BE31" s="627">
        <f t="shared" ca="1" si="79"/>
        <v>0</v>
      </c>
      <c r="BF31" s="628">
        <f t="shared" ca="1" si="59"/>
        <v>0</v>
      </c>
      <c r="BH31" s="3474">
        <f ca="1">SUM(BH29:BH30)</f>
        <v>0</v>
      </c>
      <c r="BI31" s="3474">
        <f ca="1">SUM(BI29:BI30)</f>
        <v>0</v>
      </c>
      <c r="BJ31" s="3462">
        <f t="shared" ca="1" si="61"/>
        <v>0</v>
      </c>
      <c r="BL31" s="595">
        <f t="shared" ca="1" si="9"/>
        <v>0</v>
      </c>
      <c r="BM31" s="595"/>
      <c r="BN31" s="607"/>
      <c r="BO31" s="2791">
        <f t="shared" ref="BO31:DF31" ca="1" si="80">SUM(BO29:BO30)</f>
        <v>0</v>
      </c>
      <c r="BP31" s="2792">
        <f t="shared" ca="1" si="80"/>
        <v>0</v>
      </c>
      <c r="BQ31" s="2792">
        <f t="shared" ca="1" si="80"/>
        <v>0</v>
      </c>
      <c r="BR31" s="2792">
        <f t="shared" ca="1" si="80"/>
        <v>0</v>
      </c>
      <c r="BS31" s="2792">
        <f t="shared" ca="1" si="80"/>
        <v>0</v>
      </c>
      <c r="BT31" s="2792">
        <f t="shared" ca="1" si="80"/>
        <v>0</v>
      </c>
      <c r="BU31" s="2792">
        <f t="shared" ca="1" si="80"/>
        <v>0</v>
      </c>
      <c r="BV31" s="2792">
        <f t="shared" ca="1" si="80"/>
        <v>0</v>
      </c>
      <c r="BW31" s="2792">
        <f t="shared" ca="1" si="80"/>
        <v>0</v>
      </c>
      <c r="BX31" s="2792">
        <f t="shared" ca="1" si="80"/>
        <v>0</v>
      </c>
      <c r="BY31" s="2792">
        <f t="shared" ca="1" si="80"/>
        <v>0</v>
      </c>
      <c r="BZ31" s="2792">
        <f t="shared" ca="1" si="80"/>
        <v>0</v>
      </c>
      <c r="CA31" s="2792">
        <f t="shared" ca="1" si="80"/>
        <v>0</v>
      </c>
      <c r="CB31" s="2792">
        <f t="shared" ca="1" si="80"/>
        <v>0</v>
      </c>
      <c r="CC31" s="2792">
        <f t="shared" ca="1" si="80"/>
        <v>0</v>
      </c>
      <c r="CD31" s="2792">
        <f t="shared" ca="1" si="80"/>
        <v>0</v>
      </c>
      <c r="CE31" s="2792">
        <f t="shared" ca="1" si="80"/>
        <v>0</v>
      </c>
      <c r="CF31" s="2792">
        <f t="shared" ca="1" si="80"/>
        <v>0</v>
      </c>
      <c r="CG31" s="2792">
        <f t="shared" ca="1" si="80"/>
        <v>0</v>
      </c>
      <c r="CH31" s="2792">
        <f t="shared" ca="1" si="80"/>
        <v>0</v>
      </c>
      <c r="CI31" s="2792">
        <f t="shared" ca="1" si="80"/>
        <v>0</v>
      </c>
      <c r="CJ31" s="2792">
        <f t="shared" ca="1" si="80"/>
        <v>0</v>
      </c>
      <c r="CK31" s="2792">
        <f t="shared" ca="1" si="80"/>
        <v>0</v>
      </c>
      <c r="CL31" s="2792">
        <f t="shared" ca="1" si="80"/>
        <v>0</v>
      </c>
      <c r="CM31" s="2792">
        <f t="shared" ca="1" si="80"/>
        <v>0</v>
      </c>
      <c r="CN31" s="2792">
        <f t="shared" ca="1" si="80"/>
        <v>0</v>
      </c>
      <c r="CO31" s="2792">
        <f t="shared" ca="1" si="80"/>
        <v>0</v>
      </c>
      <c r="CP31" s="2792">
        <f t="shared" ca="1" si="80"/>
        <v>0</v>
      </c>
      <c r="CQ31" s="2792">
        <f t="shared" ca="1" si="80"/>
        <v>0</v>
      </c>
      <c r="CR31" s="2792">
        <f t="shared" ca="1" si="80"/>
        <v>0</v>
      </c>
      <c r="CS31" s="2792">
        <f t="shared" ca="1" si="80"/>
        <v>0</v>
      </c>
      <c r="CT31" s="2792">
        <f t="shared" ca="1" si="80"/>
        <v>0</v>
      </c>
      <c r="CU31" s="2792">
        <f t="shared" ca="1" si="80"/>
        <v>0</v>
      </c>
      <c r="CV31" s="2792">
        <f t="shared" ca="1" si="80"/>
        <v>0</v>
      </c>
      <c r="CW31" s="2792">
        <f t="shared" ca="1" si="80"/>
        <v>0</v>
      </c>
      <c r="CX31" s="2792">
        <f t="shared" ca="1" si="80"/>
        <v>0</v>
      </c>
      <c r="CY31" s="2792">
        <f t="shared" ca="1" si="80"/>
        <v>0</v>
      </c>
      <c r="CZ31" s="2792">
        <f t="shared" ca="1" si="80"/>
        <v>0</v>
      </c>
      <c r="DA31" s="2792">
        <f t="shared" ca="1" si="80"/>
        <v>0</v>
      </c>
      <c r="DB31" s="2792">
        <f t="shared" ca="1" si="80"/>
        <v>0</v>
      </c>
      <c r="DC31" s="2792">
        <f t="shared" ca="1" si="80"/>
        <v>0</v>
      </c>
      <c r="DD31" s="2792">
        <f t="shared" ca="1" si="80"/>
        <v>0</v>
      </c>
      <c r="DE31" s="2792">
        <f t="shared" ca="1" si="80"/>
        <v>0</v>
      </c>
      <c r="DF31" s="2792">
        <f t="shared" ca="1" si="80"/>
        <v>0</v>
      </c>
      <c r="DH31" s="596">
        <f t="shared" ca="1" si="32"/>
        <v>0</v>
      </c>
    </row>
    <row r="32" spans="1:112" s="6" customFormat="1" ht="15.75">
      <c r="A32" s="4"/>
      <c r="B32" s="3"/>
      <c r="C32" s="616" t="s">
        <v>490</v>
      </c>
      <c r="D32" s="617" t="s">
        <v>491</v>
      </c>
      <c r="E32" s="206"/>
      <c r="G32" s="618">
        <f t="shared" ref="G32:P32" ca="1" si="81">G24+G25+G28+G31</f>
        <v>0</v>
      </c>
      <c r="H32" s="618">
        <f t="shared" ca="1" si="81"/>
        <v>0</v>
      </c>
      <c r="I32" s="618">
        <f t="shared" ca="1" si="81"/>
        <v>0</v>
      </c>
      <c r="J32" s="618">
        <f t="shared" ca="1" si="81"/>
        <v>32.690001720662984</v>
      </c>
      <c r="K32" s="618">
        <f t="shared" ca="1" si="81"/>
        <v>0.32657111326878496</v>
      </c>
      <c r="L32" s="618">
        <f t="shared" ca="1" si="81"/>
        <v>2.4811333961622644E-2</v>
      </c>
      <c r="M32" s="618">
        <f t="shared" ca="1" si="81"/>
        <v>0.66</v>
      </c>
      <c r="N32" s="618">
        <f t="shared" ca="1" si="81"/>
        <v>11.923331449069897</v>
      </c>
      <c r="O32" s="618">
        <f t="shared" ca="1" si="81"/>
        <v>0</v>
      </c>
      <c r="P32" s="618">
        <f t="shared" ca="1" si="81"/>
        <v>0</v>
      </c>
      <c r="Q32" s="618">
        <f t="shared" ca="1" si="54"/>
        <v>45.624715616963286</v>
      </c>
      <c r="S32" s="581">
        <f t="shared" ref="S32:AJ32" ca="1" si="82">S24+S25+S28+S31</f>
        <v>-0.86275884221025234</v>
      </c>
      <c r="T32" s="581">
        <f t="shared" ca="1" si="82"/>
        <v>0</v>
      </c>
      <c r="U32" s="581">
        <f t="shared" ca="1" si="82"/>
        <v>0</v>
      </c>
      <c r="V32" s="581">
        <f t="shared" ca="1" si="82"/>
        <v>-44.730244907574864</v>
      </c>
      <c r="W32" s="581">
        <f t="shared" ca="1" si="82"/>
        <v>0</v>
      </c>
      <c r="X32" s="581">
        <f t="shared" ca="1" si="82"/>
        <v>0</v>
      </c>
      <c r="Y32" s="581">
        <f t="shared" ca="1" si="82"/>
        <v>0</v>
      </c>
      <c r="Z32" s="581">
        <f t="shared" ca="1" si="82"/>
        <v>0</v>
      </c>
      <c r="AA32" s="581">
        <f t="shared" ca="1" si="82"/>
        <v>0</v>
      </c>
      <c r="AB32" s="581">
        <f t="shared" ca="1" si="82"/>
        <v>0</v>
      </c>
      <c r="AC32" s="581">
        <f t="shared" ca="1" si="82"/>
        <v>0</v>
      </c>
      <c r="AD32" s="581">
        <f t="shared" ca="1" si="82"/>
        <v>0</v>
      </c>
      <c r="AE32" s="581">
        <f ca="1">AE24+AE25+AE28+AE31</f>
        <v>0</v>
      </c>
      <c r="AF32" s="581">
        <f t="shared" ca="1" si="82"/>
        <v>0</v>
      </c>
      <c r="AG32" s="581">
        <f t="shared" ca="1" si="82"/>
        <v>0</v>
      </c>
      <c r="AH32" s="581">
        <f ca="1">AH24+AH25+AH28+AH31</f>
        <v>0</v>
      </c>
      <c r="AI32" s="581">
        <f t="shared" ca="1" si="82"/>
        <v>0</v>
      </c>
      <c r="AJ32" s="581">
        <f t="shared" ca="1" si="82"/>
        <v>-3.1711867178177075E-2</v>
      </c>
      <c r="AK32" s="581">
        <f t="shared" ca="1" si="56"/>
        <v>-45.624715616963293</v>
      </c>
      <c r="AM32" s="582">
        <f t="shared" ref="AM32:BE32" ca="1" si="83">AM24+AM25+AM28+AM31</f>
        <v>0</v>
      </c>
      <c r="AN32" s="582">
        <f t="shared" ca="1" si="83"/>
        <v>0</v>
      </c>
      <c r="AO32" s="582">
        <f t="shared" ca="1" si="83"/>
        <v>0</v>
      </c>
      <c r="AP32" s="582">
        <f t="shared" ca="1" si="83"/>
        <v>0</v>
      </c>
      <c r="AQ32" s="582">
        <f t="shared" ca="1" si="83"/>
        <v>0</v>
      </c>
      <c r="AR32" s="582">
        <f t="shared" ca="1" si="83"/>
        <v>0</v>
      </c>
      <c r="AS32" s="582">
        <f t="shared" ca="1" si="83"/>
        <v>0</v>
      </c>
      <c r="AT32" s="582">
        <f t="shared" ca="1" si="83"/>
        <v>0</v>
      </c>
      <c r="AU32" s="582">
        <f t="shared" ca="1" si="83"/>
        <v>0</v>
      </c>
      <c r="AV32" s="582">
        <f t="shared" ca="1" si="83"/>
        <v>0</v>
      </c>
      <c r="AW32" s="582">
        <f t="shared" ca="1" si="83"/>
        <v>0</v>
      </c>
      <c r="AX32" s="582">
        <f t="shared" ca="1" si="83"/>
        <v>0</v>
      </c>
      <c r="AY32" s="582">
        <f t="shared" ca="1" si="83"/>
        <v>0</v>
      </c>
      <c r="AZ32" s="582">
        <f t="shared" ca="1" si="83"/>
        <v>0</v>
      </c>
      <c r="BA32" s="582">
        <f t="shared" ca="1" si="83"/>
        <v>0</v>
      </c>
      <c r="BB32" s="582">
        <f t="shared" ca="1" si="83"/>
        <v>0</v>
      </c>
      <c r="BC32" s="582">
        <f t="shared" ca="1" si="83"/>
        <v>0</v>
      </c>
      <c r="BD32" s="582">
        <f ca="1">BD24+BD25+BD28+BD31</f>
        <v>0</v>
      </c>
      <c r="BE32" s="582">
        <f t="shared" ca="1" si="83"/>
        <v>0</v>
      </c>
      <c r="BF32" s="582">
        <f t="shared" ca="1" si="59"/>
        <v>0</v>
      </c>
      <c r="BH32" s="3463">
        <f ca="1">BH24+BH25+BH28+BH31</f>
        <v>0</v>
      </c>
      <c r="BI32" s="3463">
        <f ca="1">BI24+BI25+BI28+BI31</f>
        <v>0</v>
      </c>
      <c r="BJ32" s="3463">
        <f t="shared" ca="1" si="61"/>
        <v>0</v>
      </c>
      <c r="BL32" s="3477">
        <f t="shared" ca="1" si="9"/>
        <v>-7.1054273576010019E-15</v>
      </c>
      <c r="BM32" s="584"/>
      <c r="BN32" s="413"/>
      <c r="BO32" s="2790">
        <f t="shared" ref="BO32:DF32" ca="1" si="84">BO24+BO25+BO28+BO31</f>
        <v>8.6570883234302869</v>
      </c>
      <c r="BP32" s="2790">
        <f t="shared" ca="1" si="84"/>
        <v>7.4406079723889264E-3</v>
      </c>
      <c r="BQ32" s="2790">
        <f t="shared" ca="1" si="84"/>
        <v>2.1967509251814923E-2</v>
      </c>
      <c r="BR32" s="2790">
        <f t="shared" ca="1" si="84"/>
        <v>0</v>
      </c>
      <c r="BS32" s="2790">
        <f t="shared" ca="1" si="84"/>
        <v>0</v>
      </c>
      <c r="BT32" s="2790">
        <f t="shared" ca="1" si="84"/>
        <v>0</v>
      </c>
      <c r="BU32" s="2790">
        <f t="shared" ca="1" si="84"/>
        <v>0</v>
      </c>
      <c r="BV32" s="2790">
        <f t="shared" ca="1" si="84"/>
        <v>0</v>
      </c>
      <c r="BW32" s="2790">
        <f t="shared" ca="1" si="84"/>
        <v>0</v>
      </c>
      <c r="BX32" s="2790">
        <f t="shared" ca="1" si="84"/>
        <v>0</v>
      </c>
      <c r="BY32" s="2790">
        <f t="shared" ca="1" si="84"/>
        <v>0</v>
      </c>
      <c r="BZ32" s="2790">
        <f t="shared" ca="1" si="84"/>
        <v>0</v>
      </c>
      <c r="CA32" s="2790">
        <f t="shared" ca="1" si="84"/>
        <v>0</v>
      </c>
      <c r="CB32" s="2790">
        <f t="shared" ca="1" si="84"/>
        <v>0</v>
      </c>
      <c r="CC32" s="2790">
        <f t="shared" ca="1" si="84"/>
        <v>0</v>
      </c>
      <c r="CD32" s="2790">
        <f t="shared" ca="1" si="84"/>
        <v>0</v>
      </c>
      <c r="CE32" s="2790">
        <f t="shared" ca="1" si="84"/>
        <v>0</v>
      </c>
      <c r="CF32" s="2790">
        <f t="shared" ca="1" si="84"/>
        <v>0</v>
      </c>
      <c r="CG32" s="2790">
        <f t="shared" ca="1" si="84"/>
        <v>0</v>
      </c>
      <c r="CH32" s="2790">
        <f t="shared" ca="1" si="84"/>
        <v>0</v>
      </c>
      <c r="CI32" s="2790">
        <f t="shared" ca="1" si="84"/>
        <v>0</v>
      </c>
      <c r="CJ32" s="2790">
        <f t="shared" ca="1" si="84"/>
        <v>0</v>
      </c>
      <c r="CK32" s="2790">
        <f t="shared" ca="1" si="84"/>
        <v>0</v>
      </c>
      <c r="CL32" s="2790">
        <f t="shared" ca="1" si="84"/>
        <v>0</v>
      </c>
      <c r="CM32" s="2790">
        <f t="shared" ca="1" si="84"/>
        <v>0</v>
      </c>
      <c r="CN32" s="2790">
        <f t="shared" ca="1" si="84"/>
        <v>0</v>
      </c>
      <c r="CO32" s="2790">
        <f t="shared" ca="1" si="84"/>
        <v>0</v>
      </c>
      <c r="CP32" s="2790">
        <f t="shared" ca="1" si="84"/>
        <v>0</v>
      </c>
      <c r="CQ32" s="2790">
        <f t="shared" ca="1" si="84"/>
        <v>0</v>
      </c>
      <c r="CR32" s="2790">
        <f t="shared" ca="1" si="84"/>
        <v>0</v>
      </c>
      <c r="CS32" s="2790">
        <f t="shared" ca="1" si="84"/>
        <v>0</v>
      </c>
      <c r="CT32" s="2790">
        <f t="shared" ca="1" si="84"/>
        <v>0</v>
      </c>
      <c r="CU32" s="2790">
        <f t="shared" ca="1" si="84"/>
        <v>3.146328702780564</v>
      </c>
      <c r="CV32" s="2790">
        <f t="shared" ca="1" si="84"/>
        <v>2.7042115726490529E-3</v>
      </c>
      <c r="CW32" s="2790">
        <f t="shared" ca="1" si="84"/>
        <v>7.9838627382972024E-3</v>
      </c>
      <c r="CX32" s="2790">
        <f t="shared" ca="1" si="84"/>
        <v>0</v>
      </c>
      <c r="CY32" s="2790">
        <f t="shared" ca="1" si="84"/>
        <v>0</v>
      </c>
      <c r="CZ32" s="2790">
        <f t="shared" ca="1" si="84"/>
        <v>0</v>
      </c>
      <c r="DA32" s="2790">
        <f t="shared" ca="1" si="84"/>
        <v>0</v>
      </c>
      <c r="DB32" s="2790">
        <f t="shared" ca="1" si="84"/>
        <v>0</v>
      </c>
      <c r="DC32" s="2790">
        <f t="shared" ca="1" si="84"/>
        <v>0</v>
      </c>
      <c r="DD32" s="2790">
        <f t="shared" ca="1" si="84"/>
        <v>0</v>
      </c>
      <c r="DE32" s="2790">
        <f t="shared" ca="1" si="84"/>
        <v>0</v>
      </c>
      <c r="DF32" s="2790">
        <f t="shared" ca="1" si="84"/>
        <v>0</v>
      </c>
      <c r="DH32" s="596">
        <f t="shared" ca="1" si="32"/>
        <v>11.843513217746002</v>
      </c>
    </row>
    <row r="33" spans="1:112" s="6" customFormat="1">
      <c r="A33" s="4"/>
      <c r="B33" s="4"/>
      <c r="C33" s="622"/>
      <c r="D33" s="206"/>
      <c r="E33" s="206"/>
      <c r="G33" s="618"/>
      <c r="H33" s="618"/>
      <c r="I33" s="618"/>
      <c r="J33" s="618"/>
      <c r="K33" s="618"/>
      <c r="L33" s="618"/>
      <c r="M33" s="618"/>
      <c r="N33" s="618"/>
      <c r="O33" s="618"/>
      <c r="P33" s="618"/>
      <c r="Q33" s="618"/>
      <c r="S33" s="581"/>
      <c r="T33" s="581"/>
      <c r="U33" s="581"/>
      <c r="V33" s="581"/>
      <c r="W33" s="581"/>
      <c r="X33" s="581"/>
      <c r="Y33" s="581"/>
      <c r="Z33" s="581"/>
      <c r="AA33" s="581"/>
      <c r="AB33" s="581"/>
      <c r="AC33" s="581"/>
      <c r="AD33" s="581"/>
      <c r="AE33" s="581"/>
      <c r="AF33" s="581"/>
      <c r="AG33" s="581"/>
      <c r="AH33" s="581"/>
      <c r="AI33" s="581"/>
      <c r="AJ33" s="581"/>
      <c r="AK33" s="581"/>
      <c r="AM33" s="582"/>
      <c r="AN33" s="582"/>
      <c r="AO33" s="582"/>
      <c r="AP33" s="582"/>
      <c r="AQ33" s="582"/>
      <c r="AR33" s="582"/>
      <c r="AS33" s="582"/>
      <c r="AT33" s="582"/>
      <c r="AU33" s="582"/>
      <c r="AV33" s="582"/>
      <c r="AW33" s="582"/>
      <c r="AX33" s="582"/>
      <c r="AY33" s="582"/>
      <c r="AZ33" s="582"/>
      <c r="BA33" s="582"/>
      <c r="BB33" s="582"/>
      <c r="BC33" s="582"/>
      <c r="BD33" s="582"/>
      <c r="BE33" s="582"/>
      <c r="BF33" s="582"/>
      <c r="BH33" s="3463"/>
      <c r="BI33" s="3463"/>
      <c r="BJ33" s="3463"/>
      <c r="BL33" s="3477">
        <f t="shared" si="9"/>
        <v>0</v>
      </c>
      <c r="BM33" s="584"/>
      <c r="BN33" s="4"/>
      <c r="BO33" s="2790"/>
      <c r="BP33" s="2790"/>
      <c r="BQ33" s="2790"/>
      <c r="BR33" s="2790"/>
      <c r="BS33" s="2790"/>
      <c r="BT33" s="2790"/>
      <c r="BU33" s="2790"/>
      <c r="BV33" s="2790"/>
      <c r="BW33" s="2790"/>
      <c r="BX33" s="2790"/>
      <c r="BY33" s="2790"/>
      <c r="BZ33" s="2790"/>
      <c r="CA33" s="2790"/>
      <c r="CB33" s="2790"/>
      <c r="CC33" s="2790"/>
      <c r="CD33" s="2790"/>
      <c r="CE33" s="2790"/>
      <c r="CF33" s="2790"/>
      <c r="CG33" s="2790"/>
      <c r="CH33" s="2790"/>
      <c r="CI33" s="2790"/>
      <c r="CJ33" s="2790"/>
      <c r="CK33" s="2790"/>
      <c r="CL33" s="2790"/>
      <c r="CM33" s="2790"/>
      <c r="CN33" s="2790"/>
      <c r="CO33" s="2790"/>
      <c r="CP33" s="2790"/>
      <c r="CQ33" s="2790"/>
      <c r="CR33" s="2790"/>
      <c r="CS33" s="2790"/>
      <c r="CT33" s="2790"/>
      <c r="CU33" s="2790"/>
      <c r="CV33" s="2790"/>
      <c r="CW33" s="2790"/>
      <c r="CX33" s="2790"/>
      <c r="CY33" s="2790"/>
      <c r="CZ33" s="2790"/>
      <c r="DA33" s="2790"/>
      <c r="DB33" s="2790"/>
      <c r="DC33" s="2790"/>
      <c r="DD33" s="2790"/>
      <c r="DE33" s="2790"/>
      <c r="DF33" s="2790"/>
      <c r="DH33" s="596">
        <f t="shared" si="32"/>
        <v>0</v>
      </c>
    </row>
    <row r="34" spans="1:112" s="6" customFormat="1">
      <c r="A34" s="607"/>
      <c r="B34" s="607"/>
      <c r="C34" s="587" t="s">
        <v>492</v>
      </c>
      <c r="D34" s="611" t="s">
        <v>375</v>
      </c>
      <c r="E34" s="611"/>
      <c r="G34" s="619">
        <f t="shared" ref="G34:P34" ca="1" si="85">IFERROR(INDEX(INDIRECT($C34&amp;".Outputs["&amp;this.Year&amp;"]"), MATCH(G$5, INDIRECT($C34&amp;".Outputs[Vector]"), 0)), 0)</f>
        <v>0</v>
      </c>
      <c r="H34" s="619">
        <f t="shared" ca="1" si="85"/>
        <v>0</v>
      </c>
      <c r="I34" s="619">
        <f t="shared" ca="1" si="85"/>
        <v>0</v>
      </c>
      <c r="J34" s="619">
        <f t="shared" ca="1" si="85"/>
        <v>0</v>
      </c>
      <c r="K34" s="619">
        <f t="shared" ca="1" si="85"/>
        <v>0</v>
      </c>
      <c r="L34" s="619">
        <f t="shared" ca="1" si="85"/>
        <v>0</v>
      </c>
      <c r="M34" s="619">
        <f t="shared" ca="1" si="85"/>
        <v>0</v>
      </c>
      <c r="N34" s="619">
        <f t="shared" ca="1" si="85"/>
        <v>0</v>
      </c>
      <c r="O34" s="619">
        <f t="shared" ca="1" si="85"/>
        <v>0</v>
      </c>
      <c r="P34" s="619">
        <f t="shared" ca="1" si="85"/>
        <v>0</v>
      </c>
      <c r="Q34" s="612">
        <f ca="1">SUM(G34:P34)</f>
        <v>0</v>
      </c>
      <c r="S34" s="620">
        <f t="shared" ref="S34:AJ34" ca="1" si="86">IFERROR(INDEX(INDIRECT($C34&amp;".Outputs["&amp;this.Year&amp;"]"), MATCH(S$5, INDIRECT($C34&amp;".Outputs[Vector]"), 0)), 0)</f>
        <v>0</v>
      </c>
      <c r="T34" s="620">
        <f t="shared" ca="1" si="86"/>
        <v>0</v>
      </c>
      <c r="U34" s="620">
        <f t="shared" ca="1" si="86"/>
        <v>0</v>
      </c>
      <c r="V34" s="620">
        <f t="shared" ca="1" si="86"/>
        <v>0</v>
      </c>
      <c r="W34" s="620">
        <f t="shared" ca="1" si="86"/>
        <v>0</v>
      </c>
      <c r="X34" s="620">
        <f ca="1">IFERROR(INDEX(INDIRECT($C34&amp;".Outputs["&amp;this.Year&amp;"]"), MATCH(X$5, INDIRECT($C34&amp;".Outputs[Vector]"), 0)), 0)</f>
        <v>0</v>
      </c>
      <c r="Y34" s="620">
        <f ca="1">IFERROR(INDEX(INDIRECT($C34&amp;".Outputs["&amp;this.Year&amp;"]"), MATCH(Y$5, INDIRECT($C34&amp;".Outputs[Vector]"), 0)), 0)</f>
        <v>0</v>
      </c>
      <c r="Z34" s="620">
        <f ca="1">IFERROR(INDEX(INDIRECT($C34&amp;".Outputs["&amp;this.Year&amp;"]"), MATCH(Z$5, INDIRECT($C34&amp;".Outputs[Vector]"), 0)), 0)</f>
        <v>0</v>
      </c>
      <c r="AA34" s="620">
        <f t="shared" ca="1" si="86"/>
        <v>0</v>
      </c>
      <c r="AB34" s="620">
        <f t="shared" ca="1" si="86"/>
        <v>0</v>
      </c>
      <c r="AC34" s="620">
        <f t="shared" ca="1" si="86"/>
        <v>0</v>
      </c>
      <c r="AD34" s="620">
        <f t="shared" ca="1" si="86"/>
        <v>0</v>
      </c>
      <c r="AE34" s="620">
        <f t="shared" ca="1" si="86"/>
        <v>0</v>
      </c>
      <c r="AF34" s="620">
        <f t="shared" ca="1" si="86"/>
        <v>0</v>
      </c>
      <c r="AG34" s="620">
        <f t="shared" ca="1" si="86"/>
        <v>0</v>
      </c>
      <c r="AH34" s="620">
        <f t="shared" ca="1" si="86"/>
        <v>0</v>
      </c>
      <c r="AI34" s="620">
        <f t="shared" ca="1" si="86"/>
        <v>0</v>
      </c>
      <c r="AJ34" s="620">
        <f t="shared" ca="1" si="86"/>
        <v>0</v>
      </c>
      <c r="AK34" s="613">
        <f ca="1">SUM(S34:AJ34)</f>
        <v>0</v>
      </c>
      <c r="AM34" s="621">
        <f t="shared" ref="AM34:BE34" ca="1" si="87">IFERROR(INDEX(INDIRECT($C34&amp;".Outputs["&amp;this.Year&amp;"]"), MATCH(AM$5, INDIRECT($C34&amp;".Outputs[Vector]"), 0)), 0)</f>
        <v>0</v>
      </c>
      <c r="AN34" s="621">
        <f t="shared" ca="1" si="87"/>
        <v>0</v>
      </c>
      <c r="AO34" s="621">
        <f t="shared" ca="1" si="87"/>
        <v>0</v>
      </c>
      <c r="AP34" s="621">
        <f t="shared" ca="1" si="87"/>
        <v>0</v>
      </c>
      <c r="AQ34" s="621">
        <f t="shared" ca="1" si="87"/>
        <v>0</v>
      </c>
      <c r="AR34" s="621">
        <f t="shared" ca="1" si="87"/>
        <v>0</v>
      </c>
      <c r="AS34" s="621">
        <f t="shared" ca="1" si="87"/>
        <v>0</v>
      </c>
      <c r="AT34" s="621">
        <f t="shared" ca="1" si="87"/>
        <v>0</v>
      </c>
      <c r="AU34" s="621">
        <f t="shared" ca="1" si="87"/>
        <v>0</v>
      </c>
      <c r="AV34" s="621">
        <f t="shared" ca="1" si="87"/>
        <v>0</v>
      </c>
      <c r="AW34" s="621">
        <f t="shared" ca="1" si="87"/>
        <v>0</v>
      </c>
      <c r="AX34" s="621">
        <f t="shared" ca="1" si="87"/>
        <v>0</v>
      </c>
      <c r="AY34" s="621">
        <f t="shared" ca="1" si="87"/>
        <v>0</v>
      </c>
      <c r="AZ34" s="621">
        <f t="shared" ca="1" si="87"/>
        <v>0</v>
      </c>
      <c r="BA34" s="621">
        <f t="shared" ca="1" si="87"/>
        <v>0</v>
      </c>
      <c r="BB34" s="621">
        <f t="shared" ca="1" si="87"/>
        <v>0</v>
      </c>
      <c r="BC34" s="621">
        <f t="shared" ca="1" si="87"/>
        <v>0</v>
      </c>
      <c r="BD34" s="621">
        <f t="shared" ca="1" si="87"/>
        <v>0</v>
      </c>
      <c r="BE34" s="621">
        <f t="shared" ca="1" si="87"/>
        <v>0</v>
      </c>
      <c r="BF34" s="615">
        <f ca="1">SUM(AM34:BE34)</f>
        <v>0</v>
      </c>
      <c r="BH34" s="3473">
        <f ca="1">IFERROR(INDEX(INDIRECT($C34&amp;".Outputs["&amp;this.Year&amp;"]"), MATCH(BH$5, INDIRECT($C34&amp;".Outputs[Vector]"), 0)), 0)</f>
        <v>0</v>
      </c>
      <c r="BI34" s="3473">
        <f ca="1">IFERROR(INDEX(INDIRECT($C34&amp;".Outputs["&amp;this.Year&amp;"]"), MATCH(BI$5, INDIRECT($C34&amp;".Outputs[Vector]"), 0)), 0)</f>
        <v>0</v>
      </c>
      <c r="BJ34" s="3462">
        <f ca="1">SUM(BH34:BI34)</f>
        <v>0</v>
      </c>
      <c r="BL34" s="610">
        <f t="shared" ca="1" si="9"/>
        <v>0</v>
      </c>
      <c r="BM34" s="610"/>
      <c r="BN34" s="413"/>
      <c r="BO34" s="2791">
        <f t="shared" ref="BO34:DF34" ca="1" si="88">IFERROR(SUMIFS(INDIRECT($C34&amp;".Emissions["&amp;this.Year&amp;"]"), INDIRECT($C34&amp;".Emissions[GHG]"), BO$6, INDIRECT($C34&amp;".Emissions[IPCC Sector]"), BO$5),0)</f>
        <v>0</v>
      </c>
      <c r="BP34" s="2792">
        <f t="shared" ca="1" si="88"/>
        <v>0</v>
      </c>
      <c r="BQ34" s="2792">
        <f t="shared" ca="1" si="88"/>
        <v>0</v>
      </c>
      <c r="BR34" s="2792">
        <f t="shared" ca="1" si="88"/>
        <v>0</v>
      </c>
      <c r="BS34" s="2792">
        <f t="shared" ca="1" si="88"/>
        <v>0</v>
      </c>
      <c r="BT34" s="2792">
        <f t="shared" ca="1" si="88"/>
        <v>0</v>
      </c>
      <c r="BU34" s="2792">
        <f t="shared" ca="1" si="88"/>
        <v>0</v>
      </c>
      <c r="BV34" s="2792">
        <f t="shared" ca="1" si="88"/>
        <v>0</v>
      </c>
      <c r="BW34" s="2792">
        <f t="shared" ca="1" si="88"/>
        <v>0</v>
      </c>
      <c r="BX34" s="2792">
        <f t="shared" ca="1" si="88"/>
        <v>0</v>
      </c>
      <c r="BY34" s="2792">
        <f t="shared" ca="1" si="88"/>
        <v>0</v>
      </c>
      <c r="BZ34" s="2792">
        <f t="shared" ca="1" si="88"/>
        <v>0</v>
      </c>
      <c r="CA34" s="2792">
        <f t="shared" ca="1" si="88"/>
        <v>0</v>
      </c>
      <c r="CB34" s="2792">
        <f t="shared" ca="1" si="88"/>
        <v>0</v>
      </c>
      <c r="CC34" s="2792">
        <f t="shared" ca="1" si="88"/>
        <v>0</v>
      </c>
      <c r="CD34" s="2792">
        <f t="shared" ca="1" si="88"/>
        <v>0</v>
      </c>
      <c r="CE34" s="2792">
        <f t="shared" ca="1" si="88"/>
        <v>0</v>
      </c>
      <c r="CF34" s="2792">
        <f t="shared" ca="1" si="88"/>
        <v>0</v>
      </c>
      <c r="CG34" s="2792">
        <f t="shared" ca="1" si="88"/>
        <v>0</v>
      </c>
      <c r="CH34" s="2792">
        <f t="shared" ca="1" si="88"/>
        <v>0</v>
      </c>
      <c r="CI34" s="2792">
        <f t="shared" ca="1" si="88"/>
        <v>0</v>
      </c>
      <c r="CJ34" s="2792">
        <f t="shared" ca="1" si="88"/>
        <v>0</v>
      </c>
      <c r="CK34" s="2792">
        <f t="shared" ca="1" si="88"/>
        <v>0</v>
      </c>
      <c r="CL34" s="2792">
        <f t="shared" ca="1" si="88"/>
        <v>0</v>
      </c>
      <c r="CM34" s="2792">
        <f t="shared" ca="1" si="88"/>
        <v>0</v>
      </c>
      <c r="CN34" s="2792">
        <f t="shared" ca="1" si="88"/>
        <v>0</v>
      </c>
      <c r="CO34" s="2792">
        <f t="shared" ca="1" si="88"/>
        <v>0</v>
      </c>
      <c r="CP34" s="2792">
        <f t="shared" ca="1" si="88"/>
        <v>0</v>
      </c>
      <c r="CQ34" s="2792">
        <f t="shared" ca="1" si="88"/>
        <v>0</v>
      </c>
      <c r="CR34" s="2792">
        <f t="shared" ca="1" si="88"/>
        <v>0</v>
      </c>
      <c r="CS34" s="2792">
        <f t="shared" ca="1" si="88"/>
        <v>0</v>
      </c>
      <c r="CT34" s="2792">
        <f t="shared" ca="1" si="88"/>
        <v>0</v>
      </c>
      <c r="CU34" s="2792">
        <f t="shared" ca="1" si="88"/>
        <v>0</v>
      </c>
      <c r="CV34" s="2792">
        <f t="shared" ca="1" si="88"/>
        <v>0</v>
      </c>
      <c r="CW34" s="2792">
        <f t="shared" ca="1" si="88"/>
        <v>0</v>
      </c>
      <c r="CX34" s="2792">
        <f t="shared" ca="1" si="88"/>
        <v>0</v>
      </c>
      <c r="CY34" s="2792">
        <f t="shared" ca="1" si="88"/>
        <v>0</v>
      </c>
      <c r="CZ34" s="2792">
        <f t="shared" ca="1" si="88"/>
        <v>0</v>
      </c>
      <c r="DA34" s="2792">
        <f t="shared" ca="1" si="88"/>
        <v>0</v>
      </c>
      <c r="DB34" s="2792">
        <f t="shared" ca="1" si="88"/>
        <v>0</v>
      </c>
      <c r="DC34" s="2792">
        <f t="shared" ca="1" si="88"/>
        <v>0</v>
      </c>
      <c r="DD34" s="2792">
        <f t="shared" ca="1" si="88"/>
        <v>0</v>
      </c>
      <c r="DE34" s="2792">
        <f t="shared" ca="1" si="88"/>
        <v>0</v>
      </c>
      <c r="DF34" s="2792">
        <f t="shared" ca="1" si="88"/>
        <v>0</v>
      </c>
      <c r="DH34" s="596">
        <f t="shared" ca="1" si="32"/>
        <v>0</v>
      </c>
    </row>
    <row r="35" spans="1:112" s="6" customFormat="1" ht="15.75">
      <c r="A35" s="4"/>
      <c r="B35" s="3"/>
      <c r="C35" s="616" t="s">
        <v>493</v>
      </c>
      <c r="D35" s="617" t="s">
        <v>375</v>
      </c>
      <c r="E35" s="206"/>
      <c r="G35" s="618">
        <f ca="1">G34</f>
        <v>0</v>
      </c>
      <c r="H35" s="618">
        <f t="shared" ref="H35:P35" ca="1" si="89">H34</f>
        <v>0</v>
      </c>
      <c r="I35" s="618">
        <f t="shared" ca="1" si="89"/>
        <v>0</v>
      </c>
      <c r="J35" s="618">
        <f t="shared" ca="1" si="89"/>
        <v>0</v>
      </c>
      <c r="K35" s="618">
        <f t="shared" ca="1" si="89"/>
        <v>0</v>
      </c>
      <c r="L35" s="618">
        <f t="shared" ca="1" si="89"/>
        <v>0</v>
      </c>
      <c r="M35" s="618">
        <f t="shared" ca="1" si="89"/>
        <v>0</v>
      </c>
      <c r="N35" s="618">
        <f ca="1">N34</f>
        <v>0</v>
      </c>
      <c r="O35" s="618">
        <f ca="1">O34</f>
        <v>0</v>
      </c>
      <c r="P35" s="618">
        <f t="shared" ca="1" si="89"/>
        <v>0</v>
      </c>
      <c r="Q35" s="618">
        <f ca="1">SUM(G35:P35)</f>
        <v>0</v>
      </c>
      <c r="S35" s="581">
        <f ca="1">S34</f>
        <v>0</v>
      </c>
      <c r="T35" s="581">
        <f t="shared" ref="T35:AJ35" ca="1" si="90">T34</f>
        <v>0</v>
      </c>
      <c r="U35" s="581">
        <f t="shared" ca="1" si="90"/>
        <v>0</v>
      </c>
      <c r="V35" s="581">
        <f t="shared" ca="1" si="90"/>
        <v>0</v>
      </c>
      <c r="W35" s="581">
        <f t="shared" ca="1" si="90"/>
        <v>0</v>
      </c>
      <c r="X35" s="581">
        <f ca="1">X34</f>
        <v>0</v>
      </c>
      <c r="Y35" s="581">
        <f ca="1">Y34</f>
        <v>0</v>
      </c>
      <c r="Z35" s="581">
        <f ca="1">Z34</f>
        <v>0</v>
      </c>
      <c r="AA35" s="581">
        <f t="shared" ca="1" si="90"/>
        <v>0</v>
      </c>
      <c r="AB35" s="581">
        <f t="shared" ca="1" si="90"/>
        <v>0</v>
      </c>
      <c r="AC35" s="581">
        <f t="shared" ca="1" si="90"/>
        <v>0</v>
      </c>
      <c r="AD35" s="581">
        <f ca="1">AD34</f>
        <v>0</v>
      </c>
      <c r="AE35" s="581">
        <f ca="1">AE34</f>
        <v>0</v>
      </c>
      <c r="AF35" s="581">
        <f t="shared" ca="1" si="90"/>
        <v>0</v>
      </c>
      <c r="AG35" s="581">
        <f ca="1">AG34</f>
        <v>0</v>
      </c>
      <c r="AH35" s="581">
        <f ca="1">AH34</f>
        <v>0</v>
      </c>
      <c r="AI35" s="581">
        <f ca="1">AI34</f>
        <v>0</v>
      </c>
      <c r="AJ35" s="581">
        <f t="shared" ca="1" si="90"/>
        <v>0</v>
      </c>
      <c r="AK35" s="581">
        <f ca="1">SUM(S35:AJ35)</f>
        <v>0</v>
      </c>
      <c r="AM35" s="582">
        <f t="shared" ref="AM35:BE35" ca="1" si="91">AM34</f>
        <v>0</v>
      </c>
      <c r="AN35" s="582">
        <f t="shared" ca="1" si="91"/>
        <v>0</v>
      </c>
      <c r="AO35" s="582">
        <f t="shared" ca="1" si="91"/>
        <v>0</v>
      </c>
      <c r="AP35" s="582">
        <f t="shared" ca="1" si="91"/>
        <v>0</v>
      </c>
      <c r="AQ35" s="582">
        <f t="shared" ca="1" si="91"/>
        <v>0</v>
      </c>
      <c r="AR35" s="582">
        <f t="shared" ca="1" si="91"/>
        <v>0</v>
      </c>
      <c r="AS35" s="582">
        <f t="shared" ca="1" si="91"/>
        <v>0</v>
      </c>
      <c r="AT35" s="582">
        <f t="shared" ca="1" si="91"/>
        <v>0</v>
      </c>
      <c r="AU35" s="582">
        <f t="shared" ca="1" si="91"/>
        <v>0</v>
      </c>
      <c r="AV35" s="582">
        <f t="shared" ca="1" si="91"/>
        <v>0</v>
      </c>
      <c r="AW35" s="582">
        <f t="shared" ca="1" si="91"/>
        <v>0</v>
      </c>
      <c r="AX35" s="582">
        <f t="shared" ca="1" si="91"/>
        <v>0</v>
      </c>
      <c r="AY35" s="582">
        <f t="shared" ca="1" si="91"/>
        <v>0</v>
      </c>
      <c r="AZ35" s="582">
        <f t="shared" ca="1" si="91"/>
        <v>0</v>
      </c>
      <c r="BA35" s="582">
        <f t="shared" ca="1" si="91"/>
        <v>0</v>
      </c>
      <c r="BB35" s="582">
        <f t="shared" ca="1" si="91"/>
        <v>0</v>
      </c>
      <c r="BC35" s="582">
        <f t="shared" ca="1" si="91"/>
        <v>0</v>
      </c>
      <c r="BD35" s="582">
        <f ca="1">BD34</f>
        <v>0</v>
      </c>
      <c r="BE35" s="582">
        <f t="shared" ca="1" si="91"/>
        <v>0</v>
      </c>
      <c r="BF35" s="582">
        <f ca="1">SUM(AM35:BE35)</f>
        <v>0</v>
      </c>
      <c r="BH35" s="3463">
        <f ca="1">BH34</f>
        <v>0</v>
      </c>
      <c r="BI35" s="3463">
        <f ca="1">BI34</f>
        <v>0</v>
      </c>
      <c r="BJ35" s="3463">
        <f ca="1">SUM(BH35:BI35)</f>
        <v>0</v>
      </c>
      <c r="BL35" s="3477">
        <f t="shared" ca="1" si="9"/>
        <v>0</v>
      </c>
      <c r="BM35" s="584"/>
      <c r="BN35" s="413"/>
      <c r="BO35" s="2790">
        <f t="shared" ref="BO35:DF35" ca="1" si="92">BO34</f>
        <v>0</v>
      </c>
      <c r="BP35" s="2790">
        <f t="shared" ca="1" si="92"/>
        <v>0</v>
      </c>
      <c r="BQ35" s="2790">
        <f t="shared" ca="1" si="92"/>
        <v>0</v>
      </c>
      <c r="BR35" s="2790">
        <f t="shared" ca="1" si="92"/>
        <v>0</v>
      </c>
      <c r="BS35" s="2790">
        <f t="shared" ca="1" si="92"/>
        <v>0</v>
      </c>
      <c r="BT35" s="2790">
        <f t="shared" ca="1" si="92"/>
        <v>0</v>
      </c>
      <c r="BU35" s="2790">
        <f t="shared" ca="1" si="92"/>
        <v>0</v>
      </c>
      <c r="BV35" s="2790">
        <f t="shared" ca="1" si="92"/>
        <v>0</v>
      </c>
      <c r="BW35" s="2790">
        <f t="shared" ca="1" si="92"/>
        <v>0</v>
      </c>
      <c r="BX35" s="2790">
        <f t="shared" ca="1" si="92"/>
        <v>0</v>
      </c>
      <c r="BY35" s="2790">
        <f t="shared" ca="1" si="92"/>
        <v>0</v>
      </c>
      <c r="BZ35" s="2790">
        <f t="shared" ca="1" si="92"/>
        <v>0</v>
      </c>
      <c r="CA35" s="2790">
        <f t="shared" ca="1" si="92"/>
        <v>0</v>
      </c>
      <c r="CB35" s="2790">
        <f t="shared" ca="1" si="92"/>
        <v>0</v>
      </c>
      <c r="CC35" s="2790">
        <f t="shared" ca="1" si="92"/>
        <v>0</v>
      </c>
      <c r="CD35" s="2790">
        <f t="shared" ca="1" si="92"/>
        <v>0</v>
      </c>
      <c r="CE35" s="2790">
        <f t="shared" ca="1" si="92"/>
        <v>0</v>
      </c>
      <c r="CF35" s="2790">
        <f t="shared" ca="1" si="92"/>
        <v>0</v>
      </c>
      <c r="CG35" s="2790">
        <f t="shared" ca="1" si="92"/>
        <v>0</v>
      </c>
      <c r="CH35" s="2790">
        <f t="shared" ca="1" si="92"/>
        <v>0</v>
      </c>
      <c r="CI35" s="2790">
        <f t="shared" ca="1" si="92"/>
        <v>0</v>
      </c>
      <c r="CJ35" s="2790">
        <f t="shared" ca="1" si="92"/>
        <v>0</v>
      </c>
      <c r="CK35" s="2790">
        <f t="shared" ca="1" si="92"/>
        <v>0</v>
      </c>
      <c r="CL35" s="2790">
        <f t="shared" ca="1" si="92"/>
        <v>0</v>
      </c>
      <c r="CM35" s="2790">
        <f t="shared" ca="1" si="92"/>
        <v>0</v>
      </c>
      <c r="CN35" s="2790">
        <f t="shared" ca="1" si="92"/>
        <v>0</v>
      </c>
      <c r="CO35" s="2790">
        <f t="shared" ca="1" si="92"/>
        <v>0</v>
      </c>
      <c r="CP35" s="2790">
        <f t="shared" ca="1" si="92"/>
        <v>0</v>
      </c>
      <c r="CQ35" s="2790">
        <f t="shared" ca="1" si="92"/>
        <v>0</v>
      </c>
      <c r="CR35" s="2790">
        <f t="shared" ca="1" si="92"/>
        <v>0</v>
      </c>
      <c r="CS35" s="2790">
        <f t="shared" ca="1" si="92"/>
        <v>0</v>
      </c>
      <c r="CT35" s="2790">
        <f t="shared" ca="1" si="92"/>
        <v>0</v>
      </c>
      <c r="CU35" s="2790">
        <f t="shared" ca="1" si="92"/>
        <v>0</v>
      </c>
      <c r="CV35" s="2790">
        <f t="shared" ca="1" si="92"/>
        <v>0</v>
      </c>
      <c r="CW35" s="2790">
        <f t="shared" ca="1" si="92"/>
        <v>0</v>
      </c>
      <c r="CX35" s="2790">
        <f t="shared" ca="1" si="92"/>
        <v>0</v>
      </c>
      <c r="CY35" s="2790">
        <f t="shared" ca="1" si="92"/>
        <v>0</v>
      </c>
      <c r="CZ35" s="2790">
        <f t="shared" ca="1" si="92"/>
        <v>0</v>
      </c>
      <c r="DA35" s="2790">
        <f t="shared" ca="1" si="92"/>
        <v>0</v>
      </c>
      <c r="DB35" s="2790">
        <f t="shared" ca="1" si="92"/>
        <v>0</v>
      </c>
      <c r="DC35" s="2790">
        <f t="shared" ca="1" si="92"/>
        <v>0</v>
      </c>
      <c r="DD35" s="2790">
        <f t="shared" ca="1" si="92"/>
        <v>0</v>
      </c>
      <c r="DE35" s="2790">
        <f t="shared" ca="1" si="92"/>
        <v>0</v>
      </c>
      <c r="DF35" s="2790">
        <f t="shared" ca="1" si="92"/>
        <v>0</v>
      </c>
      <c r="DH35" s="596">
        <f t="shared" ca="1" si="32"/>
        <v>0</v>
      </c>
    </row>
    <row r="36" spans="1:112" s="6" customFormat="1">
      <c r="A36" s="4"/>
      <c r="B36" s="4"/>
      <c r="C36" s="622"/>
      <c r="D36" s="206"/>
      <c r="E36" s="206"/>
      <c r="G36" s="618"/>
      <c r="H36" s="618"/>
      <c r="I36" s="618"/>
      <c r="J36" s="618"/>
      <c r="K36" s="618"/>
      <c r="L36" s="618"/>
      <c r="M36" s="618"/>
      <c r="N36" s="618"/>
      <c r="O36" s="618"/>
      <c r="P36" s="618"/>
      <c r="Q36" s="618"/>
      <c r="S36" s="581"/>
      <c r="T36" s="581"/>
      <c r="U36" s="581"/>
      <c r="V36" s="581"/>
      <c r="W36" s="581"/>
      <c r="X36" s="581"/>
      <c r="Y36" s="581"/>
      <c r="Z36" s="581"/>
      <c r="AA36" s="581"/>
      <c r="AB36" s="581"/>
      <c r="AC36" s="581"/>
      <c r="AD36" s="581"/>
      <c r="AE36" s="581"/>
      <c r="AF36" s="581"/>
      <c r="AG36" s="581"/>
      <c r="AH36" s="581"/>
      <c r="AI36" s="581"/>
      <c r="AJ36" s="581"/>
      <c r="AK36" s="581"/>
      <c r="AM36" s="582"/>
      <c r="AN36" s="582"/>
      <c r="AO36" s="582"/>
      <c r="AP36" s="582"/>
      <c r="AQ36" s="582"/>
      <c r="AR36" s="582"/>
      <c r="AS36" s="582"/>
      <c r="AT36" s="582"/>
      <c r="AU36" s="582"/>
      <c r="AV36" s="582"/>
      <c r="AW36" s="582"/>
      <c r="AX36" s="582"/>
      <c r="AY36" s="582"/>
      <c r="AZ36" s="582"/>
      <c r="BA36" s="582"/>
      <c r="BB36" s="582"/>
      <c r="BC36" s="582"/>
      <c r="BD36" s="582"/>
      <c r="BE36" s="582"/>
      <c r="BF36" s="582"/>
      <c r="BH36" s="3463"/>
      <c r="BI36" s="3463"/>
      <c r="BJ36" s="3463"/>
      <c r="BL36" s="3477">
        <f t="shared" si="9"/>
        <v>0</v>
      </c>
      <c r="BM36" s="584"/>
      <c r="BN36" s="4"/>
      <c r="BO36" s="2789"/>
      <c r="BP36" s="2790"/>
      <c r="BQ36" s="2790"/>
      <c r="BR36" s="2790"/>
      <c r="BS36" s="2790"/>
      <c r="BT36" s="2790"/>
      <c r="BU36" s="2790"/>
      <c r="BV36" s="2790"/>
      <c r="BW36" s="2790"/>
      <c r="BX36" s="2790"/>
      <c r="BY36" s="2790"/>
      <c r="BZ36" s="2790"/>
      <c r="CA36" s="2790"/>
      <c r="CB36" s="2790"/>
      <c r="CC36" s="2790"/>
      <c r="CD36" s="2790"/>
      <c r="CE36" s="2790"/>
      <c r="CF36" s="2790"/>
      <c r="CG36" s="2790"/>
      <c r="CH36" s="2790"/>
      <c r="CI36" s="2790"/>
      <c r="CJ36" s="2790"/>
      <c r="CK36" s="2790"/>
      <c r="CL36" s="2790"/>
      <c r="CM36" s="2790"/>
      <c r="CN36" s="2790"/>
      <c r="CO36" s="2790"/>
      <c r="CP36" s="2790"/>
      <c r="CQ36" s="2790"/>
      <c r="CR36" s="2790"/>
      <c r="CS36" s="2790"/>
      <c r="CT36" s="2790"/>
      <c r="CU36" s="2790"/>
      <c r="CV36" s="2790"/>
      <c r="CW36" s="2790"/>
      <c r="CX36" s="2790"/>
      <c r="CY36" s="2790"/>
      <c r="CZ36" s="2790"/>
      <c r="DA36" s="2790"/>
      <c r="DB36" s="2790"/>
      <c r="DC36" s="2790"/>
      <c r="DD36" s="2790"/>
      <c r="DE36" s="2790"/>
      <c r="DF36" s="2790"/>
      <c r="DH36" s="596">
        <f t="shared" si="32"/>
        <v>0</v>
      </c>
    </row>
    <row r="37" spans="1:112" s="6" customFormat="1">
      <c r="A37" s="607"/>
      <c r="B37" s="607"/>
      <c r="C37" s="587" t="s">
        <v>494</v>
      </c>
      <c r="D37" s="611" t="s">
        <v>495</v>
      </c>
      <c r="E37" s="611"/>
      <c r="G37" s="619">
        <f t="shared" ref="G37:P37" ca="1" si="93">IFERROR(INDEX(INDIRECT($C37&amp;".Outputs["&amp;this.Year&amp;"]"), MATCH(G$5, INDIRECT($C37&amp;".Outputs[Vector]"), 0)), 0)</f>
        <v>0</v>
      </c>
      <c r="H37" s="619">
        <f t="shared" ca="1" si="93"/>
        <v>0</v>
      </c>
      <c r="I37" s="619">
        <f t="shared" ca="1" si="93"/>
        <v>0</v>
      </c>
      <c r="J37" s="619">
        <f t="shared" ca="1" si="93"/>
        <v>0</v>
      </c>
      <c r="K37" s="619">
        <f t="shared" ca="1" si="93"/>
        <v>0</v>
      </c>
      <c r="L37" s="619">
        <f t="shared" ca="1" si="93"/>
        <v>0</v>
      </c>
      <c r="M37" s="619">
        <f t="shared" ca="1" si="93"/>
        <v>0</v>
      </c>
      <c r="N37" s="619">
        <f t="shared" ca="1" si="93"/>
        <v>0</v>
      </c>
      <c r="O37" s="619">
        <f t="shared" ca="1" si="93"/>
        <v>0</v>
      </c>
      <c r="P37" s="619">
        <f t="shared" ca="1" si="93"/>
        <v>0</v>
      </c>
      <c r="Q37" s="612">
        <f ca="1">SUM(G37:P37)</f>
        <v>0</v>
      </c>
      <c r="S37" s="620">
        <f t="shared" ref="S37:AJ37" ca="1" si="94">IFERROR(INDEX(INDIRECT($C37&amp;".Outputs["&amp;this.Year&amp;"]"), MATCH(S$5, INDIRECT($C37&amp;".Outputs[Vector]"), 0)), 0)</f>
        <v>0</v>
      </c>
      <c r="T37" s="620">
        <f t="shared" ca="1" si="94"/>
        <v>0</v>
      </c>
      <c r="U37" s="620">
        <f t="shared" ca="1" si="94"/>
        <v>0</v>
      </c>
      <c r="V37" s="620">
        <f t="shared" ca="1" si="94"/>
        <v>0</v>
      </c>
      <c r="W37" s="620">
        <f t="shared" ca="1" si="94"/>
        <v>0</v>
      </c>
      <c r="X37" s="620">
        <f ca="1">IFERROR(INDEX(INDIRECT($C37&amp;".Outputs["&amp;this.Year&amp;"]"), MATCH(X$5, INDIRECT($C37&amp;".Outputs[Vector]"), 0)), 0)</f>
        <v>0</v>
      </c>
      <c r="Y37" s="620">
        <f ca="1">IFERROR(INDEX(INDIRECT($C37&amp;".Outputs["&amp;this.Year&amp;"]"), MATCH(Y$5, INDIRECT($C37&amp;".Outputs[Vector]"), 0)), 0)</f>
        <v>0</v>
      </c>
      <c r="Z37" s="620">
        <f ca="1">IFERROR(INDEX(INDIRECT($C37&amp;".Outputs["&amp;this.Year&amp;"]"), MATCH(Z$5, INDIRECT($C37&amp;".Outputs[Vector]"), 0)), 0)</f>
        <v>0</v>
      </c>
      <c r="AA37" s="620">
        <f t="shared" ca="1" si="94"/>
        <v>0</v>
      </c>
      <c r="AB37" s="620">
        <f t="shared" ca="1" si="94"/>
        <v>0</v>
      </c>
      <c r="AC37" s="620">
        <f t="shared" ca="1" si="94"/>
        <v>0</v>
      </c>
      <c r="AD37" s="620">
        <f t="shared" ca="1" si="94"/>
        <v>0</v>
      </c>
      <c r="AE37" s="620">
        <f t="shared" ca="1" si="94"/>
        <v>0</v>
      </c>
      <c r="AF37" s="620">
        <f t="shared" ca="1" si="94"/>
        <v>0</v>
      </c>
      <c r="AG37" s="620">
        <f t="shared" ca="1" si="94"/>
        <v>0</v>
      </c>
      <c r="AH37" s="620">
        <f t="shared" ca="1" si="94"/>
        <v>0</v>
      </c>
      <c r="AI37" s="620">
        <f t="shared" ca="1" si="94"/>
        <v>0</v>
      </c>
      <c r="AJ37" s="620">
        <f t="shared" ca="1" si="94"/>
        <v>0</v>
      </c>
      <c r="AK37" s="613">
        <f ca="1">SUM(S37:AJ37)</f>
        <v>0</v>
      </c>
      <c r="AM37" s="621">
        <f t="shared" ref="AM37:BE37" ca="1" si="95">IFERROR(INDEX(INDIRECT($C37&amp;".Outputs["&amp;this.Year&amp;"]"), MATCH(AM$5, INDIRECT($C37&amp;".Outputs[Vector]"), 0)), 0)</f>
        <v>0</v>
      </c>
      <c r="AN37" s="621">
        <f t="shared" ca="1" si="95"/>
        <v>0</v>
      </c>
      <c r="AO37" s="621">
        <f t="shared" ca="1" si="95"/>
        <v>0</v>
      </c>
      <c r="AP37" s="621">
        <f t="shared" ca="1" si="95"/>
        <v>0</v>
      </c>
      <c r="AQ37" s="621">
        <f t="shared" ca="1" si="95"/>
        <v>0</v>
      </c>
      <c r="AR37" s="621">
        <f t="shared" ca="1" si="95"/>
        <v>0</v>
      </c>
      <c r="AS37" s="621">
        <f t="shared" ca="1" si="95"/>
        <v>0</v>
      </c>
      <c r="AT37" s="621">
        <f t="shared" ca="1" si="95"/>
        <v>0</v>
      </c>
      <c r="AU37" s="621">
        <f t="shared" ca="1" si="95"/>
        <v>0</v>
      </c>
      <c r="AV37" s="621">
        <f t="shared" ca="1" si="95"/>
        <v>0</v>
      </c>
      <c r="AW37" s="621">
        <f t="shared" ca="1" si="95"/>
        <v>0</v>
      </c>
      <c r="AX37" s="621">
        <f t="shared" ca="1" si="95"/>
        <v>0</v>
      </c>
      <c r="AY37" s="621">
        <f t="shared" ca="1" si="95"/>
        <v>0</v>
      </c>
      <c r="AZ37" s="621">
        <f t="shared" ca="1" si="95"/>
        <v>0</v>
      </c>
      <c r="BA37" s="621">
        <f t="shared" ca="1" si="95"/>
        <v>0</v>
      </c>
      <c r="BB37" s="621">
        <f t="shared" ca="1" si="95"/>
        <v>0</v>
      </c>
      <c r="BC37" s="621">
        <f t="shared" ca="1" si="95"/>
        <v>0</v>
      </c>
      <c r="BD37" s="621">
        <f t="shared" ca="1" si="95"/>
        <v>0</v>
      </c>
      <c r="BE37" s="621">
        <f t="shared" ca="1" si="95"/>
        <v>0</v>
      </c>
      <c r="BF37" s="615">
        <f ca="1">SUM(AM37:BE37)</f>
        <v>0</v>
      </c>
      <c r="BH37" s="3473">
        <f ca="1">IFERROR(INDEX(INDIRECT($C37&amp;".Outputs["&amp;this.Year&amp;"]"), MATCH(BH$5, INDIRECT($C37&amp;".Outputs[Vector]"), 0)), 0)</f>
        <v>0</v>
      </c>
      <c r="BI37" s="3473">
        <f ca="1">IFERROR(INDEX(INDIRECT($C37&amp;".Outputs["&amp;this.Year&amp;"]"), MATCH(BI$5, INDIRECT($C37&amp;".Outputs[Vector]"), 0)), 0)</f>
        <v>0</v>
      </c>
      <c r="BJ37" s="3462">
        <f ca="1">SUM(BH37:BI37)</f>
        <v>0</v>
      </c>
      <c r="BL37" s="610">
        <f t="shared" ca="1" si="9"/>
        <v>0</v>
      </c>
      <c r="BM37" s="610"/>
      <c r="BN37" s="413"/>
      <c r="BO37" s="2791">
        <f t="shared" ref="BO37:DF37" ca="1" si="96">IFERROR(SUMIFS(INDIRECT($C37&amp;".Emissions["&amp;this.Year&amp;"]"), INDIRECT($C37&amp;".Emissions[GHG]"), BO$6, INDIRECT($C37&amp;".Emissions[IPCC Sector]"), BO$5),0)</f>
        <v>0</v>
      </c>
      <c r="BP37" s="2792">
        <f t="shared" ca="1" si="96"/>
        <v>0</v>
      </c>
      <c r="BQ37" s="2792">
        <f t="shared" ca="1" si="96"/>
        <v>0</v>
      </c>
      <c r="BR37" s="2792">
        <f t="shared" ca="1" si="96"/>
        <v>0</v>
      </c>
      <c r="BS37" s="2792">
        <f t="shared" ca="1" si="96"/>
        <v>0</v>
      </c>
      <c r="BT37" s="2792">
        <f t="shared" ca="1" si="96"/>
        <v>0</v>
      </c>
      <c r="BU37" s="2792">
        <f t="shared" ca="1" si="96"/>
        <v>0</v>
      </c>
      <c r="BV37" s="2792">
        <f t="shared" ca="1" si="96"/>
        <v>0</v>
      </c>
      <c r="BW37" s="2792">
        <f t="shared" ca="1" si="96"/>
        <v>0</v>
      </c>
      <c r="BX37" s="2792">
        <f t="shared" ca="1" si="96"/>
        <v>0</v>
      </c>
      <c r="BY37" s="2792">
        <f t="shared" ca="1" si="96"/>
        <v>0</v>
      </c>
      <c r="BZ37" s="2792">
        <f t="shared" ca="1" si="96"/>
        <v>0</v>
      </c>
      <c r="CA37" s="2792">
        <f t="shared" ca="1" si="96"/>
        <v>0</v>
      </c>
      <c r="CB37" s="2792">
        <f t="shared" ca="1" si="96"/>
        <v>0</v>
      </c>
      <c r="CC37" s="2792">
        <f t="shared" ca="1" si="96"/>
        <v>0</v>
      </c>
      <c r="CD37" s="2792">
        <f t="shared" ca="1" si="96"/>
        <v>0</v>
      </c>
      <c r="CE37" s="2792">
        <f t="shared" ca="1" si="96"/>
        <v>0</v>
      </c>
      <c r="CF37" s="2792">
        <f t="shared" ca="1" si="96"/>
        <v>0</v>
      </c>
      <c r="CG37" s="2792">
        <f t="shared" ca="1" si="96"/>
        <v>0</v>
      </c>
      <c r="CH37" s="2792">
        <f t="shared" ca="1" si="96"/>
        <v>0</v>
      </c>
      <c r="CI37" s="2792">
        <f t="shared" ca="1" si="96"/>
        <v>0</v>
      </c>
      <c r="CJ37" s="2792">
        <f t="shared" ca="1" si="96"/>
        <v>0</v>
      </c>
      <c r="CK37" s="2792">
        <f t="shared" ca="1" si="96"/>
        <v>0</v>
      </c>
      <c r="CL37" s="2792">
        <f t="shared" ca="1" si="96"/>
        <v>0</v>
      </c>
      <c r="CM37" s="2792">
        <f t="shared" ca="1" si="96"/>
        <v>0</v>
      </c>
      <c r="CN37" s="2792">
        <f t="shared" ca="1" si="96"/>
        <v>0</v>
      </c>
      <c r="CO37" s="2792">
        <f t="shared" ca="1" si="96"/>
        <v>0</v>
      </c>
      <c r="CP37" s="2792">
        <f t="shared" ca="1" si="96"/>
        <v>0</v>
      </c>
      <c r="CQ37" s="2792">
        <f t="shared" ca="1" si="96"/>
        <v>0</v>
      </c>
      <c r="CR37" s="2792">
        <f t="shared" ca="1" si="96"/>
        <v>0</v>
      </c>
      <c r="CS37" s="2792">
        <f t="shared" ca="1" si="96"/>
        <v>0</v>
      </c>
      <c r="CT37" s="2792">
        <f t="shared" ca="1" si="96"/>
        <v>0</v>
      </c>
      <c r="CU37" s="2792">
        <f t="shared" ca="1" si="96"/>
        <v>0</v>
      </c>
      <c r="CV37" s="2792">
        <f t="shared" ca="1" si="96"/>
        <v>0</v>
      </c>
      <c r="CW37" s="2792">
        <f t="shared" ca="1" si="96"/>
        <v>0</v>
      </c>
      <c r="CX37" s="2792">
        <f t="shared" ca="1" si="96"/>
        <v>0</v>
      </c>
      <c r="CY37" s="2792">
        <f t="shared" ca="1" si="96"/>
        <v>0</v>
      </c>
      <c r="CZ37" s="2792">
        <f t="shared" ca="1" si="96"/>
        <v>0</v>
      </c>
      <c r="DA37" s="2792">
        <f t="shared" ca="1" si="96"/>
        <v>0</v>
      </c>
      <c r="DB37" s="2792">
        <f t="shared" ca="1" si="96"/>
        <v>0</v>
      </c>
      <c r="DC37" s="2792">
        <f t="shared" ca="1" si="96"/>
        <v>0</v>
      </c>
      <c r="DD37" s="2792">
        <f t="shared" ca="1" si="96"/>
        <v>0</v>
      </c>
      <c r="DE37" s="2792">
        <f t="shared" ca="1" si="96"/>
        <v>0</v>
      </c>
      <c r="DF37" s="2792">
        <f t="shared" ca="1" si="96"/>
        <v>0</v>
      </c>
      <c r="DH37" s="596">
        <f t="shared" ca="1" si="32"/>
        <v>0</v>
      </c>
    </row>
    <row r="38" spans="1:112" s="6" customFormat="1" ht="15.75">
      <c r="A38" s="4"/>
      <c r="B38" s="3"/>
      <c r="C38" s="616" t="s">
        <v>496</v>
      </c>
      <c r="D38" s="617" t="s">
        <v>495</v>
      </c>
      <c r="E38" s="206"/>
      <c r="G38" s="618">
        <f t="shared" ref="G38:P38" ca="1" si="97">G37</f>
        <v>0</v>
      </c>
      <c r="H38" s="618">
        <f t="shared" ca="1" si="97"/>
        <v>0</v>
      </c>
      <c r="I38" s="618">
        <f t="shared" ca="1" si="97"/>
        <v>0</v>
      </c>
      <c r="J38" s="618">
        <f t="shared" ca="1" si="97"/>
        <v>0</v>
      </c>
      <c r="K38" s="618">
        <f t="shared" ca="1" si="97"/>
        <v>0</v>
      </c>
      <c r="L38" s="618">
        <f t="shared" ca="1" si="97"/>
        <v>0</v>
      </c>
      <c r="M38" s="618">
        <f t="shared" ca="1" si="97"/>
        <v>0</v>
      </c>
      <c r="N38" s="618">
        <f t="shared" ca="1" si="97"/>
        <v>0</v>
      </c>
      <c r="O38" s="618">
        <f t="shared" ca="1" si="97"/>
        <v>0</v>
      </c>
      <c r="P38" s="618">
        <f t="shared" ca="1" si="97"/>
        <v>0</v>
      </c>
      <c r="Q38" s="618">
        <f ca="1">SUM(G38:P38)</f>
        <v>0</v>
      </c>
      <c r="S38" s="581">
        <f t="shared" ref="S38:AJ38" ca="1" si="98">S37</f>
        <v>0</v>
      </c>
      <c r="T38" s="581">
        <f t="shared" ca="1" si="98"/>
        <v>0</v>
      </c>
      <c r="U38" s="581">
        <f t="shared" ca="1" si="98"/>
        <v>0</v>
      </c>
      <c r="V38" s="581">
        <f t="shared" ca="1" si="98"/>
        <v>0</v>
      </c>
      <c r="W38" s="581">
        <f t="shared" ca="1" si="98"/>
        <v>0</v>
      </c>
      <c r="X38" s="581">
        <f ca="1">X37</f>
        <v>0</v>
      </c>
      <c r="Y38" s="581">
        <f ca="1">Y37</f>
        <v>0</v>
      </c>
      <c r="Z38" s="581">
        <f ca="1">Z37</f>
        <v>0</v>
      </c>
      <c r="AA38" s="581">
        <f t="shared" ca="1" si="98"/>
        <v>0</v>
      </c>
      <c r="AB38" s="581">
        <f t="shared" ca="1" si="98"/>
        <v>0</v>
      </c>
      <c r="AC38" s="581">
        <f t="shared" ca="1" si="98"/>
        <v>0</v>
      </c>
      <c r="AD38" s="581">
        <f ca="1">AD37</f>
        <v>0</v>
      </c>
      <c r="AE38" s="581">
        <f ca="1">AE37</f>
        <v>0</v>
      </c>
      <c r="AF38" s="581">
        <f t="shared" ca="1" si="98"/>
        <v>0</v>
      </c>
      <c r="AG38" s="581">
        <f ca="1">AG37</f>
        <v>0</v>
      </c>
      <c r="AH38" s="581">
        <f ca="1">AH37</f>
        <v>0</v>
      </c>
      <c r="AI38" s="581">
        <f ca="1">AI37</f>
        <v>0</v>
      </c>
      <c r="AJ38" s="581">
        <f t="shared" ca="1" si="98"/>
        <v>0</v>
      </c>
      <c r="AK38" s="581">
        <f ca="1">SUM(S38:AJ38)</f>
        <v>0</v>
      </c>
      <c r="AM38" s="582">
        <f t="shared" ref="AM38:BE38" ca="1" si="99">AM37</f>
        <v>0</v>
      </c>
      <c r="AN38" s="582">
        <f t="shared" ca="1" si="99"/>
        <v>0</v>
      </c>
      <c r="AO38" s="582">
        <f t="shared" ca="1" si="99"/>
        <v>0</v>
      </c>
      <c r="AP38" s="582">
        <f t="shared" ca="1" si="99"/>
        <v>0</v>
      </c>
      <c r="AQ38" s="582">
        <f t="shared" ca="1" si="99"/>
        <v>0</v>
      </c>
      <c r="AR38" s="582">
        <f t="shared" ca="1" si="99"/>
        <v>0</v>
      </c>
      <c r="AS38" s="582">
        <f t="shared" ca="1" si="99"/>
        <v>0</v>
      </c>
      <c r="AT38" s="582">
        <f t="shared" ca="1" si="99"/>
        <v>0</v>
      </c>
      <c r="AU38" s="582">
        <f t="shared" ca="1" si="99"/>
        <v>0</v>
      </c>
      <c r="AV38" s="582">
        <f t="shared" ca="1" si="99"/>
        <v>0</v>
      </c>
      <c r="AW38" s="582">
        <f t="shared" ca="1" si="99"/>
        <v>0</v>
      </c>
      <c r="AX38" s="582">
        <f t="shared" ca="1" si="99"/>
        <v>0</v>
      </c>
      <c r="AY38" s="582">
        <f t="shared" ca="1" si="99"/>
        <v>0</v>
      </c>
      <c r="AZ38" s="582">
        <f t="shared" ca="1" si="99"/>
        <v>0</v>
      </c>
      <c r="BA38" s="582">
        <f t="shared" ca="1" si="99"/>
        <v>0</v>
      </c>
      <c r="BB38" s="582">
        <f t="shared" ca="1" si="99"/>
        <v>0</v>
      </c>
      <c r="BC38" s="582">
        <f t="shared" ca="1" si="99"/>
        <v>0</v>
      </c>
      <c r="BD38" s="582">
        <f ca="1">BD37</f>
        <v>0</v>
      </c>
      <c r="BE38" s="582">
        <f t="shared" ca="1" si="99"/>
        <v>0</v>
      </c>
      <c r="BF38" s="582">
        <f ca="1">SUM(AM38:BE38)</f>
        <v>0</v>
      </c>
      <c r="BH38" s="3463">
        <f ca="1">BH37</f>
        <v>0</v>
      </c>
      <c r="BI38" s="3463">
        <f ca="1">BI37</f>
        <v>0</v>
      </c>
      <c r="BJ38" s="3463">
        <f ca="1">SUM(BH38:BI38)</f>
        <v>0</v>
      </c>
      <c r="BL38" s="3477">
        <f t="shared" ca="1" si="9"/>
        <v>0</v>
      </c>
      <c r="BM38" s="584"/>
      <c r="BN38" s="413"/>
      <c r="BO38" s="2790">
        <f t="shared" ref="BO38:DF38" ca="1" si="100">BO37</f>
        <v>0</v>
      </c>
      <c r="BP38" s="2790">
        <f t="shared" ca="1" si="100"/>
        <v>0</v>
      </c>
      <c r="BQ38" s="2790">
        <f t="shared" ca="1" si="100"/>
        <v>0</v>
      </c>
      <c r="BR38" s="2790">
        <f t="shared" ca="1" si="100"/>
        <v>0</v>
      </c>
      <c r="BS38" s="2790">
        <f t="shared" ca="1" si="100"/>
        <v>0</v>
      </c>
      <c r="BT38" s="2790">
        <f t="shared" ca="1" si="100"/>
        <v>0</v>
      </c>
      <c r="BU38" s="2790">
        <f t="shared" ca="1" si="100"/>
        <v>0</v>
      </c>
      <c r="BV38" s="2790">
        <f t="shared" ca="1" si="100"/>
        <v>0</v>
      </c>
      <c r="BW38" s="2790">
        <f t="shared" ca="1" si="100"/>
        <v>0</v>
      </c>
      <c r="BX38" s="2790">
        <f t="shared" ca="1" si="100"/>
        <v>0</v>
      </c>
      <c r="BY38" s="2790">
        <f t="shared" ca="1" si="100"/>
        <v>0</v>
      </c>
      <c r="BZ38" s="2790">
        <f t="shared" ca="1" si="100"/>
        <v>0</v>
      </c>
      <c r="CA38" s="2790">
        <f t="shared" ca="1" si="100"/>
        <v>0</v>
      </c>
      <c r="CB38" s="2790">
        <f t="shared" ca="1" si="100"/>
        <v>0</v>
      </c>
      <c r="CC38" s="2790">
        <f t="shared" ca="1" si="100"/>
        <v>0</v>
      </c>
      <c r="CD38" s="2790">
        <f t="shared" ca="1" si="100"/>
        <v>0</v>
      </c>
      <c r="CE38" s="2790">
        <f t="shared" ca="1" si="100"/>
        <v>0</v>
      </c>
      <c r="CF38" s="2790">
        <f t="shared" ca="1" si="100"/>
        <v>0</v>
      </c>
      <c r="CG38" s="2790">
        <f t="shared" ca="1" si="100"/>
        <v>0</v>
      </c>
      <c r="CH38" s="2790">
        <f t="shared" ca="1" si="100"/>
        <v>0</v>
      </c>
      <c r="CI38" s="2790">
        <f t="shared" ca="1" si="100"/>
        <v>0</v>
      </c>
      <c r="CJ38" s="2790">
        <f t="shared" ca="1" si="100"/>
        <v>0</v>
      </c>
      <c r="CK38" s="2790">
        <f t="shared" ca="1" si="100"/>
        <v>0</v>
      </c>
      <c r="CL38" s="2790">
        <f t="shared" ca="1" si="100"/>
        <v>0</v>
      </c>
      <c r="CM38" s="2790">
        <f t="shared" ca="1" si="100"/>
        <v>0</v>
      </c>
      <c r="CN38" s="2790">
        <f t="shared" ca="1" si="100"/>
        <v>0</v>
      </c>
      <c r="CO38" s="2790">
        <f t="shared" ca="1" si="100"/>
        <v>0</v>
      </c>
      <c r="CP38" s="2790">
        <f t="shared" ca="1" si="100"/>
        <v>0</v>
      </c>
      <c r="CQ38" s="2790">
        <f t="shared" ca="1" si="100"/>
        <v>0</v>
      </c>
      <c r="CR38" s="2790">
        <f t="shared" ca="1" si="100"/>
        <v>0</v>
      </c>
      <c r="CS38" s="2790">
        <f t="shared" ca="1" si="100"/>
        <v>0</v>
      </c>
      <c r="CT38" s="2790">
        <f t="shared" ca="1" si="100"/>
        <v>0</v>
      </c>
      <c r="CU38" s="2790">
        <f t="shared" ca="1" si="100"/>
        <v>0</v>
      </c>
      <c r="CV38" s="2790">
        <f t="shared" ca="1" si="100"/>
        <v>0</v>
      </c>
      <c r="CW38" s="2790">
        <f t="shared" ca="1" si="100"/>
        <v>0</v>
      </c>
      <c r="CX38" s="2790">
        <f t="shared" ca="1" si="100"/>
        <v>0</v>
      </c>
      <c r="CY38" s="2790">
        <f t="shared" ca="1" si="100"/>
        <v>0</v>
      </c>
      <c r="CZ38" s="2790">
        <f t="shared" ca="1" si="100"/>
        <v>0</v>
      </c>
      <c r="DA38" s="2790">
        <f t="shared" ca="1" si="100"/>
        <v>0</v>
      </c>
      <c r="DB38" s="2790">
        <f t="shared" ca="1" si="100"/>
        <v>0</v>
      </c>
      <c r="DC38" s="2790">
        <f t="shared" ca="1" si="100"/>
        <v>0</v>
      </c>
      <c r="DD38" s="2790">
        <f t="shared" ca="1" si="100"/>
        <v>0</v>
      </c>
      <c r="DE38" s="2790">
        <f t="shared" ca="1" si="100"/>
        <v>0</v>
      </c>
      <c r="DF38" s="2790">
        <f t="shared" ca="1" si="100"/>
        <v>0</v>
      </c>
      <c r="DH38" s="596">
        <f t="shared" ca="1" si="32"/>
        <v>0</v>
      </c>
    </row>
    <row r="39" spans="1:112" s="6" customFormat="1">
      <c r="C39" s="629"/>
      <c r="D39" s="617"/>
      <c r="E39" s="519"/>
      <c r="G39" s="618"/>
      <c r="H39" s="618"/>
      <c r="I39" s="618"/>
      <c r="J39" s="618"/>
      <c r="K39" s="618"/>
      <c r="L39" s="618"/>
      <c r="M39" s="618"/>
      <c r="N39" s="618"/>
      <c r="O39" s="618"/>
      <c r="P39" s="618"/>
      <c r="Q39" s="618"/>
      <c r="S39" s="581"/>
      <c r="T39" s="581"/>
      <c r="U39" s="581"/>
      <c r="V39" s="581"/>
      <c r="W39" s="581"/>
      <c r="X39" s="581"/>
      <c r="Y39" s="581"/>
      <c r="Z39" s="581"/>
      <c r="AA39" s="581"/>
      <c r="AB39" s="581"/>
      <c r="AC39" s="581"/>
      <c r="AD39" s="581"/>
      <c r="AE39" s="581"/>
      <c r="AF39" s="581"/>
      <c r="AG39" s="581"/>
      <c r="AH39" s="581"/>
      <c r="AI39" s="581"/>
      <c r="AJ39" s="581"/>
      <c r="AK39" s="581"/>
      <c r="AM39" s="582"/>
      <c r="AN39" s="582"/>
      <c r="AO39" s="582"/>
      <c r="AP39" s="582"/>
      <c r="AQ39" s="582"/>
      <c r="AR39" s="582"/>
      <c r="AS39" s="582"/>
      <c r="AT39" s="582"/>
      <c r="AU39" s="582"/>
      <c r="AV39" s="582"/>
      <c r="AW39" s="582"/>
      <c r="AX39" s="582"/>
      <c r="AY39" s="582"/>
      <c r="AZ39" s="582"/>
      <c r="BA39" s="582"/>
      <c r="BB39" s="582"/>
      <c r="BC39" s="582"/>
      <c r="BD39" s="582"/>
      <c r="BE39" s="582"/>
      <c r="BF39" s="582">
        <f>SUM(AM39:BE39)</f>
        <v>0</v>
      </c>
      <c r="BH39" s="3463"/>
      <c r="BI39" s="3463"/>
      <c r="BJ39" s="3463"/>
      <c r="BL39" s="3477">
        <f t="shared" si="9"/>
        <v>0</v>
      </c>
      <c r="BM39" s="584"/>
      <c r="BO39" s="2790"/>
      <c r="BP39" s="2790"/>
      <c r="BQ39" s="2790"/>
      <c r="BR39" s="2790"/>
      <c r="BS39" s="2790"/>
      <c r="BT39" s="2790"/>
      <c r="BU39" s="2790"/>
      <c r="BV39" s="2790"/>
      <c r="BW39" s="2790"/>
      <c r="BX39" s="2790"/>
      <c r="BY39" s="2790"/>
      <c r="BZ39" s="2790"/>
      <c r="CA39" s="2790"/>
      <c r="CB39" s="2790"/>
      <c r="CC39" s="2790"/>
      <c r="CD39" s="2790"/>
      <c r="CE39" s="2790"/>
      <c r="CF39" s="2790"/>
      <c r="CG39" s="2790"/>
      <c r="CH39" s="2790"/>
      <c r="CI39" s="2790"/>
      <c r="CJ39" s="2790"/>
      <c r="CK39" s="2790"/>
      <c r="CL39" s="2790"/>
      <c r="CM39" s="2790"/>
      <c r="CN39" s="2790"/>
      <c r="CO39" s="2790"/>
      <c r="CP39" s="2790"/>
      <c r="CQ39" s="2790"/>
      <c r="CR39" s="2790"/>
      <c r="CS39" s="2790"/>
      <c r="CT39" s="2790"/>
      <c r="CU39" s="2790"/>
      <c r="CV39" s="2790"/>
      <c r="CW39" s="2790"/>
      <c r="CX39" s="2790"/>
      <c r="CY39" s="2790"/>
      <c r="CZ39" s="2790"/>
      <c r="DA39" s="2790"/>
      <c r="DB39" s="2790"/>
      <c r="DC39" s="2790"/>
      <c r="DD39" s="2790"/>
      <c r="DE39" s="2790"/>
      <c r="DF39" s="2790"/>
      <c r="DH39" s="596"/>
    </row>
    <row r="40" spans="1:112" s="6" customFormat="1" ht="15.75">
      <c r="B40" s="3"/>
      <c r="C40" s="630" t="s">
        <v>497</v>
      </c>
      <c r="D40" s="631" t="s">
        <v>498</v>
      </c>
      <c r="E40" s="632"/>
      <c r="G40" s="633">
        <f t="shared" ref="G40:Q40" ca="1" si="101">G$15+G$19+G$22+G$32+G$35+G$38</f>
        <v>42.9684946640851</v>
      </c>
      <c r="H40" s="633">
        <f t="shared" ca="1" si="101"/>
        <v>11.735512334276695</v>
      </c>
      <c r="I40" s="633">
        <f t="shared" ca="1" si="101"/>
        <v>33.213047829785495</v>
      </c>
      <c r="J40" s="633">
        <f t="shared" ca="1" si="101"/>
        <v>32.690001720662984</v>
      </c>
      <c r="K40" s="633">
        <f t="shared" ca="1" si="101"/>
        <v>0.32657111326878496</v>
      </c>
      <c r="L40" s="633">
        <f t="shared" ca="1" si="101"/>
        <v>2.4811333961622644E-2</v>
      </c>
      <c r="M40" s="633">
        <f t="shared" ca="1" si="101"/>
        <v>0.66</v>
      </c>
      <c r="N40" s="633">
        <f t="shared" ca="1" si="101"/>
        <v>11.923331449069897</v>
      </c>
      <c r="O40" s="633">
        <f t="shared" ca="1" si="101"/>
        <v>0</v>
      </c>
      <c r="P40" s="633">
        <f t="shared" ca="1" si="101"/>
        <v>0</v>
      </c>
      <c r="Q40" s="633">
        <f t="shared" ca="1" si="101"/>
        <v>133.54177044511056</v>
      </c>
      <c r="S40" s="634">
        <f t="shared" ref="S40:AJ40" ca="1" si="102">S$15+S$19+S$22+S$32+S$35+S$38</f>
        <v>-27.36661538342798</v>
      </c>
      <c r="T40" s="634">
        <f t="shared" ca="1" si="102"/>
        <v>12.392999999999999</v>
      </c>
      <c r="U40" s="634">
        <f t="shared" ca="1" si="102"/>
        <v>-3.9743200750532086</v>
      </c>
      <c r="V40" s="634">
        <f t="shared" ca="1" si="102"/>
        <v>-52.845014192651348</v>
      </c>
      <c r="W40" s="634">
        <f t="shared" ca="1" si="102"/>
        <v>-57.526065603875395</v>
      </c>
      <c r="X40" s="634">
        <f ca="1">X$15+X$19+X$22+X$32+X$35+X$38</f>
        <v>0</v>
      </c>
      <c r="Y40" s="634">
        <f ca="1">Y$15+Y$19+Y$22+Y$32+Y$35+Y$38</f>
        <v>0</v>
      </c>
      <c r="Z40" s="634">
        <f ca="1">Z$15+Z$19+Z$22+Z$32+Z$35+Z$38</f>
        <v>0</v>
      </c>
      <c r="AA40" s="634">
        <f t="shared" ca="1" si="102"/>
        <v>0</v>
      </c>
      <c r="AB40" s="634">
        <f t="shared" ca="1" si="102"/>
        <v>0</v>
      </c>
      <c r="AC40" s="634">
        <f t="shared" ca="1" si="102"/>
        <v>0</v>
      </c>
      <c r="AD40" s="634">
        <f t="shared" ca="1" si="102"/>
        <v>0</v>
      </c>
      <c r="AE40" s="634">
        <f t="shared" ca="1" si="102"/>
        <v>0</v>
      </c>
      <c r="AF40" s="634">
        <f t="shared" ca="1" si="102"/>
        <v>0</v>
      </c>
      <c r="AG40" s="634">
        <f t="shared" ca="1" si="102"/>
        <v>0</v>
      </c>
      <c r="AH40" s="634">
        <f t="shared" ca="1" si="102"/>
        <v>0</v>
      </c>
      <c r="AI40" s="634">
        <f t="shared" ca="1" si="102"/>
        <v>-4.1910433229244628</v>
      </c>
      <c r="AJ40" s="634">
        <f t="shared" ca="1" si="102"/>
        <v>-3.1711867178177075E-2</v>
      </c>
      <c r="AK40" s="634">
        <f ca="1">SUM(S40:AJ40)</f>
        <v>-133.54177044511059</v>
      </c>
      <c r="AM40" s="635">
        <f t="shared" ref="AM40:BE40" ca="1" si="103">AM$15+AM$19+AM$22+AM$32+AM$35+AM$38</f>
        <v>0</v>
      </c>
      <c r="AN40" s="635">
        <f t="shared" ca="1" si="103"/>
        <v>0</v>
      </c>
      <c r="AO40" s="635">
        <f t="shared" ca="1" si="103"/>
        <v>0</v>
      </c>
      <c r="AP40" s="635">
        <f t="shared" ca="1" si="103"/>
        <v>0</v>
      </c>
      <c r="AQ40" s="635">
        <f t="shared" ca="1" si="103"/>
        <v>0</v>
      </c>
      <c r="AR40" s="635">
        <f t="shared" ca="1" si="103"/>
        <v>0</v>
      </c>
      <c r="AS40" s="635">
        <f t="shared" ca="1" si="103"/>
        <v>0</v>
      </c>
      <c r="AT40" s="635">
        <f t="shared" ca="1" si="103"/>
        <v>0</v>
      </c>
      <c r="AU40" s="635">
        <f t="shared" ca="1" si="103"/>
        <v>0</v>
      </c>
      <c r="AV40" s="635">
        <f t="shared" ca="1" si="103"/>
        <v>0</v>
      </c>
      <c r="AW40" s="635">
        <f t="shared" ca="1" si="103"/>
        <v>0</v>
      </c>
      <c r="AX40" s="635">
        <f t="shared" ca="1" si="103"/>
        <v>0</v>
      </c>
      <c r="AY40" s="635">
        <f t="shared" ca="1" si="103"/>
        <v>0</v>
      </c>
      <c r="AZ40" s="635">
        <f t="shared" ca="1" si="103"/>
        <v>0</v>
      </c>
      <c r="BA40" s="635">
        <f t="shared" ca="1" si="103"/>
        <v>0</v>
      </c>
      <c r="BB40" s="635">
        <f t="shared" ca="1" si="103"/>
        <v>0</v>
      </c>
      <c r="BC40" s="635">
        <f t="shared" ca="1" si="103"/>
        <v>0</v>
      </c>
      <c r="BD40" s="635">
        <f t="shared" ca="1" si="103"/>
        <v>0</v>
      </c>
      <c r="BE40" s="635">
        <f t="shared" ca="1" si="103"/>
        <v>0</v>
      </c>
      <c r="BF40" s="635">
        <f ca="1">SUM(AM40:BE40)</f>
        <v>0</v>
      </c>
      <c r="BH40" s="3464">
        <f ca="1">BH$15+BH$19+BH$22+BH$32+BH$35+BH$38</f>
        <v>0</v>
      </c>
      <c r="BI40" s="3464">
        <f ca="1">BI$15+BI$19+BI$22+BI$32+BI$35+BI$38</f>
        <v>0</v>
      </c>
      <c r="BJ40" s="3464">
        <f ca="1">SUM(BH40:BI40)</f>
        <v>0</v>
      </c>
      <c r="BL40" s="3478">
        <f t="shared" ca="1" si="9"/>
        <v>-2.8421709430404007E-14</v>
      </c>
      <c r="BM40" s="636"/>
      <c r="BO40" s="2793">
        <f t="shared" ref="BO40:DF40" ca="1" si="104">BO$15+BO$19+BO$22+BO$32+BO$35+BO$38</f>
        <v>23.917038306188012</v>
      </c>
      <c r="BP40" s="2793">
        <f t="shared" ca="1" si="104"/>
        <v>1.3840329224269071E-2</v>
      </c>
      <c r="BQ40" s="2793">
        <f t="shared" ca="1" si="104"/>
        <v>0.21579618808736417</v>
      </c>
      <c r="BR40" s="2793">
        <f t="shared" ca="1" si="104"/>
        <v>0</v>
      </c>
      <c r="BS40" s="2793">
        <f t="shared" ca="1" si="104"/>
        <v>0</v>
      </c>
      <c r="BT40" s="2793">
        <f t="shared" ca="1" si="104"/>
        <v>0</v>
      </c>
      <c r="BU40" s="2793">
        <f t="shared" ca="1" si="104"/>
        <v>0</v>
      </c>
      <c r="BV40" s="2793">
        <f t="shared" ca="1" si="104"/>
        <v>0</v>
      </c>
      <c r="BW40" s="2793">
        <f t="shared" ca="1" si="104"/>
        <v>0.54473537740733713</v>
      </c>
      <c r="BX40" s="2793">
        <f t="shared" ca="1" si="104"/>
        <v>0</v>
      </c>
      <c r="BY40" s="2793">
        <f t="shared" ca="1" si="104"/>
        <v>0</v>
      </c>
      <c r="BZ40" s="2793">
        <f t="shared" ca="1" si="104"/>
        <v>0.55433060517700083</v>
      </c>
      <c r="CA40" s="2793">
        <f t="shared" ca="1" si="104"/>
        <v>0</v>
      </c>
      <c r="CB40" s="2793">
        <f t="shared" ca="1" si="104"/>
        <v>0</v>
      </c>
      <c r="CC40" s="2793">
        <f t="shared" ca="1" si="104"/>
        <v>0</v>
      </c>
      <c r="CD40" s="2793">
        <f t="shared" ca="1" si="104"/>
        <v>0</v>
      </c>
      <c r="CE40" s="2793">
        <f t="shared" ca="1" si="104"/>
        <v>0</v>
      </c>
      <c r="CF40" s="2793">
        <f t="shared" ca="1" si="104"/>
        <v>0</v>
      </c>
      <c r="CG40" s="2793">
        <f t="shared" ca="1" si="104"/>
        <v>0</v>
      </c>
      <c r="CH40" s="2793">
        <f t="shared" ca="1" si="104"/>
        <v>0</v>
      </c>
      <c r="CI40" s="2793">
        <f t="shared" ca="1" si="104"/>
        <v>0</v>
      </c>
      <c r="CJ40" s="2793">
        <f t="shared" ca="1" si="104"/>
        <v>0</v>
      </c>
      <c r="CK40" s="2793">
        <f t="shared" ca="1" si="104"/>
        <v>0</v>
      </c>
      <c r="CL40" s="2793">
        <f t="shared" ca="1" si="104"/>
        <v>0</v>
      </c>
      <c r="CM40" s="2793">
        <f t="shared" ca="1" si="104"/>
        <v>0</v>
      </c>
      <c r="CN40" s="2793">
        <f t="shared" ca="1" si="104"/>
        <v>0</v>
      </c>
      <c r="CO40" s="2793">
        <f t="shared" ca="1" si="104"/>
        <v>0</v>
      </c>
      <c r="CP40" s="2793">
        <f t="shared" ca="1" si="104"/>
        <v>0</v>
      </c>
      <c r="CQ40" s="2793">
        <f t="shared" ca="1" si="104"/>
        <v>0</v>
      </c>
      <c r="CR40" s="2793">
        <f t="shared" ca="1" si="104"/>
        <v>0</v>
      </c>
      <c r="CS40" s="2793">
        <f t="shared" ca="1" si="104"/>
        <v>0</v>
      </c>
      <c r="CT40" s="2793">
        <f t="shared" ca="1" si="104"/>
        <v>0</v>
      </c>
      <c r="CU40" s="2793">
        <f t="shared" ca="1" si="104"/>
        <v>3.146328702780564</v>
      </c>
      <c r="CV40" s="2793">
        <f t="shared" ca="1" si="104"/>
        <v>2.7042115726490529E-3</v>
      </c>
      <c r="CW40" s="2793">
        <f t="shared" ca="1" si="104"/>
        <v>7.9838627382972024E-3</v>
      </c>
      <c r="CX40" s="2793">
        <f t="shared" ca="1" si="104"/>
        <v>0</v>
      </c>
      <c r="CY40" s="2793">
        <f t="shared" ca="1" si="104"/>
        <v>0</v>
      </c>
      <c r="CZ40" s="2793">
        <f t="shared" ca="1" si="104"/>
        <v>0</v>
      </c>
      <c r="DA40" s="2793">
        <f t="shared" ca="1" si="104"/>
        <v>0</v>
      </c>
      <c r="DB40" s="2793">
        <f t="shared" ca="1" si="104"/>
        <v>0</v>
      </c>
      <c r="DC40" s="2793">
        <f t="shared" ca="1" si="104"/>
        <v>0</v>
      </c>
      <c r="DD40" s="2793">
        <f t="shared" ca="1" si="104"/>
        <v>0</v>
      </c>
      <c r="DE40" s="2793">
        <f t="shared" ca="1" si="104"/>
        <v>0</v>
      </c>
      <c r="DF40" s="2793">
        <f t="shared" ca="1" si="104"/>
        <v>0</v>
      </c>
      <c r="DH40" s="637">
        <f ca="1">SUM(BO40:DF40)</f>
        <v>28.402757583175493</v>
      </c>
    </row>
    <row r="41" spans="1:112" s="6" customFormat="1">
      <c r="C41" s="519"/>
      <c r="D41" s="519"/>
      <c r="E41" s="519"/>
      <c r="G41" s="579"/>
      <c r="H41" s="579"/>
      <c r="I41" s="579"/>
      <c r="J41" s="579"/>
      <c r="K41" s="638"/>
      <c r="L41" s="579"/>
      <c r="M41" s="579"/>
      <c r="N41" s="579"/>
      <c r="O41" s="579"/>
      <c r="P41" s="579"/>
      <c r="Q41" s="579"/>
      <c r="S41" s="581"/>
      <c r="T41" s="581"/>
      <c r="U41" s="581"/>
      <c r="V41" s="581"/>
      <c r="W41" s="581"/>
      <c r="X41" s="581"/>
      <c r="Y41" s="581"/>
      <c r="Z41" s="581"/>
      <c r="AA41" s="581"/>
      <c r="AB41" s="581"/>
      <c r="AC41" s="581"/>
      <c r="AD41" s="581"/>
      <c r="AE41" s="581"/>
      <c r="AF41" s="581"/>
      <c r="AG41" s="581"/>
      <c r="AH41" s="581"/>
      <c r="AI41" s="581"/>
      <c r="AJ41" s="581"/>
      <c r="AK41" s="581"/>
      <c r="AM41" s="582"/>
      <c r="AN41" s="582"/>
      <c r="AO41" s="582"/>
      <c r="AP41" s="582"/>
      <c r="AQ41" s="582"/>
      <c r="AR41" s="582"/>
      <c r="AS41" s="582"/>
      <c r="AT41" s="582"/>
      <c r="AU41" s="582"/>
      <c r="AV41" s="582"/>
      <c r="AW41" s="582"/>
      <c r="AX41" s="582"/>
      <c r="AY41" s="582"/>
      <c r="AZ41" s="582"/>
      <c r="BA41" s="582"/>
      <c r="BB41" s="582"/>
      <c r="BC41" s="582"/>
      <c r="BD41" s="582"/>
      <c r="BE41" s="582"/>
      <c r="BF41" s="582"/>
      <c r="BH41" s="3463"/>
      <c r="BI41" s="3463"/>
      <c r="BJ41" s="3463"/>
      <c r="BL41" s="3477">
        <f t="shared" si="9"/>
        <v>0</v>
      </c>
      <c r="BM41" s="584"/>
      <c r="BO41" s="2790"/>
      <c r="BP41" s="2790"/>
      <c r="BQ41" s="2790"/>
      <c r="BR41" s="2790"/>
      <c r="BS41" s="2790"/>
      <c r="BT41" s="2790"/>
      <c r="BU41" s="2790"/>
      <c r="BV41" s="2790"/>
      <c r="BW41" s="2790"/>
      <c r="BX41" s="2790"/>
      <c r="BY41" s="2790"/>
      <c r="BZ41" s="2790"/>
      <c r="CA41" s="2790"/>
      <c r="CB41" s="2790"/>
      <c r="CC41" s="2790"/>
      <c r="CD41" s="2790"/>
      <c r="CE41" s="2790"/>
      <c r="CF41" s="2790"/>
      <c r="CG41" s="2790"/>
      <c r="CH41" s="2790"/>
      <c r="CI41" s="2790"/>
      <c r="CJ41" s="2790"/>
      <c r="CK41" s="2790"/>
      <c r="CL41" s="2790"/>
      <c r="CM41" s="2790"/>
      <c r="CN41" s="2790"/>
      <c r="CO41" s="2790"/>
      <c r="CP41" s="2790"/>
      <c r="CQ41" s="2790"/>
      <c r="CR41" s="2790"/>
      <c r="CS41" s="2790"/>
      <c r="CT41" s="2790"/>
      <c r="CU41" s="2790"/>
      <c r="CV41" s="2790"/>
      <c r="CW41" s="2790"/>
      <c r="CX41" s="2790"/>
      <c r="CY41" s="2790"/>
      <c r="CZ41" s="2790"/>
      <c r="DA41" s="2790"/>
      <c r="DB41" s="2790"/>
      <c r="DC41" s="2790"/>
      <c r="DD41" s="2790"/>
      <c r="DE41" s="2790"/>
      <c r="DF41" s="2790"/>
      <c r="DH41" s="596"/>
    </row>
    <row r="42" spans="1:112" s="6" customFormat="1" ht="15.75">
      <c r="C42" s="571" t="s">
        <v>499</v>
      </c>
      <c r="D42" s="571"/>
      <c r="E42" s="572"/>
      <c r="G42" s="573"/>
      <c r="H42" s="573"/>
      <c r="I42" s="573"/>
      <c r="J42" s="573"/>
      <c r="K42" s="573"/>
      <c r="L42" s="573"/>
      <c r="M42" s="573"/>
      <c r="N42" s="573"/>
      <c r="O42" s="573"/>
      <c r="P42" s="573"/>
      <c r="Q42" s="573"/>
      <c r="S42" s="574"/>
      <c r="T42" s="574"/>
      <c r="U42" s="574"/>
      <c r="V42" s="574"/>
      <c r="W42" s="574"/>
      <c r="X42" s="574"/>
      <c r="Y42" s="574"/>
      <c r="Z42" s="574"/>
      <c r="AA42" s="574"/>
      <c r="AB42" s="574"/>
      <c r="AC42" s="574"/>
      <c r="AD42" s="574"/>
      <c r="AE42" s="574"/>
      <c r="AF42" s="574"/>
      <c r="AG42" s="574"/>
      <c r="AH42" s="574"/>
      <c r="AI42" s="574"/>
      <c r="AJ42" s="574"/>
      <c r="AK42" s="574"/>
      <c r="AM42" s="575"/>
      <c r="AN42" s="575"/>
      <c r="AO42" s="575"/>
      <c r="AP42" s="575"/>
      <c r="AQ42" s="575"/>
      <c r="AR42" s="575"/>
      <c r="AS42" s="575"/>
      <c r="AT42" s="575"/>
      <c r="AU42" s="575"/>
      <c r="AV42" s="575"/>
      <c r="AW42" s="575"/>
      <c r="AX42" s="575"/>
      <c r="AY42" s="575"/>
      <c r="AZ42" s="575"/>
      <c r="BA42" s="575"/>
      <c r="BB42" s="575"/>
      <c r="BC42" s="575"/>
      <c r="BD42" s="575"/>
      <c r="BE42" s="575"/>
      <c r="BF42" s="575"/>
      <c r="BH42" s="3465"/>
      <c r="BI42" s="3465"/>
      <c r="BJ42" s="3465"/>
      <c r="BL42" s="3479">
        <f t="shared" si="9"/>
        <v>0</v>
      </c>
      <c r="BM42" s="577"/>
      <c r="BO42" s="2790"/>
      <c r="BP42" s="2790"/>
      <c r="BQ42" s="2790"/>
      <c r="BR42" s="2790"/>
      <c r="BS42" s="2790"/>
      <c r="BT42" s="2790"/>
      <c r="BU42" s="2790"/>
      <c r="BV42" s="2790"/>
      <c r="BW42" s="2790"/>
      <c r="BX42" s="2790"/>
      <c r="BY42" s="2790"/>
      <c r="BZ42" s="2790"/>
      <c r="CA42" s="2790"/>
      <c r="CB42" s="2790"/>
      <c r="CC42" s="2790"/>
      <c r="CD42" s="2790"/>
      <c r="CE42" s="2790"/>
      <c r="CF42" s="2790"/>
      <c r="CG42" s="2790"/>
      <c r="CH42" s="2790"/>
      <c r="CI42" s="2790"/>
      <c r="CJ42" s="2790"/>
      <c r="CK42" s="2790"/>
      <c r="CL42" s="2790"/>
      <c r="CM42" s="2790"/>
      <c r="CN42" s="2790"/>
      <c r="CO42" s="2790"/>
      <c r="CP42" s="2790"/>
      <c r="CQ42" s="2790"/>
      <c r="CR42" s="2790"/>
      <c r="CS42" s="2790"/>
      <c r="CT42" s="2790"/>
      <c r="CU42" s="2790"/>
      <c r="CV42" s="2790"/>
      <c r="CW42" s="2790"/>
      <c r="CX42" s="2790"/>
      <c r="CY42" s="2790"/>
      <c r="CZ42" s="2790"/>
      <c r="DA42" s="2790"/>
      <c r="DB42" s="2790"/>
      <c r="DC42" s="2790"/>
      <c r="DD42" s="2790"/>
      <c r="DE42" s="2790"/>
      <c r="DF42" s="2790"/>
      <c r="DH42" s="596"/>
    </row>
    <row r="43" spans="1:112" s="6" customFormat="1">
      <c r="A43" s="4"/>
      <c r="B43" s="4"/>
      <c r="C43" s="622"/>
      <c r="D43" s="206"/>
      <c r="E43" s="206"/>
      <c r="G43" s="579"/>
      <c r="H43" s="579"/>
      <c r="I43" s="579"/>
      <c r="J43" s="579"/>
      <c r="K43" s="638"/>
      <c r="L43" s="579"/>
      <c r="M43" s="579"/>
      <c r="N43" s="579"/>
      <c r="O43" s="579"/>
      <c r="P43" s="579"/>
      <c r="Q43" s="579"/>
      <c r="S43" s="581"/>
      <c r="T43" s="581"/>
      <c r="U43" s="581"/>
      <c r="V43" s="581"/>
      <c r="W43" s="581"/>
      <c r="X43" s="581"/>
      <c r="Y43" s="581"/>
      <c r="Z43" s="581"/>
      <c r="AA43" s="581"/>
      <c r="AB43" s="581"/>
      <c r="AC43" s="581"/>
      <c r="AD43" s="581"/>
      <c r="AE43" s="581"/>
      <c r="AF43" s="581"/>
      <c r="AG43" s="581"/>
      <c r="AH43" s="581"/>
      <c r="AI43" s="581"/>
      <c r="AJ43" s="581"/>
      <c r="AK43" s="581"/>
      <c r="AM43" s="582"/>
      <c r="AN43" s="582"/>
      <c r="AO43" s="582"/>
      <c r="AP43" s="582"/>
      <c r="AQ43" s="582"/>
      <c r="AR43" s="582"/>
      <c r="AS43" s="582"/>
      <c r="AT43" s="582"/>
      <c r="AU43" s="582"/>
      <c r="AV43" s="582"/>
      <c r="AW43" s="582"/>
      <c r="AX43" s="582"/>
      <c r="AY43" s="582"/>
      <c r="AZ43" s="582"/>
      <c r="BA43" s="582"/>
      <c r="BB43" s="582"/>
      <c r="BC43" s="582"/>
      <c r="BD43" s="582"/>
      <c r="BE43" s="582"/>
      <c r="BF43" s="582"/>
      <c r="BH43" s="3463"/>
      <c r="BI43" s="3463"/>
      <c r="BJ43" s="3463"/>
      <c r="BL43" s="3477">
        <f t="shared" si="9"/>
        <v>0</v>
      </c>
      <c r="BM43" s="584"/>
      <c r="BN43" s="4"/>
      <c r="BO43" s="2790"/>
      <c r="BP43" s="2790"/>
      <c r="BQ43" s="2790"/>
      <c r="BR43" s="2790"/>
      <c r="BS43" s="2790"/>
      <c r="BT43" s="2790"/>
      <c r="BU43" s="2790"/>
      <c r="BV43" s="2790"/>
      <c r="BW43" s="2790"/>
      <c r="BX43" s="2790"/>
      <c r="BY43" s="2790"/>
      <c r="BZ43" s="2790"/>
      <c r="CA43" s="2790"/>
      <c r="CB43" s="2790"/>
      <c r="CC43" s="2790"/>
      <c r="CD43" s="2790"/>
      <c r="CE43" s="2790"/>
      <c r="CF43" s="2790"/>
      <c r="CG43" s="2790"/>
      <c r="CH43" s="2790"/>
      <c r="CI43" s="2790"/>
      <c r="CJ43" s="2790"/>
      <c r="CK43" s="2790"/>
      <c r="CL43" s="2790"/>
      <c r="CM43" s="2790"/>
      <c r="CN43" s="2790"/>
      <c r="CO43" s="2790"/>
      <c r="CP43" s="2790"/>
      <c r="CQ43" s="2790"/>
      <c r="CR43" s="2790"/>
      <c r="CS43" s="2790"/>
      <c r="CT43" s="2790"/>
      <c r="CU43" s="2790"/>
      <c r="CV43" s="2790"/>
      <c r="CW43" s="2790"/>
      <c r="CX43" s="2790"/>
      <c r="CY43" s="2790"/>
      <c r="CZ43" s="2790"/>
      <c r="DA43" s="2790"/>
      <c r="DB43" s="2790"/>
      <c r="DC43" s="2790"/>
      <c r="DD43" s="2790"/>
      <c r="DE43" s="2790"/>
      <c r="DF43" s="2790"/>
      <c r="DH43" s="596"/>
    </row>
    <row r="44" spans="1:112" s="639" customFormat="1">
      <c r="C44" s="640" t="s">
        <v>500</v>
      </c>
      <c r="D44" s="641" t="s">
        <v>501</v>
      </c>
      <c r="E44" s="641"/>
      <c r="F44" s="642"/>
      <c r="G44" s="643"/>
      <c r="H44" s="643"/>
      <c r="I44" s="643"/>
      <c r="J44" s="643"/>
      <c r="K44" s="644"/>
      <c r="L44" s="643"/>
      <c r="M44" s="643"/>
      <c r="N44" s="643"/>
      <c r="O44" s="643"/>
      <c r="P44" s="643"/>
      <c r="Q44" s="643"/>
      <c r="R44" s="642"/>
      <c r="S44" s="645"/>
      <c r="T44" s="645"/>
      <c r="U44" s="645"/>
      <c r="V44" s="645"/>
      <c r="W44" s="645"/>
      <c r="X44" s="645"/>
      <c r="Y44" s="645"/>
      <c r="Z44" s="645"/>
      <c r="AA44" s="645"/>
      <c r="AB44" s="645"/>
      <c r="AC44" s="645"/>
      <c r="AD44" s="645"/>
      <c r="AE44" s="645"/>
      <c r="AF44" s="645"/>
      <c r="AG44" s="645"/>
      <c r="AH44" s="645"/>
      <c r="AI44" s="645"/>
      <c r="AJ44" s="645">
        <f ca="1">AJ$40</f>
        <v>-3.1711867178177075E-2</v>
      </c>
      <c r="AK44" s="645"/>
      <c r="AL44" s="642"/>
      <c r="AM44" s="646"/>
      <c r="AN44" s="646"/>
      <c r="AO44" s="646"/>
      <c r="AP44" s="646"/>
      <c r="AQ44" s="646"/>
      <c r="AR44" s="646"/>
      <c r="AS44" s="646"/>
      <c r="AT44" s="646"/>
      <c r="AU44" s="646"/>
      <c r="AV44" s="646"/>
      <c r="AW44" s="646"/>
      <c r="AX44" s="646"/>
      <c r="AY44" s="646"/>
      <c r="AZ44" s="646"/>
      <c r="BA44" s="646"/>
      <c r="BB44" s="646"/>
      <c r="BC44" s="646"/>
      <c r="BD44" s="646"/>
      <c r="BE44" s="646"/>
      <c r="BF44" s="646"/>
      <c r="BG44" s="642"/>
      <c r="BH44" s="647"/>
      <c r="BI44" s="647"/>
      <c r="BJ44" s="647"/>
      <c r="BK44" s="642"/>
      <c r="BL44" s="648">
        <f t="shared" si="9"/>
        <v>0</v>
      </c>
      <c r="BM44" s="648"/>
      <c r="BO44" s="2794"/>
      <c r="BP44" s="2794"/>
      <c r="BQ44" s="2794"/>
      <c r="BR44" s="2794"/>
      <c r="BS44" s="2794"/>
      <c r="BT44" s="2794"/>
      <c r="BU44" s="2794"/>
      <c r="BV44" s="2794"/>
      <c r="BW44" s="2794"/>
      <c r="BX44" s="2794"/>
      <c r="BY44" s="2794"/>
      <c r="BZ44" s="2794"/>
      <c r="CA44" s="2794"/>
      <c r="CB44" s="2794"/>
      <c r="CC44" s="2794"/>
      <c r="CD44" s="2794"/>
      <c r="CE44" s="2794"/>
      <c r="CF44" s="2794"/>
      <c r="CG44" s="2794"/>
      <c r="CH44" s="2794"/>
      <c r="CI44" s="2794"/>
      <c r="CJ44" s="2794"/>
      <c r="CK44" s="2794"/>
      <c r="CL44" s="2794"/>
      <c r="CM44" s="2794"/>
      <c r="CN44" s="2794"/>
      <c r="CO44" s="2794"/>
      <c r="CP44" s="2794"/>
      <c r="CQ44" s="2794"/>
      <c r="CR44" s="2794"/>
      <c r="CS44" s="2794"/>
      <c r="CT44" s="2794"/>
      <c r="CU44" s="2794"/>
      <c r="CV44" s="2794"/>
      <c r="CW44" s="2794"/>
      <c r="CX44" s="2794"/>
      <c r="CY44" s="2794"/>
      <c r="CZ44" s="2794"/>
      <c r="DA44" s="2794"/>
      <c r="DB44" s="2794"/>
      <c r="DC44" s="2794"/>
      <c r="DD44" s="2794"/>
      <c r="DE44" s="2794"/>
      <c r="DF44" s="2794"/>
      <c r="DH44" s="649">
        <f>SUM(BO44:DF44)</f>
        <v>0</v>
      </c>
    </row>
    <row r="45" spans="1:112" s="6" customFormat="1">
      <c r="A45" s="4"/>
      <c r="B45" s="4"/>
      <c r="C45" s="587" t="s">
        <v>502</v>
      </c>
      <c r="D45" s="611" t="s">
        <v>503</v>
      </c>
      <c r="E45" s="650"/>
      <c r="G45" s="619">
        <f t="shared" ref="G45:P45" ca="1" si="105">IFERROR(INDEX(INDIRECT($C45&amp;".Outputs["&amp;this.Year&amp;"]"), MATCH(G$5, INDIRECT($C45&amp;".Outputs[Vector]"), 0)), 0)</f>
        <v>0</v>
      </c>
      <c r="H45" s="619">
        <f t="shared" ca="1" si="105"/>
        <v>0</v>
      </c>
      <c r="I45" s="619">
        <f t="shared" ca="1" si="105"/>
        <v>0</v>
      </c>
      <c r="J45" s="619">
        <f t="shared" ca="1" si="105"/>
        <v>0</v>
      </c>
      <c r="K45" s="619">
        <f t="shared" ca="1" si="105"/>
        <v>0</v>
      </c>
      <c r="L45" s="619">
        <f t="shared" ca="1" si="105"/>
        <v>0</v>
      </c>
      <c r="M45" s="619">
        <f t="shared" ca="1" si="105"/>
        <v>0</v>
      </c>
      <c r="N45" s="619">
        <f t="shared" ca="1" si="105"/>
        <v>0</v>
      </c>
      <c r="O45" s="619">
        <f t="shared" ca="1" si="105"/>
        <v>0</v>
      </c>
      <c r="P45" s="619">
        <f t="shared" ca="1" si="105"/>
        <v>0</v>
      </c>
      <c r="Q45" s="612">
        <f ca="1">SUM(G45:P45)</f>
        <v>0</v>
      </c>
      <c r="S45" s="620">
        <f t="shared" ref="S45:AJ45" ca="1" si="106">IFERROR(INDEX(INDIRECT($C45&amp;".Outputs["&amp;this.Year&amp;"]"), MATCH(S$5, INDIRECT($C45&amp;".Outputs[Vector]"), 0)), 0)</f>
        <v>-4.1184243088541655E-2</v>
      </c>
      <c r="T45" s="620">
        <f t="shared" ca="1" si="106"/>
        <v>0</v>
      </c>
      <c r="U45" s="620">
        <f t="shared" ca="1" si="106"/>
        <v>0</v>
      </c>
      <c r="V45" s="620">
        <f t="shared" ca="1" si="106"/>
        <v>0</v>
      </c>
      <c r="W45" s="620">
        <f t="shared" ca="1" si="106"/>
        <v>0</v>
      </c>
      <c r="X45" s="620">
        <f ca="1">IFERROR(INDEX(INDIRECT($C45&amp;".Outputs["&amp;this.Year&amp;"]"), MATCH(X$5, INDIRECT($C45&amp;".Outputs[Vector]"), 0)), 0)</f>
        <v>0</v>
      </c>
      <c r="Y45" s="620">
        <f ca="1">IFERROR(INDEX(INDIRECT($C45&amp;".Outputs["&amp;this.Year&amp;"]"), MATCH(Y$5, INDIRECT($C45&amp;".Outputs[Vector]"), 0)), 0)</f>
        <v>0</v>
      </c>
      <c r="Z45" s="620">
        <f ca="1">IFERROR(INDEX(INDIRECT($C45&amp;".Outputs["&amp;this.Year&amp;"]"), MATCH(Z$5, INDIRECT($C45&amp;".Outputs[Vector]"), 0)), 0)</f>
        <v>0</v>
      </c>
      <c r="AA45" s="620">
        <f t="shared" ca="1" si="106"/>
        <v>0</v>
      </c>
      <c r="AB45" s="620">
        <f t="shared" ca="1" si="106"/>
        <v>0</v>
      </c>
      <c r="AC45" s="620">
        <f t="shared" ca="1" si="106"/>
        <v>0</v>
      </c>
      <c r="AD45" s="620">
        <f t="shared" ca="1" si="106"/>
        <v>0</v>
      </c>
      <c r="AE45" s="620">
        <f t="shared" ca="1" si="106"/>
        <v>0</v>
      </c>
      <c r="AF45" s="620">
        <f t="shared" ca="1" si="106"/>
        <v>0</v>
      </c>
      <c r="AG45" s="620">
        <f t="shared" ca="1" si="106"/>
        <v>0</v>
      </c>
      <c r="AH45" s="620">
        <f t="shared" ca="1" si="106"/>
        <v>0</v>
      </c>
      <c r="AI45" s="620">
        <f t="shared" ca="1" si="106"/>
        <v>0</v>
      </c>
      <c r="AJ45" s="620">
        <f t="shared" ca="1" si="106"/>
        <v>3.1711867178177075E-2</v>
      </c>
      <c r="AK45" s="613">
        <f ca="1">SUM(S45:AJ45)</f>
        <v>-9.4723759103645805E-3</v>
      </c>
      <c r="AM45" s="621">
        <f t="shared" ref="AM45:BE45" ca="1" si="107">IFERROR(INDEX(INDIRECT($C45&amp;".Outputs["&amp;this.Year&amp;"]"), MATCH(AM$5, INDIRECT($C45&amp;".Outputs[Vector]"), 0)), 0)</f>
        <v>0</v>
      </c>
      <c r="AN45" s="621">
        <f t="shared" ca="1" si="107"/>
        <v>0</v>
      </c>
      <c r="AO45" s="621">
        <f t="shared" ca="1" si="107"/>
        <v>0</v>
      </c>
      <c r="AP45" s="621">
        <f t="shared" ca="1" si="107"/>
        <v>0</v>
      </c>
      <c r="AQ45" s="621">
        <f t="shared" ca="1" si="107"/>
        <v>0</v>
      </c>
      <c r="AR45" s="621">
        <f t="shared" ca="1" si="107"/>
        <v>0</v>
      </c>
      <c r="AS45" s="621">
        <f t="shared" ca="1" si="107"/>
        <v>0</v>
      </c>
      <c r="AT45" s="621">
        <f t="shared" ca="1" si="107"/>
        <v>0</v>
      </c>
      <c r="AU45" s="621">
        <f t="shared" ca="1" si="107"/>
        <v>0</v>
      </c>
      <c r="AV45" s="621">
        <f t="shared" ca="1" si="107"/>
        <v>0</v>
      </c>
      <c r="AW45" s="621">
        <f t="shared" ca="1" si="107"/>
        <v>0</v>
      </c>
      <c r="AX45" s="621">
        <f t="shared" ca="1" si="107"/>
        <v>0</v>
      </c>
      <c r="AY45" s="621">
        <f t="shared" ca="1" si="107"/>
        <v>0</v>
      </c>
      <c r="AZ45" s="621">
        <f t="shared" ca="1" si="107"/>
        <v>0</v>
      </c>
      <c r="BA45" s="621">
        <f t="shared" ca="1" si="107"/>
        <v>0</v>
      </c>
      <c r="BB45" s="621">
        <f t="shared" ca="1" si="107"/>
        <v>0</v>
      </c>
      <c r="BC45" s="621">
        <f t="shared" ca="1" si="107"/>
        <v>0</v>
      </c>
      <c r="BD45" s="621">
        <f t="shared" ca="1" si="107"/>
        <v>0</v>
      </c>
      <c r="BE45" s="621">
        <f t="shared" ca="1" si="107"/>
        <v>0</v>
      </c>
      <c r="BF45" s="615">
        <f ca="1">SUM(AM45:BE45)</f>
        <v>0</v>
      </c>
      <c r="BH45" s="3473">
        <f ca="1">IFERROR(INDEX(INDIRECT($C45&amp;".Outputs["&amp;this.Year&amp;"]"), MATCH(BH$5, INDIRECT($C45&amp;".Outputs[Vector]"), 0)), 0)</f>
        <v>9.4723759103645805E-3</v>
      </c>
      <c r="BI45" s="3473">
        <f ca="1">IFERROR(INDEX(INDIRECT($C45&amp;".Outputs["&amp;this.Year&amp;"]"), MATCH(BI$5, INDIRECT($C45&amp;".Outputs[Vector]"), 0)), 0)</f>
        <v>0</v>
      </c>
      <c r="BJ45" s="3462">
        <f ca="1">SUM(BH45:BI45)</f>
        <v>9.4723759103645805E-3</v>
      </c>
      <c r="BL45" s="3477"/>
      <c r="BM45" s="584"/>
      <c r="BN45" s="413"/>
      <c r="BO45" s="2791">
        <f t="shared" ref="BO45:DF45" ca="1" si="108">IFERROR(SUMIFS(INDIRECT($C45&amp;".Emissions["&amp;this.Year&amp;"]"), INDIRECT($C45&amp;".Emissions[GHG]"), BO$6, INDIRECT($C45&amp;".Emissions[IPCC Sector]"), BO$5),0)</f>
        <v>0</v>
      </c>
      <c r="BP45" s="2792">
        <f t="shared" ca="1" si="108"/>
        <v>0</v>
      </c>
      <c r="BQ45" s="2792">
        <f t="shared" ca="1" si="108"/>
        <v>0</v>
      </c>
      <c r="BR45" s="2792">
        <f t="shared" ca="1" si="108"/>
        <v>0</v>
      </c>
      <c r="BS45" s="2792">
        <f t="shared" ca="1" si="108"/>
        <v>0</v>
      </c>
      <c r="BT45" s="2792">
        <f t="shared" ca="1" si="108"/>
        <v>0</v>
      </c>
      <c r="BU45" s="2792">
        <f t="shared" ca="1" si="108"/>
        <v>0</v>
      </c>
      <c r="BV45" s="2792">
        <f t="shared" ca="1" si="108"/>
        <v>0</v>
      </c>
      <c r="BW45" s="2792">
        <f t="shared" ca="1" si="108"/>
        <v>0</v>
      </c>
      <c r="BX45" s="2792">
        <f t="shared" ca="1" si="108"/>
        <v>0</v>
      </c>
      <c r="BY45" s="2792">
        <f t="shared" ca="1" si="108"/>
        <v>0</v>
      </c>
      <c r="BZ45" s="2792">
        <f t="shared" ca="1" si="108"/>
        <v>0</v>
      </c>
      <c r="CA45" s="2792">
        <f t="shared" ca="1" si="108"/>
        <v>0</v>
      </c>
      <c r="CB45" s="2792">
        <f t="shared" ca="1" si="108"/>
        <v>0</v>
      </c>
      <c r="CC45" s="2792">
        <f t="shared" ca="1" si="108"/>
        <v>0</v>
      </c>
      <c r="CD45" s="2792">
        <f t="shared" ca="1" si="108"/>
        <v>0</v>
      </c>
      <c r="CE45" s="2792">
        <f t="shared" ca="1" si="108"/>
        <v>0</v>
      </c>
      <c r="CF45" s="2792">
        <f t="shared" ca="1" si="108"/>
        <v>0</v>
      </c>
      <c r="CG45" s="2792">
        <f t="shared" ca="1" si="108"/>
        <v>0</v>
      </c>
      <c r="CH45" s="2792">
        <f t="shared" ca="1" si="108"/>
        <v>0</v>
      </c>
      <c r="CI45" s="2792">
        <f t="shared" ca="1" si="108"/>
        <v>0</v>
      </c>
      <c r="CJ45" s="2792">
        <f t="shared" ca="1" si="108"/>
        <v>0</v>
      </c>
      <c r="CK45" s="2792">
        <f t="shared" ca="1" si="108"/>
        <v>0</v>
      </c>
      <c r="CL45" s="2792">
        <f t="shared" ca="1" si="108"/>
        <v>0</v>
      </c>
      <c r="CM45" s="2792">
        <f t="shared" ca="1" si="108"/>
        <v>0</v>
      </c>
      <c r="CN45" s="2792">
        <f t="shared" ca="1" si="108"/>
        <v>0</v>
      </c>
      <c r="CO45" s="2792">
        <f t="shared" ca="1" si="108"/>
        <v>0</v>
      </c>
      <c r="CP45" s="2792">
        <f t="shared" ca="1" si="108"/>
        <v>0</v>
      </c>
      <c r="CQ45" s="2792">
        <f t="shared" ca="1" si="108"/>
        <v>0</v>
      </c>
      <c r="CR45" s="2792">
        <f t="shared" ca="1" si="108"/>
        <v>0</v>
      </c>
      <c r="CS45" s="2792">
        <f t="shared" ca="1" si="108"/>
        <v>0</v>
      </c>
      <c r="CT45" s="2792">
        <f t="shared" ca="1" si="108"/>
        <v>0</v>
      </c>
      <c r="CU45" s="2792">
        <f t="shared" ca="1" si="108"/>
        <v>0</v>
      </c>
      <c r="CV45" s="2792">
        <f t="shared" ca="1" si="108"/>
        <v>0</v>
      </c>
      <c r="CW45" s="2792">
        <f t="shared" ca="1" si="108"/>
        <v>0</v>
      </c>
      <c r="CX45" s="2792">
        <f t="shared" ca="1" si="108"/>
        <v>0</v>
      </c>
      <c r="CY45" s="2792">
        <f t="shared" ca="1" si="108"/>
        <v>0</v>
      </c>
      <c r="CZ45" s="2792">
        <f t="shared" ca="1" si="108"/>
        <v>0</v>
      </c>
      <c r="DA45" s="2792">
        <f t="shared" ca="1" si="108"/>
        <v>0</v>
      </c>
      <c r="DB45" s="2792">
        <f t="shared" ca="1" si="108"/>
        <v>0</v>
      </c>
      <c r="DC45" s="2792">
        <f t="shared" ca="1" si="108"/>
        <v>0</v>
      </c>
      <c r="DD45" s="2792">
        <f t="shared" ca="1" si="108"/>
        <v>0</v>
      </c>
      <c r="DE45" s="2792">
        <f t="shared" ca="1" si="108"/>
        <v>0</v>
      </c>
      <c r="DF45" s="2792">
        <f t="shared" ca="1" si="108"/>
        <v>0</v>
      </c>
      <c r="DH45" s="596"/>
    </row>
    <row r="46" spans="1:112" s="6" customFormat="1" ht="15.75">
      <c r="A46" s="4"/>
      <c r="B46" s="3"/>
      <c r="C46" s="616" t="s">
        <v>504</v>
      </c>
      <c r="D46" s="617" t="s">
        <v>505</v>
      </c>
      <c r="E46" s="206"/>
      <c r="G46" s="618">
        <f ca="1">G45</f>
        <v>0</v>
      </c>
      <c r="H46" s="618">
        <f t="shared" ref="H46:P46" ca="1" si="109">H45</f>
        <v>0</v>
      </c>
      <c r="I46" s="618">
        <f t="shared" ca="1" si="109"/>
        <v>0</v>
      </c>
      <c r="J46" s="618">
        <f t="shared" ca="1" si="109"/>
        <v>0</v>
      </c>
      <c r="K46" s="618">
        <f t="shared" ca="1" si="109"/>
        <v>0</v>
      </c>
      <c r="L46" s="618">
        <f t="shared" ca="1" si="109"/>
        <v>0</v>
      </c>
      <c r="M46" s="618">
        <f t="shared" ca="1" si="109"/>
        <v>0</v>
      </c>
      <c r="N46" s="618">
        <f t="shared" ca="1" si="109"/>
        <v>0</v>
      </c>
      <c r="O46" s="618">
        <f t="shared" ca="1" si="109"/>
        <v>0</v>
      </c>
      <c r="P46" s="618">
        <f t="shared" ca="1" si="109"/>
        <v>0</v>
      </c>
      <c r="Q46" s="618">
        <f ca="1">SUM(G46:P46)</f>
        <v>0</v>
      </c>
      <c r="S46" s="581">
        <f t="shared" ref="S46:AJ46" ca="1" si="110">S45</f>
        <v>-4.1184243088541655E-2</v>
      </c>
      <c r="T46" s="581">
        <f t="shared" ca="1" si="110"/>
        <v>0</v>
      </c>
      <c r="U46" s="581">
        <f t="shared" ca="1" si="110"/>
        <v>0</v>
      </c>
      <c r="V46" s="581">
        <f t="shared" ca="1" si="110"/>
        <v>0</v>
      </c>
      <c r="W46" s="581">
        <f t="shared" ca="1" si="110"/>
        <v>0</v>
      </c>
      <c r="X46" s="581">
        <f t="shared" ca="1" si="110"/>
        <v>0</v>
      </c>
      <c r="Y46" s="581">
        <f t="shared" ca="1" si="110"/>
        <v>0</v>
      </c>
      <c r="Z46" s="581">
        <f t="shared" ca="1" si="110"/>
        <v>0</v>
      </c>
      <c r="AA46" s="581">
        <f t="shared" ca="1" si="110"/>
        <v>0</v>
      </c>
      <c r="AB46" s="581">
        <f t="shared" ca="1" si="110"/>
        <v>0</v>
      </c>
      <c r="AC46" s="581">
        <f t="shared" ca="1" si="110"/>
        <v>0</v>
      </c>
      <c r="AD46" s="581">
        <f t="shared" ca="1" si="110"/>
        <v>0</v>
      </c>
      <c r="AE46" s="581">
        <f ca="1">AE45</f>
        <v>0</v>
      </c>
      <c r="AF46" s="581">
        <f t="shared" ca="1" si="110"/>
        <v>0</v>
      </c>
      <c r="AG46" s="581">
        <f t="shared" ca="1" si="110"/>
        <v>0</v>
      </c>
      <c r="AH46" s="581">
        <f ca="1">AH45</f>
        <v>0</v>
      </c>
      <c r="AI46" s="581">
        <f t="shared" ca="1" si="110"/>
        <v>0</v>
      </c>
      <c r="AJ46" s="581">
        <f t="shared" ca="1" si="110"/>
        <v>3.1711867178177075E-2</v>
      </c>
      <c r="AK46" s="581">
        <f ca="1">SUM(S46:AJ46)</f>
        <v>-9.4723759103645805E-3</v>
      </c>
      <c r="AM46" s="582">
        <f t="shared" ref="AM46:BE46" ca="1" si="111">AM45</f>
        <v>0</v>
      </c>
      <c r="AN46" s="582">
        <f t="shared" ca="1" si="111"/>
        <v>0</v>
      </c>
      <c r="AO46" s="582">
        <f t="shared" ca="1" si="111"/>
        <v>0</v>
      </c>
      <c r="AP46" s="582">
        <f t="shared" ca="1" si="111"/>
        <v>0</v>
      </c>
      <c r="AQ46" s="582">
        <f t="shared" ca="1" si="111"/>
        <v>0</v>
      </c>
      <c r="AR46" s="582">
        <f t="shared" ca="1" si="111"/>
        <v>0</v>
      </c>
      <c r="AS46" s="582">
        <f t="shared" ca="1" si="111"/>
        <v>0</v>
      </c>
      <c r="AT46" s="582">
        <f t="shared" ca="1" si="111"/>
        <v>0</v>
      </c>
      <c r="AU46" s="582">
        <f t="shared" ca="1" si="111"/>
        <v>0</v>
      </c>
      <c r="AV46" s="582">
        <f t="shared" ca="1" si="111"/>
        <v>0</v>
      </c>
      <c r="AW46" s="582">
        <f t="shared" ca="1" si="111"/>
        <v>0</v>
      </c>
      <c r="AX46" s="582">
        <f t="shared" ca="1" si="111"/>
        <v>0</v>
      </c>
      <c r="AY46" s="582">
        <f t="shared" ca="1" si="111"/>
        <v>0</v>
      </c>
      <c r="AZ46" s="582">
        <f t="shared" ca="1" si="111"/>
        <v>0</v>
      </c>
      <c r="BA46" s="582">
        <f t="shared" ca="1" si="111"/>
        <v>0</v>
      </c>
      <c r="BB46" s="582">
        <f t="shared" ca="1" si="111"/>
        <v>0</v>
      </c>
      <c r="BC46" s="582">
        <f t="shared" ca="1" si="111"/>
        <v>0</v>
      </c>
      <c r="BD46" s="582">
        <f t="shared" ca="1" si="111"/>
        <v>0</v>
      </c>
      <c r="BE46" s="582">
        <f t="shared" ca="1" si="111"/>
        <v>0</v>
      </c>
      <c r="BF46" s="582">
        <f ca="1">SUM(AM46:BE46)</f>
        <v>0</v>
      </c>
      <c r="BH46" s="3463">
        <f ca="1">BH45</f>
        <v>9.4723759103645805E-3</v>
      </c>
      <c r="BI46" s="3463">
        <f ca="1">BI45</f>
        <v>0</v>
      </c>
      <c r="BJ46" s="3463">
        <f ca="1">SUM(BH46:BI46)</f>
        <v>9.4723759103645805E-3</v>
      </c>
      <c r="BL46" s="3477">
        <f ca="1">Q46+AK46+BF46+BJ46</f>
        <v>0</v>
      </c>
      <c r="BM46" s="584"/>
      <c r="BN46" s="413"/>
      <c r="BO46" s="2790">
        <f t="shared" ref="BO46:DF46" ca="1" si="112">BO45</f>
        <v>0</v>
      </c>
      <c r="BP46" s="2790">
        <f t="shared" ca="1" si="112"/>
        <v>0</v>
      </c>
      <c r="BQ46" s="2790">
        <f t="shared" ca="1" si="112"/>
        <v>0</v>
      </c>
      <c r="BR46" s="2790">
        <f t="shared" ca="1" si="112"/>
        <v>0</v>
      </c>
      <c r="BS46" s="2790">
        <f t="shared" ca="1" si="112"/>
        <v>0</v>
      </c>
      <c r="BT46" s="2790">
        <f t="shared" ca="1" si="112"/>
        <v>0</v>
      </c>
      <c r="BU46" s="2790">
        <f t="shared" ca="1" si="112"/>
        <v>0</v>
      </c>
      <c r="BV46" s="2790">
        <f t="shared" ca="1" si="112"/>
        <v>0</v>
      </c>
      <c r="BW46" s="2790">
        <f t="shared" ca="1" si="112"/>
        <v>0</v>
      </c>
      <c r="BX46" s="2790">
        <f t="shared" ca="1" si="112"/>
        <v>0</v>
      </c>
      <c r="BY46" s="2790">
        <f t="shared" ca="1" si="112"/>
        <v>0</v>
      </c>
      <c r="BZ46" s="2790">
        <f t="shared" ca="1" si="112"/>
        <v>0</v>
      </c>
      <c r="CA46" s="2790">
        <f t="shared" ca="1" si="112"/>
        <v>0</v>
      </c>
      <c r="CB46" s="2790">
        <f t="shared" ca="1" si="112"/>
        <v>0</v>
      </c>
      <c r="CC46" s="2790">
        <f t="shared" ca="1" si="112"/>
        <v>0</v>
      </c>
      <c r="CD46" s="2790">
        <f t="shared" ca="1" si="112"/>
        <v>0</v>
      </c>
      <c r="CE46" s="2790">
        <f t="shared" ca="1" si="112"/>
        <v>0</v>
      </c>
      <c r="CF46" s="2790">
        <f t="shared" ca="1" si="112"/>
        <v>0</v>
      </c>
      <c r="CG46" s="2790">
        <f t="shared" ca="1" si="112"/>
        <v>0</v>
      </c>
      <c r="CH46" s="2790">
        <f t="shared" ca="1" si="112"/>
        <v>0</v>
      </c>
      <c r="CI46" s="2790">
        <f t="shared" ca="1" si="112"/>
        <v>0</v>
      </c>
      <c r="CJ46" s="2790">
        <f t="shared" ca="1" si="112"/>
        <v>0</v>
      </c>
      <c r="CK46" s="2790">
        <f t="shared" ca="1" si="112"/>
        <v>0</v>
      </c>
      <c r="CL46" s="2790">
        <f t="shared" ca="1" si="112"/>
        <v>0</v>
      </c>
      <c r="CM46" s="2790">
        <f t="shared" ca="1" si="112"/>
        <v>0</v>
      </c>
      <c r="CN46" s="2790">
        <f t="shared" ca="1" si="112"/>
        <v>0</v>
      </c>
      <c r="CO46" s="2790">
        <f t="shared" ca="1" si="112"/>
        <v>0</v>
      </c>
      <c r="CP46" s="2790">
        <f t="shared" ca="1" si="112"/>
        <v>0</v>
      </c>
      <c r="CQ46" s="2790">
        <f t="shared" ca="1" si="112"/>
        <v>0</v>
      </c>
      <c r="CR46" s="2790">
        <f t="shared" ca="1" si="112"/>
        <v>0</v>
      </c>
      <c r="CS46" s="2790">
        <f t="shared" ca="1" si="112"/>
        <v>0</v>
      </c>
      <c r="CT46" s="2790">
        <f t="shared" ca="1" si="112"/>
        <v>0</v>
      </c>
      <c r="CU46" s="2790">
        <f t="shared" ca="1" si="112"/>
        <v>0</v>
      </c>
      <c r="CV46" s="2790">
        <f t="shared" ca="1" si="112"/>
        <v>0</v>
      </c>
      <c r="CW46" s="2790">
        <f t="shared" ca="1" si="112"/>
        <v>0</v>
      </c>
      <c r="CX46" s="2790">
        <f t="shared" ca="1" si="112"/>
        <v>0</v>
      </c>
      <c r="CY46" s="2790">
        <f t="shared" ca="1" si="112"/>
        <v>0</v>
      </c>
      <c r="CZ46" s="2790">
        <f t="shared" ca="1" si="112"/>
        <v>0</v>
      </c>
      <c r="DA46" s="2790">
        <f t="shared" ca="1" si="112"/>
        <v>0</v>
      </c>
      <c r="DB46" s="2790">
        <f t="shared" ca="1" si="112"/>
        <v>0</v>
      </c>
      <c r="DC46" s="2790">
        <f t="shared" ca="1" si="112"/>
        <v>0</v>
      </c>
      <c r="DD46" s="2790">
        <f t="shared" ca="1" si="112"/>
        <v>0</v>
      </c>
      <c r="DE46" s="2790">
        <f t="shared" ca="1" si="112"/>
        <v>0</v>
      </c>
      <c r="DF46" s="2790">
        <f t="shared" ca="1" si="112"/>
        <v>0</v>
      </c>
      <c r="DH46" s="596">
        <f t="shared" ref="DH46:DH82" ca="1" si="113">SUM(BO46:DF46)</f>
        <v>0</v>
      </c>
    </row>
    <row r="47" spans="1:112" s="6" customFormat="1">
      <c r="C47" s="518"/>
      <c r="D47" s="519"/>
      <c r="E47" s="519"/>
      <c r="G47" s="579"/>
      <c r="H47" s="579"/>
      <c r="I47" s="579"/>
      <c r="J47" s="579"/>
      <c r="K47" s="638"/>
      <c r="L47" s="579"/>
      <c r="M47" s="579"/>
      <c r="N47" s="579"/>
      <c r="O47" s="579"/>
      <c r="P47" s="579"/>
      <c r="Q47" s="579"/>
      <c r="S47" s="581"/>
      <c r="T47" s="581"/>
      <c r="U47" s="581"/>
      <c r="V47" s="581"/>
      <c r="W47" s="581"/>
      <c r="X47" s="581"/>
      <c r="Y47" s="581"/>
      <c r="Z47" s="581"/>
      <c r="AA47" s="581"/>
      <c r="AB47" s="581"/>
      <c r="AC47" s="581"/>
      <c r="AD47" s="581"/>
      <c r="AE47" s="581"/>
      <c r="AF47" s="581"/>
      <c r="AG47" s="581"/>
      <c r="AH47" s="581"/>
      <c r="AI47" s="581"/>
      <c r="AJ47" s="581"/>
      <c r="AK47" s="581"/>
      <c r="AM47" s="582"/>
      <c r="AN47" s="582"/>
      <c r="AO47" s="582"/>
      <c r="AP47" s="582"/>
      <c r="AQ47" s="582"/>
      <c r="AR47" s="582"/>
      <c r="AS47" s="582"/>
      <c r="AT47" s="582"/>
      <c r="AU47" s="582"/>
      <c r="AV47" s="582"/>
      <c r="AW47" s="582"/>
      <c r="AX47" s="582"/>
      <c r="AY47" s="582"/>
      <c r="AZ47" s="582"/>
      <c r="BA47" s="582"/>
      <c r="BB47" s="582"/>
      <c r="BC47" s="582"/>
      <c r="BD47" s="582"/>
      <c r="BE47" s="582"/>
      <c r="BF47" s="582"/>
      <c r="BH47" s="3463"/>
      <c r="BI47" s="3463"/>
      <c r="BJ47" s="3463"/>
      <c r="BL47" s="3477">
        <f>Q47+AK47+BF47+BJ47</f>
        <v>0</v>
      </c>
      <c r="BM47" s="584"/>
      <c r="BO47" s="2790"/>
      <c r="BP47" s="2790"/>
      <c r="BQ47" s="2790"/>
      <c r="BR47" s="2790"/>
      <c r="BS47" s="2790"/>
      <c r="BT47" s="2790"/>
      <c r="BU47" s="2790"/>
      <c r="BV47" s="2790"/>
      <c r="BW47" s="2790"/>
      <c r="BX47" s="2790"/>
      <c r="BY47" s="2790"/>
      <c r="BZ47" s="2790"/>
      <c r="CA47" s="2790"/>
      <c r="CB47" s="2790"/>
      <c r="CC47" s="2790"/>
      <c r="CD47" s="2790"/>
      <c r="CE47" s="2790"/>
      <c r="CF47" s="2790"/>
      <c r="CG47" s="2790"/>
      <c r="CH47" s="2790"/>
      <c r="CI47" s="2790"/>
      <c r="CJ47" s="2790"/>
      <c r="CK47" s="2790"/>
      <c r="CL47" s="2790"/>
      <c r="CM47" s="2790"/>
      <c r="CN47" s="2790"/>
      <c r="CO47" s="2790"/>
      <c r="CP47" s="2790"/>
      <c r="CQ47" s="2790"/>
      <c r="CR47" s="2790"/>
      <c r="CS47" s="2790"/>
      <c r="CT47" s="2790"/>
      <c r="CU47" s="2790"/>
      <c r="CV47" s="2790"/>
      <c r="CW47" s="2790"/>
      <c r="CX47" s="2790"/>
      <c r="CY47" s="2790"/>
      <c r="CZ47" s="2790"/>
      <c r="DA47" s="2790"/>
      <c r="DB47" s="2790"/>
      <c r="DC47" s="2790"/>
      <c r="DD47" s="2790"/>
      <c r="DE47" s="2790"/>
      <c r="DF47" s="2790"/>
      <c r="DH47" s="596">
        <f t="shared" si="113"/>
        <v>0</v>
      </c>
    </row>
    <row r="48" spans="1:112" s="6" customFormat="1">
      <c r="A48" s="607"/>
      <c r="B48" s="607"/>
      <c r="C48" s="587" t="s">
        <v>506</v>
      </c>
      <c r="D48" s="588" t="s">
        <v>507</v>
      </c>
      <c r="E48" s="588"/>
      <c r="G48" s="589">
        <f t="shared" ref="G48:P50" ca="1" si="114">IFERROR(INDEX(INDIRECT($C48&amp;".Outputs["&amp;this.Year&amp;"]"), MATCH(G$5, INDIRECT($C48&amp;".Outputs[Vector]"), 0)), 0)</f>
        <v>0</v>
      </c>
      <c r="H48" s="589">
        <f t="shared" ca="1" si="114"/>
        <v>0</v>
      </c>
      <c r="I48" s="589">
        <f t="shared" ca="1" si="114"/>
        <v>0</v>
      </c>
      <c r="J48" s="589">
        <f t="shared" ca="1" si="114"/>
        <v>0</v>
      </c>
      <c r="K48" s="589">
        <f t="shared" ca="1" si="114"/>
        <v>0</v>
      </c>
      <c r="L48" s="589">
        <f t="shared" ca="1" si="114"/>
        <v>0</v>
      </c>
      <c r="M48" s="589">
        <f t="shared" ca="1" si="114"/>
        <v>0</v>
      </c>
      <c r="N48" s="589">
        <f t="shared" ca="1" si="114"/>
        <v>0</v>
      </c>
      <c r="O48" s="589">
        <f t="shared" ca="1" si="114"/>
        <v>0</v>
      </c>
      <c r="P48" s="589">
        <f t="shared" ca="1" si="114"/>
        <v>0</v>
      </c>
      <c r="Q48" s="590">
        <f ca="1">SUM(G48:P48)</f>
        <v>0</v>
      </c>
      <c r="S48" s="591">
        <f t="shared" ref="S48:AJ50" ca="1" si="115">IFERROR(INDEX(INDIRECT($C48&amp;".Outputs["&amp;this.Year&amp;"]"), MATCH(S$5, INDIRECT($C48&amp;".Outputs[Vector]"), 0)), 0)</f>
        <v>0</v>
      </c>
      <c r="T48" s="591">
        <f t="shared" ca="1" si="115"/>
        <v>0</v>
      </c>
      <c r="U48" s="591">
        <f t="shared" ca="1" si="115"/>
        <v>0</v>
      </c>
      <c r="V48" s="591">
        <f t="shared" ca="1" si="115"/>
        <v>0</v>
      </c>
      <c r="W48" s="591">
        <f t="shared" ca="1" si="115"/>
        <v>0</v>
      </c>
      <c r="X48" s="591">
        <f t="shared" ca="1" si="115"/>
        <v>0</v>
      </c>
      <c r="Y48" s="591">
        <f t="shared" ca="1" si="115"/>
        <v>0</v>
      </c>
      <c r="Z48" s="591">
        <f t="shared" ca="1" si="115"/>
        <v>0</v>
      </c>
      <c r="AA48" s="591">
        <f t="shared" ca="1" si="115"/>
        <v>0</v>
      </c>
      <c r="AB48" s="591">
        <f t="shared" ca="1" si="115"/>
        <v>0</v>
      </c>
      <c r="AC48" s="591">
        <f t="shared" ca="1" si="115"/>
        <v>0</v>
      </c>
      <c r="AD48" s="591">
        <f t="shared" ca="1" si="115"/>
        <v>0</v>
      </c>
      <c r="AE48" s="591">
        <f t="shared" ca="1" si="115"/>
        <v>0</v>
      </c>
      <c r="AF48" s="591">
        <f t="shared" ca="1" si="115"/>
        <v>0</v>
      </c>
      <c r="AG48" s="591">
        <f t="shared" ca="1" si="115"/>
        <v>16.333333333333336</v>
      </c>
      <c r="AH48" s="591">
        <f t="shared" ca="1" si="115"/>
        <v>0</v>
      </c>
      <c r="AI48" s="591">
        <f t="shared" ca="1" si="115"/>
        <v>0</v>
      </c>
      <c r="AJ48" s="591">
        <f t="shared" ca="1" si="115"/>
        <v>0</v>
      </c>
      <c r="AK48" s="592">
        <f ca="1">SUM(S48:AJ48)</f>
        <v>16.333333333333336</v>
      </c>
      <c r="AM48" s="593">
        <f t="shared" ref="AM48:BB50" ca="1" si="116">IFERROR(INDEX(INDIRECT($C48&amp;".Outputs["&amp;this.Year&amp;"]"), MATCH(AM$5, INDIRECT($C48&amp;".Outputs[Vector]"), 0)), 0)</f>
        <v>0</v>
      </c>
      <c r="AN48" s="593">
        <f t="shared" ca="1" si="116"/>
        <v>0</v>
      </c>
      <c r="AO48" s="593">
        <f t="shared" ca="1" si="116"/>
        <v>0</v>
      </c>
      <c r="AP48" s="593">
        <f t="shared" ca="1" si="116"/>
        <v>0</v>
      </c>
      <c r="AQ48" s="593">
        <f t="shared" ca="1" si="116"/>
        <v>0</v>
      </c>
      <c r="AR48" s="593">
        <f t="shared" ca="1" si="116"/>
        <v>0</v>
      </c>
      <c r="AS48" s="593">
        <f t="shared" ca="1" si="116"/>
        <v>0</v>
      </c>
      <c r="AT48" s="593">
        <f t="shared" ca="1" si="116"/>
        <v>0</v>
      </c>
      <c r="AU48" s="593">
        <f t="shared" ca="1" si="116"/>
        <v>0</v>
      </c>
      <c r="AV48" s="593">
        <f t="shared" ca="1" si="116"/>
        <v>0</v>
      </c>
      <c r="AW48" s="593">
        <f t="shared" ca="1" si="116"/>
        <v>0</v>
      </c>
      <c r="AX48" s="593">
        <f t="shared" ca="1" si="116"/>
        <v>0</v>
      </c>
      <c r="AY48" s="593">
        <f t="shared" ca="1" si="116"/>
        <v>0</v>
      </c>
      <c r="AZ48" s="593">
        <f t="shared" ca="1" si="116"/>
        <v>0</v>
      </c>
      <c r="BA48" s="593">
        <f t="shared" ca="1" si="116"/>
        <v>0</v>
      </c>
      <c r="BB48" s="593">
        <f t="shared" ca="1" si="116"/>
        <v>0</v>
      </c>
      <c r="BC48" s="593">
        <f t="shared" ref="BC48:BE50" ca="1" si="117">IFERROR(INDEX(INDIRECT($C48&amp;".Outputs["&amp;this.Year&amp;"]"), MATCH(BC$5, INDIRECT($C48&amp;".Outputs[Vector]"), 0)), 0)</f>
        <v>0</v>
      </c>
      <c r="BD48" s="593">
        <f t="shared" ca="1" si="117"/>
        <v>-16.333333333333336</v>
      </c>
      <c r="BE48" s="593">
        <f t="shared" ca="1" si="117"/>
        <v>0</v>
      </c>
      <c r="BF48" s="609">
        <f ca="1">SUM(AM48:BE48)</f>
        <v>-16.333333333333336</v>
      </c>
      <c r="BH48" s="3471">
        <f t="shared" ref="BH48:BI50" ca="1" si="118">IFERROR(INDEX(INDIRECT($C48&amp;".Outputs["&amp;this.Year&amp;"]"), MATCH(BH$5, INDIRECT($C48&amp;".Outputs[Vector]"), 0)), 0)</f>
        <v>0</v>
      </c>
      <c r="BI48" s="3471">
        <f t="shared" ca="1" si="118"/>
        <v>0</v>
      </c>
      <c r="BJ48" s="3460">
        <f ca="1">SUM(BH48:BI48)</f>
        <v>0</v>
      </c>
      <c r="BL48" s="610"/>
      <c r="BM48" s="610"/>
      <c r="BN48" s="413"/>
      <c r="BO48" s="2789">
        <f t="shared" ref="BO48:BX50" ca="1" si="119">IFERROR(SUMIFS(INDIRECT($C48&amp;".Emissions["&amp;this.Year&amp;"]"), INDIRECT($C48&amp;".Emissions[GHG]"), BO$6, INDIRECT($C48&amp;".Emissions[IPCC Sector]"), BO$5),0)</f>
        <v>0</v>
      </c>
      <c r="BP48" s="2790">
        <f t="shared" ca="1" si="119"/>
        <v>0</v>
      </c>
      <c r="BQ48" s="2790">
        <f t="shared" ca="1" si="119"/>
        <v>0</v>
      </c>
      <c r="BR48" s="2790">
        <f t="shared" ca="1" si="119"/>
        <v>0</v>
      </c>
      <c r="BS48" s="2790">
        <f t="shared" ca="1" si="119"/>
        <v>0</v>
      </c>
      <c r="BT48" s="2790">
        <f t="shared" ca="1" si="119"/>
        <v>0</v>
      </c>
      <c r="BU48" s="2790">
        <f t="shared" ca="1" si="119"/>
        <v>0</v>
      </c>
      <c r="BV48" s="2790">
        <f t="shared" ca="1" si="119"/>
        <v>0</v>
      </c>
      <c r="BW48" s="2790">
        <f t="shared" ca="1" si="119"/>
        <v>0</v>
      </c>
      <c r="BX48" s="2790">
        <f t="shared" ca="1" si="119"/>
        <v>0</v>
      </c>
      <c r="BY48" s="2790">
        <f t="shared" ref="BY48:CH50" ca="1" si="120">IFERROR(SUMIFS(INDIRECT($C48&amp;".Emissions["&amp;this.Year&amp;"]"), INDIRECT($C48&amp;".Emissions[GHG]"), BY$6, INDIRECT($C48&amp;".Emissions[IPCC Sector]"), BY$5),0)</f>
        <v>0</v>
      </c>
      <c r="BZ48" s="2790">
        <f t="shared" ca="1" si="120"/>
        <v>0</v>
      </c>
      <c r="CA48" s="2790">
        <f t="shared" ca="1" si="120"/>
        <v>0</v>
      </c>
      <c r="CB48" s="2790">
        <f t="shared" ca="1" si="120"/>
        <v>0</v>
      </c>
      <c r="CC48" s="2790">
        <f t="shared" ca="1" si="120"/>
        <v>0</v>
      </c>
      <c r="CD48" s="2790">
        <f t="shared" ca="1" si="120"/>
        <v>0</v>
      </c>
      <c r="CE48" s="2790">
        <f t="shared" ca="1" si="120"/>
        <v>0</v>
      </c>
      <c r="CF48" s="2790">
        <f t="shared" ca="1" si="120"/>
        <v>0</v>
      </c>
      <c r="CG48" s="2790">
        <f t="shared" ca="1" si="120"/>
        <v>0</v>
      </c>
      <c r="CH48" s="2790">
        <f t="shared" ca="1" si="120"/>
        <v>0</v>
      </c>
      <c r="CI48" s="2790">
        <f t="shared" ref="CI48:CR50" ca="1" si="121">IFERROR(SUMIFS(INDIRECT($C48&amp;".Emissions["&amp;this.Year&amp;"]"), INDIRECT($C48&amp;".Emissions[GHG]"), CI$6, INDIRECT($C48&amp;".Emissions[IPCC Sector]"), CI$5),0)</f>
        <v>0</v>
      </c>
      <c r="CJ48" s="2790">
        <f t="shared" ca="1" si="121"/>
        <v>0</v>
      </c>
      <c r="CK48" s="2790">
        <f t="shared" ca="1" si="121"/>
        <v>0</v>
      </c>
      <c r="CL48" s="2790">
        <f t="shared" ca="1" si="121"/>
        <v>0</v>
      </c>
      <c r="CM48" s="2790">
        <f t="shared" ca="1" si="121"/>
        <v>0</v>
      </c>
      <c r="CN48" s="2790">
        <f t="shared" ca="1" si="121"/>
        <v>0</v>
      </c>
      <c r="CO48" s="2790">
        <f t="shared" ca="1" si="121"/>
        <v>0</v>
      </c>
      <c r="CP48" s="2790">
        <f t="shared" ca="1" si="121"/>
        <v>0</v>
      </c>
      <c r="CQ48" s="2790">
        <f t="shared" ca="1" si="121"/>
        <v>0</v>
      </c>
      <c r="CR48" s="2790">
        <f t="shared" ca="1" si="121"/>
        <v>0</v>
      </c>
      <c r="CS48" s="2790">
        <f t="shared" ref="CS48:DF50" ca="1" si="122">IFERROR(SUMIFS(INDIRECT($C48&amp;".Emissions["&amp;this.Year&amp;"]"), INDIRECT($C48&amp;".Emissions[GHG]"), CS$6, INDIRECT($C48&amp;".Emissions[IPCC Sector]"), CS$5),0)</f>
        <v>0</v>
      </c>
      <c r="CT48" s="2790">
        <f t="shared" ca="1" si="122"/>
        <v>0</v>
      </c>
      <c r="CU48" s="2790">
        <f t="shared" ca="1" si="122"/>
        <v>0</v>
      </c>
      <c r="CV48" s="2790">
        <f t="shared" ca="1" si="122"/>
        <v>0</v>
      </c>
      <c r="CW48" s="2790">
        <f t="shared" ca="1" si="122"/>
        <v>0</v>
      </c>
      <c r="CX48" s="2790">
        <f t="shared" ca="1" si="122"/>
        <v>0</v>
      </c>
      <c r="CY48" s="2790">
        <f t="shared" ca="1" si="122"/>
        <v>0</v>
      </c>
      <c r="CZ48" s="2790">
        <f t="shared" ca="1" si="122"/>
        <v>0</v>
      </c>
      <c r="DA48" s="2790">
        <f t="shared" ca="1" si="122"/>
        <v>0</v>
      </c>
      <c r="DB48" s="2790">
        <f t="shared" ca="1" si="122"/>
        <v>0</v>
      </c>
      <c r="DC48" s="2790">
        <f t="shared" ca="1" si="122"/>
        <v>0</v>
      </c>
      <c r="DD48" s="2790">
        <f t="shared" ca="1" si="122"/>
        <v>0</v>
      </c>
      <c r="DE48" s="2790">
        <f t="shared" ca="1" si="122"/>
        <v>0</v>
      </c>
      <c r="DF48" s="2790">
        <f t="shared" ca="1" si="122"/>
        <v>0</v>
      </c>
      <c r="DH48" s="596">
        <f ca="1">SUM(BO48:DF48)</f>
        <v>0</v>
      </c>
    </row>
    <row r="49" spans="1:112" s="6" customFormat="1">
      <c r="A49" s="607"/>
      <c r="B49" s="607"/>
      <c r="C49" s="587" t="s">
        <v>508</v>
      </c>
      <c r="D49" s="588" t="s">
        <v>509</v>
      </c>
      <c r="E49" s="588"/>
      <c r="G49" s="589">
        <f t="shared" ca="1" si="114"/>
        <v>0</v>
      </c>
      <c r="H49" s="589">
        <f t="shared" ca="1" si="114"/>
        <v>0</v>
      </c>
      <c r="I49" s="589">
        <f t="shared" ca="1" si="114"/>
        <v>0</v>
      </c>
      <c r="J49" s="589">
        <f t="shared" ca="1" si="114"/>
        <v>0</v>
      </c>
      <c r="K49" s="589">
        <f t="shared" ca="1" si="114"/>
        <v>0</v>
      </c>
      <c r="L49" s="589">
        <f t="shared" ca="1" si="114"/>
        <v>0</v>
      </c>
      <c r="M49" s="589">
        <f t="shared" ca="1" si="114"/>
        <v>0</v>
      </c>
      <c r="N49" s="589">
        <f t="shared" ca="1" si="114"/>
        <v>0</v>
      </c>
      <c r="O49" s="589">
        <f t="shared" ca="1" si="114"/>
        <v>0</v>
      </c>
      <c r="P49" s="589">
        <f t="shared" ca="1" si="114"/>
        <v>0</v>
      </c>
      <c r="Q49" s="590">
        <f ca="1">SUM(G49:P49)</f>
        <v>0</v>
      </c>
      <c r="S49" s="591">
        <f t="shared" ca="1" si="115"/>
        <v>0</v>
      </c>
      <c r="T49" s="591">
        <f t="shared" ca="1" si="115"/>
        <v>0</v>
      </c>
      <c r="U49" s="591">
        <f t="shared" ca="1" si="115"/>
        <v>0</v>
      </c>
      <c r="V49" s="591">
        <f t="shared" ca="1" si="115"/>
        <v>0</v>
      </c>
      <c r="W49" s="591">
        <f t="shared" ca="1" si="115"/>
        <v>0</v>
      </c>
      <c r="X49" s="591">
        <f t="shared" ca="1" si="115"/>
        <v>0.2136046021465092</v>
      </c>
      <c r="Y49" s="591">
        <f t="shared" ca="1" si="115"/>
        <v>0</v>
      </c>
      <c r="Z49" s="591">
        <f t="shared" ca="1" si="115"/>
        <v>0</v>
      </c>
      <c r="AA49" s="591">
        <f t="shared" ca="1" si="115"/>
        <v>0</v>
      </c>
      <c r="AB49" s="591">
        <f t="shared" ca="1" si="115"/>
        <v>0</v>
      </c>
      <c r="AC49" s="591">
        <f t="shared" ca="1" si="115"/>
        <v>0</v>
      </c>
      <c r="AD49" s="591">
        <f t="shared" ca="1" si="115"/>
        <v>0</v>
      </c>
      <c r="AE49" s="591">
        <f t="shared" ca="1" si="115"/>
        <v>0</v>
      </c>
      <c r="AF49" s="591">
        <f t="shared" ca="1" si="115"/>
        <v>0.40213758533350341</v>
      </c>
      <c r="AG49" s="591">
        <f t="shared" ca="1" si="115"/>
        <v>0.2441593813538632</v>
      </c>
      <c r="AH49" s="591">
        <f t="shared" ca="1" si="115"/>
        <v>0.14114006489102265</v>
      </c>
      <c r="AI49" s="591">
        <f t="shared" ca="1" si="115"/>
        <v>0</v>
      </c>
      <c r="AJ49" s="591">
        <f t="shared" ca="1" si="115"/>
        <v>0</v>
      </c>
      <c r="AK49" s="592">
        <f ca="1">SUM(S49:AJ49)</f>
        <v>1.0010416337248984</v>
      </c>
      <c r="AM49" s="593">
        <f t="shared" ca="1" si="116"/>
        <v>0</v>
      </c>
      <c r="AN49" s="593">
        <f t="shared" ca="1" si="116"/>
        <v>0</v>
      </c>
      <c r="AO49" s="593">
        <f t="shared" ca="1" si="116"/>
        <v>0</v>
      </c>
      <c r="AP49" s="593">
        <f t="shared" ca="1" si="116"/>
        <v>0</v>
      </c>
      <c r="AQ49" s="593">
        <f t="shared" ca="1" si="116"/>
        <v>0</v>
      </c>
      <c r="AR49" s="593">
        <f t="shared" ca="1" si="116"/>
        <v>0</v>
      </c>
      <c r="AS49" s="593">
        <f t="shared" ca="1" si="116"/>
        <v>0</v>
      </c>
      <c r="AT49" s="593">
        <f t="shared" ca="1" si="116"/>
        <v>0</v>
      </c>
      <c r="AU49" s="593">
        <f t="shared" ca="1" si="116"/>
        <v>0</v>
      </c>
      <c r="AV49" s="593">
        <f t="shared" ca="1" si="116"/>
        <v>0</v>
      </c>
      <c r="AW49" s="593">
        <f t="shared" ca="1" si="116"/>
        <v>0</v>
      </c>
      <c r="AX49" s="593">
        <f t="shared" ca="1" si="116"/>
        <v>0</v>
      </c>
      <c r="AY49" s="593">
        <f t="shared" ca="1" si="116"/>
        <v>0</v>
      </c>
      <c r="AZ49" s="593">
        <f t="shared" ca="1" si="116"/>
        <v>0</v>
      </c>
      <c r="BA49" s="593">
        <f t="shared" ca="1" si="116"/>
        <v>0</v>
      </c>
      <c r="BB49" s="593">
        <f t="shared" ca="1" si="116"/>
        <v>0</v>
      </c>
      <c r="BC49" s="593">
        <f t="shared" ca="1" si="117"/>
        <v>0</v>
      </c>
      <c r="BD49" s="593">
        <f t="shared" ca="1" si="117"/>
        <v>0</v>
      </c>
      <c r="BE49" s="593">
        <f t="shared" ca="1" si="117"/>
        <v>-1.0010416337248986</v>
      </c>
      <c r="BF49" s="609">
        <f ca="1">SUM(AM49:BE49)</f>
        <v>-1.0010416337248986</v>
      </c>
      <c r="BH49" s="3471">
        <f t="shared" ca="1" si="118"/>
        <v>0</v>
      </c>
      <c r="BI49" s="3471">
        <f t="shared" ca="1" si="118"/>
        <v>0</v>
      </c>
      <c r="BJ49" s="3460">
        <f ca="1">SUM(BH49:BI49)</f>
        <v>0</v>
      </c>
      <c r="BL49" s="610"/>
      <c r="BM49" s="610"/>
      <c r="BN49" s="413"/>
      <c r="BO49" s="2789">
        <f t="shared" ca="1" si="119"/>
        <v>0</v>
      </c>
      <c r="BP49" s="2790">
        <f t="shared" ca="1" si="119"/>
        <v>0</v>
      </c>
      <c r="BQ49" s="2790">
        <f t="shared" ca="1" si="119"/>
        <v>0</v>
      </c>
      <c r="BR49" s="2790">
        <f t="shared" ca="1" si="119"/>
        <v>0</v>
      </c>
      <c r="BS49" s="2790">
        <f t="shared" ca="1" si="119"/>
        <v>0</v>
      </c>
      <c r="BT49" s="2790">
        <f t="shared" ca="1" si="119"/>
        <v>0</v>
      </c>
      <c r="BU49" s="2790">
        <f t="shared" ca="1" si="119"/>
        <v>0</v>
      </c>
      <c r="BV49" s="2790">
        <f t="shared" ca="1" si="119"/>
        <v>0</v>
      </c>
      <c r="BW49" s="2790">
        <f t="shared" ca="1" si="119"/>
        <v>0</v>
      </c>
      <c r="BX49" s="2790">
        <f t="shared" ca="1" si="119"/>
        <v>0</v>
      </c>
      <c r="BY49" s="2790">
        <f t="shared" ca="1" si="120"/>
        <v>0</v>
      </c>
      <c r="BZ49" s="2790">
        <f t="shared" ca="1" si="120"/>
        <v>0</v>
      </c>
      <c r="CA49" s="2790">
        <f t="shared" ca="1" si="120"/>
        <v>0</v>
      </c>
      <c r="CB49" s="2790">
        <f t="shared" ca="1" si="120"/>
        <v>0</v>
      </c>
      <c r="CC49" s="2790">
        <f t="shared" ca="1" si="120"/>
        <v>0</v>
      </c>
      <c r="CD49" s="2790">
        <f t="shared" ca="1" si="120"/>
        <v>0</v>
      </c>
      <c r="CE49" s="2790">
        <f t="shared" ca="1" si="120"/>
        <v>0</v>
      </c>
      <c r="CF49" s="2790">
        <f t="shared" ca="1" si="120"/>
        <v>0</v>
      </c>
      <c r="CG49" s="2790">
        <f t="shared" ca="1" si="120"/>
        <v>0</v>
      </c>
      <c r="CH49" s="2790">
        <f t="shared" ca="1" si="120"/>
        <v>0</v>
      </c>
      <c r="CI49" s="2790">
        <f t="shared" ca="1" si="121"/>
        <v>0</v>
      </c>
      <c r="CJ49" s="2790">
        <f t="shared" ca="1" si="121"/>
        <v>0</v>
      </c>
      <c r="CK49" s="2790">
        <f t="shared" ca="1" si="121"/>
        <v>0</v>
      </c>
      <c r="CL49" s="2790">
        <f t="shared" ca="1" si="121"/>
        <v>0</v>
      </c>
      <c r="CM49" s="2790">
        <f t="shared" ca="1" si="121"/>
        <v>0</v>
      </c>
      <c r="CN49" s="2790">
        <f t="shared" ca="1" si="121"/>
        <v>0.29949032499492428</v>
      </c>
      <c r="CO49" s="2790">
        <f t="shared" ca="1" si="121"/>
        <v>6.3714299999999988E-2</v>
      </c>
      <c r="CP49" s="2790">
        <f t="shared" ca="1" si="121"/>
        <v>0</v>
      </c>
      <c r="CQ49" s="2790">
        <f t="shared" ca="1" si="121"/>
        <v>0</v>
      </c>
      <c r="CR49" s="2790">
        <f t="shared" ca="1" si="121"/>
        <v>0</v>
      </c>
      <c r="CS49" s="2790">
        <f t="shared" ca="1" si="122"/>
        <v>0</v>
      </c>
      <c r="CT49" s="2790">
        <f t="shared" ca="1" si="122"/>
        <v>0</v>
      </c>
      <c r="CU49" s="2790">
        <f t="shared" ca="1" si="122"/>
        <v>0</v>
      </c>
      <c r="CV49" s="2790">
        <f t="shared" ca="1" si="122"/>
        <v>0</v>
      </c>
      <c r="CW49" s="2790">
        <f t="shared" ca="1" si="122"/>
        <v>0</v>
      </c>
      <c r="CX49" s="2790">
        <f t="shared" ca="1" si="122"/>
        <v>0</v>
      </c>
      <c r="CY49" s="2790">
        <f t="shared" ca="1" si="122"/>
        <v>0</v>
      </c>
      <c r="CZ49" s="2790">
        <f t="shared" ca="1" si="122"/>
        <v>0</v>
      </c>
      <c r="DA49" s="2790">
        <f t="shared" ca="1" si="122"/>
        <v>0</v>
      </c>
      <c r="DB49" s="2790">
        <f t="shared" ca="1" si="122"/>
        <v>0</v>
      </c>
      <c r="DC49" s="2790">
        <f t="shared" ca="1" si="122"/>
        <v>0</v>
      </c>
      <c r="DD49" s="2790">
        <f t="shared" ca="1" si="122"/>
        <v>0</v>
      </c>
      <c r="DE49" s="2790">
        <f t="shared" ca="1" si="122"/>
        <v>0</v>
      </c>
      <c r="DF49" s="2790">
        <f t="shared" ca="1" si="122"/>
        <v>0</v>
      </c>
      <c r="DH49" s="596">
        <f t="shared" ca="1" si="113"/>
        <v>0.36320462499492429</v>
      </c>
    </row>
    <row r="50" spans="1:112" s="6" customFormat="1">
      <c r="A50" s="607"/>
      <c r="B50" s="607"/>
      <c r="C50" s="587" t="s">
        <v>510</v>
      </c>
      <c r="D50" s="611" t="s">
        <v>511</v>
      </c>
      <c r="E50" s="611"/>
      <c r="G50" s="619">
        <f t="shared" ca="1" si="114"/>
        <v>0</v>
      </c>
      <c r="H50" s="619">
        <f t="shared" ca="1" si="114"/>
        <v>0</v>
      </c>
      <c r="I50" s="619">
        <f t="shared" ca="1" si="114"/>
        <v>2.8632148502402313</v>
      </c>
      <c r="J50" s="619">
        <f t="shared" ca="1" si="114"/>
        <v>0</v>
      </c>
      <c r="K50" s="619">
        <f t="shared" ca="1" si="114"/>
        <v>0</v>
      </c>
      <c r="L50" s="619">
        <f t="shared" ca="1" si="114"/>
        <v>0</v>
      </c>
      <c r="M50" s="619">
        <f t="shared" ca="1" si="114"/>
        <v>0</v>
      </c>
      <c r="N50" s="619">
        <f t="shared" ca="1" si="114"/>
        <v>0</v>
      </c>
      <c r="O50" s="619">
        <f t="shared" ca="1" si="114"/>
        <v>0</v>
      </c>
      <c r="P50" s="619">
        <f t="shared" ca="1" si="114"/>
        <v>0</v>
      </c>
      <c r="Q50" s="612">
        <f ca="1">SUM(G50:P50)</f>
        <v>2.8632148502402313</v>
      </c>
      <c r="S50" s="620">
        <f t="shared" ca="1" si="115"/>
        <v>-0.60127511855044857</v>
      </c>
      <c r="T50" s="620">
        <f t="shared" ca="1" si="115"/>
        <v>0</v>
      </c>
      <c r="U50" s="620">
        <f t="shared" ca="1" si="115"/>
        <v>0</v>
      </c>
      <c r="V50" s="620">
        <f t="shared" ca="1" si="115"/>
        <v>-2.2619397316897829</v>
      </c>
      <c r="W50" s="620">
        <f t="shared" ca="1" si="115"/>
        <v>0</v>
      </c>
      <c r="X50" s="620">
        <f t="shared" ca="1" si="115"/>
        <v>0</v>
      </c>
      <c r="Y50" s="620">
        <f t="shared" ca="1" si="115"/>
        <v>0</v>
      </c>
      <c r="Z50" s="620">
        <f t="shared" ca="1" si="115"/>
        <v>0</v>
      </c>
      <c r="AA50" s="620">
        <f t="shared" ca="1" si="115"/>
        <v>0</v>
      </c>
      <c r="AB50" s="620">
        <f t="shared" ca="1" si="115"/>
        <v>0</v>
      </c>
      <c r="AC50" s="620">
        <f t="shared" ca="1" si="115"/>
        <v>0</v>
      </c>
      <c r="AD50" s="620">
        <f t="shared" ca="1" si="115"/>
        <v>85.98605217389283</v>
      </c>
      <c r="AE50" s="620">
        <f t="shared" ca="1" si="115"/>
        <v>1.0590538045843265</v>
      </c>
      <c r="AF50" s="620">
        <f t="shared" ca="1" si="115"/>
        <v>23.304346894333833</v>
      </c>
      <c r="AG50" s="620">
        <f t="shared" ca="1" si="115"/>
        <v>11.284802046451777</v>
      </c>
      <c r="AH50" s="620">
        <f t="shared" ca="1" si="115"/>
        <v>0</v>
      </c>
      <c r="AI50" s="620">
        <f t="shared" ca="1" si="115"/>
        <v>0</v>
      </c>
      <c r="AJ50" s="620">
        <f t="shared" ca="1" si="115"/>
        <v>0</v>
      </c>
      <c r="AK50" s="613">
        <f ca="1">SUM(S50:AJ50)</f>
        <v>118.77104006902253</v>
      </c>
      <c r="AM50" s="621">
        <f t="shared" ca="1" si="116"/>
        <v>0</v>
      </c>
      <c r="AN50" s="621">
        <f t="shared" ca="1" si="116"/>
        <v>0</v>
      </c>
      <c r="AO50" s="621">
        <f t="shared" ca="1" si="116"/>
        <v>0</v>
      </c>
      <c r="AP50" s="621">
        <f t="shared" ca="1" si="116"/>
        <v>0</v>
      </c>
      <c r="AQ50" s="621">
        <f t="shared" ca="1" si="116"/>
        <v>0</v>
      </c>
      <c r="AR50" s="621">
        <f t="shared" ca="1" si="116"/>
        <v>0</v>
      </c>
      <c r="AS50" s="621">
        <f t="shared" ca="1" si="116"/>
        <v>0</v>
      </c>
      <c r="AT50" s="621">
        <f t="shared" ca="1" si="116"/>
        <v>0</v>
      </c>
      <c r="AU50" s="621">
        <f t="shared" ca="1" si="116"/>
        <v>0</v>
      </c>
      <c r="AV50" s="621">
        <f t="shared" ca="1" si="116"/>
        <v>0</v>
      </c>
      <c r="AW50" s="621">
        <f t="shared" ca="1" si="116"/>
        <v>0</v>
      </c>
      <c r="AX50" s="621">
        <f t="shared" ca="1" si="116"/>
        <v>0</v>
      </c>
      <c r="AY50" s="621">
        <f t="shared" ca="1" si="116"/>
        <v>0</v>
      </c>
      <c r="AZ50" s="621">
        <f t="shared" ca="1" si="116"/>
        <v>0</v>
      </c>
      <c r="BA50" s="621">
        <f t="shared" ca="1" si="116"/>
        <v>0</v>
      </c>
      <c r="BB50" s="621">
        <f t="shared" ca="1" si="116"/>
        <v>0</v>
      </c>
      <c r="BC50" s="621">
        <f t="shared" ca="1" si="117"/>
        <v>0</v>
      </c>
      <c r="BD50" s="621">
        <f t="shared" ca="1" si="117"/>
        <v>-87.045105978477153</v>
      </c>
      <c r="BE50" s="621">
        <f t="shared" ca="1" si="117"/>
        <v>-34.589148940785606</v>
      </c>
      <c r="BF50" s="615">
        <f ca="1">SUM(AM50:BE50)</f>
        <v>-121.63425491926276</v>
      </c>
      <c r="BH50" s="3473">
        <f t="shared" ca="1" si="118"/>
        <v>0</v>
      </c>
      <c r="BI50" s="3473">
        <f t="shared" ca="1" si="118"/>
        <v>0</v>
      </c>
      <c r="BJ50" s="3462">
        <f ca="1">SUM(BH50:BI50)</f>
        <v>0</v>
      </c>
      <c r="BL50" s="610">
        <f ca="1">Q50+AK50+BF50+BJ50</f>
        <v>0</v>
      </c>
      <c r="BM50" s="610"/>
      <c r="BN50" s="413"/>
      <c r="BO50" s="2791">
        <f t="shared" ca="1" si="119"/>
        <v>0.59688065639829979</v>
      </c>
      <c r="BP50" s="2792">
        <f t="shared" ca="1" si="119"/>
        <v>5.1300793114724276E-4</v>
      </c>
      <c r="BQ50" s="2792">
        <f t="shared" ca="1" si="119"/>
        <v>1.5145948443394787E-3</v>
      </c>
      <c r="BR50" s="2792">
        <f t="shared" ca="1" si="119"/>
        <v>0</v>
      </c>
      <c r="BS50" s="2792">
        <f t="shared" ca="1" si="119"/>
        <v>0</v>
      </c>
      <c r="BT50" s="2792">
        <f t="shared" ca="1" si="119"/>
        <v>0</v>
      </c>
      <c r="BU50" s="2792">
        <f t="shared" ca="1" si="119"/>
        <v>0</v>
      </c>
      <c r="BV50" s="2792">
        <f t="shared" ca="1" si="119"/>
        <v>0</v>
      </c>
      <c r="BW50" s="2792">
        <f t="shared" ca="1" si="119"/>
        <v>0</v>
      </c>
      <c r="BX50" s="2792">
        <f t="shared" ca="1" si="119"/>
        <v>0</v>
      </c>
      <c r="BY50" s="2792">
        <f t="shared" ca="1" si="120"/>
        <v>0</v>
      </c>
      <c r="BZ50" s="2792">
        <f t="shared" ca="1" si="120"/>
        <v>0</v>
      </c>
      <c r="CA50" s="2792">
        <f t="shared" ca="1" si="120"/>
        <v>0</v>
      </c>
      <c r="CB50" s="2792">
        <f t="shared" ca="1" si="120"/>
        <v>0</v>
      </c>
      <c r="CC50" s="2792">
        <f t="shared" ca="1" si="120"/>
        <v>0</v>
      </c>
      <c r="CD50" s="2792">
        <f t="shared" ca="1" si="120"/>
        <v>0</v>
      </c>
      <c r="CE50" s="2792">
        <f t="shared" ca="1" si="120"/>
        <v>0</v>
      </c>
      <c r="CF50" s="2792">
        <f t="shared" ca="1" si="120"/>
        <v>7.1414162706700708</v>
      </c>
      <c r="CG50" s="2792">
        <f t="shared" ca="1" si="120"/>
        <v>5.8724792396030061</v>
      </c>
      <c r="CH50" s="2792">
        <f t="shared" ca="1" si="120"/>
        <v>0</v>
      </c>
      <c r="CI50" s="2792">
        <f t="shared" ca="1" si="121"/>
        <v>-4.4813243548418651</v>
      </c>
      <c r="CJ50" s="2792">
        <f t="shared" ca="1" si="121"/>
        <v>0</v>
      </c>
      <c r="CK50" s="2792">
        <f t="shared" ca="1" si="121"/>
        <v>0</v>
      </c>
      <c r="CL50" s="2792">
        <f t="shared" ca="1" si="121"/>
        <v>0</v>
      </c>
      <c r="CM50" s="2792">
        <f t="shared" ca="1" si="121"/>
        <v>0</v>
      </c>
      <c r="CN50" s="2792">
        <f t="shared" ca="1" si="121"/>
        <v>0</v>
      </c>
      <c r="CO50" s="2792">
        <f t="shared" ca="1" si="121"/>
        <v>0</v>
      </c>
      <c r="CP50" s="2792">
        <f t="shared" ca="1" si="121"/>
        <v>0</v>
      </c>
      <c r="CQ50" s="2792">
        <f t="shared" ca="1" si="121"/>
        <v>0</v>
      </c>
      <c r="CR50" s="2792">
        <f t="shared" ca="1" si="121"/>
        <v>0</v>
      </c>
      <c r="CS50" s="2792">
        <f t="shared" ca="1" si="122"/>
        <v>0</v>
      </c>
      <c r="CT50" s="2792">
        <f t="shared" ca="1" si="122"/>
        <v>0</v>
      </c>
      <c r="CU50" s="2792">
        <f t="shared" ca="1" si="122"/>
        <v>0</v>
      </c>
      <c r="CV50" s="2792">
        <f t="shared" ca="1" si="122"/>
        <v>0</v>
      </c>
      <c r="CW50" s="2792">
        <f t="shared" ca="1" si="122"/>
        <v>0</v>
      </c>
      <c r="CX50" s="2792">
        <f t="shared" ca="1" si="122"/>
        <v>0</v>
      </c>
      <c r="CY50" s="2792">
        <f t="shared" ca="1" si="122"/>
        <v>0</v>
      </c>
      <c r="CZ50" s="2792">
        <f t="shared" ca="1" si="122"/>
        <v>0</v>
      </c>
      <c r="DA50" s="2792">
        <f t="shared" ca="1" si="122"/>
        <v>0</v>
      </c>
      <c r="DB50" s="2792">
        <f t="shared" ca="1" si="122"/>
        <v>0</v>
      </c>
      <c r="DC50" s="2792">
        <f t="shared" ca="1" si="122"/>
        <v>0</v>
      </c>
      <c r="DD50" s="2792">
        <f t="shared" ca="1" si="122"/>
        <v>0</v>
      </c>
      <c r="DE50" s="2792">
        <f t="shared" ca="1" si="122"/>
        <v>0</v>
      </c>
      <c r="DF50" s="2792">
        <f t="shared" ca="1" si="122"/>
        <v>0</v>
      </c>
      <c r="DH50" s="596">
        <f t="shared" ca="1" si="113"/>
        <v>9.131479414604998</v>
      </c>
    </row>
    <row r="51" spans="1:112" s="6" customFormat="1" ht="15.75">
      <c r="A51" s="4"/>
      <c r="B51" s="3"/>
      <c r="C51" s="616" t="s">
        <v>512</v>
      </c>
      <c r="D51" s="617" t="s">
        <v>513</v>
      </c>
      <c r="E51" s="206"/>
      <c r="G51" s="618">
        <f ca="1">SUM(G48:G50)</f>
        <v>0</v>
      </c>
      <c r="H51" s="618">
        <f t="shared" ref="H51:P51" ca="1" si="123">SUM(H48:H50)</f>
        <v>0</v>
      </c>
      <c r="I51" s="618">
        <f t="shared" ca="1" si="123"/>
        <v>2.8632148502402313</v>
      </c>
      <c r="J51" s="618">
        <f t="shared" ca="1" si="123"/>
        <v>0</v>
      </c>
      <c r="K51" s="618">
        <f t="shared" ca="1" si="123"/>
        <v>0</v>
      </c>
      <c r="L51" s="618">
        <f t="shared" ca="1" si="123"/>
        <v>0</v>
      </c>
      <c r="M51" s="618">
        <f t="shared" ca="1" si="123"/>
        <v>0</v>
      </c>
      <c r="N51" s="618">
        <f t="shared" ca="1" si="123"/>
        <v>0</v>
      </c>
      <c r="O51" s="618">
        <f t="shared" ca="1" si="123"/>
        <v>0</v>
      </c>
      <c r="P51" s="618">
        <f t="shared" ca="1" si="123"/>
        <v>0</v>
      </c>
      <c r="Q51" s="618">
        <f ca="1">SUM(G51:P51)</f>
        <v>2.8632148502402313</v>
      </c>
      <c r="S51" s="581">
        <f t="shared" ref="S51:AJ51" ca="1" si="124">SUM(S48:S50)</f>
        <v>-0.60127511855044857</v>
      </c>
      <c r="T51" s="581">
        <f t="shared" ca="1" si="124"/>
        <v>0</v>
      </c>
      <c r="U51" s="581">
        <f t="shared" ca="1" si="124"/>
        <v>0</v>
      </c>
      <c r="V51" s="581">
        <f t="shared" ca="1" si="124"/>
        <v>-2.2619397316897829</v>
      </c>
      <c r="W51" s="581">
        <f t="shared" ca="1" si="124"/>
        <v>0</v>
      </c>
      <c r="X51" s="581">
        <f t="shared" ca="1" si="124"/>
        <v>0.2136046021465092</v>
      </c>
      <c r="Y51" s="581">
        <f t="shared" ca="1" si="124"/>
        <v>0</v>
      </c>
      <c r="Z51" s="581">
        <f t="shared" ca="1" si="124"/>
        <v>0</v>
      </c>
      <c r="AA51" s="581">
        <f t="shared" ca="1" si="124"/>
        <v>0</v>
      </c>
      <c r="AB51" s="581">
        <f t="shared" ca="1" si="124"/>
        <v>0</v>
      </c>
      <c r="AC51" s="581">
        <f t="shared" ca="1" si="124"/>
        <v>0</v>
      </c>
      <c r="AD51" s="581">
        <f t="shared" ca="1" si="124"/>
        <v>85.98605217389283</v>
      </c>
      <c r="AE51" s="581">
        <f ca="1">SUM(AE48:AE50)</f>
        <v>1.0590538045843265</v>
      </c>
      <c r="AF51" s="581">
        <f t="shared" ca="1" si="124"/>
        <v>23.706484479667335</v>
      </c>
      <c r="AG51" s="581">
        <f t="shared" ca="1" si="124"/>
        <v>27.862294761138976</v>
      </c>
      <c r="AH51" s="581">
        <f ca="1">SUM(AH48:AH50)</f>
        <v>0.14114006489102265</v>
      </c>
      <c r="AI51" s="581">
        <f t="shared" ca="1" si="124"/>
        <v>0</v>
      </c>
      <c r="AJ51" s="581">
        <f t="shared" ca="1" si="124"/>
        <v>0</v>
      </c>
      <c r="AK51" s="581">
        <f ca="1">SUM(S51:AJ51)</f>
        <v>136.10541503608079</v>
      </c>
      <c r="AM51" s="582">
        <f t="shared" ref="AM51:BE51" ca="1" si="125">SUM(AM48:AM50)</f>
        <v>0</v>
      </c>
      <c r="AN51" s="582">
        <f t="shared" ca="1" si="125"/>
        <v>0</v>
      </c>
      <c r="AO51" s="582">
        <f t="shared" ca="1" si="125"/>
        <v>0</v>
      </c>
      <c r="AP51" s="582">
        <f t="shared" ca="1" si="125"/>
        <v>0</v>
      </c>
      <c r="AQ51" s="582">
        <f t="shared" ca="1" si="125"/>
        <v>0</v>
      </c>
      <c r="AR51" s="582">
        <f t="shared" ca="1" si="125"/>
        <v>0</v>
      </c>
      <c r="AS51" s="582">
        <f t="shared" ca="1" si="125"/>
        <v>0</v>
      </c>
      <c r="AT51" s="582">
        <f t="shared" ca="1" si="125"/>
        <v>0</v>
      </c>
      <c r="AU51" s="582">
        <f t="shared" ca="1" si="125"/>
        <v>0</v>
      </c>
      <c r="AV51" s="582">
        <f t="shared" ca="1" si="125"/>
        <v>0</v>
      </c>
      <c r="AW51" s="582">
        <f t="shared" ca="1" si="125"/>
        <v>0</v>
      </c>
      <c r="AX51" s="582">
        <f t="shared" ca="1" si="125"/>
        <v>0</v>
      </c>
      <c r="AY51" s="582">
        <f t="shared" ca="1" si="125"/>
        <v>0</v>
      </c>
      <c r="AZ51" s="582">
        <f t="shared" ca="1" si="125"/>
        <v>0</v>
      </c>
      <c r="BA51" s="582">
        <f t="shared" ca="1" si="125"/>
        <v>0</v>
      </c>
      <c r="BB51" s="582">
        <f t="shared" ca="1" si="125"/>
        <v>0</v>
      </c>
      <c r="BC51" s="582">
        <f t="shared" ca="1" si="125"/>
        <v>0</v>
      </c>
      <c r="BD51" s="582">
        <f t="shared" ca="1" si="125"/>
        <v>-103.3784393118105</v>
      </c>
      <c r="BE51" s="582">
        <f t="shared" ca="1" si="125"/>
        <v>-35.590190574510501</v>
      </c>
      <c r="BF51" s="582">
        <f ca="1">SUM(AM51:BE51)</f>
        <v>-138.968629886321</v>
      </c>
      <c r="BH51" s="3463">
        <f ca="1">SUM(BH48:BH50)</f>
        <v>0</v>
      </c>
      <c r="BI51" s="3463">
        <f ca="1">SUM(BI48:BI50)</f>
        <v>0</v>
      </c>
      <c r="BJ51" s="3463">
        <f ca="1">SUM(BH51:BI51)</f>
        <v>0</v>
      </c>
      <c r="BL51" s="3477">
        <f ca="1">Q51+AK51+BF51+BJ51</f>
        <v>2.8421709430404007E-14</v>
      </c>
      <c r="BM51" s="584"/>
      <c r="BN51" s="413"/>
      <c r="BO51" s="2790">
        <f t="shared" ref="BO51:DF51" ca="1" si="126">SUM(BO48:BO50)</f>
        <v>0.59688065639829979</v>
      </c>
      <c r="BP51" s="2790">
        <f t="shared" ca="1" si="126"/>
        <v>5.1300793114724276E-4</v>
      </c>
      <c r="BQ51" s="2790">
        <f t="shared" ca="1" si="126"/>
        <v>1.5145948443394787E-3</v>
      </c>
      <c r="BR51" s="2790">
        <f t="shared" ca="1" si="126"/>
        <v>0</v>
      </c>
      <c r="BS51" s="2790">
        <f t="shared" ca="1" si="126"/>
        <v>0</v>
      </c>
      <c r="BT51" s="2790">
        <f t="shared" ca="1" si="126"/>
        <v>0</v>
      </c>
      <c r="BU51" s="2790">
        <f t="shared" ca="1" si="126"/>
        <v>0</v>
      </c>
      <c r="BV51" s="2790">
        <f t="shared" ca="1" si="126"/>
        <v>0</v>
      </c>
      <c r="BW51" s="2790">
        <f t="shared" ca="1" si="126"/>
        <v>0</v>
      </c>
      <c r="BX51" s="2790">
        <f t="shared" ca="1" si="126"/>
        <v>0</v>
      </c>
      <c r="BY51" s="2790">
        <f t="shared" ca="1" si="126"/>
        <v>0</v>
      </c>
      <c r="BZ51" s="2790">
        <f t="shared" ca="1" si="126"/>
        <v>0</v>
      </c>
      <c r="CA51" s="2790">
        <f t="shared" ca="1" si="126"/>
        <v>0</v>
      </c>
      <c r="CB51" s="2790">
        <f t="shared" ca="1" si="126"/>
        <v>0</v>
      </c>
      <c r="CC51" s="2790">
        <f t="shared" ca="1" si="126"/>
        <v>0</v>
      </c>
      <c r="CD51" s="2790">
        <f t="shared" ca="1" si="126"/>
        <v>0</v>
      </c>
      <c r="CE51" s="2790">
        <f t="shared" ca="1" si="126"/>
        <v>0</v>
      </c>
      <c r="CF51" s="2790">
        <f t="shared" ca="1" si="126"/>
        <v>7.1414162706700708</v>
      </c>
      <c r="CG51" s="2790">
        <f t="shared" ca="1" si="126"/>
        <v>5.8724792396030061</v>
      </c>
      <c r="CH51" s="2790">
        <f t="shared" ca="1" si="126"/>
        <v>0</v>
      </c>
      <c r="CI51" s="2790">
        <f t="shared" ca="1" si="126"/>
        <v>-4.4813243548418651</v>
      </c>
      <c r="CJ51" s="2790">
        <f t="shared" ca="1" si="126"/>
        <v>0</v>
      </c>
      <c r="CK51" s="2790">
        <f t="shared" ca="1" si="126"/>
        <v>0</v>
      </c>
      <c r="CL51" s="2790">
        <f t="shared" ca="1" si="126"/>
        <v>0</v>
      </c>
      <c r="CM51" s="2790">
        <f t="shared" ca="1" si="126"/>
        <v>0</v>
      </c>
      <c r="CN51" s="2790">
        <f t="shared" ca="1" si="126"/>
        <v>0.29949032499492428</v>
      </c>
      <c r="CO51" s="2790">
        <f t="shared" ca="1" si="126"/>
        <v>6.3714299999999988E-2</v>
      </c>
      <c r="CP51" s="2790">
        <f t="shared" ca="1" si="126"/>
        <v>0</v>
      </c>
      <c r="CQ51" s="2790">
        <f t="shared" ca="1" si="126"/>
        <v>0</v>
      </c>
      <c r="CR51" s="2790">
        <f t="shared" ca="1" si="126"/>
        <v>0</v>
      </c>
      <c r="CS51" s="2790">
        <f t="shared" ca="1" si="126"/>
        <v>0</v>
      </c>
      <c r="CT51" s="2790">
        <f t="shared" ca="1" si="126"/>
        <v>0</v>
      </c>
      <c r="CU51" s="2790">
        <f t="shared" ca="1" si="126"/>
        <v>0</v>
      </c>
      <c r="CV51" s="2790">
        <f t="shared" ca="1" si="126"/>
        <v>0</v>
      </c>
      <c r="CW51" s="2790">
        <f t="shared" ca="1" si="126"/>
        <v>0</v>
      </c>
      <c r="CX51" s="2790">
        <f t="shared" ca="1" si="126"/>
        <v>0</v>
      </c>
      <c r="CY51" s="2790">
        <f t="shared" ca="1" si="126"/>
        <v>0</v>
      </c>
      <c r="CZ51" s="2790">
        <f t="shared" ca="1" si="126"/>
        <v>0</v>
      </c>
      <c r="DA51" s="2790">
        <f t="shared" ca="1" si="126"/>
        <v>0</v>
      </c>
      <c r="DB51" s="2790">
        <f t="shared" ca="1" si="126"/>
        <v>0</v>
      </c>
      <c r="DC51" s="2790">
        <f t="shared" ca="1" si="126"/>
        <v>0</v>
      </c>
      <c r="DD51" s="2790">
        <f t="shared" ca="1" si="126"/>
        <v>0</v>
      </c>
      <c r="DE51" s="2790">
        <f t="shared" ca="1" si="126"/>
        <v>0</v>
      </c>
      <c r="DF51" s="2790">
        <f t="shared" ca="1" si="126"/>
        <v>0</v>
      </c>
      <c r="DH51" s="596">
        <f t="shared" ca="1" si="113"/>
        <v>9.494684039599921</v>
      </c>
    </row>
    <row r="52" spans="1:112" s="6" customFormat="1">
      <c r="A52" s="4"/>
      <c r="B52" s="4"/>
      <c r="C52" s="622"/>
      <c r="D52" s="206"/>
      <c r="E52" s="206"/>
      <c r="G52" s="579"/>
      <c r="H52" s="579"/>
      <c r="I52" s="579"/>
      <c r="J52" s="579"/>
      <c r="K52" s="638"/>
      <c r="L52" s="579"/>
      <c r="M52" s="579"/>
      <c r="N52" s="579"/>
      <c r="O52" s="579"/>
      <c r="P52" s="579"/>
      <c r="Q52" s="579"/>
      <c r="S52" s="581"/>
      <c r="T52" s="581"/>
      <c r="U52" s="581"/>
      <c r="V52" s="581"/>
      <c r="W52" s="581"/>
      <c r="X52" s="581"/>
      <c r="Y52" s="581"/>
      <c r="Z52" s="581"/>
      <c r="AA52" s="581"/>
      <c r="AB52" s="581"/>
      <c r="AC52" s="581"/>
      <c r="AD52" s="581"/>
      <c r="AE52" s="581"/>
      <c r="AF52" s="581"/>
      <c r="AG52" s="581"/>
      <c r="AH52" s="581"/>
      <c r="AI52" s="581"/>
      <c r="AJ52" s="581"/>
      <c r="AK52" s="581"/>
      <c r="AM52" s="582"/>
      <c r="AN52" s="582"/>
      <c r="AO52" s="582"/>
      <c r="AP52" s="582"/>
      <c r="AQ52" s="582"/>
      <c r="AR52" s="582"/>
      <c r="AS52" s="582"/>
      <c r="AT52" s="582"/>
      <c r="AU52" s="582"/>
      <c r="AV52" s="582"/>
      <c r="AW52" s="582"/>
      <c r="AX52" s="582"/>
      <c r="AY52" s="582"/>
      <c r="AZ52" s="582"/>
      <c r="BA52" s="582"/>
      <c r="BB52" s="582"/>
      <c r="BC52" s="582"/>
      <c r="BD52" s="582"/>
      <c r="BE52" s="582"/>
      <c r="BF52" s="582"/>
      <c r="BH52" s="3463"/>
      <c r="BI52" s="3463"/>
      <c r="BJ52" s="3463"/>
      <c r="BL52" s="3477">
        <f>Q52+AK52+BF52+BJ52</f>
        <v>0</v>
      </c>
      <c r="BM52" s="584"/>
      <c r="BN52" s="4"/>
      <c r="BO52" s="2790"/>
      <c r="BP52" s="2790"/>
      <c r="BQ52" s="2790"/>
      <c r="BR52" s="2790"/>
      <c r="BS52" s="2790"/>
      <c r="BT52" s="2790"/>
      <c r="BU52" s="2790"/>
      <c r="BV52" s="2790"/>
      <c r="BW52" s="2790"/>
      <c r="BX52" s="2790"/>
      <c r="BY52" s="2790"/>
      <c r="BZ52" s="2790"/>
      <c r="CA52" s="2790"/>
      <c r="CB52" s="2790"/>
      <c r="CC52" s="2790"/>
      <c r="CD52" s="2790"/>
      <c r="CE52" s="2790"/>
      <c r="CF52" s="2790"/>
      <c r="CG52" s="2790"/>
      <c r="CH52" s="2790"/>
      <c r="CI52" s="2790"/>
      <c r="CJ52" s="2790"/>
      <c r="CK52" s="2790"/>
      <c r="CL52" s="2790"/>
      <c r="CM52" s="2790"/>
      <c r="CN52" s="2790"/>
      <c r="CO52" s="2790"/>
      <c r="CP52" s="2790"/>
      <c r="CQ52" s="2790"/>
      <c r="CR52" s="2790"/>
      <c r="CS52" s="2790"/>
      <c r="CT52" s="2790"/>
      <c r="CU52" s="2790"/>
      <c r="CV52" s="2790"/>
      <c r="CW52" s="2790"/>
      <c r="CX52" s="2790"/>
      <c r="CY52" s="2790"/>
      <c r="CZ52" s="2790"/>
      <c r="DA52" s="2790"/>
      <c r="DB52" s="2790"/>
      <c r="DC52" s="2790"/>
      <c r="DD52" s="2790"/>
      <c r="DE52" s="2790"/>
      <c r="DF52" s="2790"/>
      <c r="DH52" s="596">
        <f t="shared" si="113"/>
        <v>0</v>
      </c>
    </row>
    <row r="53" spans="1:112" s="6" customFormat="1">
      <c r="A53" s="607"/>
      <c r="B53" s="607"/>
      <c r="C53" s="651" t="s">
        <v>514</v>
      </c>
      <c r="D53" s="588" t="s">
        <v>515</v>
      </c>
      <c r="E53" s="588"/>
      <c r="G53" s="589">
        <f t="shared" ref="G53:P54" ca="1" si="127">IFERROR(INDEX(INDIRECT($C53&amp;".Outputs["&amp;this.Year&amp;"]"), MATCH(G$5, INDIRECT($C53&amp;".Outputs[Vector]"), 0)), 0)</f>
        <v>0</v>
      </c>
      <c r="H53" s="589">
        <f t="shared" ca="1" si="127"/>
        <v>0</v>
      </c>
      <c r="I53" s="589">
        <f t="shared" ca="1" si="127"/>
        <v>0</v>
      </c>
      <c r="J53" s="589">
        <f t="shared" ca="1" si="127"/>
        <v>0</v>
      </c>
      <c r="K53" s="589">
        <f t="shared" ca="1" si="127"/>
        <v>0</v>
      </c>
      <c r="L53" s="589">
        <f t="shared" ca="1" si="127"/>
        <v>0</v>
      </c>
      <c r="M53" s="589">
        <f t="shared" ca="1" si="127"/>
        <v>0</v>
      </c>
      <c r="N53" s="589">
        <f t="shared" ca="1" si="127"/>
        <v>0</v>
      </c>
      <c r="O53" s="589">
        <f t="shared" ca="1" si="127"/>
        <v>0</v>
      </c>
      <c r="P53" s="589">
        <f t="shared" ca="1" si="127"/>
        <v>0</v>
      </c>
      <c r="Q53" s="590">
        <f ca="1">SUM(G53:P53)</f>
        <v>0</v>
      </c>
      <c r="S53" s="591">
        <f t="shared" ref="S53:AJ54" ca="1" si="128">IFERROR(INDEX(INDIRECT($C53&amp;".Outputs["&amp;this.Year&amp;"]"), MATCH(S$5, INDIRECT($C53&amp;".Outputs[Vector]"), 0)), 0)</f>
        <v>-0.22598810482362028</v>
      </c>
      <c r="T53" s="591">
        <f t="shared" ca="1" si="128"/>
        <v>0</v>
      </c>
      <c r="U53" s="591">
        <f t="shared" ca="1" si="128"/>
        <v>0</v>
      </c>
      <c r="V53" s="591">
        <f t="shared" ca="1" si="128"/>
        <v>-1.8522858135888711</v>
      </c>
      <c r="W53" s="591">
        <f t="shared" ca="1" si="128"/>
        <v>-8.2401953248703863E-2</v>
      </c>
      <c r="X53" s="591">
        <f t="shared" ca="1" si="128"/>
        <v>0</v>
      </c>
      <c r="Y53" s="591">
        <f t="shared" ca="1" si="128"/>
        <v>0</v>
      </c>
      <c r="Z53" s="591">
        <f t="shared" ca="1" si="128"/>
        <v>0</v>
      </c>
      <c r="AA53" s="591">
        <f t="shared" ca="1" si="128"/>
        <v>0</v>
      </c>
      <c r="AB53" s="591">
        <f t="shared" ca="1" si="128"/>
        <v>-2.6537999724419409E-2</v>
      </c>
      <c r="AC53" s="591">
        <f t="shared" ca="1" si="128"/>
        <v>0</v>
      </c>
      <c r="AD53" s="591">
        <f t="shared" ca="1" si="128"/>
        <v>0</v>
      </c>
      <c r="AE53" s="591">
        <f t="shared" ca="1" si="128"/>
        <v>0</v>
      </c>
      <c r="AF53" s="591">
        <f t="shared" ca="1" si="128"/>
        <v>0</v>
      </c>
      <c r="AG53" s="591">
        <f t="shared" ca="1" si="128"/>
        <v>0</v>
      </c>
      <c r="AH53" s="591">
        <f t="shared" ca="1" si="128"/>
        <v>0</v>
      </c>
      <c r="AI53" s="591">
        <f t="shared" ca="1" si="128"/>
        <v>0</v>
      </c>
      <c r="AJ53" s="591">
        <f t="shared" ca="1" si="128"/>
        <v>0</v>
      </c>
      <c r="AK53" s="592">
        <f ca="1">SUM(S53:AJ53)</f>
        <v>-2.1872138713856146</v>
      </c>
      <c r="AM53" s="593">
        <f t="shared" ref="AM53:BB54" ca="1" si="129">IFERROR(INDEX(INDIRECT($C53&amp;".Outputs["&amp;this.Year&amp;"]"), MATCH(AM$5, INDIRECT($C53&amp;".Outputs[Vector]"), 0)), 0)</f>
        <v>0</v>
      </c>
      <c r="AN53" s="593">
        <f t="shared" ca="1" si="129"/>
        <v>0</v>
      </c>
      <c r="AO53" s="593">
        <f t="shared" ca="1" si="129"/>
        <v>0</v>
      </c>
      <c r="AP53" s="593">
        <f t="shared" ca="1" si="129"/>
        <v>0</v>
      </c>
      <c r="AQ53" s="593">
        <f t="shared" ca="1" si="129"/>
        <v>0</v>
      </c>
      <c r="AR53" s="593">
        <f t="shared" ca="1" si="129"/>
        <v>0</v>
      </c>
      <c r="AS53" s="593">
        <f t="shared" ca="1" si="129"/>
        <v>0</v>
      </c>
      <c r="AT53" s="593">
        <f t="shared" ca="1" si="129"/>
        <v>0</v>
      </c>
      <c r="AU53" s="593">
        <f t="shared" ca="1" si="129"/>
        <v>0</v>
      </c>
      <c r="AV53" s="593">
        <f t="shared" ca="1" si="129"/>
        <v>0</v>
      </c>
      <c r="AW53" s="593">
        <f t="shared" ca="1" si="129"/>
        <v>0</v>
      </c>
      <c r="AX53" s="593">
        <f t="shared" ca="1" si="129"/>
        <v>0</v>
      </c>
      <c r="AY53" s="593">
        <f t="shared" ca="1" si="129"/>
        <v>0</v>
      </c>
      <c r="AZ53" s="593">
        <f t="shared" ca="1" si="129"/>
        <v>0</v>
      </c>
      <c r="BA53" s="593">
        <f t="shared" ca="1" si="129"/>
        <v>0</v>
      </c>
      <c r="BB53" s="593">
        <f t="shared" ca="1" si="129"/>
        <v>0</v>
      </c>
      <c r="BC53" s="593">
        <f t="shared" ref="BC53:BE54" ca="1" si="130">IFERROR(INDEX(INDIRECT($C53&amp;".Outputs["&amp;this.Year&amp;"]"), MATCH(BC$5, INDIRECT($C53&amp;".Outputs[Vector]"), 0)), 0)</f>
        <v>0</v>
      </c>
      <c r="BD53" s="593">
        <f t="shared" ca="1" si="130"/>
        <v>0</v>
      </c>
      <c r="BE53" s="593">
        <f t="shared" ca="1" si="130"/>
        <v>0</v>
      </c>
      <c r="BF53" s="609">
        <f ca="1">SUM(AM53:BE53)</f>
        <v>0</v>
      </c>
      <c r="BH53" s="3471">
        <f ca="1">IFERROR(INDEX(INDIRECT($C53&amp;".Outputs["&amp;this.Year&amp;"]"), MATCH(BH$5, INDIRECT($C53&amp;".Outputs[Vector]"), 0)), 0)</f>
        <v>0</v>
      </c>
      <c r="BI53" s="3471">
        <f ca="1">IFERROR(INDEX(INDIRECT($C53&amp;".Outputs["&amp;this.Year&amp;"]"), MATCH(BI$5, INDIRECT($C53&amp;".Outputs[Vector]"), 0)), 0)</f>
        <v>2.1872138713856146</v>
      </c>
      <c r="BJ53" s="3460">
        <f ca="1">SUM(BH53:BI53)</f>
        <v>2.1872138713856146</v>
      </c>
      <c r="BL53" s="610">
        <f ca="1">Q53+AK53+BF53+BJ53</f>
        <v>0</v>
      </c>
      <c r="BM53" s="610"/>
      <c r="BN53" s="413"/>
      <c r="BO53" s="2789">
        <f t="shared" ref="BO53:BX54" ca="1" si="131">IFERROR(SUMIFS(INDIRECT($C53&amp;".Emissions["&amp;this.Year&amp;"]"), INDIRECT($C53&amp;".Emissions[GHG]"), BO$6, INDIRECT($C53&amp;".Emissions[IPCC Sector]"), BO$5),0)</f>
        <v>0.50565060724124977</v>
      </c>
      <c r="BP53" s="2790">
        <f t="shared" ca="1" si="131"/>
        <v>4.2632801018755801E-4</v>
      </c>
      <c r="BQ53" s="2790">
        <f t="shared" ca="1" si="131"/>
        <v>1.5069762622732133E-3</v>
      </c>
      <c r="BR53" s="2790">
        <f t="shared" ca="1" si="131"/>
        <v>0</v>
      </c>
      <c r="BS53" s="2790">
        <f t="shared" ca="1" si="131"/>
        <v>0</v>
      </c>
      <c r="BT53" s="2790">
        <f t="shared" ca="1" si="131"/>
        <v>0</v>
      </c>
      <c r="BU53" s="2790">
        <f t="shared" ca="1" si="131"/>
        <v>0</v>
      </c>
      <c r="BV53" s="2790">
        <f t="shared" ca="1" si="131"/>
        <v>0</v>
      </c>
      <c r="BW53" s="2790">
        <f t="shared" ca="1" si="131"/>
        <v>0</v>
      </c>
      <c r="BX53" s="2790">
        <f t="shared" ca="1" si="131"/>
        <v>0</v>
      </c>
      <c r="BY53" s="2790">
        <f t="shared" ref="BY53:CH54" ca="1" si="132">IFERROR(SUMIFS(INDIRECT($C53&amp;".Emissions["&amp;this.Year&amp;"]"), INDIRECT($C53&amp;".Emissions[GHG]"), BY$6, INDIRECT($C53&amp;".Emissions[IPCC Sector]"), BY$5),0)</f>
        <v>0</v>
      </c>
      <c r="BZ53" s="2790">
        <f t="shared" ca="1" si="132"/>
        <v>0</v>
      </c>
      <c r="CA53" s="2790">
        <f t="shared" ca="1" si="132"/>
        <v>0</v>
      </c>
      <c r="CB53" s="2790">
        <f t="shared" ca="1" si="132"/>
        <v>0</v>
      </c>
      <c r="CC53" s="2790">
        <f t="shared" ca="1" si="132"/>
        <v>0</v>
      </c>
      <c r="CD53" s="2790">
        <f t="shared" ca="1" si="132"/>
        <v>0</v>
      </c>
      <c r="CE53" s="2790">
        <f t="shared" ca="1" si="132"/>
        <v>0</v>
      </c>
      <c r="CF53" s="2790">
        <f t="shared" ca="1" si="132"/>
        <v>0</v>
      </c>
      <c r="CG53" s="2790">
        <f t="shared" ca="1" si="132"/>
        <v>0</v>
      </c>
      <c r="CH53" s="2790">
        <f t="shared" ca="1" si="132"/>
        <v>0</v>
      </c>
      <c r="CI53" s="2790">
        <f t="shared" ref="CI53:CR54" ca="1" si="133">IFERROR(SUMIFS(INDIRECT($C53&amp;".Emissions["&amp;this.Year&amp;"]"), INDIRECT($C53&amp;".Emissions[GHG]"), CI$6, INDIRECT($C53&amp;".Emissions[IPCC Sector]"), CI$5),0)</f>
        <v>0</v>
      </c>
      <c r="CJ53" s="2790">
        <f t="shared" ca="1" si="133"/>
        <v>0</v>
      </c>
      <c r="CK53" s="2790">
        <f t="shared" ca="1" si="133"/>
        <v>0</v>
      </c>
      <c r="CL53" s="2790">
        <f t="shared" ca="1" si="133"/>
        <v>0</v>
      </c>
      <c r="CM53" s="2790">
        <f t="shared" ca="1" si="133"/>
        <v>0</v>
      </c>
      <c r="CN53" s="2790">
        <f t="shared" ca="1" si="133"/>
        <v>0</v>
      </c>
      <c r="CO53" s="2790">
        <f t="shared" ca="1" si="133"/>
        <v>0</v>
      </c>
      <c r="CP53" s="2790">
        <f t="shared" ca="1" si="133"/>
        <v>0</v>
      </c>
      <c r="CQ53" s="2790">
        <f t="shared" ca="1" si="133"/>
        <v>0</v>
      </c>
      <c r="CR53" s="2790">
        <f t="shared" ca="1" si="133"/>
        <v>0</v>
      </c>
      <c r="CS53" s="2790">
        <f t="shared" ref="CS53:DF54" ca="1" si="134">IFERROR(SUMIFS(INDIRECT($C53&amp;".Emissions["&amp;this.Year&amp;"]"), INDIRECT($C53&amp;".Emissions[GHG]"), CS$6, INDIRECT($C53&amp;".Emissions[IPCC Sector]"), CS$5),0)</f>
        <v>0</v>
      </c>
      <c r="CT53" s="2790">
        <f t="shared" ca="1" si="134"/>
        <v>0</v>
      </c>
      <c r="CU53" s="2790">
        <f t="shared" ca="1" si="134"/>
        <v>0</v>
      </c>
      <c r="CV53" s="2790">
        <f t="shared" ca="1" si="134"/>
        <v>0</v>
      </c>
      <c r="CW53" s="2790">
        <f t="shared" ca="1" si="134"/>
        <v>0</v>
      </c>
      <c r="CX53" s="2790">
        <f t="shared" ca="1" si="134"/>
        <v>0</v>
      </c>
      <c r="CY53" s="2790">
        <f t="shared" ca="1" si="134"/>
        <v>0</v>
      </c>
      <c r="CZ53" s="2790">
        <f t="shared" ca="1" si="134"/>
        <v>0</v>
      </c>
      <c r="DA53" s="2790">
        <f t="shared" ca="1" si="134"/>
        <v>0</v>
      </c>
      <c r="DB53" s="2790">
        <f t="shared" ca="1" si="134"/>
        <v>0</v>
      </c>
      <c r="DC53" s="2790">
        <f t="shared" ca="1" si="134"/>
        <v>0</v>
      </c>
      <c r="DD53" s="2790">
        <f t="shared" ca="1" si="134"/>
        <v>0</v>
      </c>
      <c r="DE53" s="2790">
        <f t="shared" ca="1" si="134"/>
        <v>0</v>
      </c>
      <c r="DF53" s="2790">
        <f t="shared" ca="1" si="134"/>
        <v>0</v>
      </c>
      <c r="DH53" s="596">
        <f t="shared" ca="1" si="113"/>
        <v>0.50758391151371063</v>
      </c>
    </row>
    <row r="54" spans="1:112" s="6" customFormat="1">
      <c r="A54" s="607"/>
      <c r="B54" s="607"/>
      <c r="C54" s="651" t="s">
        <v>516</v>
      </c>
      <c r="D54" s="611" t="s">
        <v>517</v>
      </c>
      <c r="E54" s="611"/>
      <c r="G54" s="619">
        <f t="shared" ca="1" si="127"/>
        <v>0</v>
      </c>
      <c r="H54" s="619">
        <f t="shared" ca="1" si="127"/>
        <v>0</v>
      </c>
      <c r="I54" s="619">
        <f t="shared" ca="1" si="127"/>
        <v>0</v>
      </c>
      <c r="J54" s="619">
        <f t="shared" ca="1" si="127"/>
        <v>0</v>
      </c>
      <c r="K54" s="619">
        <f t="shared" ca="1" si="127"/>
        <v>0</v>
      </c>
      <c r="L54" s="619">
        <f t="shared" ca="1" si="127"/>
        <v>0</v>
      </c>
      <c r="M54" s="619">
        <f t="shared" ca="1" si="127"/>
        <v>0</v>
      </c>
      <c r="N54" s="619">
        <f t="shared" ca="1" si="127"/>
        <v>0</v>
      </c>
      <c r="O54" s="619">
        <f t="shared" ca="1" si="127"/>
        <v>0</v>
      </c>
      <c r="P54" s="619">
        <f t="shared" ca="1" si="127"/>
        <v>0</v>
      </c>
      <c r="Q54" s="612">
        <f ca="1">SUM(G54:P54)</f>
        <v>0</v>
      </c>
      <c r="S54" s="620">
        <f t="shared" ca="1" si="128"/>
        <v>0</v>
      </c>
      <c r="T54" s="620">
        <f t="shared" ca="1" si="128"/>
        <v>0</v>
      </c>
      <c r="U54" s="620">
        <f t="shared" ca="1" si="128"/>
        <v>0</v>
      </c>
      <c r="V54" s="620">
        <f t="shared" ca="1" si="128"/>
        <v>0</v>
      </c>
      <c r="W54" s="620">
        <f t="shared" ca="1" si="128"/>
        <v>0</v>
      </c>
      <c r="X54" s="620">
        <f t="shared" ca="1" si="128"/>
        <v>0</v>
      </c>
      <c r="Y54" s="620">
        <f t="shared" ca="1" si="128"/>
        <v>0</v>
      </c>
      <c r="Z54" s="620">
        <f t="shared" ca="1" si="128"/>
        <v>0</v>
      </c>
      <c r="AA54" s="620">
        <f t="shared" ca="1" si="128"/>
        <v>0</v>
      </c>
      <c r="AB54" s="620">
        <f t="shared" ca="1" si="128"/>
        <v>0</v>
      </c>
      <c r="AC54" s="620">
        <f t="shared" ca="1" si="128"/>
        <v>0</v>
      </c>
      <c r="AD54" s="620">
        <f t="shared" ca="1" si="128"/>
        <v>0</v>
      </c>
      <c r="AE54" s="620">
        <f t="shared" ca="1" si="128"/>
        <v>0</v>
      </c>
      <c r="AF54" s="620">
        <f t="shared" ca="1" si="128"/>
        <v>0</v>
      </c>
      <c r="AG54" s="620">
        <f t="shared" ca="1" si="128"/>
        <v>0</v>
      </c>
      <c r="AH54" s="620">
        <f t="shared" ca="1" si="128"/>
        <v>0</v>
      </c>
      <c r="AI54" s="620">
        <f t="shared" ca="1" si="128"/>
        <v>0</v>
      </c>
      <c r="AJ54" s="620">
        <f t="shared" ca="1" si="128"/>
        <v>0</v>
      </c>
      <c r="AK54" s="613">
        <f ca="1">SUM(S54:AJ54)</f>
        <v>0</v>
      </c>
      <c r="AM54" s="621">
        <f t="shared" ca="1" si="129"/>
        <v>0</v>
      </c>
      <c r="AN54" s="621">
        <f t="shared" ca="1" si="129"/>
        <v>0</v>
      </c>
      <c r="AO54" s="621">
        <f t="shared" ca="1" si="129"/>
        <v>0</v>
      </c>
      <c r="AP54" s="621">
        <f t="shared" ca="1" si="129"/>
        <v>0</v>
      </c>
      <c r="AQ54" s="621">
        <f t="shared" ca="1" si="129"/>
        <v>0</v>
      </c>
      <c r="AR54" s="621">
        <f t="shared" ca="1" si="129"/>
        <v>0</v>
      </c>
      <c r="AS54" s="621">
        <f t="shared" ca="1" si="129"/>
        <v>0</v>
      </c>
      <c r="AT54" s="621">
        <f t="shared" ca="1" si="129"/>
        <v>0</v>
      </c>
      <c r="AU54" s="621">
        <f t="shared" ca="1" si="129"/>
        <v>0</v>
      </c>
      <c r="AV54" s="621">
        <f t="shared" ca="1" si="129"/>
        <v>0</v>
      </c>
      <c r="AW54" s="621">
        <f t="shared" ca="1" si="129"/>
        <v>0</v>
      </c>
      <c r="AX54" s="621">
        <f t="shared" ca="1" si="129"/>
        <v>0</v>
      </c>
      <c r="AY54" s="621">
        <f t="shared" ca="1" si="129"/>
        <v>0</v>
      </c>
      <c r="AZ54" s="621">
        <f t="shared" ca="1" si="129"/>
        <v>0</v>
      </c>
      <c r="BA54" s="621">
        <f t="shared" ca="1" si="129"/>
        <v>0</v>
      </c>
      <c r="BB54" s="621">
        <f t="shared" ca="1" si="129"/>
        <v>0</v>
      </c>
      <c r="BC54" s="621">
        <f t="shared" ca="1" si="130"/>
        <v>0</v>
      </c>
      <c r="BD54" s="621">
        <f t="shared" ca="1" si="130"/>
        <v>0</v>
      </c>
      <c r="BE54" s="621">
        <f t="shared" ca="1" si="130"/>
        <v>0</v>
      </c>
      <c r="BF54" s="615">
        <f ca="1">SUM(AM54:BE54)</f>
        <v>0</v>
      </c>
      <c r="BH54" s="3473">
        <f ca="1">IFERROR(INDEX(INDIRECT($C54&amp;".Outputs["&amp;this.Year&amp;"]"), MATCH(BH$5, INDIRECT($C54&amp;".Outputs[Vector]"), 0)), 0)</f>
        <v>0</v>
      </c>
      <c r="BI54" s="3473">
        <f ca="1">IFERROR(INDEX(INDIRECT($C54&amp;".Outputs["&amp;this.Year&amp;"]"), MATCH(BI$5, INDIRECT($C54&amp;".Outputs[Vector]"), 0)), 0)</f>
        <v>0</v>
      </c>
      <c r="BJ54" s="3462">
        <f ca="1">SUM(BH54:BI54)</f>
        <v>0</v>
      </c>
      <c r="BL54" s="610"/>
      <c r="BM54" s="610"/>
      <c r="BN54" s="413"/>
      <c r="BO54" s="2791">
        <f t="shared" ca="1" si="131"/>
        <v>0</v>
      </c>
      <c r="BP54" s="2792">
        <f t="shared" ca="1" si="131"/>
        <v>0</v>
      </c>
      <c r="BQ54" s="2792">
        <f t="shared" ca="1" si="131"/>
        <v>0</v>
      </c>
      <c r="BR54" s="2792">
        <f t="shared" ca="1" si="131"/>
        <v>0</v>
      </c>
      <c r="BS54" s="2792">
        <f t="shared" ca="1" si="131"/>
        <v>0</v>
      </c>
      <c r="BT54" s="2792">
        <f t="shared" ca="1" si="131"/>
        <v>0</v>
      </c>
      <c r="BU54" s="2792">
        <f t="shared" ca="1" si="131"/>
        <v>0</v>
      </c>
      <c r="BV54" s="2792">
        <f t="shared" ca="1" si="131"/>
        <v>0</v>
      </c>
      <c r="BW54" s="2792">
        <f t="shared" ca="1" si="131"/>
        <v>0</v>
      </c>
      <c r="BX54" s="2792">
        <f t="shared" ca="1" si="131"/>
        <v>0</v>
      </c>
      <c r="BY54" s="2792">
        <f t="shared" ca="1" si="132"/>
        <v>0</v>
      </c>
      <c r="BZ54" s="2792">
        <f t="shared" ca="1" si="132"/>
        <v>0</v>
      </c>
      <c r="CA54" s="2792">
        <f t="shared" ca="1" si="132"/>
        <v>0</v>
      </c>
      <c r="CB54" s="2792">
        <f t="shared" ca="1" si="132"/>
        <v>0</v>
      </c>
      <c r="CC54" s="2792">
        <f t="shared" ca="1" si="132"/>
        <v>0</v>
      </c>
      <c r="CD54" s="2792">
        <f t="shared" ca="1" si="132"/>
        <v>0</v>
      </c>
      <c r="CE54" s="2792">
        <f t="shared" ca="1" si="132"/>
        <v>0</v>
      </c>
      <c r="CF54" s="2792">
        <f t="shared" ca="1" si="132"/>
        <v>0</v>
      </c>
      <c r="CG54" s="2792">
        <f t="shared" ca="1" si="132"/>
        <v>0</v>
      </c>
      <c r="CH54" s="2792">
        <f t="shared" ca="1" si="132"/>
        <v>0</v>
      </c>
      <c r="CI54" s="2792">
        <f t="shared" ca="1" si="133"/>
        <v>0</v>
      </c>
      <c r="CJ54" s="2792">
        <f t="shared" ca="1" si="133"/>
        <v>0</v>
      </c>
      <c r="CK54" s="2792">
        <f t="shared" ca="1" si="133"/>
        <v>0</v>
      </c>
      <c r="CL54" s="2792">
        <f t="shared" ca="1" si="133"/>
        <v>0</v>
      </c>
      <c r="CM54" s="2792">
        <f t="shared" ca="1" si="133"/>
        <v>0</v>
      </c>
      <c r="CN54" s="2792">
        <f t="shared" ca="1" si="133"/>
        <v>0</v>
      </c>
      <c r="CO54" s="2792">
        <f t="shared" ca="1" si="133"/>
        <v>0</v>
      </c>
      <c r="CP54" s="2792">
        <f t="shared" ca="1" si="133"/>
        <v>0</v>
      </c>
      <c r="CQ54" s="2792">
        <f t="shared" ca="1" si="133"/>
        <v>0</v>
      </c>
      <c r="CR54" s="2792">
        <f t="shared" ca="1" si="133"/>
        <v>0</v>
      </c>
      <c r="CS54" s="2792">
        <f t="shared" ca="1" si="134"/>
        <v>0</v>
      </c>
      <c r="CT54" s="2792">
        <f t="shared" ca="1" si="134"/>
        <v>0</v>
      </c>
      <c r="CU54" s="2792">
        <f t="shared" ca="1" si="134"/>
        <v>0</v>
      </c>
      <c r="CV54" s="2792">
        <f t="shared" ca="1" si="134"/>
        <v>0</v>
      </c>
      <c r="CW54" s="2792">
        <f t="shared" ca="1" si="134"/>
        <v>0</v>
      </c>
      <c r="CX54" s="2792">
        <f t="shared" ca="1" si="134"/>
        <v>0</v>
      </c>
      <c r="CY54" s="2792">
        <f t="shared" ca="1" si="134"/>
        <v>0</v>
      </c>
      <c r="CZ54" s="2792">
        <f t="shared" ca="1" si="134"/>
        <v>0</v>
      </c>
      <c r="DA54" s="2792">
        <f t="shared" ca="1" si="134"/>
        <v>0</v>
      </c>
      <c r="DB54" s="2792">
        <f t="shared" ca="1" si="134"/>
        <v>0</v>
      </c>
      <c r="DC54" s="2792">
        <f t="shared" ca="1" si="134"/>
        <v>0</v>
      </c>
      <c r="DD54" s="2792">
        <f t="shared" ca="1" si="134"/>
        <v>0</v>
      </c>
      <c r="DE54" s="2792">
        <f t="shared" ca="1" si="134"/>
        <v>0</v>
      </c>
      <c r="DF54" s="2792">
        <f t="shared" ca="1" si="134"/>
        <v>0</v>
      </c>
      <c r="DH54" s="596">
        <f t="shared" ca="1" si="113"/>
        <v>0</v>
      </c>
    </row>
    <row r="55" spans="1:112" s="6" customFormat="1" ht="15.75">
      <c r="A55" s="652"/>
      <c r="B55" s="653"/>
      <c r="C55" s="616" t="s">
        <v>518</v>
      </c>
      <c r="D55" s="617" t="s">
        <v>519</v>
      </c>
      <c r="E55" s="206"/>
      <c r="G55" s="618">
        <f ca="1">SUM(G53:G54)</f>
        <v>0</v>
      </c>
      <c r="H55" s="618">
        <f t="shared" ref="H55:P55" ca="1" si="135">SUM(H53:H54)</f>
        <v>0</v>
      </c>
      <c r="I55" s="618">
        <f t="shared" ca="1" si="135"/>
        <v>0</v>
      </c>
      <c r="J55" s="618">
        <f t="shared" ca="1" si="135"/>
        <v>0</v>
      </c>
      <c r="K55" s="618">
        <f t="shared" ca="1" si="135"/>
        <v>0</v>
      </c>
      <c r="L55" s="618">
        <f t="shared" ca="1" si="135"/>
        <v>0</v>
      </c>
      <c r="M55" s="618">
        <f t="shared" ca="1" si="135"/>
        <v>0</v>
      </c>
      <c r="N55" s="618">
        <f t="shared" ca="1" si="135"/>
        <v>0</v>
      </c>
      <c r="O55" s="618">
        <f t="shared" ca="1" si="135"/>
        <v>0</v>
      </c>
      <c r="P55" s="618">
        <f t="shared" ca="1" si="135"/>
        <v>0</v>
      </c>
      <c r="Q55" s="618">
        <f ca="1">SUM(G55:P55)</f>
        <v>0</v>
      </c>
      <c r="S55" s="581">
        <f t="shared" ref="S55:AJ55" ca="1" si="136">SUM(S53:S54)</f>
        <v>-0.22598810482362028</v>
      </c>
      <c r="T55" s="581">
        <f t="shared" ca="1" si="136"/>
        <v>0</v>
      </c>
      <c r="U55" s="581">
        <f t="shared" ca="1" si="136"/>
        <v>0</v>
      </c>
      <c r="V55" s="581">
        <f t="shared" ca="1" si="136"/>
        <v>-1.8522858135888711</v>
      </c>
      <c r="W55" s="581">
        <f t="shared" ca="1" si="136"/>
        <v>-8.2401953248703863E-2</v>
      </c>
      <c r="X55" s="581">
        <f ca="1">SUM(X53:X54)</f>
        <v>0</v>
      </c>
      <c r="Y55" s="581">
        <f ca="1">SUM(Y53:Y54)</f>
        <v>0</v>
      </c>
      <c r="Z55" s="581">
        <f ca="1">SUM(Z53:Z54)</f>
        <v>0</v>
      </c>
      <c r="AA55" s="581">
        <f t="shared" ca="1" si="136"/>
        <v>0</v>
      </c>
      <c r="AB55" s="581">
        <f t="shared" ca="1" si="136"/>
        <v>-2.6537999724419409E-2</v>
      </c>
      <c r="AC55" s="581">
        <f t="shared" ca="1" si="136"/>
        <v>0</v>
      </c>
      <c r="AD55" s="581">
        <f ca="1">SUM(AD53:AD54)</f>
        <v>0</v>
      </c>
      <c r="AE55" s="581">
        <f ca="1">SUM(AE53:AE54)</f>
        <v>0</v>
      </c>
      <c r="AF55" s="581">
        <f t="shared" ca="1" si="136"/>
        <v>0</v>
      </c>
      <c r="AG55" s="581">
        <f ca="1">SUM(AG53:AG54)</f>
        <v>0</v>
      </c>
      <c r="AH55" s="581">
        <f ca="1">SUM(AH53:AH54)</f>
        <v>0</v>
      </c>
      <c r="AI55" s="581">
        <f ca="1">SUM(AI53:AI54)</f>
        <v>0</v>
      </c>
      <c r="AJ55" s="581">
        <f t="shared" ca="1" si="136"/>
        <v>0</v>
      </c>
      <c r="AK55" s="581">
        <f ca="1">SUM(S55:AJ55)</f>
        <v>-2.1872138713856146</v>
      </c>
      <c r="AM55" s="582">
        <f t="shared" ref="AM55:BE55" ca="1" si="137">SUM(AM53:AM54)</f>
        <v>0</v>
      </c>
      <c r="AN55" s="582">
        <f t="shared" ca="1" si="137"/>
        <v>0</v>
      </c>
      <c r="AO55" s="582">
        <f t="shared" ca="1" si="137"/>
        <v>0</v>
      </c>
      <c r="AP55" s="582">
        <f t="shared" ca="1" si="137"/>
        <v>0</v>
      </c>
      <c r="AQ55" s="582">
        <f t="shared" ca="1" si="137"/>
        <v>0</v>
      </c>
      <c r="AR55" s="582">
        <f t="shared" ca="1" si="137"/>
        <v>0</v>
      </c>
      <c r="AS55" s="582">
        <f t="shared" ca="1" si="137"/>
        <v>0</v>
      </c>
      <c r="AT55" s="582">
        <f t="shared" ca="1" si="137"/>
        <v>0</v>
      </c>
      <c r="AU55" s="582">
        <f t="shared" ca="1" si="137"/>
        <v>0</v>
      </c>
      <c r="AV55" s="582">
        <f t="shared" ca="1" si="137"/>
        <v>0</v>
      </c>
      <c r="AW55" s="582">
        <f t="shared" ca="1" si="137"/>
        <v>0</v>
      </c>
      <c r="AX55" s="582">
        <f t="shared" ca="1" si="137"/>
        <v>0</v>
      </c>
      <c r="AY55" s="582">
        <f t="shared" ca="1" si="137"/>
        <v>0</v>
      </c>
      <c r="AZ55" s="582">
        <f t="shared" ca="1" si="137"/>
        <v>0</v>
      </c>
      <c r="BA55" s="582">
        <f t="shared" ca="1" si="137"/>
        <v>0</v>
      </c>
      <c r="BB55" s="582">
        <f t="shared" ca="1" si="137"/>
        <v>0</v>
      </c>
      <c r="BC55" s="582">
        <f t="shared" ca="1" si="137"/>
        <v>0</v>
      </c>
      <c r="BD55" s="582">
        <f ca="1">SUM(BD53:BD54)</f>
        <v>0</v>
      </c>
      <c r="BE55" s="582">
        <f t="shared" ca="1" si="137"/>
        <v>0</v>
      </c>
      <c r="BF55" s="582">
        <f ca="1">SUM(AM55:BE55)</f>
        <v>0</v>
      </c>
      <c r="BH55" s="3463">
        <f ca="1">SUM(BH53:BH54)</f>
        <v>0</v>
      </c>
      <c r="BI55" s="3463">
        <f ca="1">SUM(BI53:BI54)</f>
        <v>2.1872138713856146</v>
      </c>
      <c r="BJ55" s="3463">
        <f ca="1">SUM(BH55:BI55)</f>
        <v>2.1872138713856146</v>
      </c>
      <c r="BL55" s="3477">
        <f t="shared" ref="BL55:BL63" ca="1" si="138">Q55+AK55+BF55+BJ55</f>
        <v>0</v>
      </c>
      <c r="BM55" s="654"/>
      <c r="BN55" s="413"/>
      <c r="BO55" s="2789">
        <f t="shared" ref="BO55:DF55" ca="1" si="139">SUM(BO53:BO54)</f>
        <v>0.50565060724124977</v>
      </c>
      <c r="BP55" s="2790">
        <f t="shared" ca="1" si="139"/>
        <v>4.2632801018755801E-4</v>
      </c>
      <c r="BQ55" s="2790">
        <f t="shared" ca="1" si="139"/>
        <v>1.5069762622732133E-3</v>
      </c>
      <c r="BR55" s="2790">
        <f t="shared" ca="1" si="139"/>
        <v>0</v>
      </c>
      <c r="BS55" s="2790">
        <f t="shared" ca="1" si="139"/>
        <v>0</v>
      </c>
      <c r="BT55" s="2790">
        <f t="shared" ca="1" si="139"/>
        <v>0</v>
      </c>
      <c r="BU55" s="2790">
        <f t="shared" ca="1" si="139"/>
        <v>0</v>
      </c>
      <c r="BV55" s="2790">
        <f t="shared" ca="1" si="139"/>
        <v>0</v>
      </c>
      <c r="BW55" s="2790">
        <f t="shared" ca="1" si="139"/>
        <v>0</v>
      </c>
      <c r="BX55" s="2790">
        <f t="shared" ca="1" si="139"/>
        <v>0</v>
      </c>
      <c r="BY55" s="2790">
        <f t="shared" ca="1" si="139"/>
        <v>0</v>
      </c>
      <c r="BZ55" s="2790">
        <f t="shared" ca="1" si="139"/>
        <v>0</v>
      </c>
      <c r="CA55" s="2790">
        <f t="shared" ca="1" si="139"/>
        <v>0</v>
      </c>
      <c r="CB55" s="2790">
        <f t="shared" ca="1" si="139"/>
        <v>0</v>
      </c>
      <c r="CC55" s="2790">
        <f t="shared" ca="1" si="139"/>
        <v>0</v>
      </c>
      <c r="CD55" s="2790">
        <f t="shared" ca="1" si="139"/>
        <v>0</v>
      </c>
      <c r="CE55" s="2790">
        <f t="shared" ca="1" si="139"/>
        <v>0</v>
      </c>
      <c r="CF55" s="2790">
        <f t="shared" ca="1" si="139"/>
        <v>0</v>
      </c>
      <c r="CG55" s="2790">
        <f t="shared" ca="1" si="139"/>
        <v>0</v>
      </c>
      <c r="CH55" s="2790">
        <f t="shared" ca="1" si="139"/>
        <v>0</v>
      </c>
      <c r="CI55" s="2790">
        <f t="shared" ca="1" si="139"/>
        <v>0</v>
      </c>
      <c r="CJ55" s="2790">
        <f t="shared" ca="1" si="139"/>
        <v>0</v>
      </c>
      <c r="CK55" s="2790">
        <f t="shared" ca="1" si="139"/>
        <v>0</v>
      </c>
      <c r="CL55" s="2790">
        <f t="shared" ca="1" si="139"/>
        <v>0</v>
      </c>
      <c r="CM55" s="2790">
        <f t="shared" ca="1" si="139"/>
        <v>0</v>
      </c>
      <c r="CN55" s="2790">
        <f t="shared" ca="1" si="139"/>
        <v>0</v>
      </c>
      <c r="CO55" s="2790">
        <f t="shared" ca="1" si="139"/>
        <v>0</v>
      </c>
      <c r="CP55" s="2790">
        <f t="shared" ca="1" si="139"/>
        <v>0</v>
      </c>
      <c r="CQ55" s="2790">
        <f t="shared" ca="1" si="139"/>
        <v>0</v>
      </c>
      <c r="CR55" s="2790">
        <f t="shared" ca="1" si="139"/>
        <v>0</v>
      </c>
      <c r="CS55" s="2790">
        <f t="shared" ca="1" si="139"/>
        <v>0</v>
      </c>
      <c r="CT55" s="2790">
        <f t="shared" ca="1" si="139"/>
        <v>0</v>
      </c>
      <c r="CU55" s="2790">
        <f t="shared" ca="1" si="139"/>
        <v>0</v>
      </c>
      <c r="CV55" s="2790">
        <f t="shared" ca="1" si="139"/>
        <v>0</v>
      </c>
      <c r="CW55" s="2790">
        <f t="shared" ca="1" si="139"/>
        <v>0</v>
      </c>
      <c r="CX55" s="2790">
        <f t="shared" ca="1" si="139"/>
        <v>0</v>
      </c>
      <c r="CY55" s="2790">
        <f t="shared" ca="1" si="139"/>
        <v>0</v>
      </c>
      <c r="CZ55" s="2790">
        <f t="shared" ca="1" si="139"/>
        <v>0</v>
      </c>
      <c r="DA55" s="2790">
        <f t="shared" ca="1" si="139"/>
        <v>0</v>
      </c>
      <c r="DB55" s="2790">
        <f t="shared" ca="1" si="139"/>
        <v>0</v>
      </c>
      <c r="DC55" s="2790">
        <f t="shared" ca="1" si="139"/>
        <v>0</v>
      </c>
      <c r="DD55" s="2790">
        <f t="shared" ca="1" si="139"/>
        <v>0</v>
      </c>
      <c r="DE55" s="2790">
        <f t="shared" ca="1" si="139"/>
        <v>0</v>
      </c>
      <c r="DF55" s="2790">
        <f t="shared" ca="1" si="139"/>
        <v>0</v>
      </c>
      <c r="DH55" s="596">
        <f t="shared" ca="1" si="113"/>
        <v>0.50758391151371063</v>
      </c>
    </row>
    <row r="56" spans="1:112" s="6" customFormat="1">
      <c r="C56" s="655"/>
      <c r="D56" s="656"/>
      <c r="E56" s="519"/>
      <c r="G56" s="579"/>
      <c r="H56" s="579"/>
      <c r="I56" s="579"/>
      <c r="J56" s="579"/>
      <c r="K56" s="638"/>
      <c r="L56" s="579"/>
      <c r="M56" s="579"/>
      <c r="N56" s="579"/>
      <c r="O56" s="579"/>
      <c r="P56" s="579"/>
      <c r="Q56" s="579"/>
      <c r="S56" s="581"/>
      <c r="T56" s="581"/>
      <c r="U56" s="581"/>
      <c r="V56" s="581"/>
      <c r="W56" s="581"/>
      <c r="X56" s="581"/>
      <c r="Y56" s="581"/>
      <c r="Z56" s="581"/>
      <c r="AA56" s="581"/>
      <c r="AB56" s="581"/>
      <c r="AC56" s="581"/>
      <c r="AD56" s="581"/>
      <c r="AE56" s="581"/>
      <c r="AF56" s="581"/>
      <c r="AG56" s="581"/>
      <c r="AH56" s="581"/>
      <c r="AI56" s="581"/>
      <c r="AJ56" s="581"/>
      <c r="AK56" s="581"/>
      <c r="AM56" s="582"/>
      <c r="AN56" s="582"/>
      <c r="AO56" s="582"/>
      <c r="AP56" s="582"/>
      <c r="AQ56" s="582"/>
      <c r="AR56" s="582"/>
      <c r="AS56" s="582"/>
      <c r="AT56" s="582"/>
      <c r="AU56" s="582"/>
      <c r="AV56" s="582"/>
      <c r="AW56" s="582"/>
      <c r="AX56" s="582"/>
      <c r="AY56" s="582"/>
      <c r="AZ56" s="582"/>
      <c r="BA56" s="582"/>
      <c r="BB56" s="582"/>
      <c r="BC56" s="582"/>
      <c r="BD56" s="582"/>
      <c r="BE56" s="582"/>
      <c r="BF56" s="582"/>
      <c r="BH56" s="3463"/>
      <c r="BI56" s="3463"/>
      <c r="BJ56" s="3463"/>
      <c r="BL56" s="3477">
        <f t="shared" si="138"/>
        <v>0</v>
      </c>
      <c r="BM56" s="584"/>
      <c r="BO56" s="2790"/>
      <c r="BP56" s="2790"/>
      <c r="BQ56" s="2790"/>
      <c r="BR56" s="2790"/>
      <c r="BS56" s="2790"/>
      <c r="BT56" s="2790"/>
      <c r="BU56" s="2790"/>
      <c r="BV56" s="2790"/>
      <c r="BW56" s="2790"/>
      <c r="BX56" s="2790"/>
      <c r="BY56" s="2790"/>
      <c r="BZ56" s="2790"/>
      <c r="CA56" s="2790"/>
      <c r="CB56" s="2790"/>
      <c r="CC56" s="2790"/>
      <c r="CD56" s="2790"/>
      <c r="CE56" s="2790"/>
      <c r="CF56" s="2790"/>
      <c r="CG56" s="2790"/>
      <c r="CH56" s="2790"/>
      <c r="CI56" s="2790"/>
      <c r="CJ56" s="2790"/>
      <c r="CK56" s="2790"/>
      <c r="CL56" s="2790"/>
      <c r="CM56" s="2790"/>
      <c r="CN56" s="2790"/>
      <c r="CO56" s="2790"/>
      <c r="CP56" s="2790"/>
      <c r="CQ56" s="2790"/>
      <c r="CR56" s="2790"/>
      <c r="CS56" s="2790"/>
      <c r="CT56" s="2790"/>
      <c r="CU56" s="2790"/>
      <c r="CV56" s="2790"/>
      <c r="CW56" s="2790"/>
      <c r="CX56" s="2790"/>
      <c r="CY56" s="2790"/>
      <c r="CZ56" s="2790"/>
      <c r="DA56" s="2790"/>
      <c r="DB56" s="2790"/>
      <c r="DC56" s="2790"/>
      <c r="DD56" s="2790"/>
      <c r="DE56" s="2790"/>
      <c r="DF56" s="2790"/>
      <c r="DH56" s="596">
        <f t="shared" si="113"/>
        <v>0</v>
      </c>
    </row>
    <row r="57" spans="1:112" s="607" customFormat="1">
      <c r="C57" s="587" t="s">
        <v>520</v>
      </c>
      <c r="D57" s="588" t="s">
        <v>521</v>
      </c>
      <c r="E57" s="588"/>
      <c r="F57" s="6"/>
      <c r="G57" s="589">
        <f t="shared" ref="G57:P62" ca="1" si="140">IFERROR(INDEX(INDIRECT($C57&amp;".Outputs["&amp;this.Year&amp;"]"), MATCH(G$5, INDIRECT($C57&amp;".Outputs[Vector]"), 0)), 0)</f>
        <v>0</v>
      </c>
      <c r="H57" s="589">
        <f t="shared" ca="1" si="140"/>
        <v>0</v>
      </c>
      <c r="I57" s="589">
        <f t="shared" ca="1" si="140"/>
        <v>0</v>
      </c>
      <c r="J57" s="589">
        <f t="shared" ca="1" si="140"/>
        <v>0</v>
      </c>
      <c r="K57" s="589">
        <f t="shared" ca="1" si="140"/>
        <v>0</v>
      </c>
      <c r="L57" s="589">
        <f t="shared" ca="1" si="140"/>
        <v>0</v>
      </c>
      <c r="M57" s="589">
        <f t="shared" ca="1" si="140"/>
        <v>0</v>
      </c>
      <c r="N57" s="589">
        <f t="shared" ca="1" si="140"/>
        <v>0</v>
      </c>
      <c r="O57" s="589">
        <f t="shared" ca="1" si="140"/>
        <v>0</v>
      </c>
      <c r="P57" s="589">
        <f t="shared" ca="1" si="140"/>
        <v>0</v>
      </c>
      <c r="Q57" s="590">
        <f t="shared" ref="Q57:Q63" ca="1" si="141">SUM(G57:P57)</f>
        <v>0</v>
      </c>
      <c r="R57" s="6"/>
      <c r="S57" s="591">
        <f t="shared" ref="S57:AJ62" ca="1" si="142">IFERROR(INDEX(INDIRECT($C57&amp;".Outputs["&amp;this.Year&amp;"]"), MATCH(S$5, INDIRECT($C57&amp;".Outputs[Vector]"), 0)), 0)</f>
        <v>0</v>
      </c>
      <c r="T57" s="591">
        <f t="shared" ca="1" si="142"/>
        <v>22.3427808</v>
      </c>
      <c r="U57" s="591">
        <f t="shared" ca="1" si="142"/>
        <v>0</v>
      </c>
      <c r="V57" s="591">
        <f t="shared" ca="1" si="142"/>
        <v>0</v>
      </c>
      <c r="W57" s="591">
        <f t="shared" ca="1" si="142"/>
        <v>0</v>
      </c>
      <c r="X57" s="591">
        <f t="shared" ca="1" si="142"/>
        <v>0</v>
      </c>
      <c r="Y57" s="591">
        <f t="shared" ca="1" si="142"/>
        <v>0</v>
      </c>
      <c r="Z57" s="591">
        <f t="shared" ca="1" si="142"/>
        <v>0</v>
      </c>
      <c r="AA57" s="591">
        <f t="shared" ca="1" si="142"/>
        <v>0</v>
      </c>
      <c r="AB57" s="591">
        <f t="shared" ca="1" si="142"/>
        <v>0</v>
      </c>
      <c r="AC57" s="591">
        <f t="shared" ca="1" si="142"/>
        <v>0</v>
      </c>
      <c r="AD57" s="591">
        <f t="shared" ca="1" si="142"/>
        <v>0</v>
      </c>
      <c r="AE57" s="591">
        <f t="shared" ca="1" si="142"/>
        <v>0</v>
      </c>
      <c r="AF57" s="591">
        <f t="shared" ca="1" si="142"/>
        <v>0</v>
      </c>
      <c r="AG57" s="591">
        <f t="shared" ca="1" si="142"/>
        <v>0</v>
      </c>
      <c r="AH57" s="591">
        <f t="shared" ca="1" si="142"/>
        <v>0</v>
      </c>
      <c r="AI57" s="591">
        <f t="shared" ca="1" si="142"/>
        <v>0</v>
      </c>
      <c r="AJ57" s="591">
        <f t="shared" ca="1" si="142"/>
        <v>0</v>
      </c>
      <c r="AK57" s="592">
        <f t="shared" ref="AK57:AK63" ca="1" si="143">SUM(S57:AJ57)</f>
        <v>22.3427808</v>
      </c>
      <c r="AL57" s="6"/>
      <c r="AM57" s="593">
        <f t="shared" ref="AM57:BB62" ca="1" si="144">IFERROR(INDEX(INDIRECT($C57&amp;".Outputs["&amp;this.Year&amp;"]"), MATCH(AM$5, INDIRECT($C57&amp;".Outputs[Vector]"), 0)), 0)</f>
        <v>0</v>
      </c>
      <c r="AN57" s="593">
        <f t="shared" ca="1" si="144"/>
        <v>0</v>
      </c>
      <c r="AO57" s="593">
        <f t="shared" ca="1" si="144"/>
        <v>0</v>
      </c>
      <c r="AP57" s="593">
        <f t="shared" ca="1" si="144"/>
        <v>0</v>
      </c>
      <c r="AQ57" s="593">
        <f t="shared" ca="1" si="144"/>
        <v>0</v>
      </c>
      <c r="AR57" s="593">
        <f t="shared" ca="1" si="144"/>
        <v>0</v>
      </c>
      <c r="AS57" s="593">
        <f t="shared" ca="1" si="144"/>
        <v>0</v>
      </c>
      <c r="AT57" s="593">
        <f t="shared" ca="1" si="144"/>
        <v>0</v>
      </c>
      <c r="AU57" s="593">
        <f t="shared" ca="1" si="144"/>
        <v>0</v>
      </c>
      <c r="AV57" s="593">
        <f t="shared" ca="1" si="144"/>
        <v>0</v>
      </c>
      <c r="AW57" s="593">
        <f t="shared" ca="1" si="144"/>
        <v>0</v>
      </c>
      <c r="AX57" s="593">
        <f t="shared" ca="1" si="144"/>
        <v>-22.3427808</v>
      </c>
      <c r="AY57" s="593">
        <f t="shared" ca="1" si="144"/>
        <v>0</v>
      </c>
      <c r="AZ57" s="593">
        <f t="shared" ca="1" si="144"/>
        <v>0</v>
      </c>
      <c r="BA57" s="593">
        <f t="shared" ca="1" si="144"/>
        <v>0</v>
      </c>
      <c r="BB57" s="593">
        <f t="shared" ca="1" si="144"/>
        <v>0</v>
      </c>
      <c r="BC57" s="593">
        <f t="shared" ref="BC57:BE62" ca="1" si="145">IFERROR(INDEX(INDIRECT($C57&amp;".Outputs["&amp;this.Year&amp;"]"), MATCH(BC$5, INDIRECT($C57&amp;".Outputs[Vector]"), 0)), 0)</f>
        <v>0</v>
      </c>
      <c r="BD57" s="593">
        <f t="shared" ca="1" si="145"/>
        <v>0</v>
      </c>
      <c r="BE57" s="593">
        <f t="shared" ca="1" si="145"/>
        <v>0</v>
      </c>
      <c r="BF57" s="609">
        <f t="shared" ref="BF57:BF63" ca="1" si="146">SUM(AM57:BE57)</f>
        <v>-22.3427808</v>
      </c>
      <c r="BG57" s="6"/>
      <c r="BH57" s="3471">
        <f t="shared" ref="BH57:BI62" ca="1" si="147">IFERROR(INDEX(INDIRECT($C57&amp;".Outputs["&amp;this.Year&amp;"]"), MATCH(BH$5, INDIRECT($C57&amp;".Outputs[Vector]"), 0)), 0)</f>
        <v>0</v>
      </c>
      <c r="BI57" s="3471">
        <f t="shared" ca="1" si="147"/>
        <v>0</v>
      </c>
      <c r="BJ57" s="3460">
        <f t="shared" ref="BJ57:BJ63" ca="1" si="148">SUM(BH57:BI57)</f>
        <v>0</v>
      </c>
      <c r="BK57" s="6"/>
      <c r="BL57" s="610">
        <f t="shared" ca="1" si="138"/>
        <v>0</v>
      </c>
      <c r="BM57" s="610"/>
      <c r="BN57" s="413"/>
      <c r="BO57" s="2789">
        <f t="shared" ref="BO57:BX62" ca="1" si="149">IFERROR(SUMIFS(INDIRECT($C57&amp;".Emissions["&amp;this.Year&amp;"]"), INDIRECT($C57&amp;".Emissions[GHG]"), BO$6, INDIRECT($C57&amp;".Emissions[IPCC Sector]"), BO$5),0)</f>
        <v>0</v>
      </c>
      <c r="BP57" s="2790">
        <f t="shared" ca="1" si="149"/>
        <v>0</v>
      </c>
      <c r="BQ57" s="2790">
        <f t="shared" ca="1" si="149"/>
        <v>0</v>
      </c>
      <c r="BR57" s="2790">
        <f t="shared" ca="1" si="149"/>
        <v>0</v>
      </c>
      <c r="BS57" s="2790">
        <f t="shared" ca="1" si="149"/>
        <v>0</v>
      </c>
      <c r="BT57" s="2790">
        <f t="shared" ca="1" si="149"/>
        <v>0</v>
      </c>
      <c r="BU57" s="2790">
        <f t="shared" ca="1" si="149"/>
        <v>0</v>
      </c>
      <c r="BV57" s="2790">
        <f t="shared" ca="1" si="149"/>
        <v>0</v>
      </c>
      <c r="BW57" s="2790">
        <f t="shared" ca="1" si="149"/>
        <v>0</v>
      </c>
      <c r="BX57" s="2790">
        <f t="shared" ca="1" si="149"/>
        <v>0</v>
      </c>
      <c r="BY57" s="2790">
        <f t="shared" ref="BY57:CH62" ca="1" si="150">IFERROR(SUMIFS(INDIRECT($C57&amp;".Emissions["&amp;this.Year&amp;"]"), INDIRECT($C57&amp;".Emissions[GHG]"), BY$6, INDIRECT($C57&amp;".Emissions[IPCC Sector]"), BY$5),0)</f>
        <v>0</v>
      </c>
      <c r="BZ57" s="2790">
        <f t="shared" ca="1" si="150"/>
        <v>0</v>
      </c>
      <c r="CA57" s="2790">
        <f t="shared" ca="1" si="150"/>
        <v>0</v>
      </c>
      <c r="CB57" s="2790">
        <f t="shared" ca="1" si="150"/>
        <v>0</v>
      </c>
      <c r="CC57" s="2790">
        <f t="shared" ca="1" si="150"/>
        <v>0</v>
      </c>
      <c r="CD57" s="2790">
        <f t="shared" ca="1" si="150"/>
        <v>0</v>
      </c>
      <c r="CE57" s="2790">
        <f t="shared" ca="1" si="150"/>
        <v>0</v>
      </c>
      <c r="CF57" s="2790">
        <f t="shared" ca="1" si="150"/>
        <v>0</v>
      </c>
      <c r="CG57" s="2790">
        <f t="shared" ca="1" si="150"/>
        <v>0</v>
      </c>
      <c r="CH57" s="2790">
        <f t="shared" ca="1" si="150"/>
        <v>0</v>
      </c>
      <c r="CI57" s="2790">
        <f t="shared" ref="CI57:CR62" ca="1" si="151">IFERROR(SUMIFS(INDIRECT($C57&amp;".Emissions["&amp;this.Year&amp;"]"), INDIRECT($C57&amp;".Emissions[GHG]"), CI$6, INDIRECT($C57&amp;".Emissions[IPCC Sector]"), CI$5),0)</f>
        <v>0</v>
      </c>
      <c r="CJ57" s="2790">
        <f t="shared" ca="1" si="151"/>
        <v>0</v>
      </c>
      <c r="CK57" s="2790">
        <f t="shared" ca="1" si="151"/>
        <v>0</v>
      </c>
      <c r="CL57" s="2790">
        <f t="shared" ca="1" si="151"/>
        <v>0</v>
      </c>
      <c r="CM57" s="2790">
        <f t="shared" ca="1" si="151"/>
        <v>0</v>
      </c>
      <c r="CN57" s="2790">
        <f t="shared" ca="1" si="151"/>
        <v>0</v>
      </c>
      <c r="CO57" s="2790">
        <f t="shared" ca="1" si="151"/>
        <v>0</v>
      </c>
      <c r="CP57" s="2790">
        <f t="shared" ca="1" si="151"/>
        <v>0</v>
      </c>
      <c r="CQ57" s="2790">
        <f t="shared" ca="1" si="151"/>
        <v>0</v>
      </c>
      <c r="CR57" s="2790">
        <f t="shared" ca="1" si="151"/>
        <v>0</v>
      </c>
      <c r="CS57" s="2790">
        <f t="shared" ref="CS57:DF62" ca="1" si="152">IFERROR(SUMIFS(INDIRECT($C57&amp;".Emissions["&amp;this.Year&amp;"]"), INDIRECT($C57&amp;".Emissions[GHG]"), CS$6, INDIRECT($C57&amp;".Emissions[IPCC Sector]"), CS$5),0)</f>
        <v>0</v>
      </c>
      <c r="CT57" s="2790">
        <f t="shared" ca="1" si="152"/>
        <v>0</v>
      </c>
      <c r="CU57" s="2790">
        <f t="shared" ca="1" si="152"/>
        <v>0</v>
      </c>
      <c r="CV57" s="2790">
        <f t="shared" ca="1" si="152"/>
        <v>0</v>
      </c>
      <c r="CW57" s="2790">
        <f t="shared" ca="1" si="152"/>
        <v>0</v>
      </c>
      <c r="CX57" s="2790">
        <f t="shared" ca="1" si="152"/>
        <v>0</v>
      </c>
      <c r="CY57" s="2790">
        <f t="shared" ca="1" si="152"/>
        <v>0</v>
      </c>
      <c r="CZ57" s="2790">
        <f t="shared" ca="1" si="152"/>
        <v>0</v>
      </c>
      <c r="DA57" s="2790">
        <f t="shared" ca="1" si="152"/>
        <v>0</v>
      </c>
      <c r="DB57" s="2790">
        <f t="shared" ca="1" si="152"/>
        <v>0</v>
      </c>
      <c r="DC57" s="2790">
        <f t="shared" ca="1" si="152"/>
        <v>0</v>
      </c>
      <c r="DD57" s="2790">
        <f t="shared" ca="1" si="152"/>
        <v>0</v>
      </c>
      <c r="DE57" s="2790">
        <f t="shared" ca="1" si="152"/>
        <v>0</v>
      </c>
      <c r="DF57" s="2790">
        <f t="shared" ca="1" si="152"/>
        <v>0</v>
      </c>
      <c r="DH57" s="596">
        <f t="shared" ca="1" si="113"/>
        <v>0</v>
      </c>
    </row>
    <row r="58" spans="1:112" s="607" customFormat="1">
      <c r="C58" s="587" t="s">
        <v>522</v>
      </c>
      <c r="D58" s="588" t="s">
        <v>523</v>
      </c>
      <c r="E58" s="588"/>
      <c r="F58" s="6"/>
      <c r="G58" s="589">
        <f t="shared" ca="1" si="140"/>
        <v>0</v>
      </c>
      <c r="H58" s="589">
        <f t="shared" ca="1" si="140"/>
        <v>0</v>
      </c>
      <c r="I58" s="589">
        <f t="shared" ca="1" si="140"/>
        <v>0</v>
      </c>
      <c r="J58" s="589">
        <f t="shared" ca="1" si="140"/>
        <v>0</v>
      </c>
      <c r="K58" s="589">
        <f t="shared" ca="1" si="140"/>
        <v>0</v>
      </c>
      <c r="L58" s="589">
        <f t="shared" ca="1" si="140"/>
        <v>0</v>
      </c>
      <c r="M58" s="589">
        <f t="shared" ca="1" si="140"/>
        <v>0</v>
      </c>
      <c r="N58" s="589">
        <f t="shared" ca="1" si="140"/>
        <v>0</v>
      </c>
      <c r="O58" s="589">
        <f t="shared" ca="1" si="140"/>
        <v>0</v>
      </c>
      <c r="P58" s="589">
        <f t="shared" ca="1" si="140"/>
        <v>0</v>
      </c>
      <c r="Q58" s="590">
        <f ca="1">SUM(G58:P58)</f>
        <v>0</v>
      </c>
      <c r="R58" s="6"/>
      <c r="S58" s="591">
        <f t="shared" ca="1" si="142"/>
        <v>0</v>
      </c>
      <c r="T58" s="591">
        <f t="shared" ca="1" si="142"/>
        <v>22.977877500000002</v>
      </c>
      <c r="U58" s="591">
        <f t="shared" ca="1" si="142"/>
        <v>0</v>
      </c>
      <c r="V58" s="591">
        <f t="shared" ca="1" si="142"/>
        <v>0</v>
      </c>
      <c r="W58" s="591">
        <f t="shared" ca="1" si="142"/>
        <v>0</v>
      </c>
      <c r="X58" s="591">
        <f t="shared" ca="1" si="142"/>
        <v>0</v>
      </c>
      <c r="Y58" s="591">
        <f t="shared" ca="1" si="142"/>
        <v>0</v>
      </c>
      <c r="Z58" s="591">
        <f t="shared" ca="1" si="142"/>
        <v>0</v>
      </c>
      <c r="AA58" s="591">
        <f t="shared" ca="1" si="142"/>
        <v>0</v>
      </c>
      <c r="AB58" s="591">
        <f t="shared" ca="1" si="142"/>
        <v>0</v>
      </c>
      <c r="AC58" s="591">
        <f t="shared" ca="1" si="142"/>
        <v>0</v>
      </c>
      <c r="AD58" s="591">
        <f t="shared" ca="1" si="142"/>
        <v>0</v>
      </c>
      <c r="AE58" s="591">
        <f t="shared" ca="1" si="142"/>
        <v>0</v>
      </c>
      <c r="AF58" s="591">
        <f t="shared" ca="1" si="142"/>
        <v>0</v>
      </c>
      <c r="AG58" s="591">
        <f t="shared" ca="1" si="142"/>
        <v>0</v>
      </c>
      <c r="AH58" s="591">
        <f t="shared" ca="1" si="142"/>
        <v>0</v>
      </c>
      <c r="AI58" s="591">
        <f t="shared" ca="1" si="142"/>
        <v>0</v>
      </c>
      <c r="AJ58" s="591">
        <f t="shared" ca="1" si="142"/>
        <v>0</v>
      </c>
      <c r="AK58" s="592">
        <f ca="1">SUM(S58:AJ58)</f>
        <v>22.977877500000002</v>
      </c>
      <c r="AL58" s="6"/>
      <c r="AM58" s="593">
        <f t="shared" ca="1" si="144"/>
        <v>0</v>
      </c>
      <c r="AN58" s="593">
        <f t="shared" ca="1" si="144"/>
        <v>0</v>
      </c>
      <c r="AO58" s="593">
        <f t="shared" ca="1" si="144"/>
        <v>0</v>
      </c>
      <c r="AP58" s="593">
        <f t="shared" ca="1" si="144"/>
        <v>0</v>
      </c>
      <c r="AQ58" s="593">
        <f t="shared" ca="1" si="144"/>
        <v>0</v>
      </c>
      <c r="AR58" s="593">
        <f t="shared" ca="1" si="144"/>
        <v>0</v>
      </c>
      <c r="AS58" s="593">
        <f t="shared" ca="1" si="144"/>
        <v>0</v>
      </c>
      <c r="AT58" s="593">
        <f t="shared" ca="1" si="144"/>
        <v>0</v>
      </c>
      <c r="AU58" s="593">
        <f t="shared" ca="1" si="144"/>
        <v>0</v>
      </c>
      <c r="AV58" s="593">
        <f t="shared" ca="1" si="144"/>
        <v>0</v>
      </c>
      <c r="AW58" s="593">
        <f t="shared" ca="1" si="144"/>
        <v>0</v>
      </c>
      <c r="AX58" s="593">
        <f t="shared" ca="1" si="144"/>
        <v>-22.977877500000002</v>
      </c>
      <c r="AY58" s="593">
        <f t="shared" ca="1" si="144"/>
        <v>0</v>
      </c>
      <c r="AZ58" s="593">
        <f t="shared" ca="1" si="144"/>
        <v>0</v>
      </c>
      <c r="BA58" s="593">
        <f t="shared" ca="1" si="144"/>
        <v>0</v>
      </c>
      <c r="BB58" s="593">
        <f t="shared" ca="1" si="144"/>
        <v>0</v>
      </c>
      <c r="BC58" s="593">
        <f t="shared" ca="1" si="145"/>
        <v>0</v>
      </c>
      <c r="BD58" s="593">
        <f t="shared" ca="1" si="145"/>
        <v>0</v>
      </c>
      <c r="BE58" s="593">
        <f t="shared" ca="1" si="145"/>
        <v>0</v>
      </c>
      <c r="BF58" s="609">
        <f ca="1">SUM(AM58:BE58)</f>
        <v>-22.977877500000002</v>
      </c>
      <c r="BG58" s="6"/>
      <c r="BH58" s="3471">
        <f t="shared" ca="1" si="147"/>
        <v>0</v>
      </c>
      <c r="BI58" s="3471">
        <f t="shared" ca="1" si="147"/>
        <v>0</v>
      </c>
      <c r="BJ58" s="3460">
        <f ca="1">SUM(BH58:BI58)</f>
        <v>0</v>
      </c>
      <c r="BK58" s="6"/>
      <c r="BL58" s="610">
        <f t="shared" ca="1" si="138"/>
        <v>0</v>
      </c>
      <c r="BM58" s="610"/>
      <c r="BN58" s="413"/>
      <c r="BO58" s="2789">
        <f t="shared" ca="1" si="149"/>
        <v>0</v>
      </c>
      <c r="BP58" s="2790">
        <f t="shared" ca="1" si="149"/>
        <v>0</v>
      </c>
      <c r="BQ58" s="2790">
        <f t="shared" ca="1" si="149"/>
        <v>0</v>
      </c>
      <c r="BR58" s="2790">
        <f t="shared" ca="1" si="149"/>
        <v>0</v>
      </c>
      <c r="BS58" s="2790">
        <f t="shared" ca="1" si="149"/>
        <v>0</v>
      </c>
      <c r="BT58" s="2790">
        <f t="shared" ca="1" si="149"/>
        <v>0</v>
      </c>
      <c r="BU58" s="2790">
        <f t="shared" ca="1" si="149"/>
        <v>0</v>
      </c>
      <c r="BV58" s="2790">
        <f t="shared" ca="1" si="149"/>
        <v>0</v>
      </c>
      <c r="BW58" s="2790">
        <f t="shared" ca="1" si="149"/>
        <v>0</v>
      </c>
      <c r="BX58" s="2790">
        <f t="shared" ca="1" si="149"/>
        <v>0</v>
      </c>
      <c r="BY58" s="2790">
        <f t="shared" ca="1" si="150"/>
        <v>0</v>
      </c>
      <c r="BZ58" s="2790">
        <f t="shared" ca="1" si="150"/>
        <v>0</v>
      </c>
      <c r="CA58" s="2790">
        <f t="shared" ca="1" si="150"/>
        <v>0</v>
      </c>
      <c r="CB58" s="2790">
        <f t="shared" ca="1" si="150"/>
        <v>0</v>
      </c>
      <c r="CC58" s="2790">
        <f t="shared" ca="1" si="150"/>
        <v>0</v>
      </c>
      <c r="CD58" s="2790">
        <f t="shared" ca="1" si="150"/>
        <v>0</v>
      </c>
      <c r="CE58" s="2790">
        <f t="shared" ca="1" si="150"/>
        <v>0</v>
      </c>
      <c r="CF58" s="2790">
        <f t="shared" ca="1" si="150"/>
        <v>0</v>
      </c>
      <c r="CG58" s="2790">
        <f t="shared" ca="1" si="150"/>
        <v>0</v>
      </c>
      <c r="CH58" s="2790">
        <f t="shared" ca="1" si="150"/>
        <v>0</v>
      </c>
      <c r="CI58" s="2790">
        <f t="shared" ca="1" si="151"/>
        <v>0</v>
      </c>
      <c r="CJ58" s="2790">
        <f t="shared" ca="1" si="151"/>
        <v>0</v>
      </c>
      <c r="CK58" s="2790">
        <f t="shared" ca="1" si="151"/>
        <v>0</v>
      </c>
      <c r="CL58" s="2790">
        <f t="shared" ca="1" si="151"/>
        <v>0</v>
      </c>
      <c r="CM58" s="2790">
        <f t="shared" ca="1" si="151"/>
        <v>0</v>
      </c>
      <c r="CN58" s="2790">
        <f t="shared" ca="1" si="151"/>
        <v>0</v>
      </c>
      <c r="CO58" s="2790">
        <f t="shared" ca="1" si="151"/>
        <v>0</v>
      </c>
      <c r="CP58" s="2790">
        <f t="shared" ca="1" si="151"/>
        <v>0</v>
      </c>
      <c r="CQ58" s="2790">
        <f t="shared" ca="1" si="151"/>
        <v>0</v>
      </c>
      <c r="CR58" s="2790">
        <f t="shared" ca="1" si="151"/>
        <v>0</v>
      </c>
      <c r="CS58" s="2790">
        <f t="shared" ca="1" si="152"/>
        <v>0</v>
      </c>
      <c r="CT58" s="2790">
        <f t="shared" ca="1" si="152"/>
        <v>0</v>
      </c>
      <c r="CU58" s="2790">
        <f t="shared" ca="1" si="152"/>
        <v>0</v>
      </c>
      <c r="CV58" s="2790">
        <f t="shared" ca="1" si="152"/>
        <v>0</v>
      </c>
      <c r="CW58" s="2790">
        <f t="shared" ca="1" si="152"/>
        <v>0</v>
      </c>
      <c r="CX58" s="2790">
        <f t="shared" ca="1" si="152"/>
        <v>0</v>
      </c>
      <c r="CY58" s="2790">
        <f t="shared" ca="1" si="152"/>
        <v>0</v>
      </c>
      <c r="CZ58" s="2790">
        <f t="shared" ca="1" si="152"/>
        <v>0</v>
      </c>
      <c r="DA58" s="2790">
        <f t="shared" ca="1" si="152"/>
        <v>0</v>
      </c>
      <c r="DB58" s="2790">
        <f t="shared" ca="1" si="152"/>
        <v>0</v>
      </c>
      <c r="DC58" s="2790">
        <f t="shared" ca="1" si="152"/>
        <v>0</v>
      </c>
      <c r="DD58" s="2790">
        <f t="shared" ca="1" si="152"/>
        <v>0</v>
      </c>
      <c r="DE58" s="2790">
        <f t="shared" ca="1" si="152"/>
        <v>0</v>
      </c>
      <c r="DF58" s="2790">
        <f t="shared" ca="1" si="152"/>
        <v>0</v>
      </c>
      <c r="DH58" s="596">
        <f ca="1">SUM(BO58:DF58)</f>
        <v>0</v>
      </c>
    </row>
    <row r="59" spans="1:112" s="607" customFormat="1">
      <c r="C59" s="587" t="s">
        <v>524</v>
      </c>
      <c r="D59" s="588" t="s">
        <v>525</v>
      </c>
      <c r="E59" s="588"/>
      <c r="F59" s="6"/>
      <c r="G59" s="589">
        <f t="shared" ca="1" si="140"/>
        <v>0</v>
      </c>
      <c r="H59" s="589">
        <f t="shared" ca="1" si="140"/>
        <v>0</v>
      </c>
      <c r="I59" s="589">
        <f t="shared" ca="1" si="140"/>
        <v>0</v>
      </c>
      <c r="J59" s="589">
        <f t="shared" ca="1" si="140"/>
        <v>0</v>
      </c>
      <c r="K59" s="589">
        <f t="shared" ca="1" si="140"/>
        <v>0</v>
      </c>
      <c r="L59" s="589">
        <f t="shared" ca="1" si="140"/>
        <v>0</v>
      </c>
      <c r="M59" s="589">
        <f t="shared" ca="1" si="140"/>
        <v>0</v>
      </c>
      <c r="N59" s="589">
        <f t="shared" ca="1" si="140"/>
        <v>0</v>
      </c>
      <c r="O59" s="589">
        <f t="shared" ca="1" si="140"/>
        <v>0</v>
      </c>
      <c r="P59" s="589">
        <f t="shared" ca="1" si="140"/>
        <v>0</v>
      </c>
      <c r="Q59" s="590">
        <f t="shared" ca="1" si="141"/>
        <v>0</v>
      </c>
      <c r="R59" s="6"/>
      <c r="S59" s="591">
        <f t="shared" ca="1" si="142"/>
        <v>0</v>
      </c>
      <c r="T59" s="591">
        <f t="shared" ca="1" si="142"/>
        <v>0.78946596000000002</v>
      </c>
      <c r="U59" s="591">
        <f t="shared" ca="1" si="142"/>
        <v>0</v>
      </c>
      <c r="V59" s="591">
        <f t="shared" ca="1" si="142"/>
        <v>0</v>
      </c>
      <c r="W59" s="591">
        <f t="shared" ca="1" si="142"/>
        <v>0</v>
      </c>
      <c r="X59" s="591">
        <f t="shared" ca="1" si="142"/>
        <v>0</v>
      </c>
      <c r="Y59" s="591">
        <f t="shared" ca="1" si="142"/>
        <v>0</v>
      </c>
      <c r="Z59" s="591">
        <f t="shared" ca="1" si="142"/>
        <v>0</v>
      </c>
      <c r="AA59" s="591">
        <f t="shared" ca="1" si="142"/>
        <v>0</v>
      </c>
      <c r="AB59" s="591">
        <f t="shared" ca="1" si="142"/>
        <v>0</v>
      </c>
      <c r="AC59" s="591">
        <f t="shared" ca="1" si="142"/>
        <v>0</v>
      </c>
      <c r="AD59" s="591">
        <f t="shared" ca="1" si="142"/>
        <v>0</v>
      </c>
      <c r="AE59" s="591">
        <f t="shared" ca="1" si="142"/>
        <v>0</v>
      </c>
      <c r="AF59" s="591">
        <f t="shared" ca="1" si="142"/>
        <v>0</v>
      </c>
      <c r="AG59" s="591">
        <f t="shared" ca="1" si="142"/>
        <v>0</v>
      </c>
      <c r="AH59" s="591">
        <f t="shared" ca="1" si="142"/>
        <v>0</v>
      </c>
      <c r="AI59" s="591">
        <f t="shared" ca="1" si="142"/>
        <v>0</v>
      </c>
      <c r="AJ59" s="591">
        <f t="shared" ca="1" si="142"/>
        <v>0</v>
      </c>
      <c r="AK59" s="592">
        <f t="shared" ca="1" si="143"/>
        <v>0.78946596000000002</v>
      </c>
      <c r="AL59" s="6"/>
      <c r="AM59" s="593">
        <f t="shared" ca="1" si="144"/>
        <v>0</v>
      </c>
      <c r="AN59" s="593">
        <f t="shared" ca="1" si="144"/>
        <v>0</v>
      </c>
      <c r="AO59" s="593">
        <f t="shared" ca="1" si="144"/>
        <v>0</v>
      </c>
      <c r="AP59" s="593">
        <f t="shared" ca="1" si="144"/>
        <v>0</v>
      </c>
      <c r="AQ59" s="593">
        <f t="shared" ca="1" si="144"/>
        <v>0</v>
      </c>
      <c r="AR59" s="593">
        <f t="shared" ca="1" si="144"/>
        <v>0</v>
      </c>
      <c r="AS59" s="593">
        <f t="shared" ca="1" si="144"/>
        <v>0</v>
      </c>
      <c r="AT59" s="593">
        <f t="shared" ca="1" si="144"/>
        <v>0</v>
      </c>
      <c r="AU59" s="593">
        <f t="shared" ca="1" si="144"/>
        <v>0</v>
      </c>
      <c r="AV59" s="593">
        <f t="shared" ca="1" si="144"/>
        <v>0</v>
      </c>
      <c r="AW59" s="593">
        <f t="shared" ca="1" si="144"/>
        <v>0</v>
      </c>
      <c r="AX59" s="593">
        <f t="shared" ca="1" si="144"/>
        <v>0</v>
      </c>
      <c r="AY59" s="593">
        <f t="shared" ca="1" si="144"/>
        <v>0</v>
      </c>
      <c r="AZ59" s="593">
        <f t="shared" ca="1" si="144"/>
        <v>0</v>
      </c>
      <c r="BA59" s="593">
        <f t="shared" ca="1" si="144"/>
        <v>0</v>
      </c>
      <c r="BB59" s="593">
        <f t="shared" ca="1" si="144"/>
        <v>-0.78946596000000002</v>
      </c>
      <c r="BC59" s="593">
        <f t="shared" ca="1" si="145"/>
        <v>0</v>
      </c>
      <c r="BD59" s="593">
        <f t="shared" ca="1" si="145"/>
        <v>0</v>
      </c>
      <c r="BE59" s="593">
        <f t="shared" ca="1" si="145"/>
        <v>0</v>
      </c>
      <c r="BF59" s="609">
        <f t="shared" ca="1" si="146"/>
        <v>-0.78946596000000002</v>
      </c>
      <c r="BG59" s="6"/>
      <c r="BH59" s="3471">
        <f t="shared" ca="1" si="147"/>
        <v>0</v>
      </c>
      <c r="BI59" s="3471">
        <f t="shared" ca="1" si="147"/>
        <v>0</v>
      </c>
      <c r="BJ59" s="3460">
        <f t="shared" ca="1" si="148"/>
        <v>0</v>
      </c>
      <c r="BK59" s="6"/>
      <c r="BL59" s="610">
        <f t="shared" ca="1" si="138"/>
        <v>0</v>
      </c>
      <c r="BM59" s="610"/>
      <c r="BN59" s="413"/>
      <c r="BO59" s="2789">
        <f t="shared" ca="1" si="149"/>
        <v>0</v>
      </c>
      <c r="BP59" s="2790">
        <f t="shared" ca="1" si="149"/>
        <v>0</v>
      </c>
      <c r="BQ59" s="2790">
        <f t="shared" ca="1" si="149"/>
        <v>0</v>
      </c>
      <c r="BR59" s="2790">
        <f t="shared" ca="1" si="149"/>
        <v>0</v>
      </c>
      <c r="BS59" s="2790">
        <f t="shared" ca="1" si="149"/>
        <v>0</v>
      </c>
      <c r="BT59" s="2790">
        <f t="shared" ca="1" si="149"/>
        <v>0</v>
      </c>
      <c r="BU59" s="2790">
        <f t="shared" ca="1" si="149"/>
        <v>0</v>
      </c>
      <c r="BV59" s="2790">
        <f t="shared" ca="1" si="149"/>
        <v>0</v>
      </c>
      <c r="BW59" s="2790">
        <f t="shared" ca="1" si="149"/>
        <v>0</v>
      </c>
      <c r="BX59" s="2790">
        <f t="shared" ca="1" si="149"/>
        <v>0</v>
      </c>
      <c r="BY59" s="2790">
        <f t="shared" ca="1" si="150"/>
        <v>0</v>
      </c>
      <c r="BZ59" s="2790">
        <f t="shared" ca="1" si="150"/>
        <v>0</v>
      </c>
      <c r="CA59" s="2790">
        <f t="shared" ca="1" si="150"/>
        <v>0</v>
      </c>
      <c r="CB59" s="2790">
        <f t="shared" ca="1" si="150"/>
        <v>0</v>
      </c>
      <c r="CC59" s="2790">
        <f t="shared" ca="1" si="150"/>
        <v>0</v>
      </c>
      <c r="CD59" s="2790">
        <f t="shared" ca="1" si="150"/>
        <v>0</v>
      </c>
      <c r="CE59" s="2790">
        <f t="shared" ca="1" si="150"/>
        <v>0</v>
      </c>
      <c r="CF59" s="2790">
        <f t="shared" ca="1" si="150"/>
        <v>0</v>
      </c>
      <c r="CG59" s="2790">
        <f t="shared" ca="1" si="150"/>
        <v>0</v>
      </c>
      <c r="CH59" s="2790">
        <f t="shared" ca="1" si="150"/>
        <v>0</v>
      </c>
      <c r="CI59" s="2790">
        <f t="shared" ca="1" si="151"/>
        <v>0</v>
      </c>
      <c r="CJ59" s="2790">
        <f t="shared" ca="1" si="151"/>
        <v>0</v>
      </c>
      <c r="CK59" s="2790">
        <f t="shared" ca="1" si="151"/>
        <v>0</v>
      </c>
      <c r="CL59" s="2790">
        <f t="shared" ca="1" si="151"/>
        <v>0</v>
      </c>
      <c r="CM59" s="2790">
        <f t="shared" ca="1" si="151"/>
        <v>0</v>
      </c>
      <c r="CN59" s="2790">
        <f t="shared" ca="1" si="151"/>
        <v>0</v>
      </c>
      <c r="CO59" s="2790">
        <f t="shared" ca="1" si="151"/>
        <v>0</v>
      </c>
      <c r="CP59" s="2790">
        <f t="shared" ca="1" si="151"/>
        <v>0</v>
      </c>
      <c r="CQ59" s="2790">
        <f t="shared" ca="1" si="151"/>
        <v>0</v>
      </c>
      <c r="CR59" s="2790">
        <f t="shared" ca="1" si="151"/>
        <v>0</v>
      </c>
      <c r="CS59" s="2790">
        <f t="shared" ca="1" si="152"/>
        <v>0</v>
      </c>
      <c r="CT59" s="2790">
        <f t="shared" ca="1" si="152"/>
        <v>0</v>
      </c>
      <c r="CU59" s="2790">
        <f t="shared" ca="1" si="152"/>
        <v>0</v>
      </c>
      <c r="CV59" s="2790">
        <f t="shared" ca="1" si="152"/>
        <v>0</v>
      </c>
      <c r="CW59" s="2790">
        <f t="shared" ca="1" si="152"/>
        <v>0</v>
      </c>
      <c r="CX59" s="2790">
        <f t="shared" ca="1" si="152"/>
        <v>0</v>
      </c>
      <c r="CY59" s="2790">
        <f t="shared" ca="1" si="152"/>
        <v>0</v>
      </c>
      <c r="CZ59" s="2790">
        <f t="shared" ca="1" si="152"/>
        <v>0</v>
      </c>
      <c r="DA59" s="2790">
        <f t="shared" ca="1" si="152"/>
        <v>0</v>
      </c>
      <c r="DB59" s="2790">
        <f t="shared" ca="1" si="152"/>
        <v>0</v>
      </c>
      <c r="DC59" s="2790">
        <f t="shared" ca="1" si="152"/>
        <v>0</v>
      </c>
      <c r="DD59" s="2790">
        <f t="shared" ca="1" si="152"/>
        <v>0</v>
      </c>
      <c r="DE59" s="2790">
        <f t="shared" ca="1" si="152"/>
        <v>0</v>
      </c>
      <c r="DF59" s="2790">
        <f t="shared" ca="1" si="152"/>
        <v>0</v>
      </c>
      <c r="DH59" s="596">
        <f t="shared" ca="1" si="113"/>
        <v>0</v>
      </c>
    </row>
    <row r="60" spans="1:112" s="607" customFormat="1">
      <c r="C60" s="587" t="s">
        <v>526</v>
      </c>
      <c r="D60" s="588" t="s">
        <v>527</v>
      </c>
      <c r="E60" s="588"/>
      <c r="F60" s="6"/>
      <c r="G60" s="589">
        <f t="shared" ca="1" si="140"/>
        <v>0</v>
      </c>
      <c r="H60" s="589">
        <f t="shared" ca="1" si="140"/>
        <v>0</v>
      </c>
      <c r="I60" s="589">
        <f t="shared" ca="1" si="140"/>
        <v>0</v>
      </c>
      <c r="J60" s="589">
        <f t="shared" ca="1" si="140"/>
        <v>0</v>
      </c>
      <c r="K60" s="589">
        <f t="shared" ca="1" si="140"/>
        <v>0</v>
      </c>
      <c r="L60" s="589">
        <f t="shared" ca="1" si="140"/>
        <v>0</v>
      </c>
      <c r="M60" s="589">
        <f t="shared" ca="1" si="140"/>
        <v>0</v>
      </c>
      <c r="N60" s="589">
        <f t="shared" ca="1" si="140"/>
        <v>0</v>
      </c>
      <c r="O60" s="589">
        <f t="shared" ca="1" si="140"/>
        <v>0</v>
      </c>
      <c r="P60" s="589">
        <f t="shared" ca="1" si="140"/>
        <v>0</v>
      </c>
      <c r="Q60" s="590">
        <f t="shared" ca="1" si="141"/>
        <v>0</v>
      </c>
      <c r="R60" s="6"/>
      <c r="S60" s="591">
        <f t="shared" ca="1" si="142"/>
        <v>0</v>
      </c>
      <c r="T60" s="591">
        <f t="shared" ca="1" si="142"/>
        <v>8.7730128000000018</v>
      </c>
      <c r="U60" s="591">
        <f t="shared" ca="1" si="142"/>
        <v>0</v>
      </c>
      <c r="V60" s="591">
        <f t="shared" ca="1" si="142"/>
        <v>0</v>
      </c>
      <c r="W60" s="591">
        <f t="shared" ca="1" si="142"/>
        <v>0</v>
      </c>
      <c r="X60" s="591">
        <f t="shared" ca="1" si="142"/>
        <v>0</v>
      </c>
      <c r="Y60" s="591">
        <f t="shared" ca="1" si="142"/>
        <v>0</v>
      </c>
      <c r="Z60" s="591">
        <f t="shared" ca="1" si="142"/>
        <v>0</v>
      </c>
      <c r="AA60" s="591">
        <f t="shared" ca="1" si="142"/>
        <v>0</v>
      </c>
      <c r="AB60" s="591">
        <f t="shared" ca="1" si="142"/>
        <v>0</v>
      </c>
      <c r="AC60" s="591">
        <f t="shared" ca="1" si="142"/>
        <v>0</v>
      </c>
      <c r="AD60" s="591">
        <f t="shared" ca="1" si="142"/>
        <v>0</v>
      </c>
      <c r="AE60" s="591">
        <f t="shared" ca="1" si="142"/>
        <v>0</v>
      </c>
      <c r="AF60" s="591">
        <f t="shared" ca="1" si="142"/>
        <v>0</v>
      </c>
      <c r="AG60" s="591">
        <f t="shared" ca="1" si="142"/>
        <v>0</v>
      </c>
      <c r="AH60" s="591">
        <f t="shared" ca="1" si="142"/>
        <v>0</v>
      </c>
      <c r="AI60" s="591">
        <f t="shared" ca="1" si="142"/>
        <v>0</v>
      </c>
      <c r="AJ60" s="591">
        <f t="shared" ca="1" si="142"/>
        <v>0</v>
      </c>
      <c r="AK60" s="592">
        <f t="shared" ca="1" si="143"/>
        <v>8.7730128000000018</v>
      </c>
      <c r="AL60" s="6"/>
      <c r="AM60" s="593">
        <f t="shared" ca="1" si="144"/>
        <v>0</v>
      </c>
      <c r="AN60" s="593">
        <f t="shared" ca="1" si="144"/>
        <v>0</v>
      </c>
      <c r="AO60" s="593">
        <f t="shared" ca="1" si="144"/>
        <v>0</v>
      </c>
      <c r="AP60" s="593">
        <f t="shared" ca="1" si="144"/>
        <v>0</v>
      </c>
      <c r="AQ60" s="593">
        <f t="shared" ca="1" si="144"/>
        <v>0</v>
      </c>
      <c r="AR60" s="593">
        <f t="shared" ca="1" si="144"/>
        <v>0</v>
      </c>
      <c r="AS60" s="593">
        <f t="shared" ca="1" si="144"/>
        <v>0</v>
      </c>
      <c r="AT60" s="593">
        <f t="shared" ca="1" si="144"/>
        <v>0</v>
      </c>
      <c r="AU60" s="593">
        <f t="shared" ca="1" si="144"/>
        <v>0</v>
      </c>
      <c r="AV60" s="593">
        <f t="shared" ca="1" si="144"/>
        <v>0</v>
      </c>
      <c r="AW60" s="593">
        <f t="shared" ca="1" si="144"/>
        <v>0</v>
      </c>
      <c r="AX60" s="593">
        <f t="shared" ca="1" si="144"/>
        <v>0</v>
      </c>
      <c r="AY60" s="593">
        <f t="shared" ca="1" si="144"/>
        <v>-2.5246080000000011</v>
      </c>
      <c r="AZ60" s="593">
        <f t="shared" ca="1" si="144"/>
        <v>-6.2484048000000012</v>
      </c>
      <c r="BA60" s="593">
        <f t="shared" ca="1" si="144"/>
        <v>0</v>
      </c>
      <c r="BB60" s="593">
        <f t="shared" ca="1" si="144"/>
        <v>0</v>
      </c>
      <c r="BC60" s="593">
        <f t="shared" ca="1" si="145"/>
        <v>0</v>
      </c>
      <c r="BD60" s="593">
        <f t="shared" ca="1" si="145"/>
        <v>0</v>
      </c>
      <c r="BE60" s="593">
        <f t="shared" ca="1" si="145"/>
        <v>0</v>
      </c>
      <c r="BF60" s="609">
        <f t="shared" ca="1" si="146"/>
        <v>-8.7730128000000018</v>
      </c>
      <c r="BG60" s="6"/>
      <c r="BH60" s="3471">
        <f t="shared" ca="1" si="147"/>
        <v>0</v>
      </c>
      <c r="BI60" s="3471">
        <f t="shared" ca="1" si="147"/>
        <v>0</v>
      </c>
      <c r="BJ60" s="3460">
        <f t="shared" ca="1" si="148"/>
        <v>0</v>
      </c>
      <c r="BK60" s="6"/>
      <c r="BL60" s="610">
        <f t="shared" ca="1" si="138"/>
        <v>0</v>
      </c>
      <c r="BM60" s="610"/>
      <c r="BN60" s="413"/>
      <c r="BO60" s="2789">
        <f t="shared" ca="1" si="149"/>
        <v>0</v>
      </c>
      <c r="BP60" s="2790">
        <f t="shared" ca="1" si="149"/>
        <v>0</v>
      </c>
      <c r="BQ60" s="2790">
        <f t="shared" ca="1" si="149"/>
        <v>0</v>
      </c>
      <c r="BR60" s="2790">
        <f t="shared" ca="1" si="149"/>
        <v>0</v>
      </c>
      <c r="BS60" s="2790">
        <f t="shared" ca="1" si="149"/>
        <v>0</v>
      </c>
      <c r="BT60" s="2790">
        <f t="shared" ca="1" si="149"/>
        <v>0</v>
      </c>
      <c r="BU60" s="2790">
        <f t="shared" ca="1" si="149"/>
        <v>0</v>
      </c>
      <c r="BV60" s="2790">
        <f t="shared" ca="1" si="149"/>
        <v>0</v>
      </c>
      <c r="BW60" s="2790">
        <f t="shared" ca="1" si="149"/>
        <v>0</v>
      </c>
      <c r="BX60" s="2790">
        <f t="shared" ca="1" si="149"/>
        <v>0</v>
      </c>
      <c r="BY60" s="2790">
        <f t="shared" ca="1" si="150"/>
        <v>0</v>
      </c>
      <c r="BZ60" s="2790">
        <f t="shared" ca="1" si="150"/>
        <v>0</v>
      </c>
      <c r="CA60" s="2790">
        <f t="shared" ca="1" si="150"/>
        <v>0</v>
      </c>
      <c r="CB60" s="2790">
        <f t="shared" ca="1" si="150"/>
        <v>0</v>
      </c>
      <c r="CC60" s="2790">
        <f t="shared" ca="1" si="150"/>
        <v>0</v>
      </c>
      <c r="CD60" s="2790">
        <f t="shared" ca="1" si="150"/>
        <v>0</v>
      </c>
      <c r="CE60" s="2790">
        <f t="shared" ca="1" si="150"/>
        <v>0</v>
      </c>
      <c r="CF60" s="2790">
        <f t="shared" ca="1" si="150"/>
        <v>0</v>
      </c>
      <c r="CG60" s="2790">
        <f t="shared" ca="1" si="150"/>
        <v>0</v>
      </c>
      <c r="CH60" s="2790">
        <f t="shared" ca="1" si="150"/>
        <v>0</v>
      </c>
      <c r="CI60" s="2790">
        <f t="shared" ca="1" si="151"/>
        <v>0</v>
      </c>
      <c r="CJ60" s="2790">
        <f t="shared" ca="1" si="151"/>
        <v>0</v>
      </c>
      <c r="CK60" s="2790">
        <f t="shared" ca="1" si="151"/>
        <v>0</v>
      </c>
      <c r="CL60" s="2790">
        <f t="shared" ca="1" si="151"/>
        <v>0</v>
      </c>
      <c r="CM60" s="2790">
        <f t="shared" ca="1" si="151"/>
        <v>0</v>
      </c>
      <c r="CN60" s="2790">
        <f t="shared" ca="1" si="151"/>
        <v>0</v>
      </c>
      <c r="CO60" s="2790">
        <f t="shared" ca="1" si="151"/>
        <v>0</v>
      </c>
      <c r="CP60" s="2790">
        <f t="shared" ca="1" si="151"/>
        <v>0</v>
      </c>
      <c r="CQ60" s="2790">
        <f t="shared" ca="1" si="151"/>
        <v>0</v>
      </c>
      <c r="CR60" s="2790">
        <f t="shared" ca="1" si="151"/>
        <v>0</v>
      </c>
      <c r="CS60" s="2790">
        <f t="shared" ca="1" si="152"/>
        <v>0</v>
      </c>
      <c r="CT60" s="2790">
        <f t="shared" ca="1" si="152"/>
        <v>0</v>
      </c>
      <c r="CU60" s="2790">
        <f t="shared" ca="1" si="152"/>
        <v>0</v>
      </c>
      <c r="CV60" s="2790">
        <f t="shared" ca="1" si="152"/>
        <v>0</v>
      </c>
      <c r="CW60" s="2790">
        <f t="shared" ca="1" si="152"/>
        <v>0</v>
      </c>
      <c r="CX60" s="2790">
        <f t="shared" ca="1" si="152"/>
        <v>0</v>
      </c>
      <c r="CY60" s="2790">
        <f t="shared" ca="1" si="152"/>
        <v>0</v>
      </c>
      <c r="CZ60" s="2790">
        <f t="shared" ca="1" si="152"/>
        <v>0</v>
      </c>
      <c r="DA60" s="2790">
        <f t="shared" ca="1" si="152"/>
        <v>0</v>
      </c>
      <c r="DB60" s="2790">
        <f t="shared" ca="1" si="152"/>
        <v>0</v>
      </c>
      <c r="DC60" s="2790">
        <f t="shared" ca="1" si="152"/>
        <v>0</v>
      </c>
      <c r="DD60" s="2790">
        <f t="shared" ca="1" si="152"/>
        <v>0</v>
      </c>
      <c r="DE60" s="2790">
        <f t="shared" ca="1" si="152"/>
        <v>0</v>
      </c>
      <c r="DF60" s="2790">
        <f t="shared" ca="1" si="152"/>
        <v>0</v>
      </c>
      <c r="DH60" s="596">
        <f t="shared" ca="1" si="113"/>
        <v>0</v>
      </c>
    </row>
    <row r="61" spans="1:112" s="607" customFormat="1">
      <c r="C61" s="587" t="s">
        <v>528</v>
      </c>
      <c r="D61" s="588" t="s">
        <v>529</v>
      </c>
      <c r="E61" s="588"/>
      <c r="F61" s="6"/>
      <c r="G61" s="589">
        <f t="shared" ca="1" si="140"/>
        <v>0</v>
      </c>
      <c r="H61" s="589">
        <f t="shared" ca="1" si="140"/>
        <v>0</v>
      </c>
      <c r="I61" s="589">
        <f t="shared" ca="1" si="140"/>
        <v>0</v>
      </c>
      <c r="J61" s="589">
        <f t="shared" ca="1" si="140"/>
        <v>0</v>
      </c>
      <c r="K61" s="589">
        <f t="shared" ca="1" si="140"/>
        <v>0</v>
      </c>
      <c r="L61" s="589">
        <f t="shared" ca="1" si="140"/>
        <v>0</v>
      </c>
      <c r="M61" s="589">
        <f t="shared" ca="1" si="140"/>
        <v>0</v>
      </c>
      <c r="N61" s="589">
        <f t="shared" ca="1" si="140"/>
        <v>0</v>
      </c>
      <c r="O61" s="589">
        <f t="shared" ca="1" si="140"/>
        <v>0</v>
      </c>
      <c r="P61" s="589">
        <f t="shared" ca="1" si="140"/>
        <v>0</v>
      </c>
      <c r="Q61" s="590">
        <f t="shared" ca="1" si="141"/>
        <v>0</v>
      </c>
      <c r="R61" s="6"/>
      <c r="S61" s="591">
        <f t="shared" ca="1" si="142"/>
        <v>0</v>
      </c>
      <c r="T61" s="591">
        <f t="shared" ca="1" si="142"/>
        <v>0</v>
      </c>
      <c r="U61" s="591">
        <f t="shared" ca="1" si="142"/>
        <v>0</v>
      </c>
      <c r="V61" s="591">
        <f t="shared" ca="1" si="142"/>
        <v>0</v>
      </c>
      <c r="W61" s="591">
        <f t="shared" ca="1" si="142"/>
        <v>0</v>
      </c>
      <c r="X61" s="591">
        <f t="shared" ca="1" si="142"/>
        <v>0</v>
      </c>
      <c r="Y61" s="591">
        <f t="shared" ca="1" si="142"/>
        <v>0</v>
      </c>
      <c r="Z61" s="591">
        <f t="shared" ca="1" si="142"/>
        <v>0</v>
      </c>
      <c r="AA61" s="591">
        <f t="shared" ca="1" si="142"/>
        <v>0</v>
      </c>
      <c r="AB61" s="591">
        <f t="shared" ca="1" si="142"/>
        <v>0</v>
      </c>
      <c r="AC61" s="591">
        <f t="shared" ca="1" si="142"/>
        <v>0</v>
      </c>
      <c r="AD61" s="591">
        <f t="shared" ca="1" si="142"/>
        <v>0</v>
      </c>
      <c r="AE61" s="591">
        <f t="shared" ca="1" si="142"/>
        <v>0</v>
      </c>
      <c r="AF61" s="591">
        <f t="shared" ca="1" si="142"/>
        <v>0</v>
      </c>
      <c r="AG61" s="591">
        <f t="shared" ca="1" si="142"/>
        <v>0</v>
      </c>
      <c r="AH61" s="591">
        <f t="shared" ca="1" si="142"/>
        <v>0</v>
      </c>
      <c r="AI61" s="591">
        <f t="shared" ca="1" si="142"/>
        <v>0</v>
      </c>
      <c r="AJ61" s="591">
        <f t="shared" ca="1" si="142"/>
        <v>0</v>
      </c>
      <c r="AK61" s="592">
        <f t="shared" ca="1" si="143"/>
        <v>0</v>
      </c>
      <c r="AL61" s="6"/>
      <c r="AM61" s="593">
        <f t="shared" ca="1" si="144"/>
        <v>0</v>
      </c>
      <c r="AN61" s="593">
        <f t="shared" ca="1" si="144"/>
        <v>0</v>
      </c>
      <c r="AO61" s="593">
        <f t="shared" ca="1" si="144"/>
        <v>0</v>
      </c>
      <c r="AP61" s="593">
        <f t="shared" ca="1" si="144"/>
        <v>0</v>
      </c>
      <c r="AQ61" s="593">
        <f t="shared" ca="1" si="144"/>
        <v>0</v>
      </c>
      <c r="AR61" s="593">
        <f t="shared" ca="1" si="144"/>
        <v>0</v>
      </c>
      <c r="AS61" s="593">
        <f t="shared" ca="1" si="144"/>
        <v>0</v>
      </c>
      <c r="AT61" s="593">
        <f t="shared" ca="1" si="144"/>
        <v>0</v>
      </c>
      <c r="AU61" s="593">
        <f t="shared" ca="1" si="144"/>
        <v>0</v>
      </c>
      <c r="AV61" s="593">
        <f t="shared" ca="1" si="144"/>
        <v>0</v>
      </c>
      <c r="AW61" s="593">
        <f t="shared" ca="1" si="144"/>
        <v>0</v>
      </c>
      <c r="AX61" s="593">
        <f t="shared" ca="1" si="144"/>
        <v>0</v>
      </c>
      <c r="AY61" s="593">
        <f t="shared" ca="1" si="144"/>
        <v>0</v>
      </c>
      <c r="AZ61" s="593">
        <f t="shared" ca="1" si="144"/>
        <v>0</v>
      </c>
      <c r="BA61" s="593">
        <f t="shared" ca="1" si="144"/>
        <v>0</v>
      </c>
      <c r="BB61" s="593">
        <f t="shared" ca="1" si="144"/>
        <v>0</v>
      </c>
      <c r="BC61" s="593">
        <f t="shared" ca="1" si="145"/>
        <v>0</v>
      </c>
      <c r="BD61" s="593">
        <f t="shared" ca="1" si="145"/>
        <v>0</v>
      </c>
      <c r="BE61" s="593">
        <f t="shared" ca="1" si="145"/>
        <v>0</v>
      </c>
      <c r="BF61" s="609">
        <f t="shared" ca="1" si="146"/>
        <v>0</v>
      </c>
      <c r="BG61" s="6"/>
      <c r="BH61" s="3471">
        <f t="shared" ca="1" si="147"/>
        <v>0</v>
      </c>
      <c r="BI61" s="3471">
        <f t="shared" ca="1" si="147"/>
        <v>0</v>
      </c>
      <c r="BJ61" s="3460">
        <f t="shared" ca="1" si="148"/>
        <v>0</v>
      </c>
      <c r="BK61" s="6"/>
      <c r="BL61" s="610">
        <f t="shared" ca="1" si="138"/>
        <v>0</v>
      </c>
      <c r="BM61" s="610"/>
      <c r="BN61" s="413"/>
      <c r="BO61" s="2789">
        <f t="shared" ca="1" si="149"/>
        <v>0</v>
      </c>
      <c r="BP61" s="2790">
        <f t="shared" ca="1" si="149"/>
        <v>0</v>
      </c>
      <c r="BQ61" s="2790">
        <f t="shared" ca="1" si="149"/>
        <v>0</v>
      </c>
      <c r="BR61" s="2790">
        <f t="shared" ca="1" si="149"/>
        <v>0</v>
      </c>
      <c r="BS61" s="2790">
        <f t="shared" ca="1" si="149"/>
        <v>0</v>
      </c>
      <c r="BT61" s="2790">
        <f t="shared" ca="1" si="149"/>
        <v>0</v>
      </c>
      <c r="BU61" s="2790">
        <f t="shared" ca="1" si="149"/>
        <v>0</v>
      </c>
      <c r="BV61" s="2790">
        <f t="shared" ca="1" si="149"/>
        <v>0</v>
      </c>
      <c r="BW61" s="2790">
        <f t="shared" ca="1" si="149"/>
        <v>0</v>
      </c>
      <c r="BX61" s="2790">
        <f t="shared" ca="1" si="149"/>
        <v>0</v>
      </c>
      <c r="BY61" s="2790">
        <f t="shared" ca="1" si="150"/>
        <v>0</v>
      </c>
      <c r="BZ61" s="2790">
        <f t="shared" ca="1" si="150"/>
        <v>0</v>
      </c>
      <c r="CA61" s="2790">
        <f t="shared" ca="1" si="150"/>
        <v>0</v>
      </c>
      <c r="CB61" s="2790">
        <f t="shared" ca="1" si="150"/>
        <v>0</v>
      </c>
      <c r="CC61" s="2790">
        <f t="shared" ca="1" si="150"/>
        <v>0</v>
      </c>
      <c r="CD61" s="2790">
        <f t="shared" ca="1" si="150"/>
        <v>0</v>
      </c>
      <c r="CE61" s="2790">
        <f t="shared" ca="1" si="150"/>
        <v>0</v>
      </c>
      <c r="CF61" s="2790">
        <f t="shared" ca="1" si="150"/>
        <v>0</v>
      </c>
      <c r="CG61" s="2790">
        <f t="shared" ca="1" si="150"/>
        <v>0</v>
      </c>
      <c r="CH61" s="2790">
        <f t="shared" ca="1" si="150"/>
        <v>0</v>
      </c>
      <c r="CI61" s="2790">
        <f t="shared" ca="1" si="151"/>
        <v>0</v>
      </c>
      <c r="CJ61" s="2790">
        <f t="shared" ca="1" si="151"/>
        <v>0</v>
      </c>
      <c r="CK61" s="2790">
        <f t="shared" ca="1" si="151"/>
        <v>0</v>
      </c>
      <c r="CL61" s="2790">
        <f t="shared" ca="1" si="151"/>
        <v>0</v>
      </c>
      <c r="CM61" s="2790">
        <f t="shared" ca="1" si="151"/>
        <v>0</v>
      </c>
      <c r="CN61" s="2790">
        <f t="shared" ca="1" si="151"/>
        <v>0</v>
      </c>
      <c r="CO61" s="2790">
        <f t="shared" ca="1" si="151"/>
        <v>0</v>
      </c>
      <c r="CP61" s="2790">
        <f t="shared" ca="1" si="151"/>
        <v>0</v>
      </c>
      <c r="CQ61" s="2790">
        <f t="shared" ca="1" si="151"/>
        <v>0</v>
      </c>
      <c r="CR61" s="2790">
        <f t="shared" ca="1" si="151"/>
        <v>0</v>
      </c>
      <c r="CS61" s="2790">
        <f t="shared" ca="1" si="152"/>
        <v>0</v>
      </c>
      <c r="CT61" s="2790">
        <f t="shared" ca="1" si="152"/>
        <v>0</v>
      </c>
      <c r="CU61" s="2790">
        <f t="shared" ca="1" si="152"/>
        <v>0</v>
      </c>
      <c r="CV61" s="2790">
        <f t="shared" ca="1" si="152"/>
        <v>0</v>
      </c>
      <c r="CW61" s="2790">
        <f t="shared" ca="1" si="152"/>
        <v>0</v>
      </c>
      <c r="CX61" s="2790">
        <f t="shared" ca="1" si="152"/>
        <v>0</v>
      </c>
      <c r="CY61" s="2790">
        <f t="shared" ca="1" si="152"/>
        <v>0</v>
      </c>
      <c r="CZ61" s="2790">
        <f t="shared" ca="1" si="152"/>
        <v>0</v>
      </c>
      <c r="DA61" s="2790">
        <f t="shared" ca="1" si="152"/>
        <v>0</v>
      </c>
      <c r="DB61" s="2790">
        <f t="shared" ca="1" si="152"/>
        <v>0</v>
      </c>
      <c r="DC61" s="2790">
        <f t="shared" ca="1" si="152"/>
        <v>0</v>
      </c>
      <c r="DD61" s="2790">
        <f t="shared" ca="1" si="152"/>
        <v>0</v>
      </c>
      <c r="DE61" s="2790">
        <f t="shared" ca="1" si="152"/>
        <v>0</v>
      </c>
      <c r="DF61" s="2790">
        <f t="shared" ca="1" si="152"/>
        <v>0</v>
      </c>
      <c r="DH61" s="596">
        <f t="shared" ca="1" si="113"/>
        <v>0</v>
      </c>
    </row>
    <row r="62" spans="1:112" s="6" customFormat="1">
      <c r="A62" s="607"/>
      <c r="B62" s="607"/>
      <c r="C62" s="587" t="s">
        <v>530</v>
      </c>
      <c r="D62" s="611" t="s">
        <v>531</v>
      </c>
      <c r="E62" s="611"/>
      <c r="G62" s="619">
        <f t="shared" ca="1" si="140"/>
        <v>0</v>
      </c>
      <c r="H62" s="619">
        <f t="shared" ca="1" si="140"/>
        <v>0</v>
      </c>
      <c r="I62" s="619">
        <f t="shared" ca="1" si="140"/>
        <v>0</v>
      </c>
      <c r="J62" s="619">
        <f t="shared" ca="1" si="140"/>
        <v>0</v>
      </c>
      <c r="K62" s="619">
        <f t="shared" ca="1" si="140"/>
        <v>0</v>
      </c>
      <c r="L62" s="619">
        <f t="shared" ca="1" si="140"/>
        <v>0</v>
      </c>
      <c r="M62" s="619">
        <f t="shared" ca="1" si="140"/>
        <v>0</v>
      </c>
      <c r="N62" s="619">
        <f t="shared" ca="1" si="140"/>
        <v>0</v>
      </c>
      <c r="O62" s="619">
        <f t="shared" ca="1" si="140"/>
        <v>0</v>
      </c>
      <c r="P62" s="619">
        <f t="shared" ca="1" si="140"/>
        <v>0</v>
      </c>
      <c r="Q62" s="612">
        <f t="shared" ca="1" si="141"/>
        <v>0</v>
      </c>
      <c r="S62" s="620">
        <f t="shared" ca="1" si="142"/>
        <v>0</v>
      </c>
      <c r="T62" s="620">
        <f t="shared" ca="1" si="142"/>
        <v>0</v>
      </c>
      <c r="U62" s="620">
        <f t="shared" ca="1" si="142"/>
        <v>0</v>
      </c>
      <c r="V62" s="620">
        <f t="shared" ca="1" si="142"/>
        <v>0</v>
      </c>
      <c r="W62" s="620">
        <f t="shared" ca="1" si="142"/>
        <v>0</v>
      </c>
      <c r="X62" s="620">
        <f t="shared" ca="1" si="142"/>
        <v>0</v>
      </c>
      <c r="Y62" s="620">
        <f t="shared" ca="1" si="142"/>
        <v>0</v>
      </c>
      <c r="Z62" s="620">
        <f t="shared" ca="1" si="142"/>
        <v>0</v>
      </c>
      <c r="AA62" s="620">
        <f t="shared" ca="1" si="142"/>
        <v>0</v>
      </c>
      <c r="AB62" s="620">
        <f t="shared" ca="1" si="142"/>
        <v>0</v>
      </c>
      <c r="AC62" s="620">
        <f t="shared" ca="1" si="142"/>
        <v>0</v>
      </c>
      <c r="AD62" s="620">
        <f t="shared" ca="1" si="142"/>
        <v>0</v>
      </c>
      <c r="AE62" s="620">
        <f t="shared" ca="1" si="142"/>
        <v>0</v>
      </c>
      <c r="AF62" s="620">
        <f t="shared" ca="1" si="142"/>
        <v>0</v>
      </c>
      <c r="AG62" s="620">
        <f t="shared" ca="1" si="142"/>
        <v>0</v>
      </c>
      <c r="AH62" s="620">
        <f t="shared" ca="1" si="142"/>
        <v>0</v>
      </c>
      <c r="AI62" s="620">
        <f t="shared" ca="1" si="142"/>
        <v>0</v>
      </c>
      <c r="AJ62" s="620">
        <f t="shared" ca="1" si="142"/>
        <v>0</v>
      </c>
      <c r="AK62" s="613">
        <f t="shared" ca="1" si="143"/>
        <v>0</v>
      </c>
      <c r="AM62" s="621">
        <f t="shared" ca="1" si="144"/>
        <v>0</v>
      </c>
      <c r="AN62" s="621">
        <f t="shared" ca="1" si="144"/>
        <v>0</v>
      </c>
      <c r="AO62" s="621">
        <f t="shared" ca="1" si="144"/>
        <v>0</v>
      </c>
      <c r="AP62" s="621">
        <f t="shared" ca="1" si="144"/>
        <v>0</v>
      </c>
      <c r="AQ62" s="621">
        <f t="shared" ca="1" si="144"/>
        <v>0</v>
      </c>
      <c r="AR62" s="621">
        <f t="shared" ca="1" si="144"/>
        <v>0</v>
      </c>
      <c r="AS62" s="621">
        <f t="shared" ca="1" si="144"/>
        <v>0</v>
      </c>
      <c r="AT62" s="621">
        <f t="shared" ca="1" si="144"/>
        <v>0</v>
      </c>
      <c r="AU62" s="621">
        <f t="shared" ca="1" si="144"/>
        <v>0</v>
      </c>
      <c r="AV62" s="621">
        <f t="shared" ca="1" si="144"/>
        <v>0</v>
      </c>
      <c r="AW62" s="621">
        <f t="shared" ca="1" si="144"/>
        <v>0</v>
      </c>
      <c r="AX62" s="621">
        <f t="shared" ca="1" si="144"/>
        <v>0</v>
      </c>
      <c r="AY62" s="621">
        <f t="shared" ca="1" si="144"/>
        <v>0</v>
      </c>
      <c r="AZ62" s="621">
        <f t="shared" ca="1" si="144"/>
        <v>0</v>
      </c>
      <c r="BA62" s="621">
        <f t="shared" ca="1" si="144"/>
        <v>0</v>
      </c>
      <c r="BB62" s="621">
        <f t="shared" ca="1" si="144"/>
        <v>0</v>
      </c>
      <c r="BC62" s="621">
        <f t="shared" ca="1" si="145"/>
        <v>0</v>
      </c>
      <c r="BD62" s="621">
        <f t="shared" ca="1" si="145"/>
        <v>0</v>
      </c>
      <c r="BE62" s="621">
        <f t="shared" ca="1" si="145"/>
        <v>0</v>
      </c>
      <c r="BF62" s="615">
        <f t="shared" ca="1" si="146"/>
        <v>0</v>
      </c>
      <c r="BH62" s="3473">
        <f t="shared" ca="1" si="147"/>
        <v>0</v>
      </c>
      <c r="BI62" s="3473">
        <f t="shared" ca="1" si="147"/>
        <v>0</v>
      </c>
      <c r="BJ62" s="3462">
        <f t="shared" ca="1" si="148"/>
        <v>0</v>
      </c>
      <c r="BL62" s="610">
        <f t="shared" ca="1" si="138"/>
        <v>0</v>
      </c>
      <c r="BM62" s="610"/>
      <c r="BN62" s="413"/>
      <c r="BO62" s="2791">
        <f t="shared" ca="1" si="149"/>
        <v>0</v>
      </c>
      <c r="BP62" s="2792">
        <f t="shared" ca="1" si="149"/>
        <v>0</v>
      </c>
      <c r="BQ62" s="2792">
        <f t="shared" ca="1" si="149"/>
        <v>0</v>
      </c>
      <c r="BR62" s="2792">
        <f t="shared" ca="1" si="149"/>
        <v>0</v>
      </c>
      <c r="BS62" s="2792">
        <f t="shared" ca="1" si="149"/>
        <v>0</v>
      </c>
      <c r="BT62" s="2792">
        <f t="shared" ca="1" si="149"/>
        <v>0</v>
      </c>
      <c r="BU62" s="2792">
        <f t="shared" ca="1" si="149"/>
        <v>0</v>
      </c>
      <c r="BV62" s="2792">
        <f t="shared" ca="1" si="149"/>
        <v>0</v>
      </c>
      <c r="BW62" s="2792">
        <f t="shared" ca="1" si="149"/>
        <v>0</v>
      </c>
      <c r="BX62" s="2792">
        <f t="shared" ca="1" si="149"/>
        <v>0</v>
      </c>
      <c r="BY62" s="2792">
        <f t="shared" ca="1" si="150"/>
        <v>0</v>
      </c>
      <c r="BZ62" s="2792">
        <f t="shared" ca="1" si="150"/>
        <v>0</v>
      </c>
      <c r="CA62" s="2792">
        <f t="shared" ca="1" si="150"/>
        <v>0</v>
      </c>
      <c r="CB62" s="2792">
        <f t="shared" ca="1" si="150"/>
        <v>0</v>
      </c>
      <c r="CC62" s="2792">
        <f t="shared" ca="1" si="150"/>
        <v>0</v>
      </c>
      <c r="CD62" s="2792">
        <f t="shared" ca="1" si="150"/>
        <v>0</v>
      </c>
      <c r="CE62" s="2792">
        <f t="shared" ca="1" si="150"/>
        <v>0</v>
      </c>
      <c r="CF62" s="2792">
        <f t="shared" ca="1" si="150"/>
        <v>0</v>
      </c>
      <c r="CG62" s="2792">
        <f t="shared" ca="1" si="150"/>
        <v>0</v>
      </c>
      <c r="CH62" s="2792">
        <f t="shared" ca="1" si="150"/>
        <v>0</v>
      </c>
      <c r="CI62" s="2792">
        <f t="shared" ca="1" si="151"/>
        <v>0</v>
      </c>
      <c r="CJ62" s="2792">
        <f t="shared" ca="1" si="151"/>
        <v>0</v>
      </c>
      <c r="CK62" s="2792">
        <f t="shared" ca="1" si="151"/>
        <v>0</v>
      </c>
      <c r="CL62" s="2792">
        <f t="shared" ca="1" si="151"/>
        <v>0</v>
      </c>
      <c r="CM62" s="2792">
        <f t="shared" ca="1" si="151"/>
        <v>0</v>
      </c>
      <c r="CN62" s="2792">
        <f t="shared" ca="1" si="151"/>
        <v>0</v>
      </c>
      <c r="CO62" s="2792">
        <f t="shared" ca="1" si="151"/>
        <v>0</v>
      </c>
      <c r="CP62" s="2792">
        <f t="shared" ca="1" si="151"/>
        <v>0</v>
      </c>
      <c r="CQ62" s="2792">
        <f t="shared" ca="1" si="151"/>
        <v>0</v>
      </c>
      <c r="CR62" s="2792">
        <f t="shared" ca="1" si="151"/>
        <v>0</v>
      </c>
      <c r="CS62" s="2792">
        <f t="shared" ca="1" si="152"/>
        <v>0</v>
      </c>
      <c r="CT62" s="2792">
        <f t="shared" ca="1" si="152"/>
        <v>0</v>
      </c>
      <c r="CU62" s="2792">
        <f t="shared" ca="1" si="152"/>
        <v>0</v>
      </c>
      <c r="CV62" s="2792">
        <f t="shared" ca="1" si="152"/>
        <v>0</v>
      </c>
      <c r="CW62" s="2792">
        <f t="shared" ca="1" si="152"/>
        <v>0</v>
      </c>
      <c r="CX62" s="2792">
        <f t="shared" ca="1" si="152"/>
        <v>0</v>
      </c>
      <c r="CY62" s="2792">
        <f t="shared" ca="1" si="152"/>
        <v>0</v>
      </c>
      <c r="CZ62" s="2792">
        <f t="shared" ca="1" si="152"/>
        <v>0</v>
      </c>
      <c r="DA62" s="2792">
        <f t="shared" ca="1" si="152"/>
        <v>0</v>
      </c>
      <c r="DB62" s="2792">
        <f t="shared" ca="1" si="152"/>
        <v>0</v>
      </c>
      <c r="DC62" s="2792">
        <f t="shared" ca="1" si="152"/>
        <v>0</v>
      </c>
      <c r="DD62" s="2792">
        <f t="shared" ca="1" si="152"/>
        <v>0</v>
      </c>
      <c r="DE62" s="2792">
        <f t="shared" ca="1" si="152"/>
        <v>0</v>
      </c>
      <c r="DF62" s="2792">
        <f t="shared" ca="1" si="152"/>
        <v>0</v>
      </c>
      <c r="DH62" s="596">
        <f t="shared" ca="1" si="113"/>
        <v>0</v>
      </c>
    </row>
    <row r="63" spans="1:112" s="6" customFormat="1" ht="15.75">
      <c r="A63" s="4"/>
      <c r="B63" s="3"/>
      <c r="C63" s="616" t="s">
        <v>532</v>
      </c>
      <c r="D63" s="617" t="s">
        <v>533</v>
      </c>
      <c r="E63" s="206"/>
      <c r="G63" s="579">
        <f t="shared" ref="G63:P63" ca="1" si="153">SUM(G57:G62)</f>
        <v>0</v>
      </c>
      <c r="H63" s="579">
        <f t="shared" ca="1" si="153"/>
        <v>0</v>
      </c>
      <c r="I63" s="579">
        <f t="shared" ca="1" si="153"/>
        <v>0</v>
      </c>
      <c r="J63" s="579">
        <f t="shared" ca="1" si="153"/>
        <v>0</v>
      </c>
      <c r="K63" s="579">
        <f t="shared" ca="1" si="153"/>
        <v>0</v>
      </c>
      <c r="L63" s="579">
        <f t="shared" ca="1" si="153"/>
        <v>0</v>
      </c>
      <c r="M63" s="579">
        <f t="shared" ca="1" si="153"/>
        <v>0</v>
      </c>
      <c r="N63" s="579">
        <f t="shared" ca="1" si="153"/>
        <v>0</v>
      </c>
      <c r="O63" s="579">
        <f t="shared" ca="1" si="153"/>
        <v>0</v>
      </c>
      <c r="P63" s="579">
        <f t="shared" ca="1" si="153"/>
        <v>0</v>
      </c>
      <c r="Q63" s="618">
        <f t="shared" ca="1" si="141"/>
        <v>0</v>
      </c>
      <c r="S63" s="581">
        <f t="shared" ref="S63:AJ63" ca="1" si="154">SUM(S57:S62)</f>
        <v>0</v>
      </c>
      <c r="T63" s="581">
        <f t="shared" ca="1" si="154"/>
        <v>54.88313706000001</v>
      </c>
      <c r="U63" s="581">
        <f t="shared" ca="1" si="154"/>
        <v>0</v>
      </c>
      <c r="V63" s="581">
        <f t="shared" ca="1" si="154"/>
        <v>0</v>
      </c>
      <c r="W63" s="581">
        <f t="shared" ca="1" si="154"/>
        <v>0</v>
      </c>
      <c r="X63" s="581">
        <f t="shared" ca="1" si="154"/>
        <v>0</v>
      </c>
      <c r="Y63" s="581">
        <f t="shared" ca="1" si="154"/>
        <v>0</v>
      </c>
      <c r="Z63" s="581">
        <f t="shared" ca="1" si="154"/>
        <v>0</v>
      </c>
      <c r="AA63" s="581">
        <f t="shared" ca="1" si="154"/>
        <v>0</v>
      </c>
      <c r="AB63" s="581">
        <f t="shared" ca="1" si="154"/>
        <v>0</v>
      </c>
      <c r="AC63" s="581">
        <f t="shared" ca="1" si="154"/>
        <v>0</v>
      </c>
      <c r="AD63" s="581">
        <f t="shared" ca="1" si="154"/>
        <v>0</v>
      </c>
      <c r="AE63" s="581">
        <f ca="1">SUM(AE57:AE62)</f>
        <v>0</v>
      </c>
      <c r="AF63" s="581">
        <f t="shared" ca="1" si="154"/>
        <v>0</v>
      </c>
      <c r="AG63" s="581">
        <f t="shared" ca="1" si="154"/>
        <v>0</v>
      </c>
      <c r="AH63" s="581">
        <f ca="1">SUM(AH57:AH62)</f>
        <v>0</v>
      </c>
      <c r="AI63" s="581">
        <f t="shared" ca="1" si="154"/>
        <v>0</v>
      </c>
      <c r="AJ63" s="581">
        <f t="shared" ca="1" si="154"/>
        <v>0</v>
      </c>
      <c r="AK63" s="581">
        <f t="shared" ca="1" si="143"/>
        <v>54.88313706000001</v>
      </c>
      <c r="AM63" s="582">
        <f t="shared" ref="AM63:BE63" ca="1" si="155">SUM(AM57:AM62)</f>
        <v>0</v>
      </c>
      <c r="AN63" s="582">
        <f t="shared" ca="1" si="155"/>
        <v>0</v>
      </c>
      <c r="AO63" s="582">
        <f t="shared" ca="1" si="155"/>
        <v>0</v>
      </c>
      <c r="AP63" s="582">
        <f t="shared" ca="1" si="155"/>
        <v>0</v>
      </c>
      <c r="AQ63" s="582">
        <f t="shared" ca="1" si="155"/>
        <v>0</v>
      </c>
      <c r="AR63" s="582">
        <f t="shared" ca="1" si="155"/>
        <v>0</v>
      </c>
      <c r="AS63" s="582">
        <f t="shared" ca="1" si="155"/>
        <v>0</v>
      </c>
      <c r="AT63" s="582">
        <f t="shared" ca="1" si="155"/>
        <v>0</v>
      </c>
      <c r="AU63" s="582">
        <f t="shared" ca="1" si="155"/>
        <v>0</v>
      </c>
      <c r="AV63" s="582">
        <f t="shared" ca="1" si="155"/>
        <v>0</v>
      </c>
      <c r="AW63" s="582">
        <f t="shared" ca="1" si="155"/>
        <v>0</v>
      </c>
      <c r="AX63" s="582">
        <f t="shared" ca="1" si="155"/>
        <v>-45.320658300000005</v>
      </c>
      <c r="AY63" s="582">
        <f t="shared" ca="1" si="155"/>
        <v>-2.5246080000000011</v>
      </c>
      <c r="AZ63" s="582">
        <f t="shared" ca="1" si="155"/>
        <v>-6.2484048000000012</v>
      </c>
      <c r="BA63" s="582">
        <f t="shared" ca="1" si="155"/>
        <v>0</v>
      </c>
      <c r="BB63" s="582">
        <f t="shared" ca="1" si="155"/>
        <v>-0.78946596000000002</v>
      </c>
      <c r="BC63" s="582">
        <f t="shared" ca="1" si="155"/>
        <v>0</v>
      </c>
      <c r="BD63" s="582">
        <f t="shared" ca="1" si="155"/>
        <v>0</v>
      </c>
      <c r="BE63" s="582">
        <f t="shared" ca="1" si="155"/>
        <v>0</v>
      </c>
      <c r="BF63" s="582">
        <f t="shared" ca="1" si="146"/>
        <v>-54.88313706000001</v>
      </c>
      <c r="BH63" s="3463">
        <f ca="1">SUM(BH57:BH62)</f>
        <v>0</v>
      </c>
      <c r="BI63" s="3463">
        <f ca="1">SUM(BI57:BI62)</f>
        <v>0</v>
      </c>
      <c r="BJ63" s="3463">
        <f t="shared" ca="1" si="148"/>
        <v>0</v>
      </c>
      <c r="BL63" s="3477">
        <f t="shared" ca="1" si="138"/>
        <v>0</v>
      </c>
      <c r="BM63" s="584"/>
      <c r="BN63" s="413"/>
      <c r="BO63" s="2790">
        <f t="shared" ref="BO63:DF63" ca="1" si="156">SUM(BO57:BO62)</f>
        <v>0</v>
      </c>
      <c r="BP63" s="2790">
        <f t="shared" ca="1" si="156"/>
        <v>0</v>
      </c>
      <c r="BQ63" s="2790">
        <f t="shared" ca="1" si="156"/>
        <v>0</v>
      </c>
      <c r="BR63" s="2790">
        <f t="shared" ca="1" si="156"/>
        <v>0</v>
      </c>
      <c r="BS63" s="2790">
        <f t="shared" ca="1" si="156"/>
        <v>0</v>
      </c>
      <c r="BT63" s="2790">
        <f t="shared" ca="1" si="156"/>
        <v>0</v>
      </c>
      <c r="BU63" s="2790">
        <f t="shared" ca="1" si="156"/>
        <v>0</v>
      </c>
      <c r="BV63" s="2790">
        <f t="shared" ca="1" si="156"/>
        <v>0</v>
      </c>
      <c r="BW63" s="2790">
        <f t="shared" ca="1" si="156"/>
        <v>0</v>
      </c>
      <c r="BX63" s="2790">
        <f t="shared" ca="1" si="156"/>
        <v>0</v>
      </c>
      <c r="BY63" s="2790">
        <f t="shared" ca="1" si="156"/>
        <v>0</v>
      </c>
      <c r="BZ63" s="2790">
        <f t="shared" ca="1" si="156"/>
        <v>0</v>
      </c>
      <c r="CA63" s="2790">
        <f t="shared" ca="1" si="156"/>
        <v>0</v>
      </c>
      <c r="CB63" s="2790">
        <f t="shared" ca="1" si="156"/>
        <v>0</v>
      </c>
      <c r="CC63" s="2790">
        <f t="shared" ca="1" si="156"/>
        <v>0</v>
      </c>
      <c r="CD63" s="2790">
        <f t="shared" ca="1" si="156"/>
        <v>0</v>
      </c>
      <c r="CE63" s="2790">
        <f t="shared" ca="1" si="156"/>
        <v>0</v>
      </c>
      <c r="CF63" s="2790">
        <f t="shared" ca="1" si="156"/>
        <v>0</v>
      </c>
      <c r="CG63" s="2790">
        <f t="shared" ca="1" si="156"/>
        <v>0</v>
      </c>
      <c r="CH63" s="2790">
        <f t="shared" ca="1" si="156"/>
        <v>0</v>
      </c>
      <c r="CI63" s="2790">
        <f t="shared" ca="1" si="156"/>
        <v>0</v>
      </c>
      <c r="CJ63" s="2790">
        <f t="shared" ca="1" si="156"/>
        <v>0</v>
      </c>
      <c r="CK63" s="2790">
        <f t="shared" ca="1" si="156"/>
        <v>0</v>
      </c>
      <c r="CL63" s="2790">
        <f t="shared" ca="1" si="156"/>
        <v>0</v>
      </c>
      <c r="CM63" s="2790">
        <f t="shared" ca="1" si="156"/>
        <v>0</v>
      </c>
      <c r="CN63" s="2790">
        <f t="shared" ca="1" si="156"/>
        <v>0</v>
      </c>
      <c r="CO63" s="2790">
        <f t="shared" ca="1" si="156"/>
        <v>0</v>
      </c>
      <c r="CP63" s="2790">
        <f t="shared" ca="1" si="156"/>
        <v>0</v>
      </c>
      <c r="CQ63" s="2790">
        <f t="shared" ca="1" si="156"/>
        <v>0</v>
      </c>
      <c r="CR63" s="2790">
        <f t="shared" ca="1" si="156"/>
        <v>0</v>
      </c>
      <c r="CS63" s="2790">
        <f t="shared" ca="1" si="156"/>
        <v>0</v>
      </c>
      <c r="CT63" s="2790">
        <f t="shared" ca="1" si="156"/>
        <v>0</v>
      </c>
      <c r="CU63" s="2790">
        <f t="shared" ca="1" si="156"/>
        <v>0</v>
      </c>
      <c r="CV63" s="2790">
        <f t="shared" ca="1" si="156"/>
        <v>0</v>
      </c>
      <c r="CW63" s="2790">
        <f t="shared" ca="1" si="156"/>
        <v>0</v>
      </c>
      <c r="CX63" s="2790">
        <f t="shared" ca="1" si="156"/>
        <v>0</v>
      </c>
      <c r="CY63" s="2790">
        <f t="shared" ca="1" si="156"/>
        <v>0</v>
      </c>
      <c r="CZ63" s="2790">
        <f t="shared" ca="1" si="156"/>
        <v>0</v>
      </c>
      <c r="DA63" s="2790">
        <f t="shared" ca="1" si="156"/>
        <v>0</v>
      </c>
      <c r="DB63" s="2790">
        <f t="shared" ca="1" si="156"/>
        <v>0</v>
      </c>
      <c r="DC63" s="2790">
        <f t="shared" ca="1" si="156"/>
        <v>0</v>
      </c>
      <c r="DD63" s="2790">
        <f t="shared" ca="1" si="156"/>
        <v>0</v>
      </c>
      <c r="DE63" s="2790">
        <f t="shared" ca="1" si="156"/>
        <v>0</v>
      </c>
      <c r="DF63" s="2790">
        <f t="shared" ca="1" si="156"/>
        <v>0</v>
      </c>
      <c r="DH63" s="596">
        <f t="shared" ca="1" si="113"/>
        <v>0</v>
      </c>
    </row>
    <row r="64" spans="1:112" s="6" customFormat="1">
      <c r="A64" s="4"/>
      <c r="B64" s="4"/>
      <c r="C64" s="622"/>
      <c r="D64" s="206"/>
      <c r="E64" s="206"/>
      <c r="G64" s="579"/>
      <c r="H64" s="579"/>
      <c r="I64" s="579"/>
      <c r="J64" s="579"/>
      <c r="K64" s="638"/>
      <c r="L64" s="579"/>
      <c r="M64" s="579"/>
      <c r="N64" s="579"/>
      <c r="O64" s="579"/>
      <c r="P64" s="579"/>
      <c r="Q64" s="579"/>
      <c r="S64" s="581"/>
      <c r="T64" s="581"/>
      <c r="U64" s="581"/>
      <c r="V64" s="581"/>
      <c r="W64" s="581"/>
      <c r="X64" s="581"/>
      <c r="Y64" s="581"/>
      <c r="Z64" s="581"/>
      <c r="AA64" s="581"/>
      <c r="AB64" s="581"/>
      <c r="AC64" s="581"/>
      <c r="AD64" s="581"/>
      <c r="AE64" s="581"/>
      <c r="AF64" s="581"/>
      <c r="AG64" s="581"/>
      <c r="AH64" s="581"/>
      <c r="AI64" s="581"/>
      <c r="AJ64" s="581"/>
      <c r="AK64" s="581"/>
      <c r="AM64" s="582"/>
      <c r="AN64" s="582"/>
      <c r="AO64" s="582"/>
      <c r="AP64" s="582"/>
      <c r="AQ64" s="582"/>
      <c r="AR64" s="582"/>
      <c r="AS64" s="582"/>
      <c r="AT64" s="582"/>
      <c r="AU64" s="582"/>
      <c r="AV64" s="582"/>
      <c r="AW64" s="582"/>
      <c r="AX64" s="582"/>
      <c r="AY64" s="582"/>
      <c r="AZ64" s="582"/>
      <c r="BA64" s="582"/>
      <c r="BB64" s="582"/>
      <c r="BC64" s="582"/>
      <c r="BD64" s="582"/>
      <c r="BE64" s="582"/>
      <c r="BF64" s="582"/>
      <c r="BH64" s="3463"/>
      <c r="BI64" s="3463"/>
      <c r="BJ64" s="3463"/>
      <c r="BL64" s="3477"/>
      <c r="BM64" s="584"/>
      <c r="BN64" s="4"/>
      <c r="BO64" s="2790"/>
      <c r="BP64" s="2790"/>
      <c r="BQ64" s="2790"/>
      <c r="BR64" s="2790"/>
      <c r="BS64" s="2790"/>
      <c r="BT64" s="2790"/>
      <c r="BU64" s="2790"/>
      <c r="BV64" s="2790"/>
      <c r="BW64" s="2790"/>
      <c r="BX64" s="2790"/>
      <c r="BY64" s="2790"/>
      <c r="BZ64" s="2790"/>
      <c r="CA64" s="2790"/>
      <c r="CB64" s="2790"/>
      <c r="CC64" s="2790"/>
      <c r="CD64" s="2790"/>
      <c r="CE64" s="2790"/>
      <c r="CF64" s="2790"/>
      <c r="CG64" s="2790"/>
      <c r="CH64" s="2790"/>
      <c r="CI64" s="2790"/>
      <c r="CJ64" s="2790"/>
      <c r="CK64" s="2790"/>
      <c r="CL64" s="2790"/>
      <c r="CM64" s="2790"/>
      <c r="CN64" s="2790"/>
      <c r="CO64" s="2790"/>
      <c r="CP64" s="2790"/>
      <c r="CQ64" s="2790"/>
      <c r="CR64" s="2790"/>
      <c r="CS64" s="2790"/>
      <c r="CT64" s="2790"/>
      <c r="CU64" s="2790"/>
      <c r="CV64" s="2790"/>
      <c r="CW64" s="2790"/>
      <c r="CX64" s="2790"/>
      <c r="CY64" s="2790"/>
      <c r="CZ64" s="2790"/>
      <c r="DA64" s="2790"/>
      <c r="DB64" s="2790"/>
      <c r="DC64" s="2790"/>
      <c r="DD64" s="2790"/>
      <c r="DE64" s="2790"/>
      <c r="DF64" s="2790"/>
      <c r="DH64" s="596">
        <f t="shared" si="113"/>
        <v>0</v>
      </c>
    </row>
    <row r="65" spans="1:112" s="607" customFormat="1" ht="11.25">
      <c r="C65" s="587" t="s">
        <v>534</v>
      </c>
      <c r="D65" s="588" t="s">
        <v>535</v>
      </c>
      <c r="E65" s="588"/>
      <c r="G65" s="657">
        <f t="shared" ref="G65:P67" ca="1" si="157">IFERROR(INDEX(INDIRECT($C65&amp;".Outputs["&amp;this.Year&amp;"]"), MATCH(G$5, INDIRECT($C65&amp;".Outputs[Vector]"), 0)), 0)</f>
        <v>0</v>
      </c>
      <c r="H65" s="657">
        <f t="shared" ca="1" si="157"/>
        <v>0</v>
      </c>
      <c r="I65" s="657">
        <f t="shared" ca="1" si="157"/>
        <v>0</v>
      </c>
      <c r="J65" s="657">
        <f t="shared" ca="1" si="157"/>
        <v>0</v>
      </c>
      <c r="K65" s="658">
        <f t="shared" ca="1" si="157"/>
        <v>0</v>
      </c>
      <c r="L65" s="657">
        <f t="shared" ca="1" si="157"/>
        <v>0</v>
      </c>
      <c r="M65" s="657">
        <f t="shared" ca="1" si="157"/>
        <v>0</v>
      </c>
      <c r="N65" s="657">
        <f t="shared" ca="1" si="157"/>
        <v>0</v>
      </c>
      <c r="O65" s="657">
        <f t="shared" ca="1" si="157"/>
        <v>0</v>
      </c>
      <c r="P65" s="657">
        <f t="shared" ca="1" si="157"/>
        <v>0</v>
      </c>
      <c r="Q65" s="659">
        <f ca="1">SUM(G65:P65)</f>
        <v>0</v>
      </c>
      <c r="S65" s="660">
        <f t="shared" ref="S65:AJ67" ca="1" si="158">IFERROR(INDEX(INDIRECT($C65&amp;".Outputs["&amp;this.Year&amp;"]"), MATCH(S$5, INDIRECT($C65&amp;".Outputs[Vector]"), 0)), 0)</f>
        <v>0</v>
      </c>
      <c r="T65" s="660">
        <f t="shared" ca="1" si="158"/>
        <v>4.2515099999999997</v>
      </c>
      <c r="U65" s="660">
        <f t="shared" ca="1" si="158"/>
        <v>0</v>
      </c>
      <c r="V65" s="660">
        <f t="shared" ca="1" si="158"/>
        <v>0</v>
      </c>
      <c r="W65" s="660">
        <f t="shared" ca="1" si="158"/>
        <v>0</v>
      </c>
      <c r="X65" s="660">
        <f t="shared" ca="1" si="158"/>
        <v>0</v>
      </c>
      <c r="Y65" s="660">
        <f t="shared" ca="1" si="158"/>
        <v>0</v>
      </c>
      <c r="Z65" s="660">
        <f t="shared" ca="1" si="158"/>
        <v>0</v>
      </c>
      <c r="AA65" s="660">
        <f t="shared" ca="1" si="158"/>
        <v>0</v>
      </c>
      <c r="AB65" s="660">
        <f t="shared" ca="1" si="158"/>
        <v>0</v>
      </c>
      <c r="AC65" s="660">
        <f t="shared" ca="1" si="158"/>
        <v>0</v>
      </c>
      <c r="AD65" s="660">
        <f t="shared" ca="1" si="158"/>
        <v>0</v>
      </c>
      <c r="AE65" s="660">
        <f t="shared" ca="1" si="158"/>
        <v>0</v>
      </c>
      <c r="AF65" s="660">
        <f t="shared" ca="1" si="158"/>
        <v>0</v>
      </c>
      <c r="AG65" s="660">
        <f t="shared" ca="1" si="158"/>
        <v>0</v>
      </c>
      <c r="AH65" s="660">
        <f t="shared" ca="1" si="158"/>
        <v>0</v>
      </c>
      <c r="AI65" s="660">
        <f t="shared" ca="1" si="158"/>
        <v>0</v>
      </c>
      <c r="AJ65" s="660">
        <f t="shared" ca="1" si="158"/>
        <v>0</v>
      </c>
      <c r="AK65" s="661">
        <f ca="1">SUM(S65:AJ65)</f>
        <v>4.2515099999999997</v>
      </c>
      <c r="AM65" s="662">
        <f t="shared" ref="AM65:BB67" ca="1" si="159">IFERROR(INDEX(INDIRECT($C65&amp;".Outputs["&amp;this.Year&amp;"]"), MATCH(AM$5, INDIRECT($C65&amp;".Outputs[Vector]"), 0)), 0)</f>
        <v>0</v>
      </c>
      <c r="AN65" s="662">
        <f t="shared" ca="1" si="159"/>
        <v>0</v>
      </c>
      <c r="AO65" s="662">
        <f t="shared" ca="1" si="159"/>
        <v>0</v>
      </c>
      <c r="AP65" s="662">
        <f t="shared" ca="1" si="159"/>
        <v>0</v>
      </c>
      <c r="AQ65" s="662">
        <f t="shared" ca="1" si="159"/>
        <v>0</v>
      </c>
      <c r="AR65" s="662">
        <f t="shared" ca="1" si="159"/>
        <v>0</v>
      </c>
      <c r="AS65" s="662">
        <f t="shared" ca="1" si="159"/>
        <v>0</v>
      </c>
      <c r="AT65" s="662">
        <f t="shared" ca="1" si="159"/>
        <v>0</v>
      </c>
      <c r="AU65" s="662">
        <f t="shared" ca="1" si="159"/>
        <v>0</v>
      </c>
      <c r="AV65" s="662">
        <f t="shared" ca="1" si="159"/>
        <v>0</v>
      </c>
      <c r="AW65" s="662">
        <f t="shared" ca="1" si="159"/>
        <v>-4.2515099999999997</v>
      </c>
      <c r="AX65" s="662">
        <f t="shared" ca="1" si="159"/>
        <v>0</v>
      </c>
      <c r="AY65" s="662">
        <f t="shared" ca="1" si="159"/>
        <v>0</v>
      </c>
      <c r="AZ65" s="662">
        <f t="shared" ca="1" si="159"/>
        <v>0</v>
      </c>
      <c r="BA65" s="662">
        <f t="shared" ca="1" si="159"/>
        <v>0</v>
      </c>
      <c r="BB65" s="662">
        <f t="shared" ca="1" si="159"/>
        <v>0</v>
      </c>
      <c r="BC65" s="662">
        <f t="shared" ref="BC65:BE67" ca="1" si="160">IFERROR(INDEX(INDIRECT($C65&amp;".Outputs["&amp;this.Year&amp;"]"), MATCH(BC$5, INDIRECT($C65&amp;".Outputs[Vector]"), 0)), 0)</f>
        <v>0</v>
      </c>
      <c r="BD65" s="662">
        <f t="shared" ca="1" si="160"/>
        <v>0</v>
      </c>
      <c r="BE65" s="662">
        <f t="shared" ca="1" si="160"/>
        <v>0</v>
      </c>
      <c r="BF65" s="609">
        <f ca="1">SUM(AM65:BE65)</f>
        <v>-4.2515099999999997</v>
      </c>
      <c r="BH65" s="663">
        <f t="shared" ref="BH65:BI67" ca="1" si="161">IFERROR(INDEX(INDIRECT($C65&amp;".Outputs["&amp;this.Year&amp;"]"), MATCH(BH$5, INDIRECT($C65&amp;".Outputs[Vector]"), 0)), 0)</f>
        <v>0</v>
      </c>
      <c r="BI65" s="663">
        <f t="shared" ca="1" si="161"/>
        <v>0</v>
      </c>
      <c r="BJ65" s="664">
        <f ca="1">SUM(BH65:BI65)</f>
        <v>0</v>
      </c>
      <c r="BL65" s="610">
        <f t="shared" ref="BL65:BL72" ca="1" si="162">Q65+AK65+BF65+BJ65</f>
        <v>0</v>
      </c>
      <c r="BM65" s="610"/>
      <c r="BO65" s="665">
        <f t="shared" ref="BO65:DF67" ca="1" si="163">IFERROR(SUMIFS(INDIRECT($C65&amp;".Emissions["&amp;this.Year&amp;"]"), INDIRECT($C65&amp;".Emissions[GHG]"), BO$6, INDIRECT($C65&amp;".Emissions[IPCC Sector]"), BO$5),0)</f>
        <v>0</v>
      </c>
      <c r="BP65" s="665">
        <f t="shared" ca="1" si="163"/>
        <v>0</v>
      </c>
      <c r="BQ65" s="665">
        <f t="shared" ca="1" si="163"/>
        <v>0</v>
      </c>
      <c r="BR65" s="665">
        <f t="shared" ca="1" si="163"/>
        <v>0</v>
      </c>
      <c r="BS65" s="665">
        <f t="shared" ca="1" si="163"/>
        <v>0</v>
      </c>
      <c r="BT65" s="665">
        <f t="shared" ca="1" si="163"/>
        <v>0</v>
      </c>
      <c r="BU65" s="665">
        <f t="shared" ca="1" si="163"/>
        <v>0</v>
      </c>
      <c r="BV65" s="665">
        <f t="shared" ca="1" si="163"/>
        <v>0</v>
      </c>
      <c r="BW65" s="665">
        <f t="shared" ca="1" si="163"/>
        <v>0</v>
      </c>
      <c r="BX65" s="665">
        <f t="shared" ca="1" si="163"/>
        <v>0</v>
      </c>
      <c r="BY65" s="665">
        <f t="shared" ca="1" si="163"/>
        <v>0</v>
      </c>
      <c r="BZ65" s="665">
        <f t="shared" ca="1" si="163"/>
        <v>0</v>
      </c>
      <c r="CA65" s="665">
        <f t="shared" ca="1" si="163"/>
        <v>0</v>
      </c>
      <c r="CB65" s="665">
        <f t="shared" ca="1" si="163"/>
        <v>0</v>
      </c>
      <c r="CC65" s="665">
        <f t="shared" ca="1" si="163"/>
        <v>0</v>
      </c>
      <c r="CD65" s="665">
        <f t="shared" ca="1" si="163"/>
        <v>0</v>
      </c>
      <c r="CE65" s="665">
        <f t="shared" ca="1" si="163"/>
        <v>0</v>
      </c>
      <c r="CF65" s="665">
        <f t="shared" ca="1" si="163"/>
        <v>0</v>
      </c>
      <c r="CG65" s="665">
        <f t="shared" ca="1" si="163"/>
        <v>0</v>
      </c>
      <c r="CH65" s="665">
        <f t="shared" ca="1" si="163"/>
        <v>0</v>
      </c>
      <c r="CI65" s="665">
        <f t="shared" ca="1" si="163"/>
        <v>0</v>
      </c>
      <c r="CJ65" s="665">
        <f t="shared" ca="1" si="163"/>
        <v>0</v>
      </c>
      <c r="CK65" s="665">
        <f t="shared" ca="1" si="163"/>
        <v>0</v>
      </c>
      <c r="CL65" s="665">
        <f t="shared" ca="1" si="163"/>
        <v>0</v>
      </c>
      <c r="CM65" s="665">
        <f t="shared" ca="1" si="163"/>
        <v>0</v>
      </c>
      <c r="CN65" s="665">
        <f t="shared" ca="1" si="163"/>
        <v>0</v>
      </c>
      <c r="CO65" s="665">
        <f t="shared" ca="1" si="163"/>
        <v>0</v>
      </c>
      <c r="CP65" s="665">
        <f t="shared" ca="1" si="163"/>
        <v>0</v>
      </c>
      <c r="CQ65" s="665">
        <f t="shared" ca="1" si="163"/>
        <v>0</v>
      </c>
      <c r="CR65" s="665">
        <f t="shared" ca="1" si="163"/>
        <v>0</v>
      </c>
      <c r="CS65" s="665">
        <f t="shared" ca="1" si="163"/>
        <v>0</v>
      </c>
      <c r="CT65" s="665">
        <f t="shared" ca="1" si="163"/>
        <v>0</v>
      </c>
      <c r="CU65" s="665">
        <f t="shared" ca="1" si="163"/>
        <v>0</v>
      </c>
      <c r="CV65" s="665">
        <f t="shared" ca="1" si="163"/>
        <v>0</v>
      </c>
      <c r="CW65" s="665">
        <f t="shared" ca="1" si="163"/>
        <v>0</v>
      </c>
      <c r="CX65" s="665">
        <f t="shared" ca="1" si="163"/>
        <v>0</v>
      </c>
      <c r="CY65" s="665">
        <f t="shared" ca="1" si="163"/>
        <v>0</v>
      </c>
      <c r="CZ65" s="665">
        <f t="shared" ca="1" si="163"/>
        <v>0</v>
      </c>
      <c r="DA65" s="665">
        <f t="shared" ca="1" si="163"/>
        <v>0</v>
      </c>
      <c r="DB65" s="665">
        <f t="shared" ca="1" si="163"/>
        <v>0</v>
      </c>
      <c r="DC65" s="665">
        <f t="shared" ca="1" si="163"/>
        <v>0</v>
      </c>
      <c r="DD65" s="665">
        <f t="shared" ca="1" si="163"/>
        <v>0</v>
      </c>
      <c r="DE65" s="665">
        <f t="shared" ca="1" si="163"/>
        <v>0</v>
      </c>
      <c r="DF65" s="665">
        <f t="shared" ca="1" si="163"/>
        <v>0</v>
      </c>
      <c r="DH65" s="666">
        <f t="shared" ca="1" si="113"/>
        <v>0</v>
      </c>
    </row>
    <row r="66" spans="1:112" s="607" customFormat="1" ht="11.25">
      <c r="C66" s="587" t="s">
        <v>25</v>
      </c>
      <c r="D66" s="588" t="s">
        <v>26</v>
      </c>
      <c r="E66" s="588"/>
      <c r="G66" s="657">
        <f t="shared" ca="1" si="157"/>
        <v>0</v>
      </c>
      <c r="H66" s="657">
        <f t="shared" ca="1" si="157"/>
        <v>0.29936023735174733</v>
      </c>
      <c r="I66" s="657">
        <f t="shared" ca="1" si="157"/>
        <v>0</v>
      </c>
      <c r="J66" s="657">
        <f t="shared" ca="1" si="157"/>
        <v>0</v>
      </c>
      <c r="K66" s="658">
        <f t="shared" ca="1" si="157"/>
        <v>0</v>
      </c>
      <c r="L66" s="657">
        <f t="shared" ca="1" si="157"/>
        <v>0</v>
      </c>
      <c r="M66" s="657">
        <f t="shared" ca="1" si="157"/>
        <v>0</v>
      </c>
      <c r="N66" s="657">
        <f t="shared" ca="1" si="157"/>
        <v>0</v>
      </c>
      <c r="O66" s="657">
        <f t="shared" ca="1" si="157"/>
        <v>0</v>
      </c>
      <c r="P66" s="657">
        <f t="shared" ca="1" si="157"/>
        <v>0</v>
      </c>
      <c r="Q66" s="659">
        <f ca="1">SUM(G66:P66)</f>
        <v>0.29936023735174733</v>
      </c>
      <c r="S66" s="660">
        <f t="shared" ca="1" si="158"/>
        <v>-0.29936023735174733</v>
      </c>
      <c r="T66" s="660">
        <f t="shared" ca="1" si="158"/>
        <v>0</v>
      </c>
      <c r="U66" s="660">
        <f t="shared" ca="1" si="158"/>
        <v>0</v>
      </c>
      <c r="V66" s="660">
        <f t="shared" ca="1" si="158"/>
        <v>0</v>
      </c>
      <c r="W66" s="660">
        <f t="shared" ca="1" si="158"/>
        <v>0</v>
      </c>
      <c r="X66" s="660">
        <f t="shared" ca="1" si="158"/>
        <v>0</v>
      </c>
      <c r="Y66" s="660">
        <f t="shared" ca="1" si="158"/>
        <v>0</v>
      </c>
      <c r="Z66" s="660">
        <f t="shared" ca="1" si="158"/>
        <v>0</v>
      </c>
      <c r="AA66" s="660">
        <f t="shared" ca="1" si="158"/>
        <v>0</v>
      </c>
      <c r="AB66" s="660">
        <f t="shared" ca="1" si="158"/>
        <v>0</v>
      </c>
      <c r="AC66" s="660">
        <f t="shared" ca="1" si="158"/>
        <v>0</v>
      </c>
      <c r="AD66" s="660">
        <f t="shared" ca="1" si="158"/>
        <v>0</v>
      </c>
      <c r="AE66" s="660">
        <f t="shared" ca="1" si="158"/>
        <v>0</v>
      </c>
      <c r="AF66" s="660">
        <f t="shared" ca="1" si="158"/>
        <v>0</v>
      </c>
      <c r="AG66" s="660">
        <f t="shared" ca="1" si="158"/>
        <v>0</v>
      </c>
      <c r="AH66" s="660">
        <f t="shared" ca="1" si="158"/>
        <v>0</v>
      </c>
      <c r="AI66" s="660">
        <f t="shared" ca="1" si="158"/>
        <v>4.1910433229244628</v>
      </c>
      <c r="AJ66" s="660">
        <f t="shared" ca="1" si="158"/>
        <v>0</v>
      </c>
      <c r="AK66" s="661">
        <f ca="1">SUM(S66:AJ66)</f>
        <v>3.8916830855727156</v>
      </c>
      <c r="AM66" s="662">
        <f t="shared" ca="1" si="159"/>
        <v>0</v>
      </c>
      <c r="AN66" s="662">
        <f t="shared" ca="1" si="159"/>
        <v>0</v>
      </c>
      <c r="AO66" s="662">
        <f t="shared" ca="1" si="159"/>
        <v>0</v>
      </c>
      <c r="AP66" s="662">
        <f t="shared" ca="1" si="159"/>
        <v>0</v>
      </c>
      <c r="AQ66" s="662">
        <f t="shared" ca="1" si="159"/>
        <v>0</v>
      </c>
      <c r="AR66" s="662">
        <f t="shared" ca="1" si="159"/>
        <v>0</v>
      </c>
      <c r="AS66" s="662">
        <f t="shared" ca="1" si="159"/>
        <v>0</v>
      </c>
      <c r="AT66" s="662">
        <f t="shared" ca="1" si="159"/>
        <v>0</v>
      </c>
      <c r="AU66" s="662">
        <f t="shared" ca="1" si="159"/>
        <v>0</v>
      </c>
      <c r="AV66" s="662">
        <f t="shared" ca="1" si="159"/>
        <v>0</v>
      </c>
      <c r="AW66" s="662">
        <f t="shared" ca="1" si="159"/>
        <v>-4.1910433229244628</v>
      </c>
      <c r="AX66" s="662">
        <f t="shared" ca="1" si="159"/>
        <v>0</v>
      </c>
      <c r="AY66" s="662">
        <f t="shared" ca="1" si="159"/>
        <v>0</v>
      </c>
      <c r="AZ66" s="662">
        <f t="shared" ca="1" si="159"/>
        <v>0</v>
      </c>
      <c r="BA66" s="662">
        <f t="shared" ca="1" si="159"/>
        <v>0</v>
      </c>
      <c r="BB66" s="662">
        <f t="shared" ca="1" si="159"/>
        <v>0</v>
      </c>
      <c r="BC66" s="662">
        <f t="shared" ca="1" si="160"/>
        <v>0</v>
      </c>
      <c r="BD66" s="662">
        <f t="shared" ca="1" si="160"/>
        <v>0</v>
      </c>
      <c r="BE66" s="662">
        <f t="shared" ca="1" si="160"/>
        <v>0</v>
      </c>
      <c r="BF66" s="609">
        <f ca="1">SUM(AM66:BE66)</f>
        <v>-4.1910433229244628</v>
      </c>
      <c r="BH66" s="663">
        <f t="shared" ca="1" si="161"/>
        <v>0</v>
      </c>
      <c r="BI66" s="663">
        <f t="shared" ca="1" si="161"/>
        <v>0</v>
      </c>
      <c r="BJ66" s="664">
        <f ca="1">SUM(BH66:BI66)</f>
        <v>0</v>
      </c>
      <c r="BL66" s="610">
        <f t="shared" ca="1" si="162"/>
        <v>0</v>
      </c>
      <c r="BM66" s="610"/>
      <c r="BO66" s="665">
        <f t="shared" ca="1" si="163"/>
        <v>0</v>
      </c>
      <c r="BP66" s="665">
        <f t="shared" ca="1" si="163"/>
        <v>0</v>
      </c>
      <c r="BQ66" s="665">
        <f t="shared" ca="1" si="163"/>
        <v>0</v>
      </c>
      <c r="BR66" s="665">
        <f t="shared" ca="1" si="163"/>
        <v>0</v>
      </c>
      <c r="BS66" s="665">
        <f t="shared" ca="1" si="163"/>
        <v>0</v>
      </c>
      <c r="BT66" s="665">
        <f t="shared" ca="1" si="163"/>
        <v>0</v>
      </c>
      <c r="BU66" s="665">
        <f t="shared" ca="1" si="163"/>
        <v>0</v>
      </c>
      <c r="BV66" s="665">
        <f t="shared" ca="1" si="163"/>
        <v>0</v>
      </c>
      <c r="BW66" s="665">
        <f t="shared" ca="1" si="163"/>
        <v>0</v>
      </c>
      <c r="BX66" s="665">
        <f t="shared" ca="1" si="163"/>
        <v>0</v>
      </c>
      <c r="BY66" s="665">
        <f t="shared" ca="1" si="163"/>
        <v>0</v>
      </c>
      <c r="BZ66" s="665">
        <f t="shared" ca="1" si="163"/>
        <v>0</v>
      </c>
      <c r="CA66" s="665">
        <f t="shared" ca="1" si="163"/>
        <v>0</v>
      </c>
      <c r="CB66" s="665">
        <f t="shared" ca="1" si="163"/>
        <v>0</v>
      </c>
      <c r="CC66" s="665">
        <f t="shared" ca="1" si="163"/>
        <v>0</v>
      </c>
      <c r="CD66" s="665">
        <f t="shared" ca="1" si="163"/>
        <v>0</v>
      </c>
      <c r="CE66" s="665">
        <f t="shared" ca="1" si="163"/>
        <v>0</v>
      </c>
      <c r="CF66" s="665">
        <f t="shared" ca="1" si="163"/>
        <v>0</v>
      </c>
      <c r="CG66" s="665">
        <f t="shared" ca="1" si="163"/>
        <v>0</v>
      </c>
      <c r="CH66" s="665">
        <f t="shared" ca="1" si="163"/>
        <v>0</v>
      </c>
      <c r="CI66" s="665">
        <f t="shared" ca="1" si="163"/>
        <v>0</v>
      </c>
      <c r="CJ66" s="665">
        <f t="shared" ca="1" si="163"/>
        <v>0</v>
      </c>
      <c r="CK66" s="665">
        <f t="shared" ca="1" si="163"/>
        <v>0</v>
      </c>
      <c r="CL66" s="665">
        <f t="shared" ca="1" si="163"/>
        <v>0</v>
      </c>
      <c r="CM66" s="665">
        <f t="shared" ca="1" si="163"/>
        <v>0</v>
      </c>
      <c r="CN66" s="665">
        <f t="shared" ca="1" si="163"/>
        <v>0</v>
      </c>
      <c r="CO66" s="665">
        <f t="shared" ca="1" si="163"/>
        <v>0</v>
      </c>
      <c r="CP66" s="665">
        <f t="shared" ca="1" si="163"/>
        <v>0</v>
      </c>
      <c r="CQ66" s="665">
        <f t="shared" ca="1" si="163"/>
        <v>0</v>
      </c>
      <c r="CR66" s="665">
        <f t="shared" ca="1" si="163"/>
        <v>0</v>
      </c>
      <c r="CS66" s="665">
        <f t="shared" ca="1" si="163"/>
        <v>0</v>
      </c>
      <c r="CT66" s="665">
        <f t="shared" ca="1" si="163"/>
        <v>0</v>
      </c>
      <c r="CU66" s="665">
        <f t="shared" ca="1" si="163"/>
        <v>0</v>
      </c>
      <c r="CV66" s="665">
        <f t="shared" ca="1" si="163"/>
        <v>0</v>
      </c>
      <c r="CW66" s="665">
        <f t="shared" ca="1" si="163"/>
        <v>0</v>
      </c>
      <c r="CX66" s="665">
        <f t="shared" ca="1" si="163"/>
        <v>0</v>
      </c>
      <c r="CY66" s="665">
        <f t="shared" ca="1" si="163"/>
        <v>0</v>
      </c>
      <c r="CZ66" s="665">
        <f t="shared" ca="1" si="163"/>
        <v>0</v>
      </c>
      <c r="DA66" s="665">
        <f t="shared" ca="1" si="163"/>
        <v>0</v>
      </c>
      <c r="DB66" s="665">
        <f t="shared" ca="1" si="163"/>
        <v>0</v>
      </c>
      <c r="DC66" s="665">
        <f t="shared" ca="1" si="163"/>
        <v>0</v>
      </c>
      <c r="DD66" s="665">
        <f t="shared" ca="1" si="163"/>
        <v>0</v>
      </c>
      <c r="DE66" s="665">
        <f t="shared" ca="1" si="163"/>
        <v>0</v>
      </c>
      <c r="DF66" s="665">
        <f t="shared" ca="1" si="163"/>
        <v>0</v>
      </c>
      <c r="DH66" s="666">
        <f t="shared" ca="1" si="113"/>
        <v>0</v>
      </c>
    </row>
    <row r="67" spans="1:112" s="607" customFormat="1">
      <c r="C67" s="587" t="s">
        <v>536</v>
      </c>
      <c r="D67" s="611" t="s">
        <v>537</v>
      </c>
      <c r="E67" s="611"/>
      <c r="F67" s="6"/>
      <c r="G67" s="619">
        <f t="shared" ca="1" si="157"/>
        <v>0</v>
      </c>
      <c r="H67" s="619">
        <f t="shared" ca="1" si="157"/>
        <v>0</v>
      </c>
      <c r="I67" s="619">
        <f t="shared" ca="1" si="157"/>
        <v>0</v>
      </c>
      <c r="J67" s="619">
        <f t="shared" ca="1" si="157"/>
        <v>0</v>
      </c>
      <c r="K67" s="619">
        <f t="shared" ca="1" si="157"/>
        <v>0</v>
      </c>
      <c r="L67" s="619">
        <f t="shared" ca="1" si="157"/>
        <v>0</v>
      </c>
      <c r="M67" s="619">
        <f t="shared" ca="1" si="157"/>
        <v>0</v>
      </c>
      <c r="N67" s="619">
        <f t="shared" ca="1" si="157"/>
        <v>0</v>
      </c>
      <c r="O67" s="619">
        <f t="shared" ca="1" si="157"/>
        <v>0</v>
      </c>
      <c r="P67" s="619">
        <f t="shared" ca="1" si="157"/>
        <v>0</v>
      </c>
      <c r="Q67" s="612">
        <f ca="1">SUM(G67:P67)</f>
        <v>0</v>
      </c>
      <c r="R67" s="6"/>
      <c r="S67" s="620">
        <f t="shared" ca="1" si="158"/>
        <v>0</v>
      </c>
      <c r="T67" s="620">
        <f t="shared" ca="1" si="158"/>
        <v>0.42076799999999998</v>
      </c>
      <c r="U67" s="620">
        <f t="shared" ca="1" si="158"/>
        <v>0</v>
      </c>
      <c r="V67" s="620">
        <f t="shared" ca="1" si="158"/>
        <v>0</v>
      </c>
      <c r="W67" s="620">
        <f t="shared" ca="1" si="158"/>
        <v>0</v>
      </c>
      <c r="X67" s="620">
        <f t="shared" ca="1" si="158"/>
        <v>0</v>
      </c>
      <c r="Y67" s="620">
        <f t="shared" ca="1" si="158"/>
        <v>0</v>
      </c>
      <c r="Z67" s="620">
        <f t="shared" ca="1" si="158"/>
        <v>0</v>
      </c>
      <c r="AA67" s="620">
        <f t="shared" ca="1" si="158"/>
        <v>0</v>
      </c>
      <c r="AB67" s="620">
        <f t="shared" ca="1" si="158"/>
        <v>0</v>
      </c>
      <c r="AC67" s="620">
        <f t="shared" ca="1" si="158"/>
        <v>0</v>
      </c>
      <c r="AD67" s="620">
        <f t="shared" ca="1" si="158"/>
        <v>0</v>
      </c>
      <c r="AE67" s="620">
        <f t="shared" ca="1" si="158"/>
        <v>0</v>
      </c>
      <c r="AF67" s="620">
        <f t="shared" ca="1" si="158"/>
        <v>0</v>
      </c>
      <c r="AG67" s="620">
        <f t="shared" ca="1" si="158"/>
        <v>0</v>
      </c>
      <c r="AH67" s="620">
        <f t="shared" ca="1" si="158"/>
        <v>0</v>
      </c>
      <c r="AI67" s="620">
        <f t="shared" ca="1" si="158"/>
        <v>0</v>
      </c>
      <c r="AJ67" s="620">
        <f t="shared" ca="1" si="158"/>
        <v>0</v>
      </c>
      <c r="AK67" s="613">
        <f ca="1">SUM(S67:AJ67)</f>
        <v>0.42076799999999998</v>
      </c>
      <c r="AL67" s="6"/>
      <c r="AM67" s="621">
        <f t="shared" ca="1" si="159"/>
        <v>0</v>
      </c>
      <c r="AN67" s="621">
        <f t="shared" ca="1" si="159"/>
        <v>0</v>
      </c>
      <c r="AO67" s="621">
        <f t="shared" ca="1" si="159"/>
        <v>0</v>
      </c>
      <c r="AP67" s="621">
        <f t="shared" ca="1" si="159"/>
        <v>0</v>
      </c>
      <c r="AQ67" s="621">
        <f t="shared" ca="1" si="159"/>
        <v>0</v>
      </c>
      <c r="AR67" s="621">
        <f t="shared" ca="1" si="159"/>
        <v>0</v>
      </c>
      <c r="AS67" s="621">
        <f t="shared" ca="1" si="159"/>
        <v>0</v>
      </c>
      <c r="AT67" s="621">
        <f t="shared" ca="1" si="159"/>
        <v>0</v>
      </c>
      <c r="AU67" s="621">
        <f t="shared" ca="1" si="159"/>
        <v>0</v>
      </c>
      <c r="AV67" s="621">
        <f t="shared" ca="1" si="159"/>
        <v>0</v>
      </c>
      <c r="AW67" s="621">
        <f t="shared" ca="1" si="159"/>
        <v>0</v>
      </c>
      <c r="AX67" s="621">
        <f t="shared" ca="1" si="159"/>
        <v>-0.42076799999999998</v>
      </c>
      <c r="AY67" s="621">
        <f t="shared" ca="1" si="159"/>
        <v>0</v>
      </c>
      <c r="AZ67" s="621">
        <f t="shared" ca="1" si="159"/>
        <v>0</v>
      </c>
      <c r="BA67" s="621">
        <f t="shared" ca="1" si="159"/>
        <v>0</v>
      </c>
      <c r="BB67" s="621">
        <f t="shared" ca="1" si="159"/>
        <v>0</v>
      </c>
      <c r="BC67" s="621">
        <f t="shared" ca="1" si="160"/>
        <v>0</v>
      </c>
      <c r="BD67" s="621">
        <f t="shared" ca="1" si="160"/>
        <v>0</v>
      </c>
      <c r="BE67" s="621">
        <f t="shared" ca="1" si="160"/>
        <v>0</v>
      </c>
      <c r="BF67" s="615">
        <f ca="1">SUM(AM67:BE67)</f>
        <v>-0.42076799999999998</v>
      </c>
      <c r="BG67" s="6"/>
      <c r="BH67" s="3473">
        <f t="shared" ca="1" si="161"/>
        <v>0</v>
      </c>
      <c r="BI67" s="3473">
        <f t="shared" ca="1" si="161"/>
        <v>0</v>
      </c>
      <c r="BJ67" s="3462">
        <f ca="1">SUM(BH67:BI67)</f>
        <v>0</v>
      </c>
      <c r="BK67" s="6"/>
      <c r="BL67" s="610">
        <f t="shared" ca="1" si="162"/>
        <v>0</v>
      </c>
      <c r="BM67" s="610"/>
      <c r="BN67" s="413"/>
      <c r="BO67" s="2791">
        <f t="shared" ca="1" si="163"/>
        <v>0</v>
      </c>
      <c r="BP67" s="2792">
        <f t="shared" ca="1" si="163"/>
        <v>0</v>
      </c>
      <c r="BQ67" s="2792">
        <f t="shared" ca="1" si="163"/>
        <v>0</v>
      </c>
      <c r="BR67" s="2792">
        <f t="shared" ca="1" si="163"/>
        <v>0</v>
      </c>
      <c r="BS67" s="2792">
        <f t="shared" ca="1" si="163"/>
        <v>0</v>
      </c>
      <c r="BT67" s="2792">
        <f t="shared" ca="1" si="163"/>
        <v>0</v>
      </c>
      <c r="BU67" s="2792">
        <f t="shared" ca="1" si="163"/>
        <v>0</v>
      </c>
      <c r="BV67" s="2792">
        <f t="shared" ca="1" si="163"/>
        <v>0</v>
      </c>
      <c r="BW67" s="2792">
        <f t="shared" ca="1" si="163"/>
        <v>0</v>
      </c>
      <c r="BX67" s="2792">
        <f t="shared" ca="1" si="163"/>
        <v>0</v>
      </c>
      <c r="BY67" s="2792">
        <f t="shared" ca="1" si="163"/>
        <v>0</v>
      </c>
      <c r="BZ67" s="2792">
        <f t="shared" ca="1" si="163"/>
        <v>0</v>
      </c>
      <c r="CA67" s="2792">
        <f t="shared" ca="1" si="163"/>
        <v>0</v>
      </c>
      <c r="CB67" s="2792">
        <f t="shared" ca="1" si="163"/>
        <v>0</v>
      </c>
      <c r="CC67" s="2792">
        <f t="shared" ca="1" si="163"/>
        <v>0</v>
      </c>
      <c r="CD67" s="2792">
        <f t="shared" ca="1" si="163"/>
        <v>0</v>
      </c>
      <c r="CE67" s="2792">
        <f t="shared" ca="1" si="163"/>
        <v>0</v>
      </c>
      <c r="CF67" s="2792">
        <f t="shared" ca="1" si="163"/>
        <v>0</v>
      </c>
      <c r="CG67" s="2792">
        <f t="shared" ca="1" si="163"/>
        <v>0</v>
      </c>
      <c r="CH67" s="2792">
        <f t="shared" ca="1" si="163"/>
        <v>0</v>
      </c>
      <c r="CI67" s="2792">
        <f t="shared" ca="1" si="163"/>
        <v>0</v>
      </c>
      <c r="CJ67" s="2792">
        <f t="shared" ca="1" si="163"/>
        <v>0</v>
      </c>
      <c r="CK67" s="2792">
        <f t="shared" ca="1" si="163"/>
        <v>0</v>
      </c>
      <c r="CL67" s="2792">
        <f t="shared" ca="1" si="163"/>
        <v>0</v>
      </c>
      <c r="CM67" s="2792">
        <f t="shared" ca="1" si="163"/>
        <v>0</v>
      </c>
      <c r="CN67" s="2792">
        <f t="shared" ca="1" si="163"/>
        <v>0</v>
      </c>
      <c r="CO67" s="2792">
        <f t="shared" ca="1" si="163"/>
        <v>0</v>
      </c>
      <c r="CP67" s="2792">
        <f t="shared" ca="1" si="163"/>
        <v>0</v>
      </c>
      <c r="CQ67" s="2792">
        <f t="shared" ca="1" si="163"/>
        <v>0</v>
      </c>
      <c r="CR67" s="2792">
        <f t="shared" ca="1" si="163"/>
        <v>0</v>
      </c>
      <c r="CS67" s="2792">
        <f t="shared" ca="1" si="163"/>
        <v>0</v>
      </c>
      <c r="CT67" s="2792">
        <f t="shared" ca="1" si="163"/>
        <v>0</v>
      </c>
      <c r="CU67" s="2792">
        <f t="shared" ca="1" si="163"/>
        <v>0</v>
      </c>
      <c r="CV67" s="2792">
        <f t="shared" ca="1" si="163"/>
        <v>0</v>
      </c>
      <c r="CW67" s="2792">
        <f t="shared" ca="1" si="163"/>
        <v>0</v>
      </c>
      <c r="CX67" s="2792">
        <f t="shared" ca="1" si="163"/>
        <v>0</v>
      </c>
      <c r="CY67" s="2792">
        <f t="shared" ca="1" si="163"/>
        <v>0</v>
      </c>
      <c r="CZ67" s="2792">
        <f t="shared" ca="1" si="163"/>
        <v>0</v>
      </c>
      <c r="DA67" s="2792">
        <f t="shared" ca="1" si="163"/>
        <v>0</v>
      </c>
      <c r="DB67" s="2792">
        <f t="shared" ca="1" si="163"/>
        <v>0</v>
      </c>
      <c r="DC67" s="2792">
        <f t="shared" ca="1" si="163"/>
        <v>0</v>
      </c>
      <c r="DD67" s="2792">
        <f t="shared" ca="1" si="163"/>
        <v>0</v>
      </c>
      <c r="DE67" s="2792">
        <f t="shared" ca="1" si="163"/>
        <v>0</v>
      </c>
      <c r="DF67" s="2792">
        <f t="shared" ca="1" si="163"/>
        <v>0</v>
      </c>
      <c r="DH67" s="596">
        <f t="shared" ca="1" si="113"/>
        <v>0</v>
      </c>
    </row>
    <row r="68" spans="1:112" s="6" customFormat="1" ht="15.75">
      <c r="A68" s="4"/>
      <c r="B68" s="3"/>
      <c r="C68" s="616" t="s">
        <v>538</v>
      </c>
      <c r="D68" s="617" t="s">
        <v>539</v>
      </c>
      <c r="E68" s="206"/>
      <c r="G68" s="618">
        <f ca="1">SUM(G65:G67)</f>
        <v>0</v>
      </c>
      <c r="H68" s="618">
        <f t="shared" ref="H68:P68" ca="1" si="164">SUM(H65:H67)</f>
        <v>0.29936023735174733</v>
      </c>
      <c r="I68" s="618">
        <f t="shared" ca="1" si="164"/>
        <v>0</v>
      </c>
      <c r="J68" s="618">
        <f t="shared" ca="1" si="164"/>
        <v>0</v>
      </c>
      <c r="K68" s="618">
        <f t="shared" ca="1" si="164"/>
        <v>0</v>
      </c>
      <c r="L68" s="618">
        <f t="shared" ca="1" si="164"/>
        <v>0</v>
      </c>
      <c r="M68" s="618">
        <f t="shared" ca="1" si="164"/>
        <v>0</v>
      </c>
      <c r="N68" s="618">
        <f t="shared" ca="1" si="164"/>
        <v>0</v>
      </c>
      <c r="O68" s="618">
        <f t="shared" ca="1" si="164"/>
        <v>0</v>
      </c>
      <c r="P68" s="618">
        <f t="shared" ca="1" si="164"/>
        <v>0</v>
      </c>
      <c r="Q68" s="618">
        <f ca="1">SUM(G68:P68)</f>
        <v>0.29936023735174733</v>
      </c>
      <c r="S68" s="581">
        <f t="shared" ref="S68:AJ68" ca="1" si="165">SUM(S65:S67)</f>
        <v>-0.29936023735174733</v>
      </c>
      <c r="T68" s="581">
        <f t="shared" ca="1" si="165"/>
        <v>4.6722779999999995</v>
      </c>
      <c r="U68" s="581">
        <f t="shared" ca="1" si="165"/>
        <v>0</v>
      </c>
      <c r="V68" s="581">
        <f t="shared" ca="1" si="165"/>
        <v>0</v>
      </c>
      <c r="W68" s="581">
        <f t="shared" ca="1" si="165"/>
        <v>0</v>
      </c>
      <c r="X68" s="581">
        <f t="shared" ca="1" si="165"/>
        <v>0</v>
      </c>
      <c r="Y68" s="581">
        <f t="shared" ca="1" si="165"/>
        <v>0</v>
      </c>
      <c r="Z68" s="581">
        <f t="shared" ca="1" si="165"/>
        <v>0</v>
      </c>
      <c r="AA68" s="581">
        <f t="shared" ca="1" si="165"/>
        <v>0</v>
      </c>
      <c r="AB68" s="581">
        <f t="shared" ca="1" si="165"/>
        <v>0</v>
      </c>
      <c r="AC68" s="581">
        <f t="shared" ca="1" si="165"/>
        <v>0</v>
      </c>
      <c r="AD68" s="581">
        <f t="shared" ca="1" si="165"/>
        <v>0</v>
      </c>
      <c r="AE68" s="581">
        <f ca="1">SUM(AE65:AE67)</f>
        <v>0</v>
      </c>
      <c r="AF68" s="581">
        <f t="shared" ca="1" si="165"/>
        <v>0</v>
      </c>
      <c r="AG68" s="581">
        <f t="shared" ca="1" si="165"/>
        <v>0</v>
      </c>
      <c r="AH68" s="581">
        <f ca="1">SUM(AH65:AH67)</f>
        <v>0</v>
      </c>
      <c r="AI68" s="581">
        <f t="shared" ca="1" si="165"/>
        <v>4.1910433229244628</v>
      </c>
      <c r="AJ68" s="581">
        <f t="shared" ca="1" si="165"/>
        <v>0</v>
      </c>
      <c r="AK68" s="581">
        <f ca="1">SUM(S68:AJ68)</f>
        <v>8.5639610855727142</v>
      </c>
      <c r="AM68" s="582">
        <f t="shared" ref="AM68:BE68" ca="1" si="166">SUM(AM65:AM67)</f>
        <v>0</v>
      </c>
      <c r="AN68" s="582">
        <f t="shared" ca="1" si="166"/>
        <v>0</v>
      </c>
      <c r="AO68" s="582">
        <f t="shared" ca="1" si="166"/>
        <v>0</v>
      </c>
      <c r="AP68" s="582">
        <f t="shared" ca="1" si="166"/>
        <v>0</v>
      </c>
      <c r="AQ68" s="582">
        <f t="shared" ca="1" si="166"/>
        <v>0</v>
      </c>
      <c r="AR68" s="582">
        <f t="shared" ca="1" si="166"/>
        <v>0</v>
      </c>
      <c r="AS68" s="582">
        <f t="shared" ca="1" si="166"/>
        <v>0</v>
      </c>
      <c r="AT68" s="582">
        <f t="shared" ca="1" si="166"/>
        <v>0</v>
      </c>
      <c r="AU68" s="582">
        <f t="shared" ca="1" si="166"/>
        <v>0</v>
      </c>
      <c r="AV68" s="582">
        <f t="shared" ca="1" si="166"/>
        <v>0</v>
      </c>
      <c r="AW68" s="582">
        <f t="shared" ca="1" si="166"/>
        <v>-8.4425533229244625</v>
      </c>
      <c r="AX68" s="582">
        <f t="shared" ca="1" si="166"/>
        <v>-0.42076799999999998</v>
      </c>
      <c r="AY68" s="582">
        <f t="shared" ca="1" si="166"/>
        <v>0</v>
      </c>
      <c r="AZ68" s="582">
        <f t="shared" ca="1" si="166"/>
        <v>0</v>
      </c>
      <c r="BA68" s="582">
        <f t="shared" ca="1" si="166"/>
        <v>0</v>
      </c>
      <c r="BB68" s="582">
        <f t="shared" ca="1" si="166"/>
        <v>0</v>
      </c>
      <c r="BC68" s="582">
        <f t="shared" ca="1" si="166"/>
        <v>0</v>
      </c>
      <c r="BD68" s="582">
        <f t="shared" ca="1" si="166"/>
        <v>0</v>
      </c>
      <c r="BE68" s="582">
        <f t="shared" ca="1" si="166"/>
        <v>0</v>
      </c>
      <c r="BF68" s="582">
        <f ca="1">SUM(AM68:BE68)</f>
        <v>-8.8633213229244632</v>
      </c>
      <c r="BH68" s="3463">
        <f ca="1">SUM(BH65:BH67)</f>
        <v>0</v>
      </c>
      <c r="BI68" s="3463">
        <f ca="1">SUM(BI65:BI67)</f>
        <v>0</v>
      </c>
      <c r="BJ68" s="3463">
        <f ca="1">SUM(BH68:BI68)</f>
        <v>0</v>
      </c>
      <c r="BL68" s="3477">
        <f t="shared" ca="1" si="162"/>
        <v>-1.7763568394002505E-15</v>
      </c>
      <c r="BM68" s="584"/>
      <c r="BN68" s="413"/>
      <c r="BO68" s="2790">
        <f ca="1">SUM(BO65:BO67)</f>
        <v>0</v>
      </c>
      <c r="BP68" s="2790">
        <f t="shared" ref="BP68:DF68" ca="1" si="167">SUM(BP65:BP67)</f>
        <v>0</v>
      </c>
      <c r="BQ68" s="2790">
        <f t="shared" ca="1" si="167"/>
        <v>0</v>
      </c>
      <c r="BR68" s="2790">
        <f t="shared" ca="1" si="167"/>
        <v>0</v>
      </c>
      <c r="BS68" s="2790">
        <f t="shared" ca="1" si="167"/>
        <v>0</v>
      </c>
      <c r="BT68" s="2790">
        <f t="shared" ca="1" si="167"/>
        <v>0</v>
      </c>
      <c r="BU68" s="2790">
        <f t="shared" ca="1" si="167"/>
        <v>0</v>
      </c>
      <c r="BV68" s="2790">
        <f t="shared" ca="1" si="167"/>
        <v>0</v>
      </c>
      <c r="BW68" s="2790">
        <f t="shared" ca="1" si="167"/>
        <v>0</v>
      </c>
      <c r="BX68" s="2790">
        <f t="shared" ca="1" si="167"/>
        <v>0</v>
      </c>
      <c r="BY68" s="2790">
        <f t="shared" ca="1" si="167"/>
        <v>0</v>
      </c>
      <c r="BZ68" s="2790">
        <f t="shared" ca="1" si="167"/>
        <v>0</v>
      </c>
      <c r="CA68" s="2790">
        <f t="shared" ca="1" si="167"/>
        <v>0</v>
      </c>
      <c r="CB68" s="2790">
        <f t="shared" ca="1" si="167"/>
        <v>0</v>
      </c>
      <c r="CC68" s="2790">
        <f t="shared" ca="1" si="167"/>
        <v>0</v>
      </c>
      <c r="CD68" s="2790">
        <f t="shared" ca="1" si="167"/>
        <v>0</v>
      </c>
      <c r="CE68" s="2790">
        <f t="shared" ca="1" si="167"/>
        <v>0</v>
      </c>
      <c r="CF68" s="2790">
        <f t="shared" ca="1" si="167"/>
        <v>0</v>
      </c>
      <c r="CG68" s="2790">
        <f t="shared" ca="1" si="167"/>
        <v>0</v>
      </c>
      <c r="CH68" s="2790">
        <f t="shared" ca="1" si="167"/>
        <v>0</v>
      </c>
      <c r="CI68" s="2790">
        <f t="shared" ca="1" si="167"/>
        <v>0</v>
      </c>
      <c r="CJ68" s="2790">
        <f t="shared" ca="1" si="167"/>
        <v>0</v>
      </c>
      <c r="CK68" s="2790">
        <f t="shared" ca="1" si="167"/>
        <v>0</v>
      </c>
      <c r="CL68" s="2790">
        <f t="shared" ca="1" si="167"/>
        <v>0</v>
      </c>
      <c r="CM68" s="2790">
        <f t="shared" ca="1" si="167"/>
        <v>0</v>
      </c>
      <c r="CN68" s="2790">
        <f t="shared" ca="1" si="167"/>
        <v>0</v>
      </c>
      <c r="CO68" s="2790">
        <f t="shared" ca="1" si="167"/>
        <v>0</v>
      </c>
      <c r="CP68" s="2790">
        <f t="shared" ca="1" si="167"/>
        <v>0</v>
      </c>
      <c r="CQ68" s="2790">
        <f t="shared" ca="1" si="167"/>
        <v>0</v>
      </c>
      <c r="CR68" s="2790">
        <f t="shared" ca="1" si="167"/>
        <v>0</v>
      </c>
      <c r="CS68" s="2790">
        <f t="shared" ca="1" si="167"/>
        <v>0</v>
      </c>
      <c r="CT68" s="2790">
        <f t="shared" ca="1" si="167"/>
        <v>0</v>
      </c>
      <c r="CU68" s="2790">
        <f t="shared" ca="1" si="167"/>
        <v>0</v>
      </c>
      <c r="CV68" s="2790">
        <f t="shared" ca="1" si="167"/>
        <v>0</v>
      </c>
      <c r="CW68" s="2790">
        <f t="shared" ca="1" si="167"/>
        <v>0</v>
      </c>
      <c r="CX68" s="2790">
        <f t="shared" ca="1" si="167"/>
        <v>0</v>
      </c>
      <c r="CY68" s="2790">
        <f t="shared" ca="1" si="167"/>
        <v>0</v>
      </c>
      <c r="CZ68" s="2790">
        <f t="shared" ca="1" si="167"/>
        <v>0</v>
      </c>
      <c r="DA68" s="2790">
        <f t="shared" ca="1" si="167"/>
        <v>0</v>
      </c>
      <c r="DB68" s="2790">
        <f t="shared" ca="1" si="167"/>
        <v>0</v>
      </c>
      <c r="DC68" s="2790">
        <f t="shared" ca="1" si="167"/>
        <v>0</v>
      </c>
      <c r="DD68" s="2790">
        <f t="shared" ca="1" si="167"/>
        <v>0</v>
      </c>
      <c r="DE68" s="2790">
        <f t="shared" ca="1" si="167"/>
        <v>0</v>
      </c>
      <c r="DF68" s="2790">
        <f t="shared" ca="1" si="167"/>
        <v>0</v>
      </c>
      <c r="DH68" s="596">
        <f t="shared" ca="1" si="113"/>
        <v>0</v>
      </c>
    </row>
    <row r="69" spans="1:112" s="6" customFormat="1">
      <c r="A69" s="4"/>
      <c r="B69" s="4"/>
      <c r="C69" s="622"/>
      <c r="D69" s="206"/>
      <c r="E69" s="206"/>
      <c r="G69" s="579"/>
      <c r="H69" s="579"/>
      <c r="I69" s="579"/>
      <c r="J69" s="579"/>
      <c r="K69" s="638"/>
      <c r="L69" s="579"/>
      <c r="M69" s="579"/>
      <c r="N69" s="579"/>
      <c r="O69" s="579"/>
      <c r="P69" s="579"/>
      <c r="Q69" s="579"/>
      <c r="S69" s="581"/>
      <c r="T69" s="581"/>
      <c r="U69" s="581"/>
      <c r="V69" s="581"/>
      <c r="W69" s="581"/>
      <c r="X69" s="581"/>
      <c r="Y69" s="581"/>
      <c r="Z69" s="581"/>
      <c r="AA69" s="581"/>
      <c r="AB69" s="581"/>
      <c r="AC69" s="581"/>
      <c r="AD69" s="581"/>
      <c r="AE69" s="581"/>
      <c r="AF69" s="581"/>
      <c r="AG69" s="581"/>
      <c r="AH69" s="581"/>
      <c r="AI69" s="581"/>
      <c r="AJ69" s="581"/>
      <c r="AK69" s="581"/>
      <c r="AM69" s="582"/>
      <c r="AN69" s="582"/>
      <c r="AO69" s="582"/>
      <c r="AP69" s="582"/>
      <c r="AQ69" s="582"/>
      <c r="AR69" s="582"/>
      <c r="AS69" s="582"/>
      <c r="AT69" s="582"/>
      <c r="AU69" s="582"/>
      <c r="AV69" s="582"/>
      <c r="AW69" s="582"/>
      <c r="AX69" s="582"/>
      <c r="AY69" s="582"/>
      <c r="AZ69" s="582"/>
      <c r="BA69" s="582"/>
      <c r="BB69" s="582"/>
      <c r="BC69" s="582"/>
      <c r="BD69" s="582"/>
      <c r="BE69" s="582"/>
      <c r="BF69" s="582"/>
      <c r="BH69" s="3463"/>
      <c r="BI69" s="3463"/>
      <c r="BJ69" s="3463"/>
      <c r="BL69" s="3477">
        <f t="shared" si="162"/>
        <v>0</v>
      </c>
      <c r="BM69" s="584"/>
      <c r="BN69" s="4"/>
      <c r="BO69" s="2790"/>
      <c r="BP69" s="2790"/>
      <c r="BQ69" s="2790"/>
      <c r="BR69" s="2790"/>
      <c r="BS69" s="2790"/>
      <c r="BT69" s="2790"/>
      <c r="BU69" s="2790"/>
      <c r="BV69" s="2790"/>
      <c r="BW69" s="2790"/>
      <c r="BX69" s="2790"/>
      <c r="BY69" s="2790"/>
      <c r="BZ69" s="2790"/>
      <c r="CA69" s="2790"/>
      <c r="CB69" s="2790"/>
      <c r="CC69" s="2790"/>
      <c r="CD69" s="2790"/>
      <c r="CE69" s="2790"/>
      <c r="CF69" s="2790"/>
      <c r="CG69" s="2790"/>
      <c r="CH69" s="2790"/>
      <c r="CI69" s="2790"/>
      <c r="CJ69" s="2790"/>
      <c r="CK69" s="2790"/>
      <c r="CL69" s="2790"/>
      <c r="CM69" s="2790"/>
      <c r="CN69" s="2790"/>
      <c r="CO69" s="2790"/>
      <c r="CP69" s="2790"/>
      <c r="CQ69" s="2790"/>
      <c r="CR69" s="2790"/>
      <c r="CS69" s="2790"/>
      <c r="CT69" s="2790"/>
      <c r="CU69" s="2790"/>
      <c r="CV69" s="2790"/>
      <c r="CW69" s="2790"/>
      <c r="CX69" s="2790"/>
      <c r="CY69" s="2790"/>
      <c r="CZ69" s="2790"/>
      <c r="DA69" s="2790"/>
      <c r="DB69" s="2790"/>
      <c r="DC69" s="2790"/>
      <c r="DD69" s="2790"/>
      <c r="DE69" s="2790"/>
      <c r="DF69" s="2790"/>
      <c r="DH69" s="596">
        <f t="shared" si="113"/>
        <v>0</v>
      </c>
    </row>
    <row r="70" spans="1:112" s="639" customFormat="1">
      <c r="C70" s="640" t="s">
        <v>540</v>
      </c>
      <c r="D70" s="641" t="s">
        <v>541</v>
      </c>
      <c r="E70" s="641"/>
      <c r="F70" s="642"/>
      <c r="G70" s="643"/>
      <c r="H70" s="643"/>
      <c r="I70" s="643"/>
      <c r="J70" s="643"/>
      <c r="K70" s="644"/>
      <c r="L70" s="643"/>
      <c r="M70" s="643"/>
      <c r="N70" s="643"/>
      <c r="O70" s="643"/>
      <c r="P70" s="643"/>
      <c r="Q70" s="643"/>
      <c r="R70" s="642"/>
      <c r="S70" s="645"/>
      <c r="T70" s="645"/>
      <c r="U70" s="645"/>
      <c r="V70" s="645"/>
      <c r="W70" s="645"/>
      <c r="X70" s="645"/>
      <c r="Y70" s="645"/>
      <c r="Z70" s="645"/>
      <c r="AA70" s="645"/>
      <c r="AB70" s="645">
        <f ca="1">AB$40+AB$46+AB$51+AB$99+AB$55+AB$63+AB$68</f>
        <v>-2.6537999724419409E-2</v>
      </c>
      <c r="AC70" s="645"/>
      <c r="AD70" s="645"/>
      <c r="AE70" s="645"/>
      <c r="AF70" s="645"/>
      <c r="AG70" s="645"/>
      <c r="AH70" s="645"/>
      <c r="AI70" s="645"/>
      <c r="AJ70" s="645"/>
      <c r="AK70" s="645"/>
      <c r="AL70" s="642"/>
      <c r="AM70" s="646"/>
      <c r="AN70" s="646"/>
      <c r="AO70" s="646"/>
      <c r="AP70" s="646"/>
      <c r="AQ70" s="646"/>
      <c r="AR70" s="646"/>
      <c r="AS70" s="646"/>
      <c r="AT70" s="646"/>
      <c r="AU70" s="646"/>
      <c r="AV70" s="646"/>
      <c r="AW70" s="646"/>
      <c r="AX70" s="646"/>
      <c r="AY70" s="646"/>
      <c r="AZ70" s="646"/>
      <c r="BA70" s="646"/>
      <c r="BB70" s="646"/>
      <c r="BC70" s="646"/>
      <c r="BD70" s="646"/>
      <c r="BE70" s="646"/>
      <c r="BF70" s="646"/>
      <c r="BG70" s="642"/>
      <c r="BH70" s="647"/>
      <c r="BI70" s="647"/>
      <c r="BJ70" s="647">
        <f>SUM(BH70:BI70)</f>
        <v>0</v>
      </c>
      <c r="BK70" s="642"/>
      <c r="BL70" s="648">
        <f t="shared" si="162"/>
        <v>0</v>
      </c>
      <c r="BM70" s="648"/>
      <c r="BO70" s="2794"/>
      <c r="BP70" s="2794"/>
      <c r="BQ70" s="2794"/>
      <c r="BR70" s="2794"/>
      <c r="BS70" s="2794"/>
      <c r="BT70" s="2794"/>
      <c r="BU70" s="2794"/>
      <c r="BV70" s="2794"/>
      <c r="BW70" s="2794"/>
      <c r="BX70" s="2794"/>
      <c r="BY70" s="2794"/>
      <c r="BZ70" s="2794"/>
      <c r="CA70" s="2794"/>
      <c r="CB70" s="2794"/>
      <c r="CC70" s="2794"/>
      <c r="CD70" s="2794"/>
      <c r="CE70" s="2794"/>
      <c r="CF70" s="2794"/>
      <c r="CG70" s="2794"/>
      <c r="CH70" s="2794"/>
      <c r="CI70" s="2794"/>
      <c r="CJ70" s="2794"/>
      <c r="CK70" s="2794"/>
      <c r="CL70" s="2794"/>
      <c r="CM70" s="2794"/>
      <c r="CN70" s="2794"/>
      <c r="CO70" s="2794"/>
      <c r="CP70" s="2794"/>
      <c r="CQ70" s="2794"/>
      <c r="CR70" s="2794"/>
      <c r="CS70" s="2794"/>
      <c r="CT70" s="2794"/>
      <c r="CU70" s="2794"/>
      <c r="CV70" s="2794"/>
      <c r="CW70" s="2794"/>
      <c r="CX70" s="2794"/>
      <c r="CY70" s="2794"/>
      <c r="CZ70" s="2794"/>
      <c r="DA70" s="2794"/>
      <c r="DB70" s="2794"/>
      <c r="DC70" s="2794"/>
      <c r="DD70" s="2794"/>
      <c r="DE70" s="2794"/>
      <c r="DF70" s="2794"/>
      <c r="DH70" s="649">
        <f t="shared" si="113"/>
        <v>0</v>
      </c>
    </row>
    <row r="71" spans="1:112" s="607" customFormat="1">
      <c r="C71" s="587" t="s">
        <v>542</v>
      </c>
      <c r="D71" s="611" t="s">
        <v>543</v>
      </c>
      <c r="E71" s="611"/>
      <c r="F71" s="6"/>
      <c r="G71" s="619">
        <f t="shared" ref="G71:P71" ca="1" si="168">IFERROR(INDEX(INDIRECT($C71&amp;".Outputs["&amp;this.Year&amp;"]"), MATCH(G$5, INDIRECT($C71&amp;".Outputs[Vector]"), 0)), 0)</f>
        <v>0</v>
      </c>
      <c r="H71" s="619">
        <f t="shared" ca="1" si="168"/>
        <v>0</v>
      </c>
      <c r="I71" s="619">
        <f t="shared" ca="1" si="168"/>
        <v>0</v>
      </c>
      <c r="J71" s="619">
        <f t="shared" ca="1" si="168"/>
        <v>0</v>
      </c>
      <c r="K71" s="619">
        <f t="shared" ca="1" si="168"/>
        <v>0</v>
      </c>
      <c r="L71" s="619">
        <f t="shared" ca="1" si="168"/>
        <v>0</v>
      </c>
      <c r="M71" s="619">
        <f t="shared" ca="1" si="168"/>
        <v>0</v>
      </c>
      <c r="N71" s="619">
        <f t="shared" ca="1" si="168"/>
        <v>0</v>
      </c>
      <c r="O71" s="619">
        <f t="shared" ca="1" si="168"/>
        <v>0</v>
      </c>
      <c r="P71" s="619">
        <f t="shared" ca="1" si="168"/>
        <v>0</v>
      </c>
      <c r="Q71" s="612">
        <f ca="1">SUM(G71:P71)</f>
        <v>0</v>
      </c>
      <c r="R71" s="6"/>
      <c r="S71" s="620">
        <f t="shared" ref="S71:AJ71" ca="1" si="169">IFERROR(INDEX(INDIRECT($C71&amp;".Outputs["&amp;this.Year&amp;"]"), MATCH(S$5, INDIRECT($C71&amp;".Outputs[Vector]"), 0)), 0)</f>
        <v>0</v>
      </c>
      <c r="T71" s="620">
        <f t="shared" ca="1" si="169"/>
        <v>-3.7911428177742012E-3</v>
      </c>
      <c r="U71" s="620">
        <f t="shared" ca="1" si="169"/>
        <v>0</v>
      </c>
      <c r="V71" s="620">
        <f t="shared" ca="1" si="169"/>
        <v>0</v>
      </c>
      <c r="W71" s="620">
        <f t="shared" ca="1" si="169"/>
        <v>0</v>
      </c>
      <c r="X71" s="620">
        <f ca="1">IFERROR(INDEX(INDIRECT($C71&amp;".Outputs["&amp;this.Year&amp;"]"), MATCH(X$5, INDIRECT($C71&amp;".Outputs[Vector]"), 0)), 0)</f>
        <v>0</v>
      </c>
      <c r="Y71" s="620">
        <f ca="1">IFERROR(INDEX(INDIRECT($C71&amp;".Outputs["&amp;this.Year&amp;"]"), MATCH(Y$5, INDIRECT($C71&amp;".Outputs[Vector]"), 0)), 0)</f>
        <v>0</v>
      </c>
      <c r="Z71" s="620">
        <f ca="1">IFERROR(INDEX(INDIRECT($C71&amp;".Outputs["&amp;this.Year&amp;"]"), MATCH(Z$5, INDIRECT($C71&amp;".Outputs[Vector]"), 0)), 0)</f>
        <v>0</v>
      </c>
      <c r="AA71" s="620">
        <f t="shared" ca="1" si="169"/>
        <v>0</v>
      </c>
      <c r="AB71" s="620">
        <f t="shared" ca="1" si="169"/>
        <v>2.6537999724419409E-2</v>
      </c>
      <c r="AC71" s="620">
        <f t="shared" ca="1" si="169"/>
        <v>0</v>
      </c>
      <c r="AD71" s="620">
        <f t="shared" ca="1" si="169"/>
        <v>0</v>
      </c>
      <c r="AE71" s="620">
        <f t="shared" ca="1" si="169"/>
        <v>0</v>
      </c>
      <c r="AF71" s="620">
        <f t="shared" ca="1" si="169"/>
        <v>0</v>
      </c>
      <c r="AG71" s="620">
        <f t="shared" ca="1" si="169"/>
        <v>0</v>
      </c>
      <c r="AH71" s="620">
        <f t="shared" ca="1" si="169"/>
        <v>0</v>
      </c>
      <c r="AI71" s="620">
        <f t="shared" ca="1" si="169"/>
        <v>0</v>
      </c>
      <c r="AJ71" s="620">
        <f t="shared" ca="1" si="169"/>
        <v>0</v>
      </c>
      <c r="AK71" s="613">
        <f ca="1">SUM(S71:AJ71)</f>
        <v>2.274685690664521E-2</v>
      </c>
      <c r="AL71" s="6"/>
      <c r="AM71" s="621">
        <f t="shared" ref="AM71:BE71" ca="1" si="170">IFERROR(INDEX(INDIRECT($C71&amp;".Outputs["&amp;this.Year&amp;"]"), MATCH(AM$5, INDIRECT($C71&amp;".Outputs[Vector]"), 0)), 0)</f>
        <v>0</v>
      </c>
      <c r="AN71" s="621">
        <f t="shared" ca="1" si="170"/>
        <v>0</v>
      </c>
      <c r="AO71" s="621">
        <f t="shared" ca="1" si="170"/>
        <v>0</v>
      </c>
      <c r="AP71" s="621">
        <f t="shared" ca="1" si="170"/>
        <v>0</v>
      </c>
      <c r="AQ71" s="621">
        <f t="shared" ca="1" si="170"/>
        <v>0</v>
      </c>
      <c r="AR71" s="621">
        <f t="shared" ca="1" si="170"/>
        <v>0</v>
      </c>
      <c r="AS71" s="621">
        <f t="shared" ca="1" si="170"/>
        <v>0</v>
      </c>
      <c r="AT71" s="621">
        <f t="shared" ca="1" si="170"/>
        <v>0</v>
      </c>
      <c r="AU71" s="621">
        <f t="shared" ca="1" si="170"/>
        <v>0</v>
      </c>
      <c r="AV71" s="621">
        <f t="shared" ca="1" si="170"/>
        <v>0</v>
      </c>
      <c r="AW71" s="621">
        <f t="shared" ca="1" si="170"/>
        <v>0</v>
      </c>
      <c r="AX71" s="621">
        <f t="shared" ca="1" si="170"/>
        <v>0</v>
      </c>
      <c r="AY71" s="621">
        <f t="shared" ca="1" si="170"/>
        <v>0</v>
      </c>
      <c r="AZ71" s="621">
        <f t="shared" ca="1" si="170"/>
        <v>0</v>
      </c>
      <c r="BA71" s="621">
        <f t="shared" ca="1" si="170"/>
        <v>0</v>
      </c>
      <c r="BB71" s="621">
        <f t="shared" ca="1" si="170"/>
        <v>0</v>
      </c>
      <c r="BC71" s="621">
        <f t="shared" ca="1" si="170"/>
        <v>0</v>
      </c>
      <c r="BD71" s="621">
        <f t="shared" ca="1" si="170"/>
        <v>0</v>
      </c>
      <c r="BE71" s="621">
        <f t="shared" ca="1" si="170"/>
        <v>0</v>
      </c>
      <c r="BF71" s="615">
        <f ca="1">SUM(AM71:BE71)</f>
        <v>0</v>
      </c>
      <c r="BG71" s="6"/>
      <c r="BH71" s="3473">
        <f ca="1">IFERROR(INDEX(INDIRECT($C71&amp;".Outputs["&amp;this.Year&amp;"]"), MATCH(BH$5, INDIRECT($C71&amp;".Outputs[Vector]"), 0)), 0)</f>
        <v>-2.274685690664521E-2</v>
      </c>
      <c r="BI71" s="3473">
        <f ca="1">IFERROR(INDEX(INDIRECT($C71&amp;".Outputs["&amp;this.Year&amp;"]"), MATCH(BI$5, INDIRECT($C71&amp;".Outputs[Vector]"), 0)), 0)</f>
        <v>0</v>
      </c>
      <c r="BJ71" s="3462">
        <f ca="1">SUM(BH71:BI71)</f>
        <v>-2.274685690664521E-2</v>
      </c>
      <c r="BK71" s="6"/>
      <c r="BL71" s="610">
        <f t="shared" ca="1" si="162"/>
        <v>0</v>
      </c>
      <c r="BM71" s="610"/>
      <c r="BN71" s="413"/>
      <c r="BO71" s="2791">
        <f t="shared" ref="BO71:DF71" ca="1" si="171">IFERROR(SUMIFS(INDIRECT($C71&amp;".Emissions["&amp;this.Year&amp;"]"), INDIRECT($C71&amp;".Emissions[GHG]"), BO$6, INDIRECT($C71&amp;".Emissions[IPCC Sector]"), BO$5),0)</f>
        <v>0</v>
      </c>
      <c r="BP71" s="2792">
        <f t="shared" ca="1" si="171"/>
        <v>0</v>
      </c>
      <c r="BQ71" s="2792">
        <f t="shared" ca="1" si="171"/>
        <v>0</v>
      </c>
      <c r="BR71" s="2792">
        <f t="shared" ca="1" si="171"/>
        <v>0</v>
      </c>
      <c r="BS71" s="2792">
        <f t="shared" ca="1" si="171"/>
        <v>0</v>
      </c>
      <c r="BT71" s="2792">
        <f t="shared" ca="1" si="171"/>
        <v>0</v>
      </c>
      <c r="BU71" s="2792">
        <f t="shared" ca="1" si="171"/>
        <v>0</v>
      </c>
      <c r="BV71" s="2792">
        <f t="shared" ca="1" si="171"/>
        <v>0</v>
      </c>
      <c r="BW71" s="2792">
        <f t="shared" ca="1" si="171"/>
        <v>0</v>
      </c>
      <c r="BX71" s="2792">
        <f t="shared" ca="1" si="171"/>
        <v>0</v>
      </c>
      <c r="BY71" s="2792">
        <f t="shared" ca="1" si="171"/>
        <v>0</v>
      </c>
      <c r="BZ71" s="2792">
        <f t="shared" ca="1" si="171"/>
        <v>0</v>
      </c>
      <c r="CA71" s="2792">
        <f t="shared" ca="1" si="171"/>
        <v>0</v>
      </c>
      <c r="CB71" s="2792">
        <f t="shared" ca="1" si="171"/>
        <v>0</v>
      </c>
      <c r="CC71" s="2792">
        <f t="shared" ca="1" si="171"/>
        <v>0</v>
      </c>
      <c r="CD71" s="2792">
        <f t="shared" ca="1" si="171"/>
        <v>0</v>
      </c>
      <c r="CE71" s="2792">
        <f t="shared" ca="1" si="171"/>
        <v>0</v>
      </c>
      <c r="CF71" s="2792">
        <f t="shared" ca="1" si="171"/>
        <v>0</v>
      </c>
      <c r="CG71" s="2792">
        <f t="shared" ca="1" si="171"/>
        <v>0</v>
      </c>
      <c r="CH71" s="2792">
        <f t="shared" ca="1" si="171"/>
        <v>0</v>
      </c>
      <c r="CI71" s="2792">
        <f t="shared" ca="1" si="171"/>
        <v>0</v>
      </c>
      <c r="CJ71" s="2792">
        <f t="shared" ca="1" si="171"/>
        <v>0</v>
      </c>
      <c r="CK71" s="2792">
        <f t="shared" ca="1" si="171"/>
        <v>0</v>
      </c>
      <c r="CL71" s="2792">
        <f t="shared" ca="1" si="171"/>
        <v>0</v>
      </c>
      <c r="CM71" s="2792">
        <f t="shared" ca="1" si="171"/>
        <v>0</v>
      </c>
      <c r="CN71" s="2792">
        <f t="shared" ca="1" si="171"/>
        <v>0</v>
      </c>
      <c r="CO71" s="2792">
        <f t="shared" ca="1" si="171"/>
        <v>0</v>
      </c>
      <c r="CP71" s="2792">
        <f t="shared" ca="1" si="171"/>
        <v>0</v>
      </c>
      <c r="CQ71" s="2792">
        <f t="shared" ca="1" si="171"/>
        <v>0</v>
      </c>
      <c r="CR71" s="2792">
        <f t="shared" ca="1" si="171"/>
        <v>0</v>
      </c>
      <c r="CS71" s="2792">
        <f t="shared" ca="1" si="171"/>
        <v>0</v>
      </c>
      <c r="CT71" s="2792">
        <f t="shared" ca="1" si="171"/>
        <v>0</v>
      </c>
      <c r="CU71" s="2792">
        <f t="shared" ca="1" si="171"/>
        <v>0</v>
      </c>
      <c r="CV71" s="2792">
        <f t="shared" ca="1" si="171"/>
        <v>0</v>
      </c>
      <c r="CW71" s="2792">
        <f t="shared" ca="1" si="171"/>
        <v>0</v>
      </c>
      <c r="CX71" s="2792">
        <f t="shared" ca="1" si="171"/>
        <v>0</v>
      </c>
      <c r="CY71" s="2792">
        <f t="shared" ca="1" si="171"/>
        <v>0</v>
      </c>
      <c r="CZ71" s="2792">
        <f t="shared" ca="1" si="171"/>
        <v>0</v>
      </c>
      <c r="DA71" s="2792">
        <f t="shared" ca="1" si="171"/>
        <v>0</v>
      </c>
      <c r="DB71" s="2792">
        <f t="shared" ca="1" si="171"/>
        <v>0</v>
      </c>
      <c r="DC71" s="2792">
        <f t="shared" ca="1" si="171"/>
        <v>0</v>
      </c>
      <c r="DD71" s="2792">
        <f t="shared" ca="1" si="171"/>
        <v>0</v>
      </c>
      <c r="DE71" s="2792">
        <f t="shared" ca="1" si="171"/>
        <v>0</v>
      </c>
      <c r="DF71" s="2792">
        <f t="shared" ca="1" si="171"/>
        <v>0</v>
      </c>
      <c r="DH71" s="596">
        <f t="shared" ca="1" si="113"/>
        <v>0</v>
      </c>
    </row>
    <row r="72" spans="1:112" s="6" customFormat="1" ht="15.75">
      <c r="A72" s="4"/>
      <c r="B72" s="3"/>
      <c r="C72" s="616" t="s">
        <v>544</v>
      </c>
      <c r="D72" s="617" t="s">
        <v>545</v>
      </c>
      <c r="E72" s="206"/>
      <c r="G72" s="618">
        <f ca="1">G71</f>
        <v>0</v>
      </c>
      <c r="H72" s="618">
        <f t="shared" ref="H72:P72" ca="1" si="172">H71</f>
        <v>0</v>
      </c>
      <c r="I72" s="618">
        <f t="shared" ca="1" si="172"/>
        <v>0</v>
      </c>
      <c r="J72" s="618">
        <f t="shared" ca="1" si="172"/>
        <v>0</v>
      </c>
      <c r="K72" s="618">
        <f t="shared" ca="1" si="172"/>
        <v>0</v>
      </c>
      <c r="L72" s="618">
        <f t="shared" ca="1" si="172"/>
        <v>0</v>
      </c>
      <c r="M72" s="618">
        <f t="shared" ca="1" si="172"/>
        <v>0</v>
      </c>
      <c r="N72" s="618">
        <f t="shared" ca="1" si="172"/>
        <v>0</v>
      </c>
      <c r="O72" s="618">
        <f t="shared" ca="1" si="172"/>
        <v>0</v>
      </c>
      <c r="P72" s="618">
        <f t="shared" ca="1" si="172"/>
        <v>0</v>
      </c>
      <c r="Q72" s="618">
        <f ca="1">SUM(G72:P72)</f>
        <v>0</v>
      </c>
      <c r="S72" s="581">
        <f t="shared" ref="S72:AJ72" ca="1" si="173">S71</f>
        <v>0</v>
      </c>
      <c r="T72" s="581">
        <f t="shared" ca="1" si="173"/>
        <v>-3.7911428177742012E-3</v>
      </c>
      <c r="U72" s="581">
        <f t="shared" ca="1" si="173"/>
        <v>0</v>
      </c>
      <c r="V72" s="581">
        <f t="shared" ca="1" si="173"/>
        <v>0</v>
      </c>
      <c r="W72" s="581">
        <f t="shared" ca="1" si="173"/>
        <v>0</v>
      </c>
      <c r="X72" s="581">
        <f t="shared" ca="1" si="173"/>
        <v>0</v>
      </c>
      <c r="Y72" s="581">
        <f t="shared" ca="1" si="173"/>
        <v>0</v>
      </c>
      <c r="Z72" s="581">
        <f t="shared" ca="1" si="173"/>
        <v>0</v>
      </c>
      <c r="AA72" s="581">
        <f t="shared" ca="1" si="173"/>
        <v>0</v>
      </c>
      <c r="AB72" s="581">
        <f t="shared" ca="1" si="173"/>
        <v>2.6537999724419409E-2</v>
      </c>
      <c r="AC72" s="581">
        <f t="shared" ca="1" si="173"/>
        <v>0</v>
      </c>
      <c r="AD72" s="581">
        <f ca="1">AD71</f>
        <v>0</v>
      </c>
      <c r="AE72" s="581">
        <f ca="1">AE71</f>
        <v>0</v>
      </c>
      <c r="AF72" s="581">
        <f t="shared" ca="1" si="173"/>
        <v>0</v>
      </c>
      <c r="AG72" s="581">
        <f t="shared" ca="1" si="173"/>
        <v>0</v>
      </c>
      <c r="AH72" s="581">
        <f ca="1">AH71</f>
        <v>0</v>
      </c>
      <c r="AI72" s="581">
        <f ca="1">AI71</f>
        <v>0</v>
      </c>
      <c r="AJ72" s="581">
        <f t="shared" ca="1" si="173"/>
        <v>0</v>
      </c>
      <c r="AK72" s="581">
        <f ca="1">SUM(S72:AJ72)</f>
        <v>2.274685690664521E-2</v>
      </c>
      <c r="AM72" s="582">
        <f ca="1">AM71</f>
        <v>0</v>
      </c>
      <c r="AN72" s="582">
        <f t="shared" ref="AN72:BE72" ca="1" si="174">AN71</f>
        <v>0</v>
      </c>
      <c r="AO72" s="582">
        <f t="shared" ca="1" si="174"/>
        <v>0</v>
      </c>
      <c r="AP72" s="582">
        <f t="shared" ca="1" si="174"/>
        <v>0</v>
      </c>
      <c r="AQ72" s="582">
        <f t="shared" ca="1" si="174"/>
        <v>0</v>
      </c>
      <c r="AR72" s="582">
        <f t="shared" ca="1" si="174"/>
        <v>0</v>
      </c>
      <c r="AS72" s="582">
        <f t="shared" ca="1" si="174"/>
        <v>0</v>
      </c>
      <c r="AT72" s="582">
        <f t="shared" ca="1" si="174"/>
        <v>0</v>
      </c>
      <c r="AU72" s="582">
        <f t="shared" ca="1" si="174"/>
        <v>0</v>
      </c>
      <c r="AV72" s="582">
        <f t="shared" ca="1" si="174"/>
        <v>0</v>
      </c>
      <c r="AW72" s="582">
        <f t="shared" ca="1" si="174"/>
        <v>0</v>
      </c>
      <c r="AX72" s="582">
        <f t="shared" ca="1" si="174"/>
        <v>0</v>
      </c>
      <c r="AY72" s="582">
        <f t="shared" ca="1" si="174"/>
        <v>0</v>
      </c>
      <c r="AZ72" s="582">
        <f t="shared" ca="1" si="174"/>
        <v>0</v>
      </c>
      <c r="BA72" s="582">
        <f t="shared" ca="1" si="174"/>
        <v>0</v>
      </c>
      <c r="BB72" s="582">
        <f t="shared" ca="1" si="174"/>
        <v>0</v>
      </c>
      <c r="BC72" s="582">
        <f t="shared" ca="1" si="174"/>
        <v>0</v>
      </c>
      <c r="BD72" s="582">
        <f t="shared" ca="1" si="174"/>
        <v>0</v>
      </c>
      <c r="BE72" s="582">
        <f t="shared" ca="1" si="174"/>
        <v>0</v>
      </c>
      <c r="BF72" s="582">
        <f ca="1">SUM(AM72:BE72)</f>
        <v>0</v>
      </c>
      <c r="BH72" s="3463">
        <f ca="1">BH71</f>
        <v>-2.274685690664521E-2</v>
      </c>
      <c r="BI72" s="3463">
        <f ca="1">BI71</f>
        <v>0</v>
      </c>
      <c r="BJ72" s="3463">
        <f ca="1">SUM(BH72:BI72)</f>
        <v>-2.274685690664521E-2</v>
      </c>
      <c r="BL72" s="3477">
        <f t="shared" ca="1" si="162"/>
        <v>0</v>
      </c>
      <c r="BM72" s="584"/>
      <c r="BN72" s="413"/>
      <c r="BO72" s="2790">
        <f t="shared" ref="BO72:DF72" ca="1" si="175">BO71</f>
        <v>0</v>
      </c>
      <c r="BP72" s="2790">
        <f t="shared" ca="1" si="175"/>
        <v>0</v>
      </c>
      <c r="BQ72" s="2790">
        <f t="shared" ca="1" si="175"/>
        <v>0</v>
      </c>
      <c r="BR72" s="2790">
        <f t="shared" ca="1" si="175"/>
        <v>0</v>
      </c>
      <c r="BS72" s="2790">
        <f t="shared" ca="1" si="175"/>
        <v>0</v>
      </c>
      <c r="BT72" s="2790">
        <f t="shared" ca="1" si="175"/>
        <v>0</v>
      </c>
      <c r="BU72" s="2790">
        <f t="shared" ca="1" si="175"/>
        <v>0</v>
      </c>
      <c r="BV72" s="2790">
        <f t="shared" ca="1" si="175"/>
        <v>0</v>
      </c>
      <c r="BW72" s="2790">
        <f t="shared" ca="1" si="175"/>
        <v>0</v>
      </c>
      <c r="BX72" s="2790">
        <f t="shared" ca="1" si="175"/>
        <v>0</v>
      </c>
      <c r="BY72" s="2790">
        <f t="shared" ca="1" si="175"/>
        <v>0</v>
      </c>
      <c r="BZ72" s="2790">
        <f t="shared" ca="1" si="175"/>
        <v>0</v>
      </c>
      <c r="CA72" s="2790">
        <f t="shared" ca="1" si="175"/>
        <v>0</v>
      </c>
      <c r="CB72" s="2790">
        <f t="shared" ca="1" si="175"/>
        <v>0</v>
      </c>
      <c r="CC72" s="2790">
        <f t="shared" ca="1" si="175"/>
        <v>0</v>
      </c>
      <c r="CD72" s="2790">
        <f t="shared" ca="1" si="175"/>
        <v>0</v>
      </c>
      <c r="CE72" s="2790">
        <f t="shared" ca="1" si="175"/>
        <v>0</v>
      </c>
      <c r="CF72" s="2790">
        <f t="shared" ca="1" si="175"/>
        <v>0</v>
      </c>
      <c r="CG72" s="2790">
        <f t="shared" ca="1" si="175"/>
        <v>0</v>
      </c>
      <c r="CH72" s="2790">
        <f t="shared" ca="1" si="175"/>
        <v>0</v>
      </c>
      <c r="CI72" s="2790">
        <f t="shared" ca="1" si="175"/>
        <v>0</v>
      </c>
      <c r="CJ72" s="2790">
        <f t="shared" ca="1" si="175"/>
        <v>0</v>
      </c>
      <c r="CK72" s="2790">
        <f t="shared" ca="1" si="175"/>
        <v>0</v>
      </c>
      <c r="CL72" s="2790">
        <f t="shared" ca="1" si="175"/>
        <v>0</v>
      </c>
      <c r="CM72" s="2790">
        <f t="shared" ca="1" si="175"/>
        <v>0</v>
      </c>
      <c r="CN72" s="2790">
        <f t="shared" ca="1" si="175"/>
        <v>0</v>
      </c>
      <c r="CO72" s="2790">
        <f t="shared" ca="1" si="175"/>
        <v>0</v>
      </c>
      <c r="CP72" s="2790">
        <f t="shared" ca="1" si="175"/>
        <v>0</v>
      </c>
      <c r="CQ72" s="2790">
        <f t="shared" ca="1" si="175"/>
        <v>0</v>
      </c>
      <c r="CR72" s="2790">
        <f t="shared" ca="1" si="175"/>
        <v>0</v>
      </c>
      <c r="CS72" s="2790">
        <f t="shared" ca="1" si="175"/>
        <v>0</v>
      </c>
      <c r="CT72" s="2790">
        <f t="shared" ca="1" si="175"/>
        <v>0</v>
      </c>
      <c r="CU72" s="2790">
        <f t="shared" ca="1" si="175"/>
        <v>0</v>
      </c>
      <c r="CV72" s="2790">
        <f t="shared" ca="1" si="175"/>
        <v>0</v>
      </c>
      <c r="CW72" s="2790">
        <f t="shared" ca="1" si="175"/>
        <v>0</v>
      </c>
      <c r="CX72" s="2790">
        <f t="shared" ca="1" si="175"/>
        <v>0</v>
      </c>
      <c r="CY72" s="2790">
        <f t="shared" ca="1" si="175"/>
        <v>0</v>
      </c>
      <c r="CZ72" s="2790">
        <f t="shared" ca="1" si="175"/>
        <v>0</v>
      </c>
      <c r="DA72" s="2790">
        <f t="shared" ca="1" si="175"/>
        <v>0</v>
      </c>
      <c r="DB72" s="2790">
        <f t="shared" ca="1" si="175"/>
        <v>0</v>
      </c>
      <c r="DC72" s="2790">
        <f t="shared" ca="1" si="175"/>
        <v>0</v>
      </c>
      <c r="DD72" s="2790">
        <f t="shared" ca="1" si="175"/>
        <v>0</v>
      </c>
      <c r="DE72" s="2790">
        <f t="shared" ca="1" si="175"/>
        <v>0</v>
      </c>
      <c r="DF72" s="2790">
        <f t="shared" ca="1" si="175"/>
        <v>0</v>
      </c>
      <c r="DH72" s="596">
        <f t="shared" ca="1" si="113"/>
        <v>0</v>
      </c>
    </row>
    <row r="73" spans="1:112" s="6" customFormat="1">
      <c r="A73" s="4"/>
      <c r="B73" s="4"/>
      <c r="C73" s="622"/>
      <c r="D73" s="206"/>
      <c r="E73" s="206"/>
      <c r="G73" s="579"/>
      <c r="H73" s="579"/>
      <c r="I73" s="579"/>
      <c r="J73" s="579"/>
      <c r="K73" s="638"/>
      <c r="L73" s="579"/>
      <c r="M73" s="579"/>
      <c r="N73" s="579"/>
      <c r="O73" s="579"/>
      <c r="P73" s="579"/>
      <c r="Q73" s="579"/>
      <c r="S73" s="581"/>
      <c r="T73" s="581"/>
      <c r="U73" s="581"/>
      <c r="V73" s="581"/>
      <c r="W73" s="581"/>
      <c r="X73" s="581"/>
      <c r="Y73" s="581"/>
      <c r="Z73" s="581"/>
      <c r="AA73" s="581"/>
      <c r="AB73" s="581"/>
      <c r="AC73" s="581"/>
      <c r="AD73" s="581"/>
      <c r="AE73" s="581"/>
      <c r="AF73" s="581"/>
      <c r="AG73" s="581"/>
      <c r="AH73" s="581"/>
      <c r="AI73" s="581"/>
      <c r="AJ73" s="581"/>
      <c r="AK73" s="581"/>
      <c r="AM73" s="582"/>
      <c r="AN73" s="582"/>
      <c r="AO73" s="582"/>
      <c r="AP73" s="582"/>
      <c r="AQ73" s="582"/>
      <c r="AR73" s="582"/>
      <c r="AS73" s="582"/>
      <c r="AT73" s="582"/>
      <c r="AU73" s="582"/>
      <c r="AV73" s="582"/>
      <c r="AW73" s="582"/>
      <c r="AX73" s="582"/>
      <c r="AY73" s="582"/>
      <c r="AZ73" s="582"/>
      <c r="BA73" s="582"/>
      <c r="BB73" s="582"/>
      <c r="BC73" s="582"/>
      <c r="BD73" s="582"/>
      <c r="BE73" s="582"/>
      <c r="BF73" s="582"/>
      <c r="BH73" s="3463"/>
      <c r="BI73" s="3463"/>
      <c r="BJ73" s="3463"/>
      <c r="BL73" s="3477"/>
      <c r="BM73" s="584"/>
      <c r="BN73" s="4"/>
      <c r="BO73" s="2790"/>
      <c r="BP73" s="2790"/>
      <c r="BQ73" s="2790"/>
      <c r="BR73" s="2790"/>
      <c r="BS73" s="2790"/>
      <c r="BT73" s="2790"/>
      <c r="BU73" s="2790"/>
      <c r="BV73" s="2790"/>
      <c r="BW73" s="2790"/>
      <c r="BX73" s="2790"/>
      <c r="BY73" s="2790"/>
      <c r="BZ73" s="2790"/>
      <c r="CA73" s="2790"/>
      <c r="CB73" s="2790"/>
      <c r="CC73" s="2790"/>
      <c r="CD73" s="2790"/>
      <c r="CE73" s="2790"/>
      <c r="CF73" s="2790"/>
      <c r="CG73" s="2790"/>
      <c r="CH73" s="2790"/>
      <c r="CI73" s="2790"/>
      <c r="CJ73" s="2790"/>
      <c r="CK73" s="2790"/>
      <c r="CL73" s="2790"/>
      <c r="CM73" s="2790"/>
      <c r="CN73" s="2790"/>
      <c r="CO73" s="2790"/>
      <c r="CP73" s="2790"/>
      <c r="CQ73" s="2790"/>
      <c r="CR73" s="2790"/>
      <c r="CS73" s="2790"/>
      <c r="CT73" s="2790"/>
      <c r="CU73" s="2790"/>
      <c r="CV73" s="2790"/>
      <c r="CW73" s="2790"/>
      <c r="CX73" s="2790"/>
      <c r="CY73" s="2790"/>
      <c r="CZ73" s="2790"/>
      <c r="DA73" s="2790"/>
      <c r="DB73" s="2790"/>
      <c r="DC73" s="2790"/>
      <c r="DD73" s="2790"/>
      <c r="DE73" s="2790"/>
      <c r="DF73" s="2790"/>
      <c r="DH73" s="596">
        <f t="shared" si="113"/>
        <v>0</v>
      </c>
    </row>
    <row r="74" spans="1:112" s="652" customFormat="1">
      <c r="C74" s="667" t="s">
        <v>546</v>
      </c>
      <c r="D74" s="668" t="s">
        <v>547</v>
      </c>
      <c r="E74" s="668"/>
      <c r="F74" s="6"/>
      <c r="G74" s="669"/>
      <c r="H74" s="669"/>
      <c r="I74" s="669"/>
      <c r="J74" s="669"/>
      <c r="K74" s="670"/>
      <c r="L74" s="669"/>
      <c r="M74" s="669"/>
      <c r="N74" s="669"/>
      <c r="O74" s="669"/>
      <c r="P74" s="669"/>
      <c r="Q74" s="669"/>
      <c r="R74" s="6"/>
      <c r="S74" s="671">
        <f ca="1">S$40+S$46+S$51+S$99+S$55+S$93+S$63+S$68+S$72</f>
        <v>-28.534423087242338</v>
      </c>
      <c r="T74" s="671">
        <f ca="1">T$40+T$46+T$51+T$99+T$55+T$93+T$63+T$68+T$72</f>
        <v>77.911312125363409</v>
      </c>
      <c r="U74" s="671"/>
      <c r="V74" s="671"/>
      <c r="W74" s="671"/>
      <c r="X74" s="671"/>
      <c r="Y74" s="671"/>
      <c r="Z74" s="671"/>
      <c r="AA74" s="671"/>
      <c r="AB74" s="671"/>
      <c r="AC74" s="671"/>
      <c r="AD74" s="671"/>
      <c r="AE74" s="671"/>
      <c r="AF74" s="671"/>
      <c r="AG74" s="671"/>
      <c r="AH74" s="671"/>
      <c r="AI74" s="671"/>
      <c r="AJ74" s="671"/>
      <c r="AK74" s="671"/>
      <c r="AL74" s="6"/>
      <c r="AM74" s="672"/>
      <c r="AN74" s="672"/>
      <c r="AO74" s="672"/>
      <c r="AP74" s="672"/>
      <c r="AQ74" s="672"/>
      <c r="AR74" s="672"/>
      <c r="AS74" s="672"/>
      <c r="AT74" s="672"/>
      <c r="AU74" s="672"/>
      <c r="AV74" s="672"/>
      <c r="AW74" s="672"/>
      <c r="AX74" s="672"/>
      <c r="AY74" s="672"/>
      <c r="AZ74" s="672"/>
      <c r="BA74" s="672"/>
      <c r="BB74" s="672"/>
      <c r="BC74" s="672"/>
      <c r="BD74" s="672"/>
      <c r="BE74" s="672"/>
      <c r="BF74" s="672"/>
      <c r="BG74" s="6"/>
      <c r="BH74" s="673"/>
      <c r="BI74" s="673"/>
      <c r="BJ74" s="673">
        <f>SUM(BH74:BI74)</f>
        <v>0</v>
      </c>
      <c r="BK74" s="6"/>
      <c r="BL74" s="654">
        <f t="shared" ref="BL74:BL87" si="176">Q74+AK74+BF74+BJ74</f>
        <v>0</v>
      </c>
      <c r="BM74" s="654"/>
      <c r="BO74" s="2795"/>
      <c r="BP74" s="2795"/>
      <c r="BQ74" s="2795"/>
      <c r="BR74" s="2795"/>
      <c r="BS74" s="2795"/>
      <c r="BT74" s="2795"/>
      <c r="BU74" s="2795"/>
      <c r="BV74" s="2795"/>
      <c r="BW74" s="2795"/>
      <c r="BX74" s="2795"/>
      <c r="BY74" s="2795"/>
      <c r="BZ74" s="2795"/>
      <c r="CA74" s="2795"/>
      <c r="CB74" s="2795"/>
      <c r="CC74" s="2795"/>
      <c r="CD74" s="2795"/>
      <c r="CE74" s="2795"/>
      <c r="CF74" s="2795"/>
      <c r="CG74" s="2795"/>
      <c r="CH74" s="2795"/>
      <c r="CI74" s="2795"/>
      <c r="CJ74" s="2795"/>
      <c r="CK74" s="2795"/>
      <c r="CL74" s="2795"/>
      <c r="CM74" s="2795"/>
      <c r="CN74" s="2795"/>
      <c r="CO74" s="2795"/>
      <c r="CP74" s="2795"/>
      <c r="CQ74" s="2795"/>
      <c r="CR74" s="2795"/>
      <c r="CS74" s="2795"/>
      <c r="CT74" s="2795"/>
      <c r="CU74" s="2795"/>
      <c r="CV74" s="2795"/>
      <c r="CW74" s="2795"/>
      <c r="CX74" s="2795"/>
      <c r="CY74" s="2795"/>
      <c r="CZ74" s="2795"/>
      <c r="DA74" s="2795"/>
      <c r="DB74" s="2795"/>
      <c r="DC74" s="2795"/>
      <c r="DD74" s="2795"/>
      <c r="DE74" s="2795"/>
      <c r="DF74" s="2795"/>
      <c r="DH74" s="596">
        <f t="shared" si="113"/>
        <v>0</v>
      </c>
    </row>
    <row r="75" spans="1:112" s="607" customFormat="1">
      <c r="C75" s="587" t="s">
        <v>548</v>
      </c>
      <c r="D75" s="611" t="s">
        <v>549</v>
      </c>
      <c r="E75" s="611"/>
      <c r="F75" s="6"/>
      <c r="G75" s="619">
        <f t="shared" ref="G75:P75" ca="1" si="177">IFERROR(INDEX(INDIRECT($C75&amp;".Outputs["&amp;this.Year&amp;"]"), MATCH(G$5, INDIRECT($C75&amp;".Outputs[Vector]"), 0)), 0)</f>
        <v>0</v>
      </c>
      <c r="H75" s="619">
        <f t="shared" ca="1" si="177"/>
        <v>0</v>
      </c>
      <c r="I75" s="619">
        <f t="shared" ca="1" si="177"/>
        <v>0</v>
      </c>
      <c r="J75" s="619">
        <f t="shared" ca="1" si="177"/>
        <v>0</v>
      </c>
      <c r="K75" s="619">
        <f t="shared" ca="1" si="177"/>
        <v>0</v>
      </c>
      <c r="L75" s="619">
        <f t="shared" ca="1" si="177"/>
        <v>0</v>
      </c>
      <c r="M75" s="619">
        <f t="shared" ca="1" si="177"/>
        <v>0</v>
      </c>
      <c r="N75" s="619">
        <f t="shared" ca="1" si="177"/>
        <v>0</v>
      </c>
      <c r="O75" s="619">
        <f t="shared" ca="1" si="177"/>
        <v>0</v>
      </c>
      <c r="P75" s="619">
        <f t="shared" ca="1" si="177"/>
        <v>0</v>
      </c>
      <c r="Q75" s="612">
        <f ca="1">SUM(G75:P75)</f>
        <v>0</v>
      </c>
      <c r="R75" s="6"/>
      <c r="S75" s="620">
        <f t="shared" ref="S75:AJ75" ca="1" si="178">IFERROR(INDEX(INDIRECT($C75&amp;".Outputs["&amp;this.Year&amp;"]"), MATCH(S$5, INDIRECT($C75&amp;".Outputs[Vector]"), 0)), 0)</f>
        <v>0</v>
      </c>
      <c r="T75" s="620">
        <f t="shared" ca="1" si="178"/>
        <v>7.0128000000000013</v>
      </c>
      <c r="U75" s="620">
        <f t="shared" ca="1" si="178"/>
        <v>0</v>
      </c>
      <c r="V75" s="620">
        <f t="shared" ca="1" si="178"/>
        <v>0</v>
      </c>
      <c r="W75" s="620">
        <f t="shared" ca="1" si="178"/>
        <v>0</v>
      </c>
      <c r="X75" s="620">
        <f ca="1">IFERROR(INDEX(INDIRECT($C75&amp;".Outputs["&amp;this.Year&amp;"]"), MATCH(X$5, INDIRECT($C75&amp;".Outputs[Vector]"), 0)), 0)</f>
        <v>0</v>
      </c>
      <c r="Y75" s="620">
        <f ca="1">IFERROR(INDEX(INDIRECT($C75&amp;".Outputs["&amp;this.Year&amp;"]"), MATCH(Y$5, INDIRECT($C75&amp;".Outputs[Vector]"), 0)), 0)</f>
        <v>0</v>
      </c>
      <c r="Z75" s="620">
        <f ca="1">IFERROR(INDEX(INDIRECT($C75&amp;".Outputs["&amp;this.Year&amp;"]"), MATCH(Z$5, INDIRECT($C75&amp;".Outputs[Vector]"), 0)), 0)</f>
        <v>0</v>
      </c>
      <c r="AA75" s="620">
        <f t="shared" ca="1" si="178"/>
        <v>0</v>
      </c>
      <c r="AB75" s="620">
        <f t="shared" ca="1" si="178"/>
        <v>0</v>
      </c>
      <c r="AC75" s="620">
        <f t="shared" ca="1" si="178"/>
        <v>0</v>
      </c>
      <c r="AD75" s="620">
        <f t="shared" ca="1" si="178"/>
        <v>0</v>
      </c>
      <c r="AE75" s="620">
        <f t="shared" ca="1" si="178"/>
        <v>0</v>
      </c>
      <c r="AF75" s="620">
        <f t="shared" ca="1" si="178"/>
        <v>0</v>
      </c>
      <c r="AG75" s="620">
        <f t="shared" ca="1" si="178"/>
        <v>0</v>
      </c>
      <c r="AH75" s="620">
        <f t="shared" ca="1" si="178"/>
        <v>0</v>
      </c>
      <c r="AI75" s="620">
        <f t="shared" ca="1" si="178"/>
        <v>0</v>
      </c>
      <c r="AJ75" s="620">
        <f t="shared" ca="1" si="178"/>
        <v>0</v>
      </c>
      <c r="AK75" s="613">
        <f ca="1">SUM(S75:AJ75)</f>
        <v>7.0128000000000013</v>
      </c>
      <c r="AL75" s="6"/>
      <c r="AM75" s="621">
        <f t="shared" ref="AM75:BE75" ca="1" si="179">IFERROR(INDEX(INDIRECT($C75&amp;".Outputs["&amp;this.Year&amp;"]"), MATCH(AM$5, INDIRECT($C75&amp;".Outputs[Vector]"), 0)), 0)</f>
        <v>0</v>
      </c>
      <c r="AN75" s="621">
        <f t="shared" ca="1" si="179"/>
        <v>0</v>
      </c>
      <c r="AO75" s="621">
        <f t="shared" ca="1" si="179"/>
        <v>0</v>
      </c>
      <c r="AP75" s="621">
        <f t="shared" ca="1" si="179"/>
        <v>0</v>
      </c>
      <c r="AQ75" s="621">
        <f t="shared" ca="1" si="179"/>
        <v>0</v>
      </c>
      <c r="AR75" s="621">
        <f t="shared" ca="1" si="179"/>
        <v>0</v>
      </c>
      <c r="AS75" s="621">
        <f t="shared" ca="1" si="179"/>
        <v>0</v>
      </c>
      <c r="AT75" s="621">
        <f t="shared" ca="1" si="179"/>
        <v>0</v>
      </c>
      <c r="AU75" s="621">
        <f t="shared" ca="1" si="179"/>
        <v>0</v>
      </c>
      <c r="AV75" s="621">
        <f t="shared" ca="1" si="179"/>
        <v>-21.428000000000004</v>
      </c>
      <c r="AW75" s="621">
        <f t="shared" ca="1" si="179"/>
        <v>0</v>
      </c>
      <c r="AX75" s="621">
        <f t="shared" ca="1" si="179"/>
        <v>0</v>
      </c>
      <c r="AY75" s="621">
        <f t="shared" ca="1" si="179"/>
        <v>0</v>
      </c>
      <c r="AZ75" s="621">
        <f t="shared" ca="1" si="179"/>
        <v>0</v>
      </c>
      <c r="BA75" s="621">
        <f t="shared" ca="1" si="179"/>
        <v>0</v>
      </c>
      <c r="BB75" s="621">
        <f t="shared" ca="1" si="179"/>
        <v>0</v>
      </c>
      <c r="BC75" s="621">
        <f t="shared" ca="1" si="179"/>
        <v>0</v>
      </c>
      <c r="BD75" s="621">
        <f t="shared" ca="1" si="179"/>
        <v>0</v>
      </c>
      <c r="BE75" s="621">
        <f t="shared" ca="1" si="179"/>
        <v>0</v>
      </c>
      <c r="BF75" s="615">
        <f ca="1">SUM(AM75:BE75)</f>
        <v>-21.428000000000004</v>
      </c>
      <c r="BG75" s="6"/>
      <c r="BH75" s="3473">
        <f ca="1">IFERROR(INDEX(INDIRECT($C75&amp;".Outputs["&amp;this.Year&amp;"]"), MATCH(BH$5, INDIRECT($C75&amp;".Outputs[Vector]"), 0)), 0)</f>
        <v>13.713920000000003</v>
      </c>
      <c r="BI75" s="3473">
        <f ca="1">IFERROR(INDEX(INDIRECT($C75&amp;".Outputs["&amp;this.Year&amp;"]"), MATCH(BI$5, INDIRECT($C75&amp;".Outputs[Vector]"), 0)), 0)</f>
        <v>0.70128000000000013</v>
      </c>
      <c r="BJ75" s="3462">
        <f ca="1">SUM(BH75:BI75)</f>
        <v>14.415200000000004</v>
      </c>
      <c r="BK75" s="6"/>
      <c r="BL75" s="610">
        <f t="shared" ca="1" si="176"/>
        <v>0</v>
      </c>
      <c r="BM75" s="610"/>
      <c r="BN75" s="413"/>
      <c r="BO75" s="2791">
        <f t="shared" ref="BO75:DF75" ca="1" si="180">IFERROR(SUMIFS(INDIRECT($C75&amp;".Emissions["&amp;this.Year&amp;"]"), INDIRECT($C75&amp;".Emissions[GHG]"), BO$6, INDIRECT($C75&amp;".Emissions[IPCC Sector]"), BO$5),0)</f>
        <v>0</v>
      </c>
      <c r="BP75" s="2792">
        <f t="shared" ca="1" si="180"/>
        <v>0</v>
      </c>
      <c r="BQ75" s="2792">
        <f t="shared" ca="1" si="180"/>
        <v>0</v>
      </c>
      <c r="BR75" s="2792">
        <f t="shared" ca="1" si="180"/>
        <v>0</v>
      </c>
      <c r="BS75" s="2792">
        <f t="shared" ca="1" si="180"/>
        <v>0</v>
      </c>
      <c r="BT75" s="2792">
        <f t="shared" ca="1" si="180"/>
        <v>0</v>
      </c>
      <c r="BU75" s="2792">
        <f t="shared" ca="1" si="180"/>
        <v>0</v>
      </c>
      <c r="BV75" s="2792">
        <f t="shared" ca="1" si="180"/>
        <v>0</v>
      </c>
      <c r="BW75" s="2792">
        <f t="shared" ca="1" si="180"/>
        <v>0</v>
      </c>
      <c r="BX75" s="2792">
        <f t="shared" ca="1" si="180"/>
        <v>0</v>
      </c>
      <c r="BY75" s="2792">
        <f t="shared" ca="1" si="180"/>
        <v>0</v>
      </c>
      <c r="BZ75" s="2792">
        <f t="shared" ca="1" si="180"/>
        <v>0</v>
      </c>
      <c r="CA75" s="2792">
        <f t="shared" ca="1" si="180"/>
        <v>0</v>
      </c>
      <c r="CB75" s="2792">
        <f t="shared" ca="1" si="180"/>
        <v>0</v>
      </c>
      <c r="CC75" s="2792">
        <f t="shared" ca="1" si="180"/>
        <v>0</v>
      </c>
      <c r="CD75" s="2792">
        <f t="shared" ca="1" si="180"/>
        <v>0</v>
      </c>
      <c r="CE75" s="2792">
        <f t="shared" ca="1" si="180"/>
        <v>0</v>
      </c>
      <c r="CF75" s="2792">
        <f t="shared" ca="1" si="180"/>
        <v>0</v>
      </c>
      <c r="CG75" s="2792">
        <f t="shared" ca="1" si="180"/>
        <v>0</v>
      </c>
      <c r="CH75" s="2792">
        <f t="shared" ca="1" si="180"/>
        <v>0</v>
      </c>
      <c r="CI75" s="2792">
        <f t="shared" ca="1" si="180"/>
        <v>0</v>
      </c>
      <c r="CJ75" s="2792">
        <f t="shared" ca="1" si="180"/>
        <v>0</v>
      </c>
      <c r="CK75" s="2792">
        <f t="shared" ca="1" si="180"/>
        <v>0</v>
      </c>
      <c r="CL75" s="2792">
        <f t="shared" ca="1" si="180"/>
        <v>0</v>
      </c>
      <c r="CM75" s="2792">
        <f t="shared" ca="1" si="180"/>
        <v>0</v>
      </c>
      <c r="CN75" s="2792">
        <f t="shared" ca="1" si="180"/>
        <v>0</v>
      </c>
      <c r="CO75" s="2792">
        <f t="shared" ca="1" si="180"/>
        <v>0</v>
      </c>
      <c r="CP75" s="2792">
        <f t="shared" ca="1" si="180"/>
        <v>0</v>
      </c>
      <c r="CQ75" s="2792">
        <f t="shared" ca="1" si="180"/>
        <v>0</v>
      </c>
      <c r="CR75" s="2792">
        <f t="shared" ca="1" si="180"/>
        <v>0</v>
      </c>
      <c r="CS75" s="2792">
        <f t="shared" ca="1" si="180"/>
        <v>0</v>
      </c>
      <c r="CT75" s="2792">
        <f t="shared" ca="1" si="180"/>
        <v>0</v>
      </c>
      <c r="CU75" s="2792">
        <f t="shared" ca="1" si="180"/>
        <v>0</v>
      </c>
      <c r="CV75" s="2792">
        <f t="shared" ca="1" si="180"/>
        <v>0</v>
      </c>
      <c r="CW75" s="2792">
        <f t="shared" ca="1" si="180"/>
        <v>0</v>
      </c>
      <c r="CX75" s="2792">
        <f t="shared" ca="1" si="180"/>
        <v>0</v>
      </c>
      <c r="CY75" s="2792">
        <f t="shared" ca="1" si="180"/>
        <v>0</v>
      </c>
      <c r="CZ75" s="2792">
        <f t="shared" ca="1" si="180"/>
        <v>0</v>
      </c>
      <c r="DA75" s="2792">
        <f t="shared" ca="1" si="180"/>
        <v>0</v>
      </c>
      <c r="DB75" s="2792">
        <f t="shared" ca="1" si="180"/>
        <v>0</v>
      </c>
      <c r="DC75" s="2792">
        <f t="shared" ca="1" si="180"/>
        <v>0</v>
      </c>
      <c r="DD75" s="2792">
        <f t="shared" ca="1" si="180"/>
        <v>0</v>
      </c>
      <c r="DE75" s="2792">
        <f t="shared" ca="1" si="180"/>
        <v>0</v>
      </c>
      <c r="DF75" s="2792">
        <f t="shared" ca="1" si="180"/>
        <v>0</v>
      </c>
      <c r="DH75" s="596">
        <f t="shared" ca="1" si="113"/>
        <v>0</v>
      </c>
    </row>
    <row r="76" spans="1:112" s="6" customFormat="1" ht="15.75">
      <c r="A76" s="4"/>
      <c r="B76" s="3"/>
      <c r="C76" s="616" t="s">
        <v>550</v>
      </c>
      <c r="D76" s="617" t="s">
        <v>551</v>
      </c>
      <c r="E76" s="206"/>
      <c r="G76" s="618">
        <f ca="1">G75</f>
        <v>0</v>
      </c>
      <c r="H76" s="618">
        <f t="shared" ref="H76:P76" ca="1" si="181">H75</f>
        <v>0</v>
      </c>
      <c r="I76" s="618">
        <f t="shared" ca="1" si="181"/>
        <v>0</v>
      </c>
      <c r="J76" s="618">
        <f t="shared" ca="1" si="181"/>
        <v>0</v>
      </c>
      <c r="K76" s="618">
        <f t="shared" ca="1" si="181"/>
        <v>0</v>
      </c>
      <c r="L76" s="618">
        <f t="shared" ca="1" si="181"/>
        <v>0</v>
      </c>
      <c r="M76" s="618">
        <f t="shared" ca="1" si="181"/>
        <v>0</v>
      </c>
      <c r="N76" s="618">
        <f t="shared" ca="1" si="181"/>
        <v>0</v>
      </c>
      <c r="O76" s="618">
        <f t="shared" ca="1" si="181"/>
        <v>0</v>
      </c>
      <c r="P76" s="618">
        <f t="shared" ca="1" si="181"/>
        <v>0</v>
      </c>
      <c r="Q76" s="618">
        <f ca="1">SUM(G76:P76)</f>
        <v>0</v>
      </c>
      <c r="S76" s="581">
        <f t="shared" ref="S76:AJ76" ca="1" si="182">S75</f>
        <v>0</v>
      </c>
      <c r="T76" s="581">
        <f t="shared" ca="1" si="182"/>
        <v>7.0128000000000013</v>
      </c>
      <c r="U76" s="581">
        <f t="shared" ca="1" si="182"/>
        <v>0</v>
      </c>
      <c r="V76" s="581">
        <f t="shared" ca="1" si="182"/>
        <v>0</v>
      </c>
      <c r="W76" s="581">
        <f t="shared" ca="1" si="182"/>
        <v>0</v>
      </c>
      <c r="X76" s="581">
        <f t="shared" ca="1" si="182"/>
        <v>0</v>
      </c>
      <c r="Y76" s="581">
        <f t="shared" ca="1" si="182"/>
        <v>0</v>
      </c>
      <c r="Z76" s="581">
        <f t="shared" ca="1" si="182"/>
        <v>0</v>
      </c>
      <c r="AA76" s="581">
        <f t="shared" ca="1" si="182"/>
        <v>0</v>
      </c>
      <c r="AB76" s="581">
        <f t="shared" ca="1" si="182"/>
        <v>0</v>
      </c>
      <c r="AC76" s="581">
        <f t="shared" ca="1" si="182"/>
        <v>0</v>
      </c>
      <c r="AD76" s="581">
        <f t="shared" ca="1" si="182"/>
        <v>0</v>
      </c>
      <c r="AE76" s="581">
        <f ca="1">AE75</f>
        <v>0</v>
      </c>
      <c r="AF76" s="581">
        <f t="shared" ca="1" si="182"/>
        <v>0</v>
      </c>
      <c r="AG76" s="581">
        <f t="shared" ca="1" si="182"/>
        <v>0</v>
      </c>
      <c r="AH76" s="581">
        <f ca="1">AH75</f>
        <v>0</v>
      </c>
      <c r="AI76" s="581">
        <f t="shared" ca="1" si="182"/>
        <v>0</v>
      </c>
      <c r="AJ76" s="581">
        <f t="shared" ca="1" si="182"/>
        <v>0</v>
      </c>
      <c r="AK76" s="581">
        <f ca="1">SUM(S76:AJ76)</f>
        <v>7.0128000000000013</v>
      </c>
      <c r="AM76" s="582">
        <f t="shared" ref="AM76:BE76" ca="1" si="183">AM75</f>
        <v>0</v>
      </c>
      <c r="AN76" s="582">
        <f t="shared" ca="1" si="183"/>
        <v>0</v>
      </c>
      <c r="AO76" s="582">
        <f t="shared" ca="1" si="183"/>
        <v>0</v>
      </c>
      <c r="AP76" s="582">
        <f t="shared" ca="1" si="183"/>
        <v>0</v>
      </c>
      <c r="AQ76" s="582">
        <f t="shared" ca="1" si="183"/>
        <v>0</v>
      </c>
      <c r="AR76" s="582">
        <f t="shared" ca="1" si="183"/>
        <v>0</v>
      </c>
      <c r="AS76" s="582">
        <f t="shared" ca="1" si="183"/>
        <v>0</v>
      </c>
      <c r="AT76" s="582">
        <f t="shared" ca="1" si="183"/>
        <v>0</v>
      </c>
      <c r="AU76" s="582">
        <f t="shared" ca="1" si="183"/>
        <v>0</v>
      </c>
      <c r="AV76" s="582">
        <f t="shared" ca="1" si="183"/>
        <v>-21.428000000000004</v>
      </c>
      <c r="AW76" s="582">
        <f t="shared" ca="1" si="183"/>
        <v>0</v>
      </c>
      <c r="AX76" s="582">
        <f t="shared" ca="1" si="183"/>
        <v>0</v>
      </c>
      <c r="AY76" s="582">
        <f t="shared" ca="1" si="183"/>
        <v>0</v>
      </c>
      <c r="AZ76" s="582">
        <f t="shared" ca="1" si="183"/>
        <v>0</v>
      </c>
      <c r="BA76" s="582">
        <f t="shared" ca="1" si="183"/>
        <v>0</v>
      </c>
      <c r="BB76" s="582">
        <f t="shared" ca="1" si="183"/>
        <v>0</v>
      </c>
      <c r="BC76" s="582">
        <f t="shared" ca="1" si="183"/>
        <v>0</v>
      </c>
      <c r="BD76" s="582">
        <f t="shared" ca="1" si="183"/>
        <v>0</v>
      </c>
      <c r="BE76" s="582">
        <f t="shared" ca="1" si="183"/>
        <v>0</v>
      </c>
      <c r="BF76" s="582">
        <f ca="1">SUM(AM76:BE76)</f>
        <v>-21.428000000000004</v>
      </c>
      <c r="BH76" s="3463">
        <f ca="1">BH75</f>
        <v>13.713920000000003</v>
      </c>
      <c r="BI76" s="3463">
        <f ca="1">BI75</f>
        <v>0.70128000000000013</v>
      </c>
      <c r="BJ76" s="3463">
        <f ca="1">SUM(BH76:BI76)</f>
        <v>14.415200000000004</v>
      </c>
      <c r="BL76" s="3477">
        <f t="shared" ca="1" si="176"/>
        <v>0</v>
      </c>
      <c r="BM76" s="584"/>
      <c r="BN76" s="413"/>
      <c r="BO76" s="2790">
        <f t="shared" ref="BO76:DF76" ca="1" si="184">BO75</f>
        <v>0</v>
      </c>
      <c r="BP76" s="2790">
        <f t="shared" ca="1" si="184"/>
        <v>0</v>
      </c>
      <c r="BQ76" s="2790">
        <f t="shared" ca="1" si="184"/>
        <v>0</v>
      </c>
      <c r="BR76" s="2790">
        <f t="shared" ca="1" si="184"/>
        <v>0</v>
      </c>
      <c r="BS76" s="2790">
        <f t="shared" ca="1" si="184"/>
        <v>0</v>
      </c>
      <c r="BT76" s="2790">
        <f t="shared" ca="1" si="184"/>
        <v>0</v>
      </c>
      <c r="BU76" s="2790">
        <f t="shared" ca="1" si="184"/>
        <v>0</v>
      </c>
      <c r="BV76" s="2790">
        <f t="shared" ca="1" si="184"/>
        <v>0</v>
      </c>
      <c r="BW76" s="2790">
        <f t="shared" ca="1" si="184"/>
        <v>0</v>
      </c>
      <c r="BX76" s="2790">
        <f t="shared" ca="1" si="184"/>
        <v>0</v>
      </c>
      <c r="BY76" s="2790">
        <f t="shared" ca="1" si="184"/>
        <v>0</v>
      </c>
      <c r="BZ76" s="2790">
        <f t="shared" ca="1" si="184"/>
        <v>0</v>
      </c>
      <c r="CA76" s="2790">
        <f t="shared" ca="1" si="184"/>
        <v>0</v>
      </c>
      <c r="CB76" s="2790">
        <f t="shared" ca="1" si="184"/>
        <v>0</v>
      </c>
      <c r="CC76" s="2790">
        <f t="shared" ca="1" si="184"/>
        <v>0</v>
      </c>
      <c r="CD76" s="2790">
        <f t="shared" ca="1" si="184"/>
        <v>0</v>
      </c>
      <c r="CE76" s="2790">
        <f t="shared" ca="1" si="184"/>
        <v>0</v>
      </c>
      <c r="CF76" s="2790">
        <f t="shared" ca="1" si="184"/>
        <v>0</v>
      </c>
      <c r="CG76" s="2790">
        <f t="shared" ca="1" si="184"/>
        <v>0</v>
      </c>
      <c r="CH76" s="2790">
        <f t="shared" ca="1" si="184"/>
        <v>0</v>
      </c>
      <c r="CI76" s="2790">
        <f t="shared" ca="1" si="184"/>
        <v>0</v>
      </c>
      <c r="CJ76" s="2790">
        <f t="shared" ca="1" si="184"/>
        <v>0</v>
      </c>
      <c r="CK76" s="2790">
        <f t="shared" ca="1" si="184"/>
        <v>0</v>
      </c>
      <c r="CL76" s="2790">
        <f t="shared" ca="1" si="184"/>
        <v>0</v>
      </c>
      <c r="CM76" s="2790">
        <f t="shared" ca="1" si="184"/>
        <v>0</v>
      </c>
      <c r="CN76" s="2790">
        <f t="shared" ca="1" si="184"/>
        <v>0</v>
      </c>
      <c r="CO76" s="2790">
        <f t="shared" ca="1" si="184"/>
        <v>0</v>
      </c>
      <c r="CP76" s="2790">
        <f t="shared" ca="1" si="184"/>
        <v>0</v>
      </c>
      <c r="CQ76" s="2790">
        <f t="shared" ca="1" si="184"/>
        <v>0</v>
      </c>
      <c r="CR76" s="2790">
        <f t="shared" ca="1" si="184"/>
        <v>0</v>
      </c>
      <c r="CS76" s="2790">
        <f t="shared" ca="1" si="184"/>
        <v>0</v>
      </c>
      <c r="CT76" s="2790">
        <f t="shared" ca="1" si="184"/>
        <v>0</v>
      </c>
      <c r="CU76" s="2790">
        <f t="shared" ca="1" si="184"/>
        <v>0</v>
      </c>
      <c r="CV76" s="2790">
        <f t="shared" ca="1" si="184"/>
        <v>0</v>
      </c>
      <c r="CW76" s="2790">
        <f t="shared" ca="1" si="184"/>
        <v>0</v>
      </c>
      <c r="CX76" s="2790">
        <f t="shared" ca="1" si="184"/>
        <v>0</v>
      </c>
      <c r="CY76" s="2790">
        <f t="shared" ca="1" si="184"/>
        <v>0</v>
      </c>
      <c r="CZ76" s="2790">
        <f t="shared" ca="1" si="184"/>
        <v>0</v>
      </c>
      <c r="DA76" s="2790">
        <f t="shared" ca="1" si="184"/>
        <v>0</v>
      </c>
      <c r="DB76" s="2790">
        <f t="shared" ca="1" si="184"/>
        <v>0</v>
      </c>
      <c r="DC76" s="2790">
        <f t="shared" ca="1" si="184"/>
        <v>0</v>
      </c>
      <c r="DD76" s="2790">
        <f t="shared" ca="1" si="184"/>
        <v>0</v>
      </c>
      <c r="DE76" s="2790">
        <f t="shared" ca="1" si="184"/>
        <v>0</v>
      </c>
      <c r="DF76" s="2790">
        <f t="shared" ca="1" si="184"/>
        <v>0</v>
      </c>
      <c r="DH76" s="596">
        <f t="shared" ca="1" si="113"/>
        <v>0</v>
      </c>
    </row>
    <row r="77" spans="1:112" s="6" customFormat="1">
      <c r="A77" s="4"/>
      <c r="B77" s="4"/>
      <c r="C77" s="622"/>
      <c r="D77" s="206"/>
      <c r="E77" s="206"/>
      <c r="G77" s="579"/>
      <c r="H77" s="579"/>
      <c r="I77" s="579"/>
      <c r="J77" s="579"/>
      <c r="K77" s="638"/>
      <c r="L77" s="579"/>
      <c r="M77" s="579"/>
      <c r="N77" s="579"/>
      <c r="O77" s="579"/>
      <c r="P77" s="579"/>
      <c r="Q77" s="579"/>
      <c r="S77" s="581"/>
      <c r="T77" s="581"/>
      <c r="U77" s="581"/>
      <c r="V77" s="581"/>
      <c r="W77" s="581"/>
      <c r="X77" s="581"/>
      <c r="Y77" s="581"/>
      <c r="Z77" s="581"/>
      <c r="AA77" s="581"/>
      <c r="AB77" s="581"/>
      <c r="AC77" s="581"/>
      <c r="AD77" s="581"/>
      <c r="AE77" s="581"/>
      <c r="AF77" s="581"/>
      <c r="AG77" s="581"/>
      <c r="AH77" s="581"/>
      <c r="AI77" s="581"/>
      <c r="AJ77" s="581"/>
      <c r="AK77" s="581"/>
      <c r="AM77" s="582"/>
      <c r="AN77" s="582"/>
      <c r="AO77" s="582"/>
      <c r="AP77" s="582"/>
      <c r="AQ77" s="582"/>
      <c r="AR77" s="582"/>
      <c r="AS77" s="582"/>
      <c r="AT77" s="582"/>
      <c r="AU77" s="582"/>
      <c r="AV77" s="582"/>
      <c r="AW77" s="582"/>
      <c r="AX77" s="582"/>
      <c r="AY77" s="582"/>
      <c r="AZ77" s="582"/>
      <c r="BA77" s="582"/>
      <c r="BB77" s="582"/>
      <c r="BC77" s="582"/>
      <c r="BD77" s="582"/>
      <c r="BE77" s="582"/>
      <c r="BF77" s="582"/>
      <c r="BH77" s="3463"/>
      <c r="BI77" s="3463"/>
      <c r="BJ77" s="3463"/>
      <c r="BL77" s="3477">
        <f t="shared" si="176"/>
        <v>0</v>
      </c>
      <c r="BM77" s="584"/>
      <c r="BN77" s="4"/>
      <c r="BO77" s="2790"/>
      <c r="BP77" s="2790"/>
      <c r="BQ77" s="2790"/>
      <c r="BR77" s="2790"/>
      <c r="BS77" s="2790"/>
      <c r="BT77" s="2790"/>
      <c r="BU77" s="2790"/>
      <c r="BV77" s="2790"/>
      <c r="BW77" s="2790"/>
      <c r="BX77" s="2790"/>
      <c r="BY77" s="2790"/>
      <c r="BZ77" s="2790"/>
      <c r="CA77" s="2790"/>
      <c r="CB77" s="2790"/>
      <c r="CC77" s="2790"/>
      <c r="CD77" s="2790"/>
      <c r="CE77" s="2790"/>
      <c r="CF77" s="2790"/>
      <c r="CG77" s="2790"/>
      <c r="CH77" s="2790"/>
      <c r="CI77" s="2790"/>
      <c r="CJ77" s="2790"/>
      <c r="CK77" s="2790"/>
      <c r="CL77" s="2790"/>
      <c r="CM77" s="2790"/>
      <c r="CN77" s="2790"/>
      <c r="CO77" s="2790"/>
      <c r="CP77" s="2790"/>
      <c r="CQ77" s="2790"/>
      <c r="CR77" s="2790"/>
      <c r="CS77" s="2790"/>
      <c r="CT77" s="2790"/>
      <c r="CU77" s="2790"/>
      <c r="CV77" s="2790"/>
      <c r="CW77" s="2790"/>
      <c r="CX77" s="2790"/>
      <c r="CY77" s="2790"/>
      <c r="CZ77" s="2790"/>
      <c r="DA77" s="2790"/>
      <c r="DB77" s="2790"/>
      <c r="DC77" s="2790"/>
      <c r="DD77" s="2790"/>
      <c r="DE77" s="2790"/>
      <c r="DF77" s="2790"/>
      <c r="DH77" s="596">
        <f t="shared" si="113"/>
        <v>0</v>
      </c>
    </row>
    <row r="78" spans="1:112" s="652" customFormat="1">
      <c r="C78" s="667" t="s">
        <v>552</v>
      </c>
      <c r="D78" s="668" t="s">
        <v>547</v>
      </c>
      <c r="E78" s="668"/>
      <c r="F78" s="6"/>
      <c r="G78" s="669"/>
      <c r="H78" s="669"/>
      <c r="I78" s="669"/>
      <c r="J78" s="669"/>
      <c r="K78" s="670"/>
      <c r="L78" s="669"/>
      <c r="M78" s="669"/>
      <c r="N78" s="669"/>
      <c r="O78" s="669"/>
      <c r="P78" s="669"/>
      <c r="Q78" s="669"/>
      <c r="R78" s="6"/>
      <c r="S78" s="671">
        <f ca="1">S$74+S$76</f>
        <v>-28.534423087242338</v>
      </c>
      <c r="T78" s="671">
        <f ca="1">T$74+T$76</f>
        <v>84.924112125363408</v>
      </c>
      <c r="U78" s="671"/>
      <c r="V78" s="671"/>
      <c r="W78" s="671"/>
      <c r="X78" s="671"/>
      <c r="Y78" s="671"/>
      <c r="Z78" s="671"/>
      <c r="AA78" s="671"/>
      <c r="AB78" s="671"/>
      <c r="AC78" s="671"/>
      <c r="AD78" s="671"/>
      <c r="AE78" s="671"/>
      <c r="AF78" s="671"/>
      <c r="AG78" s="671"/>
      <c r="AH78" s="671"/>
      <c r="AI78" s="671"/>
      <c r="AJ78" s="671"/>
      <c r="AK78" s="671"/>
      <c r="AL78" s="6"/>
      <c r="AM78" s="672"/>
      <c r="AN78" s="672"/>
      <c r="AO78" s="672"/>
      <c r="AP78" s="672"/>
      <c r="AQ78" s="672"/>
      <c r="AR78" s="672"/>
      <c r="AS78" s="672"/>
      <c r="AT78" s="672"/>
      <c r="AU78" s="672"/>
      <c r="AV78" s="672"/>
      <c r="AW78" s="672"/>
      <c r="AX78" s="672"/>
      <c r="AY78" s="672"/>
      <c r="AZ78" s="672"/>
      <c r="BA78" s="672"/>
      <c r="BB78" s="672"/>
      <c r="BC78" s="672"/>
      <c r="BD78" s="672"/>
      <c r="BE78" s="672"/>
      <c r="BF78" s="672"/>
      <c r="BG78" s="6"/>
      <c r="BH78" s="673"/>
      <c r="BI78" s="673"/>
      <c r="BJ78" s="673"/>
      <c r="BK78" s="6"/>
      <c r="BL78" s="654">
        <f t="shared" si="176"/>
        <v>0</v>
      </c>
      <c r="BM78" s="654"/>
      <c r="BO78" s="2795"/>
      <c r="BP78" s="2795"/>
      <c r="BQ78" s="2795"/>
      <c r="BR78" s="2795"/>
      <c r="BS78" s="2795"/>
      <c r="BT78" s="2795"/>
      <c r="BU78" s="2795"/>
      <c r="BV78" s="2795"/>
      <c r="BW78" s="2795"/>
      <c r="BX78" s="2795"/>
      <c r="BY78" s="2795"/>
      <c r="BZ78" s="2795"/>
      <c r="CA78" s="2795"/>
      <c r="CB78" s="2795"/>
      <c r="CC78" s="2795"/>
      <c r="CD78" s="2795"/>
      <c r="CE78" s="2795"/>
      <c r="CF78" s="2795"/>
      <c r="CG78" s="2795"/>
      <c r="CH78" s="2795"/>
      <c r="CI78" s="2795"/>
      <c r="CJ78" s="2795"/>
      <c r="CK78" s="2795"/>
      <c r="CL78" s="2795"/>
      <c r="CM78" s="2795"/>
      <c r="CN78" s="2795"/>
      <c r="CO78" s="2795"/>
      <c r="CP78" s="2795"/>
      <c r="CQ78" s="2795"/>
      <c r="CR78" s="2795"/>
      <c r="CS78" s="2795"/>
      <c r="CT78" s="2795"/>
      <c r="CU78" s="2795"/>
      <c r="CV78" s="2795"/>
      <c r="CW78" s="2795"/>
      <c r="CX78" s="2795"/>
      <c r="CY78" s="2795"/>
      <c r="CZ78" s="2795"/>
      <c r="DA78" s="2795"/>
      <c r="DB78" s="2795"/>
      <c r="DC78" s="2795"/>
      <c r="DD78" s="2795"/>
      <c r="DE78" s="2795"/>
      <c r="DF78" s="2795"/>
      <c r="DH78" s="596">
        <f t="shared" si="113"/>
        <v>0</v>
      </c>
    </row>
    <row r="79" spans="1:112" s="607" customFormat="1">
      <c r="C79" s="587" t="s">
        <v>553</v>
      </c>
      <c r="D79" s="588" t="s">
        <v>554</v>
      </c>
      <c r="E79" s="588"/>
      <c r="F79" s="6"/>
      <c r="G79" s="674">
        <f t="shared" ref="G79:P79" ca="1" si="185">IFERROR(INDEX(INDIRECT($C79&amp;".Outputs["&amp;this.Year&amp;"]"), MATCH(G$5, INDIRECT($C79&amp;".Outputs[Vector]"), 0)), 0)</f>
        <v>0</v>
      </c>
      <c r="H79" s="674">
        <f t="shared" ca="1" si="185"/>
        <v>0</v>
      </c>
      <c r="I79" s="674">
        <f t="shared" ca="1" si="185"/>
        <v>0</v>
      </c>
      <c r="J79" s="674">
        <f t="shared" ca="1" si="185"/>
        <v>0</v>
      </c>
      <c r="K79" s="674">
        <f t="shared" ca="1" si="185"/>
        <v>0</v>
      </c>
      <c r="L79" s="674">
        <f t="shared" ca="1" si="185"/>
        <v>0</v>
      </c>
      <c r="M79" s="674">
        <f t="shared" ca="1" si="185"/>
        <v>0</v>
      </c>
      <c r="N79" s="674">
        <f t="shared" ca="1" si="185"/>
        <v>0</v>
      </c>
      <c r="O79" s="674">
        <f t="shared" ca="1" si="185"/>
        <v>0</v>
      </c>
      <c r="P79" s="674">
        <f t="shared" ca="1" si="185"/>
        <v>0</v>
      </c>
      <c r="Q79" s="675">
        <f ca="1">SUM(G79:P79)</f>
        <v>0</v>
      </c>
      <c r="R79" s="6"/>
      <c r="S79" s="676">
        <f t="shared" ref="S79:AJ79" ca="1" si="186">IFERROR(INDEX(INDIRECT($C79&amp;".Outputs["&amp;this.Year&amp;"]"), MATCH(S$5, INDIRECT($C79&amp;".Outputs[Vector]"), 0)), 0)</f>
        <v>0</v>
      </c>
      <c r="T79" s="676">
        <f t="shared" ca="1" si="186"/>
        <v>23.470965</v>
      </c>
      <c r="U79" s="676">
        <f t="shared" ca="1" si="186"/>
        <v>0</v>
      </c>
      <c r="V79" s="676">
        <f t="shared" ca="1" si="186"/>
        <v>0</v>
      </c>
      <c r="W79" s="676">
        <f t="shared" ca="1" si="186"/>
        <v>-40.121307692307688</v>
      </c>
      <c r="X79" s="676">
        <f ca="1">IFERROR(INDEX(INDIRECT($C79&amp;".Outputs["&amp;this.Year&amp;"]"), MATCH(X$5, INDIRECT($C79&amp;".Outputs[Vector]"), 0)), 0)</f>
        <v>0</v>
      </c>
      <c r="Y79" s="676">
        <f ca="1">IFERROR(INDEX(INDIRECT($C79&amp;".Outputs["&amp;this.Year&amp;"]"), MATCH(Y$5, INDIRECT($C79&amp;".Outputs[Vector]"), 0)), 0)</f>
        <v>0</v>
      </c>
      <c r="Z79" s="676">
        <f ca="1">IFERROR(INDEX(INDIRECT($C79&amp;".Outputs["&amp;this.Year&amp;"]"), MATCH(Z$5, INDIRECT($C79&amp;".Outputs[Vector]"), 0)), 0)</f>
        <v>0</v>
      </c>
      <c r="AA79" s="676">
        <f t="shared" ca="1" si="186"/>
        <v>0</v>
      </c>
      <c r="AB79" s="676">
        <f t="shared" ca="1" si="186"/>
        <v>0</v>
      </c>
      <c r="AC79" s="676">
        <f t="shared" ca="1" si="186"/>
        <v>0</v>
      </c>
      <c r="AD79" s="676">
        <f t="shared" ca="1" si="186"/>
        <v>0</v>
      </c>
      <c r="AE79" s="676">
        <f t="shared" ca="1" si="186"/>
        <v>0</v>
      </c>
      <c r="AF79" s="676">
        <f t="shared" ca="1" si="186"/>
        <v>0</v>
      </c>
      <c r="AG79" s="676">
        <f t="shared" ca="1" si="186"/>
        <v>0</v>
      </c>
      <c r="AH79" s="676">
        <f t="shared" ca="1" si="186"/>
        <v>0</v>
      </c>
      <c r="AI79" s="676">
        <f t="shared" ca="1" si="186"/>
        <v>0</v>
      </c>
      <c r="AJ79" s="676">
        <f t="shared" ca="1" si="186"/>
        <v>0</v>
      </c>
      <c r="AK79" s="677">
        <f ca="1">SUM(S79:AJ79)</f>
        <v>-16.650342692307689</v>
      </c>
      <c r="AL79" s="6"/>
      <c r="AM79" s="678">
        <f t="shared" ref="AM79:BE79" ca="1" si="187">IFERROR(INDEX(INDIRECT($C79&amp;".Outputs["&amp;this.Year&amp;"]"), MATCH(AM$5, INDIRECT($C79&amp;".Outputs[Vector]"), 0)), 0)</f>
        <v>0</v>
      </c>
      <c r="AN79" s="678">
        <f t="shared" ca="1" si="187"/>
        <v>0</v>
      </c>
      <c r="AO79" s="678">
        <f t="shared" ca="1" si="187"/>
        <v>0</v>
      </c>
      <c r="AP79" s="678">
        <f t="shared" ca="1" si="187"/>
        <v>0</v>
      </c>
      <c r="AQ79" s="678">
        <f t="shared" ca="1" si="187"/>
        <v>0</v>
      </c>
      <c r="AR79" s="678">
        <f t="shared" ca="1" si="187"/>
        <v>0</v>
      </c>
      <c r="AS79" s="678">
        <f t="shared" ca="1" si="187"/>
        <v>0</v>
      </c>
      <c r="AT79" s="678">
        <f t="shared" ca="1" si="187"/>
        <v>0</v>
      </c>
      <c r="AU79" s="678">
        <f t="shared" ca="1" si="187"/>
        <v>0</v>
      </c>
      <c r="AV79" s="678">
        <f t="shared" ca="1" si="187"/>
        <v>0</v>
      </c>
      <c r="AW79" s="678">
        <f t="shared" ca="1" si="187"/>
        <v>0</v>
      </c>
      <c r="AX79" s="678">
        <f t="shared" ca="1" si="187"/>
        <v>0</v>
      </c>
      <c r="AY79" s="678">
        <f t="shared" ca="1" si="187"/>
        <v>0</v>
      </c>
      <c r="AZ79" s="678">
        <f t="shared" ca="1" si="187"/>
        <v>0</v>
      </c>
      <c r="BA79" s="678">
        <f t="shared" ca="1" si="187"/>
        <v>0</v>
      </c>
      <c r="BB79" s="678">
        <f t="shared" ca="1" si="187"/>
        <v>0</v>
      </c>
      <c r="BC79" s="678">
        <f t="shared" ca="1" si="187"/>
        <v>0</v>
      </c>
      <c r="BD79" s="678">
        <f t="shared" ca="1" si="187"/>
        <v>0</v>
      </c>
      <c r="BE79" s="678">
        <f t="shared" ca="1" si="187"/>
        <v>0</v>
      </c>
      <c r="BF79" s="679">
        <f ca="1">SUM(AM79:BE79)</f>
        <v>0</v>
      </c>
      <c r="BG79" s="6"/>
      <c r="BH79" s="3475">
        <f ca="1">IFERROR(INDEX(INDIRECT($C79&amp;".Outputs["&amp;this.Year&amp;"]"), MATCH(BH$5, INDIRECT($C79&amp;".Outputs[Vector]"), 0)), 0)</f>
        <v>14.042457692307689</v>
      </c>
      <c r="BI79" s="3475">
        <f ca="1">IFERROR(INDEX(INDIRECT($C79&amp;".Outputs["&amp;this.Year&amp;"]"), MATCH(BI$5, INDIRECT($C79&amp;".Outputs[Vector]"), 0)), 0)</f>
        <v>2.607885</v>
      </c>
      <c r="BJ79" s="3466">
        <f ca="1">SUM(BH79:BI79)</f>
        <v>16.650342692307689</v>
      </c>
      <c r="BK79" s="6"/>
      <c r="BL79" s="610">
        <f t="shared" ca="1" si="176"/>
        <v>0</v>
      </c>
      <c r="BM79" s="610"/>
      <c r="BN79" s="413"/>
      <c r="BO79" s="2789">
        <f t="shared" ref="BO79:DF79" ca="1" si="188">IFERROR(SUMIFS(INDIRECT($C79&amp;".Emissions["&amp;this.Year&amp;"]"), INDIRECT($C79&amp;".Emissions[GHG]"), BO$6, INDIRECT($C79&amp;".Emissions[IPCC Sector]"), BO$5),0)</f>
        <v>8.2136822563384602</v>
      </c>
      <c r="BP79" s="2790">
        <f t="shared" ca="1" si="188"/>
        <v>3.0331708615384616E-3</v>
      </c>
      <c r="BQ79" s="2790">
        <f t="shared" ca="1" si="188"/>
        <v>0.12984860021538461</v>
      </c>
      <c r="BR79" s="2790">
        <f t="shared" ca="1" si="188"/>
        <v>0</v>
      </c>
      <c r="BS79" s="2790">
        <f t="shared" ca="1" si="188"/>
        <v>0</v>
      </c>
      <c r="BT79" s="2790">
        <f t="shared" ca="1" si="188"/>
        <v>0</v>
      </c>
      <c r="BU79" s="2790">
        <f t="shared" ca="1" si="188"/>
        <v>0</v>
      </c>
      <c r="BV79" s="2790">
        <f t="shared" ca="1" si="188"/>
        <v>0</v>
      </c>
      <c r="BW79" s="2790">
        <f t="shared" ca="1" si="188"/>
        <v>0</v>
      </c>
      <c r="BX79" s="2790">
        <f t="shared" ca="1" si="188"/>
        <v>0</v>
      </c>
      <c r="BY79" s="2790">
        <f t="shared" ca="1" si="188"/>
        <v>0</v>
      </c>
      <c r="BZ79" s="2790">
        <f t="shared" ca="1" si="188"/>
        <v>0</v>
      </c>
      <c r="CA79" s="2790">
        <f t="shared" ca="1" si="188"/>
        <v>0</v>
      </c>
      <c r="CB79" s="2790">
        <f t="shared" ca="1" si="188"/>
        <v>0</v>
      </c>
      <c r="CC79" s="2790">
        <f t="shared" ca="1" si="188"/>
        <v>0</v>
      </c>
      <c r="CD79" s="2790">
        <f t="shared" ca="1" si="188"/>
        <v>0</v>
      </c>
      <c r="CE79" s="2790">
        <f t="shared" ca="1" si="188"/>
        <v>0</v>
      </c>
      <c r="CF79" s="2790">
        <f t="shared" ca="1" si="188"/>
        <v>0</v>
      </c>
      <c r="CG79" s="2790">
        <f t="shared" ca="1" si="188"/>
        <v>0</v>
      </c>
      <c r="CH79" s="2790">
        <f t="shared" ca="1" si="188"/>
        <v>0</v>
      </c>
      <c r="CI79" s="2790">
        <f t="shared" ca="1" si="188"/>
        <v>0</v>
      </c>
      <c r="CJ79" s="2790">
        <f t="shared" ca="1" si="188"/>
        <v>0</v>
      </c>
      <c r="CK79" s="2790">
        <f t="shared" ca="1" si="188"/>
        <v>0</v>
      </c>
      <c r="CL79" s="2790">
        <f t="shared" ca="1" si="188"/>
        <v>0</v>
      </c>
      <c r="CM79" s="2790">
        <f t="shared" ca="1" si="188"/>
        <v>0</v>
      </c>
      <c r="CN79" s="2790">
        <f t="shared" ca="1" si="188"/>
        <v>0</v>
      </c>
      <c r="CO79" s="2790">
        <f t="shared" ca="1" si="188"/>
        <v>0</v>
      </c>
      <c r="CP79" s="2790">
        <f t="shared" ca="1" si="188"/>
        <v>0</v>
      </c>
      <c r="CQ79" s="2790">
        <f t="shared" ca="1" si="188"/>
        <v>0</v>
      </c>
      <c r="CR79" s="2790">
        <f t="shared" ca="1" si="188"/>
        <v>0</v>
      </c>
      <c r="CS79" s="2790">
        <f t="shared" ca="1" si="188"/>
        <v>0</v>
      </c>
      <c r="CT79" s="2790">
        <f t="shared" ca="1" si="188"/>
        <v>0</v>
      </c>
      <c r="CU79" s="2790">
        <f t="shared" ca="1" si="188"/>
        <v>0</v>
      </c>
      <c r="CV79" s="2790">
        <f t="shared" ca="1" si="188"/>
        <v>0</v>
      </c>
      <c r="CW79" s="2790">
        <f t="shared" ca="1" si="188"/>
        <v>0</v>
      </c>
      <c r="CX79" s="2790">
        <f t="shared" ca="1" si="188"/>
        <v>0</v>
      </c>
      <c r="CY79" s="2790">
        <f t="shared" ca="1" si="188"/>
        <v>0</v>
      </c>
      <c r="CZ79" s="2790">
        <f t="shared" ca="1" si="188"/>
        <v>0</v>
      </c>
      <c r="DA79" s="2790">
        <f t="shared" ca="1" si="188"/>
        <v>0</v>
      </c>
      <c r="DB79" s="2790">
        <f t="shared" ca="1" si="188"/>
        <v>0</v>
      </c>
      <c r="DC79" s="2790">
        <f t="shared" ca="1" si="188"/>
        <v>-7.3923140307046147</v>
      </c>
      <c r="DD79" s="2790">
        <f t="shared" ca="1" si="188"/>
        <v>0</v>
      </c>
      <c r="DE79" s="2790">
        <f t="shared" ca="1" si="188"/>
        <v>0</v>
      </c>
      <c r="DF79" s="2790">
        <f t="shared" ca="1" si="188"/>
        <v>0</v>
      </c>
      <c r="DH79" s="596">
        <f t="shared" ca="1" si="113"/>
        <v>0.95424999671076804</v>
      </c>
    </row>
    <row r="80" spans="1:112" s="639" customFormat="1">
      <c r="C80" s="640" t="s">
        <v>555</v>
      </c>
      <c r="D80" s="668" t="s">
        <v>547</v>
      </c>
      <c r="E80" s="641"/>
      <c r="F80" s="642"/>
      <c r="G80" s="643"/>
      <c r="H80" s="643"/>
      <c r="I80" s="643"/>
      <c r="J80" s="643"/>
      <c r="K80" s="644"/>
      <c r="L80" s="643"/>
      <c r="M80" s="643"/>
      <c r="N80" s="643"/>
      <c r="O80" s="643"/>
      <c r="P80" s="643"/>
      <c r="Q80" s="643"/>
      <c r="R80" s="642"/>
      <c r="S80" s="645">
        <f ca="1">S78+S79</f>
        <v>-28.534423087242338</v>
      </c>
      <c r="T80" s="645">
        <f ca="1">T78+T79</f>
        <v>108.3950771253634</v>
      </c>
      <c r="U80" s="645"/>
      <c r="V80" s="645"/>
      <c r="W80" s="645"/>
      <c r="X80" s="645"/>
      <c r="Y80" s="645"/>
      <c r="Z80" s="645"/>
      <c r="AA80" s="645"/>
      <c r="AB80" s="645"/>
      <c r="AC80" s="645"/>
      <c r="AD80" s="645"/>
      <c r="AE80" s="645"/>
      <c r="AF80" s="645"/>
      <c r="AG80" s="645"/>
      <c r="AH80" s="645"/>
      <c r="AI80" s="645"/>
      <c r="AJ80" s="645"/>
      <c r="AK80" s="645"/>
      <c r="AL80" s="642"/>
      <c r="AM80" s="646"/>
      <c r="AN80" s="646"/>
      <c r="AO80" s="646"/>
      <c r="AP80" s="646"/>
      <c r="AQ80" s="646"/>
      <c r="AR80" s="646"/>
      <c r="AS80" s="646"/>
      <c r="AT80" s="646"/>
      <c r="AU80" s="646"/>
      <c r="AV80" s="646"/>
      <c r="AW80" s="646"/>
      <c r="AX80" s="646"/>
      <c r="AY80" s="646"/>
      <c r="AZ80" s="646"/>
      <c r="BA80" s="646"/>
      <c r="BB80" s="646"/>
      <c r="BC80" s="646"/>
      <c r="BD80" s="646"/>
      <c r="BE80" s="646"/>
      <c r="BF80" s="646"/>
      <c r="BG80" s="642"/>
      <c r="BH80" s="647"/>
      <c r="BI80" s="647"/>
      <c r="BJ80" s="647"/>
      <c r="BK80" s="642"/>
      <c r="BL80" s="648">
        <f t="shared" si="176"/>
        <v>0</v>
      </c>
      <c r="BM80" s="648"/>
      <c r="BO80" s="2794"/>
      <c r="BP80" s="2794"/>
      <c r="BQ80" s="2794"/>
      <c r="BR80" s="2794"/>
      <c r="BS80" s="2794"/>
      <c r="BT80" s="2794"/>
      <c r="BU80" s="2794"/>
      <c r="BV80" s="2794"/>
      <c r="BW80" s="2794"/>
      <c r="BX80" s="2794"/>
      <c r="BY80" s="2794"/>
      <c r="BZ80" s="2794"/>
      <c r="CA80" s="2794"/>
      <c r="CB80" s="2794"/>
      <c r="CC80" s="2794"/>
      <c r="CD80" s="2794"/>
      <c r="CE80" s="2794"/>
      <c r="CF80" s="2794"/>
      <c r="CG80" s="2794"/>
      <c r="CH80" s="2794"/>
      <c r="CI80" s="2794"/>
      <c r="CJ80" s="2794"/>
      <c r="CK80" s="2794"/>
      <c r="CL80" s="2794"/>
      <c r="CM80" s="2794"/>
      <c r="CN80" s="2794"/>
      <c r="CO80" s="2794"/>
      <c r="CP80" s="2794"/>
      <c r="CQ80" s="2794"/>
      <c r="CR80" s="2794"/>
      <c r="CS80" s="2794"/>
      <c r="CT80" s="2794"/>
      <c r="CU80" s="2794"/>
      <c r="CV80" s="2794"/>
      <c r="CW80" s="2794"/>
      <c r="CX80" s="2794"/>
      <c r="CY80" s="2794"/>
      <c r="CZ80" s="2794"/>
      <c r="DA80" s="2794"/>
      <c r="DB80" s="2794"/>
      <c r="DC80" s="2794"/>
      <c r="DD80" s="2794"/>
      <c r="DE80" s="2794"/>
      <c r="DF80" s="2794"/>
      <c r="DH80" s="649">
        <f t="shared" si="113"/>
        <v>0</v>
      </c>
    </row>
    <row r="81" spans="1:112" s="607" customFormat="1">
      <c r="C81" s="587" t="s">
        <v>556</v>
      </c>
      <c r="D81" s="588" t="s">
        <v>557</v>
      </c>
      <c r="E81" s="588"/>
      <c r="F81" s="6"/>
      <c r="G81" s="619">
        <f t="shared" ref="G81:P81" ca="1" si="189">IFERROR(INDEX(INDIRECT($C81&amp;".Outputs["&amp;this.Year&amp;"]"), MATCH(G$5, INDIRECT($C81&amp;".Outputs[Vector]"), 0)), 0)</f>
        <v>0</v>
      </c>
      <c r="H81" s="619">
        <f t="shared" ca="1" si="189"/>
        <v>0</v>
      </c>
      <c r="I81" s="619">
        <f t="shared" ca="1" si="189"/>
        <v>0</v>
      </c>
      <c r="J81" s="619">
        <f t="shared" ca="1" si="189"/>
        <v>0</v>
      </c>
      <c r="K81" s="619">
        <f t="shared" ca="1" si="189"/>
        <v>0</v>
      </c>
      <c r="L81" s="619">
        <f t="shared" ca="1" si="189"/>
        <v>0</v>
      </c>
      <c r="M81" s="619">
        <f t="shared" ca="1" si="189"/>
        <v>0</v>
      </c>
      <c r="N81" s="619">
        <f t="shared" ca="1" si="189"/>
        <v>0</v>
      </c>
      <c r="O81" s="619">
        <f t="shared" ca="1" si="189"/>
        <v>0</v>
      </c>
      <c r="P81" s="619">
        <f t="shared" ca="1" si="189"/>
        <v>0</v>
      </c>
      <c r="Q81" s="612">
        <f ca="1">SUM(G81:P81)</f>
        <v>0</v>
      </c>
      <c r="R81" s="6"/>
      <c r="S81" s="620">
        <f t="shared" ref="S81:AJ81" ca="1" si="190">IFERROR(INDEX(INDIRECT($C81&amp;".Outputs["&amp;this.Year&amp;"]"), MATCH(S$5, INDIRECT($C81&amp;".Outputs[Vector]"), 0)), 0)</f>
        <v>0</v>
      </c>
      <c r="T81" s="620">
        <f t="shared" ca="1" si="190"/>
        <v>7.7140800000000009</v>
      </c>
      <c r="U81" s="620">
        <f t="shared" ca="1" si="190"/>
        <v>-22.701435428571433</v>
      </c>
      <c r="V81" s="620">
        <f t="shared" ca="1" si="190"/>
        <v>0</v>
      </c>
      <c r="W81" s="620">
        <f t="shared" ca="1" si="190"/>
        <v>0</v>
      </c>
      <c r="X81" s="620">
        <f ca="1">IFERROR(INDEX(INDIRECT($C81&amp;".Outputs["&amp;this.Year&amp;"]"), MATCH(X$5, INDIRECT($C81&amp;".Outputs[Vector]"), 0)), 0)</f>
        <v>0</v>
      </c>
      <c r="Y81" s="620">
        <f ca="1">IFERROR(INDEX(INDIRECT($C81&amp;".Outputs["&amp;this.Year&amp;"]"), MATCH(Y$5, INDIRECT($C81&amp;".Outputs[Vector]"), 0)), 0)</f>
        <v>0</v>
      </c>
      <c r="Z81" s="620">
        <f ca="1">IFERROR(INDEX(INDIRECT($C81&amp;".Outputs["&amp;this.Year&amp;"]"), MATCH(Z$5, INDIRECT($C81&amp;".Outputs[Vector]"), 0)), 0)</f>
        <v>0</v>
      </c>
      <c r="AA81" s="620">
        <f t="shared" ca="1" si="190"/>
        <v>0</v>
      </c>
      <c r="AB81" s="620">
        <f t="shared" ca="1" si="190"/>
        <v>0</v>
      </c>
      <c r="AC81" s="620">
        <f t="shared" ca="1" si="190"/>
        <v>0</v>
      </c>
      <c r="AD81" s="620">
        <f t="shared" ca="1" si="190"/>
        <v>0</v>
      </c>
      <c r="AE81" s="620">
        <f t="shared" ca="1" si="190"/>
        <v>0</v>
      </c>
      <c r="AF81" s="620">
        <f t="shared" ca="1" si="190"/>
        <v>0</v>
      </c>
      <c r="AG81" s="620">
        <f t="shared" ca="1" si="190"/>
        <v>0</v>
      </c>
      <c r="AH81" s="620">
        <f t="shared" ca="1" si="190"/>
        <v>0</v>
      </c>
      <c r="AI81" s="620">
        <f t="shared" ca="1" si="190"/>
        <v>0</v>
      </c>
      <c r="AJ81" s="620">
        <f t="shared" ca="1" si="190"/>
        <v>0</v>
      </c>
      <c r="AK81" s="613">
        <f ca="1">SUM(S81:AJ81)</f>
        <v>-14.987355428571432</v>
      </c>
      <c r="AL81" s="6"/>
      <c r="AM81" s="621">
        <f t="shared" ref="AM81:BE81" ca="1" si="191">IFERROR(INDEX(INDIRECT($C81&amp;".Outputs["&amp;this.Year&amp;"]"), MATCH(AM$5, INDIRECT($C81&amp;".Outputs[Vector]"), 0)), 0)</f>
        <v>0</v>
      </c>
      <c r="AN81" s="621">
        <f t="shared" ca="1" si="191"/>
        <v>0</v>
      </c>
      <c r="AO81" s="621">
        <f t="shared" ca="1" si="191"/>
        <v>0</v>
      </c>
      <c r="AP81" s="621">
        <f t="shared" ca="1" si="191"/>
        <v>0</v>
      </c>
      <c r="AQ81" s="621">
        <f t="shared" ca="1" si="191"/>
        <v>0</v>
      </c>
      <c r="AR81" s="621">
        <f t="shared" ca="1" si="191"/>
        <v>0</v>
      </c>
      <c r="AS81" s="621">
        <f t="shared" ca="1" si="191"/>
        <v>0</v>
      </c>
      <c r="AT81" s="621">
        <f t="shared" ca="1" si="191"/>
        <v>0</v>
      </c>
      <c r="AU81" s="621">
        <f t="shared" ca="1" si="191"/>
        <v>0</v>
      </c>
      <c r="AV81" s="621">
        <f t="shared" ca="1" si="191"/>
        <v>0</v>
      </c>
      <c r="AW81" s="621">
        <f t="shared" ca="1" si="191"/>
        <v>0</v>
      </c>
      <c r="AX81" s="621">
        <f t="shared" ca="1" si="191"/>
        <v>0</v>
      </c>
      <c r="AY81" s="621">
        <f t="shared" ca="1" si="191"/>
        <v>0</v>
      </c>
      <c r="AZ81" s="621">
        <f t="shared" ca="1" si="191"/>
        <v>0</v>
      </c>
      <c r="BA81" s="621">
        <f t="shared" ca="1" si="191"/>
        <v>0</v>
      </c>
      <c r="BB81" s="621">
        <f t="shared" ca="1" si="191"/>
        <v>0</v>
      </c>
      <c r="BC81" s="621">
        <f t="shared" ca="1" si="191"/>
        <v>0</v>
      </c>
      <c r="BD81" s="621">
        <f t="shared" ca="1" si="191"/>
        <v>0</v>
      </c>
      <c r="BE81" s="621">
        <f t="shared" ca="1" si="191"/>
        <v>0</v>
      </c>
      <c r="BF81" s="615">
        <f ca="1">SUM(AM81:BE81)</f>
        <v>0</v>
      </c>
      <c r="BG81" s="6"/>
      <c r="BH81" s="3473">
        <f ca="1">IFERROR(INDEX(INDIRECT($C81&amp;".Outputs["&amp;this.Year&amp;"]"), MATCH(BH$5, INDIRECT($C81&amp;".Outputs[Vector]"), 0)), 0)</f>
        <v>14.755933028571432</v>
      </c>
      <c r="BI81" s="3473">
        <f ca="1">IFERROR(INDEX(INDIRECT($C81&amp;".Outputs["&amp;this.Year&amp;"]"), MATCH(BI$5, INDIRECT($C81&amp;".Outputs[Vector]"), 0)), 0)</f>
        <v>0.23142240000000003</v>
      </c>
      <c r="BJ81" s="3462">
        <f ca="1">SUM(BH81:BI81)</f>
        <v>14.987355428571432</v>
      </c>
      <c r="BK81" s="6"/>
      <c r="BL81" s="610">
        <f t="shared" ca="1" si="176"/>
        <v>0</v>
      </c>
      <c r="BM81" s="610"/>
      <c r="BN81" s="413"/>
      <c r="BO81" s="2791">
        <f t="shared" ref="BO81:DF81" ca="1" si="192">IFERROR(SUMIFS(INDIRECT($C81&amp;".Emissions["&amp;this.Year&amp;"]"), INDIRECT($C81&amp;".Emissions[GHG]"), BO$6, INDIRECT($C81&amp;".Emissions[IPCC Sector]"), BO$5),0)</f>
        <v>8.0477387684812829</v>
      </c>
      <c r="BP81" s="2792">
        <f t="shared" ca="1" si="192"/>
        <v>1.3214959591680005E-3</v>
      </c>
      <c r="BQ81" s="2792">
        <f t="shared" ca="1" si="192"/>
        <v>1.3934141066057146E-2</v>
      </c>
      <c r="BR81" s="2792">
        <f t="shared" ca="1" si="192"/>
        <v>0</v>
      </c>
      <c r="BS81" s="2792">
        <f t="shared" ca="1" si="192"/>
        <v>0</v>
      </c>
      <c r="BT81" s="2792">
        <f t="shared" ca="1" si="192"/>
        <v>0</v>
      </c>
      <c r="BU81" s="2792">
        <f t="shared" ca="1" si="192"/>
        <v>0</v>
      </c>
      <c r="BV81" s="2792">
        <f t="shared" ca="1" si="192"/>
        <v>0</v>
      </c>
      <c r="BW81" s="2792">
        <f t="shared" ca="1" si="192"/>
        <v>0</v>
      </c>
      <c r="BX81" s="2792">
        <f t="shared" ca="1" si="192"/>
        <v>0</v>
      </c>
      <c r="BY81" s="2792">
        <f t="shared" ca="1" si="192"/>
        <v>0</v>
      </c>
      <c r="BZ81" s="2792">
        <f t="shared" ca="1" si="192"/>
        <v>0</v>
      </c>
      <c r="CA81" s="2792">
        <f t="shared" ca="1" si="192"/>
        <v>0</v>
      </c>
      <c r="CB81" s="2792">
        <f t="shared" ca="1" si="192"/>
        <v>0</v>
      </c>
      <c r="CC81" s="2792">
        <f t="shared" ca="1" si="192"/>
        <v>0</v>
      </c>
      <c r="CD81" s="2792">
        <f t="shared" ca="1" si="192"/>
        <v>0</v>
      </c>
      <c r="CE81" s="2792">
        <f t="shared" ca="1" si="192"/>
        <v>0</v>
      </c>
      <c r="CF81" s="2792">
        <f t="shared" ca="1" si="192"/>
        <v>0</v>
      </c>
      <c r="CG81" s="2792">
        <f t="shared" ca="1" si="192"/>
        <v>0</v>
      </c>
      <c r="CH81" s="2792">
        <f t="shared" ca="1" si="192"/>
        <v>0</v>
      </c>
      <c r="CI81" s="2792">
        <f t="shared" ca="1" si="192"/>
        <v>0</v>
      </c>
      <c r="CJ81" s="2792">
        <f t="shared" ca="1" si="192"/>
        <v>0</v>
      </c>
      <c r="CK81" s="2792">
        <f t="shared" ca="1" si="192"/>
        <v>0</v>
      </c>
      <c r="CL81" s="2792">
        <f t="shared" ca="1" si="192"/>
        <v>0</v>
      </c>
      <c r="CM81" s="2792">
        <f t="shared" ca="1" si="192"/>
        <v>0</v>
      </c>
      <c r="CN81" s="2792">
        <f t="shared" ca="1" si="192"/>
        <v>0</v>
      </c>
      <c r="CO81" s="2792">
        <f t="shared" ca="1" si="192"/>
        <v>0</v>
      </c>
      <c r="CP81" s="2792">
        <f t="shared" ca="1" si="192"/>
        <v>0</v>
      </c>
      <c r="CQ81" s="2792">
        <f t="shared" ca="1" si="192"/>
        <v>0</v>
      </c>
      <c r="CR81" s="2792">
        <f t="shared" ca="1" si="192"/>
        <v>0</v>
      </c>
      <c r="CS81" s="2792">
        <f t="shared" ca="1" si="192"/>
        <v>0</v>
      </c>
      <c r="CT81" s="2792">
        <f t="shared" ca="1" si="192"/>
        <v>0</v>
      </c>
      <c r="CU81" s="2792">
        <f t="shared" ca="1" si="192"/>
        <v>0</v>
      </c>
      <c r="CV81" s="2792">
        <f t="shared" ca="1" si="192"/>
        <v>0</v>
      </c>
      <c r="CW81" s="2792">
        <f t="shared" ca="1" si="192"/>
        <v>0</v>
      </c>
      <c r="CX81" s="2792">
        <f t="shared" ca="1" si="192"/>
        <v>0</v>
      </c>
      <c r="CY81" s="2792">
        <f t="shared" ca="1" si="192"/>
        <v>0</v>
      </c>
      <c r="CZ81" s="2792">
        <f t="shared" ca="1" si="192"/>
        <v>0</v>
      </c>
      <c r="DA81" s="2792">
        <f t="shared" ca="1" si="192"/>
        <v>0</v>
      </c>
      <c r="DB81" s="2792">
        <f t="shared" ca="1" si="192"/>
        <v>0</v>
      </c>
      <c r="DC81" s="2792">
        <f t="shared" ca="1" si="192"/>
        <v>0</v>
      </c>
      <c r="DD81" s="2792">
        <f t="shared" ca="1" si="192"/>
        <v>0</v>
      </c>
      <c r="DE81" s="2792">
        <f t="shared" ca="1" si="192"/>
        <v>0</v>
      </c>
      <c r="DF81" s="2792">
        <f t="shared" ca="1" si="192"/>
        <v>0</v>
      </c>
      <c r="DH81" s="596">
        <f t="shared" ca="1" si="113"/>
        <v>8.0629944055065081</v>
      </c>
    </row>
    <row r="82" spans="1:112" s="6" customFormat="1" ht="15.75">
      <c r="A82" s="4"/>
      <c r="B82" s="3"/>
      <c r="C82" s="616" t="s">
        <v>558</v>
      </c>
      <c r="D82" s="617" t="s">
        <v>559</v>
      </c>
      <c r="E82" s="206"/>
      <c r="G82" s="618">
        <f t="shared" ref="G82:P82" ca="1" si="193">G79+G81</f>
        <v>0</v>
      </c>
      <c r="H82" s="618">
        <f t="shared" ca="1" si="193"/>
        <v>0</v>
      </c>
      <c r="I82" s="618">
        <f t="shared" ca="1" si="193"/>
        <v>0</v>
      </c>
      <c r="J82" s="618">
        <f t="shared" ca="1" si="193"/>
        <v>0</v>
      </c>
      <c r="K82" s="618">
        <f t="shared" ca="1" si="193"/>
        <v>0</v>
      </c>
      <c r="L82" s="618">
        <f t="shared" ca="1" si="193"/>
        <v>0</v>
      </c>
      <c r="M82" s="618">
        <f t="shared" ca="1" si="193"/>
        <v>0</v>
      </c>
      <c r="N82" s="618">
        <f t="shared" ca="1" si="193"/>
        <v>0</v>
      </c>
      <c r="O82" s="618">
        <f t="shared" ca="1" si="193"/>
        <v>0</v>
      </c>
      <c r="P82" s="618">
        <f t="shared" ca="1" si="193"/>
        <v>0</v>
      </c>
      <c r="Q82" s="618">
        <f ca="1">SUM(G82:P82)</f>
        <v>0</v>
      </c>
      <c r="S82" s="581">
        <f t="shared" ref="S82:AJ82" ca="1" si="194">S79+S81</f>
        <v>0</v>
      </c>
      <c r="T82" s="581">
        <f t="shared" ca="1" si="194"/>
        <v>31.185045000000002</v>
      </c>
      <c r="U82" s="581">
        <f t="shared" ca="1" si="194"/>
        <v>-22.701435428571433</v>
      </c>
      <c r="V82" s="581">
        <f t="shared" ca="1" si="194"/>
        <v>0</v>
      </c>
      <c r="W82" s="581">
        <f t="shared" ca="1" si="194"/>
        <v>-40.121307692307688</v>
      </c>
      <c r="X82" s="581">
        <f t="shared" ca="1" si="194"/>
        <v>0</v>
      </c>
      <c r="Y82" s="581">
        <f t="shared" ca="1" si="194"/>
        <v>0</v>
      </c>
      <c r="Z82" s="581">
        <f t="shared" ca="1" si="194"/>
        <v>0</v>
      </c>
      <c r="AA82" s="581">
        <f t="shared" ca="1" si="194"/>
        <v>0</v>
      </c>
      <c r="AB82" s="581">
        <f t="shared" ca="1" si="194"/>
        <v>0</v>
      </c>
      <c r="AC82" s="581">
        <f t="shared" ca="1" si="194"/>
        <v>0</v>
      </c>
      <c r="AD82" s="581">
        <f ca="1">AD79+AD81</f>
        <v>0</v>
      </c>
      <c r="AE82" s="581">
        <f ca="1">AE79+AE81</f>
        <v>0</v>
      </c>
      <c r="AF82" s="581">
        <f t="shared" ca="1" si="194"/>
        <v>0</v>
      </c>
      <c r="AG82" s="581">
        <f t="shared" ca="1" si="194"/>
        <v>0</v>
      </c>
      <c r="AH82" s="581">
        <f ca="1">AH79+AH81</f>
        <v>0</v>
      </c>
      <c r="AI82" s="581">
        <f t="shared" ca="1" si="194"/>
        <v>0</v>
      </c>
      <c r="AJ82" s="581">
        <f t="shared" ca="1" si="194"/>
        <v>0</v>
      </c>
      <c r="AK82" s="581">
        <f ca="1">SUM(S82:AJ82)</f>
        <v>-31.637698120879119</v>
      </c>
      <c r="AM82" s="582">
        <f t="shared" ref="AM82:BE82" ca="1" si="195">AM79+AM81</f>
        <v>0</v>
      </c>
      <c r="AN82" s="582">
        <f t="shared" ca="1" si="195"/>
        <v>0</v>
      </c>
      <c r="AO82" s="582">
        <f t="shared" ca="1" si="195"/>
        <v>0</v>
      </c>
      <c r="AP82" s="582">
        <f t="shared" ca="1" si="195"/>
        <v>0</v>
      </c>
      <c r="AQ82" s="582">
        <f t="shared" ca="1" si="195"/>
        <v>0</v>
      </c>
      <c r="AR82" s="582">
        <f t="shared" ca="1" si="195"/>
        <v>0</v>
      </c>
      <c r="AS82" s="582">
        <f t="shared" ca="1" si="195"/>
        <v>0</v>
      </c>
      <c r="AT82" s="582">
        <f t="shared" ca="1" si="195"/>
        <v>0</v>
      </c>
      <c r="AU82" s="582">
        <f t="shared" ca="1" si="195"/>
        <v>0</v>
      </c>
      <c r="AV82" s="582">
        <f t="shared" ca="1" si="195"/>
        <v>0</v>
      </c>
      <c r="AW82" s="582">
        <f t="shared" ca="1" si="195"/>
        <v>0</v>
      </c>
      <c r="AX82" s="582">
        <f t="shared" ca="1" si="195"/>
        <v>0</v>
      </c>
      <c r="AY82" s="582">
        <f t="shared" ca="1" si="195"/>
        <v>0</v>
      </c>
      <c r="AZ82" s="582">
        <f t="shared" ca="1" si="195"/>
        <v>0</v>
      </c>
      <c r="BA82" s="582">
        <f t="shared" ca="1" si="195"/>
        <v>0</v>
      </c>
      <c r="BB82" s="582">
        <f t="shared" ca="1" si="195"/>
        <v>0</v>
      </c>
      <c r="BC82" s="582">
        <f t="shared" ca="1" si="195"/>
        <v>0</v>
      </c>
      <c r="BD82" s="582">
        <f t="shared" ca="1" si="195"/>
        <v>0</v>
      </c>
      <c r="BE82" s="582">
        <f t="shared" ca="1" si="195"/>
        <v>0</v>
      </c>
      <c r="BF82" s="582">
        <f ca="1">SUM(AM82:BE82)</f>
        <v>0</v>
      </c>
      <c r="BH82" s="3463">
        <f ca="1">BH79+BH81</f>
        <v>28.798390720879119</v>
      </c>
      <c r="BI82" s="3463">
        <f ca="1">BI79+BI81</f>
        <v>2.8393074</v>
      </c>
      <c r="BJ82" s="3463">
        <f ca="1">SUM(BH82:BI82)</f>
        <v>31.637698120879119</v>
      </c>
      <c r="BL82" s="3477">
        <f t="shared" ca="1" si="176"/>
        <v>0</v>
      </c>
      <c r="BM82" s="584"/>
      <c r="BN82" s="413"/>
      <c r="BO82" s="2790">
        <f t="shared" ref="BO82:DF82" ca="1" si="196">BO79+BO81</f>
        <v>16.261421024819743</v>
      </c>
      <c r="BP82" s="2790">
        <f t="shared" ca="1" si="196"/>
        <v>4.3546668207064621E-3</v>
      </c>
      <c r="BQ82" s="2790">
        <f t="shared" ca="1" si="196"/>
        <v>0.14378274128144175</v>
      </c>
      <c r="BR82" s="2790">
        <f t="shared" ca="1" si="196"/>
        <v>0</v>
      </c>
      <c r="BS82" s="2790">
        <f t="shared" ca="1" si="196"/>
        <v>0</v>
      </c>
      <c r="BT82" s="2790">
        <f t="shared" ca="1" si="196"/>
        <v>0</v>
      </c>
      <c r="BU82" s="2790">
        <f t="shared" ca="1" si="196"/>
        <v>0</v>
      </c>
      <c r="BV82" s="2790">
        <f t="shared" ca="1" si="196"/>
        <v>0</v>
      </c>
      <c r="BW82" s="2790">
        <f t="shared" ca="1" si="196"/>
        <v>0</v>
      </c>
      <c r="BX82" s="2790">
        <f t="shared" ca="1" si="196"/>
        <v>0</v>
      </c>
      <c r="BY82" s="2790">
        <f t="shared" ca="1" si="196"/>
        <v>0</v>
      </c>
      <c r="BZ82" s="2790">
        <f t="shared" ca="1" si="196"/>
        <v>0</v>
      </c>
      <c r="CA82" s="2790">
        <f t="shared" ca="1" si="196"/>
        <v>0</v>
      </c>
      <c r="CB82" s="2790">
        <f t="shared" ca="1" si="196"/>
        <v>0</v>
      </c>
      <c r="CC82" s="2790">
        <f t="shared" ca="1" si="196"/>
        <v>0</v>
      </c>
      <c r="CD82" s="2790">
        <f t="shared" ca="1" si="196"/>
        <v>0</v>
      </c>
      <c r="CE82" s="2790">
        <f t="shared" ca="1" si="196"/>
        <v>0</v>
      </c>
      <c r="CF82" s="2790">
        <f t="shared" ca="1" si="196"/>
        <v>0</v>
      </c>
      <c r="CG82" s="2790">
        <f t="shared" ca="1" si="196"/>
        <v>0</v>
      </c>
      <c r="CH82" s="2790">
        <f t="shared" ca="1" si="196"/>
        <v>0</v>
      </c>
      <c r="CI82" s="2790">
        <f t="shared" ca="1" si="196"/>
        <v>0</v>
      </c>
      <c r="CJ82" s="2790">
        <f t="shared" ca="1" si="196"/>
        <v>0</v>
      </c>
      <c r="CK82" s="2790">
        <f t="shared" ca="1" si="196"/>
        <v>0</v>
      </c>
      <c r="CL82" s="2790">
        <f t="shared" ca="1" si="196"/>
        <v>0</v>
      </c>
      <c r="CM82" s="2790">
        <f t="shared" ca="1" si="196"/>
        <v>0</v>
      </c>
      <c r="CN82" s="2790">
        <f t="shared" ca="1" si="196"/>
        <v>0</v>
      </c>
      <c r="CO82" s="2790">
        <f t="shared" ca="1" si="196"/>
        <v>0</v>
      </c>
      <c r="CP82" s="2790">
        <f t="shared" ca="1" si="196"/>
        <v>0</v>
      </c>
      <c r="CQ82" s="2790">
        <f t="shared" ca="1" si="196"/>
        <v>0</v>
      </c>
      <c r="CR82" s="2790">
        <f t="shared" ca="1" si="196"/>
        <v>0</v>
      </c>
      <c r="CS82" s="2790">
        <f t="shared" ca="1" si="196"/>
        <v>0</v>
      </c>
      <c r="CT82" s="2790">
        <f t="shared" ca="1" si="196"/>
        <v>0</v>
      </c>
      <c r="CU82" s="2790">
        <f t="shared" ca="1" si="196"/>
        <v>0</v>
      </c>
      <c r="CV82" s="2790">
        <f t="shared" ca="1" si="196"/>
        <v>0</v>
      </c>
      <c r="CW82" s="2790">
        <f t="shared" ca="1" si="196"/>
        <v>0</v>
      </c>
      <c r="CX82" s="2790">
        <f t="shared" ca="1" si="196"/>
        <v>0</v>
      </c>
      <c r="CY82" s="2790">
        <f t="shared" ca="1" si="196"/>
        <v>0</v>
      </c>
      <c r="CZ82" s="2790">
        <f t="shared" ca="1" si="196"/>
        <v>0</v>
      </c>
      <c r="DA82" s="2790">
        <f t="shared" ca="1" si="196"/>
        <v>0</v>
      </c>
      <c r="DB82" s="2790">
        <f t="shared" ca="1" si="196"/>
        <v>0</v>
      </c>
      <c r="DC82" s="2790">
        <f t="shared" ca="1" si="196"/>
        <v>-7.3923140307046147</v>
      </c>
      <c r="DD82" s="2790">
        <f t="shared" ca="1" si="196"/>
        <v>0</v>
      </c>
      <c r="DE82" s="2790">
        <f t="shared" ca="1" si="196"/>
        <v>0</v>
      </c>
      <c r="DF82" s="2790">
        <f t="shared" ca="1" si="196"/>
        <v>0</v>
      </c>
      <c r="DH82" s="596">
        <f t="shared" ca="1" si="113"/>
        <v>9.0172444022172762</v>
      </c>
    </row>
    <row r="83" spans="1:112" s="6" customFormat="1">
      <c r="C83" s="629"/>
      <c r="D83" s="617"/>
      <c r="E83" s="519"/>
      <c r="G83" s="579"/>
      <c r="H83" s="579"/>
      <c r="I83" s="579"/>
      <c r="J83" s="579"/>
      <c r="K83" s="638"/>
      <c r="L83" s="579"/>
      <c r="M83" s="579"/>
      <c r="N83" s="579"/>
      <c r="O83" s="579"/>
      <c r="P83" s="579"/>
      <c r="Q83" s="579"/>
      <c r="S83" s="581"/>
      <c r="T83" s="581"/>
      <c r="U83" s="581"/>
      <c r="V83" s="581"/>
      <c r="W83" s="581"/>
      <c r="X83" s="581"/>
      <c r="Y83" s="581"/>
      <c r="Z83" s="581"/>
      <c r="AA83" s="581"/>
      <c r="AB83" s="581"/>
      <c r="AC83" s="581"/>
      <c r="AD83" s="581"/>
      <c r="AE83" s="581"/>
      <c r="AF83" s="581"/>
      <c r="AG83" s="581"/>
      <c r="AH83" s="581"/>
      <c r="AI83" s="581"/>
      <c r="AJ83" s="581"/>
      <c r="AK83" s="581"/>
      <c r="AM83" s="582"/>
      <c r="AN83" s="582"/>
      <c r="AO83" s="582"/>
      <c r="AP83" s="582"/>
      <c r="AQ83" s="582"/>
      <c r="AR83" s="582"/>
      <c r="AS83" s="582"/>
      <c r="AT83" s="582"/>
      <c r="AU83" s="582"/>
      <c r="AV83" s="582"/>
      <c r="AW83" s="582"/>
      <c r="AX83" s="582"/>
      <c r="AY83" s="582"/>
      <c r="AZ83" s="582"/>
      <c r="BA83" s="582"/>
      <c r="BB83" s="582"/>
      <c r="BC83" s="582"/>
      <c r="BD83" s="582"/>
      <c r="BE83" s="582"/>
      <c r="BF83" s="582">
        <f>SUM(AM83:BE83)</f>
        <v>0</v>
      </c>
      <c r="BH83" s="3463"/>
      <c r="BI83" s="3463"/>
      <c r="BJ83" s="3463"/>
      <c r="BL83" s="3477">
        <f t="shared" si="176"/>
        <v>0</v>
      </c>
      <c r="BM83" s="584"/>
      <c r="BO83" s="2790"/>
      <c r="BP83" s="2790"/>
      <c r="BQ83" s="2790"/>
      <c r="BR83" s="2790"/>
      <c r="BS83" s="2790"/>
      <c r="BT83" s="2790"/>
      <c r="BU83" s="2790"/>
      <c r="BV83" s="2790"/>
      <c r="BW83" s="2790"/>
      <c r="BX83" s="2790"/>
      <c r="BY83" s="2790"/>
      <c r="BZ83" s="2790"/>
      <c r="CA83" s="2790"/>
      <c r="CB83" s="2790"/>
      <c r="CC83" s="2790"/>
      <c r="CD83" s="2790"/>
      <c r="CE83" s="2790"/>
      <c r="CF83" s="2790"/>
      <c r="CG83" s="2790"/>
      <c r="CH83" s="2790"/>
      <c r="CI83" s="2790"/>
      <c r="CJ83" s="2790"/>
      <c r="CK83" s="2790"/>
      <c r="CL83" s="2790"/>
      <c r="CM83" s="2790"/>
      <c r="CN83" s="2790"/>
      <c r="CO83" s="2790"/>
      <c r="CP83" s="2790"/>
      <c r="CQ83" s="2790"/>
      <c r="CR83" s="2790"/>
      <c r="CS83" s="2790"/>
      <c r="CT83" s="2790"/>
      <c r="CU83" s="2790"/>
      <c r="CV83" s="2790"/>
      <c r="CW83" s="2790"/>
      <c r="CX83" s="2790"/>
      <c r="CY83" s="2790"/>
      <c r="CZ83" s="2790"/>
      <c r="DA83" s="2790"/>
      <c r="DB83" s="2790"/>
      <c r="DC83" s="2790"/>
      <c r="DD83" s="2790"/>
      <c r="DE83" s="2790"/>
      <c r="DF83" s="2790"/>
      <c r="DH83" s="596"/>
    </row>
    <row r="84" spans="1:112" s="6" customFormat="1" ht="15.75">
      <c r="B84" s="3"/>
      <c r="C84" s="630" t="s">
        <v>560</v>
      </c>
      <c r="D84" s="631" t="s">
        <v>561</v>
      </c>
      <c r="E84" s="632"/>
      <c r="G84" s="680">
        <f t="shared" ref="G84:P84" ca="1" si="197">G$51+G$55+G$63+G$68+G$72+G$76+G$82+G$46</f>
        <v>0</v>
      </c>
      <c r="H84" s="680">
        <f t="shared" ca="1" si="197"/>
        <v>0.29936023735174733</v>
      </c>
      <c r="I84" s="680">
        <f t="shared" ca="1" si="197"/>
        <v>2.8632148502402313</v>
      </c>
      <c r="J84" s="680">
        <f t="shared" ca="1" si="197"/>
        <v>0</v>
      </c>
      <c r="K84" s="681">
        <f t="shared" ca="1" si="197"/>
        <v>0</v>
      </c>
      <c r="L84" s="680">
        <f t="shared" ca="1" si="197"/>
        <v>0</v>
      </c>
      <c r="M84" s="680">
        <f t="shared" ca="1" si="197"/>
        <v>0</v>
      </c>
      <c r="N84" s="680">
        <f t="shared" ca="1" si="197"/>
        <v>0</v>
      </c>
      <c r="O84" s="680">
        <f t="shared" ca="1" si="197"/>
        <v>0</v>
      </c>
      <c r="P84" s="680">
        <f t="shared" ca="1" si="197"/>
        <v>0</v>
      </c>
      <c r="Q84" s="633">
        <f ca="1">SUM(G84:P84)</f>
        <v>3.1625750875919785</v>
      </c>
      <c r="S84" s="634">
        <f t="shared" ref="S84:AJ84" ca="1" si="198">S$51+S$55+S$63+S$68+S$72+S$76+S$82+S$46</f>
        <v>-1.1678077038143577</v>
      </c>
      <c r="T84" s="634">
        <f t="shared" ca="1" si="198"/>
        <v>97.749468917182242</v>
      </c>
      <c r="U84" s="634">
        <f t="shared" ca="1" si="198"/>
        <v>-22.701435428571433</v>
      </c>
      <c r="V84" s="634">
        <f t="shared" ca="1" si="198"/>
        <v>-4.1142255452786536</v>
      </c>
      <c r="W84" s="634">
        <f t="shared" ca="1" si="198"/>
        <v>-40.203709645556394</v>
      </c>
      <c r="X84" s="634">
        <f t="shared" ca="1" si="198"/>
        <v>0.2136046021465092</v>
      </c>
      <c r="Y84" s="634">
        <f t="shared" ca="1" si="198"/>
        <v>0</v>
      </c>
      <c r="Z84" s="634">
        <f t="shared" ca="1" si="198"/>
        <v>0</v>
      </c>
      <c r="AA84" s="634">
        <f t="shared" ca="1" si="198"/>
        <v>0</v>
      </c>
      <c r="AB84" s="634">
        <f t="shared" ca="1" si="198"/>
        <v>0</v>
      </c>
      <c r="AC84" s="634">
        <f t="shared" ca="1" si="198"/>
        <v>0</v>
      </c>
      <c r="AD84" s="634">
        <f t="shared" ca="1" si="198"/>
        <v>85.98605217389283</v>
      </c>
      <c r="AE84" s="634">
        <f t="shared" ca="1" si="198"/>
        <v>1.0590538045843265</v>
      </c>
      <c r="AF84" s="634">
        <f t="shared" ca="1" si="198"/>
        <v>23.706484479667335</v>
      </c>
      <c r="AG84" s="634">
        <f t="shared" ca="1" si="198"/>
        <v>27.862294761138976</v>
      </c>
      <c r="AH84" s="634">
        <f t="shared" ca="1" si="198"/>
        <v>0.14114006489102265</v>
      </c>
      <c r="AI84" s="634">
        <f t="shared" ca="1" si="198"/>
        <v>4.1910433229244628</v>
      </c>
      <c r="AJ84" s="634">
        <f t="shared" ca="1" si="198"/>
        <v>3.1711867178177075E-2</v>
      </c>
      <c r="AK84" s="634">
        <f ca="1">SUM(S84:AJ84)</f>
        <v>172.75367567038504</v>
      </c>
      <c r="AM84" s="635">
        <f t="shared" ref="AM84:BE84" ca="1" si="199">AM$51+AM$55+AM$63+AM$68+AM$72+AM$76+AM$82+AM$46</f>
        <v>0</v>
      </c>
      <c r="AN84" s="635">
        <f t="shared" ca="1" si="199"/>
        <v>0</v>
      </c>
      <c r="AO84" s="635">
        <f t="shared" ca="1" si="199"/>
        <v>0</v>
      </c>
      <c r="AP84" s="635">
        <f t="shared" ca="1" si="199"/>
        <v>0</v>
      </c>
      <c r="AQ84" s="635">
        <f t="shared" ca="1" si="199"/>
        <v>0</v>
      </c>
      <c r="AR84" s="635">
        <f t="shared" ca="1" si="199"/>
        <v>0</v>
      </c>
      <c r="AS84" s="635">
        <f t="shared" ca="1" si="199"/>
        <v>0</v>
      </c>
      <c r="AT84" s="635">
        <f t="shared" ca="1" si="199"/>
        <v>0</v>
      </c>
      <c r="AU84" s="635">
        <f t="shared" ca="1" si="199"/>
        <v>0</v>
      </c>
      <c r="AV84" s="635">
        <f t="shared" ca="1" si="199"/>
        <v>-21.428000000000004</v>
      </c>
      <c r="AW84" s="635">
        <f t="shared" ca="1" si="199"/>
        <v>-8.4425533229244625</v>
      </c>
      <c r="AX84" s="635">
        <f t="shared" ca="1" si="199"/>
        <v>-45.741426300000008</v>
      </c>
      <c r="AY84" s="635">
        <f t="shared" ca="1" si="199"/>
        <v>-2.5246080000000011</v>
      </c>
      <c r="AZ84" s="635">
        <f t="shared" ca="1" si="199"/>
        <v>-6.2484048000000012</v>
      </c>
      <c r="BA84" s="635">
        <f t="shared" ca="1" si="199"/>
        <v>0</v>
      </c>
      <c r="BB84" s="635">
        <f t="shared" ca="1" si="199"/>
        <v>-0.78946596000000002</v>
      </c>
      <c r="BC84" s="635">
        <f t="shared" ca="1" si="199"/>
        <v>0</v>
      </c>
      <c r="BD84" s="635">
        <f t="shared" ca="1" si="199"/>
        <v>-103.3784393118105</v>
      </c>
      <c r="BE84" s="635">
        <f t="shared" ca="1" si="199"/>
        <v>-35.590190574510501</v>
      </c>
      <c r="BF84" s="635">
        <f ca="1">SUM(AM84:BE84)</f>
        <v>-224.14308826924548</v>
      </c>
      <c r="BH84" s="3464">
        <f ca="1">BH$51+BH$55+BH$63+BH$68+BH$72+BH$76+BH$82+BH$46</f>
        <v>42.499036239882841</v>
      </c>
      <c r="BI84" s="3464">
        <f ca="1">BI$51+BI$55+BI$63+BI$68+BI$72+BI$76+BI$82+BI$46</f>
        <v>5.7278012713856148</v>
      </c>
      <c r="BJ84" s="3464">
        <f ca="1">SUM(BH84:BI84)</f>
        <v>48.226837511268457</v>
      </c>
      <c r="BL84" s="3478">
        <f t="shared" ca="1" si="176"/>
        <v>0</v>
      </c>
      <c r="BM84" s="636"/>
      <c r="BO84" s="2793">
        <f t="shared" ref="BO84:DE84" ca="1" si="200">BO$51+BO$55+BO$63+BO$68+BO$72+BO$76+BO$82+BO$46</f>
        <v>17.363952288459291</v>
      </c>
      <c r="BP84" s="2793">
        <f t="shared" ca="1" si="200"/>
        <v>5.2940027620412625E-3</v>
      </c>
      <c r="BQ84" s="2793">
        <f t="shared" ca="1" si="200"/>
        <v>0.14680431238805444</v>
      </c>
      <c r="BR84" s="2793">
        <f t="shared" ca="1" si="200"/>
        <v>0</v>
      </c>
      <c r="BS84" s="2793">
        <f t="shared" ca="1" si="200"/>
        <v>0</v>
      </c>
      <c r="BT84" s="2793">
        <f t="shared" ca="1" si="200"/>
        <v>0</v>
      </c>
      <c r="BU84" s="2793">
        <f t="shared" ca="1" si="200"/>
        <v>0</v>
      </c>
      <c r="BV84" s="2793">
        <f t="shared" ca="1" si="200"/>
        <v>0</v>
      </c>
      <c r="BW84" s="2793">
        <f t="shared" ca="1" si="200"/>
        <v>0</v>
      </c>
      <c r="BX84" s="2793">
        <f t="shared" ca="1" si="200"/>
        <v>0</v>
      </c>
      <c r="BY84" s="2793">
        <f t="shared" ca="1" si="200"/>
        <v>0</v>
      </c>
      <c r="BZ84" s="2793">
        <f t="shared" ca="1" si="200"/>
        <v>0</v>
      </c>
      <c r="CA84" s="2793">
        <f t="shared" ca="1" si="200"/>
        <v>0</v>
      </c>
      <c r="CB84" s="2793">
        <f t="shared" ca="1" si="200"/>
        <v>0</v>
      </c>
      <c r="CC84" s="2793">
        <f t="shared" ca="1" si="200"/>
        <v>0</v>
      </c>
      <c r="CD84" s="2793">
        <f t="shared" ca="1" si="200"/>
        <v>0</v>
      </c>
      <c r="CE84" s="2793">
        <f t="shared" ca="1" si="200"/>
        <v>0</v>
      </c>
      <c r="CF84" s="2793">
        <f t="shared" ca="1" si="200"/>
        <v>7.1414162706700708</v>
      </c>
      <c r="CG84" s="2793">
        <f t="shared" ca="1" si="200"/>
        <v>5.8724792396030061</v>
      </c>
      <c r="CH84" s="2793">
        <f t="shared" ca="1" si="200"/>
        <v>0</v>
      </c>
      <c r="CI84" s="2793">
        <f t="shared" ca="1" si="200"/>
        <v>-4.4813243548418651</v>
      </c>
      <c r="CJ84" s="2793">
        <f t="shared" ca="1" si="200"/>
        <v>0</v>
      </c>
      <c r="CK84" s="2793">
        <f t="shared" ca="1" si="200"/>
        <v>0</v>
      </c>
      <c r="CL84" s="2793">
        <f t="shared" ca="1" si="200"/>
        <v>0</v>
      </c>
      <c r="CM84" s="2793">
        <f t="shared" ca="1" si="200"/>
        <v>0</v>
      </c>
      <c r="CN84" s="2793">
        <f t="shared" ca="1" si="200"/>
        <v>0.29949032499492428</v>
      </c>
      <c r="CO84" s="2793">
        <f t="shared" ca="1" si="200"/>
        <v>6.3714299999999988E-2</v>
      </c>
      <c r="CP84" s="2793">
        <f t="shared" ca="1" si="200"/>
        <v>0</v>
      </c>
      <c r="CQ84" s="2793">
        <f t="shared" ca="1" si="200"/>
        <v>0</v>
      </c>
      <c r="CR84" s="2793">
        <f t="shared" ca="1" si="200"/>
        <v>0</v>
      </c>
      <c r="CS84" s="2793">
        <f t="shared" ca="1" si="200"/>
        <v>0</v>
      </c>
      <c r="CT84" s="2793">
        <f t="shared" ca="1" si="200"/>
        <v>0</v>
      </c>
      <c r="CU84" s="2793">
        <f t="shared" ca="1" si="200"/>
        <v>0</v>
      </c>
      <c r="CV84" s="2793">
        <f t="shared" ca="1" si="200"/>
        <v>0</v>
      </c>
      <c r="CW84" s="2793">
        <f t="shared" ca="1" si="200"/>
        <v>0</v>
      </c>
      <c r="CX84" s="2793">
        <f t="shared" ca="1" si="200"/>
        <v>0</v>
      </c>
      <c r="CY84" s="2793">
        <f t="shared" ca="1" si="200"/>
        <v>0</v>
      </c>
      <c r="CZ84" s="2793">
        <f t="shared" ca="1" si="200"/>
        <v>0</v>
      </c>
      <c r="DA84" s="2793">
        <f t="shared" ca="1" si="200"/>
        <v>0</v>
      </c>
      <c r="DB84" s="2793">
        <f t="shared" ca="1" si="200"/>
        <v>0</v>
      </c>
      <c r="DC84" s="2793">
        <f t="shared" ca="1" si="200"/>
        <v>-7.3923140307046147</v>
      </c>
      <c r="DD84" s="2793">
        <f t="shared" ca="1" si="200"/>
        <v>0</v>
      </c>
      <c r="DE84" s="2793">
        <f t="shared" ca="1" si="200"/>
        <v>0</v>
      </c>
      <c r="DF84" s="2793">
        <f ca="1">DF$51+DF$99+DF$55+DF$63+DF$68+DF$76+DF$82+DF$46</f>
        <v>0</v>
      </c>
      <c r="DH84" s="637">
        <f ca="1">SUM(BO84:DF84)</f>
        <v>19.01951235333091</v>
      </c>
    </row>
    <row r="85" spans="1:112" s="6" customFormat="1">
      <c r="C85" s="629"/>
      <c r="D85" s="617"/>
      <c r="E85" s="519"/>
      <c r="G85" s="579"/>
      <c r="H85" s="579"/>
      <c r="I85" s="579"/>
      <c r="J85" s="579"/>
      <c r="K85" s="638"/>
      <c r="L85" s="579"/>
      <c r="M85" s="579"/>
      <c r="N85" s="579"/>
      <c r="O85" s="579"/>
      <c r="P85" s="579"/>
      <c r="Q85" s="579"/>
      <c r="S85" s="581"/>
      <c r="T85" s="581"/>
      <c r="U85" s="581"/>
      <c r="V85" s="581"/>
      <c r="W85" s="581"/>
      <c r="X85" s="581"/>
      <c r="Y85" s="581"/>
      <c r="Z85" s="581"/>
      <c r="AA85" s="581"/>
      <c r="AB85" s="581"/>
      <c r="AC85" s="581"/>
      <c r="AD85" s="581"/>
      <c r="AE85" s="581"/>
      <c r="AF85" s="581"/>
      <c r="AG85" s="581"/>
      <c r="AH85" s="581"/>
      <c r="AI85" s="581"/>
      <c r="AJ85" s="581"/>
      <c r="AK85" s="581"/>
      <c r="AM85" s="582"/>
      <c r="AN85" s="582"/>
      <c r="AO85" s="582"/>
      <c r="AP85" s="582"/>
      <c r="AQ85" s="582"/>
      <c r="AR85" s="582"/>
      <c r="AS85" s="582"/>
      <c r="AT85" s="582"/>
      <c r="AU85" s="582"/>
      <c r="AV85" s="582"/>
      <c r="AW85" s="582"/>
      <c r="AX85" s="582"/>
      <c r="AY85" s="582"/>
      <c r="AZ85" s="582"/>
      <c r="BA85" s="582"/>
      <c r="BB85" s="582"/>
      <c r="BC85" s="582"/>
      <c r="BD85" s="582"/>
      <c r="BE85" s="582"/>
      <c r="BF85" s="582"/>
      <c r="BH85" s="3463"/>
      <c r="BI85" s="3463"/>
      <c r="BJ85" s="3463"/>
      <c r="BL85" s="3477">
        <f t="shared" si="176"/>
        <v>0</v>
      </c>
      <c r="BM85" s="584"/>
      <c r="BO85" s="2790"/>
      <c r="BP85" s="2790"/>
      <c r="BQ85" s="2790"/>
      <c r="BR85" s="2790"/>
      <c r="BS85" s="2790"/>
      <c r="BT85" s="2790"/>
      <c r="BU85" s="2790"/>
      <c r="BV85" s="2790"/>
      <c r="BW85" s="2790"/>
      <c r="BX85" s="2790"/>
      <c r="BY85" s="2790"/>
      <c r="BZ85" s="2790"/>
      <c r="CA85" s="2790"/>
      <c r="CB85" s="2790"/>
      <c r="CC85" s="2790"/>
      <c r="CD85" s="2790"/>
      <c r="CE85" s="2790"/>
      <c r="CF85" s="2790"/>
      <c r="CG85" s="2790"/>
      <c r="CH85" s="2790"/>
      <c r="CI85" s="2790"/>
      <c r="CJ85" s="2790"/>
      <c r="CK85" s="2790"/>
      <c r="CL85" s="2790"/>
      <c r="CM85" s="2790"/>
      <c r="CN85" s="2790"/>
      <c r="CO85" s="2790"/>
      <c r="CP85" s="2790"/>
      <c r="CQ85" s="2790"/>
      <c r="CR85" s="2790"/>
      <c r="CS85" s="2790"/>
      <c r="CT85" s="2790"/>
      <c r="CU85" s="2790"/>
      <c r="CV85" s="2790"/>
      <c r="CW85" s="2790"/>
      <c r="CX85" s="2790"/>
      <c r="CY85" s="2790"/>
      <c r="CZ85" s="2790"/>
      <c r="DA85" s="2790"/>
      <c r="DB85" s="2790"/>
      <c r="DC85" s="2790"/>
      <c r="DD85" s="2790"/>
      <c r="DE85" s="2790"/>
      <c r="DF85" s="2790"/>
      <c r="DH85" s="596"/>
    </row>
    <row r="86" spans="1:112" s="6" customFormat="1" ht="15.75">
      <c r="C86" s="571" t="s">
        <v>562</v>
      </c>
      <c r="D86" s="571"/>
      <c r="E86" s="572"/>
      <c r="G86" s="573"/>
      <c r="H86" s="573"/>
      <c r="I86" s="573"/>
      <c r="J86" s="573"/>
      <c r="K86" s="573"/>
      <c r="L86" s="573"/>
      <c r="M86" s="573"/>
      <c r="N86" s="573"/>
      <c r="O86" s="573"/>
      <c r="P86" s="573"/>
      <c r="Q86" s="573"/>
      <c r="S86" s="682"/>
      <c r="T86" s="682"/>
      <c r="U86" s="682"/>
      <c r="V86" s="682"/>
      <c r="W86" s="682"/>
      <c r="X86" s="574"/>
      <c r="Y86" s="574"/>
      <c r="Z86" s="574"/>
      <c r="AA86" s="682"/>
      <c r="AB86" s="682"/>
      <c r="AC86" s="682"/>
      <c r="AD86" s="682"/>
      <c r="AE86" s="682"/>
      <c r="AF86" s="682"/>
      <c r="AG86" s="682"/>
      <c r="AH86" s="682"/>
      <c r="AI86" s="682"/>
      <c r="AJ86" s="682"/>
      <c r="AK86" s="682"/>
      <c r="AM86" s="683"/>
      <c r="AN86" s="683"/>
      <c r="AO86" s="683"/>
      <c r="AP86" s="683"/>
      <c r="AQ86" s="683"/>
      <c r="AR86" s="683"/>
      <c r="AS86" s="683"/>
      <c r="AT86" s="683"/>
      <c r="AU86" s="683"/>
      <c r="AV86" s="683"/>
      <c r="AW86" s="575"/>
      <c r="AX86" s="575"/>
      <c r="AY86" s="575"/>
      <c r="AZ86" s="575"/>
      <c r="BA86" s="575"/>
      <c r="BB86" s="575"/>
      <c r="BC86" s="575"/>
      <c r="BD86" s="575"/>
      <c r="BE86" s="575"/>
      <c r="BF86" s="683"/>
      <c r="BH86" s="3467"/>
      <c r="BI86" s="3467"/>
      <c r="BJ86" s="3467"/>
      <c r="BL86" s="3479">
        <f t="shared" si="176"/>
        <v>0</v>
      </c>
      <c r="BM86" s="577"/>
      <c r="BO86" s="2790"/>
      <c r="BP86" s="2790"/>
      <c r="BQ86" s="2790"/>
      <c r="BR86" s="2790"/>
      <c r="BS86" s="2790"/>
      <c r="BT86" s="2790"/>
      <c r="BU86" s="2790"/>
      <c r="BV86" s="2790"/>
      <c r="BW86" s="2790"/>
      <c r="BX86" s="2790"/>
      <c r="BY86" s="2790"/>
      <c r="BZ86" s="2790"/>
      <c r="CA86" s="2790"/>
      <c r="CB86" s="2790"/>
      <c r="CC86" s="2790"/>
      <c r="CD86" s="2790"/>
      <c r="CE86" s="2790"/>
      <c r="CF86" s="2790"/>
      <c r="CG86" s="2790"/>
      <c r="CH86" s="2790"/>
      <c r="CI86" s="2790"/>
      <c r="CJ86" s="2790"/>
      <c r="CK86" s="2790"/>
      <c r="CL86" s="2790"/>
      <c r="CM86" s="2790"/>
      <c r="CN86" s="2790"/>
      <c r="CO86" s="2790"/>
      <c r="CP86" s="2790"/>
      <c r="CQ86" s="2790"/>
      <c r="CR86" s="2790"/>
      <c r="CS86" s="2790"/>
      <c r="CT86" s="2790"/>
      <c r="CU86" s="2790"/>
      <c r="CV86" s="2790"/>
      <c r="CW86" s="2790"/>
      <c r="CX86" s="2790"/>
      <c r="CY86" s="2790"/>
      <c r="CZ86" s="2790"/>
      <c r="DA86" s="2790"/>
      <c r="DB86" s="2790"/>
      <c r="DC86" s="2790"/>
      <c r="DD86" s="2790"/>
      <c r="DE86" s="2790"/>
      <c r="DF86" s="2790"/>
      <c r="DH86" s="596"/>
    </row>
    <row r="87" spans="1:112" s="6" customFormat="1">
      <c r="C87" s="655"/>
      <c r="D87" s="656"/>
      <c r="E87" s="519"/>
      <c r="G87" s="579"/>
      <c r="H87" s="579"/>
      <c r="I87" s="579"/>
      <c r="J87" s="579"/>
      <c r="K87" s="638"/>
      <c r="L87" s="579"/>
      <c r="M87" s="579"/>
      <c r="N87" s="579"/>
      <c r="O87" s="579"/>
      <c r="P87" s="579"/>
      <c r="Q87" s="579"/>
      <c r="S87" s="581"/>
      <c r="T87" s="581"/>
      <c r="U87" s="581"/>
      <c r="V87" s="581"/>
      <c r="W87" s="581"/>
      <c r="X87" s="581"/>
      <c r="Y87" s="581"/>
      <c r="Z87" s="581"/>
      <c r="AA87" s="581"/>
      <c r="AB87" s="581"/>
      <c r="AC87" s="581"/>
      <c r="AD87" s="581"/>
      <c r="AE87" s="581"/>
      <c r="AF87" s="581"/>
      <c r="AG87" s="581"/>
      <c r="AH87" s="581"/>
      <c r="AI87" s="581"/>
      <c r="AJ87" s="581"/>
      <c r="AK87" s="581"/>
      <c r="AM87" s="582"/>
      <c r="AN87" s="582"/>
      <c r="AO87" s="582"/>
      <c r="AP87" s="582"/>
      <c r="AQ87" s="582"/>
      <c r="AR87" s="582"/>
      <c r="AS87" s="582"/>
      <c r="AT87" s="582"/>
      <c r="AU87" s="582"/>
      <c r="AV87" s="582"/>
      <c r="AW87" s="582"/>
      <c r="AX87" s="582"/>
      <c r="AY87" s="582"/>
      <c r="AZ87" s="582"/>
      <c r="BA87" s="582"/>
      <c r="BB87" s="582"/>
      <c r="BC87" s="582"/>
      <c r="BD87" s="582"/>
      <c r="BE87" s="582"/>
      <c r="BF87" s="582"/>
      <c r="BH87" s="3463"/>
      <c r="BI87" s="3463"/>
      <c r="BJ87" s="3463"/>
      <c r="BL87" s="3477">
        <f t="shared" si="176"/>
        <v>0</v>
      </c>
      <c r="BM87" s="584"/>
      <c r="BO87" s="2790"/>
      <c r="BP87" s="2790"/>
      <c r="BQ87" s="2790"/>
      <c r="BR87" s="2790"/>
      <c r="BS87" s="2790"/>
      <c r="BT87" s="2790"/>
      <c r="BU87" s="2790"/>
      <c r="BV87" s="2790"/>
      <c r="BW87" s="2790"/>
      <c r="BX87" s="2790"/>
      <c r="BY87" s="2790"/>
      <c r="BZ87" s="2790"/>
      <c r="CA87" s="2790"/>
      <c r="CB87" s="2790"/>
      <c r="CC87" s="2790"/>
      <c r="CD87" s="2790"/>
      <c r="CE87" s="2790"/>
      <c r="CF87" s="2790"/>
      <c r="CG87" s="2790"/>
      <c r="CH87" s="2790"/>
      <c r="CI87" s="2790"/>
      <c r="CJ87" s="2790"/>
      <c r="CK87" s="2790"/>
      <c r="CL87" s="2790"/>
      <c r="CM87" s="2790"/>
      <c r="CN87" s="2790"/>
      <c r="CO87" s="2790"/>
      <c r="CP87" s="2790"/>
      <c r="CQ87" s="2790"/>
      <c r="CR87" s="2790"/>
      <c r="CS87" s="2790"/>
      <c r="CT87" s="2790"/>
      <c r="CU87" s="2790"/>
      <c r="CV87" s="2790"/>
      <c r="CW87" s="2790"/>
      <c r="CX87" s="2790"/>
      <c r="CY87" s="2790"/>
      <c r="CZ87" s="2790"/>
      <c r="DA87" s="2790"/>
      <c r="DB87" s="2790"/>
      <c r="DC87" s="2790"/>
      <c r="DD87" s="2790"/>
      <c r="DE87" s="2790"/>
      <c r="DF87" s="2790"/>
      <c r="DH87" s="596"/>
    </row>
    <row r="88" spans="1:112" s="6" customFormat="1">
      <c r="A88" s="652"/>
      <c r="B88" s="652"/>
      <c r="C88" s="684"/>
      <c r="D88" s="685"/>
      <c r="E88" s="685"/>
      <c r="G88" s="686"/>
      <c r="H88" s="686"/>
      <c r="I88" s="686"/>
      <c r="J88" s="686"/>
      <c r="K88" s="687"/>
      <c r="L88" s="686"/>
      <c r="M88" s="686"/>
      <c r="N88" s="686"/>
      <c r="O88" s="686"/>
      <c r="P88" s="686"/>
      <c r="Q88" s="686"/>
      <c r="S88" s="688"/>
      <c r="T88" s="688"/>
      <c r="U88" s="688"/>
      <c r="V88" s="688"/>
      <c r="W88" s="688"/>
      <c r="X88" s="688"/>
      <c r="Y88" s="688"/>
      <c r="Z88" s="688"/>
      <c r="AA88" s="688"/>
      <c r="AB88" s="688"/>
      <c r="AC88" s="688"/>
      <c r="AD88" s="688"/>
      <c r="AE88" s="688"/>
      <c r="AF88" s="688"/>
      <c r="AG88" s="688"/>
      <c r="AH88" s="688"/>
      <c r="AI88" s="688"/>
      <c r="AJ88" s="688"/>
      <c r="AK88" s="688"/>
      <c r="AM88" s="689"/>
      <c r="AN88" s="689"/>
      <c r="AO88" s="689"/>
      <c r="AP88" s="689"/>
      <c r="AQ88" s="689"/>
      <c r="AR88" s="689"/>
      <c r="AS88" s="689"/>
      <c r="AT88" s="689"/>
      <c r="AU88" s="689"/>
      <c r="AV88" s="689"/>
      <c r="AW88" s="689"/>
      <c r="AX88" s="689"/>
      <c r="AY88" s="689"/>
      <c r="AZ88" s="689"/>
      <c r="BA88" s="689"/>
      <c r="BB88" s="689"/>
      <c r="BC88" s="689"/>
      <c r="BD88" s="689"/>
      <c r="BE88" s="689"/>
      <c r="BF88" s="689"/>
      <c r="BH88" s="690"/>
      <c r="BI88" s="690"/>
      <c r="BJ88" s="690"/>
      <c r="BL88" s="654"/>
      <c r="BM88" s="654"/>
      <c r="BN88" s="652"/>
      <c r="BO88" s="2795"/>
      <c r="BP88" s="2790"/>
      <c r="BQ88" s="2790"/>
      <c r="BR88" s="2790"/>
      <c r="BS88" s="2790"/>
      <c r="BT88" s="2790"/>
      <c r="BU88" s="2790"/>
      <c r="BV88" s="2790"/>
      <c r="BW88" s="2790"/>
      <c r="BX88" s="2790"/>
      <c r="BY88" s="2790"/>
      <c r="BZ88" s="2790"/>
      <c r="CA88" s="2790"/>
      <c r="CB88" s="2790"/>
      <c r="CC88" s="2790"/>
      <c r="CD88" s="2790"/>
      <c r="CE88" s="2790"/>
      <c r="CF88" s="2790"/>
      <c r="CG88" s="2790"/>
      <c r="CH88" s="2790"/>
      <c r="CI88" s="2790"/>
      <c r="CJ88" s="2790"/>
      <c r="CK88" s="2790"/>
      <c r="CL88" s="2790"/>
      <c r="CM88" s="2790"/>
      <c r="CN88" s="2790"/>
      <c r="CO88" s="2790"/>
      <c r="CP88" s="2790"/>
      <c r="CQ88" s="2790"/>
      <c r="CR88" s="2790"/>
      <c r="CS88" s="2790"/>
      <c r="CT88" s="2790"/>
      <c r="CU88" s="2790"/>
      <c r="CV88" s="2790"/>
      <c r="CW88" s="2790"/>
      <c r="CX88" s="2790"/>
      <c r="CY88" s="2790"/>
      <c r="CZ88" s="2790"/>
      <c r="DA88" s="2790"/>
      <c r="DB88" s="2790"/>
      <c r="DC88" s="2790"/>
      <c r="DD88" s="2790"/>
      <c r="DE88" s="2790"/>
      <c r="DF88" s="2790"/>
      <c r="DH88" s="596"/>
    </row>
    <row r="89" spans="1:112" s="607" customFormat="1">
      <c r="C89" s="651" t="s">
        <v>563</v>
      </c>
      <c r="D89" s="588" t="s">
        <v>564</v>
      </c>
      <c r="E89" s="588"/>
      <c r="F89" s="6"/>
      <c r="G89" s="589">
        <f t="shared" ref="G89:P89" ca="1" si="201">IFERROR(INDEX(INDIRECT($C89&amp;".Outputs["&amp;this.Year&amp;"]"), MATCH(G$5, INDIRECT($C89&amp;".Outputs[Vector]"), 0)), 0)</f>
        <v>0</v>
      </c>
      <c r="H89" s="589">
        <f t="shared" ca="1" si="201"/>
        <v>0</v>
      </c>
      <c r="I89" s="589">
        <f t="shared" ca="1" si="201"/>
        <v>0</v>
      </c>
      <c r="J89" s="589">
        <f t="shared" ca="1" si="201"/>
        <v>0</v>
      </c>
      <c r="K89" s="589">
        <f t="shared" ca="1" si="201"/>
        <v>0</v>
      </c>
      <c r="L89" s="589">
        <f t="shared" ca="1" si="201"/>
        <v>0</v>
      </c>
      <c r="M89" s="589">
        <f t="shared" ca="1" si="201"/>
        <v>0</v>
      </c>
      <c r="N89" s="589">
        <f t="shared" ca="1" si="201"/>
        <v>0</v>
      </c>
      <c r="O89" s="589">
        <f t="shared" ca="1" si="201"/>
        <v>0</v>
      </c>
      <c r="P89" s="589">
        <f t="shared" ca="1" si="201"/>
        <v>0</v>
      </c>
      <c r="Q89" s="590">
        <f ca="1">SUM(G89:P89)</f>
        <v>0</v>
      </c>
      <c r="R89" s="6"/>
      <c r="S89" s="591">
        <f t="shared" ref="S89:AJ89" ca="1" si="202">IFERROR(INDEX(INDIRECT($C89&amp;".Outputs["&amp;this.Year&amp;"]"), MATCH(S$5, INDIRECT($C89&amp;".Outputs[Vector]"), 0)), 0)</f>
        <v>0</v>
      </c>
      <c r="T89" s="591">
        <f t="shared" ca="1" si="202"/>
        <v>10</v>
      </c>
      <c r="U89" s="591">
        <f t="shared" ca="1" si="202"/>
        <v>0</v>
      </c>
      <c r="V89" s="591">
        <f t="shared" ca="1" si="202"/>
        <v>0</v>
      </c>
      <c r="W89" s="591">
        <f t="shared" ca="1" si="202"/>
        <v>0</v>
      </c>
      <c r="X89" s="591">
        <f ca="1">IFERROR(INDEX(INDIRECT($C89&amp;".Outputs["&amp;this.Year&amp;"]"), MATCH(X$5, INDIRECT($C89&amp;".Outputs[Vector]"), 0)), 0)</f>
        <v>0</v>
      </c>
      <c r="Y89" s="591">
        <f ca="1">IFERROR(INDEX(INDIRECT($C89&amp;".Outputs["&amp;this.Year&amp;"]"), MATCH(Y$5, INDIRECT($C89&amp;".Outputs[Vector]"), 0)), 0)</f>
        <v>0</v>
      </c>
      <c r="Z89" s="591">
        <f ca="1">IFERROR(INDEX(INDIRECT($C89&amp;".Outputs["&amp;this.Year&amp;"]"), MATCH(Z$5, INDIRECT($C89&amp;".Outputs[Vector]"), 0)), 0)</f>
        <v>0</v>
      </c>
      <c r="AA89" s="591">
        <f t="shared" ca="1" si="202"/>
        <v>0</v>
      </c>
      <c r="AB89" s="591">
        <f t="shared" ca="1" si="202"/>
        <v>0</v>
      </c>
      <c r="AC89" s="591">
        <f t="shared" ca="1" si="202"/>
        <v>0</v>
      </c>
      <c r="AD89" s="591">
        <f t="shared" ca="1" si="202"/>
        <v>0</v>
      </c>
      <c r="AE89" s="591">
        <f t="shared" ca="1" si="202"/>
        <v>0</v>
      </c>
      <c r="AF89" s="591">
        <f t="shared" ca="1" si="202"/>
        <v>0</v>
      </c>
      <c r="AG89" s="591">
        <f t="shared" ca="1" si="202"/>
        <v>0</v>
      </c>
      <c r="AH89" s="591">
        <f t="shared" ca="1" si="202"/>
        <v>0</v>
      </c>
      <c r="AI89" s="591">
        <f t="shared" ca="1" si="202"/>
        <v>0</v>
      </c>
      <c r="AJ89" s="591">
        <f t="shared" ca="1" si="202"/>
        <v>0</v>
      </c>
      <c r="AK89" s="592">
        <f ca="1">SUM(S89:AJ89)</f>
        <v>10</v>
      </c>
      <c r="AL89" s="6"/>
      <c r="AM89" s="593">
        <f t="shared" ref="AM89:BE89" ca="1" si="203">IFERROR(INDEX(INDIRECT($C89&amp;".Outputs["&amp;this.Year&amp;"]"), MATCH(AM$5, INDIRECT($C89&amp;".Outputs[Vector]"), 0)), 0)</f>
        <v>0</v>
      </c>
      <c r="AN89" s="593">
        <f t="shared" ca="1" si="203"/>
        <v>0</v>
      </c>
      <c r="AO89" s="593">
        <f t="shared" ca="1" si="203"/>
        <v>0</v>
      </c>
      <c r="AP89" s="593">
        <f t="shared" ca="1" si="203"/>
        <v>0</v>
      </c>
      <c r="AQ89" s="593">
        <f t="shared" ca="1" si="203"/>
        <v>-10</v>
      </c>
      <c r="AR89" s="593">
        <f t="shared" ca="1" si="203"/>
        <v>0</v>
      </c>
      <c r="AS89" s="593">
        <f t="shared" ca="1" si="203"/>
        <v>0</v>
      </c>
      <c r="AT89" s="593">
        <f t="shared" ca="1" si="203"/>
        <v>0</v>
      </c>
      <c r="AU89" s="593">
        <f t="shared" ca="1" si="203"/>
        <v>0</v>
      </c>
      <c r="AV89" s="593">
        <f t="shared" ca="1" si="203"/>
        <v>0</v>
      </c>
      <c r="AW89" s="593">
        <f t="shared" ca="1" si="203"/>
        <v>0</v>
      </c>
      <c r="AX89" s="593">
        <f t="shared" ca="1" si="203"/>
        <v>0</v>
      </c>
      <c r="AY89" s="593">
        <f t="shared" ca="1" si="203"/>
        <v>0</v>
      </c>
      <c r="AZ89" s="593">
        <f t="shared" ca="1" si="203"/>
        <v>0</v>
      </c>
      <c r="BA89" s="593">
        <f t="shared" ca="1" si="203"/>
        <v>0</v>
      </c>
      <c r="BB89" s="593">
        <f t="shared" ca="1" si="203"/>
        <v>0</v>
      </c>
      <c r="BC89" s="593">
        <f t="shared" ca="1" si="203"/>
        <v>0</v>
      </c>
      <c r="BD89" s="593">
        <f t="shared" ca="1" si="203"/>
        <v>0</v>
      </c>
      <c r="BE89" s="593">
        <f t="shared" ca="1" si="203"/>
        <v>0</v>
      </c>
      <c r="BF89" s="609">
        <f ca="1">SUM(AM89:BE89)</f>
        <v>-10</v>
      </c>
      <c r="BG89" s="6"/>
      <c r="BH89" s="3471">
        <f ca="1">IFERROR(INDEX(INDIRECT($C89&amp;".Outputs["&amp;this.Year&amp;"]"), MATCH(BH$5, INDIRECT($C89&amp;".Outputs[Vector]"), 0)), 0)</f>
        <v>0</v>
      </c>
      <c r="BI89" s="3471">
        <f ca="1">IFERROR(INDEX(INDIRECT($C89&amp;".Outputs["&amp;this.Year&amp;"]"), MATCH(BI$5, INDIRECT($C89&amp;".Outputs[Vector]"), 0)), 0)</f>
        <v>0</v>
      </c>
      <c r="BJ89" s="3460">
        <f ca="1">SUM(BH89:BI89)</f>
        <v>0</v>
      </c>
      <c r="BK89" s="6"/>
      <c r="BL89" s="610">
        <f t="shared" ref="BL89:BL94" ca="1" si="204">Q89+AK89+BF89+BJ89</f>
        <v>0</v>
      </c>
      <c r="BM89" s="610"/>
      <c r="BO89" s="2789">
        <f t="shared" ref="BO89:DF89" ca="1" si="205">IFERROR(SUMIFS(INDIRECT($C89&amp;".Emissions["&amp;this.Year&amp;"]"), INDIRECT($C89&amp;".Emissions[GHG]"), BO$6, INDIRECT($C89&amp;".Emissions[IPCC Sector]"), BO$5),0)</f>
        <v>0</v>
      </c>
      <c r="BP89" s="2790">
        <f t="shared" ca="1" si="205"/>
        <v>0</v>
      </c>
      <c r="BQ89" s="2790">
        <f t="shared" ca="1" si="205"/>
        <v>0</v>
      </c>
      <c r="BR89" s="2790">
        <f t="shared" ca="1" si="205"/>
        <v>0</v>
      </c>
      <c r="BS89" s="2790">
        <f t="shared" ca="1" si="205"/>
        <v>0</v>
      </c>
      <c r="BT89" s="2790">
        <f t="shared" ca="1" si="205"/>
        <v>0</v>
      </c>
      <c r="BU89" s="2790">
        <f t="shared" ca="1" si="205"/>
        <v>0</v>
      </c>
      <c r="BV89" s="2790">
        <f t="shared" ca="1" si="205"/>
        <v>0</v>
      </c>
      <c r="BW89" s="2790">
        <f t="shared" ca="1" si="205"/>
        <v>0</v>
      </c>
      <c r="BX89" s="2790">
        <f t="shared" ca="1" si="205"/>
        <v>0</v>
      </c>
      <c r="BY89" s="2790">
        <f t="shared" ca="1" si="205"/>
        <v>0</v>
      </c>
      <c r="BZ89" s="2790">
        <f t="shared" ca="1" si="205"/>
        <v>0</v>
      </c>
      <c r="CA89" s="2790">
        <f t="shared" ca="1" si="205"/>
        <v>0</v>
      </c>
      <c r="CB89" s="2790">
        <f t="shared" ca="1" si="205"/>
        <v>0</v>
      </c>
      <c r="CC89" s="2790">
        <f t="shared" ca="1" si="205"/>
        <v>0</v>
      </c>
      <c r="CD89" s="2790">
        <f t="shared" ca="1" si="205"/>
        <v>0</v>
      </c>
      <c r="CE89" s="2790">
        <f t="shared" ca="1" si="205"/>
        <v>0</v>
      </c>
      <c r="CF89" s="2790">
        <f t="shared" ca="1" si="205"/>
        <v>0</v>
      </c>
      <c r="CG89" s="2790">
        <f t="shared" ca="1" si="205"/>
        <v>0</v>
      </c>
      <c r="CH89" s="2790">
        <f t="shared" ca="1" si="205"/>
        <v>0</v>
      </c>
      <c r="CI89" s="2790">
        <f t="shared" ca="1" si="205"/>
        <v>0</v>
      </c>
      <c r="CJ89" s="2790">
        <f t="shared" ca="1" si="205"/>
        <v>0</v>
      </c>
      <c r="CK89" s="2790">
        <f t="shared" ca="1" si="205"/>
        <v>0</v>
      </c>
      <c r="CL89" s="2790">
        <f t="shared" ca="1" si="205"/>
        <v>0</v>
      </c>
      <c r="CM89" s="2790">
        <f t="shared" ca="1" si="205"/>
        <v>0</v>
      </c>
      <c r="CN89" s="2790">
        <f t="shared" ca="1" si="205"/>
        <v>0</v>
      </c>
      <c r="CO89" s="2790">
        <f t="shared" ca="1" si="205"/>
        <v>0</v>
      </c>
      <c r="CP89" s="2790">
        <f t="shared" ca="1" si="205"/>
        <v>0</v>
      </c>
      <c r="CQ89" s="2790">
        <f t="shared" ca="1" si="205"/>
        <v>0</v>
      </c>
      <c r="CR89" s="2790">
        <f t="shared" ca="1" si="205"/>
        <v>0</v>
      </c>
      <c r="CS89" s="2790">
        <f t="shared" ca="1" si="205"/>
        <v>0</v>
      </c>
      <c r="CT89" s="2790">
        <f t="shared" ca="1" si="205"/>
        <v>0</v>
      </c>
      <c r="CU89" s="2790">
        <f t="shared" ca="1" si="205"/>
        <v>0</v>
      </c>
      <c r="CV89" s="2790">
        <f t="shared" ca="1" si="205"/>
        <v>0</v>
      </c>
      <c r="CW89" s="2790">
        <f t="shared" ca="1" si="205"/>
        <v>0</v>
      </c>
      <c r="CX89" s="2790">
        <f t="shared" ca="1" si="205"/>
        <v>0</v>
      </c>
      <c r="CY89" s="2790">
        <f t="shared" ca="1" si="205"/>
        <v>0</v>
      </c>
      <c r="CZ89" s="2790">
        <f t="shared" ca="1" si="205"/>
        <v>0</v>
      </c>
      <c r="DA89" s="2790">
        <f t="shared" ca="1" si="205"/>
        <v>0</v>
      </c>
      <c r="DB89" s="2790">
        <f t="shared" ca="1" si="205"/>
        <v>0</v>
      </c>
      <c r="DC89" s="2790">
        <f t="shared" ca="1" si="205"/>
        <v>0</v>
      </c>
      <c r="DD89" s="2790">
        <f t="shared" ca="1" si="205"/>
        <v>0</v>
      </c>
      <c r="DE89" s="2790">
        <f t="shared" ca="1" si="205"/>
        <v>0</v>
      </c>
      <c r="DF89" s="2790">
        <f t="shared" ca="1" si="205"/>
        <v>0</v>
      </c>
      <c r="DH89" s="596"/>
    </row>
    <row r="90" spans="1:112" s="652" customFormat="1">
      <c r="C90" s="667" t="s">
        <v>565</v>
      </c>
      <c r="D90" s="668" t="s">
        <v>566</v>
      </c>
      <c r="E90" s="668"/>
      <c r="F90" s="6"/>
      <c r="G90" s="643"/>
      <c r="H90" s="643"/>
      <c r="I90" s="643"/>
      <c r="J90" s="643"/>
      <c r="K90" s="644"/>
      <c r="L90" s="643"/>
      <c r="M90" s="643"/>
      <c r="N90" s="643"/>
      <c r="O90" s="643"/>
      <c r="P90" s="643"/>
      <c r="Q90" s="643"/>
      <c r="R90" s="6"/>
      <c r="S90" s="645">
        <f ca="1">S$40+$S46+S$51+S$99+S$55+S$89</f>
        <v>-28.235062849890589</v>
      </c>
      <c r="T90" s="645">
        <f ca="1">T$40+$S46+T$51+T$99+T$55+T$89</f>
        <v>22.351815756911456</v>
      </c>
      <c r="U90" s="645"/>
      <c r="V90" s="645"/>
      <c r="W90" s="645"/>
      <c r="X90" s="645"/>
      <c r="Y90" s="645"/>
      <c r="Z90" s="645"/>
      <c r="AA90" s="645"/>
      <c r="AB90" s="645"/>
      <c r="AC90" s="645"/>
      <c r="AD90" s="645"/>
      <c r="AE90" s="645"/>
      <c r="AF90" s="645"/>
      <c r="AG90" s="645"/>
      <c r="AH90" s="645"/>
      <c r="AI90" s="645"/>
      <c r="AJ90" s="645"/>
      <c r="AK90" s="645"/>
      <c r="AL90" s="6"/>
      <c r="AM90" s="646"/>
      <c r="AN90" s="646"/>
      <c r="AO90" s="646"/>
      <c r="AP90" s="646"/>
      <c r="AQ90" s="646"/>
      <c r="AR90" s="646"/>
      <c r="AS90" s="646"/>
      <c r="AT90" s="646"/>
      <c r="AU90" s="646"/>
      <c r="AV90" s="646"/>
      <c r="AW90" s="646"/>
      <c r="AX90" s="646"/>
      <c r="AY90" s="646"/>
      <c r="AZ90" s="646"/>
      <c r="BA90" s="646"/>
      <c r="BB90" s="646"/>
      <c r="BC90" s="646"/>
      <c r="BD90" s="646"/>
      <c r="BE90" s="646"/>
      <c r="BF90" s="646"/>
      <c r="BG90" s="6"/>
      <c r="BH90" s="647"/>
      <c r="BI90" s="647"/>
      <c r="BJ90" s="647"/>
      <c r="BK90" s="6"/>
      <c r="BL90" s="654">
        <f t="shared" si="204"/>
        <v>0</v>
      </c>
      <c r="BM90" s="654"/>
      <c r="BO90" s="2795"/>
      <c r="BP90" s="2795"/>
      <c r="BQ90" s="2795"/>
      <c r="BR90" s="2795"/>
      <c r="BS90" s="2795"/>
      <c r="BT90" s="2795"/>
      <c r="BU90" s="2795"/>
      <c r="BV90" s="2795"/>
      <c r="BW90" s="2795"/>
      <c r="BX90" s="2795"/>
      <c r="BY90" s="2795"/>
      <c r="BZ90" s="2795"/>
      <c r="CA90" s="2795"/>
      <c r="CB90" s="2795"/>
      <c r="CC90" s="2795"/>
      <c r="CD90" s="2795"/>
      <c r="CE90" s="2795"/>
      <c r="CF90" s="2795"/>
      <c r="CG90" s="2795"/>
      <c r="CH90" s="2795"/>
      <c r="CI90" s="2795"/>
      <c r="CJ90" s="2795"/>
      <c r="CK90" s="2795"/>
      <c r="CL90" s="2795"/>
      <c r="CM90" s="2795"/>
      <c r="CN90" s="2795"/>
      <c r="CO90" s="2795"/>
      <c r="CP90" s="2795"/>
      <c r="CQ90" s="2795"/>
      <c r="CR90" s="2795"/>
      <c r="CS90" s="2795"/>
      <c r="CT90" s="2795"/>
      <c r="CU90" s="2795"/>
      <c r="CV90" s="2795"/>
      <c r="CW90" s="2795"/>
      <c r="CX90" s="2795"/>
      <c r="CY90" s="2795"/>
      <c r="CZ90" s="2795"/>
      <c r="DA90" s="2795"/>
      <c r="DB90" s="2795"/>
      <c r="DC90" s="2795"/>
      <c r="DD90" s="2795"/>
      <c r="DE90" s="2795"/>
      <c r="DF90" s="2795"/>
      <c r="DH90" s="596"/>
    </row>
    <row r="91" spans="1:112" s="607" customFormat="1">
      <c r="C91" s="651" t="s">
        <v>567</v>
      </c>
      <c r="D91" s="588" t="s">
        <v>568</v>
      </c>
      <c r="E91" s="588"/>
      <c r="F91" s="6"/>
      <c r="G91" s="589">
        <f t="shared" ref="G91:P92" ca="1" si="206">IFERROR(INDEX(INDIRECT($C91&amp;".Outputs["&amp;this.Year&amp;"]"), MATCH(G$5, INDIRECT($C91&amp;".Outputs[Vector]"), 0)), 0)</f>
        <v>0</v>
      </c>
      <c r="H91" s="589">
        <f t="shared" ca="1" si="206"/>
        <v>0</v>
      </c>
      <c r="I91" s="589">
        <f t="shared" ca="1" si="206"/>
        <v>0</v>
      </c>
      <c r="J91" s="589">
        <f t="shared" ca="1" si="206"/>
        <v>0</v>
      </c>
      <c r="K91" s="589">
        <f t="shared" ca="1" si="206"/>
        <v>0</v>
      </c>
      <c r="L91" s="589">
        <f t="shared" ca="1" si="206"/>
        <v>0</v>
      </c>
      <c r="M91" s="589">
        <f t="shared" ca="1" si="206"/>
        <v>0</v>
      </c>
      <c r="N91" s="589">
        <f t="shared" ca="1" si="206"/>
        <v>0</v>
      </c>
      <c r="O91" s="589">
        <f t="shared" ca="1" si="206"/>
        <v>0</v>
      </c>
      <c r="P91" s="589">
        <f t="shared" ca="1" si="206"/>
        <v>0</v>
      </c>
      <c r="Q91" s="590">
        <f ca="1">SUM(G91:P91)</f>
        <v>0</v>
      </c>
      <c r="R91" s="6"/>
      <c r="S91" s="591">
        <f t="shared" ref="S91:AJ92" ca="1" si="207">IFERROR(INDEX(INDIRECT($C91&amp;".Outputs["&amp;this.Year&amp;"]"), MATCH(S$5, INDIRECT($C91&amp;".Outputs[Vector]"), 0)), 0)</f>
        <v>0</v>
      </c>
      <c r="T91" s="591">
        <f t="shared" ca="1" si="207"/>
        <v>-4.033311791818825</v>
      </c>
      <c r="U91" s="591">
        <f t="shared" ca="1" si="207"/>
        <v>0</v>
      </c>
      <c r="V91" s="591">
        <f t="shared" ca="1" si="207"/>
        <v>0</v>
      </c>
      <c r="W91" s="591">
        <f t="shared" ca="1" si="207"/>
        <v>0</v>
      </c>
      <c r="X91" s="591">
        <f t="shared" ca="1" si="207"/>
        <v>0</v>
      </c>
      <c r="Y91" s="591">
        <f t="shared" ca="1" si="207"/>
        <v>0</v>
      </c>
      <c r="Z91" s="591">
        <f t="shared" ca="1" si="207"/>
        <v>0</v>
      </c>
      <c r="AA91" s="591">
        <f t="shared" ca="1" si="207"/>
        <v>0</v>
      </c>
      <c r="AB91" s="591">
        <f t="shared" ca="1" si="207"/>
        <v>0</v>
      </c>
      <c r="AC91" s="591">
        <f t="shared" ca="1" si="207"/>
        <v>0</v>
      </c>
      <c r="AD91" s="591">
        <f t="shared" ca="1" si="207"/>
        <v>0</v>
      </c>
      <c r="AE91" s="591">
        <f t="shared" ca="1" si="207"/>
        <v>0</v>
      </c>
      <c r="AF91" s="591">
        <f t="shared" ca="1" si="207"/>
        <v>0</v>
      </c>
      <c r="AG91" s="591">
        <f t="shared" ca="1" si="207"/>
        <v>0</v>
      </c>
      <c r="AH91" s="591">
        <f t="shared" ca="1" si="207"/>
        <v>0</v>
      </c>
      <c r="AI91" s="591">
        <f t="shared" ca="1" si="207"/>
        <v>0</v>
      </c>
      <c r="AJ91" s="591">
        <f t="shared" ca="1" si="207"/>
        <v>0</v>
      </c>
      <c r="AK91" s="592">
        <f ca="1">SUM(S91:AJ91)</f>
        <v>-4.033311791818825</v>
      </c>
      <c r="AL91" s="6"/>
      <c r="AM91" s="593">
        <f t="shared" ref="AM91:BB92" ca="1" si="208">IFERROR(INDEX(INDIRECT($C91&amp;".Outputs["&amp;this.Year&amp;"]"), MATCH(AM$5, INDIRECT($C91&amp;".Outputs[Vector]"), 0)), 0)</f>
        <v>0</v>
      </c>
      <c r="AN91" s="593">
        <f t="shared" ca="1" si="208"/>
        <v>0</v>
      </c>
      <c r="AO91" s="593">
        <f t="shared" ca="1" si="208"/>
        <v>0</v>
      </c>
      <c r="AP91" s="593">
        <f t="shared" ca="1" si="208"/>
        <v>0</v>
      </c>
      <c r="AQ91" s="593">
        <f t="shared" ca="1" si="208"/>
        <v>0</v>
      </c>
      <c r="AR91" s="593">
        <f t="shared" ca="1" si="208"/>
        <v>0</v>
      </c>
      <c r="AS91" s="593">
        <f t="shared" ca="1" si="208"/>
        <v>0</v>
      </c>
      <c r="AT91" s="593">
        <f t="shared" ca="1" si="208"/>
        <v>0</v>
      </c>
      <c r="AU91" s="593">
        <f t="shared" ca="1" si="208"/>
        <v>0</v>
      </c>
      <c r="AV91" s="593">
        <f t="shared" ca="1" si="208"/>
        <v>0</v>
      </c>
      <c r="AW91" s="593">
        <f t="shared" ca="1" si="208"/>
        <v>0</v>
      </c>
      <c r="AX91" s="593">
        <f t="shared" ca="1" si="208"/>
        <v>0</v>
      </c>
      <c r="AY91" s="593">
        <f t="shared" ca="1" si="208"/>
        <v>0</v>
      </c>
      <c r="AZ91" s="593">
        <f t="shared" ca="1" si="208"/>
        <v>0</v>
      </c>
      <c r="BA91" s="593">
        <f t="shared" ca="1" si="208"/>
        <v>0</v>
      </c>
      <c r="BB91" s="593">
        <f t="shared" ca="1" si="208"/>
        <v>0</v>
      </c>
      <c r="BC91" s="593">
        <f t="shared" ref="BC91:BE92" ca="1" si="209">IFERROR(INDEX(INDIRECT($C91&amp;".Outputs["&amp;this.Year&amp;"]"), MATCH(BC$5, INDIRECT($C91&amp;".Outputs[Vector]"), 0)), 0)</f>
        <v>0</v>
      </c>
      <c r="BD91" s="593">
        <f t="shared" ca="1" si="209"/>
        <v>0</v>
      </c>
      <c r="BE91" s="593">
        <f t="shared" ca="1" si="209"/>
        <v>0</v>
      </c>
      <c r="BF91" s="609">
        <f ca="1">SUM(AM91:BE91)</f>
        <v>0</v>
      </c>
      <c r="BG91" s="6"/>
      <c r="BH91" s="3471">
        <f ca="1">IFERROR(INDEX(INDIRECT($C91&amp;".Outputs["&amp;this.Year&amp;"]"), MATCH(BH$5, INDIRECT($C91&amp;".Outputs[Vector]"), 0)), 0)</f>
        <v>0</v>
      </c>
      <c r="BI91" s="3471">
        <f ca="1">IFERROR(INDEX(INDIRECT($C91&amp;".Outputs["&amp;this.Year&amp;"]"), MATCH(BI$5, INDIRECT($C91&amp;".Outputs[Vector]"), 0)), 0)</f>
        <v>4.0333117918188259</v>
      </c>
      <c r="BJ91" s="3460">
        <f ca="1">SUM(BH91:BI91)</f>
        <v>4.0333117918188259</v>
      </c>
      <c r="BK91" s="6"/>
      <c r="BL91" s="654">
        <f t="shared" ca="1" si="204"/>
        <v>0</v>
      </c>
      <c r="BM91" s="610"/>
      <c r="BO91" s="2789">
        <f t="shared" ref="BO91:BX92" ca="1" si="210">IFERROR(SUMIFS(INDIRECT($C91&amp;".Emissions["&amp;this.Year&amp;"]"), INDIRECT($C91&amp;".Emissions[GHG]"), BO$6, INDIRECT($C91&amp;".Emissions[IPCC Sector]"), BO$5),0)</f>
        <v>0</v>
      </c>
      <c r="BP91" s="2790">
        <f t="shared" ca="1" si="210"/>
        <v>0</v>
      </c>
      <c r="BQ91" s="2790">
        <f t="shared" ca="1" si="210"/>
        <v>0</v>
      </c>
      <c r="BR91" s="2790">
        <f t="shared" ca="1" si="210"/>
        <v>0</v>
      </c>
      <c r="BS91" s="2790">
        <f t="shared" ca="1" si="210"/>
        <v>0</v>
      </c>
      <c r="BT91" s="2790">
        <f t="shared" ca="1" si="210"/>
        <v>0</v>
      </c>
      <c r="BU91" s="2790">
        <f t="shared" ca="1" si="210"/>
        <v>0</v>
      </c>
      <c r="BV91" s="2790">
        <f t="shared" ca="1" si="210"/>
        <v>0</v>
      </c>
      <c r="BW91" s="2790">
        <f t="shared" ca="1" si="210"/>
        <v>0</v>
      </c>
      <c r="BX91" s="2790">
        <f t="shared" ca="1" si="210"/>
        <v>0</v>
      </c>
      <c r="BY91" s="2790">
        <f t="shared" ref="BY91:CH92" ca="1" si="211">IFERROR(SUMIFS(INDIRECT($C91&amp;".Emissions["&amp;this.Year&amp;"]"), INDIRECT($C91&amp;".Emissions[GHG]"), BY$6, INDIRECT($C91&amp;".Emissions[IPCC Sector]"), BY$5),0)</f>
        <v>0</v>
      </c>
      <c r="BZ91" s="2790">
        <f t="shared" ca="1" si="211"/>
        <v>0</v>
      </c>
      <c r="CA91" s="2790">
        <f t="shared" ca="1" si="211"/>
        <v>0</v>
      </c>
      <c r="CB91" s="2790">
        <f t="shared" ca="1" si="211"/>
        <v>0</v>
      </c>
      <c r="CC91" s="2790">
        <f t="shared" ca="1" si="211"/>
        <v>0</v>
      </c>
      <c r="CD91" s="2790">
        <f t="shared" ca="1" si="211"/>
        <v>0</v>
      </c>
      <c r="CE91" s="2790">
        <f t="shared" ca="1" si="211"/>
        <v>0</v>
      </c>
      <c r="CF91" s="2790">
        <f t="shared" ca="1" si="211"/>
        <v>0</v>
      </c>
      <c r="CG91" s="2790">
        <f t="shared" ca="1" si="211"/>
        <v>0</v>
      </c>
      <c r="CH91" s="2790">
        <f t="shared" ca="1" si="211"/>
        <v>0</v>
      </c>
      <c r="CI91" s="2790">
        <f t="shared" ref="CI91:CR92" ca="1" si="212">IFERROR(SUMIFS(INDIRECT($C91&amp;".Emissions["&amp;this.Year&amp;"]"), INDIRECT($C91&amp;".Emissions[GHG]"), CI$6, INDIRECT($C91&amp;".Emissions[IPCC Sector]"), CI$5),0)</f>
        <v>0</v>
      </c>
      <c r="CJ91" s="2790">
        <f t="shared" ca="1" si="212"/>
        <v>0</v>
      </c>
      <c r="CK91" s="2790">
        <f t="shared" ca="1" si="212"/>
        <v>0</v>
      </c>
      <c r="CL91" s="2790">
        <f t="shared" ca="1" si="212"/>
        <v>0</v>
      </c>
      <c r="CM91" s="2790">
        <f t="shared" ca="1" si="212"/>
        <v>0</v>
      </c>
      <c r="CN91" s="2790">
        <f t="shared" ca="1" si="212"/>
        <v>0</v>
      </c>
      <c r="CO91" s="2790">
        <f t="shared" ca="1" si="212"/>
        <v>0</v>
      </c>
      <c r="CP91" s="2790">
        <f t="shared" ca="1" si="212"/>
        <v>0</v>
      </c>
      <c r="CQ91" s="2790">
        <f t="shared" ca="1" si="212"/>
        <v>0</v>
      </c>
      <c r="CR91" s="2790">
        <f t="shared" ca="1" si="212"/>
        <v>0</v>
      </c>
      <c r="CS91" s="2790">
        <f t="shared" ref="CS91:DF92" ca="1" si="213">IFERROR(SUMIFS(INDIRECT($C91&amp;".Emissions["&amp;this.Year&amp;"]"), INDIRECT($C91&amp;".Emissions[GHG]"), CS$6, INDIRECT($C91&amp;".Emissions[IPCC Sector]"), CS$5),0)</f>
        <v>0</v>
      </c>
      <c r="CT91" s="2790">
        <f t="shared" ca="1" si="213"/>
        <v>0</v>
      </c>
      <c r="CU91" s="2790">
        <f t="shared" ca="1" si="213"/>
        <v>0</v>
      </c>
      <c r="CV91" s="2790">
        <f t="shared" ca="1" si="213"/>
        <v>0</v>
      </c>
      <c r="CW91" s="2790">
        <f t="shared" ca="1" si="213"/>
        <v>0</v>
      </c>
      <c r="CX91" s="2790">
        <f t="shared" ca="1" si="213"/>
        <v>0</v>
      </c>
      <c r="CY91" s="2790">
        <f t="shared" ca="1" si="213"/>
        <v>0</v>
      </c>
      <c r="CZ91" s="2790">
        <f t="shared" ca="1" si="213"/>
        <v>0</v>
      </c>
      <c r="DA91" s="2790">
        <f t="shared" ca="1" si="213"/>
        <v>0</v>
      </c>
      <c r="DB91" s="2790">
        <f t="shared" ca="1" si="213"/>
        <v>0</v>
      </c>
      <c r="DC91" s="2790">
        <f t="shared" ca="1" si="213"/>
        <v>0</v>
      </c>
      <c r="DD91" s="2790">
        <f t="shared" ca="1" si="213"/>
        <v>0</v>
      </c>
      <c r="DE91" s="2790">
        <f t="shared" ca="1" si="213"/>
        <v>0</v>
      </c>
      <c r="DF91" s="2790">
        <f t="shared" ca="1" si="213"/>
        <v>0</v>
      </c>
      <c r="DH91" s="596"/>
    </row>
    <row r="92" spans="1:112" s="607" customFormat="1">
      <c r="C92" s="651" t="s">
        <v>569</v>
      </c>
      <c r="D92" s="611" t="s">
        <v>570</v>
      </c>
      <c r="E92" s="611"/>
      <c r="F92" s="6"/>
      <c r="G92" s="619">
        <f t="shared" ca="1" si="206"/>
        <v>0</v>
      </c>
      <c r="H92" s="619">
        <f t="shared" ca="1" si="206"/>
        <v>0</v>
      </c>
      <c r="I92" s="619">
        <f t="shared" ca="1" si="206"/>
        <v>0</v>
      </c>
      <c r="J92" s="619">
        <f t="shared" ca="1" si="206"/>
        <v>0</v>
      </c>
      <c r="K92" s="619">
        <f t="shared" ca="1" si="206"/>
        <v>0</v>
      </c>
      <c r="L92" s="619">
        <f t="shared" ca="1" si="206"/>
        <v>0</v>
      </c>
      <c r="M92" s="619">
        <f t="shared" ca="1" si="206"/>
        <v>0</v>
      </c>
      <c r="N92" s="619">
        <f t="shared" ca="1" si="206"/>
        <v>0</v>
      </c>
      <c r="O92" s="619">
        <f t="shared" ca="1" si="206"/>
        <v>0</v>
      </c>
      <c r="P92" s="619">
        <f t="shared" ca="1" si="206"/>
        <v>0</v>
      </c>
      <c r="Q92" s="612">
        <f ca="1">SUM(G92:P92)</f>
        <v>0</v>
      </c>
      <c r="R92" s="6"/>
      <c r="S92" s="620">
        <f t="shared" ca="1" si="207"/>
        <v>0</v>
      </c>
      <c r="T92" s="620">
        <f t="shared" ca="1" si="207"/>
        <v>0</v>
      </c>
      <c r="U92" s="620">
        <f t="shared" ca="1" si="207"/>
        <v>0</v>
      </c>
      <c r="V92" s="620">
        <f t="shared" ca="1" si="207"/>
        <v>0</v>
      </c>
      <c r="W92" s="620">
        <f t="shared" ca="1" si="207"/>
        <v>0</v>
      </c>
      <c r="X92" s="620">
        <f t="shared" ca="1" si="207"/>
        <v>0</v>
      </c>
      <c r="Y92" s="620">
        <f t="shared" ca="1" si="207"/>
        <v>0</v>
      </c>
      <c r="Z92" s="620">
        <f t="shared" ca="1" si="207"/>
        <v>0</v>
      </c>
      <c r="AA92" s="620">
        <f t="shared" ca="1" si="207"/>
        <v>0</v>
      </c>
      <c r="AB92" s="620">
        <f t="shared" ca="1" si="207"/>
        <v>0</v>
      </c>
      <c r="AC92" s="620">
        <f t="shared" ca="1" si="207"/>
        <v>0</v>
      </c>
      <c r="AD92" s="620">
        <f t="shared" ca="1" si="207"/>
        <v>0</v>
      </c>
      <c r="AE92" s="620">
        <f t="shared" ca="1" si="207"/>
        <v>0</v>
      </c>
      <c r="AF92" s="620">
        <f t="shared" ca="1" si="207"/>
        <v>0</v>
      </c>
      <c r="AG92" s="620">
        <f t="shared" ca="1" si="207"/>
        <v>0</v>
      </c>
      <c r="AH92" s="620">
        <f t="shared" ca="1" si="207"/>
        <v>0</v>
      </c>
      <c r="AI92" s="620">
        <f t="shared" ca="1" si="207"/>
        <v>0</v>
      </c>
      <c r="AJ92" s="620">
        <f t="shared" ca="1" si="207"/>
        <v>0</v>
      </c>
      <c r="AK92" s="613">
        <f ca="1">SUM(S92:AJ92)</f>
        <v>0</v>
      </c>
      <c r="AL92" s="6"/>
      <c r="AM92" s="621">
        <f t="shared" ca="1" si="208"/>
        <v>0</v>
      </c>
      <c r="AN92" s="621">
        <f t="shared" ca="1" si="208"/>
        <v>0</v>
      </c>
      <c r="AO92" s="621">
        <f t="shared" ca="1" si="208"/>
        <v>0</v>
      </c>
      <c r="AP92" s="621">
        <f t="shared" ca="1" si="208"/>
        <v>0</v>
      </c>
      <c r="AQ92" s="621">
        <f t="shared" ca="1" si="208"/>
        <v>0</v>
      </c>
      <c r="AR92" s="621">
        <f t="shared" ca="1" si="208"/>
        <v>0</v>
      </c>
      <c r="AS92" s="621">
        <f t="shared" ca="1" si="208"/>
        <v>0</v>
      </c>
      <c r="AT92" s="621">
        <f t="shared" ca="1" si="208"/>
        <v>0</v>
      </c>
      <c r="AU92" s="621">
        <f t="shared" ca="1" si="208"/>
        <v>0</v>
      </c>
      <c r="AV92" s="621">
        <f t="shared" ca="1" si="208"/>
        <v>0</v>
      </c>
      <c r="AW92" s="621">
        <f t="shared" ca="1" si="208"/>
        <v>0</v>
      </c>
      <c r="AX92" s="621">
        <f t="shared" ca="1" si="208"/>
        <v>0</v>
      </c>
      <c r="AY92" s="621">
        <f t="shared" ca="1" si="208"/>
        <v>0</v>
      </c>
      <c r="AZ92" s="621">
        <f t="shared" ca="1" si="208"/>
        <v>0</v>
      </c>
      <c r="BA92" s="621">
        <f t="shared" ca="1" si="208"/>
        <v>0</v>
      </c>
      <c r="BB92" s="621">
        <f t="shared" ca="1" si="208"/>
        <v>0</v>
      </c>
      <c r="BC92" s="621">
        <f t="shared" ca="1" si="209"/>
        <v>0</v>
      </c>
      <c r="BD92" s="621">
        <f t="shared" ca="1" si="209"/>
        <v>0</v>
      </c>
      <c r="BE92" s="621">
        <f t="shared" ca="1" si="209"/>
        <v>0</v>
      </c>
      <c r="BF92" s="615">
        <f ca="1">SUM(AM92:BE92)</f>
        <v>0</v>
      </c>
      <c r="BG92" s="6"/>
      <c r="BH92" s="3473">
        <f ca="1">IFERROR(INDEX(INDIRECT($C92&amp;".Outputs["&amp;this.Year&amp;"]"), MATCH(BH$5, INDIRECT($C92&amp;".Outputs[Vector]"), 0)), 0)</f>
        <v>0</v>
      </c>
      <c r="BI92" s="3473">
        <f ca="1">IFERROR(INDEX(INDIRECT($C92&amp;".Outputs["&amp;this.Year&amp;"]"), MATCH(BI$5, INDIRECT($C92&amp;".Outputs[Vector]"), 0)), 0)</f>
        <v>0</v>
      </c>
      <c r="BJ92" s="3462">
        <f ca="1">SUM(BH92:BI92)</f>
        <v>0</v>
      </c>
      <c r="BK92" s="6"/>
      <c r="BL92" s="654">
        <f t="shared" ca="1" si="204"/>
        <v>0</v>
      </c>
      <c r="BM92" s="610"/>
      <c r="BO92" s="2791">
        <f t="shared" ca="1" si="210"/>
        <v>0</v>
      </c>
      <c r="BP92" s="2792">
        <f t="shared" ca="1" si="210"/>
        <v>0</v>
      </c>
      <c r="BQ92" s="2792">
        <f t="shared" ca="1" si="210"/>
        <v>0</v>
      </c>
      <c r="BR92" s="2792">
        <f t="shared" ca="1" si="210"/>
        <v>0</v>
      </c>
      <c r="BS92" s="2792">
        <f t="shared" ca="1" si="210"/>
        <v>0</v>
      </c>
      <c r="BT92" s="2792">
        <f t="shared" ca="1" si="210"/>
        <v>0</v>
      </c>
      <c r="BU92" s="2792">
        <f t="shared" ca="1" si="210"/>
        <v>0</v>
      </c>
      <c r="BV92" s="2792">
        <f t="shared" ca="1" si="210"/>
        <v>0</v>
      </c>
      <c r="BW92" s="2792">
        <f t="shared" ca="1" si="210"/>
        <v>0</v>
      </c>
      <c r="BX92" s="2792">
        <f t="shared" ca="1" si="210"/>
        <v>0</v>
      </c>
      <c r="BY92" s="2792">
        <f t="shared" ca="1" si="211"/>
        <v>0</v>
      </c>
      <c r="BZ92" s="2792">
        <f t="shared" ca="1" si="211"/>
        <v>0</v>
      </c>
      <c r="CA92" s="2792">
        <f t="shared" ca="1" si="211"/>
        <v>0</v>
      </c>
      <c r="CB92" s="2792">
        <f t="shared" ca="1" si="211"/>
        <v>0</v>
      </c>
      <c r="CC92" s="2792">
        <f t="shared" ca="1" si="211"/>
        <v>0</v>
      </c>
      <c r="CD92" s="2792">
        <f t="shared" ca="1" si="211"/>
        <v>0</v>
      </c>
      <c r="CE92" s="2792">
        <f t="shared" ca="1" si="211"/>
        <v>0</v>
      </c>
      <c r="CF92" s="2792">
        <f t="shared" ca="1" si="211"/>
        <v>0</v>
      </c>
      <c r="CG92" s="2792">
        <f t="shared" ca="1" si="211"/>
        <v>0</v>
      </c>
      <c r="CH92" s="2792">
        <f t="shared" ca="1" si="211"/>
        <v>0</v>
      </c>
      <c r="CI92" s="2792">
        <f t="shared" ca="1" si="212"/>
        <v>0</v>
      </c>
      <c r="CJ92" s="2792">
        <f t="shared" ca="1" si="212"/>
        <v>0</v>
      </c>
      <c r="CK92" s="2792">
        <f t="shared" ca="1" si="212"/>
        <v>0</v>
      </c>
      <c r="CL92" s="2792">
        <f t="shared" ca="1" si="212"/>
        <v>0</v>
      </c>
      <c r="CM92" s="2792">
        <f t="shared" ca="1" si="212"/>
        <v>0</v>
      </c>
      <c r="CN92" s="2792">
        <f t="shared" ca="1" si="212"/>
        <v>0</v>
      </c>
      <c r="CO92" s="2792">
        <f t="shared" ca="1" si="212"/>
        <v>0</v>
      </c>
      <c r="CP92" s="2792">
        <f t="shared" ca="1" si="212"/>
        <v>0</v>
      </c>
      <c r="CQ92" s="2792">
        <f t="shared" ca="1" si="212"/>
        <v>0</v>
      </c>
      <c r="CR92" s="2792">
        <f t="shared" ca="1" si="212"/>
        <v>0</v>
      </c>
      <c r="CS92" s="2792">
        <f t="shared" ca="1" si="213"/>
        <v>0</v>
      </c>
      <c r="CT92" s="2792">
        <f t="shared" ca="1" si="213"/>
        <v>0</v>
      </c>
      <c r="CU92" s="2792">
        <f t="shared" ca="1" si="213"/>
        <v>0</v>
      </c>
      <c r="CV92" s="2792">
        <f t="shared" ca="1" si="213"/>
        <v>0</v>
      </c>
      <c r="CW92" s="2792">
        <f t="shared" ca="1" si="213"/>
        <v>0</v>
      </c>
      <c r="CX92" s="2792">
        <f t="shared" ca="1" si="213"/>
        <v>0</v>
      </c>
      <c r="CY92" s="2792">
        <f t="shared" ca="1" si="213"/>
        <v>0</v>
      </c>
      <c r="CZ92" s="2792">
        <f t="shared" ca="1" si="213"/>
        <v>0</v>
      </c>
      <c r="DA92" s="2792">
        <f t="shared" ca="1" si="213"/>
        <v>0</v>
      </c>
      <c r="DB92" s="2792">
        <f t="shared" ca="1" si="213"/>
        <v>0</v>
      </c>
      <c r="DC92" s="2792">
        <f t="shared" ca="1" si="213"/>
        <v>0</v>
      </c>
      <c r="DD92" s="2792">
        <f t="shared" ca="1" si="213"/>
        <v>0</v>
      </c>
      <c r="DE92" s="2792">
        <f t="shared" ca="1" si="213"/>
        <v>0</v>
      </c>
      <c r="DF92" s="2792">
        <f t="shared" ca="1" si="213"/>
        <v>0</v>
      </c>
      <c r="DH92" s="596"/>
    </row>
    <row r="93" spans="1:112" s="4" customFormat="1" ht="15.75">
      <c r="B93" s="3"/>
      <c r="C93" s="616" t="s">
        <v>571</v>
      </c>
      <c r="D93" s="617" t="s">
        <v>572</v>
      </c>
      <c r="E93" s="206"/>
      <c r="F93" s="6"/>
      <c r="G93" s="579">
        <f t="shared" ref="G93:P93" ca="1" si="214">G$89+G$91+G$92</f>
        <v>0</v>
      </c>
      <c r="H93" s="579">
        <f t="shared" ca="1" si="214"/>
        <v>0</v>
      </c>
      <c r="I93" s="579">
        <f t="shared" ca="1" si="214"/>
        <v>0</v>
      </c>
      <c r="J93" s="579">
        <f t="shared" ca="1" si="214"/>
        <v>0</v>
      </c>
      <c r="K93" s="638">
        <f t="shared" ca="1" si="214"/>
        <v>0</v>
      </c>
      <c r="L93" s="579">
        <f t="shared" ca="1" si="214"/>
        <v>0</v>
      </c>
      <c r="M93" s="579">
        <f t="shared" ca="1" si="214"/>
        <v>0</v>
      </c>
      <c r="N93" s="579">
        <f t="shared" ca="1" si="214"/>
        <v>0</v>
      </c>
      <c r="O93" s="579">
        <f t="shared" ca="1" si="214"/>
        <v>0</v>
      </c>
      <c r="P93" s="579">
        <f t="shared" ca="1" si="214"/>
        <v>0</v>
      </c>
      <c r="Q93" s="618">
        <f ca="1">SUM(G93:P93)</f>
        <v>0</v>
      </c>
      <c r="R93" s="6"/>
      <c r="S93" s="581">
        <f t="shared" ref="S93:AJ93" ca="1" si="215">S$89+S$91+S$92</f>
        <v>0</v>
      </c>
      <c r="T93" s="581">
        <f t="shared" ca="1" si="215"/>
        <v>5.966688208181175</v>
      </c>
      <c r="U93" s="581">
        <f t="shared" ca="1" si="215"/>
        <v>0</v>
      </c>
      <c r="V93" s="581">
        <f t="shared" ca="1" si="215"/>
        <v>0</v>
      </c>
      <c r="W93" s="581">
        <f t="shared" ca="1" si="215"/>
        <v>0</v>
      </c>
      <c r="X93" s="581">
        <f ca="1">X$89+X$91+X$92</f>
        <v>0</v>
      </c>
      <c r="Y93" s="581">
        <f ca="1">Y$89+Y$91+Y$92</f>
        <v>0</v>
      </c>
      <c r="Z93" s="581">
        <f ca="1">Z$89+Z$91+Z$92</f>
        <v>0</v>
      </c>
      <c r="AA93" s="581">
        <f t="shared" ca="1" si="215"/>
        <v>0</v>
      </c>
      <c r="AB93" s="581">
        <f t="shared" ca="1" si="215"/>
        <v>0</v>
      </c>
      <c r="AC93" s="581">
        <f t="shared" ca="1" si="215"/>
        <v>0</v>
      </c>
      <c r="AD93" s="581">
        <f t="shared" ca="1" si="215"/>
        <v>0</v>
      </c>
      <c r="AE93" s="581">
        <f t="shared" ca="1" si="215"/>
        <v>0</v>
      </c>
      <c r="AF93" s="581">
        <f t="shared" ca="1" si="215"/>
        <v>0</v>
      </c>
      <c r="AG93" s="581">
        <f t="shared" ca="1" si="215"/>
        <v>0</v>
      </c>
      <c r="AH93" s="581">
        <f t="shared" ca="1" si="215"/>
        <v>0</v>
      </c>
      <c r="AI93" s="581">
        <f t="shared" ca="1" si="215"/>
        <v>0</v>
      </c>
      <c r="AJ93" s="581">
        <f t="shared" ca="1" si="215"/>
        <v>0</v>
      </c>
      <c r="AK93" s="581">
        <f ca="1">SUM(S93:AJ93)</f>
        <v>5.966688208181175</v>
      </c>
      <c r="AL93" s="6"/>
      <c r="AM93" s="582">
        <f t="shared" ref="AM93:BE93" ca="1" si="216">AM$89+AM$91+AM$92</f>
        <v>0</v>
      </c>
      <c r="AN93" s="582">
        <f t="shared" ca="1" si="216"/>
        <v>0</v>
      </c>
      <c r="AO93" s="582">
        <f t="shared" ca="1" si="216"/>
        <v>0</v>
      </c>
      <c r="AP93" s="582">
        <f t="shared" ca="1" si="216"/>
        <v>0</v>
      </c>
      <c r="AQ93" s="582">
        <f t="shared" ca="1" si="216"/>
        <v>-10</v>
      </c>
      <c r="AR93" s="582">
        <f t="shared" ca="1" si="216"/>
        <v>0</v>
      </c>
      <c r="AS93" s="582">
        <f t="shared" ca="1" si="216"/>
        <v>0</v>
      </c>
      <c r="AT93" s="582">
        <f t="shared" ca="1" si="216"/>
        <v>0</v>
      </c>
      <c r="AU93" s="582">
        <f t="shared" ca="1" si="216"/>
        <v>0</v>
      </c>
      <c r="AV93" s="582">
        <f t="shared" ca="1" si="216"/>
        <v>0</v>
      </c>
      <c r="AW93" s="582">
        <f t="shared" ca="1" si="216"/>
        <v>0</v>
      </c>
      <c r="AX93" s="582">
        <f t="shared" ca="1" si="216"/>
        <v>0</v>
      </c>
      <c r="AY93" s="582">
        <f t="shared" ca="1" si="216"/>
        <v>0</v>
      </c>
      <c r="AZ93" s="582">
        <f t="shared" ca="1" si="216"/>
        <v>0</v>
      </c>
      <c r="BA93" s="582">
        <f t="shared" ca="1" si="216"/>
        <v>0</v>
      </c>
      <c r="BB93" s="582">
        <f t="shared" ca="1" si="216"/>
        <v>0</v>
      </c>
      <c r="BC93" s="582">
        <f t="shared" ca="1" si="216"/>
        <v>0</v>
      </c>
      <c r="BD93" s="582">
        <f t="shared" ca="1" si="216"/>
        <v>0</v>
      </c>
      <c r="BE93" s="582">
        <f t="shared" ca="1" si="216"/>
        <v>0</v>
      </c>
      <c r="BF93" s="582">
        <f ca="1">SUM(AM93:BE93)</f>
        <v>-10</v>
      </c>
      <c r="BG93" s="6"/>
      <c r="BH93" s="3463">
        <f ca="1">BH$89+BH$91+BH$92</f>
        <v>0</v>
      </c>
      <c r="BI93" s="3463">
        <f ca="1">BI$89+BI$91+BI$92</f>
        <v>4.0333117918188259</v>
      </c>
      <c r="BJ93" s="3463">
        <f ca="1">SUM(BH93:BI93)</f>
        <v>4.0333117918188259</v>
      </c>
      <c r="BK93" s="6"/>
      <c r="BL93" s="3477">
        <f t="shared" ca="1" si="204"/>
        <v>0</v>
      </c>
      <c r="BM93" s="584"/>
      <c r="BN93" s="413"/>
      <c r="BO93" s="2790">
        <f t="shared" ref="BO93:DF93" ca="1" si="217">BO$89+BO$91+BO$92</f>
        <v>0</v>
      </c>
      <c r="BP93" s="2790">
        <f t="shared" ca="1" si="217"/>
        <v>0</v>
      </c>
      <c r="BQ93" s="2790">
        <f t="shared" ca="1" si="217"/>
        <v>0</v>
      </c>
      <c r="BR93" s="2790">
        <f t="shared" ca="1" si="217"/>
        <v>0</v>
      </c>
      <c r="BS93" s="2790">
        <f t="shared" ca="1" si="217"/>
        <v>0</v>
      </c>
      <c r="BT93" s="2790">
        <f t="shared" ca="1" si="217"/>
        <v>0</v>
      </c>
      <c r="BU93" s="2790">
        <f t="shared" ca="1" si="217"/>
        <v>0</v>
      </c>
      <c r="BV93" s="2790">
        <f t="shared" ca="1" si="217"/>
        <v>0</v>
      </c>
      <c r="BW93" s="2790">
        <f t="shared" ca="1" si="217"/>
        <v>0</v>
      </c>
      <c r="BX93" s="2790">
        <f t="shared" ca="1" si="217"/>
        <v>0</v>
      </c>
      <c r="BY93" s="2790">
        <f t="shared" ca="1" si="217"/>
        <v>0</v>
      </c>
      <c r="BZ93" s="2790">
        <f t="shared" ca="1" si="217"/>
        <v>0</v>
      </c>
      <c r="CA93" s="2790">
        <f t="shared" ca="1" si="217"/>
        <v>0</v>
      </c>
      <c r="CB93" s="2790">
        <f t="shared" ca="1" si="217"/>
        <v>0</v>
      </c>
      <c r="CC93" s="2790">
        <f t="shared" ca="1" si="217"/>
        <v>0</v>
      </c>
      <c r="CD93" s="2790">
        <f t="shared" ca="1" si="217"/>
        <v>0</v>
      </c>
      <c r="CE93" s="2790">
        <f t="shared" ca="1" si="217"/>
        <v>0</v>
      </c>
      <c r="CF93" s="2790">
        <f t="shared" ca="1" si="217"/>
        <v>0</v>
      </c>
      <c r="CG93" s="2790">
        <f t="shared" ca="1" si="217"/>
        <v>0</v>
      </c>
      <c r="CH93" s="2790">
        <f t="shared" ca="1" si="217"/>
        <v>0</v>
      </c>
      <c r="CI93" s="2790">
        <f t="shared" ca="1" si="217"/>
        <v>0</v>
      </c>
      <c r="CJ93" s="2790">
        <f t="shared" ca="1" si="217"/>
        <v>0</v>
      </c>
      <c r="CK93" s="2790">
        <f t="shared" ca="1" si="217"/>
        <v>0</v>
      </c>
      <c r="CL93" s="2790">
        <f t="shared" ca="1" si="217"/>
        <v>0</v>
      </c>
      <c r="CM93" s="2790">
        <f t="shared" ca="1" si="217"/>
        <v>0</v>
      </c>
      <c r="CN93" s="2790">
        <f t="shared" ca="1" si="217"/>
        <v>0</v>
      </c>
      <c r="CO93" s="2790">
        <f t="shared" ca="1" si="217"/>
        <v>0</v>
      </c>
      <c r="CP93" s="2790">
        <f t="shared" ca="1" si="217"/>
        <v>0</v>
      </c>
      <c r="CQ93" s="2790">
        <f t="shared" ca="1" si="217"/>
        <v>0</v>
      </c>
      <c r="CR93" s="2790">
        <f t="shared" ca="1" si="217"/>
        <v>0</v>
      </c>
      <c r="CS93" s="2790">
        <f t="shared" ca="1" si="217"/>
        <v>0</v>
      </c>
      <c r="CT93" s="2790">
        <f t="shared" ca="1" si="217"/>
        <v>0</v>
      </c>
      <c r="CU93" s="2790">
        <f t="shared" ca="1" si="217"/>
        <v>0</v>
      </c>
      <c r="CV93" s="2790">
        <f t="shared" ca="1" si="217"/>
        <v>0</v>
      </c>
      <c r="CW93" s="2790">
        <f t="shared" ca="1" si="217"/>
        <v>0</v>
      </c>
      <c r="CX93" s="2790">
        <f t="shared" ca="1" si="217"/>
        <v>0</v>
      </c>
      <c r="CY93" s="2790">
        <f t="shared" ca="1" si="217"/>
        <v>0</v>
      </c>
      <c r="CZ93" s="2790">
        <f t="shared" ca="1" si="217"/>
        <v>0</v>
      </c>
      <c r="DA93" s="2790">
        <f t="shared" ca="1" si="217"/>
        <v>0</v>
      </c>
      <c r="DB93" s="2790">
        <f t="shared" ca="1" si="217"/>
        <v>0</v>
      </c>
      <c r="DC93" s="2790">
        <f t="shared" ca="1" si="217"/>
        <v>0</v>
      </c>
      <c r="DD93" s="2790">
        <f t="shared" ca="1" si="217"/>
        <v>0</v>
      </c>
      <c r="DE93" s="2790">
        <f t="shared" ca="1" si="217"/>
        <v>0</v>
      </c>
      <c r="DF93" s="2790">
        <f t="shared" ca="1" si="217"/>
        <v>0</v>
      </c>
      <c r="DH93" s="596">
        <f t="shared" ref="DH93:DH104" ca="1" si="218">SUM(BO93:DF93)</f>
        <v>0</v>
      </c>
    </row>
    <row r="94" spans="1:112" s="6" customFormat="1">
      <c r="A94" s="4"/>
      <c r="B94" s="4"/>
      <c r="C94" s="622"/>
      <c r="D94" s="206"/>
      <c r="E94" s="206"/>
      <c r="G94" s="579"/>
      <c r="H94" s="579"/>
      <c r="I94" s="579"/>
      <c r="J94" s="579"/>
      <c r="K94" s="638"/>
      <c r="L94" s="579"/>
      <c r="M94" s="579"/>
      <c r="N94" s="579"/>
      <c r="O94" s="579"/>
      <c r="P94" s="579"/>
      <c r="Q94" s="579"/>
      <c r="S94" s="581"/>
      <c r="T94" s="581"/>
      <c r="U94" s="581"/>
      <c r="V94" s="581"/>
      <c r="W94" s="581"/>
      <c r="X94" s="581"/>
      <c r="Y94" s="581"/>
      <c r="Z94" s="581"/>
      <c r="AA94" s="581"/>
      <c r="AB94" s="581"/>
      <c r="AC94" s="581"/>
      <c r="AD94" s="581"/>
      <c r="AE94" s="581"/>
      <c r="AF94" s="581"/>
      <c r="AG94" s="581"/>
      <c r="AH94" s="581"/>
      <c r="AI94" s="581"/>
      <c r="AJ94" s="581"/>
      <c r="AK94" s="581"/>
      <c r="AM94" s="582"/>
      <c r="AN94" s="582"/>
      <c r="AO94" s="582"/>
      <c r="AP94" s="582"/>
      <c r="AQ94" s="582"/>
      <c r="AR94" s="582"/>
      <c r="AS94" s="582"/>
      <c r="AT94" s="582"/>
      <c r="AU94" s="582"/>
      <c r="AV94" s="582"/>
      <c r="AW94" s="582"/>
      <c r="AX94" s="582"/>
      <c r="AY94" s="582"/>
      <c r="AZ94" s="582"/>
      <c r="BA94" s="582"/>
      <c r="BB94" s="582"/>
      <c r="BC94" s="582"/>
      <c r="BD94" s="582"/>
      <c r="BE94" s="582"/>
      <c r="BF94" s="582"/>
      <c r="BH94" s="3463"/>
      <c r="BI94" s="3463"/>
      <c r="BJ94" s="3463"/>
      <c r="BL94" s="3477">
        <f t="shared" si="204"/>
        <v>0</v>
      </c>
      <c r="BM94" s="584"/>
      <c r="BN94" s="413"/>
      <c r="BO94" s="2790"/>
      <c r="BP94" s="2790"/>
      <c r="BQ94" s="2790"/>
      <c r="BR94" s="2790"/>
      <c r="BS94" s="2790"/>
      <c r="BT94" s="2790"/>
      <c r="BU94" s="2790"/>
      <c r="BV94" s="2790"/>
      <c r="BW94" s="2790"/>
      <c r="BX94" s="2790"/>
      <c r="BY94" s="2790"/>
      <c r="BZ94" s="2790"/>
      <c r="CA94" s="2790"/>
      <c r="CB94" s="2790"/>
      <c r="CC94" s="2790"/>
      <c r="CD94" s="2790"/>
      <c r="CE94" s="2790"/>
      <c r="CF94" s="2790"/>
      <c r="CG94" s="2790"/>
      <c r="CH94" s="2790"/>
      <c r="CI94" s="2790"/>
      <c r="CJ94" s="2790"/>
      <c r="CK94" s="2790"/>
      <c r="CL94" s="2790"/>
      <c r="CM94" s="2790"/>
      <c r="CN94" s="2790"/>
      <c r="CO94" s="2790"/>
      <c r="CP94" s="2790"/>
      <c r="CQ94" s="2790"/>
      <c r="CR94" s="2790"/>
      <c r="CS94" s="2790"/>
      <c r="CT94" s="2790"/>
      <c r="CU94" s="2790"/>
      <c r="CV94" s="2790"/>
      <c r="CW94" s="2790"/>
      <c r="CX94" s="2790"/>
      <c r="CY94" s="2790"/>
      <c r="CZ94" s="2790"/>
      <c r="DA94" s="2790"/>
      <c r="DB94" s="2790"/>
      <c r="DC94" s="2790"/>
      <c r="DD94" s="2790"/>
      <c r="DE94" s="2790"/>
      <c r="DF94" s="2790"/>
      <c r="DH94" s="596">
        <f t="shared" si="218"/>
        <v>0</v>
      </c>
    </row>
    <row r="95" spans="1:112" s="639" customFormat="1" ht="11.25">
      <c r="C95" s="640" t="s">
        <v>573</v>
      </c>
      <c r="D95" s="641" t="s">
        <v>574</v>
      </c>
      <c r="E95" s="641"/>
      <c r="G95" s="643"/>
      <c r="H95" s="643"/>
      <c r="I95" s="643"/>
      <c r="J95" s="643"/>
      <c r="K95" s="644"/>
      <c r="L95" s="643"/>
      <c r="M95" s="643"/>
      <c r="N95" s="643"/>
      <c r="O95" s="643"/>
      <c r="P95" s="643"/>
      <c r="Q95" s="643"/>
      <c r="S95" s="645"/>
      <c r="T95" s="645"/>
      <c r="U95" s="645">
        <f ca="1">(U$40+U$84+U$93)</f>
        <v>-26.675755503624643</v>
      </c>
      <c r="V95" s="645">
        <f ca="1">(V$40+V$84+V$93)</f>
        <v>-56.959239737930005</v>
      </c>
      <c r="W95" s="645">
        <f ca="1">(W$40+W$84+W$93)</f>
        <v>-97.729775249431782</v>
      </c>
      <c r="X95" s="645"/>
      <c r="Y95" s="645"/>
      <c r="Z95" s="645"/>
      <c r="AA95" s="645"/>
      <c r="AB95" s="645"/>
      <c r="AC95" s="645">
        <f t="shared" ref="AC95:AH95" ca="1" si="219">(AC$40+AC$84+AC$93)</f>
        <v>0</v>
      </c>
      <c r="AD95" s="645">
        <f t="shared" ca="1" si="219"/>
        <v>85.98605217389283</v>
      </c>
      <c r="AE95" s="645">
        <f t="shared" ca="1" si="219"/>
        <v>1.0590538045843265</v>
      </c>
      <c r="AF95" s="645">
        <f t="shared" ca="1" si="219"/>
        <v>23.706484479667335</v>
      </c>
      <c r="AG95" s="645">
        <f t="shared" ca="1" si="219"/>
        <v>27.862294761138976</v>
      </c>
      <c r="AH95" s="645">
        <f t="shared" ca="1" si="219"/>
        <v>0.14114006489102265</v>
      </c>
      <c r="AI95" s="645"/>
      <c r="AJ95" s="645"/>
      <c r="AK95" s="645"/>
      <c r="AM95" s="646"/>
      <c r="AN95" s="646"/>
      <c r="AO95" s="646"/>
      <c r="AP95" s="646"/>
      <c r="AQ95" s="646"/>
      <c r="AR95" s="646"/>
      <c r="AS95" s="646"/>
      <c r="AT95" s="646"/>
      <c r="AU95" s="646"/>
      <c r="AV95" s="646"/>
      <c r="AW95" s="646"/>
      <c r="AX95" s="646"/>
      <c r="AY95" s="646"/>
      <c r="AZ95" s="646"/>
      <c r="BA95" s="646"/>
      <c r="BB95" s="646"/>
      <c r="BC95" s="646"/>
      <c r="BD95" s="646"/>
      <c r="BE95" s="646">
        <f ca="1">BE40+BE46+BE51</f>
        <v>-35.590190574510501</v>
      </c>
      <c r="BF95" s="646">
        <f ca="1">SUM(AM95:BE95)</f>
        <v>-35.590190574510501</v>
      </c>
      <c r="BH95" s="647"/>
      <c r="BI95" s="647"/>
      <c r="BJ95" s="647"/>
      <c r="BL95" s="648"/>
      <c r="BM95" s="648"/>
      <c r="BN95" s="691"/>
      <c r="BO95" s="692"/>
      <c r="BP95" s="692"/>
      <c r="BQ95" s="692"/>
      <c r="BR95" s="692"/>
      <c r="BS95" s="692"/>
      <c r="BT95" s="692"/>
      <c r="BU95" s="692"/>
      <c r="BV95" s="692"/>
      <c r="BW95" s="692"/>
      <c r="BX95" s="692"/>
      <c r="BY95" s="692"/>
      <c r="BZ95" s="692"/>
      <c r="CA95" s="692"/>
      <c r="CB95" s="692"/>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c r="DH95" s="691">
        <f t="shared" si="218"/>
        <v>0</v>
      </c>
    </row>
    <row r="96" spans="1:112" s="642" customFormat="1">
      <c r="A96" s="693"/>
      <c r="B96" s="693"/>
      <c r="C96" s="694" t="s">
        <v>575</v>
      </c>
      <c r="D96" s="695" t="s">
        <v>576</v>
      </c>
      <c r="E96" s="695"/>
      <c r="G96" s="696">
        <f t="shared" ref="G96:P96" ca="1" si="220">IFERROR(INDEX(INDIRECT($C96&amp;".Outputs["&amp;this.Year&amp;"]"), MATCH(G$5, INDIRECT($C96&amp;".Outputs[Vector]"), 0)), 0)</f>
        <v>0</v>
      </c>
      <c r="H96" s="696">
        <f t="shared" ca="1" si="220"/>
        <v>0</v>
      </c>
      <c r="I96" s="696">
        <f t="shared" ca="1" si="220"/>
        <v>0</v>
      </c>
      <c r="J96" s="696">
        <f t="shared" ca="1" si="220"/>
        <v>0</v>
      </c>
      <c r="K96" s="696">
        <f t="shared" ca="1" si="220"/>
        <v>0</v>
      </c>
      <c r="L96" s="696">
        <f t="shared" ca="1" si="220"/>
        <v>0</v>
      </c>
      <c r="M96" s="696">
        <f t="shared" ca="1" si="220"/>
        <v>0</v>
      </c>
      <c r="N96" s="696">
        <f t="shared" ca="1" si="220"/>
        <v>0</v>
      </c>
      <c r="O96" s="696">
        <f t="shared" ca="1" si="220"/>
        <v>0</v>
      </c>
      <c r="P96" s="696">
        <f t="shared" ca="1" si="220"/>
        <v>0</v>
      </c>
      <c r="Q96" s="697">
        <f ca="1">SUM(G96:P96)</f>
        <v>0</v>
      </c>
      <c r="S96" s="698">
        <f t="shared" ref="S96:AJ96" ca="1" si="221">IFERROR(INDEX(INDIRECT($C96&amp;".Outputs["&amp;this.Year&amp;"]"), MATCH(S$5, INDIRECT($C96&amp;".Outputs[Vector]"), 0)), 0)</f>
        <v>0</v>
      </c>
      <c r="T96" s="698">
        <f t="shared" ca="1" si="221"/>
        <v>0</v>
      </c>
      <c r="U96" s="3956">
        <f ca="1">IFERROR(INDEX(INDIRECT($C96&amp;".Outputs["&amp;this.Year&amp;"]"), MATCH(U$5, INDIRECT($C96&amp;".Outputs[Vector]"), 0)), 0)</f>
        <v>104.20790982088215</v>
      </c>
      <c r="V96" s="698">
        <f t="shared" ca="1" si="221"/>
        <v>0.3346610022486472</v>
      </c>
      <c r="W96" s="698">
        <f t="shared" ca="1" si="221"/>
        <v>23.824090611859152</v>
      </c>
      <c r="X96" s="698">
        <f t="shared" ca="1" si="221"/>
        <v>0</v>
      </c>
      <c r="Y96" s="698">
        <f t="shared" ca="1" si="221"/>
        <v>0</v>
      </c>
      <c r="Z96" s="698">
        <f t="shared" ca="1" si="221"/>
        <v>0</v>
      </c>
      <c r="AA96" s="698">
        <f t="shared" ca="1" si="221"/>
        <v>0</v>
      </c>
      <c r="AB96" s="698">
        <f t="shared" ca="1" si="221"/>
        <v>0</v>
      </c>
      <c r="AC96" s="698">
        <f t="shared" ca="1" si="221"/>
        <v>0</v>
      </c>
      <c r="AD96" s="698">
        <f t="shared" ca="1" si="221"/>
        <v>-85.98605217389283</v>
      </c>
      <c r="AE96" s="698">
        <f t="shared" ca="1" si="221"/>
        <v>-1.0590538045843265</v>
      </c>
      <c r="AF96" s="698">
        <f t="shared" ca="1" si="221"/>
        <v>-23.706484479667335</v>
      </c>
      <c r="AG96" s="698">
        <f t="shared" ca="1" si="221"/>
        <v>-27.862294761138976</v>
      </c>
      <c r="AH96" s="698">
        <f t="shared" ca="1" si="221"/>
        <v>-0.14114006489102265</v>
      </c>
      <c r="AI96" s="698">
        <f t="shared" ca="1" si="221"/>
        <v>0</v>
      </c>
      <c r="AJ96" s="698">
        <f t="shared" ca="1" si="221"/>
        <v>0</v>
      </c>
      <c r="AK96" s="699">
        <f ca="1">SUM(S96:AJ96)</f>
        <v>-10.388363849184522</v>
      </c>
      <c r="AM96" s="700">
        <f t="shared" ref="AM96:BE96" ca="1" si="222">IFERROR(INDEX(INDIRECT($C96&amp;".Outputs["&amp;this.Year&amp;"]"), MATCH(AM$5, INDIRECT($C96&amp;".Outputs[Vector]"), 0)), 0)</f>
        <v>0</v>
      </c>
      <c r="AN96" s="700">
        <f t="shared" ca="1" si="222"/>
        <v>0</v>
      </c>
      <c r="AO96" s="700">
        <f t="shared" ca="1" si="222"/>
        <v>0</v>
      </c>
      <c r="AP96" s="700">
        <f ca="1">IFERROR(INDEX(INDIRECT($C96&amp;".Outputs["&amp;this.Year&amp;"]"), MATCH(AP$5, INDIRECT($C96&amp;".Outputs[Vector]"), 0)), 0)</f>
        <v>0</v>
      </c>
      <c r="AQ96" s="700">
        <f t="shared" ca="1" si="222"/>
        <v>0</v>
      </c>
      <c r="AR96" s="700">
        <f t="shared" ca="1" si="222"/>
        <v>0</v>
      </c>
      <c r="AS96" s="700">
        <f t="shared" ca="1" si="222"/>
        <v>0</v>
      </c>
      <c r="AT96" s="700">
        <f t="shared" ca="1" si="222"/>
        <v>0</v>
      </c>
      <c r="AU96" s="700">
        <f t="shared" ca="1" si="222"/>
        <v>0</v>
      </c>
      <c r="AV96" s="700">
        <f t="shared" ca="1" si="222"/>
        <v>0</v>
      </c>
      <c r="AW96" s="700">
        <f t="shared" ca="1" si="222"/>
        <v>0</v>
      </c>
      <c r="AX96" s="700">
        <f t="shared" ca="1" si="222"/>
        <v>0</v>
      </c>
      <c r="AY96" s="700">
        <f t="shared" ca="1" si="222"/>
        <v>0</v>
      </c>
      <c r="AZ96" s="700">
        <f t="shared" ca="1" si="222"/>
        <v>0</v>
      </c>
      <c r="BA96" s="700">
        <f t="shared" ca="1" si="222"/>
        <v>0</v>
      </c>
      <c r="BB96" s="700">
        <f t="shared" ca="1" si="222"/>
        <v>0</v>
      </c>
      <c r="BC96" s="700">
        <f t="shared" ca="1" si="222"/>
        <v>0</v>
      </c>
      <c r="BD96" s="700">
        <f t="shared" ca="1" si="222"/>
        <v>0</v>
      </c>
      <c r="BE96" s="700">
        <f t="shared" ca="1" si="222"/>
        <v>0</v>
      </c>
      <c r="BF96" s="701">
        <f ca="1">SUM(AM96:BE96)</f>
        <v>0</v>
      </c>
      <c r="BH96" s="3476">
        <f ca="1">IFERROR(INDEX(INDIRECT($C96&amp;".Outputs["&amp;this.Year&amp;"]"), MATCH(BH$5, INDIRECT($C96&amp;".Outputs[Vector]"), 0)), 0)</f>
        <v>10.388363849184515</v>
      </c>
      <c r="BI96" s="3476">
        <f ca="1">IFERROR(INDEX(INDIRECT($C96&amp;".Outputs["&amp;this.Year&amp;"]"), MATCH(BI$5, INDIRECT($C96&amp;".Outputs[Vector]"), 0)), 0)</f>
        <v>0</v>
      </c>
      <c r="BJ96" s="3468">
        <f ca="1">SUM(BH96:BI96)</f>
        <v>10.388363849184515</v>
      </c>
      <c r="BL96" s="702">
        <f ca="1">Q96+AK96+BF96+BJ96</f>
        <v>0</v>
      </c>
      <c r="BM96" s="702"/>
      <c r="BN96" s="703"/>
      <c r="BO96" s="2796">
        <f t="shared" ref="BO96:DF96" ca="1" si="223">IFERROR(SUMIFS(INDIRECT($C96&amp;".Emissions["&amp;this.Year&amp;"]"), INDIRECT($C96&amp;".Emissions[GHG]"), BO$6, INDIRECT($C96&amp;".Emissions[IPCC Sector]"), BO$5),0)</f>
        <v>0</v>
      </c>
      <c r="BP96" s="2797">
        <f t="shared" ca="1" si="223"/>
        <v>0</v>
      </c>
      <c r="BQ96" s="2797">
        <f t="shared" ca="1" si="223"/>
        <v>0</v>
      </c>
      <c r="BR96" s="2797">
        <f t="shared" ca="1" si="223"/>
        <v>0</v>
      </c>
      <c r="BS96" s="2797">
        <f t="shared" ca="1" si="223"/>
        <v>0</v>
      </c>
      <c r="BT96" s="2797">
        <f t="shared" ca="1" si="223"/>
        <v>0</v>
      </c>
      <c r="BU96" s="2797">
        <f t="shared" ca="1" si="223"/>
        <v>0</v>
      </c>
      <c r="BV96" s="2797">
        <f t="shared" ca="1" si="223"/>
        <v>0</v>
      </c>
      <c r="BW96" s="2797">
        <f t="shared" ca="1" si="223"/>
        <v>0</v>
      </c>
      <c r="BX96" s="2797">
        <f t="shared" ca="1" si="223"/>
        <v>0</v>
      </c>
      <c r="BY96" s="2797">
        <f t="shared" ca="1" si="223"/>
        <v>0</v>
      </c>
      <c r="BZ96" s="2797">
        <f t="shared" ca="1" si="223"/>
        <v>0</v>
      </c>
      <c r="CA96" s="2797">
        <f t="shared" ca="1" si="223"/>
        <v>0</v>
      </c>
      <c r="CB96" s="2797">
        <f t="shared" ca="1" si="223"/>
        <v>0</v>
      </c>
      <c r="CC96" s="2797">
        <f t="shared" ca="1" si="223"/>
        <v>0</v>
      </c>
      <c r="CD96" s="2797">
        <f t="shared" ca="1" si="223"/>
        <v>0</v>
      </c>
      <c r="CE96" s="2797">
        <f t="shared" ca="1" si="223"/>
        <v>0</v>
      </c>
      <c r="CF96" s="2797">
        <f t="shared" ca="1" si="223"/>
        <v>0</v>
      </c>
      <c r="CG96" s="2797">
        <f t="shared" ca="1" si="223"/>
        <v>0</v>
      </c>
      <c r="CH96" s="2797">
        <f t="shared" ca="1" si="223"/>
        <v>0</v>
      </c>
      <c r="CI96" s="2797">
        <f t="shared" ca="1" si="223"/>
        <v>0</v>
      </c>
      <c r="CJ96" s="2797">
        <f t="shared" ca="1" si="223"/>
        <v>0</v>
      </c>
      <c r="CK96" s="2797">
        <f t="shared" ca="1" si="223"/>
        <v>0</v>
      </c>
      <c r="CL96" s="2797">
        <f t="shared" ca="1" si="223"/>
        <v>0</v>
      </c>
      <c r="CM96" s="2797">
        <f t="shared" ca="1" si="223"/>
        <v>0</v>
      </c>
      <c r="CN96" s="2797">
        <f t="shared" ca="1" si="223"/>
        <v>0</v>
      </c>
      <c r="CO96" s="2797">
        <f t="shared" ca="1" si="223"/>
        <v>0</v>
      </c>
      <c r="CP96" s="2797">
        <f t="shared" ca="1" si="223"/>
        <v>0</v>
      </c>
      <c r="CQ96" s="2797">
        <f t="shared" ca="1" si="223"/>
        <v>0</v>
      </c>
      <c r="CR96" s="2797">
        <f t="shared" ca="1" si="223"/>
        <v>0</v>
      </c>
      <c r="CS96" s="2797">
        <f t="shared" ca="1" si="223"/>
        <v>0</v>
      </c>
      <c r="CT96" s="2797">
        <f t="shared" ca="1" si="223"/>
        <v>0</v>
      </c>
      <c r="CU96" s="2797">
        <f t="shared" ca="1" si="223"/>
        <v>0</v>
      </c>
      <c r="CV96" s="2797">
        <f t="shared" ca="1" si="223"/>
        <v>0</v>
      </c>
      <c r="CW96" s="2797">
        <f t="shared" ca="1" si="223"/>
        <v>0</v>
      </c>
      <c r="CX96" s="2797">
        <f t="shared" ca="1" si="223"/>
        <v>0</v>
      </c>
      <c r="CY96" s="2797">
        <f t="shared" ca="1" si="223"/>
        <v>-13.971939359188873</v>
      </c>
      <c r="CZ96" s="2797">
        <f t="shared" ca="1" si="223"/>
        <v>0</v>
      </c>
      <c r="DA96" s="2797">
        <f t="shared" ca="1" si="223"/>
        <v>0</v>
      </c>
      <c r="DB96" s="2797">
        <f t="shared" ca="1" si="223"/>
        <v>0</v>
      </c>
      <c r="DC96" s="2797">
        <f t="shared" ca="1" si="223"/>
        <v>0</v>
      </c>
      <c r="DD96" s="2797">
        <f t="shared" ca="1" si="223"/>
        <v>0</v>
      </c>
      <c r="DE96" s="2797">
        <f t="shared" ca="1" si="223"/>
        <v>0</v>
      </c>
      <c r="DF96" s="2797">
        <f t="shared" ca="1" si="223"/>
        <v>0</v>
      </c>
      <c r="DH96" s="649">
        <f t="shared" ca="1" si="218"/>
        <v>-13.971939359188873</v>
      </c>
    </row>
    <row r="97" spans="1:112" s="639" customFormat="1" ht="11.25">
      <c r="C97" s="640" t="s">
        <v>577</v>
      </c>
      <c r="D97" s="641" t="s">
        <v>574</v>
      </c>
      <c r="E97" s="641"/>
      <c r="G97" s="643"/>
      <c r="H97" s="643"/>
      <c r="I97" s="643"/>
      <c r="J97" s="643"/>
      <c r="K97" s="644"/>
      <c r="L97" s="643"/>
      <c r="M97" s="643"/>
      <c r="N97" s="643"/>
      <c r="O97" s="643"/>
      <c r="P97" s="643"/>
      <c r="Q97" s="643"/>
      <c r="S97" s="645"/>
      <c r="T97" s="645"/>
      <c r="U97" s="645">
        <f ca="1">U$95+U$96</f>
        <v>77.532154317257508</v>
      </c>
      <c r="V97" s="645">
        <f ca="1">V$95+V$96</f>
        <v>-56.624578735681361</v>
      </c>
      <c r="W97" s="645">
        <f ca="1">W$95+W$96</f>
        <v>-73.905684637572634</v>
      </c>
      <c r="X97" s="645"/>
      <c r="Y97" s="645"/>
      <c r="Z97" s="645"/>
      <c r="AA97" s="645"/>
      <c r="AB97" s="645"/>
      <c r="AC97" s="645">
        <f t="shared" ref="AC97:AH97" ca="1" si="224">AC$95+AC$96</f>
        <v>0</v>
      </c>
      <c r="AD97" s="645">
        <f t="shared" ca="1" si="224"/>
        <v>0</v>
      </c>
      <c r="AE97" s="645">
        <f t="shared" ca="1" si="224"/>
        <v>0</v>
      </c>
      <c r="AF97" s="645">
        <f t="shared" ca="1" si="224"/>
        <v>0</v>
      </c>
      <c r="AG97" s="645">
        <f t="shared" ca="1" si="224"/>
        <v>0</v>
      </c>
      <c r="AH97" s="645">
        <f t="shared" ca="1" si="224"/>
        <v>0</v>
      </c>
      <c r="AI97" s="645"/>
      <c r="AJ97" s="645"/>
      <c r="AK97" s="645"/>
      <c r="AM97" s="646"/>
      <c r="AN97" s="646"/>
      <c r="AO97" s="646"/>
      <c r="AP97" s="646"/>
      <c r="AQ97" s="646"/>
      <c r="AR97" s="646"/>
      <c r="AS97" s="646"/>
      <c r="AT97" s="646"/>
      <c r="AU97" s="646"/>
      <c r="AV97" s="646"/>
      <c r="AW97" s="646"/>
      <c r="AX97" s="646"/>
      <c r="AY97" s="646"/>
      <c r="AZ97" s="646"/>
      <c r="BA97" s="646"/>
      <c r="BB97" s="646"/>
      <c r="BC97" s="646"/>
      <c r="BD97" s="646"/>
      <c r="BE97" s="646">
        <f ca="1">BE42+BE49+BE53</f>
        <v>-1.0010416337248986</v>
      </c>
      <c r="BF97" s="646">
        <f ca="1">SUM(AM97:BE97)</f>
        <v>-1.0010416337248986</v>
      </c>
      <c r="BH97" s="647"/>
      <c r="BI97" s="647"/>
      <c r="BJ97" s="647"/>
      <c r="BL97" s="648"/>
      <c r="BM97" s="648"/>
      <c r="BN97" s="691"/>
      <c r="BO97" s="692"/>
      <c r="BP97" s="692"/>
      <c r="BQ97" s="692"/>
      <c r="BR97" s="692"/>
      <c r="BS97" s="692"/>
      <c r="BT97" s="692"/>
      <c r="BU97" s="692"/>
      <c r="BV97" s="692"/>
      <c r="BW97" s="692"/>
      <c r="BX97" s="692"/>
      <c r="BY97" s="692"/>
      <c r="BZ97" s="692"/>
      <c r="CA97" s="692"/>
      <c r="CB97" s="692"/>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c r="DH97" s="691">
        <f>SUM(BO97:DF97)</f>
        <v>0</v>
      </c>
    </row>
    <row r="98" spans="1:112" s="6" customFormat="1">
      <c r="A98" s="607"/>
      <c r="B98" s="607"/>
      <c r="C98" s="587" t="s">
        <v>578</v>
      </c>
      <c r="D98" s="611" t="s">
        <v>579</v>
      </c>
      <c r="E98" s="611"/>
      <c r="G98" s="619">
        <f t="shared" ref="G98:P98" ca="1" si="225">IFERROR(INDEX(INDIRECT($C98&amp;".Outputs["&amp;this.Year&amp;"]"), MATCH(G$5, INDIRECT($C98&amp;".Outputs[Vector]"), 0)), 0)</f>
        <v>0</v>
      </c>
      <c r="H98" s="619">
        <f t="shared" ca="1" si="225"/>
        <v>0</v>
      </c>
      <c r="I98" s="619">
        <f t="shared" ca="1" si="225"/>
        <v>0</v>
      </c>
      <c r="J98" s="619">
        <f t="shared" ca="1" si="225"/>
        <v>0</v>
      </c>
      <c r="K98" s="619">
        <f t="shared" ca="1" si="225"/>
        <v>0</v>
      </c>
      <c r="L98" s="619">
        <f t="shared" ca="1" si="225"/>
        <v>0</v>
      </c>
      <c r="M98" s="619">
        <f t="shared" ca="1" si="225"/>
        <v>0</v>
      </c>
      <c r="N98" s="619">
        <f t="shared" ca="1" si="225"/>
        <v>0</v>
      </c>
      <c r="O98" s="619">
        <f t="shared" ca="1" si="225"/>
        <v>0</v>
      </c>
      <c r="P98" s="619">
        <f t="shared" ca="1" si="225"/>
        <v>0</v>
      </c>
      <c r="Q98" s="612">
        <f ca="1">SUM(G98:P98)</f>
        <v>0</v>
      </c>
      <c r="S98" s="620">
        <f t="shared" ref="S98:AJ98" ca="1" si="226">IFERROR(INDEX(INDIRECT($C98&amp;".Outputs["&amp;this.Year&amp;"]"), MATCH(S$5, INDIRECT($C98&amp;".Outputs[Vector]"), 0)), 0)</f>
        <v>0</v>
      </c>
      <c r="T98" s="620">
        <f t="shared" ca="1" si="226"/>
        <v>0</v>
      </c>
      <c r="U98" s="3957">
        <f ca="1">IFERROR(INDEX(INDIRECT($C98&amp;".Outputs["&amp;this.Year&amp;"]"), MATCH(U$5, INDIRECT($C98&amp;".Outputs[Vector]"), 0)), 0)</f>
        <v>-77.532154317257508</v>
      </c>
      <c r="V98" s="620">
        <f t="shared" ca="1" si="226"/>
        <v>8</v>
      </c>
      <c r="W98" s="620">
        <f t="shared" ca="1" si="226"/>
        <v>0</v>
      </c>
      <c r="X98" s="620">
        <f t="shared" ca="1" si="226"/>
        <v>0</v>
      </c>
      <c r="Y98" s="620">
        <f t="shared" ca="1" si="226"/>
        <v>0</v>
      </c>
      <c r="Z98" s="620">
        <f t="shared" ca="1" si="226"/>
        <v>0</v>
      </c>
      <c r="AA98" s="620">
        <f t="shared" ca="1" si="226"/>
        <v>0</v>
      </c>
      <c r="AB98" s="620">
        <f t="shared" ca="1" si="226"/>
        <v>0</v>
      </c>
      <c r="AC98" s="620">
        <f t="shared" ca="1" si="226"/>
        <v>0</v>
      </c>
      <c r="AD98" s="620">
        <f t="shared" ca="1" si="226"/>
        <v>0</v>
      </c>
      <c r="AE98" s="620">
        <f t="shared" ca="1" si="226"/>
        <v>0</v>
      </c>
      <c r="AF98" s="620">
        <f t="shared" ca="1" si="226"/>
        <v>0</v>
      </c>
      <c r="AG98" s="620">
        <f t="shared" ca="1" si="226"/>
        <v>0</v>
      </c>
      <c r="AH98" s="620">
        <f t="shared" ca="1" si="226"/>
        <v>0</v>
      </c>
      <c r="AI98" s="620">
        <f t="shared" ca="1" si="226"/>
        <v>0</v>
      </c>
      <c r="AJ98" s="620">
        <f t="shared" ca="1" si="226"/>
        <v>0</v>
      </c>
      <c r="AK98" s="613">
        <f ca="1">SUM(S98:AJ98)</f>
        <v>-69.532154317257508</v>
      </c>
      <c r="AM98" s="621">
        <f t="shared" ref="AM98:BE98" ca="1" si="227">IFERROR(INDEX(INDIRECT($C98&amp;".Outputs["&amp;this.Year&amp;"]"), MATCH(AM$5, INDIRECT($C98&amp;".Outputs[Vector]"), 0)), 0)</f>
        <v>0</v>
      </c>
      <c r="AN98" s="621">
        <f t="shared" ca="1" si="227"/>
        <v>0</v>
      </c>
      <c r="AO98" s="621">
        <f t="shared" ca="1" si="227"/>
        <v>0</v>
      </c>
      <c r="AP98" s="621">
        <f t="shared" ca="1" si="227"/>
        <v>69.532154317257508</v>
      </c>
      <c r="AQ98" s="621">
        <f t="shared" ca="1" si="227"/>
        <v>0</v>
      </c>
      <c r="AR98" s="621">
        <f t="shared" ca="1" si="227"/>
        <v>0</v>
      </c>
      <c r="AS98" s="621">
        <f t="shared" ca="1" si="227"/>
        <v>0</v>
      </c>
      <c r="AT98" s="621">
        <f t="shared" ca="1" si="227"/>
        <v>0</v>
      </c>
      <c r="AU98" s="621">
        <f t="shared" ca="1" si="227"/>
        <v>0</v>
      </c>
      <c r="AV98" s="621">
        <f t="shared" ca="1" si="227"/>
        <v>0</v>
      </c>
      <c r="AW98" s="621">
        <f t="shared" ca="1" si="227"/>
        <v>0</v>
      </c>
      <c r="AX98" s="621">
        <f t="shared" ca="1" si="227"/>
        <v>0</v>
      </c>
      <c r="AY98" s="621">
        <f t="shared" ca="1" si="227"/>
        <v>0</v>
      </c>
      <c r="AZ98" s="621">
        <f t="shared" ca="1" si="227"/>
        <v>0</v>
      </c>
      <c r="BA98" s="621">
        <f t="shared" ca="1" si="227"/>
        <v>0</v>
      </c>
      <c r="BB98" s="621">
        <f t="shared" ca="1" si="227"/>
        <v>0</v>
      </c>
      <c r="BC98" s="621">
        <f t="shared" ca="1" si="227"/>
        <v>0</v>
      </c>
      <c r="BD98" s="621">
        <f t="shared" ca="1" si="227"/>
        <v>0</v>
      </c>
      <c r="BE98" s="621">
        <f t="shared" ca="1" si="227"/>
        <v>0</v>
      </c>
      <c r="BF98" s="615">
        <f ca="1">SUM(AM98:BE98)</f>
        <v>69.532154317257508</v>
      </c>
      <c r="BH98" s="3473">
        <f ca="1">IFERROR(INDEX(INDIRECT($C98&amp;".Outputs["&amp;this.Year&amp;"]"), MATCH(BH$5, INDIRECT($C98&amp;".Outputs[Vector]"), 0)), 0)</f>
        <v>0</v>
      </c>
      <c r="BI98" s="3473">
        <f ca="1">IFERROR(INDEX(INDIRECT($C98&amp;".Outputs["&amp;this.Year&amp;"]"), MATCH(BI$5, INDIRECT($C98&amp;".Outputs[Vector]"), 0)), 0)</f>
        <v>0</v>
      </c>
      <c r="BJ98" s="3462">
        <f ca="1">SUM(BH98:BI98)</f>
        <v>0</v>
      </c>
      <c r="BL98" s="610">
        <f ca="1">Q98+AK98+BF98+BJ98</f>
        <v>0</v>
      </c>
      <c r="BM98" s="610"/>
      <c r="BN98" s="413"/>
      <c r="BO98" s="2791">
        <f t="shared" ref="BO98:DF98" ca="1" si="228">IFERROR(SUMIFS(INDIRECT($C98&amp;".Emissions["&amp;this.Year&amp;"]"), INDIRECT($C98&amp;".Emissions[GHG]"), BO$6, INDIRECT($C98&amp;".Emissions[IPCC Sector]"), BO$5),0)</f>
        <v>0</v>
      </c>
      <c r="BP98" s="2792">
        <f t="shared" ca="1" si="228"/>
        <v>0</v>
      </c>
      <c r="BQ98" s="2792">
        <f t="shared" ca="1" si="228"/>
        <v>0</v>
      </c>
      <c r="BR98" s="2792">
        <f t="shared" ca="1" si="228"/>
        <v>0</v>
      </c>
      <c r="BS98" s="2792">
        <f t="shared" ca="1" si="228"/>
        <v>0</v>
      </c>
      <c r="BT98" s="2792">
        <f t="shared" ca="1" si="228"/>
        <v>0</v>
      </c>
      <c r="BU98" s="2792">
        <f t="shared" ca="1" si="228"/>
        <v>0</v>
      </c>
      <c r="BV98" s="2792">
        <f t="shared" ca="1" si="228"/>
        <v>0</v>
      </c>
      <c r="BW98" s="2792">
        <f t="shared" ca="1" si="228"/>
        <v>0</v>
      </c>
      <c r="BX98" s="2792">
        <f t="shared" ca="1" si="228"/>
        <v>0</v>
      </c>
      <c r="BY98" s="2792">
        <f t="shared" ca="1" si="228"/>
        <v>0</v>
      </c>
      <c r="BZ98" s="2792">
        <f t="shared" ca="1" si="228"/>
        <v>0</v>
      </c>
      <c r="CA98" s="2792">
        <f t="shared" ca="1" si="228"/>
        <v>0</v>
      </c>
      <c r="CB98" s="2792">
        <f t="shared" ca="1" si="228"/>
        <v>0</v>
      </c>
      <c r="CC98" s="2792">
        <f t="shared" ca="1" si="228"/>
        <v>0</v>
      </c>
      <c r="CD98" s="2792">
        <f t="shared" ca="1" si="228"/>
        <v>0</v>
      </c>
      <c r="CE98" s="2792">
        <f t="shared" ca="1" si="228"/>
        <v>0</v>
      </c>
      <c r="CF98" s="2792">
        <f t="shared" ca="1" si="228"/>
        <v>0</v>
      </c>
      <c r="CG98" s="2792">
        <f t="shared" ca="1" si="228"/>
        <v>0</v>
      </c>
      <c r="CH98" s="2792">
        <f t="shared" ca="1" si="228"/>
        <v>0</v>
      </c>
      <c r="CI98" s="2792">
        <f t="shared" ca="1" si="228"/>
        <v>0</v>
      </c>
      <c r="CJ98" s="2792">
        <f t="shared" ca="1" si="228"/>
        <v>0</v>
      </c>
      <c r="CK98" s="2792">
        <f t="shared" ca="1" si="228"/>
        <v>0</v>
      </c>
      <c r="CL98" s="2792">
        <f t="shared" ca="1" si="228"/>
        <v>0</v>
      </c>
      <c r="CM98" s="2792">
        <f t="shared" ca="1" si="228"/>
        <v>0</v>
      </c>
      <c r="CN98" s="2792">
        <f t="shared" ca="1" si="228"/>
        <v>0</v>
      </c>
      <c r="CO98" s="2792">
        <f t="shared" ca="1" si="228"/>
        <v>0</v>
      </c>
      <c r="CP98" s="2792">
        <f t="shared" ca="1" si="228"/>
        <v>0</v>
      </c>
      <c r="CQ98" s="2792">
        <f t="shared" ca="1" si="228"/>
        <v>0</v>
      </c>
      <c r="CR98" s="2792">
        <f t="shared" ca="1" si="228"/>
        <v>0</v>
      </c>
      <c r="CS98" s="2792">
        <f t="shared" ca="1" si="228"/>
        <v>0</v>
      </c>
      <c r="CT98" s="2792">
        <f t="shared" ca="1" si="228"/>
        <v>0</v>
      </c>
      <c r="CU98" s="2792">
        <f t="shared" ca="1" si="228"/>
        <v>0</v>
      </c>
      <c r="CV98" s="2792">
        <f t="shared" ca="1" si="228"/>
        <v>0</v>
      </c>
      <c r="CW98" s="2792">
        <f t="shared" ca="1" si="228"/>
        <v>0</v>
      </c>
      <c r="CX98" s="2792">
        <f t="shared" ca="1" si="228"/>
        <v>0</v>
      </c>
      <c r="CY98" s="2792">
        <f t="shared" ca="1" si="228"/>
        <v>-2.1110399999999996</v>
      </c>
      <c r="CZ98" s="2792">
        <f t="shared" ca="1" si="228"/>
        <v>0</v>
      </c>
      <c r="DA98" s="2792">
        <f t="shared" ca="1" si="228"/>
        <v>0</v>
      </c>
      <c r="DB98" s="2792">
        <f t="shared" ca="1" si="228"/>
        <v>0</v>
      </c>
      <c r="DC98" s="2792">
        <f t="shared" ca="1" si="228"/>
        <v>0</v>
      </c>
      <c r="DD98" s="2792">
        <f t="shared" ca="1" si="228"/>
        <v>0</v>
      </c>
      <c r="DE98" s="2792">
        <f t="shared" ca="1" si="228"/>
        <v>0</v>
      </c>
      <c r="DF98" s="2792">
        <f t="shared" ca="1" si="228"/>
        <v>0</v>
      </c>
      <c r="DH98" s="596">
        <f ca="1">SUM(BO98:DF98)</f>
        <v>-2.1110399999999996</v>
      </c>
    </row>
    <row r="99" spans="1:112" s="6" customFormat="1" ht="15.75">
      <c r="A99" s="4"/>
      <c r="B99" s="3"/>
      <c r="C99" s="616" t="s">
        <v>580</v>
      </c>
      <c r="D99" s="617" t="s">
        <v>581</v>
      </c>
      <c r="E99" s="206"/>
      <c r="G99" s="618">
        <f ca="1">G$96+G98</f>
        <v>0</v>
      </c>
      <c r="H99" s="618">
        <f t="shared" ref="H99:P99" ca="1" si="229">H$96+H98</f>
        <v>0</v>
      </c>
      <c r="I99" s="618">
        <f t="shared" ca="1" si="229"/>
        <v>0</v>
      </c>
      <c r="J99" s="618">
        <f t="shared" ca="1" si="229"/>
        <v>0</v>
      </c>
      <c r="K99" s="618">
        <f t="shared" ca="1" si="229"/>
        <v>0</v>
      </c>
      <c r="L99" s="618">
        <f t="shared" ca="1" si="229"/>
        <v>0</v>
      </c>
      <c r="M99" s="618">
        <f t="shared" ca="1" si="229"/>
        <v>0</v>
      </c>
      <c r="N99" s="618">
        <f t="shared" ca="1" si="229"/>
        <v>0</v>
      </c>
      <c r="O99" s="618">
        <f t="shared" ca="1" si="229"/>
        <v>0</v>
      </c>
      <c r="P99" s="618">
        <f t="shared" ca="1" si="229"/>
        <v>0</v>
      </c>
      <c r="Q99" s="618">
        <f ca="1">SUM(G99:P99)</f>
        <v>0</v>
      </c>
      <c r="S99" s="581">
        <f t="shared" ref="S99:AJ99" ca="1" si="230">S$96+S98</f>
        <v>0</v>
      </c>
      <c r="T99" s="581">
        <f t="shared" ca="1" si="230"/>
        <v>0</v>
      </c>
      <c r="U99" s="3958">
        <f t="shared" ca="1" si="230"/>
        <v>26.675755503624643</v>
      </c>
      <c r="V99" s="581">
        <f t="shared" ca="1" si="230"/>
        <v>8.334661002248648</v>
      </c>
      <c r="W99" s="581">
        <f t="shared" ca="1" si="230"/>
        <v>23.824090611859152</v>
      </c>
      <c r="X99" s="581">
        <f t="shared" ca="1" si="230"/>
        <v>0</v>
      </c>
      <c r="Y99" s="581">
        <f t="shared" ca="1" si="230"/>
        <v>0</v>
      </c>
      <c r="Z99" s="581">
        <f t="shared" ca="1" si="230"/>
        <v>0</v>
      </c>
      <c r="AA99" s="581">
        <f t="shared" ca="1" si="230"/>
        <v>0</v>
      </c>
      <c r="AB99" s="581">
        <f t="shared" ca="1" si="230"/>
        <v>0</v>
      </c>
      <c r="AC99" s="581">
        <f t="shared" ca="1" si="230"/>
        <v>0</v>
      </c>
      <c r="AD99" s="581">
        <f ca="1">AD$96+AD98</f>
        <v>-85.98605217389283</v>
      </c>
      <c r="AE99" s="581">
        <f ca="1">AE$96+AE98</f>
        <v>-1.0590538045843265</v>
      </c>
      <c r="AF99" s="581">
        <f t="shared" ca="1" si="230"/>
        <v>-23.706484479667335</v>
      </c>
      <c r="AG99" s="581">
        <f t="shared" ca="1" si="230"/>
        <v>-27.862294761138976</v>
      </c>
      <c r="AH99" s="581">
        <f ca="1">AH$96+AH98</f>
        <v>-0.14114006489102265</v>
      </c>
      <c r="AI99" s="581">
        <f t="shared" ca="1" si="230"/>
        <v>0</v>
      </c>
      <c r="AJ99" s="581">
        <f t="shared" ca="1" si="230"/>
        <v>0</v>
      </c>
      <c r="AK99" s="581">
        <f ca="1">SUM(S99:AJ99)</f>
        <v>-79.920518166442051</v>
      </c>
      <c r="AM99" s="582">
        <f t="shared" ref="AM99:BE99" ca="1" si="231">AM$96+AM98</f>
        <v>0</v>
      </c>
      <c r="AN99" s="582">
        <f t="shared" ca="1" si="231"/>
        <v>0</v>
      </c>
      <c r="AO99" s="582">
        <f t="shared" ca="1" si="231"/>
        <v>0</v>
      </c>
      <c r="AP99" s="582">
        <f ca="1">AP$96+AP98</f>
        <v>69.532154317257508</v>
      </c>
      <c r="AQ99" s="582">
        <f t="shared" ca="1" si="231"/>
        <v>0</v>
      </c>
      <c r="AR99" s="582">
        <f t="shared" ca="1" si="231"/>
        <v>0</v>
      </c>
      <c r="AS99" s="582">
        <f t="shared" ca="1" si="231"/>
        <v>0</v>
      </c>
      <c r="AT99" s="582">
        <f t="shared" ca="1" si="231"/>
        <v>0</v>
      </c>
      <c r="AU99" s="582">
        <f t="shared" ca="1" si="231"/>
        <v>0</v>
      </c>
      <c r="AV99" s="582">
        <f t="shared" ca="1" si="231"/>
        <v>0</v>
      </c>
      <c r="AW99" s="582">
        <f t="shared" ca="1" si="231"/>
        <v>0</v>
      </c>
      <c r="AX99" s="582">
        <f t="shared" ca="1" si="231"/>
        <v>0</v>
      </c>
      <c r="AY99" s="582">
        <f t="shared" ca="1" si="231"/>
        <v>0</v>
      </c>
      <c r="AZ99" s="582">
        <f t="shared" ca="1" si="231"/>
        <v>0</v>
      </c>
      <c r="BA99" s="582">
        <f t="shared" ca="1" si="231"/>
        <v>0</v>
      </c>
      <c r="BB99" s="582">
        <f t="shared" ca="1" si="231"/>
        <v>0</v>
      </c>
      <c r="BC99" s="582">
        <f t="shared" ca="1" si="231"/>
        <v>0</v>
      </c>
      <c r="BD99" s="582">
        <f t="shared" ca="1" si="231"/>
        <v>0</v>
      </c>
      <c r="BE99" s="582">
        <f t="shared" ca="1" si="231"/>
        <v>0</v>
      </c>
      <c r="BF99" s="582">
        <f ca="1">SUM(AM99:BE99)</f>
        <v>69.532154317257508</v>
      </c>
      <c r="BH99" s="3463">
        <f ca="1">BH$96+BH98</f>
        <v>10.388363849184515</v>
      </c>
      <c r="BI99" s="3463">
        <f ca="1">BI$96+BI98</f>
        <v>0</v>
      </c>
      <c r="BJ99" s="3463">
        <f ca="1">SUM(BH99:BI99)</f>
        <v>10.388363849184515</v>
      </c>
      <c r="BL99" s="3477">
        <f ca="1">Q99+AK99+BF99+BJ99</f>
        <v>-2.8421709430404007E-14</v>
      </c>
      <c r="BM99" s="584"/>
      <c r="BN99" s="413"/>
      <c r="BO99" s="2790">
        <f t="shared" ref="BO99:DF99" ca="1" si="232">BO$96+BO98</f>
        <v>0</v>
      </c>
      <c r="BP99" s="2790">
        <f t="shared" ca="1" si="232"/>
        <v>0</v>
      </c>
      <c r="BQ99" s="2790">
        <f t="shared" ca="1" si="232"/>
        <v>0</v>
      </c>
      <c r="BR99" s="2790">
        <f t="shared" ca="1" si="232"/>
        <v>0</v>
      </c>
      <c r="BS99" s="2790">
        <f t="shared" ca="1" si="232"/>
        <v>0</v>
      </c>
      <c r="BT99" s="2790">
        <f t="shared" ca="1" si="232"/>
        <v>0</v>
      </c>
      <c r="BU99" s="2790">
        <f t="shared" ca="1" si="232"/>
        <v>0</v>
      </c>
      <c r="BV99" s="2790">
        <f t="shared" ca="1" si="232"/>
        <v>0</v>
      </c>
      <c r="BW99" s="2790">
        <f t="shared" ca="1" si="232"/>
        <v>0</v>
      </c>
      <c r="BX99" s="2790">
        <f t="shared" ca="1" si="232"/>
        <v>0</v>
      </c>
      <c r="BY99" s="2790">
        <f t="shared" ca="1" si="232"/>
        <v>0</v>
      </c>
      <c r="BZ99" s="2790">
        <f t="shared" ca="1" si="232"/>
        <v>0</v>
      </c>
      <c r="CA99" s="2790">
        <f t="shared" ca="1" si="232"/>
        <v>0</v>
      </c>
      <c r="CB99" s="2790">
        <f t="shared" ca="1" si="232"/>
        <v>0</v>
      </c>
      <c r="CC99" s="2790">
        <f t="shared" ca="1" si="232"/>
        <v>0</v>
      </c>
      <c r="CD99" s="2790">
        <f t="shared" ca="1" si="232"/>
        <v>0</v>
      </c>
      <c r="CE99" s="2790">
        <f t="shared" ca="1" si="232"/>
        <v>0</v>
      </c>
      <c r="CF99" s="2790">
        <f t="shared" ca="1" si="232"/>
        <v>0</v>
      </c>
      <c r="CG99" s="2790">
        <f t="shared" ca="1" si="232"/>
        <v>0</v>
      </c>
      <c r="CH99" s="2790">
        <f t="shared" ca="1" si="232"/>
        <v>0</v>
      </c>
      <c r="CI99" s="2790">
        <f t="shared" ca="1" si="232"/>
        <v>0</v>
      </c>
      <c r="CJ99" s="2790">
        <f t="shared" ca="1" si="232"/>
        <v>0</v>
      </c>
      <c r="CK99" s="2790">
        <f t="shared" ca="1" si="232"/>
        <v>0</v>
      </c>
      <c r="CL99" s="2790">
        <f t="shared" ca="1" si="232"/>
        <v>0</v>
      </c>
      <c r="CM99" s="2790">
        <f t="shared" ca="1" si="232"/>
        <v>0</v>
      </c>
      <c r="CN99" s="2790">
        <f t="shared" ca="1" si="232"/>
        <v>0</v>
      </c>
      <c r="CO99" s="2790">
        <f t="shared" ca="1" si="232"/>
        <v>0</v>
      </c>
      <c r="CP99" s="2790">
        <f t="shared" ca="1" si="232"/>
        <v>0</v>
      </c>
      <c r="CQ99" s="2790">
        <f t="shared" ca="1" si="232"/>
        <v>0</v>
      </c>
      <c r="CR99" s="2790">
        <f t="shared" ca="1" si="232"/>
        <v>0</v>
      </c>
      <c r="CS99" s="2790">
        <f t="shared" ca="1" si="232"/>
        <v>0</v>
      </c>
      <c r="CT99" s="2790">
        <f t="shared" ca="1" si="232"/>
        <v>0</v>
      </c>
      <c r="CU99" s="2790">
        <f t="shared" ca="1" si="232"/>
        <v>0</v>
      </c>
      <c r="CV99" s="2790">
        <f t="shared" ca="1" si="232"/>
        <v>0</v>
      </c>
      <c r="CW99" s="2790">
        <f t="shared" ca="1" si="232"/>
        <v>0</v>
      </c>
      <c r="CX99" s="2790">
        <f t="shared" ca="1" si="232"/>
        <v>0</v>
      </c>
      <c r="CY99" s="2790">
        <f t="shared" ca="1" si="232"/>
        <v>-16.082979359188872</v>
      </c>
      <c r="CZ99" s="2790">
        <f t="shared" ca="1" si="232"/>
        <v>0</v>
      </c>
      <c r="DA99" s="2790">
        <f t="shared" ca="1" si="232"/>
        <v>0</v>
      </c>
      <c r="DB99" s="2790">
        <f t="shared" ca="1" si="232"/>
        <v>0</v>
      </c>
      <c r="DC99" s="2790">
        <f t="shared" ca="1" si="232"/>
        <v>0</v>
      </c>
      <c r="DD99" s="2790">
        <f t="shared" ca="1" si="232"/>
        <v>0</v>
      </c>
      <c r="DE99" s="2790">
        <f t="shared" ca="1" si="232"/>
        <v>0</v>
      </c>
      <c r="DF99" s="2790">
        <f t="shared" ca="1" si="232"/>
        <v>0</v>
      </c>
      <c r="DH99" s="596">
        <f t="shared" ca="1" si="218"/>
        <v>-16.082979359188872</v>
      </c>
    </row>
    <row r="100" spans="1:112" s="4" customFormat="1" ht="15.75">
      <c r="B100" s="3"/>
      <c r="C100" s="616"/>
      <c r="D100" s="617"/>
      <c r="E100" s="206"/>
      <c r="F100" s="6"/>
      <c r="G100" s="579"/>
      <c r="H100" s="579"/>
      <c r="I100" s="579"/>
      <c r="J100" s="579"/>
      <c r="K100" s="638"/>
      <c r="L100" s="579"/>
      <c r="M100" s="579"/>
      <c r="N100" s="579"/>
      <c r="O100" s="579"/>
      <c r="P100" s="579"/>
      <c r="Q100" s="618"/>
      <c r="R100" s="6"/>
      <c r="S100" s="581"/>
      <c r="T100" s="581"/>
      <c r="U100" s="3958"/>
      <c r="V100" s="581"/>
      <c r="W100" s="581"/>
      <c r="X100" s="581"/>
      <c r="Y100" s="581"/>
      <c r="Z100" s="581"/>
      <c r="AA100" s="581"/>
      <c r="AB100" s="581"/>
      <c r="AC100" s="581"/>
      <c r="AD100" s="581"/>
      <c r="AE100" s="581"/>
      <c r="AF100" s="581"/>
      <c r="AG100" s="581"/>
      <c r="AH100" s="581"/>
      <c r="AI100" s="581"/>
      <c r="AJ100" s="581"/>
      <c r="AK100" s="581"/>
      <c r="AL100" s="6"/>
      <c r="AM100" s="582"/>
      <c r="AN100" s="582"/>
      <c r="AO100" s="582"/>
      <c r="AP100" s="582"/>
      <c r="AQ100" s="582"/>
      <c r="AR100" s="582"/>
      <c r="AS100" s="582"/>
      <c r="AT100" s="582"/>
      <c r="AU100" s="582"/>
      <c r="AV100" s="582"/>
      <c r="AW100" s="582"/>
      <c r="AX100" s="582"/>
      <c r="AY100" s="582"/>
      <c r="AZ100" s="582"/>
      <c r="BA100" s="582"/>
      <c r="BB100" s="582"/>
      <c r="BC100" s="582"/>
      <c r="BD100" s="582"/>
      <c r="BE100" s="582"/>
      <c r="BF100" s="582"/>
      <c r="BG100" s="6"/>
      <c r="BH100" s="3463"/>
      <c r="BI100" s="3463"/>
      <c r="BJ100" s="3463"/>
      <c r="BK100" s="6"/>
      <c r="BL100" s="3477"/>
      <c r="BM100" s="584"/>
      <c r="BO100" s="2790"/>
      <c r="BP100" s="2790"/>
      <c r="BQ100" s="2790"/>
      <c r="BR100" s="2790"/>
      <c r="BS100" s="2790"/>
      <c r="BT100" s="2790"/>
      <c r="BU100" s="2790"/>
      <c r="BV100" s="2790"/>
      <c r="BW100" s="2790"/>
      <c r="BX100" s="2790"/>
      <c r="BY100" s="2790"/>
      <c r="BZ100" s="2790"/>
      <c r="CA100" s="2790"/>
      <c r="CB100" s="2790"/>
      <c r="CC100" s="2790"/>
      <c r="CD100" s="2790"/>
      <c r="CE100" s="2790"/>
      <c r="CF100" s="2790"/>
      <c r="CG100" s="2790"/>
      <c r="CH100" s="2790"/>
      <c r="CI100" s="2790"/>
      <c r="CJ100" s="2790"/>
      <c r="CK100" s="2790"/>
      <c r="CL100" s="2790"/>
      <c r="CM100" s="2790"/>
      <c r="CN100" s="2790"/>
      <c r="CO100" s="2790"/>
      <c r="CP100" s="2790"/>
      <c r="CQ100" s="2790"/>
      <c r="CR100" s="2790"/>
      <c r="CS100" s="2790"/>
      <c r="CT100" s="2790"/>
      <c r="CU100" s="2790"/>
      <c r="CV100" s="2790"/>
      <c r="CW100" s="2790"/>
      <c r="CX100" s="2790"/>
      <c r="CY100" s="2790"/>
      <c r="CZ100" s="2790"/>
      <c r="DA100" s="2790"/>
      <c r="DB100" s="2790"/>
      <c r="DC100" s="2790"/>
      <c r="DD100" s="2790"/>
      <c r="DE100" s="2790"/>
      <c r="DF100" s="2790"/>
      <c r="DH100" s="596">
        <f t="shared" si="218"/>
        <v>0</v>
      </c>
    </row>
    <row r="101" spans="1:112" s="652" customFormat="1">
      <c r="C101" s="667" t="s">
        <v>582</v>
      </c>
      <c r="D101" s="641" t="s">
        <v>574</v>
      </c>
      <c r="E101" s="685"/>
      <c r="G101" s="643"/>
      <c r="H101" s="643"/>
      <c r="I101" s="643"/>
      <c r="J101" s="643"/>
      <c r="K101" s="644"/>
      <c r="L101" s="643"/>
      <c r="M101" s="643"/>
      <c r="N101" s="643"/>
      <c r="O101" s="643"/>
      <c r="P101" s="643"/>
      <c r="Q101" s="704"/>
      <c r="R101" s="639"/>
      <c r="S101" s="645">
        <f ca="1">(S$40+S$84+S$93+S$99)</f>
        <v>-28.534423087242338</v>
      </c>
      <c r="T101" s="645">
        <f ca="1">(T$40+T$84+T$93+T$99)</f>
        <v>116.10915712536342</v>
      </c>
      <c r="U101" s="645">
        <f ca="1">(U$40+U$84+U$93+U$99)</f>
        <v>0</v>
      </c>
      <c r="V101" s="645">
        <f ca="1">(V$40+V$84+V$93+V$99)</f>
        <v>-48.624578735681354</v>
      </c>
      <c r="W101" s="645">
        <f ca="1">(W$40+W$84+W$93+W$99)</f>
        <v>-73.905684637572634</v>
      </c>
      <c r="X101" s="645"/>
      <c r="Y101" s="645"/>
      <c r="Z101" s="645"/>
      <c r="AA101" s="645"/>
      <c r="AB101" s="645"/>
      <c r="AC101" s="645"/>
      <c r="AD101" s="645"/>
      <c r="AE101" s="645"/>
      <c r="AF101" s="645"/>
      <c r="AG101" s="645"/>
      <c r="AH101" s="645"/>
      <c r="AI101" s="645"/>
      <c r="AJ101" s="645"/>
      <c r="AK101" s="645"/>
      <c r="AL101" s="639"/>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39"/>
      <c r="BH101" s="647"/>
      <c r="BI101" s="647"/>
      <c r="BJ101" s="647"/>
      <c r="BL101" s="654"/>
      <c r="BM101" s="654"/>
      <c r="BO101" s="2795"/>
      <c r="BP101" s="2795"/>
      <c r="BQ101" s="2795"/>
      <c r="BR101" s="2795"/>
      <c r="BS101" s="2795"/>
      <c r="BT101" s="2795"/>
      <c r="BU101" s="2795"/>
      <c r="BV101" s="2795"/>
      <c r="BW101" s="2795"/>
      <c r="BX101" s="2795"/>
      <c r="BY101" s="2795"/>
      <c r="BZ101" s="2795"/>
      <c r="CA101" s="2795"/>
      <c r="CB101" s="2795"/>
      <c r="CC101" s="2795"/>
      <c r="CD101" s="2795"/>
      <c r="CE101" s="2795"/>
      <c r="CF101" s="2795"/>
      <c r="CG101" s="2795"/>
      <c r="CH101" s="2795"/>
      <c r="CI101" s="2795"/>
      <c r="CJ101" s="2795"/>
      <c r="CK101" s="2795"/>
      <c r="CL101" s="2795"/>
      <c r="CM101" s="2795"/>
      <c r="CN101" s="2795"/>
      <c r="CO101" s="2795"/>
      <c r="CP101" s="2795"/>
      <c r="CQ101" s="2795"/>
      <c r="CR101" s="2795"/>
      <c r="CS101" s="2795"/>
      <c r="CT101" s="2795"/>
      <c r="CU101" s="2795"/>
      <c r="CV101" s="2795"/>
      <c r="CW101" s="2795"/>
      <c r="CX101" s="2795"/>
      <c r="CY101" s="2795"/>
      <c r="CZ101" s="2795"/>
      <c r="DA101" s="2795"/>
      <c r="DB101" s="2795"/>
      <c r="DC101" s="2795"/>
      <c r="DD101" s="2795"/>
      <c r="DE101" s="2795"/>
      <c r="DF101" s="2795"/>
      <c r="DH101" s="596">
        <f t="shared" si="218"/>
        <v>0</v>
      </c>
    </row>
    <row r="102" spans="1:112" s="607" customFormat="1">
      <c r="B102" s="705"/>
      <c r="C102" s="651" t="s">
        <v>583</v>
      </c>
      <c r="D102" s="588" t="s">
        <v>584</v>
      </c>
      <c r="E102" s="588"/>
      <c r="F102" s="6"/>
      <c r="G102" s="659">
        <f t="shared" ref="G102:P102" ca="1" si="233">IFERROR(INDEX(INDIRECT($C102&amp;".Outputs["&amp;this.Year&amp;"]"), MATCH(G$5, INDIRECT($C102&amp;".Outputs[Vector]"), 0)), 0)</f>
        <v>0</v>
      </c>
      <c r="H102" s="659">
        <f t="shared" ca="1" si="233"/>
        <v>0</v>
      </c>
      <c r="I102" s="659">
        <f t="shared" ca="1" si="233"/>
        <v>0</v>
      </c>
      <c r="J102" s="659">
        <f t="shared" ca="1" si="233"/>
        <v>0</v>
      </c>
      <c r="K102" s="706">
        <f t="shared" ca="1" si="233"/>
        <v>0</v>
      </c>
      <c r="L102" s="659">
        <f t="shared" ca="1" si="233"/>
        <v>0</v>
      </c>
      <c r="M102" s="659">
        <f t="shared" ca="1" si="233"/>
        <v>0</v>
      </c>
      <c r="N102" s="659">
        <f t="shared" ca="1" si="233"/>
        <v>0</v>
      </c>
      <c r="O102" s="659">
        <f t="shared" ca="1" si="233"/>
        <v>0</v>
      </c>
      <c r="P102" s="659">
        <f t="shared" ca="1" si="233"/>
        <v>0</v>
      </c>
      <c r="Q102" s="707">
        <f ca="1">SUM(G102:P102)</f>
        <v>0</v>
      </c>
      <c r="R102" s="6"/>
      <c r="S102" s="661">
        <f t="shared" ref="S102:AJ102" ca="1" si="234">IFERROR(INDEX(INDIRECT($C102&amp;".Outputs["&amp;this.Year&amp;"]"), MATCH(S$5, INDIRECT($C102&amp;".Outputs[Vector]"), 0)), 0)</f>
        <v>0</v>
      </c>
      <c r="T102" s="661">
        <f t="shared" ca="1" si="234"/>
        <v>0</v>
      </c>
      <c r="U102" s="661">
        <f ca="1">IFERROR(INDEX(INDIRECT($C102&amp;".Outputs["&amp;this.Year&amp;"]"), MATCH(U$5, INDIRECT($C102&amp;".Outputs[Vector]"), 0)), 0)</f>
        <v>0</v>
      </c>
      <c r="V102" s="661">
        <f t="shared" ca="1" si="234"/>
        <v>48.624578735681354</v>
      </c>
      <c r="W102" s="661">
        <f t="shared" ca="1" si="234"/>
        <v>73.905684637572634</v>
      </c>
      <c r="X102" s="661">
        <f t="shared" ca="1" si="234"/>
        <v>0</v>
      </c>
      <c r="Y102" s="661">
        <f t="shared" ca="1" si="234"/>
        <v>-48.624578735681354</v>
      </c>
      <c r="Z102" s="661">
        <f t="shared" ca="1" si="234"/>
        <v>-75.014269907136224</v>
      </c>
      <c r="AA102" s="661">
        <f t="shared" ca="1" si="234"/>
        <v>0</v>
      </c>
      <c r="AB102" s="661">
        <f t="shared" ca="1" si="234"/>
        <v>0</v>
      </c>
      <c r="AC102" s="661">
        <f t="shared" ca="1" si="234"/>
        <v>0</v>
      </c>
      <c r="AD102" s="661">
        <f t="shared" ca="1" si="234"/>
        <v>0</v>
      </c>
      <c r="AE102" s="661">
        <f t="shared" ca="1" si="234"/>
        <v>0</v>
      </c>
      <c r="AF102" s="661">
        <f t="shared" ca="1" si="234"/>
        <v>0</v>
      </c>
      <c r="AG102" s="661">
        <f t="shared" ca="1" si="234"/>
        <v>0</v>
      </c>
      <c r="AH102" s="661">
        <f t="shared" ca="1" si="234"/>
        <v>0</v>
      </c>
      <c r="AI102" s="661">
        <f t="shared" ca="1" si="234"/>
        <v>0</v>
      </c>
      <c r="AJ102" s="661">
        <f t="shared" ca="1" si="234"/>
        <v>0</v>
      </c>
      <c r="AK102" s="661">
        <f ca="1">SUM(S102:AJ102)</f>
        <v>-1.1085852695635907</v>
      </c>
      <c r="AL102" s="6"/>
      <c r="AM102" s="609">
        <f t="shared" ref="AM102:BE102" ca="1" si="235">IFERROR(INDEX(INDIRECT($C102&amp;".Outputs["&amp;this.Year&amp;"]"), MATCH(AM$5, INDIRECT($C102&amp;".Outputs[Vector]"), 0)), 0)</f>
        <v>0</v>
      </c>
      <c r="AN102" s="609">
        <f t="shared" ca="1" si="235"/>
        <v>0</v>
      </c>
      <c r="AO102" s="609">
        <f t="shared" ca="1" si="235"/>
        <v>0</v>
      </c>
      <c r="AP102" s="609">
        <f t="shared" ca="1" si="235"/>
        <v>0</v>
      </c>
      <c r="AQ102" s="609">
        <f t="shared" ca="1" si="235"/>
        <v>0</v>
      </c>
      <c r="AR102" s="609">
        <f t="shared" ca="1" si="235"/>
        <v>0</v>
      </c>
      <c r="AS102" s="609">
        <f t="shared" ca="1" si="235"/>
        <v>0</v>
      </c>
      <c r="AT102" s="609">
        <f t="shared" ca="1" si="235"/>
        <v>0</v>
      </c>
      <c r="AU102" s="609">
        <f t="shared" ca="1" si="235"/>
        <v>0</v>
      </c>
      <c r="AV102" s="609">
        <f t="shared" ca="1" si="235"/>
        <v>0</v>
      </c>
      <c r="AW102" s="609">
        <f t="shared" ca="1" si="235"/>
        <v>0</v>
      </c>
      <c r="AX102" s="609">
        <f t="shared" ca="1" si="235"/>
        <v>0</v>
      </c>
      <c r="AY102" s="609">
        <f t="shared" ca="1" si="235"/>
        <v>0</v>
      </c>
      <c r="AZ102" s="609">
        <f t="shared" ca="1" si="235"/>
        <v>0</v>
      </c>
      <c r="BA102" s="609">
        <f t="shared" ca="1" si="235"/>
        <v>0</v>
      </c>
      <c r="BB102" s="609">
        <f t="shared" ca="1" si="235"/>
        <v>0</v>
      </c>
      <c r="BC102" s="609">
        <f t="shared" ca="1" si="235"/>
        <v>0</v>
      </c>
      <c r="BD102" s="609">
        <f t="shared" ca="1" si="235"/>
        <v>0</v>
      </c>
      <c r="BE102" s="609">
        <f t="shared" ca="1" si="235"/>
        <v>0</v>
      </c>
      <c r="BF102" s="609">
        <f ca="1">SUM(AM102:BE102)</f>
        <v>0</v>
      </c>
      <c r="BG102" s="6"/>
      <c r="BH102" s="664">
        <f ca="1">IFERROR(INDEX(INDIRECT($C102&amp;".Outputs["&amp;this.Year&amp;"]"), MATCH(BH$5, INDIRECT($C102&amp;".Outputs[Vector]"), 0)), 0)</f>
        <v>0</v>
      </c>
      <c r="BI102" s="664">
        <f ca="1">IFERROR(INDEX(INDIRECT($C102&amp;".Outputs["&amp;this.Year&amp;"]"), MATCH(BI$5, INDIRECT($C102&amp;".Outputs[Vector]"), 0)), 0)</f>
        <v>1.1085852695635894</v>
      </c>
      <c r="BJ102" s="664">
        <f ca="1">SUM(BH102:BI102)</f>
        <v>1.1085852695635894</v>
      </c>
      <c r="BK102" s="6"/>
      <c r="BL102" s="3477">
        <f t="shared" ref="BL102:BL109" ca="1" si="236">Q102+AK102+BF102+BJ102</f>
        <v>0</v>
      </c>
      <c r="BM102" s="610"/>
      <c r="BO102" s="2789">
        <f t="shared" ref="BO102:BX103" ca="1" si="237">IFERROR(SUMIFS(INDIRECT($C102&amp;".Emissions["&amp;this.Year&amp;"]"), INDIRECT($C102&amp;".Emissions[GHG]"), BO$6, INDIRECT($C102&amp;".Emissions[IPCC Sector]"), BO$5),0)</f>
        <v>0</v>
      </c>
      <c r="BP102" s="2790">
        <f t="shared" ca="1" si="237"/>
        <v>0</v>
      </c>
      <c r="BQ102" s="2790">
        <f t="shared" ca="1" si="237"/>
        <v>0</v>
      </c>
      <c r="BR102" s="2790">
        <f t="shared" ca="1" si="237"/>
        <v>0</v>
      </c>
      <c r="BS102" s="2790">
        <f t="shared" ca="1" si="237"/>
        <v>0</v>
      </c>
      <c r="BT102" s="2790">
        <f t="shared" ca="1" si="237"/>
        <v>3.2231198277947314E-2</v>
      </c>
      <c r="BU102" s="2790">
        <f t="shared" ca="1" si="237"/>
        <v>0</v>
      </c>
      <c r="BV102" s="2790">
        <f t="shared" ca="1" si="237"/>
        <v>0</v>
      </c>
      <c r="BW102" s="2790">
        <f t="shared" ca="1" si="237"/>
        <v>0</v>
      </c>
      <c r="BX102" s="2790">
        <f t="shared" ca="1" si="237"/>
        <v>0</v>
      </c>
      <c r="BY102" s="2790">
        <f t="shared" ref="BY102:CH103" ca="1" si="238">IFERROR(SUMIFS(INDIRECT($C102&amp;".Emissions["&amp;this.Year&amp;"]"), INDIRECT($C102&amp;".Emissions[GHG]"), BY$6, INDIRECT($C102&amp;".Emissions[IPCC Sector]"), BY$5),0)</f>
        <v>0</v>
      </c>
      <c r="BZ102" s="2790">
        <f t="shared" ca="1" si="238"/>
        <v>0</v>
      </c>
      <c r="CA102" s="2790">
        <f t="shared" ca="1" si="238"/>
        <v>0</v>
      </c>
      <c r="CB102" s="2790">
        <f t="shared" ca="1" si="238"/>
        <v>0</v>
      </c>
      <c r="CC102" s="2790">
        <f t="shared" ca="1" si="238"/>
        <v>0</v>
      </c>
      <c r="CD102" s="2790">
        <f t="shared" ca="1" si="238"/>
        <v>0</v>
      </c>
      <c r="CE102" s="2790">
        <f t="shared" ca="1" si="238"/>
        <v>0</v>
      </c>
      <c r="CF102" s="2790">
        <f t="shared" ca="1" si="238"/>
        <v>0</v>
      </c>
      <c r="CG102" s="2790">
        <f t="shared" ca="1" si="238"/>
        <v>0</v>
      </c>
      <c r="CH102" s="2790">
        <f t="shared" ca="1" si="238"/>
        <v>0</v>
      </c>
      <c r="CI102" s="2790">
        <f t="shared" ref="CI102:CR103" ca="1" si="239">IFERROR(SUMIFS(INDIRECT($C102&amp;".Emissions["&amp;this.Year&amp;"]"), INDIRECT($C102&amp;".Emissions[GHG]"), CI$6, INDIRECT($C102&amp;".Emissions[IPCC Sector]"), CI$5),0)</f>
        <v>0</v>
      </c>
      <c r="CJ102" s="2790">
        <f t="shared" ca="1" si="239"/>
        <v>0</v>
      </c>
      <c r="CK102" s="2790">
        <f t="shared" ca="1" si="239"/>
        <v>0</v>
      </c>
      <c r="CL102" s="2790">
        <f t="shared" ca="1" si="239"/>
        <v>0</v>
      </c>
      <c r="CM102" s="2790">
        <f t="shared" ca="1" si="239"/>
        <v>0</v>
      </c>
      <c r="CN102" s="2790">
        <f t="shared" ca="1" si="239"/>
        <v>0</v>
      </c>
      <c r="CO102" s="2790">
        <f t="shared" ca="1" si="239"/>
        <v>0</v>
      </c>
      <c r="CP102" s="2790">
        <f t="shared" ca="1" si="239"/>
        <v>0</v>
      </c>
      <c r="CQ102" s="2790">
        <f t="shared" ca="1" si="239"/>
        <v>0</v>
      </c>
      <c r="CR102" s="2790">
        <f t="shared" ca="1" si="239"/>
        <v>0</v>
      </c>
      <c r="CS102" s="2790">
        <f t="shared" ref="CS102:DF103" ca="1" si="240">IFERROR(SUMIFS(INDIRECT($C102&amp;".Emissions["&amp;this.Year&amp;"]"), INDIRECT($C102&amp;".Emissions[GHG]"), CS$6, INDIRECT($C102&amp;".Emissions[IPCC Sector]"), CS$5),0)</f>
        <v>0</v>
      </c>
      <c r="CT102" s="2790">
        <f t="shared" ca="1" si="240"/>
        <v>0</v>
      </c>
      <c r="CU102" s="2790">
        <f t="shared" ca="1" si="240"/>
        <v>0</v>
      </c>
      <c r="CV102" s="2790">
        <f t="shared" ca="1" si="240"/>
        <v>0</v>
      </c>
      <c r="CW102" s="2790">
        <f t="shared" ca="1" si="240"/>
        <v>0</v>
      </c>
      <c r="CX102" s="2790">
        <f t="shared" ca="1" si="240"/>
        <v>0</v>
      </c>
      <c r="CY102" s="2790">
        <f t="shared" ca="1" si="240"/>
        <v>0</v>
      </c>
      <c r="CZ102" s="2790">
        <f t="shared" ca="1" si="240"/>
        <v>0</v>
      </c>
      <c r="DA102" s="2790">
        <f t="shared" ca="1" si="240"/>
        <v>0</v>
      </c>
      <c r="DB102" s="2790">
        <f t="shared" ca="1" si="240"/>
        <v>0</v>
      </c>
      <c r="DC102" s="2790">
        <f t="shared" ca="1" si="240"/>
        <v>0</v>
      </c>
      <c r="DD102" s="2790">
        <f t="shared" ca="1" si="240"/>
        <v>0</v>
      </c>
      <c r="DE102" s="2790">
        <f t="shared" ca="1" si="240"/>
        <v>0</v>
      </c>
      <c r="DF102" s="2790">
        <f t="shared" ca="1" si="240"/>
        <v>0</v>
      </c>
      <c r="DH102" s="596">
        <f t="shared" ca="1" si="218"/>
        <v>3.2231198277947314E-2</v>
      </c>
    </row>
    <row r="103" spans="1:112" s="607" customFormat="1">
      <c r="B103" s="705" t="s">
        <v>585</v>
      </c>
      <c r="C103" s="651" t="s">
        <v>586</v>
      </c>
      <c r="D103" s="611" t="s">
        <v>587</v>
      </c>
      <c r="E103" s="611"/>
      <c r="F103" s="6"/>
      <c r="G103" s="708"/>
      <c r="H103" s="708"/>
      <c r="I103" s="708"/>
      <c r="J103" s="708"/>
      <c r="K103" s="709"/>
      <c r="L103" s="708"/>
      <c r="M103" s="708"/>
      <c r="N103" s="708"/>
      <c r="O103" s="708"/>
      <c r="P103" s="708"/>
      <c r="Q103" s="710">
        <f>SUM(G103:P103)</f>
        <v>0</v>
      </c>
      <c r="R103" s="6"/>
      <c r="S103" s="711"/>
      <c r="T103" s="711">
        <f ca="1">-(T$101+S$101)</f>
        <v>-87.574734038121079</v>
      </c>
      <c r="U103" s="711"/>
      <c r="V103" s="711"/>
      <c r="W103" s="711"/>
      <c r="X103" s="711">
        <f ca="1">-(X$40+X$84+X$93+X$99+X$102)</f>
        <v>-0.2136046021465092</v>
      </c>
      <c r="Y103" s="711">
        <f ca="1">-(Y$40+Y$84+Y$93+Y$99+Y$102)</f>
        <v>48.624578735681354</v>
      </c>
      <c r="Z103" s="711">
        <f ca="1">-(Z$40+Z$84+Z$93+Z$99+Z$102)</f>
        <v>75.014269907136224</v>
      </c>
      <c r="AA103" s="711"/>
      <c r="AB103" s="711"/>
      <c r="AC103" s="711"/>
      <c r="AD103" s="711"/>
      <c r="AE103" s="711"/>
      <c r="AF103" s="711"/>
      <c r="AG103" s="711"/>
      <c r="AH103" s="711"/>
      <c r="AI103" s="711"/>
      <c r="AJ103" s="711"/>
      <c r="AK103" s="711">
        <f ca="1">SUM(S103:AJ103)</f>
        <v>35.850510002549996</v>
      </c>
      <c r="AL103" s="6"/>
      <c r="AM103" s="615"/>
      <c r="AN103" s="615"/>
      <c r="AO103" s="615"/>
      <c r="AP103" s="615" t="s">
        <v>5</v>
      </c>
      <c r="AQ103" s="615">
        <f ca="1">-T103</f>
        <v>87.574734038121079</v>
      </c>
      <c r="AR103" s="615">
        <f>-V103</f>
        <v>0</v>
      </c>
      <c r="AS103" s="615">
        <f ca="1">-X103</f>
        <v>0.2136046021465092</v>
      </c>
      <c r="AT103" s="615">
        <f ca="1">-Y103</f>
        <v>-48.624578735681354</v>
      </c>
      <c r="AU103" s="615">
        <f ca="1">-Z103</f>
        <v>-75.014269907136224</v>
      </c>
      <c r="AV103" s="615"/>
      <c r="AW103" s="615"/>
      <c r="AX103" s="615"/>
      <c r="AY103" s="615"/>
      <c r="AZ103" s="615"/>
      <c r="BA103" s="615"/>
      <c r="BB103" s="615"/>
      <c r="BC103" s="615"/>
      <c r="BD103" s="615"/>
      <c r="BE103" s="615"/>
      <c r="BF103" s="615">
        <f ca="1">SUM(AM103:BE103)</f>
        <v>-35.850510002549996</v>
      </c>
      <c r="BG103" s="6"/>
      <c r="BH103" s="712"/>
      <c r="BI103" s="712"/>
      <c r="BJ103" s="712">
        <f>SUM(BH103:BI103)</f>
        <v>0</v>
      </c>
      <c r="BK103" s="6"/>
      <c r="BL103" s="3477">
        <f t="shared" ca="1" si="236"/>
        <v>0</v>
      </c>
      <c r="BM103" s="610"/>
      <c r="BO103" s="2791">
        <f t="shared" ca="1" si="237"/>
        <v>0</v>
      </c>
      <c r="BP103" s="2792">
        <f t="shared" ca="1" si="237"/>
        <v>0</v>
      </c>
      <c r="BQ103" s="2792">
        <f t="shared" ca="1" si="237"/>
        <v>0</v>
      </c>
      <c r="BR103" s="2792">
        <f t="shared" ca="1" si="237"/>
        <v>0</v>
      </c>
      <c r="BS103" s="2792">
        <f t="shared" ca="1" si="237"/>
        <v>0</v>
      </c>
      <c r="BT103" s="2792">
        <f t="shared" ca="1" si="237"/>
        <v>0</v>
      </c>
      <c r="BU103" s="2792">
        <f t="shared" ca="1" si="237"/>
        <v>0</v>
      </c>
      <c r="BV103" s="2792">
        <f t="shared" ca="1" si="237"/>
        <v>0</v>
      </c>
      <c r="BW103" s="2792">
        <f t="shared" ca="1" si="237"/>
        <v>0</v>
      </c>
      <c r="BX103" s="2792">
        <f t="shared" ca="1" si="237"/>
        <v>0</v>
      </c>
      <c r="BY103" s="2792">
        <f t="shared" ca="1" si="238"/>
        <v>0</v>
      </c>
      <c r="BZ103" s="2792">
        <f t="shared" ca="1" si="238"/>
        <v>0</v>
      </c>
      <c r="CA103" s="2792">
        <f t="shared" ca="1" si="238"/>
        <v>0</v>
      </c>
      <c r="CB103" s="2792">
        <f t="shared" ca="1" si="238"/>
        <v>0</v>
      </c>
      <c r="CC103" s="2792">
        <f t="shared" ca="1" si="238"/>
        <v>0</v>
      </c>
      <c r="CD103" s="2792">
        <f t="shared" ca="1" si="238"/>
        <v>0</v>
      </c>
      <c r="CE103" s="2792">
        <f t="shared" ca="1" si="238"/>
        <v>0</v>
      </c>
      <c r="CF103" s="2792">
        <f t="shared" ca="1" si="238"/>
        <v>0</v>
      </c>
      <c r="CG103" s="2792">
        <f t="shared" ca="1" si="238"/>
        <v>0</v>
      </c>
      <c r="CH103" s="2792">
        <f t="shared" ca="1" si="238"/>
        <v>0</v>
      </c>
      <c r="CI103" s="2792">
        <f t="shared" ca="1" si="239"/>
        <v>0</v>
      </c>
      <c r="CJ103" s="2792">
        <f t="shared" ca="1" si="239"/>
        <v>0</v>
      </c>
      <c r="CK103" s="2792">
        <f t="shared" ca="1" si="239"/>
        <v>0</v>
      </c>
      <c r="CL103" s="2792">
        <f t="shared" ca="1" si="239"/>
        <v>0</v>
      </c>
      <c r="CM103" s="2792">
        <f t="shared" ca="1" si="239"/>
        <v>0</v>
      </c>
      <c r="CN103" s="2792">
        <f t="shared" ca="1" si="239"/>
        <v>0</v>
      </c>
      <c r="CO103" s="2792">
        <f t="shared" ca="1" si="239"/>
        <v>0</v>
      </c>
      <c r="CP103" s="2792">
        <f t="shared" ca="1" si="239"/>
        <v>0</v>
      </c>
      <c r="CQ103" s="2792">
        <f t="shared" ca="1" si="239"/>
        <v>0</v>
      </c>
      <c r="CR103" s="2792">
        <f t="shared" ca="1" si="239"/>
        <v>0</v>
      </c>
      <c r="CS103" s="2792">
        <f t="shared" ca="1" si="240"/>
        <v>0</v>
      </c>
      <c r="CT103" s="2792">
        <f t="shared" ca="1" si="240"/>
        <v>0</v>
      </c>
      <c r="CU103" s="2792">
        <f t="shared" ca="1" si="240"/>
        <v>0</v>
      </c>
      <c r="CV103" s="2792">
        <f t="shared" ca="1" si="240"/>
        <v>0</v>
      </c>
      <c r="CW103" s="2792">
        <f t="shared" ca="1" si="240"/>
        <v>0</v>
      </c>
      <c r="CX103" s="2792">
        <f t="shared" ca="1" si="240"/>
        <v>0</v>
      </c>
      <c r="CY103" s="2792">
        <f t="shared" ca="1" si="240"/>
        <v>0</v>
      </c>
      <c r="CZ103" s="2792">
        <f t="shared" ca="1" si="240"/>
        <v>0</v>
      </c>
      <c r="DA103" s="2792">
        <f t="shared" ca="1" si="240"/>
        <v>0</v>
      </c>
      <c r="DB103" s="2792">
        <f t="shared" ca="1" si="240"/>
        <v>0</v>
      </c>
      <c r="DC103" s="2792">
        <f t="shared" ca="1" si="240"/>
        <v>0</v>
      </c>
      <c r="DD103" s="2792">
        <f t="shared" ca="1" si="240"/>
        <v>0</v>
      </c>
      <c r="DE103" s="2792">
        <f t="shared" ca="1" si="240"/>
        <v>0</v>
      </c>
      <c r="DF103" s="2792">
        <f t="shared" ca="1" si="240"/>
        <v>0</v>
      </c>
      <c r="DH103" s="596">
        <f t="shared" ca="1" si="218"/>
        <v>0</v>
      </c>
    </row>
    <row r="104" spans="1:112" s="6" customFormat="1" ht="15.75">
      <c r="B104" s="3" t="s">
        <v>585</v>
      </c>
      <c r="C104" s="629" t="s">
        <v>588</v>
      </c>
      <c r="D104" s="617" t="s">
        <v>589</v>
      </c>
      <c r="E104" s="519"/>
      <c r="G104" s="618">
        <f t="shared" ref="G104:P104" ca="1" si="241">SUM(G102:G103)</f>
        <v>0</v>
      </c>
      <c r="H104" s="618">
        <f t="shared" ca="1" si="241"/>
        <v>0</v>
      </c>
      <c r="I104" s="618">
        <f t="shared" ca="1" si="241"/>
        <v>0</v>
      </c>
      <c r="J104" s="618">
        <f t="shared" ca="1" si="241"/>
        <v>0</v>
      </c>
      <c r="K104" s="618">
        <f t="shared" ca="1" si="241"/>
        <v>0</v>
      </c>
      <c r="L104" s="618">
        <f t="shared" ca="1" si="241"/>
        <v>0</v>
      </c>
      <c r="M104" s="618">
        <f t="shared" ca="1" si="241"/>
        <v>0</v>
      </c>
      <c r="N104" s="618">
        <f t="shared" ca="1" si="241"/>
        <v>0</v>
      </c>
      <c r="O104" s="618">
        <f t="shared" ca="1" si="241"/>
        <v>0</v>
      </c>
      <c r="P104" s="618">
        <f t="shared" ca="1" si="241"/>
        <v>0</v>
      </c>
      <c r="Q104" s="618">
        <f ca="1">SUM(G104:P104)</f>
        <v>0</v>
      </c>
      <c r="S104" s="581">
        <f t="shared" ref="S104:AJ104" ca="1" si="242">SUM(S102:S103)</f>
        <v>0</v>
      </c>
      <c r="T104" s="581">
        <f t="shared" ca="1" si="242"/>
        <v>-87.574734038121079</v>
      </c>
      <c r="U104" s="3958">
        <f t="shared" ca="1" si="242"/>
        <v>0</v>
      </c>
      <c r="V104" s="581">
        <f t="shared" ca="1" si="242"/>
        <v>48.624578735681354</v>
      </c>
      <c r="W104" s="581">
        <f t="shared" ca="1" si="242"/>
        <v>73.905684637572634</v>
      </c>
      <c r="X104" s="581">
        <f t="shared" ca="1" si="242"/>
        <v>-0.2136046021465092</v>
      </c>
      <c r="Y104" s="581">
        <f t="shared" ca="1" si="242"/>
        <v>0</v>
      </c>
      <c r="Z104" s="581">
        <f t="shared" ca="1" si="242"/>
        <v>0</v>
      </c>
      <c r="AA104" s="581">
        <f t="shared" ca="1" si="242"/>
        <v>0</v>
      </c>
      <c r="AB104" s="581">
        <f t="shared" ca="1" si="242"/>
        <v>0</v>
      </c>
      <c r="AC104" s="581">
        <f t="shared" ca="1" si="242"/>
        <v>0</v>
      </c>
      <c r="AD104" s="581">
        <f t="shared" ca="1" si="242"/>
        <v>0</v>
      </c>
      <c r="AE104" s="581">
        <f ca="1">SUM(AE102:AE103)</f>
        <v>0</v>
      </c>
      <c r="AF104" s="581">
        <f t="shared" ca="1" si="242"/>
        <v>0</v>
      </c>
      <c r="AG104" s="581">
        <f t="shared" ca="1" si="242"/>
        <v>0</v>
      </c>
      <c r="AH104" s="581">
        <f ca="1">SUM(AH102:AH103)</f>
        <v>0</v>
      </c>
      <c r="AI104" s="581">
        <f t="shared" ca="1" si="242"/>
        <v>0</v>
      </c>
      <c r="AJ104" s="581">
        <f t="shared" ca="1" si="242"/>
        <v>0</v>
      </c>
      <c r="AK104" s="581">
        <f ca="1">SUM(S104:AJ104)</f>
        <v>34.741924732986398</v>
      </c>
      <c r="AM104" s="582">
        <f t="shared" ref="AM104:BE104" ca="1" si="243">SUM(AM102:AM103)</f>
        <v>0</v>
      </c>
      <c r="AN104" s="582">
        <f t="shared" ca="1" si="243"/>
        <v>0</v>
      </c>
      <c r="AO104" s="582">
        <f t="shared" ca="1" si="243"/>
        <v>0</v>
      </c>
      <c r="AP104" s="582">
        <f t="shared" ca="1" si="243"/>
        <v>0</v>
      </c>
      <c r="AQ104" s="582">
        <f t="shared" ca="1" si="243"/>
        <v>87.574734038121079</v>
      </c>
      <c r="AR104" s="582">
        <f t="shared" ca="1" si="243"/>
        <v>0</v>
      </c>
      <c r="AS104" s="582">
        <f t="shared" ca="1" si="243"/>
        <v>0.2136046021465092</v>
      </c>
      <c r="AT104" s="582">
        <f t="shared" ca="1" si="243"/>
        <v>-48.624578735681354</v>
      </c>
      <c r="AU104" s="582">
        <f t="shared" ca="1" si="243"/>
        <v>-75.014269907136224</v>
      </c>
      <c r="AV104" s="582">
        <f t="shared" ca="1" si="243"/>
        <v>0</v>
      </c>
      <c r="AW104" s="582">
        <f t="shared" ca="1" si="243"/>
        <v>0</v>
      </c>
      <c r="AX104" s="582">
        <f t="shared" ca="1" si="243"/>
        <v>0</v>
      </c>
      <c r="AY104" s="582">
        <f t="shared" ca="1" si="243"/>
        <v>0</v>
      </c>
      <c r="AZ104" s="582">
        <f t="shared" ca="1" si="243"/>
        <v>0</v>
      </c>
      <c r="BA104" s="582">
        <f t="shared" ca="1" si="243"/>
        <v>0</v>
      </c>
      <c r="BB104" s="582">
        <f t="shared" ca="1" si="243"/>
        <v>0</v>
      </c>
      <c r="BC104" s="582">
        <f t="shared" ca="1" si="243"/>
        <v>0</v>
      </c>
      <c r="BD104" s="582">
        <f t="shared" ca="1" si="243"/>
        <v>0</v>
      </c>
      <c r="BE104" s="582">
        <f t="shared" ca="1" si="243"/>
        <v>0</v>
      </c>
      <c r="BF104" s="582">
        <f ca="1">SUM(AM104:BE104)</f>
        <v>-35.850510002549996</v>
      </c>
      <c r="BH104" s="3463">
        <f ca="1">SUM(BH102:BH103)</f>
        <v>0</v>
      </c>
      <c r="BI104" s="3463">
        <f ca="1">SUM(BI102:BI103)</f>
        <v>1.1085852695635894</v>
      </c>
      <c r="BJ104" s="3463">
        <f ca="1">SUM(BH104:BI104)</f>
        <v>1.1085852695635894</v>
      </c>
      <c r="BL104" s="3477">
        <f t="shared" ca="1" si="236"/>
        <v>-8.4376949871511897E-15</v>
      </c>
      <c r="BM104" s="584"/>
      <c r="BN104" s="413"/>
      <c r="BO104" s="2790">
        <f t="shared" ref="BO104:DF104" ca="1" si="244">SUM(BO102:BO103)</f>
        <v>0</v>
      </c>
      <c r="BP104" s="2790">
        <f t="shared" ca="1" si="244"/>
        <v>0</v>
      </c>
      <c r="BQ104" s="2790">
        <f t="shared" ca="1" si="244"/>
        <v>0</v>
      </c>
      <c r="BR104" s="2790">
        <f t="shared" ca="1" si="244"/>
        <v>0</v>
      </c>
      <c r="BS104" s="2790">
        <f t="shared" ca="1" si="244"/>
        <v>0</v>
      </c>
      <c r="BT104" s="2790">
        <f t="shared" ca="1" si="244"/>
        <v>3.2231198277947314E-2</v>
      </c>
      <c r="BU104" s="2790">
        <f t="shared" ca="1" si="244"/>
        <v>0</v>
      </c>
      <c r="BV104" s="2790">
        <f t="shared" ca="1" si="244"/>
        <v>0</v>
      </c>
      <c r="BW104" s="2790">
        <f t="shared" ca="1" si="244"/>
        <v>0</v>
      </c>
      <c r="BX104" s="2790">
        <f t="shared" ca="1" si="244"/>
        <v>0</v>
      </c>
      <c r="BY104" s="2790">
        <f t="shared" ca="1" si="244"/>
        <v>0</v>
      </c>
      <c r="BZ104" s="2790">
        <f t="shared" ca="1" si="244"/>
        <v>0</v>
      </c>
      <c r="CA104" s="2790">
        <f t="shared" ca="1" si="244"/>
        <v>0</v>
      </c>
      <c r="CB104" s="2790">
        <f t="shared" ca="1" si="244"/>
        <v>0</v>
      </c>
      <c r="CC104" s="2790">
        <f t="shared" ca="1" si="244"/>
        <v>0</v>
      </c>
      <c r="CD104" s="2790">
        <f t="shared" ca="1" si="244"/>
        <v>0</v>
      </c>
      <c r="CE104" s="2790">
        <f t="shared" ca="1" si="244"/>
        <v>0</v>
      </c>
      <c r="CF104" s="2790">
        <f t="shared" ca="1" si="244"/>
        <v>0</v>
      </c>
      <c r="CG104" s="2790">
        <f t="shared" ca="1" si="244"/>
        <v>0</v>
      </c>
      <c r="CH104" s="2790">
        <f t="shared" ca="1" si="244"/>
        <v>0</v>
      </c>
      <c r="CI104" s="2790">
        <f t="shared" ca="1" si="244"/>
        <v>0</v>
      </c>
      <c r="CJ104" s="2790">
        <f t="shared" ca="1" si="244"/>
        <v>0</v>
      </c>
      <c r="CK104" s="2790">
        <f t="shared" ca="1" si="244"/>
        <v>0</v>
      </c>
      <c r="CL104" s="2790">
        <f t="shared" ca="1" si="244"/>
        <v>0</v>
      </c>
      <c r="CM104" s="2790">
        <f t="shared" ca="1" si="244"/>
        <v>0</v>
      </c>
      <c r="CN104" s="2790">
        <f t="shared" ca="1" si="244"/>
        <v>0</v>
      </c>
      <c r="CO104" s="2790">
        <f t="shared" ca="1" si="244"/>
        <v>0</v>
      </c>
      <c r="CP104" s="2790">
        <f t="shared" ca="1" si="244"/>
        <v>0</v>
      </c>
      <c r="CQ104" s="2790">
        <f t="shared" ca="1" si="244"/>
        <v>0</v>
      </c>
      <c r="CR104" s="2790">
        <f t="shared" ca="1" si="244"/>
        <v>0</v>
      </c>
      <c r="CS104" s="2790">
        <f t="shared" ca="1" si="244"/>
        <v>0</v>
      </c>
      <c r="CT104" s="2790">
        <f t="shared" ca="1" si="244"/>
        <v>0</v>
      </c>
      <c r="CU104" s="2790">
        <f t="shared" ca="1" si="244"/>
        <v>0</v>
      </c>
      <c r="CV104" s="2790">
        <f t="shared" ca="1" si="244"/>
        <v>0</v>
      </c>
      <c r="CW104" s="2790">
        <f t="shared" ca="1" si="244"/>
        <v>0</v>
      </c>
      <c r="CX104" s="2790">
        <f t="shared" ca="1" si="244"/>
        <v>0</v>
      </c>
      <c r="CY104" s="2790">
        <f t="shared" ca="1" si="244"/>
        <v>0</v>
      </c>
      <c r="CZ104" s="2790">
        <f t="shared" ca="1" si="244"/>
        <v>0</v>
      </c>
      <c r="DA104" s="2790">
        <f t="shared" ca="1" si="244"/>
        <v>0</v>
      </c>
      <c r="DB104" s="2790">
        <f t="shared" ca="1" si="244"/>
        <v>0</v>
      </c>
      <c r="DC104" s="2790">
        <f t="shared" ca="1" si="244"/>
        <v>0</v>
      </c>
      <c r="DD104" s="2790">
        <f t="shared" ca="1" si="244"/>
        <v>0</v>
      </c>
      <c r="DE104" s="2790">
        <f t="shared" ca="1" si="244"/>
        <v>0</v>
      </c>
      <c r="DF104" s="2790">
        <f t="shared" ca="1" si="244"/>
        <v>0</v>
      </c>
      <c r="DH104" s="596">
        <f t="shared" ca="1" si="218"/>
        <v>3.2231198277947314E-2</v>
      </c>
    </row>
    <row r="105" spans="1:112" s="6" customFormat="1">
      <c r="C105" s="518"/>
      <c r="D105" s="519"/>
      <c r="E105" s="519"/>
      <c r="G105" s="579"/>
      <c r="H105" s="579"/>
      <c r="I105" s="579"/>
      <c r="J105" s="579"/>
      <c r="K105" s="638"/>
      <c r="L105" s="579"/>
      <c r="M105" s="579"/>
      <c r="N105" s="579"/>
      <c r="O105" s="579"/>
      <c r="P105" s="579"/>
      <c r="Q105" s="579"/>
      <c r="S105" s="581"/>
      <c r="T105" s="581"/>
      <c r="U105" s="3958"/>
      <c r="V105" s="581"/>
      <c r="W105" s="581"/>
      <c r="X105" s="581"/>
      <c r="Y105" s="581"/>
      <c r="Z105" s="581"/>
      <c r="AA105" s="581"/>
      <c r="AB105" s="581"/>
      <c r="AC105" s="581"/>
      <c r="AD105" s="581"/>
      <c r="AE105" s="581"/>
      <c r="AF105" s="581"/>
      <c r="AG105" s="581"/>
      <c r="AH105" s="581"/>
      <c r="AI105" s="581"/>
      <c r="AJ105" s="581"/>
      <c r="AK105" s="581"/>
      <c r="AM105" s="582"/>
      <c r="AN105" s="582"/>
      <c r="AO105" s="582"/>
      <c r="AP105" s="582"/>
      <c r="AQ105" s="582"/>
      <c r="AR105" s="582"/>
      <c r="AS105" s="582"/>
      <c r="AT105" s="582"/>
      <c r="AU105" s="582"/>
      <c r="AV105" s="582"/>
      <c r="AW105" s="582"/>
      <c r="AX105" s="582"/>
      <c r="AY105" s="582"/>
      <c r="AZ105" s="582"/>
      <c r="BA105" s="582"/>
      <c r="BB105" s="582"/>
      <c r="BC105" s="582"/>
      <c r="BD105" s="582"/>
      <c r="BE105" s="582"/>
      <c r="BF105" s="582"/>
      <c r="BH105" s="3463"/>
      <c r="BI105" s="3463"/>
      <c r="BJ105" s="3463"/>
      <c r="BL105" s="3477">
        <f t="shared" si="236"/>
        <v>0</v>
      </c>
      <c r="BM105" s="584"/>
      <c r="BO105" s="2790"/>
      <c r="BP105" s="2790"/>
      <c r="BQ105" s="2790"/>
      <c r="BR105" s="2790"/>
      <c r="BS105" s="2790"/>
      <c r="BT105" s="2790"/>
      <c r="BU105" s="2790"/>
      <c r="BV105" s="2790"/>
      <c r="BW105" s="2790"/>
      <c r="BX105" s="2790"/>
      <c r="BY105" s="2790"/>
      <c r="BZ105" s="2790"/>
      <c r="CA105" s="2790"/>
      <c r="CB105" s="2790"/>
      <c r="CC105" s="2790"/>
      <c r="CD105" s="2790"/>
      <c r="CE105" s="2790"/>
      <c r="CF105" s="2790"/>
      <c r="CG105" s="2790"/>
      <c r="CH105" s="2790"/>
      <c r="CI105" s="2790"/>
      <c r="CJ105" s="2790"/>
      <c r="CK105" s="2790"/>
      <c r="CL105" s="2790"/>
      <c r="CM105" s="2790"/>
      <c r="CN105" s="2790"/>
      <c r="CO105" s="2790"/>
      <c r="CP105" s="2790"/>
      <c r="CQ105" s="2790"/>
      <c r="CR105" s="2790"/>
      <c r="CS105" s="2790"/>
      <c r="CT105" s="2790"/>
      <c r="CU105" s="2790"/>
      <c r="CV105" s="2790"/>
      <c r="CW105" s="2790"/>
      <c r="CX105" s="2790"/>
      <c r="CY105" s="2790"/>
      <c r="CZ105" s="2790"/>
      <c r="DA105" s="2790"/>
      <c r="DB105" s="2790"/>
      <c r="DC105" s="2790"/>
      <c r="DD105" s="2790"/>
      <c r="DE105" s="2790"/>
      <c r="DF105" s="2790"/>
      <c r="DH105" s="596"/>
    </row>
    <row r="106" spans="1:112" s="6" customFormat="1" ht="15.75">
      <c r="B106" s="3"/>
      <c r="C106" s="630" t="s">
        <v>590</v>
      </c>
      <c r="D106" s="631" t="s">
        <v>591</v>
      </c>
      <c r="E106" s="632"/>
      <c r="G106" s="680">
        <f t="shared" ref="G106:P106" ca="1" si="245">G$93+G$99+G$104</f>
        <v>0</v>
      </c>
      <c r="H106" s="680">
        <f t="shared" ca="1" si="245"/>
        <v>0</v>
      </c>
      <c r="I106" s="680">
        <f t="shared" ca="1" si="245"/>
        <v>0</v>
      </c>
      <c r="J106" s="680">
        <f t="shared" ca="1" si="245"/>
        <v>0</v>
      </c>
      <c r="K106" s="681">
        <f t="shared" ca="1" si="245"/>
        <v>0</v>
      </c>
      <c r="L106" s="680">
        <f t="shared" ca="1" si="245"/>
        <v>0</v>
      </c>
      <c r="M106" s="680">
        <f t="shared" ca="1" si="245"/>
        <v>0</v>
      </c>
      <c r="N106" s="680">
        <f t="shared" ca="1" si="245"/>
        <v>0</v>
      </c>
      <c r="O106" s="680">
        <f t="shared" ca="1" si="245"/>
        <v>0</v>
      </c>
      <c r="P106" s="680">
        <f t="shared" ca="1" si="245"/>
        <v>0</v>
      </c>
      <c r="Q106" s="633">
        <f ca="1">SUM(G106:P106)</f>
        <v>0</v>
      </c>
      <c r="S106" s="634">
        <f t="shared" ref="S106:AJ106" ca="1" si="246">S$93+S$99+S$104</f>
        <v>0</v>
      </c>
      <c r="T106" s="634">
        <f t="shared" ca="1" si="246"/>
        <v>-81.608045829939897</v>
      </c>
      <c r="U106" s="3959">
        <f t="shared" ca="1" si="246"/>
        <v>26.675755503624643</v>
      </c>
      <c r="V106" s="634">
        <f t="shared" ca="1" si="246"/>
        <v>56.959239737930005</v>
      </c>
      <c r="W106" s="634">
        <f ca="1">W$93+W$99+W$104</f>
        <v>97.729775249431782</v>
      </c>
      <c r="X106" s="634">
        <f t="shared" ca="1" si="246"/>
        <v>-0.2136046021465092</v>
      </c>
      <c r="Y106" s="634">
        <f t="shared" ca="1" si="246"/>
        <v>0</v>
      </c>
      <c r="Z106" s="634">
        <f t="shared" ca="1" si="246"/>
        <v>0</v>
      </c>
      <c r="AA106" s="634">
        <f t="shared" ca="1" si="246"/>
        <v>0</v>
      </c>
      <c r="AB106" s="634">
        <f t="shared" ca="1" si="246"/>
        <v>0</v>
      </c>
      <c r="AC106" s="634">
        <f t="shared" ca="1" si="246"/>
        <v>0</v>
      </c>
      <c r="AD106" s="634">
        <f t="shared" ca="1" si="246"/>
        <v>-85.98605217389283</v>
      </c>
      <c r="AE106" s="634">
        <f t="shared" ca="1" si="246"/>
        <v>-1.0590538045843265</v>
      </c>
      <c r="AF106" s="634">
        <f t="shared" ca="1" si="246"/>
        <v>-23.706484479667335</v>
      </c>
      <c r="AG106" s="634">
        <f t="shared" ca="1" si="246"/>
        <v>-27.862294761138976</v>
      </c>
      <c r="AH106" s="634">
        <f t="shared" ca="1" si="246"/>
        <v>-0.14114006489102265</v>
      </c>
      <c r="AI106" s="634">
        <f t="shared" ca="1" si="246"/>
        <v>0</v>
      </c>
      <c r="AJ106" s="634">
        <f t="shared" ca="1" si="246"/>
        <v>0</v>
      </c>
      <c r="AK106" s="634">
        <f ca="1">SUM(S106:AJ106)</f>
        <v>-39.211905225274464</v>
      </c>
      <c r="AM106" s="635">
        <f t="shared" ref="AM106:BE106" ca="1" si="247">AM$93+AM$99+AM$104</f>
        <v>0</v>
      </c>
      <c r="AN106" s="635">
        <f t="shared" ca="1" si="247"/>
        <v>0</v>
      </c>
      <c r="AO106" s="635">
        <f t="shared" ca="1" si="247"/>
        <v>0</v>
      </c>
      <c r="AP106" s="635">
        <f ca="1">AP$93+AP$99+AP$104</f>
        <v>69.532154317257508</v>
      </c>
      <c r="AQ106" s="635">
        <f t="shared" ca="1" si="247"/>
        <v>77.574734038121079</v>
      </c>
      <c r="AR106" s="635">
        <f t="shared" ca="1" si="247"/>
        <v>0</v>
      </c>
      <c r="AS106" s="635">
        <f t="shared" ca="1" si="247"/>
        <v>0.2136046021465092</v>
      </c>
      <c r="AT106" s="635">
        <f t="shared" ca="1" si="247"/>
        <v>-48.624578735681354</v>
      </c>
      <c r="AU106" s="635">
        <f t="shared" ca="1" si="247"/>
        <v>-75.014269907136224</v>
      </c>
      <c r="AV106" s="635">
        <f t="shared" ca="1" si="247"/>
        <v>0</v>
      </c>
      <c r="AW106" s="635">
        <f t="shared" ca="1" si="247"/>
        <v>0</v>
      </c>
      <c r="AX106" s="635">
        <f t="shared" ca="1" si="247"/>
        <v>0</v>
      </c>
      <c r="AY106" s="635">
        <f t="shared" ca="1" si="247"/>
        <v>0</v>
      </c>
      <c r="AZ106" s="635">
        <f t="shared" ca="1" si="247"/>
        <v>0</v>
      </c>
      <c r="BA106" s="635">
        <f t="shared" ca="1" si="247"/>
        <v>0</v>
      </c>
      <c r="BB106" s="635">
        <f t="shared" ca="1" si="247"/>
        <v>0</v>
      </c>
      <c r="BC106" s="635">
        <f t="shared" ca="1" si="247"/>
        <v>0</v>
      </c>
      <c r="BD106" s="635">
        <f t="shared" ca="1" si="247"/>
        <v>0</v>
      </c>
      <c r="BE106" s="635">
        <f t="shared" ca="1" si="247"/>
        <v>0</v>
      </c>
      <c r="BF106" s="635">
        <f ca="1">SUM(AM106:BE106)</f>
        <v>23.68164431470754</v>
      </c>
      <c r="BH106" s="3464">
        <f ca="1">BH$93+BH$99+BH$104</f>
        <v>10.388363849184515</v>
      </c>
      <c r="BI106" s="3464">
        <f ca="1">BI$93+BI$99+BI$104</f>
        <v>5.1418970613824158</v>
      </c>
      <c r="BJ106" s="3464">
        <f ca="1">SUM(BH106:BI106)</f>
        <v>15.53026091056693</v>
      </c>
      <c r="BL106" s="3478">
        <f t="shared" ca="1" si="236"/>
        <v>0</v>
      </c>
      <c r="BM106" s="636"/>
      <c r="BO106" s="2793">
        <f t="shared" ref="BO106:DE106" ca="1" si="248">BO$93+BO$99+BO$104</f>
        <v>0</v>
      </c>
      <c r="BP106" s="2793">
        <f t="shared" ca="1" si="248"/>
        <v>0</v>
      </c>
      <c r="BQ106" s="2793">
        <f t="shared" ca="1" si="248"/>
        <v>0</v>
      </c>
      <c r="BR106" s="2793">
        <f t="shared" ca="1" si="248"/>
        <v>0</v>
      </c>
      <c r="BS106" s="2793">
        <f t="shared" ca="1" si="248"/>
        <v>0</v>
      </c>
      <c r="BT106" s="2793">
        <f t="shared" ca="1" si="248"/>
        <v>3.2231198277947314E-2</v>
      </c>
      <c r="BU106" s="2793">
        <f t="shared" ca="1" si="248"/>
        <v>0</v>
      </c>
      <c r="BV106" s="2793">
        <f t="shared" ca="1" si="248"/>
        <v>0</v>
      </c>
      <c r="BW106" s="2793">
        <f t="shared" ca="1" si="248"/>
        <v>0</v>
      </c>
      <c r="BX106" s="2793">
        <f t="shared" ca="1" si="248"/>
        <v>0</v>
      </c>
      <c r="BY106" s="2793">
        <f t="shared" ca="1" si="248"/>
        <v>0</v>
      </c>
      <c r="BZ106" s="2793">
        <f t="shared" ca="1" si="248"/>
        <v>0</v>
      </c>
      <c r="CA106" s="2793">
        <f t="shared" ca="1" si="248"/>
        <v>0</v>
      </c>
      <c r="CB106" s="2793">
        <f t="shared" ca="1" si="248"/>
        <v>0</v>
      </c>
      <c r="CC106" s="2793">
        <f t="shared" ca="1" si="248"/>
        <v>0</v>
      </c>
      <c r="CD106" s="2793">
        <f t="shared" ca="1" si="248"/>
        <v>0</v>
      </c>
      <c r="CE106" s="2793">
        <f t="shared" ca="1" si="248"/>
        <v>0</v>
      </c>
      <c r="CF106" s="2793">
        <f t="shared" ca="1" si="248"/>
        <v>0</v>
      </c>
      <c r="CG106" s="2793">
        <f t="shared" ca="1" si="248"/>
        <v>0</v>
      </c>
      <c r="CH106" s="2793">
        <f t="shared" ca="1" si="248"/>
        <v>0</v>
      </c>
      <c r="CI106" s="2793">
        <f t="shared" ca="1" si="248"/>
        <v>0</v>
      </c>
      <c r="CJ106" s="2793">
        <f t="shared" ca="1" si="248"/>
        <v>0</v>
      </c>
      <c r="CK106" s="2793">
        <f t="shared" ca="1" si="248"/>
        <v>0</v>
      </c>
      <c r="CL106" s="2793">
        <f t="shared" ca="1" si="248"/>
        <v>0</v>
      </c>
      <c r="CM106" s="2793">
        <f t="shared" ca="1" si="248"/>
        <v>0</v>
      </c>
      <c r="CN106" s="2793">
        <f t="shared" ca="1" si="248"/>
        <v>0</v>
      </c>
      <c r="CO106" s="2793">
        <f t="shared" ca="1" si="248"/>
        <v>0</v>
      </c>
      <c r="CP106" s="2793">
        <f t="shared" ca="1" si="248"/>
        <v>0</v>
      </c>
      <c r="CQ106" s="2793">
        <f t="shared" ca="1" si="248"/>
        <v>0</v>
      </c>
      <c r="CR106" s="2793">
        <f t="shared" ca="1" si="248"/>
        <v>0</v>
      </c>
      <c r="CS106" s="2793">
        <f t="shared" ca="1" si="248"/>
        <v>0</v>
      </c>
      <c r="CT106" s="2793">
        <f t="shared" ca="1" si="248"/>
        <v>0</v>
      </c>
      <c r="CU106" s="2793">
        <f t="shared" ca="1" si="248"/>
        <v>0</v>
      </c>
      <c r="CV106" s="2793">
        <f t="shared" ca="1" si="248"/>
        <v>0</v>
      </c>
      <c r="CW106" s="2793">
        <f t="shared" ca="1" si="248"/>
        <v>0</v>
      </c>
      <c r="CX106" s="2793">
        <f t="shared" ca="1" si="248"/>
        <v>0</v>
      </c>
      <c r="CY106" s="2793">
        <f t="shared" ca="1" si="248"/>
        <v>-16.082979359188872</v>
      </c>
      <c r="CZ106" s="2793">
        <f t="shared" ca="1" si="248"/>
        <v>0</v>
      </c>
      <c r="DA106" s="2793">
        <f t="shared" ca="1" si="248"/>
        <v>0</v>
      </c>
      <c r="DB106" s="2793">
        <f t="shared" ca="1" si="248"/>
        <v>0</v>
      </c>
      <c r="DC106" s="2793">
        <f t="shared" ca="1" si="248"/>
        <v>0</v>
      </c>
      <c r="DD106" s="2793">
        <f t="shared" ca="1" si="248"/>
        <v>0</v>
      </c>
      <c r="DE106" s="2793">
        <f t="shared" ca="1" si="248"/>
        <v>0</v>
      </c>
      <c r="DF106" s="2793">
        <f ca="1">DF$93+DF$104</f>
        <v>0</v>
      </c>
      <c r="DH106" s="637">
        <f ca="1">SUM(BO106:DF106)</f>
        <v>-16.050748160910924</v>
      </c>
    </row>
    <row r="107" spans="1:112" s="6" customFormat="1">
      <c r="C107" s="518"/>
      <c r="D107" s="519"/>
      <c r="E107" s="519"/>
      <c r="G107" s="579"/>
      <c r="H107" s="579"/>
      <c r="I107" s="579"/>
      <c r="J107" s="579"/>
      <c r="K107" s="638"/>
      <c r="L107" s="579"/>
      <c r="M107" s="579"/>
      <c r="N107" s="579"/>
      <c r="O107" s="579"/>
      <c r="P107" s="579"/>
      <c r="Q107" s="579"/>
      <c r="S107" s="581"/>
      <c r="T107" s="581"/>
      <c r="U107" s="3958"/>
      <c r="V107" s="581"/>
      <c r="W107" s="581"/>
      <c r="X107" s="581"/>
      <c r="Y107" s="581"/>
      <c r="Z107" s="581"/>
      <c r="AA107" s="581"/>
      <c r="AB107" s="581"/>
      <c r="AC107" s="581"/>
      <c r="AD107" s="581"/>
      <c r="AE107" s="581"/>
      <c r="AF107" s="581"/>
      <c r="AG107" s="581"/>
      <c r="AH107" s="581"/>
      <c r="AI107" s="581"/>
      <c r="AJ107" s="581"/>
      <c r="AK107" s="581"/>
      <c r="AM107" s="582"/>
      <c r="AN107" s="582"/>
      <c r="AO107" s="582"/>
      <c r="AP107" s="582"/>
      <c r="AQ107" s="582"/>
      <c r="AR107" s="582"/>
      <c r="AS107" s="582"/>
      <c r="AT107" s="582"/>
      <c r="AU107" s="582"/>
      <c r="AV107" s="582"/>
      <c r="AW107" s="582"/>
      <c r="AX107" s="582"/>
      <c r="AY107" s="582"/>
      <c r="AZ107" s="582"/>
      <c r="BA107" s="582"/>
      <c r="BB107" s="582"/>
      <c r="BC107" s="582"/>
      <c r="BD107" s="582"/>
      <c r="BE107" s="582"/>
      <c r="BF107" s="582"/>
      <c r="BH107" s="3463"/>
      <c r="BI107" s="3463"/>
      <c r="BJ107" s="3463"/>
      <c r="BL107" s="3477">
        <f t="shared" si="236"/>
        <v>0</v>
      </c>
      <c r="BM107" s="584"/>
      <c r="BO107" s="2790"/>
      <c r="BP107" s="2790"/>
      <c r="BQ107" s="2790"/>
      <c r="BR107" s="2790"/>
      <c r="BS107" s="2790"/>
      <c r="BT107" s="2790"/>
      <c r="BU107" s="2790"/>
      <c r="BV107" s="2790"/>
      <c r="BW107" s="2790"/>
      <c r="BX107" s="2790"/>
      <c r="BY107" s="2790"/>
      <c r="BZ107" s="2790"/>
      <c r="CA107" s="2790"/>
      <c r="CB107" s="2790"/>
      <c r="CC107" s="2790"/>
      <c r="CD107" s="2790"/>
      <c r="CE107" s="2790"/>
      <c r="CF107" s="2790"/>
      <c r="CG107" s="2790"/>
      <c r="CH107" s="2790"/>
      <c r="CI107" s="2790"/>
      <c r="CJ107" s="2790"/>
      <c r="CK107" s="2790"/>
      <c r="CL107" s="2790"/>
      <c r="CM107" s="2790"/>
      <c r="CN107" s="2790"/>
      <c r="CO107" s="2790"/>
      <c r="CP107" s="2790"/>
      <c r="CQ107" s="2790"/>
      <c r="CR107" s="2790"/>
      <c r="CS107" s="2790"/>
      <c r="CT107" s="2790"/>
      <c r="CU107" s="2790"/>
      <c r="CV107" s="2790"/>
      <c r="CW107" s="2790"/>
      <c r="CX107" s="2790"/>
      <c r="CY107" s="2790"/>
      <c r="CZ107" s="2790"/>
      <c r="DA107" s="2790"/>
      <c r="DB107" s="2790"/>
      <c r="DC107" s="2790"/>
      <c r="DD107" s="2790"/>
      <c r="DE107" s="2790"/>
      <c r="DF107" s="2790"/>
      <c r="DH107" s="596"/>
    </row>
    <row r="108" spans="1:112" s="6" customFormat="1" ht="15.75" thickBot="1">
      <c r="C108" s="518"/>
      <c r="D108" s="519"/>
      <c r="E108" s="519"/>
      <c r="G108" s="579"/>
      <c r="H108" s="579"/>
      <c r="I108" s="579"/>
      <c r="J108" s="579"/>
      <c r="K108" s="638"/>
      <c r="L108" s="579"/>
      <c r="M108" s="579"/>
      <c r="N108" s="579"/>
      <c r="O108" s="579"/>
      <c r="P108" s="579"/>
      <c r="Q108" s="579"/>
      <c r="S108" s="581"/>
      <c r="T108" s="581"/>
      <c r="U108" s="3958"/>
      <c r="V108" s="581"/>
      <c r="W108" s="581"/>
      <c r="X108" s="581"/>
      <c r="Y108" s="581"/>
      <c r="Z108" s="581"/>
      <c r="AA108" s="581"/>
      <c r="AB108" s="581"/>
      <c r="AC108" s="581"/>
      <c r="AD108" s="581"/>
      <c r="AE108" s="581"/>
      <c r="AF108" s="581"/>
      <c r="AG108" s="581"/>
      <c r="AH108" s="581"/>
      <c r="AI108" s="581"/>
      <c r="AJ108" s="581"/>
      <c r="AK108" s="581"/>
      <c r="AM108" s="582"/>
      <c r="AN108" s="582"/>
      <c r="AO108" s="582"/>
      <c r="AP108" s="582"/>
      <c r="AQ108" s="582"/>
      <c r="AR108" s="582"/>
      <c r="AS108" s="582"/>
      <c r="AT108" s="582"/>
      <c r="AU108" s="582"/>
      <c r="AV108" s="582"/>
      <c r="AW108" s="582"/>
      <c r="AX108" s="582"/>
      <c r="AY108" s="582"/>
      <c r="AZ108" s="582"/>
      <c r="BA108" s="582"/>
      <c r="BB108" s="582"/>
      <c r="BC108" s="582"/>
      <c r="BD108" s="582"/>
      <c r="BE108" s="582"/>
      <c r="BF108" s="582"/>
      <c r="BH108" s="3463"/>
      <c r="BI108" s="3463"/>
      <c r="BJ108" s="3463"/>
      <c r="BL108" s="3477">
        <f t="shared" si="236"/>
        <v>0</v>
      </c>
      <c r="BM108" s="584"/>
      <c r="BO108" s="2790"/>
      <c r="BP108" s="2790"/>
      <c r="BQ108" s="2790"/>
      <c r="BR108" s="2790"/>
      <c r="BS108" s="2790"/>
      <c r="BT108" s="2790"/>
      <c r="BU108" s="2790"/>
      <c r="BV108" s="2790"/>
      <c r="BW108" s="2790"/>
      <c r="BX108" s="2790"/>
      <c r="BY108" s="2790"/>
      <c r="BZ108" s="2790"/>
      <c r="CA108" s="2790"/>
      <c r="CB108" s="2790"/>
      <c r="CC108" s="2790"/>
      <c r="CD108" s="2790"/>
      <c r="CE108" s="2790"/>
      <c r="CF108" s="2790"/>
      <c r="CG108" s="2790"/>
      <c r="CH108" s="2790"/>
      <c r="CI108" s="2790"/>
      <c r="CJ108" s="2790"/>
      <c r="CK108" s="2790"/>
      <c r="CL108" s="2790"/>
      <c r="CM108" s="2790"/>
      <c r="CN108" s="2790"/>
      <c r="CO108" s="2790"/>
      <c r="CP108" s="2790"/>
      <c r="CQ108" s="2790"/>
      <c r="CR108" s="2790"/>
      <c r="CS108" s="2790"/>
      <c r="CT108" s="2790"/>
      <c r="CU108" s="2790"/>
      <c r="CV108" s="2790"/>
      <c r="CW108" s="2790"/>
      <c r="CX108" s="2790"/>
      <c r="CY108" s="2790"/>
      <c r="CZ108" s="2790"/>
      <c r="DA108" s="2790"/>
      <c r="DB108" s="2790"/>
      <c r="DC108" s="2790"/>
      <c r="DD108" s="2790"/>
      <c r="DE108" s="2790"/>
      <c r="DF108" s="2790"/>
      <c r="DH108" s="596"/>
    </row>
    <row r="109" spans="1:112" s="6" customFormat="1" ht="16.5" thickBot="1">
      <c r="C109" s="713" t="s">
        <v>592</v>
      </c>
      <c r="D109" s="713"/>
      <c r="E109" s="713"/>
      <c r="G109" s="714">
        <f t="shared" ref="G109:P109" ca="1" si="249">G$40+G$84+G$106</f>
        <v>42.9684946640851</v>
      </c>
      <c r="H109" s="714">
        <f t="shared" ca="1" si="249"/>
        <v>12.034872571628442</v>
      </c>
      <c r="I109" s="714">
        <f t="shared" ca="1" si="249"/>
        <v>36.076262680025728</v>
      </c>
      <c r="J109" s="714">
        <f t="shared" ca="1" si="249"/>
        <v>32.690001720662984</v>
      </c>
      <c r="K109" s="714">
        <f t="shared" ca="1" si="249"/>
        <v>0.32657111326878496</v>
      </c>
      <c r="L109" s="714">
        <f t="shared" ca="1" si="249"/>
        <v>2.4811333961622644E-2</v>
      </c>
      <c r="M109" s="714">
        <f t="shared" ca="1" si="249"/>
        <v>0.66</v>
      </c>
      <c r="N109" s="714">
        <f t="shared" ca="1" si="249"/>
        <v>11.923331449069897</v>
      </c>
      <c r="O109" s="714">
        <f t="shared" ca="1" si="249"/>
        <v>0</v>
      </c>
      <c r="P109" s="714">
        <f t="shared" ca="1" si="249"/>
        <v>0</v>
      </c>
      <c r="Q109" s="714">
        <f ca="1">SUM(G109:P109)</f>
        <v>136.70434553270258</v>
      </c>
      <c r="S109" s="715">
        <f t="shared" ref="S109:AJ109" ca="1" si="250">S$40+S$84+S$106</f>
        <v>-28.534423087242338</v>
      </c>
      <c r="T109" s="715">
        <f t="shared" ca="1" si="250"/>
        <v>28.534423087242345</v>
      </c>
      <c r="U109" s="3987">
        <f t="shared" ca="1" si="250"/>
        <v>0</v>
      </c>
      <c r="V109" s="715">
        <f t="shared" ca="1" si="250"/>
        <v>0</v>
      </c>
      <c r="W109" s="715">
        <f t="shared" ca="1" si="250"/>
        <v>0</v>
      </c>
      <c r="X109" s="715">
        <f t="shared" ca="1" si="250"/>
        <v>0</v>
      </c>
      <c r="Y109" s="715">
        <f t="shared" ca="1" si="250"/>
        <v>0</v>
      </c>
      <c r="Z109" s="715">
        <f t="shared" ca="1" si="250"/>
        <v>0</v>
      </c>
      <c r="AA109" s="715">
        <f t="shared" ca="1" si="250"/>
        <v>0</v>
      </c>
      <c r="AB109" s="715">
        <f t="shared" ca="1" si="250"/>
        <v>0</v>
      </c>
      <c r="AC109" s="715">
        <f t="shared" ca="1" si="250"/>
        <v>0</v>
      </c>
      <c r="AD109" s="715">
        <f t="shared" ca="1" si="250"/>
        <v>0</v>
      </c>
      <c r="AE109" s="715">
        <f t="shared" ca="1" si="250"/>
        <v>0</v>
      </c>
      <c r="AF109" s="715">
        <f t="shared" ca="1" si="250"/>
        <v>0</v>
      </c>
      <c r="AG109" s="715">
        <f t="shared" ca="1" si="250"/>
        <v>0</v>
      </c>
      <c r="AH109" s="715">
        <f t="shared" ca="1" si="250"/>
        <v>0</v>
      </c>
      <c r="AI109" s="715">
        <f t="shared" ca="1" si="250"/>
        <v>0</v>
      </c>
      <c r="AJ109" s="715">
        <f t="shared" ca="1" si="250"/>
        <v>0</v>
      </c>
      <c r="AK109" s="715">
        <f ca="1">SUM(S109:AJ109)</f>
        <v>7.1054273576010019E-15</v>
      </c>
      <c r="AM109" s="716">
        <f t="shared" ref="AM109:BE109" ca="1" si="251">AM$40+AM$84+AM$106</f>
        <v>0</v>
      </c>
      <c r="AN109" s="716">
        <f t="shared" ca="1" si="251"/>
        <v>0</v>
      </c>
      <c r="AO109" s="716">
        <f t="shared" ca="1" si="251"/>
        <v>0</v>
      </c>
      <c r="AP109" s="716">
        <f t="shared" ca="1" si="251"/>
        <v>69.532154317257508</v>
      </c>
      <c r="AQ109" s="716">
        <f t="shared" ca="1" si="251"/>
        <v>77.574734038121079</v>
      </c>
      <c r="AR109" s="716">
        <f t="shared" ca="1" si="251"/>
        <v>0</v>
      </c>
      <c r="AS109" s="716">
        <f t="shared" ca="1" si="251"/>
        <v>0.2136046021465092</v>
      </c>
      <c r="AT109" s="716">
        <f t="shared" ca="1" si="251"/>
        <v>-48.624578735681354</v>
      </c>
      <c r="AU109" s="716">
        <f t="shared" ca="1" si="251"/>
        <v>-75.014269907136224</v>
      </c>
      <c r="AV109" s="716">
        <f t="shared" ca="1" si="251"/>
        <v>-21.428000000000004</v>
      </c>
      <c r="AW109" s="716">
        <f t="shared" ca="1" si="251"/>
        <v>-8.4425533229244625</v>
      </c>
      <c r="AX109" s="716">
        <f t="shared" ca="1" si="251"/>
        <v>-45.741426300000008</v>
      </c>
      <c r="AY109" s="716">
        <f t="shared" ca="1" si="251"/>
        <v>-2.5246080000000011</v>
      </c>
      <c r="AZ109" s="716">
        <f t="shared" ca="1" si="251"/>
        <v>-6.2484048000000012</v>
      </c>
      <c r="BA109" s="716">
        <f t="shared" ca="1" si="251"/>
        <v>0</v>
      </c>
      <c r="BB109" s="716">
        <f t="shared" ca="1" si="251"/>
        <v>-0.78946596000000002</v>
      </c>
      <c r="BC109" s="716">
        <f t="shared" ca="1" si="251"/>
        <v>0</v>
      </c>
      <c r="BD109" s="716">
        <f t="shared" ca="1" si="251"/>
        <v>-103.3784393118105</v>
      </c>
      <c r="BE109" s="716">
        <f t="shared" ca="1" si="251"/>
        <v>-35.590190574510501</v>
      </c>
      <c r="BF109" s="716">
        <f ca="1">SUM(AM109:BE109)</f>
        <v>-200.46144395453794</v>
      </c>
      <c r="BH109" s="3469">
        <f ca="1">BH$40+BH$84+BH$106</f>
        <v>52.887400089067356</v>
      </c>
      <c r="BI109" s="3469">
        <f ca="1">BI$40+BI$84+BI$106</f>
        <v>10.869698332768031</v>
      </c>
      <c r="BJ109" s="3469">
        <f ca="1">SUM(BH109:BI109)</f>
        <v>63.757098421835387</v>
      </c>
      <c r="BL109" s="3479">
        <f t="shared" ca="1" si="236"/>
        <v>0</v>
      </c>
      <c r="BM109" s="577"/>
      <c r="BO109" s="2798">
        <f t="shared" ref="BO109:DF109" ca="1" si="252">BO$40+BO$84+BO$106</f>
        <v>41.280990594647307</v>
      </c>
      <c r="BP109" s="2798">
        <f t="shared" ca="1" si="252"/>
        <v>1.9134331986310333E-2</v>
      </c>
      <c r="BQ109" s="2798">
        <f t="shared" ca="1" si="252"/>
        <v>0.36260050047541859</v>
      </c>
      <c r="BR109" s="2798">
        <f t="shared" ca="1" si="252"/>
        <v>0</v>
      </c>
      <c r="BS109" s="2798">
        <f t="shared" ca="1" si="252"/>
        <v>0</v>
      </c>
      <c r="BT109" s="2798">
        <f t="shared" ca="1" si="252"/>
        <v>3.2231198277947314E-2</v>
      </c>
      <c r="BU109" s="2798">
        <f t="shared" ca="1" si="252"/>
        <v>0</v>
      </c>
      <c r="BV109" s="2798">
        <f t="shared" ca="1" si="252"/>
        <v>0</v>
      </c>
      <c r="BW109" s="2798">
        <f t="shared" ca="1" si="252"/>
        <v>0.54473537740733713</v>
      </c>
      <c r="BX109" s="2798">
        <f t="shared" ca="1" si="252"/>
        <v>0</v>
      </c>
      <c r="BY109" s="2798">
        <f t="shared" ca="1" si="252"/>
        <v>0</v>
      </c>
      <c r="BZ109" s="2798">
        <f t="shared" ca="1" si="252"/>
        <v>0.55433060517700083</v>
      </c>
      <c r="CA109" s="2798">
        <f t="shared" ca="1" si="252"/>
        <v>0</v>
      </c>
      <c r="CB109" s="2798">
        <f t="shared" ca="1" si="252"/>
        <v>0</v>
      </c>
      <c r="CC109" s="2798">
        <f t="shared" ca="1" si="252"/>
        <v>0</v>
      </c>
      <c r="CD109" s="2798">
        <f t="shared" ca="1" si="252"/>
        <v>0</v>
      </c>
      <c r="CE109" s="2798">
        <f t="shared" ca="1" si="252"/>
        <v>0</v>
      </c>
      <c r="CF109" s="2798">
        <f t="shared" ca="1" si="252"/>
        <v>7.1414162706700708</v>
      </c>
      <c r="CG109" s="2798">
        <f t="shared" ca="1" si="252"/>
        <v>5.8724792396030061</v>
      </c>
      <c r="CH109" s="2798">
        <f t="shared" ca="1" si="252"/>
        <v>0</v>
      </c>
      <c r="CI109" s="2798">
        <f t="shared" ca="1" si="252"/>
        <v>-4.4813243548418651</v>
      </c>
      <c r="CJ109" s="2798">
        <f t="shared" ca="1" si="252"/>
        <v>0</v>
      </c>
      <c r="CK109" s="2798">
        <f t="shared" ca="1" si="252"/>
        <v>0</v>
      </c>
      <c r="CL109" s="2798">
        <f t="shared" ca="1" si="252"/>
        <v>0</v>
      </c>
      <c r="CM109" s="2798">
        <f t="shared" ca="1" si="252"/>
        <v>0</v>
      </c>
      <c r="CN109" s="2798">
        <f t="shared" ca="1" si="252"/>
        <v>0.29949032499492428</v>
      </c>
      <c r="CO109" s="2798">
        <f t="shared" ca="1" si="252"/>
        <v>6.3714299999999988E-2</v>
      </c>
      <c r="CP109" s="2798">
        <f t="shared" ca="1" si="252"/>
        <v>0</v>
      </c>
      <c r="CQ109" s="2798">
        <f t="shared" ca="1" si="252"/>
        <v>0</v>
      </c>
      <c r="CR109" s="2798">
        <f t="shared" ca="1" si="252"/>
        <v>0</v>
      </c>
      <c r="CS109" s="2798">
        <f t="shared" ca="1" si="252"/>
        <v>0</v>
      </c>
      <c r="CT109" s="2798">
        <f t="shared" ca="1" si="252"/>
        <v>0</v>
      </c>
      <c r="CU109" s="2798">
        <f t="shared" ca="1" si="252"/>
        <v>3.146328702780564</v>
      </c>
      <c r="CV109" s="2798">
        <f t="shared" ca="1" si="252"/>
        <v>2.7042115726490529E-3</v>
      </c>
      <c r="CW109" s="2798">
        <f t="shared" ca="1" si="252"/>
        <v>7.9838627382972024E-3</v>
      </c>
      <c r="CX109" s="2798">
        <f t="shared" ca="1" si="252"/>
        <v>0</v>
      </c>
      <c r="CY109" s="2798">
        <f t="shared" ca="1" si="252"/>
        <v>-16.082979359188872</v>
      </c>
      <c r="CZ109" s="2798">
        <f t="shared" ca="1" si="252"/>
        <v>0</v>
      </c>
      <c r="DA109" s="2798">
        <f t="shared" ca="1" si="252"/>
        <v>0</v>
      </c>
      <c r="DB109" s="2798">
        <f t="shared" ca="1" si="252"/>
        <v>0</v>
      </c>
      <c r="DC109" s="2798">
        <f t="shared" ca="1" si="252"/>
        <v>-7.3923140307046147</v>
      </c>
      <c r="DD109" s="2798">
        <f t="shared" ca="1" si="252"/>
        <v>0</v>
      </c>
      <c r="DE109" s="2798">
        <f t="shared" ca="1" si="252"/>
        <v>0</v>
      </c>
      <c r="DF109" s="2798">
        <f t="shared" ca="1" si="252"/>
        <v>0</v>
      </c>
      <c r="DH109" s="637">
        <f ca="1">SUM(BO109:DF109)</f>
        <v>31.371521775595479</v>
      </c>
    </row>
    <row r="110" spans="1:112" s="6" customFormat="1">
      <c r="C110" s="518"/>
      <c r="D110" s="519"/>
      <c r="E110" s="519"/>
      <c r="G110" s="717"/>
      <c r="H110" s="717"/>
      <c r="I110" s="717"/>
      <c r="J110" s="717"/>
      <c r="K110" s="718"/>
      <c r="L110" s="717"/>
      <c r="M110" s="717"/>
      <c r="N110" s="717"/>
      <c r="O110" s="717"/>
      <c r="P110" s="717"/>
      <c r="Q110" s="717"/>
      <c r="S110" s="719"/>
      <c r="T110" s="719"/>
      <c r="U110" s="719"/>
      <c r="V110" s="719"/>
      <c r="W110" s="719"/>
      <c r="X110" s="719"/>
      <c r="Y110" s="719"/>
      <c r="Z110" s="719"/>
      <c r="AA110" s="719"/>
      <c r="AB110" s="719"/>
      <c r="AC110" s="719"/>
      <c r="AD110" s="719"/>
      <c r="AE110" s="719"/>
      <c r="AF110" s="719"/>
      <c r="AG110" s="719"/>
      <c r="AH110" s="719"/>
      <c r="AI110" s="719"/>
      <c r="AJ110" s="719"/>
      <c r="AK110" s="719"/>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H110" s="3470"/>
      <c r="BI110" s="3470"/>
      <c r="BJ110" s="3470"/>
      <c r="BL110" s="584"/>
      <c r="BM110" s="584"/>
      <c r="BO110" s="721"/>
      <c r="BP110" s="721"/>
      <c r="BQ110" s="721"/>
      <c r="BR110" s="721"/>
      <c r="BS110" s="721"/>
      <c r="BT110" s="721"/>
      <c r="BU110" s="721"/>
      <c r="BV110" s="721"/>
      <c r="BW110" s="721"/>
      <c r="BX110" s="721"/>
      <c r="BY110" s="721"/>
      <c r="BZ110" s="721"/>
      <c r="CA110" s="721"/>
      <c r="CB110" s="721"/>
      <c r="CC110" s="721"/>
      <c r="CD110" s="721"/>
      <c r="CE110" s="721"/>
      <c r="CF110" s="721"/>
      <c r="CG110" s="721"/>
      <c r="CH110" s="721"/>
      <c r="CI110" s="721"/>
      <c r="CJ110" s="721"/>
      <c r="CK110" s="721"/>
      <c r="CL110" s="721"/>
      <c r="CM110" s="721"/>
      <c r="CN110" s="721"/>
      <c r="CO110" s="721"/>
      <c r="CP110" s="721"/>
      <c r="CQ110" s="721"/>
      <c r="CR110" s="721"/>
      <c r="CS110" s="721"/>
      <c r="CT110" s="721"/>
      <c r="CU110" s="721"/>
      <c r="CV110" s="721"/>
      <c r="CW110" s="721"/>
      <c r="CX110" s="721"/>
      <c r="CY110" s="721"/>
      <c r="CZ110" s="721"/>
      <c r="DA110" s="721"/>
      <c r="DB110" s="721"/>
      <c r="DC110" s="721"/>
      <c r="DD110" s="721"/>
      <c r="DE110" s="721"/>
      <c r="DF110" s="721"/>
    </row>
    <row r="111" spans="1:112">
      <c r="G111" s="584"/>
      <c r="H111" s="584"/>
      <c r="I111" s="584"/>
      <c r="J111" s="584"/>
      <c r="K111" s="722"/>
      <c r="L111" s="584"/>
      <c r="M111" s="584"/>
      <c r="N111" s="584"/>
      <c r="O111" s="584"/>
      <c r="P111" s="584"/>
      <c r="Q111" s="584"/>
      <c r="S111" s="584"/>
      <c r="T111" s="584"/>
      <c r="U111" s="584" t="s">
        <v>5</v>
      </c>
      <c r="V111" s="584"/>
      <c r="W111" s="584"/>
      <c r="X111" s="584"/>
      <c r="Y111" s="584"/>
      <c r="Z111" s="584"/>
      <c r="AA111" s="584"/>
      <c r="AB111" s="584"/>
      <c r="AC111" s="584"/>
      <c r="AD111" s="584"/>
      <c r="AE111" s="584"/>
      <c r="AF111" s="584"/>
      <c r="AG111" s="584"/>
      <c r="AH111" s="584"/>
      <c r="AI111" s="584"/>
      <c r="AJ111" s="584"/>
      <c r="AK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H111" s="584"/>
      <c r="BI111" s="584"/>
      <c r="BJ111" s="584"/>
      <c r="BL111" s="584"/>
      <c r="BM111" s="584"/>
      <c r="BO111" s="3482"/>
      <c r="BP111" s="3482"/>
      <c r="BQ111" s="3482"/>
      <c r="BR111" s="3482"/>
      <c r="BS111" s="3482"/>
      <c r="BT111" s="3482"/>
      <c r="BU111" s="3482"/>
      <c r="BV111" s="3482"/>
      <c r="BW111" s="3482"/>
      <c r="BX111" s="3482"/>
      <c r="BY111" s="3482"/>
      <c r="BZ111" s="3482"/>
      <c r="CA111" s="3482"/>
      <c r="CB111" s="3482"/>
      <c r="CC111" s="3482"/>
      <c r="CD111" s="3482"/>
      <c r="CE111" s="3482"/>
      <c r="CF111" s="3482"/>
      <c r="CG111" s="3482"/>
      <c r="CH111" s="3482"/>
      <c r="CI111" s="3482"/>
      <c r="CJ111" s="3482"/>
      <c r="CK111" s="3482"/>
      <c r="CL111" s="3482"/>
      <c r="CM111" s="3482"/>
      <c r="CN111" s="3482"/>
      <c r="CO111" s="3482"/>
      <c r="CP111" s="3482"/>
      <c r="CQ111" s="3482"/>
      <c r="CR111" s="3482"/>
      <c r="CS111" s="3482"/>
      <c r="CT111" s="3482"/>
      <c r="CU111" s="3482"/>
      <c r="CV111" s="3482"/>
      <c r="CW111" s="3482"/>
      <c r="CX111" s="3482"/>
      <c r="CY111" s="3482"/>
      <c r="CZ111" s="3482"/>
      <c r="DA111" s="3482"/>
      <c r="DB111" s="3482"/>
      <c r="DC111" s="3482"/>
      <c r="DD111" s="3482"/>
      <c r="DE111" s="3482"/>
      <c r="DF111" s="3482"/>
      <c r="DG111" s="3482"/>
      <c r="DH111" s="3482"/>
    </row>
    <row r="112" spans="1:112">
      <c r="G112" s="584"/>
      <c r="H112" s="584"/>
      <c r="I112" s="584"/>
      <c r="J112" s="584"/>
      <c r="K112" s="722"/>
      <c r="L112" s="584"/>
      <c r="M112" s="584"/>
      <c r="N112" s="584"/>
      <c r="O112" s="584"/>
      <c r="P112" s="584"/>
      <c r="Q112" s="584"/>
      <c r="S112" s="584"/>
      <c r="T112" s="584"/>
      <c r="U112" s="584"/>
      <c r="V112" s="584"/>
      <c r="W112" s="584"/>
      <c r="X112" s="584"/>
      <c r="Y112" s="584"/>
      <c r="Z112" s="584"/>
      <c r="AA112" s="584"/>
      <c r="AB112" s="584"/>
      <c r="AC112" s="584"/>
      <c r="AD112" s="584"/>
      <c r="AE112" s="584"/>
      <c r="AF112" s="584"/>
      <c r="AG112" s="584"/>
      <c r="AH112" s="584"/>
      <c r="AI112" s="584"/>
      <c r="AJ112" s="584"/>
      <c r="AK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H112" s="584"/>
      <c r="BI112" s="584"/>
      <c r="BJ112" s="584"/>
      <c r="BL112" s="584"/>
      <c r="BM112" s="584"/>
      <c r="BO112" s="3482"/>
      <c r="BP112" s="3482"/>
      <c r="BQ112" s="3482"/>
      <c r="BR112" s="3482"/>
      <c r="BS112" s="3482"/>
      <c r="BT112" s="3482"/>
      <c r="BU112" s="3482"/>
      <c r="BV112" s="3482"/>
      <c r="BW112" s="3482"/>
      <c r="BX112" s="3482"/>
      <c r="BY112" s="3482"/>
      <c r="BZ112" s="3482"/>
      <c r="CA112" s="3482"/>
      <c r="CB112" s="3482"/>
      <c r="CC112" s="3482"/>
      <c r="CD112" s="3482"/>
      <c r="CE112" s="3482"/>
      <c r="CF112" s="3482"/>
      <c r="CG112" s="3482"/>
      <c r="CH112" s="3482"/>
      <c r="CI112" s="3482"/>
      <c r="CJ112" s="3482"/>
      <c r="CK112" s="3482"/>
      <c r="CL112" s="3482"/>
      <c r="CM112" s="3482"/>
      <c r="CN112" s="3482"/>
      <c r="CO112" s="3482"/>
      <c r="CP112" s="3482"/>
      <c r="CQ112" s="3482"/>
      <c r="CR112" s="3482"/>
      <c r="CS112" s="3482"/>
      <c r="CT112" s="3482"/>
      <c r="CU112" s="3482"/>
      <c r="CV112" s="3482"/>
      <c r="CW112" s="3482"/>
      <c r="CX112" s="3482"/>
      <c r="CY112" s="3482"/>
      <c r="CZ112" s="3482"/>
      <c r="DA112" s="3482"/>
      <c r="DB112" s="3482"/>
      <c r="DC112" s="3482"/>
      <c r="DD112" s="3482"/>
      <c r="DE112" s="3482"/>
      <c r="DF112" s="382" t="s">
        <v>593</v>
      </c>
      <c r="DG112" s="3482"/>
      <c r="DH112" s="723">
        <f ca="1">SUM(DH63,DH68,DH76,DH82)</f>
        <v>9.0172444022172762</v>
      </c>
    </row>
    <row r="113" spans="2:112">
      <c r="B113" t="s">
        <v>585</v>
      </c>
      <c r="C113" s="724" t="s">
        <v>594</v>
      </c>
      <c r="G113" s="584"/>
      <c r="H113" s="584"/>
      <c r="I113" s="584"/>
      <c r="J113" s="584"/>
      <c r="K113" s="722"/>
      <c r="L113" s="584"/>
      <c r="M113" s="584"/>
      <c r="N113" s="584"/>
      <c r="O113" s="584"/>
      <c r="P113" s="584"/>
      <c r="Q113" s="584"/>
      <c r="S113" s="584"/>
      <c r="T113" s="584"/>
      <c r="U113" s="584"/>
      <c r="V113" s="584"/>
      <c r="W113" s="584"/>
      <c r="X113" s="584"/>
      <c r="Y113" s="584"/>
      <c r="Z113" s="584"/>
      <c r="AA113" s="584"/>
      <c r="AB113" s="584"/>
      <c r="AC113" s="584"/>
      <c r="AD113" s="584"/>
      <c r="AE113" s="584"/>
      <c r="AF113" s="584"/>
      <c r="AG113" s="584"/>
      <c r="AH113" s="584"/>
      <c r="AI113" s="584"/>
      <c r="AJ113" s="584"/>
      <c r="AK113" s="584"/>
      <c r="AM113" s="584"/>
      <c r="AN113" s="584"/>
      <c r="AO113" s="584"/>
      <c r="AP113" s="584"/>
      <c r="AQ113" s="584"/>
      <c r="AR113" s="584"/>
      <c r="AS113" s="584"/>
      <c r="AT113" s="584"/>
      <c r="AU113" s="584"/>
      <c r="AV113" s="584"/>
      <c r="AW113" s="584"/>
      <c r="AX113" s="584"/>
      <c r="AY113" s="584"/>
      <c r="AZ113" s="584"/>
      <c r="BA113" s="584"/>
      <c r="BB113" s="584"/>
      <c r="BC113" s="584"/>
      <c r="BD113" s="584"/>
      <c r="BE113" s="584"/>
      <c r="BF113" s="584"/>
      <c r="BH113" s="584"/>
      <c r="BI113" s="584"/>
      <c r="BJ113" s="584"/>
      <c r="BL113" s="584"/>
      <c r="BM113" s="584"/>
      <c r="BO113" s="3482"/>
      <c r="BP113" s="3482"/>
      <c r="BQ113" s="3482"/>
      <c r="BR113" s="3482"/>
      <c r="BS113" s="3482"/>
      <c r="BT113" s="3482"/>
      <c r="BU113" s="3482"/>
      <c r="BV113" s="3482"/>
      <c r="BW113" s="3482"/>
      <c r="BX113" s="3482"/>
      <c r="BY113" s="3482"/>
      <c r="BZ113" s="3482"/>
      <c r="CA113" s="3482"/>
      <c r="CB113" s="3482"/>
      <c r="CC113" s="3482"/>
      <c r="CD113" s="3482"/>
      <c r="CE113" s="3482"/>
      <c r="CF113" s="3482"/>
      <c r="CG113" s="3482"/>
      <c r="CH113" s="3482"/>
      <c r="CI113" s="3482"/>
      <c r="CJ113" s="3482"/>
      <c r="CK113" s="3482"/>
      <c r="CL113" s="3482"/>
      <c r="CM113" s="3482"/>
      <c r="CN113" s="3482"/>
      <c r="CO113" s="3482"/>
      <c r="CP113" s="3482"/>
      <c r="CQ113" s="3482"/>
      <c r="CR113" s="3482"/>
      <c r="CS113" s="3482"/>
      <c r="CT113" s="3482"/>
      <c r="CU113" s="3482"/>
      <c r="CV113" s="3482"/>
      <c r="CW113" s="3482"/>
      <c r="CX113" s="3482"/>
      <c r="CY113" s="3482"/>
      <c r="CZ113" s="3482"/>
      <c r="DA113" s="3482"/>
      <c r="DB113" s="3482"/>
      <c r="DC113" s="3482"/>
      <c r="DD113" s="3482"/>
      <c r="DE113" s="3482"/>
      <c r="DF113" s="382" t="s">
        <v>595</v>
      </c>
      <c r="DG113" s="3482"/>
      <c r="DH113" s="723">
        <f ca="1">T109-MIN(T103,0)-T72</f>
        <v>116.1129482681812</v>
      </c>
    </row>
    <row r="114" spans="2:112" ht="15.75">
      <c r="B114" s="443"/>
      <c r="G114" s="584"/>
      <c r="H114" s="584"/>
      <c r="I114" s="584"/>
      <c r="J114" s="584"/>
      <c r="K114" s="722"/>
      <c r="L114" s="584"/>
      <c r="M114" s="584"/>
      <c r="N114" s="584"/>
      <c r="O114" s="584"/>
      <c r="P114" s="584"/>
      <c r="Q114" s="584"/>
      <c r="S114" s="584"/>
      <c r="T114" s="584"/>
      <c r="U114" s="584"/>
      <c r="V114" s="584"/>
      <c r="W114" s="584"/>
      <c r="X114" s="584"/>
      <c r="Y114" s="584"/>
      <c r="Z114" s="584"/>
      <c r="AA114" s="584"/>
      <c r="AB114" s="584"/>
      <c r="AC114" s="584"/>
      <c r="AD114" s="584"/>
      <c r="AE114" s="584"/>
      <c r="AF114" s="584"/>
      <c r="AG114" s="584"/>
      <c r="AH114" s="584"/>
      <c r="AI114" s="584"/>
      <c r="AJ114" s="584"/>
      <c r="AK114" s="584"/>
      <c r="AM114" s="584"/>
      <c r="AN114" s="584"/>
      <c r="AO114" s="584"/>
      <c r="AP114" s="584"/>
      <c r="AQ114" s="584"/>
      <c r="AR114" s="584"/>
      <c r="AS114" s="584"/>
      <c r="AT114" s="584"/>
      <c r="AU114" s="584"/>
      <c r="AV114" s="584"/>
      <c r="AW114" s="584"/>
      <c r="AX114" s="584"/>
      <c r="AY114" s="584"/>
      <c r="AZ114" s="584"/>
      <c r="BA114" s="584"/>
      <c r="BB114" s="584"/>
      <c r="BC114" s="584"/>
      <c r="BD114" s="584"/>
      <c r="BE114" s="584"/>
      <c r="BF114" s="584"/>
      <c r="BH114" s="584"/>
      <c r="BI114" s="584"/>
      <c r="BJ114" s="584"/>
      <c r="BL114" s="584"/>
      <c r="BM114" s="584"/>
      <c r="BO114" s="3482"/>
      <c r="BP114" s="3482"/>
      <c r="BQ114" s="3482"/>
      <c r="BR114" s="3482"/>
      <c r="BS114" s="3482"/>
      <c r="BT114" s="3482"/>
      <c r="BU114" s="3482"/>
      <c r="BV114" s="3482"/>
      <c r="BW114" s="3482"/>
      <c r="BX114" s="3482"/>
      <c r="BY114" s="3482"/>
      <c r="BZ114" s="3482"/>
      <c r="CA114" s="3482"/>
      <c r="CB114" s="3482"/>
      <c r="CC114" s="3482"/>
      <c r="CD114" s="3482"/>
      <c r="CE114" s="3482"/>
      <c r="CF114" s="3482"/>
      <c r="CG114" s="3482"/>
      <c r="CH114" s="3482"/>
      <c r="CI114" s="3482"/>
      <c r="CJ114" s="3482"/>
      <c r="CK114" s="3482"/>
      <c r="CL114" s="3482"/>
      <c r="CM114" s="3482"/>
      <c r="CN114" s="3482"/>
      <c r="CO114" s="3482"/>
      <c r="CP114" s="3482"/>
      <c r="CQ114" s="3482"/>
      <c r="CR114" s="3482"/>
      <c r="CS114" s="3482"/>
      <c r="CT114" s="3482"/>
      <c r="CU114" s="3482"/>
      <c r="CV114" s="3482"/>
      <c r="CW114" s="3482"/>
      <c r="CX114" s="3482"/>
      <c r="CY114" s="3482"/>
      <c r="CZ114" s="3482"/>
      <c r="DA114" s="3482"/>
      <c r="DB114" s="3482"/>
      <c r="DC114" s="3482"/>
      <c r="DD114" s="3482"/>
      <c r="DE114" s="3482"/>
      <c r="DF114" s="382" t="s">
        <v>596</v>
      </c>
      <c r="DG114" s="3482"/>
      <c r="DH114" s="3482">
        <f ca="1">DH112/DH113</f>
        <v>7.7659249349095211E-2</v>
      </c>
    </row>
    <row r="115" spans="2:112">
      <c r="G115" s="584"/>
      <c r="H115" s="584"/>
      <c r="I115" s="584"/>
      <c r="J115" s="584"/>
      <c r="K115" s="722"/>
      <c r="L115" s="584"/>
      <c r="M115" s="584"/>
      <c r="N115" s="584"/>
      <c r="O115" s="584"/>
      <c r="P115" s="584"/>
      <c r="Q115" s="584"/>
      <c r="S115" s="584"/>
      <c r="T115" s="584"/>
      <c r="U115" s="584"/>
      <c r="V115" s="584"/>
      <c r="W115" s="584"/>
      <c r="X115" s="584"/>
      <c r="Y115" s="584"/>
      <c r="Z115" s="584"/>
      <c r="AA115" s="584"/>
      <c r="AB115" s="584"/>
      <c r="AC115" s="584"/>
      <c r="AD115" s="584"/>
      <c r="AE115" s="584"/>
      <c r="AF115" s="584"/>
      <c r="AG115" s="584"/>
      <c r="AH115" s="584"/>
      <c r="AI115" s="584"/>
      <c r="AJ115" s="584"/>
      <c r="AK115" s="584"/>
      <c r="AM115" s="584"/>
      <c r="AN115" s="584"/>
      <c r="AO115" s="584"/>
      <c r="AP115" s="584"/>
      <c r="AQ115" s="584"/>
      <c r="AR115" s="584"/>
      <c r="AS115" s="584"/>
      <c r="AT115" s="584"/>
      <c r="AU115" s="584"/>
      <c r="AV115" s="584"/>
      <c r="AW115" s="584"/>
      <c r="AX115" s="584"/>
      <c r="AY115" s="584"/>
      <c r="AZ115" s="584"/>
      <c r="BA115" s="584"/>
      <c r="BB115" s="584"/>
      <c r="BC115" s="584"/>
      <c r="BD115" s="584"/>
      <c r="BE115" s="584"/>
      <c r="BF115" s="584"/>
      <c r="BH115" s="584"/>
      <c r="BI115" s="584"/>
      <c r="BJ115" s="584"/>
      <c r="BL115" s="584"/>
      <c r="BM115" s="584"/>
    </row>
    <row r="116" spans="2:112" ht="15.75">
      <c r="B116" s="443"/>
      <c r="G116" s="584"/>
      <c r="H116" s="584"/>
      <c r="I116" s="584"/>
      <c r="J116" s="584"/>
      <c r="K116" s="722"/>
      <c r="L116" s="584"/>
      <c r="M116" s="584"/>
      <c r="N116" s="584"/>
      <c r="O116" s="584"/>
      <c r="P116" s="584"/>
      <c r="Q116" s="584"/>
      <c r="S116" s="584"/>
      <c r="T116" s="584"/>
      <c r="U116" s="584"/>
      <c r="V116" s="584"/>
      <c r="W116" s="584"/>
      <c r="X116" s="584"/>
      <c r="Y116" s="584"/>
      <c r="Z116" s="584"/>
      <c r="AA116" s="584"/>
      <c r="AB116" s="584"/>
      <c r="AC116" s="584"/>
      <c r="AD116" s="584"/>
      <c r="AE116" s="584"/>
      <c r="AF116" s="584"/>
      <c r="AG116" s="584"/>
      <c r="AH116" s="584"/>
      <c r="AI116" s="584"/>
      <c r="AJ116" s="584"/>
      <c r="AK116" s="584"/>
      <c r="AM116" s="584"/>
      <c r="AN116" s="584"/>
      <c r="AO116" s="584"/>
      <c r="AP116" s="584"/>
      <c r="AQ116" s="584"/>
      <c r="AR116" s="584"/>
      <c r="AS116" s="584"/>
      <c r="AT116" s="584"/>
      <c r="AU116" s="584"/>
      <c r="AV116" s="584"/>
      <c r="AW116" s="584"/>
      <c r="AX116" s="584"/>
      <c r="AY116" s="584"/>
      <c r="AZ116" s="584"/>
      <c r="BA116" s="584"/>
      <c r="BB116" s="584"/>
      <c r="BC116" s="584"/>
      <c r="BD116" s="584"/>
      <c r="BE116" s="584"/>
      <c r="BF116" s="584"/>
      <c r="BH116" s="584"/>
      <c r="BI116" s="584"/>
      <c r="BJ116" s="584"/>
      <c r="BL116" s="584"/>
      <c r="BM116" s="584"/>
    </row>
    <row r="117" spans="2:112" ht="15.75">
      <c r="B117" s="443"/>
      <c r="G117" s="584"/>
      <c r="H117" s="584"/>
      <c r="I117" s="584"/>
      <c r="J117" s="584"/>
      <c r="K117" s="722"/>
      <c r="L117" s="584"/>
      <c r="M117" s="584"/>
      <c r="N117" s="584"/>
      <c r="O117" s="584"/>
      <c r="P117" s="584"/>
      <c r="Q117" s="584"/>
      <c r="S117" s="584"/>
      <c r="T117" s="584"/>
      <c r="U117" s="584"/>
      <c r="V117" s="584"/>
      <c r="W117" s="584"/>
      <c r="X117" s="584"/>
      <c r="Y117" s="584"/>
      <c r="Z117" s="584"/>
      <c r="AA117" s="584"/>
      <c r="AB117" s="584"/>
      <c r="AC117" s="584"/>
      <c r="AD117" s="584"/>
      <c r="AE117" s="584"/>
      <c r="AF117" s="584"/>
      <c r="AG117" s="584"/>
      <c r="AH117" s="584"/>
      <c r="AI117" s="584"/>
      <c r="AJ117" s="584"/>
      <c r="AK117" s="584"/>
      <c r="AM117" s="584"/>
      <c r="AN117" s="584"/>
      <c r="AO117" s="584"/>
      <c r="AP117" s="584"/>
      <c r="AQ117" s="584"/>
      <c r="AR117" s="584"/>
      <c r="AS117" s="584"/>
      <c r="AT117" s="584"/>
      <c r="AU117" s="584"/>
      <c r="AV117" s="584"/>
      <c r="AW117" s="584"/>
      <c r="AX117" s="584"/>
      <c r="AY117" s="584"/>
      <c r="AZ117" s="584"/>
      <c r="BA117" s="584"/>
      <c r="BB117" s="584"/>
      <c r="BC117" s="584"/>
      <c r="BD117" s="584"/>
      <c r="BE117" s="584"/>
      <c r="BF117" s="584"/>
      <c r="BH117" s="584"/>
      <c r="BI117" s="584"/>
      <c r="BJ117" s="584"/>
      <c r="BL117" s="584"/>
      <c r="BM117" s="584"/>
    </row>
    <row r="118" spans="2:112" ht="15.75">
      <c r="B118" s="443"/>
      <c r="G118" s="584"/>
      <c r="H118" s="584"/>
      <c r="I118" s="584"/>
      <c r="J118" s="584"/>
      <c r="K118" s="722"/>
      <c r="L118" s="584"/>
      <c r="M118" s="584"/>
      <c r="N118" s="584"/>
      <c r="O118" s="584"/>
      <c r="P118" s="584"/>
      <c r="Q118" s="584"/>
      <c r="S118" s="584"/>
      <c r="T118" s="584"/>
      <c r="U118" s="584"/>
      <c r="V118" s="584"/>
      <c r="W118" s="584"/>
      <c r="X118" s="584"/>
      <c r="Y118" s="584"/>
      <c r="Z118" s="584"/>
      <c r="AA118" s="584"/>
      <c r="AB118" s="584"/>
      <c r="AC118" s="584"/>
      <c r="AD118" s="584"/>
      <c r="AE118" s="584"/>
      <c r="AF118" s="584"/>
      <c r="AG118" s="584"/>
      <c r="AH118" s="584"/>
      <c r="AI118" s="584"/>
      <c r="AJ118" s="584"/>
      <c r="AK118" s="584"/>
      <c r="AM118" s="584"/>
      <c r="AN118" s="584"/>
      <c r="AO118" s="584"/>
      <c r="AP118" s="584"/>
      <c r="AQ118" s="584"/>
      <c r="AR118" s="584"/>
      <c r="AS118" s="584"/>
      <c r="AT118" s="584"/>
      <c r="AU118" s="584"/>
      <c r="AV118" s="584"/>
      <c r="AW118" s="584"/>
      <c r="AX118" s="584"/>
      <c r="AY118" s="584"/>
      <c r="AZ118" s="584"/>
      <c r="BA118" s="584"/>
      <c r="BB118" s="584"/>
      <c r="BC118" s="584"/>
      <c r="BD118" s="584"/>
      <c r="BE118" s="584"/>
      <c r="BF118" s="584"/>
      <c r="BH118" s="584"/>
      <c r="BI118" s="584"/>
      <c r="BJ118" s="584"/>
      <c r="BL118" s="584"/>
      <c r="BM118" s="584"/>
    </row>
    <row r="119" spans="2:112" ht="15.75">
      <c r="B119" s="443"/>
      <c r="G119" s="584"/>
      <c r="H119" s="584"/>
      <c r="I119" s="584"/>
      <c r="J119" s="584"/>
      <c r="K119" s="722"/>
      <c r="L119" s="584"/>
      <c r="M119" s="584"/>
      <c r="N119" s="584"/>
      <c r="O119" s="584"/>
      <c r="P119" s="584"/>
      <c r="Q119" s="584"/>
      <c r="S119" s="584"/>
      <c r="T119" s="584"/>
      <c r="U119" s="584"/>
      <c r="V119" s="584"/>
      <c r="W119" s="584"/>
      <c r="X119" s="584"/>
      <c r="Y119" s="584"/>
      <c r="Z119" s="584"/>
      <c r="AA119" s="584"/>
      <c r="AB119" s="584"/>
      <c r="AC119" s="584"/>
      <c r="AD119" s="584"/>
      <c r="AE119" s="584"/>
      <c r="AF119" s="584"/>
      <c r="AG119" s="584"/>
      <c r="AH119" s="584"/>
      <c r="AI119" s="584"/>
      <c r="AJ119" s="584"/>
      <c r="AK119" s="584"/>
      <c r="AM119" s="584"/>
      <c r="AN119" s="584"/>
      <c r="AO119" s="584"/>
      <c r="AP119" s="584"/>
      <c r="AQ119" s="584"/>
      <c r="AR119" s="584"/>
      <c r="AS119" s="584"/>
      <c r="AT119" s="584"/>
      <c r="AU119" s="584"/>
      <c r="AV119" s="584"/>
      <c r="AW119" s="584"/>
      <c r="AX119" s="584"/>
      <c r="AY119" s="584"/>
      <c r="AZ119" s="584"/>
      <c r="BA119" s="584"/>
      <c r="BB119" s="584"/>
      <c r="BC119" s="584"/>
      <c r="BD119" s="584"/>
      <c r="BE119" s="584"/>
      <c r="BF119" s="584"/>
      <c r="BH119" s="584"/>
      <c r="BI119" s="584"/>
      <c r="BJ119" s="584"/>
      <c r="BL119" s="584"/>
      <c r="BM119" s="584"/>
    </row>
    <row r="120" spans="2:112" ht="15.75">
      <c r="B120" s="443"/>
      <c r="G120" s="584"/>
      <c r="H120" s="584"/>
      <c r="I120" s="584"/>
      <c r="J120" s="584"/>
      <c r="K120" s="722"/>
      <c r="L120" s="584"/>
      <c r="M120" s="584"/>
      <c r="N120" s="584"/>
      <c r="O120" s="584"/>
      <c r="P120" s="584"/>
      <c r="Q120" s="584"/>
      <c r="S120" s="584"/>
      <c r="T120" s="584"/>
      <c r="U120" s="584"/>
      <c r="V120" s="584"/>
      <c r="W120" s="584"/>
      <c r="X120" s="584"/>
      <c r="Y120" s="584"/>
      <c r="Z120" s="584"/>
      <c r="AA120" s="584"/>
      <c r="AB120" s="584"/>
      <c r="AC120" s="584"/>
      <c r="AD120" s="584"/>
      <c r="AE120" s="584"/>
      <c r="AF120" s="584"/>
      <c r="AG120" s="584"/>
      <c r="AH120" s="584"/>
      <c r="AI120" s="584"/>
      <c r="AJ120" s="584"/>
      <c r="AK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H120" s="584"/>
      <c r="BI120" s="584"/>
      <c r="BJ120" s="584"/>
      <c r="BL120" s="584"/>
      <c r="BM120" s="584"/>
    </row>
    <row r="121" spans="2:112" ht="15.75">
      <c r="B121" s="443"/>
      <c r="G121" s="584"/>
      <c r="H121" s="584"/>
      <c r="I121" s="584"/>
      <c r="J121" s="584"/>
      <c r="K121" s="722"/>
      <c r="L121" s="584"/>
      <c r="M121" s="584"/>
      <c r="N121" s="584"/>
      <c r="O121" s="584"/>
      <c r="P121" s="584"/>
      <c r="Q121" s="584"/>
      <c r="S121" s="584"/>
      <c r="T121" s="584"/>
      <c r="U121" s="584"/>
      <c r="V121" s="584"/>
      <c r="W121" s="584"/>
      <c r="X121" s="584"/>
      <c r="Y121" s="584"/>
      <c r="Z121" s="584"/>
      <c r="AA121" s="584"/>
      <c r="AB121" s="584"/>
      <c r="AC121" s="584"/>
      <c r="AD121" s="584"/>
      <c r="AE121" s="584"/>
      <c r="AF121" s="584"/>
      <c r="AG121" s="584"/>
      <c r="AH121" s="584"/>
      <c r="AI121" s="584"/>
      <c r="AJ121" s="584"/>
      <c r="AK121" s="584"/>
      <c r="AM121" s="584"/>
      <c r="AN121" s="584"/>
      <c r="AO121" s="584"/>
      <c r="AP121" s="584"/>
      <c r="AQ121" s="584"/>
      <c r="AR121" s="584"/>
      <c r="AS121" s="584"/>
      <c r="AT121" s="584"/>
      <c r="AU121" s="584"/>
      <c r="AV121" s="584"/>
      <c r="AW121" s="584"/>
      <c r="AX121" s="584"/>
      <c r="AY121" s="584"/>
      <c r="AZ121" s="584"/>
      <c r="BA121" s="584"/>
      <c r="BB121" s="584"/>
      <c r="BC121" s="584"/>
      <c r="BD121" s="584"/>
      <c r="BE121" s="584"/>
      <c r="BF121" s="584"/>
      <c r="BH121" s="584"/>
      <c r="BI121" s="584"/>
      <c r="BJ121" s="584"/>
      <c r="BL121" s="584"/>
      <c r="BM121" s="584"/>
    </row>
    <row r="122" spans="2:112">
      <c r="G122" s="584"/>
      <c r="H122" s="584"/>
      <c r="I122" s="584"/>
      <c r="J122" s="584"/>
      <c r="K122" s="722"/>
      <c r="L122" s="584"/>
      <c r="M122" s="584"/>
      <c r="N122" s="584"/>
      <c r="O122" s="584"/>
      <c r="P122" s="584"/>
      <c r="Q122" s="584"/>
      <c r="S122" s="584"/>
      <c r="T122" s="584"/>
      <c r="U122" s="584"/>
      <c r="V122" s="584"/>
      <c r="W122" s="584"/>
      <c r="X122" s="584"/>
      <c r="Y122" s="584"/>
      <c r="Z122" s="584"/>
      <c r="AA122" s="584"/>
      <c r="AB122" s="584"/>
      <c r="AC122" s="584"/>
      <c r="AD122" s="584"/>
      <c r="AE122" s="584"/>
      <c r="AF122" s="584"/>
      <c r="AG122" s="584"/>
      <c r="AH122" s="584"/>
      <c r="AI122" s="584"/>
      <c r="AJ122" s="584"/>
      <c r="AK122" s="584"/>
      <c r="AM122" s="584"/>
      <c r="AN122" s="584"/>
      <c r="AO122" s="584"/>
      <c r="AP122" s="584"/>
      <c r="AQ122" s="584"/>
      <c r="AR122" s="584"/>
      <c r="AS122" s="584"/>
      <c r="AT122" s="584"/>
      <c r="AU122" s="584"/>
      <c r="AV122" s="584"/>
      <c r="AW122" s="584"/>
      <c r="AX122" s="584"/>
      <c r="AY122" s="584"/>
      <c r="AZ122" s="584"/>
      <c r="BA122" s="584"/>
      <c r="BB122" s="584"/>
      <c r="BC122" s="584"/>
      <c r="BD122" s="584"/>
      <c r="BE122" s="584"/>
      <c r="BF122" s="584"/>
      <c r="BH122" s="584"/>
      <c r="BI122" s="584"/>
      <c r="BJ122" s="584"/>
      <c r="BL122" s="584"/>
      <c r="BM122" s="584"/>
    </row>
    <row r="123" spans="2:112">
      <c r="G123" s="584"/>
      <c r="H123" s="584"/>
      <c r="I123" s="584"/>
      <c r="J123" s="584"/>
      <c r="K123" s="722"/>
      <c r="L123" s="584"/>
      <c r="M123" s="584"/>
      <c r="N123" s="584"/>
      <c r="O123" s="584"/>
      <c r="P123" s="584"/>
      <c r="Q123" s="584"/>
      <c r="S123" s="584"/>
      <c r="T123" s="584"/>
      <c r="U123" s="584"/>
      <c r="V123" s="584"/>
      <c r="W123" s="584"/>
      <c r="X123" s="584"/>
      <c r="Y123" s="584"/>
      <c r="Z123" s="584"/>
      <c r="AA123" s="584"/>
      <c r="AB123" s="584"/>
      <c r="AC123" s="584"/>
      <c r="AD123" s="584"/>
      <c r="AE123" s="584"/>
      <c r="AF123" s="584"/>
      <c r="AG123" s="584"/>
      <c r="AH123" s="584"/>
      <c r="AI123" s="584"/>
      <c r="AJ123" s="584"/>
      <c r="AK123" s="584"/>
      <c r="AM123" s="584"/>
      <c r="AN123" s="584"/>
      <c r="AO123" s="584"/>
      <c r="AP123" s="584"/>
      <c r="AQ123" s="584"/>
      <c r="AR123" s="584"/>
      <c r="AS123" s="584"/>
      <c r="AT123" s="584"/>
      <c r="AU123" s="584"/>
      <c r="AV123" s="584"/>
      <c r="AW123" s="584"/>
      <c r="AX123" s="584"/>
      <c r="AY123" s="584"/>
      <c r="AZ123" s="584"/>
      <c r="BA123" s="584"/>
      <c r="BB123" s="584"/>
      <c r="BC123" s="584"/>
      <c r="BD123" s="584"/>
      <c r="BE123" s="584"/>
      <c r="BF123" s="584"/>
      <c r="BH123" s="584"/>
      <c r="BI123" s="584"/>
      <c r="BJ123" s="584"/>
      <c r="BL123" s="584"/>
      <c r="BM123" s="584"/>
    </row>
    <row r="124" spans="2:112">
      <c r="G124" s="584"/>
      <c r="H124" s="584"/>
      <c r="I124" s="584"/>
      <c r="J124" s="584"/>
      <c r="K124" s="722"/>
      <c r="L124" s="584"/>
      <c r="M124" s="584"/>
      <c r="N124" s="584"/>
      <c r="O124" s="584"/>
      <c r="P124" s="584"/>
      <c r="Q124" s="584"/>
      <c r="S124" s="584"/>
      <c r="T124" s="584"/>
      <c r="U124" s="584"/>
      <c r="V124" s="584"/>
      <c r="W124" s="584"/>
      <c r="X124" s="584"/>
      <c r="Y124" s="584"/>
      <c r="Z124" s="584"/>
      <c r="AA124" s="584"/>
      <c r="AB124" s="584"/>
      <c r="AC124" s="584"/>
      <c r="AD124" s="584"/>
      <c r="AE124" s="584"/>
      <c r="AF124" s="584"/>
      <c r="AG124" s="584"/>
      <c r="AH124" s="584"/>
      <c r="AI124" s="584"/>
      <c r="AJ124" s="584"/>
      <c r="AK124" s="584"/>
      <c r="AM124" s="584"/>
      <c r="AN124" s="584"/>
      <c r="AO124" s="584"/>
      <c r="AP124" s="584"/>
      <c r="AQ124" s="584"/>
      <c r="AR124" s="584"/>
      <c r="AS124" s="584"/>
      <c r="AT124" s="584"/>
      <c r="AU124" s="584"/>
      <c r="AV124" s="584"/>
      <c r="AW124" s="584"/>
      <c r="AX124" s="584"/>
      <c r="AY124" s="584"/>
      <c r="AZ124" s="584"/>
      <c r="BA124" s="584"/>
      <c r="BB124" s="584"/>
      <c r="BC124" s="584"/>
      <c r="BD124" s="584"/>
      <c r="BE124" s="584"/>
      <c r="BF124" s="584"/>
      <c r="BH124" s="584"/>
      <c r="BI124" s="584"/>
      <c r="BJ124" s="584"/>
      <c r="BL124" s="584"/>
      <c r="BM124" s="584"/>
    </row>
    <row r="125" spans="2:112">
      <c r="C125" s="655"/>
      <c r="D125" s="656"/>
      <c r="G125" s="584"/>
      <c r="H125" s="584"/>
      <c r="I125" s="584"/>
      <c r="J125" s="584"/>
      <c r="K125" s="722"/>
      <c r="L125" s="584"/>
      <c r="M125" s="584"/>
      <c r="N125" s="584"/>
      <c r="O125" s="584"/>
      <c r="P125" s="584"/>
      <c r="Q125" s="584"/>
      <c r="S125" s="584"/>
      <c r="T125" s="584"/>
      <c r="U125" s="584"/>
      <c r="V125" s="584"/>
      <c r="W125" s="584"/>
      <c r="X125" s="584"/>
      <c r="Y125" s="584"/>
      <c r="Z125" s="584"/>
      <c r="AA125" s="584"/>
      <c r="AB125" s="584"/>
      <c r="AC125" s="584"/>
      <c r="AD125" s="584"/>
      <c r="AE125" s="584"/>
      <c r="AF125" s="584"/>
      <c r="AG125" s="584"/>
      <c r="AH125" s="584"/>
      <c r="AI125" s="584"/>
      <c r="AJ125" s="584"/>
      <c r="AK125" s="584"/>
      <c r="AM125" s="584"/>
      <c r="AN125" s="584"/>
      <c r="AO125" s="584"/>
      <c r="AP125" s="584"/>
      <c r="AQ125" s="584"/>
      <c r="AR125" s="584"/>
      <c r="AS125" s="584"/>
      <c r="AT125" s="584"/>
      <c r="AU125" s="584"/>
      <c r="AV125" s="584"/>
      <c r="AW125" s="584"/>
      <c r="AX125" s="584"/>
      <c r="AY125" s="584"/>
      <c r="AZ125" s="584"/>
      <c r="BA125" s="584"/>
      <c r="BB125" s="584"/>
      <c r="BC125" s="584"/>
      <c r="BD125" s="584"/>
      <c r="BE125" s="584"/>
      <c r="BF125" s="584"/>
      <c r="BH125" s="584"/>
      <c r="BI125" s="584"/>
      <c r="BJ125" s="584"/>
      <c r="BL125" s="584"/>
      <c r="BM125" s="584"/>
    </row>
    <row r="126" spans="2:112">
      <c r="G126" s="584"/>
      <c r="H126" s="584"/>
      <c r="I126" s="584"/>
      <c r="J126" s="584"/>
      <c r="K126" s="722"/>
      <c r="L126" s="584"/>
      <c r="M126" s="584"/>
      <c r="N126" s="584"/>
      <c r="O126" s="584"/>
      <c r="P126" s="584"/>
      <c r="Q126" s="584"/>
      <c r="S126" s="584"/>
      <c r="T126" s="584"/>
      <c r="U126" s="584"/>
      <c r="V126" s="584"/>
      <c r="W126" s="584"/>
      <c r="X126" s="584"/>
      <c r="Y126" s="584"/>
      <c r="Z126" s="584"/>
      <c r="AA126" s="584"/>
      <c r="AB126" s="584"/>
      <c r="AC126" s="584"/>
      <c r="AD126" s="584"/>
      <c r="AE126" s="584"/>
      <c r="AF126" s="584"/>
      <c r="AG126" s="584"/>
      <c r="AH126" s="584"/>
      <c r="AI126" s="584"/>
      <c r="AJ126" s="584"/>
      <c r="AK126" s="584"/>
      <c r="AM126" s="584"/>
      <c r="AN126" s="584"/>
      <c r="AO126" s="584"/>
      <c r="AP126" s="584"/>
      <c r="AQ126" s="584"/>
      <c r="AR126" s="584"/>
      <c r="AS126" s="584"/>
      <c r="AT126" s="584"/>
      <c r="AU126" s="584"/>
      <c r="AV126" s="584"/>
      <c r="AW126" s="584"/>
      <c r="AX126" s="584"/>
      <c r="AY126" s="584"/>
      <c r="AZ126" s="584"/>
      <c r="BA126" s="584"/>
      <c r="BB126" s="584"/>
      <c r="BC126" s="584"/>
      <c r="BD126" s="584"/>
      <c r="BE126" s="584"/>
      <c r="BF126" s="584"/>
      <c r="BH126" s="584"/>
      <c r="BI126" s="584"/>
      <c r="BJ126" s="584"/>
      <c r="BL126" s="584"/>
      <c r="BM126" s="584"/>
    </row>
    <row r="127" spans="2:112">
      <c r="G127" s="584"/>
      <c r="H127" s="584"/>
      <c r="I127" s="584"/>
      <c r="J127" s="584"/>
      <c r="K127" s="722"/>
      <c r="L127" s="584"/>
      <c r="M127" s="584"/>
      <c r="N127" s="584"/>
      <c r="O127" s="584"/>
      <c r="P127" s="584"/>
      <c r="Q127" s="584"/>
      <c r="S127" s="584"/>
      <c r="T127" s="584"/>
      <c r="U127" s="584"/>
      <c r="V127" s="584"/>
      <c r="W127" s="584"/>
      <c r="X127" s="584"/>
      <c r="Y127" s="584"/>
      <c r="Z127" s="584"/>
      <c r="AA127" s="584"/>
      <c r="AB127" s="584"/>
      <c r="AC127" s="584"/>
      <c r="AD127" s="584"/>
      <c r="AE127" s="584"/>
      <c r="AF127" s="584"/>
      <c r="AG127" s="584"/>
      <c r="AH127" s="584"/>
      <c r="AI127" s="584"/>
      <c r="AJ127" s="584"/>
      <c r="AK127" s="584"/>
      <c r="AM127" s="584"/>
      <c r="AN127" s="584"/>
      <c r="AO127" s="584"/>
      <c r="AP127" s="584"/>
      <c r="AQ127" s="584"/>
      <c r="AR127" s="584"/>
      <c r="AS127" s="584"/>
      <c r="AT127" s="584"/>
      <c r="AU127" s="584"/>
      <c r="AV127" s="584"/>
      <c r="AW127" s="584"/>
      <c r="AX127" s="584"/>
      <c r="AY127" s="584"/>
      <c r="AZ127" s="584"/>
      <c r="BA127" s="584"/>
      <c r="BB127" s="584"/>
      <c r="BC127" s="584"/>
      <c r="BD127" s="584"/>
      <c r="BE127" s="584"/>
      <c r="BF127" s="584"/>
      <c r="BH127" s="584"/>
      <c r="BI127" s="584"/>
      <c r="BJ127" s="584"/>
      <c r="BL127" s="584"/>
      <c r="BM127" s="584"/>
    </row>
    <row r="128" spans="2:112">
      <c r="G128" s="584"/>
      <c r="H128" s="584"/>
      <c r="I128" s="584"/>
      <c r="J128" s="584"/>
      <c r="K128" s="722"/>
      <c r="L128" s="584"/>
      <c r="M128" s="584"/>
      <c r="N128" s="584"/>
      <c r="O128" s="584"/>
      <c r="P128" s="584"/>
      <c r="Q128" s="584"/>
      <c r="S128" s="584"/>
      <c r="T128" s="584"/>
      <c r="U128" s="584"/>
      <c r="V128" s="584"/>
      <c r="W128" s="584"/>
      <c r="X128" s="584"/>
      <c r="Y128" s="584"/>
      <c r="Z128" s="584"/>
      <c r="AA128" s="584"/>
      <c r="AB128" s="584"/>
      <c r="AC128" s="584"/>
      <c r="AD128" s="584"/>
      <c r="AE128" s="584"/>
      <c r="AF128" s="584"/>
      <c r="AG128" s="584"/>
      <c r="AH128" s="584"/>
      <c r="AI128" s="584"/>
      <c r="AJ128" s="584"/>
      <c r="AK128" s="584"/>
      <c r="AM128" s="584"/>
      <c r="AN128" s="584"/>
      <c r="AO128" s="584"/>
      <c r="AP128" s="584"/>
      <c r="AQ128" s="584"/>
      <c r="AR128" s="584"/>
      <c r="AS128" s="584"/>
      <c r="AT128" s="584"/>
      <c r="AU128" s="584"/>
      <c r="AV128" s="584"/>
      <c r="AW128" s="584"/>
      <c r="AX128" s="584"/>
      <c r="AY128" s="584"/>
      <c r="AZ128" s="584"/>
      <c r="BA128" s="584"/>
      <c r="BB128" s="584"/>
      <c r="BC128" s="584"/>
      <c r="BD128" s="584"/>
      <c r="BE128" s="584"/>
      <c r="BF128" s="584"/>
      <c r="BH128" s="584"/>
      <c r="BI128" s="584"/>
      <c r="BJ128" s="584"/>
      <c r="BL128" s="584"/>
      <c r="BM128" s="584"/>
    </row>
    <row r="129" spans="7:65">
      <c r="G129" s="584"/>
      <c r="H129" s="584"/>
      <c r="I129" s="584"/>
      <c r="J129" s="584"/>
      <c r="K129" s="722"/>
      <c r="L129" s="584"/>
      <c r="M129" s="584"/>
      <c r="N129" s="584"/>
      <c r="O129" s="584"/>
      <c r="P129" s="584"/>
      <c r="Q129" s="584"/>
      <c r="S129" s="584"/>
      <c r="T129" s="584"/>
      <c r="U129" s="584"/>
      <c r="V129" s="584"/>
      <c r="W129" s="584"/>
      <c r="X129" s="584"/>
      <c r="Y129" s="584"/>
      <c r="Z129" s="584"/>
      <c r="AA129" s="584"/>
      <c r="AB129" s="584"/>
      <c r="AC129" s="584"/>
      <c r="AD129" s="584"/>
      <c r="AE129" s="584"/>
      <c r="AF129" s="584"/>
      <c r="AG129" s="584"/>
      <c r="AH129" s="584"/>
      <c r="AI129" s="584"/>
      <c r="AJ129" s="584"/>
      <c r="AK129" s="584"/>
      <c r="AM129" s="584"/>
      <c r="AN129" s="584"/>
      <c r="AO129" s="584"/>
      <c r="AP129" s="584"/>
      <c r="AQ129" s="584"/>
      <c r="AR129" s="584"/>
      <c r="AS129" s="584"/>
      <c r="AT129" s="584"/>
      <c r="AU129" s="584"/>
      <c r="AV129" s="584"/>
      <c r="AW129" s="584"/>
      <c r="AX129" s="584"/>
      <c r="AY129" s="584"/>
      <c r="AZ129" s="584"/>
      <c r="BA129" s="584"/>
      <c r="BB129" s="584"/>
      <c r="BC129" s="584"/>
      <c r="BD129" s="584"/>
      <c r="BE129" s="584"/>
      <c r="BF129" s="584"/>
      <c r="BH129" s="584"/>
      <c r="BI129" s="584"/>
      <c r="BJ129" s="584"/>
      <c r="BL129" s="584"/>
      <c r="BM129" s="584"/>
    </row>
    <row r="130" spans="7:65">
      <c r="G130" s="584"/>
      <c r="H130" s="584"/>
      <c r="I130" s="584"/>
      <c r="J130" s="584"/>
      <c r="K130" s="722"/>
      <c r="L130" s="584"/>
      <c r="M130" s="584"/>
      <c r="N130" s="584"/>
      <c r="O130" s="584"/>
      <c r="P130" s="584"/>
      <c r="Q130" s="584"/>
      <c r="S130" s="584"/>
      <c r="T130" s="584"/>
      <c r="U130" s="584"/>
      <c r="V130" s="584"/>
      <c r="W130" s="584"/>
      <c r="X130" s="584"/>
      <c r="Y130" s="584"/>
      <c r="Z130" s="584"/>
      <c r="AA130" s="584"/>
      <c r="AB130" s="584"/>
      <c r="AC130" s="584"/>
      <c r="AD130" s="584"/>
      <c r="AE130" s="584"/>
      <c r="AF130" s="584"/>
      <c r="AG130" s="584"/>
      <c r="AH130" s="584"/>
      <c r="AI130" s="584"/>
      <c r="AJ130" s="584"/>
      <c r="AK130" s="584"/>
      <c r="AM130" s="584"/>
      <c r="AN130" s="584"/>
      <c r="AO130" s="584"/>
      <c r="AP130" s="584"/>
      <c r="AQ130" s="584"/>
      <c r="AR130" s="584"/>
      <c r="AS130" s="584"/>
      <c r="AT130" s="584"/>
      <c r="AU130" s="584"/>
      <c r="AV130" s="584"/>
      <c r="AW130" s="584"/>
      <c r="AX130" s="584"/>
      <c r="AY130" s="584"/>
      <c r="AZ130" s="584"/>
      <c r="BA130" s="584"/>
      <c r="BB130" s="584"/>
      <c r="BC130" s="584"/>
      <c r="BD130" s="584"/>
      <c r="BE130" s="584"/>
      <c r="BF130" s="584"/>
      <c r="BH130" s="584"/>
      <c r="BI130" s="584"/>
      <c r="BJ130" s="584"/>
      <c r="BL130" s="584"/>
      <c r="BM130" s="584"/>
    </row>
    <row r="131" spans="7:65">
      <c r="G131" s="584"/>
      <c r="H131" s="584"/>
      <c r="I131" s="584"/>
      <c r="J131" s="584"/>
      <c r="K131" s="722"/>
      <c r="L131" s="584"/>
      <c r="M131" s="584"/>
      <c r="N131" s="584"/>
      <c r="O131" s="584"/>
      <c r="P131" s="584"/>
      <c r="Q131" s="584"/>
      <c r="S131" s="584"/>
      <c r="T131" s="584"/>
      <c r="U131" s="584"/>
      <c r="V131" s="584"/>
      <c r="W131" s="584"/>
      <c r="X131" s="584"/>
      <c r="Y131" s="584"/>
      <c r="Z131" s="584"/>
      <c r="AA131" s="584"/>
      <c r="AB131" s="584"/>
      <c r="AC131" s="584"/>
      <c r="AD131" s="584"/>
      <c r="AE131" s="584"/>
      <c r="AF131" s="584"/>
      <c r="AG131" s="584"/>
      <c r="AH131" s="584"/>
      <c r="AI131" s="584"/>
      <c r="AJ131" s="584"/>
      <c r="AK131" s="584"/>
      <c r="AM131" s="584"/>
      <c r="AN131" s="584"/>
      <c r="AO131" s="584"/>
      <c r="AP131" s="584"/>
      <c r="AQ131" s="584"/>
      <c r="AR131" s="584"/>
      <c r="AS131" s="584"/>
      <c r="AT131" s="584"/>
      <c r="AU131" s="584"/>
      <c r="AV131" s="584"/>
      <c r="AW131" s="584"/>
      <c r="AX131" s="584"/>
      <c r="AY131" s="584"/>
      <c r="AZ131" s="584"/>
      <c r="BA131" s="584"/>
      <c r="BB131" s="584"/>
      <c r="BC131" s="584"/>
      <c r="BD131" s="584"/>
      <c r="BE131" s="584"/>
      <c r="BF131" s="584"/>
      <c r="BH131" s="584"/>
      <c r="BI131" s="584"/>
      <c r="BJ131" s="584"/>
      <c r="BL131" s="584"/>
      <c r="BM131" s="584"/>
    </row>
    <row r="132" spans="7:65">
      <c r="G132" s="584"/>
      <c r="H132" s="584"/>
      <c r="I132" s="584"/>
      <c r="J132" s="584"/>
      <c r="K132" s="722"/>
      <c r="L132" s="584"/>
      <c r="M132" s="584"/>
      <c r="N132" s="584"/>
      <c r="O132" s="584"/>
      <c r="P132" s="584"/>
      <c r="Q132" s="584"/>
      <c r="S132" s="584"/>
      <c r="T132" s="584"/>
      <c r="U132" s="584"/>
      <c r="V132" s="584"/>
      <c r="W132" s="584"/>
      <c r="X132" s="584"/>
      <c r="Y132" s="584"/>
      <c r="Z132" s="584"/>
      <c r="AA132" s="584"/>
      <c r="AB132" s="584"/>
      <c r="AC132" s="584"/>
      <c r="AD132" s="584"/>
      <c r="AE132" s="584"/>
      <c r="AF132" s="584"/>
      <c r="AG132" s="584"/>
      <c r="AH132" s="584"/>
      <c r="AI132" s="584"/>
      <c r="AJ132" s="584"/>
      <c r="AK132" s="584"/>
      <c r="AM132" s="584"/>
      <c r="AN132" s="584"/>
      <c r="AO132" s="584"/>
      <c r="AP132" s="584"/>
      <c r="AQ132" s="584"/>
      <c r="AR132" s="584"/>
      <c r="AS132" s="584"/>
      <c r="AT132" s="584"/>
      <c r="AU132" s="584"/>
      <c r="AV132" s="584"/>
      <c r="AW132" s="584"/>
      <c r="AX132" s="584"/>
      <c r="AY132" s="584"/>
      <c r="AZ132" s="584"/>
      <c r="BA132" s="584"/>
      <c r="BB132" s="584"/>
      <c r="BC132" s="584"/>
      <c r="BD132" s="584"/>
      <c r="BE132" s="584"/>
      <c r="BF132" s="584"/>
      <c r="BH132" s="584"/>
      <c r="BI132" s="584"/>
      <c r="BJ132" s="584"/>
      <c r="BL132" s="584"/>
      <c r="BM132" s="584"/>
    </row>
    <row r="133" spans="7:65">
      <c r="G133" s="584"/>
      <c r="H133" s="584"/>
      <c r="I133" s="584"/>
      <c r="J133" s="584"/>
      <c r="K133" s="722"/>
      <c r="L133" s="584"/>
      <c r="M133" s="584"/>
      <c r="N133" s="584"/>
      <c r="O133" s="584"/>
      <c r="P133" s="584"/>
      <c r="Q133" s="584"/>
      <c r="S133" s="584"/>
      <c r="T133" s="584"/>
      <c r="U133" s="584"/>
      <c r="V133" s="584"/>
      <c r="W133" s="584"/>
      <c r="X133" s="584"/>
      <c r="Y133" s="584"/>
      <c r="Z133" s="584"/>
      <c r="AA133" s="584"/>
      <c r="AB133" s="584"/>
      <c r="AC133" s="584"/>
      <c r="AD133" s="584"/>
      <c r="AE133" s="584"/>
      <c r="AF133" s="584"/>
      <c r="AG133" s="584"/>
      <c r="AH133" s="584"/>
      <c r="AI133" s="584"/>
      <c r="AJ133" s="584"/>
      <c r="AK133" s="584"/>
      <c r="AM133" s="584"/>
      <c r="AN133" s="584"/>
      <c r="AO133" s="584"/>
      <c r="AP133" s="584"/>
      <c r="AQ133" s="584"/>
      <c r="AR133" s="584"/>
      <c r="AS133" s="584"/>
      <c r="AT133" s="584"/>
      <c r="AU133" s="584"/>
      <c r="AV133" s="584"/>
      <c r="AW133" s="584"/>
      <c r="AX133" s="584"/>
      <c r="AY133" s="584"/>
      <c r="AZ133" s="584"/>
      <c r="BA133" s="584"/>
      <c r="BB133" s="584"/>
      <c r="BC133" s="584"/>
      <c r="BD133" s="584"/>
      <c r="BE133" s="584"/>
      <c r="BF133" s="584"/>
      <c r="BH133" s="584"/>
      <c r="BI133" s="584"/>
      <c r="BJ133" s="584"/>
      <c r="BL133" s="584"/>
      <c r="BM133" s="584"/>
    </row>
    <row r="134" spans="7:65">
      <c r="G134" s="584"/>
      <c r="H134" s="584"/>
      <c r="I134" s="584"/>
      <c r="J134" s="584"/>
      <c r="K134" s="722"/>
      <c r="L134" s="584"/>
      <c r="M134" s="584"/>
      <c r="N134" s="584"/>
      <c r="O134" s="584"/>
      <c r="P134" s="584"/>
      <c r="Q134" s="584"/>
      <c r="S134" s="584"/>
      <c r="T134" s="584"/>
      <c r="U134" s="584"/>
      <c r="V134" s="584"/>
      <c r="W134" s="584"/>
      <c r="X134" s="584"/>
      <c r="Y134" s="584"/>
      <c r="Z134" s="584"/>
      <c r="AA134" s="584"/>
      <c r="AB134" s="584"/>
      <c r="AC134" s="584"/>
      <c r="AD134" s="584"/>
      <c r="AE134" s="584"/>
      <c r="AF134" s="584"/>
      <c r="AG134" s="584"/>
      <c r="AH134" s="584"/>
      <c r="AI134" s="584"/>
      <c r="AJ134" s="584"/>
      <c r="AK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H134" s="584"/>
      <c r="BI134" s="584"/>
      <c r="BJ134" s="584"/>
      <c r="BL134" s="584"/>
      <c r="BM134" s="584"/>
    </row>
    <row r="135" spans="7:65">
      <c r="G135" s="584"/>
      <c r="H135" s="584"/>
      <c r="I135" s="584"/>
      <c r="J135" s="584"/>
      <c r="K135" s="722"/>
      <c r="L135" s="584"/>
      <c r="M135" s="584"/>
      <c r="N135" s="584"/>
      <c r="O135" s="584"/>
      <c r="P135" s="584"/>
      <c r="Q135" s="584"/>
      <c r="S135" s="584"/>
      <c r="T135" s="584"/>
      <c r="U135" s="584"/>
      <c r="V135" s="584"/>
      <c r="W135" s="584"/>
      <c r="X135" s="584"/>
      <c r="Y135" s="584"/>
      <c r="Z135" s="584"/>
      <c r="AA135" s="584"/>
      <c r="AB135" s="584"/>
      <c r="AC135" s="584"/>
      <c r="AD135" s="584"/>
      <c r="AE135" s="584"/>
      <c r="AF135" s="584"/>
      <c r="AG135" s="584"/>
      <c r="AH135" s="584"/>
      <c r="AI135" s="584"/>
      <c r="AJ135" s="584"/>
      <c r="AK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H135" s="584"/>
      <c r="BI135" s="584"/>
      <c r="BJ135" s="584"/>
      <c r="BL135" s="584"/>
      <c r="BM135" s="584"/>
    </row>
    <row r="136" spans="7:65">
      <c r="G136" s="584"/>
      <c r="H136" s="584"/>
      <c r="I136" s="584"/>
      <c r="J136" s="584"/>
      <c r="K136" s="722"/>
      <c r="L136" s="584"/>
      <c r="M136" s="584"/>
      <c r="N136" s="584"/>
      <c r="O136" s="584"/>
      <c r="P136" s="584"/>
      <c r="Q136" s="584"/>
      <c r="S136" s="584"/>
      <c r="T136" s="584"/>
      <c r="U136" s="584"/>
      <c r="V136" s="584"/>
      <c r="W136" s="584"/>
      <c r="X136" s="584"/>
      <c r="Y136" s="584"/>
      <c r="Z136" s="584"/>
      <c r="AA136" s="584"/>
      <c r="AB136" s="584"/>
      <c r="AC136" s="584"/>
      <c r="AD136" s="584"/>
      <c r="AE136" s="584"/>
      <c r="AF136" s="584"/>
      <c r="AG136" s="584"/>
      <c r="AH136" s="584"/>
      <c r="AI136" s="584"/>
      <c r="AJ136" s="584"/>
      <c r="AK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H136" s="584"/>
      <c r="BI136" s="584"/>
      <c r="BJ136" s="584"/>
      <c r="BL136" s="584"/>
      <c r="BM136" s="584"/>
    </row>
    <row r="137" spans="7:65">
      <c r="G137" s="584"/>
      <c r="H137" s="584"/>
      <c r="I137" s="584"/>
      <c r="J137" s="584"/>
      <c r="K137" s="722"/>
      <c r="L137" s="584"/>
      <c r="M137" s="584"/>
      <c r="N137" s="584"/>
      <c r="O137" s="584"/>
      <c r="P137" s="584"/>
      <c r="Q137" s="584"/>
      <c r="S137" s="584"/>
      <c r="T137" s="584"/>
      <c r="U137" s="584"/>
      <c r="V137" s="584"/>
      <c r="W137" s="584"/>
      <c r="X137" s="584"/>
      <c r="Y137" s="584"/>
      <c r="Z137" s="584"/>
      <c r="AA137" s="584"/>
      <c r="AB137" s="584"/>
      <c r="AC137" s="584"/>
      <c r="AD137" s="584"/>
      <c r="AE137" s="584"/>
      <c r="AF137" s="584"/>
      <c r="AG137" s="584"/>
      <c r="AH137" s="584"/>
      <c r="AI137" s="584"/>
      <c r="AJ137" s="584"/>
      <c r="AK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H137" s="584"/>
      <c r="BI137" s="584"/>
      <c r="BJ137" s="584"/>
      <c r="BL137" s="584"/>
      <c r="BM137" s="584"/>
    </row>
    <row r="138" spans="7:65">
      <c r="G138" s="584"/>
      <c r="H138" s="584"/>
      <c r="I138" s="584"/>
      <c r="J138" s="584"/>
      <c r="K138" s="722"/>
      <c r="L138" s="584"/>
      <c r="M138" s="584"/>
      <c r="N138" s="584"/>
      <c r="O138" s="584"/>
      <c r="P138" s="584"/>
      <c r="Q138" s="584"/>
      <c r="S138" s="584"/>
      <c r="T138" s="584"/>
      <c r="U138" s="584"/>
      <c r="V138" s="584"/>
      <c r="W138" s="584"/>
      <c r="X138" s="584"/>
      <c r="Y138" s="584"/>
      <c r="Z138" s="584"/>
      <c r="AA138" s="584"/>
      <c r="AB138" s="584"/>
      <c r="AC138" s="584"/>
      <c r="AD138" s="584"/>
      <c r="AE138" s="584"/>
      <c r="AF138" s="584"/>
      <c r="AG138" s="584"/>
      <c r="AH138" s="584"/>
      <c r="AI138" s="584"/>
      <c r="AJ138" s="584"/>
      <c r="AK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H138" s="584"/>
      <c r="BI138" s="584"/>
      <c r="BJ138" s="584"/>
      <c r="BL138" s="584"/>
      <c r="BM138" s="584"/>
    </row>
    <row r="139" spans="7:65">
      <c r="G139" s="584"/>
      <c r="H139" s="584"/>
      <c r="I139" s="584"/>
      <c r="J139" s="584"/>
      <c r="K139" s="722"/>
      <c r="L139" s="584"/>
      <c r="M139" s="584"/>
      <c r="N139" s="584"/>
      <c r="O139" s="584"/>
      <c r="P139" s="584"/>
      <c r="Q139" s="584"/>
      <c r="S139" s="584"/>
      <c r="T139" s="584"/>
      <c r="U139" s="584"/>
      <c r="V139" s="584"/>
      <c r="W139" s="584"/>
      <c r="X139" s="584"/>
      <c r="Y139" s="584"/>
      <c r="Z139" s="584"/>
      <c r="AA139" s="584"/>
      <c r="AB139" s="584"/>
      <c r="AC139" s="584"/>
      <c r="AD139" s="584"/>
      <c r="AE139" s="584"/>
      <c r="AF139" s="584"/>
      <c r="AG139" s="584"/>
      <c r="AH139" s="584"/>
      <c r="AI139" s="584"/>
      <c r="AJ139" s="584"/>
      <c r="AK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H139" s="584"/>
      <c r="BI139" s="584"/>
      <c r="BJ139" s="584"/>
      <c r="BL139" s="584"/>
      <c r="BM139" s="584"/>
    </row>
    <row r="140" spans="7:65">
      <c r="G140" s="584"/>
      <c r="H140" s="584"/>
      <c r="I140" s="584"/>
      <c r="J140" s="584"/>
      <c r="K140" s="722"/>
      <c r="L140" s="584"/>
      <c r="M140" s="584"/>
      <c r="N140" s="584"/>
      <c r="O140" s="584"/>
      <c r="P140" s="584"/>
      <c r="Q140" s="584"/>
      <c r="S140" s="584"/>
      <c r="T140" s="584"/>
      <c r="U140" s="584"/>
      <c r="V140" s="584"/>
      <c r="W140" s="584"/>
      <c r="X140" s="584"/>
      <c r="Y140" s="584"/>
      <c r="Z140" s="584"/>
      <c r="AA140" s="584"/>
      <c r="AB140" s="584"/>
      <c r="AC140" s="584"/>
      <c r="AD140" s="584"/>
      <c r="AE140" s="584"/>
      <c r="AF140" s="584"/>
      <c r="AG140" s="584"/>
      <c r="AH140" s="584"/>
      <c r="AI140" s="584"/>
      <c r="AJ140" s="584"/>
      <c r="AK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H140" s="584"/>
      <c r="BI140" s="584"/>
      <c r="BJ140" s="584"/>
      <c r="BL140" s="584"/>
      <c r="BM140" s="584"/>
    </row>
    <row r="141" spans="7:65">
      <c r="G141" s="584"/>
      <c r="H141" s="584"/>
      <c r="I141" s="584"/>
      <c r="J141" s="584"/>
      <c r="K141" s="722"/>
      <c r="L141" s="584"/>
      <c r="M141" s="584"/>
      <c r="N141" s="584"/>
      <c r="O141" s="584"/>
      <c r="P141" s="584"/>
      <c r="Q141" s="584"/>
      <c r="S141" s="584"/>
      <c r="T141" s="584"/>
      <c r="U141" s="584"/>
      <c r="V141" s="584"/>
      <c r="W141" s="584"/>
      <c r="X141" s="584"/>
      <c r="Y141" s="584"/>
      <c r="Z141" s="584"/>
      <c r="AA141" s="584"/>
      <c r="AB141" s="584"/>
      <c r="AC141" s="584"/>
      <c r="AD141" s="584"/>
      <c r="AE141" s="584"/>
      <c r="AF141" s="584"/>
      <c r="AG141" s="584"/>
      <c r="AH141" s="584"/>
      <c r="AI141" s="584"/>
      <c r="AJ141" s="584"/>
      <c r="AK141" s="584"/>
      <c r="AM141" s="584"/>
      <c r="AN141" s="584"/>
      <c r="AO141" s="584"/>
      <c r="AP141" s="584"/>
      <c r="AQ141" s="584"/>
      <c r="AR141" s="584"/>
      <c r="AS141" s="584"/>
      <c r="AT141" s="584"/>
      <c r="AU141" s="584"/>
      <c r="AV141" s="584"/>
      <c r="AW141" s="584"/>
      <c r="AX141" s="584"/>
      <c r="AY141" s="584"/>
      <c r="AZ141" s="584"/>
      <c r="BA141" s="584"/>
      <c r="BB141" s="584"/>
      <c r="BC141" s="584"/>
      <c r="BD141" s="584"/>
      <c r="BE141" s="584"/>
      <c r="BF141" s="584"/>
      <c r="BH141" s="584"/>
      <c r="BI141" s="584"/>
      <c r="BJ141" s="584"/>
      <c r="BL141" s="584"/>
      <c r="BM141" s="584"/>
    </row>
    <row r="142" spans="7:65">
      <c r="G142" s="584"/>
      <c r="H142" s="584"/>
      <c r="I142" s="584"/>
      <c r="J142" s="584"/>
      <c r="K142" s="722"/>
      <c r="L142" s="584"/>
      <c r="M142" s="584"/>
      <c r="N142" s="584"/>
      <c r="O142" s="584"/>
      <c r="P142" s="584"/>
      <c r="Q142" s="584"/>
      <c r="S142" s="584"/>
      <c r="T142" s="584"/>
      <c r="U142" s="584"/>
      <c r="V142" s="584"/>
      <c r="W142" s="584"/>
      <c r="X142" s="584"/>
      <c r="Y142" s="584"/>
      <c r="Z142" s="584"/>
      <c r="AA142" s="584"/>
      <c r="AB142" s="584"/>
      <c r="AC142" s="584"/>
      <c r="AD142" s="584"/>
      <c r="AE142" s="584"/>
      <c r="AF142" s="584"/>
      <c r="AG142" s="584"/>
      <c r="AH142" s="584"/>
      <c r="AI142" s="584"/>
      <c r="AJ142" s="584"/>
      <c r="AK142" s="584"/>
      <c r="AM142" s="584"/>
      <c r="AN142" s="584"/>
      <c r="AO142" s="584"/>
      <c r="AP142" s="584"/>
      <c r="AQ142" s="584"/>
      <c r="AR142" s="584"/>
      <c r="AS142" s="584"/>
      <c r="AT142" s="584"/>
      <c r="AU142" s="584"/>
      <c r="AV142" s="584"/>
      <c r="AW142" s="584"/>
      <c r="AX142" s="584"/>
      <c r="AY142" s="584"/>
      <c r="AZ142" s="584"/>
      <c r="BA142" s="584"/>
      <c r="BB142" s="584"/>
      <c r="BC142" s="584"/>
      <c r="BD142" s="584"/>
      <c r="BE142" s="584"/>
      <c r="BF142" s="584"/>
      <c r="BH142" s="584"/>
      <c r="BI142" s="584"/>
      <c r="BJ142" s="584"/>
      <c r="BL142" s="584"/>
      <c r="BM142" s="584"/>
    </row>
    <row r="143" spans="7:65">
      <c r="G143" s="584"/>
      <c r="H143" s="584"/>
      <c r="I143" s="584"/>
      <c r="J143" s="584"/>
      <c r="K143" s="722"/>
      <c r="L143" s="584"/>
      <c r="M143" s="584"/>
      <c r="N143" s="584"/>
      <c r="O143" s="584"/>
      <c r="P143" s="584"/>
      <c r="Q143" s="584"/>
      <c r="S143" s="584"/>
      <c r="T143" s="584"/>
      <c r="U143" s="584"/>
      <c r="V143" s="584"/>
      <c r="W143" s="584"/>
      <c r="X143" s="584"/>
      <c r="Y143" s="584"/>
      <c r="Z143" s="584"/>
      <c r="AA143" s="584"/>
      <c r="AB143" s="584"/>
      <c r="AC143" s="584"/>
      <c r="AD143" s="584"/>
      <c r="AE143" s="584"/>
      <c r="AF143" s="584"/>
      <c r="AG143" s="584"/>
      <c r="AH143" s="584"/>
      <c r="AI143" s="584"/>
      <c r="AJ143" s="584"/>
      <c r="AK143" s="584"/>
      <c r="AM143" s="584"/>
      <c r="AN143" s="584"/>
      <c r="AO143" s="584"/>
      <c r="AP143" s="584"/>
      <c r="AQ143" s="584"/>
      <c r="AR143" s="584"/>
      <c r="AS143" s="584"/>
      <c r="AT143" s="584"/>
      <c r="AU143" s="584"/>
      <c r="AV143" s="584"/>
      <c r="AW143" s="584"/>
      <c r="AX143" s="584"/>
      <c r="AY143" s="584"/>
      <c r="AZ143" s="584"/>
      <c r="BA143" s="584"/>
      <c r="BB143" s="584"/>
      <c r="BC143" s="584"/>
      <c r="BD143" s="584"/>
      <c r="BE143" s="584"/>
      <c r="BF143" s="584"/>
      <c r="BH143" s="584"/>
      <c r="BI143" s="584"/>
      <c r="BJ143" s="584"/>
      <c r="BL143" s="584"/>
      <c r="BM143" s="584"/>
    </row>
    <row r="144" spans="7:65">
      <c r="G144" s="584"/>
      <c r="H144" s="584"/>
      <c r="I144" s="584"/>
      <c r="J144" s="584"/>
      <c r="K144" s="722"/>
      <c r="L144" s="584"/>
      <c r="M144" s="584"/>
      <c r="N144" s="584"/>
      <c r="O144" s="584"/>
      <c r="P144" s="584"/>
      <c r="Q144" s="584"/>
      <c r="S144" s="584"/>
      <c r="T144" s="584"/>
      <c r="U144" s="584"/>
      <c r="V144" s="584"/>
      <c r="W144" s="584"/>
      <c r="X144" s="584"/>
      <c r="Y144" s="584"/>
      <c r="Z144" s="584"/>
      <c r="AA144" s="584"/>
      <c r="AB144" s="584"/>
      <c r="AC144" s="584"/>
      <c r="AD144" s="584"/>
      <c r="AE144" s="584"/>
      <c r="AF144" s="584"/>
      <c r="AG144" s="584"/>
      <c r="AH144" s="584"/>
      <c r="AI144" s="584"/>
      <c r="AJ144" s="584"/>
      <c r="AK144" s="584"/>
      <c r="AM144" s="584"/>
      <c r="AN144" s="584"/>
      <c r="AO144" s="584"/>
      <c r="AP144" s="584"/>
      <c r="AQ144" s="584"/>
      <c r="AR144" s="584"/>
      <c r="AS144" s="584"/>
      <c r="AT144" s="584"/>
      <c r="AU144" s="584"/>
      <c r="AV144" s="584"/>
      <c r="AW144" s="584"/>
      <c r="AX144" s="584"/>
      <c r="AY144" s="584"/>
      <c r="AZ144" s="584"/>
      <c r="BA144" s="584"/>
      <c r="BB144" s="584"/>
      <c r="BC144" s="584"/>
      <c r="BD144" s="584"/>
      <c r="BE144" s="584"/>
      <c r="BF144" s="584"/>
      <c r="BH144" s="584"/>
      <c r="BI144" s="584"/>
      <c r="BJ144" s="584"/>
      <c r="BL144" s="584"/>
      <c r="BM144" s="584"/>
    </row>
    <row r="145" spans="7:65">
      <c r="G145" s="584"/>
      <c r="H145" s="584"/>
      <c r="I145" s="584"/>
      <c r="J145" s="584"/>
      <c r="K145" s="722"/>
      <c r="L145" s="584"/>
      <c r="M145" s="584"/>
      <c r="N145" s="584"/>
      <c r="O145" s="584"/>
      <c r="P145" s="584"/>
      <c r="Q145" s="584"/>
      <c r="S145" s="584"/>
      <c r="T145" s="584"/>
      <c r="U145" s="584"/>
      <c r="V145" s="584"/>
      <c r="W145" s="584"/>
      <c r="X145" s="584"/>
      <c r="Y145" s="584"/>
      <c r="Z145" s="584"/>
      <c r="AA145" s="584"/>
      <c r="AB145" s="584"/>
      <c r="AC145" s="584"/>
      <c r="AD145" s="584"/>
      <c r="AE145" s="584"/>
      <c r="AF145" s="584"/>
      <c r="AG145" s="584"/>
      <c r="AH145" s="584"/>
      <c r="AI145" s="584"/>
      <c r="AJ145" s="584"/>
      <c r="AK145" s="584"/>
      <c r="AM145" s="584"/>
      <c r="AN145" s="584"/>
      <c r="AO145" s="584"/>
      <c r="AP145" s="584"/>
      <c r="AQ145" s="584"/>
      <c r="AR145" s="584"/>
      <c r="AS145" s="584"/>
      <c r="AT145" s="584"/>
      <c r="AU145" s="584"/>
      <c r="AV145" s="584"/>
      <c r="AW145" s="584"/>
      <c r="AX145" s="584"/>
      <c r="AY145" s="584"/>
      <c r="AZ145" s="584"/>
      <c r="BA145" s="584"/>
      <c r="BB145" s="584"/>
      <c r="BC145" s="584"/>
      <c r="BD145" s="584"/>
      <c r="BE145" s="584"/>
      <c r="BF145" s="584"/>
      <c r="BH145" s="584"/>
      <c r="BI145" s="584"/>
      <c r="BJ145" s="584"/>
      <c r="BL145" s="584"/>
      <c r="BM145" s="584"/>
    </row>
    <row r="146" spans="7:65">
      <c r="G146" s="584"/>
      <c r="H146" s="584"/>
      <c r="I146" s="584"/>
      <c r="J146" s="584"/>
      <c r="K146" s="722"/>
      <c r="L146" s="584"/>
      <c r="M146" s="584"/>
      <c r="N146" s="584"/>
      <c r="O146" s="584"/>
      <c r="P146" s="584"/>
      <c r="Q146" s="584"/>
      <c r="S146" s="584"/>
      <c r="T146" s="584"/>
      <c r="U146" s="584"/>
      <c r="V146" s="584"/>
      <c r="W146" s="584"/>
      <c r="X146" s="584"/>
      <c r="Y146" s="584"/>
      <c r="Z146" s="584"/>
      <c r="AA146" s="584"/>
      <c r="AB146" s="584"/>
      <c r="AC146" s="584"/>
      <c r="AD146" s="584"/>
      <c r="AE146" s="584"/>
      <c r="AF146" s="584"/>
      <c r="AG146" s="584"/>
      <c r="AH146" s="584"/>
      <c r="AI146" s="584"/>
      <c r="AJ146" s="584"/>
      <c r="AK146" s="584"/>
      <c r="AM146" s="584"/>
      <c r="AN146" s="584"/>
      <c r="AO146" s="584"/>
      <c r="AP146" s="584"/>
      <c r="AQ146" s="584"/>
      <c r="AR146" s="584"/>
      <c r="AS146" s="584"/>
      <c r="AT146" s="584"/>
      <c r="AU146" s="584"/>
      <c r="AV146" s="584"/>
      <c r="AW146" s="584"/>
      <c r="AX146" s="584"/>
      <c r="AY146" s="584"/>
      <c r="AZ146" s="584"/>
      <c r="BA146" s="584"/>
      <c r="BB146" s="584"/>
      <c r="BC146" s="584"/>
      <c r="BD146" s="584"/>
      <c r="BE146" s="584"/>
      <c r="BF146" s="584"/>
      <c r="BH146" s="584"/>
      <c r="BI146" s="584"/>
      <c r="BJ146" s="584"/>
      <c r="BL146" s="584"/>
      <c r="BM146" s="584"/>
    </row>
    <row r="147" spans="7:65">
      <c r="G147" s="584"/>
      <c r="H147" s="584"/>
      <c r="I147" s="584"/>
      <c r="J147" s="584"/>
      <c r="K147" s="722"/>
      <c r="L147" s="584"/>
      <c r="M147" s="584"/>
      <c r="N147" s="584"/>
      <c r="O147" s="584"/>
      <c r="P147" s="584"/>
      <c r="Q147" s="584"/>
      <c r="S147" s="584"/>
      <c r="T147" s="584"/>
      <c r="U147" s="584"/>
      <c r="V147" s="584"/>
      <c r="W147" s="584"/>
      <c r="X147" s="584"/>
      <c r="Y147" s="584"/>
      <c r="Z147" s="584"/>
      <c r="AA147" s="584"/>
      <c r="AB147" s="584"/>
      <c r="AC147" s="584"/>
      <c r="AD147" s="584"/>
      <c r="AE147" s="584"/>
      <c r="AF147" s="584"/>
      <c r="AG147" s="584"/>
      <c r="AH147" s="584"/>
      <c r="AI147" s="584"/>
      <c r="AJ147" s="584"/>
      <c r="AK147" s="584"/>
      <c r="AM147" s="584"/>
      <c r="AN147" s="584"/>
      <c r="AO147" s="584"/>
      <c r="AP147" s="584"/>
      <c r="AQ147" s="584"/>
      <c r="AR147" s="584"/>
      <c r="AS147" s="584"/>
      <c r="AT147" s="584"/>
      <c r="AU147" s="584"/>
      <c r="AV147" s="584"/>
      <c r="AW147" s="584"/>
      <c r="AX147" s="584"/>
      <c r="AY147" s="584"/>
      <c r="AZ147" s="584"/>
      <c r="BA147" s="584"/>
      <c r="BB147" s="584"/>
      <c r="BC147" s="584"/>
      <c r="BD147" s="584"/>
      <c r="BE147" s="584"/>
      <c r="BF147" s="584"/>
      <c r="BH147" s="584"/>
      <c r="BI147" s="584"/>
      <c r="BJ147" s="584"/>
      <c r="BL147" s="584"/>
      <c r="BM147" s="584"/>
    </row>
    <row r="148" spans="7:65">
      <c r="G148" s="584"/>
      <c r="H148" s="584"/>
      <c r="I148" s="584"/>
      <c r="J148" s="584"/>
      <c r="K148" s="722"/>
      <c r="L148" s="584"/>
      <c r="M148" s="584"/>
      <c r="N148" s="584"/>
      <c r="O148" s="584"/>
      <c r="P148" s="584"/>
      <c r="Q148" s="584"/>
      <c r="S148" s="584"/>
      <c r="T148" s="584"/>
      <c r="U148" s="584"/>
      <c r="V148" s="584"/>
      <c r="W148" s="584"/>
      <c r="X148" s="584"/>
      <c r="Y148" s="584"/>
      <c r="Z148" s="584"/>
      <c r="AA148" s="584"/>
      <c r="AB148" s="584"/>
      <c r="AC148" s="584"/>
      <c r="AD148" s="584"/>
      <c r="AE148" s="584"/>
      <c r="AF148" s="584"/>
      <c r="AG148" s="584"/>
      <c r="AH148" s="584"/>
      <c r="AI148" s="584"/>
      <c r="AJ148" s="584"/>
      <c r="AK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H148" s="584"/>
      <c r="BI148" s="584"/>
      <c r="BJ148" s="584"/>
      <c r="BL148" s="584"/>
      <c r="BM148" s="58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sheetPr codeName="Sheet2"/>
  <dimension ref="A1:AY62"/>
  <sheetViews>
    <sheetView topLeftCell="A6" workbookViewId="0">
      <selection activeCell="AK27" sqref="AK27"/>
    </sheetView>
  </sheetViews>
  <sheetFormatPr defaultRowHeight="15"/>
  <cols>
    <col min="1" max="1" width="47.5703125" customWidth="1"/>
    <col min="2" max="2" width="10.5703125" customWidth="1"/>
    <col min="44" max="44" width="17" customWidth="1"/>
    <col min="45" max="45" width="18.28515625" customWidth="1"/>
    <col min="46" max="46" width="18.7109375" customWidth="1"/>
    <col min="47" max="47" width="28.5703125" customWidth="1"/>
    <col min="48" max="48" width="15.28515625" customWidth="1"/>
    <col min="49" max="49" width="18.7109375" customWidth="1"/>
  </cols>
  <sheetData>
    <row r="1" spans="1:51" ht="67.5" thickBot="1">
      <c r="A1" s="1771" t="s">
        <v>1372</v>
      </c>
      <c r="B1" s="1772" t="s">
        <v>1373</v>
      </c>
      <c r="C1" s="1773" t="s">
        <v>1374</v>
      </c>
      <c r="D1" s="1774" t="s">
        <v>1375</v>
      </c>
      <c r="E1" s="1775" t="s">
        <v>1376</v>
      </c>
      <c r="F1" s="1776" t="s">
        <v>1377</v>
      </c>
      <c r="G1" s="1776" t="s">
        <v>1378</v>
      </c>
      <c r="H1" s="1777" t="s">
        <v>1379</v>
      </c>
      <c r="I1" s="1774" t="s">
        <v>1380</v>
      </c>
      <c r="J1" s="1775" t="s">
        <v>1381</v>
      </c>
      <c r="K1" s="1775" t="s">
        <v>1382</v>
      </c>
      <c r="L1" s="1777" t="s">
        <v>1383</v>
      </c>
      <c r="M1" s="1774" t="s">
        <v>1384</v>
      </c>
      <c r="N1" s="1775" t="s">
        <v>1385</v>
      </c>
      <c r="O1" s="1775" t="s">
        <v>1386</v>
      </c>
      <c r="P1" s="1775" t="s">
        <v>1387</v>
      </c>
      <c r="Q1" s="1775" t="s">
        <v>1388</v>
      </c>
      <c r="R1" s="1775" t="s">
        <v>1389</v>
      </c>
      <c r="S1" s="1775" t="s">
        <v>1390</v>
      </c>
      <c r="T1" s="1775" t="s">
        <v>1391</v>
      </c>
      <c r="U1" s="1775" t="s">
        <v>1392</v>
      </c>
      <c r="V1" s="1776" t="s">
        <v>1393</v>
      </c>
      <c r="W1" s="1776" t="s">
        <v>1394</v>
      </c>
      <c r="X1" s="1776" t="s">
        <v>1395</v>
      </c>
      <c r="Y1" s="1775" t="s">
        <v>1396</v>
      </c>
      <c r="Z1" s="1777" t="s">
        <v>1397</v>
      </c>
      <c r="AA1" s="1778" t="s">
        <v>1398</v>
      </c>
      <c r="AB1" s="1779" t="s">
        <v>1399</v>
      </c>
      <c r="AC1" s="1780" t="s">
        <v>1400</v>
      </c>
      <c r="AD1" s="1780" t="s">
        <v>1401</v>
      </c>
      <c r="AE1" s="1780" t="s">
        <v>1402</v>
      </c>
      <c r="AF1" s="1780" t="s">
        <v>1403</v>
      </c>
      <c r="AG1" s="1780" t="s">
        <v>1404</v>
      </c>
      <c r="AH1" s="1780" t="s">
        <v>1405</v>
      </c>
      <c r="AI1" s="1781" t="s">
        <v>1406</v>
      </c>
      <c r="AJ1" s="1782" t="s">
        <v>1407</v>
      </c>
      <c r="AK1" s="1783" t="s">
        <v>1408</v>
      </c>
      <c r="AL1" s="1778" t="s">
        <v>1409</v>
      </c>
      <c r="AM1" s="1784" t="s">
        <v>1410</v>
      </c>
    </row>
    <row r="2" spans="1:51">
      <c r="A2" s="1785" t="s">
        <v>1411</v>
      </c>
      <c r="B2" s="1786"/>
      <c r="C2" s="1787">
        <f>SUM(D2:G2)</f>
        <v>0</v>
      </c>
      <c r="D2" s="1788">
        <v>0</v>
      </c>
      <c r="E2" s="1789"/>
      <c r="F2" s="1790"/>
      <c r="G2" s="1790"/>
      <c r="H2" s="1791">
        <f>SUM(I2:K2)</f>
        <v>1291.5250271244345</v>
      </c>
      <c r="I2" s="1792">
        <v>1163.8210271244345</v>
      </c>
      <c r="J2" s="1793">
        <v>127.70399999999999</v>
      </c>
      <c r="K2" s="1793"/>
      <c r="L2" s="1791">
        <f>SUM(M2:Y2)</f>
        <v>0</v>
      </c>
      <c r="M2" s="1792"/>
      <c r="N2" s="1794"/>
      <c r="O2" s="1794"/>
      <c r="P2" s="1794"/>
      <c r="Q2" s="1794"/>
      <c r="R2" s="1794"/>
      <c r="S2" s="1794"/>
      <c r="T2" s="1794"/>
      <c r="U2" s="1794"/>
      <c r="V2" s="1790"/>
      <c r="W2" s="1790"/>
      <c r="X2" s="1790"/>
      <c r="Y2" s="1793"/>
      <c r="Z2" s="1791">
        <v>150.94825893491125</v>
      </c>
      <c r="AA2" s="1795">
        <f>SUM(AB2:AI2)</f>
        <v>798.43730982459965</v>
      </c>
      <c r="AB2" s="1796">
        <v>49.749924665631987</v>
      </c>
      <c r="AC2" s="1793">
        <v>390.57024527999988</v>
      </c>
      <c r="AD2" s="1793">
        <v>243.90218344113782</v>
      </c>
      <c r="AE2" s="1793">
        <v>36.754687451319768</v>
      </c>
      <c r="AF2" s="1793">
        <v>11.415308141561425</v>
      </c>
      <c r="AG2" s="1793">
        <v>21.538181185398855</v>
      </c>
      <c r="AH2" s="1792">
        <v>11.278273490844283</v>
      </c>
      <c r="AI2" s="1790">
        <v>33.2285061687056</v>
      </c>
      <c r="AJ2" s="1797">
        <v>57.7445443207259</v>
      </c>
      <c r="AK2" s="1797"/>
      <c r="AL2" s="1795"/>
      <c r="AM2" s="1798">
        <f>C2+H2+L2+Z2+AA2+AJ2+AK2+AL2</f>
        <v>2298.6551402046712</v>
      </c>
    </row>
    <row r="3" spans="1:51">
      <c r="A3" s="1799" t="s">
        <v>1412</v>
      </c>
      <c r="B3" s="1800"/>
      <c r="C3" s="1801">
        <f>SUM(D3:G3)</f>
        <v>1495.6519584700479</v>
      </c>
      <c r="D3" s="1802">
        <v>1407.1792459806832</v>
      </c>
      <c r="E3" s="1803">
        <v>66.669393419996794</v>
      </c>
      <c r="F3" s="1804"/>
      <c r="G3" s="1804">
        <v>21.803319069367976</v>
      </c>
      <c r="H3" s="1805">
        <f>SUM(I3:K3)</f>
        <v>0</v>
      </c>
      <c r="I3" s="1806"/>
      <c r="J3" s="1807"/>
      <c r="K3" s="1807"/>
      <c r="L3" s="1805">
        <f>SUM(M3:Y3)</f>
        <v>7973.2043617664303</v>
      </c>
      <c r="M3" s="1806">
        <v>3224.7393668824002</v>
      </c>
      <c r="N3" s="1807">
        <v>0</v>
      </c>
      <c r="O3" s="1807">
        <v>672.44586902222215</v>
      </c>
      <c r="P3" s="1807">
        <v>426.61337191200005</v>
      </c>
      <c r="Q3" s="1807">
        <v>886.62171108431994</v>
      </c>
      <c r="R3" s="1807">
        <v>181.42774736016949</v>
      </c>
      <c r="S3" s="1807">
        <v>102.62516826266319</v>
      </c>
      <c r="T3" s="1807">
        <v>2077.1194601068387</v>
      </c>
      <c r="U3" s="1807">
        <v>112.17522150345074</v>
      </c>
      <c r="V3" s="1804">
        <v>0</v>
      </c>
      <c r="W3" s="1804">
        <v>250.68723663236631</v>
      </c>
      <c r="X3" s="1804">
        <v>1.049949</v>
      </c>
      <c r="Y3" s="1807">
        <v>37.699260000000002</v>
      </c>
      <c r="Z3" s="1805">
        <v>3717.3683218661595</v>
      </c>
      <c r="AA3" s="1808">
        <f>SUM(AB3:AI3)</f>
        <v>114.408490001616</v>
      </c>
      <c r="AB3" s="1809"/>
      <c r="AC3" s="1807"/>
      <c r="AD3" s="1807">
        <v>35.751513688319996</v>
      </c>
      <c r="AE3" s="1807"/>
      <c r="AF3" s="1807"/>
      <c r="AG3" s="1807">
        <v>78.656976313295999</v>
      </c>
      <c r="AH3" s="1806"/>
      <c r="AI3" s="1804"/>
      <c r="AJ3" s="1810"/>
      <c r="AK3" s="1811">
        <v>215.64743121999993</v>
      </c>
      <c r="AL3" s="1808"/>
      <c r="AM3" s="1812">
        <f t="shared" ref="AM3:AM21" si="0">C3+H3+L3+Z3+AA3+AJ3+AK3+AL3</f>
        <v>13516.280563324255</v>
      </c>
    </row>
    <row r="4" spans="1:51">
      <c r="A4" s="1799" t="s">
        <v>1413</v>
      </c>
      <c r="B4" s="1800"/>
      <c r="C4" s="1801">
        <f>SUM(D4:G4)</f>
        <v>10.263011098368001</v>
      </c>
      <c r="D4" s="1802">
        <v>0</v>
      </c>
      <c r="E4" s="1813">
        <v>9.6257199599999996</v>
      </c>
      <c r="F4" s="1804"/>
      <c r="G4" s="1804">
        <v>0.637291138368</v>
      </c>
      <c r="H4" s="1805">
        <f>SUM(I4:K4)</f>
        <v>8.5388249999999992</v>
      </c>
      <c r="I4" s="1806"/>
      <c r="J4" s="1807"/>
      <c r="K4" s="1807">
        <v>8.5388249999999992</v>
      </c>
      <c r="L4" s="1805">
        <f>SUM(M4:Y4)</f>
        <v>1212.1096577161268</v>
      </c>
      <c r="M4" s="1806">
        <v>227.26246140660001</v>
      </c>
      <c r="N4" s="1807"/>
      <c r="O4" s="1807">
        <v>12.611409711111111</v>
      </c>
      <c r="P4" s="1807">
        <v>4.0942298924800005</v>
      </c>
      <c r="Q4" s="1807">
        <v>0.41725173407999999</v>
      </c>
      <c r="R4" s="1807">
        <v>900.69753438870055</v>
      </c>
      <c r="S4" s="1807">
        <v>31.383906037754567</v>
      </c>
      <c r="T4" s="1807">
        <v>0.3500507614213198</v>
      </c>
      <c r="U4" s="1807">
        <v>8.3976696266481812E-2</v>
      </c>
      <c r="V4" s="1804">
        <v>28.401526478591158</v>
      </c>
      <c r="W4" s="1804">
        <v>6.6473609121520005E-2</v>
      </c>
      <c r="X4" s="1804">
        <v>2.8376999999999999E-2</v>
      </c>
      <c r="Y4" s="1807">
        <v>6.7124600000000001</v>
      </c>
      <c r="Z4" s="1805">
        <v>0</v>
      </c>
      <c r="AA4" s="1808">
        <f>SUM(AB4:AI4)</f>
        <v>5.0090687999999987E-3</v>
      </c>
      <c r="AB4" s="1809"/>
      <c r="AC4" s="1807"/>
      <c r="AD4" s="1807">
        <v>5.0090687999999987E-3</v>
      </c>
      <c r="AE4" s="1807"/>
      <c r="AF4" s="1807"/>
      <c r="AG4" s="1807">
        <v>0</v>
      </c>
      <c r="AH4" s="1806"/>
      <c r="AI4" s="1804"/>
      <c r="AJ4" s="1810"/>
      <c r="AK4" s="1811">
        <v>33.406600239999996</v>
      </c>
      <c r="AL4" s="1808"/>
      <c r="AM4" s="1812">
        <f t="shared" si="0"/>
        <v>1264.3231031232949</v>
      </c>
    </row>
    <row r="5" spans="1:51">
      <c r="A5" s="1799" t="s">
        <v>1414</v>
      </c>
      <c r="B5" s="1800"/>
      <c r="C5" s="1801">
        <f>SUM(D5:G5)</f>
        <v>0</v>
      </c>
      <c r="D5" s="1802"/>
      <c r="E5" s="1813"/>
      <c r="F5" s="1804"/>
      <c r="G5" s="1804"/>
      <c r="H5" s="1805">
        <f>SUM(I5:K5)</f>
        <v>0</v>
      </c>
      <c r="I5" s="1806"/>
      <c r="J5" s="1807"/>
      <c r="K5" s="1807"/>
      <c r="L5" s="1805">
        <f>SUM(M5:Y5)</f>
        <v>142.79955220087902</v>
      </c>
      <c r="M5" s="1806"/>
      <c r="N5" s="1807"/>
      <c r="O5" s="1807"/>
      <c r="P5" s="1807"/>
      <c r="Q5" s="1807"/>
      <c r="R5" s="1807">
        <v>18.117529486158194</v>
      </c>
      <c r="S5" s="1807"/>
      <c r="T5" s="1807">
        <v>124.68202271472082</v>
      </c>
      <c r="U5" s="1807"/>
      <c r="V5" s="1804"/>
      <c r="W5" s="1804"/>
      <c r="X5" s="1804"/>
      <c r="Y5" s="1807"/>
      <c r="Z5" s="1805"/>
      <c r="AA5" s="1808">
        <f>SUM(AB5:AI5)</f>
        <v>0</v>
      </c>
      <c r="AB5" s="1809"/>
      <c r="AC5" s="1807"/>
      <c r="AD5" s="1807"/>
      <c r="AE5" s="1807"/>
      <c r="AF5" s="1807"/>
      <c r="AG5" s="1807"/>
      <c r="AH5" s="1806"/>
      <c r="AI5" s="1804"/>
      <c r="AJ5" s="1810"/>
      <c r="AK5" s="1810"/>
      <c r="AL5" s="1808"/>
      <c r="AM5" s="1812">
        <f t="shared" si="0"/>
        <v>142.79955220087902</v>
      </c>
    </row>
    <row r="6" spans="1:51" ht="15.75" thickBot="1">
      <c r="A6" s="1814" t="s">
        <v>1415</v>
      </c>
      <c r="B6" s="1815"/>
      <c r="C6" s="1801">
        <f>SUM(D6:G6)</f>
        <v>-161.76508111963093</v>
      </c>
      <c r="D6" s="1816">
        <v>-146.91938918054831</v>
      </c>
      <c r="E6" s="1804">
        <v>-11.02502576225352</v>
      </c>
      <c r="F6" s="1817"/>
      <c r="G6" s="1817">
        <v>-3.8206661768291252</v>
      </c>
      <c r="H6" s="1818">
        <f>SUM(I6:K6)</f>
        <v>-559.86079957754225</v>
      </c>
      <c r="I6" s="1819">
        <v>-547.20118857754221</v>
      </c>
      <c r="J6" s="1819">
        <v>0</v>
      </c>
      <c r="K6" s="1819">
        <v>-12.659611000000002</v>
      </c>
      <c r="L6" s="1818">
        <f>SUM(M6:Y6)</f>
        <v>-73.496162448448004</v>
      </c>
      <c r="M6" s="1806">
        <v>-97.146999999999991</v>
      </c>
      <c r="N6" s="1807"/>
      <c r="O6" s="1807">
        <v>-5.4982683999999997</v>
      </c>
      <c r="P6" s="1807">
        <v>18.634508488960002</v>
      </c>
      <c r="Q6" s="1807">
        <v>5.2533480748799999</v>
      </c>
      <c r="R6" s="1807">
        <v>-1.6827368912429379</v>
      </c>
      <c r="S6" s="1807">
        <v>-2.3111387808355093</v>
      </c>
      <c r="T6" s="1807">
        <v>-3.6414216756057693</v>
      </c>
      <c r="U6" s="1807">
        <v>11.487319046860302</v>
      </c>
      <c r="V6" s="1817">
        <v>1.4092276885359116</v>
      </c>
      <c r="W6" s="1817">
        <v>0</v>
      </c>
      <c r="X6" s="1817">
        <v>0</v>
      </c>
      <c r="Y6" s="1819">
        <v>0</v>
      </c>
      <c r="Z6" s="1818">
        <v>3.6022639520810023</v>
      </c>
      <c r="AA6" s="1820">
        <f>SUM(AB6:AI6)</f>
        <v>-1.7920866927126005</v>
      </c>
      <c r="AB6" s="1821"/>
      <c r="AC6" s="1822"/>
      <c r="AD6" s="1822">
        <v>-0.95381526554460039</v>
      </c>
      <c r="AE6" s="1822"/>
      <c r="AF6" s="1822"/>
      <c r="AG6" s="1822">
        <v>-0.83827142716799996</v>
      </c>
      <c r="AH6" s="1819"/>
      <c r="AI6" s="1817"/>
      <c r="AJ6" s="1823"/>
      <c r="AK6" s="1823"/>
      <c r="AL6" s="1820"/>
      <c r="AM6" s="1824">
        <f t="shared" si="0"/>
        <v>-793.3118658862528</v>
      </c>
    </row>
    <row r="7" spans="1:51" s="39" customFormat="1">
      <c r="A7" s="1825" t="s">
        <v>1416</v>
      </c>
      <c r="B7" s="1826"/>
      <c r="C7" s="1827">
        <f t="shared" ref="C7:AL7" si="1">C2+C3-C4-C5+C6</f>
        <v>1323.6238662520491</v>
      </c>
      <c r="D7" s="1828">
        <f t="shared" si="1"/>
        <v>1260.2598568001349</v>
      </c>
      <c r="E7" s="1829">
        <f t="shared" si="1"/>
        <v>46.018647697743276</v>
      </c>
      <c r="F7" s="1829">
        <f t="shared" si="1"/>
        <v>0</v>
      </c>
      <c r="G7" s="1829">
        <f t="shared" si="1"/>
        <v>17.345361754170852</v>
      </c>
      <c r="H7" s="1830">
        <f t="shared" si="1"/>
        <v>723.12540254689213</v>
      </c>
      <c r="I7" s="1828">
        <f t="shared" si="1"/>
        <v>616.61983854689231</v>
      </c>
      <c r="J7" s="1829">
        <f t="shared" si="1"/>
        <v>127.70399999999999</v>
      </c>
      <c r="K7" s="1829">
        <f t="shared" si="1"/>
        <v>-21.198436000000001</v>
      </c>
      <c r="L7" s="1830">
        <f t="shared" si="1"/>
        <v>6544.798989400977</v>
      </c>
      <c r="M7" s="1828">
        <f t="shared" si="1"/>
        <v>2900.3299054758004</v>
      </c>
      <c r="N7" s="1829">
        <f t="shared" si="1"/>
        <v>0</v>
      </c>
      <c r="O7" s="1829">
        <f t="shared" si="1"/>
        <v>654.33619091111098</v>
      </c>
      <c r="P7" s="1829">
        <f t="shared" si="1"/>
        <v>441.1536505084801</v>
      </c>
      <c r="Q7" s="1829">
        <f t="shared" si="1"/>
        <v>891.45780742512</v>
      </c>
      <c r="R7" s="1829">
        <f t="shared" si="1"/>
        <v>-739.07005340593219</v>
      </c>
      <c r="S7" s="1829">
        <f t="shared" si="1"/>
        <v>68.930123444073118</v>
      </c>
      <c r="T7" s="1829">
        <f t="shared" si="1"/>
        <v>1948.4459649550909</v>
      </c>
      <c r="U7" s="1829">
        <f t="shared" si="1"/>
        <v>123.57856385404457</v>
      </c>
      <c r="V7" s="1829">
        <f t="shared" si="1"/>
        <v>-26.992298790055248</v>
      </c>
      <c r="W7" s="1829">
        <f t="shared" si="1"/>
        <v>250.62076302324479</v>
      </c>
      <c r="X7" s="1829">
        <f t="shared" si="1"/>
        <v>1.0215719999999999</v>
      </c>
      <c r="Y7" s="1829">
        <f t="shared" si="1"/>
        <v>30.986800000000002</v>
      </c>
      <c r="Z7" s="1830">
        <f t="shared" si="1"/>
        <v>3871.9188447531519</v>
      </c>
      <c r="AA7" s="1830">
        <f t="shared" si="1"/>
        <v>911.04870406470309</v>
      </c>
      <c r="AB7" s="1831">
        <f t="shared" si="1"/>
        <v>49.749924665631987</v>
      </c>
      <c r="AC7" s="1832">
        <f t="shared" si="1"/>
        <v>390.57024527999988</v>
      </c>
      <c r="AD7" s="1829">
        <f t="shared" si="1"/>
        <v>278.69487279511321</v>
      </c>
      <c r="AE7" s="1829">
        <f t="shared" si="1"/>
        <v>36.754687451319768</v>
      </c>
      <c r="AF7" s="1829">
        <f t="shared" si="1"/>
        <v>11.415308141561425</v>
      </c>
      <c r="AG7" s="1829">
        <f t="shared" si="1"/>
        <v>99.356886071526858</v>
      </c>
      <c r="AH7" s="1833">
        <f t="shared" si="1"/>
        <v>11.278273490844283</v>
      </c>
      <c r="AI7" s="1828">
        <f t="shared" si="1"/>
        <v>33.2285061687056</v>
      </c>
      <c r="AJ7" s="1830">
        <f t="shared" si="1"/>
        <v>57.7445443207259</v>
      </c>
      <c r="AK7" s="1834">
        <f>AK2+AK3-AK4-AK5+AK6</f>
        <v>182.24083097999994</v>
      </c>
      <c r="AL7" s="1835">
        <f t="shared" si="1"/>
        <v>0</v>
      </c>
      <c r="AM7" s="1836">
        <f>C7+H7+L7+Z7+AA7+AJ7+AK7+AL7</f>
        <v>13614.5011823185</v>
      </c>
      <c r="AR7"/>
      <c r="AS7"/>
      <c r="AT7"/>
      <c r="AU7"/>
      <c r="AV7"/>
      <c r="AW7"/>
      <c r="AX7"/>
      <c r="AY7"/>
    </row>
    <row r="8" spans="1:51" s="39" customFormat="1" ht="15.75" thickBot="1">
      <c r="A8" s="1837" t="s">
        <v>1418</v>
      </c>
      <c r="B8" s="1838"/>
      <c r="C8" s="1839">
        <f t="shared" ref="C8:AL8" si="2">C7-C28</f>
        <v>1323.6238662520491</v>
      </c>
      <c r="D8" s="1840">
        <f>D7-D28</f>
        <v>1260.2598568001349</v>
      </c>
      <c r="E8" s="1841">
        <f t="shared" si="2"/>
        <v>46.018647697743276</v>
      </c>
      <c r="F8" s="1842">
        <f t="shared" si="2"/>
        <v>0</v>
      </c>
      <c r="G8" s="1842">
        <f t="shared" si="2"/>
        <v>17.345361754170852</v>
      </c>
      <c r="H8" s="1843">
        <f t="shared" si="2"/>
        <v>723.12540254689213</v>
      </c>
      <c r="I8" s="1840">
        <f t="shared" si="2"/>
        <v>616.61983854689231</v>
      </c>
      <c r="J8" s="1841">
        <f t="shared" si="2"/>
        <v>127.70399999999999</v>
      </c>
      <c r="K8" s="1841">
        <f t="shared" si="2"/>
        <v>-21.198436000000001</v>
      </c>
      <c r="L8" s="1843">
        <f t="shared" si="2"/>
        <v>6262.169854377732</v>
      </c>
      <c r="M8" s="1840">
        <f t="shared" si="2"/>
        <v>2900.3299054758004</v>
      </c>
      <c r="N8" s="1841">
        <f t="shared" si="2"/>
        <v>0</v>
      </c>
      <c r="O8" s="1841">
        <f t="shared" si="2"/>
        <v>654.33619091111098</v>
      </c>
      <c r="P8" s="1841">
        <f t="shared" si="2"/>
        <v>441.1536505084801</v>
      </c>
      <c r="Q8" s="1841">
        <f t="shared" si="2"/>
        <v>891.45780742512</v>
      </c>
      <c r="R8" s="1841">
        <f t="shared" si="2"/>
        <v>-739.07005340593219</v>
      </c>
      <c r="S8" s="1841">
        <f t="shared" si="2"/>
        <v>68.930123444073118</v>
      </c>
      <c r="T8" s="1841">
        <f t="shared" si="2"/>
        <v>1948.4459649550909</v>
      </c>
      <c r="U8" s="1841">
        <f t="shared" si="2"/>
        <v>123.57856385404457</v>
      </c>
      <c r="V8" s="1842">
        <f t="shared" si="2"/>
        <v>-26.992298790055248</v>
      </c>
      <c r="W8" s="1842">
        <f t="shared" si="2"/>
        <v>0</v>
      </c>
      <c r="X8" s="1842">
        <f t="shared" si="2"/>
        <v>0</v>
      </c>
      <c r="Y8" s="1841">
        <f t="shared" si="2"/>
        <v>0</v>
      </c>
      <c r="Z8" s="1843">
        <f t="shared" si="2"/>
        <v>3871.9188447531519</v>
      </c>
      <c r="AA8" s="1844">
        <f t="shared" si="2"/>
        <v>911.04870406470309</v>
      </c>
      <c r="AB8" s="1840">
        <f t="shared" si="2"/>
        <v>49.749924665631987</v>
      </c>
      <c r="AC8" s="1841">
        <f t="shared" si="2"/>
        <v>390.57024527999988</v>
      </c>
      <c r="AD8" s="1841">
        <f t="shared" si="2"/>
        <v>278.69487279511321</v>
      </c>
      <c r="AE8" s="1841">
        <f t="shared" si="2"/>
        <v>36.754687451319768</v>
      </c>
      <c r="AF8" s="1841">
        <f t="shared" si="2"/>
        <v>11.415308141561425</v>
      </c>
      <c r="AG8" s="1841">
        <f t="shared" si="2"/>
        <v>99.356886071526858</v>
      </c>
      <c r="AH8" s="1845">
        <f t="shared" si="2"/>
        <v>11.278273490844283</v>
      </c>
      <c r="AI8" s="1840">
        <f t="shared" si="2"/>
        <v>33.2285061687056</v>
      </c>
      <c r="AJ8" s="1843">
        <f t="shared" si="2"/>
        <v>57.7445443207259</v>
      </c>
      <c r="AK8" s="1843">
        <f t="shared" si="2"/>
        <v>182.24083097999994</v>
      </c>
      <c r="AL8" s="1840">
        <f t="shared" si="2"/>
        <v>0</v>
      </c>
      <c r="AM8" s="1846">
        <f t="shared" si="0"/>
        <v>13331.872047295254</v>
      </c>
      <c r="AR8"/>
      <c r="AS8"/>
      <c r="AT8"/>
      <c r="AU8"/>
      <c r="AV8"/>
      <c r="AW8"/>
      <c r="AX8"/>
      <c r="AY8"/>
    </row>
    <row r="9" spans="1:51">
      <c r="A9" s="1825" t="s">
        <v>1419</v>
      </c>
      <c r="B9" s="1826"/>
      <c r="C9" s="1827">
        <f t="shared" ref="C9:AL9" si="3">SUM(C10:C14)</f>
        <v>970.32299165317386</v>
      </c>
      <c r="D9" s="1833">
        <f t="shared" si="3"/>
        <v>970.32299165317386</v>
      </c>
      <c r="E9" s="1829">
        <f t="shared" si="3"/>
        <v>0</v>
      </c>
      <c r="F9" s="1847">
        <f t="shared" si="3"/>
        <v>0</v>
      </c>
      <c r="G9" s="1847">
        <f t="shared" si="3"/>
        <v>0</v>
      </c>
      <c r="H9" s="1830">
        <f t="shared" si="3"/>
        <v>638.55291862312038</v>
      </c>
      <c r="I9" s="1833">
        <f t="shared" si="3"/>
        <v>638.55291862312038</v>
      </c>
      <c r="J9" s="1829">
        <f t="shared" si="3"/>
        <v>0</v>
      </c>
      <c r="K9" s="1829">
        <f t="shared" si="3"/>
        <v>0</v>
      </c>
      <c r="L9" s="1830">
        <f t="shared" si="3"/>
        <v>2945.5902206998644</v>
      </c>
      <c r="M9" s="1829">
        <f t="shared" si="3"/>
        <v>2902.1387999999997</v>
      </c>
      <c r="N9" s="1829">
        <f t="shared" si="3"/>
        <v>5.0546089151999993</v>
      </c>
      <c r="O9" s="1829">
        <f t="shared" si="3"/>
        <v>0</v>
      </c>
      <c r="P9" s="1829">
        <f t="shared" si="3"/>
        <v>0</v>
      </c>
      <c r="Q9" s="1829">
        <f t="shared" si="3"/>
        <v>0</v>
      </c>
      <c r="R9" s="1829">
        <f t="shared" si="3"/>
        <v>33.292608944288524</v>
      </c>
      <c r="S9" s="1829">
        <f t="shared" si="3"/>
        <v>0.61192773760319985</v>
      </c>
      <c r="T9" s="1829">
        <f t="shared" si="3"/>
        <v>4.4922751027731254</v>
      </c>
      <c r="U9" s="1829">
        <f t="shared" si="3"/>
        <v>0</v>
      </c>
      <c r="V9" s="1847">
        <f t="shared" si="3"/>
        <v>0</v>
      </c>
      <c r="W9" s="1847">
        <f t="shared" si="3"/>
        <v>0</v>
      </c>
      <c r="X9" s="1847">
        <f t="shared" si="3"/>
        <v>0</v>
      </c>
      <c r="Y9" s="1829">
        <f t="shared" si="3"/>
        <v>0</v>
      </c>
      <c r="Z9" s="1830">
        <f t="shared" si="3"/>
        <v>2154.6991028483581</v>
      </c>
      <c r="AA9" s="1828">
        <f t="shared" si="3"/>
        <v>118.216008915424</v>
      </c>
      <c r="AB9" s="1848">
        <f t="shared" si="3"/>
        <v>0</v>
      </c>
      <c r="AC9" s="1829">
        <f t="shared" si="3"/>
        <v>0</v>
      </c>
      <c r="AD9" s="1829">
        <f t="shared" si="3"/>
        <v>77.110661205077406</v>
      </c>
      <c r="AE9" s="1829">
        <f t="shared" si="3"/>
        <v>36.754687451319768</v>
      </c>
      <c r="AF9" s="1829">
        <f t="shared" si="3"/>
        <v>4.3506602590268377</v>
      </c>
      <c r="AG9" s="1829">
        <f t="shared" si="3"/>
        <v>0</v>
      </c>
      <c r="AH9" s="1833">
        <f t="shared" si="3"/>
        <v>0</v>
      </c>
      <c r="AI9" s="1847">
        <f t="shared" si="3"/>
        <v>0</v>
      </c>
      <c r="AJ9" s="1830">
        <f t="shared" si="3"/>
        <v>22.857128964614091</v>
      </c>
      <c r="AK9" s="1834">
        <f t="shared" si="3"/>
        <v>67.803114660000006</v>
      </c>
      <c r="AL9" s="1828">
        <f t="shared" si="3"/>
        <v>0</v>
      </c>
      <c r="AM9" s="1849">
        <f t="shared" si="0"/>
        <v>6918.0414863645547</v>
      </c>
    </row>
    <row r="10" spans="1:51">
      <c r="A10" s="1850" t="s">
        <v>1420</v>
      </c>
      <c r="B10" s="1851"/>
      <c r="C10" s="1852">
        <f>SUM(D10:G10)</f>
        <v>970.32299165317386</v>
      </c>
      <c r="D10" s="1853">
        <v>970.32299165317386</v>
      </c>
      <c r="E10" s="1854"/>
      <c r="F10" s="1855"/>
      <c r="G10" s="1855"/>
      <c r="H10" s="1856">
        <f>SUM(I10:K10)</f>
        <v>497.52552670669769</v>
      </c>
      <c r="I10" s="1853">
        <v>497.52552670669769</v>
      </c>
      <c r="J10" s="1854">
        <v>0</v>
      </c>
      <c r="K10" s="1854"/>
      <c r="L10" s="1856">
        <f>SUM(M10:Y10)</f>
        <v>37.784884047061652</v>
      </c>
      <c r="M10" s="1854"/>
      <c r="N10" s="1854"/>
      <c r="O10" s="1854"/>
      <c r="P10" s="1854"/>
      <c r="Q10" s="1854"/>
      <c r="R10" s="3416">
        <v>33.292608944288524</v>
      </c>
      <c r="S10" s="1854"/>
      <c r="T10" s="1854">
        <v>4.4922751027731254</v>
      </c>
      <c r="U10" s="1854"/>
      <c r="V10" s="1855"/>
      <c r="W10" s="1855"/>
      <c r="X10" s="1855"/>
      <c r="Y10" s="1854"/>
      <c r="Z10" s="1856">
        <v>1829.9457145389074</v>
      </c>
      <c r="AA10" s="1857">
        <f>SUM(AB10:AI10)</f>
        <v>109.74668205542056</v>
      </c>
      <c r="AB10" s="1858"/>
      <c r="AC10" s="1854"/>
      <c r="AD10" s="1859">
        <v>72.991994604100796</v>
      </c>
      <c r="AE10" s="1859">
        <v>36.754687451319768</v>
      </c>
      <c r="AF10" s="1854"/>
      <c r="AG10" s="1854"/>
      <c r="AH10" s="1853"/>
      <c r="AI10" s="1855"/>
      <c r="AJ10" s="1860">
        <v>22.857128964614091</v>
      </c>
      <c r="AK10" s="1861"/>
      <c r="AL10" s="1857"/>
      <c r="AM10" s="1862">
        <f t="shared" si="0"/>
        <v>3468.1829279658755</v>
      </c>
    </row>
    <row r="11" spans="1:51">
      <c r="A11" s="1799" t="s">
        <v>1421</v>
      </c>
      <c r="B11" s="1800"/>
      <c r="C11" s="1863">
        <f>SUM(D11:G11)</f>
        <v>0</v>
      </c>
      <c r="D11" s="1806">
        <v>0</v>
      </c>
      <c r="E11" s="1807"/>
      <c r="F11" s="1804"/>
      <c r="G11" s="1804"/>
      <c r="H11" s="1864">
        <f>SUM(I11:K11)</f>
        <v>9.4132356226773783</v>
      </c>
      <c r="I11" s="1806">
        <v>9.4132356226773783</v>
      </c>
      <c r="J11" s="1807"/>
      <c r="K11" s="1807"/>
      <c r="L11" s="1864">
        <f>SUM(M11:Y11)</f>
        <v>5.6665366528031988</v>
      </c>
      <c r="M11" s="1807"/>
      <c r="N11" s="1865">
        <v>5.0546089151999993</v>
      </c>
      <c r="O11" s="1807"/>
      <c r="P11" s="1807"/>
      <c r="Q11" s="1807"/>
      <c r="R11" s="3417">
        <v>0</v>
      </c>
      <c r="S11" s="1807">
        <v>0.61192773760319985</v>
      </c>
      <c r="T11" s="1807">
        <v>0</v>
      </c>
      <c r="U11" s="1807"/>
      <c r="V11" s="1804"/>
      <c r="W11" s="1804"/>
      <c r="X11" s="1804"/>
      <c r="Y11" s="1807"/>
      <c r="Z11" s="1864">
        <v>268.07429530517408</v>
      </c>
      <c r="AA11" s="1808">
        <f>SUM(AB11:AI11)</f>
        <v>8.4693268600034415</v>
      </c>
      <c r="AB11" s="1809"/>
      <c r="AC11" s="1807"/>
      <c r="AD11" s="1866">
        <v>4.1186666009766029</v>
      </c>
      <c r="AE11" s="1807"/>
      <c r="AF11" s="1866">
        <v>4.3506602590268377</v>
      </c>
      <c r="AG11" s="1807"/>
      <c r="AH11" s="1806"/>
      <c r="AI11" s="1804"/>
      <c r="AJ11" s="1810"/>
      <c r="AK11" s="1810"/>
      <c r="AL11" s="1808"/>
      <c r="AM11" s="1812">
        <f t="shared" si="0"/>
        <v>291.6233944406581</v>
      </c>
    </row>
    <row r="12" spans="1:51">
      <c r="A12" s="1799" t="s">
        <v>1422</v>
      </c>
      <c r="B12" s="1800"/>
      <c r="C12" s="1801"/>
      <c r="D12" s="1806"/>
      <c r="E12" s="1807"/>
      <c r="F12" s="1804"/>
      <c r="G12" s="1804"/>
      <c r="H12" s="1805"/>
      <c r="I12" s="1806"/>
      <c r="J12" s="1807"/>
      <c r="K12" s="1807"/>
      <c r="L12" s="1805"/>
      <c r="M12" s="1807"/>
      <c r="N12" s="1865"/>
      <c r="O12" s="1807"/>
      <c r="P12" s="1807"/>
      <c r="Q12" s="1807"/>
      <c r="R12" s="1807"/>
      <c r="S12" s="1807"/>
      <c r="T12" s="1807"/>
      <c r="U12" s="1807"/>
      <c r="V12" s="1804"/>
      <c r="W12" s="1804"/>
      <c r="X12" s="1804"/>
      <c r="Y12" s="1807"/>
      <c r="Z12" s="1805"/>
      <c r="AA12" s="1808"/>
      <c r="AB12" s="1809"/>
      <c r="AC12" s="1807"/>
      <c r="AD12" s="1807"/>
      <c r="AE12" s="1807"/>
      <c r="AF12" s="1807"/>
      <c r="AG12" s="1807"/>
      <c r="AH12" s="1806"/>
      <c r="AI12" s="1804"/>
      <c r="AJ12" s="1810"/>
      <c r="AK12" s="1810">
        <v>50.326280660000002</v>
      </c>
      <c r="AL12" s="1808"/>
      <c r="AM12" s="1812">
        <f t="shared" si="0"/>
        <v>50.326280660000002</v>
      </c>
    </row>
    <row r="13" spans="1:51">
      <c r="A13" s="1799" t="s">
        <v>1423</v>
      </c>
      <c r="B13" s="1800"/>
      <c r="C13" s="1801">
        <f>SUM(D13:G13)</f>
        <v>0</v>
      </c>
      <c r="D13" s="1806"/>
      <c r="E13" s="1804"/>
      <c r="F13" s="1804"/>
      <c r="G13" s="1804"/>
      <c r="H13" s="1805">
        <f>SUM(I13:K13)</f>
        <v>131.61415629374525</v>
      </c>
      <c r="I13" s="1806">
        <v>131.61415629374525</v>
      </c>
      <c r="J13" s="1807"/>
      <c r="K13" s="1807"/>
      <c r="L13" s="1805">
        <f>SUM(M13:Y13)</f>
        <v>0</v>
      </c>
      <c r="M13" s="1807"/>
      <c r="N13" s="1807"/>
      <c r="O13" s="1807"/>
      <c r="P13" s="1807"/>
      <c r="Q13" s="1807"/>
      <c r="R13" s="1807"/>
      <c r="S13" s="1807"/>
      <c r="T13" s="1807"/>
      <c r="U13" s="1807"/>
      <c r="V13" s="1804"/>
      <c r="W13" s="1804"/>
      <c r="X13" s="1804"/>
      <c r="Y13" s="1807"/>
      <c r="Z13" s="1805"/>
      <c r="AA13" s="1808">
        <f>SUM(AB13:AI13)</f>
        <v>0</v>
      </c>
      <c r="AB13" s="1809"/>
      <c r="AC13" s="1807"/>
      <c r="AD13" s="1807"/>
      <c r="AE13" s="1807"/>
      <c r="AF13" s="1807"/>
      <c r="AG13" s="1807"/>
      <c r="AH13" s="1806"/>
      <c r="AI13" s="1804"/>
      <c r="AJ13" s="1810"/>
      <c r="AK13" s="1810"/>
      <c r="AL13" s="1808"/>
      <c r="AM13" s="1812">
        <f t="shared" si="0"/>
        <v>131.61415629374525</v>
      </c>
    </row>
    <row r="14" spans="1:51">
      <c r="A14" s="1867" t="s">
        <v>1424</v>
      </c>
      <c r="B14" s="1868"/>
      <c r="C14" s="1869">
        <f>SUM(D14:G14)</f>
        <v>0</v>
      </c>
      <c r="D14" s="1870"/>
      <c r="E14" s="1871"/>
      <c r="F14" s="1872"/>
      <c r="G14" s="1872"/>
      <c r="H14" s="1873">
        <f>SUM(I14:K14)</f>
        <v>0</v>
      </c>
      <c r="I14" s="1870"/>
      <c r="J14" s="1871"/>
      <c r="K14" s="1871"/>
      <c r="L14" s="1873">
        <f>SUM(M14:Y14)</f>
        <v>2902.1387999999997</v>
      </c>
      <c r="M14" s="1871">
        <v>2902.1387999999997</v>
      </c>
      <c r="N14" s="1871"/>
      <c r="O14" s="1871"/>
      <c r="P14" s="1871"/>
      <c r="Q14" s="1871"/>
      <c r="R14" s="1871"/>
      <c r="S14" s="1871"/>
      <c r="T14" s="1871"/>
      <c r="U14" s="1871"/>
      <c r="V14" s="1872"/>
      <c r="W14" s="1872"/>
      <c r="X14" s="1872"/>
      <c r="Y14" s="1871"/>
      <c r="Z14" s="1873">
        <v>56.679093004276822</v>
      </c>
      <c r="AA14" s="1874">
        <f>SUM(AB14:AI14)</f>
        <v>0</v>
      </c>
      <c r="AB14" s="1875"/>
      <c r="AC14" s="1871"/>
      <c r="AD14" s="1871"/>
      <c r="AE14" s="1871"/>
      <c r="AF14" s="1871"/>
      <c r="AG14" s="1871"/>
      <c r="AH14" s="1870"/>
      <c r="AI14" s="1872"/>
      <c r="AJ14" s="1876"/>
      <c r="AK14" s="1876">
        <v>17.476834</v>
      </c>
      <c r="AL14" s="1874"/>
      <c r="AM14" s="1877">
        <f t="shared" si="0"/>
        <v>2976.2947270042764</v>
      </c>
    </row>
    <row r="15" spans="1:51">
      <c r="A15" s="1878" t="s">
        <v>1425</v>
      </c>
      <c r="B15" s="1879"/>
      <c r="C15" s="1880">
        <f t="shared" ref="C15:AL15" si="4">SUM(C16:C21)</f>
        <v>0</v>
      </c>
      <c r="D15" s="1881">
        <f t="shared" si="4"/>
        <v>0</v>
      </c>
      <c r="E15" s="1882">
        <f t="shared" si="4"/>
        <v>0</v>
      </c>
      <c r="F15" s="1883">
        <f t="shared" si="4"/>
        <v>0</v>
      </c>
      <c r="G15" s="1883">
        <f t="shared" si="4"/>
        <v>0</v>
      </c>
      <c r="H15" s="1884">
        <f t="shared" si="4"/>
        <v>106.10514499999999</v>
      </c>
      <c r="I15" s="1881">
        <f t="shared" si="4"/>
        <v>0</v>
      </c>
      <c r="J15" s="1882">
        <f t="shared" si="4"/>
        <v>0</v>
      </c>
      <c r="K15" s="1882">
        <f t="shared" si="4"/>
        <v>106.10514499999999</v>
      </c>
      <c r="L15" s="1884">
        <f t="shared" si="4"/>
        <v>2931.9411907781869</v>
      </c>
      <c r="M15" s="1882">
        <f t="shared" si="4"/>
        <v>0</v>
      </c>
      <c r="N15" s="1882">
        <f t="shared" si="4"/>
        <v>69.086897826126389</v>
      </c>
      <c r="O15" s="1882">
        <f t="shared" si="4"/>
        <v>562.92173059764002</v>
      </c>
      <c r="P15" s="1882">
        <f t="shared" si="4"/>
        <v>111.32215516240002</v>
      </c>
      <c r="Q15" s="1882">
        <f t="shared" si="4"/>
        <v>0</v>
      </c>
      <c r="R15" s="1882">
        <f t="shared" si="4"/>
        <v>916.87017170280012</v>
      </c>
      <c r="S15" s="1882">
        <f t="shared" si="4"/>
        <v>70.984914459900011</v>
      </c>
      <c r="T15" s="1882">
        <f t="shared" si="4"/>
        <v>1179.2461476955775</v>
      </c>
      <c r="U15" s="1882">
        <f t="shared" si="4"/>
        <v>0</v>
      </c>
      <c r="V15" s="1883">
        <f t="shared" si="4"/>
        <v>21.509173333743</v>
      </c>
      <c r="W15" s="1883">
        <f t="shared" si="4"/>
        <v>0</v>
      </c>
      <c r="X15" s="1883">
        <f t="shared" si="4"/>
        <v>0</v>
      </c>
      <c r="Y15" s="1882">
        <f t="shared" si="4"/>
        <v>0</v>
      </c>
      <c r="Z15" s="1884">
        <f t="shared" si="4"/>
        <v>0</v>
      </c>
      <c r="AA15" s="1885">
        <f t="shared" si="4"/>
        <v>41.371915039624923</v>
      </c>
      <c r="AB15" s="1886">
        <f t="shared" si="4"/>
        <v>0</v>
      </c>
      <c r="AC15" s="1882">
        <f t="shared" si="4"/>
        <v>0</v>
      </c>
      <c r="AD15" s="1882">
        <f t="shared" si="4"/>
        <v>25.744375002468466</v>
      </c>
      <c r="AE15" s="1887">
        <f t="shared" si="4"/>
        <v>13.557483702156457</v>
      </c>
      <c r="AF15" s="1887">
        <f t="shared" si="4"/>
        <v>2.0700563349999994</v>
      </c>
      <c r="AG15" s="1887">
        <f t="shared" si="4"/>
        <v>0</v>
      </c>
      <c r="AH15" s="1881">
        <f t="shared" si="4"/>
        <v>0</v>
      </c>
      <c r="AI15" s="1883">
        <f t="shared" si="4"/>
        <v>0</v>
      </c>
      <c r="AJ15" s="1884">
        <f t="shared" si="4"/>
        <v>5.2130909864396546</v>
      </c>
      <c r="AK15" s="1888">
        <f>SUM(AK16:AK21)</f>
        <v>1806.0112535105843</v>
      </c>
      <c r="AL15" s="1885">
        <f t="shared" si="4"/>
        <v>0</v>
      </c>
      <c r="AM15" s="1889">
        <f t="shared" si="0"/>
        <v>4890.6425953148355</v>
      </c>
    </row>
    <row r="16" spans="1:51">
      <c r="A16" s="1850" t="s">
        <v>1420</v>
      </c>
      <c r="B16" s="1851"/>
      <c r="C16" s="1890">
        <f>SUM(D16:G16)</f>
        <v>0</v>
      </c>
      <c r="D16" s="1853"/>
      <c r="E16" s="1854"/>
      <c r="F16" s="1855"/>
      <c r="G16" s="1855"/>
      <c r="H16" s="1861">
        <f>SUM(I16:K16)</f>
        <v>0</v>
      </c>
      <c r="I16" s="1853"/>
      <c r="J16" s="1854"/>
      <c r="K16" s="1854"/>
      <c r="L16" s="1861">
        <f>SUM(M16:Y16)</f>
        <v>0</v>
      </c>
      <c r="M16" s="1854"/>
      <c r="N16" s="1854"/>
      <c r="O16" s="1854"/>
      <c r="P16" s="1854"/>
      <c r="Q16" s="1854"/>
      <c r="R16" s="1854"/>
      <c r="S16" s="1854"/>
      <c r="T16" s="1854"/>
      <c r="U16" s="1854"/>
      <c r="V16" s="1855"/>
      <c r="W16" s="1855"/>
      <c r="X16" s="1855"/>
      <c r="Y16" s="1854" t="s">
        <v>5</v>
      </c>
      <c r="Z16" s="1861"/>
      <c r="AA16" s="1857">
        <f>SUM(AB16:AI16)</f>
        <v>37.973653720624924</v>
      </c>
      <c r="AB16" s="1858"/>
      <c r="AC16" s="1854"/>
      <c r="AD16" s="1854">
        <v>24.416170018468467</v>
      </c>
      <c r="AE16" s="1865">
        <v>13.557483702156457</v>
      </c>
      <c r="AF16" s="1865"/>
      <c r="AG16" s="1865" t="s">
        <v>5</v>
      </c>
      <c r="AH16" s="1853"/>
      <c r="AI16" s="1855"/>
      <c r="AJ16" s="1891">
        <v>5.2130909864396546</v>
      </c>
      <c r="AK16" s="1891">
        <v>1599.486447405845</v>
      </c>
      <c r="AL16" s="1857"/>
      <c r="AM16" s="1892">
        <f>C16+H16+L16+Z16+AK16+AL16</f>
        <v>1599.486447405845</v>
      </c>
    </row>
    <row r="17" spans="1:51">
      <c r="A17" s="1799" t="s">
        <v>1426</v>
      </c>
      <c r="B17" s="1800"/>
      <c r="C17" s="1801">
        <f>SUM(D17:G17)</f>
        <v>0</v>
      </c>
      <c r="D17" s="1806"/>
      <c r="E17" s="1807"/>
      <c r="F17" s="1804"/>
      <c r="G17" s="1804"/>
      <c r="H17" s="1805">
        <f>SUM(I17:K17)</f>
        <v>0</v>
      </c>
      <c r="I17" s="1806"/>
      <c r="J17" s="1807"/>
      <c r="K17" s="1807"/>
      <c r="L17" s="1805">
        <f>SUM(M17:Y17)</f>
        <v>0</v>
      </c>
      <c r="M17" s="1807"/>
      <c r="N17" s="1807"/>
      <c r="O17" s="1807"/>
      <c r="P17" s="1807"/>
      <c r="Q17" s="1807"/>
      <c r="R17" s="1807"/>
      <c r="S17" s="1807"/>
      <c r="T17" s="1807"/>
      <c r="U17" s="1807"/>
      <c r="V17" s="1804"/>
      <c r="W17" s="1804"/>
      <c r="X17" s="1804"/>
      <c r="Y17" s="1807"/>
      <c r="Z17" s="1805"/>
      <c r="AA17" s="1808">
        <f>SUM(AB17:AI17)</f>
        <v>3.3982613189999995</v>
      </c>
      <c r="AB17" s="1809"/>
      <c r="AC17" s="1807"/>
      <c r="AD17" s="1807">
        <v>1.3282049839999999</v>
      </c>
      <c r="AE17" s="1807"/>
      <c r="AF17" s="1807">
        <v>2.0700563349999994</v>
      </c>
      <c r="AG17" s="1807"/>
      <c r="AH17" s="1806"/>
      <c r="AI17" s="1804"/>
      <c r="AJ17" s="1810"/>
      <c r="AK17" s="1893">
        <v>176.87821724765129</v>
      </c>
      <c r="AL17" s="1808"/>
      <c r="AM17" s="1812">
        <f>C17+H17+L17+Z17+AK17+AL17</f>
        <v>176.87821724765129</v>
      </c>
    </row>
    <row r="18" spans="1:51">
      <c r="A18" s="1799" t="s">
        <v>1427</v>
      </c>
      <c r="B18" s="1800"/>
      <c r="C18" s="1801"/>
      <c r="D18" s="1806"/>
      <c r="E18" s="1807"/>
      <c r="F18" s="1804"/>
      <c r="G18" s="1804"/>
      <c r="H18" s="1805"/>
      <c r="I18" s="1806"/>
      <c r="J18" s="1807"/>
      <c r="K18" s="1807"/>
      <c r="L18" s="1805"/>
      <c r="M18" s="1807"/>
      <c r="N18" s="1807"/>
      <c r="O18" s="1807"/>
      <c r="P18" s="1807"/>
      <c r="Q18" s="1807"/>
      <c r="R18" s="1807"/>
      <c r="S18" s="1807"/>
      <c r="T18" s="1807"/>
      <c r="U18" s="1807"/>
      <c r="V18" s="1804"/>
      <c r="W18" s="1804"/>
      <c r="X18" s="1804"/>
      <c r="Y18" s="1807"/>
      <c r="Z18" s="1805"/>
      <c r="AA18" s="1808">
        <f>SUM(AB18:AI18)</f>
        <v>0</v>
      </c>
      <c r="AB18" s="1809"/>
      <c r="AC18" s="1807"/>
      <c r="AD18" s="1807"/>
      <c r="AE18" s="1807"/>
      <c r="AF18" s="1807"/>
      <c r="AG18" s="1807"/>
      <c r="AH18" s="1806"/>
      <c r="AI18" s="1804"/>
      <c r="AJ18" s="1810"/>
      <c r="AK18" s="1810"/>
      <c r="AL18" s="1808"/>
      <c r="AM18" s="1812">
        <f t="shared" si="0"/>
        <v>0</v>
      </c>
    </row>
    <row r="19" spans="1:51">
      <c r="A19" s="1799" t="s">
        <v>1428</v>
      </c>
      <c r="B19" s="1800"/>
      <c r="C19" s="1801"/>
      <c r="D19" s="1806"/>
      <c r="E19" s="1807"/>
      <c r="F19" s="1804"/>
      <c r="G19" s="1804"/>
      <c r="H19" s="1805"/>
      <c r="I19" s="1806"/>
      <c r="J19" s="1807"/>
      <c r="K19" s="1807"/>
      <c r="L19" s="1805"/>
      <c r="M19" s="1807"/>
      <c r="N19" s="1807"/>
      <c r="O19" s="1807"/>
      <c r="P19" s="1807"/>
      <c r="Q19" s="1807"/>
      <c r="R19" s="1807"/>
      <c r="S19" s="1807"/>
      <c r="T19" s="1807"/>
      <c r="U19" s="1807"/>
      <c r="V19" s="1804"/>
      <c r="W19" s="1804"/>
      <c r="X19" s="1804"/>
      <c r="Y19" s="1807"/>
      <c r="Z19" s="1805"/>
      <c r="AA19" s="1808"/>
      <c r="AB19" s="1809"/>
      <c r="AC19" s="1807"/>
      <c r="AD19" s="1807"/>
      <c r="AE19" s="1807"/>
      <c r="AF19" s="1807"/>
      <c r="AG19" s="1807"/>
      <c r="AH19" s="1806"/>
      <c r="AI19" s="1804"/>
      <c r="AJ19" s="1810"/>
      <c r="AK19" s="1810">
        <v>29.646588857087998</v>
      </c>
      <c r="AL19" s="1808"/>
      <c r="AM19" s="1812">
        <f t="shared" si="0"/>
        <v>29.646588857087998</v>
      </c>
    </row>
    <row r="20" spans="1:51">
      <c r="A20" s="1799" t="s">
        <v>1423</v>
      </c>
      <c r="B20" s="1800"/>
      <c r="C20" s="1801"/>
      <c r="D20" s="1894"/>
      <c r="E20" s="1807"/>
      <c r="F20" s="1804"/>
      <c r="G20" s="1804"/>
      <c r="H20" s="1805">
        <f>SUM(I20:K20)</f>
        <v>106.10514499999999</v>
      </c>
      <c r="I20" s="1806"/>
      <c r="J20" s="1807"/>
      <c r="K20" s="1807">
        <v>106.10514499999999</v>
      </c>
      <c r="L20" s="1805">
        <f>SUM(M20:Y20)</f>
        <v>0</v>
      </c>
      <c r="M20" s="1807"/>
      <c r="N20" s="1807"/>
      <c r="O20" s="1807"/>
      <c r="P20" s="1807"/>
      <c r="Q20" s="1807"/>
      <c r="R20" s="1807"/>
      <c r="S20" s="1807"/>
      <c r="T20" s="1807"/>
      <c r="U20" s="1807"/>
      <c r="V20" s="1804"/>
      <c r="W20" s="1804"/>
      <c r="X20" s="1804"/>
      <c r="Y20" s="1807"/>
      <c r="Z20" s="1805"/>
      <c r="AA20" s="1808">
        <f>SUM(AB20:AI20)</f>
        <v>0</v>
      </c>
      <c r="AB20" s="1809"/>
      <c r="AC20" s="1807"/>
      <c r="AD20" s="1807"/>
      <c r="AE20" s="1807"/>
      <c r="AF20" s="1807" t="s">
        <v>5</v>
      </c>
      <c r="AG20" s="1807"/>
      <c r="AH20" s="1806"/>
      <c r="AI20" s="1804"/>
      <c r="AJ20" s="1810"/>
      <c r="AK20" s="1810"/>
      <c r="AL20" s="1808"/>
      <c r="AM20" s="1812">
        <f t="shared" si="0"/>
        <v>106.10514499999999</v>
      </c>
    </row>
    <row r="21" spans="1:51">
      <c r="A21" s="1867" t="s">
        <v>1429</v>
      </c>
      <c r="B21" s="1868"/>
      <c r="C21" s="1869"/>
      <c r="D21" s="1870"/>
      <c r="E21" s="1871"/>
      <c r="F21" s="1872"/>
      <c r="G21" s="1872"/>
      <c r="H21" s="1873">
        <f>SUM(I21:K21)</f>
        <v>0</v>
      </c>
      <c r="I21" s="1870"/>
      <c r="J21" s="1871"/>
      <c r="K21" s="1871"/>
      <c r="L21" s="1873">
        <f>SUM(M21:Y21)</f>
        <v>2931.9411907781869</v>
      </c>
      <c r="M21" s="1871"/>
      <c r="N21" s="1871">
        <v>69.086897826126389</v>
      </c>
      <c r="O21" s="1871">
        <v>562.92173059764002</v>
      </c>
      <c r="P21" s="1871">
        <v>111.32215516240002</v>
      </c>
      <c r="Q21" s="1871">
        <v>0</v>
      </c>
      <c r="R21" s="1871">
        <v>916.87017170280012</v>
      </c>
      <c r="S21" s="1871">
        <v>70.984914459900011</v>
      </c>
      <c r="T21" s="1871">
        <v>1179.2461476955775</v>
      </c>
      <c r="U21" s="1871"/>
      <c r="V21" s="1872">
        <v>21.509173333743</v>
      </c>
      <c r="W21" s="1872"/>
      <c r="X21" s="1872"/>
      <c r="Y21" s="1871"/>
      <c r="Z21" s="1873"/>
      <c r="AA21" s="1874">
        <f>SUM(AB21:AI21)</f>
        <v>0</v>
      </c>
      <c r="AB21" s="1875"/>
      <c r="AC21" s="1871"/>
      <c r="AD21" s="1871"/>
      <c r="AE21" s="1871"/>
      <c r="AF21" s="1871"/>
      <c r="AG21" s="1871"/>
      <c r="AH21" s="1870"/>
      <c r="AI21" s="1872"/>
      <c r="AJ21" s="1876"/>
      <c r="AK21" s="1876"/>
      <c r="AL21" s="1874"/>
      <c r="AM21" s="1877">
        <f t="shared" si="0"/>
        <v>2931.9411907781869</v>
      </c>
    </row>
    <row r="22" spans="1:51">
      <c r="A22" s="1895" t="s">
        <v>1430</v>
      </c>
      <c r="B22" s="1896"/>
      <c r="C22" s="1897">
        <f>SUM(C23:C25)</f>
        <v>23.921544282453681</v>
      </c>
      <c r="D22" s="1898">
        <f>SUM(D23:D25)</f>
        <v>-14.006230000000002</v>
      </c>
      <c r="E22" s="1899">
        <f>SUM(E23:E25)</f>
        <v>37.927774282453683</v>
      </c>
      <c r="F22" s="1900">
        <f>SUM(F23:F25)</f>
        <v>0</v>
      </c>
      <c r="G22" s="1900">
        <f>SUM(G23:G25)</f>
        <v>0</v>
      </c>
      <c r="H22" s="1901">
        <f>SUM(I22:K22)</f>
        <v>0</v>
      </c>
      <c r="I22" s="1898">
        <f>SUM(I23:I25)</f>
        <v>0</v>
      </c>
      <c r="J22" s="1899">
        <f>SUM(J23:J25)</f>
        <v>0</v>
      </c>
      <c r="K22" s="1899">
        <f>SUM(K23:K25)</f>
        <v>0</v>
      </c>
      <c r="L22" s="1901">
        <f>SUM(M22:Y22)</f>
        <v>-25.785691024854437</v>
      </c>
      <c r="M22" s="1899">
        <f t="shared" ref="M22:AM22" si="5">SUM(M23:M25)</f>
        <v>0</v>
      </c>
      <c r="N22" s="1899">
        <f t="shared" si="5"/>
        <v>0</v>
      </c>
      <c r="O22" s="1899">
        <f t="shared" si="5"/>
        <v>0.27860952222222218</v>
      </c>
      <c r="P22" s="1899">
        <f t="shared" si="5"/>
        <v>218.03413355360001</v>
      </c>
      <c r="Q22" s="1899">
        <f t="shared" si="5"/>
        <v>-217.84516094495999</v>
      </c>
      <c r="R22" s="1899">
        <f t="shared" si="5"/>
        <v>1.7216905209039548</v>
      </c>
      <c r="S22" s="1899">
        <f t="shared" si="5"/>
        <v>0</v>
      </c>
      <c r="T22" s="1899">
        <f t="shared" si="5"/>
        <v>-4.0534193941669514</v>
      </c>
      <c r="U22" s="1899">
        <f t="shared" si="5"/>
        <v>-23.921544282453681</v>
      </c>
      <c r="V22" s="1900">
        <f t="shared" si="5"/>
        <v>0</v>
      </c>
      <c r="W22" s="1900">
        <f t="shared" si="5"/>
        <v>0</v>
      </c>
      <c r="X22" s="1900">
        <f t="shared" si="5"/>
        <v>0</v>
      </c>
      <c r="Y22" s="1899">
        <f t="shared" si="5"/>
        <v>0</v>
      </c>
      <c r="Z22" s="1901">
        <f t="shared" si="5"/>
        <v>0</v>
      </c>
      <c r="AA22" s="1902">
        <f t="shared" si="5"/>
        <v>-440.32016994563185</v>
      </c>
      <c r="AB22" s="1903">
        <f t="shared" si="5"/>
        <v>-49.749924665631987</v>
      </c>
      <c r="AC22" s="1899">
        <f t="shared" si="5"/>
        <v>-390.57024527999988</v>
      </c>
      <c r="AD22" s="1899">
        <f t="shared" si="5"/>
        <v>0</v>
      </c>
      <c r="AE22" s="1904">
        <f t="shared" si="5"/>
        <v>0</v>
      </c>
      <c r="AF22" s="1904">
        <f t="shared" si="5"/>
        <v>0</v>
      </c>
      <c r="AG22" s="1904">
        <f t="shared" si="5"/>
        <v>0</v>
      </c>
      <c r="AH22" s="1898">
        <f t="shared" si="5"/>
        <v>0</v>
      </c>
      <c r="AI22" s="1900">
        <f t="shared" si="5"/>
        <v>0</v>
      </c>
      <c r="AJ22" s="1905">
        <f t="shared" si="5"/>
        <v>0</v>
      </c>
      <c r="AK22" s="1906">
        <f t="shared" si="5"/>
        <v>440.32016994563185</v>
      </c>
      <c r="AL22" s="1902">
        <f t="shared" si="5"/>
        <v>0</v>
      </c>
      <c r="AM22" s="1907">
        <f t="shared" si="5"/>
        <v>-1.8641467424007558</v>
      </c>
    </row>
    <row r="23" spans="1:51">
      <c r="A23" s="1850" t="s">
        <v>1242</v>
      </c>
      <c r="B23" s="1851"/>
      <c r="C23" s="1908"/>
      <c r="D23" s="1909"/>
      <c r="E23" s="1910"/>
      <c r="F23" s="1855"/>
      <c r="G23" s="1855"/>
      <c r="H23" s="1861"/>
      <c r="I23" s="1911"/>
      <c r="J23" s="1854"/>
      <c r="K23" s="1854"/>
      <c r="L23" s="1861"/>
      <c r="M23" s="1854"/>
      <c r="N23" s="1854"/>
      <c r="O23" s="1854"/>
      <c r="P23" s="1854"/>
      <c r="Q23" s="1854"/>
      <c r="R23" s="1854"/>
      <c r="S23" s="1854"/>
      <c r="T23" s="1854"/>
      <c r="U23" s="1854"/>
      <c r="V23" s="1855"/>
      <c r="W23" s="1855"/>
      <c r="X23" s="1855"/>
      <c r="Y23" s="1854"/>
      <c r="Z23" s="1861"/>
      <c r="AA23" s="1857">
        <f>SUM(AB23:AI23)</f>
        <v>-440.32016994563185</v>
      </c>
      <c r="AB23" s="1858">
        <f>-AB2</f>
        <v>-49.749924665631987</v>
      </c>
      <c r="AC23" s="1854">
        <f>-AC2</f>
        <v>-390.57024527999988</v>
      </c>
      <c r="AD23" s="1854"/>
      <c r="AE23" s="1865"/>
      <c r="AF23" s="1865"/>
      <c r="AG23" s="1865"/>
      <c r="AH23" s="1853"/>
      <c r="AI23" s="1855"/>
      <c r="AJ23" s="1891"/>
      <c r="AK23" s="1861">
        <f>-(C23+H23+L23+Z23+AA23)</f>
        <v>440.32016994563185</v>
      </c>
      <c r="AL23" s="1857"/>
      <c r="AM23" s="1892">
        <f>C23+H23+L23+Z23+AA23+AJ23+AK23+AL23</f>
        <v>0</v>
      </c>
    </row>
    <row r="24" spans="1:51">
      <c r="A24" s="1912" t="s">
        <v>1431</v>
      </c>
      <c r="B24" s="1879"/>
      <c r="C24" s="1913"/>
      <c r="D24" s="1914"/>
      <c r="E24" s="1882"/>
      <c r="F24" s="1915"/>
      <c r="G24" s="1915"/>
      <c r="H24" s="1884"/>
      <c r="I24" s="1916"/>
      <c r="J24" s="1917"/>
      <c r="K24" s="1917"/>
      <c r="L24" s="1884"/>
      <c r="M24" s="1917"/>
      <c r="N24" s="1917"/>
      <c r="O24" s="1917"/>
      <c r="P24" s="1917"/>
      <c r="Q24" s="1917"/>
      <c r="R24" s="1917"/>
      <c r="S24" s="1917"/>
      <c r="T24" s="1917"/>
      <c r="U24" s="1917"/>
      <c r="V24" s="1915"/>
      <c r="W24" s="1915"/>
      <c r="X24" s="1915"/>
      <c r="Y24" s="1917"/>
      <c r="Z24" s="1884"/>
      <c r="AA24" s="1885"/>
      <c r="AB24" s="1918"/>
      <c r="AC24" s="1917"/>
      <c r="AD24" s="1917"/>
      <c r="AE24" s="1917"/>
      <c r="AF24" s="1917"/>
      <c r="AG24" s="1917"/>
      <c r="AH24" s="1919"/>
      <c r="AI24" s="1915"/>
      <c r="AJ24" s="1920"/>
      <c r="AK24" s="1884"/>
      <c r="AL24" s="1885"/>
      <c r="AM24" s="1921">
        <f>C24+H24+L24+Z24+AA24+AJ24+AK24+AL24</f>
        <v>0</v>
      </c>
      <c r="AO24" t="s">
        <v>5</v>
      </c>
    </row>
    <row r="25" spans="1:51" ht="15.75" thickBot="1">
      <c r="A25" s="1814" t="s">
        <v>1432</v>
      </c>
      <c r="B25" s="1815"/>
      <c r="C25" s="1922">
        <f>SUM(D25:G25)</f>
        <v>23.921544282453681</v>
      </c>
      <c r="D25" s="1923">
        <v>-14.006230000000002</v>
      </c>
      <c r="E25" s="1822">
        <f>-D25-U25</f>
        <v>37.927774282453683</v>
      </c>
      <c r="F25" s="1817"/>
      <c r="G25" s="1817"/>
      <c r="H25" s="1818"/>
      <c r="I25" s="1924"/>
      <c r="J25" s="1822"/>
      <c r="K25" s="1822"/>
      <c r="L25" s="1818">
        <f>SUM(N25:Y25)</f>
        <v>-25.785691024854437</v>
      </c>
      <c r="M25" s="1822"/>
      <c r="N25" s="1822"/>
      <c r="O25" s="1822">
        <v>0.27860952222222218</v>
      </c>
      <c r="P25" s="1822">
        <v>218.03413355360001</v>
      </c>
      <c r="Q25" s="1822">
        <v>-217.84516094495999</v>
      </c>
      <c r="R25" s="1822">
        <v>1.7216905209039548</v>
      </c>
      <c r="S25" s="1822"/>
      <c r="T25" s="1822">
        <v>-4.0534193941669514</v>
      </c>
      <c r="U25" s="1817">
        <v>-23.921544282453681</v>
      </c>
      <c r="V25" s="1817"/>
      <c r="W25" s="1817"/>
      <c r="X25" s="1817"/>
      <c r="Y25" s="1822"/>
      <c r="Z25" s="1818"/>
      <c r="AA25" s="1818">
        <f>SUM(AB25:AI25)</f>
        <v>0</v>
      </c>
      <c r="AB25" s="1821"/>
      <c r="AC25" s="1822"/>
      <c r="AD25" s="1822"/>
      <c r="AE25" s="1822"/>
      <c r="AF25" s="1822"/>
      <c r="AG25" s="1822"/>
      <c r="AH25" s="1819"/>
      <c r="AI25" s="1817"/>
      <c r="AJ25" s="1823"/>
      <c r="AK25" s="1818"/>
      <c r="AL25" s="1820"/>
      <c r="AM25" s="1824">
        <f>C25+H25+L25+Z25+AA25+AJ25+AK25+AL25</f>
        <v>-1.8641467424007558</v>
      </c>
    </row>
    <row r="26" spans="1:51" ht="15.75" thickBot="1">
      <c r="A26" s="1878" t="s">
        <v>1433</v>
      </c>
      <c r="B26" s="1879"/>
      <c r="C26" s="1880">
        <f>SUM(D26:G26)</f>
        <v>0</v>
      </c>
      <c r="D26" s="1881"/>
      <c r="E26" s="1882"/>
      <c r="F26" s="1915"/>
      <c r="G26" s="1915"/>
      <c r="H26" s="1884">
        <f>SUM(I26:K26)</f>
        <v>16.322798391725023</v>
      </c>
      <c r="I26" s="1915">
        <v>16.322798391725023</v>
      </c>
      <c r="J26" s="1917"/>
      <c r="K26" s="1917"/>
      <c r="L26" s="1884">
        <f>SUM(N26:Y26)</f>
        <v>64.173292484910377</v>
      </c>
      <c r="M26" s="1917"/>
      <c r="N26" s="1917">
        <v>64.032288910926383</v>
      </c>
      <c r="O26" s="1917"/>
      <c r="P26" s="1917"/>
      <c r="Q26" s="1917"/>
      <c r="R26" s="1917">
        <v>0</v>
      </c>
      <c r="S26" s="1917">
        <v>0</v>
      </c>
      <c r="T26" s="1917">
        <v>0.14100357398400004</v>
      </c>
      <c r="U26" s="1917"/>
      <c r="V26" s="1915"/>
      <c r="W26" s="1915"/>
      <c r="X26" s="1915"/>
      <c r="Y26" s="1917"/>
      <c r="Z26" s="1884">
        <v>64.533120959999991</v>
      </c>
      <c r="AA26" s="1885">
        <f>SUM(AB26:AG26)</f>
        <v>0</v>
      </c>
      <c r="AB26" s="1886"/>
      <c r="AC26" s="1917"/>
      <c r="AD26" s="1917"/>
      <c r="AE26" s="1917"/>
      <c r="AF26" s="1917"/>
      <c r="AG26" s="1917"/>
      <c r="AH26" s="1919"/>
      <c r="AI26" s="1915"/>
      <c r="AJ26" s="1920"/>
      <c r="AK26" s="1888">
        <v>262.29409552794607</v>
      </c>
      <c r="AL26" s="1885"/>
      <c r="AM26" s="1921">
        <f>C26+H26+L26+Z26+AA26+AJ26+AK26+AL26</f>
        <v>407.32330736458147</v>
      </c>
    </row>
    <row r="27" spans="1:51" ht="15.75" thickBot="1">
      <c r="A27" s="1925" t="s">
        <v>1434</v>
      </c>
      <c r="B27" s="1926"/>
      <c r="C27" s="1927">
        <f>C7-C9+C15+C22-C26</f>
        <v>377.22241888132891</v>
      </c>
      <c r="D27" s="1928">
        <f t="shared" ref="D27:AL27" si="6">D7-D9+D15+D22-D26</f>
        <v>275.93063514696104</v>
      </c>
      <c r="E27" s="1929">
        <f t="shared" si="6"/>
        <v>83.946421980196959</v>
      </c>
      <c r="F27" s="1929">
        <f t="shared" si="6"/>
        <v>0</v>
      </c>
      <c r="G27" s="1929">
        <f t="shared" si="6"/>
        <v>17.345361754170852</v>
      </c>
      <c r="H27" s="1930">
        <f>H7-H9+H15+H22-H26</f>
        <v>174.35483053204672</v>
      </c>
      <c r="I27" s="1928">
        <f t="shared" si="6"/>
        <v>-38.255878467953089</v>
      </c>
      <c r="J27" s="1929">
        <f t="shared" si="6"/>
        <v>127.70399999999999</v>
      </c>
      <c r="K27" s="1929">
        <f t="shared" si="6"/>
        <v>84.906708999999992</v>
      </c>
      <c r="L27" s="1930">
        <f t="shared" si="6"/>
        <v>6441.1909759695345</v>
      </c>
      <c r="M27" s="1929">
        <f t="shared" si="6"/>
        <v>-1.8088945241993315</v>
      </c>
      <c r="N27" s="1929">
        <f t="shared" si="6"/>
        <v>0</v>
      </c>
      <c r="O27" s="1929">
        <f t="shared" si="6"/>
        <v>1217.5365310309733</v>
      </c>
      <c r="P27" s="1929">
        <f t="shared" si="6"/>
        <v>770.50993922448015</v>
      </c>
      <c r="Q27" s="1929">
        <f t="shared" si="6"/>
        <v>673.61264648016004</v>
      </c>
      <c r="R27" s="1929">
        <f t="shared" si="6"/>
        <v>146.22919987348337</v>
      </c>
      <c r="S27" s="1929">
        <f t="shared" si="6"/>
        <v>139.30311016636995</v>
      </c>
      <c r="T27" s="1929">
        <f t="shared" si="6"/>
        <v>3119.005414579744</v>
      </c>
      <c r="U27" s="1929">
        <f t="shared" si="6"/>
        <v>99.657019571590894</v>
      </c>
      <c r="V27" s="1929">
        <f t="shared" si="6"/>
        <v>-5.4831254563122478</v>
      </c>
      <c r="W27" s="1929">
        <f t="shared" si="6"/>
        <v>250.62076302324479</v>
      </c>
      <c r="X27" s="1929">
        <f t="shared" si="6"/>
        <v>1.0215719999999999</v>
      </c>
      <c r="Y27" s="1929">
        <f t="shared" si="6"/>
        <v>30.986800000000002</v>
      </c>
      <c r="Z27" s="1930">
        <f t="shared" si="6"/>
        <v>1652.686620944794</v>
      </c>
      <c r="AA27" s="1931">
        <f t="shared" ref="AA27:AJ27" si="7">AA7-AA9+AA22-AA26</f>
        <v>352.51252520364721</v>
      </c>
      <c r="AB27" s="1932">
        <f t="shared" si="7"/>
        <v>0</v>
      </c>
      <c r="AC27" s="1933">
        <f t="shared" si="7"/>
        <v>0</v>
      </c>
      <c r="AD27" s="1933">
        <f t="shared" si="7"/>
        <v>201.58421159003581</v>
      </c>
      <c r="AE27" s="1933">
        <f t="shared" si="7"/>
        <v>0</v>
      </c>
      <c r="AF27" s="1933">
        <f t="shared" si="7"/>
        <v>7.0646478825345875</v>
      </c>
      <c r="AG27" s="1933">
        <f t="shared" si="7"/>
        <v>99.356886071526858</v>
      </c>
      <c r="AH27" s="1934">
        <f t="shared" si="7"/>
        <v>11.278273490844283</v>
      </c>
      <c r="AI27" s="1935">
        <f t="shared" si="7"/>
        <v>33.2285061687056</v>
      </c>
      <c r="AJ27" s="1930">
        <f t="shared" si="7"/>
        <v>34.887415356111809</v>
      </c>
      <c r="AK27" s="1930">
        <f>AK7-AK9+AK15+AK22-AK26</f>
        <v>2098.47504424827</v>
      </c>
      <c r="AL27" s="1931">
        <f t="shared" si="6"/>
        <v>0</v>
      </c>
      <c r="AM27" s="1936">
        <f>C27+H27+L27+Z27+AA27+AJ27+AK27+AL27</f>
        <v>11131.329831135732</v>
      </c>
      <c r="AN27" t="s">
        <v>5</v>
      </c>
    </row>
    <row r="28" spans="1:51">
      <c r="A28" s="1937" t="s">
        <v>1435</v>
      </c>
      <c r="B28" s="1938"/>
      <c r="C28" s="1939">
        <f t="shared" ref="C28:U28" si="8">C29</f>
        <v>0</v>
      </c>
      <c r="D28" s="1934">
        <f t="shared" si="8"/>
        <v>0</v>
      </c>
      <c r="E28" s="1933">
        <f t="shared" si="8"/>
        <v>0</v>
      </c>
      <c r="F28" s="1940">
        <f t="shared" si="8"/>
        <v>0</v>
      </c>
      <c r="G28" s="1940">
        <f t="shared" si="8"/>
        <v>0</v>
      </c>
      <c r="H28" s="1834">
        <f t="shared" si="8"/>
        <v>0</v>
      </c>
      <c r="I28" s="1934">
        <f t="shared" si="8"/>
        <v>0</v>
      </c>
      <c r="J28" s="1933">
        <f t="shared" si="8"/>
        <v>0</v>
      </c>
      <c r="K28" s="1933">
        <f t="shared" si="8"/>
        <v>0</v>
      </c>
      <c r="L28" s="1834">
        <f t="shared" si="8"/>
        <v>282.62913502324477</v>
      </c>
      <c r="M28" s="1933">
        <f t="shared" si="8"/>
        <v>0</v>
      </c>
      <c r="N28" s="1933">
        <f t="shared" si="8"/>
        <v>0</v>
      </c>
      <c r="O28" s="1933">
        <f t="shared" si="8"/>
        <v>0</v>
      </c>
      <c r="P28" s="1933">
        <f t="shared" si="8"/>
        <v>0</v>
      </c>
      <c r="Q28" s="1933">
        <f t="shared" si="8"/>
        <v>0</v>
      </c>
      <c r="R28" s="1933">
        <f t="shared" si="8"/>
        <v>0</v>
      </c>
      <c r="S28" s="1933">
        <f t="shared" si="8"/>
        <v>0</v>
      </c>
      <c r="T28" s="1933">
        <f t="shared" si="8"/>
        <v>0</v>
      </c>
      <c r="U28" s="1933">
        <f t="shared" si="8"/>
        <v>0</v>
      </c>
      <c r="V28" s="1940"/>
      <c r="W28" s="1940">
        <f t="shared" ref="W28:AM28" si="9">W29</f>
        <v>250.62076302324479</v>
      </c>
      <c r="X28" s="1940">
        <f t="shared" si="9"/>
        <v>1.0215719999999999</v>
      </c>
      <c r="Y28" s="1933">
        <f t="shared" si="9"/>
        <v>30.986800000000002</v>
      </c>
      <c r="Z28" s="1834">
        <f t="shared" si="9"/>
        <v>0</v>
      </c>
      <c r="AA28" s="1941">
        <f t="shared" si="9"/>
        <v>0</v>
      </c>
      <c r="AB28" s="1932">
        <f t="shared" si="9"/>
        <v>0</v>
      </c>
      <c r="AC28" s="1933">
        <f t="shared" si="9"/>
        <v>0</v>
      </c>
      <c r="AD28" s="1933">
        <f t="shared" si="9"/>
        <v>0</v>
      </c>
      <c r="AE28" s="1933">
        <f t="shared" si="9"/>
        <v>0</v>
      </c>
      <c r="AF28" s="1933">
        <f t="shared" si="9"/>
        <v>0</v>
      </c>
      <c r="AG28" s="1933">
        <f t="shared" si="9"/>
        <v>0</v>
      </c>
      <c r="AH28" s="1934">
        <f t="shared" si="9"/>
        <v>0</v>
      </c>
      <c r="AI28" s="1940">
        <f t="shared" si="9"/>
        <v>0</v>
      </c>
      <c r="AJ28" s="1834">
        <f t="shared" si="9"/>
        <v>0</v>
      </c>
      <c r="AK28" s="1834">
        <f t="shared" si="9"/>
        <v>0</v>
      </c>
      <c r="AL28" s="1941">
        <f t="shared" si="9"/>
        <v>0</v>
      </c>
      <c r="AM28" s="1942">
        <f t="shared" si="9"/>
        <v>282.62913502324477</v>
      </c>
    </row>
    <row r="29" spans="1:51" ht="15.75" thickBot="1">
      <c r="A29" s="1943" t="s">
        <v>1436</v>
      </c>
      <c r="B29" s="1944"/>
      <c r="C29" s="1945">
        <f>SUM(D29:G29)</f>
        <v>0</v>
      </c>
      <c r="D29" s="1946"/>
      <c r="E29" s="1947"/>
      <c r="F29" s="1948"/>
      <c r="G29" s="1948"/>
      <c r="H29" s="1949">
        <f>SUM(I29:K29)</f>
        <v>0</v>
      </c>
      <c r="I29" s="1946"/>
      <c r="J29" s="1947"/>
      <c r="K29" s="1947"/>
      <c r="L29" s="1949">
        <f>SUM(M29:Y29)</f>
        <v>282.62913502324477</v>
      </c>
      <c r="M29" s="1947"/>
      <c r="N29" s="1947"/>
      <c r="O29" s="1947"/>
      <c r="P29" s="1947"/>
      <c r="Q29" s="1947"/>
      <c r="R29" s="1947"/>
      <c r="S29" s="1947"/>
      <c r="T29" s="1947"/>
      <c r="U29" s="1947"/>
      <c r="V29" s="1948"/>
      <c r="W29" s="1948">
        <f>W27</f>
        <v>250.62076302324479</v>
      </c>
      <c r="X29" s="1948">
        <f>X27</f>
        <v>1.0215719999999999</v>
      </c>
      <c r="Y29" s="1947">
        <f>Y27</f>
        <v>30.986800000000002</v>
      </c>
      <c r="Z29" s="1949">
        <v>0</v>
      </c>
      <c r="AA29" s="1950">
        <f>SUM(AB29:AG29)</f>
        <v>0</v>
      </c>
      <c r="AB29" s="1951"/>
      <c r="AC29" s="1947"/>
      <c r="AD29" s="1947"/>
      <c r="AE29" s="1947"/>
      <c r="AF29" s="1947"/>
      <c r="AG29" s="1947"/>
      <c r="AH29" s="1946"/>
      <c r="AI29" s="1948"/>
      <c r="AJ29" s="1949"/>
      <c r="AK29" s="1949"/>
      <c r="AL29" s="1950"/>
      <c r="AM29" s="1907">
        <f t="shared" ref="AM29:AM62" si="10">C29+H29+L29+Z29+AA29+AJ29+AK29+AL29</f>
        <v>282.62913502324477</v>
      </c>
      <c r="AQ29" t="s">
        <v>5</v>
      </c>
    </row>
    <row r="30" spans="1:51" s="39" customFormat="1" ht="15.75" thickBot="1">
      <c r="A30" s="1937" t="s">
        <v>1437</v>
      </c>
      <c r="B30" s="1938"/>
      <c r="C30" s="1939">
        <f>C31+C45+C56+C57+C60+C61</f>
        <v>355.24694530978604</v>
      </c>
      <c r="D30" s="1934">
        <f t="shared" ref="D30:AL30" si="11">D31+D45+D56+D57+D60+D61</f>
        <v>255.21025153970891</v>
      </c>
      <c r="E30" s="1933">
        <f t="shared" si="11"/>
        <v>82.736016353226802</v>
      </c>
      <c r="F30" s="1940">
        <f t="shared" si="11"/>
        <v>0</v>
      </c>
      <c r="G30" s="1940">
        <f t="shared" si="11"/>
        <v>17.300677416850384</v>
      </c>
      <c r="H30" s="1834">
        <f t="shared" si="11"/>
        <v>218.42612737107996</v>
      </c>
      <c r="I30" s="1934">
        <f t="shared" si="11"/>
        <v>0.48878637108</v>
      </c>
      <c r="J30" s="1934">
        <f t="shared" si="11"/>
        <v>127.70399999999999</v>
      </c>
      <c r="K30" s="1934">
        <f t="shared" si="11"/>
        <v>90.233340999999996</v>
      </c>
      <c r="L30" s="1834">
        <f t="shared" si="11"/>
        <v>6144.6053284692634</v>
      </c>
      <c r="M30" s="1933">
        <f t="shared" si="11"/>
        <v>0</v>
      </c>
      <c r="N30" s="1933">
        <f t="shared" si="11"/>
        <v>0</v>
      </c>
      <c r="O30" s="1933">
        <f t="shared" si="11"/>
        <v>1198.0684966718206</v>
      </c>
      <c r="P30" s="1933">
        <f t="shared" si="11"/>
        <v>784.43709282848022</v>
      </c>
      <c r="Q30" s="1933">
        <f t="shared" si="11"/>
        <v>605.67408192143989</v>
      </c>
      <c r="R30" s="1933">
        <f t="shared" si="11"/>
        <v>147.65848836278562</v>
      </c>
      <c r="S30" s="1933">
        <f t="shared" si="11"/>
        <v>166.03841963942563</v>
      </c>
      <c r="T30" s="1933">
        <f t="shared" si="11"/>
        <v>3143.3549979626691</v>
      </c>
      <c r="U30" s="1933">
        <f t="shared" si="11"/>
        <v>99.373081447071655</v>
      </c>
      <c r="V30" s="1940">
        <f t="shared" si="11"/>
        <v>0</v>
      </c>
      <c r="W30" s="1940">
        <f t="shared" si="11"/>
        <v>0</v>
      </c>
      <c r="X30" s="1940">
        <f t="shared" si="11"/>
        <v>0</v>
      </c>
      <c r="Y30" s="1934">
        <f t="shared" si="11"/>
        <v>0</v>
      </c>
      <c r="Z30" s="1930">
        <f t="shared" si="11"/>
        <v>1632.8307557916416</v>
      </c>
      <c r="AA30" s="1941">
        <f t="shared" si="11"/>
        <v>357.25490730694713</v>
      </c>
      <c r="AB30" s="1932">
        <f t="shared" si="11"/>
        <v>0</v>
      </c>
      <c r="AC30" s="1933">
        <f t="shared" si="11"/>
        <v>0</v>
      </c>
      <c r="AD30" s="1933">
        <f t="shared" si="11"/>
        <v>203.43893457881464</v>
      </c>
      <c r="AE30" s="1933">
        <f t="shared" si="11"/>
        <v>0</v>
      </c>
      <c r="AF30" s="1933">
        <f t="shared" si="11"/>
        <v>7.0646478825345884</v>
      </c>
      <c r="AG30" s="1933">
        <f t="shared" si="11"/>
        <v>102.24454518604799</v>
      </c>
      <c r="AH30" s="1941">
        <f t="shared" si="11"/>
        <v>11.278273490844281</v>
      </c>
      <c r="AI30" s="1941">
        <f t="shared" si="11"/>
        <v>33.2285061687056</v>
      </c>
      <c r="AJ30" s="1941">
        <f t="shared" si="11"/>
        <v>34.887415356111802</v>
      </c>
      <c r="AK30" s="1952">
        <f>AK31+AK45+AK56+AK57+AK60+AK61</f>
        <v>2081.4627342139997</v>
      </c>
      <c r="AL30" s="1941">
        <f t="shared" si="11"/>
        <v>0</v>
      </c>
      <c r="AM30" s="1936">
        <f t="shared" si="10"/>
        <v>10824.71421381883</v>
      </c>
      <c r="AR30"/>
      <c r="AS30"/>
      <c r="AT30"/>
      <c r="AU30"/>
      <c r="AV30"/>
      <c r="AW30"/>
      <c r="AX30"/>
      <c r="AY30"/>
    </row>
    <row r="31" spans="1:51">
      <c r="A31" s="1953" t="s">
        <v>1438</v>
      </c>
      <c r="B31" s="1954"/>
      <c r="C31" s="1955">
        <f>SUM(C32:C44)</f>
        <v>82.219260042000002</v>
      </c>
      <c r="D31" s="1956">
        <v>82.219260042000016</v>
      </c>
      <c r="E31" s="1956">
        <v>0</v>
      </c>
      <c r="F31" s="1957"/>
      <c r="G31" s="1957"/>
      <c r="H31" s="1958">
        <f t="shared" ref="H31:N31" si="12">SUM(H32:H44)</f>
        <v>0.52245437108000004</v>
      </c>
      <c r="I31" s="1959">
        <f t="shared" si="12"/>
        <v>0.48878637108</v>
      </c>
      <c r="J31" s="1956">
        <f t="shared" si="12"/>
        <v>0</v>
      </c>
      <c r="K31" s="1956">
        <f t="shared" si="12"/>
        <v>3.3667999999999997E-2</v>
      </c>
      <c r="L31" s="1958">
        <f t="shared" si="12"/>
        <v>545.57278694212334</v>
      </c>
      <c r="M31" s="1956">
        <f t="shared" si="12"/>
        <v>0</v>
      </c>
      <c r="N31" s="1956">
        <f t="shared" si="12"/>
        <v>0</v>
      </c>
      <c r="O31" s="1956">
        <v>0</v>
      </c>
      <c r="P31" s="1956">
        <v>78.443709282848019</v>
      </c>
      <c r="Q31" s="1956">
        <f>SUM(Q32:Q44)</f>
        <v>0</v>
      </c>
      <c r="R31" s="1956">
        <v>137.80948836278563</v>
      </c>
      <c r="S31" s="1956">
        <v>116.04864852827433</v>
      </c>
      <c r="T31" s="1956">
        <v>124.83742705869309</v>
      </c>
      <c r="U31" s="1956">
        <v>88.433513709522217</v>
      </c>
      <c r="V31" s="1957">
        <f>SUM(V32:V44)</f>
        <v>0</v>
      </c>
      <c r="W31" s="1957">
        <f>SUM(W32:W44)</f>
        <v>0</v>
      </c>
      <c r="X31" s="1957">
        <f>SUM(X32:X44)</f>
        <v>0</v>
      </c>
      <c r="Y31" s="1956">
        <f>SUM(Y32:Y44)</f>
        <v>0</v>
      </c>
      <c r="Z31" s="1958">
        <v>619.79891206117952</v>
      </c>
      <c r="AA31" s="1960">
        <f>SUM(AA32:AA44)</f>
        <v>152.56353231765456</v>
      </c>
      <c r="AB31" s="1961">
        <f>SUM(AB32:AB44)</f>
        <v>0</v>
      </c>
      <c r="AC31" s="1956">
        <f>SUM(AC32:AC44)</f>
        <v>0</v>
      </c>
      <c r="AD31" s="1956">
        <f>SUM(AD32:AD44)</f>
        <v>149.91866249310343</v>
      </c>
      <c r="AE31" s="1956"/>
      <c r="AF31" s="1956">
        <f>SUM(AF32:AF44)</f>
        <v>2.6448698245511522</v>
      </c>
      <c r="AG31" s="1956">
        <f>SUM(AG32:AG44)</f>
        <v>0</v>
      </c>
      <c r="AH31" s="1960">
        <f>SUM(AH32:AH44)</f>
        <v>0</v>
      </c>
      <c r="AI31" s="1956">
        <f>SUM(AI32:AI44)</f>
        <v>0</v>
      </c>
      <c r="AJ31" s="1958">
        <f>SUM(AJ32:AJ44)</f>
        <v>34.887415356111802</v>
      </c>
      <c r="AK31" s="1958">
        <v>798.88824686564658</v>
      </c>
      <c r="AL31" s="1960">
        <f>SUM(AL32:AL44)</f>
        <v>0</v>
      </c>
      <c r="AM31" s="1849">
        <f t="shared" si="10"/>
        <v>2234.4526079557959</v>
      </c>
    </row>
    <row r="32" spans="1:51">
      <c r="A32" s="1962" t="s">
        <v>1439</v>
      </c>
      <c r="B32" s="1963" t="s">
        <v>1440</v>
      </c>
      <c r="C32" s="1964">
        <f t="shared" ref="C32:C44" si="13">SUM(D32:G32)</f>
        <v>0</v>
      </c>
      <c r="D32" s="1865">
        <v>0</v>
      </c>
      <c r="E32" s="1865"/>
      <c r="F32" s="1965"/>
      <c r="G32" s="1965"/>
      <c r="H32" s="1966">
        <f t="shared" ref="H32:H44" si="14">SUM(I32:K32)</f>
        <v>0</v>
      </c>
      <c r="I32" s="1967"/>
      <c r="J32" s="1865"/>
      <c r="K32" s="1865"/>
      <c r="L32" s="1968">
        <f t="shared" ref="L32:L44" si="15">SUM(M32:Y32)</f>
        <v>33.98910728771299</v>
      </c>
      <c r="M32" s="1865"/>
      <c r="N32" s="1865"/>
      <c r="O32" s="1865"/>
      <c r="P32" s="1865">
        <v>2.4754363462996674</v>
      </c>
      <c r="Q32" s="1865"/>
      <c r="R32" s="1865">
        <v>1.5844179946268726</v>
      </c>
      <c r="S32" s="1865">
        <v>0.19745914179573543</v>
      </c>
      <c r="T32" s="1865">
        <v>29.731793804990716</v>
      </c>
      <c r="U32" s="1865">
        <v>0</v>
      </c>
      <c r="V32" s="1965"/>
      <c r="W32" s="1965"/>
      <c r="X32" s="1965"/>
      <c r="Y32" s="1865"/>
      <c r="Z32" s="1969">
        <v>10.292115108272071</v>
      </c>
      <c r="AA32" s="1970">
        <f t="shared" ref="AA32:AA44" si="16">SUM(AB32:AI32)</f>
        <v>0</v>
      </c>
      <c r="AB32" s="1971"/>
      <c r="AC32" s="1865"/>
      <c r="AD32" s="1865"/>
      <c r="AE32" s="1865"/>
      <c r="AF32" s="1865"/>
      <c r="AG32" s="1865"/>
      <c r="AH32" s="1911"/>
      <c r="AI32" s="1865"/>
      <c r="AJ32" s="1891"/>
      <c r="AK32" s="1969">
        <v>57.286633006758159</v>
      </c>
      <c r="AL32" s="1970"/>
      <c r="AM32" s="1862">
        <f t="shared" si="10"/>
        <v>101.56785540274322</v>
      </c>
    </row>
    <row r="33" spans="1:39">
      <c r="A33" s="1972" t="s">
        <v>1441</v>
      </c>
      <c r="B33" s="1973" t="s">
        <v>1442</v>
      </c>
      <c r="C33" s="1801">
        <f t="shared" si="13"/>
        <v>20.726781422000002</v>
      </c>
      <c r="D33" s="1865">
        <v>20.726781422000002</v>
      </c>
      <c r="E33" s="1807"/>
      <c r="F33" s="1804"/>
      <c r="G33" s="1804"/>
      <c r="H33" s="1805">
        <f t="shared" si="14"/>
        <v>0.48878637108</v>
      </c>
      <c r="I33" s="1806">
        <v>0.48878637108</v>
      </c>
      <c r="J33" s="1807"/>
      <c r="K33" s="1807"/>
      <c r="L33" s="1974">
        <f t="shared" si="15"/>
        <v>136.94424575818903</v>
      </c>
      <c r="M33" s="1807"/>
      <c r="N33" s="1807"/>
      <c r="O33" s="1865"/>
      <c r="P33" s="1865">
        <v>46.083753569176373</v>
      </c>
      <c r="Q33" s="1807"/>
      <c r="R33" s="1865">
        <v>29.496184995465192</v>
      </c>
      <c r="S33" s="1865">
        <v>33.090330375124047</v>
      </c>
      <c r="T33" s="1865">
        <v>28.273976818423428</v>
      </c>
      <c r="U33" s="1865">
        <v>0</v>
      </c>
      <c r="V33" s="1804"/>
      <c r="W33" s="1804"/>
      <c r="X33" s="1804"/>
      <c r="Y33" s="1807"/>
      <c r="Z33" s="1975">
        <v>90.492345917750342</v>
      </c>
      <c r="AA33" s="1808">
        <f t="shared" si="16"/>
        <v>27.819140998903151</v>
      </c>
      <c r="AB33" s="1809"/>
      <c r="AC33" s="1807"/>
      <c r="AD33" s="1807">
        <v>25.174271174352</v>
      </c>
      <c r="AE33" s="1865"/>
      <c r="AF33" s="1865">
        <v>2.6448698245511522</v>
      </c>
      <c r="AG33" s="1865"/>
      <c r="AH33" s="1976"/>
      <c r="AI33" s="1807"/>
      <c r="AJ33" s="1810"/>
      <c r="AK33" s="1975">
        <v>170.29995014929091</v>
      </c>
      <c r="AL33" s="1808"/>
      <c r="AM33" s="1812">
        <f t="shared" si="10"/>
        <v>446.77125061721341</v>
      </c>
    </row>
    <row r="34" spans="1:39">
      <c r="A34" s="1972" t="s">
        <v>1443</v>
      </c>
      <c r="B34" s="1977" t="s">
        <v>1444</v>
      </c>
      <c r="C34" s="1801">
        <f t="shared" si="13"/>
        <v>0</v>
      </c>
      <c r="D34" s="1865">
        <v>0</v>
      </c>
      <c r="E34" s="1807"/>
      <c r="F34" s="1804"/>
      <c r="G34" s="1804"/>
      <c r="H34" s="1805">
        <f t="shared" si="14"/>
        <v>0</v>
      </c>
      <c r="I34" s="1806"/>
      <c r="J34" s="1807"/>
      <c r="K34" s="1807"/>
      <c r="L34" s="1974">
        <f t="shared" si="15"/>
        <v>2.5857396525613354</v>
      </c>
      <c r="M34" s="1807"/>
      <c r="N34" s="1807"/>
      <c r="O34" s="1865"/>
      <c r="P34" s="1865">
        <v>1.0199222714367728</v>
      </c>
      <c r="Q34" s="1807"/>
      <c r="R34" s="1865">
        <v>0.65280741409519216</v>
      </c>
      <c r="S34" s="1865">
        <v>5.0957197882770429E-2</v>
      </c>
      <c r="T34" s="1865">
        <v>0.8620527691465999</v>
      </c>
      <c r="U34" s="1865">
        <v>0</v>
      </c>
      <c r="V34" s="1804"/>
      <c r="W34" s="1804"/>
      <c r="X34" s="1804"/>
      <c r="Y34" s="1807"/>
      <c r="Z34" s="1975">
        <v>0.98616464155306549</v>
      </c>
      <c r="AA34" s="1808">
        <f t="shared" si="16"/>
        <v>0</v>
      </c>
      <c r="AB34" s="1809"/>
      <c r="AC34" s="1807"/>
      <c r="AD34" s="1807"/>
      <c r="AE34" s="1865"/>
      <c r="AF34" s="1865"/>
      <c r="AG34" s="1865"/>
      <c r="AH34" s="1976"/>
      <c r="AI34" s="1807"/>
      <c r="AJ34" s="1810"/>
      <c r="AK34" s="1975">
        <v>10.191824006623628</v>
      </c>
      <c r="AL34" s="1808"/>
      <c r="AM34" s="1812">
        <f t="shared" si="10"/>
        <v>13.763728300738029</v>
      </c>
    </row>
    <row r="35" spans="1:39">
      <c r="A35" s="1972" t="s">
        <v>1445</v>
      </c>
      <c r="B35" s="1977" t="s">
        <v>1446</v>
      </c>
      <c r="C35" s="1801">
        <f t="shared" si="13"/>
        <v>6.2991078500984742E-3</v>
      </c>
      <c r="D35" s="1865">
        <v>6.2991078500984742E-3</v>
      </c>
      <c r="E35" s="1807"/>
      <c r="F35" s="1804"/>
      <c r="G35" s="1804"/>
      <c r="H35" s="1805">
        <f t="shared" si="14"/>
        <v>0</v>
      </c>
      <c r="I35" s="1806"/>
      <c r="J35" s="1807"/>
      <c r="K35" s="1807"/>
      <c r="L35" s="1974">
        <f t="shared" si="15"/>
        <v>2.6924553401377853</v>
      </c>
      <c r="M35" s="1807"/>
      <c r="N35" s="1807"/>
      <c r="O35" s="1865"/>
      <c r="P35" s="1865">
        <v>0.3598944473429237</v>
      </c>
      <c r="Q35" s="1807"/>
      <c r="R35" s="1865">
        <v>0.23035261617161076</v>
      </c>
      <c r="S35" s="1865">
        <v>0.26752528888454474</v>
      </c>
      <c r="T35" s="1865">
        <v>1.8346829877387061</v>
      </c>
      <c r="U35" s="1865">
        <v>0</v>
      </c>
      <c r="V35" s="1804"/>
      <c r="W35" s="1804"/>
      <c r="X35" s="1804"/>
      <c r="Y35" s="1807"/>
      <c r="Z35" s="1975">
        <v>1.7594429477867393</v>
      </c>
      <c r="AA35" s="1808">
        <f t="shared" si="16"/>
        <v>100.24032135906658</v>
      </c>
      <c r="AB35" s="1809"/>
      <c r="AC35" s="1807"/>
      <c r="AD35" s="1807">
        <v>100.24032135906658</v>
      </c>
      <c r="AE35" s="1865"/>
      <c r="AF35" s="1865"/>
      <c r="AG35" s="1865"/>
      <c r="AH35" s="1976"/>
      <c r="AI35" s="1807"/>
      <c r="AJ35" s="1810"/>
      <c r="AK35" s="1975">
        <v>34.257235844547893</v>
      </c>
      <c r="AL35" s="1808"/>
      <c r="AM35" s="1812">
        <f t="shared" si="10"/>
        <v>138.95575459938908</v>
      </c>
    </row>
    <row r="36" spans="1:39">
      <c r="A36" s="1972" t="s">
        <v>1447</v>
      </c>
      <c r="B36" s="1977" t="s">
        <v>1448</v>
      </c>
      <c r="C36" s="1801">
        <f t="shared" si="13"/>
        <v>2.7558596844180827E-2</v>
      </c>
      <c r="D36" s="1865">
        <v>2.7558596844180827E-2</v>
      </c>
      <c r="E36" s="1807"/>
      <c r="F36" s="1804"/>
      <c r="G36" s="1804"/>
      <c r="H36" s="1805">
        <f t="shared" si="14"/>
        <v>0</v>
      </c>
      <c r="I36" s="1806"/>
      <c r="J36" s="1807"/>
      <c r="K36" s="1807"/>
      <c r="L36" s="1974">
        <f t="shared" si="15"/>
        <v>2.9630604818839315</v>
      </c>
      <c r="M36" s="1807"/>
      <c r="N36" s="1807"/>
      <c r="O36" s="1865"/>
      <c r="P36" s="1865">
        <v>0.83399894070611102</v>
      </c>
      <c r="Q36" s="1807"/>
      <c r="R36" s="1865">
        <v>0.5338060625674228</v>
      </c>
      <c r="S36" s="1865">
        <v>0.25478598941385211</v>
      </c>
      <c r="T36" s="1865">
        <v>1.3404694891965454</v>
      </c>
      <c r="U36" s="1865">
        <v>0</v>
      </c>
      <c r="V36" s="1804"/>
      <c r="W36" s="1804"/>
      <c r="X36" s="1804"/>
      <c r="Y36" s="1807"/>
      <c r="Z36" s="1975">
        <v>2.9099683629319819</v>
      </c>
      <c r="AA36" s="1808">
        <f t="shared" si="16"/>
        <v>0</v>
      </c>
      <c r="AB36" s="1809"/>
      <c r="AC36" s="1807"/>
      <c r="AD36" s="1807"/>
      <c r="AE36" s="1865"/>
      <c r="AF36" s="1865"/>
      <c r="AG36" s="1865"/>
      <c r="AH36" s="1976"/>
      <c r="AI36" s="1807"/>
      <c r="AJ36" s="1810"/>
      <c r="AK36" s="1975">
        <v>18.696864393635085</v>
      </c>
      <c r="AL36" s="1808"/>
      <c r="AM36" s="1812">
        <f t="shared" si="10"/>
        <v>24.597451835295178</v>
      </c>
    </row>
    <row r="37" spans="1:39">
      <c r="A37" s="1972" t="s">
        <v>1449</v>
      </c>
      <c r="B37" s="1977" t="s">
        <v>1450</v>
      </c>
      <c r="C37" s="1801">
        <f t="shared" si="13"/>
        <v>0</v>
      </c>
      <c r="D37" s="1865">
        <v>0</v>
      </c>
      <c r="E37" s="1807"/>
      <c r="F37" s="1804"/>
      <c r="G37" s="1804"/>
      <c r="H37" s="1805">
        <f t="shared" si="14"/>
        <v>0</v>
      </c>
      <c r="I37" s="1806"/>
      <c r="J37" s="1807"/>
      <c r="K37" s="1807"/>
      <c r="L37" s="1974">
        <f t="shared" si="15"/>
        <v>28.914267279747541</v>
      </c>
      <c r="M37" s="1807"/>
      <c r="N37" s="1807"/>
      <c r="O37" s="1865"/>
      <c r="P37" s="1865">
        <v>10.962836394154372</v>
      </c>
      <c r="Q37" s="1807"/>
      <c r="R37" s="1865">
        <v>7.0168296918695452</v>
      </c>
      <c r="S37" s="1865">
        <v>3.000105025348109</v>
      </c>
      <c r="T37" s="1865">
        <v>7.934496168375512</v>
      </c>
      <c r="U37" s="1865">
        <v>0</v>
      </c>
      <c r="V37" s="1804"/>
      <c r="W37" s="1804"/>
      <c r="X37" s="1804"/>
      <c r="Y37" s="1807"/>
      <c r="Z37" s="1978">
        <v>55.874836317835992</v>
      </c>
      <c r="AA37" s="1808">
        <f t="shared" si="16"/>
        <v>1.2895199999999999E-3</v>
      </c>
      <c r="AB37" s="1809"/>
      <c r="AC37" s="1807"/>
      <c r="AD37" s="1807">
        <v>1.2895199999999999E-3</v>
      </c>
      <c r="AE37" s="1865"/>
      <c r="AF37" s="1865"/>
      <c r="AG37" s="1865"/>
      <c r="AH37" s="1979"/>
      <c r="AI37" s="1807"/>
      <c r="AJ37" s="1980"/>
      <c r="AK37" s="1978">
        <v>145.10725003149935</v>
      </c>
      <c r="AL37" s="1808"/>
      <c r="AM37" s="1812">
        <f t="shared" si="10"/>
        <v>229.89764314908288</v>
      </c>
    </row>
    <row r="38" spans="1:39">
      <c r="A38" s="1972" t="s">
        <v>1451</v>
      </c>
      <c r="B38" s="1977" t="s">
        <v>1452</v>
      </c>
      <c r="C38" s="1801">
        <f t="shared" si="13"/>
        <v>0</v>
      </c>
      <c r="D38" s="1865">
        <v>0</v>
      </c>
      <c r="E38" s="1807"/>
      <c r="F38" s="1804"/>
      <c r="G38" s="1804"/>
      <c r="H38" s="1805">
        <f t="shared" si="14"/>
        <v>0</v>
      </c>
      <c r="I38" s="1806"/>
      <c r="J38" s="1807"/>
      <c r="K38" s="1807"/>
      <c r="L38" s="1974">
        <f t="shared" si="15"/>
        <v>9.5849678400073621</v>
      </c>
      <c r="M38" s="1807"/>
      <c r="N38" s="1807"/>
      <c r="O38" s="1865"/>
      <c r="P38" s="1865">
        <v>7.0385260919464801E-2</v>
      </c>
      <c r="Q38" s="1807"/>
      <c r="R38" s="1865">
        <v>4.5050511649798418E-2</v>
      </c>
      <c r="S38" s="1865">
        <v>5.9874707512255245</v>
      </c>
      <c r="T38" s="1865">
        <v>3.4820613162125746</v>
      </c>
      <c r="U38" s="1865">
        <v>0</v>
      </c>
      <c r="V38" s="1804"/>
      <c r="W38" s="1804"/>
      <c r="X38" s="1804"/>
      <c r="Y38" s="1807"/>
      <c r="Z38" s="1975">
        <v>3.8648261904674901</v>
      </c>
      <c r="AA38" s="1808">
        <f t="shared" si="16"/>
        <v>0</v>
      </c>
      <c r="AB38" s="1809"/>
      <c r="AC38" s="1807"/>
      <c r="AD38" s="1807"/>
      <c r="AE38" s="1865"/>
      <c r="AF38" s="1865"/>
      <c r="AG38" s="1865"/>
      <c r="AH38" s="1976"/>
      <c r="AI38" s="1807"/>
      <c r="AJ38" s="1810"/>
      <c r="AK38" s="1975">
        <v>35.084625139340091</v>
      </c>
      <c r="AL38" s="1808"/>
      <c r="AM38" s="1812">
        <f t="shared" si="10"/>
        <v>48.534419169814939</v>
      </c>
    </row>
    <row r="39" spans="1:39">
      <c r="A39" s="1972" t="s">
        <v>1454</v>
      </c>
      <c r="B39" s="1977" t="s">
        <v>1455</v>
      </c>
      <c r="C39" s="1801">
        <f t="shared" si="13"/>
        <v>61.292875640000013</v>
      </c>
      <c r="D39" s="1806">
        <v>61.292875640000013</v>
      </c>
      <c r="E39" s="1807"/>
      <c r="F39" s="1804"/>
      <c r="G39" s="1804"/>
      <c r="H39" s="1805">
        <f t="shared" si="14"/>
        <v>0</v>
      </c>
      <c r="I39" s="1806"/>
      <c r="J39" s="1807"/>
      <c r="K39" s="1807"/>
      <c r="L39" s="1974">
        <f t="shared" si="15"/>
        <v>141.29540018676045</v>
      </c>
      <c r="M39" s="1807"/>
      <c r="N39" s="1807"/>
      <c r="O39" s="1865"/>
      <c r="P39" s="1806">
        <v>7.4223249675262011</v>
      </c>
      <c r="Q39" s="1807"/>
      <c r="R39" s="1806">
        <v>4.7507039549193086</v>
      </c>
      <c r="S39" s="1806">
        <v>1.3503657438934162</v>
      </c>
      <c r="T39" s="1806">
        <v>39.338491810899292</v>
      </c>
      <c r="U39" s="1806">
        <v>88.433513709522217</v>
      </c>
      <c r="V39" s="1804"/>
      <c r="W39" s="1804"/>
      <c r="X39" s="1804"/>
      <c r="Y39" s="1807"/>
      <c r="Z39" s="1975">
        <v>14.567060562369569</v>
      </c>
      <c r="AA39" s="1808">
        <f t="shared" si="16"/>
        <v>24.50278043968483</v>
      </c>
      <c r="AB39" s="1809"/>
      <c r="AC39" s="1807"/>
      <c r="AD39" s="1807">
        <v>24.50278043968483</v>
      </c>
      <c r="AE39" s="1865"/>
      <c r="AF39" s="1865"/>
      <c r="AG39" s="1865"/>
      <c r="AH39" s="1976"/>
      <c r="AI39" s="1807"/>
      <c r="AJ39" s="1810">
        <v>34.887415356111802</v>
      </c>
      <c r="AK39" s="1975">
        <v>50.805021740391801</v>
      </c>
      <c r="AL39" s="1808"/>
      <c r="AM39" s="1812">
        <f t="shared" si="10"/>
        <v>327.35055392531842</v>
      </c>
    </row>
    <row r="40" spans="1:39">
      <c r="A40" s="1972" t="s">
        <v>1456</v>
      </c>
      <c r="B40" s="1977" t="s">
        <v>1457</v>
      </c>
      <c r="C40" s="1801">
        <f t="shared" si="13"/>
        <v>0</v>
      </c>
      <c r="D40" s="1865">
        <v>0</v>
      </c>
      <c r="E40" s="1807"/>
      <c r="F40" s="1804"/>
      <c r="G40" s="1804"/>
      <c r="H40" s="1805">
        <f t="shared" si="14"/>
        <v>0</v>
      </c>
      <c r="I40" s="1806"/>
      <c r="J40" s="1807"/>
      <c r="K40" s="1807"/>
      <c r="L40" s="1974">
        <f t="shared" si="15"/>
        <v>95.628522186794427</v>
      </c>
      <c r="M40" s="1807"/>
      <c r="N40" s="1807"/>
      <c r="O40" s="1865"/>
      <c r="P40" s="1865">
        <v>0</v>
      </c>
      <c r="Q40" s="1807"/>
      <c r="R40" s="1865">
        <v>87.601118133912209</v>
      </c>
      <c r="S40" s="1865">
        <v>5.5224863205452461</v>
      </c>
      <c r="T40" s="1865">
        <v>2.5049177323369789</v>
      </c>
      <c r="U40" s="1865">
        <v>0</v>
      </c>
      <c r="V40" s="1804"/>
      <c r="W40" s="1804"/>
      <c r="X40" s="1804"/>
      <c r="Y40" s="1807"/>
      <c r="Z40" s="1975">
        <v>320.88771318434272</v>
      </c>
      <c r="AA40" s="1808">
        <f t="shared" si="16"/>
        <v>0</v>
      </c>
      <c r="AB40" s="1809"/>
      <c r="AC40" s="1807"/>
      <c r="AD40" s="1807"/>
      <c r="AE40" s="1865"/>
      <c r="AF40" s="1865"/>
      <c r="AG40" s="1865"/>
      <c r="AH40" s="1976"/>
      <c r="AI40" s="1807"/>
      <c r="AJ40" s="1810"/>
      <c r="AK40" s="1975">
        <v>63.755229185746337</v>
      </c>
      <c r="AL40" s="1808"/>
      <c r="AM40" s="1812">
        <f t="shared" si="10"/>
        <v>480.27146455688347</v>
      </c>
    </row>
    <row r="41" spans="1:39">
      <c r="A41" s="1972" t="s">
        <v>1458</v>
      </c>
      <c r="B41" s="1977" t="s">
        <v>1459</v>
      </c>
      <c r="C41" s="1801">
        <f t="shared" si="13"/>
        <v>0</v>
      </c>
      <c r="D41" s="1865">
        <v>0</v>
      </c>
      <c r="E41" s="1807"/>
      <c r="F41" s="1804"/>
      <c r="G41" s="1804"/>
      <c r="H41" s="1805">
        <f t="shared" si="14"/>
        <v>0</v>
      </c>
      <c r="I41" s="1806"/>
      <c r="J41" s="1807"/>
      <c r="K41" s="1807"/>
      <c r="L41" s="1974">
        <f t="shared" si="15"/>
        <v>5.5513061561845136</v>
      </c>
      <c r="M41" s="1807"/>
      <c r="N41" s="1807"/>
      <c r="O41" s="1865"/>
      <c r="P41" s="1865">
        <v>0.38379887557972303</v>
      </c>
      <c r="Q41" s="1807"/>
      <c r="R41" s="1865">
        <v>0.24565278993946685</v>
      </c>
      <c r="S41" s="1865">
        <v>2.2612256560479382</v>
      </c>
      <c r="T41" s="1865">
        <v>2.6606288346173854</v>
      </c>
      <c r="U41" s="1865">
        <v>0</v>
      </c>
      <c r="V41" s="1804"/>
      <c r="W41" s="1804"/>
      <c r="X41" s="1804"/>
      <c r="Y41" s="1807"/>
      <c r="Z41" s="1975">
        <v>4.7226328945485685</v>
      </c>
      <c r="AA41" s="1808">
        <f t="shared" si="16"/>
        <v>0</v>
      </c>
      <c r="AB41" s="1809"/>
      <c r="AC41" s="1807"/>
      <c r="AD41" s="1807"/>
      <c r="AE41" s="1865"/>
      <c r="AF41" s="1865"/>
      <c r="AG41" s="1865"/>
      <c r="AH41" s="1976"/>
      <c r="AI41" s="1807"/>
      <c r="AJ41" s="1810"/>
      <c r="AK41" s="1975">
        <v>20.354013726184498</v>
      </c>
      <c r="AL41" s="1808"/>
      <c r="AM41" s="1812">
        <f t="shared" si="10"/>
        <v>30.627952776917581</v>
      </c>
    </row>
    <row r="42" spans="1:39">
      <c r="A42" s="1972" t="s">
        <v>1460</v>
      </c>
      <c r="B42" s="1977" t="s">
        <v>1461</v>
      </c>
      <c r="C42" s="1801">
        <f t="shared" si="13"/>
        <v>7.8738848126230928E-4</v>
      </c>
      <c r="D42" s="1865">
        <v>7.8738848126230928E-4</v>
      </c>
      <c r="E42" s="1807"/>
      <c r="F42" s="1804"/>
      <c r="G42" s="1804"/>
      <c r="H42" s="1805">
        <f t="shared" si="14"/>
        <v>0</v>
      </c>
      <c r="I42" s="1806"/>
      <c r="J42" s="1807"/>
      <c r="K42" s="1807"/>
      <c r="L42" s="1974">
        <f t="shared" si="15"/>
        <v>42.026502563420557</v>
      </c>
      <c r="M42" s="1807"/>
      <c r="N42" s="1807"/>
      <c r="O42" s="1865"/>
      <c r="P42" s="1865">
        <v>0.31739768603305824</v>
      </c>
      <c r="Q42" s="1807"/>
      <c r="R42" s="1865">
        <v>0.20315230725097777</v>
      </c>
      <c r="S42" s="1865">
        <v>39.975921739033396</v>
      </c>
      <c r="T42" s="1865">
        <v>1.5300308311031277</v>
      </c>
      <c r="U42" s="1865">
        <v>0</v>
      </c>
      <c r="V42" s="1804"/>
      <c r="W42" s="1804"/>
      <c r="X42" s="1804"/>
      <c r="Y42" s="1807"/>
      <c r="Z42" s="1978">
        <v>106.26784950119762</v>
      </c>
      <c r="AA42" s="1808">
        <f t="shared" si="16"/>
        <v>0</v>
      </c>
      <c r="AB42" s="1809"/>
      <c r="AC42" s="1807"/>
      <c r="AD42" s="1807"/>
      <c r="AE42" s="1865"/>
      <c r="AF42" s="1865"/>
      <c r="AG42" s="1865"/>
      <c r="AH42" s="1979"/>
      <c r="AI42" s="1807"/>
      <c r="AJ42" s="1980"/>
      <c r="AK42" s="1978">
        <v>98.613424372997528</v>
      </c>
      <c r="AL42" s="1808"/>
      <c r="AM42" s="1812">
        <f t="shared" si="10"/>
        <v>246.90856382609695</v>
      </c>
    </row>
    <row r="43" spans="1:39">
      <c r="A43" s="1972" t="s">
        <v>1462</v>
      </c>
      <c r="B43" s="1977" t="s">
        <v>1463</v>
      </c>
      <c r="C43" s="1801">
        <f t="shared" si="13"/>
        <v>0</v>
      </c>
      <c r="D43" s="1865">
        <v>0</v>
      </c>
      <c r="E43" s="1807"/>
      <c r="F43" s="1804"/>
      <c r="G43" s="1804"/>
      <c r="H43" s="1805">
        <f t="shared" si="14"/>
        <v>0</v>
      </c>
      <c r="I43" s="1806"/>
      <c r="J43" s="1807"/>
      <c r="K43" s="1807"/>
      <c r="L43" s="1974">
        <f t="shared" si="15"/>
        <v>4.7143423059481862</v>
      </c>
      <c r="M43" s="1807"/>
      <c r="N43" s="1807"/>
      <c r="O43" s="1865"/>
      <c r="P43" s="1865">
        <v>0.24834044890452672</v>
      </c>
      <c r="Q43" s="1807"/>
      <c r="R43" s="1865">
        <v>0.15895180525494915</v>
      </c>
      <c r="S43" s="1865">
        <v>3.6052217502060078</v>
      </c>
      <c r="T43" s="1865">
        <v>0.70182830158270293</v>
      </c>
      <c r="U43" s="1865">
        <v>0</v>
      </c>
      <c r="V43" s="1804"/>
      <c r="W43" s="1804"/>
      <c r="X43" s="1804"/>
      <c r="Y43" s="1807"/>
      <c r="Z43" s="1981">
        <v>1.6060395591007064</v>
      </c>
      <c r="AA43" s="1808">
        <f t="shared" si="16"/>
        <v>0</v>
      </c>
      <c r="AB43" s="1809"/>
      <c r="AC43" s="1807"/>
      <c r="AD43" s="1807"/>
      <c r="AE43" s="1865"/>
      <c r="AF43" s="1865"/>
      <c r="AG43" s="1865"/>
      <c r="AH43" s="1916"/>
      <c r="AI43" s="1807"/>
      <c r="AJ43" s="1920"/>
      <c r="AK43" s="1981">
        <v>16.869021567604193</v>
      </c>
      <c r="AL43" s="1808"/>
      <c r="AM43" s="1812">
        <f t="shared" si="10"/>
        <v>23.189403432653087</v>
      </c>
    </row>
    <row r="44" spans="1:39">
      <c r="A44" s="1982" t="s">
        <v>1464</v>
      </c>
      <c r="B44" s="1983" t="s">
        <v>1465</v>
      </c>
      <c r="C44" s="1984">
        <f t="shared" si="13"/>
        <v>0.16495788682445381</v>
      </c>
      <c r="D44" s="1985">
        <v>0.16495788682445381</v>
      </c>
      <c r="E44" s="1985"/>
      <c r="F44" s="1986"/>
      <c r="G44" s="1986"/>
      <c r="H44" s="1987">
        <f t="shared" si="14"/>
        <v>3.3667999999999997E-2</v>
      </c>
      <c r="I44" s="1988"/>
      <c r="J44" s="1985"/>
      <c r="K44" s="1985">
        <v>3.3667999999999997E-2</v>
      </c>
      <c r="L44" s="1989">
        <f t="shared" si="15"/>
        <v>38.682869902775195</v>
      </c>
      <c r="M44" s="1985"/>
      <c r="N44" s="1985"/>
      <c r="O44" s="1865"/>
      <c r="P44" s="1985">
        <v>8.2656200747688455</v>
      </c>
      <c r="Q44" s="1985"/>
      <c r="R44" s="1985">
        <v>5.2904600850631196</v>
      </c>
      <c r="S44" s="1985">
        <v>20.484793548873711</v>
      </c>
      <c r="T44" s="1985">
        <v>4.6419961940695185</v>
      </c>
      <c r="U44" s="1985">
        <v>0</v>
      </c>
      <c r="V44" s="1986"/>
      <c r="W44" s="1986"/>
      <c r="X44" s="1986"/>
      <c r="Y44" s="1985"/>
      <c r="Z44" s="1990">
        <v>5.5679168730226261</v>
      </c>
      <c r="AA44" s="1991">
        <f t="shared" si="16"/>
        <v>0</v>
      </c>
      <c r="AB44" s="1992"/>
      <c r="AC44" s="1985"/>
      <c r="AD44" s="1985"/>
      <c r="AE44" s="1917"/>
      <c r="AF44" s="1917"/>
      <c r="AG44" s="1917"/>
      <c r="AH44" s="1993"/>
      <c r="AI44" s="1985"/>
      <c r="AJ44" s="1876"/>
      <c r="AK44" s="1990">
        <v>77.56715370102701</v>
      </c>
      <c r="AL44" s="1991"/>
      <c r="AM44" s="1994">
        <f t="shared" si="10"/>
        <v>122.01656636364928</v>
      </c>
    </row>
    <row r="45" spans="1:39">
      <c r="A45" s="1995" t="s">
        <v>491</v>
      </c>
      <c r="B45" s="1996"/>
      <c r="C45" s="1997">
        <f t="shared" ref="C45:AL45" si="17">SUM(C46:C55)</f>
        <v>0</v>
      </c>
      <c r="D45" s="1887">
        <f t="shared" si="17"/>
        <v>0</v>
      </c>
      <c r="E45" s="1887">
        <f t="shared" si="17"/>
        <v>0</v>
      </c>
      <c r="F45" s="1998">
        <f t="shared" si="17"/>
        <v>0</v>
      </c>
      <c r="G45" s="1998">
        <f t="shared" si="17"/>
        <v>0</v>
      </c>
      <c r="H45" s="1999">
        <f t="shared" si="17"/>
        <v>0</v>
      </c>
      <c r="I45" s="2000">
        <f t="shared" si="17"/>
        <v>0</v>
      </c>
      <c r="J45" s="1887">
        <f t="shared" si="17"/>
        <v>0</v>
      </c>
      <c r="K45" s="1887">
        <f t="shared" si="17"/>
        <v>0</v>
      </c>
      <c r="L45" s="1999">
        <f t="shared" si="17"/>
        <v>4172.8051045915236</v>
      </c>
      <c r="M45" s="1887">
        <f t="shared" si="17"/>
        <v>0</v>
      </c>
      <c r="N45" s="1887">
        <f t="shared" si="17"/>
        <v>0</v>
      </c>
      <c r="O45" s="1887">
        <f t="shared" si="17"/>
        <v>1198.0684966718206</v>
      </c>
      <c r="P45" s="1887">
        <f t="shared" si="17"/>
        <v>0</v>
      </c>
      <c r="Q45" s="1887">
        <f t="shared" si="17"/>
        <v>605.67408192143989</v>
      </c>
      <c r="R45" s="1887">
        <f t="shared" si="17"/>
        <v>0</v>
      </c>
      <c r="S45" s="1887">
        <f t="shared" si="17"/>
        <v>1.303455521148825</v>
      </c>
      <c r="T45" s="1887">
        <f>SUM(T46:T55)</f>
        <v>2367.7590704771155</v>
      </c>
      <c r="U45" s="1887">
        <f t="shared" si="17"/>
        <v>0</v>
      </c>
      <c r="V45" s="1998">
        <f t="shared" si="17"/>
        <v>0</v>
      </c>
      <c r="W45" s="1998">
        <f t="shared" si="17"/>
        <v>0</v>
      </c>
      <c r="X45" s="1998">
        <f t="shared" si="17"/>
        <v>0</v>
      </c>
      <c r="Y45" s="1887">
        <f t="shared" si="17"/>
        <v>0</v>
      </c>
      <c r="Z45" s="1999">
        <f t="shared" si="17"/>
        <v>0</v>
      </c>
      <c r="AA45" s="2001">
        <f t="shared" si="17"/>
        <v>102.24454518604799</v>
      </c>
      <c r="AB45" s="2002">
        <f t="shared" si="17"/>
        <v>0</v>
      </c>
      <c r="AC45" s="1887">
        <f t="shared" si="17"/>
        <v>0</v>
      </c>
      <c r="AD45" s="1887">
        <f t="shared" si="17"/>
        <v>0</v>
      </c>
      <c r="AE45" s="1887">
        <f t="shared" si="17"/>
        <v>0</v>
      </c>
      <c r="AF45" s="1887">
        <f t="shared" si="17"/>
        <v>0</v>
      </c>
      <c r="AG45" s="1887">
        <f t="shared" si="17"/>
        <v>102.24454518604799</v>
      </c>
      <c r="AH45" s="2001">
        <f t="shared" si="17"/>
        <v>0</v>
      </c>
      <c r="AI45" s="1887">
        <f t="shared" si="17"/>
        <v>0</v>
      </c>
      <c r="AJ45" s="1999">
        <f t="shared" si="17"/>
        <v>0</v>
      </c>
      <c r="AK45" s="1999">
        <f t="shared" si="17"/>
        <v>3.5964616060000001</v>
      </c>
      <c r="AL45" s="2001">
        <f t="shared" si="17"/>
        <v>0</v>
      </c>
      <c r="AM45" s="2003">
        <f t="shared" si="10"/>
        <v>4278.6461113835712</v>
      </c>
    </row>
    <row r="46" spans="1:39">
      <c r="A46" s="2004" t="s">
        <v>1279</v>
      </c>
      <c r="B46" s="2005"/>
      <c r="C46" s="1890">
        <f t="shared" ref="C46:C56" si="18">SUM(D46:G46)</f>
        <v>0</v>
      </c>
      <c r="D46" s="2006"/>
      <c r="E46" s="1910"/>
      <c r="F46" s="1855"/>
      <c r="G46" s="1855"/>
      <c r="H46" s="1861">
        <f t="shared" ref="H46:H56" si="19">SUM(I46:K46)</f>
        <v>0</v>
      </c>
      <c r="I46" s="1853"/>
      <c r="J46" s="1854"/>
      <c r="K46" s="1854"/>
      <c r="L46" s="1861">
        <f t="shared" ref="L46:L56" si="20">SUM(M46:Y46)</f>
        <v>562.34059775589515</v>
      </c>
      <c r="M46" s="1854"/>
      <c r="N46" s="1854"/>
      <c r="O46" s="1854"/>
      <c r="P46" s="1854"/>
      <c r="Q46" s="1854"/>
      <c r="R46" s="1854"/>
      <c r="S46" s="1854"/>
      <c r="T46" s="1854">
        <v>562.34059775589515</v>
      </c>
      <c r="U46" s="1854"/>
      <c r="V46" s="1855"/>
      <c r="W46" s="1855"/>
      <c r="X46" s="1855"/>
      <c r="Y46" s="1854"/>
      <c r="Z46" s="1861"/>
      <c r="AA46" s="1857">
        <f t="shared" ref="AA46:AA56" si="21">SUM(AB46:AI46)</f>
        <v>18.225712432775889</v>
      </c>
      <c r="AB46" s="1858"/>
      <c r="AC46" s="1854"/>
      <c r="AD46" s="1854"/>
      <c r="AE46" s="1854"/>
      <c r="AF46" s="1854"/>
      <c r="AG46" s="1854">
        <v>18.225712432775889</v>
      </c>
      <c r="AH46" s="1911"/>
      <c r="AI46" s="1854"/>
      <c r="AJ46" s="1861"/>
      <c r="AK46" s="1891"/>
      <c r="AL46" s="1857"/>
      <c r="AM46" s="1892">
        <f t="shared" si="10"/>
        <v>580.56631018867108</v>
      </c>
    </row>
    <row r="47" spans="1:39">
      <c r="A47" s="2007" t="s">
        <v>1466</v>
      </c>
      <c r="B47" s="2008"/>
      <c r="C47" s="1964"/>
      <c r="D47" s="2009"/>
      <c r="E47" s="2010"/>
      <c r="F47" s="1965"/>
      <c r="G47" s="1965"/>
      <c r="H47" s="1966"/>
      <c r="I47" s="1967"/>
      <c r="J47" s="1865"/>
      <c r="K47" s="1865"/>
      <c r="L47" s="1966">
        <f t="shared" si="20"/>
        <v>309.08555013234491</v>
      </c>
      <c r="M47" s="1865"/>
      <c r="N47" s="1865"/>
      <c r="O47" s="1865"/>
      <c r="P47" s="1865"/>
      <c r="Q47" s="1865"/>
      <c r="R47" s="1865"/>
      <c r="S47" s="1865"/>
      <c r="T47" s="1865">
        <v>309.08555013234491</v>
      </c>
      <c r="U47" s="1865"/>
      <c r="V47" s="1965"/>
      <c r="W47" s="1965"/>
      <c r="X47" s="1965"/>
      <c r="Y47" s="1865"/>
      <c r="Z47" s="1966"/>
      <c r="AA47" s="1970">
        <f t="shared" si="21"/>
        <v>10.017602101500415</v>
      </c>
      <c r="AB47" s="1971"/>
      <c r="AC47" s="1865"/>
      <c r="AD47" s="1865"/>
      <c r="AE47" s="1865"/>
      <c r="AF47" s="1865"/>
      <c r="AG47" s="1865">
        <v>10.017602101500415</v>
      </c>
      <c r="AH47" s="1979"/>
      <c r="AI47" s="1865"/>
      <c r="AJ47" s="1966"/>
      <c r="AK47" s="1980"/>
      <c r="AL47" s="1970"/>
      <c r="AM47" s="1862">
        <f t="shared" si="10"/>
        <v>319.10315223384532</v>
      </c>
    </row>
    <row r="48" spans="1:39">
      <c r="A48" s="2011" t="s">
        <v>1467</v>
      </c>
      <c r="B48" s="2012"/>
      <c r="C48" s="1801">
        <f t="shared" si="18"/>
        <v>0</v>
      </c>
      <c r="D48" s="1802"/>
      <c r="E48" s="1813"/>
      <c r="F48" s="1804"/>
      <c r="G48" s="1804"/>
      <c r="H48" s="1805">
        <f t="shared" si="19"/>
        <v>0</v>
      </c>
      <c r="I48" s="1806"/>
      <c r="J48" s="1807"/>
      <c r="K48" s="1807"/>
      <c r="L48" s="1805">
        <f t="shared" si="20"/>
        <v>1791.4925276992453</v>
      </c>
      <c r="M48" s="1807"/>
      <c r="N48" s="1807"/>
      <c r="O48" s="1807">
        <v>918.06853680755819</v>
      </c>
      <c r="P48" s="1807"/>
      <c r="Q48" s="1807"/>
      <c r="R48" s="1807"/>
      <c r="S48" s="1807">
        <v>1.303455521148825</v>
      </c>
      <c r="T48" s="1807">
        <v>872.12053537053839</v>
      </c>
      <c r="U48" s="1807"/>
      <c r="V48" s="1804"/>
      <c r="W48" s="1804"/>
      <c r="X48" s="1804"/>
      <c r="Y48" s="1807"/>
      <c r="Z48" s="1805"/>
      <c r="AA48" s="1808">
        <f t="shared" si="21"/>
        <v>50.210666754332713</v>
      </c>
      <c r="AB48" s="1809"/>
      <c r="AC48" s="1807"/>
      <c r="AD48" s="1807"/>
      <c r="AE48" s="1807"/>
      <c r="AF48" s="1807"/>
      <c r="AG48" s="1807">
        <v>50.210666754332713</v>
      </c>
      <c r="AH48" s="1976"/>
      <c r="AI48" s="1807"/>
      <c r="AJ48" s="1805"/>
      <c r="AK48" s="1810"/>
      <c r="AL48" s="1808"/>
      <c r="AM48" s="1812">
        <f t="shared" si="10"/>
        <v>1841.7031944535781</v>
      </c>
    </row>
    <row r="49" spans="1:39">
      <c r="A49" s="2011" t="s">
        <v>1468</v>
      </c>
      <c r="B49" s="2012"/>
      <c r="C49" s="1801">
        <f t="shared" si="18"/>
        <v>0</v>
      </c>
      <c r="D49" s="1802"/>
      <c r="E49" s="1813"/>
      <c r="F49" s="1804"/>
      <c r="G49" s="1804"/>
      <c r="H49" s="1805">
        <f t="shared" si="19"/>
        <v>0</v>
      </c>
      <c r="I49" s="1806"/>
      <c r="J49" s="1807"/>
      <c r="K49" s="1807"/>
      <c r="L49" s="1805">
        <f t="shared" si="20"/>
        <v>146.82951938990453</v>
      </c>
      <c r="M49" s="1807"/>
      <c r="N49" s="1807"/>
      <c r="O49" s="1807">
        <v>20.191672933750159</v>
      </c>
      <c r="P49" s="1807"/>
      <c r="Q49" s="1807"/>
      <c r="R49" s="1807"/>
      <c r="S49" s="1807"/>
      <c r="T49" s="1807">
        <v>126.63784645615438</v>
      </c>
      <c r="U49" s="1807"/>
      <c r="V49" s="1804"/>
      <c r="W49" s="1804"/>
      <c r="X49" s="1804"/>
      <c r="Y49" s="1807"/>
      <c r="Z49" s="1805"/>
      <c r="AA49" s="1808">
        <f t="shared" si="21"/>
        <v>4.5859206561279002</v>
      </c>
      <c r="AB49" s="1809"/>
      <c r="AC49" s="1807"/>
      <c r="AD49" s="1807"/>
      <c r="AE49" s="1807"/>
      <c r="AF49" s="1807"/>
      <c r="AG49" s="1807">
        <v>4.5859206561279002</v>
      </c>
      <c r="AH49" s="1976"/>
      <c r="AI49" s="1807"/>
      <c r="AJ49" s="1805"/>
      <c r="AK49" s="1810"/>
      <c r="AL49" s="1808"/>
      <c r="AM49" s="1812">
        <f t="shared" si="10"/>
        <v>151.41544004603244</v>
      </c>
    </row>
    <row r="50" spans="1:39">
      <c r="A50" s="2011" t="s">
        <v>1246</v>
      </c>
      <c r="B50" s="2012"/>
      <c r="C50" s="1801">
        <f t="shared" si="18"/>
        <v>0</v>
      </c>
      <c r="D50" s="1802"/>
      <c r="E50" s="1813"/>
      <c r="F50" s="1804"/>
      <c r="G50" s="1804"/>
      <c r="H50" s="1805">
        <f t="shared" si="19"/>
        <v>0</v>
      </c>
      <c r="I50" s="1806"/>
      <c r="J50" s="1807"/>
      <c r="K50" s="1807"/>
      <c r="L50" s="1805">
        <f t="shared" si="20"/>
        <v>38.335782008121818</v>
      </c>
      <c r="M50" s="1807"/>
      <c r="N50" s="1807"/>
      <c r="O50" s="1807"/>
      <c r="P50" s="1807"/>
      <c r="Q50" s="1985"/>
      <c r="R50" s="1807"/>
      <c r="S50" s="1807"/>
      <c r="T50" s="1807">
        <v>38.335782008121818</v>
      </c>
      <c r="U50" s="1807"/>
      <c r="V50" s="1804"/>
      <c r="W50" s="1804"/>
      <c r="X50" s="1804"/>
      <c r="Y50" s="1807"/>
      <c r="Z50" s="1805"/>
      <c r="AA50" s="1808">
        <f t="shared" si="21"/>
        <v>0</v>
      </c>
      <c r="AB50" s="1809"/>
      <c r="AC50" s="1807"/>
      <c r="AD50" s="1807"/>
      <c r="AE50" s="1807"/>
      <c r="AF50" s="1807"/>
      <c r="AG50" s="1807">
        <v>0</v>
      </c>
      <c r="AH50" s="1976"/>
      <c r="AI50" s="1807"/>
      <c r="AJ50" s="1805"/>
      <c r="AK50" s="1810">
        <v>3.5964616060000001</v>
      </c>
      <c r="AL50" s="1808"/>
      <c r="AM50" s="1812">
        <f t="shared" si="10"/>
        <v>41.932243614121816</v>
      </c>
    </row>
    <row r="51" spans="1:39">
      <c r="A51" s="2011" t="s">
        <v>1469</v>
      </c>
      <c r="B51" s="2012"/>
      <c r="C51" s="1801">
        <f t="shared" si="18"/>
        <v>0</v>
      </c>
      <c r="D51" s="1802"/>
      <c r="E51" s="1813"/>
      <c r="F51" s="1804"/>
      <c r="G51" s="1804"/>
      <c r="H51" s="1805">
        <f t="shared" si="19"/>
        <v>0</v>
      </c>
      <c r="I51" s="1806"/>
      <c r="J51" s="1807"/>
      <c r="K51" s="1807"/>
      <c r="L51" s="1805">
        <f t="shared" si="20"/>
        <v>3.3492872386419079</v>
      </c>
      <c r="M51" s="1807"/>
      <c r="N51" s="1807"/>
      <c r="O51" s="1807">
        <v>0.90091111111111111</v>
      </c>
      <c r="P51" s="1807"/>
      <c r="Q51" s="1807">
        <v>2.4483761275307967</v>
      </c>
      <c r="R51" s="1807"/>
      <c r="S51" s="1807"/>
      <c r="T51" s="1807"/>
      <c r="U51" s="1807"/>
      <c r="V51" s="1804"/>
      <c r="W51" s="1804"/>
      <c r="X51" s="1804"/>
      <c r="Y51" s="1807"/>
      <c r="Z51" s="1805"/>
      <c r="AA51" s="1808">
        <f t="shared" si="21"/>
        <v>0</v>
      </c>
      <c r="AB51" s="1809"/>
      <c r="AC51" s="1807"/>
      <c r="AD51" s="1807"/>
      <c r="AE51" s="1807"/>
      <c r="AF51" s="1807"/>
      <c r="AG51" s="1807"/>
      <c r="AH51" s="1976"/>
      <c r="AI51" s="1807"/>
      <c r="AJ51" s="1805"/>
      <c r="AK51" s="1810"/>
      <c r="AL51" s="1808"/>
      <c r="AM51" s="1812">
        <f t="shared" si="10"/>
        <v>3.3492872386419079</v>
      </c>
    </row>
    <row r="52" spans="1:39">
      <c r="A52" s="2011" t="s">
        <v>1470</v>
      </c>
      <c r="B52" s="2013"/>
      <c r="C52" s="1984">
        <f t="shared" si="18"/>
        <v>0</v>
      </c>
      <c r="D52" s="1985"/>
      <c r="E52" s="1985"/>
      <c r="F52" s="1986"/>
      <c r="G52" s="1986"/>
      <c r="H52" s="1987">
        <f t="shared" si="19"/>
        <v>0</v>
      </c>
      <c r="I52" s="1988"/>
      <c r="J52" s="1985"/>
      <c r="K52" s="1985"/>
      <c r="L52" s="1987">
        <f t="shared" si="20"/>
        <v>603.22570579390913</v>
      </c>
      <c r="M52" s="1985"/>
      <c r="N52" s="1985"/>
      <c r="O52" s="1865"/>
      <c r="P52" s="1985"/>
      <c r="Q52" s="1985">
        <v>603.22570579390913</v>
      </c>
      <c r="R52" s="1985"/>
      <c r="S52" s="1985"/>
      <c r="T52" s="1985"/>
      <c r="U52" s="1985"/>
      <c r="V52" s="1986"/>
      <c r="W52" s="1986"/>
      <c r="X52" s="1986"/>
      <c r="Y52" s="1985"/>
      <c r="Z52" s="1980"/>
      <c r="AA52" s="1991">
        <f t="shared" si="21"/>
        <v>0</v>
      </c>
      <c r="AB52" s="1992"/>
      <c r="AC52" s="1985"/>
      <c r="AD52" s="1985"/>
      <c r="AE52" s="1985"/>
      <c r="AF52" s="1985"/>
      <c r="AG52" s="1985"/>
      <c r="AH52" s="1979"/>
      <c r="AI52" s="1985"/>
      <c r="AJ52" s="1980"/>
      <c r="AK52" s="1980"/>
      <c r="AL52" s="1991"/>
      <c r="AM52" s="1994">
        <f t="shared" si="10"/>
        <v>603.22570579390913</v>
      </c>
    </row>
    <row r="53" spans="1:39">
      <c r="A53" s="2011" t="s">
        <v>1471</v>
      </c>
      <c r="B53" s="2013"/>
      <c r="C53" s="1984">
        <f t="shared" si="18"/>
        <v>0</v>
      </c>
      <c r="D53" s="1988"/>
      <c r="E53" s="1985"/>
      <c r="F53" s="1986"/>
      <c r="G53" s="1986"/>
      <c r="H53" s="1987">
        <f t="shared" si="19"/>
        <v>0</v>
      </c>
      <c r="I53" s="1988"/>
      <c r="J53" s="1985"/>
      <c r="K53" s="1985"/>
      <c r="L53" s="1987">
        <f t="shared" si="20"/>
        <v>243.10216359793375</v>
      </c>
      <c r="M53" s="1985"/>
      <c r="N53" s="1985"/>
      <c r="O53" s="1985">
        <v>108.76902188010735</v>
      </c>
      <c r="P53" s="1985"/>
      <c r="Q53" s="1985"/>
      <c r="R53" s="1985"/>
      <c r="S53" s="1985"/>
      <c r="T53" s="1985">
        <v>134.33314171782641</v>
      </c>
      <c r="U53" s="1985"/>
      <c r="V53" s="1986"/>
      <c r="W53" s="1986"/>
      <c r="X53" s="1986"/>
      <c r="Y53" s="1985"/>
      <c r="Z53" s="1980"/>
      <c r="AA53" s="1991">
        <f t="shared" si="21"/>
        <v>6.9477208819029528</v>
      </c>
      <c r="AB53" s="1992"/>
      <c r="AC53" s="1985"/>
      <c r="AD53" s="1985"/>
      <c r="AE53" s="1985"/>
      <c r="AF53" s="1985"/>
      <c r="AG53" s="1807">
        <v>6.9477208819029528</v>
      </c>
      <c r="AH53" s="1985"/>
      <c r="AI53" s="1985"/>
      <c r="AJ53" s="1980"/>
      <c r="AK53" s="1810"/>
      <c r="AL53" s="1991"/>
      <c r="AM53" s="1994">
        <f t="shared" si="10"/>
        <v>250.04988447983669</v>
      </c>
    </row>
    <row r="54" spans="1:39">
      <c r="A54" s="2014" t="s">
        <v>1472</v>
      </c>
      <c r="B54" s="2012"/>
      <c r="C54" s="1984">
        <f t="shared" si="18"/>
        <v>0</v>
      </c>
      <c r="D54" s="1988"/>
      <c r="E54" s="1985"/>
      <c r="F54" s="1986"/>
      <c r="G54" s="1986"/>
      <c r="H54" s="1987">
        <f t="shared" si="19"/>
        <v>0</v>
      </c>
      <c r="I54" s="1988"/>
      <c r="J54" s="1985"/>
      <c r="K54" s="1985"/>
      <c r="L54" s="1987">
        <f t="shared" si="20"/>
        <v>57.20111881388604</v>
      </c>
      <c r="M54" s="1985"/>
      <c r="N54" s="1985"/>
      <c r="O54" s="1985"/>
      <c r="P54" s="1985"/>
      <c r="Q54" s="1985"/>
      <c r="R54" s="1985"/>
      <c r="S54" s="1985"/>
      <c r="T54" s="1985">
        <v>57.20111881388604</v>
      </c>
      <c r="U54" s="1985"/>
      <c r="V54" s="1986"/>
      <c r="W54" s="1986"/>
      <c r="X54" s="1986"/>
      <c r="Y54" s="1985"/>
      <c r="Z54" s="1920"/>
      <c r="AA54" s="1991">
        <f t="shared" si="21"/>
        <v>0</v>
      </c>
      <c r="AB54" s="1992"/>
      <c r="AC54" s="1985"/>
      <c r="AD54" s="1985"/>
      <c r="AE54" s="1985"/>
      <c r="AF54" s="1985"/>
      <c r="AG54" s="1985"/>
      <c r="AH54" s="1985"/>
      <c r="AI54" s="1985"/>
      <c r="AJ54" s="1920"/>
      <c r="AK54" s="1980"/>
      <c r="AL54" s="1991"/>
      <c r="AM54" s="1994">
        <f t="shared" si="10"/>
        <v>57.20111881388604</v>
      </c>
    </row>
    <row r="55" spans="1:39">
      <c r="A55" s="2015" t="s">
        <v>1473</v>
      </c>
      <c r="B55" s="2016"/>
      <c r="C55" s="1869">
        <f t="shared" si="18"/>
        <v>0</v>
      </c>
      <c r="D55" s="2017"/>
      <c r="E55" s="2018"/>
      <c r="F55" s="1872"/>
      <c r="G55" s="1872"/>
      <c r="H55" s="1873">
        <f t="shared" si="19"/>
        <v>0</v>
      </c>
      <c r="I55" s="1870"/>
      <c r="J55" s="1871"/>
      <c r="K55" s="1871"/>
      <c r="L55" s="1873">
        <f t="shared" si="20"/>
        <v>417.84285216164199</v>
      </c>
      <c r="M55" s="1871"/>
      <c r="N55" s="1871"/>
      <c r="O55" s="1871">
        <v>150.13835393929381</v>
      </c>
      <c r="P55" s="1871"/>
      <c r="Q55" s="1871"/>
      <c r="R55" s="1871">
        <v>0</v>
      </c>
      <c r="S55" s="1871"/>
      <c r="T55" s="1871">
        <v>267.70449822234821</v>
      </c>
      <c r="U55" s="1871"/>
      <c r="V55" s="1872"/>
      <c r="W55" s="1872"/>
      <c r="X55" s="1872"/>
      <c r="Y55" s="1871"/>
      <c r="Z55" s="1873"/>
      <c r="AA55" s="1874">
        <f t="shared" si="21"/>
        <v>12.256922359408126</v>
      </c>
      <c r="AB55" s="1875"/>
      <c r="AC55" s="1871"/>
      <c r="AD55" s="1871"/>
      <c r="AE55" s="1871"/>
      <c r="AF55" s="1871"/>
      <c r="AG55" s="1871">
        <v>12.256922359408126</v>
      </c>
      <c r="AH55" s="1993"/>
      <c r="AI55" s="1871"/>
      <c r="AJ55" s="1873"/>
      <c r="AK55" s="1876"/>
      <c r="AL55" s="1874"/>
      <c r="AM55" s="1877">
        <f t="shared" si="10"/>
        <v>430.09977452105011</v>
      </c>
    </row>
    <row r="56" spans="1:39">
      <c r="A56" s="2019" t="s">
        <v>1474</v>
      </c>
      <c r="B56" s="2020"/>
      <c r="C56" s="1997">
        <f t="shared" si="18"/>
        <v>273.02768526778607</v>
      </c>
      <c r="D56" s="2000">
        <v>172.9909914977089</v>
      </c>
      <c r="E56" s="1803">
        <v>82.736016353226802</v>
      </c>
      <c r="F56" s="1998"/>
      <c r="G56" s="1998">
        <v>17.300677416850384</v>
      </c>
      <c r="H56" s="1999">
        <f t="shared" si="19"/>
        <v>217.90367299999997</v>
      </c>
      <c r="I56" s="2000"/>
      <c r="J56" s="1887">
        <v>127.70399999999999</v>
      </c>
      <c r="K56" s="1887">
        <v>90.19967299999999</v>
      </c>
      <c r="L56" s="1999">
        <f t="shared" si="20"/>
        <v>917.94652763222655</v>
      </c>
      <c r="M56" s="1887"/>
      <c r="N56" s="1887"/>
      <c r="O56" s="1887">
        <v>0</v>
      </c>
      <c r="P56" s="1887">
        <v>705.99338354563224</v>
      </c>
      <c r="Q56" s="1887"/>
      <c r="R56" s="1887">
        <v>0</v>
      </c>
      <c r="S56" s="1887">
        <v>40.039192091386376</v>
      </c>
      <c r="T56" s="1887">
        <v>160.97457699673581</v>
      </c>
      <c r="U56" s="1887">
        <v>10.939374998472235</v>
      </c>
      <c r="V56" s="1998"/>
      <c r="W56" s="1998"/>
      <c r="X56" s="1998"/>
      <c r="Y56" s="1887"/>
      <c r="Z56" s="1999">
        <v>606.21500544000003</v>
      </c>
      <c r="AA56" s="2001">
        <f t="shared" si="21"/>
        <v>64.103806692707678</v>
      </c>
      <c r="AB56" s="2002"/>
      <c r="AC56" s="1887"/>
      <c r="AD56" s="1887">
        <v>28.434876468519207</v>
      </c>
      <c r="AE56" s="1887"/>
      <c r="AF56" s="1887"/>
      <c r="AG56" s="1887"/>
      <c r="AH56" s="2001">
        <v>11.112130410109572</v>
      </c>
      <c r="AI56" s="1887">
        <v>24.556799814078893</v>
      </c>
      <c r="AJ56" s="1999"/>
      <c r="AK56" s="1999">
        <v>683.505898</v>
      </c>
      <c r="AL56" s="2001"/>
      <c r="AM56" s="1889">
        <f t="shared" si="10"/>
        <v>2762.7025960327201</v>
      </c>
    </row>
    <row r="57" spans="1:39">
      <c r="A57" s="2021" t="s">
        <v>1475</v>
      </c>
      <c r="B57" s="2022"/>
      <c r="C57" s="1997">
        <f t="shared" ref="C57:N57" si="22">SUM(C58:C59)</f>
        <v>0</v>
      </c>
      <c r="D57" s="1887">
        <f t="shared" si="22"/>
        <v>0</v>
      </c>
      <c r="E57" s="1887">
        <f t="shared" si="22"/>
        <v>0</v>
      </c>
      <c r="F57" s="1998">
        <f t="shared" si="22"/>
        <v>0</v>
      </c>
      <c r="G57" s="1998">
        <f t="shared" si="22"/>
        <v>0</v>
      </c>
      <c r="H57" s="1999">
        <f t="shared" si="22"/>
        <v>0</v>
      </c>
      <c r="I57" s="2000">
        <f t="shared" si="22"/>
        <v>0</v>
      </c>
      <c r="J57" s="2000">
        <f t="shared" si="22"/>
        <v>0</v>
      </c>
      <c r="K57" s="2000">
        <f t="shared" si="22"/>
        <v>0</v>
      </c>
      <c r="L57" s="1999">
        <f t="shared" si="22"/>
        <v>307.41487498345867</v>
      </c>
      <c r="M57" s="1887">
        <f t="shared" si="22"/>
        <v>0</v>
      </c>
      <c r="N57" s="1887">
        <f t="shared" si="22"/>
        <v>0</v>
      </c>
      <c r="O57" s="1887">
        <v>0</v>
      </c>
      <c r="P57" s="1887">
        <f>SUM(P58:P59)</f>
        <v>0</v>
      </c>
      <c r="Q57" s="1887">
        <f>SUM(Q58:Q59)</f>
        <v>0</v>
      </c>
      <c r="R57" s="1887">
        <v>9.8490000000000002</v>
      </c>
      <c r="S57" s="1887">
        <v>8.6471234986161019</v>
      </c>
      <c r="T57" s="1887">
        <v>288.9178891101929</v>
      </c>
      <c r="U57" s="1887">
        <f>SUM(U58:U59)</f>
        <v>1.9273907720592222E-4</v>
      </c>
      <c r="V57" s="1998">
        <f>SUM(V58:V59)</f>
        <v>0</v>
      </c>
      <c r="W57" s="1998">
        <f>SUM(W58:W59)</f>
        <v>0</v>
      </c>
      <c r="X57" s="1998">
        <f>SUM(X58:X59)</f>
        <v>0</v>
      </c>
      <c r="Y57" s="2000">
        <f>SUM(Y58:Y59)</f>
        <v>0</v>
      </c>
      <c r="Z57" s="1999">
        <v>406.8168382904621</v>
      </c>
      <c r="AA57" s="2001">
        <f>SUM(AA58:AA59)</f>
        <v>38.343023110536855</v>
      </c>
      <c r="AB57" s="2002">
        <f>SUM(AB58:AB59)</f>
        <v>0</v>
      </c>
      <c r="AC57" s="1887">
        <f>SUM(AC58:AC59)</f>
        <v>0</v>
      </c>
      <c r="AD57" s="1887">
        <f>SUM(AD58:AD59)</f>
        <v>25.085395617191999</v>
      </c>
      <c r="AE57" s="1887">
        <f>SUM(AE58:AE59)</f>
        <v>0</v>
      </c>
      <c r="AF57" s="1887">
        <f>SUM(AF59:AF59)</f>
        <v>4.4197780579834358</v>
      </c>
      <c r="AG57" s="1887">
        <f>SUM(AG58:AG59)</f>
        <v>0</v>
      </c>
      <c r="AH57" s="1887">
        <f>SUM(AH58:AH59)</f>
        <v>0.16614308073470971</v>
      </c>
      <c r="AI57" s="2000">
        <f>SUM(AI58:AI59)</f>
        <v>8.6717063546267088</v>
      </c>
      <c r="AJ57" s="1999">
        <f>SUM(AJ58:AJ59)</f>
        <v>0</v>
      </c>
      <c r="AK57" s="1999">
        <v>547.48412774235317</v>
      </c>
      <c r="AL57" s="2001">
        <f>SUM(AL58:AL59)</f>
        <v>0</v>
      </c>
      <c r="AM57" s="2003">
        <f t="shared" si="10"/>
        <v>1300.0588641268109</v>
      </c>
    </row>
    <row r="58" spans="1:39">
      <c r="A58" s="2023" t="s">
        <v>1476</v>
      </c>
      <c r="B58" s="2024"/>
      <c r="C58" s="1890">
        <f>SUM(D58:G58)</f>
        <v>0</v>
      </c>
      <c r="D58" s="1853">
        <v>0</v>
      </c>
      <c r="E58" s="1854">
        <v>0</v>
      </c>
      <c r="F58" s="1855"/>
      <c r="G58" s="1855">
        <v>0</v>
      </c>
      <c r="H58" s="1861">
        <f>SUM(I58:K58)</f>
        <v>0</v>
      </c>
      <c r="I58" s="1853"/>
      <c r="J58" s="1854"/>
      <c r="K58" s="1854"/>
      <c r="L58" s="1861">
        <f>SUM(M58:Y58)</f>
        <v>198.26494716850374</v>
      </c>
      <c r="M58" s="1854"/>
      <c r="N58" s="1854"/>
      <c r="O58" s="1854"/>
      <c r="P58" s="1854">
        <v>0</v>
      </c>
      <c r="Q58" s="1854"/>
      <c r="R58" s="1854">
        <f>R57*14.35/147.08</f>
        <v>0.96092704650530303</v>
      </c>
      <c r="S58" s="1854">
        <f>S57*7.63/10.25</f>
        <v>6.4368343701893513</v>
      </c>
      <c r="T58" s="1854">
        <f>T57*319.4/483.48</f>
        <v>190.86699301273188</v>
      </c>
      <c r="U58" s="1854">
        <v>1.9273907720592222E-4</v>
      </c>
      <c r="V58" s="1855"/>
      <c r="W58" s="1855"/>
      <c r="X58" s="1855"/>
      <c r="Y58" s="1854"/>
      <c r="Z58" s="1861">
        <f>Z57*37.95/86.59</f>
        <v>178.29655864560615</v>
      </c>
      <c r="AA58" s="1857">
        <f>SUM(AB58:AI58)</f>
        <v>33.923245052553419</v>
      </c>
      <c r="AB58" s="1858"/>
      <c r="AC58" s="1854"/>
      <c r="AD58" s="1854">
        <v>25.085395617191999</v>
      </c>
      <c r="AE58" s="1865"/>
      <c r="AF58" s="1865"/>
      <c r="AG58" s="1865"/>
      <c r="AH58" s="1911">
        <v>0.16614308073470971</v>
      </c>
      <c r="AI58" s="1854">
        <v>8.6717063546267088</v>
      </c>
      <c r="AJ58" s="1861"/>
      <c r="AK58" s="1891">
        <f>AK57*172.28/240.3</f>
        <v>392.51171671848772</v>
      </c>
      <c r="AL58" s="1857"/>
      <c r="AM58" s="1892">
        <f t="shared" si="10"/>
        <v>802.99646758515098</v>
      </c>
    </row>
    <row r="59" spans="1:39">
      <c r="A59" s="1982" t="s">
        <v>1477</v>
      </c>
      <c r="B59" s="2025"/>
      <c r="C59" s="1869">
        <f>SUM(D59:G59)</f>
        <v>0</v>
      </c>
      <c r="D59" s="1870"/>
      <c r="E59" s="1871"/>
      <c r="F59" s="1872"/>
      <c r="G59" s="1872"/>
      <c r="H59" s="1873">
        <f>SUM(I59:K59)</f>
        <v>0</v>
      </c>
      <c r="I59" s="1870"/>
      <c r="J59" s="1871">
        <v>0</v>
      </c>
      <c r="K59" s="1871">
        <v>0</v>
      </c>
      <c r="L59" s="1873">
        <f>SUM(M59:Y59)</f>
        <v>109.14992781495495</v>
      </c>
      <c r="M59" s="1871"/>
      <c r="N59" s="1871"/>
      <c r="O59" s="1871"/>
      <c r="P59" s="1871"/>
      <c r="Q59" s="1871"/>
      <c r="R59" s="1871">
        <f>R57*132.74/147.08</f>
        <v>8.8887425890671743</v>
      </c>
      <c r="S59" s="1871">
        <f>S57*2.62/10.25</f>
        <v>2.2102891284267501</v>
      </c>
      <c r="T59" s="1871">
        <f>T57*164.08/483.48</f>
        <v>98.05089609746102</v>
      </c>
      <c r="U59" s="1871"/>
      <c r="V59" s="1872"/>
      <c r="W59" s="1872"/>
      <c r="X59" s="1872"/>
      <c r="Y59" s="1871"/>
      <c r="Z59" s="1873">
        <f>Z57*48.65/86.59</f>
        <v>228.56726161024346</v>
      </c>
      <c r="AA59" s="1874">
        <f>SUM(AB59:AI59)</f>
        <v>4.4197780579834358</v>
      </c>
      <c r="AB59" s="1875"/>
      <c r="AC59" s="1871"/>
      <c r="AD59" s="1871"/>
      <c r="AE59" s="1871"/>
      <c r="AF59" s="1871">
        <v>4.4197780579834358</v>
      </c>
      <c r="AG59" s="1871"/>
      <c r="AH59" s="1993"/>
      <c r="AI59" s="1871"/>
      <c r="AJ59" s="1873"/>
      <c r="AK59" s="1876">
        <f>AK57*68.03/240.3</f>
        <v>154.99519438332203</v>
      </c>
      <c r="AL59" s="1874"/>
      <c r="AM59" s="1877">
        <f t="shared" si="10"/>
        <v>497.13216186650385</v>
      </c>
    </row>
    <row r="60" spans="1:39">
      <c r="A60" s="2026" t="s">
        <v>1478</v>
      </c>
      <c r="B60" s="2027"/>
      <c r="C60" s="1897">
        <f>SUM(D60:G60)</f>
        <v>0</v>
      </c>
      <c r="D60" s="2028">
        <v>0</v>
      </c>
      <c r="E60" s="2029"/>
      <c r="F60" s="2030"/>
      <c r="G60" s="2030"/>
      <c r="H60" s="1901">
        <f>SUM(I60:K60)</f>
        <v>0</v>
      </c>
      <c r="I60" s="2028"/>
      <c r="J60" s="2029"/>
      <c r="K60" s="2029"/>
      <c r="L60" s="1901">
        <f>SUM(M60:Y60)</f>
        <v>176.57925537907244</v>
      </c>
      <c r="M60" s="2029"/>
      <c r="N60" s="2029"/>
      <c r="O60" s="2029">
        <v>0</v>
      </c>
      <c r="P60" s="2029">
        <v>0</v>
      </c>
      <c r="Q60" s="2029"/>
      <c r="R60" s="2029"/>
      <c r="S60" s="2029">
        <v>0</v>
      </c>
      <c r="T60" s="2029">
        <v>176.57925537907244</v>
      </c>
      <c r="U60" s="1854"/>
      <c r="V60" s="2030"/>
      <c r="W60" s="2030"/>
      <c r="X60" s="2030"/>
      <c r="Y60" s="2029"/>
      <c r="Z60" s="1901">
        <v>0</v>
      </c>
      <c r="AA60" s="1902">
        <f>SUM(AB60:AI60)</f>
        <v>0</v>
      </c>
      <c r="AB60" s="2031"/>
      <c r="AC60" s="2029"/>
      <c r="AD60" s="2029"/>
      <c r="AE60" s="2029"/>
      <c r="AF60" s="2029"/>
      <c r="AG60" s="2029"/>
      <c r="AH60" s="1902"/>
      <c r="AI60" s="2029"/>
      <c r="AJ60" s="1901"/>
      <c r="AK60" s="1901">
        <v>47.988</v>
      </c>
      <c r="AL60" s="1902"/>
      <c r="AM60" s="1889">
        <f t="shared" si="10"/>
        <v>224.56725537907244</v>
      </c>
    </row>
    <row r="61" spans="1:39" ht="15.75" thickBot="1">
      <c r="A61" s="2032" t="s">
        <v>1479</v>
      </c>
      <c r="B61" s="2025"/>
      <c r="C61" s="1869">
        <f>SUM(D61:G61)</f>
        <v>0</v>
      </c>
      <c r="D61" s="1870"/>
      <c r="E61" s="1871"/>
      <c r="F61" s="1872"/>
      <c r="G61" s="1872"/>
      <c r="H61" s="1873">
        <f>SUM(I61:K61)</f>
        <v>0</v>
      </c>
      <c r="I61" s="1870"/>
      <c r="J61" s="1871"/>
      <c r="K61" s="1871"/>
      <c r="L61" s="1873">
        <f>SUM(M61:Y61)</f>
        <v>24.28677894085908</v>
      </c>
      <c r="M61" s="1871"/>
      <c r="N61" s="1871"/>
      <c r="O61" s="1871"/>
      <c r="P61" s="1871"/>
      <c r="Q61" s="1871"/>
      <c r="R61" s="1871"/>
      <c r="S61" s="1871"/>
      <c r="T61" s="2018">
        <v>24.28677894085908</v>
      </c>
      <c r="U61" s="1871"/>
      <c r="V61" s="1872"/>
      <c r="W61" s="1872"/>
      <c r="X61" s="1872"/>
      <c r="Y61" s="1871"/>
      <c r="Z61" s="1873"/>
      <c r="AA61" s="1874">
        <f>SUM(AB61:AI61)</f>
        <v>0</v>
      </c>
      <c r="AB61" s="1875"/>
      <c r="AC61" s="1871"/>
      <c r="AD61" s="1871"/>
      <c r="AE61" s="1871"/>
      <c r="AF61" s="1871"/>
      <c r="AG61" s="1871"/>
      <c r="AH61" s="1993"/>
      <c r="AI61" s="1871"/>
      <c r="AJ61" s="1873"/>
      <c r="AK61" s="1876"/>
      <c r="AL61" s="1874"/>
      <c r="AM61" s="2033">
        <f t="shared" si="10"/>
        <v>24.28677894085908</v>
      </c>
    </row>
    <row r="62" spans="1:39" ht="15.75" thickBot="1">
      <c r="A62" s="2034" t="s">
        <v>1480</v>
      </c>
      <c r="B62" s="2035"/>
      <c r="C62" s="2036">
        <f>C27-C28-C30</f>
        <v>21.975473571542864</v>
      </c>
      <c r="D62" s="2037">
        <f t="shared" ref="D62:AL62" si="23">D27-D28-D30</f>
        <v>20.720383607252131</v>
      </c>
      <c r="E62" s="2038">
        <f t="shared" si="23"/>
        <v>1.2104056269701573</v>
      </c>
      <c r="F62" s="2039">
        <f t="shared" si="23"/>
        <v>0</v>
      </c>
      <c r="G62" s="2039">
        <f t="shared" si="23"/>
        <v>4.4684337320468615E-2</v>
      </c>
      <c r="H62" s="2040">
        <f t="shared" si="23"/>
        <v>-44.071296839033238</v>
      </c>
      <c r="I62" s="2037">
        <f t="shared" si="23"/>
        <v>-38.744664839033092</v>
      </c>
      <c r="J62" s="2038">
        <f t="shared" si="23"/>
        <v>0</v>
      </c>
      <c r="K62" s="2038">
        <f t="shared" si="23"/>
        <v>-5.3266320000000036</v>
      </c>
      <c r="L62" s="2040">
        <f t="shared" si="23"/>
        <v>13.956512477026081</v>
      </c>
      <c r="M62" s="2038">
        <f t="shared" si="23"/>
        <v>-1.8088945241993315</v>
      </c>
      <c r="N62" s="2038">
        <f t="shared" si="23"/>
        <v>0</v>
      </c>
      <c r="O62" s="2038">
        <f t="shared" si="23"/>
        <v>19.468034359152625</v>
      </c>
      <c r="P62" s="2038">
        <f t="shared" si="23"/>
        <v>-13.927153604000068</v>
      </c>
      <c r="Q62" s="2038">
        <f t="shared" si="23"/>
        <v>67.938564558720145</v>
      </c>
      <c r="R62" s="2038">
        <f t="shared" si="23"/>
        <v>-1.4292884893022517</v>
      </c>
      <c r="S62" s="2038">
        <f t="shared" si="23"/>
        <v>-26.735309473055679</v>
      </c>
      <c r="T62" s="2038">
        <f t="shared" si="23"/>
        <v>-24.349583382925175</v>
      </c>
      <c r="U62" s="2038">
        <f t="shared" si="23"/>
        <v>0.2839381245192385</v>
      </c>
      <c r="V62" s="2039">
        <f t="shared" si="23"/>
        <v>-5.4831254563122478</v>
      </c>
      <c r="W62" s="2039">
        <f t="shared" si="23"/>
        <v>0</v>
      </c>
      <c r="X62" s="2039">
        <f t="shared" si="23"/>
        <v>0</v>
      </c>
      <c r="Y62" s="2038">
        <f t="shared" si="23"/>
        <v>0</v>
      </c>
      <c r="Z62" s="2040">
        <f t="shared" si="23"/>
        <v>19.855865153152308</v>
      </c>
      <c r="AA62" s="2041">
        <f t="shared" si="23"/>
        <v>-4.7423821032999172</v>
      </c>
      <c r="AB62" s="2042">
        <f t="shared" si="23"/>
        <v>0</v>
      </c>
      <c r="AC62" s="2038">
        <f t="shared" si="23"/>
        <v>0</v>
      </c>
      <c r="AD62" s="2038">
        <f t="shared" si="23"/>
        <v>-1.8547229887788319</v>
      </c>
      <c r="AE62" s="2038">
        <f t="shared" si="23"/>
        <v>0</v>
      </c>
      <c r="AF62" s="2038">
        <f t="shared" si="23"/>
        <v>0</v>
      </c>
      <c r="AG62" s="2038">
        <f t="shared" si="23"/>
        <v>-2.8876591145211279</v>
      </c>
      <c r="AH62" s="2041">
        <f t="shared" si="23"/>
        <v>0</v>
      </c>
      <c r="AI62" s="2038">
        <f t="shared" si="23"/>
        <v>0</v>
      </c>
      <c r="AJ62" s="2040">
        <f t="shared" si="23"/>
        <v>0</v>
      </c>
      <c r="AK62" s="2040">
        <f t="shared" si="23"/>
        <v>17.012310034270286</v>
      </c>
      <c r="AL62" s="2041">
        <f t="shared" si="23"/>
        <v>0</v>
      </c>
      <c r="AM62" s="1936">
        <f t="shared" si="10"/>
        <v>23.986482293658383</v>
      </c>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dimension ref="A1:AV62"/>
  <sheetViews>
    <sheetView topLeftCell="AB1" zoomScale="90" zoomScaleNormal="90" workbookViewId="0">
      <selection activeCell="AK30" sqref="AK30"/>
    </sheetView>
  </sheetViews>
  <sheetFormatPr defaultRowHeight="15"/>
  <cols>
    <col min="1" max="1" width="47.5703125" style="2503" customWidth="1"/>
    <col min="2" max="2" width="54.42578125" style="2503" customWidth="1"/>
    <col min="3" max="44" width="9.140625" style="2503"/>
    <col min="45" max="45" width="12.5703125" style="2503" customWidth="1"/>
    <col min="46" max="46" width="12.85546875" style="2503" customWidth="1"/>
    <col min="47" max="47" width="11.85546875" style="2503" customWidth="1"/>
    <col min="48" max="16384" width="9.140625" style="2503"/>
  </cols>
  <sheetData>
    <row r="1" spans="1:48" ht="67.5" thickBot="1">
      <c r="A1" s="1771" t="s">
        <v>2157</v>
      </c>
      <c r="B1" s="1772" t="s">
        <v>1373</v>
      </c>
      <c r="C1" s="1773" t="s">
        <v>1374</v>
      </c>
      <c r="D1" s="1774" t="s">
        <v>1375</v>
      </c>
      <c r="E1" s="1775" t="s">
        <v>1376</v>
      </c>
      <c r="F1" s="1776" t="s">
        <v>1377</v>
      </c>
      <c r="G1" s="1776" t="s">
        <v>1378</v>
      </c>
      <c r="H1" s="1777" t="s">
        <v>1379</v>
      </c>
      <c r="I1" s="1774" t="s">
        <v>1380</v>
      </c>
      <c r="J1" s="1775" t="s">
        <v>1381</v>
      </c>
      <c r="K1" s="1775" t="s">
        <v>1382</v>
      </c>
      <c r="L1" s="1777" t="s">
        <v>1383</v>
      </c>
      <c r="M1" s="1774" t="s">
        <v>1384</v>
      </c>
      <c r="N1" s="1775" t="s">
        <v>1385</v>
      </c>
      <c r="O1" s="1775" t="s">
        <v>1386</v>
      </c>
      <c r="P1" s="1775" t="s">
        <v>1387</v>
      </c>
      <c r="Q1" s="1775" t="s">
        <v>1388</v>
      </c>
      <c r="R1" s="1775" t="s">
        <v>1389</v>
      </c>
      <c r="S1" s="1775" t="s">
        <v>1390</v>
      </c>
      <c r="T1" s="1775" t="s">
        <v>1391</v>
      </c>
      <c r="U1" s="1775" t="s">
        <v>1392</v>
      </c>
      <c r="V1" s="1776" t="s">
        <v>1393</v>
      </c>
      <c r="W1" s="1776" t="s">
        <v>1394</v>
      </c>
      <c r="X1" s="1776" t="s">
        <v>1395</v>
      </c>
      <c r="Y1" s="1775" t="s">
        <v>1396</v>
      </c>
      <c r="Z1" s="1777" t="s">
        <v>1397</v>
      </c>
      <c r="AA1" s="1778" t="s">
        <v>1398</v>
      </c>
      <c r="AB1" s="1779" t="s">
        <v>1399</v>
      </c>
      <c r="AC1" s="1780" t="s">
        <v>1400</v>
      </c>
      <c r="AD1" s="1780" t="s">
        <v>1401</v>
      </c>
      <c r="AE1" s="1780" t="s">
        <v>1402</v>
      </c>
      <c r="AF1" s="1780" t="s">
        <v>1403</v>
      </c>
      <c r="AG1" s="1780" t="s">
        <v>1404</v>
      </c>
      <c r="AH1" s="1780" t="s">
        <v>1405</v>
      </c>
      <c r="AI1" s="1781" t="s">
        <v>1406</v>
      </c>
      <c r="AJ1" s="1782" t="s">
        <v>1407</v>
      </c>
      <c r="AK1" s="1783" t="s">
        <v>1408</v>
      </c>
      <c r="AL1" s="1778" t="s">
        <v>1409</v>
      </c>
      <c r="AM1" s="1784" t="s">
        <v>1410</v>
      </c>
    </row>
    <row r="2" spans="1:48">
      <c r="A2" s="1785" t="s">
        <v>1411</v>
      </c>
      <c r="B2" s="1786"/>
      <c r="C2" s="1787">
        <f>'Irl. Energy Balance 2013 (ktoe)'!C2*0.01163</f>
        <v>0</v>
      </c>
      <c r="D2" s="1788">
        <f>'Irl. Energy Balance 2013 (ktoe)'!D2*0.01163</f>
        <v>0</v>
      </c>
      <c r="E2" s="1789">
        <f>'Irl. Energy Balance 2013 (ktoe)'!E2*0.01163</f>
        <v>0</v>
      </c>
      <c r="F2" s="1790">
        <f>'Irl. Energy Balance 2013 (ktoe)'!F2*0.01163</f>
        <v>0</v>
      </c>
      <c r="G2" s="1790">
        <f>'Irl. Energy Balance 2013 (ktoe)'!G2*0.01163</f>
        <v>0</v>
      </c>
      <c r="H2" s="1791">
        <f>'Irl. Energy Balance 2013 (ktoe)'!H2*0.01163</f>
        <v>15.020436065457172</v>
      </c>
      <c r="I2" s="1792">
        <f>'Irl. Energy Balance 2013 (ktoe)'!I2*0.01163</f>
        <v>13.535238545457172</v>
      </c>
      <c r="J2" s="1793">
        <f>'Irl. Energy Balance 2013 (ktoe)'!J2*0.01163</f>
        <v>1.4851975199999998</v>
      </c>
      <c r="K2" s="1793">
        <f>'Irl. Energy Balance 2013 (ktoe)'!K2*0.01163</f>
        <v>0</v>
      </c>
      <c r="L2" s="1791">
        <f>'Irl. Energy Balance 2013 (ktoe)'!L2*0.01163</f>
        <v>0</v>
      </c>
      <c r="M2" s="1792">
        <f>'Irl. Energy Balance 2013 (ktoe)'!M2*0.01163</f>
        <v>0</v>
      </c>
      <c r="N2" s="1794">
        <f>'Irl. Energy Balance 2013 (ktoe)'!N2*0.01163</f>
        <v>0</v>
      </c>
      <c r="O2" s="1794">
        <f>'Irl. Energy Balance 2013 (ktoe)'!O2*0.01163</f>
        <v>0</v>
      </c>
      <c r="P2" s="1794">
        <f>'Irl. Energy Balance 2013 (ktoe)'!P2*0.01163</f>
        <v>0</v>
      </c>
      <c r="Q2" s="1794">
        <f>'Irl. Energy Balance 2013 (ktoe)'!Q2*0.01163</f>
        <v>0</v>
      </c>
      <c r="R2" s="1794">
        <f>'Irl. Energy Balance 2013 (ktoe)'!R2*0.01163</f>
        <v>0</v>
      </c>
      <c r="S2" s="1794">
        <f>'Irl. Energy Balance 2013 (ktoe)'!S2*0.01163</f>
        <v>0</v>
      </c>
      <c r="T2" s="1794">
        <f>'Irl. Energy Balance 2013 (ktoe)'!T2*0.01163</f>
        <v>0</v>
      </c>
      <c r="U2" s="1794">
        <f>'Irl. Energy Balance 2013 (ktoe)'!U2*0.01163</f>
        <v>0</v>
      </c>
      <c r="V2" s="1790">
        <f>'Irl. Energy Balance 2013 (ktoe)'!V2*0.01163</f>
        <v>0</v>
      </c>
      <c r="W2" s="1790">
        <f>'Irl. Energy Balance 2013 (ktoe)'!W2*0.01163</f>
        <v>0</v>
      </c>
      <c r="X2" s="1790">
        <f>'Irl. Energy Balance 2013 (ktoe)'!X2*0.01163</f>
        <v>0</v>
      </c>
      <c r="Y2" s="1793">
        <f>'Irl. Energy Balance 2013 (ktoe)'!Y2*0.01163</f>
        <v>0</v>
      </c>
      <c r="Z2" s="1791">
        <f>'Irl. Energy Balance 2013 (ktoe)'!Z2*0.01163</f>
        <v>1.7555282514130177</v>
      </c>
      <c r="AA2" s="1795">
        <f>'Irl. Energy Balance 2013 (ktoe)'!AA2*0.01163</f>
        <v>9.2858259132600942</v>
      </c>
      <c r="AB2" s="2513">
        <f>'Irl. Energy Balance 2013 (ktoe)'!AB2*0.01163</f>
        <v>0.57859162386130003</v>
      </c>
      <c r="AC2" s="1793">
        <f>'Irl. Energy Balance 2013 (ktoe)'!AC2*0.01163</f>
        <v>4.5423319526063981</v>
      </c>
      <c r="AD2" s="1793">
        <f>'Irl. Energy Balance 2013 (ktoe)'!AD2*0.01163</f>
        <v>2.8365823934204326</v>
      </c>
      <c r="AE2" s="1793">
        <f>'Irl. Energy Balance 2013 (ktoe)'!AE2*0.01163</f>
        <v>0.42745701505884887</v>
      </c>
      <c r="AF2" s="1793">
        <f>'Irl. Energy Balance 2013 (ktoe)'!AF2*0.01163</f>
        <v>0.13276003368635939</v>
      </c>
      <c r="AG2" s="1793">
        <f>'Irl. Energy Balance 2013 (ktoe)'!AG2*0.01163</f>
        <v>0.2504890471861887</v>
      </c>
      <c r="AH2" s="1792">
        <f>'Irl. Energy Balance 2013 (ktoe)'!AH2*0.01163</f>
        <v>0.131166320698519</v>
      </c>
      <c r="AI2" s="1790">
        <f>'Irl. Energy Balance 2013 (ktoe)'!AI2*0.01163</f>
        <v>0.38644752674204613</v>
      </c>
      <c r="AJ2" s="1797">
        <f>'Irl. Energy Balance 2013 (ktoe)'!AJ2*0.01163</f>
        <v>0.67156905045004223</v>
      </c>
      <c r="AK2" s="1797">
        <f>'Irl. Energy Balance 2013 (ktoe)'!AK2*0.01163</f>
        <v>0</v>
      </c>
      <c r="AL2" s="1795">
        <f>'Irl. Energy Balance 2013 (ktoe)'!AL2*0.01163</f>
        <v>0</v>
      </c>
      <c r="AM2" s="1798">
        <f>'Irl. Energy Balance 2013 (ktoe)'!AM2*0.01163</f>
        <v>26.733359280580324</v>
      </c>
      <c r="AP2"/>
      <c r="AQ2"/>
      <c r="AR2"/>
      <c r="AS2"/>
      <c r="AT2"/>
      <c r="AU2"/>
      <c r="AV2"/>
    </row>
    <row r="3" spans="1:48">
      <c r="A3" s="1799" t="s">
        <v>1412</v>
      </c>
      <c r="B3" s="1800"/>
      <c r="C3" s="1801">
        <f>'Irl. Energy Balance 2013 (ktoe)'!C3*0.01163</f>
        <v>17.394432277006658</v>
      </c>
      <c r="D3" s="1802">
        <f>'Irl. Energy Balance 2013 (ktoe)'!D3*0.01163</f>
        <v>16.365494630755343</v>
      </c>
      <c r="E3" s="1803">
        <f>'Irl. Energy Balance 2013 (ktoe)'!E3*0.01163</f>
        <v>0.77536504547456264</v>
      </c>
      <c r="F3" s="1804">
        <f>'Irl. Energy Balance 2013 (ktoe)'!F3*0.01163</f>
        <v>0</v>
      </c>
      <c r="G3" s="1804">
        <f>'Irl. Energy Balance 2013 (ktoe)'!G3*0.01163</f>
        <v>0.25357260077674953</v>
      </c>
      <c r="H3" s="1805">
        <f>'Irl. Energy Balance 2013 (ktoe)'!H3*0.01163</f>
        <v>0</v>
      </c>
      <c r="I3" s="1806">
        <f>'Irl. Energy Balance 2013 (ktoe)'!I3*0.01163</f>
        <v>0</v>
      </c>
      <c r="J3" s="1807">
        <f>'Irl. Energy Balance 2013 (ktoe)'!J3*0.01163</f>
        <v>0</v>
      </c>
      <c r="K3" s="1807">
        <f>'Irl. Energy Balance 2013 (ktoe)'!K3*0.01163</f>
        <v>0</v>
      </c>
      <c r="L3" s="1805">
        <f>'Irl. Energy Balance 2013 (ktoe)'!L3*0.01163</f>
        <v>92.728366727343584</v>
      </c>
      <c r="M3" s="1806">
        <f>'Irl. Energy Balance 2013 (ktoe)'!M3*0.01163</f>
        <v>37.50371883684231</v>
      </c>
      <c r="N3" s="1807">
        <f>'Irl. Energy Balance 2013 (ktoe)'!N3*0.01163</f>
        <v>0</v>
      </c>
      <c r="O3" s="1807">
        <f>'Irl. Energy Balance 2013 (ktoe)'!O3*0.01163</f>
        <v>7.8205454567284436</v>
      </c>
      <c r="P3" s="1807">
        <f>'Irl. Energy Balance 2013 (ktoe)'!P3*0.01163</f>
        <v>4.9615135153365602</v>
      </c>
      <c r="Q3" s="1807">
        <f>'Irl. Energy Balance 2013 (ktoe)'!Q3*0.01163</f>
        <v>10.311410499910641</v>
      </c>
      <c r="R3" s="1807">
        <f>'Irl. Energy Balance 2013 (ktoe)'!R3*0.01163</f>
        <v>2.1100047017987711</v>
      </c>
      <c r="S3" s="1807">
        <f>'Irl. Energy Balance 2013 (ktoe)'!S3*0.01163</f>
        <v>1.1935307068947729</v>
      </c>
      <c r="T3" s="1807">
        <f>'Irl. Energy Balance 2013 (ktoe)'!T3*0.01163</f>
        <v>24.156899321042534</v>
      </c>
      <c r="U3" s="1807">
        <f>'Irl. Energy Balance 2013 (ktoe)'!U3*0.01163</f>
        <v>1.3045978260851321</v>
      </c>
      <c r="V3" s="1804">
        <f>'Irl. Energy Balance 2013 (ktoe)'!V3*0.01163</f>
        <v>0</v>
      </c>
      <c r="W3" s="1804">
        <f>'Irl. Energy Balance 2013 (ktoe)'!W3*0.01163</f>
        <v>2.9154925620344199</v>
      </c>
      <c r="X3" s="1804">
        <f>'Irl. Energy Balance 2013 (ktoe)'!X3*0.01163</f>
        <v>1.221090687E-2</v>
      </c>
      <c r="Y3" s="1807">
        <f>'Irl. Energy Balance 2013 (ktoe)'!Y3*0.01163</f>
        <v>0.4384423938</v>
      </c>
      <c r="Z3" s="1805">
        <f>'Irl. Energy Balance 2013 (ktoe)'!Z3*0.01163</f>
        <v>43.232993583303433</v>
      </c>
      <c r="AA3" s="1808">
        <f>'Irl. Energy Balance 2013 (ktoe)'!AA3*0.01163</f>
        <v>1.3305707387187942</v>
      </c>
      <c r="AB3" s="1809">
        <f>'Irl. Energy Balance 2013 (ktoe)'!AB3*0.01163</f>
        <v>0</v>
      </c>
      <c r="AC3" s="1807">
        <f>'Irl. Energy Balance 2013 (ktoe)'!AC3*0.01163</f>
        <v>0</v>
      </c>
      <c r="AD3" s="1807">
        <f>'Irl. Energy Balance 2013 (ktoe)'!AD3*0.01163</f>
        <v>0.41579010419516155</v>
      </c>
      <c r="AE3" s="1807">
        <f>'Irl. Energy Balance 2013 (ktoe)'!AE3*0.01163</f>
        <v>0</v>
      </c>
      <c r="AF3" s="1807">
        <f>'Irl. Energy Balance 2013 (ktoe)'!AF3*0.01163</f>
        <v>0</v>
      </c>
      <c r="AG3" s="3877">
        <f>'Irl. Energy Balance 2013 (ktoe)'!AG3*0.01163</f>
        <v>0.91478063452363245</v>
      </c>
      <c r="AH3" s="1806">
        <f>'Irl. Energy Balance 2013 (ktoe)'!AH3*0.01163</f>
        <v>0</v>
      </c>
      <c r="AI3" s="1804">
        <f>'Irl. Energy Balance 2013 (ktoe)'!AI3*0.01163</f>
        <v>0</v>
      </c>
      <c r="AJ3" s="1810">
        <f>'Irl. Energy Balance 2013 (ktoe)'!AJ3*0.01163</f>
        <v>0</v>
      </c>
      <c r="AK3" s="3459">
        <f>'Irl. Energy Balance 2013 (ktoe)'!AK3*0.01163</f>
        <v>2.5079796250885993</v>
      </c>
      <c r="AL3" s="1808">
        <f>'Irl. Energy Balance 2013 (ktoe)'!AL3*0.01163</f>
        <v>0</v>
      </c>
      <c r="AM3" s="1812">
        <f>'Irl. Energy Balance 2013 (ktoe)'!AM3*0.01163</f>
        <v>157.1943429514611</v>
      </c>
      <c r="AP3"/>
      <c r="AQ3"/>
      <c r="AR3"/>
      <c r="AS3"/>
      <c r="AT3"/>
      <c r="AU3"/>
      <c r="AV3"/>
    </row>
    <row r="4" spans="1:48">
      <c r="A4" s="1799" t="s">
        <v>1413</v>
      </c>
      <c r="B4" s="1800"/>
      <c r="C4" s="1801">
        <f>'Irl. Energy Balance 2013 (ktoe)'!C4*0.01163</f>
        <v>0.11935881907401984</v>
      </c>
      <c r="D4" s="1802">
        <f>'Irl. Energy Balance 2013 (ktoe)'!D4*0.01163</f>
        <v>0</v>
      </c>
      <c r="E4" s="1813">
        <f>'Irl. Energy Balance 2013 (ktoe)'!E4*0.01163</f>
        <v>0.11194712313479999</v>
      </c>
      <c r="F4" s="1804">
        <f>'Irl. Energy Balance 2013 (ktoe)'!F4*0.01163</f>
        <v>0</v>
      </c>
      <c r="G4" s="1804">
        <f>'Irl. Energy Balance 2013 (ktoe)'!G4*0.01163</f>
        <v>7.4116959392198402E-3</v>
      </c>
      <c r="H4" s="1805">
        <f>'Irl. Energy Balance 2013 (ktoe)'!H4*0.01163</f>
        <v>9.9306534749999995E-2</v>
      </c>
      <c r="I4" s="1806">
        <f>'Irl. Energy Balance 2013 (ktoe)'!I4*0.01163</f>
        <v>0</v>
      </c>
      <c r="J4" s="1807">
        <f>'Irl. Energy Balance 2013 (ktoe)'!J4*0.01163</f>
        <v>0</v>
      </c>
      <c r="K4" s="1807">
        <f>'Irl. Energy Balance 2013 (ktoe)'!K4*0.01163</f>
        <v>9.9306534749999995E-2</v>
      </c>
      <c r="L4" s="1805">
        <f>'Irl. Energy Balance 2013 (ktoe)'!L4*0.01163</f>
        <v>14.096835319238554</v>
      </c>
      <c r="M4" s="1806">
        <f>'Irl. Energy Balance 2013 (ktoe)'!M4*0.01163</f>
        <v>2.6430624261587581</v>
      </c>
      <c r="N4" s="1807">
        <f>'Irl. Energy Balance 2013 (ktoe)'!N4*0.01163</f>
        <v>0</v>
      </c>
      <c r="O4" s="1807">
        <f>'Irl. Energy Balance 2013 (ktoe)'!O4*0.01163</f>
        <v>0.14667069494022222</v>
      </c>
      <c r="P4" s="1807">
        <f>'Irl. Energy Balance 2013 (ktoe)'!P4*0.01163</f>
        <v>4.7615893649542405E-2</v>
      </c>
      <c r="Q4" s="1807">
        <f>'Irl. Energy Balance 2013 (ktoe)'!Q4*0.01163</f>
        <v>4.8526376673503997E-3</v>
      </c>
      <c r="R4" s="1807">
        <f>'Irl. Energy Balance 2013 (ktoe)'!R4*0.01163</f>
        <v>10.475112324940588</v>
      </c>
      <c r="S4" s="1807">
        <f>'Irl. Energy Balance 2013 (ktoe)'!S4*0.01163</f>
        <v>0.3649948272190856</v>
      </c>
      <c r="T4" s="1807">
        <f>'Irl. Energy Balance 2013 (ktoe)'!T4*0.01163</f>
        <v>4.0710903553299489E-3</v>
      </c>
      <c r="U4" s="1807">
        <f>'Irl. Energy Balance 2013 (ktoe)'!U4*0.01163</f>
        <v>9.766489775791835E-4</v>
      </c>
      <c r="V4" s="1804">
        <f>'Irl. Energy Balance 2013 (ktoe)'!V4*0.01163</f>
        <v>0.33030975294601517</v>
      </c>
      <c r="W4" s="1804">
        <f>'Irl. Energy Balance 2013 (ktoe)'!W4*0.01163</f>
        <v>7.7308807408327761E-4</v>
      </c>
      <c r="X4" s="1804">
        <f>'Irl. Energy Balance 2013 (ktoe)'!X4*0.01163</f>
        <v>3.3002450999999996E-4</v>
      </c>
      <c r="Y4" s="1807">
        <f>'Irl. Energy Balance 2013 (ktoe)'!Y4*0.01163</f>
        <v>7.80659098E-2</v>
      </c>
      <c r="Z4" s="1805">
        <f>'Irl. Energy Balance 2013 (ktoe)'!Z4*0.01163</f>
        <v>0</v>
      </c>
      <c r="AA4" s="1808">
        <f>'Irl. Energy Balance 2013 (ktoe)'!AA4*0.01163</f>
        <v>5.8255470143999981E-5</v>
      </c>
      <c r="AB4" s="1809">
        <f>'Irl. Energy Balance 2013 (ktoe)'!AB4*0.01163</f>
        <v>0</v>
      </c>
      <c r="AC4" s="1807">
        <f>'Irl. Energy Balance 2013 (ktoe)'!AC4*0.01163</f>
        <v>0</v>
      </c>
      <c r="AD4" s="1807">
        <f>'Irl. Energy Balance 2013 (ktoe)'!AD4*0.01163</f>
        <v>5.8255470143999981E-5</v>
      </c>
      <c r="AE4" s="1807">
        <f>'Irl. Energy Balance 2013 (ktoe)'!AE4*0.01163</f>
        <v>0</v>
      </c>
      <c r="AF4" s="1807">
        <f>'Irl. Energy Balance 2013 (ktoe)'!AF4*0.01163</f>
        <v>0</v>
      </c>
      <c r="AG4" s="1807">
        <f>'Irl. Energy Balance 2013 (ktoe)'!AG4*0.01163</f>
        <v>0</v>
      </c>
      <c r="AH4" s="1806">
        <f>'Irl. Energy Balance 2013 (ktoe)'!AH4*0.01163</f>
        <v>0</v>
      </c>
      <c r="AI4" s="1804">
        <f>'Irl. Energy Balance 2013 (ktoe)'!AI4*0.01163</f>
        <v>0</v>
      </c>
      <c r="AJ4" s="1810">
        <f>'Irl. Energy Balance 2013 (ktoe)'!AJ4*0.01163</f>
        <v>0</v>
      </c>
      <c r="AK4" s="3459">
        <f>'Irl. Energy Balance 2013 (ktoe)'!AK4*0.01163</f>
        <v>0.38851876079119996</v>
      </c>
      <c r="AL4" s="1808">
        <f>'Irl. Energy Balance 2013 (ktoe)'!AL4*0.01163</f>
        <v>0</v>
      </c>
      <c r="AM4" s="1812">
        <f>'Irl. Energy Balance 2013 (ktoe)'!AM4*0.01163</f>
        <v>14.704077689323919</v>
      </c>
      <c r="AP4"/>
      <c r="AQ4"/>
      <c r="AR4"/>
      <c r="AS4"/>
      <c r="AT4"/>
      <c r="AU4"/>
      <c r="AV4"/>
    </row>
    <row r="5" spans="1:48">
      <c r="A5" s="1799" t="s">
        <v>1414</v>
      </c>
      <c r="B5" s="1800"/>
      <c r="C5" s="1801">
        <f>'Irl. Energy Balance 2013 (ktoe)'!C5*0.01163</f>
        <v>0</v>
      </c>
      <c r="D5" s="1802">
        <f>'Irl. Energy Balance 2013 (ktoe)'!D5*0.01163</f>
        <v>0</v>
      </c>
      <c r="E5" s="1813">
        <f>'Irl. Energy Balance 2013 (ktoe)'!E5*0.01163</f>
        <v>0</v>
      </c>
      <c r="F5" s="1804">
        <f>'Irl. Energy Balance 2013 (ktoe)'!F5*0.01163</f>
        <v>0</v>
      </c>
      <c r="G5" s="1804">
        <f>'Irl. Energy Balance 2013 (ktoe)'!G5*0.01163</f>
        <v>0</v>
      </c>
      <c r="H5" s="1805">
        <f>'Irl. Energy Balance 2013 (ktoe)'!H5*0.01163</f>
        <v>0</v>
      </c>
      <c r="I5" s="1806">
        <f>'Irl. Energy Balance 2013 (ktoe)'!I5*0.01163</f>
        <v>0</v>
      </c>
      <c r="J5" s="1807">
        <f>'Irl. Energy Balance 2013 (ktoe)'!J5*0.01163</f>
        <v>0</v>
      </c>
      <c r="K5" s="1807">
        <f>'Irl. Energy Balance 2013 (ktoe)'!K5*0.01163</f>
        <v>0</v>
      </c>
      <c r="L5" s="1805">
        <f>'Irl. Energy Balance 2013 (ktoe)'!L5*0.01163</f>
        <v>1.660758792096223</v>
      </c>
      <c r="M5" s="1806">
        <f>'Irl. Energy Balance 2013 (ktoe)'!M5*0.01163</f>
        <v>0</v>
      </c>
      <c r="N5" s="1807">
        <f>'Irl. Energy Balance 2013 (ktoe)'!N5*0.01163</f>
        <v>0</v>
      </c>
      <c r="O5" s="1807">
        <f>'Irl. Energy Balance 2013 (ktoe)'!O5*0.01163</f>
        <v>0</v>
      </c>
      <c r="P5" s="1807">
        <f>'Irl. Energy Balance 2013 (ktoe)'!P5*0.01163</f>
        <v>0</v>
      </c>
      <c r="Q5" s="1807">
        <f>'Irl. Energy Balance 2013 (ktoe)'!Q5*0.01163</f>
        <v>0</v>
      </c>
      <c r="R5" s="1807">
        <f>'Irl. Energy Balance 2013 (ktoe)'!R5*0.01163</f>
        <v>0.2107068679240198</v>
      </c>
      <c r="S5" s="1807">
        <f>'Irl. Energy Balance 2013 (ktoe)'!S5*0.01163</f>
        <v>0</v>
      </c>
      <c r="T5" s="1807">
        <f>'Irl. Energy Balance 2013 (ktoe)'!T5*0.01163</f>
        <v>1.450051924172203</v>
      </c>
      <c r="U5" s="1807">
        <f>'Irl. Energy Balance 2013 (ktoe)'!U5*0.01163</f>
        <v>0</v>
      </c>
      <c r="V5" s="1804">
        <f>'Irl. Energy Balance 2013 (ktoe)'!V5*0.01163</f>
        <v>0</v>
      </c>
      <c r="W5" s="1804">
        <f>'Irl. Energy Balance 2013 (ktoe)'!W5*0.01163</f>
        <v>0</v>
      </c>
      <c r="X5" s="1804">
        <f>'Irl. Energy Balance 2013 (ktoe)'!X5*0.01163</f>
        <v>0</v>
      </c>
      <c r="Y5" s="1807">
        <f>'Irl. Energy Balance 2013 (ktoe)'!Y5*0.01163</f>
        <v>0</v>
      </c>
      <c r="Z5" s="1805">
        <f>'Irl. Energy Balance 2013 (ktoe)'!Z5*0.01163</f>
        <v>0</v>
      </c>
      <c r="AA5" s="1808">
        <f>'Irl. Energy Balance 2013 (ktoe)'!AA5*0.01163</f>
        <v>0</v>
      </c>
      <c r="AB5" s="1809">
        <f>'Irl. Energy Balance 2013 (ktoe)'!AB5*0.01163</f>
        <v>0</v>
      </c>
      <c r="AC5" s="1807">
        <f>'Irl. Energy Balance 2013 (ktoe)'!AC5*0.01163</f>
        <v>0</v>
      </c>
      <c r="AD5" s="1807">
        <f>'Irl. Energy Balance 2013 (ktoe)'!AD5*0.01163</f>
        <v>0</v>
      </c>
      <c r="AE5" s="1807">
        <f>'Irl. Energy Balance 2013 (ktoe)'!AE5*0.01163</f>
        <v>0</v>
      </c>
      <c r="AF5" s="1807">
        <f>'Irl. Energy Balance 2013 (ktoe)'!AF5*0.01163</f>
        <v>0</v>
      </c>
      <c r="AG5" s="1807">
        <f>'Irl. Energy Balance 2013 (ktoe)'!AG5*0.01163</f>
        <v>0</v>
      </c>
      <c r="AH5" s="1806">
        <f>'Irl. Energy Balance 2013 (ktoe)'!AH5*0.01163</f>
        <v>0</v>
      </c>
      <c r="AI5" s="1804">
        <f>'Irl. Energy Balance 2013 (ktoe)'!AI5*0.01163</f>
        <v>0</v>
      </c>
      <c r="AJ5" s="1810">
        <f>'Irl. Energy Balance 2013 (ktoe)'!AJ5*0.01163</f>
        <v>0</v>
      </c>
      <c r="AK5" s="1810">
        <f>'Irl. Energy Balance 2013 (ktoe)'!AK5*0.01163</f>
        <v>0</v>
      </c>
      <c r="AL5" s="1808">
        <f>'Irl. Energy Balance 2013 (ktoe)'!AL5*0.01163</f>
        <v>0</v>
      </c>
      <c r="AM5" s="1812">
        <f>'Irl. Energy Balance 2013 (ktoe)'!AM5*0.01163</f>
        <v>1.660758792096223</v>
      </c>
      <c r="AP5"/>
      <c r="AQ5"/>
      <c r="AR5"/>
      <c r="AS5"/>
      <c r="AT5"/>
      <c r="AU5"/>
      <c r="AV5"/>
    </row>
    <row r="6" spans="1:48" ht="15.75" thickBot="1">
      <c r="A6" s="1814" t="s">
        <v>1415</v>
      </c>
      <c r="B6" s="1815"/>
      <c r="C6" s="1801">
        <f>'Irl. Energy Balance 2013 (ktoe)'!C6*0.01163</f>
        <v>-1.8813278934213078</v>
      </c>
      <c r="D6" s="1816">
        <f>'Irl. Energy Balance 2013 (ktoe)'!D6*0.01163</f>
        <v>-1.7086724961697768</v>
      </c>
      <c r="E6" s="1804">
        <f>'Irl. Energy Balance 2013 (ktoe)'!E6*0.01163</f>
        <v>-0.12822104961500844</v>
      </c>
      <c r="F6" s="1817">
        <f>'Irl. Energy Balance 2013 (ktoe)'!F6*0.01163</f>
        <v>0</v>
      </c>
      <c r="G6" s="1817">
        <f>'Irl. Energy Balance 2013 (ktoe)'!G6*0.01163</f>
        <v>-4.4434347636522722E-2</v>
      </c>
      <c r="H6" s="1818">
        <f>'Irl. Energy Balance 2013 (ktoe)'!H6*0.01163</f>
        <v>-6.5111810990868166</v>
      </c>
      <c r="I6" s="1819">
        <f>'Irl. Energy Balance 2013 (ktoe)'!I6*0.01163</f>
        <v>-6.3639498231568155</v>
      </c>
      <c r="J6" s="1819">
        <f>'Irl. Energy Balance 2013 (ktoe)'!J6*0.01163</f>
        <v>0</v>
      </c>
      <c r="K6" s="1819">
        <f>'Irl. Energy Balance 2013 (ktoe)'!K6*0.01163</f>
        <v>-0.14723127593000002</v>
      </c>
      <c r="L6" s="1818">
        <f>'Irl. Energy Balance 2013 (ktoe)'!L6*0.01163</f>
        <v>-0.85476036927545029</v>
      </c>
      <c r="M6" s="1806">
        <f>'Irl. Energy Balance 2013 (ktoe)'!M6*0.01163</f>
        <v>-1.12981961</v>
      </c>
      <c r="N6" s="1807">
        <f>'Irl. Energy Balance 2013 (ktoe)'!N6*0.01163</f>
        <v>0</v>
      </c>
      <c r="O6" s="1807">
        <f>'Irl. Energy Balance 2013 (ktoe)'!O6*0.01163</f>
        <v>-6.3944861492000002E-2</v>
      </c>
      <c r="P6" s="1807">
        <f>'Irl. Energy Balance 2013 (ktoe)'!P6*0.01163</f>
        <v>0.21671933372660482</v>
      </c>
      <c r="Q6" s="1807">
        <f>'Irl. Energy Balance 2013 (ktoe)'!Q6*0.01163</f>
        <v>6.1096438110854398E-2</v>
      </c>
      <c r="R6" s="1807">
        <f>'Irl. Energy Balance 2013 (ktoe)'!R6*0.01163</f>
        <v>-1.9570230045155367E-2</v>
      </c>
      <c r="S6" s="1807">
        <f>'Irl. Energy Balance 2013 (ktoe)'!S6*0.01163</f>
        <v>-2.6878544021116973E-2</v>
      </c>
      <c r="T6" s="1807">
        <f>'Irl. Energy Balance 2013 (ktoe)'!T6*0.01163</f>
        <v>-4.2349734087295095E-2</v>
      </c>
      <c r="U6" s="1807">
        <f>'Irl. Energy Balance 2013 (ktoe)'!U6*0.01163</f>
        <v>0.1335975205149853</v>
      </c>
      <c r="V6" s="1817">
        <f>'Irl. Energy Balance 2013 (ktoe)'!V6*0.01163</f>
        <v>1.6389318017672651E-2</v>
      </c>
      <c r="W6" s="1817">
        <f>'Irl. Energy Balance 2013 (ktoe)'!W6*0.01163</f>
        <v>0</v>
      </c>
      <c r="X6" s="1817">
        <f>'Irl. Energy Balance 2013 (ktoe)'!X6*0.01163</f>
        <v>0</v>
      </c>
      <c r="Y6" s="1819">
        <f>'Irl. Energy Balance 2013 (ktoe)'!Y6*0.01163</f>
        <v>0</v>
      </c>
      <c r="Z6" s="1818">
        <f>'Irl. Energy Balance 2013 (ktoe)'!Z6*0.01163</f>
        <v>4.1894329762702055E-2</v>
      </c>
      <c r="AA6" s="1820">
        <f>'Irl. Energy Balance 2013 (ktoe)'!AA6*0.01163</f>
        <v>-2.0841968236247541E-2</v>
      </c>
      <c r="AB6" s="1821">
        <f>'Irl. Energy Balance 2013 (ktoe)'!AB6*0.01163</f>
        <v>0</v>
      </c>
      <c r="AC6" s="1822">
        <f>'Irl. Energy Balance 2013 (ktoe)'!AC6*0.01163</f>
        <v>0</v>
      </c>
      <c r="AD6" s="1822">
        <f>'Irl. Energy Balance 2013 (ktoe)'!AD6*0.01163</f>
        <v>-1.1092871538283703E-2</v>
      </c>
      <c r="AE6" s="1822">
        <f>'Irl. Energy Balance 2013 (ktoe)'!AE6*0.01163</f>
        <v>0</v>
      </c>
      <c r="AF6" s="1822">
        <f>'Irl. Energy Balance 2013 (ktoe)'!AF6*0.01163</f>
        <v>0</v>
      </c>
      <c r="AG6" s="1822">
        <f>'Irl. Energy Balance 2013 (ktoe)'!AG6*0.01163</f>
        <v>-9.74909669796384E-3</v>
      </c>
      <c r="AH6" s="1819">
        <f>'Irl. Energy Balance 2013 (ktoe)'!AH6*0.01163</f>
        <v>0</v>
      </c>
      <c r="AI6" s="1817">
        <f>'Irl. Energy Balance 2013 (ktoe)'!AI6*0.01163</f>
        <v>0</v>
      </c>
      <c r="AJ6" s="1823">
        <f>'Irl. Energy Balance 2013 (ktoe)'!AJ6*0.01163</f>
        <v>0</v>
      </c>
      <c r="AK6" s="1823">
        <f>'Irl. Energy Balance 2013 (ktoe)'!AK6*0.01163</f>
        <v>0</v>
      </c>
      <c r="AL6" s="1820">
        <f>'Irl. Energy Balance 2013 (ktoe)'!AL6*0.01163</f>
        <v>0</v>
      </c>
      <c r="AM6" s="1824">
        <f>'Irl. Energy Balance 2013 (ktoe)'!AM6*0.01163</f>
        <v>-9.2262170002571207</v>
      </c>
      <c r="AP6"/>
      <c r="AQ6"/>
      <c r="AR6"/>
      <c r="AS6"/>
      <c r="AT6"/>
      <c r="AU6"/>
      <c r="AV6"/>
    </row>
    <row r="7" spans="1:48" s="39" customFormat="1">
      <c r="A7" s="1825" t="s">
        <v>1416</v>
      </c>
      <c r="B7" s="1826"/>
      <c r="C7" s="1827">
        <f>'Irl. Energy Balance 2013 (ktoe)'!C7*0.01163</f>
        <v>15.393745564511331</v>
      </c>
      <c r="D7" s="1828">
        <f>'Irl. Energy Balance 2013 (ktoe)'!D7*0.01163</f>
        <v>14.656822134585569</v>
      </c>
      <c r="E7" s="1829">
        <f>'Irl. Energy Balance 2013 (ktoe)'!E7*0.01163</f>
        <v>0.53519687272475425</v>
      </c>
      <c r="F7" s="1829">
        <f>'Irl. Energy Balance 2013 (ktoe)'!F7*0.01163</f>
        <v>0</v>
      </c>
      <c r="G7" s="1829">
        <f>'Irl. Energy Balance 2013 (ktoe)'!G7*0.01163</f>
        <v>0.20172655720100702</v>
      </c>
      <c r="H7" s="1830">
        <f>'Irl. Energy Balance 2013 (ktoe)'!H7*0.01163</f>
        <v>8.4099484316203554</v>
      </c>
      <c r="I7" s="1828">
        <f>'Irl. Energy Balance 2013 (ktoe)'!I7*0.01163</f>
        <v>7.171288722300357</v>
      </c>
      <c r="J7" s="1829">
        <f>'Irl. Energy Balance 2013 (ktoe)'!J7*0.01163</f>
        <v>1.4851975199999998</v>
      </c>
      <c r="K7" s="1829">
        <f>'Irl. Energy Balance 2013 (ktoe)'!K7*0.01163</f>
        <v>-0.24653781068</v>
      </c>
      <c r="L7" s="1830">
        <f>'Irl. Energy Balance 2013 (ktoe)'!L7*0.01163</f>
        <v>76.116012246733362</v>
      </c>
      <c r="M7" s="1828">
        <f>'Irl. Energy Balance 2013 (ktoe)'!M7*0.01163</f>
        <v>33.730836800683555</v>
      </c>
      <c r="N7" s="1829">
        <f>'Irl. Energy Balance 2013 (ktoe)'!N7*0.01163</f>
        <v>0</v>
      </c>
      <c r="O7" s="1829">
        <f>'Irl. Energy Balance 2013 (ktoe)'!O7*0.01163</f>
        <v>7.6099299002962209</v>
      </c>
      <c r="P7" s="1829">
        <f>'Irl. Energy Balance 2013 (ktoe)'!P7*0.01163</f>
        <v>5.1306169554136236</v>
      </c>
      <c r="Q7" s="1829">
        <f>'Irl. Energy Balance 2013 (ktoe)'!Q7*0.01163</f>
        <v>10.367654300354145</v>
      </c>
      <c r="R7" s="1829">
        <f>'Irl. Energy Balance 2013 (ktoe)'!R7*0.01163</f>
        <v>-8.5953847211109906</v>
      </c>
      <c r="S7" s="1829">
        <f>'Irl. Energy Balance 2013 (ktoe)'!S7*0.01163</f>
        <v>0.80165733565457031</v>
      </c>
      <c r="T7" s="1829">
        <f>'Irl. Energy Balance 2013 (ktoe)'!T7*0.01163</f>
        <v>22.660426572427706</v>
      </c>
      <c r="U7" s="1829">
        <f>'Irl. Energy Balance 2013 (ktoe)'!U7*0.01163</f>
        <v>1.4372186976225383</v>
      </c>
      <c r="V7" s="1829">
        <f>'Irl. Energy Balance 2013 (ktoe)'!V7*0.01163</f>
        <v>-0.31392043492834254</v>
      </c>
      <c r="W7" s="1829">
        <f>'Irl. Energy Balance 2013 (ktoe)'!W7*0.01163</f>
        <v>2.914719473960337</v>
      </c>
      <c r="X7" s="1829">
        <f>'Irl. Energy Balance 2013 (ktoe)'!X7*0.01163</f>
        <v>1.1880882359999999E-2</v>
      </c>
      <c r="Y7" s="1829">
        <f>'Irl. Energy Balance 2013 (ktoe)'!Y7*0.01163</f>
        <v>0.360376484</v>
      </c>
      <c r="Z7" s="1830">
        <f>'Irl. Energy Balance 2013 (ktoe)'!Z7*0.01163</f>
        <v>45.030416164479156</v>
      </c>
      <c r="AA7" s="1830">
        <f>'Irl. Energy Balance 2013 (ktoe)'!AA7*0.01163</f>
        <v>10.595496428272497</v>
      </c>
      <c r="AB7" s="2512">
        <f>'Irl. Energy Balance 2013 (ktoe)'!AB7*0.01163</f>
        <v>0.57859162386130003</v>
      </c>
      <c r="AC7" s="3480">
        <f>'Irl. Energy Balance 2013 (ktoe)'!AC7*0.01163</f>
        <v>4.5423319526063981</v>
      </c>
      <c r="AD7" s="1829">
        <f>'Irl. Energy Balance 2013 (ktoe)'!AD7*0.01163</f>
        <v>3.2412213706071666</v>
      </c>
      <c r="AE7" s="1829">
        <f>'Irl. Energy Balance 2013 (ktoe)'!AE7*0.01163</f>
        <v>0.42745701505884887</v>
      </c>
      <c r="AF7" s="1829">
        <f>'Irl. Energy Balance 2013 (ktoe)'!AF7*0.01163</f>
        <v>0.13276003368635939</v>
      </c>
      <c r="AG7" s="1829">
        <f>'Irl. Energy Balance 2013 (ktoe)'!AG7*0.01163</f>
        <v>1.1555205850118573</v>
      </c>
      <c r="AH7" s="3481">
        <f>'Irl. Energy Balance 2013 (ktoe)'!AH7*0.01163</f>
        <v>0.131166320698519</v>
      </c>
      <c r="AI7" s="1828">
        <f>'Irl. Energy Balance 2013 (ktoe)'!AI7*0.01163</f>
        <v>0.38644752674204613</v>
      </c>
      <c r="AJ7" s="1830">
        <f>'Irl. Energy Balance 2013 (ktoe)'!AJ7*0.01163</f>
        <v>0.67156905045004223</v>
      </c>
      <c r="AK7" s="1834">
        <f>'Irl. Energy Balance 2013 (ktoe)'!AK7*0.01163</f>
        <v>2.1194608642973991</v>
      </c>
      <c r="AL7" s="1835">
        <f>'Irl. Energy Balance 2013 (ktoe)'!AL7*0.01163</f>
        <v>0</v>
      </c>
      <c r="AM7" s="1836">
        <f>'Irl. Energy Balance 2013 (ktoe)'!AM7*0.01163</f>
        <v>158.33664875036413</v>
      </c>
      <c r="AP7"/>
      <c r="AQ7"/>
      <c r="AR7"/>
      <c r="AS7"/>
      <c r="AT7"/>
      <c r="AU7"/>
      <c r="AV7"/>
    </row>
    <row r="8" spans="1:48" s="39" customFormat="1" ht="15.75" thickBot="1">
      <c r="A8" s="1837" t="s">
        <v>1418</v>
      </c>
      <c r="B8" s="1838"/>
      <c r="C8" s="1839">
        <f>'Irl. Energy Balance 2013 (ktoe)'!C8*0.01163</f>
        <v>15.393745564511331</v>
      </c>
      <c r="D8" s="1840">
        <f>'Irl. Energy Balance 2013 (ktoe)'!D8*0.01163</f>
        <v>14.656822134585569</v>
      </c>
      <c r="E8" s="1841">
        <f>'Irl. Energy Balance 2013 (ktoe)'!E8*0.01163</f>
        <v>0.53519687272475425</v>
      </c>
      <c r="F8" s="1842">
        <f>'Irl. Energy Balance 2013 (ktoe)'!F8*0.01163</f>
        <v>0</v>
      </c>
      <c r="G8" s="1842">
        <f>'Irl. Energy Balance 2013 (ktoe)'!G8*0.01163</f>
        <v>0.20172655720100702</v>
      </c>
      <c r="H8" s="1843">
        <f>'Irl. Energy Balance 2013 (ktoe)'!H8*0.01163</f>
        <v>8.4099484316203554</v>
      </c>
      <c r="I8" s="1840">
        <f>'Irl. Energy Balance 2013 (ktoe)'!I8*0.01163</f>
        <v>7.171288722300357</v>
      </c>
      <c r="J8" s="1841">
        <f>'Irl. Energy Balance 2013 (ktoe)'!J8*0.01163</f>
        <v>1.4851975199999998</v>
      </c>
      <c r="K8" s="1841">
        <f>'Irl. Energy Balance 2013 (ktoe)'!K8*0.01163</f>
        <v>-0.24653781068</v>
      </c>
      <c r="L8" s="1843">
        <f>'Irl. Energy Balance 2013 (ktoe)'!L8*0.01163</f>
        <v>72.829035406413027</v>
      </c>
      <c r="M8" s="1840">
        <f>'Irl. Energy Balance 2013 (ktoe)'!M8*0.01163</f>
        <v>33.730836800683555</v>
      </c>
      <c r="N8" s="1841">
        <f>'Irl. Energy Balance 2013 (ktoe)'!N8*0.01163</f>
        <v>0</v>
      </c>
      <c r="O8" s="1841">
        <f>'Irl. Energy Balance 2013 (ktoe)'!O8*0.01163</f>
        <v>7.6099299002962209</v>
      </c>
      <c r="P8" s="1841">
        <f>'Irl. Energy Balance 2013 (ktoe)'!P8*0.01163</f>
        <v>5.1306169554136236</v>
      </c>
      <c r="Q8" s="1841">
        <f>'Irl. Energy Balance 2013 (ktoe)'!Q8*0.01163</f>
        <v>10.367654300354145</v>
      </c>
      <c r="R8" s="1841">
        <f>'Irl. Energy Balance 2013 (ktoe)'!R8*0.01163</f>
        <v>-8.5953847211109906</v>
      </c>
      <c r="S8" s="1841">
        <f>'Irl. Energy Balance 2013 (ktoe)'!S8*0.01163</f>
        <v>0.80165733565457031</v>
      </c>
      <c r="T8" s="1841">
        <f>'Irl. Energy Balance 2013 (ktoe)'!T8*0.01163</f>
        <v>22.660426572427706</v>
      </c>
      <c r="U8" s="1841">
        <f>'Irl. Energy Balance 2013 (ktoe)'!U8*0.01163</f>
        <v>1.4372186976225383</v>
      </c>
      <c r="V8" s="1842">
        <f>'Irl. Energy Balance 2013 (ktoe)'!V8*0.01163</f>
        <v>-0.31392043492834254</v>
      </c>
      <c r="W8" s="1842">
        <f>'Irl. Energy Balance 2013 (ktoe)'!W8*0.01163</f>
        <v>0</v>
      </c>
      <c r="X8" s="1842">
        <f>'Irl. Energy Balance 2013 (ktoe)'!X8*0.01163</f>
        <v>0</v>
      </c>
      <c r="Y8" s="1841">
        <f>'Irl. Energy Balance 2013 (ktoe)'!Y8*0.01163</f>
        <v>0</v>
      </c>
      <c r="Z8" s="1843">
        <f>'Irl. Energy Balance 2013 (ktoe)'!Z8*0.01163</f>
        <v>45.030416164479156</v>
      </c>
      <c r="AA8" s="1844">
        <f>'Irl. Energy Balance 2013 (ktoe)'!AA8*0.01163</f>
        <v>10.595496428272497</v>
      </c>
      <c r="AB8" s="1840">
        <f>'Irl. Energy Balance 2013 (ktoe)'!AB8*0.01163</f>
        <v>0.57859162386130003</v>
      </c>
      <c r="AC8" s="1841">
        <f>'Irl. Energy Balance 2013 (ktoe)'!AC8*0.01163</f>
        <v>4.5423319526063981</v>
      </c>
      <c r="AD8" s="1841">
        <f>'Irl. Energy Balance 2013 (ktoe)'!AD8*0.01163</f>
        <v>3.2412213706071666</v>
      </c>
      <c r="AE8" s="1841">
        <f>'Irl. Energy Balance 2013 (ktoe)'!AE8*0.01163</f>
        <v>0.42745701505884887</v>
      </c>
      <c r="AF8" s="1841">
        <f>'Irl. Energy Balance 2013 (ktoe)'!AF8*0.01163</f>
        <v>0.13276003368635939</v>
      </c>
      <c r="AG8" s="1841">
        <f>'Irl. Energy Balance 2013 (ktoe)'!AG8*0.01163</f>
        <v>1.1555205850118573</v>
      </c>
      <c r="AH8" s="1845">
        <f>'Irl. Energy Balance 2013 (ktoe)'!AH8*0.01163</f>
        <v>0.131166320698519</v>
      </c>
      <c r="AI8" s="1840">
        <f>'Irl. Energy Balance 2013 (ktoe)'!AI8*0.01163</f>
        <v>0.38644752674204613</v>
      </c>
      <c r="AJ8" s="1843">
        <f>'Irl. Energy Balance 2013 (ktoe)'!AJ8*0.01163</f>
        <v>0.67156905045004223</v>
      </c>
      <c r="AK8" s="1843">
        <f>'Irl. Energy Balance 2013 (ktoe)'!AK8*0.01163</f>
        <v>2.1194608642973991</v>
      </c>
      <c r="AL8" s="1840">
        <f>'Irl. Energy Balance 2013 (ktoe)'!AL8*0.01163</f>
        <v>0</v>
      </c>
      <c r="AM8" s="1846">
        <f>'Irl. Energy Balance 2013 (ktoe)'!AM8*0.01163</f>
        <v>155.0496719100438</v>
      </c>
      <c r="AP8"/>
      <c r="AQ8"/>
      <c r="AR8"/>
      <c r="AS8"/>
      <c r="AT8"/>
      <c r="AU8"/>
      <c r="AV8"/>
    </row>
    <row r="9" spans="1:48">
      <c r="A9" s="1825" t="s">
        <v>1419</v>
      </c>
      <c r="B9" s="1826"/>
      <c r="C9" s="1827">
        <f>'Irl. Energy Balance 2013 (ktoe)'!C9*0.01163</f>
        <v>11.284856392926411</v>
      </c>
      <c r="D9" s="1833">
        <f>'Irl. Energy Balance 2013 (ktoe)'!D9*0.01163</f>
        <v>11.284856392926411</v>
      </c>
      <c r="E9" s="1829">
        <f>'Irl. Energy Balance 2013 (ktoe)'!E9*0.01163</f>
        <v>0</v>
      </c>
      <c r="F9" s="1847">
        <f>'Irl. Energy Balance 2013 (ktoe)'!F9*0.01163</f>
        <v>0</v>
      </c>
      <c r="G9" s="1847">
        <f>'Irl. Energy Balance 2013 (ktoe)'!G9*0.01163</f>
        <v>0</v>
      </c>
      <c r="H9" s="1830">
        <f>'Irl. Energy Balance 2013 (ktoe)'!H9*0.01163</f>
        <v>7.4263704435868894</v>
      </c>
      <c r="I9" s="1833">
        <f>'Irl. Energy Balance 2013 (ktoe)'!I9*0.01163</f>
        <v>7.4263704435868894</v>
      </c>
      <c r="J9" s="1829">
        <f>'Irl. Energy Balance 2013 (ktoe)'!J9*0.01163</f>
        <v>0</v>
      </c>
      <c r="K9" s="1829">
        <f>'Irl. Energy Balance 2013 (ktoe)'!K9*0.01163</f>
        <v>0</v>
      </c>
      <c r="L9" s="1830">
        <f>'Irl. Energy Balance 2013 (ktoe)'!L9*0.01163</f>
        <v>34.257214266739425</v>
      </c>
      <c r="M9" s="1829">
        <f>'Irl. Energy Balance 2013 (ktoe)'!M9*0.01163</f>
        <v>33.751874243999993</v>
      </c>
      <c r="N9" s="1829">
        <f>'Irl. Energy Balance 2013 (ktoe)'!N9*0.01163</f>
        <v>5.8785101683775993E-2</v>
      </c>
      <c r="O9" s="1829">
        <f>'Irl. Energy Balance 2013 (ktoe)'!O9*0.01163</f>
        <v>0</v>
      </c>
      <c r="P9" s="1829">
        <f>'Irl. Energy Balance 2013 (ktoe)'!P9*0.01163</f>
        <v>0</v>
      </c>
      <c r="Q9" s="1829">
        <f>'Irl. Energy Balance 2013 (ktoe)'!Q9*0.01163</f>
        <v>0</v>
      </c>
      <c r="R9" s="1829">
        <f>'Irl. Energy Balance 2013 (ktoe)'!R9*0.01163</f>
        <v>0.38719304202207555</v>
      </c>
      <c r="S9" s="1829">
        <f>'Irl. Energy Balance 2013 (ktoe)'!S9*0.01163</f>
        <v>7.1167195883252137E-3</v>
      </c>
      <c r="T9" s="1829">
        <f>'Irl. Energy Balance 2013 (ktoe)'!T9*0.01163</f>
        <v>5.2245159445251446E-2</v>
      </c>
      <c r="U9" s="1829">
        <f>'Irl. Energy Balance 2013 (ktoe)'!U9*0.01163</f>
        <v>0</v>
      </c>
      <c r="V9" s="1847">
        <f>'Irl. Energy Balance 2013 (ktoe)'!V9*0.01163</f>
        <v>0</v>
      </c>
      <c r="W9" s="1847">
        <f>'Irl. Energy Balance 2013 (ktoe)'!W9*0.01163</f>
        <v>0</v>
      </c>
      <c r="X9" s="1847">
        <f>'Irl. Energy Balance 2013 (ktoe)'!X9*0.01163</f>
        <v>0</v>
      </c>
      <c r="Y9" s="1829">
        <f>'Irl. Energy Balance 2013 (ktoe)'!Y9*0.01163</f>
        <v>0</v>
      </c>
      <c r="Z9" s="1830">
        <f>'Irl. Energy Balance 2013 (ktoe)'!Z9*0.01163</f>
        <v>25.059150566126405</v>
      </c>
      <c r="AA9" s="1828">
        <f>'Irl. Energy Balance 2013 (ktoe)'!AA9*0.01163</f>
        <v>1.374852183686381</v>
      </c>
      <c r="AB9" s="1848">
        <f>'Irl. Energy Balance 2013 (ktoe)'!AB9*0.01163</f>
        <v>0</v>
      </c>
      <c r="AC9" s="1829">
        <f>'Irl. Energy Balance 2013 (ktoe)'!AC9*0.01163</f>
        <v>0</v>
      </c>
      <c r="AD9" s="1829">
        <f>'Irl. Energy Balance 2013 (ktoe)'!AD9*0.01163</f>
        <v>0.89679698981505018</v>
      </c>
      <c r="AE9" s="1829">
        <f>'Irl. Energy Balance 2013 (ktoe)'!AE9*0.01163</f>
        <v>0.42745701505884887</v>
      </c>
      <c r="AF9" s="1829">
        <f>'Irl. Energy Balance 2013 (ktoe)'!AF9*0.01163</f>
        <v>5.0598178812482124E-2</v>
      </c>
      <c r="AG9" s="1829">
        <f>'Irl. Energy Balance 2013 (ktoe)'!AG9*0.01163</f>
        <v>0</v>
      </c>
      <c r="AH9" s="1833">
        <f>'Irl. Energy Balance 2013 (ktoe)'!AH9*0.01163</f>
        <v>0</v>
      </c>
      <c r="AI9" s="1847">
        <f>'Irl. Energy Balance 2013 (ktoe)'!AI9*0.01163</f>
        <v>0</v>
      </c>
      <c r="AJ9" s="1830">
        <f>'Irl. Energy Balance 2013 (ktoe)'!AJ9*0.01163</f>
        <v>0.2658284098584619</v>
      </c>
      <c r="AK9" s="1834">
        <f>'Irl. Energy Balance 2013 (ktoe)'!AK9*0.01163</f>
        <v>0.78855022349580006</v>
      </c>
      <c r="AL9" s="1828">
        <f>'Irl. Energy Balance 2013 (ktoe)'!AL9*0.01163</f>
        <v>0</v>
      </c>
      <c r="AM9" s="1849">
        <f>'Irl. Energy Balance 2013 (ktoe)'!AM9*0.01163</f>
        <v>80.456822486419767</v>
      </c>
      <c r="AP9"/>
      <c r="AQ9"/>
      <c r="AR9"/>
      <c r="AS9"/>
      <c r="AT9"/>
      <c r="AU9"/>
      <c r="AV9"/>
    </row>
    <row r="10" spans="1:48">
      <c r="A10" s="1850" t="s">
        <v>1420</v>
      </c>
      <c r="B10" s="1851"/>
      <c r="C10" s="1852">
        <f>'Irl. Energy Balance 2013 (ktoe)'!C10*0.01163</f>
        <v>11.284856392926411</v>
      </c>
      <c r="D10" s="1853">
        <f>'Irl. Energy Balance 2013 (ktoe)'!D10*0.01163</f>
        <v>11.284856392926411</v>
      </c>
      <c r="E10" s="1854">
        <f>'Irl. Energy Balance 2013 (ktoe)'!E10*0.01163</f>
        <v>0</v>
      </c>
      <c r="F10" s="1855">
        <f>'Irl. Energy Balance 2013 (ktoe)'!F10*0.01163</f>
        <v>0</v>
      </c>
      <c r="G10" s="1855">
        <f>'Irl. Energy Balance 2013 (ktoe)'!G10*0.01163</f>
        <v>0</v>
      </c>
      <c r="H10" s="1856">
        <f>'Irl. Energy Balance 2013 (ktoe)'!H10*0.01163</f>
        <v>5.7862218755988941</v>
      </c>
      <c r="I10" s="1853">
        <f>'Irl. Energy Balance 2013 (ktoe)'!I10*0.01163</f>
        <v>5.7862218755988941</v>
      </c>
      <c r="J10" s="1854">
        <f>'Irl. Energy Balance 2013 (ktoe)'!J10*0.01163</f>
        <v>0</v>
      </c>
      <c r="K10" s="1854">
        <f>'Irl. Energy Balance 2013 (ktoe)'!K10*0.01163</f>
        <v>0</v>
      </c>
      <c r="L10" s="1856">
        <f>'Irl. Energy Balance 2013 (ktoe)'!L10*0.01163</f>
        <v>0.43943820146732698</v>
      </c>
      <c r="M10" s="1854">
        <f>'Irl. Energy Balance 2013 (ktoe)'!M10*0.01163</f>
        <v>0</v>
      </c>
      <c r="N10" s="1854">
        <f>'Irl. Energy Balance 2013 (ktoe)'!N10*0.01163</f>
        <v>0</v>
      </c>
      <c r="O10" s="1854">
        <f>'Irl. Energy Balance 2013 (ktoe)'!O10*0.01163</f>
        <v>0</v>
      </c>
      <c r="P10" s="1854">
        <f>'Irl. Energy Balance 2013 (ktoe)'!P10*0.01163</f>
        <v>0</v>
      </c>
      <c r="Q10" s="1854">
        <f>'Irl. Energy Balance 2013 (ktoe)'!Q10*0.01163</f>
        <v>0</v>
      </c>
      <c r="R10" s="1854">
        <f>'Irl. Energy Balance 2013 (ktoe)'!R10*0.01163</f>
        <v>0.38719304202207555</v>
      </c>
      <c r="S10" s="1854">
        <f>'Irl. Energy Balance 2013 (ktoe)'!S10*0.01163</f>
        <v>0</v>
      </c>
      <c r="T10" s="1854">
        <f>'Irl. Energy Balance 2013 (ktoe)'!T10*0.01163</f>
        <v>5.2245159445251446E-2</v>
      </c>
      <c r="U10" s="1854">
        <f>'Irl. Energy Balance 2013 (ktoe)'!U10*0.01163</f>
        <v>0</v>
      </c>
      <c r="V10" s="1855">
        <f>'Irl. Energy Balance 2013 (ktoe)'!V10*0.01163</f>
        <v>0</v>
      </c>
      <c r="W10" s="1855">
        <f>'Irl. Energy Balance 2013 (ktoe)'!W10*0.01163</f>
        <v>0</v>
      </c>
      <c r="X10" s="1855">
        <f>'Irl. Energy Balance 2013 (ktoe)'!X10*0.01163</f>
        <v>0</v>
      </c>
      <c r="Y10" s="1854">
        <f>'Irl. Energy Balance 2013 (ktoe)'!Y10*0.01163</f>
        <v>0</v>
      </c>
      <c r="Z10" s="1856">
        <f>'Irl. Energy Balance 2013 (ktoe)'!Z10*0.01163</f>
        <v>21.282268660087492</v>
      </c>
      <c r="AA10" s="1857">
        <f>'Irl. Energy Balance 2013 (ktoe)'!AA10*0.01163</f>
        <v>1.2763539123045411</v>
      </c>
      <c r="AB10" s="1858">
        <f>'Irl. Energy Balance 2013 (ktoe)'!AB10*0.01163</f>
        <v>0</v>
      </c>
      <c r="AC10" s="1854">
        <f>'Irl. Energy Balance 2013 (ktoe)'!AC10*0.01163</f>
        <v>0</v>
      </c>
      <c r="AD10" s="1859">
        <f>'Irl. Energy Balance 2013 (ktoe)'!AD10*0.01163</f>
        <v>0.84889689724569228</v>
      </c>
      <c r="AE10" s="1859">
        <f>'Irl. Energy Balance 2013 (ktoe)'!AE10*0.01163</f>
        <v>0.42745701505884887</v>
      </c>
      <c r="AF10" s="1854">
        <f>'Irl. Energy Balance 2013 (ktoe)'!AF10*0.01163</f>
        <v>0</v>
      </c>
      <c r="AG10" s="1854">
        <f>'Irl. Energy Balance 2013 (ktoe)'!AG10*0.01163</f>
        <v>0</v>
      </c>
      <c r="AH10" s="1853">
        <f>'Irl. Energy Balance 2013 (ktoe)'!AH10*0.01163</f>
        <v>0</v>
      </c>
      <c r="AI10" s="1855">
        <f>'Irl. Energy Balance 2013 (ktoe)'!AI10*0.01163</f>
        <v>0</v>
      </c>
      <c r="AJ10" s="1860">
        <f>'Irl. Energy Balance 2013 (ktoe)'!AJ10*0.01163</f>
        <v>0.2658284098584619</v>
      </c>
      <c r="AK10" s="1861">
        <f>'Irl. Energy Balance 2013 (ktoe)'!AK10*0.01163</f>
        <v>0</v>
      </c>
      <c r="AL10" s="1857">
        <f>'Irl. Energy Balance 2013 (ktoe)'!AL10*0.01163</f>
        <v>0</v>
      </c>
      <c r="AM10" s="1862">
        <f>'Irl. Energy Balance 2013 (ktoe)'!AM10*0.01163</f>
        <v>40.334967452243134</v>
      </c>
      <c r="AP10"/>
      <c r="AQ10"/>
      <c r="AR10"/>
      <c r="AS10"/>
      <c r="AT10"/>
      <c r="AU10"/>
      <c r="AV10"/>
    </row>
    <row r="11" spans="1:48">
      <c r="A11" s="1799" t="s">
        <v>1421</v>
      </c>
      <c r="B11" s="3722"/>
      <c r="C11" s="1863">
        <f>'Irl. Energy Balance 2013 (ktoe)'!C11*0.01163</f>
        <v>0</v>
      </c>
      <c r="D11" s="1806">
        <f>'Irl. Energy Balance 2013 (ktoe)'!D11*0.01163</f>
        <v>0</v>
      </c>
      <c r="E11" s="1807">
        <f>'Irl. Energy Balance 2013 (ktoe)'!E11*0.01163</f>
        <v>0</v>
      </c>
      <c r="F11" s="1804">
        <f>'Irl. Energy Balance 2013 (ktoe)'!F11*0.01163</f>
        <v>0</v>
      </c>
      <c r="G11" s="1804">
        <f>'Irl. Energy Balance 2013 (ktoe)'!G11*0.01163</f>
        <v>0</v>
      </c>
      <c r="H11" s="1864">
        <f>'Irl. Energy Balance 2013 (ktoe)'!H11*0.01163</f>
        <v>0.10947593029173791</v>
      </c>
      <c r="I11" s="1806">
        <f>'Irl. Energy Balance 2013 (ktoe)'!I11*0.01163</f>
        <v>0.10947593029173791</v>
      </c>
      <c r="J11" s="1807">
        <f>'Irl. Energy Balance 2013 (ktoe)'!J11*0.01163</f>
        <v>0</v>
      </c>
      <c r="K11" s="1807">
        <f>'Irl. Energy Balance 2013 (ktoe)'!K11*0.01163</f>
        <v>0</v>
      </c>
      <c r="L11" s="1864">
        <f>'Irl. Energy Balance 2013 (ktoe)'!L11*0.01163</f>
        <v>6.5901821272101202E-2</v>
      </c>
      <c r="M11" s="1807">
        <f>'Irl. Energy Balance 2013 (ktoe)'!M11*0.01163</f>
        <v>0</v>
      </c>
      <c r="N11" s="1865">
        <f>'Irl. Energy Balance 2013 (ktoe)'!N11*0.01163</f>
        <v>5.8785101683775993E-2</v>
      </c>
      <c r="O11" s="1807">
        <f>'Irl. Energy Balance 2013 (ktoe)'!O11*0.01163</f>
        <v>0</v>
      </c>
      <c r="P11" s="1807">
        <f>'Irl. Energy Balance 2013 (ktoe)'!P11*0.01163</f>
        <v>0</v>
      </c>
      <c r="Q11" s="1807">
        <f>'Irl. Energy Balance 2013 (ktoe)'!Q11*0.01163</f>
        <v>0</v>
      </c>
      <c r="R11" s="1807">
        <f>'Irl. Energy Balance 2013 (ktoe)'!R11*0.01163</f>
        <v>0</v>
      </c>
      <c r="S11" s="1807">
        <f>'Irl. Energy Balance 2013 (ktoe)'!S11*0.01163</f>
        <v>7.1167195883252137E-3</v>
      </c>
      <c r="T11" s="1807">
        <f>'Irl. Energy Balance 2013 (ktoe)'!T11*0.01163</f>
        <v>0</v>
      </c>
      <c r="U11" s="1807">
        <f>'Irl. Energy Balance 2013 (ktoe)'!U11*0.01163</f>
        <v>0</v>
      </c>
      <c r="V11" s="1804">
        <f>'Irl. Energy Balance 2013 (ktoe)'!V11*0.01163</f>
        <v>0</v>
      </c>
      <c r="W11" s="1804">
        <f>'Irl. Energy Balance 2013 (ktoe)'!W11*0.01163</f>
        <v>0</v>
      </c>
      <c r="X11" s="1804">
        <f>'Irl. Energy Balance 2013 (ktoe)'!X11*0.01163</f>
        <v>0</v>
      </c>
      <c r="Y11" s="1807">
        <f>'Irl. Energy Balance 2013 (ktoe)'!Y11*0.01163</f>
        <v>0</v>
      </c>
      <c r="Z11" s="1864">
        <f>'Irl. Energy Balance 2013 (ktoe)'!Z11*0.01163</f>
        <v>3.1177040543991743</v>
      </c>
      <c r="AA11" s="1808">
        <f>'Irl. Energy Balance 2013 (ktoe)'!AA11*0.01163</f>
        <v>9.8498271381840016E-2</v>
      </c>
      <c r="AB11" s="1809">
        <f>'Irl. Energy Balance 2013 (ktoe)'!AB11*0.01163</f>
        <v>0</v>
      </c>
      <c r="AC11" s="1807">
        <f>'Irl. Energy Balance 2013 (ktoe)'!AC11*0.01163</f>
        <v>0</v>
      </c>
      <c r="AD11" s="1866">
        <f>'Irl. Energy Balance 2013 (ktoe)'!AD11*0.01163</f>
        <v>4.7900092569357892E-2</v>
      </c>
      <c r="AE11" s="1807">
        <f>'Irl. Energy Balance 2013 (ktoe)'!AE11*0.01163</f>
        <v>0</v>
      </c>
      <c r="AF11" s="1866">
        <f>'Irl. Energy Balance 2013 (ktoe)'!AF11*0.01163</f>
        <v>5.0598178812482124E-2</v>
      </c>
      <c r="AG11" s="1807">
        <f>'Irl. Energy Balance 2013 (ktoe)'!AG11*0.01163</f>
        <v>0</v>
      </c>
      <c r="AH11" s="1806">
        <f>'Irl. Energy Balance 2013 (ktoe)'!AH11*0.01163</f>
        <v>0</v>
      </c>
      <c r="AI11" s="1804">
        <f>'Irl. Energy Balance 2013 (ktoe)'!AI11*0.01163</f>
        <v>0</v>
      </c>
      <c r="AJ11" s="1810">
        <f>'Irl. Energy Balance 2013 (ktoe)'!AJ11*0.01163</f>
        <v>0</v>
      </c>
      <c r="AK11" s="1810">
        <f>'Irl. Energy Balance 2013 (ktoe)'!AK11*0.01163</f>
        <v>0</v>
      </c>
      <c r="AL11" s="1808">
        <f>'Irl. Energy Balance 2013 (ktoe)'!AL11*0.01163</f>
        <v>0</v>
      </c>
      <c r="AM11" s="1812">
        <f>'Irl. Energy Balance 2013 (ktoe)'!AM11*0.01163</f>
        <v>3.3915800773448534</v>
      </c>
      <c r="AP11"/>
      <c r="AQ11"/>
      <c r="AR11"/>
      <c r="AS11"/>
      <c r="AT11"/>
      <c r="AU11"/>
      <c r="AV11"/>
    </row>
    <row r="12" spans="1:48">
      <c r="A12" s="1799" t="s">
        <v>1422</v>
      </c>
      <c r="B12" s="1800"/>
      <c r="C12" s="1801">
        <f>'Irl. Energy Balance 2013 (ktoe)'!C12*0.01163</f>
        <v>0</v>
      </c>
      <c r="D12" s="1806">
        <f>'Irl. Energy Balance 2013 (ktoe)'!D12*0.01163</f>
        <v>0</v>
      </c>
      <c r="E12" s="1807">
        <f>'Irl. Energy Balance 2013 (ktoe)'!E12*0.01163</f>
        <v>0</v>
      </c>
      <c r="F12" s="1804">
        <f>'Irl. Energy Balance 2013 (ktoe)'!F12*0.01163</f>
        <v>0</v>
      </c>
      <c r="G12" s="1804">
        <f>'Irl. Energy Balance 2013 (ktoe)'!G12*0.01163</f>
        <v>0</v>
      </c>
      <c r="H12" s="1805">
        <f>'Irl. Energy Balance 2013 (ktoe)'!H12*0.01163</f>
        <v>0</v>
      </c>
      <c r="I12" s="1806">
        <f>'Irl. Energy Balance 2013 (ktoe)'!I12*0.01163</f>
        <v>0</v>
      </c>
      <c r="J12" s="1807">
        <f>'Irl. Energy Balance 2013 (ktoe)'!J12*0.01163</f>
        <v>0</v>
      </c>
      <c r="K12" s="1807">
        <f>'Irl. Energy Balance 2013 (ktoe)'!K12*0.01163</f>
        <v>0</v>
      </c>
      <c r="L12" s="1805">
        <f>'Irl. Energy Balance 2013 (ktoe)'!L12*0.01163</f>
        <v>0</v>
      </c>
      <c r="M12" s="1807">
        <f>'Irl. Energy Balance 2013 (ktoe)'!M12*0.01163</f>
        <v>0</v>
      </c>
      <c r="N12" s="1865">
        <f>'Irl. Energy Balance 2013 (ktoe)'!N12*0.01163</f>
        <v>0</v>
      </c>
      <c r="O12" s="1807">
        <f>'Irl. Energy Balance 2013 (ktoe)'!O12*0.01163</f>
        <v>0</v>
      </c>
      <c r="P12" s="1807">
        <f>'Irl. Energy Balance 2013 (ktoe)'!P12*0.01163</f>
        <v>0</v>
      </c>
      <c r="Q12" s="1807">
        <f>'Irl. Energy Balance 2013 (ktoe)'!Q12*0.01163</f>
        <v>0</v>
      </c>
      <c r="R12" s="1807">
        <f>'Irl. Energy Balance 2013 (ktoe)'!R12*0.01163</f>
        <v>0</v>
      </c>
      <c r="S12" s="1807">
        <f>'Irl. Energy Balance 2013 (ktoe)'!S12*0.01163</f>
        <v>0</v>
      </c>
      <c r="T12" s="1807">
        <f>'Irl. Energy Balance 2013 (ktoe)'!T12*0.01163</f>
        <v>0</v>
      </c>
      <c r="U12" s="1807">
        <f>'Irl. Energy Balance 2013 (ktoe)'!U12*0.01163</f>
        <v>0</v>
      </c>
      <c r="V12" s="1804">
        <f>'Irl. Energy Balance 2013 (ktoe)'!V12*0.01163</f>
        <v>0</v>
      </c>
      <c r="W12" s="1804">
        <f>'Irl. Energy Balance 2013 (ktoe)'!W12*0.01163</f>
        <v>0</v>
      </c>
      <c r="X12" s="1804">
        <f>'Irl. Energy Balance 2013 (ktoe)'!X12*0.01163</f>
        <v>0</v>
      </c>
      <c r="Y12" s="1807">
        <f>'Irl. Energy Balance 2013 (ktoe)'!Y12*0.01163</f>
        <v>0</v>
      </c>
      <c r="Z12" s="1805">
        <f>'Irl. Energy Balance 2013 (ktoe)'!Z12*0.01163</f>
        <v>0</v>
      </c>
      <c r="AA12" s="1808">
        <f>'Irl. Energy Balance 2013 (ktoe)'!AA12*0.01163</f>
        <v>0</v>
      </c>
      <c r="AB12" s="1809">
        <f>'Irl. Energy Balance 2013 (ktoe)'!AB12*0.01163</f>
        <v>0</v>
      </c>
      <c r="AC12" s="1807">
        <f>'Irl. Energy Balance 2013 (ktoe)'!AC12*0.01163</f>
        <v>0</v>
      </c>
      <c r="AD12" s="1807">
        <f>'Irl. Energy Balance 2013 (ktoe)'!AD12*0.01163</f>
        <v>0</v>
      </c>
      <c r="AE12" s="1807">
        <f>'Irl. Energy Balance 2013 (ktoe)'!AE12*0.01163</f>
        <v>0</v>
      </c>
      <c r="AF12" s="1807">
        <f>'Irl. Energy Balance 2013 (ktoe)'!AF12*0.01163</f>
        <v>0</v>
      </c>
      <c r="AG12" s="1807">
        <f>'Irl. Energy Balance 2013 (ktoe)'!AG12*0.01163</f>
        <v>0</v>
      </c>
      <c r="AH12" s="1806">
        <f>'Irl. Energy Balance 2013 (ktoe)'!AH12*0.01163</f>
        <v>0</v>
      </c>
      <c r="AI12" s="1804">
        <f>'Irl. Energy Balance 2013 (ktoe)'!AI12*0.01163</f>
        <v>0</v>
      </c>
      <c r="AJ12" s="1810">
        <f>'Irl. Energy Balance 2013 (ktoe)'!AJ12*0.01163</f>
        <v>0</v>
      </c>
      <c r="AK12" s="3826">
        <f>'Irl. Energy Balance 2013 (ktoe)'!AK12*0.01163</f>
        <v>0.58529464407580001</v>
      </c>
      <c r="AL12" s="1808">
        <f>'Irl. Energy Balance 2013 (ktoe)'!AL12*0.01163</f>
        <v>0</v>
      </c>
      <c r="AM12" s="3381">
        <f>'Irl. Energy Balance 2013 (ktoe)'!AM12*0.01163</f>
        <v>0.58529464407580001</v>
      </c>
      <c r="AP12"/>
      <c r="AQ12"/>
      <c r="AR12"/>
      <c r="AS12"/>
      <c r="AT12"/>
      <c r="AU12"/>
      <c r="AV12"/>
    </row>
    <row r="13" spans="1:48">
      <c r="A13" s="1799" t="s">
        <v>1423</v>
      </c>
      <c r="B13" s="1800"/>
      <c r="C13" s="1801">
        <f>'Irl. Energy Balance 2013 (ktoe)'!C13*0.01163</f>
        <v>0</v>
      </c>
      <c r="D13" s="1806">
        <f>'Irl. Energy Balance 2013 (ktoe)'!D13*0.01163</f>
        <v>0</v>
      </c>
      <c r="E13" s="1804">
        <f>'Irl. Energy Balance 2013 (ktoe)'!E13*0.01163</f>
        <v>0</v>
      </c>
      <c r="F13" s="1804">
        <f>'Irl. Energy Balance 2013 (ktoe)'!F13*0.01163</f>
        <v>0</v>
      </c>
      <c r="G13" s="1804">
        <f>'Irl. Energy Balance 2013 (ktoe)'!G13*0.01163</f>
        <v>0</v>
      </c>
      <c r="H13" s="1805">
        <f>'Irl. Energy Balance 2013 (ktoe)'!H13*0.01163</f>
        <v>1.5306726376962572</v>
      </c>
      <c r="I13" s="1806">
        <f>'Irl. Energy Balance 2013 (ktoe)'!I13*0.01163</f>
        <v>1.5306726376962572</v>
      </c>
      <c r="J13" s="1807">
        <f>'Irl. Energy Balance 2013 (ktoe)'!J13*0.01163</f>
        <v>0</v>
      </c>
      <c r="K13" s="1807">
        <f>'Irl. Energy Balance 2013 (ktoe)'!K13*0.01163</f>
        <v>0</v>
      </c>
      <c r="L13" s="1805">
        <f>'Irl. Energy Balance 2013 (ktoe)'!L13*0.01163</f>
        <v>0</v>
      </c>
      <c r="M13" s="1807">
        <f>'Irl. Energy Balance 2013 (ktoe)'!M13*0.01163</f>
        <v>0</v>
      </c>
      <c r="N13" s="1807">
        <f>'Irl. Energy Balance 2013 (ktoe)'!N13*0.01163</f>
        <v>0</v>
      </c>
      <c r="O13" s="1807">
        <f>'Irl. Energy Balance 2013 (ktoe)'!O13*0.01163</f>
        <v>0</v>
      </c>
      <c r="P13" s="1807">
        <f>'Irl. Energy Balance 2013 (ktoe)'!P13*0.01163</f>
        <v>0</v>
      </c>
      <c r="Q13" s="1807">
        <f>'Irl. Energy Balance 2013 (ktoe)'!Q13*0.01163</f>
        <v>0</v>
      </c>
      <c r="R13" s="1807">
        <f>'Irl. Energy Balance 2013 (ktoe)'!R13*0.01163</f>
        <v>0</v>
      </c>
      <c r="S13" s="1807">
        <f>'Irl. Energy Balance 2013 (ktoe)'!S13*0.01163</f>
        <v>0</v>
      </c>
      <c r="T13" s="1807">
        <f>'Irl. Energy Balance 2013 (ktoe)'!T13*0.01163</f>
        <v>0</v>
      </c>
      <c r="U13" s="1807">
        <f>'Irl. Energy Balance 2013 (ktoe)'!U13*0.01163</f>
        <v>0</v>
      </c>
      <c r="V13" s="1804">
        <f>'Irl. Energy Balance 2013 (ktoe)'!V13*0.01163</f>
        <v>0</v>
      </c>
      <c r="W13" s="1804">
        <f>'Irl. Energy Balance 2013 (ktoe)'!W13*0.01163</f>
        <v>0</v>
      </c>
      <c r="X13" s="1804">
        <f>'Irl. Energy Balance 2013 (ktoe)'!X13*0.01163</f>
        <v>0</v>
      </c>
      <c r="Y13" s="1807">
        <f>'Irl. Energy Balance 2013 (ktoe)'!Y13*0.01163</f>
        <v>0</v>
      </c>
      <c r="Z13" s="1805">
        <f>'Irl. Energy Balance 2013 (ktoe)'!Z13*0.01163</f>
        <v>0</v>
      </c>
      <c r="AA13" s="1808">
        <f>'Irl. Energy Balance 2013 (ktoe)'!AA13*0.01163</f>
        <v>0</v>
      </c>
      <c r="AB13" s="1809">
        <f>'Irl. Energy Balance 2013 (ktoe)'!AB13*0.01163</f>
        <v>0</v>
      </c>
      <c r="AC13" s="1807">
        <f>'Irl. Energy Balance 2013 (ktoe)'!AC13*0.01163</f>
        <v>0</v>
      </c>
      <c r="AD13" s="1807">
        <f>'Irl. Energy Balance 2013 (ktoe)'!AD13*0.01163</f>
        <v>0</v>
      </c>
      <c r="AE13" s="1807">
        <f>'Irl. Energy Balance 2013 (ktoe)'!AE13*0.01163</f>
        <v>0</v>
      </c>
      <c r="AF13" s="1807">
        <f>'Irl. Energy Balance 2013 (ktoe)'!AF13*0.01163</f>
        <v>0</v>
      </c>
      <c r="AG13" s="1807">
        <f>'Irl. Energy Balance 2013 (ktoe)'!AG13*0.01163</f>
        <v>0</v>
      </c>
      <c r="AH13" s="1806">
        <f>'Irl. Energy Balance 2013 (ktoe)'!AH13*0.01163</f>
        <v>0</v>
      </c>
      <c r="AI13" s="1804">
        <f>'Irl. Energy Balance 2013 (ktoe)'!AI13*0.01163</f>
        <v>0</v>
      </c>
      <c r="AJ13" s="1810">
        <f>'Irl. Energy Balance 2013 (ktoe)'!AJ13*0.01163</f>
        <v>0</v>
      </c>
      <c r="AK13" s="1810">
        <f>'Irl. Energy Balance 2013 (ktoe)'!AK13*0.01163</f>
        <v>0</v>
      </c>
      <c r="AL13" s="1808">
        <f>'Irl. Energy Balance 2013 (ktoe)'!AL13*0.01163</f>
        <v>0</v>
      </c>
      <c r="AM13" s="1812">
        <f>'Irl. Energy Balance 2013 (ktoe)'!AM13*0.01163</f>
        <v>1.5306726376962572</v>
      </c>
      <c r="AP13"/>
      <c r="AQ13"/>
      <c r="AR13"/>
      <c r="AS13"/>
      <c r="AT13"/>
      <c r="AU13"/>
      <c r="AV13"/>
    </row>
    <row r="14" spans="1:48">
      <c r="A14" s="1867" t="s">
        <v>1424</v>
      </c>
      <c r="B14" s="1868"/>
      <c r="C14" s="1869">
        <f>'Irl. Energy Balance 2013 (ktoe)'!C14*0.01163</f>
        <v>0</v>
      </c>
      <c r="D14" s="1870">
        <f>'Irl. Energy Balance 2013 (ktoe)'!D14*0.01163</f>
        <v>0</v>
      </c>
      <c r="E14" s="1871">
        <f>'Irl. Energy Balance 2013 (ktoe)'!E14*0.01163</f>
        <v>0</v>
      </c>
      <c r="F14" s="1872">
        <f>'Irl. Energy Balance 2013 (ktoe)'!F14*0.01163</f>
        <v>0</v>
      </c>
      <c r="G14" s="1872">
        <f>'Irl. Energy Balance 2013 (ktoe)'!G14*0.01163</f>
        <v>0</v>
      </c>
      <c r="H14" s="1873">
        <f>'Irl. Energy Balance 2013 (ktoe)'!H14*0.01163</f>
        <v>0</v>
      </c>
      <c r="I14" s="1870">
        <f>'Irl. Energy Balance 2013 (ktoe)'!I14*0.01163</f>
        <v>0</v>
      </c>
      <c r="J14" s="1871">
        <f>'Irl. Energy Balance 2013 (ktoe)'!J14*0.01163</f>
        <v>0</v>
      </c>
      <c r="K14" s="1871">
        <f>'Irl. Energy Balance 2013 (ktoe)'!K14*0.01163</f>
        <v>0</v>
      </c>
      <c r="L14" s="1873">
        <f>'Irl. Energy Balance 2013 (ktoe)'!L14*0.01163</f>
        <v>33.751874243999993</v>
      </c>
      <c r="M14" s="1871">
        <f>'Irl. Energy Balance 2013 (ktoe)'!M14*0.01163</f>
        <v>33.751874243999993</v>
      </c>
      <c r="N14" s="1871">
        <f>'Irl. Energy Balance 2013 (ktoe)'!N14*0.01163</f>
        <v>0</v>
      </c>
      <c r="O14" s="1871">
        <f>'Irl. Energy Balance 2013 (ktoe)'!O14*0.01163</f>
        <v>0</v>
      </c>
      <c r="P14" s="1871">
        <f>'Irl. Energy Balance 2013 (ktoe)'!P14*0.01163</f>
        <v>0</v>
      </c>
      <c r="Q14" s="1871">
        <f>'Irl. Energy Balance 2013 (ktoe)'!Q14*0.01163</f>
        <v>0</v>
      </c>
      <c r="R14" s="1871">
        <f>'Irl. Energy Balance 2013 (ktoe)'!R14*0.01163</f>
        <v>0</v>
      </c>
      <c r="S14" s="1871">
        <f>'Irl. Energy Balance 2013 (ktoe)'!S14*0.01163</f>
        <v>0</v>
      </c>
      <c r="T14" s="1871">
        <f>'Irl. Energy Balance 2013 (ktoe)'!T14*0.01163</f>
        <v>0</v>
      </c>
      <c r="U14" s="1871">
        <f>'Irl. Energy Balance 2013 (ktoe)'!U14*0.01163</f>
        <v>0</v>
      </c>
      <c r="V14" s="1872">
        <f>'Irl. Energy Balance 2013 (ktoe)'!V14*0.01163</f>
        <v>0</v>
      </c>
      <c r="W14" s="1872">
        <f>'Irl. Energy Balance 2013 (ktoe)'!W14*0.01163</f>
        <v>0</v>
      </c>
      <c r="X14" s="1872">
        <f>'Irl. Energy Balance 2013 (ktoe)'!X14*0.01163</f>
        <v>0</v>
      </c>
      <c r="Y14" s="1871">
        <f>'Irl. Energy Balance 2013 (ktoe)'!Y14*0.01163</f>
        <v>0</v>
      </c>
      <c r="Z14" s="1873">
        <f>'Irl. Energy Balance 2013 (ktoe)'!Z14*0.01163</f>
        <v>0.65917785163973941</v>
      </c>
      <c r="AA14" s="1874">
        <f>'Irl. Energy Balance 2013 (ktoe)'!AA14*0.01163</f>
        <v>0</v>
      </c>
      <c r="AB14" s="1875">
        <f>'Irl. Energy Balance 2013 (ktoe)'!AB14*0.01163</f>
        <v>0</v>
      </c>
      <c r="AC14" s="1871">
        <f>'Irl. Energy Balance 2013 (ktoe)'!AC14*0.01163</f>
        <v>0</v>
      </c>
      <c r="AD14" s="1871">
        <f>'Irl. Energy Balance 2013 (ktoe)'!AD14*0.01163</f>
        <v>0</v>
      </c>
      <c r="AE14" s="1871">
        <f>'Irl. Energy Balance 2013 (ktoe)'!AE14*0.01163</f>
        <v>0</v>
      </c>
      <c r="AF14" s="1871">
        <f>'Irl. Energy Balance 2013 (ktoe)'!AF14*0.01163</f>
        <v>0</v>
      </c>
      <c r="AG14" s="1871">
        <f>'Irl. Energy Balance 2013 (ktoe)'!AG14*0.01163</f>
        <v>0</v>
      </c>
      <c r="AH14" s="1870">
        <f>'Irl. Energy Balance 2013 (ktoe)'!AH14*0.01163</f>
        <v>0</v>
      </c>
      <c r="AI14" s="1872">
        <f>'Irl. Energy Balance 2013 (ktoe)'!AI14*0.01163</f>
        <v>0</v>
      </c>
      <c r="AJ14" s="1876">
        <f>'Irl. Energy Balance 2013 (ktoe)'!AJ14*0.01163</f>
        <v>0</v>
      </c>
      <c r="AK14" s="1876">
        <f>'Irl. Energy Balance 2013 (ktoe)'!AK14*0.01163</f>
        <v>0.20325557942</v>
      </c>
      <c r="AL14" s="1874">
        <f>'Irl. Energy Balance 2013 (ktoe)'!AL14*0.01163</f>
        <v>0</v>
      </c>
      <c r="AM14" s="1877">
        <f>'Irl. Energy Balance 2013 (ktoe)'!AM14*0.01163</f>
        <v>34.614307675059734</v>
      </c>
      <c r="AP14"/>
      <c r="AQ14"/>
      <c r="AR14"/>
      <c r="AS14"/>
      <c r="AT14"/>
      <c r="AU14"/>
      <c r="AV14"/>
    </row>
    <row r="15" spans="1:48">
      <c r="A15" s="1878" t="s">
        <v>1425</v>
      </c>
      <c r="B15" s="1879"/>
      <c r="C15" s="1880">
        <f>'Irl. Energy Balance 2013 (ktoe)'!C15*0.01163</f>
        <v>0</v>
      </c>
      <c r="D15" s="1881">
        <f>'Irl. Energy Balance 2013 (ktoe)'!D15*0.01163</f>
        <v>0</v>
      </c>
      <c r="E15" s="1882">
        <f>'Irl. Energy Balance 2013 (ktoe)'!E15*0.01163</f>
        <v>0</v>
      </c>
      <c r="F15" s="1883">
        <f>'Irl. Energy Balance 2013 (ktoe)'!F15*0.01163</f>
        <v>0</v>
      </c>
      <c r="G15" s="1883">
        <f>'Irl. Energy Balance 2013 (ktoe)'!G15*0.01163</f>
        <v>0</v>
      </c>
      <c r="H15" s="1884">
        <f>'Irl. Energy Balance 2013 (ktoe)'!H15*0.01163</f>
        <v>1.23400283635</v>
      </c>
      <c r="I15" s="1881">
        <f>'Irl. Energy Balance 2013 (ktoe)'!I15*0.01163</f>
        <v>0</v>
      </c>
      <c r="J15" s="1882">
        <f>'Irl. Energy Balance 2013 (ktoe)'!J15*0.01163</f>
        <v>0</v>
      </c>
      <c r="K15" s="1882">
        <f>'Irl. Energy Balance 2013 (ktoe)'!K15*0.01163</f>
        <v>1.23400283635</v>
      </c>
      <c r="L15" s="1884">
        <f>'Irl. Energy Balance 2013 (ktoe)'!L15*0.01163</f>
        <v>34.098476048750314</v>
      </c>
      <c r="M15" s="1882">
        <f>'Irl. Energy Balance 2013 (ktoe)'!M15*0.01163</f>
        <v>0</v>
      </c>
      <c r="N15" s="1882">
        <f>'Irl. Energy Balance 2013 (ktoe)'!N15*0.01163</f>
        <v>0.80348062171784984</v>
      </c>
      <c r="O15" s="1882">
        <f>'Irl. Energy Balance 2013 (ktoe)'!O15*0.01163</f>
        <v>6.546779726850553</v>
      </c>
      <c r="P15" s="1882">
        <f>'Irl. Energy Balance 2013 (ktoe)'!P15*0.01163</f>
        <v>1.2946766645387122</v>
      </c>
      <c r="Q15" s="1882">
        <f>'Irl. Energy Balance 2013 (ktoe)'!Q15*0.01163</f>
        <v>0</v>
      </c>
      <c r="R15" s="1882">
        <f>'Irl. Energy Balance 2013 (ktoe)'!R15*0.01163</f>
        <v>10.663200096903566</v>
      </c>
      <c r="S15" s="1882">
        <f>'Irl. Energy Balance 2013 (ktoe)'!S15*0.01163</f>
        <v>0.82555455516863707</v>
      </c>
      <c r="T15" s="1882">
        <f>'Irl. Energy Balance 2013 (ktoe)'!T15*0.01163</f>
        <v>13.714632697699566</v>
      </c>
      <c r="U15" s="1882">
        <f>'Irl. Energy Balance 2013 (ktoe)'!U15*0.01163</f>
        <v>0</v>
      </c>
      <c r="V15" s="1883">
        <f>'Irl. Energy Balance 2013 (ktoe)'!V15*0.01163</f>
        <v>0.25015168587143111</v>
      </c>
      <c r="W15" s="1883">
        <f>'Irl. Energy Balance 2013 (ktoe)'!W15*0.01163</f>
        <v>0</v>
      </c>
      <c r="X15" s="1883">
        <f>'Irl. Energy Balance 2013 (ktoe)'!X15*0.01163</f>
        <v>0</v>
      </c>
      <c r="Y15" s="1882">
        <f>'Irl. Energy Balance 2013 (ktoe)'!Y15*0.01163</f>
        <v>0</v>
      </c>
      <c r="Z15" s="1884">
        <f>'Irl. Energy Balance 2013 (ktoe)'!Z15*0.01163</f>
        <v>0</v>
      </c>
      <c r="AA15" s="1885">
        <f>'Irl. Energy Balance 2013 (ktoe)'!AA15*0.01163</f>
        <v>0.48115537191083785</v>
      </c>
      <c r="AB15" s="1886">
        <f>'Irl. Energy Balance 2013 (ktoe)'!AB15*0.01163</f>
        <v>0</v>
      </c>
      <c r="AC15" s="1882">
        <f>'Irl. Energy Balance 2013 (ktoe)'!AC15*0.01163</f>
        <v>0</v>
      </c>
      <c r="AD15" s="1882">
        <f>'Irl. Energy Balance 2013 (ktoe)'!AD15*0.01163</f>
        <v>0.29940708127870824</v>
      </c>
      <c r="AE15" s="1887">
        <f>'Irl. Energy Balance 2013 (ktoe)'!AE15*0.01163</f>
        <v>0.15767353545607959</v>
      </c>
      <c r="AF15" s="1887">
        <f>'Irl. Energy Balance 2013 (ktoe)'!AF15*0.01163</f>
        <v>2.4074755176049994E-2</v>
      </c>
      <c r="AG15" s="1887">
        <f>'Irl. Energy Balance 2013 (ktoe)'!AG15*0.01163</f>
        <v>0</v>
      </c>
      <c r="AH15" s="1881">
        <f>'Irl. Energy Balance 2013 (ktoe)'!AH15*0.01163</f>
        <v>0</v>
      </c>
      <c r="AI15" s="1883">
        <f>'Irl. Energy Balance 2013 (ktoe)'!AI15*0.01163</f>
        <v>0</v>
      </c>
      <c r="AJ15" s="1884">
        <f>'Irl. Energy Balance 2013 (ktoe)'!AJ15*0.01163</f>
        <v>6.0628248172293182E-2</v>
      </c>
      <c r="AK15" s="1888">
        <f>'Irl. Energy Balance 2013 (ktoe)'!AK15*0.01163</f>
        <v>21.003910878328096</v>
      </c>
      <c r="AL15" s="1885">
        <f>'Irl. Energy Balance 2013 (ktoe)'!AL15*0.01163</f>
        <v>0</v>
      </c>
      <c r="AM15" s="1889">
        <f>'Irl. Energy Balance 2013 (ktoe)'!AM15*0.01163</f>
        <v>56.878173383511538</v>
      </c>
      <c r="AP15"/>
      <c r="AQ15"/>
      <c r="AR15"/>
      <c r="AS15"/>
      <c r="AT15"/>
      <c r="AU15"/>
      <c r="AV15"/>
    </row>
    <row r="16" spans="1:48">
      <c r="A16" s="1850" t="s">
        <v>1420</v>
      </c>
      <c r="B16" s="1851"/>
      <c r="C16" s="1890">
        <f>'Irl. Energy Balance 2013 (ktoe)'!C16*0.01163</f>
        <v>0</v>
      </c>
      <c r="D16" s="1853">
        <f>'Irl. Energy Balance 2013 (ktoe)'!D16*0.01163</f>
        <v>0</v>
      </c>
      <c r="E16" s="1854">
        <f>'Irl. Energy Balance 2013 (ktoe)'!E16*0.01163</f>
        <v>0</v>
      </c>
      <c r="F16" s="1855">
        <f>'Irl. Energy Balance 2013 (ktoe)'!F16*0.01163</f>
        <v>0</v>
      </c>
      <c r="G16" s="1855">
        <f>'Irl. Energy Balance 2013 (ktoe)'!G16*0.01163</f>
        <v>0</v>
      </c>
      <c r="H16" s="1861">
        <f>'Irl. Energy Balance 2013 (ktoe)'!H16*0.01163</f>
        <v>0</v>
      </c>
      <c r="I16" s="1853">
        <f>'Irl. Energy Balance 2013 (ktoe)'!I16*0.01163</f>
        <v>0</v>
      </c>
      <c r="J16" s="1854">
        <f>'Irl. Energy Balance 2013 (ktoe)'!J16*0.01163</f>
        <v>0</v>
      </c>
      <c r="K16" s="1854">
        <f>'Irl. Energy Balance 2013 (ktoe)'!K16*0.01163</f>
        <v>0</v>
      </c>
      <c r="L16" s="1861">
        <f>'Irl. Energy Balance 2013 (ktoe)'!L16*0.01163</f>
        <v>0</v>
      </c>
      <c r="M16" s="1854">
        <f>'Irl. Energy Balance 2013 (ktoe)'!M16*0.01163</f>
        <v>0</v>
      </c>
      <c r="N16" s="1854">
        <f>'Irl. Energy Balance 2013 (ktoe)'!N16*0.01163</f>
        <v>0</v>
      </c>
      <c r="O16" s="1854">
        <f>'Irl. Energy Balance 2013 (ktoe)'!O16*0.01163</f>
        <v>0</v>
      </c>
      <c r="P16" s="1854">
        <f>'Irl. Energy Balance 2013 (ktoe)'!P16*0.01163</f>
        <v>0</v>
      </c>
      <c r="Q16" s="1854">
        <f>'Irl. Energy Balance 2013 (ktoe)'!Q16*0.01163</f>
        <v>0</v>
      </c>
      <c r="R16" s="1854">
        <f>'Irl. Energy Balance 2013 (ktoe)'!R16*0.01163</f>
        <v>0</v>
      </c>
      <c r="S16" s="1854">
        <f>'Irl. Energy Balance 2013 (ktoe)'!S16*0.01163</f>
        <v>0</v>
      </c>
      <c r="T16" s="1854">
        <f>'Irl. Energy Balance 2013 (ktoe)'!T16*0.01163</f>
        <v>0</v>
      </c>
      <c r="U16" s="1854">
        <f>'Irl. Energy Balance 2013 (ktoe)'!U16*0.01163</f>
        <v>0</v>
      </c>
      <c r="V16" s="1855">
        <f>'Irl. Energy Balance 2013 (ktoe)'!V16*0.01163</f>
        <v>0</v>
      </c>
      <c r="W16" s="1855">
        <f>'Irl. Energy Balance 2013 (ktoe)'!W16*0.01163</f>
        <v>0</v>
      </c>
      <c r="X16" s="1855">
        <f>'Irl. Energy Balance 2013 (ktoe)'!X16*0.01163</f>
        <v>0</v>
      </c>
      <c r="Y16" s="1854" t="e">
        <f>'Irl. Energy Balance 2013 (ktoe)'!Y16*0.01163</f>
        <v>#VALUE!</v>
      </c>
      <c r="Z16" s="1861">
        <f>'Irl. Energy Balance 2013 (ktoe)'!Z16*0.01163</f>
        <v>0</v>
      </c>
      <c r="AA16" s="1857">
        <f>'Irl. Energy Balance 2013 (ktoe)'!AA16*0.01163</f>
        <v>0.44163359277086783</v>
      </c>
      <c r="AB16" s="1858">
        <f>'Irl. Energy Balance 2013 (ktoe)'!AB16*0.01163</f>
        <v>0</v>
      </c>
      <c r="AC16" s="1854">
        <f>'Irl. Energy Balance 2013 (ktoe)'!AC16*0.01163</f>
        <v>0</v>
      </c>
      <c r="AD16" s="1854">
        <f>'Irl. Energy Balance 2013 (ktoe)'!AD16*0.01163</f>
        <v>0.28396005731478824</v>
      </c>
      <c r="AE16" s="1865">
        <f>'Irl. Energy Balance 2013 (ktoe)'!AE16*0.01163</f>
        <v>0.15767353545607959</v>
      </c>
      <c r="AF16" s="1865">
        <f>'Irl. Energy Balance 2013 (ktoe)'!AF16*0.01163</f>
        <v>0</v>
      </c>
      <c r="AG16" s="1865" t="e">
        <f>'Irl. Energy Balance 2013 (ktoe)'!AG16*0.01163</f>
        <v>#VALUE!</v>
      </c>
      <c r="AH16" s="1853">
        <f>'Irl. Energy Balance 2013 (ktoe)'!AH16*0.01163</f>
        <v>0</v>
      </c>
      <c r="AI16" s="1855">
        <f>'Irl. Energy Balance 2013 (ktoe)'!AI16*0.01163</f>
        <v>0</v>
      </c>
      <c r="AJ16" s="1891">
        <f>'Irl. Energy Balance 2013 (ktoe)'!AJ16*0.01163</f>
        <v>6.0628248172293182E-2</v>
      </c>
      <c r="AK16" s="1891">
        <f>'Irl. Energy Balance 2013 (ktoe)'!AK16*0.01163</f>
        <v>18.602027383329975</v>
      </c>
      <c r="AL16" s="1857">
        <f>'Irl. Energy Balance 2013 (ktoe)'!AL16*0.01163</f>
        <v>0</v>
      </c>
      <c r="AM16" s="1892">
        <f>'Irl. Energy Balance 2013 (ktoe)'!AM16*0.01163</f>
        <v>18.602027383329975</v>
      </c>
      <c r="AP16"/>
      <c r="AQ16"/>
      <c r="AR16"/>
      <c r="AS16"/>
      <c r="AT16"/>
      <c r="AU16"/>
      <c r="AV16"/>
    </row>
    <row r="17" spans="1:48">
      <c r="A17" s="1799" t="s">
        <v>1426</v>
      </c>
      <c r="B17" s="1800"/>
      <c r="C17" s="1801">
        <f>'Irl. Energy Balance 2013 (ktoe)'!C17*0.01163</f>
        <v>0</v>
      </c>
      <c r="D17" s="1806">
        <f>'Irl. Energy Balance 2013 (ktoe)'!D17*0.01163</f>
        <v>0</v>
      </c>
      <c r="E17" s="1807">
        <f>'Irl. Energy Balance 2013 (ktoe)'!E17*0.01163</f>
        <v>0</v>
      </c>
      <c r="F17" s="1804">
        <f>'Irl. Energy Balance 2013 (ktoe)'!F17*0.01163</f>
        <v>0</v>
      </c>
      <c r="G17" s="1804">
        <f>'Irl. Energy Balance 2013 (ktoe)'!G17*0.01163</f>
        <v>0</v>
      </c>
      <c r="H17" s="1805">
        <f>'Irl. Energy Balance 2013 (ktoe)'!H17*0.01163</f>
        <v>0</v>
      </c>
      <c r="I17" s="1806">
        <f>'Irl. Energy Balance 2013 (ktoe)'!I17*0.01163</f>
        <v>0</v>
      </c>
      <c r="J17" s="1807">
        <f>'Irl. Energy Balance 2013 (ktoe)'!J17*0.01163</f>
        <v>0</v>
      </c>
      <c r="K17" s="1807">
        <f>'Irl. Energy Balance 2013 (ktoe)'!K17*0.01163</f>
        <v>0</v>
      </c>
      <c r="L17" s="1805">
        <f>'Irl. Energy Balance 2013 (ktoe)'!L17*0.01163</f>
        <v>0</v>
      </c>
      <c r="M17" s="1807">
        <f>'Irl. Energy Balance 2013 (ktoe)'!M17*0.01163</f>
        <v>0</v>
      </c>
      <c r="N17" s="1807">
        <f>'Irl. Energy Balance 2013 (ktoe)'!N17*0.01163</f>
        <v>0</v>
      </c>
      <c r="O17" s="1807">
        <f>'Irl. Energy Balance 2013 (ktoe)'!O17*0.01163</f>
        <v>0</v>
      </c>
      <c r="P17" s="1807">
        <f>'Irl. Energy Balance 2013 (ktoe)'!P17*0.01163</f>
        <v>0</v>
      </c>
      <c r="Q17" s="1807">
        <f>'Irl. Energy Balance 2013 (ktoe)'!Q17*0.01163</f>
        <v>0</v>
      </c>
      <c r="R17" s="1807">
        <f>'Irl. Energy Balance 2013 (ktoe)'!R17*0.01163</f>
        <v>0</v>
      </c>
      <c r="S17" s="1807">
        <f>'Irl. Energy Balance 2013 (ktoe)'!S17*0.01163</f>
        <v>0</v>
      </c>
      <c r="T17" s="1807">
        <f>'Irl. Energy Balance 2013 (ktoe)'!T17*0.01163</f>
        <v>0</v>
      </c>
      <c r="U17" s="1807">
        <f>'Irl. Energy Balance 2013 (ktoe)'!U17*0.01163</f>
        <v>0</v>
      </c>
      <c r="V17" s="1804">
        <f>'Irl. Energy Balance 2013 (ktoe)'!V17*0.01163</f>
        <v>0</v>
      </c>
      <c r="W17" s="1804">
        <f>'Irl. Energy Balance 2013 (ktoe)'!W17*0.01163</f>
        <v>0</v>
      </c>
      <c r="X17" s="1804">
        <f>'Irl. Energy Balance 2013 (ktoe)'!X17*0.01163</f>
        <v>0</v>
      </c>
      <c r="Y17" s="1807">
        <f>'Irl. Energy Balance 2013 (ktoe)'!Y17*0.01163</f>
        <v>0</v>
      </c>
      <c r="Z17" s="1805">
        <f>'Irl. Energy Balance 2013 (ktoe)'!Z17*0.01163</f>
        <v>0</v>
      </c>
      <c r="AA17" s="1808">
        <f>'Irl. Energy Balance 2013 (ktoe)'!AA17*0.01163</f>
        <v>3.9521779139969994E-2</v>
      </c>
      <c r="AB17" s="1809">
        <f>'Irl. Energy Balance 2013 (ktoe)'!AB17*0.01163</f>
        <v>0</v>
      </c>
      <c r="AC17" s="1807">
        <f>'Irl. Energy Balance 2013 (ktoe)'!AC17*0.01163</f>
        <v>0</v>
      </c>
      <c r="AD17" s="1807">
        <f>'Irl. Energy Balance 2013 (ktoe)'!AD17*0.01163</f>
        <v>1.5447023963919998E-2</v>
      </c>
      <c r="AE17" s="1807">
        <f>'Irl. Energy Balance 2013 (ktoe)'!AE17*0.01163</f>
        <v>0</v>
      </c>
      <c r="AF17" s="1807">
        <f>'Irl. Energy Balance 2013 (ktoe)'!AF17*0.01163</f>
        <v>2.4074755176049994E-2</v>
      </c>
      <c r="AG17" s="1807">
        <f>'Irl. Energy Balance 2013 (ktoe)'!AG17*0.01163</f>
        <v>0</v>
      </c>
      <c r="AH17" s="1806">
        <f>'Irl. Energy Balance 2013 (ktoe)'!AH17*0.01163</f>
        <v>0</v>
      </c>
      <c r="AI17" s="1804">
        <f>'Irl. Energy Balance 2013 (ktoe)'!AI17*0.01163</f>
        <v>0</v>
      </c>
      <c r="AJ17" s="1810">
        <f>'Irl. Energy Balance 2013 (ktoe)'!AJ17*0.01163</f>
        <v>0</v>
      </c>
      <c r="AK17" s="1893">
        <f>'Irl. Energy Balance 2013 (ktoe)'!AK17*0.01163</f>
        <v>2.0570936665901844</v>
      </c>
      <c r="AL17" s="1808">
        <f>'Irl. Energy Balance 2013 (ktoe)'!AL17*0.01163</f>
        <v>0</v>
      </c>
      <c r="AM17" s="1812">
        <f>'Irl. Energy Balance 2013 (ktoe)'!AM17*0.01163</f>
        <v>2.0570936665901844</v>
      </c>
      <c r="AP17"/>
      <c r="AQ17"/>
      <c r="AR17"/>
      <c r="AS17"/>
      <c r="AT17"/>
      <c r="AU17"/>
      <c r="AV17"/>
    </row>
    <row r="18" spans="1:48">
      <c r="A18" s="1799" t="s">
        <v>1427</v>
      </c>
      <c r="B18" s="1800"/>
      <c r="C18" s="1801">
        <f>'Irl. Energy Balance 2013 (ktoe)'!C18*0.01163</f>
        <v>0</v>
      </c>
      <c r="D18" s="1806">
        <f>'Irl. Energy Balance 2013 (ktoe)'!D18*0.01163</f>
        <v>0</v>
      </c>
      <c r="E18" s="1807">
        <f>'Irl. Energy Balance 2013 (ktoe)'!E18*0.01163</f>
        <v>0</v>
      </c>
      <c r="F18" s="1804">
        <f>'Irl. Energy Balance 2013 (ktoe)'!F18*0.01163</f>
        <v>0</v>
      </c>
      <c r="G18" s="1804">
        <f>'Irl. Energy Balance 2013 (ktoe)'!G18*0.01163</f>
        <v>0</v>
      </c>
      <c r="H18" s="1805">
        <f>'Irl. Energy Balance 2013 (ktoe)'!H18*0.01163</f>
        <v>0</v>
      </c>
      <c r="I18" s="1806">
        <f>'Irl. Energy Balance 2013 (ktoe)'!I18*0.01163</f>
        <v>0</v>
      </c>
      <c r="J18" s="1807">
        <f>'Irl. Energy Balance 2013 (ktoe)'!J18*0.01163</f>
        <v>0</v>
      </c>
      <c r="K18" s="1807">
        <f>'Irl. Energy Balance 2013 (ktoe)'!K18*0.01163</f>
        <v>0</v>
      </c>
      <c r="L18" s="1805">
        <f>'Irl. Energy Balance 2013 (ktoe)'!L18*0.01163</f>
        <v>0</v>
      </c>
      <c r="M18" s="1807">
        <f>'Irl. Energy Balance 2013 (ktoe)'!M18*0.01163</f>
        <v>0</v>
      </c>
      <c r="N18" s="1807">
        <f>'Irl. Energy Balance 2013 (ktoe)'!N18*0.01163</f>
        <v>0</v>
      </c>
      <c r="O18" s="1807">
        <f>'Irl. Energy Balance 2013 (ktoe)'!O18*0.01163</f>
        <v>0</v>
      </c>
      <c r="P18" s="1807">
        <f>'Irl. Energy Balance 2013 (ktoe)'!P18*0.01163</f>
        <v>0</v>
      </c>
      <c r="Q18" s="1807">
        <f>'Irl. Energy Balance 2013 (ktoe)'!Q18*0.01163</f>
        <v>0</v>
      </c>
      <c r="R18" s="1807">
        <f>'Irl. Energy Balance 2013 (ktoe)'!R18*0.01163</f>
        <v>0</v>
      </c>
      <c r="S18" s="1807">
        <f>'Irl. Energy Balance 2013 (ktoe)'!S18*0.01163</f>
        <v>0</v>
      </c>
      <c r="T18" s="1807">
        <f>'Irl. Energy Balance 2013 (ktoe)'!T18*0.01163</f>
        <v>0</v>
      </c>
      <c r="U18" s="1807">
        <f>'Irl. Energy Balance 2013 (ktoe)'!U18*0.01163</f>
        <v>0</v>
      </c>
      <c r="V18" s="1804">
        <f>'Irl. Energy Balance 2013 (ktoe)'!V18*0.01163</f>
        <v>0</v>
      </c>
      <c r="W18" s="1804">
        <f>'Irl. Energy Balance 2013 (ktoe)'!W18*0.01163</f>
        <v>0</v>
      </c>
      <c r="X18" s="1804">
        <f>'Irl. Energy Balance 2013 (ktoe)'!X18*0.01163</f>
        <v>0</v>
      </c>
      <c r="Y18" s="1807">
        <f>'Irl. Energy Balance 2013 (ktoe)'!Y18*0.01163</f>
        <v>0</v>
      </c>
      <c r="Z18" s="1805">
        <f>'Irl. Energy Balance 2013 (ktoe)'!Z18*0.01163</f>
        <v>0</v>
      </c>
      <c r="AA18" s="1808">
        <f>'Irl. Energy Balance 2013 (ktoe)'!AA18*0.01163</f>
        <v>0</v>
      </c>
      <c r="AB18" s="1809">
        <f>'Irl. Energy Balance 2013 (ktoe)'!AB18*0.01163</f>
        <v>0</v>
      </c>
      <c r="AC18" s="1807">
        <f>'Irl. Energy Balance 2013 (ktoe)'!AC18*0.01163</f>
        <v>0</v>
      </c>
      <c r="AD18" s="1807">
        <f>'Irl. Energy Balance 2013 (ktoe)'!AD18*0.01163</f>
        <v>0</v>
      </c>
      <c r="AE18" s="1807">
        <f>'Irl. Energy Balance 2013 (ktoe)'!AE18*0.01163</f>
        <v>0</v>
      </c>
      <c r="AF18" s="1807">
        <f>'Irl. Energy Balance 2013 (ktoe)'!AF18*0.01163</f>
        <v>0</v>
      </c>
      <c r="AG18" s="1807">
        <f>'Irl. Energy Balance 2013 (ktoe)'!AG18*0.01163</f>
        <v>0</v>
      </c>
      <c r="AH18" s="1806">
        <f>'Irl. Energy Balance 2013 (ktoe)'!AH18*0.01163</f>
        <v>0</v>
      </c>
      <c r="AI18" s="1804">
        <f>'Irl. Energy Balance 2013 (ktoe)'!AI18*0.01163</f>
        <v>0</v>
      </c>
      <c r="AJ18" s="1810">
        <f>'Irl. Energy Balance 2013 (ktoe)'!AJ18*0.01163</f>
        <v>0</v>
      </c>
      <c r="AK18" s="1810">
        <f>'Irl. Energy Balance 2013 (ktoe)'!AK18*0.01163</f>
        <v>0</v>
      </c>
      <c r="AL18" s="1808">
        <f>'Irl. Energy Balance 2013 (ktoe)'!AL18*0.01163</f>
        <v>0</v>
      </c>
      <c r="AM18" s="1812">
        <f>'Irl. Energy Balance 2013 (ktoe)'!AM18*0.01163</f>
        <v>0</v>
      </c>
      <c r="AP18"/>
      <c r="AQ18"/>
      <c r="AR18"/>
      <c r="AS18"/>
      <c r="AT18"/>
      <c r="AU18"/>
      <c r="AV18"/>
    </row>
    <row r="19" spans="1:48">
      <c r="A19" s="1799" t="s">
        <v>1428</v>
      </c>
      <c r="B19" s="1800"/>
      <c r="C19" s="1801">
        <f>'Irl. Energy Balance 2013 (ktoe)'!C19*0.01163</f>
        <v>0</v>
      </c>
      <c r="D19" s="1806">
        <f>'Irl. Energy Balance 2013 (ktoe)'!D19*0.01163</f>
        <v>0</v>
      </c>
      <c r="E19" s="1807">
        <f>'Irl. Energy Balance 2013 (ktoe)'!E19*0.01163</f>
        <v>0</v>
      </c>
      <c r="F19" s="1804">
        <f>'Irl. Energy Balance 2013 (ktoe)'!F19*0.01163</f>
        <v>0</v>
      </c>
      <c r="G19" s="1804">
        <f>'Irl. Energy Balance 2013 (ktoe)'!G19*0.01163</f>
        <v>0</v>
      </c>
      <c r="H19" s="1805">
        <f>'Irl. Energy Balance 2013 (ktoe)'!H19*0.01163</f>
        <v>0</v>
      </c>
      <c r="I19" s="1806">
        <f>'Irl. Energy Balance 2013 (ktoe)'!I19*0.01163</f>
        <v>0</v>
      </c>
      <c r="J19" s="1807">
        <f>'Irl. Energy Balance 2013 (ktoe)'!J19*0.01163</f>
        <v>0</v>
      </c>
      <c r="K19" s="1807">
        <f>'Irl. Energy Balance 2013 (ktoe)'!K19*0.01163</f>
        <v>0</v>
      </c>
      <c r="L19" s="1805">
        <f>'Irl. Energy Balance 2013 (ktoe)'!L19*0.01163</f>
        <v>0</v>
      </c>
      <c r="M19" s="1807">
        <f>'Irl. Energy Balance 2013 (ktoe)'!M19*0.01163</f>
        <v>0</v>
      </c>
      <c r="N19" s="1807">
        <f>'Irl. Energy Balance 2013 (ktoe)'!N19*0.01163</f>
        <v>0</v>
      </c>
      <c r="O19" s="1807">
        <f>'Irl. Energy Balance 2013 (ktoe)'!O19*0.01163</f>
        <v>0</v>
      </c>
      <c r="P19" s="1807">
        <f>'Irl. Energy Balance 2013 (ktoe)'!P19*0.01163</f>
        <v>0</v>
      </c>
      <c r="Q19" s="1807">
        <f>'Irl. Energy Balance 2013 (ktoe)'!Q19*0.01163</f>
        <v>0</v>
      </c>
      <c r="R19" s="1807">
        <f>'Irl. Energy Balance 2013 (ktoe)'!R19*0.01163</f>
        <v>0</v>
      </c>
      <c r="S19" s="1807">
        <f>'Irl. Energy Balance 2013 (ktoe)'!S19*0.01163</f>
        <v>0</v>
      </c>
      <c r="T19" s="1807">
        <f>'Irl. Energy Balance 2013 (ktoe)'!T19*0.01163</f>
        <v>0</v>
      </c>
      <c r="U19" s="1807">
        <f>'Irl. Energy Balance 2013 (ktoe)'!U19*0.01163</f>
        <v>0</v>
      </c>
      <c r="V19" s="1804">
        <f>'Irl. Energy Balance 2013 (ktoe)'!V19*0.01163</f>
        <v>0</v>
      </c>
      <c r="W19" s="1804">
        <f>'Irl. Energy Balance 2013 (ktoe)'!W19*0.01163</f>
        <v>0</v>
      </c>
      <c r="X19" s="1804">
        <f>'Irl. Energy Balance 2013 (ktoe)'!X19*0.01163</f>
        <v>0</v>
      </c>
      <c r="Y19" s="1807">
        <f>'Irl. Energy Balance 2013 (ktoe)'!Y19*0.01163</f>
        <v>0</v>
      </c>
      <c r="Z19" s="1805">
        <f>'Irl. Energy Balance 2013 (ktoe)'!Z19*0.01163</f>
        <v>0</v>
      </c>
      <c r="AA19" s="1808">
        <f>'Irl. Energy Balance 2013 (ktoe)'!AA19*0.01163</f>
        <v>0</v>
      </c>
      <c r="AB19" s="1809">
        <f>'Irl. Energy Balance 2013 (ktoe)'!AB19*0.01163</f>
        <v>0</v>
      </c>
      <c r="AC19" s="1807">
        <f>'Irl. Energy Balance 2013 (ktoe)'!AC19*0.01163</f>
        <v>0</v>
      </c>
      <c r="AD19" s="1807">
        <f>'Irl. Energy Balance 2013 (ktoe)'!AD19*0.01163</f>
        <v>0</v>
      </c>
      <c r="AE19" s="1807">
        <f>'Irl. Energy Balance 2013 (ktoe)'!AE19*0.01163</f>
        <v>0</v>
      </c>
      <c r="AF19" s="1807">
        <f>'Irl. Energy Balance 2013 (ktoe)'!AF19*0.01163</f>
        <v>0</v>
      </c>
      <c r="AG19" s="1807">
        <f>'Irl. Energy Balance 2013 (ktoe)'!AG19*0.01163</f>
        <v>0</v>
      </c>
      <c r="AH19" s="1806">
        <f>'Irl. Energy Balance 2013 (ktoe)'!AH19*0.01163</f>
        <v>0</v>
      </c>
      <c r="AI19" s="1804">
        <f>'Irl. Energy Balance 2013 (ktoe)'!AI19*0.01163</f>
        <v>0</v>
      </c>
      <c r="AJ19" s="1810">
        <f>'Irl. Energy Balance 2013 (ktoe)'!AJ19*0.01163</f>
        <v>0</v>
      </c>
      <c r="AK19" s="3826">
        <f>'Irl. Energy Balance 2013 (ktoe)'!AK19*0.01163</f>
        <v>0.34478982840793343</v>
      </c>
      <c r="AL19" s="1808">
        <f>'Irl. Energy Balance 2013 (ktoe)'!AL19*0.01163</f>
        <v>0</v>
      </c>
      <c r="AM19" s="3381">
        <f>'Irl. Energy Balance 2013 (ktoe)'!AM19*0.01163</f>
        <v>0.34478982840793343</v>
      </c>
      <c r="AP19"/>
      <c r="AQ19"/>
      <c r="AR19"/>
      <c r="AS19"/>
      <c r="AT19"/>
      <c r="AU19"/>
      <c r="AV19"/>
    </row>
    <row r="20" spans="1:48">
      <c r="A20" s="1799" t="s">
        <v>1423</v>
      </c>
      <c r="B20" s="1800"/>
      <c r="C20" s="1801">
        <f>'Irl. Energy Balance 2013 (ktoe)'!C20*0.01163</f>
        <v>0</v>
      </c>
      <c r="D20" s="1894">
        <f>'Irl. Energy Balance 2013 (ktoe)'!D20*0.01163</f>
        <v>0</v>
      </c>
      <c r="E20" s="1807">
        <f>'Irl. Energy Balance 2013 (ktoe)'!E20*0.01163</f>
        <v>0</v>
      </c>
      <c r="F20" s="1804">
        <f>'Irl. Energy Balance 2013 (ktoe)'!F20*0.01163</f>
        <v>0</v>
      </c>
      <c r="G20" s="1804">
        <f>'Irl. Energy Balance 2013 (ktoe)'!G20*0.01163</f>
        <v>0</v>
      </c>
      <c r="H20" s="1805">
        <f>'Irl. Energy Balance 2013 (ktoe)'!H20*0.01163</f>
        <v>1.23400283635</v>
      </c>
      <c r="I20" s="1806">
        <f>'Irl. Energy Balance 2013 (ktoe)'!I20*0.01163</f>
        <v>0</v>
      </c>
      <c r="J20" s="1807">
        <f>'Irl. Energy Balance 2013 (ktoe)'!J20*0.01163</f>
        <v>0</v>
      </c>
      <c r="K20" s="1807">
        <f>'Irl. Energy Balance 2013 (ktoe)'!K20*0.01163</f>
        <v>1.23400283635</v>
      </c>
      <c r="L20" s="1805">
        <f>'Irl. Energy Balance 2013 (ktoe)'!L20*0.01163</f>
        <v>0</v>
      </c>
      <c r="M20" s="1807">
        <f>'Irl. Energy Balance 2013 (ktoe)'!M20*0.01163</f>
        <v>0</v>
      </c>
      <c r="N20" s="1807">
        <f>'Irl. Energy Balance 2013 (ktoe)'!N20*0.01163</f>
        <v>0</v>
      </c>
      <c r="O20" s="1807">
        <f>'Irl. Energy Balance 2013 (ktoe)'!O20*0.01163</f>
        <v>0</v>
      </c>
      <c r="P20" s="1807">
        <f>'Irl. Energy Balance 2013 (ktoe)'!P20*0.01163</f>
        <v>0</v>
      </c>
      <c r="Q20" s="1807">
        <f>'Irl. Energy Balance 2013 (ktoe)'!Q20*0.01163</f>
        <v>0</v>
      </c>
      <c r="R20" s="1807">
        <f>'Irl. Energy Balance 2013 (ktoe)'!R20*0.01163</f>
        <v>0</v>
      </c>
      <c r="S20" s="1807">
        <f>'Irl. Energy Balance 2013 (ktoe)'!S20*0.01163</f>
        <v>0</v>
      </c>
      <c r="T20" s="1807">
        <f>'Irl. Energy Balance 2013 (ktoe)'!T20*0.01163</f>
        <v>0</v>
      </c>
      <c r="U20" s="1807">
        <f>'Irl. Energy Balance 2013 (ktoe)'!U20*0.01163</f>
        <v>0</v>
      </c>
      <c r="V20" s="1804">
        <f>'Irl. Energy Balance 2013 (ktoe)'!V20*0.01163</f>
        <v>0</v>
      </c>
      <c r="W20" s="1804">
        <f>'Irl. Energy Balance 2013 (ktoe)'!W20*0.01163</f>
        <v>0</v>
      </c>
      <c r="X20" s="1804">
        <f>'Irl. Energy Balance 2013 (ktoe)'!X20*0.01163</f>
        <v>0</v>
      </c>
      <c r="Y20" s="1807">
        <f>'Irl. Energy Balance 2013 (ktoe)'!Y20*0.01163</f>
        <v>0</v>
      </c>
      <c r="Z20" s="1805">
        <f>'Irl. Energy Balance 2013 (ktoe)'!Z20*0.01163</f>
        <v>0</v>
      </c>
      <c r="AA20" s="1808">
        <f>'Irl. Energy Balance 2013 (ktoe)'!AA20*0.01163</f>
        <v>0</v>
      </c>
      <c r="AB20" s="1809">
        <f>'Irl. Energy Balance 2013 (ktoe)'!AB20*0.01163</f>
        <v>0</v>
      </c>
      <c r="AC20" s="1807">
        <f>'Irl. Energy Balance 2013 (ktoe)'!AC20*0.01163</f>
        <v>0</v>
      </c>
      <c r="AD20" s="1807">
        <f>'Irl. Energy Balance 2013 (ktoe)'!AD20*0.01163</f>
        <v>0</v>
      </c>
      <c r="AE20" s="1807">
        <f>'Irl. Energy Balance 2013 (ktoe)'!AE20*0.01163</f>
        <v>0</v>
      </c>
      <c r="AF20" s="1807" t="e">
        <f>'Irl. Energy Balance 2013 (ktoe)'!AF20*0.01163</f>
        <v>#VALUE!</v>
      </c>
      <c r="AG20" s="1807">
        <f>'Irl. Energy Balance 2013 (ktoe)'!AG20*0.01163</f>
        <v>0</v>
      </c>
      <c r="AH20" s="1806">
        <f>'Irl. Energy Balance 2013 (ktoe)'!AH20*0.01163</f>
        <v>0</v>
      </c>
      <c r="AI20" s="1804">
        <f>'Irl. Energy Balance 2013 (ktoe)'!AI20*0.01163</f>
        <v>0</v>
      </c>
      <c r="AJ20" s="1810">
        <f>'Irl. Energy Balance 2013 (ktoe)'!AJ20*0.01163</f>
        <v>0</v>
      </c>
      <c r="AK20" s="1810">
        <f>'Irl. Energy Balance 2013 (ktoe)'!AK20*0.01163</f>
        <v>0</v>
      </c>
      <c r="AL20" s="1808">
        <f>'Irl. Energy Balance 2013 (ktoe)'!AL20*0.01163</f>
        <v>0</v>
      </c>
      <c r="AM20" s="1812">
        <f>'Irl. Energy Balance 2013 (ktoe)'!AM20*0.01163</f>
        <v>1.23400283635</v>
      </c>
      <c r="AP20"/>
      <c r="AQ20"/>
      <c r="AR20"/>
      <c r="AS20"/>
      <c r="AT20"/>
      <c r="AU20"/>
      <c r="AV20"/>
    </row>
    <row r="21" spans="1:48">
      <c r="A21" s="1867" t="s">
        <v>1429</v>
      </c>
      <c r="B21" s="1868"/>
      <c r="C21" s="1869">
        <f>'Irl. Energy Balance 2013 (ktoe)'!C21*0.01163</f>
        <v>0</v>
      </c>
      <c r="D21" s="1870">
        <f>'Irl. Energy Balance 2013 (ktoe)'!D21*0.01163</f>
        <v>0</v>
      </c>
      <c r="E21" s="1871">
        <f>'Irl. Energy Balance 2013 (ktoe)'!E21*0.01163</f>
        <v>0</v>
      </c>
      <c r="F21" s="1872">
        <f>'Irl. Energy Balance 2013 (ktoe)'!F21*0.01163</f>
        <v>0</v>
      </c>
      <c r="G21" s="1872">
        <f>'Irl. Energy Balance 2013 (ktoe)'!G21*0.01163</f>
        <v>0</v>
      </c>
      <c r="H21" s="1873">
        <f>'Irl. Energy Balance 2013 (ktoe)'!H21*0.01163</f>
        <v>0</v>
      </c>
      <c r="I21" s="1870">
        <f>'Irl. Energy Balance 2013 (ktoe)'!I21*0.01163</f>
        <v>0</v>
      </c>
      <c r="J21" s="1871">
        <f>'Irl. Energy Balance 2013 (ktoe)'!J21*0.01163</f>
        <v>0</v>
      </c>
      <c r="K21" s="1871">
        <f>'Irl. Energy Balance 2013 (ktoe)'!K21*0.01163</f>
        <v>0</v>
      </c>
      <c r="L21" s="1873">
        <f>'Irl. Energy Balance 2013 (ktoe)'!L21*0.01163</f>
        <v>34.098476048750314</v>
      </c>
      <c r="M21" s="1871">
        <f>'Irl. Energy Balance 2013 (ktoe)'!M21*0.01163</f>
        <v>0</v>
      </c>
      <c r="N21" s="1871">
        <f>'Irl. Energy Balance 2013 (ktoe)'!N21*0.01163</f>
        <v>0.80348062171784984</v>
      </c>
      <c r="O21" s="1871">
        <f>'Irl. Energy Balance 2013 (ktoe)'!O21*0.01163</f>
        <v>6.546779726850553</v>
      </c>
      <c r="P21" s="1871">
        <f>'Irl. Energy Balance 2013 (ktoe)'!P21*0.01163</f>
        <v>1.2946766645387122</v>
      </c>
      <c r="Q21" s="1871">
        <f>'Irl. Energy Balance 2013 (ktoe)'!Q21*0.01163</f>
        <v>0</v>
      </c>
      <c r="R21" s="1871">
        <f>'Irl. Energy Balance 2013 (ktoe)'!R21*0.01163</f>
        <v>10.663200096903566</v>
      </c>
      <c r="S21" s="1871">
        <f>'Irl. Energy Balance 2013 (ktoe)'!S21*0.01163</f>
        <v>0.82555455516863707</v>
      </c>
      <c r="T21" s="1871">
        <f>'Irl. Energy Balance 2013 (ktoe)'!T21*0.01163</f>
        <v>13.714632697699566</v>
      </c>
      <c r="U21" s="1871">
        <f>'Irl. Energy Balance 2013 (ktoe)'!U21*0.01163</f>
        <v>0</v>
      </c>
      <c r="V21" s="1872">
        <f>'Irl. Energy Balance 2013 (ktoe)'!V21*0.01163</f>
        <v>0.25015168587143111</v>
      </c>
      <c r="W21" s="1872">
        <f>'Irl. Energy Balance 2013 (ktoe)'!W21*0.01163</f>
        <v>0</v>
      </c>
      <c r="X21" s="1872">
        <f>'Irl. Energy Balance 2013 (ktoe)'!X21*0.01163</f>
        <v>0</v>
      </c>
      <c r="Y21" s="1871">
        <f>'Irl. Energy Balance 2013 (ktoe)'!Y21*0.01163</f>
        <v>0</v>
      </c>
      <c r="Z21" s="1873">
        <f>'Irl. Energy Balance 2013 (ktoe)'!Z21*0.01163</f>
        <v>0</v>
      </c>
      <c r="AA21" s="1874">
        <f>'Irl. Energy Balance 2013 (ktoe)'!AA21*0.01163</f>
        <v>0</v>
      </c>
      <c r="AB21" s="1875">
        <f>'Irl. Energy Balance 2013 (ktoe)'!AB21*0.01163</f>
        <v>0</v>
      </c>
      <c r="AC21" s="1871">
        <f>'Irl. Energy Balance 2013 (ktoe)'!AC21*0.01163</f>
        <v>0</v>
      </c>
      <c r="AD21" s="1871">
        <f>'Irl. Energy Balance 2013 (ktoe)'!AD21*0.01163</f>
        <v>0</v>
      </c>
      <c r="AE21" s="1871">
        <f>'Irl. Energy Balance 2013 (ktoe)'!AE21*0.01163</f>
        <v>0</v>
      </c>
      <c r="AF21" s="1871">
        <f>'Irl. Energy Balance 2013 (ktoe)'!AF21*0.01163</f>
        <v>0</v>
      </c>
      <c r="AG21" s="1871">
        <f>'Irl. Energy Balance 2013 (ktoe)'!AG21*0.01163</f>
        <v>0</v>
      </c>
      <c r="AH21" s="1870">
        <f>'Irl. Energy Balance 2013 (ktoe)'!AH21*0.01163</f>
        <v>0</v>
      </c>
      <c r="AI21" s="1872">
        <f>'Irl. Energy Balance 2013 (ktoe)'!AI21*0.01163</f>
        <v>0</v>
      </c>
      <c r="AJ21" s="1876">
        <f>'Irl. Energy Balance 2013 (ktoe)'!AJ21*0.01163</f>
        <v>0</v>
      </c>
      <c r="AK21" s="1876">
        <f>'Irl. Energy Balance 2013 (ktoe)'!AK21*0.01163</f>
        <v>0</v>
      </c>
      <c r="AL21" s="1874">
        <f>'Irl. Energy Balance 2013 (ktoe)'!AL21*0.01163</f>
        <v>0</v>
      </c>
      <c r="AM21" s="1877">
        <f>'Irl. Energy Balance 2013 (ktoe)'!AM21*0.01163</f>
        <v>34.098476048750314</v>
      </c>
      <c r="AP21"/>
      <c r="AQ21"/>
      <c r="AR21"/>
      <c r="AS21"/>
      <c r="AT21"/>
      <c r="AU21"/>
      <c r="AV21"/>
    </row>
    <row r="22" spans="1:48">
      <c r="A22" s="1895" t="s">
        <v>1430</v>
      </c>
      <c r="B22" s="1896"/>
      <c r="C22" s="1897">
        <f>'Irl. Energy Balance 2013 (ktoe)'!C22*0.01163</f>
        <v>0.27820756000493629</v>
      </c>
      <c r="D22" s="1898">
        <f>'Irl. Energy Balance 2013 (ktoe)'!D22*0.01163</f>
        <v>-0.16289245490000001</v>
      </c>
      <c r="E22" s="1899">
        <f>'Irl. Energy Balance 2013 (ktoe)'!E22*0.01163</f>
        <v>0.44110001490493633</v>
      </c>
      <c r="F22" s="1900">
        <f>'Irl. Energy Balance 2013 (ktoe)'!F22*0.01163</f>
        <v>0</v>
      </c>
      <c r="G22" s="1900">
        <f>'Irl. Energy Balance 2013 (ktoe)'!G22*0.01163</f>
        <v>0</v>
      </c>
      <c r="H22" s="1901">
        <f>'Irl. Energy Balance 2013 (ktoe)'!H22*0.01163</f>
        <v>0</v>
      </c>
      <c r="I22" s="1898">
        <f>'Irl. Energy Balance 2013 (ktoe)'!I22*0.01163</f>
        <v>0</v>
      </c>
      <c r="J22" s="1899">
        <f>'Irl. Energy Balance 2013 (ktoe)'!J22*0.01163</f>
        <v>0</v>
      </c>
      <c r="K22" s="1899">
        <f>'Irl. Energy Balance 2013 (ktoe)'!K22*0.01163</f>
        <v>0</v>
      </c>
      <c r="L22" s="1901">
        <f>'Irl. Energy Balance 2013 (ktoe)'!L22*0.01163</f>
        <v>-0.29988758661905707</v>
      </c>
      <c r="M22" s="1899">
        <f>'Irl. Energy Balance 2013 (ktoe)'!M22*0.01163</f>
        <v>0</v>
      </c>
      <c r="N22" s="1899">
        <f>'Irl. Energy Balance 2013 (ktoe)'!N22*0.01163</f>
        <v>0</v>
      </c>
      <c r="O22" s="1899">
        <f>'Irl. Energy Balance 2013 (ktoe)'!O22*0.01163</f>
        <v>3.240228743444444E-3</v>
      </c>
      <c r="P22" s="1899">
        <f>'Irl. Energy Balance 2013 (ktoe)'!P22*0.01163</f>
        <v>2.5357369732283681</v>
      </c>
      <c r="Q22" s="1899">
        <f>'Irl. Energy Balance 2013 (ktoe)'!Q22*0.01163</f>
        <v>-2.5335392217898844</v>
      </c>
      <c r="R22" s="1899">
        <f>'Irl. Energy Balance 2013 (ktoe)'!R22*0.01163</f>
        <v>2.0023260758112994E-2</v>
      </c>
      <c r="S22" s="1899">
        <f>'Irl. Energy Balance 2013 (ktoe)'!S22*0.01163</f>
        <v>0</v>
      </c>
      <c r="T22" s="1899">
        <f>'Irl. Energy Balance 2013 (ktoe)'!T22*0.01163</f>
        <v>-4.7141267554161641E-2</v>
      </c>
      <c r="U22" s="1899">
        <f>'Irl. Energy Balance 2013 (ktoe)'!U22*0.01163</f>
        <v>-0.27820756000493629</v>
      </c>
      <c r="V22" s="1900">
        <f>'Irl. Energy Balance 2013 (ktoe)'!V22*0.01163</f>
        <v>0</v>
      </c>
      <c r="W22" s="1900">
        <f>'Irl. Energy Balance 2013 (ktoe)'!W22*0.01163</f>
        <v>0</v>
      </c>
      <c r="X22" s="1900">
        <f>'Irl. Energy Balance 2013 (ktoe)'!X22*0.01163</f>
        <v>0</v>
      </c>
      <c r="Y22" s="1899">
        <f>'Irl. Energy Balance 2013 (ktoe)'!Y22*0.01163</f>
        <v>0</v>
      </c>
      <c r="Z22" s="1901">
        <f>'Irl. Energy Balance 2013 (ktoe)'!Z22*0.01163</f>
        <v>0</v>
      </c>
      <c r="AA22" s="1902">
        <f>'Irl. Energy Balance 2013 (ktoe)'!AA22*0.01163</f>
        <v>-5.1209235764676979</v>
      </c>
      <c r="AB22" s="1903">
        <f>'Irl. Energy Balance 2013 (ktoe)'!AB22*0.01163</f>
        <v>-0.57859162386130003</v>
      </c>
      <c r="AC22" s="1899">
        <f>'Irl. Energy Balance 2013 (ktoe)'!AC22*0.01163</f>
        <v>-4.5423319526063981</v>
      </c>
      <c r="AD22" s="1899">
        <f>'Irl. Energy Balance 2013 (ktoe)'!AD22*0.01163</f>
        <v>0</v>
      </c>
      <c r="AE22" s="1904">
        <f>'Irl. Energy Balance 2013 (ktoe)'!AE22*0.01163</f>
        <v>0</v>
      </c>
      <c r="AF22" s="1904">
        <f>'Irl. Energy Balance 2013 (ktoe)'!AF22*0.01163</f>
        <v>0</v>
      </c>
      <c r="AG22" s="1904">
        <f>'Irl. Energy Balance 2013 (ktoe)'!AG22*0.01163</f>
        <v>0</v>
      </c>
      <c r="AH22" s="1898">
        <f>'Irl. Energy Balance 2013 (ktoe)'!AH22*0.01163</f>
        <v>0</v>
      </c>
      <c r="AI22" s="1900">
        <f>'Irl. Energy Balance 2013 (ktoe)'!AI22*0.01163</f>
        <v>0</v>
      </c>
      <c r="AJ22" s="1905">
        <f>'Irl. Energy Balance 2013 (ktoe)'!AJ22*0.01163</f>
        <v>0</v>
      </c>
      <c r="AK22" s="1906">
        <f>'Irl. Energy Balance 2013 (ktoe)'!AK22*0.01163</f>
        <v>5.1209235764676979</v>
      </c>
      <c r="AL22" s="1902">
        <f>'Irl. Energy Balance 2013 (ktoe)'!AL22*0.01163</f>
        <v>0</v>
      </c>
      <c r="AM22" s="1907">
        <f>'Irl. Energy Balance 2013 (ktoe)'!AM22*0.01163</f>
        <v>-2.168002661412079E-2</v>
      </c>
      <c r="AP22"/>
      <c r="AQ22"/>
      <c r="AR22"/>
      <c r="AS22"/>
      <c r="AT22"/>
      <c r="AU22"/>
      <c r="AV22"/>
    </row>
    <row r="23" spans="1:48">
      <c r="A23" s="1850" t="s">
        <v>1242</v>
      </c>
      <c r="B23" s="1851"/>
      <c r="C23" s="1908">
        <f>'Irl. Energy Balance 2013 (ktoe)'!C23*0.01163</f>
        <v>0</v>
      </c>
      <c r="D23" s="1909">
        <f>'Irl. Energy Balance 2013 (ktoe)'!D23*0.01163</f>
        <v>0</v>
      </c>
      <c r="E23" s="1910">
        <f>'Irl. Energy Balance 2013 (ktoe)'!E23*0.01163</f>
        <v>0</v>
      </c>
      <c r="F23" s="1855">
        <f>'Irl. Energy Balance 2013 (ktoe)'!F23*0.01163</f>
        <v>0</v>
      </c>
      <c r="G23" s="1855">
        <f>'Irl. Energy Balance 2013 (ktoe)'!G23*0.01163</f>
        <v>0</v>
      </c>
      <c r="H23" s="1861">
        <f>'Irl. Energy Balance 2013 (ktoe)'!H23*0.01163</f>
        <v>0</v>
      </c>
      <c r="I23" s="1911">
        <f>'Irl. Energy Balance 2013 (ktoe)'!I23*0.01163</f>
        <v>0</v>
      </c>
      <c r="J23" s="1854">
        <f>'Irl. Energy Balance 2013 (ktoe)'!J23*0.01163</f>
        <v>0</v>
      </c>
      <c r="K23" s="1854">
        <f>'Irl. Energy Balance 2013 (ktoe)'!K23*0.01163</f>
        <v>0</v>
      </c>
      <c r="L23" s="1861">
        <f>'Irl. Energy Balance 2013 (ktoe)'!L23*0.01163</f>
        <v>0</v>
      </c>
      <c r="M23" s="1854">
        <f>'Irl. Energy Balance 2013 (ktoe)'!M23*0.01163</f>
        <v>0</v>
      </c>
      <c r="N23" s="1854">
        <f>'Irl. Energy Balance 2013 (ktoe)'!N23*0.01163</f>
        <v>0</v>
      </c>
      <c r="O23" s="1854">
        <f>'Irl. Energy Balance 2013 (ktoe)'!O23*0.01163</f>
        <v>0</v>
      </c>
      <c r="P23" s="1854">
        <f>'Irl. Energy Balance 2013 (ktoe)'!P23*0.01163</f>
        <v>0</v>
      </c>
      <c r="Q23" s="1854">
        <f>'Irl. Energy Balance 2013 (ktoe)'!Q23*0.01163</f>
        <v>0</v>
      </c>
      <c r="R23" s="1854">
        <f>'Irl. Energy Balance 2013 (ktoe)'!R23*0.01163</f>
        <v>0</v>
      </c>
      <c r="S23" s="1854">
        <f>'Irl. Energy Balance 2013 (ktoe)'!S23*0.01163</f>
        <v>0</v>
      </c>
      <c r="T23" s="1854">
        <f>'Irl. Energy Balance 2013 (ktoe)'!T23*0.01163</f>
        <v>0</v>
      </c>
      <c r="U23" s="1854">
        <f>'Irl. Energy Balance 2013 (ktoe)'!U23*0.01163</f>
        <v>0</v>
      </c>
      <c r="V23" s="1855">
        <f>'Irl. Energy Balance 2013 (ktoe)'!V23*0.01163</f>
        <v>0</v>
      </c>
      <c r="W23" s="1855">
        <f>'Irl. Energy Balance 2013 (ktoe)'!W23*0.01163</f>
        <v>0</v>
      </c>
      <c r="X23" s="1855">
        <f>'Irl. Energy Balance 2013 (ktoe)'!X23*0.01163</f>
        <v>0</v>
      </c>
      <c r="Y23" s="1854">
        <f>'Irl. Energy Balance 2013 (ktoe)'!Y23*0.01163</f>
        <v>0</v>
      </c>
      <c r="Z23" s="1861">
        <f>'Irl. Energy Balance 2013 (ktoe)'!Z23*0.01163</f>
        <v>0</v>
      </c>
      <c r="AA23" s="1857">
        <f>'Irl. Energy Balance 2013 (ktoe)'!AA23*0.01163</f>
        <v>-5.1209235764676979</v>
      </c>
      <c r="AB23" s="1858">
        <f>'Irl. Energy Balance 2013 (ktoe)'!AB23*0.01163</f>
        <v>-0.57859162386130003</v>
      </c>
      <c r="AC23" s="1854">
        <f>'Irl. Energy Balance 2013 (ktoe)'!AC23*0.01163</f>
        <v>-4.5423319526063981</v>
      </c>
      <c r="AD23" s="1854">
        <f>'Irl. Energy Balance 2013 (ktoe)'!AD23*0.01163</f>
        <v>0</v>
      </c>
      <c r="AE23" s="1865">
        <f>'Irl. Energy Balance 2013 (ktoe)'!AE23*0.01163</f>
        <v>0</v>
      </c>
      <c r="AF23" s="1865">
        <f>'Irl. Energy Balance 2013 (ktoe)'!AF23*0.01163</f>
        <v>0</v>
      </c>
      <c r="AG23" s="1865">
        <f>'Irl. Energy Balance 2013 (ktoe)'!AG23*0.01163</f>
        <v>0</v>
      </c>
      <c r="AH23" s="1853">
        <f>'Irl. Energy Balance 2013 (ktoe)'!AH23*0.01163</f>
        <v>0</v>
      </c>
      <c r="AI23" s="1855">
        <f>'Irl. Energy Balance 2013 (ktoe)'!AI23*0.01163</f>
        <v>0</v>
      </c>
      <c r="AJ23" s="1891">
        <f>'Irl. Energy Balance 2013 (ktoe)'!AJ23*0.01163</f>
        <v>0</v>
      </c>
      <c r="AK23" s="1861">
        <f>'Irl. Energy Balance 2013 (ktoe)'!AK23*0.01163</f>
        <v>5.1209235764676979</v>
      </c>
      <c r="AL23" s="1857">
        <f>'Irl. Energy Balance 2013 (ktoe)'!AL23*0.01163</f>
        <v>0</v>
      </c>
      <c r="AM23" s="1892">
        <f>'Irl. Energy Balance 2013 (ktoe)'!AM23*0.01163</f>
        <v>0</v>
      </c>
      <c r="AP23"/>
      <c r="AQ23"/>
      <c r="AR23"/>
      <c r="AS23"/>
      <c r="AT23"/>
      <c r="AU23"/>
      <c r="AV23"/>
    </row>
    <row r="24" spans="1:48">
      <c r="A24" s="1912" t="s">
        <v>1431</v>
      </c>
      <c r="B24" s="1879"/>
      <c r="C24" s="1913">
        <f>'Irl. Energy Balance 2013 (ktoe)'!C24*0.01163</f>
        <v>0</v>
      </c>
      <c r="D24" s="1914">
        <f>'Irl. Energy Balance 2013 (ktoe)'!D24*0.01163</f>
        <v>0</v>
      </c>
      <c r="E24" s="1882">
        <f>'Irl. Energy Balance 2013 (ktoe)'!E24*0.01163</f>
        <v>0</v>
      </c>
      <c r="F24" s="1915">
        <f>'Irl. Energy Balance 2013 (ktoe)'!F24*0.01163</f>
        <v>0</v>
      </c>
      <c r="G24" s="1915">
        <f>'Irl. Energy Balance 2013 (ktoe)'!G24*0.01163</f>
        <v>0</v>
      </c>
      <c r="H24" s="1884">
        <f>'Irl. Energy Balance 2013 (ktoe)'!H24*0.01163</f>
        <v>0</v>
      </c>
      <c r="I24" s="1916">
        <f>'Irl. Energy Balance 2013 (ktoe)'!I24*0.01163</f>
        <v>0</v>
      </c>
      <c r="J24" s="1917">
        <f>'Irl. Energy Balance 2013 (ktoe)'!J24*0.01163</f>
        <v>0</v>
      </c>
      <c r="K24" s="1917">
        <f>'Irl. Energy Balance 2013 (ktoe)'!K24*0.01163</f>
        <v>0</v>
      </c>
      <c r="L24" s="1884">
        <f>'Irl. Energy Balance 2013 (ktoe)'!L24*0.01163</f>
        <v>0</v>
      </c>
      <c r="M24" s="1917">
        <f>'Irl. Energy Balance 2013 (ktoe)'!M24*0.01163</f>
        <v>0</v>
      </c>
      <c r="N24" s="1917">
        <f>'Irl. Energy Balance 2013 (ktoe)'!N24*0.01163</f>
        <v>0</v>
      </c>
      <c r="O24" s="1917">
        <f>'Irl. Energy Balance 2013 (ktoe)'!O24*0.01163</f>
        <v>0</v>
      </c>
      <c r="P24" s="1917">
        <f>'Irl. Energy Balance 2013 (ktoe)'!P24*0.01163</f>
        <v>0</v>
      </c>
      <c r="Q24" s="1917">
        <f>'Irl. Energy Balance 2013 (ktoe)'!Q24*0.01163</f>
        <v>0</v>
      </c>
      <c r="R24" s="1917">
        <f>'Irl. Energy Balance 2013 (ktoe)'!R24*0.01163</f>
        <v>0</v>
      </c>
      <c r="S24" s="1917">
        <f>'Irl. Energy Balance 2013 (ktoe)'!S24*0.01163</f>
        <v>0</v>
      </c>
      <c r="T24" s="1917">
        <f>'Irl. Energy Balance 2013 (ktoe)'!T24*0.01163</f>
        <v>0</v>
      </c>
      <c r="U24" s="1917">
        <f>'Irl. Energy Balance 2013 (ktoe)'!U24*0.01163</f>
        <v>0</v>
      </c>
      <c r="V24" s="1915">
        <f>'Irl. Energy Balance 2013 (ktoe)'!V24*0.01163</f>
        <v>0</v>
      </c>
      <c r="W24" s="1915">
        <f>'Irl. Energy Balance 2013 (ktoe)'!W24*0.01163</f>
        <v>0</v>
      </c>
      <c r="X24" s="1915">
        <f>'Irl. Energy Balance 2013 (ktoe)'!X24*0.01163</f>
        <v>0</v>
      </c>
      <c r="Y24" s="1917">
        <f>'Irl. Energy Balance 2013 (ktoe)'!Y24*0.01163</f>
        <v>0</v>
      </c>
      <c r="Z24" s="1884">
        <f>'Irl. Energy Balance 2013 (ktoe)'!Z24*0.01163</f>
        <v>0</v>
      </c>
      <c r="AA24" s="1885">
        <f>'Irl. Energy Balance 2013 (ktoe)'!AA24*0.01163</f>
        <v>0</v>
      </c>
      <c r="AB24" s="1918">
        <f>'Irl. Energy Balance 2013 (ktoe)'!AB24*0.01163</f>
        <v>0</v>
      </c>
      <c r="AC24" s="1917">
        <f>'Irl. Energy Balance 2013 (ktoe)'!AC24*0.01163</f>
        <v>0</v>
      </c>
      <c r="AD24" s="1917">
        <f>'Irl. Energy Balance 2013 (ktoe)'!AD24*0.01163</f>
        <v>0</v>
      </c>
      <c r="AE24" s="1917">
        <f>'Irl. Energy Balance 2013 (ktoe)'!AE24*0.01163</f>
        <v>0</v>
      </c>
      <c r="AF24" s="1917">
        <f>'Irl. Energy Balance 2013 (ktoe)'!AF24*0.01163</f>
        <v>0</v>
      </c>
      <c r="AG24" s="1917">
        <f>'Irl. Energy Balance 2013 (ktoe)'!AG24*0.01163</f>
        <v>0</v>
      </c>
      <c r="AH24" s="1919">
        <f>'Irl. Energy Balance 2013 (ktoe)'!AH24*0.01163</f>
        <v>0</v>
      </c>
      <c r="AI24" s="1915">
        <f>'Irl. Energy Balance 2013 (ktoe)'!AI24*0.01163</f>
        <v>0</v>
      </c>
      <c r="AJ24" s="1920">
        <f>'Irl. Energy Balance 2013 (ktoe)'!AJ24*0.01163</f>
        <v>0</v>
      </c>
      <c r="AK24" s="1884">
        <f>'Irl. Energy Balance 2013 (ktoe)'!AK24*0.01163</f>
        <v>0</v>
      </c>
      <c r="AL24" s="1885">
        <f>'Irl. Energy Balance 2013 (ktoe)'!AL24*0.01163</f>
        <v>0</v>
      </c>
      <c r="AM24" s="1921">
        <f>'Irl. Energy Balance 2013 (ktoe)'!AM24*0.01163</f>
        <v>0</v>
      </c>
      <c r="AO24" s="2503" t="s">
        <v>5</v>
      </c>
      <c r="AP24"/>
      <c r="AQ24"/>
      <c r="AR24"/>
      <c r="AS24"/>
      <c r="AT24"/>
      <c r="AU24"/>
      <c r="AV24"/>
    </row>
    <row r="25" spans="1:48" ht="15.75" thickBot="1">
      <c r="A25" s="1814" t="s">
        <v>1432</v>
      </c>
      <c r="B25" s="1815"/>
      <c r="C25" s="1922">
        <f>'Irl. Energy Balance 2013 (ktoe)'!C25*0.01163</f>
        <v>0.27820756000493629</v>
      </c>
      <c r="D25" s="1923">
        <f>'Irl. Energy Balance 2013 (ktoe)'!D25*0.01163</f>
        <v>-0.16289245490000001</v>
      </c>
      <c r="E25" s="1822">
        <f>'Irl. Energy Balance 2013 (ktoe)'!E25*0.01163</f>
        <v>0.44110001490493633</v>
      </c>
      <c r="F25" s="1817">
        <f>'Irl. Energy Balance 2013 (ktoe)'!F25*0.01163</f>
        <v>0</v>
      </c>
      <c r="G25" s="1817">
        <f>'Irl. Energy Balance 2013 (ktoe)'!G25*0.01163</f>
        <v>0</v>
      </c>
      <c r="H25" s="1818">
        <f>'Irl. Energy Balance 2013 (ktoe)'!H25*0.01163</f>
        <v>0</v>
      </c>
      <c r="I25" s="1924">
        <f>'Irl. Energy Balance 2013 (ktoe)'!I25*0.01163</f>
        <v>0</v>
      </c>
      <c r="J25" s="1822">
        <f>'Irl. Energy Balance 2013 (ktoe)'!J25*0.01163</f>
        <v>0</v>
      </c>
      <c r="K25" s="1822">
        <f>'Irl. Energy Balance 2013 (ktoe)'!K25*0.01163</f>
        <v>0</v>
      </c>
      <c r="L25" s="1818">
        <f>'Irl. Energy Balance 2013 (ktoe)'!L25*0.01163</f>
        <v>-0.29988758661905707</v>
      </c>
      <c r="M25" s="1822">
        <f>'Irl. Energy Balance 2013 (ktoe)'!M25*0.01163</f>
        <v>0</v>
      </c>
      <c r="N25" s="1822">
        <f>'Irl. Energy Balance 2013 (ktoe)'!N25*0.01163</f>
        <v>0</v>
      </c>
      <c r="O25" s="1822">
        <f>'Irl. Energy Balance 2013 (ktoe)'!O25*0.01163</f>
        <v>3.240228743444444E-3</v>
      </c>
      <c r="P25" s="1822">
        <f>'Irl. Energy Balance 2013 (ktoe)'!P25*0.01163</f>
        <v>2.5357369732283681</v>
      </c>
      <c r="Q25" s="1822">
        <f>'Irl. Energy Balance 2013 (ktoe)'!Q25*0.01163</f>
        <v>-2.5335392217898844</v>
      </c>
      <c r="R25" s="1822">
        <f>'Irl. Energy Balance 2013 (ktoe)'!R25*0.01163</f>
        <v>2.0023260758112994E-2</v>
      </c>
      <c r="S25" s="1822">
        <f>'Irl. Energy Balance 2013 (ktoe)'!S25*0.01163</f>
        <v>0</v>
      </c>
      <c r="T25" s="1822">
        <f>'Irl. Energy Balance 2013 (ktoe)'!T25*0.01163</f>
        <v>-4.7141267554161641E-2</v>
      </c>
      <c r="U25" s="1817">
        <f>'Irl. Energy Balance 2013 (ktoe)'!U25*0.01163</f>
        <v>-0.27820756000493629</v>
      </c>
      <c r="V25" s="1817">
        <f>'Irl. Energy Balance 2013 (ktoe)'!V25*0.01163</f>
        <v>0</v>
      </c>
      <c r="W25" s="1817">
        <f>'Irl. Energy Balance 2013 (ktoe)'!W25*0.01163</f>
        <v>0</v>
      </c>
      <c r="X25" s="1817">
        <f>'Irl. Energy Balance 2013 (ktoe)'!X25*0.01163</f>
        <v>0</v>
      </c>
      <c r="Y25" s="1822">
        <f>'Irl. Energy Balance 2013 (ktoe)'!Y25*0.01163</f>
        <v>0</v>
      </c>
      <c r="Z25" s="1818">
        <f>'Irl. Energy Balance 2013 (ktoe)'!Z25*0.01163</f>
        <v>0</v>
      </c>
      <c r="AA25" s="1818">
        <f>'Irl. Energy Balance 2013 (ktoe)'!AA25*0.01163</f>
        <v>0</v>
      </c>
      <c r="AB25" s="1821">
        <f>'Irl. Energy Balance 2013 (ktoe)'!AB25*0.01163</f>
        <v>0</v>
      </c>
      <c r="AC25" s="1822">
        <f>'Irl. Energy Balance 2013 (ktoe)'!AC25*0.01163</f>
        <v>0</v>
      </c>
      <c r="AD25" s="1822">
        <f>'Irl. Energy Balance 2013 (ktoe)'!AD25*0.01163</f>
        <v>0</v>
      </c>
      <c r="AE25" s="1822">
        <f>'Irl. Energy Balance 2013 (ktoe)'!AE25*0.01163</f>
        <v>0</v>
      </c>
      <c r="AF25" s="1822">
        <f>'Irl. Energy Balance 2013 (ktoe)'!AF25*0.01163</f>
        <v>0</v>
      </c>
      <c r="AG25" s="1822">
        <f>'Irl. Energy Balance 2013 (ktoe)'!AG25*0.01163</f>
        <v>0</v>
      </c>
      <c r="AH25" s="1819">
        <f>'Irl. Energy Balance 2013 (ktoe)'!AH25*0.01163</f>
        <v>0</v>
      </c>
      <c r="AI25" s="1817">
        <f>'Irl. Energy Balance 2013 (ktoe)'!AI25*0.01163</f>
        <v>0</v>
      </c>
      <c r="AJ25" s="1823">
        <f>'Irl. Energy Balance 2013 (ktoe)'!AJ25*0.01163</f>
        <v>0</v>
      </c>
      <c r="AK25" s="1818">
        <f>'Irl. Energy Balance 2013 (ktoe)'!AK25*0.01163</f>
        <v>0</v>
      </c>
      <c r="AL25" s="1820">
        <f>'Irl. Energy Balance 2013 (ktoe)'!AL25*0.01163</f>
        <v>0</v>
      </c>
      <c r="AM25" s="1824">
        <f>'Irl. Energy Balance 2013 (ktoe)'!AM25*0.01163</f>
        <v>-2.168002661412079E-2</v>
      </c>
      <c r="AP25"/>
      <c r="AQ25"/>
      <c r="AR25"/>
      <c r="AS25"/>
      <c r="AT25"/>
      <c r="AU25"/>
      <c r="AV25"/>
    </row>
    <row r="26" spans="1:48" ht="15.75" thickBot="1">
      <c r="A26" s="1878" t="s">
        <v>1433</v>
      </c>
      <c r="B26" s="1879"/>
      <c r="C26" s="1880">
        <f>'Irl. Energy Balance 2013 (ktoe)'!C26*0.01163</f>
        <v>0</v>
      </c>
      <c r="D26" s="1881">
        <f>'Irl. Energy Balance 2013 (ktoe)'!D26*0.01163</f>
        <v>0</v>
      </c>
      <c r="E26" s="1882">
        <f>'Irl. Energy Balance 2013 (ktoe)'!E26*0.01163</f>
        <v>0</v>
      </c>
      <c r="F26" s="1915">
        <f>'Irl. Energy Balance 2013 (ktoe)'!F26*0.01163</f>
        <v>0</v>
      </c>
      <c r="G26" s="1915">
        <f>'Irl. Energy Balance 2013 (ktoe)'!G26*0.01163</f>
        <v>0</v>
      </c>
      <c r="H26" s="1884">
        <f>'Irl. Energy Balance 2013 (ktoe)'!H26*0.01163</f>
        <v>0.18983414529576201</v>
      </c>
      <c r="I26" s="1915">
        <f>'Irl. Energy Balance 2013 (ktoe)'!I26*0.01163</f>
        <v>0.18983414529576201</v>
      </c>
      <c r="J26" s="1917">
        <f>'Irl. Energy Balance 2013 (ktoe)'!J26*0.01163</f>
        <v>0</v>
      </c>
      <c r="K26" s="1917">
        <f>'Irl. Energy Balance 2013 (ktoe)'!K26*0.01163</f>
        <v>0</v>
      </c>
      <c r="L26" s="1884">
        <f>'Irl. Energy Balance 2013 (ktoe)'!L26*0.01163</f>
        <v>0.74633539159950768</v>
      </c>
      <c r="M26" s="1917">
        <f>'Irl. Energy Balance 2013 (ktoe)'!M26*0.01163</f>
        <v>0</v>
      </c>
      <c r="N26" s="1917">
        <f>'Irl. Energy Balance 2013 (ktoe)'!N26*0.01163</f>
        <v>0.7446955200340738</v>
      </c>
      <c r="O26" s="1917">
        <f>'Irl. Energy Balance 2013 (ktoe)'!O26*0.01163</f>
        <v>0</v>
      </c>
      <c r="P26" s="1917">
        <f>'Irl. Energy Balance 2013 (ktoe)'!P26*0.01163</f>
        <v>0</v>
      </c>
      <c r="Q26" s="1917">
        <f>'Irl. Energy Balance 2013 (ktoe)'!Q26*0.01163</f>
        <v>0</v>
      </c>
      <c r="R26" s="1917">
        <f>'Irl. Energy Balance 2013 (ktoe)'!R26*0.01163</f>
        <v>0</v>
      </c>
      <c r="S26" s="1917">
        <f>'Irl. Energy Balance 2013 (ktoe)'!S26*0.01163</f>
        <v>0</v>
      </c>
      <c r="T26" s="1917">
        <f>'Irl. Energy Balance 2013 (ktoe)'!T26*0.01163</f>
        <v>1.6398715654339204E-3</v>
      </c>
      <c r="U26" s="1917">
        <f>'Irl. Energy Balance 2013 (ktoe)'!U26*0.01163</f>
        <v>0</v>
      </c>
      <c r="V26" s="1915">
        <f>'Irl. Energy Balance 2013 (ktoe)'!V26*0.01163</f>
        <v>0</v>
      </c>
      <c r="W26" s="1915">
        <f>'Irl. Energy Balance 2013 (ktoe)'!W26*0.01163</f>
        <v>0</v>
      </c>
      <c r="X26" s="1915">
        <f>'Irl. Energy Balance 2013 (ktoe)'!X26*0.01163</f>
        <v>0</v>
      </c>
      <c r="Y26" s="1917">
        <f>'Irl. Energy Balance 2013 (ktoe)'!Y26*0.01163</f>
        <v>0</v>
      </c>
      <c r="Z26" s="1884">
        <f>'Irl. Energy Balance 2013 (ktoe)'!Z26*0.01163</f>
        <v>0.75052019676479986</v>
      </c>
      <c r="AA26" s="1885">
        <f>'Irl. Energy Balance 2013 (ktoe)'!AA26*0.01163</f>
        <v>0</v>
      </c>
      <c r="AB26" s="1886">
        <f>'Irl. Energy Balance 2013 (ktoe)'!AB26*0.01163</f>
        <v>0</v>
      </c>
      <c r="AC26" s="1917">
        <f>'Irl. Energy Balance 2013 (ktoe)'!AC26*0.01163</f>
        <v>0</v>
      </c>
      <c r="AD26" s="1917">
        <f>'Irl. Energy Balance 2013 (ktoe)'!AD26*0.01163</f>
        <v>0</v>
      </c>
      <c r="AE26" s="1917">
        <f>'Irl. Energy Balance 2013 (ktoe)'!AE26*0.01163</f>
        <v>0</v>
      </c>
      <c r="AF26" s="1917">
        <f>'Irl. Energy Balance 2013 (ktoe)'!AF26*0.01163</f>
        <v>0</v>
      </c>
      <c r="AG26" s="1917">
        <f>'Irl. Energy Balance 2013 (ktoe)'!AG26*0.01163</f>
        <v>0</v>
      </c>
      <c r="AH26" s="1919">
        <f>'Irl. Energy Balance 2013 (ktoe)'!AH26*0.01163</f>
        <v>0</v>
      </c>
      <c r="AI26" s="1915">
        <f>'Irl. Energy Balance 2013 (ktoe)'!AI26*0.01163</f>
        <v>0</v>
      </c>
      <c r="AJ26" s="1920">
        <f>'Irl. Energy Balance 2013 (ktoe)'!AJ26*0.01163</f>
        <v>0</v>
      </c>
      <c r="AK26" s="1888">
        <f>'Irl. Energy Balance 2013 (ktoe)'!AK26*0.01163</f>
        <v>3.0504803309900126</v>
      </c>
      <c r="AL26" s="1885">
        <f>'Irl. Energy Balance 2013 (ktoe)'!AL26*0.01163</f>
        <v>0</v>
      </c>
      <c r="AM26" s="1921">
        <f>'Irl. Energy Balance 2013 (ktoe)'!AM26*0.01163</f>
        <v>4.7371700646500825</v>
      </c>
      <c r="AO26" s="3413"/>
      <c r="AP26"/>
      <c r="AQ26"/>
      <c r="AR26"/>
      <c r="AS26"/>
      <c r="AT26"/>
      <c r="AU26"/>
      <c r="AV26"/>
    </row>
    <row r="27" spans="1:48" ht="15.75" thickBot="1">
      <c r="A27" s="1925" t="s">
        <v>1434</v>
      </c>
      <c r="B27" s="1926"/>
      <c r="C27" s="1927">
        <f>'Irl. Energy Balance 2013 (ktoe)'!C27*0.01163</f>
        <v>4.387096731589855</v>
      </c>
      <c r="D27" s="1928">
        <f>'Irl. Energy Balance 2013 (ktoe)'!D27*0.01163</f>
        <v>3.2090732867591569</v>
      </c>
      <c r="E27" s="1929">
        <f>'Irl. Energy Balance 2013 (ktoe)'!E27*0.01163</f>
        <v>0.97629688762969058</v>
      </c>
      <c r="F27" s="1929">
        <f>'Irl. Energy Balance 2013 (ktoe)'!F27*0.01163</f>
        <v>0</v>
      </c>
      <c r="G27" s="1929">
        <f>'Irl. Energy Balance 2013 (ktoe)'!G27*0.01163</f>
        <v>0.20172655720100702</v>
      </c>
      <c r="H27" s="1930">
        <f>'Irl. Energy Balance 2013 (ktoe)'!H27*0.01163</f>
        <v>2.0277466790877035</v>
      </c>
      <c r="I27" s="1928">
        <f>'Irl. Energy Balance 2013 (ktoe)'!I27*0.01163</f>
        <v>-0.44491586658229443</v>
      </c>
      <c r="J27" s="1929">
        <f>'Irl. Energy Balance 2013 (ktoe)'!J27*0.01163</f>
        <v>1.4851975199999998</v>
      </c>
      <c r="K27" s="1929">
        <f>'Irl. Energy Balance 2013 (ktoe)'!K27*0.01163</f>
        <v>0.98746502566999983</v>
      </c>
      <c r="L27" s="1930">
        <f>'Irl. Energy Balance 2013 (ktoe)'!L27*0.01163</f>
        <v>74.911051050525685</v>
      </c>
      <c r="M27" s="1929">
        <f>'Irl. Energy Balance 2013 (ktoe)'!M27*0.01163</f>
        <v>-2.1037443316438226E-2</v>
      </c>
      <c r="N27" s="1929">
        <f>'Irl. Energy Balance 2013 (ktoe)'!N27*0.01163</f>
        <v>0</v>
      </c>
      <c r="O27" s="1929">
        <f>'Irl. Energy Balance 2013 (ktoe)'!O27*0.01163</f>
        <v>14.159949855890218</v>
      </c>
      <c r="P27" s="1929">
        <f>'Irl. Energy Balance 2013 (ktoe)'!P27*0.01163</f>
        <v>8.9610305931807037</v>
      </c>
      <c r="Q27" s="1929">
        <f>'Irl. Energy Balance 2013 (ktoe)'!Q27*0.01163</f>
        <v>7.8341150785642615</v>
      </c>
      <c r="R27" s="1929">
        <f>'Irl. Energy Balance 2013 (ktoe)'!R27*0.01163</f>
        <v>1.7006455945286114</v>
      </c>
      <c r="S27" s="1929">
        <f>'Irl. Energy Balance 2013 (ktoe)'!S27*0.01163</f>
        <v>1.6200951712348826</v>
      </c>
      <c r="T27" s="1929">
        <f>'Irl. Energy Balance 2013 (ktoe)'!T27*0.01163</f>
        <v>36.27403297156242</v>
      </c>
      <c r="U27" s="1929">
        <f>'Irl. Energy Balance 2013 (ktoe)'!U27*0.01163</f>
        <v>1.159011137617602</v>
      </c>
      <c r="V27" s="1929">
        <f>'Irl. Energy Balance 2013 (ktoe)'!V27*0.01163</f>
        <v>-6.3768749056911433E-2</v>
      </c>
      <c r="W27" s="1929">
        <f>'Irl. Energy Balance 2013 (ktoe)'!W27*0.01163</f>
        <v>2.914719473960337</v>
      </c>
      <c r="X27" s="1929">
        <f>'Irl. Energy Balance 2013 (ktoe)'!X27*0.01163</f>
        <v>1.1880882359999999E-2</v>
      </c>
      <c r="Y27" s="1929">
        <f>'Irl. Energy Balance 2013 (ktoe)'!Y27*0.01163</f>
        <v>0.360376484</v>
      </c>
      <c r="Z27" s="1930">
        <f>'Irl. Energy Balance 2013 (ktoe)'!Z27*0.01163</f>
        <v>19.220745401587955</v>
      </c>
      <c r="AA27" s="1931">
        <f>'Irl. Energy Balance 2013 (ktoe)'!AA27*0.01163</f>
        <v>4.0997206681184171</v>
      </c>
      <c r="AB27" s="1932">
        <f>'Irl. Energy Balance 2013 (ktoe)'!AB27*0.01163</f>
        <v>0</v>
      </c>
      <c r="AC27" s="1933">
        <f>'Irl. Energy Balance 2013 (ktoe)'!AC27*0.01163</f>
        <v>0</v>
      </c>
      <c r="AD27" s="1933">
        <f>'Irl. Energy Balance 2013 (ktoe)'!AD27*0.01163</f>
        <v>2.3444243807921166</v>
      </c>
      <c r="AE27" s="1933">
        <f>'Irl. Energy Balance 2013 (ktoe)'!AE27*0.01163</f>
        <v>0</v>
      </c>
      <c r="AF27" s="1933">
        <f>'Irl. Energy Balance 2013 (ktoe)'!AF27*0.01163</f>
        <v>8.2161854873877255E-2</v>
      </c>
      <c r="AG27" s="1933">
        <f>'Irl. Energy Balance 2013 (ktoe)'!AG27*0.01163</f>
        <v>1.1555205850118573</v>
      </c>
      <c r="AH27" s="3529">
        <f>'Irl. Energy Balance 2013 (ktoe)'!AH27*0.01163</f>
        <v>0.131166320698519</v>
      </c>
      <c r="AI27" s="1935">
        <f>'Irl. Energy Balance 2013 (ktoe)'!AI27*0.01163</f>
        <v>0.38644752674204613</v>
      </c>
      <c r="AJ27" s="1930">
        <f>'Irl. Energy Balance 2013 (ktoe)'!AJ27*0.01163</f>
        <v>0.40574064059158033</v>
      </c>
      <c r="AK27" s="1930">
        <f>'Irl. Energy Balance 2013 (ktoe)'!AK27*0.01163</f>
        <v>24.405264764607381</v>
      </c>
      <c r="AL27" s="1931">
        <f>'Irl. Energy Balance 2013 (ktoe)'!AL27*0.01163</f>
        <v>0</v>
      </c>
      <c r="AM27" s="1936">
        <f>'Irl. Energy Balance 2013 (ktoe)'!AM27*0.01163</f>
        <v>129.45736593610857</v>
      </c>
      <c r="AN27" s="2503" t="s">
        <v>5</v>
      </c>
      <c r="AP27"/>
      <c r="AQ27"/>
      <c r="AR27"/>
      <c r="AS27"/>
      <c r="AT27"/>
      <c r="AU27"/>
      <c r="AV27"/>
    </row>
    <row r="28" spans="1:48">
      <c r="A28" s="1937" t="s">
        <v>1435</v>
      </c>
      <c r="B28" s="1938"/>
      <c r="C28" s="1939">
        <f>'Irl. Energy Balance 2013 (ktoe)'!C28*0.01163</f>
        <v>0</v>
      </c>
      <c r="D28" s="1934">
        <f>'Irl. Energy Balance 2013 (ktoe)'!D28*0.01163</f>
        <v>0</v>
      </c>
      <c r="E28" s="1933">
        <f>'Irl. Energy Balance 2013 (ktoe)'!E28*0.01163</f>
        <v>0</v>
      </c>
      <c r="F28" s="1940">
        <f>'Irl. Energy Balance 2013 (ktoe)'!F28*0.01163</f>
        <v>0</v>
      </c>
      <c r="G28" s="1940">
        <f>'Irl. Energy Balance 2013 (ktoe)'!G28*0.01163</f>
        <v>0</v>
      </c>
      <c r="H28" s="1834">
        <f>'Irl. Energy Balance 2013 (ktoe)'!H28*0.01163</f>
        <v>0</v>
      </c>
      <c r="I28" s="1934">
        <f>'Irl. Energy Balance 2013 (ktoe)'!I28*0.01163</f>
        <v>0</v>
      </c>
      <c r="J28" s="1933">
        <f>'Irl. Energy Balance 2013 (ktoe)'!J28*0.01163</f>
        <v>0</v>
      </c>
      <c r="K28" s="1933">
        <f>'Irl. Energy Balance 2013 (ktoe)'!K28*0.01163</f>
        <v>0</v>
      </c>
      <c r="L28" s="1834">
        <f>'Irl. Energy Balance 2013 (ktoe)'!L28*0.01163</f>
        <v>3.2869768403203365</v>
      </c>
      <c r="M28" s="1933">
        <f>'Irl. Energy Balance 2013 (ktoe)'!M28*0.01163</f>
        <v>0</v>
      </c>
      <c r="N28" s="1933">
        <f>'Irl. Energy Balance 2013 (ktoe)'!N28*0.01163</f>
        <v>0</v>
      </c>
      <c r="O28" s="1933">
        <f>'Irl. Energy Balance 2013 (ktoe)'!O28*0.01163</f>
        <v>0</v>
      </c>
      <c r="P28" s="1933">
        <f>'Irl. Energy Balance 2013 (ktoe)'!P28*0.01163</f>
        <v>0</v>
      </c>
      <c r="Q28" s="1933">
        <f>'Irl. Energy Balance 2013 (ktoe)'!Q28*0.01163</f>
        <v>0</v>
      </c>
      <c r="R28" s="1933">
        <f>'Irl. Energy Balance 2013 (ktoe)'!R28*0.01163</f>
        <v>0</v>
      </c>
      <c r="S28" s="1933">
        <f>'Irl. Energy Balance 2013 (ktoe)'!S28*0.01163</f>
        <v>0</v>
      </c>
      <c r="T28" s="1933">
        <f>'Irl. Energy Balance 2013 (ktoe)'!T28*0.01163</f>
        <v>0</v>
      </c>
      <c r="U28" s="1933">
        <f>'Irl. Energy Balance 2013 (ktoe)'!U28*0.01163</f>
        <v>0</v>
      </c>
      <c r="V28" s="1940">
        <f>'Irl. Energy Balance 2013 (ktoe)'!V28*0.01163</f>
        <v>0</v>
      </c>
      <c r="W28" s="1940">
        <f>'Irl. Energy Balance 2013 (ktoe)'!W28*0.01163</f>
        <v>2.914719473960337</v>
      </c>
      <c r="X28" s="1940">
        <f>'Irl. Energy Balance 2013 (ktoe)'!X28*0.01163</f>
        <v>1.1880882359999999E-2</v>
      </c>
      <c r="Y28" s="1933">
        <f>'Irl. Energy Balance 2013 (ktoe)'!Y28*0.01163</f>
        <v>0.360376484</v>
      </c>
      <c r="Z28" s="1834">
        <f>'Irl. Energy Balance 2013 (ktoe)'!Z28*0.01163</f>
        <v>0</v>
      </c>
      <c r="AA28" s="1941">
        <f>'Irl. Energy Balance 2013 (ktoe)'!AA28*0.01163</f>
        <v>0</v>
      </c>
      <c r="AB28" s="1932">
        <f>'Irl. Energy Balance 2013 (ktoe)'!AB28*0.01163</f>
        <v>0</v>
      </c>
      <c r="AC28" s="1933">
        <f>'Irl. Energy Balance 2013 (ktoe)'!AC28*0.01163</f>
        <v>0</v>
      </c>
      <c r="AD28" s="1933">
        <f>'Irl. Energy Balance 2013 (ktoe)'!AD28*0.01163</f>
        <v>0</v>
      </c>
      <c r="AE28" s="1933">
        <f>'Irl. Energy Balance 2013 (ktoe)'!AE28*0.01163</f>
        <v>0</v>
      </c>
      <c r="AF28" s="1933">
        <f>'Irl. Energy Balance 2013 (ktoe)'!AF28*0.01163</f>
        <v>0</v>
      </c>
      <c r="AG28" s="1933">
        <f>'Irl. Energy Balance 2013 (ktoe)'!AG28*0.01163</f>
        <v>0</v>
      </c>
      <c r="AH28" s="3529">
        <f>'Irl. Energy Balance 2013 (ktoe)'!AH28*0.01163</f>
        <v>0</v>
      </c>
      <c r="AI28" s="1940">
        <f>'Irl. Energy Balance 2013 (ktoe)'!AI28*0.01163</f>
        <v>0</v>
      </c>
      <c r="AJ28" s="1834">
        <f>'Irl. Energy Balance 2013 (ktoe)'!AJ28*0.01163</f>
        <v>0</v>
      </c>
      <c r="AK28" s="1834">
        <f>'Irl. Energy Balance 2013 (ktoe)'!AK28*0.01163</f>
        <v>0</v>
      </c>
      <c r="AL28" s="1941">
        <f>'Irl. Energy Balance 2013 (ktoe)'!AL28*0.01163</f>
        <v>0</v>
      </c>
      <c r="AM28" s="1942">
        <f>'Irl. Energy Balance 2013 (ktoe)'!AM28*0.01163</f>
        <v>3.2869768403203365</v>
      </c>
      <c r="AP28"/>
      <c r="AQ28"/>
      <c r="AR28"/>
      <c r="AS28"/>
      <c r="AT28"/>
      <c r="AU28"/>
      <c r="AV28"/>
    </row>
    <row r="29" spans="1:48" ht="15.75" thickBot="1">
      <c r="A29" s="1943" t="s">
        <v>1436</v>
      </c>
      <c r="B29" s="1944"/>
      <c r="C29" s="1945">
        <f>'Irl. Energy Balance 2013 (ktoe)'!C29*0.01163</f>
        <v>0</v>
      </c>
      <c r="D29" s="1946">
        <f>'Irl. Energy Balance 2013 (ktoe)'!D29*0.01163</f>
        <v>0</v>
      </c>
      <c r="E29" s="1947">
        <f>'Irl. Energy Balance 2013 (ktoe)'!E29*0.01163</f>
        <v>0</v>
      </c>
      <c r="F29" s="1948">
        <f>'Irl. Energy Balance 2013 (ktoe)'!F29*0.01163</f>
        <v>0</v>
      </c>
      <c r="G29" s="1948">
        <f>'Irl. Energy Balance 2013 (ktoe)'!G29*0.01163</f>
        <v>0</v>
      </c>
      <c r="H29" s="1949">
        <f>'Irl. Energy Balance 2013 (ktoe)'!H29*0.01163</f>
        <v>0</v>
      </c>
      <c r="I29" s="1946">
        <f>'Irl. Energy Balance 2013 (ktoe)'!I29*0.01163</f>
        <v>0</v>
      </c>
      <c r="J29" s="1947">
        <f>'Irl. Energy Balance 2013 (ktoe)'!J29*0.01163</f>
        <v>0</v>
      </c>
      <c r="K29" s="1947">
        <f>'Irl. Energy Balance 2013 (ktoe)'!K29*0.01163</f>
        <v>0</v>
      </c>
      <c r="L29" s="1949">
        <f>'Irl. Energy Balance 2013 (ktoe)'!L29*0.01163</f>
        <v>3.2869768403203365</v>
      </c>
      <c r="M29" s="1947">
        <f>'Irl. Energy Balance 2013 (ktoe)'!M29*0.01163</f>
        <v>0</v>
      </c>
      <c r="N29" s="1947">
        <f>'Irl. Energy Balance 2013 (ktoe)'!N29*0.01163</f>
        <v>0</v>
      </c>
      <c r="O29" s="1947">
        <f>'Irl. Energy Balance 2013 (ktoe)'!O29*0.01163</f>
        <v>0</v>
      </c>
      <c r="P29" s="1947">
        <f>'Irl. Energy Balance 2013 (ktoe)'!P29*0.01163</f>
        <v>0</v>
      </c>
      <c r="Q29" s="1947">
        <f>'Irl. Energy Balance 2013 (ktoe)'!Q29*0.01163</f>
        <v>0</v>
      </c>
      <c r="R29" s="1947">
        <f>'Irl. Energy Balance 2013 (ktoe)'!R29*0.01163</f>
        <v>0</v>
      </c>
      <c r="S29" s="1947">
        <f>'Irl. Energy Balance 2013 (ktoe)'!S29*0.01163</f>
        <v>0</v>
      </c>
      <c r="T29" s="1947">
        <f>'Irl. Energy Balance 2013 (ktoe)'!T29*0.01163</f>
        <v>0</v>
      </c>
      <c r="U29" s="1947">
        <f>'Irl. Energy Balance 2013 (ktoe)'!U29*0.01163</f>
        <v>0</v>
      </c>
      <c r="V29" s="1948">
        <f>'Irl. Energy Balance 2013 (ktoe)'!V29*0.01163</f>
        <v>0</v>
      </c>
      <c r="W29" s="1948">
        <f>'Irl. Energy Balance 2013 (ktoe)'!W29*0.01163</f>
        <v>2.914719473960337</v>
      </c>
      <c r="X29" s="1948">
        <f>'Irl. Energy Balance 2013 (ktoe)'!X29*0.01163</f>
        <v>1.1880882359999999E-2</v>
      </c>
      <c r="Y29" s="1947">
        <f>'Irl. Energy Balance 2013 (ktoe)'!Y29*0.01163</f>
        <v>0.360376484</v>
      </c>
      <c r="Z29" s="1949">
        <f>'Irl. Energy Balance 2013 (ktoe)'!Z29*0.01163</f>
        <v>0</v>
      </c>
      <c r="AA29" s="1950">
        <f>'Irl. Energy Balance 2013 (ktoe)'!AA29*0.01163</f>
        <v>0</v>
      </c>
      <c r="AB29" s="1951">
        <f>'Irl. Energy Balance 2013 (ktoe)'!AB29*0.01163</f>
        <v>0</v>
      </c>
      <c r="AC29" s="1947">
        <f>'Irl. Energy Balance 2013 (ktoe)'!AC29*0.01163</f>
        <v>0</v>
      </c>
      <c r="AD29" s="1947">
        <f>'Irl. Energy Balance 2013 (ktoe)'!AD29*0.01163</f>
        <v>0</v>
      </c>
      <c r="AE29" s="1947">
        <f>'Irl. Energy Balance 2013 (ktoe)'!AE29*0.01163</f>
        <v>0</v>
      </c>
      <c r="AF29" s="1947">
        <f>'Irl. Energy Balance 2013 (ktoe)'!AF29*0.01163</f>
        <v>0</v>
      </c>
      <c r="AG29" s="1947">
        <f>'Irl. Energy Balance 2013 (ktoe)'!AG29*0.01163</f>
        <v>0</v>
      </c>
      <c r="AH29" s="3530">
        <f>'Irl. Energy Balance 2013 (ktoe)'!AH29*0.01163</f>
        <v>0</v>
      </c>
      <c r="AI29" s="1948">
        <f>'Irl. Energy Balance 2013 (ktoe)'!AI29*0.01163</f>
        <v>0</v>
      </c>
      <c r="AJ29" s="1949">
        <f>'Irl. Energy Balance 2013 (ktoe)'!AJ29*0.01163</f>
        <v>0</v>
      </c>
      <c r="AK29" s="1949">
        <f>'Irl. Energy Balance 2013 (ktoe)'!AK29*0.01163</f>
        <v>0</v>
      </c>
      <c r="AL29" s="1950">
        <f>'Irl. Energy Balance 2013 (ktoe)'!AL29*0.01163</f>
        <v>0</v>
      </c>
      <c r="AM29" s="1907">
        <f>'Irl. Energy Balance 2013 (ktoe)'!AM29*0.01163</f>
        <v>3.2869768403203365</v>
      </c>
      <c r="AP29"/>
      <c r="AQ29"/>
      <c r="AR29"/>
      <c r="AS29"/>
      <c r="AT29"/>
      <c r="AU29"/>
      <c r="AV29"/>
    </row>
    <row r="30" spans="1:48" s="39" customFormat="1" ht="15.75" thickBot="1">
      <c r="A30" s="1937" t="s">
        <v>1437</v>
      </c>
      <c r="B30" s="1938"/>
      <c r="C30" s="1939">
        <f>'Irl. Energy Balance 2013 (ktoe)'!C30*0.01163</f>
        <v>4.131521973952812</v>
      </c>
      <c r="D30" s="1934">
        <f>'Irl. Energy Balance 2013 (ktoe)'!D30*0.01163</f>
        <v>2.9680952254068145</v>
      </c>
      <c r="E30" s="1933">
        <f>'Irl. Energy Balance 2013 (ktoe)'!E30*0.01163</f>
        <v>0.96221987018802768</v>
      </c>
      <c r="F30" s="1940">
        <f>'Irl. Energy Balance 2013 (ktoe)'!F30*0.01163</f>
        <v>0</v>
      </c>
      <c r="G30" s="1940">
        <f>'Irl. Energy Balance 2013 (ktoe)'!G30*0.01163</f>
        <v>0.20120687835796996</v>
      </c>
      <c r="H30" s="1834">
        <f>'Irl. Energy Balance 2013 (ktoe)'!H30*0.01163</f>
        <v>2.5402958613256597</v>
      </c>
      <c r="I30" s="1934">
        <f>'Irl. Energy Balance 2013 (ktoe)'!I30*0.01163</f>
        <v>5.6845854956603997E-3</v>
      </c>
      <c r="J30" s="1934">
        <f>'Irl. Energy Balance 2013 (ktoe)'!J30*0.01163</f>
        <v>1.4851975199999998</v>
      </c>
      <c r="K30" s="1934">
        <f>'Irl. Energy Balance 2013 (ktoe)'!K30*0.01163</f>
        <v>1.0494137558299999</v>
      </c>
      <c r="L30" s="1834">
        <f>'Irl. Energy Balance 2013 (ktoe)'!L30*0.01163</f>
        <v>71.461759970097532</v>
      </c>
      <c r="M30" s="1933">
        <f>'Irl. Energy Balance 2013 (ktoe)'!M30*0.01163</f>
        <v>0</v>
      </c>
      <c r="N30" s="1933">
        <f>'Irl. Energy Balance 2013 (ktoe)'!N30*0.01163</f>
        <v>0</v>
      </c>
      <c r="O30" s="1933">
        <f>'Irl. Energy Balance 2013 (ktoe)'!O30*0.01163</f>
        <v>13.933536616293274</v>
      </c>
      <c r="P30" s="1933">
        <f>'Irl. Energy Balance 2013 (ktoe)'!P30*0.01163</f>
        <v>9.1230033895952243</v>
      </c>
      <c r="Q30" s="1933">
        <f>'Irl. Energy Balance 2013 (ktoe)'!Q30*0.01163</f>
        <v>7.0439895727463462</v>
      </c>
      <c r="R30" s="1933">
        <f>'Irl. Energy Balance 2013 (ktoe)'!R30*0.01163</f>
        <v>1.7172682196591966</v>
      </c>
      <c r="S30" s="1933">
        <f>'Irl. Energy Balance 2013 (ktoe)'!S30*0.01163</f>
        <v>1.93102682040652</v>
      </c>
      <c r="T30" s="1933">
        <f>'Irl. Energy Balance 2013 (ktoe)'!T30*0.01163</f>
        <v>36.55721862630584</v>
      </c>
      <c r="U30" s="1933">
        <f>'Irl. Energy Balance 2013 (ktoe)'!U30*0.01163</f>
        <v>1.1557089372294433</v>
      </c>
      <c r="V30" s="1940">
        <f>'Irl. Energy Balance 2013 (ktoe)'!V30*0.01163</f>
        <v>0</v>
      </c>
      <c r="W30" s="1940">
        <f>'Irl. Energy Balance 2013 (ktoe)'!W30*0.01163</f>
        <v>0</v>
      </c>
      <c r="X30" s="1940">
        <f>'Irl. Energy Balance 2013 (ktoe)'!X30*0.01163</f>
        <v>0</v>
      </c>
      <c r="Y30" s="1934">
        <f>'Irl. Energy Balance 2013 (ktoe)'!Y30*0.01163</f>
        <v>0</v>
      </c>
      <c r="Z30" s="1930">
        <f>'Irl. Energy Balance 2013 (ktoe)'!Z30*0.01163</f>
        <v>18.989821689856793</v>
      </c>
      <c r="AA30" s="1941">
        <f>'Irl. Energy Balance 2013 (ktoe)'!AA30*0.01163</f>
        <v>4.1548745719797955</v>
      </c>
      <c r="AB30" s="1932">
        <f>'Irl. Energy Balance 2013 (ktoe)'!AB30*0.01163</f>
        <v>0</v>
      </c>
      <c r="AC30" s="1933">
        <f>'Irl. Energy Balance 2013 (ktoe)'!AC30*0.01163</f>
        <v>0</v>
      </c>
      <c r="AD30" s="1933">
        <f>'Irl. Energy Balance 2013 (ktoe)'!AD30*0.01163</f>
        <v>2.3659948091516143</v>
      </c>
      <c r="AE30" s="1933">
        <f>'Irl. Energy Balance 2013 (ktoe)'!AE30*0.01163</f>
        <v>0</v>
      </c>
      <c r="AF30" s="1933">
        <f>'Irl. Energy Balance 2013 (ktoe)'!AF30*0.01163</f>
        <v>8.2161854873877255E-2</v>
      </c>
      <c r="AG30" s="1933">
        <f>'Irl. Energy Balance 2013 (ktoe)'!AG30*0.01163</f>
        <v>1.189104060513738</v>
      </c>
      <c r="AH30" s="3531">
        <f>'Irl. Energy Balance 2013 (ktoe)'!AH30*0.01163</f>
        <v>0.131166320698519</v>
      </c>
      <c r="AI30" s="1941">
        <f>'Irl. Energy Balance 2013 (ktoe)'!AI30*0.01163</f>
        <v>0.38644752674204613</v>
      </c>
      <c r="AJ30" s="1941">
        <f>'Irl. Energy Balance 2013 (ktoe)'!AJ30*0.01163</f>
        <v>0.40574064059158027</v>
      </c>
      <c r="AK30" s="1952">
        <f>'Irl. Energy Balance 2013 (ktoe)'!AK30*0.01163</f>
        <v>24.207411598908816</v>
      </c>
      <c r="AL30" s="1941">
        <f>'Irl. Energy Balance 2013 (ktoe)'!AL30*0.01163</f>
        <v>0</v>
      </c>
      <c r="AM30" s="1936">
        <f>'Irl. Energy Balance 2013 (ktoe)'!AM30*0.01163</f>
        <v>125.89142630671299</v>
      </c>
      <c r="AP30"/>
      <c r="AQ30"/>
      <c r="AR30"/>
      <c r="AS30"/>
      <c r="AT30"/>
      <c r="AU30"/>
      <c r="AV30"/>
    </row>
    <row r="31" spans="1:48">
      <c r="A31" s="1953" t="s">
        <v>1438</v>
      </c>
      <c r="B31" s="1954"/>
      <c r="C31" s="1955">
        <f>'Irl. Energy Balance 2013 (ktoe)'!C31*0.01163</f>
        <v>0.95620999428845999</v>
      </c>
      <c r="D31" s="1956">
        <f>'Irl. Energy Balance 2013 (ktoe)'!D31*0.01163</f>
        <v>0.95620999428846021</v>
      </c>
      <c r="E31" s="1956">
        <f>'Irl. Energy Balance 2013 (ktoe)'!E31*0.01163</f>
        <v>0</v>
      </c>
      <c r="F31" s="1957">
        <f>'Irl. Energy Balance 2013 (ktoe)'!F31*0.01163</f>
        <v>0</v>
      </c>
      <c r="G31" s="1957">
        <f>'Irl. Energy Balance 2013 (ktoe)'!G31*0.01163</f>
        <v>0</v>
      </c>
      <c r="H31" s="1958">
        <f>'Irl. Energy Balance 2013 (ktoe)'!H31*0.01163</f>
        <v>6.0761443356604E-3</v>
      </c>
      <c r="I31" s="1959">
        <f>'Irl. Energy Balance 2013 (ktoe)'!I31*0.01163</f>
        <v>5.6845854956603997E-3</v>
      </c>
      <c r="J31" s="1956">
        <f>'Irl. Energy Balance 2013 (ktoe)'!J31*0.01163</f>
        <v>0</v>
      </c>
      <c r="K31" s="1956">
        <f>'Irl. Energy Balance 2013 (ktoe)'!K31*0.01163</f>
        <v>3.9155883999999997E-4</v>
      </c>
      <c r="L31" s="1958">
        <f>'Irl. Energy Balance 2013 (ktoe)'!L31*0.01163</f>
        <v>6.3450115121368942</v>
      </c>
      <c r="M31" s="1956">
        <f>'Irl. Energy Balance 2013 (ktoe)'!M31*0.01163</f>
        <v>0</v>
      </c>
      <c r="N31" s="1956">
        <f>'Irl. Energy Balance 2013 (ktoe)'!N31*0.01163</f>
        <v>0</v>
      </c>
      <c r="O31" s="1956">
        <f>'Irl. Energy Balance 2013 (ktoe)'!O31*0.01163</f>
        <v>0</v>
      </c>
      <c r="P31" s="1956">
        <f>'Irl. Energy Balance 2013 (ktoe)'!P31*0.01163</f>
        <v>0.91230033895952245</v>
      </c>
      <c r="Q31" s="1956">
        <f>'Irl. Energy Balance 2013 (ktoe)'!Q31*0.01163</f>
        <v>0</v>
      </c>
      <c r="R31" s="1956">
        <f>'Irl. Energy Balance 2013 (ktoe)'!R31*0.01163</f>
        <v>1.6027243496591967</v>
      </c>
      <c r="S31" s="1956">
        <f>'Irl. Energy Balance 2013 (ktoe)'!S31*0.01163</f>
        <v>1.3496457823838304</v>
      </c>
      <c r="T31" s="1956">
        <f>'Irl. Energy Balance 2013 (ktoe)'!T31*0.01163</f>
        <v>1.4518592766926006</v>
      </c>
      <c r="U31" s="1956">
        <f>'Irl. Energy Balance 2013 (ktoe)'!U31*0.01163</f>
        <v>1.0284817644417434</v>
      </c>
      <c r="V31" s="1957">
        <f>'Irl. Energy Balance 2013 (ktoe)'!V31*0.01163</f>
        <v>0</v>
      </c>
      <c r="W31" s="1957">
        <f>'Irl. Energy Balance 2013 (ktoe)'!W31*0.01163</f>
        <v>0</v>
      </c>
      <c r="X31" s="1957">
        <f>'Irl. Energy Balance 2013 (ktoe)'!X31*0.01163</f>
        <v>0</v>
      </c>
      <c r="Y31" s="1956">
        <f>'Irl. Energy Balance 2013 (ktoe)'!Y31*0.01163</f>
        <v>0</v>
      </c>
      <c r="Z31" s="1958">
        <f>'Irl. Energy Balance 2013 (ktoe)'!Z31*0.01163</f>
        <v>7.2082613472715176</v>
      </c>
      <c r="AA31" s="1960">
        <f>'Irl. Energy Balance 2013 (ktoe)'!AA31*0.01163</f>
        <v>1.7743138808543226</v>
      </c>
      <c r="AB31" s="1961">
        <f>'Irl. Energy Balance 2013 (ktoe)'!AB31*0.01163</f>
        <v>0</v>
      </c>
      <c r="AC31" s="1956">
        <f>'Irl. Energy Balance 2013 (ktoe)'!AC31*0.01163</f>
        <v>0</v>
      </c>
      <c r="AD31" s="1956">
        <f>'Irl. Energy Balance 2013 (ktoe)'!AD31*0.01163</f>
        <v>1.7435540447947928</v>
      </c>
      <c r="AE31" s="1956">
        <f>'Irl. Energy Balance 2013 (ktoe)'!AE31*0.01163</f>
        <v>0</v>
      </c>
      <c r="AF31" s="1956">
        <f>'Irl. Energy Balance 2013 (ktoe)'!AF31*0.01163</f>
        <v>3.0759836059529901E-2</v>
      </c>
      <c r="AG31" s="1956">
        <f>'Irl. Energy Balance 2013 (ktoe)'!AG31*0.01163</f>
        <v>0</v>
      </c>
      <c r="AH31" s="3532">
        <f>'Irl. Energy Balance 2013 (ktoe)'!AH31*0.01163</f>
        <v>0</v>
      </c>
      <c r="AI31" s="1956">
        <f>'Irl. Energy Balance 2013 (ktoe)'!AI31*0.01163</f>
        <v>0</v>
      </c>
      <c r="AJ31" s="1958">
        <f>'Irl. Energy Balance 2013 (ktoe)'!AJ31*0.01163</f>
        <v>0.40574064059158027</v>
      </c>
      <c r="AK31" s="1958">
        <f>'Irl. Energy Balance 2013 (ktoe)'!AK31*0.01163</f>
        <v>9.2910703110474699</v>
      </c>
      <c r="AL31" s="1960">
        <f>'Irl. Energy Balance 2013 (ktoe)'!AL31*0.01163</f>
        <v>0</v>
      </c>
      <c r="AM31" s="1849">
        <f>'Irl. Energy Balance 2013 (ktoe)'!AM31*0.01163</f>
        <v>25.986683830525905</v>
      </c>
      <c r="AP31"/>
      <c r="AQ31"/>
      <c r="AR31"/>
      <c r="AS31"/>
      <c r="AT31"/>
      <c r="AU31"/>
      <c r="AV31"/>
    </row>
    <row r="32" spans="1:48">
      <c r="A32" s="1962" t="s">
        <v>1439</v>
      </c>
      <c r="B32" s="1963" t="s">
        <v>1440</v>
      </c>
      <c r="C32" s="1964">
        <f>'Irl. Energy Balance 2013 (ktoe)'!C32*0.01163</f>
        <v>0</v>
      </c>
      <c r="D32" s="1865">
        <f>'Irl. Energy Balance 2013 (ktoe)'!D32*0.01163</f>
        <v>0</v>
      </c>
      <c r="E32" s="1865">
        <f>'Irl. Energy Balance 2013 (ktoe)'!E32*0.01163</f>
        <v>0</v>
      </c>
      <c r="F32" s="1965">
        <f>'Irl. Energy Balance 2013 (ktoe)'!F32*0.01163</f>
        <v>0</v>
      </c>
      <c r="G32" s="1965">
        <f>'Irl. Energy Balance 2013 (ktoe)'!G32*0.01163</f>
        <v>0</v>
      </c>
      <c r="H32" s="1966">
        <f>'Irl. Energy Balance 2013 (ktoe)'!H32*0.01163</f>
        <v>0</v>
      </c>
      <c r="I32" s="1967">
        <f>'Irl. Energy Balance 2013 (ktoe)'!I32*0.01163</f>
        <v>0</v>
      </c>
      <c r="J32" s="1865">
        <f>'Irl. Energy Balance 2013 (ktoe)'!J32*0.01163</f>
        <v>0</v>
      </c>
      <c r="K32" s="1865">
        <f>'Irl. Energy Balance 2013 (ktoe)'!K32*0.01163</f>
        <v>0</v>
      </c>
      <c r="L32" s="1968">
        <f>'Irl. Energy Balance 2013 (ktoe)'!L32*0.01163</f>
        <v>0.39529331775610205</v>
      </c>
      <c r="M32" s="1865">
        <f>'Irl. Energy Balance 2013 (ktoe)'!M32*0.01163</f>
        <v>0</v>
      </c>
      <c r="N32" s="1865">
        <f>'Irl. Energy Balance 2013 (ktoe)'!N32*0.01163</f>
        <v>0</v>
      </c>
      <c r="O32" s="1865">
        <f>'Irl. Energy Balance 2013 (ktoe)'!O32*0.01163</f>
        <v>0</v>
      </c>
      <c r="P32" s="1865">
        <f>'Irl. Energy Balance 2013 (ktoe)'!P32*0.01163</f>
        <v>2.878932470746513E-2</v>
      </c>
      <c r="Q32" s="1865">
        <f>'Irl. Energy Balance 2013 (ktoe)'!Q32*0.01163</f>
        <v>0</v>
      </c>
      <c r="R32" s="1865">
        <f>'Irl. Energy Balance 2013 (ktoe)'!R32*0.01163</f>
        <v>1.8426781277510528E-2</v>
      </c>
      <c r="S32" s="1865">
        <f>'Irl. Energy Balance 2013 (ktoe)'!S32*0.01163</f>
        <v>2.2964498190844031E-3</v>
      </c>
      <c r="T32" s="1865">
        <f>'Irl. Energy Balance 2013 (ktoe)'!T32*0.01163</f>
        <v>0.34578076195204199</v>
      </c>
      <c r="U32" s="1865">
        <f>'Irl. Energy Balance 2013 (ktoe)'!U32*0.01163</f>
        <v>0</v>
      </c>
      <c r="V32" s="1965">
        <f>'Irl. Energy Balance 2013 (ktoe)'!V32*0.01163</f>
        <v>0</v>
      </c>
      <c r="W32" s="1965">
        <f>'Irl. Energy Balance 2013 (ktoe)'!W32*0.01163</f>
        <v>0</v>
      </c>
      <c r="X32" s="1965">
        <f>'Irl. Energy Balance 2013 (ktoe)'!X32*0.01163</f>
        <v>0</v>
      </c>
      <c r="Y32" s="1865">
        <f>'Irl. Energy Balance 2013 (ktoe)'!Y32*0.01163</f>
        <v>0</v>
      </c>
      <c r="Z32" s="1969">
        <f>'Irl. Energy Balance 2013 (ktoe)'!Z32*0.01163</f>
        <v>0.11969729870920419</v>
      </c>
      <c r="AA32" s="1970">
        <f>'Irl. Energy Balance 2013 (ktoe)'!AA32*0.01163</f>
        <v>0</v>
      </c>
      <c r="AB32" s="1971">
        <f>'Irl. Energy Balance 2013 (ktoe)'!AB32*0.01163</f>
        <v>0</v>
      </c>
      <c r="AC32" s="1865">
        <f>'Irl. Energy Balance 2013 (ktoe)'!AC32*0.01163</f>
        <v>0</v>
      </c>
      <c r="AD32" s="1865">
        <f>'Irl. Energy Balance 2013 (ktoe)'!AD32*0.01163</f>
        <v>0</v>
      </c>
      <c r="AE32" s="1865">
        <f>'Irl. Energy Balance 2013 (ktoe)'!AE32*0.01163</f>
        <v>0</v>
      </c>
      <c r="AF32" s="1865">
        <f>'Irl. Energy Balance 2013 (ktoe)'!AF32*0.01163</f>
        <v>0</v>
      </c>
      <c r="AG32" s="1865">
        <f>'Irl. Energy Balance 2013 (ktoe)'!AG32*0.01163</f>
        <v>0</v>
      </c>
      <c r="AH32" s="3533">
        <f>'Irl. Energy Balance 2013 (ktoe)'!AH32*0.01163</f>
        <v>0</v>
      </c>
      <c r="AI32" s="1865">
        <f>'Irl. Energy Balance 2013 (ktoe)'!AI32*0.01163</f>
        <v>0</v>
      </c>
      <c r="AJ32" s="1891">
        <f>'Irl. Energy Balance 2013 (ktoe)'!AJ32*0.01163</f>
        <v>0</v>
      </c>
      <c r="AK32" s="1969">
        <f>'Irl. Energy Balance 2013 (ktoe)'!AK32*0.01163</f>
        <v>0.66624354186859736</v>
      </c>
      <c r="AL32" s="1970">
        <f>'Irl. Energy Balance 2013 (ktoe)'!AL32*0.01163</f>
        <v>0</v>
      </c>
      <c r="AM32" s="1862">
        <f>'Irl. Energy Balance 2013 (ktoe)'!AM32*0.01163</f>
        <v>1.1812341583339037</v>
      </c>
      <c r="AP32"/>
      <c r="AQ32"/>
      <c r="AR32"/>
      <c r="AS32"/>
      <c r="AT32"/>
      <c r="AU32"/>
      <c r="AV32"/>
    </row>
    <row r="33" spans="1:48">
      <c r="A33" s="1972" t="s">
        <v>1441</v>
      </c>
      <c r="B33" s="1973" t="s">
        <v>1442</v>
      </c>
      <c r="C33" s="1801">
        <f>'Irl. Energy Balance 2013 (ktoe)'!C33*0.01163</f>
        <v>0.24105246793786</v>
      </c>
      <c r="D33" s="1865">
        <f>'Irl. Energy Balance 2013 (ktoe)'!D33*0.01163</f>
        <v>0.24105246793786</v>
      </c>
      <c r="E33" s="1807">
        <f>'Irl. Energy Balance 2013 (ktoe)'!E33*0.01163</f>
        <v>0</v>
      </c>
      <c r="F33" s="1804">
        <f>'Irl. Energy Balance 2013 (ktoe)'!F33*0.01163</f>
        <v>0</v>
      </c>
      <c r="G33" s="1804">
        <f>'Irl. Energy Balance 2013 (ktoe)'!G33*0.01163</f>
        <v>0</v>
      </c>
      <c r="H33" s="1805">
        <f>'Irl. Energy Balance 2013 (ktoe)'!H33*0.01163</f>
        <v>5.6845854956603997E-3</v>
      </c>
      <c r="I33" s="1806">
        <f>'Irl. Energy Balance 2013 (ktoe)'!I33*0.01163</f>
        <v>5.6845854956603997E-3</v>
      </c>
      <c r="J33" s="1807">
        <f>'Irl. Energy Balance 2013 (ktoe)'!J33*0.01163</f>
        <v>0</v>
      </c>
      <c r="K33" s="1807">
        <f>'Irl. Energy Balance 2013 (ktoe)'!K33*0.01163</f>
        <v>0</v>
      </c>
      <c r="L33" s="1974">
        <f>'Irl. Energy Balance 2013 (ktoe)'!L33*0.01163</f>
        <v>1.5926615781677382</v>
      </c>
      <c r="M33" s="1807">
        <f>'Irl. Energy Balance 2013 (ktoe)'!M33*0.01163</f>
        <v>0</v>
      </c>
      <c r="N33" s="1807">
        <f>'Irl. Energy Balance 2013 (ktoe)'!N33*0.01163</f>
        <v>0</v>
      </c>
      <c r="O33" s="1865">
        <f>'Irl. Energy Balance 2013 (ktoe)'!O33*0.01163</f>
        <v>0</v>
      </c>
      <c r="P33" s="1865">
        <f>'Irl. Energy Balance 2013 (ktoe)'!P33*0.01163</f>
        <v>0.53595405400952123</v>
      </c>
      <c r="Q33" s="1807">
        <f>'Irl. Energy Balance 2013 (ktoe)'!Q33*0.01163</f>
        <v>0</v>
      </c>
      <c r="R33" s="1865">
        <f>'Irl. Energy Balance 2013 (ktoe)'!R33*0.01163</f>
        <v>0.34304063149726016</v>
      </c>
      <c r="S33" s="1865">
        <f>'Irl. Energy Balance 2013 (ktoe)'!S33*0.01163</f>
        <v>0.38484054226269265</v>
      </c>
      <c r="T33" s="1865">
        <f>'Irl. Energy Balance 2013 (ktoe)'!T33*0.01163</f>
        <v>0.32882635039826447</v>
      </c>
      <c r="U33" s="1865">
        <f>'Irl. Energy Balance 2013 (ktoe)'!U33*0.01163</f>
        <v>0</v>
      </c>
      <c r="V33" s="1804">
        <f>'Irl. Energy Balance 2013 (ktoe)'!V33*0.01163</f>
        <v>0</v>
      </c>
      <c r="W33" s="1804">
        <f>'Irl. Energy Balance 2013 (ktoe)'!W33*0.01163</f>
        <v>0</v>
      </c>
      <c r="X33" s="1804">
        <f>'Irl. Energy Balance 2013 (ktoe)'!X33*0.01163</f>
        <v>0</v>
      </c>
      <c r="Y33" s="1807">
        <f>'Irl. Energy Balance 2013 (ktoe)'!Y33*0.01163</f>
        <v>0</v>
      </c>
      <c r="Z33" s="1975">
        <f>'Irl. Energy Balance 2013 (ktoe)'!Z33*0.01163</f>
        <v>1.0524259830234364</v>
      </c>
      <c r="AA33" s="1808">
        <f>'Irl. Energy Balance 2013 (ktoe)'!AA33*0.01163</f>
        <v>0.32353660981724364</v>
      </c>
      <c r="AB33" s="1809">
        <f>'Irl. Energy Balance 2013 (ktoe)'!AB33*0.01163</f>
        <v>0</v>
      </c>
      <c r="AC33" s="1807">
        <f>'Irl. Energy Balance 2013 (ktoe)'!AC33*0.01163</f>
        <v>0</v>
      </c>
      <c r="AD33" s="1807">
        <f>'Irl. Energy Balance 2013 (ktoe)'!AD33*0.01163</f>
        <v>0.29277677375771377</v>
      </c>
      <c r="AE33" s="1865">
        <f>'Irl. Energy Balance 2013 (ktoe)'!AE33*0.01163</f>
        <v>0</v>
      </c>
      <c r="AF33" s="1865">
        <f>'Irl. Energy Balance 2013 (ktoe)'!AF33*0.01163</f>
        <v>3.0759836059529901E-2</v>
      </c>
      <c r="AG33" s="1865">
        <f>'Irl. Energy Balance 2013 (ktoe)'!AG33*0.01163</f>
        <v>0</v>
      </c>
      <c r="AH33" s="3534">
        <f>'Irl. Energy Balance 2013 (ktoe)'!AH33*0.01163</f>
        <v>0</v>
      </c>
      <c r="AI33" s="1807">
        <f>'Irl. Energy Balance 2013 (ktoe)'!AI33*0.01163</f>
        <v>0</v>
      </c>
      <c r="AJ33" s="1810">
        <f>'Irl. Energy Balance 2013 (ktoe)'!AJ33*0.01163</f>
        <v>0</v>
      </c>
      <c r="AK33" s="1975">
        <f>'Irl. Energy Balance 2013 (ktoe)'!AK33*0.01163</f>
        <v>1.9805884202362531</v>
      </c>
      <c r="AL33" s="1808">
        <f>'Irl. Energy Balance 2013 (ktoe)'!AL33*0.01163</f>
        <v>0</v>
      </c>
      <c r="AM33" s="1812">
        <f>'Irl. Energy Balance 2013 (ktoe)'!AM33*0.01163</f>
        <v>5.1959496446781914</v>
      </c>
      <c r="AP33"/>
      <c r="AQ33"/>
      <c r="AR33"/>
      <c r="AS33"/>
      <c r="AT33"/>
      <c r="AU33"/>
      <c r="AV33"/>
    </row>
    <row r="34" spans="1:48">
      <c r="A34" s="1972" t="s">
        <v>1443</v>
      </c>
      <c r="B34" s="1977" t="s">
        <v>1444</v>
      </c>
      <c r="C34" s="1801">
        <f>'Irl. Energy Balance 2013 (ktoe)'!C34*0.01163</f>
        <v>0</v>
      </c>
      <c r="D34" s="1865">
        <f>'Irl. Energy Balance 2013 (ktoe)'!D34*0.01163</f>
        <v>0</v>
      </c>
      <c r="E34" s="1807">
        <f>'Irl. Energy Balance 2013 (ktoe)'!E34*0.01163</f>
        <v>0</v>
      </c>
      <c r="F34" s="1804">
        <f>'Irl. Energy Balance 2013 (ktoe)'!F34*0.01163</f>
        <v>0</v>
      </c>
      <c r="G34" s="1804">
        <f>'Irl. Energy Balance 2013 (ktoe)'!G34*0.01163</f>
        <v>0</v>
      </c>
      <c r="H34" s="1805">
        <f>'Irl. Energy Balance 2013 (ktoe)'!H34*0.01163</f>
        <v>0</v>
      </c>
      <c r="I34" s="1806">
        <f>'Irl. Energy Balance 2013 (ktoe)'!I34*0.01163</f>
        <v>0</v>
      </c>
      <c r="J34" s="1807">
        <f>'Irl. Energy Balance 2013 (ktoe)'!J34*0.01163</f>
        <v>0</v>
      </c>
      <c r="K34" s="1807">
        <f>'Irl. Energy Balance 2013 (ktoe)'!K34*0.01163</f>
        <v>0</v>
      </c>
      <c r="L34" s="1974">
        <f>'Irl. Energy Balance 2013 (ktoe)'!L34*0.01163</f>
        <v>3.007215215928833E-2</v>
      </c>
      <c r="M34" s="1807">
        <f>'Irl. Energy Balance 2013 (ktoe)'!M34*0.01163</f>
        <v>0</v>
      </c>
      <c r="N34" s="1807">
        <f>'Irl. Energy Balance 2013 (ktoe)'!N34*0.01163</f>
        <v>0</v>
      </c>
      <c r="O34" s="1865">
        <f>'Irl. Energy Balance 2013 (ktoe)'!O34*0.01163</f>
        <v>0</v>
      </c>
      <c r="P34" s="1865">
        <f>'Irl. Energy Balance 2013 (ktoe)'!P34*0.01163</f>
        <v>1.1861696016809668E-2</v>
      </c>
      <c r="Q34" s="1807">
        <f>'Irl. Energy Balance 2013 (ktoe)'!Q34*0.01163</f>
        <v>0</v>
      </c>
      <c r="R34" s="1865">
        <f>'Irl. Energy Balance 2013 (ktoe)'!R34*0.01163</f>
        <v>7.592150225927085E-3</v>
      </c>
      <c r="S34" s="1865">
        <f>'Irl. Energy Balance 2013 (ktoe)'!S34*0.01163</f>
        <v>5.9263221137662004E-4</v>
      </c>
      <c r="T34" s="1865">
        <f>'Irl. Energy Balance 2013 (ktoe)'!T34*0.01163</f>
        <v>1.0025673705174957E-2</v>
      </c>
      <c r="U34" s="1865">
        <f>'Irl. Energy Balance 2013 (ktoe)'!U34*0.01163</f>
        <v>0</v>
      </c>
      <c r="V34" s="1804">
        <f>'Irl. Energy Balance 2013 (ktoe)'!V34*0.01163</f>
        <v>0</v>
      </c>
      <c r="W34" s="1804">
        <f>'Irl. Energy Balance 2013 (ktoe)'!W34*0.01163</f>
        <v>0</v>
      </c>
      <c r="X34" s="1804">
        <f>'Irl. Energy Balance 2013 (ktoe)'!X34*0.01163</f>
        <v>0</v>
      </c>
      <c r="Y34" s="1807">
        <f>'Irl. Energy Balance 2013 (ktoe)'!Y34*0.01163</f>
        <v>0</v>
      </c>
      <c r="Z34" s="1975">
        <f>'Irl. Energy Balance 2013 (ktoe)'!Z34*0.01163</f>
        <v>1.1469094781262151E-2</v>
      </c>
      <c r="AA34" s="1808">
        <f>'Irl. Energy Balance 2013 (ktoe)'!AA34*0.01163</f>
        <v>0</v>
      </c>
      <c r="AB34" s="1809">
        <f>'Irl. Energy Balance 2013 (ktoe)'!AB34*0.01163</f>
        <v>0</v>
      </c>
      <c r="AC34" s="1807">
        <f>'Irl. Energy Balance 2013 (ktoe)'!AC34*0.01163</f>
        <v>0</v>
      </c>
      <c r="AD34" s="1807">
        <f>'Irl. Energy Balance 2013 (ktoe)'!AD34*0.01163</f>
        <v>0</v>
      </c>
      <c r="AE34" s="1865">
        <f>'Irl. Energy Balance 2013 (ktoe)'!AE34*0.01163</f>
        <v>0</v>
      </c>
      <c r="AF34" s="1865">
        <f>'Irl. Energy Balance 2013 (ktoe)'!AF34*0.01163</f>
        <v>0</v>
      </c>
      <c r="AG34" s="1865">
        <f>'Irl. Energy Balance 2013 (ktoe)'!AG34*0.01163</f>
        <v>0</v>
      </c>
      <c r="AH34" s="3534">
        <f>'Irl. Energy Balance 2013 (ktoe)'!AH34*0.01163</f>
        <v>0</v>
      </c>
      <c r="AI34" s="1807">
        <f>'Irl. Energy Balance 2013 (ktoe)'!AI34*0.01163</f>
        <v>0</v>
      </c>
      <c r="AJ34" s="1810">
        <f>'Irl. Energy Balance 2013 (ktoe)'!AJ34*0.01163</f>
        <v>0</v>
      </c>
      <c r="AK34" s="1975">
        <f>'Irl. Energy Balance 2013 (ktoe)'!AK34*0.01163</f>
        <v>0.11853091319703279</v>
      </c>
      <c r="AL34" s="1808">
        <f>'Irl. Energy Balance 2013 (ktoe)'!AL34*0.01163</f>
        <v>0</v>
      </c>
      <c r="AM34" s="1812">
        <f>'Irl. Energy Balance 2013 (ktoe)'!AM34*0.01163</f>
        <v>0.16007216013758327</v>
      </c>
      <c r="AP34"/>
      <c r="AQ34"/>
      <c r="AR34"/>
      <c r="AS34"/>
      <c r="AT34"/>
      <c r="AU34"/>
      <c r="AV34"/>
    </row>
    <row r="35" spans="1:48">
      <c r="A35" s="1972" t="s">
        <v>1445</v>
      </c>
      <c r="B35" s="1977" t="s">
        <v>1446</v>
      </c>
      <c r="C35" s="1801">
        <f>'Irl. Energy Balance 2013 (ktoe)'!C35*0.01163</f>
        <v>7.3258624296645259E-5</v>
      </c>
      <c r="D35" s="1865">
        <f>'Irl. Energy Balance 2013 (ktoe)'!D35*0.01163</f>
        <v>7.3258624296645259E-5</v>
      </c>
      <c r="E35" s="1807">
        <f>'Irl. Energy Balance 2013 (ktoe)'!E35*0.01163</f>
        <v>0</v>
      </c>
      <c r="F35" s="1804">
        <f>'Irl. Energy Balance 2013 (ktoe)'!F35*0.01163</f>
        <v>0</v>
      </c>
      <c r="G35" s="1804">
        <f>'Irl. Energy Balance 2013 (ktoe)'!G35*0.01163</f>
        <v>0</v>
      </c>
      <c r="H35" s="1805">
        <f>'Irl. Energy Balance 2013 (ktoe)'!H35*0.01163</f>
        <v>0</v>
      </c>
      <c r="I35" s="1806">
        <f>'Irl. Energy Balance 2013 (ktoe)'!I35*0.01163</f>
        <v>0</v>
      </c>
      <c r="J35" s="1807">
        <f>'Irl. Energy Balance 2013 (ktoe)'!J35*0.01163</f>
        <v>0</v>
      </c>
      <c r="K35" s="1807">
        <f>'Irl. Energy Balance 2013 (ktoe)'!K35*0.01163</f>
        <v>0</v>
      </c>
      <c r="L35" s="1974">
        <f>'Irl. Energy Balance 2013 (ktoe)'!L35*0.01163</f>
        <v>3.1313255605802441E-2</v>
      </c>
      <c r="M35" s="1807">
        <f>'Irl. Energy Balance 2013 (ktoe)'!M35*0.01163</f>
        <v>0</v>
      </c>
      <c r="N35" s="1807">
        <f>'Irl. Energy Balance 2013 (ktoe)'!N35*0.01163</f>
        <v>0</v>
      </c>
      <c r="O35" s="1865">
        <f>'Irl. Energy Balance 2013 (ktoe)'!O35*0.01163</f>
        <v>0</v>
      </c>
      <c r="P35" s="1865">
        <f>'Irl. Energy Balance 2013 (ktoe)'!P35*0.01163</f>
        <v>4.1855724225982023E-3</v>
      </c>
      <c r="Q35" s="1807">
        <f>'Irl. Energy Balance 2013 (ktoe)'!Q35*0.01163</f>
        <v>0</v>
      </c>
      <c r="R35" s="1865">
        <f>'Irl. Energy Balance 2013 (ktoe)'!R35*0.01163</f>
        <v>2.6790009260758332E-3</v>
      </c>
      <c r="S35" s="1865">
        <f>'Irl. Energy Balance 2013 (ktoe)'!S35*0.01163</f>
        <v>3.1113191097272555E-3</v>
      </c>
      <c r="T35" s="1865">
        <f>'Irl. Energy Balance 2013 (ktoe)'!T35*0.01163</f>
        <v>2.1337363147401152E-2</v>
      </c>
      <c r="U35" s="1865">
        <f>'Irl. Energy Balance 2013 (ktoe)'!U35*0.01163</f>
        <v>0</v>
      </c>
      <c r="V35" s="1804">
        <f>'Irl. Energy Balance 2013 (ktoe)'!V35*0.01163</f>
        <v>0</v>
      </c>
      <c r="W35" s="1804">
        <f>'Irl. Energy Balance 2013 (ktoe)'!W35*0.01163</f>
        <v>0</v>
      </c>
      <c r="X35" s="1804">
        <f>'Irl. Energy Balance 2013 (ktoe)'!X35*0.01163</f>
        <v>0</v>
      </c>
      <c r="Y35" s="1807">
        <f>'Irl. Energy Balance 2013 (ktoe)'!Y35*0.01163</f>
        <v>0</v>
      </c>
      <c r="Z35" s="1975">
        <f>'Irl. Energy Balance 2013 (ktoe)'!Z35*0.01163</f>
        <v>2.0462321482759779E-2</v>
      </c>
      <c r="AA35" s="1808">
        <f>'Irl. Energy Balance 2013 (ktoe)'!AA35*0.01163</f>
        <v>1.1657949374059444</v>
      </c>
      <c r="AB35" s="1809">
        <f>'Irl. Energy Balance 2013 (ktoe)'!AB35*0.01163</f>
        <v>0</v>
      </c>
      <c r="AC35" s="1807">
        <f>'Irl. Energy Balance 2013 (ktoe)'!AC35*0.01163</f>
        <v>0</v>
      </c>
      <c r="AD35" s="1807">
        <f>'Irl. Energy Balance 2013 (ktoe)'!AD35*0.01163</f>
        <v>1.1657949374059444</v>
      </c>
      <c r="AE35" s="1865">
        <f>'Irl. Energy Balance 2013 (ktoe)'!AE35*0.01163</f>
        <v>0</v>
      </c>
      <c r="AF35" s="1865">
        <f>'Irl. Energy Balance 2013 (ktoe)'!AF35*0.01163</f>
        <v>0</v>
      </c>
      <c r="AG35" s="1865">
        <f>'Irl. Energy Balance 2013 (ktoe)'!AG35*0.01163</f>
        <v>0</v>
      </c>
      <c r="AH35" s="3534">
        <f>'Irl. Energy Balance 2013 (ktoe)'!AH35*0.01163</f>
        <v>0</v>
      </c>
      <c r="AI35" s="1807">
        <f>'Irl. Energy Balance 2013 (ktoe)'!AI35*0.01163</f>
        <v>0</v>
      </c>
      <c r="AJ35" s="1810">
        <f>'Irl. Energy Balance 2013 (ktoe)'!AJ35*0.01163</f>
        <v>0</v>
      </c>
      <c r="AK35" s="1975">
        <f>'Irl. Energy Balance 2013 (ktoe)'!AK35*0.01163</f>
        <v>0.39841165287209196</v>
      </c>
      <c r="AL35" s="1808">
        <f>'Irl. Energy Balance 2013 (ktoe)'!AL35*0.01163</f>
        <v>0</v>
      </c>
      <c r="AM35" s="1812">
        <f>'Irl. Energy Balance 2013 (ktoe)'!AM35*0.01163</f>
        <v>1.616055425990895</v>
      </c>
      <c r="AP35"/>
      <c r="AQ35"/>
      <c r="AR35"/>
      <c r="AS35"/>
      <c r="AT35"/>
      <c r="AU35"/>
      <c r="AV35"/>
    </row>
    <row r="36" spans="1:48">
      <c r="A36" s="1972" t="s">
        <v>1447</v>
      </c>
      <c r="B36" s="1977" t="s">
        <v>1448</v>
      </c>
      <c r="C36" s="1801">
        <f>'Irl. Energy Balance 2013 (ktoe)'!C36*0.01163</f>
        <v>3.2050648129782302E-4</v>
      </c>
      <c r="D36" s="1865">
        <f>'Irl. Energy Balance 2013 (ktoe)'!D36*0.01163</f>
        <v>3.2050648129782302E-4</v>
      </c>
      <c r="E36" s="1807">
        <f>'Irl. Energy Balance 2013 (ktoe)'!E36*0.01163</f>
        <v>0</v>
      </c>
      <c r="F36" s="1804">
        <f>'Irl. Energy Balance 2013 (ktoe)'!F36*0.01163</f>
        <v>0</v>
      </c>
      <c r="G36" s="1804">
        <f>'Irl. Energy Balance 2013 (ktoe)'!G36*0.01163</f>
        <v>0</v>
      </c>
      <c r="H36" s="1805">
        <f>'Irl. Energy Balance 2013 (ktoe)'!H36*0.01163</f>
        <v>0</v>
      </c>
      <c r="I36" s="1806">
        <f>'Irl. Energy Balance 2013 (ktoe)'!I36*0.01163</f>
        <v>0</v>
      </c>
      <c r="J36" s="1807">
        <f>'Irl. Energy Balance 2013 (ktoe)'!J36*0.01163</f>
        <v>0</v>
      </c>
      <c r="K36" s="1807">
        <f>'Irl. Energy Balance 2013 (ktoe)'!K36*0.01163</f>
        <v>0</v>
      </c>
      <c r="L36" s="1974">
        <f>'Irl. Energy Balance 2013 (ktoe)'!L36*0.01163</f>
        <v>3.4460393404310119E-2</v>
      </c>
      <c r="M36" s="1807">
        <f>'Irl. Energy Balance 2013 (ktoe)'!M36*0.01163</f>
        <v>0</v>
      </c>
      <c r="N36" s="1807">
        <f>'Irl. Energy Balance 2013 (ktoe)'!N36*0.01163</f>
        <v>0</v>
      </c>
      <c r="O36" s="1865">
        <f>'Irl. Energy Balance 2013 (ktoe)'!O36*0.01163</f>
        <v>0</v>
      </c>
      <c r="P36" s="1865">
        <f>'Irl. Energy Balance 2013 (ktoe)'!P36*0.01163</f>
        <v>9.6994076804120706E-3</v>
      </c>
      <c r="Q36" s="1807">
        <f>'Irl. Energy Balance 2013 (ktoe)'!Q36*0.01163</f>
        <v>0</v>
      </c>
      <c r="R36" s="1865">
        <f>'Irl. Energy Balance 2013 (ktoe)'!R36*0.01163</f>
        <v>6.2081645076591269E-3</v>
      </c>
      <c r="S36" s="1865">
        <f>'Irl. Energy Balance 2013 (ktoe)'!S36*0.01163</f>
        <v>2.9631610568831E-3</v>
      </c>
      <c r="T36" s="1865">
        <f>'Irl. Energy Balance 2013 (ktoe)'!T36*0.01163</f>
        <v>1.5589660159355822E-2</v>
      </c>
      <c r="U36" s="1865">
        <f>'Irl. Energy Balance 2013 (ktoe)'!U36*0.01163</f>
        <v>0</v>
      </c>
      <c r="V36" s="1804">
        <f>'Irl. Energy Balance 2013 (ktoe)'!V36*0.01163</f>
        <v>0</v>
      </c>
      <c r="W36" s="1804">
        <f>'Irl. Energy Balance 2013 (ktoe)'!W36*0.01163</f>
        <v>0</v>
      </c>
      <c r="X36" s="1804">
        <f>'Irl. Energy Balance 2013 (ktoe)'!X36*0.01163</f>
        <v>0</v>
      </c>
      <c r="Y36" s="1807">
        <f>'Irl. Energy Balance 2013 (ktoe)'!Y36*0.01163</f>
        <v>0</v>
      </c>
      <c r="Z36" s="1975">
        <f>'Irl. Energy Balance 2013 (ktoe)'!Z36*0.01163</f>
        <v>3.3842932060898952E-2</v>
      </c>
      <c r="AA36" s="1808">
        <f>'Irl. Energy Balance 2013 (ktoe)'!AA36*0.01163</f>
        <v>0</v>
      </c>
      <c r="AB36" s="1809">
        <f>'Irl. Energy Balance 2013 (ktoe)'!AB36*0.01163</f>
        <v>0</v>
      </c>
      <c r="AC36" s="1807">
        <f>'Irl. Energy Balance 2013 (ktoe)'!AC36*0.01163</f>
        <v>0</v>
      </c>
      <c r="AD36" s="1807">
        <f>'Irl. Energy Balance 2013 (ktoe)'!AD36*0.01163</f>
        <v>0</v>
      </c>
      <c r="AE36" s="1865">
        <f>'Irl. Energy Balance 2013 (ktoe)'!AE36*0.01163</f>
        <v>0</v>
      </c>
      <c r="AF36" s="1865">
        <f>'Irl. Energy Balance 2013 (ktoe)'!AF36*0.01163</f>
        <v>0</v>
      </c>
      <c r="AG36" s="1865">
        <f>'Irl. Energy Balance 2013 (ktoe)'!AG36*0.01163</f>
        <v>0</v>
      </c>
      <c r="AH36" s="3534">
        <f>'Irl. Energy Balance 2013 (ktoe)'!AH36*0.01163</f>
        <v>0</v>
      </c>
      <c r="AI36" s="1807">
        <f>'Irl. Energy Balance 2013 (ktoe)'!AI36*0.01163</f>
        <v>0</v>
      </c>
      <c r="AJ36" s="1810">
        <f>'Irl. Energy Balance 2013 (ktoe)'!AJ36*0.01163</f>
        <v>0</v>
      </c>
      <c r="AK36" s="1975">
        <f>'Irl. Energy Balance 2013 (ktoe)'!AK36*0.01163</f>
        <v>0.21744453289797602</v>
      </c>
      <c r="AL36" s="1808">
        <f>'Irl. Energy Balance 2013 (ktoe)'!AL36*0.01163</f>
        <v>0</v>
      </c>
      <c r="AM36" s="1812">
        <f>'Irl. Energy Balance 2013 (ktoe)'!AM36*0.01163</f>
        <v>0.28606836484448289</v>
      </c>
      <c r="AP36"/>
      <c r="AQ36"/>
      <c r="AR36"/>
      <c r="AS36"/>
      <c r="AT36"/>
      <c r="AU36"/>
      <c r="AV36"/>
    </row>
    <row r="37" spans="1:48">
      <c r="A37" s="1972" t="s">
        <v>1449</v>
      </c>
      <c r="B37" s="1977" t="s">
        <v>1450</v>
      </c>
      <c r="C37" s="1801">
        <f>'Irl. Energy Balance 2013 (ktoe)'!C37*0.01163</f>
        <v>0</v>
      </c>
      <c r="D37" s="1865">
        <f>'Irl. Energy Balance 2013 (ktoe)'!D37*0.01163</f>
        <v>0</v>
      </c>
      <c r="E37" s="1807">
        <f>'Irl. Energy Balance 2013 (ktoe)'!E37*0.01163</f>
        <v>0</v>
      </c>
      <c r="F37" s="1804">
        <f>'Irl. Energy Balance 2013 (ktoe)'!F37*0.01163</f>
        <v>0</v>
      </c>
      <c r="G37" s="1804">
        <f>'Irl. Energy Balance 2013 (ktoe)'!G37*0.01163</f>
        <v>0</v>
      </c>
      <c r="H37" s="1805">
        <f>'Irl. Energy Balance 2013 (ktoe)'!H37*0.01163</f>
        <v>0</v>
      </c>
      <c r="I37" s="1806">
        <f>'Irl. Energy Balance 2013 (ktoe)'!I37*0.01163</f>
        <v>0</v>
      </c>
      <c r="J37" s="1807">
        <f>'Irl. Energy Balance 2013 (ktoe)'!J37*0.01163</f>
        <v>0</v>
      </c>
      <c r="K37" s="1807">
        <f>'Irl. Energy Balance 2013 (ktoe)'!K37*0.01163</f>
        <v>0</v>
      </c>
      <c r="L37" s="1974">
        <f>'Irl. Energy Balance 2013 (ktoe)'!L37*0.01163</f>
        <v>0.3362729284634639</v>
      </c>
      <c r="M37" s="1807">
        <f>'Irl. Energy Balance 2013 (ktoe)'!M37*0.01163</f>
        <v>0</v>
      </c>
      <c r="N37" s="1807">
        <f>'Irl. Energy Balance 2013 (ktoe)'!N37*0.01163</f>
        <v>0</v>
      </c>
      <c r="O37" s="1865">
        <f>'Irl. Energy Balance 2013 (ktoe)'!O37*0.01163</f>
        <v>0</v>
      </c>
      <c r="P37" s="1865">
        <f>'Irl. Energy Balance 2013 (ktoe)'!P37*0.01163</f>
        <v>0.12749778726401534</v>
      </c>
      <c r="Q37" s="1807">
        <f>'Irl. Energy Balance 2013 (ktoe)'!Q37*0.01163</f>
        <v>0</v>
      </c>
      <c r="R37" s="1865">
        <f>'Irl. Energy Balance 2013 (ktoe)'!R37*0.01163</f>
        <v>8.1605729316442804E-2</v>
      </c>
      <c r="S37" s="1865">
        <f>'Irl. Energy Balance 2013 (ktoe)'!S37*0.01163</f>
        <v>3.4891221444798504E-2</v>
      </c>
      <c r="T37" s="1865">
        <f>'Irl. Energy Balance 2013 (ktoe)'!T37*0.01163</f>
        <v>9.2278190438207203E-2</v>
      </c>
      <c r="U37" s="1865">
        <f>'Irl. Energy Balance 2013 (ktoe)'!U37*0.01163</f>
        <v>0</v>
      </c>
      <c r="V37" s="1804">
        <f>'Irl. Energy Balance 2013 (ktoe)'!V37*0.01163</f>
        <v>0</v>
      </c>
      <c r="W37" s="1804">
        <f>'Irl. Energy Balance 2013 (ktoe)'!W37*0.01163</f>
        <v>0</v>
      </c>
      <c r="X37" s="1804">
        <f>'Irl. Energy Balance 2013 (ktoe)'!X37*0.01163</f>
        <v>0</v>
      </c>
      <c r="Y37" s="1807">
        <f>'Irl. Energy Balance 2013 (ktoe)'!Y37*0.01163</f>
        <v>0</v>
      </c>
      <c r="Z37" s="1978">
        <f>'Irl. Energy Balance 2013 (ktoe)'!Z37*0.01163</f>
        <v>0.6498243463764326</v>
      </c>
      <c r="AA37" s="1808">
        <f>'Irl. Energy Balance 2013 (ktoe)'!AA37*0.01163</f>
        <v>1.4997117599999999E-5</v>
      </c>
      <c r="AB37" s="1809">
        <f>'Irl. Energy Balance 2013 (ktoe)'!AB37*0.01163</f>
        <v>0</v>
      </c>
      <c r="AC37" s="1807">
        <f>'Irl. Energy Balance 2013 (ktoe)'!AC37*0.01163</f>
        <v>0</v>
      </c>
      <c r="AD37" s="1807">
        <f>'Irl. Energy Balance 2013 (ktoe)'!AD37*0.01163</f>
        <v>1.4997117599999999E-5</v>
      </c>
      <c r="AE37" s="1865">
        <f>'Irl. Energy Balance 2013 (ktoe)'!AE37*0.01163</f>
        <v>0</v>
      </c>
      <c r="AF37" s="1865">
        <f>'Irl. Energy Balance 2013 (ktoe)'!AF37*0.01163</f>
        <v>0</v>
      </c>
      <c r="AG37" s="1865">
        <f>'Irl. Energy Balance 2013 (ktoe)'!AG37*0.01163</f>
        <v>0</v>
      </c>
      <c r="AH37" s="3535">
        <f>'Irl. Energy Balance 2013 (ktoe)'!AH37*0.01163</f>
        <v>0</v>
      </c>
      <c r="AI37" s="1807">
        <f>'Irl. Energy Balance 2013 (ktoe)'!AI37*0.01163</f>
        <v>0</v>
      </c>
      <c r="AJ37" s="1980">
        <f>'Irl. Energy Balance 2013 (ktoe)'!AJ37*0.01163</f>
        <v>0</v>
      </c>
      <c r="AK37" s="1978">
        <f>'Irl. Energy Balance 2013 (ktoe)'!AK37*0.01163</f>
        <v>1.6875973178663373</v>
      </c>
      <c r="AL37" s="1808">
        <f>'Irl. Energy Balance 2013 (ktoe)'!AL37*0.01163</f>
        <v>0</v>
      </c>
      <c r="AM37" s="1812">
        <f>'Irl. Energy Balance 2013 (ktoe)'!AM37*0.01163</f>
        <v>2.6737095898238339</v>
      </c>
      <c r="AP37"/>
      <c r="AQ37"/>
      <c r="AR37"/>
      <c r="AS37"/>
      <c r="AT37"/>
      <c r="AU37"/>
      <c r="AV37"/>
    </row>
    <row r="38" spans="1:48">
      <c r="A38" s="1972" t="s">
        <v>1451</v>
      </c>
      <c r="B38" s="1977" t="s">
        <v>1452</v>
      </c>
      <c r="C38" s="1801">
        <f>'Irl. Energy Balance 2013 (ktoe)'!C38*0.01163</f>
        <v>0</v>
      </c>
      <c r="D38" s="1865">
        <f>'Irl. Energy Balance 2013 (ktoe)'!D38*0.01163</f>
        <v>0</v>
      </c>
      <c r="E38" s="1807">
        <f>'Irl. Energy Balance 2013 (ktoe)'!E38*0.01163</f>
        <v>0</v>
      </c>
      <c r="F38" s="1804">
        <f>'Irl. Energy Balance 2013 (ktoe)'!F38*0.01163</f>
        <v>0</v>
      </c>
      <c r="G38" s="1804">
        <f>'Irl. Energy Balance 2013 (ktoe)'!G38*0.01163</f>
        <v>0</v>
      </c>
      <c r="H38" s="1805">
        <f>'Irl. Energy Balance 2013 (ktoe)'!H38*0.01163</f>
        <v>0</v>
      </c>
      <c r="I38" s="1806">
        <f>'Irl. Energy Balance 2013 (ktoe)'!I38*0.01163</f>
        <v>0</v>
      </c>
      <c r="J38" s="1807">
        <f>'Irl. Energy Balance 2013 (ktoe)'!J38*0.01163</f>
        <v>0</v>
      </c>
      <c r="K38" s="1807">
        <f>'Irl. Energy Balance 2013 (ktoe)'!K38*0.01163</f>
        <v>0</v>
      </c>
      <c r="L38" s="1974">
        <f>'Irl. Energy Balance 2013 (ktoe)'!L38*0.01163</f>
        <v>0.11147317597928562</v>
      </c>
      <c r="M38" s="1807">
        <f>'Irl. Energy Balance 2013 (ktoe)'!M38*0.01163</f>
        <v>0</v>
      </c>
      <c r="N38" s="1807">
        <f>'Irl. Energy Balance 2013 (ktoe)'!N38*0.01163</f>
        <v>0</v>
      </c>
      <c r="O38" s="1865">
        <f>'Irl. Energy Balance 2013 (ktoe)'!O38*0.01163</f>
        <v>0</v>
      </c>
      <c r="P38" s="1865">
        <f>'Irl. Energy Balance 2013 (ktoe)'!P38*0.01163</f>
        <v>8.1858058449337564E-4</v>
      </c>
      <c r="Q38" s="1807">
        <f>'Irl. Energy Balance 2013 (ktoe)'!Q38*0.01163</f>
        <v>0</v>
      </c>
      <c r="R38" s="1865">
        <f>'Irl. Energy Balance 2013 (ktoe)'!R38*0.01163</f>
        <v>5.2393745048715554E-4</v>
      </c>
      <c r="S38" s="1865">
        <f>'Irl. Energy Balance 2013 (ktoe)'!S38*0.01163</f>
        <v>6.9634284836752852E-2</v>
      </c>
      <c r="T38" s="1865">
        <f>'Irl. Energy Balance 2013 (ktoe)'!T38*0.01163</f>
        <v>4.049637310755224E-2</v>
      </c>
      <c r="U38" s="1865">
        <f>'Irl. Energy Balance 2013 (ktoe)'!U38*0.01163</f>
        <v>0</v>
      </c>
      <c r="V38" s="1804">
        <f>'Irl. Energy Balance 2013 (ktoe)'!V38*0.01163</f>
        <v>0</v>
      </c>
      <c r="W38" s="1804">
        <f>'Irl. Energy Balance 2013 (ktoe)'!W38*0.01163</f>
        <v>0</v>
      </c>
      <c r="X38" s="1804">
        <f>'Irl. Energy Balance 2013 (ktoe)'!X38*0.01163</f>
        <v>0</v>
      </c>
      <c r="Y38" s="1807">
        <f>'Irl. Energy Balance 2013 (ktoe)'!Y38*0.01163</f>
        <v>0</v>
      </c>
      <c r="Z38" s="1975">
        <f>'Irl. Energy Balance 2013 (ktoe)'!Z38*0.01163</f>
        <v>4.494792859513691E-2</v>
      </c>
      <c r="AA38" s="1808">
        <f>'Irl. Energy Balance 2013 (ktoe)'!AA38*0.01163</f>
        <v>0</v>
      </c>
      <c r="AB38" s="1809">
        <f>'Irl. Energy Balance 2013 (ktoe)'!AB38*0.01163</f>
        <v>0</v>
      </c>
      <c r="AC38" s="1807">
        <f>'Irl. Energy Balance 2013 (ktoe)'!AC38*0.01163</f>
        <v>0</v>
      </c>
      <c r="AD38" s="1807">
        <f>'Irl. Energy Balance 2013 (ktoe)'!AD38*0.01163</f>
        <v>0</v>
      </c>
      <c r="AE38" s="1865">
        <f>'Irl. Energy Balance 2013 (ktoe)'!AE38*0.01163</f>
        <v>0</v>
      </c>
      <c r="AF38" s="1865">
        <f>'Irl. Energy Balance 2013 (ktoe)'!AF38*0.01163</f>
        <v>0</v>
      </c>
      <c r="AG38" s="1865">
        <f>'Irl. Energy Balance 2013 (ktoe)'!AG38*0.01163</f>
        <v>0</v>
      </c>
      <c r="AH38" s="3534">
        <f>'Irl. Energy Balance 2013 (ktoe)'!AH38*0.01163</f>
        <v>0</v>
      </c>
      <c r="AI38" s="1807">
        <f>'Irl. Energy Balance 2013 (ktoe)'!AI38*0.01163</f>
        <v>0</v>
      </c>
      <c r="AJ38" s="1810">
        <f>'Irl. Energy Balance 2013 (ktoe)'!AJ38*0.01163</f>
        <v>0</v>
      </c>
      <c r="AK38" s="1975">
        <f>'Irl. Energy Balance 2013 (ktoe)'!AK38*0.01163</f>
        <v>0.40803419037052524</v>
      </c>
      <c r="AL38" s="1808">
        <f>'Irl. Energy Balance 2013 (ktoe)'!AL38*0.01163</f>
        <v>0</v>
      </c>
      <c r="AM38" s="1812">
        <f>'Irl. Energy Balance 2013 (ktoe)'!AM38*0.01163</f>
        <v>0.56445529494494773</v>
      </c>
      <c r="AP38"/>
      <c r="AQ38"/>
      <c r="AR38"/>
      <c r="AS38"/>
      <c r="AT38"/>
      <c r="AU38"/>
      <c r="AV38"/>
    </row>
    <row r="39" spans="1:48">
      <c r="A39" s="1972" t="s">
        <v>1454</v>
      </c>
      <c r="B39" s="1977" t="s">
        <v>1455</v>
      </c>
      <c r="C39" s="1801">
        <f>'Irl. Energy Balance 2013 (ktoe)'!C39*0.01163</f>
        <v>0.71283614369320014</v>
      </c>
      <c r="D39" s="1806">
        <f>'Irl. Energy Balance 2013 (ktoe)'!D39*0.01163</f>
        <v>0.71283614369320014</v>
      </c>
      <c r="E39" s="1807">
        <f>'Irl. Energy Balance 2013 (ktoe)'!E39*0.01163</f>
        <v>0</v>
      </c>
      <c r="F39" s="1804">
        <f>'Irl. Energy Balance 2013 (ktoe)'!F39*0.01163</f>
        <v>0</v>
      </c>
      <c r="G39" s="1804">
        <f>'Irl. Energy Balance 2013 (ktoe)'!G39*0.01163</f>
        <v>0</v>
      </c>
      <c r="H39" s="1805">
        <f>'Irl. Energy Balance 2013 (ktoe)'!H39*0.01163</f>
        <v>0</v>
      </c>
      <c r="I39" s="1806">
        <f>'Irl. Energy Balance 2013 (ktoe)'!I39*0.01163</f>
        <v>0</v>
      </c>
      <c r="J39" s="1807">
        <f>'Irl. Energy Balance 2013 (ktoe)'!J39*0.01163</f>
        <v>0</v>
      </c>
      <c r="K39" s="1807">
        <f>'Irl. Energy Balance 2013 (ktoe)'!K39*0.01163</f>
        <v>0</v>
      </c>
      <c r="L39" s="1974">
        <f>'Irl. Energy Balance 2013 (ktoe)'!L39*0.01163</f>
        <v>1.6432655041720239</v>
      </c>
      <c r="M39" s="1807">
        <f>'Irl. Energy Balance 2013 (ktoe)'!M39*0.01163</f>
        <v>0</v>
      </c>
      <c r="N39" s="1807">
        <f>'Irl. Energy Balance 2013 (ktoe)'!N39*0.01163</f>
        <v>0</v>
      </c>
      <c r="O39" s="1865">
        <f>'Irl. Energy Balance 2013 (ktoe)'!O39*0.01163</f>
        <v>0</v>
      </c>
      <c r="P39" s="1806">
        <f>'Irl. Energy Balance 2013 (ktoe)'!P39*0.01163</f>
        <v>8.6321639372329714E-2</v>
      </c>
      <c r="Q39" s="1807">
        <f>'Irl. Energy Balance 2013 (ktoe)'!Q39*0.01163</f>
        <v>0</v>
      </c>
      <c r="R39" s="1806">
        <f>'Irl. Energy Balance 2013 (ktoe)'!R39*0.01163</f>
        <v>5.5250686995711555E-2</v>
      </c>
      <c r="S39" s="1806">
        <f>'Irl. Energy Balance 2013 (ktoe)'!S39*0.01163</f>
        <v>1.570475360148043E-2</v>
      </c>
      <c r="T39" s="1806">
        <f>'Irl. Energy Balance 2013 (ktoe)'!T39*0.01163</f>
        <v>0.45750665976075877</v>
      </c>
      <c r="U39" s="1806">
        <f>'Irl. Energy Balance 2013 (ktoe)'!U39*0.01163</f>
        <v>1.0284817644417434</v>
      </c>
      <c r="V39" s="1804">
        <f>'Irl. Energy Balance 2013 (ktoe)'!V39*0.01163</f>
        <v>0</v>
      </c>
      <c r="W39" s="1804">
        <f>'Irl. Energy Balance 2013 (ktoe)'!W39*0.01163</f>
        <v>0</v>
      </c>
      <c r="X39" s="1804">
        <f>'Irl. Energy Balance 2013 (ktoe)'!X39*0.01163</f>
        <v>0</v>
      </c>
      <c r="Y39" s="1807">
        <f>'Irl. Energy Balance 2013 (ktoe)'!Y39*0.01163</f>
        <v>0</v>
      </c>
      <c r="Z39" s="1975">
        <f>'Irl. Energy Balance 2013 (ktoe)'!Z39*0.01163</f>
        <v>0.16941491434035807</v>
      </c>
      <c r="AA39" s="1808">
        <f>'Irl. Energy Balance 2013 (ktoe)'!AA39*0.01163</f>
        <v>0.28496733651353456</v>
      </c>
      <c r="AB39" s="1809">
        <f>'Irl. Energy Balance 2013 (ktoe)'!AB39*0.01163</f>
        <v>0</v>
      </c>
      <c r="AC39" s="1807">
        <f>'Irl. Energy Balance 2013 (ktoe)'!AC39*0.01163</f>
        <v>0</v>
      </c>
      <c r="AD39" s="1807">
        <f>'Irl. Energy Balance 2013 (ktoe)'!AD39*0.01163</f>
        <v>0.28496733651353456</v>
      </c>
      <c r="AE39" s="1865">
        <f>'Irl. Energy Balance 2013 (ktoe)'!AE39*0.01163</f>
        <v>0</v>
      </c>
      <c r="AF39" s="1865">
        <f>'Irl. Energy Balance 2013 (ktoe)'!AF39*0.01163</f>
        <v>0</v>
      </c>
      <c r="AG39" s="1865">
        <f>'Irl. Energy Balance 2013 (ktoe)'!AG39*0.01163</f>
        <v>0</v>
      </c>
      <c r="AH39" s="3534">
        <f>'Irl. Energy Balance 2013 (ktoe)'!AH39*0.01163</f>
        <v>0</v>
      </c>
      <c r="AI39" s="1807">
        <f>'Irl. Energy Balance 2013 (ktoe)'!AI39*0.01163</f>
        <v>0</v>
      </c>
      <c r="AJ39" s="1810">
        <f>'Irl. Energy Balance 2013 (ktoe)'!AJ39*0.01163</f>
        <v>0.40574064059158027</v>
      </c>
      <c r="AK39" s="1975">
        <f>'Irl. Energy Balance 2013 (ktoe)'!AK39*0.01163</f>
        <v>0.59086240284075664</v>
      </c>
      <c r="AL39" s="1808">
        <f>'Irl. Energy Balance 2013 (ktoe)'!AL39*0.01163</f>
        <v>0</v>
      </c>
      <c r="AM39" s="1812">
        <f>'Irl. Energy Balance 2013 (ktoe)'!AM39*0.01163</f>
        <v>3.8070869421514533</v>
      </c>
      <c r="AP39"/>
      <c r="AQ39"/>
      <c r="AR39"/>
      <c r="AS39"/>
      <c r="AT39"/>
      <c r="AU39"/>
      <c r="AV39"/>
    </row>
    <row r="40" spans="1:48">
      <c r="A40" s="1972" t="s">
        <v>1456</v>
      </c>
      <c r="B40" s="1977" t="s">
        <v>1457</v>
      </c>
      <c r="C40" s="1801">
        <f>'Irl. Energy Balance 2013 (ktoe)'!C40*0.01163</f>
        <v>0</v>
      </c>
      <c r="D40" s="1865">
        <f>'Irl. Energy Balance 2013 (ktoe)'!D40*0.01163</f>
        <v>0</v>
      </c>
      <c r="E40" s="1807">
        <f>'Irl. Energy Balance 2013 (ktoe)'!E40*0.01163</f>
        <v>0</v>
      </c>
      <c r="F40" s="1804">
        <f>'Irl. Energy Balance 2013 (ktoe)'!F40*0.01163</f>
        <v>0</v>
      </c>
      <c r="G40" s="1804">
        <f>'Irl. Energy Balance 2013 (ktoe)'!G40*0.01163</f>
        <v>0</v>
      </c>
      <c r="H40" s="1805">
        <f>'Irl. Energy Balance 2013 (ktoe)'!H40*0.01163</f>
        <v>0</v>
      </c>
      <c r="I40" s="1806">
        <f>'Irl. Energy Balance 2013 (ktoe)'!I40*0.01163</f>
        <v>0</v>
      </c>
      <c r="J40" s="1807">
        <f>'Irl. Energy Balance 2013 (ktoe)'!J40*0.01163</f>
        <v>0</v>
      </c>
      <c r="K40" s="1807">
        <f>'Irl. Energy Balance 2013 (ktoe)'!K40*0.01163</f>
        <v>0</v>
      </c>
      <c r="L40" s="1974">
        <f>'Irl. Energy Balance 2013 (ktoe)'!L40*0.01163</f>
        <v>1.1121597130324192</v>
      </c>
      <c r="M40" s="1807">
        <f>'Irl. Energy Balance 2013 (ktoe)'!M40*0.01163</f>
        <v>0</v>
      </c>
      <c r="N40" s="1807">
        <f>'Irl. Energy Balance 2013 (ktoe)'!N40*0.01163</f>
        <v>0</v>
      </c>
      <c r="O40" s="1865">
        <f>'Irl. Energy Balance 2013 (ktoe)'!O40*0.01163</f>
        <v>0</v>
      </c>
      <c r="P40" s="1865">
        <f>'Irl. Energy Balance 2013 (ktoe)'!P40*0.01163</f>
        <v>0</v>
      </c>
      <c r="Q40" s="1807">
        <f>'Irl. Energy Balance 2013 (ktoe)'!Q40*0.01163</f>
        <v>0</v>
      </c>
      <c r="R40" s="1865">
        <f>'Irl. Energy Balance 2013 (ktoe)'!R40*0.01163</f>
        <v>1.0188010038973989</v>
      </c>
      <c r="S40" s="1865">
        <f>'Irl. Energy Balance 2013 (ktoe)'!S40*0.01163</f>
        <v>6.4226515907941206E-2</v>
      </c>
      <c r="T40" s="1865">
        <f>'Irl. Energy Balance 2013 (ktoe)'!T40*0.01163</f>
        <v>2.9132193227079065E-2</v>
      </c>
      <c r="U40" s="1865">
        <f>'Irl. Energy Balance 2013 (ktoe)'!U40*0.01163</f>
        <v>0</v>
      </c>
      <c r="V40" s="1804">
        <f>'Irl. Energy Balance 2013 (ktoe)'!V40*0.01163</f>
        <v>0</v>
      </c>
      <c r="W40" s="1804">
        <f>'Irl. Energy Balance 2013 (ktoe)'!W40*0.01163</f>
        <v>0</v>
      </c>
      <c r="X40" s="1804">
        <f>'Irl. Energy Balance 2013 (ktoe)'!X40*0.01163</f>
        <v>0</v>
      </c>
      <c r="Y40" s="1807">
        <f>'Irl. Energy Balance 2013 (ktoe)'!Y40*0.01163</f>
        <v>0</v>
      </c>
      <c r="Z40" s="1975">
        <f>'Irl. Energy Balance 2013 (ktoe)'!Z40*0.01163</f>
        <v>3.7319241043339058</v>
      </c>
      <c r="AA40" s="1808">
        <f>'Irl. Energy Balance 2013 (ktoe)'!AA40*0.01163</f>
        <v>0</v>
      </c>
      <c r="AB40" s="1809">
        <f>'Irl. Energy Balance 2013 (ktoe)'!AB40*0.01163</f>
        <v>0</v>
      </c>
      <c r="AC40" s="1807">
        <f>'Irl. Energy Balance 2013 (ktoe)'!AC40*0.01163</f>
        <v>0</v>
      </c>
      <c r="AD40" s="1807">
        <f>'Irl. Energy Balance 2013 (ktoe)'!AD40*0.01163</f>
        <v>0</v>
      </c>
      <c r="AE40" s="1865">
        <f>'Irl. Energy Balance 2013 (ktoe)'!AE40*0.01163</f>
        <v>0</v>
      </c>
      <c r="AF40" s="1865">
        <f>'Irl. Energy Balance 2013 (ktoe)'!AF40*0.01163</f>
        <v>0</v>
      </c>
      <c r="AG40" s="1865">
        <f>'Irl. Energy Balance 2013 (ktoe)'!AG40*0.01163</f>
        <v>0</v>
      </c>
      <c r="AH40" s="3534">
        <f>'Irl. Energy Balance 2013 (ktoe)'!AH40*0.01163</f>
        <v>0</v>
      </c>
      <c r="AI40" s="1807">
        <f>'Irl. Energy Balance 2013 (ktoe)'!AI40*0.01163</f>
        <v>0</v>
      </c>
      <c r="AJ40" s="1810">
        <f>'Irl. Energy Balance 2013 (ktoe)'!AJ40*0.01163</f>
        <v>0</v>
      </c>
      <c r="AK40" s="1975">
        <f>'Irl. Energy Balance 2013 (ktoe)'!AK40*0.01163</f>
        <v>0.74147331543022987</v>
      </c>
      <c r="AL40" s="1808">
        <f>'Irl. Energy Balance 2013 (ktoe)'!AL40*0.01163</f>
        <v>0</v>
      </c>
      <c r="AM40" s="1812">
        <f>'Irl. Energy Balance 2013 (ktoe)'!AM40*0.01163</f>
        <v>5.5855571327965547</v>
      </c>
      <c r="AP40"/>
      <c r="AQ40"/>
      <c r="AR40"/>
      <c r="AS40"/>
      <c r="AT40"/>
      <c r="AU40"/>
      <c r="AV40"/>
    </row>
    <row r="41" spans="1:48">
      <c r="A41" s="1972" t="s">
        <v>1458</v>
      </c>
      <c r="B41" s="1977" t="s">
        <v>1459</v>
      </c>
      <c r="C41" s="1801">
        <f>'Irl. Energy Balance 2013 (ktoe)'!C41*0.01163</f>
        <v>0</v>
      </c>
      <c r="D41" s="1865">
        <f>'Irl. Energy Balance 2013 (ktoe)'!D41*0.01163</f>
        <v>0</v>
      </c>
      <c r="E41" s="1807">
        <f>'Irl. Energy Balance 2013 (ktoe)'!E41*0.01163</f>
        <v>0</v>
      </c>
      <c r="F41" s="1804">
        <f>'Irl. Energy Balance 2013 (ktoe)'!F41*0.01163</f>
        <v>0</v>
      </c>
      <c r="G41" s="1804">
        <f>'Irl. Energy Balance 2013 (ktoe)'!G41*0.01163</f>
        <v>0</v>
      </c>
      <c r="H41" s="1805">
        <f>'Irl. Energy Balance 2013 (ktoe)'!H41*0.01163</f>
        <v>0</v>
      </c>
      <c r="I41" s="1806">
        <f>'Irl. Energy Balance 2013 (ktoe)'!I41*0.01163</f>
        <v>0</v>
      </c>
      <c r="J41" s="1807">
        <f>'Irl. Energy Balance 2013 (ktoe)'!J41*0.01163</f>
        <v>0</v>
      </c>
      <c r="K41" s="1807">
        <f>'Irl. Energy Balance 2013 (ktoe)'!K41*0.01163</f>
        <v>0</v>
      </c>
      <c r="L41" s="1974">
        <f>'Irl. Energy Balance 2013 (ktoe)'!L41*0.01163</f>
        <v>6.4561690596425886E-2</v>
      </c>
      <c r="M41" s="1807">
        <f>'Irl. Energy Balance 2013 (ktoe)'!M41*0.01163</f>
        <v>0</v>
      </c>
      <c r="N41" s="1807">
        <f>'Irl. Energy Balance 2013 (ktoe)'!N41*0.01163</f>
        <v>0</v>
      </c>
      <c r="O41" s="1865">
        <f>'Irl. Energy Balance 2013 (ktoe)'!O41*0.01163</f>
        <v>0</v>
      </c>
      <c r="P41" s="1865">
        <f>'Irl. Energy Balance 2013 (ktoe)'!P41*0.01163</f>
        <v>4.4635809229921783E-3</v>
      </c>
      <c r="Q41" s="1807">
        <f>'Irl. Energy Balance 2013 (ktoe)'!Q41*0.01163</f>
        <v>0</v>
      </c>
      <c r="R41" s="1865">
        <f>'Irl. Energy Balance 2013 (ktoe)'!R41*0.01163</f>
        <v>2.8569419469959994E-3</v>
      </c>
      <c r="S41" s="1865">
        <f>'Irl. Energy Balance 2013 (ktoe)'!S41*0.01163</f>
        <v>2.629805437983752E-2</v>
      </c>
      <c r="T41" s="1865">
        <f>'Irl. Energy Balance 2013 (ktoe)'!T41*0.01163</f>
        <v>3.0943113346600191E-2</v>
      </c>
      <c r="U41" s="1865">
        <f>'Irl. Energy Balance 2013 (ktoe)'!U41*0.01163</f>
        <v>0</v>
      </c>
      <c r="V41" s="1804">
        <f>'Irl. Energy Balance 2013 (ktoe)'!V41*0.01163</f>
        <v>0</v>
      </c>
      <c r="W41" s="1804">
        <f>'Irl. Energy Balance 2013 (ktoe)'!W41*0.01163</f>
        <v>0</v>
      </c>
      <c r="X41" s="1804">
        <f>'Irl. Energy Balance 2013 (ktoe)'!X41*0.01163</f>
        <v>0</v>
      </c>
      <c r="Y41" s="1807">
        <f>'Irl. Energy Balance 2013 (ktoe)'!Y41*0.01163</f>
        <v>0</v>
      </c>
      <c r="Z41" s="1975">
        <f>'Irl. Energy Balance 2013 (ktoe)'!Z41*0.01163</f>
        <v>5.492422056359985E-2</v>
      </c>
      <c r="AA41" s="1808">
        <f>'Irl. Energy Balance 2013 (ktoe)'!AA41*0.01163</f>
        <v>0</v>
      </c>
      <c r="AB41" s="1809">
        <f>'Irl. Energy Balance 2013 (ktoe)'!AB41*0.01163</f>
        <v>0</v>
      </c>
      <c r="AC41" s="1807">
        <f>'Irl. Energy Balance 2013 (ktoe)'!AC41*0.01163</f>
        <v>0</v>
      </c>
      <c r="AD41" s="1807">
        <f>'Irl. Energy Balance 2013 (ktoe)'!AD41*0.01163</f>
        <v>0</v>
      </c>
      <c r="AE41" s="1865">
        <f>'Irl. Energy Balance 2013 (ktoe)'!AE41*0.01163</f>
        <v>0</v>
      </c>
      <c r="AF41" s="1865">
        <f>'Irl. Energy Balance 2013 (ktoe)'!AF41*0.01163</f>
        <v>0</v>
      </c>
      <c r="AG41" s="1865">
        <f>'Irl. Energy Balance 2013 (ktoe)'!AG41*0.01163</f>
        <v>0</v>
      </c>
      <c r="AH41" s="3534">
        <f>'Irl. Energy Balance 2013 (ktoe)'!AH41*0.01163</f>
        <v>0</v>
      </c>
      <c r="AI41" s="1807">
        <f>'Irl. Energy Balance 2013 (ktoe)'!AI41*0.01163</f>
        <v>0</v>
      </c>
      <c r="AJ41" s="1810">
        <f>'Irl. Energy Balance 2013 (ktoe)'!AJ41*0.01163</f>
        <v>0</v>
      </c>
      <c r="AK41" s="1975">
        <f>'Irl. Energy Balance 2013 (ktoe)'!AK41*0.01163</f>
        <v>0.23671717963552569</v>
      </c>
      <c r="AL41" s="1808">
        <f>'Irl. Energy Balance 2013 (ktoe)'!AL41*0.01163</f>
        <v>0</v>
      </c>
      <c r="AM41" s="1812">
        <f>'Irl. Energy Balance 2013 (ktoe)'!AM41*0.01163</f>
        <v>0.35620309079555146</v>
      </c>
      <c r="AP41"/>
      <c r="AQ41"/>
      <c r="AR41"/>
      <c r="AS41"/>
      <c r="AT41"/>
      <c r="AU41"/>
      <c r="AV41"/>
    </row>
    <row r="42" spans="1:48">
      <c r="A42" s="1972" t="s">
        <v>1460</v>
      </c>
      <c r="B42" s="1977" t="s">
        <v>1461</v>
      </c>
      <c r="C42" s="1801">
        <f>'Irl. Energy Balance 2013 (ktoe)'!C42*0.01163</f>
        <v>9.1573280370806574E-6</v>
      </c>
      <c r="D42" s="1865">
        <f>'Irl. Energy Balance 2013 (ktoe)'!D42*0.01163</f>
        <v>9.1573280370806574E-6</v>
      </c>
      <c r="E42" s="1807">
        <f>'Irl. Energy Balance 2013 (ktoe)'!E42*0.01163</f>
        <v>0</v>
      </c>
      <c r="F42" s="1804">
        <f>'Irl. Energy Balance 2013 (ktoe)'!F42*0.01163</f>
        <v>0</v>
      </c>
      <c r="G42" s="1804">
        <f>'Irl. Energy Balance 2013 (ktoe)'!G42*0.01163</f>
        <v>0</v>
      </c>
      <c r="H42" s="1805">
        <f>'Irl. Energy Balance 2013 (ktoe)'!H42*0.01163</f>
        <v>0</v>
      </c>
      <c r="I42" s="1806">
        <f>'Irl. Energy Balance 2013 (ktoe)'!I42*0.01163</f>
        <v>0</v>
      </c>
      <c r="J42" s="1807">
        <f>'Irl. Energy Balance 2013 (ktoe)'!J42*0.01163</f>
        <v>0</v>
      </c>
      <c r="K42" s="1807">
        <f>'Irl. Energy Balance 2013 (ktoe)'!K42*0.01163</f>
        <v>0</v>
      </c>
      <c r="L42" s="1974">
        <f>'Irl. Energy Balance 2013 (ktoe)'!L42*0.01163</f>
        <v>0.48876822481258109</v>
      </c>
      <c r="M42" s="1807">
        <f>'Irl. Energy Balance 2013 (ktoe)'!M42*0.01163</f>
        <v>0</v>
      </c>
      <c r="N42" s="1807">
        <f>'Irl. Energy Balance 2013 (ktoe)'!N42*0.01163</f>
        <v>0</v>
      </c>
      <c r="O42" s="1865">
        <f>'Irl. Energy Balance 2013 (ktoe)'!O42*0.01163</f>
        <v>0</v>
      </c>
      <c r="P42" s="1865">
        <f>'Irl. Energy Balance 2013 (ktoe)'!P42*0.01163</f>
        <v>3.691335088564467E-3</v>
      </c>
      <c r="Q42" s="1807">
        <f>'Irl. Energy Balance 2013 (ktoe)'!Q42*0.01163</f>
        <v>0</v>
      </c>
      <c r="R42" s="1865">
        <f>'Irl. Energy Balance 2013 (ktoe)'!R42*0.01163</f>
        <v>2.3626613333288713E-3</v>
      </c>
      <c r="S42" s="1865">
        <f>'Irl. Energy Balance 2013 (ktoe)'!S42*0.01163</f>
        <v>0.46491996982495837</v>
      </c>
      <c r="T42" s="1865">
        <f>'Irl. Energy Balance 2013 (ktoe)'!T42*0.01163</f>
        <v>1.7794258565729373E-2</v>
      </c>
      <c r="U42" s="1865">
        <f>'Irl. Energy Balance 2013 (ktoe)'!U42*0.01163</f>
        <v>0</v>
      </c>
      <c r="V42" s="1804">
        <f>'Irl. Energy Balance 2013 (ktoe)'!V42*0.01163</f>
        <v>0</v>
      </c>
      <c r="W42" s="1804">
        <f>'Irl. Energy Balance 2013 (ktoe)'!W42*0.01163</f>
        <v>0</v>
      </c>
      <c r="X42" s="1804">
        <f>'Irl. Energy Balance 2013 (ktoe)'!X42*0.01163</f>
        <v>0</v>
      </c>
      <c r="Y42" s="1807">
        <f>'Irl. Energy Balance 2013 (ktoe)'!Y42*0.01163</f>
        <v>0</v>
      </c>
      <c r="Z42" s="1978">
        <f>'Irl. Energy Balance 2013 (ktoe)'!Z42*0.01163</f>
        <v>1.2358950896989283</v>
      </c>
      <c r="AA42" s="1808">
        <f>'Irl. Energy Balance 2013 (ktoe)'!AA42*0.01163</f>
        <v>0</v>
      </c>
      <c r="AB42" s="1809">
        <f>'Irl. Energy Balance 2013 (ktoe)'!AB42*0.01163</f>
        <v>0</v>
      </c>
      <c r="AC42" s="1807">
        <f>'Irl. Energy Balance 2013 (ktoe)'!AC42*0.01163</f>
        <v>0</v>
      </c>
      <c r="AD42" s="1807">
        <f>'Irl. Energy Balance 2013 (ktoe)'!AD42*0.01163</f>
        <v>0</v>
      </c>
      <c r="AE42" s="1865">
        <f>'Irl. Energy Balance 2013 (ktoe)'!AE42*0.01163</f>
        <v>0</v>
      </c>
      <c r="AF42" s="1865">
        <f>'Irl. Energy Balance 2013 (ktoe)'!AF42*0.01163</f>
        <v>0</v>
      </c>
      <c r="AG42" s="1865">
        <f>'Irl. Energy Balance 2013 (ktoe)'!AG42*0.01163</f>
        <v>0</v>
      </c>
      <c r="AH42" s="3535">
        <f>'Irl. Energy Balance 2013 (ktoe)'!AH42*0.01163</f>
        <v>0</v>
      </c>
      <c r="AI42" s="1807">
        <f>'Irl. Energy Balance 2013 (ktoe)'!AI42*0.01163</f>
        <v>0</v>
      </c>
      <c r="AJ42" s="1980">
        <f>'Irl. Energy Balance 2013 (ktoe)'!AJ42*0.01163</f>
        <v>0</v>
      </c>
      <c r="AK42" s="1978">
        <f>'Irl. Energy Balance 2013 (ktoe)'!AK42*0.01163</f>
        <v>1.1468741254579613</v>
      </c>
      <c r="AL42" s="1808">
        <f>'Irl. Energy Balance 2013 (ktoe)'!AL42*0.01163</f>
        <v>0</v>
      </c>
      <c r="AM42" s="1812">
        <f>'Irl. Energy Balance 2013 (ktoe)'!AM42*0.01163</f>
        <v>2.8715465972975074</v>
      </c>
      <c r="AP42"/>
      <c r="AQ42"/>
      <c r="AR42"/>
      <c r="AS42"/>
      <c r="AT42"/>
      <c r="AU42"/>
      <c r="AV42"/>
    </row>
    <row r="43" spans="1:48">
      <c r="A43" s="1972" t="s">
        <v>1462</v>
      </c>
      <c r="B43" s="1977" t="s">
        <v>1463</v>
      </c>
      <c r="C43" s="1801">
        <f>'Irl. Energy Balance 2013 (ktoe)'!C43*0.01163</f>
        <v>0</v>
      </c>
      <c r="D43" s="1865">
        <f>'Irl. Energy Balance 2013 (ktoe)'!D43*0.01163</f>
        <v>0</v>
      </c>
      <c r="E43" s="1807">
        <f>'Irl. Energy Balance 2013 (ktoe)'!E43*0.01163</f>
        <v>0</v>
      </c>
      <c r="F43" s="1804">
        <f>'Irl. Energy Balance 2013 (ktoe)'!F43*0.01163</f>
        <v>0</v>
      </c>
      <c r="G43" s="1804">
        <f>'Irl. Energy Balance 2013 (ktoe)'!G43*0.01163</f>
        <v>0</v>
      </c>
      <c r="H43" s="1805">
        <f>'Irl. Energy Balance 2013 (ktoe)'!H43*0.01163</f>
        <v>0</v>
      </c>
      <c r="I43" s="1806">
        <f>'Irl. Energy Balance 2013 (ktoe)'!I43*0.01163</f>
        <v>0</v>
      </c>
      <c r="J43" s="1807">
        <f>'Irl. Energy Balance 2013 (ktoe)'!J43*0.01163</f>
        <v>0</v>
      </c>
      <c r="K43" s="1807">
        <f>'Irl. Energy Balance 2013 (ktoe)'!K43*0.01163</f>
        <v>0</v>
      </c>
      <c r="L43" s="1974">
        <f>'Irl. Energy Balance 2013 (ktoe)'!L43*0.01163</f>
        <v>5.4827801018177406E-2</v>
      </c>
      <c r="M43" s="1807">
        <f>'Irl. Energy Balance 2013 (ktoe)'!M43*0.01163</f>
        <v>0</v>
      </c>
      <c r="N43" s="1807">
        <f>'Irl. Energy Balance 2013 (ktoe)'!N43*0.01163</f>
        <v>0</v>
      </c>
      <c r="O43" s="1865">
        <f>'Irl. Energy Balance 2013 (ktoe)'!O43*0.01163</f>
        <v>0</v>
      </c>
      <c r="P43" s="1865">
        <f>'Irl. Energy Balance 2013 (ktoe)'!P43*0.01163</f>
        <v>2.8881994207596456E-3</v>
      </c>
      <c r="Q43" s="1807">
        <f>'Irl. Energy Balance 2013 (ktoe)'!Q43*0.01163</f>
        <v>0</v>
      </c>
      <c r="R43" s="1865">
        <f>'Irl. Energy Balance 2013 (ktoe)'!R43*0.01163</f>
        <v>1.8486094951150585E-3</v>
      </c>
      <c r="S43" s="1865">
        <f>'Irl. Energy Balance 2013 (ktoe)'!S43*0.01163</f>
        <v>4.1928728954895869E-2</v>
      </c>
      <c r="T43" s="1865">
        <f>'Irl. Energy Balance 2013 (ktoe)'!T43*0.01163</f>
        <v>8.1622631474068345E-3</v>
      </c>
      <c r="U43" s="1865">
        <f>'Irl. Energy Balance 2013 (ktoe)'!U43*0.01163</f>
        <v>0</v>
      </c>
      <c r="V43" s="1804">
        <f>'Irl. Energy Balance 2013 (ktoe)'!V43*0.01163</f>
        <v>0</v>
      </c>
      <c r="W43" s="1804">
        <f>'Irl. Energy Balance 2013 (ktoe)'!W43*0.01163</f>
        <v>0</v>
      </c>
      <c r="X43" s="1804">
        <f>'Irl. Energy Balance 2013 (ktoe)'!X43*0.01163</f>
        <v>0</v>
      </c>
      <c r="Y43" s="1807">
        <f>'Irl. Energy Balance 2013 (ktoe)'!Y43*0.01163</f>
        <v>0</v>
      </c>
      <c r="Z43" s="1981">
        <f>'Irl. Energy Balance 2013 (ktoe)'!Z43*0.01163</f>
        <v>1.8678240072341215E-2</v>
      </c>
      <c r="AA43" s="1808">
        <f>'Irl. Energy Balance 2013 (ktoe)'!AA43*0.01163</f>
        <v>0</v>
      </c>
      <c r="AB43" s="1809">
        <f>'Irl. Energy Balance 2013 (ktoe)'!AB43*0.01163</f>
        <v>0</v>
      </c>
      <c r="AC43" s="1807">
        <f>'Irl. Energy Balance 2013 (ktoe)'!AC43*0.01163</f>
        <v>0</v>
      </c>
      <c r="AD43" s="1807">
        <f>'Irl. Energy Balance 2013 (ktoe)'!AD43*0.01163</f>
        <v>0</v>
      </c>
      <c r="AE43" s="1865">
        <f>'Irl. Energy Balance 2013 (ktoe)'!AE43*0.01163</f>
        <v>0</v>
      </c>
      <c r="AF43" s="1865">
        <f>'Irl. Energy Balance 2013 (ktoe)'!AF43*0.01163</f>
        <v>0</v>
      </c>
      <c r="AG43" s="1865">
        <f>'Irl. Energy Balance 2013 (ktoe)'!AG43*0.01163</f>
        <v>0</v>
      </c>
      <c r="AH43" s="3536">
        <f>'Irl. Energy Balance 2013 (ktoe)'!AH43*0.01163</f>
        <v>0</v>
      </c>
      <c r="AI43" s="1807">
        <f>'Irl. Energy Balance 2013 (ktoe)'!AI43*0.01163</f>
        <v>0</v>
      </c>
      <c r="AJ43" s="1920">
        <f>'Irl. Energy Balance 2013 (ktoe)'!AJ43*0.01163</f>
        <v>0</v>
      </c>
      <c r="AK43" s="1981">
        <f>'Irl. Energy Balance 2013 (ktoe)'!AK43*0.01163</f>
        <v>0.19618672083123675</v>
      </c>
      <c r="AL43" s="1808">
        <f>'Irl. Energy Balance 2013 (ktoe)'!AL43*0.01163</f>
        <v>0</v>
      </c>
      <c r="AM43" s="1812">
        <f>'Irl. Energy Balance 2013 (ktoe)'!AM43*0.01163</f>
        <v>0.2696927619217554</v>
      </c>
      <c r="AP43"/>
      <c r="AQ43"/>
      <c r="AR43"/>
      <c r="AS43"/>
      <c r="AT43"/>
      <c r="AU43"/>
      <c r="AV43"/>
    </row>
    <row r="44" spans="1:48">
      <c r="A44" s="1982" t="s">
        <v>1464</v>
      </c>
      <c r="B44" s="1983" t="s">
        <v>1465</v>
      </c>
      <c r="C44" s="1984">
        <f>'Irl. Energy Balance 2013 (ktoe)'!C44*0.01163</f>
        <v>1.9184602237683978E-3</v>
      </c>
      <c r="D44" s="1985">
        <f>'Irl. Energy Balance 2013 (ktoe)'!D44*0.01163</f>
        <v>1.9184602237683978E-3</v>
      </c>
      <c r="E44" s="1985">
        <f>'Irl. Energy Balance 2013 (ktoe)'!E44*0.01163</f>
        <v>0</v>
      </c>
      <c r="F44" s="1986">
        <f>'Irl. Energy Balance 2013 (ktoe)'!F44*0.01163</f>
        <v>0</v>
      </c>
      <c r="G44" s="1986">
        <f>'Irl. Energy Balance 2013 (ktoe)'!G44*0.01163</f>
        <v>0</v>
      </c>
      <c r="H44" s="1987">
        <f>'Irl. Energy Balance 2013 (ktoe)'!H44*0.01163</f>
        <v>3.9155883999999997E-4</v>
      </c>
      <c r="I44" s="1988">
        <f>'Irl. Energy Balance 2013 (ktoe)'!I44*0.01163</f>
        <v>0</v>
      </c>
      <c r="J44" s="1985">
        <f>'Irl. Energy Balance 2013 (ktoe)'!J44*0.01163</f>
        <v>0</v>
      </c>
      <c r="K44" s="1985">
        <f>'Irl. Energy Balance 2013 (ktoe)'!K44*0.01163</f>
        <v>3.9155883999999997E-4</v>
      </c>
      <c r="L44" s="1989">
        <f>'Irl. Energy Balance 2013 (ktoe)'!L44*0.01163</f>
        <v>0.4498817769692755</v>
      </c>
      <c r="M44" s="1985">
        <f>'Irl. Energy Balance 2013 (ktoe)'!M44*0.01163</f>
        <v>0</v>
      </c>
      <c r="N44" s="1985">
        <f>'Irl. Energy Balance 2013 (ktoe)'!N44*0.01163</f>
        <v>0</v>
      </c>
      <c r="O44" s="1865">
        <f>'Irl. Energy Balance 2013 (ktoe)'!O44*0.01163</f>
        <v>0</v>
      </c>
      <c r="P44" s="1985">
        <f>'Irl. Energy Balance 2013 (ktoe)'!P44*0.01163</f>
        <v>9.6129161469561672E-2</v>
      </c>
      <c r="Q44" s="1985">
        <f>'Irl. Energy Balance 2013 (ktoe)'!Q44*0.01163</f>
        <v>0</v>
      </c>
      <c r="R44" s="1985">
        <f>'Irl. Energy Balance 2013 (ktoe)'!R44*0.01163</f>
        <v>6.1528050789284076E-2</v>
      </c>
      <c r="S44" s="1985">
        <f>'Irl. Energy Balance 2013 (ktoe)'!S44*0.01163</f>
        <v>0.23823814897340126</v>
      </c>
      <c r="T44" s="1985">
        <f>'Irl. Energy Balance 2013 (ktoe)'!T44*0.01163</f>
        <v>5.3986415737028497E-2</v>
      </c>
      <c r="U44" s="1985">
        <f>'Irl. Energy Balance 2013 (ktoe)'!U44*0.01163</f>
        <v>0</v>
      </c>
      <c r="V44" s="1986">
        <f>'Irl. Energy Balance 2013 (ktoe)'!V44*0.01163</f>
        <v>0</v>
      </c>
      <c r="W44" s="1986">
        <f>'Irl. Energy Balance 2013 (ktoe)'!W44*0.01163</f>
        <v>0</v>
      </c>
      <c r="X44" s="1986">
        <f>'Irl. Energy Balance 2013 (ktoe)'!X44*0.01163</f>
        <v>0</v>
      </c>
      <c r="Y44" s="1985">
        <f>'Irl. Energy Balance 2013 (ktoe)'!Y44*0.01163</f>
        <v>0</v>
      </c>
      <c r="Z44" s="1990">
        <f>'Irl. Energy Balance 2013 (ktoe)'!Z44*0.01163</f>
        <v>6.4754873233253143E-2</v>
      </c>
      <c r="AA44" s="1991">
        <f>'Irl. Energy Balance 2013 (ktoe)'!AA44*0.01163</f>
        <v>0</v>
      </c>
      <c r="AB44" s="1992">
        <f>'Irl. Energy Balance 2013 (ktoe)'!AB44*0.01163</f>
        <v>0</v>
      </c>
      <c r="AC44" s="1985">
        <f>'Irl. Energy Balance 2013 (ktoe)'!AC44*0.01163</f>
        <v>0</v>
      </c>
      <c r="AD44" s="1985">
        <f>'Irl. Energy Balance 2013 (ktoe)'!AD44*0.01163</f>
        <v>0</v>
      </c>
      <c r="AE44" s="1917">
        <f>'Irl. Energy Balance 2013 (ktoe)'!AE44*0.01163</f>
        <v>0</v>
      </c>
      <c r="AF44" s="1917">
        <f>'Irl. Energy Balance 2013 (ktoe)'!AF44*0.01163</f>
        <v>0</v>
      </c>
      <c r="AG44" s="1917">
        <f>'Irl. Energy Balance 2013 (ktoe)'!AG44*0.01163</f>
        <v>0</v>
      </c>
      <c r="AH44" s="3537">
        <f>'Irl. Energy Balance 2013 (ktoe)'!AH44*0.01163</f>
        <v>0</v>
      </c>
      <c r="AI44" s="1985">
        <f>'Irl. Energy Balance 2013 (ktoe)'!AI44*0.01163</f>
        <v>0</v>
      </c>
      <c r="AJ44" s="1876">
        <f>'Irl. Energy Balance 2013 (ktoe)'!AJ44*0.01163</f>
        <v>0</v>
      </c>
      <c r="AK44" s="1990">
        <f>'Irl. Energy Balance 2013 (ktoe)'!AK44*0.01163</f>
        <v>0.90210599754294407</v>
      </c>
      <c r="AL44" s="1991">
        <f>'Irl. Energy Balance 2013 (ktoe)'!AL44*0.01163</f>
        <v>0</v>
      </c>
      <c r="AM44" s="1994">
        <f>'Irl. Energy Balance 2013 (ktoe)'!AM44*0.01163</f>
        <v>1.4190526668092411</v>
      </c>
      <c r="AP44"/>
      <c r="AQ44"/>
      <c r="AR44"/>
      <c r="AS44"/>
      <c r="AT44"/>
      <c r="AU44"/>
      <c r="AV44"/>
    </row>
    <row r="45" spans="1:48">
      <c r="A45" s="1995" t="s">
        <v>491</v>
      </c>
      <c r="B45" s="1996"/>
      <c r="C45" s="1997">
        <f>'Irl. Energy Balance 2013 (ktoe)'!C45*0.01163</f>
        <v>0</v>
      </c>
      <c r="D45" s="1887">
        <f>'Irl. Energy Balance 2013 (ktoe)'!D45*0.01163</f>
        <v>0</v>
      </c>
      <c r="E45" s="1887">
        <f>'Irl. Energy Balance 2013 (ktoe)'!E45*0.01163</f>
        <v>0</v>
      </c>
      <c r="F45" s="1998">
        <f>'Irl. Energy Balance 2013 (ktoe)'!F45*0.01163</f>
        <v>0</v>
      </c>
      <c r="G45" s="1998">
        <f>'Irl. Energy Balance 2013 (ktoe)'!G45*0.01163</f>
        <v>0</v>
      </c>
      <c r="H45" s="1999">
        <f>'Irl. Energy Balance 2013 (ktoe)'!H45*0.01163</f>
        <v>0</v>
      </c>
      <c r="I45" s="2000">
        <f>'Irl. Energy Balance 2013 (ktoe)'!I45*0.01163</f>
        <v>0</v>
      </c>
      <c r="J45" s="1887">
        <f>'Irl. Energy Balance 2013 (ktoe)'!J45*0.01163</f>
        <v>0</v>
      </c>
      <c r="K45" s="1887">
        <f>'Irl. Energy Balance 2013 (ktoe)'!K45*0.01163</f>
        <v>0</v>
      </c>
      <c r="L45" s="1999">
        <f>'Irl. Energy Balance 2013 (ktoe)'!L45*0.01163</f>
        <v>48.529723366399416</v>
      </c>
      <c r="M45" s="1887">
        <f>'Irl. Energy Balance 2013 (ktoe)'!M45*0.01163</f>
        <v>0</v>
      </c>
      <c r="N45" s="1887">
        <f>'Irl. Energy Balance 2013 (ktoe)'!N45*0.01163</f>
        <v>0</v>
      </c>
      <c r="O45" s="1887">
        <f>'Irl. Energy Balance 2013 (ktoe)'!O45*0.01163</f>
        <v>13.933536616293274</v>
      </c>
      <c r="P45" s="1887">
        <f>'Irl. Energy Balance 2013 (ktoe)'!P45*0.01163</f>
        <v>0</v>
      </c>
      <c r="Q45" s="1887">
        <f>'Irl. Energy Balance 2013 (ktoe)'!Q45*0.01163</f>
        <v>7.0439895727463462</v>
      </c>
      <c r="R45" s="1887">
        <f>'Irl. Energy Balance 2013 (ktoe)'!R45*0.01163</f>
        <v>0</v>
      </c>
      <c r="S45" s="1887">
        <f>'Irl. Energy Balance 2013 (ktoe)'!S45*0.01163</f>
        <v>1.5159187710960835E-2</v>
      </c>
      <c r="T45" s="1887">
        <f>'Irl. Energy Balance 2013 (ktoe)'!T45*0.01163</f>
        <v>27.537037989648852</v>
      </c>
      <c r="U45" s="1887">
        <f>'Irl. Energy Balance 2013 (ktoe)'!U45*0.01163</f>
        <v>0</v>
      </c>
      <c r="V45" s="1998">
        <f>'Irl. Energy Balance 2013 (ktoe)'!V45*0.01163</f>
        <v>0</v>
      </c>
      <c r="W45" s="1998">
        <f>'Irl. Energy Balance 2013 (ktoe)'!W45*0.01163</f>
        <v>0</v>
      </c>
      <c r="X45" s="1998">
        <f>'Irl. Energy Balance 2013 (ktoe)'!X45*0.01163</f>
        <v>0</v>
      </c>
      <c r="Y45" s="1887">
        <f>'Irl. Energy Balance 2013 (ktoe)'!Y45*0.01163</f>
        <v>0</v>
      </c>
      <c r="Z45" s="1999">
        <f>'Irl. Energy Balance 2013 (ktoe)'!Z45*0.01163</f>
        <v>0</v>
      </c>
      <c r="AA45" s="2001">
        <f>'Irl. Energy Balance 2013 (ktoe)'!AA45*0.01163</f>
        <v>1.189104060513738</v>
      </c>
      <c r="AB45" s="2002">
        <f>'Irl. Energy Balance 2013 (ktoe)'!AB45*0.01163</f>
        <v>0</v>
      </c>
      <c r="AC45" s="1887">
        <f>'Irl. Energy Balance 2013 (ktoe)'!AC45*0.01163</f>
        <v>0</v>
      </c>
      <c r="AD45" s="1887">
        <f>'Irl. Energy Balance 2013 (ktoe)'!AD45*0.01163</f>
        <v>0</v>
      </c>
      <c r="AE45" s="1887">
        <f>'Irl. Energy Balance 2013 (ktoe)'!AE45*0.01163</f>
        <v>0</v>
      </c>
      <c r="AF45" s="1887">
        <f>'Irl. Energy Balance 2013 (ktoe)'!AF45*0.01163</f>
        <v>0</v>
      </c>
      <c r="AG45" s="1887">
        <f>'Irl. Energy Balance 2013 (ktoe)'!AG45*0.01163</f>
        <v>1.189104060513738</v>
      </c>
      <c r="AH45" s="3538">
        <f>'Irl. Energy Balance 2013 (ktoe)'!AH45*0.01163</f>
        <v>0</v>
      </c>
      <c r="AI45" s="1887">
        <f>'Irl. Energy Balance 2013 (ktoe)'!AI45*0.01163</f>
        <v>0</v>
      </c>
      <c r="AJ45" s="1999">
        <f>'Irl. Energy Balance 2013 (ktoe)'!AJ45*0.01163</f>
        <v>0</v>
      </c>
      <c r="AK45" s="1999">
        <f>'Irl. Energy Balance 2013 (ktoe)'!AK45*0.01163</f>
        <v>4.1826848477780003E-2</v>
      </c>
      <c r="AL45" s="2001">
        <f>'Irl. Energy Balance 2013 (ktoe)'!AL45*0.01163</f>
        <v>0</v>
      </c>
      <c r="AM45" s="2003">
        <f>'Irl. Energy Balance 2013 (ktoe)'!AM45*0.01163</f>
        <v>49.760654275390934</v>
      </c>
      <c r="AP45"/>
      <c r="AQ45"/>
      <c r="AR45"/>
      <c r="AS45"/>
      <c r="AT45"/>
      <c r="AU45"/>
      <c r="AV45"/>
    </row>
    <row r="46" spans="1:48">
      <c r="A46" s="2004" t="s">
        <v>1279</v>
      </c>
      <c r="B46" s="2005"/>
      <c r="C46" s="1890">
        <f>'Irl. Energy Balance 2013 (ktoe)'!C46*0.01163</f>
        <v>0</v>
      </c>
      <c r="D46" s="2006">
        <f>'Irl. Energy Balance 2013 (ktoe)'!D46*0.01163</f>
        <v>0</v>
      </c>
      <c r="E46" s="1910">
        <f>'Irl. Energy Balance 2013 (ktoe)'!E46*0.01163</f>
        <v>0</v>
      </c>
      <c r="F46" s="1855">
        <f>'Irl. Energy Balance 2013 (ktoe)'!F46*0.01163</f>
        <v>0</v>
      </c>
      <c r="G46" s="1855">
        <f>'Irl. Energy Balance 2013 (ktoe)'!G46*0.01163</f>
        <v>0</v>
      </c>
      <c r="H46" s="1861">
        <f>'Irl. Energy Balance 2013 (ktoe)'!H46*0.01163</f>
        <v>0</v>
      </c>
      <c r="I46" s="1853">
        <f>'Irl. Energy Balance 2013 (ktoe)'!I46*0.01163</f>
        <v>0</v>
      </c>
      <c r="J46" s="1854">
        <f>'Irl. Energy Balance 2013 (ktoe)'!J46*0.01163</f>
        <v>0</v>
      </c>
      <c r="K46" s="1854">
        <f>'Irl. Energy Balance 2013 (ktoe)'!K46*0.01163</f>
        <v>0</v>
      </c>
      <c r="L46" s="1861">
        <f>'Irl. Energy Balance 2013 (ktoe)'!L46*0.01163</f>
        <v>6.54002115190106</v>
      </c>
      <c r="M46" s="1854">
        <f>'Irl. Energy Balance 2013 (ktoe)'!M46*0.01163</f>
        <v>0</v>
      </c>
      <c r="N46" s="1854">
        <f>'Irl. Energy Balance 2013 (ktoe)'!N46*0.01163</f>
        <v>0</v>
      </c>
      <c r="O46" s="1854">
        <f>'Irl. Energy Balance 2013 (ktoe)'!O46*0.01163</f>
        <v>0</v>
      </c>
      <c r="P46" s="1854">
        <f>'Irl. Energy Balance 2013 (ktoe)'!P46*0.01163</f>
        <v>0</v>
      </c>
      <c r="Q46" s="1854">
        <f>'Irl. Energy Balance 2013 (ktoe)'!Q46*0.01163</f>
        <v>0</v>
      </c>
      <c r="R46" s="1854">
        <f>'Irl. Energy Balance 2013 (ktoe)'!R46*0.01163</f>
        <v>0</v>
      </c>
      <c r="S46" s="1854">
        <f>'Irl. Energy Balance 2013 (ktoe)'!S46*0.01163</f>
        <v>0</v>
      </c>
      <c r="T46" s="1854">
        <f>'Irl. Energy Balance 2013 (ktoe)'!T46*0.01163</f>
        <v>6.54002115190106</v>
      </c>
      <c r="U46" s="1854">
        <f>'Irl. Energy Balance 2013 (ktoe)'!U46*0.01163</f>
        <v>0</v>
      </c>
      <c r="V46" s="1855">
        <f>'Irl. Energy Balance 2013 (ktoe)'!V46*0.01163</f>
        <v>0</v>
      </c>
      <c r="W46" s="1855">
        <f>'Irl. Energy Balance 2013 (ktoe)'!W46*0.01163</f>
        <v>0</v>
      </c>
      <c r="X46" s="1855">
        <f>'Irl. Energy Balance 2013 (ktoe)'!X46*0.01163</f>
        <v>0</v>
      </c>
      <c r="Y46" s="1854">
        <f>'Irl. Energy Balance 2013 (ktoe)'!Y46*0.01163</f>
        <v>0</v>
      </c>
      <c r="Z46" s="1861">
        <f>'Irl. Energy Balance 2013 (ktoe)'!Z46*0.01163</f>
        <v>0</v>
      </c>
      <c r="AA46" s="1857">
        <f>'Irl. Energy Balance 2013 (ktoe)'!AA46*0.01163</f>
        <v>0.21196503559318358</v>
      </c>
      <c r="AB46" s="1858">
        <f>'Irl. Energy Balance 2013 (ktoe)'!AB46*0.01163</f>
        <v>0</v>
      </c>
      <c r="AC46" s="1854">
        <f>'Irl. Energy Balance 2013 (ktoe)'!AC46*0.01163</f>
        <v>0</v>
      </c>
      <c r="AD46" s="1854">
        <f>'Irl. Energy Balance 2013 (ktoe)'!AD46*0.01163</f>
        <v>0</v>
      </c>
      <c r="AE46" s="1854">
        <f>'Irl. Energy Balance 2013 (ktoe)'!AE46*0.01163</f>
        <v>0</v>
      </c>
      <c r="AF46" s="1854">
        <f>'Irl. Energy Balance 2013 (ktoe)'!AF46*0.01163</f>
        <v>0</v>
      </c>
      <c r="AG46" s="1854">
        <f>'Irl. Energy Balance 2013 (ktoe)'!AG46*0.01163</f>
        <v>0.21196503559318358</v>
      </c>
      <c r="AH46" s="3533">
        <f>'Irl. Energy Balance 2013 (ktoe)'!AH46*0.01163</f>
        <v>0</v>
      </c>
      <c r="AI46" s="1854">
        <f>'Irl. Energy Balance 2013 (ktoe)'!AI46*0.01163</f>
        <v>0</v>
      </c>
      <c r="AJ46" s="1861">
        <f>'Irl. Energy Balance 2013 (ktoe)'!AJ46*0.01163</f>
        <v>0</v>
      </c>
      <c r="AK46" s="1891">
        <f>'Irl. Energy Balance 2013 (ktoe)'!AK46*0.01163</f>
        <v>0</v>
      </c>
      <c r="AL46" s="1857">
        <f>'Irl. Energy Balance 2013 (ktoe)'!AL46*0.01163</f>
        <v>0</v>
      </c>
      <c r="AM46" s="3483">
        <f>'Irl. Energy Balance 2013 (ktoe)'!AM46*0.01163</f>
        <v>6.7519861874942446</v>
      </c>
      <c r="AP46"/>
      <c r="AQ46"/>
      <c r="AR46"/>
      <c r="AS46"/>
      <c r="AT46"/>
      <c r="AU46"/>
      <c r="AV46"/>
    </row>
    <row r="47" spans="1:48">
      <c r="A47" s="2007" t="s">
        <v>1466</v>
      </c>
      <c r="B47" s="2008"/>
      <c r="C47" s="1964">
        <f>'Irl. Energy Balance 2013 (ktoe)'!C47*0.01163</f>
        <v>0</v>
      </c>
      <c r="D47" s="2009">
        <f>'Irl. Energy Balance 2013 (ktoe)'!D47*0.01163</f>
        <v>0</v>
      </c>
      <c r="E47" s="2010">
        <f>'Irl. Energy Balance 2013 (ktoe)'!E47*0.01163</f>
        <v>0</v>
      </c>
      <c r="F47" s="1965">
        <f>'Irl. Energy Balance 2013 (ktoe)'!F47*0.01163</f>
        <v>0</v>
      </c>
      <c r="G47" s="1965">
        <f>'Irl. Energy Balance 2013 (ktoe)'!G47*0.01163</f>
        <v>0</v>
      </c>
      <c r="H47" s="1966">
        <f>'Irl. Energy Balance 2013 (ktoe)'!H47*0.01163</f>
        <v>0</v>
      </c>
      <c r="I47" s="1967">
        <f>'Irl. Energy Balance 2013 (ktoe)'!I47*0.01163</f>
        <v>0</v>
      </c>
      <c r="J47" s="1865">
        <f>'Irl. Energy Balance 2013 (ktoe)'!J47*0.01163</f>
        <v>0</v>
      </c>
      <c r="K47" s="1865">
        <f>'Irl. Energy Balance 2013 (ktoe)'!K47*0.01163</f>
        <v>0</v>
      </c>
      <c r="L47" s="1966">
        <f>'Irl. Energy Balance 2013 (ktoe)'!L47*0.01163</f>
        <v>3.594664948039171</v>
      </c>
      <c r="M47" s="1865">
        <f>'Irl. Energy Balance 2013 (ktoe)'!M47*0.01163</f>
        <v>0</v>
      </c>
      <c r="N47" s="1865">
        <f>'Irl. Energy Balance 2013 (ktoe)'!N47*0.01163</f>
        <v>0</v>
      </c>
      <c r="O47" s="1865">
        <f>'Irl. Energy Balance 2013 (ktoe)'!O47*0.01163</f>
        <v>0</v>
      </c>
      <c r="P47" s="1865">
        <f>'Irl. Energy Balance 2013 (ktoe)'!P47*0.01163</f>
        <v>0</v>
      </c>
      <c r="Q47" s="1865">
        <f>'Irl. Energy Balance 2013 (ktoe)'!Q47*0.01163</f>
        <v>0</v>
      </c>
      <c r="R47" s="1865">
        <f>'Irl. Energy Balance 2013 (ktoe)'!R47*0.01163</f>
        <v>0</v>
      </c>
      <c r="S47" s="1865">
        <f>'Irl. Energy Balance 2013 (ktoe)'!S47*0.01163</f>
        <v>0</v>
      </c>
      <c r="T47" s="1865">
        <f>'Irl. Energy Balance 2013 (ktoe)'!T47*0.01163</f>
        <v>3.594664948039171</v>
      </c>
      <c r="U47" s="1865">
        <f>'Irl. Energy Balance 2013 (ktoe)'!U47*0.01163</f>
        <v>0</v>
      </c>
      <c r="V47" s="1965">
        <f>'Irl. Energy Balance 2013 (ktoe)'!V47*0.01163</f>
        <v>0</v>
      </c>
      <c r="W47" s="1965">
        <f>'Irl. Energy Balance 2013 (ktoe)'!W47*0.01163</f>
        <v>0</v>
      </c>
      <c r="X47" s="1965">
        <f>'Irl. Energy Balance 2013 (ktoe)'!X47*0.01163</f>
        <v>0</v>
      </c>
      <c r="Y47" s="1865">
        <f>'Irl. Energy Balance 2013 (ktoe)'!Y47*0.01163</f>
        <v>0</v>
      </c>
      <c r="Z47" s="1966">
        <f>'Irl. Energy Balance 2013 (ktoe)'!Z47*0.01163</f>
        <v>0</v>
      </c>
      <c r="AA47" s="1970">
        <f>'Irl. Energy Balance 2013 (ktoe)'!AA47*0.01163</f>
        <v>0.11650471244044983</v>
      </c>
      <c r="AB47" s="1971">
        <f>'Irl. Energy Balance 2013 (ktoe)'!AB47*0.01163</f>
        <v>0</v>
      </c>
      <c r="AC47" s="1865">
        <f>'Irl. Energy Balance 2013 (ktoe)'!AC47*0.01163</f>
        <v>0</v>
      </c>
      <c r="AD47" s="1865">
        <f>'Irl. Energy Balance 2013 (ktoe)'!AD47*0.01163</f>
        <v>0</v>
      </c>
      <c r="AE47" s="1865">
        <f>'Irl. Energy Balance 2013 (ktoe)'!AE47*0.01163</f>
        <v>0</v>
      </c>
      <c r="AF47" s="1865">
        <f>'Irl. Energy Balance 2013 (ktoe)'!AF47*0.01163</f>
        <v>0</v>
      </c>
      <c r="AG47" s="1865">
        <f>'Irl. Energy Balance 2013 (ktoe)'!AG47*0.01163</f>
        <v>0.11650471244044983</v>
      </c>
      <c r="AH47" s="3535">
        <f>'Irl. Energy Balance 2013 (ktoe)'!AH47*0.01163</f>
        <v>0</v>
      </c>
      <c r="AI47" s="1865">
        <f>'Irl. Energy Balance 2013 (ktoe)'!AI47*0.01163</f>
        <v>0</v>
      </c>
      <c r="AJ47" s="1966">
        <f>'Irl. Energy Balance 2013 (ktoe)'!AJ47*0.01163</f>
        <v>0</v>
      </c>
      <c r="AK47" s="1980">
        <f>'Irl. Energy Balance 2013 (ktoe)'!AK47*0.01163</f>
        <v>0</v>
      </c>
      <c r="AL47" s="1970">
        <f>'Irl. Energy Balance 2013 (ktoe)'!AL47*0.01163</f>
        <v>0</v>
      </c>
      <c r="AM47" s="3484">
        <f>'Irl. Energy Balance 2013 (ktoe)'!AM47*0.01163</f>
        <v>3.7111696604796212</v>
      </c>
      <c r="AP47"/>
      <c r="AQ47"/>
      <c r="AR47"/>
      <c r="AS47"/>
      <c r="AT47"/>
      <c r="AU47"/>
      <c r="AV47"/>
    </row>
    <row r="48" spans="1:48">
      <c r="A48" s="2011" t="s">
        <v>1467</v>
      </c>
      <c r="B48" s="2012"/>
      <c r="C48" s="1801">
        <f>'Irl. Energy Balance 2013 (ktoe)'!C48*0.01163</f>
        <v>0</v>
      </c>
      <c r="D48" s="1802">
        <f>'Irl. Energy Balance 2013 (ktoe)'!D48*0.01163</f>
        <v>0</v>
      </c>
      <c r="E48" s="1813">
        <f>'Irl. Energy Balance 2013 (ktoe)'!E48*0.01163</f>
        <v>0</v>
      </c>
      <c r="F48" s="1804">
        <f>'Irl. Energy Balance 2013 (ktoe)'!F48*0.01163</f>
        <v>0</v>
      </c>
      <c r="G48" s="1804">
        <f>'Irl. Energy Balance 2013 (ktoe)'!G48*0.01163</f>
        <v>0</v>
      </c>
      <c r="H48" s="1805">
        <f>'Irl. Energy Balance 2013 (ktoe)'!H48*0.01163</f>
        <v>0</v>
      </c>
      <c r="I48" s="1806">
        <f>'Irl. Energy Balance 2013 (ktoe)'!I48*0.01163</f>
        <v>0</v>
      </c>
      <c r="J48" s="1807">
        <f>'Irl. Energy Balance 2013 (ktoe)'!J48*0.01163</f>
        <v>0</v>
      </c>
      <c r="K48" s="1807">
        <f>'Irl. Energy Balance 2013 (ktoe)'!K48*0.01163</f>
        <v>0</v>
      </c>
      <c r="L48" s="1805">
        <f>'Irl. Energy Balance 2013 (ktoe)'!L48*0.01163</f>
        <v>20.835058097142223</v>
      </c>
      <c r="M48" s="1807">
        <f>'Irl. Energy Balance 2013 (ktoe)'!M48*0.01163</f>
        <v>0</v>
      </c>
      <c r="N48" s="1807">
        <f>'Irl. Energy Balance 2013 (ktoe)'!N48*0.01163</f>
        <v>0</v>
      </c>
      <c r="O48" s="1807">
        <f>'Irl. Energy Balance 2013 (ktoe)'!O48*0.01163</f>
        <v>10.677137083071901</v>
      </c>
      <c r="P48" s="1807">
        <f>'Irl. Energy Balance 2013 (ktoe)'!P48*0.01163</f>
        <v>0</v>
      </c>
      <c r="Q48" s="1807">
        <f>'Irl. Energy Balance 2013 (ktoe)'!Q48*0.01163</f>
        <v>0</v>
      </c>
      <c r="R48" s="1807">
        <f>'Irl. Energy Balance 2013 (ktoe)'!R48*0.01163</f>
        <v>0</v>
      </c>
      <c r="S48" s="1807">
        <f>'Irl. Energy Balance 2013 (ktoe)'!S48*0.01163</f>
        <v>1.5159187710960835E-2</v>
      </c>
      <c r="T48" s="1807">
        <f>'Irl. Energy Balance 2013 (ktoe)'!T48*0.01163</f>
        <v>10.142761826359362</v>
      </c>
      <c r="U48" s="1807">
        <f>'Irl. Energy Balance 2013 (ktoe)'!U48*0.01163</f>
        <v>0</v>
      </c>
      <c r="V48" s="1804">
        <f>'Irl. Energy Balance 2013 (ktoe)'!V48*0.01163</f>
        <v>0</v>
      </c>
      <c r="W48" s="1804">
        <f>'Irl. Energy Balance 2013 (ktoe)'!W48*0.01163</f>
        <v>0</v>
      </c>
      <c r="X48" s="1804">
        <f>'Irl. Energy Balance 2013 (ktoe)'!X48*0.01163</f>
        <v>0</v>
      </c>
      <c r="Y48" s="1807">
        <f>'Irl. Energy Balance 2013 (ktoe)'!Y48*0.01163</f>
        <v>0</v>
      </c>
      <c r="Z48" s="1805">
        <f>'Irl. Energy Balance 2013 (ktoe)'!Z48*0.01163</f>
        <v>0</v>
      </c>
      <c r="AA48" s="1808">
        <f>'Irl. Energy Balance 2013 (ktoe)'!AA48*0.01163</f>
        <v>0.58395005435288949</v>
      </c>
      <c r="AB48" s="1809">
        <f>'Irl. Energy Balance 2013 (ktoe)'!AB48*0.01163</f>
        <v>0</v>
      </c>
      <c r="AC48" s="1807">
        <f>'Irl. Energy Balance 2013 (ktoe)'!AC48*0.01163</f>
        <v>0</v>
      </c>
      <c r="AD48" s="1807">
        <f>'Irl. Energy Balance 2013 (ktoe)'!AD48*0.01163</f>
        <v>0</v>
      </c>
      <c r="AE48" s="1807">
        <f>'Irl. Energy Balance 2013 (ktoe)'!AE48*0.01163</f>
        <v>0</v>
      </c>
      <c r="AF48" s="1807">
        <f>'Irl. Energy Balance 2013 (ktoe)'!AF48*0.01163</f>
        <v>0</v>
      </c>
      <c r="AG48" s="1807">
        <f>'Irl. Energy Balance 2013 (ktoe)'!AG48*0.01163</f>
        <v>0.58395005435288949</v>
      </c>
      <c r="AH48" s="3534">
        <f>'Irl. Energy Balance 2013 (ktoe)'!AH48*0.01163</f>
        <v>0</v>
      </c>
      <c r="AI48" s="1807">
        <f>'Irl. Energy Balance 2013 (ktoe)'!AI48*0.01163</f>
        <v>0</v>
      </c>
      <c r="AJ48" s="1805">
        <f>'Irl. Energy Balance 2013 (ktoe)'!AJ48*0.01163</f>
        <v>0</v>
      </c>
      <c r="AK48" s="1810">
        <f>'Irl. Energy Balance 2013 (ktoe)'!AK48*0.01163</f>
        <v>0</v>
      </c>
      <c r="AL48" s="1808">
        <f>'Irl. Energy Balance 2013 (ktoe)'!AL48*0.01163</f>
        <v>0</v>
      </c>
      <c r="AM48" s="3485">
        <f>'Irl. Energy Balance 2013 (ktoe)'!AM48*0.01163</f>
        <v>21.419008151495113</v>
      </c>
      <c r="AP48"/>
      <c r="AQ48"/>
      <c r="AR48"/>
      <c r="AS48"/>
      <c r="AT48"/>
      <c r="AU48"/>
      <c r="AV48"/>
    </row>
    <row r="49" spans="1:48">
      <c r="A49" s="2011" t="s">
        <v>1468</v>
      </c>
      <c r="B49" s="2012"/>
      <c r="C49" s="1801">
        <f>'Irl. Energy Balance 2013 (ktoe)'!C49*0.01163</f>
        <v>0</v>
      </c>
      <c r="D49" s="1802">
        <f>'Irl. Energy Balance 2013 (ktoe)'!D49*0.01163</f>
        <v>0</v>
      </c>
      <c r="E49" s="1813">
        <f>'Irl. Energy Balance 2013 (ktoe)'!E49*0.01163</f>
        <v>0</v>
      </c>
      <c r="F49" s="1804">
        <f>'Irl. Energy Balance 2013 (ktoe)'!F49*0.01163</f>
        <v>0</v>
      </c>
      <c r="G49" s="1804">
        <f>'Irl. Energy Balance 2013 (ktoe)'!G49*0.01163</f>
        <v>0</v>
      </c>
      <c r="H49" s="1805">
        <f>'Irl. Energy Balance 2013 (ktoe)'!H49*0.01163</f>
        <v>0</v>
      </c>
      <c r="I49" s="1806">
        <f>'Irl. Energy Balance 2013 (ktoe)'!I49*0.01163</f>
        <v>0</v>
      </c>
      <c r="J49" s="1807">
        <f>'Irl. Energy Balance 2013 (ktoe)'!J49*0.01163</f>
        <v>0</v>
      </c>
      <c r="K49" s="1807">
        <f>'Irl. Energy Balance 2013 (ktoe)'!K49*0.01163</f>
        <v>0</v>
      </c>
      <c r="L49" s="1805">
        <f>'Irl. Energy Balance 2013 (ktoe)'!L49*0.01163</f>
        <v>1.7076273105045896</v>
      </c>
      <c r="M49" s="1807">
        <f>'Irl. Energy Balance 2013 (ktoe)'!M49*0.01163</f>
        <v>0</v>
      </c>
      <c r="N49" s="1807">
        <f>'Irl. Energy Balance 2013 (ktoe)'!N49*0.01163</f>
        <v>0</v>
      </c>
      <c r="O49" s="1807">
        <f>'Irl. Energy Balance 2013 (ktoe)'!O49*0.01163</f>
        <v>0.23482915621951433</v>
      </c>
      <c r="P49" s="1807">
        <f>'Irl. Energy Balance 2013 (ktoe)'!P49*0.01163</f>
        <v>0</v>
      </c>
      <c r="Q49" s="1807">
        <f>'Irl. Energy Balance 2013 (ktoe)'!Q49*0.01163</f>
        <v>0</v>
      </c>
      <c r="R49" s="1807">
        <f>'Irl. Energy Balance 2013 (ktoe)'!R49*0.01163</f>
        <v>0</v>
      </c>
      <c r="S49" s="1807">
        <f>'Irl. Energy Balance 2013 (ktoe)'!S49*0.01163</f>
        <v>0</v>
      </c>
      <c r="T49" s="1807">
        <f>'Irl. Energy Balance 2013 (ktoe)'!T49*0.01163</f>
        <v>1.4727981542850754</v>
      </c>
      <c r="U49" s="1807">
        <f>'Irl. Energy Balance 2013 (ktoe)'!U49*0.01163</f>
        <v>0</v>
      </c>
      <c r="V49" s="1804">
        <f>'Irl. Energy Balance 2013 (ktoe)'!V49*0.01163</f>
        <v>0</v>
      </c>
      <c r="W49" s="1804">
        <f>'Irl. Energy Balance 2013 (ktoe)'!W49*0.01163</f>
        <v>0</v>
      </c>
      <c r="X49" s="1804">
        <f>'Irl. Energy Balance 2013 (ktoe)'!X49*0.01163</f>
        <v>0</v>
      </c>
      <c r="Y49" s="1807">
        <f>'Irl. Energy Balance 2013 (ktoe)'!Y49*0.01163</f>
        <v>0</v>
      </c>
      <c r="Z49" s="1805">
        <f>'Irl. Energy Balance 2013 (ktoe)'!Z49*0.01163</f>
        <v>0</v>
      </c>
      <c r="AA49" s="1808">
        <f>'Irl. Energy Balance 2013 (ktoe)'!AA49*0.01163</f>
        <v>5.3334257230767478E-2</v>
      </c>
      <c r="AB49" s="1809">
        <f>'Irl. Energy Balance 2013 (ktoe)'!AB49*0.01163</f>
        <v>0</v>
      </c>
      <c r="AC49" s="1807">
        <f>'Irl. Energy Balance 2013 (ktoe)'!AC49*0.01163</f>
        <v>0</v>
      </c>
      <c r="AD49" s="1807">
        <f>'Irl. Energy Balance 2013 (ktoe)'!AD49*0.01163</f>
        <v>0</v>
      </c>
      <c r="AE49" s="1807">
        <f>'Irl. Energy Balance 2013 (ktoe)'!AE49*0.01163</f>
        <v>0</v>
      </c>
      <c r="AF49" s="1807">
        <f>'Irl. Energy Balance 2013 (ktoe)'!AF49*0.01163</f>
        <v>0</v>
      </c>
      <c r="AG49" s="1807">
        <f>'Irl. Energy Balance 2013 (ktoe)'!AG49*0.01163</f>
        <v>5.3334257230767478E-2</v>
      </c>
      <c r="AH49" s="3534">
        <f>'Irl. Energy Balance 2013 (ktoe)'!AH49*0.01163</f>
        <v>0</v>
      </c>
      <c r="AI49" s="1807">
        <f>'Irl. Energy Balance 2013 (ktoe)'!AI49*0.01163</f>
        <v>0</v>
      </c>
      <c r="AJ49" s="1805">
        <f>'Irl. Energy Balance 2013 (ktoe)'!AJ49*0.01163</f>
        <v>0</v>
      </c>
      <c r="AK49" s="1810">
        <f>'Irl. Energy Balance 2013 (ktoe)'!AK49*0.01163</f>
        <v>0</v>
      </c>
      <c r="AL49" s="1808">
        <f>'Irl. Energy Balance 2013 (ktoe)'!AL49*0.01163</f>
        <v>0</v>
      </c>
      <c r="AM49" s="3485">
        <f>'Irl. Energy Balance 2013 (ktoe)'!AM49*0.01163</f>
        <v>1.7609615677353572</v>
      </c>
      <c r="AP49"/>
      <c r="AQ49"/>
      <c r="AR49"/>
      <c r="AS49"/>
      <c r="AT49"/>
      <c r="AU49"/>
      <c r="AV49"/>
    </row>
    <row r="50" spans="1:48">
      <c r="A50" s="2011" t="s">
        <v>1246</v>
      </c>
      <c r="B50" s="2012"/>
      <c r="C50" s="1801">
        <f>'Irl. Energy Balance 2013 (ktoe)'!C50*0.01163</f>
        <v>0</v>
      </c>
      <c r="D50" s="1802">
        <f>'Irl. Energy Balance 2013 (ktoe)'!D50*0.01163</f>
        <v>0</v>
      </c>
      <c r="E50" s="1813">
        <f>'Irl. Energy Balance 2013 (ktoe)'!E50*0.01163</f>
        <v>0</v>
      </c>
      <c r="F50" s="1804">
        <f>'Irl. Energy Balance 2013 (ktoe)'!F50*0.01163</f>
        <v>0</v>
      </c>
      <c r="G50" s="1804">
        <f>'Irl. Energy Balance 2013 (ktoe)'!G50*0.01163</f>
        <v>0</v>
      </c>
      <c r="H50" s="1805">
        <f>'Irl. Energy Balance 2013 (ktoe)'!H50*0.01163</f>
        <v>0</v>
      </c>
      <c r="I50" s="1806">
        <f>'Irl. Energy Balance 2013 (ktoe)'!I50*0.01163</f>
        <v>0</v>
      </c>
      <c r="J50" s="1807">
        <f>'Irl. Energy Balance 2013 (ktoe)'!J50*0.01163</f>
        <v>0</v>
      </c>
      <c r="K50" s="1807">
        <f>'Irl. Energy Balance 2013 (ktoe)'!K50*0.01163</f>
        <v>0</v>
      </c>
      <c r="L50" s="1805">
        <f>'Irl. Energy Balance 2013 (ktoe)'!L50*0.01163</f>
        <v>0.44584514475445675</v>
      </c>
      <c r="M50" s="1807">
        <f>'Irl. Energy Balance 2013 (ktoe)'!M50*0.01163</f>
        <v>0</v>
      </c>
      <c r="N50" s="1807">
        <f>'Irl. Energy Balance 2013 (ktoe)'!N50*0.01163</f>
        <v>0</v>
      </c>
      <c r="O50" s="1807">
        <f>'Irl. Energy Balance 2013 (ktoe)'!O50*0.01163</f>
        <v>0</v>
      </c>
      <c r="P50" s="1807">
        <f>'Irl. Energy Balance 2013 (ktoe)'!P50*0.01163</f>
        <v>0</v>
      </c>
      <c r="Q50" s="1985">
        <f>'Irl. Energy Balance 2013 (ktoe)'!Q50*0.01163</f>
        <v>0</v>
      </c>
      <c r="R50" s="1807">
        <f>'Irl. Energy Balance 2013 (ktoe)'!R50*0.01163</f>
        <v>0</v>
      </c>
      <c r="S50" s="1807">
        <f>'Irl. Energy Balance 2013 (ktoe)'!S50*0.01163</f>
        <v>0</v>
      </c>
      <c r="T50" s="1807">
        <f>'Irl. Energy Balance 2013 (ktoe)'!T50*0.01163</f>
        <v>0.44584514475445675</v>
      </c>
      <c r="U50" s="1807">
        <f>'Irl. Energy Balance 2013 (ktoe)'!U50*0.01163</f>
        <v>0</v>
      </c>
      <c r="V50" s="1804">
        <f>'Irl. Energy Balance 2013 (ktoe)'!V50*0.01163</f>
        <v>0</v>
      </c>
      <c r="W50" s="1804">
        <f>'Irl. Energy Balance 2013 (ktoe)'!W50*0.01163</f>
        <v>0</v>
      </c>
      <c r="X50" s="1804">
        <f>'Irl. Energy Balance 2013 (ktoe)'!X50*0.01163</f>
        <v>0</v>
      </c>
      <c r="Y50" s="1807">
        <f>'Irl. Energy Balance 2013 (ktoe)'!Y50*0.01163</f>
        <v>0</v>
      </c>
      <c r="Z50" s="1805">
        <f>'Irl. Energy Balance 2013 (ktoe)'!Z50*0.01163</f>
        <v>0</v>
      </c>
      <c r="AA50" s="1808">
        <f>'Irl. Energy Balance 2013 (ktoe)'!AA50*0.01163</f>
        <v>0</v>
      </c>
      <c r="AB50" s="1809">
        <f>'Irl. Energy Balance 2013 (ktoe)'!AB50*0.01163</f>
        <v>0</v>
      </c>
      <c r="AC50" s="1807">
        <f>'Irl. Energy Balance 2013 (ktoe)'!AC50*0.01163</f>
        <v>0</v>
      </c>
      <c r="AD50" s="1807">
        <f>'Irl. Energy Balance 2013 (ktoe)'!AD50*0.01163</f>
        <v>0</v>
      </c>
      <c r="AE50" s="1807">
        <f>'Irl. Energy Balance 2013 (ktoe)'!AE50*0.01163</f>
        <v>0</v>
      </c>
      <c r="AF50" s="1807">
        <f>'Irl. Energy Balance 2013 (ktoe)'!AF50*0.01163</f>
        <v>0</v>
      </c>
      <c r="AG50" s="1807">
        <f>'Irl. Energy Balance 2013 (ktoe)'!AG50*0.01163</f>
        <v>0</v>
      </c>
      <c r="AH50" s="3534">
        <f>'Irl. Energy Balance 2013 (ktoe)'!AH50*0.01163</f>
        <v>0</v>
      </c>
      <c r="AI50" s="1807">
        <f>'Irl. Energy Balance 2013 (ktoe)'!AI50*0.01163</f>
        <v>0</v>
      </c>
      <c r="AJ50" s="1805">
        <f>'Irl. Energy Balance 2013 (ktoe)'!AJ50*0.01163</f>
        <v>0</v>
      </c>
      <c r="AK50" s="1810">
        <f>'Irl. Energy Balance 2013 (ktoe)'!AK50*0.01163</f>
        <v>4.1826848477780003E-2</v>
      </c>
      <c r="AL50" s="1808">
        <f>'Irl. Energy Balance 2013 (ktoe)'!AL50*0.01163</f>
        <v>0</v>
      </c>
      <c r="AM50" s="1812">
        <f>'Irl. Energy Balance 2013 (ktoe)'!AM50*0.01163</f>
        <v>0.4876719932322367</v>
      </c>
      <c r="AP50"/>
      <c r="AQ50"/>
      <c r="AR50"/>
      <c r="AS50"/>
      <c r="AT50"/>
      <c r="AU50"/>
      <c r="AV50"/>
    </row>
    <row r="51" spans="1:48">
      <c r="A51" s="2011" t="s">
        <v>1469</v>
      </c>
      <c r="B51" s="2012"/>
      <c r="C51" s="1801">
        <f>'Irl. Energy Balance 2013 (ktoe)'!C51*0.01163</f>
        <v>0</v>
      </c>
      <c r="D51" s="1802">
        <f>'Irl. Energy Balance 2013 (ktoe)'!D51*0.01163</f>
        <v>0</v>
      </c>
      <c r="E51" s="1813">
        <f>'Irl. Energy Balance 2013 (ktoe)'!E51*0.01163</f>
        <v>0</v>
      </c>
      <c r="F51" s="1804">
        <f>'Irl. Energy Balance 2013 (ktoe)'!F51*0.01163</f>
        <v>0</v>
      </c>
      <c r="G51" s="1804">
        <f>'Irl. Energy Balance 2013 (ktoe)'!G51*0.01163</f>
        <v>0</v>
      </c>
      <c r="H51" s="1805">
        <f>'Irl. Energy Balance 2013 (ktoe)'!H51*0.01163</f>
        <v>0</v>
      </c>
      <c r="I51" s="1806">
        <f>'Irl. Energy Balance 2013 (ktoe)'!I51*0.01163</f>
        <v>0</v>
      </c>
      <c r="J51" s="1807">
        <f>'Irl. Energy Balance 2013 (ktoe)'!J51*0.01163</f>
        <v>0</v>
      </c>
      <c r="K51" s="1807">
        <f>'Irl. Energy Balance 2013 (ktoe)'!K51*0.01163</f>
        <v>0</v>
      </c>
      <c r="L51" s="1805">
        <f>'Irl. Energy Balance 2013 (ktoe)'!L51*0.01163</f>
        <v>3.8952210585405385E-2</v>
      </c>
      <c r="M51" s="1807">
        <f>'Irl. Energy Balance 2013 (ktoe)'!M51*0.01163</f>
        <v>0</v>
      </c>
      <c r="N51" s="1807">
        <f>'Irl. Energy Balance 2013 (ktoe)'!N51*0.01163</f>
        <v>0</v>
      </c>
      <c r="O51" s="1807">
        <f>'Irl. Energy Balance 2013 (ktoe)'!O51*0.01163</f>
        <v>1.0477596222222222E-2</v>
      </c>
      <c r="P51" s="1807">
        <f>'Irl. Energy Balance 2013 (ktoe)'!P51*0.01163</f>
        <v>0</v>
      </c>
      <c r="Q51" s="1807">
        <f>'Irl. Energy Balance 2013 (ktoe)'!Q51*0.01163</f>
        <v>2.8474614363183166E-2</v>
      </c>
      <c r="R51" s="1807">
        <f>'Irl. Energy Balance 2013 (ktoe)'!R51*0.01163</f>
        <v>0</v>
      </c>
      <c r="S51" s="1807">
        <f>'Irl. Energy Balance 2013 (ktoe)'!S51*0.01163</f>
        <v>0</v>
      </c>
      <c r="T51" s="1807">
        <f>'Irl. Energy Balance 2013 (ktoe)'!T51*0.01163</f>
        <v>0</v>
      </c>
      <c r="U51" s="1807">
        <f>'Irl. Energy Balance 2013 (ktoe)'!U51*0.01163</f>
        <v>0</v>
      </c>
      <c r="V51" s="1804">
        <f>'Irl. Energy Balance 2013 (ktoe)'!V51*0.01163</f>
        <v>0</v>
      </c>
      <c r="W51" s="1804">
        <f>'Irl. Energy Balance 2013 (ktoe)'!W51*0.01163</f>
        <v>0</v>
      </c>
      <c r="X51" s="1804">
        <f>'Irl. Energy Balance 2013 (ktoe)'!X51*0.01163</f>
        <v>0</v>
      </c>
      <c r="Y51" s="1807">
        <f>'Irl. Energy Balance 2013 (ktoe)'!Y51*0.01163</f>
        <v>0</v>
      </c>
      <c r="Z51" s="1805">
        <f>'Irl. Energy Balance 2013 (ktoe)'!Z51*0.01163</f>
        <v>0</v>
      </c>
      <c r="AA51" s="1808">
        <f>'Irl. Energy Balance 2013 (ktoe)'!AA51*0.01163</f>
        <v>0</v>
      </c>
      <c r="AB51" s="1809">
        <f>'Irl. Energy Balance 2013 (ktoe)'!AB51*0.01163</f>
        <v>0</v>
      </c>
      <c r="AC51" s="1807">
        <f>'Irl. Energy Balance 2013 (ktoe)'!AC51*0.01163</f>
        <v>0</v>
      </c>
      <c r="AD51" s="1807">
        <f>'Irl. Energy Balance 2013 (ktoe)'!AD51*0.01163</f>
        <v>0</v>
      </c>
      <c r="AE51" s="1807">
        <f>'Irl. Energy Balance 2013 (ktoe)'!AE51*0.01163</f>
        <v>0</v>
      </c>
      <c r="AF51" s="1807">
        <f>'Irl. Energy Balance 2013 (ktoe)'!AF51*0.01163</f>
        <v>0</v>
      </c>
      <c r="AG51" s="1807">
        <f>'Irl. Energy Balance 2013 (ktoe)'!AG51*0.01163</f>
        <v>0</v>
      </c>
      <c r="AH51" s="3534">
        <f>'Irl. Energy Balance 2013 (ktoe)'!AH51*0.01163</f>
        <v>0</v>
      </c>
      <c r="AI51" s="1807">
        <f>'Irl. Energy Balance 2013 (ktoe)'!AI51*0.01163</f>
        <v>0</v>
      </c>
      <c r="AJ51" s="1805">
        <f>'Irl. Energy Balance 2013 (ktoe)'!AJ51*0.01163</f>
        <v>0</v>
      </c>
      <c r="AK51" s="1810">
        <f>'Irl. Energy Balance 2013 (ktoe)'!AK51*0.01163</f>
        <v>0</v>
      </c>
      <c r="AL51" s="1808">
        <f>'Irl. Energy Balance 2013 (ktoe)'!AL51*0.01163</f>
        <v>0</v>
      </c>
      <c r="AM51" s="1812">
        <f>'Irl. Energy Balance 2013 (ktoe)'!AM51*0.01163</f>
        <v>3.8952210585405385E-2</v>
      </c>
      <c r="AP51"/>
      <c r="AQ51"/>
      <c r="AR51"/>
      <c r="AS51"/>
      <c r="AT51"/>
      <c r="AU51"/>
      <c r="AV51"/>
    </row>
    <row r="52" spans="1:48">
      <c r="A52" s="2011" t="s">
        <v>1470</v>
      </c>
      <c r="B52" s="2013"/>
      <c r="C52" s="1984">
        <f>'Irl. Energy Balance 2013 (ktoe)'!C52*0.01163</f>
        <v>0</v>
      </c>
      <c r="D52" s="1985">
        <f>'Irl. Energy Balance 2013 (ktoe)'!D52*0.01163</f>
        <v>0</v>
      </c>
      <c r="E52" s="1985">
        <f>'Irl. Energy Balance 2013 (ktoe)'!E52*0.01163</f>
        <v>0</v>
      </c>
      <c r="F52" s="1986">
        <f>'Irl. Energy Balance 2013 (ktoe)'!F52*0.01163</f>
        <v>0</v>
      </c>
      <c r="G52" s="1986">
        <f>'Irl. Energy Balance 2013 (ktoe)'!G52*0.01163</f>
        <v>0</v>
      </c>
      <c r="H52" s="1987">
        <f>'Irl. Energy Balance 2013 (ktoe)'!H52*0.01163</f>
        <v>0</v>
      </c>
      <c r="I52" s="1988">
        <f>'Irl. Energy Balance 2013 (ktoe)'!I52*0.01163</f>
        <v>0</v>
      </c>
      <c r="J52" s="1985">
        <f>'Irl. Energy Balance 2013 (ktoe)'!J52*0.01163</f>
        <v>0</v>
      </c>
      <c r="K52" s="1985">
        <f>'Irl. Energy Balance 2013 (ktoe)'!K52*0.01163</f>
        <v>0</v>
      </c>
      <c r="L52" s="1987">
        <f>'Irl. Energy Balance 2013 (ktoe)'!L52*0.01163</f>
        <v>7.0155149583831626</v>
      </c>
      <c r="M52" s="1985">
        <f>'Irl. Energy Balance 2013 (ktoe)'!M52*0.01163</f>
        <v>0</v>
      </c>
      <c r="N52" s="1985">
        <f>'Irl. Energy Balance 2013 (ktoe)'!N52*0.01163</f>
        <v>0</v>
      </c>
      <c r="O52" s="1865">
        <f>'Irl. Energy Balance 2013 (ktoe)'!O52*0.01163</f>
        <v>0</v>
      </c>
      <c r="P52" s="1985">
        <f>'Irl. Energy Balance 2013 (ktoe)'!P52*0.01163</f>
        <v>0</v>
      </c>
      <c r="Q52" s="1985">
        <f>'Irl. Energy Balance 2013 (ktoe)'!Q52*0.01163</f>
        <v>7.0155149583831626</v>
      </c>
      <c r="R52" s="1985">
        <f>'Irl. Energy Balance 2013 (ktoe)'!R52*0.01163</f>
        <v>0</v>
      </c>
      <c r="S52" s="1985">
        <f>'Irl. Energy Balance 2013 (ktoe)'!S52*0.01163</f>
        <v>0</v>
      </c>
      <c r="T52" s="1985">
        <f>'Irl. Energy Balance 2013 (ktoe)'!T52*0.01163</f>
        <v>0</v>
      </c>
      <c r="U52" s="1985">
        <f>'Irl. Energy Balance 2013 (ktoe)'!U52*0.01163</f>
        <v>0</v>
      </c>
      <c r="V52" s="1986">
        <f>'Irl. Energy Balance 2013 (ktoe)'!V52*0.01163</f>
        <v>0</v>
      </c>
      <c r="W52" s="1986">
        <f>'Irl. Energy Balance 2013 (ktoe)'!W52*0.01163</f>
        <v>0</v>
      </c>
      <c r="X52" s="1986">
        <f>'Irl. Energy Balance 2013 (ktoe)'!X52*0.01163</f>
        <v>0</v>
      </c>
      <c r="Y52" s="1985">
        <f>'Irl. Energy Balance 2013 (ktoe)'!Y52*0.01163</f>
        <v>0</v>
      </c>
      <c r="Z52" s="1980">
        <f>'Irl. Energy Balance 2013 (ktoe)'!Z52*0.01163</f>
        <v>0</v>
      </c>
      <c r="AA52" s="1991">
        <f>'Irl. Energy Balance 2013 (ktoe)'!AA52*0.01163</f>
        <v>0</v>
      </c>
      <c r="AB52" s="1992">
        <f>'Irl. Energy Balance 2013 (ktoe)'!AB52*0.01163</f>
        <v>0</v>
      </c>
      <c r="AC52" s="1985">
        <f>'Irl. Energy Balance 2013 (ktoe)'!AC52*0.01163</f>
        <v>0</v>
      </c>
      <c r="AD52" s="1985">
        <f>'Irl. Energy Balance 2013 (ktoe)'!AD52*0.01163</f>
        <v>0</v>
      </c>
      <c r="AE52" s="1985">
        <f>'Irl. Energy Balance 2013 (ktoe)'!AE52*0.01163</f>
        <v>0</v>
      </c>
      <c r="AF52" s="1985">
        <f>'Irl. Energy Balance 2013 (ktoe)'!AF52*0.01163</f>
        <v>0</v>
      </c>
      <c r="AG52" s="1985">
        <f>'Irl. Energy Balance 2013 (ktoe)'!AG52*0.01163</f>
        <v>0</v>
      </c>
      <c r="AH52" s="3535">
        <f>'Irl. Energy Balance 2013 (ktoe)'!AH52*0.01163</f>
        <v>0</v>
      </c>
      <c r="AI52" s="1985">
        <f>'Irl. Energy Balance 2013 (ktoe)'!AI52*0.01163</f>
        <v>0</v>
      </c>
      <c r="AJ52" s="1980">
        <f>'Irl. Energy Balance 2013 (ktoe)'!AJ52*0.01163</f>
        <v>0</v>
      </c>
      <c r="AK52" s="1980">
        <f>'Irl. Energy Balance 2013 (ktoe)'!AK52*0.01163</f>
        <v>0</v>
      </c>
      <c r="AL52" s="1991">
        <f>'Irl. Energy Balance 2013 (ktoe)'!AL52*0.01163</f>
        <v>0</v>
      </c>
      <c r="AM52" s="1994">
        <f>'Irl. Energy Balance 2013 (ktoe)'!AM52*0.01163</f>
        <v>7.0155149583831626</v>
      </c>
      <c r="AP52"/>
      <c r="AQ52"/>
      <c r="AR52"/>
      <c r="AS52"/>
      <c r="AT52"/>
      <c r="AU52"/>
      <c r="AV52"/>
    </row>
    <row r="53" spans="1:48">
      <c r="A53" s="2011" t="s">
        <v>1471</v>
      </c>
      <c r="B53" s="2013"/>
      <c r="C53" s="1984">
        <f>'Irl. Energy Balance 2013 (ktoe)'!C53*0.01163</f>
        <v>0</v>
      </c>
      <c r="D53" s="1988">
        <f>'Irl. Energy Balance 2013 (ktoe)'!D53*0.01163</f>
        <v>0</v>
      </c>
      <c r="E53" s="1985">
        <f>'Irl. Energy Balance 2013 (ktoe)'!E53*0.01163</f>
        <v>0</v>
      </c>
      <c r="F53" s="1986">
        <f>'Irl. Energy Balance 2013 (ktoe)'!F53*0.01163</f>
        <v>0</v>
      </c>
      <c r="G53" s="1986">
        <f>'Irl. Energy Balance 2013 (ktoe)'!G53*0.01163</f>
        <v>0</v>
      </c>
      <c r="H53" s="1987">
        <f>'Irl. Energy Balance 2013 (ktoe)'!H53*0.01163</f>
        <v>0</v>
      </c>
      <c r="I53" s="1988">
        <f>'Irl. Energy Balance 2013 (ktoe)'!I53*0.01163</f>
        <v>0</v>
      </c>
      <c r="J53" s="1985">
        <f>'Irl. Energy Balance 2013 (ktoe)'!J53*0.01163</f>
        <v>0</v>
      </c>
      <c r="K53" s="1985">
        <f>'Irl. Energy Balance 2013 (ktoe)'!K53*0.01163</f>
        <v>0</v>
      </c>
      <c r="L53" s="1987">
        <f>'Irl. Energy Balance 2013 (ktoe)'!L53*0.01163</f>
        <v>2.8272781626439696</v>
      </c>
      <c r="M53" s="1985">
        <f>'Irl. Energy Balance 2013 (ktoe)'!M53*0.01163</f>
        <v>0</v>
      </c>
      <c r="N53" s="1985">
        <f>'Irl. Energy Balance 2013 (ktoe)'!N53*0.01163</f>
        <v>0</v>
      </c>
      <c r="O53" s="1985">
        <f>'Irl. Energy Balance 2013 (ktoe)'!O53*0.01163</f>
        <v>1.2649837244656483</v>
      </c>
      <c r="P53" s="1985">
        <f>'Irl. Energy Balance 2013 (ktoe)'!P53*0.01163</f>
        <v>0</v>
      </c>
      <c r="Q53" s="1985">
        <f>'Irl. Energy Balance 2013 (ktoe)'!Q53*0.01163</f>
        <v>0</v>
      </c>
      <c r="R53" s="1985">
        <f>'Irl. Energy Balance 2013 (ktoe)'!R53*0.01163</f>
        <v>0</v>
      </c>
      <c r="S53" s="1985">
        <f>'Irl. Energy Balance 2013 (ktoe)'!S53*0.01163</f>
        <v>0</v>
      </c>
      <c r="T53" s="1985">
        <f>'Irl. Energy Balance 2013 (ktoe)'!T53*0.01163</f>
        <v>1.562294438178321</v>
      </c>
      <c r="U53" s="1985">
        <f>'Irl. Energy Balance 2013 (ktoe)'!U53*0.01163</f>
        <v>0</v>
      </c>
      <c r="V53" s="1986">
        <f>'Irl. Energy Balance 2013 (ktoe)'!V53*0.01163</f>
        <v>0</v>
      </c>
      <c r="W53" s="1986">
        <f>'Irl. Energy Balance 2013 (ktoe)'!W53*0.01163</f>
        <v>0</v>
      </c>
      <c r="X53" s="1986">
        <f>'Irl. Energy Balance 2013 (ktoe)'!X53*0.01163</f>
        <v>0</v>
      </c>
      <c r="Y53" s="1985">
        <f>'Irl. Energy Balance 2013 (ktoe)'!Y53*0.01163</f>
        <v>0</v>
      </c>
      <c r="Z53" s="1980">
        <f>'Irl. Energy Balance 2013 (ktoe)'!Z53*0.01163</f>
        <v>0</v>
      </c>
      <c r="AA53" s="1991">
        <f>'Irl. Energy Balance 2013 (ktoe)'!AA53*0.01163</f>
        <v>8.0801993856531334E-2</v>
      </c>
      <c r="AB53" s="1992">
        <f>'Irl. Energy Balance 2013 (ktoe)'!AB53*0.01163</f>
        <v>0</v>
      </c>
      <c r="AC53" s="1985">
        <f>'Irl. Energy Balance 2013 (ktoe)'!AC53*0.01163</f>
        <v>0</v>
      </c>
      <c r="AD53" s="1985">
        <f>'Irl. Energy Balance 2013 (ktoe)'!AD53*0.01163</f>
        <v>0</v>
      </c>
      <c r="AE53" s="1985">
        <f>'Irl. Energy Balance 2013 (ktoe)'!AE53*0.01163</f>
        <v>0</v>
      </c>
      <c r="AF53" s="1985">
        <f>'Irl. Energy Balance 2013 (ktoe)'!AF53*0.01163</f>
        <v>0</v>
      </c>
      <c r="AG53" s="1807">
        <f>'Irl. Energy Balance 2013 (ktoe)'!AG53*0.01163</f>
        <v>8.0801993856531334E-2</v>
      </c>
      <c r="AH53" s="3539">
        <f>'Irl. Energy Balance 2013 (ktoe)'!AH53*0.01163</f>
        <v>0</v>
      </c>
      <c r="AI53" s="1985">
        <f>'Irl. Energy Balance 2013 (ktoe)'!AI53*0.01163</f>
        <v>0</v>
      </c>
      <c r="AJ53" s="1980">
        <f>'Irl. Energy Balance 2013 (ktoe)'!AJ53*0.01163</f>
        <v>0</v>
      </c>
      <c r="AK53" s="1810">
        <f>'Irl. Energy Balance 2013 (ktoe)'!AK53*0.01163</f>
        <v>0</v>
      </c>
      <c r="AL53" s="1991">
        <f>'Irl. Energy Balance 2013 (ktoe)'!AL53*0.01163</f>
        <v>0</v>
      </c>
      <c r="AM53" s="1994">
        <f>'Irl. Energy Balance 2013 (ktoe)'!AM53*0.01163</f>
        <v>2.9080801565005006</v>
      </c>
      <c r="AP53"/>
      <c r="AQ53"/>
      <c r="AR53"/>
      <c r="AS53"/>
      <c r="AT53"/>
      <c r="AU53"/>
      <c r="AV53"/>
    </row>
    <row r="54" spans="1:48">
      <c r="A54" s="2014" t="s">
        <v>1472</v>
      </c>
      <c r="B54" s="2012"/>
      <c r="C54" s="1984">
        <f>'Irl. Energy Balance 2013 (ktoe)'!C54*0.01163</f>
        <v>0</v>
      </c>
      <c r="D54" s="1988">
        <f>'Irl. Energy Balance 2013 (ktoe)'!D54*0.01163</f>
        <v>0</v>
      </c>
      <c r="E54" s="1985">
        <f>'Irl. Energy Balance 2013 (ktoe)'!E54*0.01163</f>
        <v>0</v>
      </c>
      <c r="F54" s="1986">
        <f>'Irl. Energy Balance 2013 (ktoe)'!F54*0.01163</f>
        <v>0</v>
      </c>
      <c r="G54" s="1986">
        <f>'Irl. Energy Balance 2013 (ktoe)'!G54*0.01163</f>
        <v>0</v>
      </c>
      <c r="H54" s="1987">
        <f>'Irl. Energy Balance 2013 (ktoe)'!H54*0.01163</f>
        <v>0</v>
      </c>
      <c r="I54" s="1988">
        <f>'Irl. Energy Balance 2013 (ktoe)'!I54*0.01163</f>
        <v>0</v>
      </c>
      <c r="J54" s="1985">
        <f>'Irl. Energy Balance 2013 (ktoe)'!J54*0.01163</f>
        <v>0</v>
      </c>
      <c r="K54" s="1985">
        <f>'Irl. Energy Balance 2013 (ktoe)'!K54*0.01163</f>
        <v>0</v>
      </c>
      <c r="L54" s="1987">
        <f>'Irl. Energy Balance 2013 (ktoe)'!L54*0.01163</f>
        <v>0.66524901180549467</v>
      </c>
      <c r="M54" s="1985">
        <f>'Irl. Energy Balance 2013 (ktoe)'!M54*0.01163</f>
        <v>0</v>
      </c>
      <c r="N54" s="1985">
        <f>'Irl. Energy Balance 2013 (ktoe)'!N54*0.01163</f>
        <v>0</v>
      </c>
      <c r="O54" s="1985">
        <f>'Irl. Energy Balance 2013 (ktoe)'!O54*0.01163</f>
        <v>0</v>
      </c>
      <c r="P54" s="1985">
        <f>'Irl. Energy Balance 2013 (ktoe)'!P54*0.01163</f>
        <v>0</v>
      </c>
      <c r="Q54" s="1985">
        <f>'Irl. Energy Balance 2013 (ktoe)'!Q54*0.01163</f>
        <v>0</v>
      </c>
      <c r="R54" s="1985">
        <f>'Irl. Energy Balance 2013 (ktoe)'!R54*0.01163</f>
        <v>0</v>
      </c>
      <c r="S54" s="1985">
        <f>'Irl. Energy Balance 2013 (ktoe)'!S54*0.01163</f>
        <v>0</v>
      </c>
      <c r="T54" s="1985">
        <f>'Irl. Energy Balance 2013 (ktoe)'!T54*0.01163</f>
        <v>0.66524901180549467</v>
      </c>
      <c r="U54" s="1985">
        <f>'Irl. Energy Balance 2013 (ktoe)'!U54*0.01163</f>
        <v>0</v>
      </c>
      <c r="V54" s="1986">
        <f>'Irl. Energy Balance 2013 (ktoe)'!V54*0.01163</f>
        <v>0</v>
      </c>
      <c r="W54" s="1986">
        <f>'Irl. Energy Balance 2013 (ktoe)'!W54*0.01163</f>
        <v>0</v>
      </c>
      <c r="X54" s="1986">
        <f>'Irl. Energy Balance 2013 (ktoe)'!X54*0.01163</f>
        <v>0</v>
      </c>
      <c r="Y54" s="1985">
        <f>'Irl. Energy Balance 2013 (ktoe)'!Y54*0.01163</f>
        <v>0</v>
      </c>
      <c r="Z54" s="1920">
        <f>'Irl. Energy Balance 2013 (ktoe)'!Z54*0.01163</f>
        <v>0</v>
      </c>
      <c r="AA54" s="1991">
        <f>'Irl. Energy Balance 2013 (ktoe)'!AA54*0.01163</f>
        <v>0</v>
      </c>
      <c r="AB54" s="1992">
        <f>'Irl. Energy Balance 2013 (ktoe)'!AB54*0.01163</f>
        <v>0</v>
      </c>
      <c r="AC54" s="1985">
        <f>'Irl. Energy Balance 2013 (ktoe)'!AC54*0.01163</f>
        <v>0</v>
      </c>
      <c r="AD54" s="1985">
        <f>'Irl. Energy Balance 2013 (ktoe)'!AD54*0.01163</f>
        <v>0</v>
      </c>
      <c r="AE54" s="1985">
        <f>'Irl. Energy Balance 2013 (ktoe)'!AE54*0.01163</f>
        <v>0</v>
      </c>
      <c r="AF54" s="1985">
        <f>'Irl. Energy Balance 2013 (ktoe)'!AF54*0.01163</f>
        <v>0</v>
      </c>
      <c r="AG54" s="1985">
        <f>'Irl. Energy Balance 2013 (ktoe)'!AG54*0.01163</f>
        <v>0</v>
      </c>
      <c r="AH54" s="3539">
        <f>'Irl. Energy Balance 2013 (ktoe)'!AH54*0.01163</f>
        <v>0</v>
      </c>
      <c r="AI54" s="1985">
        <f>'Irl. Energy Balance 2013 (ktoe)'!AI54*0.01163</f>
        <v>0</v>
      </c>
      <c r="AJ54" s="1920">
        <f>'Irl. Energy Balance 2013 (ktoe)'!AJ54*0.01163</f>
        <v>0</v>
      </c>
      <c r="AK54" s="1980">
        <f>'Irl. Energy Balance 2013 (ktoe)'!AK54*0.01163</f>
        <v>0</v>
      </c>
      <c r="AL54" s="1991">
        <f>'Irl. Energy Balance 2013 (ktoe)'!AL54*0.01163</f>
        <v>0</v>
      </c>
      <c r="AM54" s="1994">
        <f>'Irl. Energy Balance 2013 (ktoe)'!AM54*0.01163</f>
        <v>0.66524901180549467</v>
      </c>
    </row>
    <row r="55" spans="1:48">
      <c r="A55" s="2015" t="s">
        <v>1473</v>
      </c>
      <c r="B55" s="2016"/>
      <c r="C55" s="1869">
        <f>'Irl. Energy Balance 2013 (ktoe)'!C55*0.01163</f>
        <v>0</v>
      </c>
      <c r="D55" s="2017">
        <f>'Irl. Energy Balance 2013 (ktoe)'!D55*0.01163</f>
        <v>0</v>
      </c>
      <c r="E55" s="2018">
        <f>'Irl. Energy Balance 2013 (ktoe)'!E55*0.01163</f>
        <v>0</v>
      </c>
      <c r="F55" s="1872">
        <f>'Irl. Energy Balance 2013 (ktoe)'!F55*0.01163</f>
        <v>0</v>
      </c>
      <c r="G55" s="1872">
        <f>'Irl. Energy Balance 2013 (ktoe)'!G55*0.01163</f>
        <v>0</v>
      </c>
      <c r="H55" s="1873">
        <f>'Irl. Energy Balance 2013 (ktoe)'!H55*0.01163</f>
        <v>0</v>
      </c>
      <c r="I55" s="1870">
        <f>'Irl. Energy Balance 2013 (ktoe)'!I55*0.01163</f>
        <v>0</v>
      </c>
      <c r="J55" s="1871">
        <f>'Irl. Energy Balance 2013 (ktoe)'!J55*0.01163</f>
        <v>0</v>
      </c>
      <c r="K55" s="1871">
        <f>'Irl. Energy Balance 2013 (ktoe)'!K55*0.01163</f>
        <v>0</v>
      </c>
      <c r="L55" s="1873">
        <f>'Irl. Energy Balance 2013 (ktoe)'!L55*0.01163</f>
        <v>4.8595123706398962</v>
      </c>
      <c r="M55" s="1871">
        <f>'Irl. Energy Balance 2013 (ktoe)'!M55*0.01163</f>
        <v>0</v>
      </c>
      <c r="N55" s="1871">
        <f>'Irl. Energy Balance 2013 (ktoe)'!N55*0.01163</f>
        <v>0</v>
      </c>
      <c r="O55" s="1871">
        <f>'Irl. Energy Balance 2013 (ktoe)'!O55*0.01163</f>
        <v>1.7461090563139869</v>
      </c>
      <c r="P55" s="1871">
        <f>'Irl. Energy Balance 2013 (ktoe)'!P55*0.01163</f>
        <v>0</v>
      </c>
      <c r="Q55" s="1871">
        <f>'Irl. Energy Balance 2013 (ktoe)'!Q55*0.01163</f>
        <v>0</v>
      </c>
      <c r="R55" s="1871">
        <f>'Irl. Energy Balance 2013 (ktoe)'!R55*0.01163</f>
        <v>0</v>
      </c>
      <c r="S55" s="1871">
        <f>'Irl. Energy Balance 2013 (ktoe)'!S55*0.01163</f>
        <v>0</v>
      </c>
      <c r="T55" s="1871">
        <f>'Irl. Energy Balance 2013 (ktoe)'!T55*0.01163</f>
        <v>3.1134033143259097</v>
      </c>
      <c r="U55" s="1871">
        <f>'Irl. Energy Balance 2013 (ktoe)'!U55*0.01163</f>
        <v>0</v>
      </c>
      <c r="V55" s="1872">
        <f>'Irl. Energy Balance 2013 (ktoe)'!V55*0.01163</f>
        <v>0</v>
      </c>
      <c r="W55" s="1872">
        <f>'Irl. Energy Balance 2013 (ktoe)'!W55*0.01163</f>
        <v>0</v>
      </c>
      <c r="X55" s="1872">
        <f>'Irl. Energy Balance 2013 (ktoe)'!X55*0.01163</f>
        <v>0</v>
      </c>
      <c r="Y55" s="1871">
        <f>'Irl. Energy Balance 2013 (ktoe)'!Y55*0.01163</f>
        <v>0</v>
      </c>
      <c r="Z55" s="1873">
        <f>'Irl. Energy Balance 2013 (ktoe)'!Z55*0.01163</f>
        <v>0</v>
      </c>
      <c r="AA55" s="1874">
        <f>'Irl. Energy Balance 2013 (ktoe)'!AA55*0.01163</f>
        <v>0.14254800703991649</v>
      </c>
      <c r="AB55" s="1875">
        <f>'Irl. Energy Balance 2013 (ktoe)'!AB55*0.01163</f>
        <v>0</v>
      </c>
      <c r="AC55" s="1871">
        <f>'Irl. Energy Balance 2013 (ktoe)'!AC55*0.01163</f>
        <v>0</v>
      </c>
      <c r="AD55" s="1871">
        <f>'Irl. Energy Balance 2013 (ktoe)'!AD55*0.01163</f>
        <v>0</v>
      </c>
      <c r="AE55" s="1871">
        <f>'Irl. Energy Balance 2013 (ktoe)'!AE55*0.01163</f>
        <v>0</v>
      </c>
      <c r="AF55" s="1871">
        <f>'Irl. Energy Balance 2013 (ktoe)'!AF55*0.01163</f>
        <v>0</v>
      </c>
      <c r="AG55" s="1871">
        <f>'Irl. Energy Balance 2013 (ktoe)'!AG55*0.01163</f>
        <v>0.14254800703991649</v>
      </c>
      <c r="AH55" s="3537">
        <f>'Irl. Energy Balance 2013 (ktoe)'!AH55*0.01163</f>
        <v>0</v>
      </c>
      <c r="AI55" s="1871">
        <f>'Irl. Energy Balance 2013 (ktoe)'!AI55*0.01163</f>
        <v>0</v>
      </c>
      <c r="AJ55" s="1873">
        <f>'Irl. Energy Balance 2013 (ktoe)'!AJ55*0.01163</f>
        <v>0</v>
      </c>
      <c r="AK55" s="1876">
        <f>'Irl. Energy Balance 2013 (ktoe)'!AK55*0.01163</f>
        <v>0</v>
      </c>
      <c r="AL55" s="1874">
        <f>'Irl. Energy Balance 2013 (ktoe)'!AL55*0.01163</f>
        <v>0</v>
      </c>
      <c r="AM55" s="1877">
        <f>'Irl. Energy Balance 2013 (ktoe)'!AM55*0.01163</f>
        <v>5.0020603776798129</v>
      </c>
    </row>
    <row r="56" spans="1:48">
      <c r="A56" s="2019" t="s">
        <v>1474</v>
      </c>
      <c r="B56" s="2020"/>
      <c r="C56" s="1997">
        <f>'Irl. Energy Balance 2013 (ktoe)'!C56*0.01163</f>
        <v>3.1753119796643521</v>
      </c>
      <c r="D56" s="2000">
        <f>'Irl. Energy Balance 2013 (ktoe)'!D56*0.01163</f>
        <v>2.0118852311183546</v>
      </c>
      <c r="E56" s="1803">
        <f>'Irl. Energy Balance 2013 (ktoe)'!E56*0.01163</f>
        <v>0.96221987018802768</v>
      </c>
      <c r="F56" s="1998">
        <f>'Irl. Energy Balance 2013 (ktoe)'!F56*0.01163</f>
        <v>0</v>
      </c>
      <c r="G56" s="1998">
        <f>'Irl. Energy Balance 2013 (ktoe)'!G56*0.01163</f>
        <v>0.20120687835796996</v>
      </c>
      <c r="H56" s="1999">
        <f>'Irl. Energy Balance 2013 (ktoe)'!H56*0.01163</f>
        <v>2.5342197169899996</v>
      </c>
      <c r="I56" s="2000">
        <f>'Irl. Energy Balance 2013 (ktoe)'!I56*0.01163</f>
        <v>0</v>
      </c>
      <c r="J56" s="1887">
        <f>'Irl. Energy Balance 2013 (ktoe)'!J56*0.01163</f>
        <v>1.4851975199999998</v>
      </c>
      <c r="K56" s="1887">
        <f>'Irl. Energy Balance 2013 (ktoe)'!K56*0.01163</f>
        <v>1.0490221969899998</v>
      </c>
      <c r="L56" s="1999">
        <f>'Irl. Energy Balance 2013 (ktoe)'!L56*0.01163</f>
        <v>10.675718116362795</v>
      </c>
      <c r="M56" s="1887">
        <f>'Irl. Energy Balance 2013 (ktoe)'!M56*0.01163</f>
        <v>0</v>
      </c>
      <c r="N56" s="1887">
        <f>'Irl. Energy Balance 2013 (ktoe)'!N56*0.01163</f>
        <v>0</v>
      </c>
      <c r="O56" s="1887">
        <f>'Irl. Energy Balance 2013 (ktoe)'!O56*0.01163</f>
        <v>0</v>
      </c>
      <c r="P56" s="1887">
        <f>'Irl. Energy Balance 2013 (ktoe)'!P56*0.01163</f>
        <v>8.2107030506357024</v>
      </c>
      <c r="Q56" s="1887">
        <f>'Irl. Energy Balance 2013 (ktoe)'!Q56*0.01163</f>
        <v>0</v>
      </c>
      <c r="R56" s="1887">
        <f>'Irl. Energy Balance 2013 (ktoe)'!R56*0.01163</f>
        <v>0</v>
      </c>
      <c r="S56" s="1887">
        <f>'Irl. Energy Balance 2013 (ktoe)'!S56*0.01163</f>
        <v>0.46565580402282353</v>
      </c>
      <c r="T56" s="1887">
        <f>'Irl. Energy Balance 2013 (ktoe)'!T56*0.01163</f>
        <v>1.8721343304720375</v>
      </c>
      <c r="U56" s="1887">
        <f>'Irl. Energy Balance 2013 (ktoe)'!U56*0.01163</f>
        <v>0.12722493123223211</v>
      </c>
      <c r="V56" s="1998">
        <f>'Irl. Energy Balance 2013 (ktoe)'!V56*0.01163</f>
        <v>0</v>
      </c>
      <c r="W56" s="1998">
        <f>'Irl. Energy Balance 2013 (ktoe)'!W56*0.01163</f>
        <v>0</v>
      </c>
      <c r="X56" s="1998">
        <f>'Irl. Energy Balance 2013 (ktoe)'!X56*0.01163</f>
        <v>0</v>
      </c>
      <c r="Y56" s="1887">
        <f>'Irl. Energy Balance 2013 (ktoe)'!Y56*0.01163</f>
        <v>0</v>
      </c>
      <c r="Z56" s="1999">
        <f>'Irl. Energy Balance 2013 (ktoe)'!Z56*0.01163</f>
        <v>7.0502805132672002</v>
      </c>
      <c r="AA56" s="2001">
        <f>'Irl. Energy Balance 2013 (ktoe)'!AA56*0.01163</f>
        <v>0.74552727183619028</v>
      </c>
      <c r="AB56" s="2002">
        <f>'Irl. Energy Balance 2013 (ktoe)'!AB56*0.01163</f>
        <v>0</v>
      </c>
      <c r="AC56" s="1887">
        <f>'Irl. Energy Balance 2013 (ktoe)'!AC56*0.01163</f>
        <v>0</v>
      </c>
      <c r="AD56" s="1887">
        <f>'Irl. Energy Balance 2013 (ktoe)'!AD56*0.01163</f>
        <v>0.33069761332887837</v>
      </c>
      <c r="AE56" s="1887">
        <f>'Irl. Energy Balance 2013 (ktoe)'!AE56*0.01163</f>
        <v>0</v>
      </c>
      <c r="AF56" s="1887">
        <f>'Irl. Energy Balance 2013 (ktoe)'!AF56*0.01163</f>
        <v>0</v>
      </c>
      <c r="AG56" s="1887">
        <f>'Irl. Energy Balance 2013 (ktoe)'!AG56*0.01163</f>
        <v>0</v>
      </c>
      <c r="AH56" s="3538">
        <f>'Irl. Energy Balance 2013 (ktoe)'!AH56*0.01163</f>
        <v>0.12923407666957432</v>
      </c>
      <c r="AI56" s="1887">
        <f>'Irl. Energy Balance 2013 (ktoe)'!AI56*0.01163</f>
        <v>0.28559558183773753</v>
      </c>
      <c r="AJ56" s="1999">
        <f>'Irl. Energy Balance 2013 (ktoe)'!AJ56*0.01163</f>
        <v>0</v>
      </c>
      <c r="AK56" s="1999">
        <f>'Irl. Energy Balance 2013 (ktoe)'!AK56*0.01163</f>
        <v>7.9491735937399994</v>
      </c>
      <c r="AL56" s="2001">
        <f>'Irl. Energy Balance 2013 (ktoe)'!AL56*0.01163</f>
        <v>0</v>
      </c>
      <c r="AM56" s="1889">
        <f>'Irl. Energy Balance 2013 (ktoe)'!AM56*0.01163</f>
        <v>32.130231191860531</v>
      </c>
    </row>
    <row r="57" spans="1:48">
      <c r="A57" s="2021" t="s">
        <v>1475</v>
      </c>
      <c r="B57" s="2022"/>
      <c r="C57" s="1997">
        <f>'Irl. Energy Balance 2013 (ktoe)'!C57*0.01163</f>
        <v>0</v>
      </c>
      <c r="D57" s="1887">
        <f>'Irl. Energy Balance 2013 (ktoe)'!D57*0.01163</f>
        <v>0</v>
      </c>
      <c r="E57" s="1887">
        <f>'Irl. Energy Balance 2013 (ktoe)'!E57*0.01163</f>
        <v>0</v>
      </c>
      <c r="F57" s="1998">
        <f>'Irl. Energy Balance 2013 (ktoe)'!F57*0.01163</f>
        <v>0</v>
      </c>
      <c r="G57" s="1998">
        <f>'Irl. Energy Balance 2013 (ktoe)'!G57*0.01163</f>
        <v>0</v>
      </c>
      <c r="H57" s="1999">
        <f>'Irl. Energy Balance 2013 (ktoe)'!H57*0.01163</f>
        <v>0</v>
      </c>
      <c r="I57" s="2000">
        <f>'Irl. Energy Balance 2013 (ktoe)'!I57*0.01163</f>
        <v>0</v>
      </c>
      <c r="J57" s="2000">
        <f>'Irl. Energy Balance 2013 (ktoe)'!J57*0.01163</f>
        <v>0</v>
      </c>
      <c r="K57" s="2000">
        <f>'Irl. Energy Balance 2013 (ktoe)'!K57*0.01163</f>
        <v>0</v>
      </c>
      <c r="L57" s="1999">
        <f>'Irl. Energy Balance 2013 (ktoe)'!L57*0.01163</f>
        <v>3.5752349960576244</v>
      </c>
      <c r="M57" s="1887">
        <f>'Irl. Energy Balance 2013 (ktoe)'!M57*0.01163</f>
        <v>0</v>
      </c>
      <c r="N57" s="1887">
        <f>'Irl. Energy Balance 2013 (ktoe)'!N57*0.01163</f>
        <v>0</v>
      </c>
      <c r="O57" s="1887">
        <f>'Irl. Energy Balance 2013 (ktoe)'!O57*0.01163</f>
        <v>0</v>
      </c>
      <c r="P57" s="1887">
        <f>'Irl. Energy Balance 2013 (ktoe)'!P57*0.01163</f>
        <v>0</v>
      </c>
      <c r="Q57" s="1887">
        <f>'Irl. Energy Balance 2013 (ktoe)'!Q57*0.01163</f>
        <v>0</v>
      </c>
      <c r="R57" s="1887">
        <f>'Irl. Energy Balance 2013 (ktoe)'!R57*0.01163</f>
        <v>0.11454387000000001</v>
      </c>
      <c r="S57" s="1887">
        <f>'Irl. Energy Balance 2013 (ktoe)'!S57*0.01163</f>
        <v>0.10056604628890527</v>
      </c>
      <c r="T57" s="1887">
        <f>'Irl. Energy Balance 2013 (ktoe)'!T57*0.01163</f>
        <v>3.3601150503515433</v>
      </c>
      <c r="U57" s="1887">
        <f>'Irl. Energy Balance 2013 (ktoe)'!U57*0.01163</f>
        <v>2.2415554679048753E-6</v>
      </c>
      <c r="V57" s="1998">
        <f>'Irl. Energy Balance 2013 (ktoe)'!V57*0.01163</f>
        <v>0</v>
      </c>
      <c r="W57" s="1998">
        <f>'Irl. Energy Balance 2013 (ktoe)'!W57*0.01163</f>
        <v>0</v>
      </c>
      <c r="X57" s="1998">
        <f>'Irl. Energy Balance 2013 (ktoe)'!X57*0.01163</f>
        <v>0</v>
      </c>
      <c r="Y57" s="2000">
        <f>'Irl. Energy Balance 2013 (ktoe)'!Y57*0.01163</f>
        <v>0</v>
      </c>
      <c r="Z57" s="1999">
        <f>'Irl. Energy Balance 2013 (ktoe)'!Z57*0.01163</f>
        <v>4.7312798293180744</v>
      </c>
      <c r="AA57" s="2001">
        <f>'Irl. Energy Balance 2013 (ktoe)'!AA57*0.01163</f>
        <v>0.44592935877554363</v>
      </c>
      <c r="AB57" s="2002">
        <f>'Irl. Energy Balance 2013 (ktoe)'!AB57*0.01163</f>
        <v>0</v>
      </c>
      <c r="AC57" s="1887">
        <f>'Irl. Energy Balance 2013 (ktoe)'!AC57*0.01163</f>
        <v>0</v>
      </c>
      <c r="AD57" s="1887">
        <f>'Irl. Energy Balance 2013 (ktoe)'!AD57*0.01163</f>
        <v>0.29174315102794296</v>
      </c>
      <c r="AE57" s="1887">
        <f>'Irl. Energy Balance 2013 (ktoe)'!AE57*0.01163</f>
        <v>0</v>
      </c>
      <c r="AF57" s="1887">
        <f>'Irl. Energy Balance 2013 (ktoe)'!AF57*0.01163</f>
        <v>5.1402018814347354E-2</v>
      </c>
      <c r="AG57" s="1887">
        <f>'Irl. Energy Balance 2013 (ktoe)'!AG57*0.01163</f>
        <v>0</v>
      </c>
      <c r="AH57" s="3540">
        <f>'Irl. Energy Balance 2013 (ktoe)'!AH57*0.01163</f>
        <v>1.9322440289446738E-3</v>
      </c>
      <c r="AI57" s="2000">
        <f>'Irl. Energy Balance 2013 (ktoe)'!AI57*0.01163</f>
        <v>0.10085194490430863</v>
      </c>
      <c r="AJ57" s="1999">
        <f>'Irl. Energy Balance 2013 (ktoe)'!AJ57*0.01163</f>
        <v>0</v>
      </c>
      <c r="AK57" s="1999">
        <f>'Irl. Energy Balance 2013 (ktoe)'!AK57*0.01163</f>
        <v>6.3672404056435674</v>
      </c>
      <c r="AL57" s="2001">
        <f>'Irl. Energy Balance 2013 (ktoe)'!AL57*0.01163</f>
        <v>0</v>
      </c>
      <c r="AM57" s="2003">
        <f>'Irl. Energy Balance 2013 (ktoe)'!AM57*0.01163</f>
        <v>15.119684589794812</v>
      </c>
    </row>
    <row r="58" spans="1:48">
      <c r="A58" s="2023" t="s">
        <v>1476</v>
      </c>
      <c r="B58" s="2024"/>
      <c r="C58" s="1890">
        <f>'Irl. Energy Balance 2013 (ktoe)'!C58*0.01163</f>
        <v>0</v>
      </c>
      <c r="D58" s="1853">
        <f>'Irl. Energy Balance 2013 (ktoe)'!D58*0.01163</f>
        <v>0</v>
      </c>
      <c r="E58" s="1854">
        <f>'Irl. Energy Balance 2013 (ktoe)'!E58*0.01163</f>
        <v>0</v>
      </c>
      <c r="F58" s="1855">
        <f>'Irl. Energy Balance 2013 (ktoe)'!F58*0.01163</f>
        <v>0</v>
      </c>
      <c r="G58" s="1855">
        <f>'Irl. Energy Balance 2013 (ktoe)'!G58*0.01163</f>
        <v>0</v>
      </c>
      <c r="H58" s="1861">
        <f>'Irl. Energy Balance 2013 (ktoe)'!H58*0.01163</f>
        <v>0</v>
      </c>
      <c r="I58" s="1853">
        <f>'Irl. Energy Balance 2013 (ktoe)'!I58*0.01163</f>
        <v>0</v>
      </c>
      <c r="J58" s="1854">
        <f>'Irl. Energy Balance 2013 (ktoe)'!J58*0.01163</f>
        <v>0</v>
      </c>
      <c r="K58" s="1854">
        <f>'Irl. Energy Balance 2013 (ktoe)'!K58*0.01163</f>
        <v>0</v>
      </c>
      <c r="L58" s="1861">
        <f>'Irl. Energy Balance 2013 (ktoe)'!L58*0.01163</f>
        <v>2.3058213355696986</v>
      </c>
      <c r="M58" s="1854">
        <f>'Irl. Energy Balance 2013 (ktoe)'!M58*0.01163</f>
        <v>0</v>
      </c>
      <c r="N58" s="1854">
        <f>'Irl. Energy Balance 2013 (ktoe)'!N58*0.01163</f>
        <v>0</v>
      </c>
      <c r="O58" s="1854">
        <f>'Irl. Energy Balance 2013 (ktoe)'!O58*0.01163</f>
        <v>0</v>
      </c>
      <c r="P58" s="1854">
        <f>'Irl. Energy Balance 2013 (ktoe)'!P58*0.01163</f>
        <v>0</v>
      </c>
      <c r="Q58" s="1854">
        <f>'Irl. Energy Balance 2013 (ktoe)'!Q58*0.01163</f>
        <v>0</v>
      </c>
      <c r="R58" s="1854">
        <f>'Irl. Energy Balance 2013 (ktoe)'!R58*0.01163</f>
        <v>1.1175581550856673E-2</v>
      </c>
      <c r="S58" s="1854">
        <f>'Irl. Energy Balance 2013 (ktoe)'!S58*0.01163</f>
        <v>7.4860383725302154E-2</v>
      </c>
      <c r="T58" s="1854">
        <f>'Irl. Energy Balance 2013 (ktoe)'!T58*0.01163</f>
        <v>2.2197831287380718</v>
      </c>
      <c r="U58" s="1854">
        <f>'Irl. Energy Balance 2013 (ktoe)'!U58*0.01163</f>
        <v>2.2415554679048753E-6</v>
      </c>
      <c r="V58" s="1855">
        <f>'Irl. Energy Balance 2013 (ktoe)'!V58*0.01163</f>
        <v>0</v>
      </c>
      <c r="W58" s="1855">
        <f>'Irl. Energy Balance 2013 (ktoe)'!W58*0.01163</f>
        <v>0</v>
      </c>
      <c r="X58" s="1855">
        <f>'Irl. Energy Balance 2013 (ktoe)'!X58*0.01163</f>
        <v>0</v>
      </c>
      <c r="Y58" s="1854">
        <f>'Irl. Energy Balance 2013 (ktoe)'!Y58*0.01163</f>
        <v>0</v>
      </c>
      <c r="Z58" s="1861">
        <f>'Irl. Energy Balance 2013 (ktoe)'!Z58*0.01163</f>
        <v>2.0735889770483995</v>
      </c>
      <c r="AA58" s="1857">
        <f>'Irl. Energy Balance 2013 (ktoe)'!AA58*0.01163</f>
        <v>0.39452733996119627</v>
      </c>
      <c r="AB58" s="1858">
        <f>'Irl. Energy Balance 2013 (ktoe)'!AB58*0.01163</f>
        <v>0</v>
      </c>
      <c r="AC58" s="1854">
        <f>'Irl. Energy Balance 2013 (ktoe)'!AC58*0.01163</f>
        <v>0</v>
      </c>
      <c r="AD58" s="1854">
        <f>'Irl. Energy Balance 2013 (ktoe)'!AD58*0.01163</f>
        <v>0.29174315102794296</v>
      </c>
      <c r="AE58" s="1865">
        <f>'Irl. Energy Balance 2013 (ktoe)'!AE58*0.01163</f>
        <v>0</v>
      </c>
      <c r="AF58" s="1865">
        <f>'Irl. Energy Balance 2013 (ktoe)'!AF58*0.01163</f>
        <v>0</v>
      </c>
      <c r="AG58" s="1865">
        <f>'Irl. Energy Balance 2013 (ktoe)'!AG58*0.01163</f>
        <v>0</v>
      </c>
      <c r="AH58" s="3533">
        <f>'Irl. Energy Balance 2013 (ktoe)'!AH58*0.01163</f>
        <v>1.9322440289446738E-3</v>
      </c>
      <c r="AI58" s="1854">
        <f>'Irl. Energy Balance 2013 (ktoe)'!AI58*0.01163</f>
        <v>0.10085194490430863</v>
      </c>
      <c r="AJ58" s="1861">
        <f>'Irl. Energy Balance 2013 (ktoe)'!AJ58*0.01163</f>
        <v>0</v>
      </c>
      <c r="AK58" s="1891">
        <f>'Irl. Energy Balance 2013 (ktoe)'!AK58*0.01163</f>
        <v>4.5649112654360122</v>
      </c>
      <c r="AL58" s="1857">
        <f>'Irl. Energy Balance 2013 (ktoe)'!AL58*0.01163</f>
        <v>0</v>
      </c>
      <c r="AM58" s="1892">
        <f>'Irl. Energy Balance 2013 (ktoe)'!AM58*0.01163</f>
        <v>9.3388489180153051</v>
      </c>
    </row>
    <row r="59" spans="1:48">
      <c r="A59" s="1982" t="s">
        <v>1477</v>
      </c>
      <c r="B59" s="2025"/>
      <c r="C59" s="1869">
        <f>'Irl. Energy Balance 2013 (ktoe)'!C59*0.01163</f>
        <v>0</v>
      </c>
      <c r="D59" s="1870">
        <f>'Irl. Energy Balance 2013 (ktoe)'!D59*0.01163</f>
        <v>0</v>
      </c>
      <c r="E59" s="1871">
        <f>'Irl. Energy Balance 2013 (ktoe)'!E59*0.01163</f>
        <v>0</v>
      </c>
      <c r="F59" s="1872">
        <f>'Irl. Energy Balance 2013 (ktoe)'!F59*0.01163</f>
        <v>0</v>
      </c>
      <c r="G59" s="1872">
        <f>'Irl. Energy Balance 2013 (ktoe)'!G59*0.01163</f>
        <v>0</v>
      </c>
      <c r="H59" s="1873">
        <f>'Irl. Energy Balance 2013 (ktoe)'!H59*0.01163</f>
        <v>0</v>
      </c>
      <c r="I59" s="1870">
        <f>'Irl. Energy Balance 2013 (ktoe)'!I59*0.01163</f>
        <v>0</v>
      </c>
      <c r="J59" s="1871">
        <f>'Irl. Energy Balance 2013 (ktoe)'!J59*0.01163</f>
        <v>0</v>
      </c>
      <c r="K59" s="1871">
        <f>'Irl. Energy Balance 2013 (ktoe)'!K59*0.01163</f>
        <v>0</v>
      </c>
      <c r="L59" s="1873">
        <f>'Irl. Energy Balance 2013 (ktoe)'!L59*0.01163</f>
        <v>1.269413660487926</v>
      </c>
      <c r="M59" s="1871">
        <f>'Irl. Energy Balance 2013 (ktoe)'!M59*0.01163</f>
        <v>0</v>
      </c>
      <c r="N59" s="1871">
        <f>'Irl. Energy Balance 2013 (ktoe)'!N59*0.01163</f>
        <v>0</v>
      </c>
      <c r="O59" s="1871">
        <f>'Irl. Energy Balance 2013 (ktoe)'!O59*0.01163</f>
        <v>0</v>
      </c>
      <c r="P59" s="1871">
        <f>'Irl. Energy Balance 2013 (ktoe)'!P59*0.01163</f>
        <v>0</v>
      </c>
      <c r="Q59" s="1871">
        <f>'Irl. Energy Balance 2013 (ktoe)'!Q59*0.01163</f>
        <v>0</v>
      </c>
      <c r="R59" s="1871">
        <f>'Irl. Energy Balance 2013 (ktoe)'!R59*0.01163</f>
        <v>0.10337607631085123</v>
      </c>
      <c r="S59" s="1871">
        <f>'Irl. Energy Balance 2013 (ktoe)'!S59*0.01163</f>
        <v>2.5705662563603102E-2</v>
      </c>
      <c r="T59" s="1871">
        <f>'Irl. Energy Balance 2013 (ktoe)'!T59*0.01163</f>
        <v>1.1403319216134717</v>
      </c>
      <c r="U59" s="1871">
        <f>'Irl. Energy Balance 2013 (ktoe)'!U59*0.01163</f>
        <v>0</v>
      </c>
      <c r="V59" s="1872">
        <f>'Irl. Energy Balance 2013 (ktoe)'!V59*0.01163</f>
        <v>0</v>
      </c>
      <c r="W59" s="1872">
        <f>'Irl. Energy Balance 2013 (ktoe)'!W59*0.01163</f>
        <v>0</v>
      </c>
      <c r="X59" s="1872">
        <f>'Irl. Energy Balance 2013 (ktoe)'!X59*0.01163</f>
        <v>0</v>
      </c>
      <c r="Y59" s="1871">
        <f>'Irl. Energy Balance 2013 (ktoe)'!Y59*0.01163</f>
        <v>0</v>
      </c>
      <c r="Z59" s="1873">
        <f>'Irl. Energy Balance 2013 (ktoe)'!Z59*0.01163</f>
        <v>2.6582372525271314</v>
      </c>
      <c r="AA59" s="1874">
        <f>'Irl. Energy Balance 2013 (ktoe)'!AA59*0.01163</f>
        <v>5.1402018814347354E-2</v>
      </c>
      <c r="AB59" s="1875">
        <f>'Irl. Energy Balance 2013 (ktoe)'!AB59*0.01163</f>
        <v>0</v>
      </c>
      <c r="AC59" s="1871">
        <f>'Irl. Energy Balance 2013 (ktoe)'!AC59*0.01163</f>
        <v>0</v>
      </c>
      <c r="AD59" s="1871">
        <f>'Irl. Energy Balance 2013 (ktoe)'!AD59*0.01163</f>
        <v>0</v>
      </c>
      <c r="AE59" s="1871">
        <f>'Irl. Energy Balance 2013 (ktoe)'!AE59*0.01163</f>
        <v>0</v>
      </c>
      <c r="AF59" s="1871">
        <f>'Irl. Energy Balance 2013 (ktoe)'!AF59*0.01163</f>
        <v>5.1402018814347354E-2</v>
      </c>
      <c r="AG59" s="1871">
        <f>'Irl. Energy Balance 2013 (ktoe)'!AG59*0.01163</f>
        <v>0</v>
      </c>
      <c r="AH59" s="3537">
        <f>'Irl. Energy Balance 2013 (ktoe)'!AH59*0.01163</f>
        <v>0</v>
      </c>
      <c r="AI59" s="1871">
        <f>'Irl. Energy Balance 2013 (ktoe)'!AI59*0.01163</f>
        <v>0</v>
      </c>
      <c r="AJ59" s="1873">
        <f>'Irl. Energy Balance 2013 (ktoe)'!AJ59*0.01163</f>
        <v>0</v>
      </c>
      <c r="AK59" s="1876">
        <f>'Irl. Energy Balance 2013 (ktoe)'!AK59*0.01163</f>
        <v>1.8025941106780352</v>
      </c>
      <c r="AL59" s="1874">
        <f>'Irl. Energy Balance 2013 (ktoe)'!AL59*0.01163</f>
        <v>0</v>
      </c>
      <c r="AM59" s="1877">
        <f>'Irl. Energy Balance 2013 (ktoe)'!AM59*0.01163</f>
        <v>5.7816470425074398</v>
      </c>
    </row>
    <row r="60" spans="1:48">
      <c r="A60" s="2026" t="s">
        <v>1478</v>
      </c>
      <c r="B60" s="2027"/>
      <c r="C60" s="1897">
        <f>'Irl. Energy Balance 2013 (ktoe)'!C60*0.01163</f>
        <v>0</v>
      </c>
      <c r="D60" s="2028">
        <f>'Irl. Energy Balance 2013 (ktoe)'!D60*0.01163</f>
        <v>0</v>
      </c>
      <c r="E60" s="2029">
        <f>'Irl. Energy Balance 2013 (ktoe)'!E60*0.01163</f>
        <v>0</v>
      </c>
      <c r="F60" s="2030">
        <f>'Irl. Energy Balance 2013 (ktoe)'!F60*0.01163</f>
        <v>0</v>
      </c>
      <c r="G60" s="2030">
        <f>'Irl. Energy Balance 2013 (ktoe)'!G60*0.01163</f>
        <v>0</v>
      </c>
      <c r="H60" s="1901">
        <f>'Irl. Energy Balance 2013 (ktoe)'!H60*0.01163</f>
        <v>0</v>
      </c>
      <c r="I60" s="2028">
        <f>'Irl. Energy Balance 2013 (ktoe)'!I60*0.01163</f>
        <v>0</v>
      </c>
      <c r="J60" s="2029">
        <f>'Irl. Energy Balance 2013 (ktoe)'!J60*0.01163</f>
        <v>0</v>
      </c>
      <c r="K60" s="2029">
        <f>'Irl. Energy Balance 2013 (ktoe)'!K60*0.01163</f>
        <v>0</v>
      </c>
      <c r="L60" s="1901">
        <f>'Irl. Energy Balance 2013 (ktoe)'!L60*0.01163</f>
        <v>2.0536167400586125</v>
      </c>
      <c r="M60" s="2029">
        <f>'Irl. Energy Balance 2013 (ktoe)'!M60*0.01163</f>
        <v>0</v>
      </c>
      <c r="N60" s="2029">
        <f>'Irl. Energy Balance 2013 (ktoe)'!N60*0.01163</f>
        <v>0</v>
      </c>
      <c r="O60" s="2029">
        <f>'Irl. Energy Balance 2013 (ktoe)'!O60*0.01163</f>
        <v>0</v>
      </c>
      <c r="P60" s="2029">
        <f>'Irl. Energy Balance 2013 (ktoe)'!P60*0.01163</f>
        <v>0</v>
      </c>
      <c r="Q60" s="2029">
        <f>'Irl. Energy Balance 2013 (ktoe)'!Q60*0.01163</f>
        <v>0</v>
      </c>
      <c r="R60" s="2029">
        <f>'Irl. Energy Balance 2013 (ktoe)'!R60*0.01163</f>
        <v>0</v>
      </c>
      <c r="S60" s="2029">
        <f>'Irl. Energy Balance 2013 (ktoe)'!S60*0.01163</f>
        <v>0</v>
      </c>
      <c r="T60" s="2029">
        <f>'Irl. Energy Balance 2013 (ktoe)'!T60*0.01163</f>
        <v>2.0536167400586125</v>
      </c>
      <c r="U60" s="1854">
        <f>'Irl. Energy Balance 2013 (ktoe)'!U60*0.01163</f>
        <v>0</v>
      </c>
      <c r="V60" s="2030">
        <f>'Irl. Energy Balance 2013 (ktoe)'!V60*0.01163</f>
        <v>0</v>
      </c>
      <c r="W60" s="2030">
        <f>'Irl. Energy Balance 2013 (ktoe)'!W60*0.01163</f>
        <v>0</v>
      </c>
      <c r="X60" s="2030">
        <f>'Irl. Energy Balance 2013 (ktoe)'!X60*0.01163</f>
        <v>0</v>
      </c>
      <c r="Y60" s="2029">
        <f>'Irl. Energy Balance 2013 (ktoe)'!Y60*0.01163</f>
        <v>0</v>
      </c>
      <c r="Z60" s="1901">
        <f>'Irl. Energy Balance 2013 (ktoe)'!Z60*0.01163</f>
        <v>0</v>
      </c>
      <c r="AA60" s="1902">
        <f>'Irl. Energy Balance 2013 (ktoe)'!AA60*0.01163</f>
        <v>0</v>
      </c>
      <c r="AB60" s="2031">
        <f>'Irl. Energy Balance 2013 (ktoe)'!AB60*0.01163</f>
        <v>0</v>
      </c>
      <c r="AC60" s="2029">
        <f>'Irl. Energy Balance 2013 (ktoe)'!AC60*0.01163</f>
        <v>0</v>
      </c>
      <c r="AD60" s="2029">
        <f>'Irl. Energy Balance 2013 (ktoe)'!AD60*0.01163</f>
        <v>0</v>
      </c>
      <c r="AE60" s="2029">
        <f>'Irl. Energy Balance 2013 (ktoe)'!AE60*0.01163</f>
        <v>0</v>
      </c>
      <c r="AF60" s="2029">
        <f>'Irl. Energy Balance 2013 (ktoe)'!AF60*0.01163</f>
        <v>0</v>
      </c>
      <c r="AG60" s="2029">
        <f>'Irl. Energy Balance 2013 (ktoe)'!AG60*0.01163</f>
        <v>0</v>
      </c>
      <c r="AH60" s="3541">
        <f>'Irl. Energy Balance 2013 (ktoe)'!AH60*0.01163</f>
        <v>0</v>
      </c>
      <c r="AI60" s="2029">
        <f>'Irl. Energy Balance 2013 (ktoe)'!AI60*0.01163</f>
        <v>0</v>
      </c>
      <c r="AJ60" s="1901">
        <f>'Irl. Energy Balance 2013 (ktoe)'!AJ60*0.01163</f>
        <v>0</v>
      </c>
      <c r="AK60" s="1901">
        <f>'Irl. Energy Balance 2013 (ktoe)'!AK60*0.01163</f>
        <v>0.55810044000000003</v>
      </c>
      <c r="AL60" s="1902">
        <f>'Irl. Energy Balance 2013 (ktoe)'!AL60*0.01163</f>
        <v>0</v>
      </c>
      <c r="AM60" s="1889">
        <f>'Irl. Energy Balance 2013 (ktoe)'!AM60*0.01163</f>
        <v>2.6117171800586125</v>
      </c>
    </row>
    <row r="61" spans="1:48" ht="15.75" thickBot="1">
      <c r="A61" s="2032" t="s">
        <v>1479</v>
      </c>
      <c r="B61" s="2025"/>
      <c r="C61" s="1869">
        <f>'Irl. Energy Balance 2013 (ktoe)'!C61*0.01163</f>
        <v>0</v>
      </c>
      <c r="D61" s="1870">
        <f>'Irl. Energy Balance 2013 (ktoe)'!D61*0.01163</f>
        <v>0</v>
      </c>
      <c r="E61" s="1871">
        <f>'Irl. Energy Balance 2013 (ktoe)'!E61*0.01163</f>
        <v>0</v>
      </c>
      <c r="F61" s="1872">
        <f>'Irl. Energy Balance 2013 (ktoe)'!F61*0.01163</f>
        <v>0</v>
      </c>
      <c r="G61" s="1872">
        <f>'Irl. Energy Balance 2013 (ktoe)'!G61*0.01163</f>
        <v>0</v>
      </c>
      <c r="H61" s="1873">
        <f>'Irl. Energy Balance 2013 (ktoe)'!H61*0.01163</f>
        <v>0</v>
      </c>
      <c r="I61" s="1870">
        <f>'Irl. Energy Balance 2013 (ktoe)'!I61*0.01163</f>
        <v>0</v>
      </c>
      <c r="J61" s="1871">
        <f>'Irl. Energy Balance 2013 (ktoe)'!J61*0.01163</f>
        <v>0</v>
      </c>
      <c r="K61" s="1871">
        <f>'Irl. Energy Balance 2013 (ktoe)'!K61*0.01163</f>
        <v>0</v>
      </c>
      <c r="L61" s="1873">
        <f>'Irl. Energy Balance 2013 (ktoe)'!L61*0.01163</f>
        <v>0.28245523908219111</v>
      </c>
      <c r="M61" s="1871">
        <f>'Irl. Energy Balance 2013 (ktoe)'!M61*0.01163</f>
        <v>0</v>
      </c>
      <c r="N61" s="1871">
        <f>'Irl. Energy Balance 2013 (ktoe)'!N61*0.01163</f>
        <v>0</v>
      </c>
      <c r="O61" s="1871">
        <f>'Irl. Energy Balance 2013 (ktoe)'!O61*0.01163</f>
        <v>0</v>
      </c>
      <c r="P61" s="1871">
        <f>'Irl. Energy Balance 2013 (ktoe)'!P61*0.01163</f>
        <v>0</v>
      </c>
      <c r="Q61" s="1871">
        <f>'Irl. Energy Balance 2013 (ktoe)'!Q61*0.01163</f>
        <v>0</v>
      </c>
      <c r="R61" s="1871">
        <f>'Irl. Energy Balance 2013 (ktoe)'!R61*0.01163</f>
        <v>0</v>
      </c>
      <c r="S61" s="1871">
        <f>'Irl. Energy Balance 2013 (ktoe)'!S61*0.01163</f>
        <v>0</v>
      </c>
      <c r="T61" s="2018">
        <f>'Irl. Energy Balance 2013 (ktoe)'!T61*0.01163</f>
        <v>0.28245523908219111</v>
      </c>
      <c r="U61" s="1871">
        <f>'Irl. Energy Balance 2013 (ktoe)'!U61*0.01163</f>
        <v>0</v>
      </c>
      <c r="V61" s="1872">
        <f>'Irl. Energy Balance 2013 (ktoe)'!V61*0.01163</f>
        <v>0</v>
      </c>
      <c r="W61" s="1872">
        <f>'Irl. Energy Balance 2013 (ktoe)'!W61*0.01163</f>
        <v>0</v>
      </c>
      <c r="X61" s="1872">
        <f>'Irl. Energy Balance 2013 (ktoe)'!X61*0.01163</f>
        <v>0</v>
      </c>
      <c r="Y61" s="1871">
        <f>'Irl. Energy Balance 2013 (ktoe)'!Y61*0.01163</f>
        <v>0</v>
      </c>
      <c r="Z61" s="1873">
        <f>'Irl. Energy Balance 2013 (ktoe)'!Z61*0.01163</f>
        <v>0</v>
      </c>
      <c r="AA61" s="1874">
        <f>'Irl. Energy Balance 2013 (ktoe)'!AA61*0.01163</f>
        <v>0</v>
      </c>
      <c r="AB61" s="1875">
        <f>'Irl. Energy Balance 2013 (ktoe)'!AB61*0.01163</f>
        <v>0</v>
      </c>
      <c r="AC61" s="1871">
        <f>'Irl. Energy Balance 2013 (ktoe)'!AC61*0.01163</f>
        <v>0</v>
      </c>
      <c r="AD61" s="1871">
        <f>'Irl. Energy Balance 2013 (ktoe)'!AD61*0.01163</f>
        <v>0</v>
      </c>
      <c r="AE61" s="1871">
        <f>'Irl. Energy Balance 2013 (ktoe)'!AE61*0.01163</f>
        <v>0</v>
      </c>
      <c r="AF61" s="1871">
        <f>'Irl. Energy Balance 2013 (ktoe)'!AF61*0.01163</f>
        <v>0</v>
      </c>
      <c r="AG61" s="1871">
        <f>'Irl. Energy Balance 2013 (ktoe)'!AG61*0.01163</f>
        <v>0</v>
      </c>
      <c r="AH61" s="3537">
        <f>'Irl. Energy Balance 2013 (ktoe)'!AH61*0.01163</f>
        <v>0</v>
      </c>
      <c r="AI61" s="1871">
        <f>'Irl. Energy Balance 2013 (ktoe)'!AI61*0.01163</f>
        <v>0</v>
      </c>
      <c r="AJ61" s="1873">
        <f>'Irl. Energy Balance 2013 (ktoe)'!AJ61*0.01163</f>
        <v>0</v>
      </c>
      <c r="AK61" s="1876">
        <f>'Irl. Energy Balance 2013 (ktoe)'!AK61*0.01163</f>
        <v>0</v>
      </c>
      <c r="AL61" s="1874">
        <f>'Irl. Energy Balance 2013 (ktoe)'!AL61*0.01163</f>
        <v>0</v>
      </c>
      <c r="AM61" s="2033">
        <f>'Irl. Energy Balance 2013 (ktoe)'!AM61*0.01163</f>
        <v>0.28245523908219111</v>
      </c>
    </row>
    <row r="62" spans="1:48" ht="15.75" thickBot="1">
      <c r="A62" s="2034" t="s">
        <v>1480</v>
      </c>
      <c r="B62" s="2035"/>
      <c r="C62" s="2036">
        <f>'Irl. Energy Balance 2013 (ktoe)'!C62*0.01163</f>
        <v>0.25557475763704351</v>
      </c>
      <c r="D62" s="2037">
        <f>'Irl. Energy Balance 2013 (ktoe)'!D62*0.01163</f>
        <v>0.24097806135234229</v>
      </c>
      <c r="E62" s="2038">
        <f>'Irl. Energy Balance 2013 (ktoe)'!E62*0.01163</f>
        <v>1.4077017441662929E-2</v>
      </c>
      <c r="F62" s="2039">
        <f>'Irl. Energy Balance 2013 (ktoe)'!F62*0.01163</f>
        <v>0</v>
      </c>
      <c r="G62" s="2039">
        <f>'Irl. Energy Balance 2013 (ktoe)'!G62*0.01163</f>
        <v>5.1967884303704998E-4</v>
      </c>
      <c r="H62" s="2040">
        <f>'Irl. Energy Balance 2013 (ktoe)'!H62*0.01163</f>
        <v>-0.51254918223795654</v>
      </c>
      <c r="I62" s="2037">
        <f>'Irl. Energy Balance 2013 (ktoe)'!I62*0.01163</f>
        <v>-0.45060045207795485</v>
      </c>
      <c r="J62" s="2038">
        <f>'Irl. Energy Balance 2013 (ktoe)'!J62*0.01163</f>
        <v>0</v>
      </c>
      <c r="K62" s="2038">
        <f>'Irl. Energy Balance 2013 (ktoe)'!K62*0.01163</f>
        <v>-6.1948730160000041E-2</v>
      </c>
      <c r="L62" s="2040">
        <f>'Irl. Energy Balance 2013 (ktoe)'!L62*0.01163</f>
        <v>0.16231424010781331</v>
      </c>
      <c r="M62" s="2038">
        <f>'Irl. Energy Balance 2013 (ktoe)'!M62*0.01163</f>
        <v>-2.1037443316438226E-2</v>
      </c>
      <c r="N62" s="2038">
        <f>'Irl. Energy Balance 2013 (ktoe)'!N62*0.01163</f>
        <v>0</v>
      </c>
      <c r="O62" s="2038">
        <f>'Irl. Energy Balance 2013 (ktoe)'!O62*0.01163</f>
        <v>0.22641323959694504</v>
      </c>
      <c r="P62" s="2038">
        <f>'Irl. Energy Balance 2013 (ktoe)'!P62*0.01163</f>
        <v>-0.16197279641452078</v>
      </c>
      <c r="Q62" s="2038">
        <f>'Irl. Energy Balance 2013 (ktoe)'!Q62*0.01163</f>
        <v>0.7901255058179153</v>
      </c>
      <c r="R62" s="2038">
        <f>'Irl. Energy Balance 2013 (ktoe)'!R62*0.01163</f>
        <v>-1.6622625130585187E-2</v>
      </c>
      <c r="S62" s="2038">
        <f>'Irl. Energy Balance 2013 (ktoe)'!S62*0.01163</f>
        <v>-0.31093164917163751</v>
      </c>
      <c r="T62" s="2038">
        <f>'Irl. Energy Balance 2013 (ktoe)'!T62*0.01163</f>
        <v>-0.28318565474341978</v>
      </c>
      <c r="U62" s="2038">
        <f>'Irl. Energy Balance 2013 (ktoe)'!U62*0.01163</f>
        <v>3.3022003881587438E-3</v>
      </c>
      <c r="V62" s="2039">
        <f>'Irl. Energy Balance 2013 (ktoe)'!V62*0.01163</f>
        <v>-6.3768749056911433E-2</v>
      </c>
      <c r="W62" s="2039">
        <f>'Irl. Energy Balance 2013 (ktoe)'!W62*0.01163</f>
        <v>0</v>
      </c>
      <c r="X62" s="2039">
        <f>'Irl. Energy Balance 2013 (ktoe)'!X62*0.01163</f>
        <v>0</v>
      </c>
      <c r="Y62" s="2038">
        <f>'Irl. Energy Balance 2013 (ktoe)'!Y62*0.01163</f>
        <v>0</v>
      </c>
      <c r="Z62" s="2040">
        <f>'Irl. Energy Balance 2013 (ktoe)'!Z62*0.01163</f>
        <v>0.23092371173116133</v>
      </c>
      <c r="AA62" s="2041">
        <f>'Irl. Energy Balance 2013 (ktoe)'!AA62*0.01163</f>
        <v>-5.5153903861378036E-2</v>
      </c>
      <c r="AB62" s="2042">
        <f>'Irl. Energy Balance 2013 (ktoe)'!AB62*0.01163</f>
        <v>0</v>
      </c>
      <c r="AC62" s="2038">
        <f>'Irl. Energy Balance 2013 (ktoe)'!AC62*0.01163</f>
        <v>0</v>
      </c>
      <c r="AD62" s="2038">
        <f>'Irl. Energy Balance 2013 (ktoe)'!AD62*0.01163</f>
        <v>-2.1570428359497816E-2</v>
      </c>
      <c r="AE62" s="2038">
        <f>'Irl. Energy Balance 2013 (ktoe)'!AE62*0.01163</f>
        <v>0</v>
      </c>
      <c r="AF62" s="2038">
        <f>'Irl. Energy Balance 2013 (ktoe)'!AF62*0.01163</f>
        <v>0</v>
      </c>
      <c r="AG62" s="2038">
        <f>'Irl. Energy Balance 2013 (ktoe)'!AG62*0.01163</f>
        <v>-3.3583475501880719E-2</v>
      </c>
      <c r="AH62" s="3542">
        <f>'Irl. Energy Balance 2013 (ktoe)'!AH62*0.01163</f>
        <v>0</v>
      </c>
      <c r="AI62" s="2038">
        <f>'Irl. Energy Balance 2013 (ktoe)'!AI62*0.01163</f>
        <v>0</v>
      </c>
      <c r="AJ62" s="2040">
        <f>'Irl. Energy Balance 2013 (ktoe)'!AJ62*0.01163</f>
        <v>0</v>
      </c>
      <c r="AK62" s="2040">
        <f>'Irl. Energy Balance 2013 (ktoe)'!AK62*0.01163</f>
        <v>0.19785316569856343</v>
      </c>
      <c r="AL62" s="2041">
        <f>'Irl. Energy Balance 2013 (ktoe)'!AL62*0.01163</f>
        <v>0</v>
      </c>
      <c r="AM62" s="1936">
        <f>'Irl. Energy Balance 2013 (ktoe)'!AM62*0.01163</f>
        <v>0.27896278907524702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sheetPr>
    <tabColor rgb="FFFFFF00"/>
  </sheetPr>
  <dimension ref="A1:A4"/>
  <sheetViews>
    <sheetView workbookViewId="0">
      <selection activeCell="A5" sqref="A5"/>
    </sheetView>
  </sheetViews>
  <sheetFormatPr defaultRowHeight="15"/>
  <sheetData>
    <row r="1" spans="1:1">
      <c r="A1" s="4009" t="s">
        <v>3316</v>
      </c>
    </row>
    <row r="2" spans="1:1">
      <c r="A2" s="4009" t="s">
        <v>3317</v>
      </c>
    </row>
    <row r="3" spans="1:1">
      <c r="A3" s="4009" t="s">
        <v>3315</v>
      </c>
    </row>
    <row r="4" spans="1:1">
      <c r="A4" s="4009" t="s">
        <v>3314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59</vt:i4>
      </vt:variant>
      <vt:variant>
        <vt:lpstr>Named Ranges</vt:lpstr>
      </vt:variant>
      <vt:variant>
        <vt:i4>262</vt:i4>
      </vt:variant>
    </vt:vector>
  </HeadingPairs>
  <TitlesOfParts>
    <vt:vector size="321" baseType="lpstr">
      <vt:lpstr>Control</vt:lpstr>
      <vt:lpstr>Intermediate output</vt:lpstr>
      <vt:lpstr>Land Use</vt:lpstr>
      <vt:lpstr>GHG</vt:lpstr>
      <vt:lpstr>Energy</vt:lpstr>
      <vt:lpstr>Electricity</vt:lpstr>
      <vt:lpstr>Energy Security</vt:lpstr>
      <vt:lpstr>Flows</vt:lpstr>
      <vt:lpstr>Preferences</vt:lpstr>
      <vt:lpstr>Conversions</vt:lpstr>
      <vt:lpstr>Global Assumptions</vt:lpstr>
      <vt:lpstr>Constants</vt:lpstr>
      <vt:lpstr>Structure of the model</vt:lpstr>
      <vt:lpstr>I.a</vt:lpstr>
      <vt:lpstr>I.b</vt:lpstr>
      <vt:lpstr>II.a</vt:lpstr>
      <vt:lpstr>III.a.1</vt:lpstr>
      <vt:lpstr>III.a.2</vt:lpstr>
      <vt:lpstr>III.b</vt:lpstr>
      <vt:lpstr>III.c</vt:lpstr>
      <vt:lpstr>IV.a</vt:lpstr>
      <vt:lpstr>IV.b</vt:lpstr>
      <vt:lpstr>IV.c</vt:lpstr>
      <vt:lpstr>V.a</vt:lpstr>
      <vt:lpstr>V.b</vt:lpstr>
      <vt:lpstr>VI.a</vt:lpstr>
      <vt:lpstr>VI.b</vt:lpstr>
      <vt:lpstr>VI.c</vt:lpstr>
      <vt:lpstr>VII.a</vt:lpstr>
      <vt:lpstr>VII.b</vt:lpstr>
      <vt:lpstr>VII.c</vt:lpstr>
      <vt:lpstr>VIII.a</vt:lpstr>
      <vt:lpstr>IX.a</vt:lpstr>
      <vt:lpstr>IX.c</vt:lpstr>
      <vt:lpstr>X.a</vt:lpstr>
      <vt:lpstr>X.b</vt:lpstr>
      <vt:lpstr>XI.a</vt:lpstr>
      <vt:lpstr>XII.a</vt:lpstr>
      <vt:lpstr>XII.b</vt:lpstr>
      <vt:lpstr>XII.c</vt:lpstr>
      <vt:lpstr>XIV.a</vt:lpstr>
      <vt:lpstr>XV.a</vt:lpstr>
      <vt:lpstr>XV.b</vt:lpstr>
      <vt:lpstr>XVI.a</vt:lpstr>
      <vt:lpstr>XVI.b</vt:lpstr>
      <vt:lpstr>XVII.a</vt:lpstr>
      <vt:lpstr>XVIII.a</vt:lpstr>
      <vt:lpstr>2013</vt:lpstr>
      <vt:lpstr>2015</vt:lpstr>
      <vt:lpstr>2020</vt:lpstr>
      <vt:lpstr>2025</vt:lpstr>
      <vt:lpstr>2030</vt:lpstr>
      <vt:lpstr>2035</vt:lpstr>
      <vt:lpstr>2040</vt:lpstr>
      <vt:lpstr>2045</vt:lpstr>
      <vt:lpstr>2050</vt:lpstr>
      <vt:lpstr>Irl. Energy Balance 2013 (ktoe)</vt:lpstr>
      <vt:lpstr>Irl. Energy Balance 2013 (TWh)</vt:lpstr>
      <vt:lpstr>Changes</vt:lpstr>
      <vt:lpstr>Constants.Density.Diesel</vt:lpstr>
      <vt:lpstr>Constants.Density.JetFuel</vt:lpstr>
      <vt:lpstr>Constants.GCV.ATF</vt:lpstr>
      <vt:lpstr>Constants.GCV.Diesel</vt:lpstr>
      <vt:lpstr>Constants.GCV.LandfillGas</vt:lpstr>
      <vt:lpstr>Constants.GCV.NaturalGasProduced</vt:lpstr>
      <vt:lpstr>Conversion.to.annual.energy</vt:lpstr>
      <vt:lpstr>Conversion.to.average.power</vt:lpstr>
      <vt:lpstr>Conversion.to.energy.per.second</vt:lpstr>
      <vt:lpstr>Conversion.UKgallons.to.litres</vt:lpstr>
      <vt:lpstr>Conversion.USgallons.to.litres</vt:lpstr>
      <vt:lpstr>Conversions.Area.m2</vt:lpstr>
      <vt:lpstr>Conversions.Area.Units</vt:lpstr>
      <vt:lpstr>Conversions.Energy.Joules</vt:lpstr>
      <vt:lpstr>Conversions.Energy.Units</vt:lpstr>
      <vt:lpstr>Conversions.Power.Units</vt:lpstr>
      <vt:lpstr>Conversions.Power.Watts</vt:lpstr>
      <vt:lpstr>EF.Diesel.CH4</vt:lpstr>
      <vt:lpstr>EF.Diesel.CO2</vt:lpstr>
      <vt:lpstr>EF.Diesel.N2O</vt:lpstr>
      <vt:lpstr>EF.IndustrialCoal.CH4</vt:lpstr>
      <vt:lpstr>EF.IndustrialCoal.CO2</vt:lpstr>
      <vt:lpstr>EF.IndustrialCoal.N2O</vt:lpstr>
      <vt:lpstr>EF.NaturalGas.CH4</vt:lpstr>
      <vt:lpstr>EF.NaturalGas.CO2</vt:lpstr>
      <vt:lpstr>EF.NaturalGas.N2O</vt:lpstr>
      <vt:lpstr>EF.Peat.CH4</vt:lpstr>
      <vt:lpstr>EF.Peat.CO2</vt:lpstr>
      <vt:lpstr>EF.Peat.N2O</vt:lpstr>
      <vt:lpstr>Global.IrelandIncidentSolarEnergy</vt:lpstr>
      <vt:lpstr>Global.IrelandIncidentSolarEnergy_SouthFacing</vt:lpstr>
      <vt:lpstr>GWP.CH4</vt:lpstr>
      <vt:lpstr>GWP.N2O</vt:lpstr>
      <vt:lpstr>I.a.Scenario</vt:lpstr>
      <vt:lpstr>I.b.1.Scenario</vt:lpstr>
      <vt:lpstr>I.b.2.Scenario</vt:lpstr>
      <vt:lpstr>II.a.Scenario</vt:lpstr>
      <vt:lpstr>III.a.1.Scenario</vt:lpstr>
      <vt:lpstr>III.a.2.Scenario</vt:lpstr>
      <vt:lpstr>III.b.Scenario</vt:lpstr>
      <vt:lpstr>III.c.TidalRange.Scenario</vt:lpstr>
      <vt:lpstr>III.c.TidaStream.Scenario</vt:lpstr>
      <vt:lpstr>III.c.Wave.Scenario</vt:lpstr>
      <vt:lpstr>input.choices</vt:lpstr>
      <vt:lpstr>input.descriptions</vt:lpstr>
      <vt:lpstr>input.example.pathways</vt:lpstr>
      <vt:lpstr>input.long_descriptions</vt:lpstr>
      <vt:lpstr>input.names</vt:lpstr>
      <vt:lpstr>input.onepagenotes</vt:lpstr>
      <vt:lpstr>input.types</vt:lpstr>
      <vt:lpstr>IV.a.Scenario</vt:lpstr>
      <vt:lpstr>IV.b.Scenario</vt:lpstr>
      <vt:lpstr>IV.c.Scenario</vt:lpstr>
      <vt:lpstr>IX.a.1.Scenario</vt:lpstr>
      <vt:lpstr>IX.a.2.Scenario</vt:lpstr>
      <vt:lpstr>IX.a.3.Scenario</vt:lpstr>
      <vt:lpstr>IX.a.4.Scenario</vt:lpstr>
      <vt:lpstr>IX.a.Scenario.Electrification</vt:lpstr>
      <vt:lpstr>IX.a.Scenario.Fuel</vt:lpstr>
      <vt:lpstr>IX.a.Scenario.Insulation</vt:lpstr>
      <vt:lpstr>IX.a.Scenario.ServiceDemand</vt:lpstr>
      <vt:lpstr>IX.c.1.Scenario</vt:lpstr>
      <vt:lpstr>IX.c.2.Scenario</vt:lpstr>
      <vt:lpstr>IX.c.3.Scenario</vt:lpstr>
      <vt:lpstr>IX.c.Scenario.Demand</vt:lpstr>
      <vt:lpstr>IX.c.Scenario.Electrification</vt:lpstr>
      <vt:lpstr>IX.c.Scenario.Fuel</vt:lpstr>
      <vt:lpstr>output.areas</vt:lpstr>
      <vt:lpstr>output.capacity.automaticallybuilt</vt:lpstr>
      <vt:lpstr>output.diversity</vt:lpstr>
      <vt:lpstr>output.electricity.capacity</vt:lpstr>
      <vt:lpstr>output.electricity.demand</vt:lpstr>
      <vt:lpstr>output.electricity.ghg</vt:lpstr>
      <vt:lpstr>output.electricity.supply</vt:lpstr>
      <vt:lpstr>output.emissions.percentage.reduction</vt:lpstr>
      <vt:lpstr>output.finalenergyde</vt:lpstr>
      <vt:lpstr>output.finalenergydemand</vt:lpstr>
      <vt:lpstr>output.flows</vt:lpstr>
      <vt:lpstr>output.ghg.by.ipcc.sector</vt:lpstr>
      <vt:lpstr>output.ghg.percentage.reduction</vt:lpstr>
      <vt:lpstr>output.heating.mix</vt:lpstr>
      <vt:lpstr>output.imports.proportion</vt:lpstr>
      <vt:lpstr>output.imports.quantity</vt:lpstr>
      <vt:lpstr>output.primaryenergysupply</vt:lpstr>
      <vt:lpstr>output.shannonweinerindex</vt:lpstr>
      <vt:lpstr>output.version</vt:lpstr>
      <vt:lpstr>Peak_Electricity_Generation_Capacity</vt:lpstr>
      <vt:lpstr>plantsize.I.a</vt:lpstr>
      <vt:lpstr>plantsize.Ia.bio</vt:lpstr>
      <vt:lpstr>plantsize.Ib</vt:lpstr>
      <vt:lpstr>plantsize.II.a</vt:lpstr>
      <vt:lpstr>plantsize.III.a.1</vt:lpstr>
      <vt:lpstr>plantsize.III.a.2</vt:lpstr>
      <vt:lpstr>plantsize.III.b</vt:lpstr>
      <vt:lpstr>plantsize.III.c.TidalRange</vt:lpstr>
      <vt:lpstr>plantsize.III.c.TidalStream</vt:lpstr>
      <vt:lpstr>plantsize.III.c.Wave</vt:lpstr>
      <vt:lpstr>plantsize.IV.a</vt:lpstr>
      <vt:lpstr>plantsize.IV.b</vt:lpstr>
      <vt:lpstr>plantsize.IV.c</vt:lpstr>
      <vt:lpstr>plantsize.V.a.Dry_bio_and_waste_to_gas</vt:lpstr>
      <vt:lpstr>plantsize.V.a.Dry_bio_and_waste_to_liquid</vt:lpstr>
      <vt:lpstr>plantsize.V.a.Dry_bio_and_waste_to_solid</vt:lpstr>
      <vt:lpstr>plantsize.V.a.Energy_crops_1st_generation_to_gas</vt:lpstr>
      <vt:lpstr>plantsize.V.a.Energy_crops_1st_generation_to_liquid</vt:lpstr>
      <vt:lpstr>plantsize.V.a.Energy_crops_1st_generation_to_solid</vt:lpstr>
      <vt:lpstr>plantsize.V.a.Energy_crops_2nd_generation_to_gas</vt:lpstr>
      <vt:lpstr>plantsize.V.a.Energy_crops_2nd_generation_to_liquid</vt:lpstr>
      <vt:lpstr>plantsize.V.a.Energy_crops_2nd_generation_to_solid</vt:lpstr>
      <vt:lpstr>plantsize.V.a.Gaseous_waste_to_gas</vt:lpstr>
      <vt:lpstr>plantsize.V.a.Gaseous_waste_to_liquid</vt:lpstr>
      <vt:lpstr>plantsize.V.a.Gaseous_waste_to_solid</vt:lpstr>
      <vt:lpstr>plantsize.V.a.Wet_bio_and_waste_to_gas</vt:lpstr>
      <vt:lpstr>plantsize.V.a.Wet_bio_and_waste_to_liquid</vt:lpstr>
      <vt:lpstr>plantsize.V.a.Wet_bio_and_waste_to_solid</vt:lpstr>
      <vt:lpstr>plantsize.VI.b.Capturing_landfill_gas</vt:lpstr>
      <vt:lpstr>plantsize.VI.b.Landfill_site</vt:lpstr>
      <vt:lpstr>plantsize.VI.b.Recovering_landfill_gas</vt:lpstr>
      <vt:lpstr>plantsize.VI.b.Recovering_sewage_sludge</vt:lpstr>
      <vt:lpstr>Preferences.AreaUnits</vt:lpstr>
      <vt:lpstr>Preferences.EnergyUnits</vt:lpstr>
      <vt:lpstr>Preferences.moneyunits</vt:lpstr>
      <vt:lpstr>Preferences.PowerUnits</vt:lpstr>
      <vt:lpstr>Preferences.Unit.Energy</vt:lpstr>
      <vt:lpstr>Preferences.Unit.Power</vt:lpstr>
      <vt:lpstr>TGBP</vt:lpstr>
      <vt:lpstr>'2013'!this.Year</vt:lpstr>
      <vt:lpstr>'2015'!this.Year</vt:lpstr>
      <vt:lpstr>'2020'!this.Year</vt:lpstr>
      <vt:lpstr>'2025'!this.Year</vt:lpstr>
      <vt:lpstr>'2030'!this.Year</vt:lpstr>
      <vt:lpstr>'2035'!this.Year</vt:lpstr>
      <vt:lpstr>'2040'!this.Year</vt:lpstr>
      <vt:lpstr>'2045'!this.Year</vt:lpstr>
      <vt:lpstr>'2050'!this.Year</vt:lpstr>
      <vt:lpstr>Unit.acre</vt:lpstr>
      <vt:lpstr>unit.bcm</vt:lpstr>
      <vt:lpstr>Unit.boe</vt:lpstr>
      <vt:lpstr>Unit.Btu</vt:lpstr>
      <vt:lpstr>Unit.calorie</vt:lpstr>
      <vt:lpstr>Unit.day</vt:lpstr>
      <vt:lpstr>Unit.GJ</vt:lpstr>
      <vt:lpstr>Unit.GW</vt:lpstr>
      <vt:lpstr>Unit.GWh</vt:lpstr>
      <vt:lpstr>Unit.GWyear</vt:lpstr>
      <vt:lpstr>Unit.ha</vt:lpstr>
      <vt:lpstr>Unit.hour</vt:lpstr>
      <vt:lpstr>Unit.J</vt:lpstr>
      <vt:lpstr>Unit.km2</vt:lpstr>
      <vt:lpstr>Unit.ktoe</vt:lpstr>
      <vt:lpstr>Unit.kW</vt:lpstr>
      <vt:lpstr>Unit.kWh</vt:lpstr>
      <vt:lpstr>Unit.kWh.p.d</vt:lpstr>
      <vt:lpstr>Unit.m2</vt:lpstr>
      <vt:lpstr>Unit.Mboe</vt:lpstr>
      <vt:lpstr>Unit.mcm.d</vt:lpstr>
      <vt:lpstr>Unit.Mha</vt:lpstr>
      <vt:lpstr>Unit.minute</vt:lpstr>
      <vt:lpstr>Unit.MJ</vt:lpstr>
      <vt:lpstr>Unit.Mtoe</vt:lpstr>
      <vt:lpstr>Unit.Mtoe.y</vt:lpstr>
      <vt:lpstr>Unit.MW</vt:lpstr>
      <vt:lpstr>Unit.MWh</vt:lpstr>
      <vt:lpstr>Unit.PJ</vt:lpstr>
      <vt:lpstr>Unit.therm</vt:lpstr>
      <vt:lpstr>Unit.TJ</vt:lpstr>
      <vt:lpstr>Unit.toe</vt:lpstr>
      <vt:lpstr>Unit.TWh</vt:lpstr>
      <vt:lpstr>Unit.W</vt:lpstr>
      <vt:lpstr>Unit.Wales</vt:lpstr>
      <vt:lpstr>Unit.year</vt:lpstr>
      <vt:lpstr>V.a.Scenario</vt:lpstr>
      <vt:lpstr>V.b.Scenario</vt:lpstr>
      <vt:lpstr>VI.a.2.Scenario</vt:lpstr>
      <vt:lpstr>VI.a.Scenario</vt:lpstr>
      <vt:lpstr>VI.b.Scenario</vt:lpstr>
      <vt:lpstr>VI.c.Scenario</vt:lpstr>
      <vt:lpstr>VII.a.Scenario</vt:lpstr>
      <vt:lpstr>VII.c.Scenario</vt:lpstr>
      <vt:lpstr>W___m2</vt:lpstr>
      <vt:lpstr>X.a.1.Scenario</vt:lpstr>
      <vt:lpstr>X.a.2.Scenario</vt:lpstr>
      <vt:lpstr>X.a.Scenario.Demand</vt:lpstr>
      <vt:lpstr>X.a.Scenario.Technology</vt:lpstr>
      <vt:lpstr>X.b.1.Scenario</vt:lpstr>
      <vt:lpstr>X.b.2.Scenario</vt:lpstr>
      <vt:lpstr>X.b.Scenario.Demand</vt:lpstr>
      <vt:lpstr>X.b.Scenario.Technology</vt:lpstr>
      <vt:lpstr>XI.a.1</vt:lpstr>
      <vt:lpstr>XI.a.2.Scenario</vt:lpstr>
      <vt:lpstr>XI.a.Scenario.Efficiency</vt:lpstr>
      <vt:lpstr>XI.a.Scenario.Output</vt:lpstr>
      <vt:lpstr>XII.a.Scenario.Demand</vt:lpstr>
      <vt:lpstr>XII.a.Scenario.ElecHydrogen</vt:lpstr>
      <vt:lpstr>XII.a.Scenario.Technology</vt:lpstr>
      <vt:lpstr>XII.b.Scenario</vt:lpstr>
      <vt:lpstr>XII.c.Scenario</vt:lpstr>
      <vt:lpstr>XIV.a.Scenario</vt:lpstr>
      <vt:lpstr>XV.b.Scenario</vt:lpstr>
      <vt:lpstr>'2013'!Year.Emissions</vt:lpstr>
      <vt:lpstr>'2015'!Year.Emissions</vt:lpstr>
      <vt:lpstr>'2020'!Year.Emissions</vt:lpstr>
      <vt:lpstr>'2025'!Year.Emissions</vt:lpstr>
      <vt:lpstr>'2030'!Year.Emissions</vt:lpstr>
      <vt:lpstr>'2035'!Year.Emissions</vt:lpstr>
      <vt:lpstr>'2040'!Year.Emissions</vt:lpstr>
      <vt:lpstr>'2045'!Year.Emissions</vt:lpstr>
      <vt:lpstr>'2050'!Year.Emissions</vt:lpstr>
      <vt:lpstr>'2013'!Year.EmissionsBySector</vt:lpstr>
      <vt:lpstr>'2015'!Year.EmissionsBySector</vt:lpstr>
      <vt:lpstr>'2020'!Year.EmissionsBySector</vt:lpstr>
      <vt:lpstr>'2025'!Year.EmissionsBySector</vt:lpstr>
      <vt:lpstr>'2030'!Year.EmissionsBySector</vt:lpstr>
      <vt:lpstr>'2035'!Year.EmissionsBySector</vt:lpstr>
      <vt:lpstr>'2040'!Year.EmissionsBySector</vt:lpstr>
      <vt:lpstr>'2045'!Year.EmissionsBySector</vt:lpstr>
      <vt:lpstr>'2050'!Year.EmissionsBySector</vt:lpstr>
      <vt:lpstr>'2013'!Year.IPCC</vt:lpstr>
      <vt:lpstr>'2015'!Year.IPCC</vt:lpstr>
      <vt:lpstr>'2020'!Year.IPCC</vt:lpstr>
      <vt:lpstr>'2025'!Year.IPCC</vt:lpstr>
      <vt:lpstr>'2030'!Year.IPCC</vt:lpstr>
      <vt:lpstr>'2035'!Year.IPCC</vt:lpstr>
      <vt:lpstr>'2040'!Year.IPCC</vt:lpstr>
      <vt:lpstr>'2045'!Year.IPCC</vt:lpstr>
      <vt:lpstr>'2050'!Year.IPCC</vt:lpstr>
      <vt:lpstr>'2013'!Year.Matrix</vt:lpstr>
      <vt:lpstr>'2015'!Year.Matrix</vt:lpstr>
      <vt:lpstr>'2020'!Year.Matrix</vt:lpstr>
      <vt:lpstr>'2025'!Year.Matrix</vt:lpstr>
      <vt:lpstr>'2030'!Year.Matrix</vt:lpstr>
      <vt:lpstr>'2035'!Year.Matrix</vt:lpstr>
      <vt:lpstr>'2040'!Year.Matrix</vt:lpstr>
      <vt:lpstr>'2045'!Year.Matrix</vt:lpstr>
      <vt:lpstr>'2050'!Year.Matrix</vt:lpstr>
      <vt:lpstr>'2013'!Year.Modules</vt:lpstr>
      <vt:lpstr>'2015'!Year.Modules</vt:lpstr>
      <vt:lpstr>'2020'!Year.Modules</vt:lpstr>
      <vt:lpstr>'2025'!Year.Modules</vt:lpstr>
      <vt:lpstr>'2030'!Year.Modules</vt:lpstr>
      <vt:lpstr>'2035'!Year.Modules</vt:lpstr>
      <vt:lpstr>'2040'!Year.Modules</vt:lpstr>
      <vt:lpstr>'2045'!Year.Modules</vt:lpstr>
      <vt:lpstr>'2050'!Year.Modules</vt:lpstr>
      <vt:lpstr>'2013'!Year.NetBalance</vt:lpstr>
      <vt:lpstr>'2015'!Year.NetBalance</vt:lpstr>
      <vt:lpstr>'2020'!Year.NetBalance</vt:lpstr>
      <vt:lpstr>'2025'!Year.NetBalance</vt:lpstr>
      <vt:lpstr>'2030'!Year.NetBalance</vt:lpstr>
      <vt:lpstr>'2035'!Year.NetBalance</vt:lpstr>
      <vt:lpstr>'2040'!Year.NetBalance</vt:lpstr>
      <vt:lpstr>'2045'!Year.NetBalance</vt:lpstr>
      <vt:lpstr>'2050'!Year.NetBalance</vt:lpstr>
      <vt:lpstr>'2013'!Year.Vectors</vt:lpstr>
      <vt:lpstr>'2015'!Year.Vectors</vt:lpstr>
      <vt:lpstr>'2020'!Year.Vectors</vt:lpstr>
      <vt:lpstr>'2025'!Year.Vectors</vt:lpstr>
      <vt:lpstr>'2030'!Year.Vectors</vt:lpstr>
      <vt:lpstr>'2035'!Year.Vectors</vt:lpstr>
      <vt:lpstr>'2040'!Year.Vectors</vt:lpstr>
      <vt:lpstr>'2045'!Year.Vectors</vt:lpstr>
      <vt:lpstr>'2050'!Year.Vectors</vt:lpstr>
    </vt:vector>
  </TitlesOfParts>
  <Company>Grizli777</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dc:creator>
  <cp:lastModifiedBy>Sarah</cp:lastModifiedBy>
  <dcterms:created xsi:type="dcterms:W3CDTF">2015-05-14T13:15:51Z</dcterms:created>
  <dcterms:modified xsi:type="dcterms:W3CDTF">2015-10-15T12:42:01Z</dcterms:modified>
</cp:coreProperties>
</file>